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5.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drawings/drawing7.xml" ContentType="application/vnd.openxmlformats-officedocument.drawing+xml"/>
  <Override PartName="/xl/ctrlProps/ctrlProp10.xml" ContentType="application/vnd.ms-excel.controlproperties+xml"/>
  <Override PartName="/xl/ctrlProps/ctrlProp11.xml" ContentType="application/vnd.ms-excel.controlproperties+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drawings/drawing8.xml" ContentType="application/vnd.openxmlformats-officedocument.drawing+xml"/>
  <Override PartName="/xl/ctrlProps/ctrlProp12.xml" ContentType="application/vnd.ms-excel.controlproperties+xml"/>
  <Override PartName="/xl/ctrlProps/ctrlProp13.xml" ContentType="application/vnd.ms-excel.controlproperties+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drawings/drawing9.xml" ContentType="application/vnd.openxmlformats-officedocument.drawing+xml"/>
  <Override PartName="/xl/ctrlProps/ctrlProp14.xml" ContentType="application/vnd.ms-excel.controlproperties+xml"/>
  <Override PartName="/xl/ctrlProps/ctrlProp15.xml" ContentType="application/vnd.ms-excel.controlproperties+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drawings/drawing10.xml" ContentType="application/vnd.openxmlformats-officedocument.drawing+xml"/>
  <Override PartName="/xl/ctrlProps/ctrlProp16.xml" ContentType="application/vnd.ms-excel.controlproperties+xml"/>
  <Override PartName="/xl/ctrlProps/ctrlProp17.xml" ContentType="application/vnd.ms-excel.controlproperties+xml"/>
  <Override PartName="/xl/charts/chart56.xml" ContentType="application/vnd.openxmlformats-officedocument.drawingml.chart+xml"/>
  <Override PartName="/xl/charts/chart57.xml" ContentType="application/vnd.openxmlformats-officedocument.drawingml.chart+xml"/>
  <Override PartName="/xl/drawings/drawing11.xml" ContentType="application/vnd.openxmlformats-officedocument.drawing+xml"/>
  <Override PartName="/xl/ctrlProps/ctrlProp18.xml" ContentType="application/vnd.ms-excel.controlproperties+xml"/>
  <Override PartName="/xl/ctrlProps/ctrlProp19.xml" ContentType="application/vnd.ms-excel.controlproperties+xml"/>
  <Override PartName="/xl/charts/chart58.xml" ContentType="application/vnd.openxmlformats-officedocument.drawingml.chart+xml"/>
  <Override PartName="/xl/charts/style3.xml" ContentType="application/vnd.ms-office.chartstyle+xml"/>
  <Override PartName="/xl/charts/colors3.xml" ContentType="application/vnd.ms-office.chartcolorstyle+xml"/>
  <Override PartName="/xl/charts/chart59.xml" ContentType="application/vnd.openxmlformats-officedocument.drawingml.chart+xml"/>
  <Override PartName="/xl/charts/style4.xml" ContentType="application/vnd.ms-office.chartstyle+xml"/>
  <Override PartName="/xl/charts/colors4.xml" ContentType="application/vnd.ms-office.chartcolorstyle+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drawings/drawing12.xml" ContentType="application/vnd.openxmlformats-officedocument.drawing+xml"/>
  <Override PartName="/xl/ctrlProps/ctrlProp20.xml" ContentType="application/vnd.ms-excel.controlproperties+xml"/>
  <Override PartName="/xl/drawings/drawing13.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harts/chart64.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4.xml" ContentType="application/vnd.openxmlformats-officedocument.drawing+xml"/>
  <Override PartName="/xl/ctrlProps/ctrlProp24.xml" ContentType="application/vnd.ms-excel.controlproperties+xml"/>
  <Override PartName="/xl/ctrlProps/ctrlProp25.xml" ContentType="application/vnd.ms-excel.controlproperties+xml"/>
  <Override PartName="/xl/drawings/drawing15.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harts/chart65.xml" ContentType="application/vnd.openxmlformats-officedocument.drawingml.chart+xml"/>
  <Override PartName="/xl/charts/style6.xml" ContentType="application/vnd.ms-office.chartstyle+xml"/>
  <Override PartName="/xl/charts/colors6.xml" ContentType="application/vnd.ms-office.chartcolorstyle+xml"/>
  <Override PartName="/xl/drawings/drawing16.xml" ContentType="application/vnd.openxmlformats-officedocument.drawing+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drawings/drawing17.xml" ContentType="application/vnd.openxmlformats-officedocument.drawing+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drawings/drawing18.xml" ContentType="application/vnd.openxmlformats-officedocument.drawing+xml"/>
  <Override PartName="/xl/ctrlProps/ctrlProp84.xml" ContentType="application/vnd.ms-excel.controlproperties+xml"/>
  <Override PartName="/xl/ctrlProps/ctrlProp85.xml" ContentType="application/vnd.ms-excel.controlproperties+xml"/>
  <Override PartName="/xl/drawings/drawing19.xml" ContentType="application/vnd.openxmlformats-officedocument.drawing+xml"/>
  <Override PartName="/xl/ctrlProps/ctrlProp86.xml" ContentType="application/vnd.ms-excel.controlproperties+xml"/>
  <Override PartName="/xl/drawings/drawing20.xml" ContentType="application/vnd.openxmlformats-officedocument.drawing+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harts/chart66.xml" ContentType="application/vnd.openxmlformats-officedocument.drawingml.chart+xml"/>
  <Override PartName="/xl/charts/style7.xml" ContentType="application/vnd.ms-office.chartstyle+xml"/>
  <Override PartName="/xl/charts/colors7.xml" ContentType="application/vnd.ms-office.chartcolorstyle+xml"/>
  <Override PartName="/xl/charts/chart67.xml" ContentType="application/vnd.openxmlformats-officedocument.drawingml.chart+xml"/>
  <Override PartName="/xl/charts/style8.xml" ContentType="application/vnd.ms-office.chartstyle+xml"/>
  <Override PartName="/xl/charts/colors8.xml" ContentType="application/vnd.ms-office.chartcolorstyle+xml"/>
  <Override PartName="/xl/charts/chart68.xml" ContentType="application/vnd.openxmlformats-officedocument.drawingml.chart+xml"/>
  <Override PartName="/xl/charts/style9.xml" ContentType="application/vnd.ms-office.chartstyle+xml"/>
  <Override PartName="/xl/charts/colors9.xml" ContentType="application/vnd.ms-office.chartcolorstyle+xml"/>
  <Override PartName="/xl/charts/chart69.xml" ContentType="application/vnd.openxmlformats-officedocument.drawingml.chart+xml"/>
  <Override PartName="/xl/charts/style10.xml" ContentType="application/vnd.ms-office.chartstyle+xml"/>
  <Override PartName="/xl/charts/colors10.xml" ContentType="application/vnd.ms-office.chartcolorstyle+xml"/>
  <Override PartName="/xl/charts/chart70.xml" ContentType="application/vnd.openxmlformats-officedocument.drawingml.chart+xml"/>
  <Override PartName="/xl/charts/style11.xml" ContentType="application/vnd.ms-office.chartstyle+xml"/>
  <Override PartName="/xl/charts/colors11.xml" ContentType="application/vnd.ms-office.chartcolorstyle+xml"/>
  <Override PartName="/xl/charts/chart71.xml" ContentType="application/vnd.openxmlformats-officedocument.drawingml.chart+xml"/>
  <Override PartName="/xl/charts/style12.xml" ContentType="application/vnd.ms-office.chartstyle+xml"/>
  <Override PartName="/xl/charts/colors12.xml" ContentType="application/vnd.ms-office.chartcolorstyle+xml"/>
  <Override PartName="/xl/charts/chart72.xml" ContentType="application/vnd.openxmlformats-officedocument.drawingml.chart+xml"/>
  <Override PartName="/xl/charts/style13.xml" ContentType="application/vnd.ms-office.chartstyle+xml"/>
  <Override PartName="/xl/charts/colors13.xml" ContentType="application/vnd.ms-office.chartcolorstyle+xml"/>
  <Override PartName="/xl/charts/chart73.xml" ContentType="application/vnd.openxmlformats-officedocument.drawingml.chart+xml"/>
  <Override PartName="/xl/charts/style14.xml" ContentType="application/vnd.ms-office.chartstyle+xml"/>
  <Override PartName="/xl/charts/colors14.xml" ContentType="application/vnd.ms-office.chartcolorstyle+xml"/>
  <Override PartName="/xl/charts/chart74.xml" ContentType="application/vnd.openxmlformats-officedocument.drawingml.chart+xml"/>
  <Override PartName="/xl/charts/style15.xml" ContentType="application/vnd.ms-office.chartstyle+xml"/>
  <Override PartName="/xl/charts/colors15.xml" ContentType="application/vnd.ms-office.chartcolorstyle+xml"/>
  <Override PartName="/xl/charts/chart75.xml" ContentType="application/vnd.openxmlformats-officedocument.drawingml.chart+xml"/>
  <Override PartName="/xl/charts/style16.xml" ContentType="application/vnd.ms-office.chartstyle+xml"/>
  <Override PartName="/xl/charts/colors16.xml" ContentType="application/vnd.ms-office.chartcolorstyle+xml"/>
  <Override PartName="/xl/charts/chart76.xml" ContentType="application/vnd.openxmlformats-officedocument.drawingml.chart+xml"/>
  <Override PartName="/xl/charts/style17.xml" ContentType="application/vnd.ms-office.chartstyle+xml"/>
  <Override PartName="/xl/charts/colors17.xml" ContentType="application/vnd.ms-office.chartcolorstyle+xml"/>
  <Override PartName="/xl/charts/chart77.xml" ContentType="application/vnd.openxmlformats-officedocument.drawingml.chart+xml"/>
  <Override PartName="/xl/charts/style18.xml" ContentType="application/vnd.ms-office.chartstyle+xml"/>
  <Override PartName="/xl/charts/colors18.xml" ContentType="application/vnd.ms-office.chartcolorstyle+xml"/>
  <Override PartName="/xl/charts/chart78.xml" ContentType="application/vnd.openxmlformats-officedocument.drawingml.chart+xml"/>
  <Override PartName="/xl/charts/style19.xml" ContentType="application/vnd.ms-office.chartstyle+xml"/>
  <Override PartName="/xl/charts/colors19.xml" ContentType="application/vnd.ms-office.chartcolorstyle+xml"/>
  <Override PartName="/xl/charts/chart79.xml" ContentType="application/vnd.openxmlformats-officedocument.drawingml.chart+xml"/>
  <Override PartName="/xl/charts/style20.xml" ContentType="application/vnd.ms-office.chartstyle+xml"/>
  <Override PartName="/xl/charts/colors20.xml" ContentType="application/vnd.ms-office.chartcolorstyle+xml"/>
  <Override PartName="/xl/charts/chart80.xml" ContentType="application/vnd.openxmlformats-officedocument.drawingml.chart+xml"/>
  <Override PartName="/xl/charts/style21.xml" ContentType="application/vnd.ms-office.chartstyle+xml"/>
  <Override PartName="/xl/charts/colors21.xml" ContentType="application/vnd.ms-office.chartcolorstyle+xml"/>
  <Override PartName="/xl/charts/chart81.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21.xml" ContentType="application/vnd.openxmlformats-officedocument.drawing+xml"/>
  <Override PartName="/xl/ctrlProps/ctrlProp104.xml" ContentType="application/vnd.ms-excel.controlproperties+xml"/>
  <Override PartName="/xl/ctrlProps/ctrlProp105.xml" ContentType="application/vnd.ms-excel.controlproperties+xml"/>
  <Override PartName="/xl/drawings/drawing22.xml" ContentType="application/vnd.openxmlformats-officedocument.drawing+xml"/>
  <Override PartName="/xl/ctrlProps/ctrlProp106.xml" ContentType="application/vnd.ms-excel.controlproperties+xml"/>
  <Override PartName="/xl/ctrlProps/ctrlProp107.xml" ContentType="application/vnd.ms-excel.controlproperties+xml"/>
  <Override PartName="/xl/drawings/drawing23.xml" ContentType="application/vnd.openxmlformats-officedocument.drawing+xml"/>
  <Override PartName="/xl/ctrlProps/ctrlProp108.xml" ContentType="application/vnd.ms-excel.controlproperties+xml"/>
  <Override PartName="/xl/ctrlProps/ctrlProp109.xml" ContentType="application/vnd.ms-excel.controlproperties+xml"/>
  <Override PartName="/xl/comments2.xml" ContentType="application/vnd.openxmlformats-officedocument.spreadsheetml.comments+xml"/>
  <Override PartName="/xl/drawings/drawing24.xml" ContentType="application/vnd.openxmlformats-officedocument.drawing+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drawings/drawing25.xml" ContentType="application/vnd.openxmlformats-officedocument.drawing+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drawings/drawing26.xml" ContentType="application/vnd.openxmlformats-officedocument.drawing+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drawings/drawing27.xml" ContentType="application/vnd.openxmlformats-officedocument.drawing+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drawings/drawing28.xml" ContentType="application/vnd.openxmlformats-officedocument.drawing+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drawings/drawing29.xml" ContentType="application/vnd.openxmlformats-officedocument.drawing+xml"/>
  <Override PartName="/xl/ctrlProps/ctrlProp125.xml" ContentType="application/vnd.ms-excel.controlproperties+xml"/>
  <Override PartName="/xl/ctrlProps/ctrlProp126.xml" ContentType="application/vnd.ms-excel.controlproperties+xml"/>
  <Override PartName="/xl/drawings/drawing30.xml" ContentType="application/vnd.openxmlformats-officedocument.drawing+xml"/>
  <Override PartName="/xl/ctrlProps/ctrlProp127.xml" ContentType="application/vnd.ms-excel.controlproperties+xml"/>
  <Override PartName="/xl/ctrlProps/ctrlProp128.xml" ContentType="application/vnd.ms-excel.controlproperties+xml"/>
  <Override PartName="/xl/drawings/drawing31.xml" ContentType="application/vnd.openxmlformats-officedocument.drawing+xml"/>
  <Override PartName="/xl/ctrlProps/ctrlProp129.xml" ContentType="application/vnd.ms-excel.controlproperties+xml"/>
  <Override PartName="/xl/drawings/drawing32.xml" ContentType="application/vnd.openxmlformats-officedocument.drawing+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persons/person.xml" ContentType="application/vnd.ms-excel.person+xml"/>
  <Override PartName="/xl/threadedComments/threadedComment1.xml" ContentType="application/vnd.ms-excel.threaded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C:\Users\Technical_Cell\Desktop\"/>
    </mc:Choice>
  </mc:AlternateContent>
  <bookViews>
    <workbookView xWindow="-120" yWindow="-120" windowWidth="29040" windowHeight="15720" firstSheet="36" activeTab="41"/>
  </bookViews>
  <sheets>
    <sheet name="carryforward_cf" sheetId="69" r:id="rId1"/>
    <sheet name="from CP sheet" sheetId="31" r:id="rId2"/>
    <sheet name="Approval_format" sheetId="30" r:id="rId3"/>
    <sheet name="ACG" sheetId="16" state="hidden" r:id="rId4"/>
    <sheet name="BC10" sheetId="17" state="hidden" r:id="rId5"/>
    <sheet name="MECL" sheetId="18" state="hidden" r:id="rId6"/>
    <sheet name="A1A3" sheetId="19" state="hidden" r:id="rId7"/>
    <sheet name="Sakhalin" sheetId="20" state="hidden" r:id="rId8"/>
    <sheet name="IEC" sheetId="21" state="hidden" r:id="rId9"/>
    <sheet name="Vankor" sheetId="22" state="hidden" r:id="rId10"/>
    <sheet name="Vietnam" sheetId="23" state="hidden" r:id="rId11"/>
    <sheet name="Carabobo" sheetId="24" state="hidden" r:id="rId12"/>
    <sheet name="Sancristobal" sheetId="25" state="hidden" r:id="rId13"/>
    <sheet name="LZC" sheetId="26" state="hidden" r:id="rId14"/>
    <sheet name="GPOC" sheetId="27" state="hidden" r:id="rId15"/>
    <sheet name="SPOC" sheetId="28" state="hidden" r:id="rId16"/>
    <sheet name="CPO5" sheetId="29" state="hidden" r:id="rId17"/>
    <sheet name="CF_lat" sheetId="38" state="hidden" r:id="rId18"/>
    <sheet name="DPRavg" sheetId="37" state="hidden" r:id="rId19"/>
    <sheet name="non-reconprod" sheetId="39" r:id="rId20"/>
    <sheet name="interFY_transition" sheetId="68" state="hidden" r:id="rId21"/>
    <sheet name="Processed_Reconciled Prod" sheetId="15" r:id="rId22"/>
    <sheet name="Previous year" sheetId="52" r:id="rId23"/>
    <sheet name="Storage_Targets" sheetId="71" r:id="rId24"/>
    <sheet name="YTDtarget" sheetId="41" r:id="rId25"/>
    <sheet name="YTD display" sheetId="42" r:id="rId26"/>
    <sheet name="BEREMOU" sheetId="51" r:id="rId27"/>
    <sheet name="Targets-chosen" sheetId="33" r:id="rId28"/>
    <sheet name="Target_monthwise" sheetId="43" state="hidden" r:id="rId29"/>
    <sheet name="DTR" sheetId="72" state="hidden" r:id="rId30"/>
    <sheet name="Tables" sheetId="44" state="hidden" r:id="rId31"/>
    <sheet name="Charts-OVL" sheetId="50" r:id="rId32"/>
    <sheet name="Charts-MENA CIS" sheetId="48" r:id="rId33"/>
    <sheet name="Charts-LAC" sheetId="47" r:id="rId34"/>
    <sheet name="Charts-AP" sheetId="46" r:id="rId35"/>
    <sheet name="Charts-Russia" sheetId="45" r:id="rId36"/>
    <sheet name="prod_compiled" sheetId="40" r:id="rId37"/>
    <sheet name="Asking Rate" sheetId="74" r:id="rId38"/>
    <sheet name="2FY" sheetId="76" r:id="rId39"/>
    <sheet name="mtd&amp;ytd" sheetId="75" r:id="rId40"/>
    <sheet name="Dashboard" sheetId="35" r:id="rId41"/>
    <sheet name="DPR" sheetId="34" r:id="rId42"/>
    <sheet name="OperProdn Loss" sheetId="82" state="hidden" r:id="rId43"/>
    <sheet name="Internal" sheetId="88" r:id="rId44"/>
    <sheet name="LBL" sheetId="63" r:id="rId45"/>
    <sheet name="all_remarks" sheetId="55" r:id="rId46"/>
    <sheet name="Graphs_full" sheetId="62" r:id="rId47"/>
    <sheet name="YTD_ach" sheetId="49" r:id="rId48"/>
    <sheet name="Prodn Data 24-25" sheetId="80" r:id="rId49"/>
    <sheet name="report_prodcompiled" sheetId="53" r:id="rId50"/>
    <sheet name="Gap_analysis" sheetId="57" r:id="rId51"/>
    <sheet name="Quarterly Analysis" sheetId="56" r:id="rId52"/>
    <sheet name="Yearly Analysis" sheetId="59" r:id="rId53"/>
    <sheet name="Monthly analysis" sheetId="54" r:id="rId54"/>
    <sheet name="YoY" sheetId="78" r:id="rId55"/>
    <sheet name="Previous Comp" sheetId="61" state="hidden" r:id="rId56"/>
    <sheet name="Mat_Balance" sheetId="60" r:id="rId57"/>
    <sheet name="Standardised rates" sheetId="66" r:id="rId58"/>
    <sheet name="reference_points" sheetId="65" r:id="rId59"/>
    <sheet name="Comparison_between_ref_points" sheetId="64" r:id="rId60"/>
    <sheet name="Storage_Reconciled_prod" sheetId="79" r:id="rId61"/>
    <sheet name="Storage_rounded_off_prod" sheetId="77" r:id="rId62"/>
    <sheet name="Storage_Reconciled_prod_chosen" sheetId="70" r:id="rId63"/>
    <sheet name="Dropdowns" sheetId="36" r:id="rId64"/>
  </sheets>
  <externalReferences>
    <externalReference r:id="rId65"/>
  </externalReferences>
  <definedNames>
    <definedName name="_xlnm._FilterDatabase" localSheetId="45" hidden="1">all_remarks!$B$8:$C$1469</definedName>
    <definedName name="_xlnm._FilterDatabase" localSheetId="41" hidden="1">DPR!$AH$1:$AJ$68</definedName>
    <definedName name="_xlnm._FilterDatabase" localSheetId="42" hidden="1">'OperProdn Loss'!$AH$1:$AJ$63</definedName>
    <definedName name="_xlnm._FilterDatabase" localSheetId="60" hidden="1">Storage_Reconciled_prod!$E$107:$E$202</definedName>
    <definedName name="_xlnm._FilterDatabase" localSheetId="62" hidden="1">Storage_Reconciled_prod_chosen!$E$107:$E$202</definedName>
    <definedName name="_xlnm.Print_Area" localSheetId="38">'2FY'!$C$2:$N$23,'2FY'!$S$3:$V$7,'2FY'!$S$9:$V$11,'2FY'!$S$13:$V$17</definedName>
    <definedName name="_xlnm.Print_Area" localSheetId="45">all_remarks!$A$1:$C$173</definedName>
    <definedName name="_xlnm.Print_Area" localSheetId="2">Approval_format!$B$2:$AE$58</definedName>
    <definedName name="_xlnm.Print_Area" localSheetId="37">'Asking Rate'!$E$51:$K$57</definedName>
    <definedName name="_xlnm.Print_Area" localSheetId="34">'Charts-AP'!$C$2:$N$37</definedName>
    <definedName name="_xlnm.Print_Area" localSheetId="33">'Charts-LAC'!$B$2:$Y$50</definedName>
    <definedName name="_xlnm.Print_Area" localSheetId="32">'Charts-MENA CIS'!$A$3:$X$39</definedName>
    <definedName name="_xlnm.Print_Area" localSheetId="31">'Charts-OVL'!$A$3:$Y$38</definedName>
    <definedName name="_xlnm.Print_Area" localSheetId="35">'Charts-Russia'!$A$1:$Y$49</definedName>
    <definedName name="_xlnm.Print_Area" localSheetId="59">Comparison_between_ref_points!$B$2:$L$42</definedName>
    <definedName name="_xlnm.Print_Area" localSheetId="40">Dashboard!$A$1:$M$48</definedName>
    <definedName name="_xlnm.Print_Area" localSheetId="41">DPR!$A$3:$AI$1258</definedName>
    <definedName name="_xlnm.Print_Area" localSheetId="50">Gap_analysis!$C$1:$I$41</definedName>
    <definedName name="_xlnm.Print_Area" localSheetId="20">interFY_transition!$A$16:$E$17</definedName>
    <definedName name="_xlnm.Print_Area" localSheetId="43">Internal!$D$4:$L$44</definedName>
    <definedName name="_xlnm.Print_Area" localSheetId="56">Mat_Balance!$B$6:$R$34</definedName>
    <definedName name="_xlnm.Print_Area" localSheetId="53">'Monthly analysis'!$C$3:$O$43,'Monthly analysis'!$C$48:$O$77</definedName>
    <definedName name="_xlnm.Print_Area" localSheetId="39">'mtd&amp;ytd'!$D$5:$L$44</definedName>
    <definedName name="_xlnm.Print_Area" localSheetId="42">'OperProdn Loss'!$A$1:$AI$216</definedName>
    <definedName name="_xlnm.Print_Area" localSheetId="55">'Previous Comp'!$E$3:$N$45</definedName>
    <definedName name="_xlnm.Print_Area" localSheetId="22">'Previous year'!$C$2:$V$100</definedName>
    <definedName name="_xlnm.Print_Area" localSheetId="21">'Processed_Reconciled Prod'!$C$2:$V$147</definedName>
    <definedName name="_xlnm.Print_Area" localSheetId="48">'Prodn Data 24-25'!$A$1:$V$173</definedName>
    <definedName name="_xlnm.Print_Area" localSheetId="51">'Quarterly Analysis'!$C$3:$O$43,'Quarterly Analysis'!$C$48:$O$77</definedName>
    <definedName name="_xlnm.Print_Area" localSheetId="49">report_prodcompiled!$A$1:$V$100</definedName>
    <definedName name="_xlnm.Print_Area" localSheetId="57">'Standardised rates'!$B$1:$E$38</definedName>
    <definedName name="_xlnm.Print_Area" localSheetId="27">'Targets-chosen'!$D$2:$X$83</definedName>
    <definedName name="_xlnm.Print_Area" localSheetId="52">'Yearly Analysis'!$C$3:$P$43,'Yearly Analysis'!$C$48:$P$79</definedName>
    <definedName name="_xlnm.Print_Area" localSheetId="54">YoY!$D$5:$H$63</definedName>
    <definedName name="_xlnm.Print_Area" localSheetId="47">YTD_ach!$B$2:$O$40</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G1257" i="34" l="1"/>
  <c r="R1257" i="34"/>
  <c r="AG1256" i="34" l="1"/>
  <c r="R1256" i="34"/>
  <c r="AG1255" i="34"/>
  <c r="R1255" i="34"/>
  <c r="R1254" i="34"/>
  <c r="AG1254" i="34"/>
  <c r="AG1253" i="34" l="1"/>
  <c r="R1253" i="34"/>
  <c r="AG1252" i="34" l="1"/>
  <c r="R1252" i="34"/>
  <c r="AG1251" i="34" l="1"/>
  <c r="R1251" i="34"/>
  <c r="AG1250" i="34" l="1"/>
  <c r="R1250" i="34"/>
  <c r="AG1249" i="34" l="1"/>
  <c r="R1249" i="34"/>
  <c r="AG1248" i="34"/>
  <c r="R1248" i="34"/>
  <c r="AG1247" i="34" l="1"/>
  <c r="R1247" i="34"/>
  <c r="AG1246" i="34" l="1"/>
  <c r="R1246" i="34"/>
  <c r="CF99" i="77" l="1"/>
  <c r="CF61" i="77"/>
  <c r="CF80" i="77"/>
  <c r="CG99" i="77"/>
  <c r="CG86" i="77"/>
  <c r="CG87" i="77"/>
  <c r="CG88" i="77"/>
  <c r="CG89" i="77"/>
  <c r="CG90" i="77"/>
  <c r="CG91" i="77"/>
  <c r="CG92" i="77"/>
  <c r="CG93" i="77"/>
  <c r="CG94" i="77"/>
  <c r="CG95" i="77"/>
  <c r="CG96" i="77"/>
  <c r="CG97" i="77"/>
  <c r="CG98" i="77"/>
  <c r="CG85" i="77"/>
  <c r="CF86" i="77"/>
  <c r="CF87" i="77"/>
  <c r="CF88" i="77"/>
  <c r="CF89" i="77"/>
  <c r="CF90" i="77"/>
  <c r="CF91" i="77"/>
  <c r="CF92" i="77"/>
  <c r="CF93" i="77"/>
  <c r="CF94" i="77"/>
  <c r="CF95" i="77"/>
  <c r="CF96" i="77"/>
  <c r="CF97" i="77"/>
  <c r="CF98" i="77"/>
  <c r="CF85" i="77"/>
  <c r="CF67" i="77"/>
  <c r="CF68" i="77"/>
  <c r="CF69" i="77"/>
  <c r="CF70" i="77"/>
  <c r="CF71" i="77"/>
  <c r="CF72" i="77"/>
  <c r="CF73" i="77"/>
  <c r="CF74" i="77"/>
  <c r="CF75" i="77"/>
  <c r="CF76" i="77"/>
  <c r="CF77" i="77"/>
  <c r="CF78" i="77"/>
  <c r="CF79" i="77"/>
  <c r="CF66" i="77"/>
  <c r="CF48" i="77"/>
  <c r="CF49" i="77"/>
  <c r="CF50" i="77"/>
  <c r="CF51" i="77"/>
  <c r="CF52" i="77"/>
  <c r="CF53" i="77"/>
  <c r="CF54" i="77"/>
  <c r="CF55" i="77"/>
  <c r="CF56" i="77"/>
  <c r="CF57" i="77"/>
  <c r="CF58" i="77"/>
  <c r="CF59" i="77"/>
  <c r="CF60" i="77"/>
  <c r="CF47" i="77"/>
  <c r="AG1245" i="34" l="1"/>
  <c r="R1245" i="34"/>
  <c r="AG1244" i="34" l="1"/>
  <c r="R1244" i="34"/>
  <c r="AG1243" i="34" l="1"/>
  <c r="R1243" i="34"/>
  <c r="AG1242" i="34"/>
  <c r="R1242" i="34"/>
  <c r="AG1241" i="34"/>
  <c r="R1241" i="34"/>
  <c r="AG1240" i="34"/>
  <c r="R1240" i="34"/>
  <c r="AG1239" i="34" l="1"/>
  <c r="R1239" i="34"/>
  <c r="AG1238" i="34" l="1"/>
  <c r="R1238" i="34"/>
  <c r="AG1237" i="34" l="1"/>
  <c r="R1237" i="34"/>
  <c r="AG1236" i="34" l="1"/>
  <c r="R1236" i="34"/>
  <c r="AG1235" i="34" l="1"/>
  <c r="R1235" i="34"/>
  <c r="AG1234" i="34"/>
  <c r="R1234" i="34"/>
  <c r="AG1233" i="34"/>
  <c r="R1233" i="34"/>
  <c r="AG1232" i="34"/>
  <c r="R1232" i="34"/>
  <c r="AG1231" i="34" l="1"/>
  <c r="R1231" i="34"/>
  <c r="AG1230" i="34" l="1"/>
  <c r="R1230" i="34"/>
  <c r="AG1229" i="34" l="1"/>
  <c r="R1229" i="34"/>
  <c r="AG1228" i="34" l="1"/>
  <c r="R1228" i="34"/>
  <c r="AG1227" i="34" l="1"/>
  <c r="R1227" i="34"/>
  <c r="AG1226" i="34" l="1"/>
  <c r="R1226" i="34"/>
  <c r="AG1225" i="34" l="1"/>
  <c r="R1225" i="34"/>
  <c r="AG1224" i="34" l="1"/>
  <c r="R1224" i="34"/>
  <c r="AG1223" i="34" l="1"/>
  <c r="R1223" i="34"/>
  <c r="AG1222" i="34" l="1"/>
  <c r="R1222" i="34"/>
  <c r="AG1221" i="34" l="1"/>
  <c r="R1221" i="34"/>
  <c r="AG1220" i="34"/>
  <c r="R1220" i="34"/>
  <c r="AG1219" i="34" l="1"/>
  <c r="R1219" i="34"/>
  <c r="AG1218" i="34"/>
  <c r="R1218" i="34"/>
  <c r="AG1217" i="34"/>
  <c r="R1217" i="34"/>
  <c r="AG1216" i="34"/>
  <c r="R1216" i="34"/>
  <c r="R1215" i="34" l="1"/>
  <c r="AG1215" i="34"/>
  <c r="AG1214" i="34" l="1"/>
  <c r="R1214" i="34"/>
  <c r="AG1213" i="34"/>
  <c r="R1213" i="34"/>
  <c r="AG1212" i="34"/>
  <c r="R1212" i="34"/>
  <c r="AG1211" i="34" l="1"/>
  <c r="R1211" i="34"/>
  <c r="AG1210" i="34"/>
  <c r="R1210" i="34"/>
  <c r="AG1209" i="34" l="1"/>
  <c r="R1209" i="34"/>
  <c r="AG1208" i="34"/>
  <c r="R1208" i="34"/>
  <c r="AG1207" i="34" l="1"/>
  <c r="R1207" i="34"/>
  <c r="AG1206" i="34"/>
  <c r="R1206" i="34"/>
  <c r="AG1205" i="34"/>
  <c r="R1205" i="34"/>
  <c r="AG1204" i="34"/>
  <c r="R1204" i="34"/>
  <c r="AG1203" i="34"/>
  <c r="CE86" i="77" l="1"/>
  <c r="CE87" i="77"/>
  <c r="CE88" i="77"/>
  <c r="CE89" i="77"/>
  <c r="CE90" i="77"/>
  <c r="CE91" i="77"/>
  <c r="CE99" i="77" s="1"/>
  <c r="CE92" i="77"/>
  <c r="CE93" i="77"/>
  <c r="CE94" i="77"/>
  <c r="CE95" i="77"/>
  <c r="CE96" i="77"/>
  <c r="CE97" i="77"/>
  <c r="CE98" i="77"/>
  <c r="CE85" i="77"/>
  <c r="CD86" i="77"/>
  <c r="CD99" i="77" s="1"/>
  <c r="CD87" i="77"/>
  <c r="CD88" i="77"/>
  <c r="CD89" i="77"/>
  <c r="CD90" i="77"/>
  <c r="CD91" i="77"/>
  <c r="CD92" i="77"/>
  <c r="CD93" i="77"/>
  <c r="CD94" i="77"/>
  <c r="CD95" i="77"/>
  <c r="CD96" i="77"/>
  <c r="CD97" i="77"/>
  <c r="CD98" i="77"/>
  <c r="CD85" i="77"/>
  <c r="R1203" i="34"/>
  <c r="AG1202" i="34"/>
  <c r="R1202" i="34"/>
  <c r="AG1201" i="34"/>
  <c r="R1201" i="34"/>
  <c r="AG1200" i="34"/>
  <c r="R1200" i="34"/>
  <c r="AG1199" i="34"/>
  <c r="R1199" i="34"/>
  <c r="AG1198" i="34"/>
  <c r="AG1197" i="34"/>
  <c r="AG1196" i="34"/>
  <c r="R1198" i="34" l="1"/>
  <c r="R1197" i="34"/>
  <c r="R1196" i="34"/>
  <c r="AG1195" i="34"/>
  <c r="R1195" i="34"/>
  <c r="AG1194" i="34" l="1"/>
  <c r="R1194" i="34"/>
  <c r="AG1193" i="34" l="1"/>
  <c r="R1193" i="34"/>
  <c r="AG1192" i="34"/>
  <c r="R1192" i="34"/>
  <c r="AG1191" i="34"/>
  <c r="R1191" i="34"/>
  <c r="AG1190" i="34" l="1"/>
  <c r="R1190" i="34"/>
  <c r="AG1189" i="34"/>
  <c r="R1189" i="34"/>
  <c r="AG1188" i="34" l="1"/>
  <c r="R1188" i="34"/>
  <c r="AG1187" i="34"/>
  <c r="R1187" i="34"/>
  <c r="AG1186" i="34"/>
  <c r="R1186" i="34"/>
  <c r="AG1185" i="34"/>
  <c r="R1185" i="34"/>
  <c r="AG1184" i="34" l="1"/>
  <c r="R1184" i="34"/>
  <c r="AG1183" i="34"/>
  <c r="R1183" i="34"/>
  <c r="AG1182" i="34"/>
  <c r="R1182" i="34"/>
  <c r="AG1181" i="34"/>
  <c r="R1181" i="34"/>
  <c r="AG1180" i="34"/>
  <c r="R1180" i="34"/>
  <c r="AG1179" i="34"/>
  <c r="R1179" i="34"/>
  <c r="AG1178" i="34"/>
  <c r="R1178" i="34"/>
  <c r="AG1177" i="34" l="1"/>
  <c r="R1177" i="34"/>
  <c r="AG1176" i="34" l="1"/>
  <c r="R1176" i="34"/>
  <c r="AG1175" i="34"/>
  <c r="R1175" i="34"/>
  <c r="AG1174" i="34"/>
  <c r="R1174" i="34"/>
  <c r="AG1173" i="34"/>
  <c r="R1173" i="34"/>
  <c r="AG1172" i="34"/>
  <c r="R1172" i="34"/>
  <c r="AG1171" i="34"/>
  <c r="R1171" i="34"/>
  <c r="AG1170" i="34" l="1"/>
  <c r="R1170" i="34"/>
  <c r="AG1169" i="34"/>
  <c r="R1169" i="34"/>
  <c r="AG1168" i="34"/>
  <c r="R1168" i="34"/>
  <c r="AG1164" i="34"/>
  <c r="AG1165" i="34"/>
  <c r="AG1166" i="34"/>
  <c r="AG1167" i="34"/>
  <c r="R1166" i="34"/>
  <c r="R1167" i="34"/>
  <c r="CC86" i="77"/>
  <c r="CC87" i="77"/>
  <c r="CC88" i="77"/>
  <c r="CC89" i="77"/>
  <c r="CC90" i="77"/>
  <c r="CC91" i="77"/>
  <c r="CC92" i="77"/>
  <c r="CC93" i="77"/>
  <c r="CC94" i="77"/>
  <c r="CC95" i="77"/>
  <c r="CC96" i="77"/>
  <c r="CC97" i="77"/>
  <c r="CC98" i="77"/>
  <c r="CC85" i="77"/>
  <c r="BY86" i="77"/>
  <c r="BY87" i="77"/>
  <c r="BY88" i="77"/>
  <c r="BY89" i="77"/>
  <c r="BY90" i="77"/>
  <c r="BY91" i="77"/>
  <c r="BY92" i="77"/>
  <c r="BY93" i="77"/>
  <c r="BY94" i="77"/>
  <c r="BY95" i="77"/>
  <c r="BY96" i="77"/>
  <c r="BY97" i="77"/>
  <c r="BY98" i="77"/>
  <c r="BY85" i="77"/>
  <c r="BZ86" i="77"/>
  <c r="BZ87" i="77"/>
  <c r="BZ88" i="77"/>
  <c r="BZ89" i="77"/>
  <c r="BZ90" i="77"/>
  <c r="BZ91" i="77"/>
  <c r="BZ92" i="77"/>
  <c r="BZ93" i="77"/>
  <c r="BZ94" i="77"/>
  <c r="BZ95" i="77"/>
  <c r="BZ96" i="77"/>
  <c r="BZ97" i="77"/>
  <c r="BZ98" i="77"/>
  <c r="BZ85" i="77"/>
  <c r="CA67" i="77"/>
  <c r="CA68" i="77"/>
  <c r="CA69" i="77"/>
  <c r="CA70" i="77"/>
  <c r="CA71" i="77"/>
  <c r="CA72" i="77"/>
  <c r="CA73" i="77"/>
  <c r="CA74" i="77"/>
  <c r="CA75" i="77"/>
  <c r="CA76" i="77"/>
  <c r="CA77" i="77"/>
  <c r="CA78" i="77"/>
  <c r="CA79" i="77"/>
  <c r="CA66" i="77"/>
  <c r="BY99" i="77" l="1"/>
  <c r="CC99" i="77"/>
  <c r="CA80" i="77"/>
  <c r="BZ99" i="77"/>
  <c r="CA48" i="77"/>
  <c r="CA49" i="77"/>
  <c r="CA50" i="77"/>
  <c r="CA51" i="77"/>
  <c r="CA52" i="77"/>
  <c r="CA53" i="77"/>
  <c r="CA54" i="77"/>
  <c r="CA55" i="77"/>
  <c r="CA56" i="77"/>
  <c r="CA57" i="77"/>
  <c r="CA58" i="77"/>
  <c r="CA59" i="77"/>
  <c r="CA60" i="77"/>
  <c r="CA47" i="77"/>
  <c r="CA61" i="77" l="1"/>
  <c r="R1165" i="34"/>
  <c r="R1164" i="34"/>
  <c r="AG1163" i="34" l="1"/>
  <c r="R1163" i="34"/>
  <c r="AG1162" i="34" l="1"/>
  <c r="R1162" i="34"/>
  <c r="AG1161" i="34"/>
  <c r="R1161" i="34"/>
  <c r="AG1160" i="34" l="1"/>
  <c r="R1160" i="34"/>
  <c r="AG1159" i="34"/>
  <c r="R1159" i="34"/>
  <c r="AG1158" i="34" l="1"/>
  <c r="R1158" i="34"/>
  <c r="AG1157" i="34"/>
  <c r="R1157" i="34"/>
  <c r="AG1156" i="34"/>
  <c r="R1156" i="34"/>
  <c r="AG1155" i="34"/>
  <c r="R1155" i="34"/>
  <c r="AG1154" i="34" l="1"/>
  <c r="R1154" i="34"/>
  <c r="AG1153" i="34" l="1"/>
  <c r="R1153" i="34"/>
  <c r="AG1152" i="34" l="1"/>
  <c r="R1152" i="34"/>
  <c r="AG1151" i="34" l="1"/>
  <c r="R1151" i="34"/>
  <c r="AG1150" i="34"/>
  <c r="R1150" i="34"/>
  <c r="AG1149" i="34" l="1"/>
  <c r="R1149" i="34"/>
  <c r="AG1148" i="34" l="1"/>
  <c r="R1148" i="34"/>
  <c r="AG1147" i="34" l="1"/>
  <c r="R1147" i="34"/>
  <c r="AG1146" i="34" l="1"/>
  <c r="R1146" i="34"/>
  <c r="AG1145" i="34" l="1"/>
  <c r="R1145" i="34"/>
  <c r="AG1144" i="34"/>
  <c r="R1144" i="34"/>
  <c r="AG1142" i="34" l="1"/>
  <c r="AG1143" i="34"/>
  <c r="R1142" i="34"/>
  <c r="R1143" i="34"/>
  <c r="AG1141" i="34" l="1"/>
  <c r="R1141" i="34"/>
  <c r="AG1140" i="34" l="1"/>
  <c r="R1140" i="34"/>
  <c r="AG1139" i="34" l="1"/>
  <c r="R1139" i="34"/>
  <c r="AG1138" i="34" l="1"/>
  <c r="R1138" i="34"/>
  <c r="AG1137" i="34"/>
  <c r="R1137" i="34"/>
  <c r="AG1134" i="34" l="1"/>
  <c r="AG1135" i="34"/>
  <c r="AG1136" i="34"/>
  <c r="R1134" i="34"/>
  <c r="R1135" i="34"/>
  <c r="R1136" i="34"/>
  <c r="AG1133" i="34" l="1"/>
  <c r="R1133" i="34"/>
  <c r="AG1132" i="34"/>
  <c r="R1132" i="34"/>
  <c r="AG1131" i="34"/>
  <c r="R1131" i="34"/>
  <c r="AG1130" i="34"/>
  <c r="R1130" i="34"/>
  <c r="AG1128" i="34" l="1"/>
  <c r="AG1129" i="34"/>
  <c r="R1128" i="34"/>
  <c r="R1129" i="34"/>
  <c r="AG1127" i="34"/>
  <c r="R1127" i="34"/>
  <c r="AG1126" i="34"/>
  <c r="R1126" i="34"/>
  <c r="AG1125" i="34"/>
  <c r="R1125" i="34"/>
  <c r="AG1124" i="34"/>
  <c r="R1124" i="34"/>
  <c r="AG1123" i="34"/>
  <c r="R1123" i="34"/>
  <c r="AG1121" i="34"/>
  <c r="AG1122" i="34"/>
  <c r="R1121" i="34"/>
  <c r="R1122" i="34"/>
  <c r="AG1120" i="34"/>
  <c r="R1120" i="34"/>
  <c r="AG1119" i="34"/>
  <c r="R1119" i="34"/>
  <c r="AG1118" i="34" l="1"/>
  <c r="R1118" i="34"/>
  <c r="AG1117" i="34" l="1"/>
  <c r="R1117" i="34"/>
  <c r="AG1116" i="34" l="1"/>
  <c r="R1116" i="34"/>
  <c r="AG1114" i="34" l="1"/>
  <c r="AG1115" i="34"/>
  <c r="R1114" i="34"/>
  <c r="R1115" i="34"/>
  <c r="AG1113" i="34"/>
  <c r="R1113" i="34"/>
  <c r="AG1112" i="34"/>
  <c r="R1112" i="34"/>
  <c r="AG1111" i="34" l="1"/>
  <c r="R1111" i="34"/>
  <c r="D17" i="82"/>
  <c r="D18" i="82"/>
  <c r="D19" i="82"/>
  <c r="D20" i="82"/>
  <c r="D21" i="82"/>
  <c r="D22" i="82"/>
  <c r="D23" i="82"/>
  <c r="D7" i="35"/>
  <c r="D8" i="35"/>
  <c r="D9" i="35"/>
  <c r="D10" i="35"/>
  <c r="D11" i="35"/>
  <c r="D12" i="35"/>
  <c r="D14" i="35"/>
  <c r="AG1110" i="34"/>
  <c r="R1110" i="34"/>
  <c r="AG1090" i="34"/>
  <c r="AG1091" i="34"/>
  <c r="AG1092" i="34"/>
  <c r="AG1093" i="34"/>
  <c r="AG1094" i="34"/>
  <c r="AG1095" i="34"/>
  <c r="AG1096" i="34"/>
  <c r="AG1097" i="34"/>
  <c r="AG1098" i="34"/>
  <c r="AG1099" i="34"/>
  <c r="AG1100" i="34"/>
  <c r="AG1101" i="34"/>
  <c r="AG1102" i="34"/>
  <c r="AG1103" i="34"/>
  <c r="AG1104" i="34"/>
  <c r="AG1105" i="34"/>
  <c r="AG1106" i="34"/>
  <c r="AG1107" i="34"/>
  <c r="AG1108" i="34"/>
  <c r="AG1109" i="34"/>
  <c r="R1109" i="34"/>
  <c r="R1108" i="34"/>
  <c r="R1107" i="34"/>
  <c r="R1106" i="34"/>
  <c r="R1105" i="34"/>
  <c r="R1104" i="34"/>
  <c r="R1103" i="34"/>
  <c r="R1102" i="34"/>
  <c r="R1101" i="34"/>
  <c r="R1100" i="34"/>
  <c r="R1099" i="34"/>
  <c r="R1098" i="34"/>
  <c r="R1097" i="34"/>
  <c r="R1096" i="34"/>
  <c r="R1095" i="34"/>
  <c r="R1094" i="34"/>
  <c r="R1093" i="34"/>
  <c r="R1092" i="34"/>
  <c r="R1091" i="34"/>
  <c r="R1090" i="34"/>
  <c r="AG1089" i="34"/>
  <c r="R1089" i="34"/>
  <c r="AG1088" i="34"/>
  <c r="R1088" i="34"/>
  <c r="AG1087" i="34"/>
  <c r="R1087" i="34"/>
  <c r="AG1086" i="34"/>
  <c r="R1086" i="34"/>
  <c r="AG1085" i="34"/>
  <c r="R1085" i="34"/>
  <c r="AG1084" i="34"/>
  <c r="R1084" i="34"/>
  <c r="AG1083" i="34"/>
  <c r="R1083" i="34"/>
  <c r="AG1082" i="34"/>
  <c r="R1082" i="34"/>
  <c r="AG1081" i="34"/>
  <c r="R1081" i="34"/>
  <c r="AG1080" i="34"/>
  <c r="R1080" i="34"/>
  <c r="AG1079" i="34"/>
  <c r="R1079" i="34"/>
  <c r="AG1078" i="34"/>
  <c r="R1078" i="34"/>
  <c r="AG1077" i="34"/>
  <c r="R1077" i="34"/>
  <c r="AG1076" i="34"/>
  <c r="R1076" i="34"/>
  <c r="AG1075" i="34"/>
  <c r="R1075" i="34"/>
  <c r="AG1074" i="34"/>
  <c r="R1074" i="34"/>
  <c r="AG1073" i="34"/>
  <c r="R1073" i="34"/>
  <c r="AG1072" i="34"/>
  <c r="R1072" i="34"/>
  <c r="AG1071" i="34"/>
  <c r="R1071" i="34"/>
  <c r="AG1070" i="34"/>
  <c r="R1070" i="34"/>
  <c r="AG1069" i="34"/>
  <c r="R1069" i="34"/>
  <c r="AG1068" i="34"/>
  <c r="R1068" i="34"/>
  <c r="AG1067" i="34"/>
  <c r="R1067" i="34"/>
  <c r="AG1066" i="34"/>
  <c r="R1066" i="34"/>
  <c r="AG1065" i="34"/>
  <c r="R1065" i="34"/>
  <c r="AG1064" i="34"/>
  <c r="R1064" i="34"/>
  <c r="AG1063" i="34"/>
  <c r="R1063" i="34"/>
  <c r="AG1062" i="34"/>
  <c r="R1062" i="34"/>
  <c r="AG1061" i="34"/>
  <c r="R1061" i="34"/>
  <c r="AG1060" i="34"/>
  <c r="R1060" i="34"/>
  <c r="AG1059" i="34"/>
  <c r="R1059" i="34"/>
  <c r="AG1058" i="34"/>
  <c r="R1058" i="34"/>
  <c r="AG1057" i="34"/>
  <c r="R1057" i="34"/>
  <c r="AG1056" i="34"/>
  <c r="R1056" i="34"/>
  <c r="AG1055" i="34"/>
  <c r="R1055" i="34"/>
  <c r="AG1054" i="34"/>
  <c r="R1054" i="34"/>
  <c r="AG1053" i="34"/>
  <c r="R1053" i="34"/>
  <c r="AG1052" i="34"/>
  <c r="R1052" i="34"/>
  <c r="AG1051" i="34"/>
  <c r="R1051" i="34"/>
  <c r="AG1050" i="34"/>
  <c r="R1050" i="34"/>
  <c r="AG1049" i="34"/>
  <c r="R1049" i="34"/>
  <c r="AG1048" i="34"/>
  <c r="R1048" i="34"/>
  <c r="AG1047" i="34"/>
  <c r="R1047" i="34"/>
  <c r="AG1046" i="34"/>
  <c r="R1046" i="34"/>
  <c r="AG1045" i="34"/>
  <c r="R1045" i="34"/>
  <c r="AG1044" i="34"/>
  <c r="R1044" i="34"/>
  <c r="AG1043" i="34"/>
  <c r="R1043" i="34"/>
  <c r="AG1042" i="34"/>
  <c r="R1042" i="34"/>
  <c r="AG1041" i="34"/>
  <c r="R1041" i="34"/>
  <c r="AG1040" i="34"/>
  <c r="R1040" i="34"/>
  <c r="AG1039" i="34"/>
  <c r="R1039" i="34"/>
  <c r="AG1038" i="34"/>
  <c r="R1038" i="34"/>
  <c r="AG1037" i="34"/>
  <c r="R1037" i="34"/>
  <c r="AG1036" i="34"/>
  <c r="R1036" i="34"/>
  <c r="AG1035" i="34"/>
  <c r="R1035" i="34"/>
  <c r="AG1034" i="34"/>
  <c r="R1034" i="34"/>
  <c r="AG1033" i="34"/>
  <c r="R1033" i="34"/>
  <c r="AG1032" i="34"/>
  <c r="R1032" i="34"/>
  <c r="AG1031" i="34"/>
  <c r="R1031" i="34"/>
  <c r="AG1030" i="34"/>
  <c r="R1030" i="34"/>
  <c r="AG1029" i="34"/>
  <c r="R1029" i="34"/>
  <c r="AG1028" i="34"/>
  <c r="R1028" i="34"/>
  <c r="AG1027" i="34"/>
  <c r="R1027" i="34"/>
  <c r="AG1026" i="34"/>
  <c r="R1026" i="34"/>
  <c r="AG1025" i="34"/>
  <c r="R1025" i="34"/>
  <c r="AG1024" i="34"/>
  <c r="R1024" i="34"/>
  <c r="AG1023" i="34"/>
  <c r="R1023" i="34"/>
  <c r="AG1022" i="34"/>
  <c r="R1022" i="34"/>
  <c r="AG1021" i="34"/>
  <c r="R1021" i="34"/>
  <c r="AG1020" i="34"/>
  <c r="R1020" i="34"/>
  <c r="AG1019" i="34"/>
  <c r="R1019" i="34"/>
  <c r="AG1018" i="34"/>
  <c r="R1018" i="34"/>
  <c r="AG1017" i="34"/>
  <c r="R1017" i="34"/>
  <c r="AG1016" i="34"/>
  <c r="R1016" i="34"/>
  <c r="AG1015" i="34"/>
  <c r="R1015" i="34"/>
  <c r="AG1014" i="34"/>
  <c r="R1014" i="34"/>
  <c r="AG1013" i="34"/>
  <c r="R1013" i="34"/>
  <c r="AG1012" i="34"/>
  <c r="R1012" i="34"/>
  <c r="AG1011" i="34"/>
  <c r="R1011" i="34"/>
  <c r="AG1010" i="34"/>
  <c r="R1010" i="34"/>
  <c r="AG1009" i="34"/>
  <c r="R1009" i="34"/>
  <c r="AG1008" i="34"/>
  <c r="R1008" i="34"/>
  <c r="AG1007" i="34"/>
  <c r="R1007" i="34"/>
  <c r="AG1006" i="34"/>
  <c r="R1006" i="34"/>
  <c r="AG1005" i="34"/>
  <c r="R1005" i="34"/>
  <c r="AG1004" i="34"/>
  <c r="R1004" i="34"/>
  <c r="AG1003" i="34"/>
  <c r="R1003" i="34"/>
  <c r="AG1002" i="34"/>
  <c r="R1002" i="34"/>
  <c r="AG1001" i="34"/>
  <c r="R1001" i="34"/>
  <c r="AG1000" i="34"/>
  <c r="R1000" i="34"/>
  <c r="AG999" i="34"/>
  <c r="R999" i="34"/>
  <c r="AG998" i="34"/>
  <c r="R998" i="34"/>
  <c r="AG997" i="34"/>
  <c r="R997" i="34"/>
  <c r="AG996" i="34"/>
  <c r="R996" i="34"/>
  <c r="AG995" i="34"/>
  <c r="R995" i="34"/>
  <c r="AG994" i="34"/>
  <c r="R994" i="34"/>
  <c r="AG993" i="34"/>
  <c r="R993" i="34"/>
  <c r="AG992" i="34"/>
  <c r="R992" i="34"/>
  <c r="AG991" i="34"/>
  <c r="R991" i="34"/>
  <c r="AG990" i="34"/>
  <c r="R990" i="34"/>
  <c r="AG989" i="34"/>
  <c r="R989" i="34"/>
  <c r="AG988" i="34"/>
  <c r="R988" i="34"/>
  <c r="AG987" i="34"/>
  <c r="R987" i="34"/>
  <c r="AG986" i="34"/>
  <c r="R986" i="34"/>
  <c r="AG985" i="34"/>
  <c r="R985" i="34"/>
  <c r="AG984" i="34"/>
  <c r="R984" i="34"/>
  <c r="AG983" i="34"/>
  <c r="R983" i="34"/>
  <c r="AG982" i="34"/>
  <c r="R982" i="34"/>
  <c r="AG981" i="34"/>
  <c r="R981" i="34"/>
  <c r="AG980" i="34"/>
  <c r="R980" i="34"/>
  <c r="AG979" i="34"/>
  <c r="R979" i="34"/>
  <c r="AG978" i="34"/>
  <c r="R978" i="34"/>
  <c r="AG977" i="34"/>
  <c r="R977" i="34"/>
  <c r="AG976" i="34"/>
  <c r="R976" i="34"/>
  <c r="AG975" i="34"/>
  <c r="R975" i="34"/>
  <c r="AG974" i="34"/>
  <c r="R974" i="34"/>
  <c r="AG973" i="34"/>
  <c r="R973" i="34"/>
  <c r="AG972" i="34"/>
  <c r="R972" i="34"/>
  <c r="AG971" i="34"/>
  <c r="R971" i="34"/>
  <c r="AG970" i="34"/>
  <c r="R970" i="34"/>
  <c r="AG969" i="34"/>
  <c r="R969" i="34"/>
  <c r="AG968" i="34"/>
  <c r="R968" i="34"/>
  <c r="AG967" i="34"/>
  <c r="R967" i="34"/>
  <c r="AG966" i="34"/>
  <c r="R966" i="34"/>
  <c r="AG965" i="34"/>
  <c r="R965" i="34"/>
  <c r="AG964" i="34"/>
  <c r="R964" i="34"/>
  <c r="AG963" i="34"/>
  <c r="R963" i="34"/>
  <c r="AG962" i="34"/>
  <c r="R962" i="34"/>
  <c r="AG961" i="34"/>
  <c r="R961" i="34"/>
  <c r="AG960" i="34"/>
  <c r="R960" i="34"/>
  <c r="AG959" i="34"/>
  <c r="R959" i="34"/>
  <c r="AG958" i="34"/>
  <c r="R958" i="34"/>
  <c r="AG957" i="34"/>
  <c r="R957" i="34"/>
  <c r="AG956" i="34"/>
  <c r="R956" i="34"/>
  <c r="AG955" i="34"/>
  <c r="R955" i="34"/>
  <c r="AG954" i="34"/>
  <c r="R954" i="34"/>
  <c r="AG953" i="34"/>
  <c r="R953" i="34"/>
  <c r="AG952" i="34"/>
  <c r="R952" i="34"/>
  <c r="AG951" i="34"/>
  <c r="R951" i="34"/>
  <c r="AG950" i="34"/>
  <c r="R950" i="34"/>
  <c r="AG949" i="34"/>
  <c r="R949" i="34"/>
  <c r="AG948" i="34"/>
  <c r="R948" i="34"/>
  <c r="AG947" i="34"/>
  <c r="R947" i="34"/>
  <c r="AG946" i="34"/>
  <c r="R946" i="34"/>
  <c r="AG945" i="34"/>
  <c r="R945" i="34"/>
  <c r="AG944" i="34"/>
  <c r="R944" i="34"/>
  <c r="AG943" i="34"/>
  <c r="R943" i="34"/>
  <c r="AG942" i="34"/>
  <c r="R942" i="34"/>
  <c r="AF941" i="34"/>
  <c r="AG941" i="34" s="1"/>
  <c r="R941" i="34"/>
  <c r="AF940" i="34"/>
  <c r="AG940" i="34" s="1"/>
  <c r="R940" i="34"/>
  <c r="AF939" i="34"/>
  <c r="AG939" i="34" s="1"/>
  <c r="R939" i="34"/>
  <c r="AG938" i="34"/>
  <c r="R938" i="34"/>
  <c r="AG937" i="34"/>
  <c r="R937" i="34"/>
  <c r="AG936" i="34"/>
  <c r="R936" i="34"/>
  <c r="AG935" i="34"/>
  <c r="R935" i="34"/>
  <c r="AG934" i="34"/>
  <c r="R934" i="34"/>
  <c r="AG933" i="34"/>
  <c r="R933" i="34"/>
  <c r="AG932" i="34"/>
  <c r="R932" i="34"/>
  <c r="AG931" i="34"/>
  <c r="R931" i="34"/>
  <c r="AG930" i="34"/>
  <c r="R930" i="34"/>
  <c r="AG929" i="34"/>
  <c r="R929" i="34"/>
  <c r="AG928" i="34"/>
  <c r="R928" i="34"/>
  <c r="AG927" i="34"/>
  <c r="R927" i="34"/>
  <c r="AG926" i="34"/>
  <c r="R926" i="34"/>
  <c r="AG925" i="34"/>
  <c r="R925" i="34"/>
  <c r="AG924" i="34"/>
  <c r="R924" i="34"/>
  <c r="AG923" i="34"/>
  <c r="R923" i="34"/>
  <c r="AG922" i="34"/>
  <c r="R922" i="34"/>
  <c r="AG921" i="34"/>
  <c r="R921" i="34"/>
  <c r="AG920" i="34"/>
  <c r="R920" i="34"/>
  <c r="AG919" i="34"/>
  <c r="R919" i="34"/>
  <c r="AG918" i="34"/>
  <c r="R918" i="34"/>
  <c r="AG917" i="34"/>
  <c r="R917" i="34"/>
  <c r="AG916" i="34"/>
  <c r="R916" i="34"/>
  <c r="AG915" i="34"/>
  <c r="R915" i="34"/>
  <c r="AG914" i="34"/>
  <c r="R914" i="34"/>
  <c r="AG913" i="34"/>
  <c r="R913" i="34"/>
  <c r="AG912" i="34"/>
  <c r="R912" i="34"/>
  <c r="AG911" i="34"/>
  <c r="R911" i="34"/>
  <c r="AG910" i="34"/>
  <c r="R910" i="34"/>
  <c r="AG909" i="34"/>
  <c r="R909" i="34"/>
  <c r="AG908" i="34"/>
  <c r="R908" i="34"/>
  <c r="AG907" i="34"/>
  <c r="R907" i="34"/>
  <c r="AG906" i="34"/>
  <c r="R906" i="34"/>
  <c r="AG905" i="34"/>
  <c r="R905" i="34"/>
  <c r="AG904" i="34"/>
  <c r="R904" i="34"/>
  <c r="AG903" i="34"/>
  <c r="R903" i="34"/>
  <c r="AG902" i="34"/>
  <c r="R902" i="34"/>
  <c r="AG901" i="34"/>
  <c r="R901" i="34"/>
  <c r="AG900" i="34"/>
  <c r="R900" i="34"/>
  <c r="AG899" i="34"/>
  <c r="R899" i="34"/>
  <c r="AG898" i="34"/>
  <c r="R898" i="34"/>
  <c r="AG897" i="34"/>
  <c r="R897" i="34"/>
  <c r="AG896" i="34"/>
  <c r="R896" i="34"/>
  <c r="AG895" i="34"/>
  <c r="R895" i="34"/>
  <c r="AG894" i="34"/>
  <c r="R894" i="34"/>
  <c r="AG893" i="34"/>
  <c r="R893" i="34"/>
  <c r="AG892" i="34"/>
  <c r="R892" i="34"/>
  <c r="AG891" i="34"/>
  <c r="R891" i="34"/>
  <c r="AG890" i="34"/>
  <c r="R890" i="34"/>
  <c r="AG889" i="34"/>
  <c r="R889" i="34"/>
  <c r="AG888" i="34"/>
  <c r="R888" i="34"/>
  <c r="AG887" i="34"/>
  <c r="R887" i="34"/>
  <c r="AG886" i="34"/>
  <c r="R886" i="34"/>
  <c r="AG885" i="34"/>
  <c r="R885" i="34"/>
  <c r="AG884" i="34"/>
  <c r="R884" i="34"/>
  <c r="AG883" i="34"/>
  <c r="R883" i="34"/>
  <c r="AG882" i="34"/>
  <c r="R882" i="34"/>
  <c r="AG881" i="34"/>
  <c r="R881" i="34"/>
  <c r="AG880" i="34"/>
  <c r="R880" i="34"/>
  <c r="AG879" i="34"/>
  <c r="R879" i="34"/>
  <c r="AG878" i="34"/>
  <c r="R878" i="34"/>
  <c r="AG877" i="34"/>
  <c r="R877" i="34"/>
  <c r="AG876" i="34"/>
  <c r="R876" i="34"/>
  <c r="AG875" i="34"/>
  <c r="R875" i="34"/>
  <c r="AG874" i="34"/>
  <c r="R874" i="34"/>
  <c r="AG873" i="34"/>
  <c r="R873" i="34"/>
  <c r="AG872" i="34"/>
  <c r="R872" i="34"/>
  <c r="AG871" i="34"/>
  <c r="R871" i="34"/>
  <c r="AG870" i="34"/>
  <c r="R870" i="34"/>
  <c r="AG869" i="34"/>
  <c r="R869" i="34"/>
  <c r="AG868" i="34"/>
  <c r="R868" i="34"/>
  <c r="AG867" i="34"/>
  <c r="R867" i="34"/>
  <c r="AG866" i="34"/>
  <c r="R866" i="34"/>
  <c r="AG865" i="34"/>
  <c r="R865" i="34"/>
  <c r="AG864" i="34"/>
  <c r="R864" i="34"/>
  <c r="AG863" i="34"/>
  <c r="R863" i="34"/>
  <c r="AG862" i="34"/>
  <c r="R862" i="34"/>
  <c r="AG861" i="34"/>
  <c r="R861" i="34"/>
  <c r="AG860" i="34"/>
  <c r="R860" i="34"/>
  <c r="AG859" i="34"/>
  <c r="R859" i="34"/>
  <c r="AG858" i="34"/>
  <c r="R858" i="34"/>
  <c r="AG857" i="34"/>
  <c r="R857" i="34"/>
  <c r="AG856" i="34"/>
  <c r="R856" i="34"/>
  <c r="AG855" i="34"/>
  <c r="R855" i="34"/>
  <c r="AG854" i="34"/>
  <c r="R854" i="34"/>
  <c r="AG853" i="34"/>
  <c r="R853" i="34"/>
  <c r="AG852" i="34"/>
  <c r="R852" i="34"/>
  <c r="AG851" i="34"/>
  <c r="R851" i="34"/>
  <c r="AG850" i="34"/>
  <c r="R850" i="34"/>
  <c r="AG849" i="34"/>
  <c r="R849" i="34"/>
  <c r="AG848" i="34"/>
  <c r="R848" i="34"/>
  <c r="AG847" i="34"/>
  <c r="R847" i="34"/>
  <c r="AG846" i="34"/>
  <c r="R846" i="34"/>
  <c r="AG845" i="34"/>
  <c r="R845" i="34"/>
  <c r="AG844" i="34"/>
  <c r="R844" i="34"/>
  <c r="AG843" i="34"/>
  <c r="R843" i="34"/>
  <c r="AG842" i="34"/>
  <c r="R842" i="34"/>
  <c r="AG841" i="34"/>
  <c r="R841" i="34"/>
  <c r="AG840" i="34"/>
  <c r="R840" i="34"/>
  <c r="AG839" i="34"/>
  <c r="R839" i="34"/>
  <c r="AG838" i="34"/>
  <c r="R838" i="34"/>
  <c r="AG837" i="34"/>
  <c r="R837" i="34"/>
  <c r="AG836" i="34"/>
  <c r="R836" i="34"/>
  <c r="AG835" i="34"/>
  <c r="R835" i="34"/>
  <c r="AG834" i="34"/>
  <c r="R834" i="34"/>
  <c r="AG833" i="34"/>
  <c r="R833" i="34"/>
  <c r="AG832" i="34"/>
  <c r="R832" i="34"/>
  <c r="AG831" i="34"/>
  <c r="R831" i="34"/>
  <c r="AG830" i="34"/>
  <c r="R830" i="34"/>
  <c r="AG829" i="34"/>
  <c r="R829" i="34"/>
  <c r="AG828" i="34"/>
  <c r="R828" i="34"/>
  <c r="AG827" i="34"/>
  <c r="R827" i="34"/>
  <c r="AG826" i="34"/>
  <c r="R826" i="34"/>
  <c r="AG825" i="34"/>
  <c r="R825" i="34"/>
  <c r="AG824" i="34"/>
  <c r="R824" i="34"/>
  <c r="AG823" i="34"/>
  <c r="R823" i="34"/>
  <c r="AG822" i="34"/>
  <c r="R822" i="34"/>
  <c r="AG821" i="34"/>
  <c r="R821" i="34"/>
  <c r="AG820" i="34"/>
  <c r="R820" i="34"/>
  <c r="AG819" i="34"/>
  <c r="R819" i="34"/>
  <c r="AG818" i="34"/>
  <c r="R818" i="34"/>
  <c r="AG817" i="34"/>
  <c r="R817" i="34"/>
  <c r="AG816" i="34"/>
  <c r="R816" i="34"/>
  <c r="AG815" i="34"/>
  <c r="R815" i="34"/>
  <c r="AG814" i="34"/>
  <c r="R814" i="34"/>
  <c r="AG813" i="34"/>
  <c r="R813" i="34"/>
  <c r="AG812" i="34"/>
  <c r="R812" i="34"/>
  <c r="AG811" i="34"/>
  <c r="R811" i="34"/>
  <c r="AG810" i="34"/>
  <c r="R810" i="34"/>
  <c r="AG809" i="34"/>
  <c r="R809" i="34"/>
  <c r="AG808" i="34"/>
  <c r="R808" i="34"/>
  <c r="AG807" i="34"/>
  <c r="R807" i="34"/>
  <c r="AG806" i="34"/>
  <c r="R806" i="34"/>
  <c r="AG805" i="34"/>
  <c r="R805" i="34"/>
  <c r="AG804" i="34"/>
  <c r="R804" i="34"/>
  <c r="AG803" i="34"/>
  <c r="R803" i="34"/>
  <c r="AG802" i="34"/>
  <c r="R802" i="34"/>
  <c r="AG801" i="34"/>
  <c r="R801" i="34"/>
  <c r="AG800" i="34"/>
  <c r="R800" i="34"/>
  <c r="AG799" i="34"/>
  <c r="R799" i="34"/>
  <c r="AG798" i="34"/>
  <c r="R798" i="34"/>
  <c r="AG797" i="34"/>
  <c r="R797" i="34"/>
  <c r="AG796" i="34"/>
  <c r="R796" i="34"/>
  <c r="AG795" i="34"/>
  <c r="R795" i="34"/>
  <c r="AG794" i="34"/>
  <c r="R794" i="34"/>
  <c r="AG793" i="34"/>
  <c r="R793" i="34"/>
  <c r="AG792" i="34"/>
  <c r="R792" i="34"/>
  <c r="AG791" i="34"/>
  <c r="R791" i="34"/>
  <c r="AG790" i="34"/>
  <c r="R790" i="34"/>
  <c r="AG789" i="34"/>
  <c r="R789" i="34"/>
  <c r="AG788" i="34"/>
  <c r="R788" i="34"/>
  <c r="AG787" i="34"/>
  <c r="R787" i="34"/>
  <c r="AG786" i="34"/>
  <c r="R786" i="34"/>
  <c r="AG785" i="34"/>
  <c r="R785" i="34"/>
  <c r="AG784" i="34"/>
  <c r="R784" i="34"/>
  <c r="AG783" i="34"/>
  <c r="R783" i="34"/>
  <c r="AG782" i="34"/>
  <c r="R782" i="34"/>
  <c r="AG781" i="34"/>
  <c r="R781" i="34"/>
  <c r="AG780" i="34"/>
  <c r="R780" i="34"/>
  <c r="AG779" i="34"/>
  <c r="R779" i="34"/>
  <c r="AG778" i="34"/>
  <c r="R778" i="34"/>
  <c r="AG777" i="34"/>
  <c r="R777" i="34"/>
  <c r="AG776" i="34"/>
  <c r="R776" i="34"/>
  <c r="AG775" i="34"/>
  <c r="R775" i="34"/>
  <c r="AG774" i="34"/>
  <c r="R774" i="34"/>
  <c r="AG773" i="34"/>
  <c r="R773" i="34"/>
  <c r="AG772" i="34"/>
  <c r="R772" i="34"/>
  <c r="AG771" i="34"/>
  <c r="R771" i="34"/>
  <c r="AG770" i="34"/>
  <c r="R770" i="34"/>
  <c r="AG769" i="34"/>
  <c r="R769" i="34"/>
  <c r="AG768" i="34"/>
  <c r="R768" i="34"/>
  <c r="AG767" i="34"/>
  <c r="R767" i="34"/>
  <c r="AG766" i="34"/>
  <c r="R766" i="34"/>
  <c r="AG765" i="34"/>
  <c r="R765" i="34"/>
  <c r="AG764" i="34"/>
  <c r="R764" i="34"/>
  <c r="AG763" i="34"/>
  <c r="R763" i="34"/>
  <c r="AG762" i="34"/>
  <c r="R762" i="34"/>
  <c r="AG761" i="34"/>
  <c r="R761" i="34"/>
  <c r="AG760" i="34"/>
  <c r="R760" i="34"/>
  <c r="AG759" i="34"/>
  <c r="R759" i="34"/>
  <c r="AG758" i="34"/>
  <c r="R758" i="34"/>
  <c r="AG757" i="34"/>
  <c r="R757" i="34"/>
  <c r="AG756" i="34"/>
  <c r="R756" i="34"/>
  <c r="AG755" i="34"/>
  <c r="R755" i="34"/>
  <c r="AG754" i="34"/>
  <c r="R754" i="34"/>
  <c r="AG753" i="34"/>
  <c r="R753" i="34"/>
  <c r="AG752" i="34"/>
  <c r="R752" i="34"/>
  <c r="AG751" i="34"/>
  <c r="R751" i="34"/>
  <c r="AG750" i="34"/>
  <c r="R750" i="34"/>
  <c r="AG749" i="34"/>
  <c r="R749" i="34"/>
  <c r="AG748" i="34"/>
  <c r="R748" i="34"/>
  <c r="AG747" i="34"/>
  <c r="R747" i="34"/>
  <c r="AG746" i="34"/>
  <c r="R746" i="34"/>
  <c r="AG745" i="34"/>
  <c r="R745" i="34"/>
  <c r="AG744" i="34"/>
  <c r="R744" i="34"/>
  <c r="AG743" i="34"/>
  <c r="R743" i="34"/>
  <c r="AG742" i="34"/>
  <c r="R742" i="34"/>
  <c r="AG741" i="34"/>
  <c r="R741" i="34"/>
  <c r="AG740" i="34"/>
  <c r="R740" i="34"/>
  <c r="AG739" i="34"/>
  <c r="R739" i="34"/>
  <c r="AG738" i="34"/>
  <c r="R738" i="34"/>
  <c r="AG737" i="34"/>
  <c r="R737" i="34"/>
  <c r="AG736" i="34"/>
  <c r="R736" i="34"/>
  <c r="AG735" i="34"/>
  <c r="R735" i="34"/>
  <c r="AG734" i="34"/>
  <c r="R734" i="34"/>
  <c r="AG733" i="34"/>
  <c r="R733" i="34"/>
  <c r="AG732" i="34"/>
  <c r="R732" i="34"/>
  <c r="AG731" i="34"/>
  <c r="R731" i="34"/>
  <c r="AG730" i="34"/>
  <c r="R730" i="34"/>
  <c r="AG729" i="34"/>
  <c r="R729" i="34"/>
  <c r="AG728" i="34"/>
  <c r="R728" i="34"/>
  <c r="AG727" i="34"/>
  <c r="R727" i="34"/>
  <c r="AG726" i="34"/>
  <c r="R726" i="34"/>
  <c r="AG725" i="34"/>
  <c r="R725" i="34"/>
  <c r="AG724" i="34"/>
  <c r="R724" i="34"/>
  <c r="AG723" i="34"/>
  <c r="R723" i="34"/>
  <c r="AG722" i="34"/>
  <c r="R722" i="34"/>
  <c r="AG721" i="34"/>
  <c r="R721" i="34"/>
  <c r="AG720" i="34"/>
  <c r="R720" i="34"/>
  <c r="AG719" i="34"/>
  <c r="R719" i="34"/>
  <c r="AG718" i="34"/>
  <c r="R718" i="34"/>
  <c r="AG717" i="34"/>
  <c r="R717" i="34"/>
  <c r="AG716" i="34"/>
  <c r="R716" i="34"/>
  <c r="AG715" i="34"/>
  <c r="R715" i="34"/>
  <c r="AG714" i="34"/>
  <c r="R714" i="34"/>
  <c r="AG713" i="34"/>
  <c r="R713" i="34"/>
  <c r="AG712" i="34"/>
  <c r="R712" i="34"/>
  <c r="AG711" i="34"/>
  <c r="R711" i="34"/>
  <c r="AG710" i="34"/>
  <c r="R710" i="34"/>
  <c r="AG709" i="34"/>
  <c r="R709" i="34"/>
  <c r="AG708" i="34"/>
  <c r="R708" i="34"/>
  <c r="AG707" i="34"/>
  <c r="R707" i="34"/>
  <c r="AG706" i="34"/>
  <c r="R706" i="34"/>
  <c r="AG705" i="34"/>
  <c r="R705" i="34"/>
  <c r="AG704" i="34"/>
  <c r="R704" i="34"/>
  <c r="AG703" i="34"/>
  <c r="R703" i="34"/>
  <c r="AG702" i="34"/>
  <c r="R702" i="34"/>
  <c r="AG701" i="34"/>
  <c r="R701" i="34"/>
  <c r="AG700" i="34"/>
  <c r="R700" i="34"/>
  <c r="AG699" i="34"/>
  <c r="R699" i="34"/>
  <c r="AG698" i="34"/>
  <c r="R698" i="34"/>
  <c r="AG697" i="34"/>
  <c r="R697" i="34"/>
  <c r="AG696" i="34"/>
  <c r="R696" i="34"/>
  <c r="AG695" i="34"/>
  <c r="R695" i="34"/>
  <c r="AG694" i="34"/>
  <c r="R694" i="34"/>
  <c r="AG693" i="34"/>
  <c r="R693" i="34"/>
  <c r="AG692" i="34"/>
  <c r="R692" i="34"/>
  <c r="AG691" i="34"/>
  <c r="R691" i="34"/>
  <c r="AG690" i="34"/>
  <c r="R690" i="34"/>
  <c r="AG689" i="34"/>
  <c r="R689" i="34"/>
  <c r="AG688" i="34"/>
  <c r="R688" i="34"/>
  <c r="AG687" i="34"/>
  <c r="R687" i="34"/>
  <c r="AG686" i="34"/>
  <c r="R686" i="34"/>
  <c r="AG685" i="34"/>
  <c r="R685" i="34"/>
  <c r="AG684" i="34"/>
  <c r="R684" i="34"/>
  <c r="AG683" i="34"/>
  <c r="R683" i="34"/>
  <c r="AG682" i="34"/>
  <c r="R682" i="34"/>
  <c r="AG681" i="34"/>
  <c r="R681" i="34"/>
  <c r="AG680" i="34"/>
  <c r="R680" i="34"/>
  <c r="AG679" i="34"/>
  <c r="R679" i="34"/>
  <c r="AG678" i="34"/>
  <c r="R678" i="34"/>
  <c r="AG677" i="34"/>
  <c r="R677" i="34"/>
  <c r="AG676" i="34"/>
  <c r="R676" i="34"/>
  <c r="AG675" i="34"/>
  <c r="R675" i="34"/>
  <c r="AG674" i="34"/>
  <c r="R674" i="34"/>
  <c r="AG673" i="34"/>
  <c r="R673" i="34"/>
  <c r="AG672" i="34"/>
  <c r="R672" i="34"/>
  <c r="AG671" i="34"/>
  <c r="R671" i="34"/>
  <c r="AG670" i="34"/>
  <c r="R670" i="34"/>
  <c r="AG669" i="34"/>
  <c r="R669" i="34"/>
  <c r="AG668" i="34"/>
  <c r="R668" i="34"/>
  <c r="AG667" i="34"/>
  <c r="R667" i="34"/>
  <c r="AG666" i="34"/>
  <c r="R666" i="34"/>
  <c r="AG665" i="34"/>
  <c r="R665" i="34"/>
  <c r="AG664" i="34"/>
  <c r="R664" i="34"/>
  <c r="AG663" i="34"/>
  <c r="R663" i="34"/>
  <c r="AG662" i="34"/>
  <c r="R662" i="34"/>
  <c r="AG661" i="34"/>
  <c r="R661" i="34"/>
  <c r="AG660" i="34"/>
  <c r="R660" i="34"/>
  <c r="AG659" i="34"/>
  <c r="R659" i="34"/>
  <c r="AG658" i="34"/>
  <c r="R658" i="34"/>
  <c r="AG657" i="34"/>
  <c r="R657" i="34"/>
  <c r="AG656" i="34"/>
  <c r="R656" i="34"/>
  <c r="AG655" i="34"/>
  <c r="R655" i="34"/>
  <c r="AG654" i="34"/>
  <c r="R654" i="34"/>
  <c r="AG653" i="34"/>
  <c r="R653" i="34"/>
  <c r="AG652" i="34"/>
  <c r="R652" i="34"/>
  <c r="AG651" i="34"/>
  <c r="R651" i="34"/>
  <c r="AG650" i="34"/>
  <c r="R650" i="34"/>
  <c r="AG649" i="34"/>
  <c r="R649" i="34"/>
  <c r="AG648" i="34"/>
  <c r="R648" i="34"/>
  <c r="AG647" i="34"/>
  <c r="R647" i="34"/>
  <c r="AG646" i="34"/>
  <c r="R646" i="34"/>
  <c r="AG645" i="34"/>
  <c r="R645" i="34"/>
  <c r="AG644" i="34"/>
  <c r="R644" i="34"/>
  <c r="AG643" i="34"/>
  <c r="R643" i="34"/>
  <c r="AG642" i="34"/>
  <c r="R642" i="34"/>
  <c r="AG641" i="34"/>
  <c r="R641" i="34"/>
  <c r="AG640" i="34"/>
  <c r="R640" i="34"/>
  <c r="AG639" i="34"/>
  <c r="R639" i="34"/>
  <c r="AG638" i="34"/>
  <c r="R638" i="34"/>
  <c r="AG637" i="34"/>
  <c r="R637" i="34"/>
  <c r="AG636" i="34"/>
  <c r="R636" i="34"/>
  <c r="AG635" i="34"/>
  <c r="R635" i="34"/>
  <c r="AG634" i="34"/>
  <c r="R634" i="34"/>
  <c r="AG633" i="34"/>
  <c r="R633" i="34"/>
  <c r="AG632" i="34"/>
  <c r="R632" i="34"/>
  <c r="AG631" i="34"/>
  <c r="R631" i="34"/>
  <c r="AG630" i="34"/>
  <c r="R630" i="34"/>
  <c r="AG629" i="34"/>
  <c r="R629" i="34"/>
  <c r="AG628" i="34"/>
  <c r="R628" i="34"/>
  <c r="AG627" i="34"/>
  <c r="R627" i="34"/>
  <c r="AG626" i="34"/>
  <c r="R626" i="34"/>
  <c r="AG625" i="34"/>
  <c r="R625" i="34"/>
  <c r="AG624" i="34"/>
  <c r="R624" i="34"/>
  <c r="AG623" i="34"/>
  <c r="R623" i="34"/>
  <c r="AG622" i="34"/>
  <c r="R622" i="34"/>
  <c r="AG621" i="34"/>
  <c r="R621" i="34"/>
  <c r="AG620" i="34"/>
  <c r="R620" i="34"/>
  <c r="AG619" i="34"/>
  <c r="R619" i="34"/>
  <c r="AG618" i="34"/>
  <c r="R618" i="34"/>
  <c r="AG617" i="34"/>
  <c r="R617" i="34"/>
  <c r="AG616" i="34"/>
  <c r="R616" i="34"/>
  <c r="AG615" i="34"/>
  <c r="R615" i="34"/>
  <c r="AG614" i="34"/>
  <c r="R614" i="34"/>
  <c r="AG613" i="34"/>
  <c r="R613" i="34"/>
  <c r="AG612" i="34"/>
  <c r="R612" i="34"/>
  <c r="AG611" i="34"/>
  <c r="R611" i="34"/>
  <c r="AG610" i="34"/>
  <c r="R610" i="34"/>
  <c r="AG609" i="34"/>
  <c r="R609" i="34"/>
  <c r="AG608" i="34"/>
  <c r="R608" i="34"/>
  <c r="AG607" i="34"/>
  <c r="R607" i="34"/>
  <c r="AG606" i="34"/>
  <c r="R606" i="34"/>
  <c r="AG605" i="34"/>
  <c r="R605" i="34"/>
  <c r="AG604" i="34"/>
  <c r="R604" i="34"/>
  <c r="AG603" i="34"/>
  <c r="R603" i="34"/>
  <c r="AG602" i="34"/>
  <c r="R602" i="34"/>
  <c r="AG601" i="34"/>
  <c r="R601" i="34"/>
  <c r="AG600" i="34"/>
  <c r="R600" i="34"/>
  <c r="AG599" i="34"/>
  <c r="R599" i="34"/>
  <c r="AG598" i="34"/>
  <c r="R598" i="34"/>
  <c r="AG597" i="34"/>
  <c r="R597" i="34"/>
  <c r="AG596" i="34"/>
  <c r="R596" i="34"/>
  <c r="AG595" i="34"/>
  <c r="R595" i="34"/>
  <c r="AG594" i="34"/>
  <c r="R594" i="34"/>
  <c r="AG593" i="34"/>
  <c r="R593" i="34"/>
  <c r="AG592" i="34"/>
  <c r="R592" i="34"/>
  <c r="AG591" i="34"/>
  <c r="R591" i="34"/>
  <c r="AG590" i="34"/>
  <c r="R590" i="34"/>
  <c r="AG589" i="34"/>
  <c r="R589" i="34"/>
  <c r="AG588" i="34"/>
  <c r="R588" i="34"/>
  <c r="AG587" i="34"/>
  <c r="R587" i="34"/>
  <c r="AG586" i="34"/>
  <c r="R586" i="34"/>
  <c r="AG585" i="34"/>
  <c r="R585" i="34"/>
  <c r="AG584" i="34"/>
  <c r="R584" i="34"/>
  <c r="AG583" i="34"/>
  <c r="R583" i="34"/>
  <c r="AG582" i="34"/>
  <c r="R582" i="34"/>
  <c r="AG581" i="34"/>
  <c r="R581" i="34"/>
  <c r="AG580" i="34"/>
  <c r="R580" i="34"/>
  <c r="AG579" i="34"/>
  <c r="R579" i="34"/>
  <c r="AG578" i="34"/>
  <c r="R578" i="34"/>
  <c r="AG577" i="34"/>
  <c r="R577" i="34"/>
  <c r="AG576" i="34"/>
  <c r="R576" i="34"/>
  <c r="AG575" i="34"/>
  <c r="R575" i="34"/>
  <c r="AG574" i="34"/>
  <c r="R574" i="34"/>
  <c r="AG573" i="34"/>
  <c r="R573" i="34"/>
  <c r="AG572" i="34"/>
  <c r="R572" i="34"/>
  <c r="AG571" i="34"/>
  <c r="R571" i="34"/>
  <c r="AG570" i="34"/>
  <c r="R570" i="34"/>
  <c r="AG569" i="34"/>
  <c r="R569" i="34"/>
  <c r="AG568" i="34"/>
  <c r="R568" i="34"/>
  <c r="AG567" i="34"/>
  <c r="R567" i="34"/>
  <c r="AG566" i="34"/>
  <c r="R566" i="34"/>
  <c r="AG565" i="34"/>
  <c r="R565" i="34"/>
  <c r="AG564" i="34"/>
  <c r="R564" i="34"/>
  <c r="AG563" i="34"/>
  <c r="R563" i="34"/>
  <c r="AG562" i="34"/>
  <c r="R562" i="34"/>
  <c r="AG561" i="34"/>
  <c r="R561" i="34"/>
  <c r="AG560" i="34"/>
  <c r="R560" i="34"/>
  <c r="AG559" i="34"/>
  <c r="R559" i="34"/>
  <c r="AG558" i="34"/>
  <c r="R558" i="34"/>
  <c r="AG557" i="34"/>
  <c r="R557" i="34"/>
  <c r="AG556" i="34"/>
  <c r="R556" i="34"/>
  <c r="AG555" i="34"/>
  <c r="R555" i="34"/>
  <c r="AG554" i="34"/>
  <c r="R554" i="34"/>
  <c r="AG553" i="34"/>
  <c r="R553" i="34"/>
  <c r="AG552" i="34"/>
  <c r="R552" i="34"/>
  <c r="AG551" i="34"/>
  <c r="R551" i="34"/>
  <c r="AG550" i="34"/>
  <c r="R550" i="34"/>
  <c r="AG549" i="34"/>
  <c r="R549" i="34"/>
  <c r="AG548" i="34"/>
  <c r="R548" i="34"/>
  <c r="AG547" i="34"/>
  <c r="R547" i="34"/>
  <c r="AG546" i="34"/>
  <c r="R546" i="34"/>
  <c r="AG545" i="34"/>
  <c r="R545" i="34"/>
  <c r="AG544" i="34"/>
  <c r="R544" i="34"/>
  <c r="AG543" i="34"/>
  <c r="R543" i="34"/>
  <c r="AG542" i="34"/>
  <c r="R542" i="34"/>
  <c r="AG541" i="34"/>
  <c r="R541" i="34"/>
  <c r="AG540" i="34"/>
  <c r="R540" i="34"/>
  <c r="AG539" i="34"/>
  <c r="R539" i="34"/>
  <c r="AG538" i="34"/>
  <c r="R538" i="34"/>
  <c r="AG537" i="34"/>
  <c r="R537" i="34"/>
  <c r="AG536" i="34"/>
  <c r="R536" i="34"/>
  <c r="AG535" i="34"/>
  <c r="R535" i="34"/>
  <c r="AG534" i="34"/>
  <c r="R534" i="34"/>
  <c r="AG533" i="34"/>
  <c r="R533" i="34"/>
  <c r="AG532" i="34"/>
  <c r="R532" i="34"/>
  <c r="AG531" i="34"/>
  <c r="R531" i="34"/>
  <c r="AG530" i="34"/>
  <c r="R530" i="34"/>
  <c r="AG529" i="34"/>
  <c r="R529" i="34"/>
  <c r="AG528" i="34"/>
  <c r="R528" i="34"/>
  <c r="AG527" i="34"/>
  <c r="R527" i="34"/>
  <c r="AG526" i="34"/>
  <c r="R526" i="34"/>
  <c r="AG525" i="34"/>
  <c r="R525" i="34"/>
  <c r="AG524" i="34"/>
  <c r="R524" i="34"/>
  <c r="AG523" i="34"/>
  <c r="R523" i="34"/>
  <c r="AG522" i="34"/>
  <c r="R522" i="34"/>
  <c r="AG521" i="34"/>
  <c r="R521" i="34"/>
  <c r="AG520" i="34"/>
  <c r="R520" i="34"/>
  <c r="AG519" i="34"/>
  <c r="R519" i="34"/>
  <c r="AG518" i="34"/>
  <c r="R518" i="34"/>
  <c r="AG517" i="34"/>
  <c r="R517" i="34"/>
  <c r="AG516" i="34"/>
  <c r="R516" i="34"/>
  <c r="AG515" i="34"/>
  <c r="R515" i="34"/>
  <c r="AG514" i="34"/>
  <c r="R514" i="34"/>
  <c r="AG513" i="34"/>
  <c r="R513" i="34"/>
  <c r="AG512" i="34"/>
  <c r="R512" i="34"/>
  <c r="AG511" i="34"/>
  <c r="R511" i="34"/>
  <c r="AG510" i="34"/>
  <c r="R510" i="34"/>
  <c r="AG509" i="34"/>
  <c r="R509" i="34"/>
  <c r="AG508" i="34"/>
  <c r="R508" i="34"/>
  <c r="AG507" i="34"/>
  <c r="R507" i="34"/>
  <c r="AG506" i="34"/>
  <c r="R506" i="34"/>
  <c r="AG505" i="34"/>
  <c r="R505" i="34"/>
  <c r="AG504" i="34"/>
  <c r="R504" i="34"/>
  <c r="AG503" i="34"/>
  <c r="R503" i="34"/>
  <c r="AG502" i="34"/>
  <c r="R502" i="34"/>
  <c r="AG501" i="34"/>
  <c r="R501" i="34"/>
  <c r="AG500" i="34"/>
  <c r="R500" i="34"/>
  <c r="AG499" i="34"/>
  <c r="R499" i="34"/>
  <c r="AG498" i="34"/>
  <c r="R498" i="34"/>
  <c r="AG497" i="34"/>
  <c r="I497" i="34"/>
  <c r="R497" i="34" s="1"/>
  <c r="AG496" i="34"/>
  <c r="I496" i="34"/>
  <c r="R496" i="34" s="1"/>
  <c r="AG495" i="34"/>
  <c r="I495" i="34"/>
  <c r="R495" i="34" s="1"/>
  <c r="AG494" i="34"/>
  <c r="I494" i="34"/>
  <c r="R494" i="34" s="1"/>
  <c r="AG493" i="34"/>
  <c r="I493" i="34"/>
  <c r="R493" i="34" s="1"/>
  <c r="AG492" i="34"/>
  <c r="I492" i="34"/>
  <c r="R492" i="34" s="1"/>
  <c r="AG491" i="34"/>
  <c r="I491" i="34"/>
  <c r="R491" i="34" s="1"/>
  <c r="AG490" i="34"/>
  <c r="R490" i="34"/>
  <c r="AG489" i="34"/>
  <c r="R489" i="34"/>
  <c r="AG488" i="34"/>
  <c r="R488" i="34"/>
  <c r="AG487" i="34"/>
  <c r="R487" i="34"/>
  <c r="AG486" i="34"/>
  <c r="R486" i="34"/>
  <c r="AG485" i="34"/>
  <c r="R485" i="34"/>
  <c r="AG484" i="34"/>
  <c r="R484" i="34"/>
  <c r="AG483" i="34"/>
  <c r="R483" i="34"/>
  <c r="AG482" i="34"/>
  <c r="R482" i="34"/>
  <c r="AG481" i="34"/>
  <c r="R481" i="34"/>
  <c r="AG480" i="34"/>
  <c r="R480" i="34"/>
  <c r="AG479" i="34"/>
  <c r="R479" i="34"/>
  <c r="AG478" i="34"/>
  <c r="R478" i="34"/>
  <c r="AG477" i="34"/>
  <c r="R477" i="34"/>
  <c r="AG476" i="34"/>
  <c r="R476" i="34"/>
  <c r="AG475" i="34"/>
  <c r="R475" i="34"/>
  <c r="AG474" i="34"/>
  <c r="R474" i="34"/>
  <c r="AG473" i="34"/>
  <c r="R473" i="34"/>
  <c r="AG472" i="34"/>
  <c r="R472" i="34"/>
  <c r="AG471" i="34"/>
  <c r="R471" i="34"/>
  <c r="AG470" i="34"/>
  <c r="R470" i="34"/>
  <c r="AG469" i="34"/>
  <c r="R469" i="34"/>
  <c r="AG468" i="34"/>
  <c r="R468" i="34"/>
  <c r="AG467" i="34"/>
  <c r="R467" i="34"/>
  <c r="AG466" i="34"/>
  <c r="R466" i="34"/>
  <c r="AG465" i="34"/>
  <c r="R465" i="34"/>
  <c r="AG464" i="34"/>
  <c r="R464" i="34"/>
  <c r="AG463" i="34"/>
  <c r="R463" i="34"/>
  <c r="AG462" i="34"/>
  <c r="R462" i="34"/>
  <c r="AG461" i="34"/>
  <c r="R461" i="34"/>
  <c r="AG460" i="34"/>
  <c r="R460" i="34"/>
  <c r="AG459" i="34"/>
  <c r="R459" i="34"/>
  <c r="AG458" i="34"/>
  <c r="R458" i="34"/>
  <c r="AG457" i="34"/>
  <c r="R457" i="34"/>
  <c r="AG456" i="34"/>
  <c r="R456" i="34"/>
  <c r="AG455" i="34"/>
  <c r="R455" i="34"/>
  <c r="AG454" i="34"/>
  <c r="R454" i="34"/>
  <c r="AG453" i="34"/>
  <c r="R453" i="34"/>
  <c r="AG452" i="34"/>
  <c r="R452" i="34"/>
  <c r="AG451" i="34"/>
  <c r="R451" i="34"/>
  <c r="AG450" i="34"/>
  <c r="R450" i="34"/>
  <c r="AG449" i="34"/>
  <c r="R449" i="34"/>
  <c r="AG448" i="34"/>
  <c r="R448" i="34"/>
  <c r="AG447" i="34"/>
  <c r="R447" i="34"/>
  <c r="AG446" i="34"/>
  <c r="R446" i="34"/>
  <c r="AG445" i="34"/>
  <c r="R445" i="34"/>
  <c r="AG444" i="34"/>
  <c r="R444" i="34"/>
  <c r="AG443" i="34"/>
  <c r="R443" i="34"/>
  <c r="AG442" i="34"/>
  <c r="R442" i="34"/>
  <c r="AG441" i="34"/>
  <c r="R441" i="34"/>
  <c r="AG440" i="34"/>
  <c r="R440" i="34"/>
  <c r="AG439" i="34"/>
  <c r="R439" i="34"/>
  <c r="AG438" i="34"/>
  <c r="R438" i="34"/>
  <c r="AG437" i="34"/>
  <c r="R437" i="34"/>
  <c r="AG436" i="34"/>
  <c r="R436" i="34"/>
  <c r="AG435" i="34"/>
  <c r="R435" i="34"/>
  <c r="AG434" i="34"/>
  <c r="R434" i="34"/>
  <c r="AG433" i="34"/>
  <c r="R433" i="34"/>
  <c r="AG432" i="34"/>
  <c r="R432" i="34"/>
  <c r="AG431" i="34"/>
  <c r="R431" i="34"/>
  <c r="AG430" i="34"/>
  <c r="R430" i="34"/>
  <c r="AG429" i="34"/>
  <c r="R429" i="34"/>
  <c r="AG428" i="34"/>
  <c r="R428" i="34"/>
  <c r="AG427" i="34"/>
  <c r="R427" i="34"/>
  <c r="AG426" i="34"/>
  <c r="R426" i="34"/>
  <c r="AG425" i="34"/>
  <c r="R425" i="34"/>
  <c r="AG424" i="34"/>
  <c r="R424" i="34"/>
  <c r="AG423" i="34"/>
  <c r="R423" i="34"/>
  <c r="AG422" i="34"/>
  <c r="R422" i="34"/>
  <c r="AG421" i="34"/>
  <c r="R421" i="34"/>
  <c r="AG420" i="34"/>
  <c r="R420" i="34"/>
  <c r="AG419" i="34"/>
  <c r="R419" i="34"/>
  <c r="AG418" i="34"/>
  <c r="R418" i="34"/>
  <c r="AG417" i="34"/>
  <c r="R417" i="34"/>
  <c r="AG416" i="34"/>
  <c r="R416" i="34"/>
  <c r="AG415" i="34"/>
  <c r="R415" i="34"/>
  <c r="AG414" i="34"/>
  <c r="R414" i="34"/>
  <c r="AG413" i="34"/>
  <c r="R413" i="34"/>
  <c r="AG412" i="34"/>
  <c r="R412" i="34"/>
  <c r="AG411" i="34"/>
  <c r="R411" i="34"/>
  <c r="AG410" i="34"/>
  <c r="R410" i="34"/>
  <c r="AG409" i="34"/>
  <c r="R409" i="34"/>
  <c r="AG408" i="34"/>
  <c r="R408" i="34"/>
  <c r="AG407" i="34"/>
  <c r="R407" i="34"/>
  <c r="AG406" i="34"/>
  <c r="R406" i="34"/>
  <c r="AG405" i="34"/>
  <c r="R405" i="34"/>
  <c r="AG404" i="34"/>
  <c r="R404" i="34"/>
  <c r="AG403" i="34"/>
  <c r="R403" i="34"/>
  <c r="AG402" i="34"/>
  <c r="R402" i="34"/>
  <c r="AG401" i="34"/>
  <c r="R401" i="34"/>
  <c r="AG400" i="34"/>
  <c r="R400" i="34"/>
  <c r="AG399" i="34"/>
  <c r="R399" i="34"/>
  <c r="AG398" i="34"/>
  <c r="R398" i="34"/>
  <c r="AG397" i="34"/>
  <c r="R397" i="34"/>
  <c r="AG396" i="34"/>
  <c r="R396" i="34"/>
  <c r="AG395" i="34"/>
  <c r="R395" i="34"/>
  <c r="AG394" i="34"/>
  <c r="R394" i="34"/>
  <c r="AG393" i="34"/>
  <c r="R393" i="34"/>
  <c r="AG392" i="34"/>
  <c r="R392" i="34"/>
  <c r="AG391" i="34"/>
  <c r="R391" i="34"/>
  <c r="AG390" i="34"/>
  <c r="R390" i="34"/>
  <c r="AG389" i="34"/>
  <c r="R389" i="34"/>
  <c r="AG388" i="34"/>
  <c r="R388" i="34"/>
  <c r="AG387" i="34"/>
  <c r="R387" i="34"/>
  <c r="AG386" i="34"/>
  <c r="R386" i="34"/>
  <c r="AG385" i="34"/>
  <c r="R385" i="34"/>
  <c r="AG384" i="34"/>
  <c r="R384" i="34"/>
  <c r="AG383" i="34"/>
  <c r="R383" i="34"/>
  <c r="AG382" i="34"/>
  <c r="R382" i="34"/>
  <c r="AG381" i="34"/>
  <c r="R381" i="34"/>
  <c r="AG380" i="34"/>
  <c r="R380" i="34"/>
  <c r="AG379" i="34"/>
  <c r="R379" i="34"/>
  <c r="AG378" i="34"/>
  <c r="R378" i="34"/>
  <c r="AG377" i="34"/>
  <c r="R377" i="34"/>
  <c r="AG376" i="34"/>
  <c r="R376" i="34"/>
  <c r="AG375" i="34"/>
  <c r="R375" i="34"/>
  <c r="AG374" i="34"/>
  <c r="R374" i="34"/>
  <c r="AG373" i="34"/>
  <c r="R373" i="34"/>
  <c r="AG372" i="34"/>
  <c r="R372" i="34"/>
  <c r="AG371" i="34"/>
  <c r="R371" i="34"/>
  <c r="AG370" i="34"/>
  <c r="R370" i="34"/>
  <c r="AG369" i="34"/>
  <c r="R369" i="34"/>
  <c r="AG368" i="34"/>
  <c r="R368" i="34"/>
  <c r="AG367" i="34"/>
  <c r="R367" i="34"/>
  <c r="AG366" i="34"/>
  <c r="R366" i="34"/>
  <c r="AG365" i="34"/>
  <c r="R365" i="34"/>
  <c r="AG364" i="34"/>
  <c r="R364" i="34"/>
  <c r="AG363" i="34"/>
  <c r="R363" i="34"/>
  <c r="AG362" i="34"/>
  <c r="R362" i="34"/>
  <c r="AG361" i="34"/>
  <c r="R361" i="34"/>
  <c r="AG360" i="34"/>
  <c r="R360" i="34"/>
  <c r="AG359" i="34"/>
  <c r="R359" i="34"/>
  <c r="AG358" i="34"/>
  <c r="R358" i="34"/>
  <c r="AG357" i="34"/>
  <c r="R357" i="34"/>
  <c r="AG356" i="34"/>
  <c r="R356" i="34"/>
  <c r="AG355" i="34"/>
  <c r="R355" i="34"/>
  <c r="AG354" i="34"/>
  <c r="R354" i="34"/>
  <c r="AG353" i="34"/>
  <c r="R353" i="34"/>
  <c r="AG352" i="34"/>
  <c r="R352" i="34"/>
  <c r="AG351" i="34"/>
  <c r="R351" i="34"/>
  <c r="AG350" i="34"/>
  <c r="R350" i="34"/>
  <c r="AG349" i="34"/>
  <c r="R349" i="34"/>
  <c r="AG348" i="34"/>
  <c r="R348" i="34"/>
  <c r="AG347" i="34"/>
  <c r="R347" i="34"/>
  <c r="AG346" i="34"/>
  <c r="R346" i="34"/>
  <c r="AG345" i="34"/>
  <c r="R345" i="34"/>
  <c r="AG344" i="34"/>
  <c r="R344" i="34"/>
  <c r="AG343" i="34"/>
  <c r="R343" i="34"/>
  <c r="AG342" i="34"/>
  <c r="R342" i="34"/>
  <c r="AG341" i="34"/>
  <c r="R341" i="34"/>
  <c r="AG340" i="34"/>
  <c r="R340" i="34"/>
  <c r="AG339" i="34"/>
  <c r="R339" i="34"/>
  <c r="AG338" i="34"/>
  <c r="R338" i="34"/>
  <c r="AG337" i="34"/>
  <c r="R337" i="34"/>
  <c r="AG336" i="34"/>
  <c r="R336" i="34"/>
  <c r="AG335" i="34"/>
  <c r="R335" i="34"/>
  <c r="AG334" i="34"/>
  <c r="R334" i="34"/>
  <c r="AG333" i="34"/>
  <c r="R333" i="34"/>
  <c r="AG332" i="34"/>
  <c r="R332" i="34"/>
  <c r="AG331" i="34"/>
  <c r="R331" i="34"/>
  <c r="AG330" i="34"/>
  <c r="R330" i="34"/>
  <c r="AG329" i="34"/>
  <c r="R329" i="34"/>
  <c r="AG328" i="34"/>
  <c r="R328" i="34"/>
  <c r="AG327" i="34"/>
  <c r="R327" i="34"/>
  <c r="AG326" i="34"/>
  <c r="R326" i="34"/>
  <c r="AG325" i="34"/>
  <c r="R325" i="34"/>
  <c r="AG324" i="34"/>
  <c r="R324" i="34"/>
  <c r="AG323" i="34"/>
  <c r="R323" i="34"/>
  <c r="AG322" i="34"/>
  <c r="R322" i="34"/>
  <c r="AG321" i="34"/>
  <c r="R321" i="34"/>
  <c r="AG320" i="34"/>
  <c r="R320" i="34"/>
  <c r="AG319" i="34"/>
  <c r="R319" i="34"/>
  <c r="AG318" i="34"/>
  <c r="R318" i="34"/>
  <c r="AG317" i="34"/>
  <c r="R317" i="34"/>
  <c r="AG316" i="34"/>
  <c r="R316" i="34"/>
  <c r="AG315" i="34"/>
  <c r="R315" i="34"/>
  <c r="AG314" i="34"/>
  <c r="R314" i="34"/>
  <c r="AG313" i="34"/>
  <c r="R313" i="34"/>
  <c r="AG312" i="34"/>
  <c r="R312" i="34"/>
  <c r="AG311" i="34"/>
  <c r="R311" i="34"/>
  <c r="AG310" i="34"/>
  <c r="R310" i="34"/>
  <c r="AG309" i="34"/>
  <c r="R309" i="34"/>
  <c r="AG308" i="34"/>
  <c r="R308" i="34"/>
  <c r="AG307" i="34"/>
  <c r="R307" i="34"/>
  <c r="AG306" i="34"/>
  <c r="R306" i="34"/>
  <c r="AG305" i="34"/>
  <c r="R305" i="34"/>
  <c r="AG304" i="34"/>
  <c r="R304" i="34"/>
  <c r="AG303" i="34"/>
  <c r="R303" i="34"/>
  <c r="AG302" i="34"/>
  <c r="R302" i="34"/>
  <c r="AG301" i="34"/>
  <c r="R301" i="34"/>
  <c r="AG300" i="34"/>
  <c r="R300" i="34"/>
  <c r="AG299" i="34"/>
  <c r="R299" i="34"/>
  <c r="AG298" i="34"/>
  <c r="R298" i="34"/>
  <c r="AG297" i="34"/>
  <c r="R297" i="34"/>
  <c r="AG296" i="34"/>
  <c r="R296" i="34"/>
  <c r="AG295" i="34"/>
  <c r="R295" i="34"/>
  <c r="AG294" i="34"/>
  <c r="R294" i="34"/>
  <c r="AG293" i="34"/>
  <c r="R293" i="34"/>
  <c r="AG292" i="34"/>
  <c r="R292" i="34"/>
  <c r="AG291" i="34"/>
  <c r="R291" i="34"/>
  <c r="AG290" i="34"/>
  <c r="R290" i="34"/>
  <c r="AG289" i="34"/>
  <c r="R289" i="34"/>
  <c r="AG288" i="34"/>
  <c r="R288" i="34"/>
  <c r="AG287" i="34"/>
  <c r="R287" i="34"/>
  <c r="AG286" i="34"/>
  <c r="R286" i="34"/>
  <c r="AG285" i="34"/>
  <c r="R285" i="34"/>
  <c r="AG284" i="34"/>
  <c r="R284" i="34"/>
  <c r="AG283" i="34"/>
  <c r="R283" i="34"/>
  <c r="AG282" i="34"/>
  <c r="R282" i="34"/>
  <c r="AG281" i="34"/>
  <c r="R281" i="34"/>
  <c r="AG280" i="34"/>
  <c r="R280" i="34"/>
  <c r="AG279" i="34"/>
  <c r="R279" i="34"/>
  <c r="AG278" i="34"/>
  <c r="R278" i="34"/>
  <c r="AG277" i="34"/>
  <c r="R277" i="34"/>
  <c r="AG276" i="34"/>
  <c r="R276" i="34"/>
  <c r="AG275" i="34"/>
  <c r="R275" i="34"/>
  <c r="AG274" i="34"/>
  <c r="R274" i="34"/>
  <c r="AG273" i="34"/>
  <c r="R273" i="34"/>
  <c r="AG272" i="34"/>
  <c r="R272" i="34"/>
  <c r="AG271" i="34"/>
  <c r="R271" i="34"/>
  <c r="AG270" i="34"/>
  <c r="R270" i="34"/>
  <c r="AG269" i="34"/>
  <c r="R269" i="34"/>
  <c r="AG268" i="34"/>
  <c r="R268" i="34"/>
  <c r="AG267" i="34"/>
  <c r="R267" i="34"/>
  <c r="AG266" i="34"/>
  <c r="R266" i="34"/>
  <c r="AG265" i="34"/>
  <c r="R265" i="34"/>
  <c r="AG264" i="34"/>
  <c r="R264" i="34"/>
  <c r="AG263" i="34"/>
  <c r="R263" i="34"/>
  <c r="AG262" i="34"/>
  <c r="R262" i="34"/>
  <c r="AG261" i="34"/>
  <c r="R261" i="34"/>
  <c r="AG260" i="34"/>
  <c r="R260" i="34"/>
  <c r="AG259" i="34"/>
  <c r="R259" i="34"/>
  <c r="AG258" i="34"/>
  <c r="R258" i="34"/>
  <c r="AG257" i="34"/>
  <c r="R257" i="34"/>
  <c r="AG256" i="34"/>
  <c r="R256" i="34"/>
  <c r="AG255" i="34"/>
  <c r="R255" i="34"/>
  <c r="AG254" i="34"/>
  <c r="R254" i="34"/>
  <c r="AG253" i="34"/>
  <c r="R253" i="34"/>
  <c r="AG252" i="34"/>
  <c r="R252" i="34"/>
  <c r="AG251" i="34"/>
  <c r="R251" i="34"/>
  <c r="AG250" i="34"/>
  <c r="R250" i="34"/>
  <c r="AG249" i="34"/>
  <c r="R249" i="34"/>
  <c r="AG248" i="34"/>
  <c r="R248" i="34"/>
  <c r="AG247" i="34"/>
  <c r="R247" i="34"/>
  <c r="AG246" i="34"/>
  <c r="R246" i="34"/>
  <c r="AG245" i="34"/>
  <c r="R245" i="34"/>
  <c r="AG244" i="34"/>
  <c r="R244" i="34"/>
  <c r="AG243" i="34"/>
  <c r="R243" i="34"/>
  <c r="AG242" i="34"/>
  <c r="R242" i="34"/>
  <c r="AG241" i="34"/>
  <c r="R241" i="34"/>
  <c r="AG240" i="34"/>
  <c r="R240" i="34"/>
  <c r="AG239" i="34"/>
  <c r="R239" i="34"/>
  <c r="AG238" i="34"/>
  <c r="R238" i="34"/>
  <c r="AG237" i="34"/>
  <c r="R237" i="34"/>
  <c r="AG236" i="34"/>
  <c r="R236" i="34"/>
  <c r="AG235" i="34"/>
  <c r="R235" i="34"/>
  <c r="AG234" i="34"/>
  <c r="R234" i="34"/>
  <c r="AG233" i="34"/>
  <c r="R233" i="34"/>
  <c r="AG232" i="34"/>
  <c r="R232" i="34"/>
  <c r="AG231" i="34"/>
  <c r="R231" i="34"/>
  <c r="AG230" i="34"/>
  <c r="R230" i="34"/>
  <c r="AG229" i="34"/>
  <c r="R229" i="34"/>
  <c r="AG228" i="34"/>
  <c r="R228" i="34"/>
  <c r="AG227" i="34"/>
  <c r="R227" i="34"/>
  <c r="AG226" i="34"/>
  <c r="R226" i="34"/>
  <c r="AG225" i="34"/>
  <c r="R225" i="34"/>
  <c r="AG224" i="34"/>
  <c r="R224" i="34"/>
  <c r="AG223" i="34"/>
  <c r="R223" i="34"/>
  <c r="AG222" i="34"/>
  <c r="R222" i="34"/>
  <c r="AG221" i="34"/>
  <c r="R221" i="34"/>
  <c r="AG220" i="34"/>
  <c r="R220" i="34"/>
  <c r="AG219" i="34"/>
  <c r="R219" i="34"/>
  <c r="AG218" i="34"/>
  <c r="R218" i="34"/>
  <c r="AG217" i="34"/>
  <c r="R217" i="34"/>
  <c r="AG216" i="34"/>
  <c r="R216" i="34"/>
  <c r="AG215" i="34"/>
  <c r="R215" i="34"/>
  <c r="AG214" i="34"/>
  <c r="R214" i="34"/>
  <c r="AG213" i="34"/>
  <c r="R213" i="34"/>
  <c r="AG212" i="34"/>
  <c r="R212" i="34"/>
  <c r="AG211" i="34"/>
  <c r="R211" i="34"/>
  <c r="AG210" i="34"/>
  <c r="R210" i="34"/>
  <c r="AG209" i="34"/>
  <c r="R209" i="34"/>
  <c r="AG208" i="34"/>
  <c r="R208" i="34"/>
  <c r="AG207" i="34"/>
  <c r="R207" i="34"/>
  <c r="AG206" i="34"/>
  <c r="R206" i="34"/>
  <c r="AG205" i="34"/>
  <c r="R205" i="34"/>
  <c r="AG204" i="34"/>
  <c r="R204" i="34"/>
  <c r="AG203" i="34"/>
  <c r="R203" i="34"/>
  <c r="AG202" i="34"/>
  <c r="R202" i="34"/>
  <c r="AG201" i="34"/>
  <c r="R201" i="34"/>
  <c r="AG200" i="34"/>
  <c r="R200" i="34"/>
  <c r="AG199" i="34"/>
  <c r="R199" i="34"/>
  <c r="AG198" i="34"/>
  <c r="R198" i="34"/>
  <c r="AG197" i="34"/>
  <c r="R197" i="34"/>
  <c r="AG196" i="34"/>
  <c r="R196" i="34"/>
  <c r="AG195" i="34"/>
  <c r="R195" i="34"/>
  <c r="AG194" i="34"/>
  <c r="R194" i="34"/>
  <c r="AG193" i="34"/>
  <c r="R193" i="34"/>
  <c r="AG192" i="34"/>
  <c r="R192" i="34"/>
  <c r="AG191" i="34"/>
  <c r="R191" i="34"/>
  <c r="AG190" i="34"/>
  <c r="R190" i="34"/>
  <c r="AG189" i="34"/>
  <c r="R189" i="34"/>
  <c r="AG188" i="34"/>
  <c r="R188" i="34"/>
  <c r="AG187" i="34"/>
  <c r="R187" i="34"/>
  <c r="AG186" i="34"/>
  <c r="R186" i="34"/>
  <c r="AG185" i="34"/>
  <c r="R185" i="34"/>
  <c r="AG184" i="34"/>
  <c r="R184" i="34"/>
  <c r="AG183" i="34"/>
  <c r="R183" i="34"/>
  <c r="AG182" i="34"/>
  <c r="R182" i="34"/>
  <c r="AG181" i="34"/>
  <c r="R181" i="34"/>
  <c r="AG180" i="34"/>
  <c r="R180" i="34"/>
  <c r="AG179" i="34"/>
  <c r="R179" i="34"/>
  <c r="AG178" i="34"/>
  <c r="R178" i="34"/>
  <c r="AG177" i="34"/>
  <c r="R177" i="34"/>
  <c r="AG176" i="34"/>
  <c r="R176" i="34"/>
  <c r="AG175" i="34"/>
  <c r="R175" i="34"/>
  <c r="AG174" i="34"/>
  <c r="R174" i="34"/>
  <c r="AG173" i="34"/>
  <c r="R173" i="34"/>
  <c r="AG172" i="34"/>
  <c r="R172" i="34"/>
  <c r="AG171" i="34"/>
  <c r="R171" i="34"/>
  <c r="AG170" i="34"/>
  <c r="R170" i="34"/>
  <c r="AG169" i="34"/>
  <c r="R169" i="34"/>
  <c r="AG168" i="34"/>
  <c r="R168" i="34"/>
  <c r="AG167" i="34"/>
  <c r="R167" i="34"/>
  <c r="AG166" i="34"/>
  <c r="R166" i="34"/>
  <c r="AG165" i="34"/>
  <c r="R165" i="34"/>
  <c r="AG164" i="34"/>
  <c r="R164" i="34"/>
  <c r="AG163" i="34"/>
  <c r="R163" i="34"/>
  <c r="AG162" i="34"/>
  <c r="R162" i="34"/>
  <c r="AG161" i="34"/>
  <c r="R161" i="34"/>
  <c r="AG160" i="34"/>
  <c r="R160" i="34"/>
  <c r="AG159" i="34"/>
  <c r="R159" i="34"/>
  <c r="AG158" i="34"/>
  <c r="R158" i="34"/>
  <c r="AG157" i="34"/>
  <c r="R157" i="34"/>
  <c r="AG156" i="34"/>
  <c r="R156" i="34"/>
  <c r="AG155" i="34"/>
  <c r="R155" i="34"/>
  <c r="AG154" i="34"/>
  <c r="R154" i="34"/>
  <c r="AG153" i="34"/>
  <c r="R153" i="34"/>
  <c r="AG152" i="34"/>
  <c r="R152" i="34"/>
  <c r="AG151" i="34"/>
  <c r="R151" i="34"/>
  <c r="AG150" i="34"/>
  <c r="R150" i="34"/>
  <c r="AG149" i="34"/>
  <c r="R149" i="34"/>
  <c r="AG148" i="34"/>
  <c r="R148" i="34"/>
  <c r="AG147" i="34"/>
  <c r="R147" i="34"/>
  <c r="AG146" i="34"/>
  <c r="R146" i="34"/>
  <c r="AG145" i="34"/>
  <c r="R145" i="34"/>
  <c r="AG144" i="34"/>
  <c r="R144" i="34"/>
  <c r="AG143" i="34"/>
  <c r="R143" i="34"/>
  <c r="AG142" i="34"/>
  <c r="R142" i="34"/>
  <c r="AG141" i="34"/>
  <c r="R141" i="34"/>
  <c r="AG140" i="34"/>
  <c r="R140" i="34"/>
  <c r="AG139" i="34"/>
  <c r="R139" i="34"/>
  <c r="AG138" i="34"/>
  <c r="R138" i="34"/>
  <c r="AG137" i="34"/>
  <c r="R137" i="34"/>
  <c r="AG136" i="34"/>
  <c r="R136" i="34"/>
  <c r="AG135" i="34"/>
  <c r="R135" i="34"/>
  <c r="AG134" i="34"/>
  <c r="R134" i="34"/>
  <c r="AG133" i="34"/>
  <c r="R133" i="34"/>
  <c r="AG132" i="34"/>
  <c r="R132" i="34"/>
  <c r="AG131" i="34"/>
  <c r="R131" i="34"/>
  <c r="AG130" i="34"/>
  <c r="R130" i="34"/>
  <c r="AG129" i="34"/>
  <c r="R129" i="34"/>
  <c r="AG128" i="34"/>
  <c r="R128" i="34"/>
  <c r="AG127" i="34"/>
  <c r="R127" i="34"/>
  <c r="AG126" i="34"/>
  <c r="R126" i="34"/>
  <c r="AG125" i="34"/>
  <c r="R125" i="34"/>
  <c r="AG124" i="34"/>
  <c r="R124" i="34"/>
  <c r="AG123" i="34"/>
  <c r="R123" i="34"/>
  <c r="AG122" i="34"/>
  <c r="R122" i="34"/>
  <c r="AG121" i="34"/>
  <c r="R121" i="34"/>
  <c r="AG120" i="34"/>
  <c r="R120" i="34"/>
  <c r="AG119" i="34"/>
  <c r="R119" i="34"/>
  <c r="AG118" i="34"/>
  <c r="R118" i="34"/>
  <c r="AG117" i="34"/>
  <c r="R117" i="34"/>
  <c r="AG116" i="34"/>
  <c r="R116" i="34"/>
  <c r="AG115" i="34"/>
  <c r="R115" i="34"/>
  <c r="AG114" i="34"/>
  <c r="R114" i="34"/>
  <c r="AG113" i="34"/>
  <c r="R113" i="34"/>
  <c r="AG112" i="34"/>
  <c r="R112" i="34"/>
  <c r="AG111" i="34"/>
  <c r="R111" i="34"/>
  <c r="AG110" i="34"/>
  <c r="R110" i="34"/>
  <c r="AG109" i="34"/>
  <c r="R109" i="34"/>
  <c r="AG108" i="34"/>
  <c r="R108" i="34"/>
  <c r="AG107" i="34"/>
  <c r="R107" i="34"/>
  <c r="AG106" i="34"/>
  <c r="R106" i="34"/>
  <c r="AG105" i="34"/>
  <c r="R105" i="34"/>
  <c r="AG104" i="34"/>
  <c r="R104" i="34"/>
  <c r="AG103" i="34"/>
  <c r="R103" i="34"/>
  <c r="AG102" i="34"/>
  <c r="R102" i="34"/>
  <c r="AG101" i="34"/>
  <c r="R101" i="34"/>
  <c r="AG100" i="34"/>
  <c r="R100" i="34"/>
  <c r="AG99" i="34"/>
  <c r="R99" i="34"/>
  <c r="AG98" i="34"/>
  <c r="R98" i="34"/>
  <c r="AG97" i="34"/>
  <c r="R97" i="34"/>
  <c r="AG96" i="34"/>
  <c r="R96" i="34"/>
  <c r="AG95" i="34"/>
  <c r="R95" i="34"/>
  <c r="AG94" i="34"/>
  <c r="R94" i="34"/>
  <c r="AG93" i="34"/>
  <c r="R93" i="34"/>
  <c r="AG92" i="34"/>
  <c r="R92" i="34"/>
  <c r="AG91" i="34"/>
  <c r="R91" i="34"/>
  <c r="AG90" i="34"/>
  <c r="R90" i="34"/>
  <c r="AG89" i="34"/>
  <c r="R89" i="34"/>
  <c r="AG88" i="34"/>
  <c r="R88" i="34"/>
  <c r="AG87" i="34"/>
  <c r="R87" i="34"/>
  <c r="AG86" i="34"/>
  <c r="R86" i="34"/>
  <c r="AG85" i="34"/>
  <c r="R85" i="34"/>
  <c r="AG84" i="34"/>
  <c r="R84" i="34"/>
  <c r="AG83" i="34"/>
  <c r="R83" i="34"/>
  <c r="AG82" i="34"/>
  <c r="R82" i="34"/>
  <c r="AG81" i="34"/>
  <c r="R81" i="34"/>
  <c r="AG80" i="34"/>
  <c r="R80" i="34"/>
  <c r="AG79" i="34"/>
  <c r="R79" i="34"/>
  <c r="AG78" i="34"/>
  <c r="R78" i="34"/>
  <c r="AG77" i="34"/>
  <c r="R77" i="34"/>
  <c r="AG76" i="34"/>
  <c r="R76" i="34"/>
  <c r="AG75" i="34"/>
  <c r="R75" i="34"/>
  <c r="AG74" i="34"/>
  <c r="R74" i="34"/>
  <c r="AG73" i="34"/>
  <c r="R73" i="34"/>
  <c r="AG72" i="34"/>
  <c r="R72" i="34"/>
  <c r="AG71" i="34"/>
  <c r="R71" i="34"/>
  <c r="AG70" i="34"/>
  <c r="R70" i="34"/>
  <c r="AG69" i="34"/>
  <c r="R69" i="34"/>
  <c r="AG68" i="34"/>
  <c r="R68" i="34"/>
  <c r="AG67" i="34"/>
  <c r="R67" i="34"/>
  <c r="AG66" i="34"/>
  <c r="R66" i="34"/>
  <c r="AG65" i="34"/>
  <c r="R65" i="34"/>
  <c r="AG64" i="34"/>
  <c r="R64" i="34"/>
  <c r="AG63" i="34"/>
  <c r="R63" i="34"/>
  <c r="AG62" i="34"/>
  <c r="R62" i="34"/>
  <c r="AG61" i="34"/>
  <c r="R61" i="34"/>
  <c r="AG60" i="34"/>
  <c r="R60" i="34"/>
  <c r="AG59" i="34"/>
  <c r="R59" i="34"/>
  <c r="AG58" i="34"/>
  <c r="R58" i="34"/>
  <c r="AG57" i="34"/>
  <c r="R57" i="34"/>
  <c r="AG56" i="34"/>
  <c r="R56" i="34"/>
  <c r="AG55" i="34"/>
  <c r="R55" i="34"/>
  <c r="AG54" i="34"/>
  <c r="R54" i="34"/>
  <c r="AG53" i="34"/>
  <c r="R53" i="34"/>
  <c r="AG52" i="34"/>
  <c r="R52" i="34"/>
  <c r="AG51" i="34"/>
  <c r="R51" i="34"/>
  <c r="AG50" i="34"/>
  <c r="R50" i="34"/>
  <c r="AG49" i="34"/>
  <c r="R49" i="34"/>
  <c r="AG48" i="34"/>
  <c r="R48" i="34"/>
  <c r="AG47" i="34"/>
  <c r="R47" i="34"/>
  <c r="AG46" i="34"/>
  <c r="R46" i="34"/>
  <c r="AG45" i="34"/>
  <c r="R45" i="34"/>
  <c r="AG44" i="34"/>
  <c r="R44" i="34"/>
  <c r="AG43" i="34"/>
  <c r="R43" i="34"/>
  <c r="AG42" i="34"/>
  <c r="R42" i="34"/>
  <c r="AG41" i="34"/>
  <c r="R41" i="34"/>
  <c r="AG40" i="34"/>
  <c r="R40" i="34"/>
  <c r="AG39" i="34"/>
  <c r="R39" i="34"/>
  <c r="AG38" i="34"/>
  <c r="R38" i="34"/>
  <c r="AG37" i="34"/>
  <c r="R37" i="34"/>
  <c r="AG36" i="34"/>
  <c r="R36" i="34"/>
  <c r="AG35" i="34"/>
  <c r="R35" i="34"/>
  <c r="AG34" i="34"/>
  <c r="R34" i="34"/>
  <c r="AG33" i="34"/>
  <c r="R33" i="34"/>
  <c r="AG32" i="34"/>
  <c r="R32" i="34"/>
  <c r="AG31" i="34"/>
  <c r="R31" i="34"/>
  <c r="AG30" i="34"/>
  <c r="R30" i="34"/>
  <c r="AG29" i="34"/>
  <c r="R29" i="34"/>
  <c r="AG28" i="34"/>
  <c r="R28" i="34"/>
  <c r="AG27" i="34"/>
  <c r="R27" i="34"/>
  <c r="AG26" i="34"/>
  <c r="R26" i="34"/>
  <c r="AG25" i="34"/>
  <c r="R25" i="34"/>
  <c r="AG24" i="34"/>
  <c r="R24" i="34"/>
  <c r="AG23" i="34"/>
  <c r="R23" i="34"/>
  <c r="AG22" i="34"/>
  <c r="R22" i="34"/>
  <c r="AG21" i="34"/>
  <c r="R21" i="34"/>
  <c r="AG20" i="34"/>
  <c r="R20" i="34"/>
  <c r="AG19" i="34"/>
  <c r="R19" i="34"/>
  <c r="AG18" i="34"/>
  <c r="R18" i="34"/>
  <c r="AG17" i="34"/>
  <c r="R17" i="34"/>
  <c r="AG16" i="34"/>
  <c r="R16" i="34"/>
  <c r="AG15" i="34"/>
  <c r="R15" i="34"/>
  <c r="AG14" i="34"/>
  <c r="R14" i="34"/>
  <c r="AG13" i="34"/>
  <c r="R13" i="34"/>
  <c r="AG12" i="34"/>
  <c r="R12" i="34"/>
  <c r="AG11" i="34"/>
  <c r="R11" i="34"/>
  <c r="AG10" i="34"/>
  <c r="R10" i="34"/>
  <c r="AG9" i="34"/>
  <c r="R9" i="34"/>
  <c r="I11" i="35" l="1"/>
  <c r="I10" i="35"/>
  <c r="D27" i="35"/>
  <c r="D26" i="35"/>
  <c r="D25" i="35"/>
  <c r="D24" i="35"/>
  <c r="D23" i="35"/>
  <c r="D21" i="35"/>
  <c r="D20" i="35"/>
  <c r="D18" i="35"/>
  <c r="D17" i="35"/>
  <c r="D16" i="35"/>
  <c r="D15" i="35"/>
  <c r="E41" i="88" l="1"/>
  <c r="E43" i="88" s="1"/>
  <c r="H7" i="74"/>
  <c r="C421" i="36"/>
  <c r="C415" i="36"/>
  <c r="E409" i="36"/>
  <c r="D409" i="36"/>
  <c r="A44" i="77" s="1"/>
  <c r="E408" i="36"/>
  <c r="E406" i="36"/>
  <c r="A46" i="70" s="1"/>
  <c r="D406" i="36"/>
  <c r="D386" i="36"/>
  <c r="E387" i="36" s="1"/>
  <c r="C386" i="36"/>
  <c r="C355" i="36"/>
  <c r="C356" i="36" s="1"/>
  <c r="G353" i="36"/>
  <c r="G355" i="36" s="1"/>
  <c r="E347" i="36"/>
  <c r="E346" i="36"/>
  <c r="E345" i="36"/>
  <c r="E344" i="36"/>
  <c r="C343" i="36"/>
  <c r="E343" i="36" s="1"/>
  <c r="E301" i="36"/>
  <c r="E300" i="36"/>
  <c r="B293" i="36"/>
  <c r="D293" i="36" s="1"/>
  <c r="H294" i="36" s="1"/>
  <c r="B289" i="36"/>
  <c r="B288" i="36"/>
  <c r="B287" i="36"/>
  <c r="B286" i="36"/>
  <c r="B285" i="36"/>
  <c r="B284" i="36"/>
  <c r="B283" i="36"/>
  <c r="B282" i="36"/>
  <c r="B281" i="36"/>
  <c r="B280" i="36"/>
  <c r="B279" i="36"/>
  <c r="B278" i="36"/>
  <c r="C276" i="36"/>
  <c r="B276" i="36"/>
  <c r="D276" i="36" s="1"/>
  <c r="C264" i="36"/>
  <c r="C265" i="36" s="1"/>
  <c r="C266" i="36" s="1"/>
  <c r="B260" i="36"/>
  <c r="C253" i="36"/>
  <c r="B249" i="36"/>
  <c r="C240" i="36"/>
  <c r="E249" i="36" s="1"/>
  <c r="D230" i="36"/>
  <c r="D228" i="36"/>
  <c r="D227" i="36"/>
  <c r="E204" i="36"/>
  <c r="E203" i="36"/>
  <c r="H203" i="36" s="1"/>
  <c r="J192" i="36"/>
  <c r="K186" i="36"/>
  <c r="F10" i="61" s="1"/>
  <c r="G10" i="61" s="1"/>
  <c r="H186" i="36"/>
  <c r="H10" i="61" s="1"/>
  <c r="I10" i="61" s="1"/>
  <c r="N10" i="61" s="1"/>
  <c r="G186" i="36"/>
  <c r="I1" i="61" s="1"/>
  <c r="F186" i="36"/>
  <c r="H1" i="61" s="1"/>
  <c r="E186" i="36"/>
  <c r="G1" i="61" s="1"/>
  <c r="D186" i="36"/>
  <c r="F1" i="61" s="1"/>
  <c r="D142" i="36"/>
  <c r="G143" i="36" s="1"/>
  <c r="C123" i="36"/>
  <c r="D124" i="36" s="1"/>
  <c r="H3" i="51" s="1"/>
  <c r="N75" i="36"/>
  <c r="D83" i="36" s="1"/>
  <c r="C75" i="36"/>
  <c r="C31" i="36"/>
  <c r="D31" i="36" s="1"/>
  <c r="CU42" i="70"/>
  <c r="CT42" i="70"/>
  <c r="CS42" i="70"/>
  <c r="CR42" i="70"/>
  <c r="CQ42" i="70"/>
  <c r="CP42" i="70"/>
  <c r="CO42" i="70"/>
  <c r="CN42" i="70"/>
  <c r="CM42" i="70"/>
  <c r="CL42" i="70"/>
  <c r="CK42" i="70"/>
  <c r="CJ42" i="70"/>
  <c r="CI42" i="70"/>
  <c r="CH42" i="70"/>
  <c r="CG42" i="70"/>
  <c r="CF42" i="70"/>
  <c r="CE42" i="70"/>
  <c r="CD42" i="70"/>
  <c r="CC42" i="70"/>
  <c r="CB42" i="70"/>
  <c r="CA42" i="70"/>
  <c r="BZ42" i="70"/>
  <c r="BY42" i="70"/>
  <c r="BX42" i="70"/>
  <c r="BW42" i="70"/>
  <c r="BV42" i="70"/>
  <c r="BU42" i="70"/>
  <c r="BT42" i="70"/>
  <c r="BS42" i="70"/>
  <c r="BR42" i="70"/>
  <c r="BQ42" i="70"/>
  <c r="BP42" i="70"/>
  <c r="BO42" i="70"/>
  <c r="BN42" i="70"/>
  <c r="BM42" i="70"/>
  <c r="BL42" i="70"/>
  <c r="BK42" i="70"/>
  <c r="BJ42" i="70"/>
  <c r="BI42" i="70"/>
  <c r="BH42" i="70"/>
  <c r="BG42" i="70"/>
  <c r="BF42" i="70"/>
  <c r="BE42" i="70"/>
  <c r="BD42" i="70"/>
  <c r="BC42" i="70"/>
  <c r="BB42" i="70"/>
  <c r="BA42" i="70"/>
  <c r="AZ42" i="70"/>
  <c r="AY42" i="70"/>
  <c r="AX42" i="70"/>
  <c r="AW42" i="70"/>
  <c r="AV42" i="70"/>
  <c r="AU42" i="70"/>
  <c r="AT42" i="70"/>
  <c r="AS42" i="70"/>
  <c r="AR42" i="70"/>
  <c r="AQ42" i="70"/>
  <c r="AP42" i="70"/>
  <c r="AO42" i="70"/>
  <c r="AN42" i="70"/>
  <c r="AM42" i="70"/>
  <c r="AL42" i="70"/>
  <c r="AK42" i="70"/>
  <c r="AJ42" i="70"/>
  <c r="AI42" i="70"/>
  <c r="AH42" i="70"/>
  <c r="AG42" i="70"/>
  <c r="AF42" i="70"/>
  <c r="AE42" i="70"/>
  <c r="AD42" i="70"/>
  <c r="AC42" i="70"/>
  <c r="AB42" i="70"/>
  <c r="AA42" i="70"/>
  <c r="Z42" i="70"/>
  <c r="Y42" i="70"/>
  <c r="X42" i="70"/>
  <c r="W42" i="70"/>
  <c r="V42" i="70"/>
  <c r="U42" i="70"/>
  <c r="T42" i="70"/>
  <c r="S42" i="70"/>
  <c r="R42" i="70"/>
  <c r="Q42" i="70"/>
  <c r="P42" i="70"/>
  <c r="O42" i="70"/>
  <c r="N42" i="70"/>
  <c r="M42" i="70"/>
  <c r="L42" i="70"/>
  <c r="K42" i="70"/>
  <c r="J42" i="70"/>
  <c r="I42" i="70"/>
  <c r="H42" i="70"/>
  <c r="G42" i="70"/>
  <c r="F42" i="70"/>
  <c r="E42" i="70"/>
  <c r="CU41" i="70"/>
  <c r="CT41" i="70"/>
  <c r="CS41" i="70"/>
  <c r="CR41" i="70"/>
  <c r="CQ41" i="70"/>
  <c r="CP41" i="70"/>
  <c r="CO41" i="70"/>
  <c r="CN41" i="70"/>
  <c r="CM41" i="70"/>
  <c r="CL41" i="70"/>
  <c r="CK41" i="70"/>
  <c r="CJ41" i="70"/>
  <c r="CI41" i="70"/>
  <c r="CH41" i="70"/>
  <c r="CG41" i="70"/>
  <c r="CF41" i="70"/>
  <c r="CE41" i="70"/>
  <c r="CD41" i="70"/>
  <c r="CC41" i="70"/>
  <c r="CB41" i="70"/>
  <c r="CA41" i="70"/>
  <c r="BZ41" i="70"/>
  <c r="BY41" i="70"/>
  <c r="BX41" i="70"/>
  <c r="BW41" i="70"/>
  <c r="BV41" i="70"/>
  <c r="BU41" i="70"/>
  <c r="BT41" i="70"/>
  <c r="BS41" i="70"/>
  <c r="BR41" i="70"/>
  <c r="BQ41" i="70"/>
  <c r="BP41" i="70"/>
  <c r="BO41" i="70"/>
  <c r="BN41" i="70"/>
  <c r="BM41" i="70"/>
  <c r="BL41" i="70"/>
  <c r="BK41" i="70"/>
  <c r="BJ41" i="70"/>
  <c r="BI41" i="70"/>
  <c r="BH41" i="70"/>
  <c r="BG41" i="70"/>
  <c r="BF41" i="70"/>
  <c r="BE41" i="70"/>
  <c r="BD41" i="70"/>
  <c r="BC41" i="70"/>
  <c r="BB41" i="70"/>
  <c r="BA41" i="70"/>
  <c r="AZ41" i="70"/>
  <c r="AY41" i="70"/>
  <c r="AX41" i="70"/>
  <c r="AW41" i="70"/>
  <c r="AV41" i="70"/>
  <c r="AU41" i="70"/>
  <c r="AT41" i="70"/>
  <c r="AS41" i="70"/>
  <c r="AR41" i="70"/>
  <c r="AQ41" i="70"/>
  <c r="AP41" i="70"/>
  <c r="AO41" i="70"/>
  <c r="AN41" i="70"/>
  <c r="AM41" i="70"/>
  <c r="AL41" i="70"/>
  <c r="AK41" i="70"/>
  <c r="AJ41" i="70"/>
  <c r="AI41" i="70"/>
  <c r="AH41" i="70"/>
  <c r="AG41" i="70"/>
  <c r="AF41" i="70"/>
  <c r="AE41" i="70"/>
  <c r="AD41" i="70"/>
  <c r="AC41" i="70"/>
  <c r="AB41" i="70"/>
  <c r="AA41" i="70"/>
  <c r="Z41" i="70"/>
  <c r="Y41" i="70"/>
  <c r="X41" i="70"/>
  <c r="W41" i="70"/>
  <c r="V41" i="70"/>
  <c r="U41" i="70"/>
  <c r="T41" i="70"/>
  <c r="S41" i="70"/>
  <c r="R41" i="70"/>
  <c r="Q41" i="70"/>
  <c r="P41" i="70"/>
  <c r="O41" i="70"/>
  <c r="N41" i="70"/>
  <c r="M41" i="70"/>
  <c r="L41" i="70"/>
  <c r="K41" i="70"/>
  <c r="J41" i="70"/>
  <c r="I41" i="70"/>
  <c r="H41" i="70"/>
  <c r="G41" i="70"/>
  <c r="F41" i="70"/>
  <c r="E41" i="70"/>
  <c r="CU40" i="70"/>
  <c r="CT40" i="70"/>
  <c r="CS40" i="70"/>
  <c r="CR40" i="70"/>
  <c r="CQ40" i="70"/>
  <c r="CP40" i="70"/>
  <c r="CO40" i="70"/>
  <c r="CN40" i="70"/>
  <c r="CM40" i="70"/>
  <c r="CL40" i="70"/>
  <c r="CK40" i="70"/>
  <c r="CJ40" i="70"/>
  <c r="CI40" i="70"/>
  <c r="CH40" i="70"/>
  <c r="CG40" i="70"/>
  <c r="CF40" i="70"/>
  <c r="CE40" i="70"/>
  <c r="CD40" i="70"/>
  <c r="CC40" i="70"/>
  <c r="CB40" i="70"/>
  <c r="CA40" i="70"/>
  <c r="BZ40" i="70"/>
  <c r="BY40" i="70"/>
  <c r="BX40" i="70"/>
  <c r="BW40" i="70"/>
  <c r="BV40" i="70"/>
  <c r="BU40" i="70"/>
  <c r="BT40" i="70"/>
  <c r="BS40" i="70"/>
  <c r="BR40" i="70"/>
  <c r="BQ40" i="70"/>
  <c r="BP40" i="70"/>
  <c r="BO40" i="70"/>
  <c r="BN40" i="70"/>
  <c r="BM40" i="70"/>
  <c r="BL40" i="70"/>
  <c r="BK40" i="70"/>
  <c r="BJ40" i="70"/>
  <c r="BI40" i="70"/>
  <c r="BH40" i="70"/>
  <c r="BG40" i="70"/>
  <c r="BF40" i="70"/>
  <c r="BE40" i="70"/>
  <c r="BD40" i="70"/>
  <c r="BC40" i="70"/>
  <c r="BB40" i="70"/>
  <c r="BA40" i="70"/>
  <c r="AZ40" i="70"/>
  <c r="AY40" i="70"/>
  <c r="AX40" i="70"/>
  <c r="AW40" i="70"/>
  <c r="AV40" i="70"/>
  <c r="AU40" i="70"/>
  <c r="AT40" i="70"/>
  <c r="AS40" i="70"/>
  <c r="AR40" i="70"/>
  <c r="AQ40" i="70"/>
  <c r="AP40" i="70"/>
  <c r="AO40" i="70"/>
  <c r="AN40" i="70"/>
  <c r="AM40" i="70"/>
  <c r="AL40" i="70"/>
  <c r="AK40" i="70"/>
  <c r="AJ40" i="70"/>
  <c r="AI40" i="70"/>
  <c r="AH40" i="70"/>
  <c r="AG40" i="70"/>
  <c r="AF40" i="70"/>
  <c r="AE40" i="70"/>
  <c r="AD40" i="70"/>
  <c r="AC40" i="70"/>
  <c r="AB40" i="70"/>
  <c r="AA40" i="70"/>
  <c r="Z40" i="70"/>
  <c r="Y40" i="70"/>
  <c r="X40" i="70"/>
  <c r="W40" i="70"/>
  <c r="V40" i="70"/>
  <c r="U40" i="70"/>
  <c r="T40" i="70"/>
  <c r="S40" i="70"/>
  <c r="R40" i="70"/>
  <c r="Q40" i="70"/>
  <c r="P40" i="70"/>
  <c r="O40" i="70"/>
  <c r="N40" i="70"/>
  <c r="M40" i="70"/>
  <c r="L40" i="70"/>
  <c r="K40" i="70"/>
  <c r="J40" i="70"/>
  <c r="I40" i="70"/>
  <c r="H40" i="70"/>
  <c r="G40" i="70"/>
  <c r="F40" i="70"/>
  <c r="E40" i="70"/>
  <c r="CU39" i="70"/>
  <c r="CT39" i="70"/>
  <c r="CS39" i="70"/>
  <c r="CR39" i="70"/>
  <c r="CQ39" i="70"/>
  <c r="CP39" i="70"/>
  <c r="CO39" i="70"/>
  <c r="CN39" i="70"/>
  <c r="CM39" i="70"/>
  <c r="CL39" i="70"/>
  <c r="CK39" i="70"/>
  <c r="CJ39" i="70"/>
  <c r="CI39" i="70"/>
  <c r="CH39" i="70"/>
  <c r="CG39" i="70"/>
  <c r="CF39" i="70"/>
  <c r="CE39" i="70"/>
  <c r="CD39" i="70"/>
  <c r="CC39" i="70"/>
  <c r="CB39" i="70"/>
  <c r="CA39" i="70"/>
  <c r="BZ39" i="70"/>
  <c r="BY39" i="70"/>
  <c r="BX39" i="70"/>
  <c r="BW39" i="70"/>
  <c r="BV39" i="70"/>
  <c r="BU39" i="70"/>
  <c r="BT39" i="70"/>
  <c r="BS39" i="70"/>
  <c r="BR39" i="70"/>
  <c r="BQ39" i="70"/>
  <c r="BP39" i="70"/>
  <c r="BO39" i="70"/>
  <c r="BN39" i="70"/>
  <c r="BM39" i="70"/>
  <c r="BL39" i="70"/>
  <c r="BK39" i="70"/>
  <c r="BJ39" i="70"/>
  <c r="BI39" i="70"/>
  <c r="BH39" i="70"/>
  <c r="BG39" i="70"/>
  <c r="BF39" i="70"/>
  <c r="BE39" i="70"/>
  <c r="BD39" i="70"/>
  <c r="BC39" i="70"/>
  <c r="BB39" i="70"/>
  <c r="BA39" i="70"/>
  <c r="AZ39" i="70"/>
  <c r="AY39" i="70"/>
  <c r="AX39" i="70"/>
  <c r="AW39" i="70"/>
  <c r="AV39" i="70"/>
  <c r="AU39" i="70"/>
  <c r="AT39" i="70"/>
  <c r="AS39" i="70"/>
  <c r="AR39" i="70"/>
  <c r="AQ39" i="70"/>
  <c r="AP39" i="70"/>
  <c r="AO39" i="70"/>
  <c r="AN39" i="70"/>
  <c r="AM39" i="70"/>
  <c r="AL39" i="70"/>
  <c r="AK39" i="70"/>
  <c r="AJ39" i="70"/>
  <c r="AI39" i="70"/>
  <c r="AH39" i="70"/>
  <c r="AG39" i="70"/>
  <c r="AF39" i="70"/>
  <c r="AE39" i="70"/>
  <c r="AD39" i="70"/>
  <c r="AC39" i="70"/>
  <c r="AB39" i="70"/>
  <c r="AA39" i="70"/>
  <c r="Z39" i="70"/>
  <c r="Y39" i="70"/>
  <c r="X39" i="70"/>
  <c r="W39" i="70"/>
  <c r="V39" i="70"/>
  <c r="U39" i="70"/>
  <c r="T39" i="70"/>
  <c r="S39" i="70"/>
  <c r="R39" i="70"/>
  <c r="Q39" i="70"/>
  <c r="P39" i="70"/>
  <c r="O39" i="70"/>
  <c r="N39" i="70"/>
  <c r="M39" i="70"/>
  <c r="L39" i="70"/>
  <c r="K39" i="70"/>
  <c r="J39" i="70"/>
  <c r="I39" i="70"/>
  <c r="H39" i="70"/>
  <c r="G39" i="70"/>
  <c r="F39" i="70"/>
  <c r="E39" i="70"/>
  <c r="CU38" i="70"/>
  <c r="CT38" i="70"/>
  <c r="CS38" i="70"/>
  <c r="CR38" i="70"/>
  <c r="CQ38" i="70"/>
  <c r="CP38" i="70"/>
  <c r="CO38" i="70"/>
  <c r="CN38" i="70"/>
  <c r="CM38" i="70"/>
  <c r="CL38" i="70"/>
  <c r="CK38" i="70"/>
  <c r="CJ38" i="70"/>
  <c r="CI38" i="70"/>
  <c r="CH38" i="70"/>
  <c r="CG38" i="70"/>
  <c r="CF38" i="70"/>
  <c r="CE38" i="70"/>
  <c r="CD38" i="70"/>
  <c r="CC38" i="70"/>
  <c r="CB38" i="70"/>
  <c r="CA38" i="70"/>
  <c r="BZ38" i="70"/>
  <c r="BY38" i="70"/>
  <c r="BX38" i="70"/>
  <c r="BW38" i="70"/>
  <c r="BV38" i="70"/>
  <c r="BU38" i="70"/>
  <c r="BT38" i="70"/>
  <c r="BS38" i="70"/>
  <c r="BR38" i="70"/>
  <c r="BQ38" i="70"/>
  <c r="BP38" i="70"/>
  <c r="BO38" i="70"/>
  <c r="BN38" i="70"/>
  <c r="BM38" i="70"/>
  <c r="BL38" i="70"/>
  <c r="BK38" i="70"/>
  <c r="BJ38" i="70"/>
  <c r="BI38" i="70"/>
  <c r="BH38" i="70"/>
  <c r="BG38" i="70"/>
  <c r="BF38" i="70"/>
  <c r="BE38" i="70"/>
  <c r="BD38" i="70"/>
  <c r="BC38" i="70"/>
  <c r="BB38" i="70"/>
  <c r="BA38" i="70"/>
  <c r="AZ38" i="70"/>
  <c r="AY38" i="70"/>
  <c r="AX38" i="70"/>
  <c r="AW38" i="70"/>
  <c r="AV38" i="70"/>
  <c r="AU38" i="70"/>
  <c r="AT38" i="70"/>
  <c r="AS38" i="70"/>
  <c r="AR38" i="70"/>
  <c r="AQ38" i="70"/>
  <c r="AP38" i="70"/>
  <c r="AO38" i="70"/>
  <c r="AN38" i="70"/>
  <c r="AM38" i="70"/>
  <c r="AL38" i="70"/>
  <c r="AK38" i="70"/>
  <c r="AJ38" i="70"/>
  <c r="AI38" i="70"/>
  <c r="AH38" i="70"/>
  <c r="AG38" i="70"/>
  <c r="AF38" i="70"/>
  <c r="AE38" i="70"/>
  <c r="AD38" i="70"/>
  <c r="AC38" i="70"/>
  <c r="AB38" i="70"/>
  <c r="AA38" i="70"/>
  <c r="Z38" i="70"/>
  <c r="Y38" i="70"/>
  <c r="X38" i="70"/>
  <c r="W38" i="70"/>
  <c r="V38" i="70"/>
  <c r="U38" i="70"/>
  <c r="T38" i="70"/>
  <c r="S38" i="70"/>
  <c r="R38" i="70"/>
  <c r="Q38" i="70"/>
  <c r="P38" i="70"/>
  <c r="O38" i="70"/>
  <c r="N38" i="70"/>
  <c r="M38" i="70"/>
  <c r="L38" i="70"/>
  <c r="K38" i="70"/>
  <c r="J38" i="70"/>
  <c r="I38" i="70"/>
  <c r="H38" i="70"/>
  <c r="G38" i="70"/>
  <c r="F38" i="70"/>
  <c r="E38" i="70"/>
  <c r="CU37" i="70"/>
  <c r="CT37" i="70"/>
  <c r="CS37" i="70"/>
  <c r="CR37" i="70"/>
  <c r="CQ37" i="70"/>
  <c r="CP37" i="70"/>
  <c r="CO37" i="70"/>
  <c r="CN37" i="70"/>
  <c r="CM37" i="70"/>
  <c r="CL37" i="70"/>
  <c r="CK37" i="70"/>
  <c r="CJ37" i="70"/>
  <c r="CI37" i="70"/>
  <c r="CH37" i="70"/>
  <c r="CG37" i="70"/>
  <c r="CF37" i="70"/>
  <c r="CE37" i="70"/>
  <c r="CD37" i="70"/>
  <c r="CC37" i="70"/>
  <c r="CB37" i="70"/>
  <c r="CA37" i="70"/>
  <c r="BZ37" i="70"/>
  <c r="BY37" i="70"/>
  <c r="BX37" i="70"/>
  <c r="BW37" i="70"/>
  <c r="BV37" i="70"/>
  <c r="BU37" i="70"/>
  <c r="BT37" i="70"/>
  <c r="BS37" i="70"/>
  <c r="BR37" i="70"/>
  <c r="BQ37" i="70"/>
  <c r="BP37" i="70"/>
  <c r="BO37" i="70"/>
  <c r="BN37" i="70"/>
  <c r="BM37" i="70"/>
  <c r="BL37" i="70"/>
  <c r="BK37" i="70"/>
  <c r="BJ37" i="70"/>
  <c r="BI37" i="70"/>
  <c r="BH37" i="70"/>
  <c r="BG37" i="70"/>
  <c r="BF37" i="70"/>
  <c r="BE37" i="70"/>
  <c r="BD37" i="70"/>
  <c r="BC37" i="70"/>
  <c r="BB37" i="70"/>
  <c r="BA37" i="70"/>
  <c r="AZ37" i="70"/>
  <c r="AY37" i="70"/>
  <c r="AX37" i="70"/>
  <c r="AW37" i="70"/>
  <c r="AV37" i="70"/>
  <c r="AU37" i="70"/>
  <c r="AT37" i="70"/>
  <c r="AS37" i="70"/>
  <c r="AR37" i="70"/>
  <c r="AQ37" i="70"/>
  <c r="AP37" i="70"/>
  <c r="AO37" i="70"/>
  <c r="AN37" i="70"/>
  <c r="AM37" i="70"/>
  <c r="AL37" i="70"/>
  <c r="AK37" i="70"/>
  <c r="AJ37" i="70"/>
  <c r="AI37" i="70"/>
  <c r="AH37" i="70"/>
  <c r="AG37" i="70"/>
  <c r="AF37" i="70"/>
  <c r="AE37" i="70"/>
  <c r="AD37" i="70"/>
  <c r="AC37" i="70"/>
  <c r="AB37" i="70"/>
  <c r="AA37" i="70"/>
  <c r="Z37" i="70"/>
  <c r="Y37" i="70"/>
  <c r="X37" i="70"/>
  <c r="W37" i="70"/>
  <c r="V37" i="70"/>
  <c r="U37" i="70"/>
  <c r="T37" i="70"/>
  <c r="S37" i="70"/>
  <c r="R37" i="70"/>
  <c r="Q37" i="70"/>
  <c r="P37" i="70"/>
  <c r="O37" i="70"/>
  <c r="N37" i="70"/>
  <c r="M37" i="70"/>
  <c r="L37" i="70"/>
  <c r="K37" i="70"/>
  <c r="J37" i="70"/>
  <c r="I37" i="70"/>
  <c r="H37" i="70"/>
  <c r="G37" i="70"/>
  <c r="F37" i="70"/>
  <c r="E37" i="70"/>
  <c r="CU36" i="70"/>
  <c r="CT36" i="70"/>
  <c r="CS36" i="70"/>
  <c r="CR36" i="70"/>
  <c r="CQ36" i="70"/>
  <c r="CP36" i="70"/>
  <c r="CO36" i="70"/>
  <c r="CN36" i="70"/>
  <c r="CM36" i="70"/>
  <c r="CL36" i="70"/>
  <c r="CK36" i="70"/>
  <c r="CJ36" i="70"/>
  <c r="CI36" i="70"/>
  <c r="CH36" i="70"/>
  <c r="CG36" i="70"/>
  <c r="CF36" i="70"/>
  <c r="CE36" i="70"/>
  <c r="CD36" i="70"/>
  <c r="CC36" i="70"/>
  <c r="CB36" i="70"/>
  <c r="CA36" i="70"/>
  <c r="BZ36" i="70"/>
  <c r="BY36" i="70"/>
  <c r="BX36" i="70"/>
  <c r="BW36" i="70"/>
  <c r="BV36" i="70"/>
  <c r="BU36" i="70"/>
  <c r="BT36" i="70"/>
  <c r="BS36" i="70"/>
  <c r="BR36" i="70"/>
  <c r="BQ36" i="70"/>
  <c r="BP36" i="70"/>
  <c r="BO36" i="70"/>
  <c r="BN36" i="70"/>
  <c r="BM36" i="70"/>
  <c r="BL36" i="70"/>
  <c r="BK36" i="70"/>
  <c r="BJ36" i="70"/>
  <c r="BI36" i="70"/>
  <c r="BH36" i="70"/>
  <c r="BG36" i="70"/>
  <c r="BF36" i="70"/>
  <c r="BE36" i="70"/>
  <c r="BD36" i="70"/>
  <c r="BC36" i="70"/>
  <c r="BB36" i="70"/>
  <c r="BA36" i="70"/>
  <c r="AZ36" i="70"/>
  <c r="AY36" i="70"/>
  <c r="AX36" i="70"/>
  <c r="AW36" i="70"/>
  <c r="AV36" i="70"/>
  <c r="AU36" i="70"/>
  <c r="AT36" i="70"/>
  <c r="AS36" i="70"/>
  <c r="AR36" i="70"/>
  <c r="AQ36" i="70"/>
  <c r="AP36" i="70"/>
  <c r="AO36" i="70"/>
  <c r="AN36" i="70"/>
  <c r="AM36" i="70"/>
  <c r="AL36" i="70"/>
  <c r="AK36" i="70"/>
  <c r="AJ36" i="70"/>
  <c r="AI36" i="70"/>
  <c r="AH36" i="70"/>
  <c r="AG36" i="70"/>
  <c r="AF36" i="70"/>
  <c r="AE36" i="70"/>
  <c r="AD36" i="70"/>
  <c r="AC36" i="70"/>
  <c r="AB36" i="70"/>
  <c r="AA36" i="70"/>
  <c r="Z36" i="70"/>
  <c r="Y36" i="70"/>
  <c r="X36" i="70"/>
  <c r="W36" i="70"/>
  <c r="V36" i="70"/>
  <c r="U36" i="70"/>
  <c r="T36" i="70"/>
  <c r="S36" i="70"/>
  <c r="R36" i="70"/>
  <c r="Q36" i="70"/>
  <c r="P36" i="70"/>
  <c r="O36" i="70"/>
  <c r="N36" i="70"/>
  <c r="M36" i="70"/>
  <c r="L36" i="70"/>
  <c r="K36" i="70"/>
  <c r="J36" i="70"/>
  <c r="I36" i="70"/>
  <c r="H36" i="70"/>
  <c r="G36" i="70"/>
  <c r="F36" i="70"/>
  <c r="E36" i="70"/>
  <c r="CU35" i="70"/>
  <c r="CT35" i="70"/>
  <c r="CS35" i="70"/>
  <c r="CR35" i="70"/>
  <c r="CQ35" i="70"/>
  <c r="CP35" i="70"/>
  <c r="CO35" i="70"/>
  <c r="CN35" i="70"/>
  <c r="CM35" i="70"/>
  <c r="CL35" i="70"/>
  <c r="CK35" i="70"/>
  <c r="CJ35" i="70"/>
  <c r="CI35" i="70"/>
  <c r="CH35" i="70"/>
  <c r="CG35" i="70"/>
  <c r="CF35" i="70"/>
  <c r="CE35" i="70"/>
  <c r="CD35" i="70"/>
  <c r="CC35" i="70"/>
  <c r="CB35" i="70"/>
  <c r="CA35" i="70"/>
  <c r="BZ35" i="70"/>
  <c r="BY35" i="70"/>
  <c r="BX35" i="70"/>
  <c r="BW35" i="70"/>
  <c r="BV35" i="70"/>
  <c r="BU35" i="70"/>
  <c r="BT35" i="70"/>
  <c r="BS35" i="70"/>
  <c r="BR35" i="70"/>
  <c r="BQ35" i="70"/>
  <c r="BP35" i="70"/>
  <c r="BO35" i="70"/>
  <c r="BN35" i="70"/>
  <c r="BM35" i="70"/>
  <c r="BL35" i="70"/>
  <c r="BK35" i="70"/>
  <c r="BJ35" i="70"/>
  <c r="BI35" i="70"/>
  <c r="BH35" i="70"/>
  <c r="BG35" i="70"/>
  <c r="BF35" i="70"/>
  <c r="BE35" i="70"/>
  <c r="BD35" i="70"/>
  <c r="BC35" i="70"/>
  <c r="BB35" i="70"/>
  <c r="BA35" i="70"/>
  <c r="AZ35" i="70"/>
  <c r="AY35" i="70"/>
  <c r="AX35" i="70"/>
  <c r="AW35" i="70"/>
  <c r="AV35" i="70"/>
  <c r="AU35" i="70"/>
  <c r="AT35" i="70"/>
  <c r="AS35" i="70"/>
  <c r="AR35" i="70"/>
  <c r="AQ35" i="70"/>
  <c r="AP35" i="70"/>
  <c r="AO35" i="70"/>
  <c r="AN35" i="70"/>
  <c r="AM35" i="70"/>
  <c r="AL35" i="70"/>
  <c r="AK35" i="70"/>
  <c r="AJ35" i="70"/>
  <c r="AI35" i="70"/>
  <c r="AH35" i="70"/>
  <c r="AG35" i="70"/>
  <c r="AF35" i="70"/>
  <c r="AE35" i="70"/>
  <c r="AD35" i="70"/>
  <c r="AC35" i="70"/>
  <c r="AB35" i="70"/>
  <c r="AA35" i="70"/>
  <c r="Z35" i="70"/>
  <c r="Y35" i="70"/>
  <c r="X35" i="70"/>
  <c r="W35" i="70"/>
  <c r="V35" i="70"/>
  <c r="U35" i="70"/>
  <c r="T35" i="70"/>
  <c r="S35" i="70"/>
  <c r="R35" i="70"/>
  <c r="Q35" i="70"/>
  <c r="P35" i="70"/>
  <c r="O35" i="70"/>
  <c r="N35" i="70"/>
  <c r="M35" i="70"/>
  <c r="L35" i="70"/>
  <c r="K35" i="70"/>
  <c r="J35" i="70"/>
  <c r="I35" i="70"/>
  <c r="H35" i="70"/>
  <c r="G35" i="70"/>
  <c r="F35" i="70"/>
  <c r="E35" i="70"/>
  <c r="CU34" i="70"/>
  <c r="CT34" i="70"/>
  <c r="CS34" i="70"/>
  <c r="CR34" i="70"/>
  <c r="CQ34" i="70"/>
  <c r="CP34" i="70"/>
  <c r="CO34" i="70"/>
  <c r="CN34" i="70"/>
  <c r="CM34" i="70"/>
  <c r="CL34" i="70"/>
  <c r="CK34" i="70"/>
  <c r="CJ34" i="70"/>
  <c r="CI34" i="70"/>
  <c r="CH34" i="70"/>
  <c r="CG34" i="70"/>
  <c r="CF34" i="70"/>
  <c r="CE34" i="70"/>
  <c r="CD34" i="70"/>
  <c r="CC34" i="70"/>
  <c r="CB34" i="70"/>
  <c r="CA34" i="70"/>
  <c r="BZ34" i="70"/>
  <c r="BY34" i="70"/>
  <c r="BX34" i="70"/>
  <c r="BW34" i="70"/>
  <c r="BV34" i="70"/>
  <c r="BU34" i="70"/>
  <c r="BT34" i="70"/>
  <c r="BS34" i="70"/>
  <c r="BR34" i="70"/>
  <c r="BQ34" i="70"/>
  <c r="BP34" i="70"/>
  <c r="BO34" i="70"/>
  <c r="BN34" i="70"/>
  <c r="BM34" i="70"/>
  <c r="BL34" i="70"/>
  <c r="BK34" i="70"/>
  <c r="BJ34" i="70"/>
  <c r="BI34" i="70"/>
  <c r="BH34" i="70"/>
  <c r="BG34" i="70"/>
  <c r="BF34" i="70"/>
  <c r="BE34" i="70"/>
  <c r="BD34" i="70"/>
  <c r="BC34" i="70"/>
  <c r="BB34" i="70"/>
  <c r="BA34" i="70"/>
  <c r="AZ34" i="70"/>
  <c r="AY34" i="70"/>
  <c r="AX34" i="70"/>
  <c r="AW34" i="70"/>
  <c r="AV34" i="70"/>
  <c r="AU34" i="70"/>
  <c r="AT34" i="70"/>
  <c r="AS34" i="70"/>
  <c r="AR34" i="70"/>
  <c r="AQ34" i="70"/>
  <c r="AP34" i="70"/>
  <c r="AO34" i="70"/>
  <c r="AN34" i="70"/>
  <c r="AM34" i="70"/>
  <c r="AL34" i="70"/>
  <c r="AK34" i="70"/>
  <c r="AJ34" i="70"/>
  <c r="AI34" i="70"/>
  <c r="AH34" i="70"/>
  <c r="AG34" i="70"/>
  <c r="AF34" i="70"/>
  <c r="AE34" i="70"/>
  <c r="AD34" i="70"/>
  <c r="AC34" i="70"/>
  <c r="AB34" i="70"/>
  <c r="AA34" i="70"/>
  <c r="Z34" i="70"/>
  <c r="Y34" i="70"/>
  <c r="X34" i="70"/>
  <c r="W34" i="70"/>
  <c r="V34" i="70"/>
  <c r="U34" i="70"/>
  <c r="T34" i="70"/>
  <c r="S34" i="70"/>
  <c r="R34" i="70"/>
  <c r="Q34" i="70"/>
  <c r="P34" i="70"/>
  <c r="O34" i="70"/>
  <c r="N34" i="70"/>
  <c r="M34" i="70"/>
  <c r="L34" i="70"/>
  <c r="K34" i="70"/>
  <c r="J34" i="70"/>
  <c r="I34" i="70"/>
  <c r="H34" i="70"/>
  <c r="G34" i="70"/>
  <c r="F34" i="70"/>
  <c r="E34" i="70"/>
  <c r="CU33" i="70"/>
  <c r="CT33" i="70"/>
  <c r="CS33" i="70"/>
  <c r="CR33" i="70"/>
  <c r="CQ33" i="70"/>
  <c r="CP33" i="70"/>
  <c r="CO33" i="70"/>
  <c r="CN33" i="70"/>
  <c r="CM33" i="70"/>
  <c r="CL33" i="70"/>
  <c r="CK33" i="70"/>
  <c r="CJ33" i="70"/>
  <c r="CI33" i="70"/>
  <c r="CH33" i="70"/>
  <c r="CG33" i="70"/>
  <c r="CF33" i="70"/>
  <c r="CE33" i="70"/>
  <c r="CD33" i="70"/>
  <c r="CC33" i="70"/>
  <c r="CB33" i="70"/>
  <c r="CA33" i="70"/>
  <c r="BZ33" i="70"/>
  <c r="BY33" i="70"/>
  <c r="BX33" i="70"/>
  <c r="BW33" i="70"/>
  <c r="BV33" i="70"/>
  <c r="BU33" i="70"/>
  <c r="BT33" i="70"/>
  <c r="BS33" i="70"/>
  <c r="BR33" i="70"/>
  <c r="BQ33" i="70"/>
  <c r="BP33" i="70"/>
  <c r="BO33" i="70"/>
  <c r="BN33" i="70"/>
  <c r="BM33" i="70"/>
  <c r="BL33" i="70"/>
  <c r="BK33" i="70"/>
  <c r="BJ33" i="70"/>
  <c r="BI33" i="70"/>
  <c r="BH33" i="70"/>
  <c r="BG33" i="70"/>
  <c r="BF33" i="70"/>
  <c r="BE33" i="70"/>
  <c r="BD33" i="70"/>
  <c r="BC33" i="70"/>
  <c r="BB33" i="70"/>
  <c r="BA33" i="70"/>
  <c r="AZ33" i="70"/>
  <c r="AY33" i="70"/>
  <c r="AX33" i="70"/>
  <c r="AW33" i="70"/>
  <c r="AV33" i="70"/>
  <c r="AU33" i="70"/>
  <c r="AT33" i="70"/>
  <c r="AS33" i="70"/>
  <c r="AR33" i="70"/>
  <c r="AQ33" i="70"/>
  <c r="AP33" i="70"/>
  <c r="AO33" i="70"/>
  <c r="AN33" i="70"/>
  <c r="AM33" i="70"/>
  <c r="AL33" i="70"/>
  <c r="AK33" i="70"/>
  <c r="AJ33" i="70"/>
  <c r="AI33" i="70"/>
  <c r="AH33" i="70"/>
  <c r="AG33" i="70"/>
  <c r="AF33" i="70"/>
  <c r="AE33" i="70"/>
  <c r="AD33" i="70"/>
  <c r="AC33" i="70"/>
  <c r="AB33" i="70"/>
  <c r="AA33" i="70"/>
  <c r="Z33" i="70"/>
  <c r="Y33" i="70"/>
  <c r="X33" i="70"/>
  <c r="W33" i="70"/>
  <c r="V33" i="70"/>
  <c r="U33" i="70"/>
  <c r="T33" i="70"/>
  <c r="S33" i="70"/>
  <c r="R33" i="70"/>
  <c r="Q33" i="70"/>
  <c r="P33" i="70"/>
  <c r="O33" i="70"/>
  <c r="N33" i="70"/>
  <c r="M33" i="70"/>
  <c r="L33" i="70"/>
  <c r="K33" i="70"/>
  <c r="J33" i="70"/>
  <c r="I33" i="70"/>
  <c r="H33" i="70"/>
  <c r="G33" i="70"/>
  <c r="F33" i="70"/>
  <c r="E33" i="70"/>
  <c r="CU32" i="70"/>
  <c r="CT32" i="70"/>
  <c r="CS32" i="70"/>
  <c r="CR32" i="70"/>
  <c r="CQ32" i="70"/>
  <c r="CP32" i="70"/>
  <c r="CO32" i="70"/>
  <c r="CN32" i="70"/>
  <c r="CM32" i="70"/>
  <c r="CL32" i="70"/>
  <c r="CK32" i="70"/>
  <c r="CJ32" i="70"/>
  <c r="CI32" i="70"/>
  <c r="CH32" i="70"/>
  <c r="CG32" i="70"/>
  <c r="CF32" i="70"/>
  <c r="CE32" i="70"/>
  <c r="CD32" i="70"/>
  <c r="CC32" i="70"/>
  <c r="CB32" i="70"/>
  <c r="CA32" i="70"/>
  <c r="BZ32" i="70"/>
  <c r="BY32" i="70"/>
  <c r="BX32" i="70"/>
  <c r="BW32" i="70"/>
  <c r="BV32" i="70"/>
  <c r="BU32" i="70"/>
  <c r="BT32" i="70"/>
  <c r="BS32" i="70"/>
  <c r="BR32" i="70"/>
  <c r="BQ32" i="70"/>
  <c r="BP32" i="70"/>
  <c r="BO32" i="70"/>
  <c r="BN32" i="70"/>
  <c r="BM32" i="70"/>
  <c r="BL32" i="70"/>
  <c r="BK32" i="70"/>
  <c r="BJ32" i="70"/>
  <c r="BI32" i="70"/>
  <c r="BH32" i="70"/>
  <c r="BG32" i="70"/>
  <c r="BF32" i="70"/>
  <c r="BE32" i="70"/>
  <c r="BD32" i="70"/>
  <c r="BC32" i="70"/>
  <c r="BB32" i="70"/>
  <c r="BA32" i="70"/>
  <c r="AZ32" i="70"/>
  <c r="AY32" i="70"/>
  <c r="AX32" i="70"/>
  <c r="AW32" i="70"/>
  <c r="AV32" i="70"/>
  <c r="AU32" i="70"/>
  <c r="AT32" i="70"/>
  <c r="AS32" i="70"/>
  <c r="AR32" i="70"/>
  <c r="AQ32" i="70"/>
  <c r="AP32" i="70"/>
  <c r="AO32" i="70"/>
  <c r="AN32" i="70"/>
  <c r="AM32" i="70"/>
  <c r="AL32" i="70"/>
  <c r="AK32" i="70"/>
  <c r="AJ32" i="70"/>
  <c r="AI32" i="70"/>
  <c r="AH32" i="70"/>
  <c r="AG32" i="70"/>
  <c r="AF32" i="70"/>
  <c r="AE32" i="70"/>
  <c r="AD32" i="70"/>
  <c r="AC32" i="70"/>
  <c r="AB32" i="70"/>
  <c r="AA32" i="70"/>
  <c r="Z32" i="70"/>
  <c r="Y32" i="70"/>
  <c r="X32" i="70"/>
  <c r="W32" i="70"/>
  <c r="V32" i="70"/>
  <c r="U32" i="70"/>
  <c r="T32" i="70"/>
  <c r="S32" i="70"/>
  <c r="R32" i="70"/>
  <c r="Q32" i="70"/>
  <c r="P32" i="70"/>
  <c r="O32" i="70"/>
  <c r="N32" i="70"/>
  <c r="M32" i="70"/>
  <c r="L32" i="70"/>
  <c r="K32" i="70"/>
  <c r="J32" i="70"/>
  <c r="I32" i="70"/>
  <c r="H32" i="70"/>
  <c r="G32" i="70"/>
  <c r="F32" i="70"/>
  <c r="E32" i="70"/>
  <c r="CU31" i="70"/>
  <c r="CT31" i="70"/>
  <c r="CS31" i="70"/>
  <c r="CR31" i="70"/>
  <c r="CQ31" i="70"/>
  <c r="CP31" i="70"/>
  <c r="CO31" i="70"/>
  <c r="CN31" i="70"/>
  <c r="CM31" i="70"/>
  <c r="CL31" i="70"/>
  <c r="CK31" i="70"/>
  <c r="CJ31" i="70"/>
  <c r="CI31" i="70"/>
  <c r="CH31" i="70"/>
  <c r="CG31" i="70"/>
  <c r="CF31" i="70"/>
  <c r="CE31" i="70"/>
  <c r="CD31" i="70"/>
  <c r="CC31" i="70"/>
  <c r="CB31" i="70"/>
  <c r="CA31" i="70"/>
  <c r="BZ31" i="70"/>
  <c r="BY31" i="70"/>
  <c r="BX31" i="70"/>
  <c r="BW31" i="70"/>
  <c r="BV31" i="70"/>
  <c r="BU31" i="70"/>
  <c r="BT31" i="70"/>
  <c r="BS31" i="70"/>
  <c r="BR31" i="70"/>
  <c r="BQ31" i="70"/>
  <c r="BP31" i="70"/>
  <c r="BO31" i="70"/>
  <c r="BN31" i="70"/>
  <c r="BM31" i="70"/>
  <c r="BL31" i="70"/>
  <c r="BK31" i="70"/>
  <c r="BJ31" i="70"/>
  <c r="BI31" i="70"/>
  <c r="BH31" i="70"/>
  <c r="BG31" i="70"/>
  <c r="BF31" i="70"/>
  <c r="BE31" i="70"/>
  <c r="BD31" i="70"/>
  <c r="BC31" i="70"/>
  <c r="BB31" i="70"/>
  <c r="BA31" i="70"/>
  <c r="AZ31" i="70"/>
  <c r="AY31" i="70"/>
  <c r="AX31" i="70"/>
  <c r="AW31" i="70"/>
  <c r="AV31" i="70"/>
  <c r="AU31" i="70"/>
  <c r="AT31" i="70"/>
  <c r="AS31" i="70"/>
  <c r="AR31" i="70"/>
  <c r="AQ31" i="70"/>
  <c r="AP31" i="70"/>
  <c r="AO31" i="70"/>
  <c r="AN31" i="70"/>
  <c r="AM31" i="70"/>
  <c r="AL31" i="70"/>
  <c r="AK31" i="70"/>
  <c r="AJ31" i="70"/>
  <c r="AI31" i="70"/>
  <c r="AH31" i="70"/>
  <c r="AG31" i="70"/>
  <c r="AF31" i="70"/>
  <c r="AE31" i="70"/>
  <c r="AD31" i="70"/>
  <c r="AC31" i="70"/>
  <c r="AB31" i="70"/>
  <c r="AA31" i="70"/>
  <c r="Z31" i="70"/>
  <c r="Y31" i="70"/>
  <c r="X31" i="70"/>
  <c r="W31" i="70"/>
  <c r="V31" i="70"/>
  <c r="U31" i="70"/>
  <c r="T31" i="70"/>
  <c r="S31" i="70"/>
  <c r="R31" i="70"/>
  <c r="Q31" i="70"/>
  <c r="P31" i="70"/>
  <c r="O31" i="70"/>
  <c r="N31" i="70"/>
  <c r="M31" i="70"/>
  <c r="L31" i="70"/>
  <c r="K31" i="70"/>
  <c r="J31" i="70"/>
  <c r="I31" i="70"/>
  <c r="H31" i="70"/>
  <c r="G31" i="70"/>
  <c r="F31" i="70"/>
  <c r="E31" i="70"/>
  <c r="CU30" i="70"/>
  <c r="CT30" i="70"/>
  <c r="CS30" i="70"/>
  <c r="CR30" i="70"/>
  <c r="CQ30" i="70"/>
  <c r="CP30" i="70"/>
  <c r="CO30" i="70"/>
  <c r="CN30" i="70"/>
  <c r="CM30" i="70"/>
  <c r="CL30" i="70"/>
  <c r="CK30" i="70"/>
  <c r="CJ30" i="70"/>
  <c r="CI30" i="70"/>
  <c r="CH30" i="70"/>
  <c r="CG30" i="70"/>
  <c r="CF30" i="70"/>
  <c r="CE30" i="70"/>
  <c r="CD30" i="70"/>
  <c r="CC30" i="70"/>
  <c r="CB30" i="70"/>
  <c r="CA30" i="70"/>
  <c r="BZ30" i="70"/>
  <c r="BY30" i="70"/>
  <c r="BX30" i="70"/>
  <c r="BW30" i="70"/>
  <c r="BV30" i="70"/>
  <c r="BU30" i="70"/>
  <c r="BT30" i="70"/>
  <c r="BS30" i="70"/>
  <c r="BR30" i="70"/>
  <c r="BQ30" i="70"/>
  <c r="BP30" i="70"/>
  <c r="BO30" i="70"/>
  <c r="BN30" i="70"/>
  <c r="BM30" i="70"/>
  <c r="BL30" i="70"/>
  <c r="BK30" i="70"/>
  <c r="BJ30" i="70"/>
  <c r="BI30" i="70"/>
  <c r="BH30" i="70"/>
  <c r="BG30" i="70"/>
  <c r="BF30" i="70"/>
  <c r="BE30" i="70"/>
  <c r="BD30" i="70"/>
  <c r="BC30" i="70"/>
  <c r="BB30" i="70"/>
  <c r="BA30" i="70"/>
  <c r="AZ30" i="70"/>
  <c r="AY30" i="70"/>
  <c r="AX30" i="70"/>
  <c r="AW30" i="70"/>
  <c r="AV30" i="70"/>
  <c r="AU30" i="70"/>
  <c r="AT30" i="70"/>
  <c r="AS30" i="70"/>
  <c r="AR30" i="70"/>
  <c r="AQ30" i="70"/>
  <c r="AP30" i="70"/>
  <c r="AO30" i="70"/>
  <c r="AN30" i="70"/>
  <c r="AM30" i="70"/>
  <c r="AL30" i="70"/>
  <c r="AK30" i="70"/>
  <c r="AJ30" i="70"/>
  <c r="AI30" i="70"/>
  <c r="AH30" i="70"/>
  <c r="AG30" i="70"/>
  <c r="AF30" i="70"/>
  <c r="AE30" i="70"/>
  <c r="AD30" i="70"/>
  <c r="AC30" i="70"/>
  <c r="AB30" i="70"/>
  <c r="AA30" i="70"/>
  <c r="Z30" i="70"/>
  <c r="Y30" i="70"/>
  <c r="X30" i="70"/>
  <c r="W30" i="70"/>
  <c r="V30" i="70"/>
  <c r="U30" i="70"/>
  <c r="T30" i="70"/>
  <c r="S30" i="70"/>
  <c r="R30" i="70"/>
  <c r="Q30" i="70"/>
  <c r="P30" i="70"/>
  <c r="O30" i="70"/>
  <c r="N30" i="70"/>
  <c r="M30" i="70"/>
  <c r="L30" i="70"/>
  <c r="K30" i="70"/>
  <c r="J30" i="70"/>
  <c r="I30" i="70"/>
  <c r="H30" i="70"/>
  <c r="G30" i="70"/>
  <c r="F30" i="70"/>
  <c r="E30" i="70"/>
  <c r="CU29" i="70"/>
  <c r="CT29" i="70"/>
  <c r="CS29" i="70"/>
  <c r="CR29" i="70"/>
  <c r="CQ29" i="70"/>
  <c r="CP29" i="70"/>
  <c r="CO29" i="70"/>
  <c r="CN29" i="70"/>
  <c r="CM29" i="70"/>
  <c r="CL29" i="70"/>
  <c r="CK29" i="70"/>
  <c r="CJ29" i="70"/>
  <c r="CI29" i="70"/>
  <c r="CH29" i="70"/>
  <c r="CG29" i="70"/>
  <c r="CF29" i="70"/>
  <c r="CE29" i="70"/>
  <c r="CD29" i="70"/>
  <c r="CC29" i="70"/>
  <c r="CB29" i="70"/>
  <c r="CA29" i="70"/>
  <c r="BZ29" i="70"/>
  <c r="BY29" i="70"/>
  <c r="BX29" i="70"/>
  <c r="BW29" i="70"/>
  <c r="BV29" i="70"/>
  <c r="BU29" i="70"/>
  <c r="BT29" i="70"/>
  <c r="BS29" i="70"/>
  <c r="BR29" i="70"/>
  <c r="BQ29" i="70"/>
  <c r="BP29" i="70"/>
  <c r="BO29" i="70"/>
  <c r="BN29" i="70"/>
  <c r="BM29" i="70"/>
  <c r="BL29" i="70"/>
  <c r="BK29" i="70"/>
  <c r="BJ29" i="70"/>
  <c r="BI29" i="70"/>
  <c r="BH29" i="70"/>
  <c r="BG29" i="70"/>
  <c r="BF29" i="70"/>
  <c r="BE29" i="70"/>
  <c r="BD29" i="70"/>
  <c r="BC29" i="70"/>
  <c r="BB29" i="70"/>
  <c r="BA29" i="70"/>
  <c r="AZ29" i="70"/>
  <c r="AY29" i="70"/>
  <c r="AX29" i="70"/>
  <c r="AW29" i="70"/>
  <c r="AV29" i="70"/>
  <c r="AU29" i="70"/>
  <c r="AT29" i="70"/>
  <c r="AS29" i="70"/>
  <c r="AR29" i="70"/>
  <c r="AQ29" i="70"/>
  <c r="AP29" i="70"/>
  <c r="AO29" i="70"/>
  <c r="AN29" i="70"/>
  <c r="AM29" i="70"/>
  <c r="AL29" i="70"/>
  <c r="AK29" i="70"/>
  <c r="AJ29" i="70"/>
  <c r="AI29" i="70"/>
  <c r="AH29" i="70"/>
  <c r="AG29" i="70"/>
  <c r="AF29" i="70"/>
  <c r="AE29" i="70"/>
  <c r="AD29" i="70"/>
  <c r="AC29" i="70"/>
  <c r="AB29" i="70"/>
  <c r="AA29" i="70"/>
  <c r="Z29" i="70"/>
  <c r="Y29" i="70"/>
  <c r="X29" i="70"/>
  <c r="W29" i="70"/>
  <c r="V29" i="70"/>
  <c r="U29" i="70"/>
  <c r="T29" i="70"/>
  <c r="S29" i="70"/>
  <c r="R29" i="70"/>
  <c r="Q29" i="70"/>
  <c r="P29" i="70"/>
  <c r="O29" i="70"/>
  <c r="N29" i="70"/>
  <c r="M29" i="70"/>
  <c r="L29" i="70"/>
  <c r="K29" i="70"/>
  <c r="J29" i="70"/>
  <c r="I29" i="70"/>
  <c r="H29" i="70"/>
  <c r="G29" i="70"/>
  <c r="F29" i="70"/>
  <c r="E29" i="70"/>
  <c r="CU28" i="70"/>
  <c r="CT28" i="70"/>
  <c r="CS28" i="70"/>
  <c r="CR28" i="70"/>
  <c r="CQ28" i="70"/>
  <c r="CP28" i="70"/>
  <c r="CO28" i="70"/>
  <c r="CN28" i="70"/>
  <c r="CM28" i="70"/>
  <c r="CL28" i="70"/>
  <c r="CK28" i="70"/>
  <c r="CJ28" i="70"/>
  <c r="CI28" i="70"/>
  <c r="CH28" i="70"/>
  <c r="CG28" i="70"/>
  <c r="CF28" i="70"/>
  <c r="CE28" i="70"/>
  <c r="CD28" i="70"/>
  <c r="CC28" i="70"/>
  <c r="CB28" i="70"/>
  <c r="CA28" i="70"/>
  <c r="BZ28" i="70"/>
  <c r="BY28" i="70"/>
  <c r="BX28" i="70"/>
  <c r="BW28" i="70"/>
  <c r="BV28" i="70"/>
  <c r="BU28" i="70"/>
  <c r="BT28" i="70"/>
  <c r="BS28" i="70"/>
  <c r="BR28" i="70"/>
  <c r="BQ28" i="70"/>
  <c r="BP28" i="70"/>
  <c r="BO28" i="70"/>
  <c r="BN28" i="70"/>
  <c r="BM28" i="70"/>
  <c r="BL28" i="70"/>
  <c r="BK28" i="70"/>
  <c r="BJ28" i="70"/>
  <c r="BI28" i="70"/>
  <c r="BH28" i="70"/>
  <c r="BG28" i="70"/>
  <c r="BF28" i="70"/>
  <c r="BE28" i="70"/>
  <c r="BD28" i="70"/>
  <c r="BC28" i="70"/>
  <c r="BB28" i="70"/>
  <c r="BA28" i="70"/>
  <c r="AZ28" i="70"/>
  <c r="AY28" i="70"/>
  <c r="AX28" i="70"/>
  <c r="AW28" i="70"/>
  <c r="AV28" i="70"/>
  <c r="AU28" i="70"/>
  <c r="AT28" i="70"/>
  <c r="AS28" i="70"/>
  <c r="AR28" i="70"/>
  <c r="AQ28" i="70"/>
  <c r="AP28" i="70"/>
  <c r="AO28" i="70"/>
  <c r="AN28" i="70"/>
  <c r="AM28" i="70"/>
  <c r="AL28" i="70"/>
  <c r="AK28" i="70"/>
  <c r="AJ28" i="70"/>
  <c r="AI28" i="70"/>
  <c r="AH28" i="70"/>
  <c r="AG28" i="70"/>
  <c r="AF28" i="70"/>
  <c r="AE28" i="70"/>
  <c r="AD28" i="70"/>
  <c r="AC28" i="70"/>
  <c r="AB28" i="70"/>
  <c r="AA28" i="70"/>
  <c r="Z28" i="70"/>
  <c r="Y28" i="70"/>
  <c r="X28" i="70"/>
  <c r="W28" i="70"/>
  <c r="V28" i="70"/>
  <c r="U28" i="70"/>
  <c r="T28" i="70"/>
  <c r="S28" i="70"/>
  <c r="R28" i="70"/>
  <c r="Q28" i="70"/>
  <c r="P28" i="70"/>
  <c r="O28" i="70"/>
  <c r="N28" i="70"/>
  <c r="M28" i="70"/>
  <c r="L28" i="70"/>
  <c r="K28" i="70"/>
  <c r="J28" i="70"/>
  <c r="I28" i="70"/>
  <c r="H28" i="70"/>
  <c r="G28" i="70"/>
  <c r="F28" i="70"/>
  <c r="E28" i="70"/>
  <c r="CU23" i="70"/>
  <c r="CT23" i="70"/>
  <c r="CS23" i="70"/>
  <c r="CR23" i="70"/>
  <c r="CQ23" i="70"/>
  <c r="CP23" i="70"/>
  <c r="CO23" i="70"/>
  <c r="CN23" i="70"/>
  <c r="CM23" i="70"/>
  <c r="CL23" i="70"/>
  <c r="CK23" i="70"/>
  <c r="CJ23" i="70"/>
  <c r="CI23" i="70"/>
  <c r="CH23" i="70"/>
  <c r="CG23" i="70"/>
  <c r="CF23" i="70"/>
  <c r="CE23" i="70"/>
  <c r="CD23" i="70"/>
  <c r="CC23" i="70"/>
  <c r="CB23" i="70"/>
  <c r="CA23" i="70"/>
  <c r="BZ23" i="70"/>
  <c r="BY23" i="70"/>
  <c r="BX23" i="70"/>
  <c r="BW23" i="70"/>
  <c r="BV23" i="70"/>
  <c r="BU23" i="70"/>
  <c r="BT23" i="70"/>
  <c r="BS23" i="70"/>
  <c r="BR23" i="70"/>
  <c r="BQ23" i="70"/>
  <c r="BP23" i="70"/>
  <c r="BO23" i="70"/>
  <c r="BN23" i="70"/>
  <c r="BM23" i="70"/>
  <c r="BL23" i="70"/>
  <c r="BK23" i="70"/>
  <c r="BJ23" i="70"/>
  <c r="BI23" i="70"/>
  <c r="BH23" i="70"/>
  <c r="BG23" i="70"/>
  <c r="BF23" i="70"/>
  <c r="BE23" i="70"/>
  <c r="BD23" i="70"/>
  <c r="BC23" i="70"/>
  <c r="BB23" i="70"/>
  <c r="BA23" i="70"/>
  <c r="AZ23" i="70"/>
  <c r="AY23" i="70"/>
  <c r="AX23" i="70"/>
  <c r="AW23" i="70"/>
  <c r="AV23" i="70"/>
  <c r="AU23" i="70"/>
  <c r="AT23" i="70"/>
  <c r="AS23" i="70"/>
  <c r="AR23" i="70"/>
  <c r="AQ23" i="70"/>
  <c r="AP23" i="70"/>
  <c r="AO23" i="70"/>
  <c r="AN23" i="70"/>
  <c r="AM23" i="70"/>
  <c r="AL23" i="70"/>
  <c r="AK23" i="70"/>
  <c r="AJ23" i="70"/>
  <c r="AI23" i="70"/>
  <c r="AH23" i="70"/>
  <c r="AG23" i="70"/>
  <c r="AF23" i="70"/>
  <c r="AE23" i="70"/>
  <c r="AD23" i="70"/>
  <c r="AC23" i="70"/>
  <c r="AB23" i="70"/>
  <c r="AA23" i="70"/>
  <c r="Z23" i="70"/>
  <c r="Y23" i="70"/>
  <c r="X23" i="70"/>
  <c r="W23" i="70"/>
  <c r="V23" i="70"/>
  <c r="U23" i="70"/>
  <c r="T23" i="70"/>
  <c r="S23" i="70"/>
  <c r="R23" i="70"/>
  <c r="Q23" i="70"/>
  <c r="P23" i="70"/>
  <c r="O23" i="70"/>
  <c r="N23" i="70"/>
  <c r="M23" i="70"/>
  <c r="L23" i="70"/>
  <c r="K23" i="70"/>
  <c r="J23" i="70"/>
  <c r="I23" i="70"/>
  <c r="H23" i="70"/>
  <c r="G23" i="70"/>
  <c r="F23" i="70"/>
  <c r="E23" i="70"/>
  <c r="CU22" i="70"/>
  <c r="CT22" i="70"/>
  <c r="CS22" i="70"/>
  <c r="CR22" i="70"/>
  <c r="CQ22" i="70"/>
  <c r="CP22" i="70"/>
  <c r="CO22" i="70"/>
  <c r="CN22" i="70"/>
  <c r="CM22" i="70"/>
  <c r="CL22" i="70"/>
  <c r="CK22" i="70"/>
  <c r="CJ22" i="70"/>
  <c r="CI22" i="70"/>
  <c r="CH22" i="70"/>
  <c r="CG22" i="70"/>
  <c r="CF22" i="70"/>
  <c r="CE22" i="70"/>
  <c r="CD22" i="70"/>
  <c r="CC22" i="70"/>
  <c r="CB22" i="70"/>
  <c r="CA22" i="70"/>
  <c r="BZ22" i="70"/>
  <c r="BY22" i="70"/>
  <c r="BX22" i="70"/>
  <c r="BW22" i="70"/>
  <c r="BV22" i="70"/>
  <c r="BU22" i="70"/>
  <c r="BT22" i="70"/>
  <c r="BS22" i="70"/>
  <c r="BR22" i="70"/>
  <c r="BQ22" i="70"/>
  <c r="BP22" i="70"/>
  <c r="BO22" i="70"/>
  <c r="BN22" i="70"/>
  <c r="BM22" i="70"/>
  <c r="BL22" i="70"/>
  <c r="BK22" i="70"/>
  <c r="BJ22" i="70"/>
  <c r="BI22" i="70"/>
  <c r="BH22" i="70"/>
  <c r="BG22" i="70"/>
  <c r="BF22" i="70"/>
  <c r="BE22" i="70"/>
  <c r="BD22" i="70"/>
  <c r="BC22" i="70"/>
  <c r="BB22" i="70"/>
  <c r="BA22" i="70"/>
  <c r="AZ22" i="70"/>
  <c r="AY22" i="70"/>
  <c r="AX22" i="70"/>
  <c r="AW22" i="70"/>
  <c r="AV22" i="70"/>
  <c r="AU22" i="70"/>
  <c r="AT22" i="70"/>
  <c r="AS22" i="70"/>
  <c r="AR22" i="70"/>
  <c r="AQ22" i="70"/>
  <c r="AP22" i="70"/>
  <c r="AO22" i="70"/>
  <c r="AN22" i="70"/>
  <c r="AM22" i="70"/>
  <c r="AL22" i="70"/>
  <c r="AK22" i="70"/>
  <c r="AJ22" i="70"/>
  <c r="AI22" i="70"/>
  <c r="AH22" i="70"/>
  <c r="AG22" i="70"/>
  <c r="AF22" i="70"/>
  <c r="AE22" i="70"/>
  <c r="AD22" i="70"/>
  <c r="AC22" i="70"/>
  <c r="AB22" i="70"/>
  <c r="AA22" i="70"/>
  <c r="Z22" i="70"/>
  <c r="Y22" i="70"/>
  <c r="X22" i="70"/>
  <c r="W22" i="70"/>
  <c r="V22" i="70"/>
  <c r="U22" i="70"/>
  <c r="T22" i="70"/>
  <c r="S22" i="70"/>
  <c r="R22" i="70"/>
  <c r="Q22" i="70"/>
  <c r="P22" i="70"/>
  <c r="O22" i="70"/>
  <c r="N22" i="70"/>
  <c r="M22" i="70"/>
  <c r="L22" i="70"/>
  <c r="K22" i="70"/>
  <c r="J22" i="70"/>
  <c r="I22" i="70"/>
  <c r="H22" i="70"/>
  <c r="G22" i="70"/>
  <c r="F22" i="70"/>
  <c r="E22" i="70"/>
  <c r="CU21" i="70"/>
  <c r="CT21" i="70"/>
  <c r="CS21" i="70"/>
  <c r="CR21" i="70"/>
  <c r="CQ21" i="70"/>
  <c r="CP21" i="70"/>
  <c r="CO21" i="70"/>
  <c r="CN21" i="70"/>
  <c r="CM21" i="70"/>
  <c r="CL21" i="70"/>
  <c r="CK21" i="70"/>
  <c r="CJ21" i="70"/>
  <c r="CI21" i="70"/>
  <c r="CH21" i="70"/>
  <c r="CG21" i="70"/>
  <c r="CF21" i="70"/>
  <c r="CE21" i="70"/>
  <c r="CD21" i="70"/>
  <c r="CC21" i="70"/>
  <c r="CB21" i="70"/>
  <c r="CA21" i="70"/>
  <c r="BZ21" i="70"/>
  <c r="BY21" i="70"/>
  <c r="BX21" i="70"/>
  <c r="BW21" i="70"/>
  <c r="BV21" i="70"/>
  <c r="BU21" i="70"/>
  <c r="BT21" i="70"/>
  <c r="BS21" i="70"/>
  <c r="BR21" i="70"/>
  <c r="BQ21" i="70"/>
  <c r="BP21" i="70"/>
  <c r="BO21" i="70"/>
  <c r="BN21" i="70"/>
  <c r="BM21" i="70"/>
  <c r="BL21" i="70"/>
  <c r="BK21" i="70"/>
  <c r="BJ21" i="70"/>
  <c r="BI21" i="70"/>
  <c r="BH21" i="70"/>
  <c r="BG21" i="70"/>
  <c r="BF21" i="70"/>
  <c r="BE21" i="70"/>
  <c r="BD21" i="70"/>
  <c r="BC21" i="70"/>
  <c r="BB21" i="70"/>
  <c r="BA21" i="70"/>
  <c r="AZ21" i="70"/>
  <c r="AY21" i="70"/>
  <c r="AX21" i="70"/>
  <c r="AW21" i="70"/>
  <c r="AV21" i="70"/>
  <c r="AU21" i="70"/>
  <c r="AT21" i="70"/>
  <c r="AS21" i="70"/>
  <c r="AR21" i="70"/>
  <c r="AQ21" i="70"/>
  <c r="AP21" i="70"/>
  <c r="AO21" i="70"/>
  <c r="AN21" i="70"/>
  <c r="AM21" i="70"/>
  <c r="AL21" i="70"/>
  <c r="AK21" i="70"/>
  <c r="AJ21" i="70"/>
  <c r="AI21" i="70"/>
  <c r="AH21" i="70"/>
  <c r="AG21" i="70"/>
  <c r="AF21" i="70"/>
  <c r="AE21" i="70"/>
  <c r="AD21" i="70"/>
  <c r="AC21" i="70"/>
  <c r="AB21" i="70"/>
  <c r="AA21" i="70"/>
  <c r="Z21" i="70"/>
  <c r="Y21" i="70"/>
  <c r="X21" i="70"/>
  <c r="W21" i="70"/>
  <c r="V21" i="70"/>
  <c r="U21" i="70"/>
  <c r="T21" i="70"/>
  <c r="S21" i="70"/>
  <c r="R21" i="70"/>
  <c r="Q21" i="70"/>
  <c r="P21" i="70"/>
  <c r="O21" i="70"/>
  <c r="N21" i="70"/>
  <c r="M21" i="70"/>
  <c r="L21" i="70"/>
  <c r="K21" i="70"/>
  <c r="J21" i="70"/>
  <c r="I21" i="70"/>
  <c r="H21" i="70"/>
  <c r="G21" i="70"/>
  <c r="F21" i="70"/>
  <c r="E21" i="70"/>
  <c r="CU20" i="70"/>
  <c r="CT20" i="70"/>
  <c r="CS20" i="70"/>
  <c r="CR20" i="70"/>
  <c r="CQ20" i="70"/>
  <c r="CP20" i="70"/>
  <c r="CO20" i="70"/>
  <c r="CN20" i="70"/>
  <c r="CM20" i="70"/>
  <c r="CL20" i="70"/>
  <c r="CK20" i="70"/>
  <c r="CJ20" i="70"/>
  <c r="CI20" i="70"/>
  <c r="CH20" i="70"/>
  <c r="CG20" i="70"/>
  <c r="CF20" i="70"/>
  <c r="CE20" i="70"/>
  <c r="CD20" i="70"/>
  <c r="CC20" i="70"/>
  <c r="CB20" i="70"/>
  <c r="CA20" i="70"/>
  <c r="BZ20" i="70"/>
  <c r="BY20" i="70"/>
  <c r="BX20" i="70"/>
  <c r="BW20" i="70"/>
  <c r="BV20" i="70"/>
  <c r="BU20" i="70"/>
  <c r="BT20" i="70"/>
  <c r="BS20" i="70"/>
  <c r="BR20" i="70"/>
  <c r="BQ20" i="70"/>
  <c r="BP20" i="70"/>
  <c r="BO20" i="70"/>
  <c r="BN20" i="70"/>
  <c r="BM20" i="70"/>
  <c r="BL20" i="70"/>
  <c r="BK20" i="70"/>
  <c r="BJ20" i="70"/>
  <c r="BI20" i="70"/>
  <c r="BH20" i="70"/>
  <c r="BG20" i="70"/>
  <c r="BF20" i="70"/>
  <c r="BE20" i="70"/>
  <c r="BD20" i="70"/>
  <c r="BC20" i="70"/>
  <c r="BB20" i="70"/>
  <c r="BA20" i="70"/>
  <c r="AZ20" i="70"/>
  <c r="AY20" i="70"/>
  <c r="AX20" i="70"/>
  <c r="AW20" i="70"/>
  <c r="AV20" i="70"/>
  <c r="AU20" i="70"/>
  <c r="AT20" i="70"/>
  <c r="AS20" i="70"/>
  <c r="AR20" i="70"/>
  <c r="AQ20" i="70"/>
  <c r="AP20" i="70"/>
  <c r="AO20" i="70"/>
  <c r="AN20" i="70"/>
  <c r="AM20" i="70"/>
  <c r="AL20" i="70"/>
  <c r="AK20" i="70"/>
  <c r="AJ20" i="70"/>
  <c r="AI20" i="70"/>
  <c r="AH20" i="70"/>
  <c r="AG20" i="70"/>
  <c r="AF20" i="70"/>
  <c r="AE20" i="70"/>
  <c r="AD20" i="70"/>
  <c r="AC20" i="70"/>
  <c r="AB20" i="70"/>
  <c r="AA20" i="70"/>
  <c r="Z20" i="70"/>
  <c r="Y20" i="70"/>
  <c r="X20" i="70"/>
  <c r="W20" i="70"/>
  <c r="V20" i="70"/>
  <c r="U20" i="70"/>
  <c r="T20" i="70"/>
  <c r="S20" i="70"/>
  <c r="R20" i="70"/>
  <c r="Q20" i="70"/>
  <c r="P20" i="70"/>
  <c r="O20" i="70"/>
  <c r="N20" i="70"/>
  <c r="M20" i="70"/>
  <c r="L20" i="70"/>
  <c r="K20" i="70"/>
  <c r="J20" i="70"/>
  <c r="I20" i="70"/>
  <c r="H20" i="70"/>
  <c r="G20" i="70"/>
  <c r="F20" i="70"/>
  <c r="E20" i="70"/>
  <c r="CU19" i="70"/>
  <c r="CT19" i="70"/>
  <c r="CS19" i="70"/>
  <c r="CR19" i="70"/>
  <c r="CQ19" i="70"/>
  <c r="CP19" i="70"/>
  <c r="CO19" i="70"/>
  <c r="CN19" i="70"/>
  <c r="CM19" i="70"/>
  <c r="CL19" i="70"/>
  <c r="CK19" i="70"/>
  <c r="CJ19" i="70"/>
  <c r="CI19" i="70"/>
  <c r="CH19" i="70"/>
  <c r="CG19" i="70"/>
  <c r="CF19" i="70"/>
  <c r="CE19" i="70"/>
  <c r="CD19" i="70"/>
  <c r="CC19" i="70"/>
  <c r="CB19" i="70"/>
  <c r="CA19" i="70"/>
  <c r="BZ19" i="70"/>
  <c r="BY19" i="70"/>
  <c r="BX19" i="70"/>
  <c r="BW19" i="70"/>
  <c r="BV19" i="70"/>
  <c r="BU19" i="70"/>
  <c r="BT19" i="70"/>
  <c r="BS19" i="70"/>
  <c r="BR19" i="70"/>
  <c r="BQ19" i="70"/>
  <c r="BP19" i="70"/>
  <c r="BO19" i="70"/>
  <c r="BN19" i="70"/>
  <c r="BM19" i="70"/>
  <c r="BL19" i="70"/>
  <c r="BK19" i="70"/>
  <c r="BJ19" i="70"/>
  <c r="BI19" i="70"/>
  <c r="BH19" i="70"/>
  <c r="BG19" i="70"/>
  <c r="BF19" i="70"/>
  <c r="BE19" i="70"/>
  <c r="BD19" i="70"/>
  <c r="BC19" i="70"/>
  <c r="BB19" i="70"/>
  <c r="BA19" i="70"/>
  <c r="AZ19" i="70"/>
  <c r="AY19" i="70"/>
  <c r="AX19" i="70"/>
  <c r="AW19" i="70"/>
  <c r="AV19" i="70"/>
  <c r="AU19" i="70"/>
  <c r="AT19" i="70"/>
  <c r="AS19" i="70"/>
  <c r="AR19" i="70"/>
  <c r="AQ19" i="70"/>
  <c r="AP19" i="70"/>
  <c r="AO19" i="70"/>
  <c r="AN19" i="70"/>
  <c r="AM19" i="70"/>
  <c r="AL19" i="70"/>
  <c r="AK19" i="70"/>
  <c r="AJ19" i="70"/>
  <c r="AI19" i="70"/>
  <c r="AH19" i="70"/>
  <c r="AG19" i="70"/>
  <c r="AF19" i="70"/>
  <c r="AE19" i="70"/>
  <c r="AD19" i="70"/>
  <c r="AC19" i="70"/>
  <c r="AB19" i="70"/>
  <c r="AA19" i="70"/>
  <c r="Z19" i="70"/>
  <c r="Y19" i="70"/>
  <c r="X19" i="70"/>
  <c r="W19" i="70"/>
  <c r="V19" i="70"/>
  <c r="U19" i="70"/>
  <c r="T19" i="70"/>
  <c r="S19" i="70"/>
  <c r="R19" i="70"/>
  <c r="Q19" i="70"/>
  <c r="P19" i="70"/>
  <c r="O19" i="70"/>
  <c r="N19" i="70"/>
  <c r="M19" i="70"/>
  <c r="L19" i="70"/>
  <c r="K19" i="70"/>
  <c r="J19" i="70"/>
  <c r="I19" i="70"/>
  <c r="H19" i="70"/>
  <c r="G19" i="70"/>
  <c r="F19" i="70"/>
  <c r="E19" i="70"/>
  <c r="CU18" i="70"/>
  <c r="CT18" i="70"/>
  <c r="CS18" i="70"/>
  <c r="CR18" i="70"/>
  <c r="CQ18" i="70"/>
  <c r="CP18" i="70"/>
  <c r="CO18" i="70"/>
  <c r="CN18" i="70"/>
  <c r="CM18" i="70"/>
  <c r="CL18" i="70"/>
  <c r="CK18" i="70"/>
  <c r="CJ18" i="70"/>
  <c r="CI18" i="70"/>
  <c r="CH18" i="70"/>
  <c r="CG18" i="70"/>
  <c r="CF18" i="70"/>
  <c r="CE18" i="70"/>
  <c r="CD18" i="70"/>
  <c r="CC18" i="70"/>
  <c r="CB18" i="70"/>
  <c r="CA18" i="70"/>
  <c r="BZ18" i="70"/>
  <c r="BY18" i="70"/>
  <c r="BX18" i="70"/>
  <c r="BW18" i="70"/>
  <c r="BV18" i="70"/>
  <c r="BU18" i="70"/>
  <c r="BT18" i="70"/>
  <c r="BS18" i="70"/>
  <c r="BR18" i="70"/>
  <c r="BQ18" i="70"/>
  <c r="BP18" i="70"/>
  <c r="BO18" i="70"/>
  <c r="BN18" i="70"/>
  <c r="BM18" i="70"/>
  <c r="BL18" i="70"/>
  <c r="BK18" i="70"/>
  <c r="BJ18" i="70"/>
  <c r="BI18" i="70"/>
  <c r="BH18" i="70"/>
  <c r="BG18" i="70"/>
  <c r="BF18" i="70"/>
  <c r="BE18" i="70"/>
  <c r="BD18" i="70"/>
  <c r="BC18" i="70"/>
  <c r="BB18" i="70"/>
  <c r="BA18" i="70"/>
  <c r="AZ18" i="70"/>
  <c r="AY18" i="70"/>
  <c r="AX18" i="70"/>
  <c r="AW18" i="70"/>
  <c r="AV18" i="70"/>
  <c r="AU18" i="70"/>
  <c r="AT18" i="70"/>
  <c r="AS18" i="70"/>
  <c r="AR18" i="70"/>
  <c r="AQ18" i="70"/>
  <c r="AP18" i="70"/>
  <c r="AO18" i="70"/>
  <c r="AN18" i="70"/>
  <c r="AM18" i="70"/>
  <c r="AL18" i="70"/>
  <c r="AK18" i="70"/>
  <c r="AJ18" i="70"/>
  <c r="AI18" i="70"/>
  <c r="AH18" i="70"/>
  <c r="AG18" i="70"/>
  <c r="AF18" i="70"/>
  <c r="AE18" i="70"/>
  <c r="AD18" i="70"/>
  <c r="AC18" i="70"/>
  <c r="AB18" i="70"/>
  <c r="AA18" i="70"/>
  <c r="Z18" i="70"/>
  <c r="Y18" i="70"/>
  <c r="X18" i="70"/>
  <c r="W18" i="70"/>
  <c r="V18" i="70"/>
  <c r="U18" i="70"/>
  <c r="T18" i="70"/>
  <c r="S18" i="70"/>
  <c r="R18" i="70"/>
  <c r="Q18" i="70"/>
  <c r="P18" i="70"/>
  <c r="O18" i="70"/>
  <c r="N18" i="70"/>
  <c r="M18" i="70"/>
  <c r="L18" i="70"/>
  <c r="K18" i="70"/>
  <c r="J18" i="70"/>
  <c r="I18" i="70"/>
  <c r="H18" i="70"/>
  <c r="G18" i="70"/>
  <c r="F18" i="70"/>
  <c r="E18" i="70"/>
  <c r="CU17" i="70"/>
  <c r="CT17" i="70"/>
  <c r="CS17" i="70"/>
  <c r="CR17" i="70"/>
  <c r="CQ17" i="70"/>
  <c r="CP17" i="70"/>
  <c r="CO17" i="70"/>
  <c r="CN17" i="70"/>
  <c r="CM17" i="70"/>
  <c r="CL17" i="70"/>
  <c r="CK17" i="70"/>
  <c r="CJ17" i="70"/>
  <c r="CI17" i="70"/>
  <c r="CH17" i="70"/>
  <c r="CG17" i="70"/>
  <c r="CF17" i="70"/>
  <c r="CE17" i="70"/>
  <c r="CD17" i="70"/>
  <c r="CC17" i="70"/>
  <c r="CB17" i="70"/>
  <c r="CA17" i="70"/>
  <c r="BZ17" i="70"/>
  <c r="BY17" i="70"/>
  <c r="BX17" i="70"/>
  <c r="BW17" i="70"/>
  <c r="BV17" i="70"/>
  <c r="BU17" i="70"/>
  <c r="BT17" i="70"/>
  <c r="BS17" i="70"/>
  <c r="BR17" i="70"/>
  <c r="BQ17" i="70"/>
  <c r="BP17" i="70"/>
  <c r="BO17" i="70"/>
  <c r="BN17" i="70"/>
  <c r="BM17" i="70"/>
  <c r="BL17" i="70"/>
  <c r="BK17" i="70"/>
  <c r="BJ17" i="70"/>
  <c r="BI17" i="70"/>
  <c r="BH17" i="70"/>
  <c r="BG17" i="70"/>
  <c r="BF17" i="70"/>
  <c r="BE17" i="70"/>
  <c r="BD17" i="70"/>
  <c r="BC17" i="70"/>
  <c r="BB17" i="70"/>
  <c r="BA17" i="70"/>
  <c r="AZ17" i="70"/>
  <c r="AY17" i="70"/>
  <c r="AX17" i="70"/>
  <c r="AW17" i="70"/>
  <c r="AV17" i="70"/>
  <c r="AU17" i="70"/>
  <c r="AT17" i="70"/>
  <c r="AS17" i="70"/>
  <c r="AR17" i="70"/>
  <c r="AQ17" i="70"/>
  <c r="AP17" i="70"/>
  <c r="AO17" i="70"/>
  <c r="AN17" i="70"/>
  <c r="AM17" i="70"/>
  <c r="AL17" i="70"/>
  <c r="AK17" i="70"/>
  <c r="AJ17" i="70"/>
  <c r="AI17" i="70"/>
  <c r="AH17" i="70"/>
  <c r="AG17" i="70"/>
  <c r="AF17" i="70"/>
  <c r="AE17" i="70"/>
  <c r="AD17" i="70"/>
  <c r="AC17" i="70"/>
  <c r="AB17" i="70"/>
  <c r="AA17" i="70"/>
  <c r="Z17" i="70"/>
  <c r="Y17" i="70"/>
  <c r="X17" i="70"/>
  <c r="W17" i="70"/>
  <c r="V17" i="70"/>
  <c r="U17" i="70"/>
  <c r="T17" i="70"/>
  <c r="S17" i="70"/>
  <c r="R17" i="70"/>
  <c r="Q17" i="70"/>
  <c r="P17" i="70"/>
  <c r="O17" i="70"/>
  <c r="N17" i="70"/>
  <c r="M17" i="70"/>
  <c r="L17" i="70"/>
  <c r="K17" i="70"/>
  <c r="J17" i="70"/>
  <c r="I17" i="70"/>
  <c r="H17" i="70"/>
  <c r="G17" i="70"/>
  <c r="F17" i="70"/>
  <c r="E17" i="70"/>
  <c r="CU16" i="70"/>
  <c r="CT16" i="70"/>
  <c r="CS16" i="70"/>
  <c r="CR16" i="70"/>
  <c r="CQ16" i="70"/>
  <c r="CP16" i="70"/>
  <c r="CO16" i="70"/>
  <c r="CN16" i="70"/>
  <c r="CM16" i="70"/>
  <c r="CL16" i="70"/>
  <c r="CK16" i="70"/>
  <c r="CJ16" i="70"/>
  <c r="CI16" i="70"/>
  <c r="CH16" i="70"/>
  <c r="CG16" i="70"/>
  <c r="CF16" i="70"/>
  <c r="CE16" i="70"/>
  <c r="CD16" i="70"/>
  <c r="CC16" i="70"/>
  <c r="CB16" i="70"/>
  <c r="CA16" i="70"/>
  <c r="BZ16" i="70"/>
  <c r="BY16" i="70"/>
  <c r="BX16" i="70"/>
  <c r="BW16" i="70"/>
  <c r="BV16" i="70"/>
  <c r="BU16" i="70"/>
  <c r="BT16" i="70"/>
  <c r="BS16" i="70"/>
  <c r="BR16" i="70"/>
  <c r="BQ16" i="70"/>
  <c r="BP16" i="70"/>
  <c r="BO16" i="70"/>
  <c r="BN16" i="70"/>
  <c r="BM16" i="70"/>
  <c r="BL16" i="70"/>
  <c r="BK16" i="70"/>
  <c r="BJ16" i="70"/>
  <c r="BI16" i="70"/>
  <c r="BH16" i="70"/>
  <c r="BG16" i="70"/>
  <c r="BF16" i="70"/>
  <c r="BE16" i="70"/>
  <c r="BD16" i="70"/>
  <c r="BC16" i="70"/>
  <c r="BB16" i="70"/>
  <c r="BA16" i="70"/>
  <c r="AZ16" i="70"/>
  <c r="AY16" i="70"/>
  <c r="AX16" i="70"/>
  <c r="AW16" i="70"/>
  <c r="AV16" i="70"/>
  <c r="AU16" i="70"/>
  <c r="AT16" i="70"/>
  <c r="AS16" i="70"/>
  <c r="AR16" i="70"/>
  <c r="AQ16" i="70"/>
  <c r="AP16" i="70"/>
  <c r="AO16" i="70"/>
  <c r="AN16" i="70"/>
  <c r="AM16" i="70"/>
  <c r="AL16" i="70"/>
  <c r="AK16" i="70"/>
  <c r="AJ16" i="70"/>
  <c r="AI16" i="70"/>
  <c r="AH16" i="70"/>
  <c r="AG16" i="70"/>
  <c r="AF16" i="70"/>
  <c r="AE16" i="70"/>
  <c r="AD16" i="70"/>
  <c r="AC16" i="70"/>
  <c r="AB16" i="70"/>
  <c r="AA16" i="70"/>
  <c r="Z16" i="70"/>
  <c r="Y16" i="70"/>
  <c r="X16" i="70"/>
  <c r="W16" i="70"/>
  <c r="V16" i="70"/>
  <c r="U16" i="70"/>
  <c r="T16" i="70"/>
  <c r="S16" i="70"/>
  <c r="R16" i="70"/>
  <c r="Q16" i="70"/>
  <c r="P16" i="70"/>
  <c r="O16" i="70"/>
  <c r="N16" i="70"/>
  <c r="M16" i="70"/>
  <c r="L16" i="70"/>
  <c r="K16" i="70"/>
  <c r="J16" i="70"/>
  <c r="I16" i="70"/>
  <c r="H16" i="70"/>
  <c r="G16" i="70"/>
  <c r="F16" i="70"/>
  <c r="E16" i="70"/>
  <c r="CU15" i="70"/>
  <c r="CT15" i="70"/>
  <c r="CS15" i="70"/>
  <c r="CR15" i="70"/>
  <c r="CQ15" i="70"/>
  <c r="CP15" i="70"/>
  <c r="CO15" i="70"/>
  <c r="CN15" i="70"/>
  <c r="CM15" i="70"/>
  <c r="CL15" i="70"/>
  <c r="CK15" i="70"/>
  <c r="CJ15" i="70"/>
  <c r="CI15" i="70"/>
  <c r="CH15" i="70"/>
  <c r="CG15" i="70"/>
  <c r="CF15" i="70"/>
  <c r="CE15" i="70"/>
  <c r="CD15" i="70"/>
  <c r="CC15" i="70"/>
  <c r="CB15" i="70"/>
  <c r="CA15" i="70"/>
  <c r="BZ15" i="70"/>
  <c r="BY15" i="70"/>
  <c r="BX15" i="70"/>
  <c r="BW15" i="70"/>
  <c r="BV15" i="70"/>
  <c r="BU15" i="70"/>
  <c r="BT15" i="70"/>
  <c r="BS15" i="70"/>
  <c r="BR15" i="70"/>
  <c r="BQ15" i="70"/>
  <c r="BP15" i="70"/>
  <c r="BO15" i="70"/>
  <c r="BN15" i="70"/>
  <c r="BM15" i="70"/>
  <c r="BL15" i="70"/>
  <c r="BK15" i="70"/>
  <c r="BJ15" i="70"/>
  <c r="BI15" i="70"/>
  <c r="BH15" i="70"/>
  <c r="BG15" i="70"/>
  <c r="BF15" i="70"/>
  <c r="BE15" i="70"/>
  <c r="BD15" i="70"/>
  <c r="BC15" i="70"/>
  <c r="BB15" i="70"/>
  <c r="BA15" i="70"/>
  <c r="AZ15" i="70"/>
  <c r="AY15" i="70"/>
  <c r="AX15" i="70"/>
  <c r="AW15" i="70"/>
  <c r="AV15" i="70"/>
  <c r="AU15" i="70"/>
  <c r="AT15" i="70"/>
  <c r="AS15" i="70"/>
  <c r="AR15" i="70"/>
  <c r="AQ15" i="70"/>
  <c r="AP15" i="70"/>
  <c r="AO15" i="70"/>
  <c r="AN15" i="70"/>
  <c r="AM15" i="70"/>
  <c r="AL15" i="70"/>
  <c r="AK15" i="70"/>
  <c r="AJ15" i="70"/>
  <c r="AI15" i="70"/>
  <c r="AH15" i="70"/>
  <c r="AG15" i="70"/>
  <c r="AF15" i="70"/>
  <c r="AE15" i="70"/>
  <c r="AD15" i="70"/>
  <c r="AC15" i="70"/>
  <c r="AB15" i="70"/>
  <c r="AA15" i="70"/>
  <c r="Z15" i="70"/>
  <c r="Y15" i="70"/>
  <c r="X15" i="70"/>
  <c r="W15" i="70"/>
  <c r="V15" i="70"/>
  <c r="U15" i="70"/>
  <c r="T15" i="70"/>
  <c r="S15" i="70"/>
  <c r="R15" i="70"/>
  <c r="Q15" i="70"/>
  <c r="P15" i="70"/>
  <c r="O15" i="70"/>
  <c r="N15" i="70"/>
  <c r="M15" i="70"/>
  <c r="L15" i="70"/>
  <c r="K15" i="70"/>
  <c r="J15" i="70"/>
  <c r="I15" i="70"/>
  <c r="H15" i="70"/>
  <c r="G15" i="70"/>
  <c r="F15" i="70"/>
  <c r="E15" i="70"/>
  <c r="CU14" i="70"/>
  <c r="CT14" i="70"/>
  <c r="CS14" i="70"/>
  <c r="CR14" i="70"/>
  <c r="CQ14" i="70"/>
  <c r="CP14" i="70"/>
  <c r="CO14" i="70"/>
  <c r="CN14" i="70"/>
  <c r="CM14" i="70"/>
  <c r="CL14" i="70"/>
  <c r="CK14" i="70"/>
  <c r="CJ14" i="70"/>
  <c r="CI14" i="70"/>
  <c r="CH14" i="70"/>
  <c r="CG14" i="70"/>
  <c r="CF14" i="70"/>
  <c r="CE14" i="70"/>
  <c r="CD14" i="70"/>
  <c r="CC14" i="70"/>
  <c r="CB14" i="70"/>
  <c r="CA14" i="70"/>
  <c r="BZ14" i="70"/>
  <c r="BY14" i="70"/>
  <c r="BX14" i="70"/>
  <c r="BW14" i="70"/>
  <c r="BV14" i="70"/>
  <c r="BU14" i="70"/>
  <c r="BT14" i="70"/>
  <c r="BS14" i="70"/>
  <c r="BR14" i="70"/>
  <c r="BQ14" i="70"/>
  <c r="BP14" i="70"/>
  <c r="BO14" i="70"/>
  <c r="BN14" i="70"/>
  <c r="BM14" i="70"/>
  <c r="BL14" i="70"/>
  <c r="BK14" i="70"/>
  <c r="BJ14" i="70"/>
  <c r="BI14" i="70"/>
  <c r="BH14" i="70"/>
  <c r="BG14" i="70"/>
  <c r="BF14" i="70"/>
  <c r="BE14" i="70"/>
  <c r="BD14" i="70"/>
  <c r="BC14" i="70"/>
  <c r="BB14" i="70"/>
  <c r="BA14" i="70"/>
  <c r="AZ14" i="70"/>
  <c r="AY14" i="70"/>
  <c r="AX14" i="70"/>
  <c r="AW14" i="70"/>
  <c r="AV14" i="70"/>
  <c r="AU14" i="70"/>
  <c r="AT14" i="70"/>
  <c r="AS14" i="70"/>
  <c r="AR14" i="70"/>
  <c r="AQ14" i="70"/>
  <c r="AP14" i="70"/>
  <c r="AO14" i="70"/>
  <c r="AN14" i="70"/>
  <c r="AM14" i="70"/>
  <c r="AL14" i="70"/>
  <c r="AK14" i="70"/>
  <c r="AJ14" i="70"/>
  <c r="AI14" i="70"/>
  <c r="AH14" i="70"/>
  <c r="AG14" i="70"/>
  <c r="AF14" i="70"/>
  <c r="AE14" i="70"/>
  <c r="AD14" i="70"/>
  <c r="AC14" i="70"/>
  <c r="AB14" i="70"/>
  <c r="AA14" i="70"/>
  <c r="Z14" i="70"/>
  <c r="Y14" i="70"/>
  <c r="X14" i="70"/>
  <c r="W14" i="70"/>
  <c r="V14" i="70"/>
  <c r="U14" i="70"/>
  <c r="T14" i="70"/>
  <c r="S14" i="70"/>
  <c r="R14" i="70"/>
  <c r="Q14" i="70"/>
  <c r="P14" i="70"/>
  <c r="O14" i="70"/>
  <c r="N14" i="70"/>
  <c r="M14" i="70"/>
  <c r="L14" i="70"/>
  <c r="K14" i="70"/>
  <c r="J14" i="70"/>
  <c r="I14" i="70"/>
  <c r="H14" i="70"/>
  <c r="G14" i="70"/>
  <c r="F14" i="70"/>
  <c r="E14" i="70"/>
  <c r="CU13" i="70"/>
  <c r="CT13" i="70"/>
  <c r="CS13" i="70"/>
  <c r="CR13" i="70"/>
  <c r="CQ13" i="70"/>
  <c r="CP13" i="70"/>
  <c r="CO13" i="70"/>
  <c r="CN13" i="70"/>
  <c r="CM13" i="70"/>
  <c r="CL13" i="70"/>
  <c r="CK13" i="70"/>
  <c r="CJ13" i="70"/>
  <c r="CI13" i="70"/>
  <c r="CH13" i="70"/>
  <c r="CG13" i="70"/>
  <c r="CF13" i="70"/>
  <c r="CE13" i="70"/>
  <c r="CD13" i="70"/>
  <c r="CC13" i="70"/>
  <c r="CB13" i="70"/>
  <c r="CA13" i="70"/>
  <c r="BZ13" i="70"/>
  <c r="BY13" i="70"/>
  <c r="BX13" i="70"/>
  <c r="BW13" i="70"/>
  <c r="BV13" i="70"/>
  <c r="BU13" i="70"/>
  <c r="BT13" i="70"/>
  <c r="BS13" i="70"/>
  <c r="BR13" i="70"/>
  <c r="BQ13" i="70"/>
  <c r="BP13" i="70"/>
  <c r="BO13" i="70"/>
  <c r="BN13" i="70"/>
  <c r="BM13" i="70"/>
  <c r="BL13" i="70"/>
  <c r="BK13" i="70"/>
  <c r="BJ13" i="70"/>
  <c r="BI13" i="70"/>
  <c r="BH13" i="70"/>
  <c r="BG13" i="70"/>
  <c r="BF13" i="70"/>
  <c r="BE13" i="70"/>
  <c r="BD13" i="70"/>
  <c r="BC13" i="70"/>
  <c r="BB13" i="70"/>
  <c r="BA13" i="70"/>
  <c r="AZ13" i="70"/>
  <c r="AY13" i="70"/>
  <c r="AX13" i="70"/>
  <c r="AW13" i="70"/>
  <c r="AV13" i="70"/>
  <c r="AU13" i="70"/>
  <c r="AT13" i="70"/>
  <c r="AS13" i="70"/>
  <c r="AR13" i="70"/>
  <c r="AQ13" i="70"/>
  <c r="AP13" i="70"/>
  <c r="AO13" i="70"/>
  <c r="AN13" i="70"/>
  <c r="AM13" i="70"/>
  <c r="AL13" i="70"/>
  <c r="AK13" i="70"/>
  <c r="AJ13" i="70"/>
  <c r="AI13" i="70"/>
  <c r="AH13" i="70"/>
  <c r="AG13" i="70"/>
  <c r="AF13" i="70"/>
  <c r="AE13" i="70"/>
  <c r="AD13" i="70"/>
  <c r="AC13" i="70"/>
  <c r="AB13" i="70"/>
  <c r="AA13" i="70"/>
  <c r="Z13" i="70"/>
  <c r="Y13" i="70"/>
  <c r="X13" i="70"/>
  <c r="W13" i="70"/>
  <c r="V13" i="70"/>
  <c r="U13" i="70"/>
  <c r="T13" i="70"/>
  <c r="S13" i="70"/>
  <c r="R13" i="70"/>
  <c r="Q13" i="70"/>
  <c r="P13" i="70"/>
  <c r="O13" i="70"/>
  <c r="N13" i="70"/>
  <c r="M13" i="70"/>
  <c r="L13" i="70"/>
  <c r="K13" i="70"/>
  <c r="J13" i="70"/>
  <c r="I13" i="70"/>
  <c r="H13" i="70"/>
  <c r="G13" i="70"/>
  <c r="F13" i="70"/>
  <c r="E13" i="70"/>
  <c r="CU12" i="70"/>
  <c r="CT12" i="70"/>
  <c r="CS12" i="70"/>
  <c r="CR12" i="70"/>
  <c r="CQ12" i="70"/>
  <c r="CP12" i="70"/>
  <c r="CO12" i="70"/>
  <c r="CN12" i="70"/>
  <c r="CM12" i="70"/>
  <c r="CL12" i="70"/>
  <c r="CK12" i="70"/>
  <c r="CJ12" i="70"/>
  <c r="CI12" i="70"/>
  <c r="CH12" i="70"/>
  <c r="CG12" i="70"/>
  <c r="CF12" i="70"/>
  <c r="CE12" i="70"/>
  <c r="CD12" i="70"/>
  <c r="CC12" i="70"/>
  <c r="CB12" i="70"/>
  <c r="CA12" i="70"/>
  <c r="BZ12" i="70"/>
  <c r="BY12" i="70"/>
  <c r="BX12" i="70"/>
  <c r="BW12" i="70"/>
  <c r="BV12" i="70"/>
  <c r="BU12" i="70"/>
  <c r="BT12" i="70"/>
  <c r="BS12" i="70"/>
  <c r="BR12" i="70"/>
  <c r="BQ12" i="70"/>
  <c r="BP12" i="70"/>
  <c r="BO12" i="70"/>
  <c r="BN12" i="70"/>
  <c r="BM12" i="70"/>
  <c r="BL12" i="70"/>
  <c r="BK12" i="70"/>
  <c r="BJ12" i="70"/>
  <c r="BI12" i="70"/>
  <c r="BH12" i="70"/>
  <c r="BG12" i="70"/>
  <c r="BF12" i="70"/>
  <c r="BE12" i="70"/>
  <c r="BD12" i="70"/>
  <c r="BC12" i="70"/>
  <c r="BB12" i="70"/>
  <c r="BA12" i="70"/>
  <c r="AZ12" i="70"/>
  <c r="AY12" i="70"/>
  <c r="AX12" i="70"/>
  <c r="AW12" i="70"/>
  <c r="AV12" i="70"/>
  <c r="AU12" i="70"/>
  <c r="AT12" i="70"/>
  <c r="AS12" i="70"/>
  <c r="AR12" i="70"/>
  <c r="AQ12" i="70"/>
  <c r="AP12" i="70"/>
  <c r="AO12" i="70"/>
  <c r="AN12" i="70"/>
  <c r="AM12" i="70"/>
  <c r="AL12" i="70"/>
  <c r="AK12" i="70"/>
  <c r="AJ12" i="70"/>
  <c r="AI12" i="70"/>
  <c r="AH12" i="70"/>
  <c r="AG12" i="70"/>
  <c r="AF12" i="70"/>
  <c r="AE12" i="70"/>
  <c r="AD12" i="70"/>
  <c r="AC12" i="70"/>
  <c r="AB12" i="70"/>
  <c r="AA12" i="70"/>
  <c r="Z12" i="70"/>
  <c r="Y12" i="70"/>
  <c r="X12" i="70"/>
  <c r="W12" i="70"/>
  <c r="V12" i="70"/>
  <c r="U12" i="70"/>
  <c r="T12" i="70"/>
  <c r="S12" i="70"/>
  <c r="R12" i="70"/>
  <c r="Q12" i="70"/>
  <c r="P12" i="70"/>
  <c r="O12" i="70"/>
  <c r="N12" i="70"/>
  <c r="M12" i="70"/>
  <c r="L12" i="70"/>
  <c r="K12" i="70"/>
  <c r="J12" i="70"/>
  <c r="I12" i="70"/>
  <c r="H12" i="70"/>
  <c r="G12" i="70"/>
  <c r="F12" i="70"/>
  <c r="E12" i="70"/>
  <c r="CU11" i="70"/>
  <c r="CT11" i="70"/>
  <c r="CS11" i="70"/>
  <c r="CR11" i="70"/>
  <c r="CQ11" i="70"/>
  <c r="CP11" i="70"/>
  <c r="CO11" i="70"/>
  <c r="CN11" i="70"/>
  <c r="CM11" i="70"/>
  <c r="CL11" i="70"/>
  <c r="CK11" i="70"/>
  <c r="CJ11" i="70"/>
  <c r="CI11" i="70"/>
  <c r="CH11" i="70"/>
  <c r="CG11" i="70"/>
  <c r="CF11" i="70"/>
  <c r="CE11" i="70"/>
  <c r="CD11" i="70"/>
  <c r="CC11" i="70"/>
  <c r="CB11" i="70"/>
  <c r="CA11" i="70"/>
  <c r="BZ11" i="70"/>
  <c r="BY11" i="70"/>
  <c r="BX11" i="70"/>
  <c r="BW11" i="70"/>
  <c r="BV11" i="70"/>
  <c r="BU11" i="70"/>
  <c r="BT11" i="70"/>
  <c r="BS11" i="70"/>
  <c r="BR11" i="70"/>
  <c r="BQ11" i="70"/>
  <c r="BP11" i="70"/>
  <c r="BO11" i="70"/>
  <c r="BN11" i="70"/>
  <c r="BM11" i="70"/>
  <c r="BL11" i="70"/>
  <c r="BK11" i="70"/>
  <c r="BJ11" i="70"/>
  <c r="BI11" i="70"/>
  <c r="BH11" i="70"/>
  <c r="BG11" i="70"/>
  <c r="BF11" i="70"/>
  <c r="BE11" i="70"/>
  <c r="BD11" i="70"/>
  <c r="BC11" i="70"/>
  <c r="BB11" i="70"/>
  <c r="BA11" i="70"/>
  <c r="AZ11" i="70"/>
  <c r="AY11" i="70"/>
  <c r="AX11" i="70"/>
  <c r="AW11" i="70"/>
  <c r="AV11" i="70"/>
  <c r="AU11" i="70"/>
  <c r="AT11" i="70"/>
  <c r="AS11" i="70"/>
  <c r="AR11" i="70"/>
  <c r="AQ11" i="70"/>
  <c r="AP11" i="70"/>
  <c r="AO11" i="70"/>
  <c r="AN11" i="70"/>
  <c r="AM11" i="70"/>
  <c r="AL11" i="70"/>
  <c r="AK11" i="70"/>
  <c r="AJ11" i="70"/>
  <c r="AI11" i="70"/>
  <c r="AH11" i="70"/>
  <c r="AG11" i="70"/>
  <c r="AF11" i="70"/>
  <c r="AE11" i="70"/>
  <c r="AD11" i="70"/>
  <c r="AC11" i="70"/>
  <c r="AB11" i="70"/>
  <c r="AA11" i="70"/>
  <c r="Z11" i="70"/>
  <c r="Y11" i="70"/>
  <c r="X11" i="70"/>
  <c r="W11" i="70"/>
  <c r="V11" i="70"/>
  <c r="U11" i="70"/>
  <c r="T11" i="70"/>
  <c r="S11" i="70"/>
  <c r="R11" i="70"/>
  <c r="Q11" i="70"/>
  <c r="P11" i="70"/>
  <c r="O11" i="70"/>
  <c r="N11" i="70"/>
  <c r="M11" i="70"/>
  <c r="L11" i="70"/>
  <c r="K11" i="70"/>
  <c r="J11" i="70"/>
  <c r="I11" i="70"/>
  <c r="H11" i="70"/>
  <c r="G11" i="70"/>
  <c r="F11" i="70"/>
  <c r="E11" i="70"/>
  <c r="CU10" i="70"/>
  <c r="CT10" i="70"/>
  <c r="CS10" i="70"/>
  <c r="CR10" i="70"/>
  <c r="CQ10" i="70"/>
  <c r="CP10" i="70"/>
  <c r="CO10" i="70"/>
  <c r="CN10" i="70"/>
  <c r="CM10" i="70"/>
  <c r="CL10" i="70"/>
  <c r="CK10" i="70"/>
  <c r="CJ10" i="70"/>
  <c r="CI10" i="70"/>
  <c r="CH10" i="70"/>
  <c r="CG10" i="70"/>
  <c r="CF10" i="70"/>
  <c r="CE10" i="70"/>
  <c r="CD10" i="70"/>
  <c r="CC10" i="70"/>
  <c r="CB10" i="70"/>
  <c r="CA10" i="70"/>
  <c r="BZ10" i="70"/>
  <c r="BY10" i="70"/>
  <c r="BX10" i="70"/>
  <c r="BW10" i="70"/>
  <c r="BV10" i="70"/>
  <c r="BU10" i="70"/>
  <c r="BT10" i="70"/>
  <c r="BS10" i="70"/>
  <c r="BR10" i="70"/>
  <c r="BQ10" i="70"/>
  <c r="BP10" i="70"/>
  <c r="BO10" i="70"/>
  <c r="BN10" i="70"/>
  <c r="BM10" i="70"/>
  <c r="BL10" i="70"/>
  <c r="BK10" i="70"/>
  <c r="BJ10" i="70"/>
  <c r="BI10" i="70"/>
  <c r="BH10" i="70"/>
  <c r="BG10" i="70"/>
  <c r="BF10" i="70"/>
  <c r="BE10" i="70"/>
  <c r="BD10" i="70"/>
  <c r="BC10" i="70"/>
  <c r="BB10" i="70"/>
  <c r="BA10" i="70"/>
  <c r="AZ10" i="70"/>
  <c r="AY10" i="70"/>
  <c r="AX10" i="70"/>
  <c r="AW10" i="70"/>
  <c r="AV10" i="70"/>
  <c r="AU10" i="70"/>
  <c r="AT10" i="70"/>
  <c r="AS10" i="70"/>
  <c r="AR10" i="70"/>
  <c r="AQ10" i="70"/>
  <c r="AP10" i="70"/>
  <c r="AO10" i="70"/>
  <c r="AN10" i="70"/>
  <c r="AM10" i="70"/>
  <c r="AL10" i="70"/>
  <c r="AK10" i="70"/>
  <c r="AJ10" i="70"/>
  <c r="AI10" i="70"/>
  <c r="AH10" i="70"/>
  <c r="AG10" i="70"/>
  <c r="AF10" i="70"/>
  <c r="AE10" i="70"/>
  <c r="AD10" i="70"/>
  <c r="AC10" i="70"/>
  <c r="AB10" i="70"/>
  <c r="AA10" i="70"/>
  <c r="Z10" i="70"/>
  <c r="Y10" i="70"/>
  <c r="X10" i="70"/>
  <c r="W10" i="70"/>
  <c r="V10" i="70"/>
  <c r="U10" i="70"/>
  <c r="T10" i="70"/>
  <c r="S10" i="70"/>
  <c r="R10" i="70"/>
  <c r="Q10" i="70"/>
  <c r="P10" i="70"/>
  <c r="O10" i="70"/>
  <c r="N10" i="70"/>
  <c r="M10" i="70"/>
  <c r="L10" i="70"/>
  <c r="K10" i="70"/>
  <c r="J10" i="70"/>
  <c r="I10" i="70"/>
  <c r="H10" i="70"/>
  <c r="G10" i="70"/>
  <c r="F10" i="70"/>
  <c r="E10" i="70"/>
  <c r="CU9" i="70"/>
  <c r="CT9" i="70"/>
  <c r="CS9" i="70"/>
  <c r="CR9" i="70"/>
  <c r="CQ9" i="70"/>
  <c r="CP9" i="70"/>
  <c r="CO9" i="70"/>
  <c r="CN9" i="70"/>
  <c r="CM9" i="70"/>
  <c r="CL9" i="70"/>
  <c r="CK9" i="70"/>
  <c r="CJ9" i="70"/>
  <c r="CI9" i="70"/>
  <c r="CH9" i="70"/>
  <c r="CG9" i="70"/>
  <c r="CF9" i="70"/>
  <c r="CE9" i="70"/>
  <c r="CD9" i="70"/>
  <c r="CC9" i="70"/>
  <c r="CB9" i="70"/>
  <c r="CA9" i="70"/>
  <c r="BZ9" i="70"/>
  <c r="BY9" i="70"/>
  <c r="BX9" i="70"/>
  <c r="BW9" i="70"/>
  <c r="BV9" i="70"/>
  <c r="BU9" i="70"/>
  <c r="BT9" i="70"/>
  <c r="BS9" i="70"/>
  <c r="BR9" i="70"/>
  <c r="BQ9" i="70"/>
  <c r="BP9" i="70"/>
  <c r="BO9" i="70"/>
  <c r="BN9" i="70"/>
  <c r="BM9" i="70"/>
  <c r="BL9" i="70"/>
  <c r="BK9" i="70"/>
  <c r="BJ9" i="70"/>
  <c r="BI9" i="70"/>
  <c r="BH9" i="70"/>
  <c r="BG9" i="70"/>
  <c r="BF9" i="70"/>
  <c r="BE9" i="70"/>
  <c r="BD9" i="70"/>
  <c r="BC9" i="70"/>
  <c r="BB9" i="70"/>
  <c r="BA9" i="70"/>
  <c r="AZ9" i="70"/>
  <c r="AY9" i="70"/>
  <c r="AX9" i="70"/>
  <c r="AW9" i="70"/>
  <c r="AV9" i="70"/>
  <c r="AU9" i="70"/>
  <c r="AT9" i="70"/>
  <c r="AS9" i="70"/>
  <c r="AR9" i="70"/>
  <c r="AQ9" i="70"/>
  <c r="AP9" i="70"/>
  <c r="AO9" i="70"/>
  <c r="AN9" i="70"/>
  <c r="AM9" i="70"/>
  <c r="AL9" i="70"/>
  <c r="AK9" i="70"/>
  <c r="AJ9" i="70"/>
  <c r="AI9" i="70"/>
  <c r="AH9" i="70"/>
  <c r="AG9" i="70"/>
  <c r="AF9" i="70"/>
  <c r="AE9" i="70"/>
  <c r="AD9" i="70"/>
  <c r="AC9" i="70"/>
  <c r="AB9" i="70"/>
  <c r="AA9" i="70"/>
  <c r="Z9" i="70"/>
  <c r="Y9" i="70"/>
  <c r="X9" i="70"/>
  <c r="W9" i="70"/>
  <c r="V9" i="70"/>
  <c r="U9" i="70"/>
  <c r="T9" i="70"/>
  <c r="S9" i="70"/>
  <c r="R9" i="70"/>
  <c r="Q9" i="70"/>
  <c r="P9" i="70"/>
  <c r="O9" i="70"/>
  <c r="N9" i="70"/>
  <c r="M9" i="70"/>
  <c r="L9" i="70"/>
  <c r="K9" i="70"/>
  <c r="J9" i="70"/>
  <c r="I9" i="70"/>
  <c r="H9" i="70"/>
  <c r="G9" i="70"/>
  <c r="F9" i="70"/>
  <c r="E9" i="70"/>
  <c r="BX99" i="77"/>
  <c r="BU99" i="77"/>
  <c r="BT99" i="77"/>
  <c r="BS99" i="77"/>
  <c r="BL99" i="77"/>
  <c r="BX98" i="77"/>
  <c r="CA98" i="77" s="1"/>
  <c r="BU98" i="77"/>
  <c r="BT98" i="77"/>
  <c r="BS98" i="77"/>
  <c r="BP98" i="77"/>
  <c r="BO98" i="77"/>
  <c r="BN98" i="77"/>
  <c r="BK98" i="77"/>
  <c r="BJ98" i="77"/>
  <c r="BG98" i="77"/>
  <c r="BF98" i="77"/>
  <c r="BE98" i="77"/>
  <c r="BB98" i="77"/>
  <c r="BA98" i="77"/>
  <c r="AZ98" i="77"/>
  <c r="AW98" i="77"/>
  <c r="AV98" i="77"/>
  <c r="AU98" i="77"/>
  <c r="AS98" i="77"/>
  <c r="AR98" i="77"/>
  <c r="AQ98" i="77"/>
  <c r="AN98" i="77"/>
  <c r="AM98" i="77"/>
  <c r="AL98" i="77"/>
  <c r="AI98" i="77"/>
  <c r="AH98" i="77"/>
  <c r="AG98" i="77"/>
  <c r="AD98" i="77"/>
  <c r="AC98" i="77"/>
  <c r="AB98" i="77"/>
  <c r="Z98" i="77"/>
  <c r="Y98" i="77"/>
  <c r="X98" i="77"/>
  <c r="W98" i="77"/>
  <c r="V98" i="77"/>
  <c r="U98" i="77"/>
  <c r="T98" i="77"/>
  <c r="S98" i="77"/>
  <c r="R98" i="77"/>
  <c r="Q98" i="77"/>
  <c r="P98" i="77"/>
  <c r="O98" i="77"/>
  <c r="N98" i="77"/>
  <c r="M98" i="77"/>
  <c r="L98" i="77"/>
  <c r="K98" i="77"/>
  <c r="J98" i="77"/>
  <c r="I98" i="77"/>
  <c r="H98" i="77"/>
  <c r="G98" i="77"/>
  <c r="F98" i="77"/>
  <c r="E98" i="77"/>
  <c r="BX97" i="77"/>
  <c r="CA97" i="77" s="1"/>
  <c r="BU97" i="77"/>
  <c r="BT97" i="77"/>
  <c r="BS97" i="77"/>
  <c r="BP97" i="77"/>
  <c r="BO97" i="77"/>
  <c r="BN97" i="77"/>
  <c r="BK97" i="77"/>
  <c r="BJ97" i="77"/>
  <c r="BG97" i="77"/>
  <c r="BF97" i="77"/>
  <c r="BE97" i="77"/>
  <c r="BB97" i="77"/>
  <c r="BA97" i="77"/>
  <c r="AZ97" i="77"/>
  <c r="AW97" i="77"/>
  <c r="AV97" i="77"/>
  <c r="AU97" i="77"/>
  <c r="AS97" i="77"/>
  <c r="AR97" i="77"/>
  <c r="AQ97" i="77"/>
  <c r="AN97" i="77"/>
  <c r="AM97" i="77"/>
  <c r="AL97" i="77"/>
  <c r="AI97" i="77"/>
  <c r="AH97" i="77"/>
  <c r="AG97" i="77"/>
  <c r="AD97" i="77"/>
  <c r="AC97" i="77"/>
  <c r="AB97" i="77"/>
  <c r="Z97" i="77"/>
  <c r="Y97" i="77"/>
  <c r="X97" i="77"/>
  <c r="W97" i="77"/>
  <c r="V97" i="77"/>
  <c r="U97" i="77"/>
  <c r="T97" i="77"/>
  <c r="S97" i="77"/>
  <c r="R97" i="77"/>
  <c r="Q97" i="77"/>
  <c r="P97" i="77"/>
  <c r="O97" i="77"/>
  <c r="N97" i="77"/>
  <c r="M97" i="77"/>
  <c r="L97" i="77"/>
  <c r="K97" i="77"/>
  <c r="J97" i="77"/>
  <c r="I97" i="77"/>
  <c r="H97" i="77"/>
  <c r="G97" i="77"/>
  <c r="F97" i="77"/>
  <c r="E97" i="77"/>
  <c r="BX96" i="77"/>
  <c r="CA96" i="77" s="1"/>
  <c r="BU96" i="77"/>
  <c r="BT96" i="77"/>
  <c r="BS96" i="77"/>
  <c r="BP96" i="77"/>
  <c r="BO96" i="77"/>
  <c r="BN96" i="77"/>
  <c r="BK96" i="77"/>
  <c r="BJ96" i="77"/>
  <c r="BG96" i="77"/>
  <c r="BF96" i="77"/>
  <c r="BE96" i="77"/>
  <c r="BB96" i="77"/>
  <c r="BA96" i="77"/>
  <c r="AZ96" i="77"/>
  <c r="AW96" i="77"/>
  <c r="AV96" i="77"/>
  <c r="AU96" i="77"/>
  <c r="AS96" i="77"/>
  <c r="AR96" i="77"/>
  <c r="AQ96" i="77"/>
  <c r="AN96" i="77"/>
  <c r="AM96" i="77"/>
  <c r="AL96" i="77"/>
  <c r="AI96" i="77"/>
  <c r="AH96" i="77"/>
  <c r="AG96" i="77"/>
  <c r="AD96" i="77"/>
  <c r="AC96" i="77"/>
  <c r="AB96" i="77"/>
  <c r="Z96" i="77"/>
  <c r="Y96" i="77"/>
  <c r="X96" i="77"/>
  <c r="W96" i="77"/>
  <c r="V96" i="77"/>
  <c r="U96" i="77"/>
  <c r="T96" i="77"/>
  <c r="S96" i="77"/>
  <c r="R96" i="77"/>
  <c r="Q96" i="77"/>
  <c r="P96" i="77"/>
  <c r="O96" i="77"/>
  <c r="N96" i="77"/>
  <c r="M96" i="77"/>
  <c r="L96" i="77"/>
  <c r="K96" i="77"/>
  <c r="J96" i="77"/>
  <c r="I96" i="77"/>
  <c r="H96" i="77"/>
  <c r="G96" i="77"/>
  <c r="F96" i="77"/>
  <c r="E96" i="77"/>
  <c r="BX95" i="77"/>
  <c r="CA95" i="77" s="1"/>
  <c r="BU95" i="77"/>
  <c r="BT95" i="77"/>
  <c r="BS95" i="77"/>
  <c r="BP95" i="77"/>
  <c r="BO95" i="77"/>
  <c r="BN95" i="77"/>
  <c r="BK95" i="77"/>
  <c r="BJ95" i="77"/>
  <c r="BG95" i="77"/>
  <c r="BF95" i="77"/>
  <c r="BE95" i="77"/>
  <c r="BB95" i="77"/>
  <c r="BA95" i="77"/>
  <c r="AZ95" i="77"/>
  <c r="AW95" i="77"/>
  <c r="AV95" i="77"/>
  <c r="AU95" i="77"/>
  <c r="AS95" i="77"/>
  <c r="AR95" i="77"/>
  <c r="AQ95" i="77"/>
  <c r="AN95" i="77"/>
  <c r="AM95" i="77"/>
  <c r="AL95" i="77"/>
  <c r="AI95" i="77"/>
  <c r="AH95" i="77"/>
  <c r="AG95" i="77"/>
  <c r="AD95" i="77"/>
  <c r="AC95" i="77"/>
  <c r="AB95" i="77"/>
  <c r="Z95" i="77"/>
  <c r="Y95" i="77"/>
  <c r="X95" i="77"/>
  <c r="W95" i="77"/>
  <c r="V95" i="77"/>
  <c r="U95" i="77"/>
  <c r="T95" i="77"/>
  <c r="S95" i="77"/>
  <c r="R95" i="77"/>
  <c r="Q95" i="77"/>
  <c r="P95" i="77"/>
  <c r="O95" i="77"/>
  <c r="N95" i="77"/>
  <c r="M95" i="77"/>
  <c r="L95" i="77"/>
  <c r="K95" i="77"/>
  <c r="J95" i="77"/>
  <c r="I95" i="77"/>
  <c r="H95" i="77"/>
  <c r="G95" i="77"/>
  <c r="F95" i="77"/>
  <c r="E95" i="77"/>
  <c r="BX94" i="77"/>
  <c r="CA94" i="77" s="1"/>
  <c r="BU94" i="77"/>
  <c r="BT94" i="77"/>
  <c r="BS94" i="77"/>
  <c r="BP94" i="77"/>
  <c r="BO94" i="77"/>
  <c r="BN94" i="77"/>
  <c r="BK94" i="77"/>
  <c r="BJ94" i="77"/>
  <c r="BG94" i="77"/>
  <c r="BF94" i="77"/>
  <c r="BE94" i="77"/>
  <c r="BB94" i="77"/>
  <c r="BA94" i="77"/>
  <c r="AZ94" i="77"/>
  <c r="AW94" i="77"/>
  <c r="AV94" i="77"/>
  <c r="AU94" i="77"/>
  <c r="AS94" i="77"/>
  <c r="AR94" i="77"/>
  <c r="AQ94" i="77"/>
  <c r="AN94" i="77"/>
  <c r="AM94" i="77"/>
  <c r="AL94" i="77"/>
  <c r="AI94" i="77"/>
  <c r="AH94" i="77"/>
  <c r="AG94" i="77"/>
  <c r="AD94" i="77"/>
  <c r="AC94" i="77"/>
  <c r="AB94" i="77"/>
  <c r="Z94" i="77"/>
  <c r="Y94" i="77"/>
  <c r="X94" i="77"/>
  <c r="W94" i="77"/>
  <c r="V94" i="77"/>
  <c r="U94" i="77"/>
  <c r="T94" i="77"/>
  <c r="S94" i="77"/>
  <c r="R94" i="77"/>
  <c r="Q94" i="77"/>
  <c r="P94" i="77"/>
  <c r="O94" i="77"/>
  <c r="N94" i="77"/>
  <c r="M94" i="77"/>
  <c r="L94" i="77"/>
  <c r="K94" i="77"/>
  <c r="J94" i="77"/>
  <c r="I94" i="77"/>
  <c r="H94" i="77"/>
  <c r="G94" i="77"/>
  <c r="F94" i="77"/>
  <c r="E94" i="77"/>
  <c r="BX93" i="77"/>
  <c r="CA93" i="77" s="1"/>
  <c r="BU93" i="77"/>
  <c r="BT93" i="77"/>
  <c r="BS93" i="77"/>
  <c r="BP93" i="77"/>
  <c r="BO93" i="77"/>
  <c r="BN93" i="77"/>
  <c r="BK93" i="77"/>
  <c r="BJ93" i="77"/>
  <c r="BG93" i="77"/>
  <c r="BF93" i="77"/>
  <c r="BE93" i="77"/>
  <c r="BB93" i="77"/>
  <c r="BA93" i="77"/>
  <c r="AZ93" i="77"/>
  <c r="AW93" i="77"/>
  <c r="AV93" i="77"/>
  <c r="AU93" i="77"/>
  <c r="AS93" i="77"/>
  <c r="AR93" i="77"/>
  <c r="AQ93" i="77"/>
  <c r="AN93" i="77"/>
  <c r="AM93" i="77"/>
  <c r="AL93" i="77"/>
  <c r="AI93" i="77"/>
  <c r="AH93" i="77"/>
  <c r="AG93" i="77"/>
  <c r="AD93" i="77"/>
  <c r="AC93" i="77"/>
  <c r="AB93" i="77"/>
  <c r="Z93" i="77"/>
  <c r="Y93" i="77"/>
  <c r="X93" i="77"/>
  <c r="W93" i="77"/>
  <c r="V93" i="77"/>
  <c r="U93" i="77"/>
  <c r="T93" i="77"/>
  <c r="S93" i="77"/>
  <c r="R93" i="77"/>
  <c r="Q93" i="77"/>
  <c r="P93" i="77"/>
  <c r="O93" i="77"/>
  <c r="N93" i="77"/>
  <c r="M93" i="77"/>
  <c r="L93" i="77"/>
  <c r="K93" i="77"/>
  <c r="J93" i="77"/>
  <c r="I93" i="77"/>
  <c r="H93" i="77"/>
  <c r="G93" i="77"/>
  <c r="F93" i="77"/>
  <c r="E93" i="77"/>
  <c r="BX92" i="77"/>
  <c r="CA92" i="77" s="1"/>
  <c r="BU92" i="77"/>
  <c r="BT92" i="77"/>
  <c r="BS92" i="77"/>
  <c r="BP92" i="77"/>
  <c r="BO92" i="77"/>
  <c r="BN92" i="77"/>
  <c r="BK92" i="77"/>
  <c r="BJ92" i="77"/>
  <c r="BG92" i="77"/>
  <c r="BF92" i="77"/>
  <c r="BE92" i="77"/>
  <c r="BB92" i="77"/>
  <c r="BA92" i="77"/>
  <c r="AZ92" i="77"/>
  <c r="AW92" i="77"/>
  <c r="AV92" i="77"/>
  <c r="AU92" i="77"/>
  <c r="AS92" i="77"/>
  <c r="AR92" i="77"/>
  <c r="AQ92" i="77"/>
  <c r="AN92" i="77"/>
  <c r="AM92" i="77"/>
  <c r="AL92" i="77"/>
  <c r="AI92" i="77"/>
  <c r="AH92" i="77"/>
  <c r="AG92" i="77"/>
  <c r="AD92" i="77"/>
  <c r="AC92" i="77"/>
  <c r="AB92" i="77"/>
  <c r="Z92" i="77"/>
  <c r="Y92" i="77"/>
  <c r="X92" i="77"/>
  <c r="W92" i="77"/>
  <c r="V92" i="77"/>
  <c r="U92" i="77"/>
  <c r="T92" i="77"/>
  <c r="S92" i="77"/>
  <c r="R92" i="77"/>
  <c r="Q92" i="77"/>
  <c r="P92" i="77"/>
  <c r="O92" i="77"/>
  <c r="N92" i="77"/>
  <c r="M92" i="77"/>
  <c r="L92" i="77"/>
  <c r="K92" i="77"/>
  <c r="J92" i="77"/>
  <c r="I92" i="77"/>
  <c r="H92" i="77"/>
  <c r="G92" i="77"/>
  <c r="F92" i="77"/>
  <c r="E92" i="77"/>
  <c r="BX91" i="77"/>
  <c r="CA91" i="77" s="1"/>
  <c r="BU91" i="77"/>
  <c r="BT91" i="77"/>
  <c r="BS91" i="77"/>
  <c r="BP91" i="77"/>
  <c r="BO91" i="77"/>
  <c r="BN91" i="77"/>
  <c r="BK91" i="77"/>
  <c r="BJ91" i="77"/>
  <c r="BG91" i="77"/>
  <c r="BF91" i="77"/>
  <c r="BE91" i="77"/>
  <c r="BB91" i="77"/>
  <c r="BA91" i="77"/>
  <c r="AZ91" i="77"/>
  <c r="AW91" i="77"/>
  <c r="AV91" i="77"/>
  <c r="AU91" i="77"/>
  <c r="AS91" i="77"/>
  <c r="AR91" i="77"/>
  <c r="AQ91" i="77"/>
  <c r="AN91" i="77"/>
  <c r="AM91" i="77"/>
  <c r="AL91" i="77"/>
  <c r="AI91" i="77"/>
  <c r="AH91" i="77"/>
  <c r="AG91" i="77"/>
  <c r="AD91" i="77"/>
  <c r="AC91" i="77"/>
  <c r="AB91" i="77"/>
  <c r="Z91" i="77"/>
  <c r="Y91" i="77"/>
  <c r="X91" i="77"/>
  <c r="W91" i="77"/>
  <c r="V91" i="77"/>
  <c r="U91" i="77"/>
  <c r="T91" i="77"/>
  <c r="S91" i="77"/>
  <c r="R91" i="77"/>
  <c r="Q91" i="77"/>
  <c r="P91" i="77"/>
  <c r="O91" i="77"/>
  <c r="N91" i="77"/>
  <c r="M91" i="77"/>
  <c r="L91" i="77"/>
  <c r="K91" i="77"/>
  <c r="J91" i="77"/>
  <c r="I91" i="77"/>
  <c r="H91" i="77"/>
  <c r="G91" i="77"/>
  <c r="F91" i="77"/>
  <c r="E91" i="77"/>
  <c r="BX90" i="77"/>
  <c r="CA90" i="77" s="1"/>
  <c r="BU90" i="77"/>
  <c r="BT90" i="77"/>
  <c r="BS90" i="77"/>
  <c r="BP90" i="77"/>
  <c r="BO90" i="77"/>
  <c r="BN90" i="77"/>
  <c r="BK90" i="77"/>
  <c r="BJ90" i="77"/>
  <c r="BG90" i="77"/>
  <c r="BF90" i="77"/>
  <c r="BE90" i="77"/>
  <c r="BB90" i="77"/>
  <c r="BA90" i="77"/>
  <c r="AZ90" i="77"/>
  <c r="AW90" i="77"/>
  <c r="AV90" i="77"/>
  <c r="AU90" i="77"/>
  <c r="AS90" i="77"/>
  <c r="AR90" i="77"/>
  <c r="AQ90" i="77"/>
  <c r="AN90" i="77"/>
  <c r="AM90" i="77"/>
  <c r="AL90" i="77"/>
  <c r="AI90" i="77"/>
  <c r="AH90" i="77"/>
  <c r="AG90" i="77"/>
  <c r="AD90" i="77"/>
  <c r="AC90" i="77"/>
  <c r="AB90" i="77"/>
  <c r="Z90" i="77"/>
  <c r="Y90" i="77"/>
  <c r="X90" i="77"/>
  <c r="W90" i="77"/>
  <c r="V90" i="77"/>
  <c r="U90" i="77"/>
  <c r="T90" i="77"/>
  <c r="S90" i="77"/>
  <c r="R90" i="77"/>
  <c r="Q90" i="77"/>
  <c r="P90" i="77"/>
  <c r="O90" i="77"/>
  <c r="N90" i="77"/>
  <c r="M90" i="77"/>
  <c r="L90" i="77"/>
  <c r="K90" i="77"/>
  <c r="J90" i="77"/>
  <c r="I90" i="77"/>
  <c r="H90" i="77"/>
  <c r="G90" i="77"/>
  <c r="F90" i="77"/>
  <c r="E90" i="77"/>
  <c r="BX89" i="77"/>
  <c r="CA89" i="77" s="1"/>
  <c r="BU89" i="77"/>
  <c r="BT89" i="77"/>
  <c r="BS89" i="77"/>
  <c r="BP89" i="77"/>
  <c r="BO89" i="77"/>
  <c r="BN89" i="77"/>
  <c r="BK89" i="77"/>
  <c r="BJ89" i="77"/>
  <c r="BG89" i="77"/>
  <c r="BF89" i="77"/>
  <c r="BE89" i="77"/>
  <c r="BB89" i="77"/>
  <c r="BA89" i="77"/>
  <c r="AZ89" i="77"/>
  <c r="AW89" i="77"/>
  <c r="AV89" i="77"/>
  <c r="AU89" i="77"/>
  <c r="AS89" i="77"/>
  <c r="AR89" i="77"/>
  <c r="AQ89" i="77"/>
  <c r="AN89" i="77"/>
  <c r="AM89" i="77"/>
  <c r="AL89" i="77"/>
  <c r="AI89" i="77"/>
  <c r="AH89" i="77"/>
  <c r="AG89" i="77"/>
  <c r="AD89" i="77"/>
  <c r="AC89" i="77"/>
  <c r="AB89" i="77"/>
  <c r="Z89" i="77"/>
  <c r="Y89" i="77"/>
  <c r="X89" i="77"/>
  <c r="W89" i="77"/>
  <c r="V89" i="77"/>
  <c r="U89" i="77"/>
  <c r="T89" i="77"/>
  <c r="S89" i="77"/>
  <c r="R89" i="77"/>
  <c r="Q89" i="77"/>
  <c r="P89" i="77"/>
  <c r="O89" i="77"/>
  <c r="N89" i="77"/>
  <c r="M89" i="77"/>
  <c r="L89" i="77"/>
  <c r="K89" i="77"/>
  <c r="J89" i="77"/>
  <c r="I89" i="77"/>
  <c r="H89" i="77"/>
  <c r="G89" i="77"/>
  <c r="F89" i="77"/>
  <c r="E89" i="77"/>
  <c r="BX88" i="77"/>
  <c r="CA88" i="77" s="1"/>
  <c r="BU88" i="77"/>
  <c r="BT88" i="77"/>
  <c r="BS88" i="77"/>
  <c r="BP88" i="77"/>
  <c r="BO88" i="77"/>
  <c r="BN88" i="77"/>
  <c r="BK88" i="77"/>
  <c r="BJ88" i="77"/>
  <c r="BG88" i="77"/>
  <c r="BF88" i="77"/>
  <c r="BE88" i="77"/>
  <c r="BB88" i="77"/>
  <c r="BA88" i="77"/>
  <c r="AZ88" i="77"/>
  <c r="AW88" i="77"/>
  <c r="AV88" i="77"/>
  <c r="AU88" i="77"/>
  <c r="AS88" i="77"/>
  <c r="AR88" i="77"/>
  <c r="AQ88" i="77"/>
  <c r="AN88" i="77"/>
  <c r="AM88" i="77"/>
  <c r="AL88" i="77"/>
  <c r="AI88" i="77"/>
  <c r="AH88" i="77"/>
  <c r="AG88" i="77"/>
  <c r="AD88" i="77"/>
  <c r="AC88" i="77"/>
  <c r="AB88" i="77"/>
  <c r="Z88" i="77"/>
  <c r="Y88" i="77"/>
  <c r="X88" i="77"/>
  <c r="W88" i="77"/>
  <c r="V88" i="77"/>
  <c r="U88" i="77"/>
  <c r="T88" i="77"/>
  <c r="S88" i="77"/>
  <c r="R88" i="77"/>
  <c r="Q88" i="77"/>
  <c r="P88" i="77"/>
  <c r="O88" i="77"/>
  <c r="N88" i="77"/>
  <c r="M88" i="77"/>
  <c r="L88" i="77"/>
  <c r="K88" i="77"/>
  <c r="J88" i="77"/>
  <c r="I88" i="77"/>
  <c r="H88" i="77"/>
  <c r="G88" i="77"/>
  <c r="F88" i="77"/>
  <c r="E88" i="77"/>
  <c r="BX87" i="77"/>
  <c r="CA87" i="77" s="1"/>
  <c r="BU87" i="77"/>
  <c r="BT87" i="77"/>
  <c r="BS87" i="77"/>
  <c r="BP87" i="77"/>
  <c r="BO87" i="77"/>
  <c r="BN87" i="77"/>
  <c r="BK87" i="77"/>
  <c r="BJ87" i="77"/>
  <c r="BG87" i="77"/>
  <c r="BF87" i="77"/>
  <c r="BE87" i="77"/>
  <c r="BB87" i="77"/>
  <c r="BA87" i="77"/>
  <c r="AZ87" i="77"/>
  <c r="AW87" i="77"/>
  <c r="AV87" i="77"/>
  <c r="AU87" i="77"/>
  <c r="AS87" i="77"/>
  <c r="AR87" i="77"/>
  <c r="AQ87" i="77"/>
  <c r="AN87" i="77"/>
  <c r="AM87" i="77"/>
  <c r="AL87" i="77"/>
  <c r="AI87" i="77"/>
  <c r="AH87" i="77"/>
  <c r="AG87" i="77"/>
  <c r="AD87" i="77"/>
  <c r="AC87" i="77"/>
  <c r="AB87" i="77"/>
  <c r="Z87" i="77"/>
  <c r="Y87" i="77"/>
  <c r="X87" i="77"/>
  <c r="W87" i="77"/>
  <c r="V87" i="77"/>
  <c r="U87" i="77"/>
  <c r="T87" i="77"/>
  <c r="S87" i="77"/>
  <c r="R87" i="77"/>
  <c r="Q87" i="77"/>
  <c r="P87" i="77"/>
  <c r="O87" i="77"/>
  <c r="N87" i="77"/>
  <c r="M87" i="77"/>
  <c r="L87" i="77"/>
  <c r="K87" i="77"/>
  <c r="J87" i="77"/>
  <c r="I87" i="77"/>
  <c r="H87" i="77"/>
  <c r="G87" i="77"/>
  <c r="F87" i="77"/>
  <c r="E87" i="77"/>
  <c r="BX86" i="77"/>
  <c r="CA86" i="77" s="1"/>
  <c r="BU86" i="77"/>
  <c r="BT86" i="77"/>
  <c r="BS86" i="77"/>
  <c r="BP86" i="77"/>
  <c r="BO86" i="77"/>
  <c r="BN86" i="77"/>
  <c r="BK86" i="77"/>
  <c r="BJ86" i="77"/>
  <c r="BG86" i="77"/>
  <c r="BF86" i="77"/>
  <c r="BE86" i="77"/>
  <c r="BB86" i="77"/>
  <c r="BA86" i="77"/>
  <c r="AZ86" i="77"/>
  <c r="AW86" i="77"/>
  <c r="AV86" i="77"/>
  <c r="AU86" i="77"/>
  <c r="AS86" i="77"/>
  <c r="AR86" i="77"/>
  <c r="AQ86" i="77"/>
  <c r="AN86" i="77"/>
  <c r="AM86" i="77"/>
  <c r="AL86" i="77"/>
  <c r="AI86" i="77"/>
  <c r="AH86" i="77"/>
  <c r="AG86" i="77"/>
  <c r="AD86" i="77"/>
  <c r="AC86" i="77"/>
  <c r="AB86" i="77"/>
  <c r="Z86" i="77"/>
  <c r="Y86" i="77"/>
  <c r="X86" i="77"/>
  <c r="W86" i="77"/>
  <c r="V86" i="77"/>
  <c r="U86" i="77"/>
  <c r="T86" i="77"/>
  <c r="S86" i="77"/>
  <c r="R86" i="77"/>
  <c r="Q86" i="77"/>
  <c r="P86" i="77"/>
  <c r="O86" i="77"/>
  <c r="N86" i="77"/>
  <c r="M86" i="77"/>
  <c r="L86" i="77"/>
  <c r="K86" i="77"/>
  <c r="J86" i="77"/>
  <c r="I86" i="77"/>
  <c r="H86" i="77"/>
  <c r="G86" i="77"/>
  <c r="F86" i="77"/>
  <c r="E86" i="77"/>
  <c r="BX85" i="77"/>
  <c r="CA85" i="77" s="1"/>
  <c r="BU85" i="77"/>
  <c r="BT85" i="77"/>
  <c r="BS85" i="77"/>
  <c r="BP85" i="77"/>
  <c r="BO85" i="77"/>
  <c r="BN85" i="77"/>
  <c r="BK85" i="77"/>
  <c r="BJ85" i="77"/>
  <c r="BG85" i="77"/>
  <c r="BF85" i="77"/>
  <c r="BE85" i="77"/>
  <c r="BB85" i="77"/>
  <c r="BA85" i="77"/>
  <c r="AZ85" i="77"/>
  <c r="AW85" i="77"/>
  <c r="AV85" i="77"/>
  <c r="AU85" i="77"/>
  <c r="AS85" i="77"/>
  <c r="AR85" i="77"/>
  <c r="AQ85" i="77"/>
  <c r="AN85" i="77"/>
  <c r="AM85" i="77"/>
  <c r="AL85" i="77"/>
  <c r="AI85" i="77"/>
  <c r="AH85" i="77"/>
  <c r="AG85" i="77"/>
  <c r="AD85" i="77"/>
  <c r="AC85" i="77"/>
  <c r="AB85" i="77"/>
  <c r="Z85" i="77"/>
  <c r="Y85" i="77"/>
  <c r="X85" i="77"/>
  <c r="W85" i="77"/>
  <c r="V85" i="77"/>
  <c r="U85" i="77"/>
  <c r="T85" i="77"/>
  <c r="S85" i="77"/>
  <c r="R85" i="77"/>
  <c r="Q85" i="77"/>
  <c r="P85" i="77"/>
  <c r="O85" i="77"/>
  <c r="N85" i="77"/>
  <c r="M85" i="77"/>
  <c r="L85" i="77"/>
  <c r="K85" i="77"/>
  <c r="J85" i="77"/>
  <c r="I85" i="77"/>
  <c r="H85" i="77"/>
  <c r="G85" i="77"/>
  <c r="F85" i="77"/>
  <c r="E85" i="77"/>
  <c r="BV80" i="77"/>
  <c r="BP80" i="77"/>
  <c r="BO80" i="77"/>
  <c r="BN80" i="77"/>
  <c r="BL80" i="77"/>
  <c r="BK80" i="77"/>
  <c r="BJ80" i="77"/>
  <c r="BG80" i="77"/>
  <c r="BF80" i="77"/>
  <c r="BE80" i="77"/>
  <c r="BE99" i="77" s="1"/>
  <c r="BB80" i="77"/>
  <c r="BA80" i="77"/>
  <c r="AZ80" i="77"/>
  <c r="AW80" i="77"/>
  <c r="AV80" i="77"/>
  <c r="AU80" i="77"/>
  <c r="AS80" i="77"/>
  <c r="AR80" i="77"/>
  <c r="AQ80" i="77"/>
  <c r="AN80" i="77"/>
  <c r="AM80" i="77"/>
  <c r="AL80" i="77"/>
  <c r="AI80" i="77"/>
  <c r="AH80" i="77"/>
  <c r="AG80" i="77"/>
  <c r="AD80" i="77"/>
  <c r="AC80" i="77"/>
  <c r="AB80" i="77"/>
  <c r="Z80" i="77"/>
  <c r="Y80" i="77"/>
  <c r="X80" i="77"/>
  <c r="W80" i="77"/>
  <c r="V80" i="77"/>
  <c r="U80" i="77"/>
  <c r="T80" i="77"/>
  <c r="S80" i="77"/>
  <c r="R80" i="77"/>
  <c r="Q80" i="77"/>
  <c r="P80" i="77"/>
  <c r="O80" i="77"/>
  <c r="N80" i="77"/>
  <c r="M80" i="77"/>
  <c r="L80" i="77"/>
  <c r="K80" i="77"/>
  <c r="J80" i="77"/>
  <c r="I80" i="77"/>
  <c r="H80" i="77"/>
  <c r="G80" i="77"/>
  <c r="F80" i="77"/>
  <c r="E80" i="77"/>
  <c r="BV79" i="77"/>
  <c r="BQ79" i="77"/>
  <c r="BM79" i="77"/>
  <c r="BH79" i="77"/>
  <c r="BC79" i="77"/>
  <c r="AX79" i="77"/>
  <c r="AT79" i="77"/>
  <c r="AO79" i="77"/>
  <c r="AJ79" i="77"/>
  <c r="AE79" i="77"/>
  <c r="AA79" i="77"/>
  <c r="BV78" i="77"/>
  <c r="BQ78" i="77"/>
  <c r="BM78" i="77"/>
  <c r="BH78" i="77"/>
  <c r="BC78" i="77"/>
  <c r="AX78" i="77"/>
  <c r="AT78" i="77"/>
  <c r="AO78" i="77"/>
  <c r="AJ78" i="77"/>
  <c r="AE78" i="77"/>
  <c r="AA78" i="77"/>
  <c r="BV77" i="77"/>
  <c r="BQ77" i="77"/>
  <c r="BM77" i="77"/>
  <c r="BH77" i="77"/>
  <c r="BC77" i="77"/>
  <c r="AX77" i="77"/>
  <c r="AT77" i="77"/>
  <c r="AO77" i="77"/>
  <c r="AJ77" i="77"/>
  <c r="AE77" i="77"/>
  <c r="AA77" i="77"/>
  <c r="BV76" i="77"/>
  <c r="BQ76" i="77"/>
  <c r="BM76" i="77"/>
  <c r="BH76" i="77"/>
  <c r="BC76" i="77"/>
  <c r="AX76" i="77"/>
  <c r="AT76" i="77"/>
  <c r="AO76" i="77"/>
  <c r="AJ76" i="77"/>
  <c r="AE76" i="77"/>
  <c r="AA76" i="77"/>
  <c r="BV75" i="77"/>
  <c r="BQ75" i="77"/>
  <c r="BM75" i="77"/>
  <c r="BH75" i="77"/>
  <c r="BC75" i="77"/>
  <c r="AX75" i="77"/>
  <c r="AT75" i="77"/>
  <c r="AO75" i="77"/>
  <c r="AJ75" i="77"/>
  <c r="AE75" i="77"/>
  <c r="AA75" i="77"/>
  <c r="BV74" i="77"/>
  <c r="BQ74" i="77"/>
  <c r="BM74" i="77"/>
  <c r="BH74" i="77"/>
  <c r="BI74" i="77" s="1"/>
  <c r="BC74" i="77"/>
  <c r="AX74" i="77"/>
  <c r="AT74" i="77"/>
  <c r="AO74" i="77"/>
  <c r="AJ74" i="77"/>
  <c r="AE74" i="77"/>
  <c r="AA74" i="77"/>
  <c r="BV73" i="77"/>
  <c r="BQ73" i="77"/>
  <c r="BM73" i="77"/>
  <c r="BH73" i="77"/>
  <c r="BC73" i="77"/>
  <c r="BD73" i="77" s="1"/>
  <c r="AX73" i="77"/>
  <c r="AT73" i="77"/>
  <c r="AO73" i="77"/>
  <c r="AJ73" i="77"/>
  <c r="AE73" i="77"/>
  <c r="AA73" i="77"/>
  <c r="BV72" i="77"/>
  <c r="BQ72" i="77"/>
  <c r="BM72" i="77"/>
  <c r="BH72" i="77"/>
  <c r="BC72" i="77"/>
  <c r="AX72" i="77"/>
  <c r="AT72" i="77"/>
  <c r="AO72" i="77"/>
  <c r="AJ72" i="77"/>
  <c r="AE72" i="77"/>
  <c r="AA72" i="77"/>
  <c r="BV71" i="77"/>
  <c r="BQ71" i="77"/>
  <c r="BM71" i="77"/>
  <c r="BH71" i="77"/>
  <c r="BC71" i="77"/>
  <c r="AX71" i="77"/>
  <c r="AT71" i="77"/>
  <c r="AO71" i="77"/>
  <c r="AJ71" i="77"/>
  <c r="AE71" i="77"/>
  <c r="AA71" i="77"/>
  <c r="BV70" i="77"/>
  <c r="BQ70" i="77"/>
  <c r="BM70" i="77"/>
  <c r="BH70" i="77"/>
  <c r="BC70" i="77"/>
  <c r="AX70" i="77"/>
  <c r="AT70" i="77"/>
  <c r="AO70" i="77"/>
  <c r="AJ70" i="77"/>
  <c r="AE70" i="77"/>
  <c r="AA70" i="77"/>
  <c r="BV69" i="77"/>
  <c r="BQ69" i="77"/>
  <c r="BM69" i="77"/>
  <c r="BH69" i="77"/>
  <c r="BC69" i="77"/>
  <c r="AX69" i="77"/>
  <c r="AT69" i="77"/>
  <c r="AO69" i="77"/>
  <c r="AJ69" i="77"/>
  <c r="AE69" i="77"/>
  <c r="AA69" i="77"/>
  <c r="BV68" i="77"/>
  <c r="BQ68" i="77"/>
  <c r="BM68" i="77"/>
  <c r="BH68" i="77"/>
  <c r="BC68" i="77"/>
  <c r="AX68" i="77"/>
  <c r="AT68" i="77"/>
  <c r="AO68" i="77"/>
  <c r="AJ68" i="77"/>
  <c r="AE68" i="77"/>
  <c r="AA68" i="77"/>
  <c r="BV67" i="77"/>
  <c r="BQ67" i="77"/>
  <c r="BM67" i="77"/>
  <c r="BH67" i="77"/>
  <c r="BC67" i="77"/>
  <c r="AX67" i="77"/>
  <c r="AT67" i="77"/>
  <c r="AO67" i="77"/>
  <c r="AJ67" i="77"/>
  <c r="AE67" i="77"/>
  <c r="AA67" i="77"/>
  <c r="BV66" i="77"/>
  <c r="BQ66" i="77"/>
  <c r="BM66" i="77"/>
  <c r="BH66" i="77"/>
  <c r="BC66" i="77"/>
  <c r="AX66" i="77"/>
  <c r="AT66" i="77"/>
  <c r="AO66" i="77"/>
  <c r="AJ66" i="77"/>
  <c r="AE66" i="77"/>
  <c r="AA66" i="77"/>
  <c r="BV61" i="77"/>
  <c r="BP61" i="77"/>
  <c r="BO61" i="77"/>
  <c r="BN61" i="77"/>
  <c r="BL61" i="77"/>
  <c r="BK61" i="77"/>
  <c r="BJ61" i="77"/>
  <c r="BG61" i="77"/>
  <c r="BF61" i="77"/>
  <c r="BB61" i="77"/>
  <c r="BA61" i="77"/>
  <c r="AZ61" i="77"/>
  <c r="AW61" i="77"/>
  <c r="AV61" i="77"/>
  <c r="AU61" i="77"/>
  <c r="AS61" i="77"/>
  <c r="AR61" i="77"/>
  <c r="AQ61" i="77"/>
  <c r="AN61" i="77"/>
  <c r="AM61" i="77"/>
  <c r="AL61" i="77"/>
  <c r="AI61" i="77"/>
  <c r="AH61" i="77"/>
  <c r="AG61" i="77"/>
  <c r="AD61" i="77"/>
  <c r="AD99" i="77" s="1"/>
  <c r="AC61" i="77"/>
  <c r="AB61" i="77"/>
  <c r="Z61" i="77"/>
  <c r="Y61" i="77"/>
  <c r="X61" i="77"/>
  <c r="W61" i="77"/>
  <c r="V61" i="77"/>
  <c r="U61" i="77"/>
  <c r="U99" i="77" s="1"/>
  <c r="T61" i="77"/>
  <c r="S61" i="77"/>
  <c r="R61" i="77"/>
  <c r="Q61" i="77"/>
  <c r="P61" i="77"/>
  <c r="O61" i="77"/>
  <c r="N61" i="77"/>
  <c r="M61" i="77"/>
  <c r="M99" i="77" s="1"/>
  <c r="L61" i="77"/>
  <c r="K61" i="77"/>
  <c r="J61" i="77"/>
  <c r="I61" i="77"/>
  <c r="H61" i="77"/>
  <c r="G61" i="77"/>
  <c r="F61" i="77"/>
  <c r="E61" i="77"/>
  <c r="E99" i="77" s="1"/>
  <c r="BV60" i="77"/>
  <c r="BQ60" i="77"/>
  <c r="BM60" i="77"/>
  <c r="BH60" i="77"/>
  <c r="BC60" i="77"/>
  <c r="AX60" i="77"/>
  <c r="AT60" i="77"/>
  <c r="AO60" i="77"/>
  <c r="AJ60" i="77"/>
  <c r="AE60" i="77"/>
  <c r="AA60" i="77"/>
  <c r="BV59" i="77"/>
  <c r="BQ59" i="77"/>
  <c r="BM59" i="77"/>
  <c r="BH59" i="77"/>
  <c r="BC59" i="77"/>
  <c r="AX59" i="77"/>
  <c r="AT59" i="77"/>
  <c r="AO59" i="77"/>
  <c r="AJ59" i="77"/>
  <c r="AE59" i="77"/>
  <c r="AA59" i="77"/>
  <c r="BV58" i="77"/>
  <c r="BQ58" i="77"/>
  <c r="BM58" i="77"/>
  <c r="BH58" i="77"/>
  <c r="BC58" i="77"/>
  <c r="AX58" i="77"/>
  <c r="AT58" i="77"/>
  <c r="AO58" i="77"/>
  <c r="AJ58" i="77"/>
  <c r="AE58" i="77"/>
  <c r="AA58" i="77"/>
  <c r="BV57" i="77"/>
  <c r="BQ57" i="77"/>
  <c r="BM57" i="77"/>
  <c r="BH57" i="77"/>
  <c r="BC57" i="77"/>
  <c r="AX57" i="77"/>
  <c r="AT57" i="77"/>
  <c r="AO57" i="77"/>
  <c r="AJ57" i="77"/>
  <c r="AE57" i="77"/>
  <c r="AA57" i="77"/>
  <c r="BV56" i="77"/>
  <c r="BQ56" i="77"/>
  <c r="BM56" i="77"/>
  <c r="BH56" i="77"/>
  <c r="BH94" i="77" s="1"/>
  <c r="BC56" i="77"/>
  <c r="AX56" i="77"/>
  <c r="AT56" i="77"/>
  <c r="AO56" i="77"/>
  <c r="AJ56" i="77"/>
  <c r="AE56" i="77"/>
  <c r="AA56" i="77"/>
  <c r="BV55" i="77"/>
  <c r="BQ55" i="77"/>
  <c r="BM55" i="77"/>
  <c r="BH55" i="77"/>
  <c r="BC55" i="77"/>
  <c r="AX55" i="77"/>
  <c r="AT55" i="77"/>
  <c r="AO55" i="77"/>
  <c r="AJ55" i="77"/>
  <c r="AJ93" i="77" s="1"/>
  <c r="AE55" i="77"/>
  <c r="AA55" i="77"/>
  <c r="BV54" i="77"/>
  <c r="BQ54" i="77"/>
  <c r="BM54" i="77"/>
  <c r="BH54" i="77"/>
  <c r="BC54" i="77"/>
  <c r="AX54" i="77"/>
  <c r="AX92" i="77" s="1"/>
  <c r="AT54" i="77"/>
  <c r="AO54" i="77"/>
  <c r="AJ54" i="77"/>
  <c r="AE54" i="77"/>
  <c r="AA54" i="77"/>
  <c r="BV53" i="77"/>
  <c r="BQ53" i="77"/>
  <c r="BM53" i="77"/>
  <c r="BH53" i="77"/>
  <c r="BC53" i="77"/>
  <c r="AX53" i="77"/>
  <c r="AT53" i="77"/>
  <c r="AO53" i="77"/>
  <c r="AJ53" i="77"/>
  <c r="AE53" i="77"/>
  <c r="AA53" i="77"/>
  <c r="BV52" i="77"/>
  <c r="BQ52" i="77"/>
  <c r="BM52" i="77"/>
  <c r="BH52" i="77"/>
  <c r="BC52" i="77"/>
  <c r="AX52" i="77"/>
  <c r="AT52" i="77"/>
  <c r="AO52" i="77"/>
  <c r="AO90" i="77" s="1"/>
  <c r="AJ52" i="77"/>
  <c r="AE52" i="77"/>
  <c r="AA52" i="77"/>
  <c r="BV51" i="77"/>
  <c r="BQ51" i="77"/>
  <c r="BM51" i="77"/>
  <c r="BH51" i="77"/>
  <c r="BC51" i="77"/>
  <c r="BC89" i="77" s="1"/>
  <c r="AX51" i="77"/>
  <c r="AT51" i="77"/>
  <c r="AO51" i="77"/>
  <c r="AJ51" i="77"/>
  <c r="AE51" i="77"/>
  <c r="AE89" i="77" s="1"/>
  <c r="AA51" i="77"/>
  <c r="BV50" i="77"/>
  <c r="BQ50" i="77"/>
  <c r="BM50" i="77"/>
  <c r="BH50" i="77"/>
  <c r="BC50" i="77"/>
  <c r="AX50" i="77"/>
  <c r="AT50" i="77"/>
  <c r="AO50" i="77"/>
  <c r="AJ50" i="77"/>
  <c r="AE50" i="77"/>
  <c r="AA50" i="77"/>
  <c r="BV49" i="77"/>
  <c r="BQ49" i="77"/>
  <c r="BM49" i="77"/>
  <c r="BH49" i="77"/>
  <c r="BH87" i="77" s="1"/>
  <c r="BC49" i="77"/>
  <c r="AX49" i="77"/>
  <c r="AT49" i="77"/>
  <c r="AO49" i="77"/>
  <c r="AJ49" i="77"/>
  <c r="AE49" i="77"/>
  <c r="AA49" i="77"/>
  <c r="BV48" i="77"/>
  <c r="BQ48" i="77"/>
  <c r="BM48" i="77"/>
  <c r="BH48" i="77"/>
  <c r="BC48" i="77"/>
  <c r="AX48" i="77"/>
  <c r="AT48" i="77"/>
  <c r="AO48" i="77"/>
  <c r="AJ48" i="77"/>
  <c r="AE48" i="77"/>
  <c r="AF48" i="77" s="1"/>
  <c r="AA48" i="77"/>
  <c r="BV47" i="77"/>
  <c r="BQ47" i="77"/>
  <c r="BM47" i="77"/>
  <c r="BH47" i="77"/>
  <c r="BC47" i="77"/>
  <c r="AX47" i="77"/>
  <c r="AT47" i="77"/>
  <c r="AO47" i="77"/>
  <c r="AJ47" i="77"/>
  <c r="AE47" i="77"/>
  <c r="AA47" i="77"/>
  <c r="A44" i="79"/>
  <c r="I3" i="64"/>
  <c r="E3" i="64"/>
  <c r="J2" i="64"/>
  <c r="AT36" i="65"/>
  <c r="AT35" i="65"/>
  <c r="AT34" i="65"/>
  <c r="AT33" i="65"/>
  <c r="AT32" i="65"/>
  <c r="AT31" i="65"/>
  <c r="AT30" i="65"/>
  <c r="AT29" i="65"/>
  <c r="AT28" i="65"/>
  <c r="AT27" i="65"/>
  <c r="AT26" i="65"/>
  <c r="AT25" i="65"/>
  <c r="AT24" i="65"/>
  <c r="AT23" i="65"/>
  <c r="AT18" i="65"/>
  <c r="AT17" i="65"/>
  <c r="AT16" i="65"/>
  <c r="AT15" i="65"/>
  <c r="AT14" i="65"/>
  <c r="AT13" i="65"/>
  <c r="AT12" i="65"/>
  <c r="AT11" i="65"/>
  <c r="AT10" i="65"/>
  <c r="AT9" i="65"/>
  <c r="AT8" i="65"/>
  <c r="AT7" i="65"/>
  <c r="AT6" i="65"/>
  <c r="AT5" i="65"/>
  <c r="AQ4" i="65"/>
  <c r="AQ22" i="65" s="1"/>
  <c r="AU3" i="65"/>
  <c r="AU36" i="65" s="1"/>
  <c r="AS3" i="65"/>
  <c r="AS31" i="65" s="1"/>
  <c r="AR3" i="65"/>
  <c r="Q28" i="60"/>
  <c r="P28" i="60"/>
  <c r="O28" i="60"/>
  <c r="N28" i="60"/>
  <c r="M28" i="60"/>
  <c r="L28" i="60"/>
  <c r="K28" i="60"/>
  <c r="J28" i="60"/>
  <c r="I28" i="60"/>
  <c r="H28" i="60"/>
  <c r="G28" i="60"/>
  <c r="F28" i="60"/>
  <c r="E28" i="60"/>
  <c r="D28" i="60"/>
  <c r="Q27" i="60"/>
  <c r="P27" i="60"/>
  <c r="O27" i="60"/>
  <c r="N27" i="60"/>
  <c r="M27" i="60"/>
  <c r="L27" i="60"/>
  <c r="K27" i="60"/>
  <c r="J27" i="60"/>
  <c r="I27" i="60"/>
  <c r="H27" i="60"/>
  <c r="G27" i="60"/>
  <c r="F27" i="60"/>
  <c r="E27" i="60"/>
  <c r="D27" i="60"/>
  <c r="R26" i="60"/>
  <c r="Q26" i="60"/>
  <c r="P26" i="60"/>
  <c r="O26" i="60"/>
  <c r="N26" i="60"/>
  <c r="M26" i="60"/>
  <c r="L26" i="60"/>
  <c r="K26" i="60"/>
  <c r="J26" i="60"/>
  <c r="I26" i="60"/>
  <c r="H26" i="60"/>
  <c r="G26" i="60"/>
  <c r="F26" i="60"/>
  <c r="E26" i="60"/>
  <c r="D26" i="60"/>
  <c r="C18" i="60"/>
  <c r="O18" i="60" s="1"/>
  <c r="C16" i="60"/>
  <c r="Q16" i="60" s="1"/>
  <c r="Q15" i="60"/>
  <c r="P15" i="60"/>
  <c r="O15" i="60"/>
  <c r="N15" i="60"/>
  <c r="M15" i="60"/>
  <c r="L15" i="60"/>
  <c r="K15" i="60"/>
  <c r="J15" i="60"/>
  <c r="I15" i="60"/>
  <c r="H15" i="60"/>
  <c r="G15" i="60"/>
  <c r="F15" i="60"/>
  <c r="E15" i="60"/>
  <c r="D15" i="60"/>
  <c r="Q14" i="60"/>
  <c r="P14" i="60"/>
  <c r="O14" i="60"/>
  <c r="N14" i="60"/>
  <c r="M14" i="60"/>
  <c r="L14" i="60"/>
  <c r="K14" i="60"/>
  <c r="J14" i="60"/>
  <c r="I14" i="60"/>
  <c r="H14" i="60"/>
  <c r="G14" i="60"/>
  <c r="F14" i="60"/>
  <c r="E14" i="60"/>
  <c r="D14" i="60"/>
  <c r="R13" i="60"/>
  <c r="Q13" i="60"/>
  <c r="P13" i="60"/>
  <c r="O13" i="60"/>
  <c r="N13" i="60"/>
  <c r="M13" i="60"/>
  <c r="L13" i="60"/>
  <c r="K13" i="60"/>
  <c r="J13" i="60"/>
  <c r="I13" i="60"/>
  <c r="H13" i="60"/>
  <c r="G13" i="60"/>
  <c r="F13" i="60"/>
  <c r="E13" i="60"/>
  <c r="D13" i="60"/>
  <c r="K9" i="60"/>
  <c r="G9" i="60"/>
  <c r="E6" i="61"/>
  <c r="M3" i="61"/>
  <c r="C3" i="61"/>
  <c r="F3" i="78"/>
  <c r="H2" i="78"/>
  <c r="D27" i="54"/>
  <c r="J2" i="54"/>
  <c r="F2" i="54"/>
  <c r="F1" i="54"/>
  <c r="G4" i="59"/>
  <c r="F69" i="59" s="1"/>
  <c r="K2" i="59"/>
  <c r="F2" i="59"/>
  <c r="F1" i="59"/>
  <c r="G7" i="56"/>
  <c r="J2" i="56"/>
  <c r="F2" i="56"/>
  <c r="F1" i="56"/>
  <c r="A41" i="57"/>
  <c r="A40" i="57"/>
  <c r="A39" i="57"/>
  <c r="A38" i="57"/>
  <c r="A37" i="57"/>
  <c r="A36" i="57"/>
  <c r="A35" i="57"/>
  <c r="A34" i="57"/>
  <c r="A33" i="57"/>
  <c r="A32" i="57"/>
  <c r="A31" i="57"/>
  <c r="A30" i="57"/>
  <c r="A29" i="57"/>
  <c r="A28" i="57"/>
  <c r="A27" i="57"/>
  <c r="I3" i="57"/>
  <c r="E25" i="57" s="1"/>
  <c r="F3" i="57"/>
  <c r="E3" i="57"/>
  <c r="G34" i="57" s="1"/>
  <c r="H34" i="57" s="1"/>
  <c r="L2" i="53"/>
  <c r="H2" i="53"/>
  <c r="T101" i="53" s="1"/>
  <c r="L1" i="53"/>
  <c r="V171" i="80"/>
  <c r="U171" i="80"/>
  <c r="T171" i="80"/>
  <c r="S171" i="80"/>
  <c r="R171" i="80"/>
  <c r="Q171" i="80"/>
  <c r="P171" i="80"/>
  <c r="O171" i="80"/>
  <c r="N171" i="80"/>
  <c r="M171" i="80"/>
  <c r="L171" i="80"/>
  <c r="K171" i="80"/>
  <c r="J171" i="80"/>
  <c r="I171" i="80"/>
  <c r="H171" i="80"/>
  <c r="G171" i="80"/>
  <c r="F171" i="80"/>
  <c r="E171" i="80"/>
  <c r="D171" i="80"/>
  <c r="V170" i="80"/>
  <c r="U170" i="80"/>
  <c r="T170" i="80"/>
  <c r="S170" i="80"/>
  <c r="R170" i="80"/>
  <c r="Q170" i="80"/>
  <c r="P170" i="80"/>
  <c r="O170" i="80"/>
  <c r="N170" i="80"/>
  <c r="M170" i="80"/>
  <c r="L170" i="80"/>
  <c r="K170" i="80"/>
  <c r="J170" i="80"/>
  <c r="I170" i="80"/>
  <c r="H170" i="80"/>
  <c r="G170" i="80"/>
  <c r="F170" i="80"/>
  <c r="E170" i="80"/>
  <c r="D170" i="80"/>
  <c r="V169" i="80"/>
  <c r="U169" i="80"/>
  <c r="T169" i="80"/>
  <c r="S169" i="80"/>
  <c r="R169" i="80"/>
  <c r="Q169" i="80"/>
  <c r="P169" i="80"/>
  <c r="O169" i="80"/>
  <c r="N169" i="80"/>
  <c r="M169" i="80"/>
  <c r="L169" i="80"/>
  <c r="K169" i="80"/>
  <c r="J169" i="80"/>
  <c r="I169" i="80"/>
  <c r="H169" i="80"/>
  <c r="G169" i="80"/>
  <c r="F169" i="80"/>
  <c r="E169" i="80"/>
  <c r="D169" i="80"/>
  <c r="V168" i="80"/>
  <c r="U168" i="80"/>
  <c r="T168" i="80"/>
  <c r="S168" i="80"/>
  <c r="R168" i="80"/>
  <c r="Q168" i="80"/>
  <c r="P168" i="80"/>
  <c r="O168" i="80"/>
  <c r="N168" i="80"/>
  <c r="M168" i="80"/>
  <c r="L168" i="80"/>
  <c r="K168" i="80"/>
  <c r="J168" i="80"/>
  <c r="I168" i="80"/>
  <c r="H168" i="80"/>
  <c r="G168" i="80"/>
  <c r="F168" i="80"/>
  <c r="E168" i="80"/>
  <c r="D168" i="80"/>
  <c r="V167" i="80"/>
  <c r="U167" i="80"/>
  <c r="T167" i="80"/>
  <c r="S167" i="80"/>
  <c r="R167" i="80"/>
  <c r="Q167" i="80"/>
  <c r="P167" i="80"/>
  <c r="O167" i="80"/>
  <c r="N167" i="80"/>
  <c r="M167" i="80"/>
  <c r="L167" i="80"/>
  <c r="K167" i="80"/>
  <c r="J167" i="80"/>
  <c r="I167" i="80"/>
  <c r="H167" i="80"/>
  <c r="G167" i="80"/>
  <c r="F167" i="80"/>
  <c r="E167" i="80"/>
  <c r="D167" i="80"/>
  <c r="V166" i="80"/>
  <c r="U166" i="80"/>
  <c r="T166" i="80"/>
  <c r="S166" i="80"/>
  <c r="R166" i="80"/>
  <c r="Q166" i="80"/>
  <c r="P166" i="80"/>
  <c r="O166" i="80"/>
  <c r="N166" i="80"/>
  <c r="M166" i="80"/>
  <c r="L166" i="80"/>
  <c r="K166" i="80"/>
  <c r="J166" i="80"/>
  <c r="I166" i="80"/>
  <c r="H166" i="80"/>
  <c r="G166" i="80"/>
  <c r="F166" i="80"/>
  <c r="E166" i="80"/>
  <c r="D166" i="80"/>
  <c r="V165" i="80"/>
  <c r="U165" i="80"/>
  <c r="T165" i="80"/>
  <c r="S165" i="80"/>
  <c r="R165" i="80"/>
  <c r="Q165" i="80"/>
  <c r="P165" i="80"/>
  <c r="O165" i="80"/>
  <c r="N165" i="80"/>
  <c r="M165" i="80"/>
  <c r="L165" i="80"/>
  <c r="K165" i="80"/>
  <c r="J165" i="80"/>
  <c r="I165" i="80"/>
  <c r="H165" i="80"/>
  <c r="G165" i="80"/>
  <c r="F165" i="80"/>
  <c r="E165" i="80"/>
  <c r="D165" i="80"/>
  <c r="V164" i="80"/>
  <c r="U164" i="80"/>
  <c r="T164" i="80"/>
  <c r="S164" i="80"/>
  <c r="R164" i="80"/>
  <c r="Q164" i="80"/>
  <c r="P164" i="80"/>
  <c r="O164" i="80"/>
  <c r="N164" i="80"/>
  <c r="M164" i="80"/>
  <c r="L164" i="80"/>
  <c r="K164" i="80"/>
  <c r="J164" i="80"/>
  <c r="I164" i="80"/>
  <c r="H164" i="80"/>
  <c r="G164" i="80"/>
  <c r="F164" i="80"/>
  <c r="E164" i="80"/>
  <c r="D164" i="80"/>
  <c r="V163" i="80"/>
  <c r="U163" i="80"/>
  <c r="T163" i="80"/>
  <c r="S163" i="80"/>
  <c r="R163" i="80"/>
  <c r="Q163" i="80"/>
  <c r="P163" i="80"/>
  <c r="O163" i="80"/>
  <c r="N163" i="80"/>
  <c r="M163" i="80"/>
  <c r="L163" i="80"/>
  <c r="K163" i="80"/>
  <c r="J163" i="80"/>
  <c r="I163" i="80"/>
  <c r="H163" i="80"/>
  <c r="G163" i="80"/>
  <c r="F163" i="80"/>
  <c r="E163" i="80"/>
  <c r="D163" i="80"/>
  <c r="V162" i="80"/>
  <c r="U162" i="80"/>
  <c r="T162" i="80"/>
  <c r="S162" i="80"/>
  <c r="R162" i="80"/>
  <c r="Q162" i="80"/>
  <c r="P162" i="80"/>
  <c r="O162" i="80"/>
  <c r="N162" i="80"/>
  <c r="M162" i="80"/>
  <c r="L162" i="80"/>
  <c r="K162" i="80"/>
  <c r="J162" i="80"/>
  <c r="I162" i="80"/>
  <c r="H162" i="80"/>
  <c r="G162" i="80"/>
  <c r="F162" i="80"/>
  <c r="E162" i="80"/>
  <c r="D162" i="80"/>
  <c r="V161" i="80"/>
  <c r="U161" i="80"/>
  <c r="T161" i="80"/>
  <c r="S161" i="80"/>
  <c r="R161" i="80"/>
  <c r="Q161" i="80"/>
  <c r="P161" i="80"/>
  <c r="O161" i="80"/>
  <c r="N161" i="80"/>
  <c r="M161" i="80"/>
  <c r="L161" i="80"/>
  <c r="K161" i="80"/>
  <c r="J161" i="80"/>
  <c r="I161" i="80"/>
  <c r="H161" i="80"/>
  <c r="G161" i="80"/>
  <c r="F161" i="80"/>
  <c r="E161" i="80"/>
  <c r="D161" i="80"/>
  <c r="V160" i="80"/>
  <c r="U160" i="80"/>
  <c r="T160" i="80"/>
  <c r="S160" i="80"/>
  <c r="R160" i="80"/>
  <c r="Q160" i="80"/>
  <c r="P160" i="80"/>
  <c r="O160" i="80"/>
  <c r="N160" i="80"/>
  <c r="M160" i="80"/>
  <c r="L160" i="80"/>
  <c r="K160" i="80"/>
  <c r="J160" i="80"/>
  <c r="I160" i="80"/>
  <c r="H160" i="80"/>
  <c r="G160" i="80"/>
  <c r="F160" i="80"/>
  <c r="E160" i="80"/>
  <c r="D160" i="80"/>
  <c r="V159" i="80"/>
  <c r="U159" i="80"/>
  <c r="T159" i="80"/>
  <c r="S159" i="80"/>
  <c r="R159" i="80"/>
  <c r="Q159" i="80"/>
  <c r="P159" i="80"/>
  <c r="O159" i="80"/>
  <c r="N159" i="80"/>
  <c r="M159" i="80"/>
  <c r="L159" i="80"/>
  <c r="K159" i="80"/>
  <c r="J159" i="80"/>
  <c r="I159" i="80"/>
  <c r="H159" i="80"/>
  <c r="G159" i="80"/>
  <c r="F159" i="80"/>
  <c r="E159" i="80"/>
  <c r="D159" i="80"/>
  <c r="V158" i="80"/>
  <c r="U158" i="80"/>
  <c r="T158" i="80"/>
  <c r="S158" i="80"/>
  <c r="R158" i="80"/>
  <c r="Q158" i="80"/>
  <c r="P158" i="80"/>
  <c r="O158" i="80"/>
  <c r="N158" i="80"/>
  <c r="M158" i="80"/>
  <c r="L158" i="80"/>
  <c r="K158" i="80"/>
  <c r="J158" i="80"/>
  <c r="I158" i="80"/>
  <c r="H158" i="80"/>
  <c r="G158" i="80"/>
  <c r="F158" i="80"/>
  <c r="E158" i="80"/>
  <c r="D158" i="80"/>
  <c r="V153" i="80"/>
  <c r="U153" i="80"/>
  <c r="T153" i="80"/>
  <c r="S153" i="80"/>
  <c r="R153" i="80"/>
  <c r="Q153" i="80"/>
  <c r="P153" i="80"/>
  <c r="O153" i="80"/>
  <c r="N153" i="80"/>
  <c r="M153" i="80"/>
  <c r="L153" i="80"/>
  <c r="K153" i="80"/>
  <c r="J153" i="80"/>
  <c r="I153" i="80"/>
  <c r="H153" i="80"/>
  <c r="G153" i="80"/>
  <c r="F153" i="80"/>
  <c r="E153" i="80"/>
  <c r="D153" i="80"/>
  <c r="V152" i="80"/>
  <c r="U152" i="80"/>
  <c r="T152" i="80"/>
  <c r="S152" i="80"/>
  <c r="R152" i="80"/>
  <c r="Q152" i="80"/>
  <c r="P152" i="80"/>
  <c r="O152" i="80"/>
  <c r="N152" i="80"/>
  <c r="M152" i="80"/>
  <c r="L152" i="80"/>
  <c r="K152" i="80"/>
  <c r="J152" i="80"/>
  <c r="I152" i="80"/>
  <c r="H152" i="80"/>
  <c r="G152" i="80"/>
  <c r="F152" i="80"/>
  <c r="E152" i="80"/>
  <c r="D152" i="80"/>
  <c r="V151" i="80"/>
  <c r="U151" i="80"/>
  <c r="T151" i="80"/>
  <c r="S151" i="80"/>
  <c r="R151" i="80"/>
  <c r="Q151" i="80"/>
  <c r="P151" i="80"/>
  <c r="O151" i="80"/>
  <c r="N151" i="80"/>
  <c r="M151" i="80"/>
  <c r="L151" i="80"/>
  <c r="K151" i="80"/>
  <c r="J151" i="80"/>
  <c r="I151" i="80"/>
  <c r="H151" i="80"/>
  <c r="G151" i="80"/>
  <c r="F151" i="80"/>
  <c r="E151" i="80"/>
  <c r="D151" i="80"/>
  <c r="V150" i="80"/>
  <c r="U150" i="80"/>
  <c r="T150" i="80"/>
  <c r="S150" i="80"/>
  <c r="R150" i="80"/>
  <c r="Q150" i="80"/>
  <c r="P150" i="80"/>
  <c r="O150" i="80"/>
  <c r="N150" i="80"/>
  <c r="M150" i="80"/>
  <c r="L150" i="80"/>
  <c r="K150" i="80"/>
  <c r="J150" i="80"/>
  <c r="I150" i="80"/>
  <c r="H150" i="80"/>
  <c r="G150" i="80"/>
  <c r="F150" i="80"/>
  <c r="E150" i="80"/>
  <c r="D150" i="80"/>
  <c r="V149" i="80"/>
  <c r="U149" i="80"/>
  <c r="T149" i="80"/>
  <c r="S149" i="80"/>
  <c r="R149" i="80"/>
  <c r="Q149" i="80"/>
  <c r="P149" i="80"/>
  <c r="O149" i="80"/>
  <c r="N149" i="80"/>
  <c r="M149" i="80"/>
  <c r="L149" i="80"/>
  <c r="K149" i="80"/>
  <c r="J149" i="80"/>
  <c r="I149" i="80"/>
  <c r="H149" i="80"/>
  <c r="G149" i="80"/>
  <c r="F149" i="80"/>
  <c r="E149" i="80"/>
  <c r="D149" i="80"/>
  <c r="V148" i="80"/>
  <c r="U148" i="80"/>
  <c r="T148" i="80"/>
  <c r="S148" i="80"/>
  <c r="R148" i="80"/>
  <c r="Q148" i="80"/>
  <c r="P148" i="80"/>
  <c r="O148" i="80"/>
  <c r="N148" i="80"/>
  <c r="M148" i="80"/>
  <c r="L148" i="80"/>
  <c r="K148" i="80"/>
  <c r="J148" i="80"/>
  <c r="I148" i="80"/>
  <c r="H148" i="80"/>
  <c r="G148" i="80"/>
  <c r="F148" i="80"/>
  <c r="E148" i="80"/>
  <c r="D148" i="80"/>
  <c r="V147" i="80"/>
  <c r="U147" i="80"/>
  <c r="T147" i="80"/>
  <c r="S147" i="80"/>
  <c r="R147" i="80"/>
  <c r="Q147" i="80"/>
  <c r="P147" i="80"/>
  <c r="O147" i="80"/>
  <c r="N147" i="80"/>
  <c r="M147" i="80"/>
  <c r="L147" i="80"/>
  <c r="K147" i="80"/>
  <c r="J147" i="80"/>
  <c r="I147" i="80"/>
  <c r="H147" i="80"/>
  <c r="G147" i="80"/>
  <c r="F147" i="80"/>
  <c r="E147" i="80"/>
  <c r="D147" i="80"/>
  <c r="V146" i="80"/>
  <c r="U146" i="80"/>
  <c r="T146" i="80"/>
  <c r="S146" i="80"/>
  <c r="R146" i="80"/>
  <c r="Q146" i="80"/>
  <c r="P146" i="80"/>
  <c r="O146" i="80"/>
  <c r="N146" i="80"/>
  <c r="M146" i="80"/>
  <c r="L146" i="80"/>
  <c r="K146" i="80"/>
  <c r="J146" i="80"/>
  <c r="I146" i="80"/>
  <c r="H146" i="80"/>
  <c r="G146" i="80"/>
  <c r="F146" i="80"/>
  <c r="E146" i="80"/>
  <c r="D146" i="80"/>
  <c r="V145" i="80"/>
  <c r="U145" i="80"/>
  <c r="T145" i="80"/>
  <c r="S145" i="80"/>
  <c r="R145" i="80"/>
  <c r="Q145" i="80"/>
  <c r="P145" i="80"/>
  <c r="O145" i="80"/>
  <c r="N145" i="80"/>
  <c r="M145" i="80"/>
  <c r="L145" i="80"/>
  <c r="K145" i="80"/>
  <c r="J145" i="80"/>
  <c r="I145" i="80"/>
  <c r="H145" i="80"/>
  <c r="G145" i="80"/>
  <c r="F145" i="80"/>
  <c r="E145" i="80"/>
  <c r="D145" i="80"/>
  <c r="V144" i="80"/>
  <c r="U144" i="80"/>
  <c r="T144" i="80"/>
  <c r="S144" i="80"/>
  <c r="R144" i="80"/>
  <c r="Q144" i="80"/>
  <c r="P144" i="80"/>
  <c r="O144" i="80"/>
  <c r="N144" i="80"/>
  <c r="M144" i="80"/>
  <c r="L144" i="80"/>
  <c r="K144" i="80"/>
  <c r="J144" i="80"/>
  <c r="I144" i="80"/>
  <c r="H144" i="80"/>
  <c r="G144" i="80"/>
  <c r="F144" i="80"/>
  <c r="E144" i="80"/>
  <c r="D144" i="80"/>
  <c r="V143" i="80"/>
  <c r="U143" i="80"/>
  <c r="T143" i="80"/>
  <c r="S143" i="80"/>
  <c r="R143" i="80"/>
  <c r="Q143" i="80"/>
  <c r="P143" i="80"/>
  <c r="O143" i="80"/>
  <c r="N143" i="80"/>
  <c r="M143" i="80"/>
  <c r="L143" i="80"/>
  <c r="K143" i="80"/>
  <c r="J143" i="80"/>
  <c r="I143" i="80"/>
  <c r="H143" i="80"/>
  <c r="G143" i="80"/>
  <c r="F143" i="80"/>
  <c r="E143" i="80"/>
  <c r="D143" i="80"/>
  <c r="V142" i="80"/>
  <c r="U142" i="80"/>
  <c r="T142" i="80"/>
  <c r="S142" i="80"/>
  <c r="R142" i="80"/>
  <c r="Q142" i="80"/>
  <c r="P142" i="80"/>
  <c r="O142" i="80"/>
  <c r="N142" i="80"/>
  <c r="M142" i="80"/>
  <c r="L142" i="80"/>
  <c r="K142" i="80"/>
  <c r="J142" i="80"/>
  <c r="I142" i="80"/>
  <c r="H142" i="80"/>
  <c r="G142" i="80"/>
  <c r="F142" i="80"/>
  <c r="E142" i="80"/>
  <c r="D142" i="80"/>
  <c r="V141" i="80"/>
  <c r="U141" i="80"/>
  <c r="T141" i="80"/>
  <c r="S141" i="80"/>
  <c r="R141" i="80"/>
  <c r="Q141" i="80"/>
  <c r="P141" i="80"/>
  <c r="O141" i="80"/>
  <c r="N141" i="80"/>
  <c r="M141" i="80"/>
  <c r="L141" i="80"/>
  <c r="K141" i="80"/>
  <c r="J141" i="80"/>
  <c r="I141" i="80"/>
  <c r="H141" i="80"/>
  <c r="G141" i="80"/>
  <c r="F141" i="80"/>
  <c r="E141" i="80"/>
  <c r="D141" i="80"/>
  <c r="V140" i="80"/>
  <c r="U140" i="80"/>
  <c r="T140" i="80"/>
  <c r="S140" i="80"/>
  <c r="R140" i="80"/>
  <c r="Q140" i="80"/>
  <c r="P140" i="80"/>
  <c r="O140" i="80"/>
  <c r="N140" i="80"/>
  <c r="M140" i="80"/>
  <c r="L140" i="80"/>
  <c r="K140" i="80"/>
  <c r="J140" i="80"/>
  <c r="I140" i="80"/>
  <c r="H140" i="80"/>
  <c r="G140" i="80"/>
  <c r="F140" i="80"/>
  <c r="E140" i="80"/>
  <c r="D140" i="80"/>
  <c r="V134" i="80"/>
  <c r="U134" i="80"/>
  <c r="T134" i="80"/>
  <c r="S134" i="80"/>
  <c r="R134" i="80"/>
  <c r="Q134" i="80"/>
  <c r="P134" i="80"/>
  <c r="O134" i="80"/>
  <c r="N134" i="80"/>
  <c r="M134" i="80"/>
  <c r="L134" i="80"/>
  <c r="K134" i="80"/>
  <c r="J134" i="80"/>
  <c r="I134" i="80"/>
  <c r="H134" i="80"/>
  <c r="G134" i="80"/>
  <c r="F134" i="80"/>
  <c r="E134" i="80"/>
  <c r="D134" i="80"/>
  <c r="V133" i="80"/>
  <c r="U133" i="80"/>
  <c r="T133" i="80"/>
  <c r="S133" i="80"/>
  <c r="R133" i="80"/>
  <c r="Q133" i="80"/>
  <c r="P133" i="80"/>
  <c r="O133" i="80"/>
  <c r="N133" i="80"/>
  <c r="M133" i="80"/>
  <c r="L133" i="80"/>
  <c r="K133" i="80"/>
  <c r="J133" i="80"/>
  <c r="I133" i="80"/>
  <c r="H133" i="80"/>
  <c r="G133" i="80"/>
  <c r="F133" i="80"/>
  <c r="E133" i="80"/>
  <c r="D133" i="80"/>
  <c r="V132" i="80"/>
  <c r="U132" i="80"/>
  <c r="T132" i="80"/>
  <c r="S132" i="80"/>
  <c r="R132" i="80"/>
  <c r="Q132" i="80"/>
  <c r="P132" i="80"/>
  <c r="O132" i="80"/>
  <c r="N132" i="80"/>
  <c r="M132" i="80"/>
  <c r="L132" i="80"/>
  <c r="K132" i="80"/>
  <c r="J132" i="80"/>
  <c r="I132" i="80"/>
  <c r="H132" i="80"/>
  <c r="G132" i="80"/>
  <c r="F132" i="80"/>
  <c r="E132" i="80"/>
  <c r="D132" i="80"/>
  <c r="V131" i="80"/>
  <c r="U131" i="80"/>
  <c r="T131" i="80"/>
  <c r="S131" i="80"/>
  <c r="R131" i="80"/>
  <c r="Q131" i="80"/>
  <c r="P131" i="80"/>
  <c r="O131" i="80"/>
  <c r="N131" i="80"/>
  <c r="M131" i="80"/>
  <c r="L131" i="80"/>
  <c r="K131" i="80"/>
  <c r="J131" i="80"/>
  <c r="I131" i="80"/>
  <c r="H131" i="80"/>
  <c r="G131" i="80"/>
  <c r="F131" i="80"/>
  <c r="E131" i="80"/>
  <c r="D131" i="80"/>
  <c r="V130" i="80"/>
  <c r="U130" i="80"/>
  <c r="T130" i="80"/>
  <c r="S130" i="80"/>
  <c r="R130" i="80"/>
  <c r="Q130" i="80"/>
  <c r="P130" i="80"/>
  <c r="O130" i="80"/>
  <c r="N130" i="80"/>
  <c r="M130" i="80"/>
  <c r="L130" i="80"/>
  <c r="K130" i="80"/>
  <c r="J130" i="80"/>
  <c r="I130" i="80"/>
  <c r="H130" i="80"/>
  <c r="G130" i="80"/>
  <c r="F130" i="80"/>
  <c r="E130" i="80"/>
  <c r="D130" i="80"/>
  <c r="V129" i="80"/>
  <c r="U129" i="80"/>
  <c r="T129" i="80"/>
  <c r="S129" i="80"/>
  <c r="R129" i="80"/>
  <c r="Q129" i="80"/>
  <c r="P129" i="80"/>
  <c r="O129" i="80"/>
  <c r="N129" i="80"/>
  <c r="M129" i="80"/>
  <c r="L129" i="80"/>
  <c r="K129" i="80"/>
  <c r="J129" i="80"/>
  <c r="I129" i="80"/>
  <c r="H129" i="80"/>
  <c r="G129" i="80"/>
  <c r="F129" i="80"/>
  <c r="E129" i="80"/>
  <c r="D129" i="80"/>
  <c r="V128" i="80"/>
  <c r="U128" i="80"/>
  <c r="T128" i="80"/>
  <c r="S128" i="80"/>
  <c r="R128" i="80"/>
  <c r="Q128" i="80"/>
  <c r="P128" i="80"/>
  <c r="O128" i="80"/>
  <c r="N128" i="80"/>
  <c r="M128" i="80"/>
  <c r="L128" i="80"/>
  <c r="K128" i="80"/>
  <c r="J128" i="80"/>
  <c r="I128" i="80"/>
  <c r="H128" i="80"/>
  <c r="G128" i="80"/>
  <c r="F128" i="80"/>
  <c r="E128" i="80"/>
  <c r="D128" i="80"/>
  <c r="V127" i="80"/>
  <c r="U127" i="80"/>
  <c r="T127" i="80"/>
  <c r="S127" i="80"/>
  <c r="R127" i="80"/>
  <c r="Q127" i="80"/>
  <c r="P127" i="80"/>
  <c r="O127" i="80"/>
  <c r="N127" i="80"/>
  <c r="M127" i="80"/>
  <c r="L127" i="80"/>
  <c r="K127" i="80"/>
  <c r="J127" i="80"/>
  <c r="I127" i="80"/>
  <c r="H127" i="80"/>
  <c r="G127" i="80"/>
  <c r="F127" i="80"/>
  <c r="E127" i="80"/>
  <c r="D127" i="80"/>
  <c r="V126" i="80"/>
  <c r="U126" i="80"/>
  <c r="T126" i="80"/>
  <c r="S126" i="80"/>
  <c r="R126" i="80"/>
  <c r="Q126" i="80"/>
  <c r="P126" i="80"/>
  <c r="O126" i="80"/>
  <c r="N126" i="80"/>
  <c r="M126" i="80"/>
  <c r="L126" i="80"/>
  <c r="K126" i="80"/>
  <c r="J126" i="80"/>
  <c r="I126" i="80"/>
  <c r="H126" i="80"/>
  <c r="G126" i="80"/>
  <c r="F126" i="80"/>
  <c r="E126" i="80"/>
  <c r="D126" i="80"/>
  <c r="V125" i="80"/>
  <c r="U125" i="80"/>
  <c r="T125" i="80"/>
  <c r="S125" i="80"/>
  <c r="R125" i="80"/>
  <c r="Q125" i="80"/>
  <c r="P125" i="80"/>
  <c r="O125" i="80"/>
  <c r="N125" i="80"/>
  <c r="M125" i="80"/>
  <c r="L125" i="80"/>
  <c r="K125" i="80"/>
  <c r="J125" i="80"/>
  <c r="I125" i="80"/>
  <c r="H125" i="80"/>
  <c r="G125" i="80"/>
  <c r="F125" i="80"/>
  <c r="E125" i="80"/>
  <c r="D125" i="80"/>
  <c r="V124" i="80"/>
  <c r="U124" i="80"/>
  <c r="T124" i="80"/>
  <c r="S124" i="80"/>
  <c r="R124" i="80"/>
  <c r="Q124" i="80"/>
  <c r="P124" i="80"/>
  <c r="O124" i="80"/>
  <c r="N124" i="80"/>
  <c r="M124" i="80"/>
  <c r="L124" i="80"/>
  <c r="K124" i="80"/>
  <c r="J124" i="80"/>
  <c r="I124" i="80"/>
  <c r="H124" i="80"/>
  <c r="G124" i="80"/>
  <c r="F124" i="80"/>
  <c r="E124" i="80"/>
  <c r="D124" i="80"/>
  <c r="V123" i="80"/>
  <c r="U123" i="80"/>
  <c r="T123" i="80"/>
  <c r="S123" i="80"/>
  <c r="R123" i="80"/>
  <c r="Q123" i="80"/>
  <c r="P123" i="80"/>
  <c r="O123" i="80"/>
  <c r="N123" i="80"/>
  <c r="M123" i="80"/>
  <c r="L123" i="80"/>
  <c r="K123" i="80"/>
  <c r="J123" i="80"/>
  <c r="I123" i="80"/>
  <c r="H123" i="80"/>
  <c r="G123" i="80"/>
  <c r="F123" i="80"/>
  <c r="E123" i="80"/>
  <c r="D123" i="80"/>
  <c r="V122" i="80"/>
  <c r="U122" i="80"/>
  <c r="T122" i="80"/>
  <c r="S122" i="80"/>
  <c r="R122" i="80"/>
  <c r="Q122" i="80"/>
  <c r="P122" i="80"/>
  <c r="O122" i="80"/>
  <c r="N122" i="80"/>
  <c r="M122" i="80"/>
  <c r="L122" i="80"/>
  <c r="K122" i="80"/>
  <c r="J122" i="80"/>
  <c r="I122" i="80"/>
  <c r="H122" i="80"/>
  <c r="G122" i="80"/>
  <c r="F122" i="80"/>
  <c r="E122" i="80"/>
  <c r="D122" i="80"/>
  <c r="V121" i="80"/>
  <c r="U121" i="80"/>
  <c r="T121" i="80"/>
  <c r="S121" i="80"/>
  <c r="R121" i="80"/>
  <c r="Q121" i="80"/>
  <c r="P121" i="80"/>
  <c r="O121" i="80"/>
  <c r="N121" i="80"/>
  <c r="M121" i="80"/>
  <c r="L121" i="80"/>
  <c r="K121" i="80"/>
  <c r="J121" i="80"/>
  <c r="I121" i="80"/>
  <c r="H121" i="80"/>
  <c r="G121" i="80"/>
  <c r="F121" i="80"/>
  <c r="E121" i="80"/>
  <c r="D121" i="80"/>
  <c r="V116" i="80"/>
  <c r="U116" i="80"/>
  <c r="T116" i="80"/>
  <c r="S116" i="80"/>
  <c r="R116" i="80"/>
  <c r="Q116" i="80"/>
  <c r="P116" i="80"/>
  <c r="O116" i="80"/>
  <c r="N116" i="80"/>
  <c r="M116" i="80"/>
  <c r="L116" i="80"/>
  <c r="K116" i="80"/>
  <c r="J116" i="80"/>
  <c r="I116" i="80"/>
  <c r="H116" i="80"/>
  <c r="G116" i="80"/>
  <c r="F116" i="80"/>
  <c r="E116" i="80"/>
  <c r="D116" i="80"/>
  <c r="V115" i="80"/>
  <c r="U115" i="80"/>
  <c r="T115" i="80"/>
  <c r="S115" i="80"/>
  <c r="R115" i="80"/>
  <c r="Q115" i="80"/>
  <c r="P115" i="80"/>
  <c r="O115" i="80"/>
  <c r="N115" i="80"/>
  <c r="M115" i="80"/>
  <c r="L115" i="80"/>
  <c r="K115" i="80"/>
  <c r="J115" i="80"/>
  <c r="I115" i="80"/>
  <c r="H115" i="80"/>
  <c r="G115" i="80"/>
  <c r="F115" i="80"/>
  <c r="E115" i="80"/>
  <c r="D115" i="80"/>
  <c r="V114" i="80"/>
  <c r="U114" i="80"/>
  <c r="T114" i="80"/>
  <c r="S114" i="80"/>
  <c r="R114" i="80"/>
  <c r="Q114" i="80"/>
  <c r="P114" i="80"/>
  <c r="O114" i="80"/>
  <c r="N114" i="80"/>
  <c r="M114" i="80"/>
  <c r="L114" i="80"/>
  <c r="K114" i="80"/>
  <c r="J114" i="80"/>
  <c r="I114" i="80"/>
  <c r="H114" i="80"/>
  <c r="G114" i="80"/>
  <c r="F114" i="80"/>
  <c r="E114" i="80"/>
  <c r="D114" i="80"/>
  <c r="V113" i="80"/>
  <c r="U113" i="80"/>
  <c r="T113" i="80"/>
  <c r="S113" i="80"/>
  <c r="R113" i="80"/>
  <c r="Q113" i="80"/>
  <c r="P113" i="80"/>
  <c r="O113" i="80"/>
  <c r="N113" i="80"/>
  <c r="M113" i="80"/>
  <c r="L113" i="80"/>
  <c r="K113" i="80"/>
  <c r="J113" i="80"/>
  <c r="I113" i="80"/>
  <c r="H113" i="80"/>
  <c r="G113" i="80"/>
  <c r="F113" i="80"/>
  <c r="E113" i="80"/>
  <c r="D113" i="80"/>
  <c r="V112" i="80"/>
  <c r="U112" i="80"/>
  <c r="T112" i="80"/>
  <c r="S112" i="80"/>
  <c r="R112" i="80"/>
  <c r="Q112" i="80"/>
  <c r="P112" i="80"/>
  <c r="O112" i="80"/>
  <c r="N112" i="80"/>
  <c r="M112" i="80"/>
  <c r="L112" i="80"/>
  <c r="K112" i="80"/>
  <c r="J112" i="80"/>
  <c r="I112" i="80"/>
  <c r="H112" i="80"/>
  <c r="G112" i="80"/>
  <c r="F112" i="80"/>
  <c r="E112" i="80"/>
  <c r="D112" i="80"/>
  <c r="V111" i="80"/>
  <c r="U111" i="80"/>
  <c r="T111" i="80"/>
  <c r="S111" i="80"/>
  <c r="R111" i="80"/>
  <c r="Q111" i="80"/>
  <c r="P111" i="80"/>
  <c r="O111" i="80"/>
  <c r="N111" i="80"/>
  <c r="M111" i="80"/>
  <c r="L111" i="80"/>
  <c r="K111" i="80"/>
  <c r="J111" i="80"/>
  <c r="I111" i="80"/>
  <c r="H111" i="80"/>
  <c r="G111" i="80"/>
  <c r="F111" i="80"/>
  <c r="E111" i="80"/>
  <c r="D111" i="80"/>
  <c r="V110" i="80"/>
  <c r="U110" i="80"/>
  <c r="T110" i="80"/>
  <c r="S110" i="80"/>
  <c r="R110" i="80"/>
  <c r="Q110" i="80"/>
  <c r="P110" i="80"/>
  <c r="O110" i="80"/>
  <c r="N110" i="80"/>
  <c r="M110" i="80"/>
  <c r="L110" i="80"/>
  <c r="K110" i="80"/>
  <c r="J110" i="80"/>
  <c r="I110" i="80"/>
  <c r="H110" i="80"/>
  <c r="G110" i="80"/>
  <c r="F110" i="80"/>
  <c r="E110" i="80"/>
  <c r="D110" i="80"/>
  <c r="V109" i="80"/>
  <c r="U109" i="80"/>
  <c r="T109" i="80"/>
  <c r="S109" i="80"/>
  <c r="R109" i="80"/>
  <c r="Q109" i="80"/>
  <c r="P109" i="80"/>
  <c r="O109" i="80"/>
  <c r="N109" i="80"/>
  <c r="M109" i="80"/>
  <c r="L109" i="80"/>
  <c r="K109" i="80"/>
  <c r="J109" i="80"/>
  <c r="I109" i="80"/>
  <c r="H109" i="80"/>
  <c r="G109" i="80"/>
  <c r="F109" i="80"/>
  <c r="E109" i="80"/>
  <c r="D109" i="80"/>
  <c r="V108" i="80"/>
  <c r="U108" i="80"/>
  <c r="T108" i="80"/>
  <c r="S108" i="80"/>
  <c r="R108" i="80"/>
  <c r="Q108" i="80"/>
  <c r="P108" i="80"/>
  <c r="O108" i="80"/>
  <c r="N108" i="80"/>
  <c r="M108" i="80"/>
  <c r="L108" i="80"/>
  <c r="K108" i="80"/>
  <c r="J108" i="80"/>
  <c r="I108" i="80"/>
  <c r="H108" i="80"/>
  <c r="G108" i="80"/>
  <c r="F108" i="80"/>
  <c r="E108" i="80"/>
  <c r="D108" i="80"/>
  <c r="V107" i="80"/>
  <c r="U107" i="80"/>
  <c r="T107" i="80"/>
  <c r="S107" i="80"/>
  <c r="R107" i="80"/>
  <c r="Q107" i="80"/>
  <c r="P107" i="80"/>
  <c r="O107" i="80"/>
  <c r="N107" i="80"/>
  <c r="M107" i="80"/>
  <c r="L107" i="80"/>
  <c r="K107" i="80"/>
  <c r="J107" i="80"/>
  <c r="I107" i="80"/>
  <c r="H107" i="80"/>
  <c r="G107" i="80"/>
  <c r="F107" i="80"/>
  <c r="E107" i="80"/>
  <c r="D107" i="80"/>
  <c r="V106" i="80"/>
  <c r="U106" i="80"/>
  <c r="T106" i="80"/>
  <c r="S106" i="80"/>
  <c r="R106" i="80"/>
  <c r="Q106" i="80"/>
  <c r="P106" i="80"/>
  <c r="O106" i="80"/>
  <c r="N106" i="80"/>
  <c r="M106" i="80"/>
  <c r="L106" i="80"/>
  <c r="K106" i="80"/>
  <c r="J106" i="80"/>
  <c r="I106" i="80"/>
  <c r="H106" i="80"/>
  <c r="G106" i="80"/>
  <c r="F106" i="80"/>
  <c r="E106" i="80"/>
  <c r="D106" i="80"/>
  <c r="V105" i="80"/>
  <c r="U105" i="80"/>
  <c r="T105" i="80"/>
  <c r="S105" i="80"/>
  <c r="R105" i="80"/>
  <c r="Q105" i="80"/>
  <c r="P105" i="80"/>
  <c r="O105" i="80"/>
  <c r="N105" i="80"/>
  <c r="M105" i="80"/>
  <c r="L105" i="80"/>
  <c r="K105" i="80"/>
  <c r="J105" i="80"/>
  <c r="I105" i="80"/>
  <c r="H105" i="80"/>
  <c r="G105" i="80"/>
  <c r="F105" i="80"/>
  <c r="E105" i="80"/>
  <c r="D105" i="80"/>
  <c r="V104" i="80"/>
  <c r="U104" i="80"/>
  <c r="T104" i="80"/>
  <c r="S104" i="80"/>
  <c r="R104" i="80"/>
  <c r="Q104" i="80"/>
  <c r="P104" i="80"/>
  <c r="O104" i="80"/>
  <c r="N104" i="80"/>
  <c r="M104" i="80"/>
  <c r="L104" i="80"/>
  <c r="K104" i="80"/>
  <c r="J104" i="80"/>
  <c r="I104" i="80"/>
  <c r="H104" i="80"/>
  <c r="G104" i="80"/>
  <c r="F104" i="80"/>
  <c r="E104" i="80"/>
  <c r="D104" i="80"/>
  <c r="V103" i="80"/>
  <c r="U103" i="80"/>
  <c r="T103" i="80"/>
  <c r="S103" i="80"/>
  <c r="R103" i="80"/>
  <c r="Q103" i="80"/>
  <c r="P103" i="80"/>
  <c r="O103" i="80"/>
  <c r="N103" i="80"/>
  <c r="M103" i="80"/>
  <c r="L103" i="80"/>
  <c r="K103" i="80"/>
  <c r="J103" i="80"/>
  <c r="I103" i="80"/>
  <c r="H103" i="80"/>
  <c r="G103" i="80"/>
  <c r="F103" i="80"/>
  <c r="E103" i="80"/>
  <c r="D103" i="80"/>
  <c r="V97" i="80"/>
  <c r="U97" i="80"/>
  <c r="T97" i="80"/>
  <c r="S97" i="80"/>
  <c r="R97" i="80"/>
  <c r="Q97" i="80"/>
  <c r="P97" i="80"/>
  <c r="O97" i="80"/>
  <c r="N97" i="80"/>
  <c r="M97" i="80"/>
  <c r="L97" i="80"/>
  <c r="K97" i="80"/>
  <c r="J97" i="80"/>
  <c r="I97" i="80"/>
  <c r="H97" i="80"/>
  <c r="G97" i="80"/>
  <c r="F97" i="80"/>
  <c r="E97" i="80"/>
  <c r="D97" i="80"/>
  <c r="V96" i="80"/>
  <c r="U96" i="80"/>
  <c r="T96" i="80"/>
  <c r="S96" i="80"/>
  <c r="R96" i="80"/>
  <c r="Q96" i="80"/>
  <c r="P96" i="80"/>
  <c r="O96" i="80"/>
  <c r="N96" i="80"/>
  <c r="M96" i="80"/>
  <c r="L96" i="80"/>
  <c r="K96" i="80"/>
  <c r="J96" i="80"/>
  <c r="I96" i="80"/>
  <c r="H96" i="80"/>
  <c r="G96" i="80"/>
  <c r="F96" i="80"/>
  <c r="E96" i="80"/>
  <c r="D96" i="80"/>
  <c r="V95" i="80"/>
  <c r="U95" i="80"/>
  <c r="T95" i="80"/>
  <c r="S95" i="80"/>
  <c r="R95" i="80"/>
  <c r="Q95" i="80"/>
  <c r="P95" i="80"/>
  <c r="O95" i="80"/>
  <c r="N95" i="80"/>
  <c r="M95" i="80"/>
  <c r="L95" i="80"/>
  <c r="K95" i="80"/>
  <c r="J95" i="80"/>
  <c r="I95" i="80"/>
  <c r="H95" i="80"/>
  <c r="G95" i="80"/>
  <c r="F95" i="80"/>
  <c r="E95" i="80"/>
  <c r="D95" i="80"/>
  <c r="V94" i="80"/>
  <c r="U94" i="80"/>
  <c r="T94" i="80"/>
  <c r="S94" i="80"/>
  <c r="R94" i="80"/>
  <c r="Q94" i="80"/>
  <c r="P94" i="80"/>
  <c r="O94" i="80"/>
  <c r="N94" i="80"/>
  <c r="M94" i="80"/>
  <c r="L94" i="80"/>
  <c r="K94" i="80"/>
  <c r="J94" i="80"/>
  <c r="I94" i="80"/>
  <c r="H94" i="80"/>
  <c r="G94" i="80"/>
  <c r="F94" i="80"/>
  <c r="E94" i="80"/>
  <c r="D94" i="80"/>
  <c r="V93" i="80"/>
  <c r="U93" i="80"/>
  <c r="T93" i="80"/>
  <c r="S93" i="80"/>
  <c r="R93" i="80"/>
  <c r="Q93" i="80"/>
  <c r="P93" i="80"/>
  <c r="O93" i="80"/>
  <c r="N93" i="80"/>
  <c r="M93" i="80"/>
  <c r="L93" i="80"/>
  <c r="K93" i="80"/>
  <c r="J93" i="80"/>
  <c r="I93" i="80"/>
  <c r="H93" i="80"/>
  <c r="G93" i="80"/>
  <c r="F93" i="80"/>
  <c r="E93" i="80"/>
  <c r="D93" i="80"/>
  <c r="V92" i="80"/>
  <c r="U92" i="80"/>
  <c r="T92" i="80"/>
  <c r="S92" i="80"/>
  <c r="R92" i="80"/>
  <c r="Q92" i="80"/>
  <c r="P92" i="80"/>
  <c r="O92" i="80"/>
  <c r="N92" i="80"/>
  <c r="M92" i="80"/>
  <c r="L92" i="80"/>
  <c r="K92" i="80"/>
  <c r="J92" i="80"/>
  <c r="I92" i="80"/>
  <c r="H92" i="80"/>
  <c r="G92" i="80"/>
  <c r="F92" i="80"/>
  <c r="E92" i="80"/>
  <c r="D92" i="80"/>
  <c r="V91" i="80"/>
  <c r="U91" i="80"/>
  <c r="T91" i="80"/>
  <c r="S91" i="80"/>
  <c r="R91" i="80"/>
  <c r="Q91" i="80"/>
  <c r="P91" i="80"/>
  <c r="O91" i="80"/>
  <c r="N91" i="80"/>
  <c r="M91" i="80"/>
  <c r="L91" i="80"/>
  <c r="K91" i="80"/>
  <c r="J91" i="80"/>
  <c r="I91" i="80"/>
  <c r="H91" i="80"/>
  <c r="G91" i="80"/>
  <c r="F91" i="80"/>
  <c r="E91" i="80"/>
  <c r="D91" i="80"/>
  <c r="V90" i="80"/>
  <c r="U90" i="80"/>
  <c r="T90" i="80"/>
  <c r="S90" i="80"/>
  <c r="R90" i="80"/>
  <c r="Q90" i="80"/>
  <c r="P90" i="80"/>
  <c r="O90" i="80"/>
  <c r="N90" i="80"/>
  <c r="M90" i="80"/>
  <c r="L90" i="80"/>
  <c r="K90" i="80"/>
  <c r="J90" i="80"/>
  <c r="I90" i="80"/>
  <c r="H90" i="80"/>
  <c r="G90" i="80"/>
  <c r="F90" i="80"/>
  <c r="E90" i="80"/>
  <c r="D90" i="80"/>
  <c r="V89" i="80"/>
  <c r="U89" i="80"/>
  <c r="T89" i="80"/>
  <c r="S89" i="80"/>
  <c r="R89" i="80"/>
  <c r="Q89" i="80"/>
  <c r="P89" i="80"/>
  <c r="O89" i="80"/>
  <c r="N89" i="80"/>
  <c r="M89" i="80"/>
  <c r="L89" i="80"/>
  <c r="K89" i="80"/>
  <c r="J89" i="80"/>
  <c r="I89" i="80"/>
  <c r="H89" i="80"/>
  <c r="G89" i="80"/>
  <c r="F89" i="80"/>
  <c r="E89" i="80"/>
  <c r="D89" i="80"/>
  <c r="V88" i="80"/>
  <c r="U88" i="80"/>
  <c r="T88" i="80"/>
  <c r="S88" i="80"/>
  <c r="R88" i="80"/>
  <c r="Q88" i="80"/>
  <c r="P88" i="80"/>
  <c r="O88" i="80"/>
  <c r="N88" i="80"/>
  <c r="M88" i="80"/>
  <c r="L88" i="80"/>
  <c r="K88" i="80"/>
  <c r="J88" i="80"/>
  <c r="I88" i="80"/>
  <c r="H88" i="80"/>
  <c r="G88" i="80"/>
  <c r="F88" i="80"/>
  <c r="E88" i="80"/>
  <c r="D88" i="80"/>
  <c r="V87" i="80"/>
  <c r="U87" i="80"/>
  <c r="T87" i="80"/>
  <c r="S87" i="80"/>
  <c r="R87" i="80"/>
  <c r="Q87" i="80"/>
  <c r="P87" i="80"/>
  <c r="O87" i="80"/>
  <c r="N87" i="80"/>
  <c r="M87" i="80"/>
  <c r="L87" i="80"/>
  <c r="K87" i="80"/>
  <c r="J87" i="80"/>
  <c r="I87" i="80"/>
  <c r="H87" i="80"/>
  <c r="G87" i="80"/>
  <c r="F87" i="80"/>
  <c r="E87" i="80"/>
  <c r="D87" i="80"/>
  <c r="V86" i="80"/>
  <c r="U86" i="80"/>
  <c r="T86" i="80"/>
  <c r="S86" i="80"/>
  <c r="R86" i="80"/>
  <c r="Q86" i="80"/>
  <c r="P86" i="80"/>
  <c r="O86" i="80"/>
  <c r="N86" i="80"/>
  <c r="M86" i="80"/>
  <c r="L86" i="80"/>
  <c r="K86" i="80"/>
  <c r="J86" i="80"/>
  <c r="I86" i="80"/>
  <c r="H86" i="80"/>
  <c r="G86" i="80"/>
  <c r="F86" i="80"/>
  <c r="E86" i="80"/>
  <c r="D86" i="80"/>
  <c r="V85" i="80"/>
  <c r="U85" i="80"/>
  <c r="T85" i="80"/>
  <c r="S85" i="80"/>
  <c r="R85" i="80"/>
  <c r="Q85" i="80"/>
  <c r="P85" i="80"/>
  <c r="O85" i="80"/>
  <c r="N85" i="80"/>
  <c r="M85" i="80"/>
  <c r="L85" i="80"/>
  <c r="K85" i="80"/>
  <c r="J85" i="80"/>
  <c r="I85" i="80"/>
  <c r="H85" i="80"/>
  <c r="G85" i="80"/>
  <c r="F85" i="80"/>
  <c r="E85" i="80"/>
  <c r="D85" i="80"/>
  <c r="V84" i="80"/>
  <c r="U84" i="80"/>
  <c r="T84" i="80"/>
  <c r="S84" i="80"/>
  <c r="R84" i="80"/>
  <c r="Q84" i="80"/>
  <c r="P84" i="80"/>
  <c r="O84" i="80"/>
  <c r="N84" i="80"/>
  <c r="M84" i="80"/>
  <c r="L84" i="80"/>
  <c r="K84" i="80"/>
  <c r="J84" i="80"/>
  <c r="I84" i="80"/>
  <c r="H84" i="80"/>
  <c r="G84" i="80"/>
  <c r="F84" i="80"/>
  <c r="E84" i="80"/>
  <c r="D84" i="80"/>
  <c r="N4" i="49"/>
  <c r="G3" i="49"/>
  <c r="F3" i="49"/>
  <c r="I1" i="62"/>
  <c r="B377" i="36" s="1"/>
  <c r="B383" i="36" s="1"/>
  <c r="K1" i="62" s="1"/>
  <c r="C48" i="35" s="1"/>
  <c r="H1" i="62"/>
  <c r="C1469" i="55"/>
  <c r="B1469" i="55"/>
  <c r="C1468" i="55"/>
  <c r="B1468" i="55"/>
  <c r="C1467" i="55"/>
  <c r="B1467" i="55"/>
  <c r="C1466" i="55"/>
  <c r="B1466" i="55"/>
  <c r="C1465" i="55"/>
  <c r="B1465" i="55"/>
  <c r="C1464" i="55"/>
  <c r="B1464" i="55"/>
  <c r="C1463" i="55"/>
  <c r="B1463" i="55"/>
  <c r="C1462" i="55"/>
  <c r="B1462" i="55"/>
  <c r="C1461" i="55"/>
  <c r="B1461" i="55"/>
  <c r="C1460" i="55"/>
  <c r="B1460" i="55"/>
  <c r="C1459" i="55"/>
  <c r="B1459" i="55"/>
  <c r="C1458" i="55"/>
  <c r="B1458" i="55"/>
  <c r="C1457" i="55"/>
  <c r="B1457" i="55"/>
  <c r="C1456" i="55"/>
  <c r="B1456" i="55"/>
  <c r="C1455" i="55"/>
  <c r="B1455" i="55"/>
  <c r="C1454" i="55"/>
  <c r="B1454" i="55"/>
  <c r="C1453" i="55"/>
  <c r="B1453" i="55"/>
  <c r="C1452" i="55"/>
  <c r="B1452" i="55"/>
  <c r="C1451" i="55"/>
  <c r="B1451" i="55"/>
  <c r="C1450" i="55"/>
  <c r="B1450" i="55"/>
  <c r="C1449" i="55"/>
  <c r="B1449" i="55"/>
  <c r="C1448" i="55"/>
  <c r="B1448" i="55"/>
  <c r="C1447" i="55"/>
  <c r="B1447" i="55"/>
  <c r="C1446" i="55"/>
  <c r="B1446" i="55"/>
  <c r="C1445" i="55"/>
  <c r="B1445" i="55"/>
  <c r="C1444" i="55"/>
  <c r="B1444" i="55"/>
  <c r="C1443" i="55"/>
  <c r="B1443" i="55"/>
  <c r="C1442" i="55"/>
  <c r="B1442" i="55"/>
  <c r="C1441" i="55"/>
  <c r="B1441" i="55"/>
  <c r="C1440" i="55"/>
  <c r="B1440" i="55"/>
  <c r="C1439" i="55"/>
  <c r="B1439" i="55"/>
  <c r="C1438" i="55"/>
  <c r="B1438" i="55"/>
  <c r="C1437" i="55"/>
  <c r="B1437" i="55"/>
  <c r="C1436" i="55"/>
  <c r="B1436" i="55"/>
  <c r="C1435" i="55"/>
  <c r="B1435" i="55"/>
  <c r="C1434" i="55"/>
  <c r="B1434" i="55"/>
  <c r="C1433" i="55"/>
  <c r="B1433" i="55"/>
  <c r="C1432" i="55"/>
  <c r="B1432" i="55"/>
  <c r="C1431" i="55"/>
  <c r="B1431" i="55"/>
  <c r="C1430" i="55"/>
  <c r="B1430" i="55"/>
  <c r="C1429" i="55"/>
  <c r="B1429" i="55"/>
  <c r="C1428" i="55"/>
  <c r="B1428" i="55"/>
  <c r="C1427" i="55"/>
  <c r="B1427" i="55"/>
  <c r="C1426" i="55"/>
  <c r="B1426" i="55"/>
  <c r="C1425" i="55"/>
  <c r="B1425" i="55"/>
  <c r="C1424" i="55"/>
  <c r="B1424" i="55"/>
  <c r="C1423" i="55"/>
  <c r="B1423" i="55"/>
  <c r="C1422" i="55"/>
  <c r="B1422" i="55"/>
  <c r="C1421" i="55"/>
  <c r="B1421" i="55"/>
  <c r="C1420" i="55"/>
  <c r="B1420" i="55"/>
  <c r="C1419" i="55"/>
  <c r="B1419" i="55"/>
  <c r="C1418" i="55"/>
  <c r="B1418" i="55"/>
  <c r="C1417" i="55"/>
  <c r="B1417" i="55"/>
  <c r="C1416" i="55"/>
  <c r="B1416" i="55"/>
  <c r="C1415" i="55"/>
  <c r="B1415" i="55"/>
  <c r="C1414" i="55"/>
  <c r="B1414" i="55"/>
  <c r="C1413" i="55"/>
  <c r="B1413" i="55"/>
  <c r="C1412" i="55"/>
  <c r="B1412" i="55"/>
  <c r="C1411" i="55"/>
  <c r="B1411" i="55"/>
  <c r="C1410" i="55"/>
  <c r="B1410" i="55"/>
  <c r="C1409" i="55"/>
  <c r="B1409" i="55"/>
  <c r="C1408" i="55"/>
  <c r="B1408" i="55"/>
  <c r="C1407" i="55"/>
  <c r="B1407" i="55"/>
  <c r="C1406" i="55"/>
  <c r="B1406" i="55"/>
  <c r="C1405" i="55"/>
  <c r="B1405" i="55"/>
  <c r="C1404" i="55"/>
  <c r="B1404" i="55"/>
  <c r="C1403" i="55"/>
  <c r="B1403" i="55"/>
  <c r="C1402" i="55"/>
  <c r="B1402" i="55"/>
  <c r="C1401" i="55"/>
  <c r="B1401" i="55"/>
  <c r="C1400" i="55"/>
  <c r="B1400" i="55"/>
  <c r="C1399" i="55"/>
  <c r="B1399" i="55"/>
  <c r="C1398" i="55"/>
  <c r="B1398" i="55"/>
  <c r="C1397" i="55"/>
  <c r="B1397" i="55"/>
  <c r="C1396" i="55"/>
  <c r="B1396" i="55"/>
  <c r="C1395" i="55"/>
  <c r="B1395" i="55"/>
  <c r="C1394" i="55"/>
  <c r="B1394" i="55"/>
  <c r="C1393" i="55"/>
  <c r="B1393" i="55"/>
  <c r="C1392" i="55"/>
  <c r="B1392" i="55"/>
  <c r="C1391" i="55"/>
  <c r="B1391" i="55"/>
  <c r="C1390" i="55"/>
  <c r="B1390" i="55"/>
  <c r="C1389" i="55"/>
  <c r="B1389" i="55"/>
  <c r="C1388" i="55"/>
  <c r="B1388" i="55"/>
  <c r="C1387" i="55"/>
  <c r="B1387" i="55"/>
  <c r="C1386" i="55"/>
  <c r="B1386" i="55"/>
  <c r="C1385" i="55"/>
  <c r="B1385" i="55"/>
  <c r="C1384" i="55"/>
  <c r="B1384" i="55"/>
  <c r="C1383" i="55"/>
  <c r="B1383" i="55"/>
  <c r="C1382" i="55"/>
  <c r="B1382" i="55"/>
  <c r="C1381" i="55"/>
  <c r="B1381" i="55"/>
  <c r="C1380" i="55"/>
  <c r="B1380" i="55"/>
  <c r="C1379" i="55"/>
  <c r="B1379" i="55"/>
  <c r="C1378" i="55"/>
  <c r="B1378" i="55"/>
  <c r="C1377" i="55"/>
  <c r="B1377" i="55"/>
  <c r="C1376" i="55"/>
  <c r="B1376" i="55"/>
  <c r="C1375" i="55"/>
  <c r="B1375" i="55"/>
  <c r="C1374" i="55"/>
  <c r="B1374" i="55"/>
  <c r="C1373" i="55"/>
  <c r="B1373" i="55"/>
  <c r="C1372" i="55"/>
  <c r="B1372" i="55"/>
  <c r="C1371" i="55"/>
  <c r="B1371" i="55"/>
  <c r="C1370" i="55"/>
  <c r="B1370" i="55"/>
  <c r="C1369" i="55"/>
  <c r="B1369" i="55"/>
  <c r="C1368" i="55"/>
  <c r="B1368" i="55"/>
  <c r="C1367" i="55"/>
  <c r="B1367" i="55"/>
  <c r="C1366" i="55"/>
  <c r="B1366" i="55"/>
  <c r="C1365" i="55"/>
  <c r="B1365" i="55"/>
  <c r="C1364" i="55"/>
  <c r="B1364" i="55"/>
  <c r="C1363" i="55"/>
  <c r="B1363" i="55"/>
  <c r="C1362" i="55"/>
  <c r="B1362" i="55"/>
  <c r="C1361" i="55"/>
  <c r="B1361" i="55"/>
  <c r="C1360" i="55"/>
  <c r="B1360" i="55"/>
  <c r="C1359" i="55"/>
  <c r="B1359" i="55"/>
  <c r="C1358" i="55"/>
  <c r="B1358" i="55"/>
  <c r="C1357" i="55"/>
  <c r="B1357" i="55"/>
  <c r="C1356" i="55"/>
  <c r="B1356" i="55"/>
  <c r="C1355" i="55"/>
  <c r="B1355" i="55"/>
  <c r="C1354" i="55"/>
  <c r="B1354" i="55"/>
  <c r="C1353" i="55"/>
  <c r="B1353" i="55"/>
  <c r="C1352" i="55"/>
  <c r="B1352" i="55"/>
  <c r="C1351" i="55"/>
  <c r="B1351" i="55"/>
  <c r="C1350" i="55"/>
  <c r="B1350" i="55"/>
  <c r="C1349" i="55"/>
  <c r="B1349" i="55"/>
  <c r="C1348" i="55"/>
  <c r="B1348" i="55"/>
  <c r="C1347" i="55"/>
  <c r="B1347" i="55"/>
  <c r="C1346" i="55"/>
  <c r="B1346" i="55"/>
  <c r="C1345" i="55"/>
  <c r="B1345" i="55"/>
  <c r="C1344" i="55"/>
  <c r="B1344" i="55"/>
  <c r="C1343" i="55"/>
  <c r="B1343" i="55"/>
  <c r="C1342" i="55"/>
  <c r="B1342" i="55"/>
  <c r="C1341" i="55"/>
  <c r="B1341" i="55"/>
  <c r="C1340" i="55"/>
  <c r="B1340" i="55"/>
  <c r="C1339" i="55"/>
  <c r="B1339" i="55"/>
  <c r="C1338" i="55"/>
  <c r="B1338" i="55"/>
  <c r="C1337" i="55"/>
  <c r="B1337" i="55"/>
  <c r="C1336" i="55"/>
  <c r="B1336" i="55"/>
  <c r="C1335" i="55"/>
  <c r="B1335" i="55"/>
  <c r="C1334" i="55"/>
  <c r="B1334" i="55"/>
  <c r="C1333" i="55"/>
  <c r="B1333" i="55"/>
  <c r="C1332" i="55"/>
  <c r="B1332" i="55"/>
  <c r="C1331" i="55"/>
  <c r="B1331" i="55"/>
  <c r="C1330" i="55"/>
  <c r="B1330" i="55"/>
  <c r="C1329" i="55"/>
  <c r="B1329" i="55"/>
  <c r="C1328" i="55"/>
  <c r="B1328" i="55"/>
  <c r="C1327" i="55"/>
  <c r="B1327" i="55"/>
  <c r="C1326" i="55"/>
  <c r="B1326" i="55"/>
  <c r="C1325" i="55"/>
  <c r="B1325" i="55"/>
  <c r="C1324" i="55"/>
  <c r="B1324" i="55"/>
  <c r="C1323" i="55"/>
  <c r="B1323" i="55"/>
  <c r="C1322" i="55"/>
  <c r="B1322" i="55"/>
  <c r="C1321" i="55"/>
  <c r="B1321" i="55"/>
  <c r="C1320" i="55"/>
  <c r="B1320" i="55"/>
  <c r="C1319" i="55"/>
  <c r="B1319" i="55"/>
  <c r="C1318" i="55"/>
  <c r="B1318" i="55"/>
  <c r="C1317" i="55"/>
  <c r="B1317" i="55"/>
  <c r="C1316" i="55"/>
  <c r="B1316" i="55"/>
  <c r="C1315" i="55"/>
  <c r="B1315" i="55"/>
  <c r="C1314" i="55"/>
  <c r="B1314" i="55"/>
  <c r="C1313" i="55"/>
  <c r="B1313" i="55"/>
  <c r="C1312" i="55"/>
  <c r="B1312" i="55"/>
  <c r="C1311" i="55"/>
  <c r="B1311" i="55"/>
  <c r="C1310" i="55"/>
  <c r="B1310" i="55"/>
  <c r="C1309" i="55"/>
  <c r="B1309" i="55"/>
  <c r="C1308" i="55"/>
  <c r="B1308" i="55"/>
  <c r="C1307" i="55"/>
  <c r="B1307" i="55"/>
  <c r="C1306" i="55"/>
  <c r="B1306" i="55"/>
  <c r="C1305" i="55"/>
  <c r="B1305" i="55"/>
  <c r="C1304" i="55"/>
  <c r="B1304" i="55"/>
  <c r="C1303" i="55"/>
  <c r="B1303" i="55"/>
  <c r="C1302" i="55"/>
  <c r="B1302" i="55"/>
  <c r="C1301" i="55"/>
  <c r="B1301" i="55"/>
  <c r="C1300" i="55"/>
  <c r="B1300" i="55"/>
  <c r="C1299" i="55"/>
  <c r="B1299" i="55"/>
  <c r="C1298" i="55"/>
  <c r="B1298" i="55"/>
  <c r="C1297" i="55"/>
  <c r="B1297" i="55"/>
  <c r="C1296" i="55"/>
  <c r="B1296" i="55"/>
  <c r="C1295" i="55"/>
  <c r="B1295" i="55"/>
  <c r="C1294" i="55"/>
  <c r="B1294" i="55"/>
  <c r="C1293" i="55"/>
  <c r="B1293" i="55"/>
  <c r="C1292" i="55"/>
  <c r="B1292" i="55"/>
  <c r="C1291" i="55"/>
  <c r="B1291" i="55"/>
  <c r="C1290" i="55"/>
  <c r="B1290" i="55"/>
  <c r="C1289" i="55"/>
  <c r="B1289" i="55"/>
  <c r="C1288" i="55"/>
  <c r="B1288" i="55"/>
  <c r="C1287" i="55"/>
  <c r="B1287" i="55"/>
  <c r="C1286" i="55"/>
  <c r="B1286" i="55"/>
  <c r="C1285" i="55"/>
  <c r="B1285" i="55"/>
  <c r="C1284" i="55"/>
  <c r="B1284" i="55"/>
  <c r="C1283" i="55"/>
  <c r="B1283" i="55"/>
  <c r="C1282" i="55"/>
  <c r="B1282" i="55"/>
  <c r="C1281" i="55"/>
  <c r="B1281" i="55"/>
  <c r="C1280" i="55"/>
  <c r="B1280" i="55"/>
  <c r="C1279" i="55"/>
  <c r="B1279" i="55"/>
  <c r="C1278" i="55"/>
  <c r="B1278" i="55"/>
  <c r="C1277" i="55"/>
  <c r="B1277" i="55"/>
  <c r="C1276" i="55"/>
  <c r="B1276" i="55"/>
  <c r="C1275" i="55"/>
  <c r="B1275" i="55"/>
  <c r="C1274" i="55"/>
  <c r="B1274" i="55"/>
  <c r="C1273" i="55"/>
  <c r="B1273" i="55"/>
  <c r="C1272" i="55"/>
  <c r="B1272" i="55"/>
  <c r="C1271" i="55"/>
  <c r="B1271" i="55"/>
  <c r="C1270" i="55"/>
  <c r="B1270" i="55"/>
  <c r="C1269" i="55"/>
  <c r="B1269" i="55"/>
  <c r="C1268" i="55"/>
  <c r="B1268" i="55"/>
  <c r="C1267" i="55"/>
  <c r="B1267" i="55"/>
  <c r="C1266" i="55"/>
  <c r="B1266" i="55"/>
  <c r="C1265" i="55"/>
  <c r="B1265" i="55"/>
  <c r="C1264" i="55"/>
  <c r="B1264" i="55"/>
  <c r="C1263" i="55"/>
  <c r="B1263" i="55"/>
  <c r="C1262" i="55"/>
  <c r="B1262" i="55"/>
  <c r="C1261" i="55"/>
  <c r="B1261" i="55"/>
  <c r="C1260" i="55"/>
  <c r="B1260" i="55"/>
  <c r="C1259" i="55"/>
  <c r="B1259" i="55"/>
  <c r="C1258" i="55"/>
  <c r="B1258" i="55"/>
  <c r="C1257" i="55"/>
  <c r="B1257" i="55"/>
  <c r="C1256" i="55"/>
  <c r="B1256" i="55"/>
  <c r="C1255" i="55"/>
  <c r="B1255" i="55"/>
  <c r="C1254" i="55"/>
  <c r="B1254" i="55"/>
  <c r="C1253" i="55"/>
  <c r="B1253" i="55"/>
  <c r="C1252" i="55"/>
  <c r="B1252" i="55"/>
  <c r="C1251" i="55"/>
  <c r="B1251" i="55"/>
  <c r="C1250" i="55"/>
  <c r="B1250" i="55"/>
  <c r="C1249" i="55"/>
  <c r="B1249" i="55"/>
  <c r="C1248" i="55"/>
  <c r="B1248" i="55"/>
  <c r="C1247" i="55"/>
  <c r="B1247" i="55"/>
  <c r="C1246" i="55"/>
  <c r="B1246" i="55"/>
  <c r="C1245" i="55"/>
  <c r="B1245" i="55"/>
  <c r="C1244" i="55"/>
  <c r="B1244" i="55"/>
  <c r="C1243" i="55"/>
  <c r="B1243" i="55"/>
  <c r="C1242" i="55"/>
  <c r="B1242" i="55"/>
  <c r="C1241" i="55"/>
  <c r="B1241" i="55"/>
  <c r="C1240" i="55"/>
  <c r="B1240" i="55"/>
  <c r="C1239" i="55"/>
  <c r="B1239" i="55"/>
  <c r="C1238" i="55"/>
  <c r="B1238" i="55"/>
  <c r="C1237" i="55"/>
  <c r="B1237" i="55"/>
  <c r="C1236" i="55"/>
  <c r="B1236" i="55"/>
  <c r="C1235" i="55"/>
  <c r="B1235" i="55"/>
  <c r="C1234" i="55"/>
  <c r="B1234" i="55"/>
  <c r="C1233" i="55"/>
  <c r="B1233" i="55"/>
  <c r="C1232" i="55"/>
  <c r="B1232" i="55"/>
  <c r="C1231" i="55"/>
  <c r="B1231" i="55"/>
  <c r="C1230" i="55"/>
  <c r="B1230" i="55"/>
  <c r="C1229" i="55"/>
  <c r="B1229" i="55"/>
  <c r="C1228" i="55"/>
  <c r="B1228" i="55"/>
  <c r="C1227" i="55"/>
  <c r="B1227" i="55"/>
  <c r="C1226" i="55"/>
  <c r="B1226" i="55"/>
  <c r="C1225" i="55"/>
  <c r="B1225" i="55"/>
  <c r="C1224" i="55"/>
  <c r="B1224" i="55"/>
  <c r="C1223" i="55"/>
  <c r="B1223" i="55"/>
  <c r="C1222" i="55"/>
  <c r="B1222" i="55"/>
  <c r="C1221" i="55"/>
  <c r="B1221" i="55"/>
  <c r="C1220" i="55"/>
  <c r="B1220" i="55"/>
  <c r="C1219" i="55"/>
  <c r="B1219" i="55"/>
  <c r="C1218" i="55"/>
  <c r="B1218" i="55"/>
  <c r="C1217" i="55"/>
  <c r="B1217" i="55"/>
  <c r="C1216" i="55"/>
  <c r="B1216" i="55"/>
  <c r="C1215" i="55"/>
  <c r="B1215" i="55"/>
  <c r="C1214" i="55"/>
  <c r="B1214" i="55"/>
  <c r="C1213" i="55"/>
  <c r="B1213" i="55"/>
  <c r="C1212" i="55"/>
  <c r="B1212" i="55"/>
  <c r="C1211" i="55"/>
  <c r="B1211" i="55"/>
  <c r="C1210" i="55"/>
  <c r="B1210" i="55"/>
  <c r="C1209" i="55"/>
  <c r="B1209" i="55"/>
  <c r="C1208" i="55"/>
  <c r="B1208" i="55"/>
  <c r="C1207" i="55"/>
  <c r="B1207" i="55"/>
  <c r="C1206" i="55"/>
  <c r="B1206" i="55"/>
  <c r="C1205" i="55"/>
  <c r="B1205" i="55"/>
  <c r="C1204" i="55"/>
  <c r="B1204" i="55"/>
  <c r="C1203" i="55"/>
  <c r="B1203" i="55"/>
  <c r="C1202" i="55"/>
  <c r="B1202" i="55"/>
  <c r="C1201" i="55"/>
  <c r="B1201" i="55"/>
  <c r="C1200" i="55"/>
  <c r="B1200" i="55"/>
  <c r="C1199" i="55"/>
  <c r="B1199" i="55"/>
  <c r="C1198" i="55"/>
  <c r="B1198" i="55"/>
  <c r="C1197" i="55"/>
  <c r="B1197" i="55"/>
  <c r="C1196" i="55"/>
  <c r="B1196" i="55"/>
  <c r="C1195" i="55"/>
  <c r="B1195" i="55"/>
  <c r="C1194" i="55"/>
  <c r="B1194" i="55"/>
  <c r="C1193" i="55"/>
  <c r="B1193" i="55"/>
  <c r="C1192" i="55"/>
  <c r="B1192" i="55"/>
  <c r="C1191" i="55"/>
  <c r="B1191" i="55"/>
  <c r="C1190" i="55"/>
  <c r="B1190" i="55"/>
  <c r="C1189" i="55"/>
  <c r="B1189" i="55"/>
  <c r="C1188" i="55"/>
  <c r="B1188" i="55"/>
  <c r="C1187" i="55"/>
  <c r="B1187" i="55"/>
  <c r="C1186" i="55"/>
  <c r="B1186" i="55"/>
  <c r="C1185" i="55"/>
  <c r="B1185" i="55"/>
  <c r="C1184" i="55"/>
  <c r="B1184" i="55"/>
  <c r="C1183" i="55"/>
  <c r="B1183" i="55"/>
  <c r="C1182" i="55"/>
  <c r="B1182" i="55"/>
  <c r="C1181" i="55"/>
  <c r="B1181" i="55"/>
  <c r="C1180" i="55"/>
  <c r="B1180" i="55"/>
  <c r="C1179" i="55"/>
  <c r="B1179" i="55"/>
  <c r="C1178" i="55"/>
  <c r="B1178" i="55"/>
  <c r="C1177" i="55"/>
  <c r="B1177" i="55"/>
  <c r="C1176" i="55"/>
  <c r="B1176" i="55"/>
  <c r="C1175" i="55"/>
  <c r="B1175" i="55"/>
  <c r="C1174" i="55"/>
  <c r="B1174" i="55"/>
  <c r="C1173" i="55"/>
  <c r="B1173" i="55"/>
  <c r="C1172" i="55"/>
  <c r="B1172" i="55"/>
  <c r="C1171" i="55"/>
  <c r="B1171" i="55"/>
  <c r="C1170" i="55"/>
  <c r="B1170" i="55"/>
  <c r="C1169" i="55"/>
  <c r="B1169" i="55"/>
  <c r="C1168" i="55"/>
  <c r="B1168" i="55"/>
  <c r="C1167" i="55"/>
  <c r="B1167" i="55"/>
  <c r="C1166" i="55"/>
  <c r="B1166" i="55"/>
  <c r="C1165" i="55"/>
  <c r="B1165" i="55"/>
  <c r="C1164" i="55"/>
  <c r="B1164" i="55"/>
  <c r="C1163" i="55"/>
  <c r="B1163" i="55"/>
  <c r="C1162" i="55"/>
  <c r="B1162" i="55"/>
  <c r="C1161" i="55"/>
  <c r="B1161" i="55"/>
  <c r="C1160" i="55"/>
  <c r="B1160" i="55"/>
  <c r="C1159" i="55"/>
  <c r="B1159" i="55"/>
  <c r="C1158" i="55"/>
  <c r="B1158" i="55"/>
  <c r="C1157" i="55"/>
  <c r="B1157" i="55"/>
  <c r="C1156" i="55"/>
  <c r="B1156" i="55"/>
  <c r="C1155" i="55"/>
  <c r="B1155" i="55"/>
  <c r="C1154" i="55"/>
  <c r="B1154" i="55"/>
  <c r="C1153" i="55"/>
  <c r="B1153" i="55"/>
  <c r="C1152" i="55"/>
  <c r="B1152" i="55"/>
  <c r="C1151" i="55"/>
  <c r="B1151" i="55"/>
  <c r="C1150" i="55"/>
  <c r="B1150" i="55"/>
  <c r="C1149" i="55"/>
  <c r="B1149" i="55"/>
  <c r="C1148" i="55"/>
  <c r="B1148" i="55"/>
  <c r="C1147" i="55"/>
  <c r="B1147" i="55"/>
  <c r="C1146" i="55"/>
  <c r="B1146" i="55"/>
  <c r="C1145" i="55"/>
  <c r="B1145" i="55"/>
  <c r="C1144" i="55"/>
  <c r="B1144" i="55"/>
  <c r="C1143" i="55"/>
  <c r="B1143" i="55"/>
  <c r="C1142" i="55"/>
  <c r="B1142" i="55"/>
  <c r="C1141" i="55"/>
  <c r="B1141" i="55"/>
  <c r="C1140" i="55"/>
  <c r="B1140" i="55"/>
  <c r="C1139" i="55"/>
  <c r="B1139" i="55"/>
  <c r="C1138" i="55"/>
  <c r="B1138" i="55"/>
  <c r="C1137" i="55"/>
  <c r="B1137" i="55"/>
  <c r="C1136" i="55"/>
  <c r="B1136" i="55"/>
  <c r="C1135" i="55"/>
  <c r="B1135" i="55"/>
  <c r="C1134" i="55"/>
  <c r="B1134" i="55"/>
  <c r="C1133" i="55"/>
  <c r="B1133" i="55"/>
  <c r="C1132" i="55"/>
  <c r="B1132" i="55"/>
  <c r="C1131" i="55"/>
  <c r="B1131" i="55"/>
  <c r="C1130" i="55"/>
  <c r="B1130" i="55"/>
  <c r="C1129" i="55"/>
  <c r="B1129" i="55"/>
  <c r="C1128" i="55"/>
  <c r="B1128" i="55"/>
  <c r="C1127" i="55"/>
  <c r="B1127" i="55"/>
  <c r="C1126" i="55"/>
  <c r="B1126" i="55"/>
  <c r="C1125" i="55"/>
  <c r="B1125" i="55"/>
  <c r="C1124" i="55"/>
  <c r="B1124" i="55"/>
  <c r="C1123" i="55"/>
  <c r="B1123" i="55"/>
  <c r="C1122" i="55"/>
  <c r="B1122" i="55"/>
  <c r="C1121" i="55"/>
  <c r="B1121" i="55"/>
  <c r="C1120" i="55"/>
  <c r="B1120" i="55"/>
  <c r="C1119" i="55"/>
  <c r="B1119" i="55"/>
  <c r="C1118" i="55"/>
  <c r="B1118" i="55"/>
  <c r="C1117" i="55"/>
  <c r="B1117" i="55"/>
  <c r="C1116" i="55"/>
  <c r="B1116" i="55"/>
  <c r="C1115" i="55"/>
  <c r="B1115" i="55"/>
  <c r="C1114" i="55"/>
  <c r="B1114" i="55"/>
  <c r="C1113" i="55"/>
  <c r="B1113" i="55"/>
  <c r="C1112" i="55"/>
  <c r="B1112" i="55"/>
  <c r="C1111" i="55"/>
  <c r="B1111" i="55"/>
  <c r="C1110" i="55"/>
  <c r="B1110" i="55"/>
  <c r="C1109" i="55"/>
  <c r="B1109" i="55"/>
  <c r="C1108" i="55"/>
  <c r="B1108" i="55"/>
  <c r="C1107" i="55"/>
  <c r="B1107" i="55"/>
  <c r="C1106" i="55"/>
  <c r="B1106" i="55"/>
  <c r="C1105" i="55"/>
  <c r="B1105" i="55"/>
  <c r="C1104" i="55"/>
  <c r="B1104" i="55"/>
  <c r="C1103" i="55"/>
  <c r="B1103" i="55"/>
  <c r="C1102" i="55"/>
  <c r="B1102" i="55"/>
  <c r="C1101" i="55"/>
  <c r="B1101" i="55"/>
  <c r="C1100" i="55"/>
  <c r="B1100" i="55"/>
  <c r="C1099" i="55"/>
  <c r="B1099" i="55"/>
  <c r="C1098" i="55"/>
  <c r="B1098" i="55"/>
  <c r="C1097" i="55"/>
  <c r="B1097" i="55"/>
  <c r="C1096" i="55"/>
  <c r="B1096" i="55"/>
  <c r="C1095" i="55"/>
  <c r="B1095" i="55"/>
  <c r="C1094" i="55"/>
  <c r="B1094" i="55"/>
  <c r="C1093" i="55"/>
  <c r="B1093" i="55"/>
  <c r="C1092" i="55"/>
  <c r="B1092" i="55"/>
  <c r="C1091" i="55"/>
  <c r="B1091" i="55"/>
  <c r="C1090" i="55"/>
  <c r="B1090" i="55"/>
  <c r="C1089" i="55"/>
  <c r="B1089" i="55"/>
  <c r="C1088" i="55"/>
  <c r="B1088" i="55"/>
  <c r="C1087" i="55"/>
  <c r="B1087" i="55"/>
  <c r="C1086" i="55"/>
  <c r="B1086" i="55"/>
  <c r="C1085" i="55"/>
  <c r="B1085" i="55"/>
  <c r="C1084" i="55"/>
  <c r="B1084" i="55"/>
  <c r="C1083" i="55"/>
  <c r="B1083" i="55"/>
  <c r="C1082" i="55"/>
  <c r="B1082" i="55"/>
  <c r="C1081" i="55"/>
  <c r="B1081" i="55"/>
  <c r="C1080" i="55"/>
  <c r="B1080" i="55"/>
  <c r="C1079" i="55"/>
  <c r="B1079" i="55"/>
  <c r="C1078" i="55"/>
  <c r="B1078" i="55"/>
  <c r="C1077" i="55"/>
  <c r="B1077" i="55"/>
  <c r="C1076" i="55"/>
  <c r="B1076" i="55"/>
  <c r="C1075" i="55"/>
  <c r="B1075" i="55"/>
  <c r="C1074" i="55"/>
  <c r="B1074" i="55"/>
  <c r="C1073" i="55"/>
  <c r="B1073" i="55"/>
  <c r="C1072" i="55"/>
  <c r="B1072" i="55"/>
  <c r="C1071" i="55"/>
  <c r="B1071" i="55"/>
  <c r="C1070" i="55"/>
  <c r="B1070" i="55"/>
  <c r="C1069" i="55"/>
  <c r="B1069" i="55"/>
  <c r="C1068" i="55"/>
  <c r="B1068" i="55"/>
  <c r="C1067" i="55"/>
  <c r="B1067" i="55"/>
  <c r="C1066" i="55"/>
  <c r="B1066" i="55"/>
  <c r="C1065" i="55"/>
  <c r="B1065" i="55"/>
  <c r="C1064" i="55"/>
  <c r="B1064" i="55"/>
  <c r="C1063" i="55"/>
  <c r="B1063" i="55"/>
  <c r="C1062" i="55"/>
  <c r="B1062" i="55"/>
  <c r="C1061" i="55"/>
  <c r="B1061" i="55"/>
  <c r="C1060" i="55"/>
  <c r="B1060" i="55"/>
  <c r="C1059" i="55"/>
  <c r="B1059" i="55"/>
  <c r="C1058" i="55"/>
  <c r="B1058" i="55"/>
  <c r="C1057" i="55"/>
  <c r="B1057" i="55"/>
  <c r="C1056" i="55"/>
  <c r="B1056" i="55"/>
  <c r="C1055" i="55"/>
  <c r="B1055" i="55"/>
  <c r="C1054" i="55"/>
  <c r="B1054" i="55"/>
  <c r="C1053" i="55"/>
  <c r="B1053" i="55"/>
  <c r="C1052" i="55"/>
  <c r="B1052" i="55"/>
  <c r="C1051" i="55"/>
  <c r="B1051" i="55"/>
  <c r="C1050" i="55"/>
  <c r="B1050" i="55"/>
  <c r="C1049" i="55"/>
  <c r="B1049" i="55"/>
  <c r="C1048" i="55"/>
  <c r="B1048" i="55"/>
  <c r="C1047" i="55"/>
  <c r="B1047" i="55"/>
  <c r="C1046" i="55"/>
  <c r="B1046" i="55"/>
  <c r="C1045" i="55"/>
  <c r="B1045" i="55"/>
  <c r="C1044" i="55"/>
  <c r="B1044" i="55"/>
  <c r="C1043" i="55"/>
  <c r="B1043" i="55"/>
  <c r="C1042" i="55"/>
  <c r="B1042" i="55"/>
  <c r="C1041" i="55"/>
  <c r="B1041" i="55"/>
  <c r="C1040" i="55"/>
  <c r="B1040" i="55"/>
  <c r="C1039" i="55"/>
  <c r="B1039" i="55"/>
  <c r="C1038" i="55"/>
  <c r="B1038" i="55"/>
  <c r="C1037" i="55"/>
  <c r="B1037" i="55"/>
  <c r="C1036" i="55"/>
  <c r="B1036" i="55"/>
  <c r="C1035" i="55"/>
  <c r="B1035" i="55"/>
  <c r="C1034" i="55"/>
  <c r="B1034" i="55"/>
  <c r="C1033" i="55"/>
  <c r="B1033" i="55"/>
  <c r="C1032" i="55"/>
  <c r="B1032" i="55"/>
  <c r="C1031" i="55"/>
  <c r="B1031" i="55"/>
  <c r="C1030" i="55"/>
  <c r="B1030" i="55"/>
  <c r="C1029" i="55"/>
  <c r="B1029" i="55"/>
  <c r="C1028" i="55"/>
  <c r="B1028" i="55"/>
  <c r="C1027" i="55"/>
  <c r="B1027" i="55"/>
  <c r="C1026" i="55"/>
  <c r="B1026" i="55"/>
  <c r="C1025" i="55"/>
  <c r="B1025" i="55"/>
  <c r="C1024" i="55"/>
  <c r="B1024" i="55"/>
  <c r="C1023" i="55"/>
  <c r="B1023" i="55"/>
  <c r="C1022" i="55"/>
  <c r="B1022" i="55"/>
  <c r="C1021" i="55"/>
  <c r="B1021" i="55"/>
  <c r="C1020" i="55"/>
  <c r="B1020" i="55"/>
  <c r="C1019" i="55"/>
  <c r="B1019" i="55"/>
  <c r="C1018" i="55"/>
  <c r="B1018" i="55"/>
  <c r="C1017" i="55"/>
  <c r="B1017" i="55"/>
  <c r="C1016" i="55"/>
  <c r="B1016" i="55"/>
  <c r="C1015" i="55"/>
  <c r="B1015" i="55"/>
  <c r="C1014" i="55"/>
  <c r="B1014" i="55"/>
  <c r="C1013" i="55"/>
  <c r="B1013" i="55"/>
  <c r="C1012" i="55"/>
  <c r="B1012" i="55"/>
  <c r="C1011" i="55"/>
  <c r="B1011" i="55"/>
  <c r="C1010" i="55"/>
  <c r="B1010" i="55"/>
  <c r="C1009" i="55"/>
  <c r="B1009" i="55"/>
  <c r="C1008" i="55"/>
  <c r="B1008" i="55"/>
  <c r="C1007" i="55"/>
  <c r="B1007" i="55"/>
  <c r="C1006" i="55"/>
  <c r="B1006" i="55"/>
  <c r="C1005" i="55"/>
  <c r="B1005" i="55"/>
  <c r="C1004" i="55"/>
  <c r="B1004" i="55"/>
  <c r="C1003" i="55"/>
  <c r="B1003" i="55"/>
  <c r="C1002" i="55"/>
  <c r="B1002" i="55"/>
  <c r="C1001" i="55"/>
  <c r="B1001" i="55"/>
  <c r="C1000" i="55"/>
  <c r="B1000" i="55"/>
  <c r="C999" i="55"/>
  <c r="B999" i="55"/>
  <c r="C998" i="55"/>
  <c r="B998" i="55"/>
  <c r="C997" i="55"/>
  <c r="B997" i="55"/>
  <c r="C996" i="55"/>
  <c r="B996" i="55"/>
  <c r="C995" i="55"/>
  <c r="B995" i="55"/>
  <c r="C994" i="55"/>
  <c r="B994" i="55"/>
  <c r="C993" i="55"/>
  <c r="B993" i="55"/>
  <c r="C992" i="55"/>
  <c r="B992" i="55"/>
  <c r="C991" i="55"/>
  <c r="B991" i="55"/>
  <c r="C990" i="55"/>
  <c r="B990" i="55"/>
  <c r="C989" i="55"/>
  <c r="B989" i="55"/>
  <c r="C988" i="55"/>
  <c r="B988" i="55"/>
  <c r="C987" i="55"/>
  <c r="B987" i="55"/>
  <c r="C986" i="55"/>
  <c r="B986" i="55"/>
  <c r="C985" i="55"/>
  <c r="B985" i="55"/>
  <c r="C984" i="55"/>
  <c r="B984" i="55"/>
  <c r="C983" i="55"/>
  <c r="B983" i="55"/>
  <c r="C982" i="55"/>
  <c r="B982" i="55"/>
  <c r="C981" i="55"/>
  <c r="B981" i="55"/>
  <c r="C980" i="55"/>
  <c r="B980" i="55"/>
  <c r="C979" i="55"/>
  <c r="B979" i="55"/>
  <c r="C978" i="55"/>
  <c r="B978" i="55"/>
  <c r="C977" i="55"/>
  <c r="B977" i="55"/>
  <c r="C976" i="55"/>
  <c r="B976" i="55"/>
  <c r="C975" i="55"/>
  <c r="B975" i="55"/>
  <c r="C974" i="55"/>
  <c r="B974" i="55"/>
  <c r="C973" i="55"/>
  <c r="B973" i="55"/>
  <c r="C972" i="55"/>
  <c r="B972" i="55"/>
  <c r="C971" i="55"/>
  <c r="B971" i="55"/>
  <c r="C970" i="55"/>
  <c r="B970" i="55"/>
  <c r="C969" i="55"/>
  <c r="B969" i="55"/>
  <c r="C968" i="55"/>
  <c r="B968" i="55"/>
  <c r="C967" i="55"/>
  <c r="B967" i="55"/>
  <c r="C966" i="55"/>
  <c r="B966" i="55"/>
  <c r="C965" i="55"/>
  <c r="B965" i="55"/>
  <c r="C964" i="55"/>
  <c r="B964" i="55"/>
  <c r="C963" i="55"/>
  <c r="B963" i="55"/>
  <c r="C962" i="55"/>
  <c r="B962" i="55"/>
  <c r="C961" i="55"/>
  <c r="B961" i="55"/>
  <c r="C960" i="55"/>
  <c r="B960" i="55"/>
  <c r="C959" i="55"/>
  <c r="B959" i="55"/>
  <c r="C958" i="55"/>
  <c r="B958" i="55"/>
  <c r="C957" i="55"/>
  <c r="B957" i="55"/>
  <c r="C956" i="55"/>
  <c r="B956" i="55"/>
  <c r="C955" i="55"/>
  <c r="B955" i="55"/>
  <c r="C954" i="55"/>
  <c r="B954" i="55"/>
  <c r="C953" i="55"/>
  <c r="B953" i="55"/>
  <c r="C952" i="55"/>
  <c r="B952" i="55"/>
  <c r="C951" i="55"/>
  <c r="B951" i="55"/>
  <c r="C950" i="55"/>
  <c r="B950" i="55"/>
  <c r="C949" i="55"/>
  <c r="B949" i="55"/>
  <c r="C948" i="55"/>
  <c r="B948" i="55"/>
  <c r="C947" i="55"/>
  <c r="B947" i="55"/>
  <c r="C946" i="55"/>
  <c r="B946" i="55"/>
  <c r="C945" i="55"/>
  <c r="B945" i="55"/>
  <c r="C944" i="55"/>
  <c r="B944" i="55"/>
  <c r="C943" i="55"/>
  <c r="B943" i="55"/>
  <c r="C942" i="55"/>
  <c r="B942" i="55"/>
  <c r="C941" i="55"/>
  <c r="B941" i="55"/>
  <c r="C940" i="55"/>
  <c r="B940" i="55"/>
  <c r="C939" i="55"/>
  <c r="B939" i="55"/>
  <c r="C938" i="55"/>
  <c r="B938" i="55"/>
  <c r="C937" i="55"/>
  <c r="B937" i="55"/>
  <c r="C936" i="55"/>
  <c r="B936" i="55"/>
  <c r="C935" i="55"/>
  <c r="B935" i="55"/>
  <c r="C934" i="55"/>
  <c r="B934" i="55"/>
  <c r="C933" i="55"/>
  <c r="B933" i="55"/>
  <c r="C932" i="55"/>
  <c r="B932" i="55"/>
  <c r="C931" i="55"/>
  <c r="B931" i="55"/>
  <c r="C930" i="55"/>
  <c r="B930" i="55"/>
  <c r="C929" i="55"/>
  <c r="B929" i="55"/>
  <c r="C928" i="55"/>
  <c r="B928" i="55"/>
  <c r="C927" i="55"/>
  <c r="B927" i="55"/>
  <c r="C926" i="55"/>
  <c r="B926" i="55"/>
  <c r="C925" i="55"/>
  <c r="B925" i="55"/>
  <c r="C924" i="55"/>
  <c r="B924" i="55"/>
  <c r="C923" i="55"/>
  <c r="B923" i="55"/>
  <c r="C922" i="55"/>
  <c r="B922" i="55"/>
  <c r="C921" i="55"/>
  <c r="B921" i="55"/>
  <c r="C920" i="55"/>
  <c r="B920" i="55"/>
  <c r="C919" i="55"/>
  <c r="B919" i="55"/>
  <c r="C918" i="55"/>
  <c r="B918" i="55"/>
  <c r="C917" i="55"/>
  <c r="B917" i="55"/>
  <c r="C916" i="55"/>
  <c r="B916" i="55"/>
  <c r="C915" i="55"/>
  <c r="B915" i="55"/>
  <c r="C914" i="55"/>
  <c r="B914" i="55"/>
  <c r="C913" i="55"/>
  <c r="B913" i="55"/>
  <c r="C912" i="55"/>
  <c r="B912" i="55"/>
  <c r="C911" i="55"/>
  <c r="B911" i="55"/>
  <c r="C910" i="55"/>
  <c r="B910" i="55"/>
  <c r="C909" i="55"/>
  <c r="B909" i="55"/>
  <c r="C908" i="55"/>
  <c r="B908" i="55"/>
  <c r="C907" i="55"/>
  <c r="B907" i="55"/>
  <c r="C906" i="55"/>
  <c r="B906" i="55"/>
  <c r="C905" i="55"/>
  <c r="B905" i="55"/>
  <c r="C904" i="55"/>
  <c r="B904" i="55"/>
  <c r="C903" i="55"/>
  <c r="B903" i="55"/>
  <c r="C902" i="55"/>
  <c r="B902" i="55"/>
  <c r="C901" i="55"/>
  <c r="B901" i="55"/>
  <c r="C900" i="55"/>
  <c r="B900" i="55"/>
  <c r="C899" i="55"/>
  <c r="B899" i="55"/>
  <c r="C898" i="55"/>
  <c r="B898" i="55"/>
  <c r="C897" i="55"/>
  <c r="B897" i="55"/>
  <c r="C896" i="55"/>
  <c r="B896" i="55"/>
  <c r="C895" i="55"/>
  <c r="B895" i="55"/>
  <c r="C894" i="55"/>
  <c r="B894" i="55"/>
  <c r="C893" i="55"/>
  <c r="B893" i="55"/>
  <c r="C892" i="55"/>
  <c r="B892" i="55"/>
  <c r="C891" i="55"/>
  <c r="B891" i="55"/>
  <c r="C890" i="55"/>
  <c r="B890" i="55"/>
  <c r="C889" i="55"/>
  <c r="B889" i="55"/>
  <c r="C888" i="55"/>
  <c r="B888" i="55"/>
  <c r="C887" i="55"/>
  <c r="B887" i="55"/>
  <c r="C886" i="55"/>
  <c r="B886" i="55"/>
  <c r="C885" i="55"/>
  <c r="B885" i="55"/>
  <c r="C884" i="55"/>
  <c r="B884" i="55"/>
  <c r="C883" i="55"/>
  <c r="B883" i="55"/>
  <c r="C882" i="55"/>
  <c r="B882" i="55"/>
  <c r="C881" i="55"/>
  <c r="B881" i="55"/>
  <c r="C880" i="55"/>
  <c r="B880" i="55"/>
  <c r="C879" i="55"/>
  <c r="B879" i="55"/>
  <c r="C878" i="55"/>
  <c r="B878" i="55"/>
  <c r="C877" i="55"/>
  <c r="B877" i="55"/>
  <c r="C876" i="55"/>
  <c r="B876" i="55"/>
  <c r="C875" i="55"/>
  <c r="B875" i="55"/>
  <c r="C874" i="55"/>
  <c r="B874" i="55"/>
  <c r="C873" i="55"/>
  <c r="B873" i="55"/>
  <c r="C872" i="55"/>
  <c r="B872" i="55"/>
  <c r="C871" i="55"/>
  <c r="B871" i="55"/>
  <c r="C870" i="55"/>
  <c r="B870" i="55"/>
  <c r="C869" i="55"/>
  <c r="B869" i="55"/>
  <c r="C868" i="55"/>
  <c r="B868" i="55"/>
  <c r="C867" i="55"/>
  <c r="B867" i="55"/>
  <c r="C866" i="55"/>
  <c r="B866" i="55"/>
  <c r="C865" i="55"/>
  <c r="B865" i="55"/>
  <c r="C864" i="55"/>
  <c r="B864" i="55"/>
  <c r="C863" i="55"/>
  <c r="B863" i="55"/>
  <c r="C862" i="55"/>
  <c r="B862" i="55"/>
  <c r="C861" i="55"/>
  <c r="B861" i="55"/>
  <c r="C860" i="55"/>
  <c r="B860" i="55"/>
  <c r="C859" i="55"/>
  <c r="B859" i="55"/>
  <c r="C858" i="55"/>
  <c r="B858" i="55"/>
  <c r="C857" i="55"/>
  <c r="B857" i="55"/>
  <c r="C856" i="55"/>
  <c r="B856" i="55"/>
  <c r="C855" i="55"/>
  <c r="B855" i="55"/>
  <c r="C854" i="55"/>
  <c r="B854" i="55"/>
  <c r="C853" i="55"/>
  <c r="B853" i="55"/>
  <c r="C852" i="55"/>
  <c r="B852" i="55"/>
  <c r="C851" i="55"/>
  <c r="B851" i="55"/>
  <c r="C850" i="55"/>
  <c r="B850" i="55"/>
  <c r="C849" i="55"/>
  <c r="B849" i="55"/>
  <c r="C848" i="55"/>
  <c r="B848" i="55"/>
  <c r="C847" i="55"/>
  <c r="B847" i="55"/>
  <c r="C846" i="55"/>
  <c r="B846" i="55"/>
  <c r="C845" i="55"/>
  <c r="B845" i="55"/>
  <c r="C844" i="55"/>
  <c r="B844" i="55"/>
  <c r="C843" i="55"/>
  <c r="B843" i="55"/>
  <c r="C842" i="55"/>
  <c r="B842" i="55"/>
  <c r="C841" i="55"/>
  <c r="B841" i="55"/>
  <c r="C840" i="55"/>
  <c r="B840" i="55"/>
  <c r="C839" i="55"/>
  <c r="B839" i="55"/>
  <c r="C838" i="55"/>
  <c r="B838" i="55"/>
  <c r="C837" i="55"/>
  <c r="B837" i="55"/>
  <c r="C836" i="55"/>
  <c r="B836" i="55"/>
  <c r="C835" i="55"/>
  <c r="B835" i="55"/>
  <c r="C834" i="55"/>
  <c r="B834" i="55"/>
  <c r="C833" i="55"/>
  <c r="B833" i="55"/>
  <c r="C832" i="55"/>
  <c r="B832" i="55"/>
  <c r="C831" i="55"/>
  <c r="B831" i="55"/>
  <c r="C830" i="55"/>
  <c r="B830" i="55"/>
  <c r="C829" i="55"/>
  <c r="B829" i="55"/>
  <c r="C828" i="55"/>
  <c r="B828" i="55"/>
  <c r="C827" i="55"/>
  <c r="B827" i="55"/>
  <c r="C826" i="55"/>
  <c r="B826" i="55"/>
  <c r="C825" i="55"/>
  <c r="B825" i="55"/>
  <c r="C824" i="55"/>
  <c r="B824" i="55"/>
  <c r="C823" i="55"/>
  <c r="B823" i="55"/>
  <c r="C822" i="55"/>
  <c r="B822" i="55"/>
  <c r="C821" i="55"/>
  <c r="B821" i="55"/>
  <c r="C820" i="55"/>
  <c r="B820" i="55"/>
  <c r="C819" i="55"/>
  <c r="B819" i="55"/>
  <c r="C818" i="55"/>
  <c r="B818" i="55"/>
  <c r="C817" i="55"/>
  <c r="B817" i="55"/>
  <c r="C816" i="55"/>
  <c r="B816" i="55"/>
  <c r="C815" i="55"/>
  <c r="B815" i="55"/>
  <c r="C814" i="55"/>
  <c r="B814" i="55"/>
  <c r="C813" i="55"/>
  <c r="B813" i="55"/>
  <c r="C812" i="55"/>
  <c r="B812" i="55"/>
  <c r="C811" i="55"/>
  <c r="B811" i="55"/>
  <c r="C810" i="55"/>
  <c r="B810" i="55"/>
  <c r="C809" i="55"/>
  <c r="B809" i="55"/>
  <c r="C808" i="55"/>
  <c r="B808" i="55"/>
  <c r="C807" i="55"/>
  <c r="B807" i="55"/>
  <c r="C806" i="55"/>
  <c r="B806" i="55"/>
  <c r="C805" i="55"/>
  <c r="B805" i="55"/>
  <c r="C804" i="55"/>
  <c r="B804" i="55"/>
  <c r="C803" i="55"/>
  <c r="B803" i="55"/>
  <c r="C802" i="55"/>
  <c r="B802" i="55"/>
  <c r="C801" i="55"/>
  <c r="B801" i="55"/>
  <c r="C800" i="55"/>
  <c r="B800" i="55"/>
  <c r="C799" i="55"/>
  <c r="B799" i="55"/>
  <c r="C798" i="55"/>
  <c r="B798" i="55"/>
  <c r="C797" i="55"/>
  <c r="B797" i="55"/>
  <c r="C796" i="55"/>
  <c r="B796" i="55"/>
  <c r="C795" i="55"/>
  <c r="B795" i="55"/>
  <c r="C794" i="55"/>
  <c r="B794" i="55"/>
  <c r="C793" i="55"/>
  <c r="B793" i="55"/>
  <c r="C792" i="55"/>
  <c r="B792" i="55"/>
  <c r="C791" i="55"/>
  <c r="B791" i="55"/>
  <c r="C790" i="55"/>
  <c r="B790" i="55"/>
  <c r="C789" i="55"/>
  <c r="B789" i="55"/>
  <c r="C788" i="55"/>
  <c r="B788" i="55"/>
  <c r="C787" i="55"/>
  <c r="B787" i="55"/>
  <c r="C786" i="55"/>
  <c r="B786" i="55"/>
  <c r="C785" i="55"/>
  <c r="B785" i="55"/>
  <c r="C784" i="55"/>
  <c r="B784" i="55"/>
  <c r="C783" i="55"/>
  <c r="B783" i="55"/>
  <c r="C782" i="55"/>
  <c r="B782" i="55"/>
  <c r="C781" i="55"/>
  <c r="B781" i="55"/>
  <c r="C780" i="55"/>
  <c r="B780" i="55"/>
  <c r="C779" i="55"/>
  <c r="B779" i="55"/>
  <c r="C778" i="55"/>
  <c r="B778" i="55"/>
  <c r="C777" i="55"/>
  <c r="B777" i="55"/>
  <c r="C776" i="55"/>
  <c r="B776" i="55"/>
  <c r="C775" i="55"/>
  <c r="B775" i="55"/>
  <c r="C774" i="55"/>
  <c r="B774" i="55"/>
  <c r="C773" i="55"/>
  <c r="B773" i="55"/>
  <c r="C772" i="55"/>
  <c r="B772" i="55"/>
  <c r="C771" i="55"/>
  <c r="B771" i="55"/>
  <c r="C770" i="55"/>
  <c r="B770" i="55"/>
  <c r="C769" i="55"/>
  <c r="B769" i="55"/>
  <c r="C768" i="55"/>
  <c r="B768" i="55"/>
  <c r="C767" i="55"/>
  <c r="B767" i="55"/>
  <c r="C766" i="55"/>
  <c r="B766" i="55"/>
  <c r="C765" i="55"/>
  <c r="B765" i="55"/>
  <c r="C764" i="55"/>
  <c r="B764" i="55"/>
  <c r="C763" i="55"/>
  <c r="B763" i="55"/>
  <c r="C762" i="55"/>
  <c r="B762" i="55"/>
  <c r="C761" i="55"/>
  <c r="B761" i="55"/>
  <c r="C760" i="55"/>
  <c r="B760" i="55"/>
  <c r="C759" i="55"/>
  <c r="B759" i="55"/>
  <c r="C758" i="55"/>
  <c r="B758" i="55"/>
  <c r="C757" i="55"/>
  <c r="B757" i="55"/>
  <c r="C756" i="55"/>
  <c r="B756" i="55"/>
  <c r="C755" i="55"/>
  <c r="B755" i="55"/>
  <c r="C754" i="55"/>
  <c r="B754" i="55"/>
  <c r="C753" i="55"/>
  <c r="B753" i="55"/>
  <c r="C752" i="55"/>
  <c r="B752" i="55"/>
  <c r="C751" i="55"/>
  <c r="B751" i="55"/>
  <c r="C750" i="55"/>
  <c r="B750" i="55"/>
  <c r="C749" i="55"/>
  <c r="B749" i="55"/>
  <c r="C748" i="55"/>
  <c r="B748" i="55"/>
  <c r="C747" i="55"/>
  <c r="B747" i="55"/>
  <c r="C746" i="55"/>
  <c r="B746" i="55"/>
  <c r="C745" i="55"/>
  <c r="B745" i="55"/>
  <c r="C744" i="55"/>
  <c r="B744" i="55"/>
  <c r="C743" i="55"/>
  <c r="B743" i="55"/>
  <c r="C742" i="55"/>
  <c r="B742" i="55"/>
  <c r="C741" i="55"/>
  <c r="B741" i="55"/>
  <c r="C740" i="55"/>
  <c r="B740" i="55"/>
  <c r="C739" i="55"/>
  <c r="B739" i="55"/>
  <c r="C738" i="55"/>
  <c r="B738" i="55"/>
  <c r="C737" i="55"/>
  <c r="B737" i="55"/>
  <c r="C736" i="55"/>
  <c r="B736" i="55"/>
  <c r="C735" i="55"/>
  <c r="B735" i="55"/>
  <c r="C734" i="55"/>
  <c r="B734" i="55"/>
  <c r="C733" i="55"/>
  <c r="B733" i="55"/>
  <c r="C732" i="55"/>
  <c r="B732" i="55"/>
  <c r="C731" i="55"/>
  <c r="B731" i="55"/>
  <c r="C730" i="55"/>
  <c r="B730" i="55"/>
  <c r="C729" i="55"/>
  <c r="B729" i="55"/>
  <c r="C728" i="55"/>
  <c r="B728" i="55"/>
  <c r="C727" i="55"/>
  <c r="B727" i="55"/>
  <c r="C726" i="55"/>
  <c r="B726" i="55"/>
  <c r="C725" i="55"/>
  <c r="B725" i="55"/>
  <c r="C724" i="55"/>
  <c r="B724" i="55"/>
  <c r="C723" i="55"/>
  <c r="B723" i="55"/>
  <c r="C722" i="55"/>
  <c r="B722" i="55"/>
  <c r="C721" i="55"/>
  <c r="B721" i="55"/>
  <c r="C720" i="55"/>
  <c r="B720" i="55"/>
  <c r="C719" i="55"/>
  <c r="B719" i="55"/>
  <c r="C718" i="55"/>
  <c r="B718" i="55"/>
  <c r="C717" i="55"/>
  <c r="B717" i="55"/>
  <c r="C716" i="55"/>
  <c r="B716" i="55"/>
  <c r="C715" i="55"/>
  <c r="B715" i="55"/>
  <c r="C714" i="55"/>
  <c r="B714" i="55"/>
  <c r="C713" i="55"/>
  <c r="B713" i="55"/>
  <c r="C712" i="55"/>
  <c r="B712" i="55"/>
  <c r="C711" i="55"/>
  <c r="B711" i="55"/>
  <c r="C710" i="55"/>
  <c r="B710" i="55"/>
  <c r="C709" i="55"/>
  <c r="B709" i="55"/>
  <c r="C708" i="55"/>
  <c r="B708" i="55"/>
  <c r="C707" i="55"/>
  <c r="B707" i="55"/>
  <c r="C706" i="55"/>
  <c r="B706" i="55"/>
  <c r="C705" i="55"/>
  <c r="B705" i="55"/>
  <c r="C704" i="55"/>
  <c r="B704" i="55"/>
  <c r="C703" i="55"/>
  <c r="B703" i="55"/>
  <c r="C702" i="55"/>
  <c r="B702" i="55"/>
  <c r="C701" i="55"/>
  <c r="B701" i="55"/>
  <c r="C700" i="55"/>
  <c r="B700" i="55"/>
  <c r="C699" i="55"/>
  <c r="B699" i="55"/>
  <c r="C698" i="55"/>
  <c r="B698" i="55"/>
  <c r="C697" i="55"/>
  <c r="B697" i="55"/>
  <c r="C696" i="55"/>
  <c r="B696" i="55"/>
  <c r="C695" i="55"/>
  <c r="B695" i="55"/>
  <c r="C694" i="55"/>
  <c r="B694" i="55"/>
  <c r="C693" i="55"/>
  <c r="B693" i="55"/>
  <c r="C692" i="55"/>
  <c r="B692" i="55"/>
  <c r="C691" i="55"/>
  <c r="B691" i="55"/>
  <c r="C690" i="55"/>
  <c r="B690" i="55"/>
  <c r="C689" i="55"/>
  <c r="B689" i="55"/>
  <c r="C688" i="55"/>
  <c r="B688" i="55"/>
  <c r="C687" i="55"/>
  <c r="B687" i="55"/>
  <c r="C686" i="55"/>
  <c r="B686" i="55"/>
  <c r="C685" i="55"/>
  <c r="B685" i="55"/>
  <c r="C684" i="55"/>
  <c r="B684" i="55"/>
  <c r="C683" i="55"/>
  <c r="B683" i="55"/>
  <c r="C682" i="55"/>
  <c r="B682" i="55"/>
  <c r="C681" i="55"/>
  <c r="B681" i="55"/>
  <c r="C680" i="55"/>
  <c r="B680" i="55"/>
  <c r="C679" i="55"/>
  <c r="B679" i="55"/>
  <c r="C678" i="55"/>
  <c r="B678" i="55"/>
  <c r="C677" i="55"/>
  <c r="B677" i="55"/>
  <c r="C676" i="55"/>
  <c r="B676" i="55"/>
  <c r="C675" i="55"/>
  <c r="B675" i="55"/>
  <c r="C674" i="55"/>
  <c r="B674" i="55"/>
  <c r="C673" i="55"/>
  <c r="B673" i="55"/>
  <c r="C672" i="55"/>
  <c r="B672" i="55"/>
  <c r="C671" i="55"/>
  <c r="B671" i="55"/>
  <c r="C670" i="55"/>
  <c r="B670" i="55"/>
  <c r="C669" i="55"/>
  <c r="B669" i="55"/>
  <c r="C668" i="55"/>
  <c r="B668" i="55"/>
  <c r="C667" i="55"/>
  <c r="B667" i="55"/>
  <c r="C666" i="55"/>
  <c r="B666" i="55"/>
  <c r="C665" i="55"/>
  <c r="B665" i="55"/>
  <c r="C664" i="55"/>
  <c r="B664" i="55"/>
  <c r="C663" i="55"/>
  <c r="B663" i="55"/>
  <c r="C662" i="55"/>
  <c r="B662" i="55"/>
  <c r="C661" i="55"/>
  <c r="B661" i="55"/>
  <c r="C660" i="55"/>
  <c r="B660" i="55"/>
  <c r="C659" i="55"/>
  <c r="B659" i="55"/>
  <c r="C658" i="55"/>
  <c r="B658" i="55"/>
  <c r="C657" i="55"/>
  <c r="B657" i="55"/>
  <c r="C656" i="55"/>
  <c r="B656" i="55"/>
  <c r="C655" i="55"/>
  <c r="B655" i="55"/>
  <c r="C654" i="55"/>
  <c r="B654" i="55"/>
  <c r="C653" i="55"/>
  <c r="B653" i="55"/>
  <c r="C652" i="55"/>
  <c r="B652" i="55"/>
  <c r="C651" i="55"/>
  <c r="B651" i="55"/>
  <c r="C650" i="55"/>
  <c r="B650" i="55"/>
  <c r="C649" i="55"/>
  <c r="B649" i="55"/>
  <c r="C648" i="55"/>
  <c r="B648" i="55"/>
  <c r="C647" i="55"/>
  <c r="B647" i="55"/>
  <c r="C646" i="55"/>
  <c r="B646" i="55"/>
  <c r="C645" i="55"/>
  <c r="B645" i="55"/>
  <c r="C644" i="55"/>
  <c r="B644" i="55"/>
  <c r="C643" i="55"/>
  <c r="B643" i="55"/>
  <c r="C642" i="55"/>
  <c r="B642" i="55"/>
  <c r="C641" i="55"/>
  <c r="B641" i="55"/>
  <c r="C640" i="55"/>
  <c r="B640" i="55"/>
  <c r="C639" i="55"/>
  <c r="B639" i="55"/>
  <c r="C638" i="55"/>
  <c r="B638" i="55"/>
  <c r="C637" i="55"/>
  <c r="B637" i="55"/>
  <c r="C636" i="55"/>
  <c r="B636" i="55"/>
  <c r="C635" i="55"/>
  <c r="B635" i="55"/>
  <c r="C634" i="55"/>
  <c r="B634" i="55"/>
  <c r="C633" i="55"/>
  <c r="B633" i="55"/>
  <c r="C632" i="55"/>
  <c r="B632" i="55"/>
  <c r="C631" i="55"/>
  <c r="B631" i="55"/>
  <c r="C630" i="55"/>
  <c r="B630" i="55"/>
  <c r="C629" i="55"/>
  <c r="B629" i="55"/>
  <c r="C628" i="55"/>
  <c r="B628" i="55"/>
  <c r="C627" i="55"/>
  <c r="B627" i="55"/>
  <c r="C626" i="55"/>
  <c r="B626" i="55"/>
  <c r="C625" i="55"/>
  <c r="B625" i="55"/>
  <c r="C624" i="55"/>
  <c r="B624" i="55"/>
  <c r="C623" i="55"/>
  <c r="B623" i="55"/>
  <c r="C622" i="55"/>
  <c r="B622" i="55"/>
  <c r="C621" i="55"/>
  <c r="B621" i="55"/>
  <c r="C620" i="55"/>
  <c r="B620" i="55"/>
  <c r="C619" i="55"/>
  <c r="B619" i="55"/>
  <c r="C618" i="55"/>
  <c r="B618" i="55"/>
  <c r="C617" i="55"/>
  <c r="B617" i="55"/>
  <c r="C616" i="55"/>
  <c r="B616" i="55"/>
  <c r="C615" i="55"/>
  <c r="B615" i="55"/>
  <c r="C614" i="55"/>
  <c r="B614" i="55"/>
  <c r="C613" i="55"/>
  <c r="B613" i="55"/>
  <c r="C612" i="55"/>
  <c r="B612" i="55"/>
  <c r="C611" i="55"/>
  <c r="B611" i="55"/>
  <c r="C610" i="55"/>
  <c r="B610" i="55"/>
  <c r="C609" i="55"/>
  <c r="B609" i="55"/>
  <c r="C608" i="55"/>
  <c r="B608" i="55"/>
  <c r="C607" i="55"/>
  <c r="B607" i="55"/>
  <c r="C606" i="55"/>
  <c r="B606" i="55"/>
  <c r="C605" i="55"/>
  <c r="B605" i="55"/>
  <c r="C604" i="55"/>
  <c r="B604" i="55"/>
  <c r="C603" i="55"/>
  <c r="B603" i="55"/>
  <c r="C602" i="55"/>
  <c r="B602" i="55"/>
  <c r="C601" i="55"/>
  <c r="B601" i="55"/>
  <c r="C600" i="55"/>
  <c r="B600" i="55"/>
  <c r="C599" i="55"/>
  <c r="B599" i="55"/>
  <c r="C598" i="55"/>
  <c r="B598" i="55"/>
  <c r="C597" i="55"/>
  <c r="B597" i="55"/>
  <c r="C596" i="55"/>
  <c r="B596" i="55"/>
  <c r="C595" i="55"/>
  <c r="B595" i="55"/>
  <c r="C594" i="55"/>
  <c r="B594" i="55"/>
  <c r="C593" i="55"/>
  <c r="B593" i="55"/>
  <c r="C592" i="55"/>
  <c r="B592" i="55"/>
  <c r="C591" i="55"/>
  <c r="B591" i="55"/>
  <c r="C590" i="55"/>
  <c r="B590" i="55"/>
  <c r="C589" i="55"/>
  <c r="B589" i="55"/>
  <c r="C588" i="55"/>
  <c r="B588" i="55"/>
  <c r="C587" i="55"/>
  <c r="B587" i="55"/>
  <c r="C586" i="55"/>
  <c r="B586" i="55"/>
  <c r="C585" i="55"/>
  <c r="B585" i="55"/>
  <c r="C584" i="55"/>
  <c r="B584" i="55"/>
  <c r="C583" i="55"/>
  <c r="B583" i="55"/>
  <c r="C582" i="55"/>
  <c r="B582" i="55"/>
  <c r="C581" i="55"/>
  <c r="B581" i="55"/>
  <c r="C580" i="55"/>
  <c r="B580" i="55"/>
  <c r="C579" i="55"/>
  <c r="B579" i="55"/>
  <c r="C578" i="55"/>
  <c r="B578" i="55"/>
  <c r="C577" i="55"/>
  <c r="B577" i="55"/>
  <c r="C576" i="55"/>
  <c r="B576" i="55"/>
  <c r="C575" i="55"/>
  <c r="B575" i="55"/>
  <c r="C574" i="55"/>
  <c r="B574" i="55"/>
  <c r="C573" i="55"/>
  <c r="B573" i="55"/>
  <c r="C572" i="55"/>
  <c r="B572" i="55"/>
  <c r="C571" i="55"/>
  <c r="B571" i="55"/>
  <c r="C570" i="55"/>
  <c r="B570" i="55"/>
  <c r="C569" i="55"/>
  <c r="B569" i="55"/>
  <c r="C568" i="55"/>
  <c r="B568" i="55"/>
  <c r="C567" i="55"/>
  <c r="B567" i="55"/>
  <c r="C566" i="55"/>
  <c r="B566" i="55"/>
  <c r="C565" i="55"/>
  <c r="B565" i="55"/>
  <c r="C564" i="55"/>
  <c r="B564" i="55"/>
  <c r="C563" i="55"/>
  <c r="B563" i="55"/>
  <c r="C562" i="55"/>
  <c r="B562" i="55"/>
  <c r="C561" i="55"/>
  <c r="B561" i="55"/>
  <c r="C560" i="55"/>
  <c r="B560" i="55"/>
  <c r="C559" i="55"/>
  <c r="B559" i="55"/>
  <c r="C558" i="55"/>
  <c r="B558" i="55"/>
  <c r="C557" i="55"/>
  <c r="B557" i="55"/>
  <c r="C556" i="55"/>
  <c r="B556" i="55"/>
  <c r="C555" i="55"/>
  <c r="B555" i="55"/>
  <c r="C554" i="55"/>
  <c r="B554" i="55"/>
  <c r="C553" i="55"/>
  <c r="B553" i="55"/>
  <c r="C552" i="55"/>
  <c r="B552" i="55"/>
  <c r="C551" i="55"/>
  <c r="B551" i="55"/>
  <c r="C550" i="55"/>
  <c r="B550" i="55"/>
  <c r="C549" i="55"/>
  <c r="B549" i="55"/>
  <c r="C548" i="55"/>
  <c r="B548" i="55"/>
  <c r="C547" i="55"/>
  <c r="B547" i="55"/>
  <c r="C546" i="55"/>
  <c r="B546" i="55"/>
  <c r="C545" i="55"/>
  <c r="B545" i="55"/>
  <c r="C544" i="55"/>
  <c r="B544" i="55"/>
  <c r="C543" i="55"/>
  <c r="B543" i="55"/>
  <c r="C542" i="55"/>
  <c r="B542" i="55"/>
  <c r="C541" i="55"/>
  <c r="B541" i="55"/>
  <c r="C540" i="55"/>
  <c r="B540" i="55"/>
  <c r="C539" i="55"/>
  <c r="B539" i="55"/>
  <c r="C538" i="55"/>
  <c r="B538" i="55"/>
  <c r="C537" i="55"/>
  <c r="B537" i="55"/>
  <c r="C536" i="55"/>
  <c r="B536" i="55"/>
  <c r="C535" i="55"/>
  <c r="B535" i="55"/>
  <c r="C534" i="55"/>
  <c r="B534" i="55"/>
  <c r="C533" i="55"/>
  <c r="B533" i="55"/>
  <c r="C532" i="55"/>
  <c r="B532" i="55"/>
  <c r="C531" i="55"/>
  <c r="B531" i="55"/>
  <c r="C530" i="55"/>
  <c r="B530" i="55"/>
  <c r="C529" i="55"/>
  <c r="B529" i="55"/>
  <c r="C528" i="55"/>
  <c r="B528" i="55"/>
  <c r="C527" i="55"/>
  <c r="B527" i="55"/>
  <c r="C526" i="55"/>
  <c r="B526" i="55"/>
  <c r="C525" i="55"/>
  <c r="B525" i="55"/>
  <c r="C524" i="55"/>
  <c r="B524" i="55"/>
  <c r="C523" i="55"/>
  <c r="B523" i="55"/>
  <c r="C522" i="55"/>
  <c r="B522" i="55"/>
  <c r="C521" i="55"/>
  <c r="B521" i="55"/>
  <c r="C520" i="55"/>
  <c r="B520" i="55"/>
  <c r="C519" i="55"/>
  <c r="B519" i="55"/>
  <c r="C518" i="55"/>
  <c r="B518" i="55"/>
  <c r="C517" i="55"/>
  <c r="B517" i="55"/>
  <c r="C516" i="55"/>
  <c r="B516" i="55"/>
  <c r="C515" i="55"/>
  <c r="B515" i="55"/>
  <c r="C514" i="55"/>
  <c r="B514" i="55"/>
  <c r="C513" i="55"/>
  <c r="B513" i="55"/>
  <c r="C512" i="55"/>
  <c r="B512" i="55"/>
  <c r="C511" i="55"/>
  <c r="B511" i="55"/>
  <c r="C510" i="55"/>
  <c r="B510" i="55"/>
  <c r="C509" i="55"/>
  <c r="B509" i="55"/>
  <c r="C508" i="55"/>
  <c r="B508" i="55"/>
  <c r="C507" i="55"/>
  <c r="B507" i="55"/>
  <c r="C506" i="55"/>
  <c r="B506" i="55"/>
  <c r="C505" i="55"/>
  <c r="B505" i="55"/>
  <c r="C504" i="55"/>
  <c r="B504" i="55"/>
  <c r="C503" i="55"/>
  <c r="B503" i="55"/>
  <c r="C502" i="55"/>
  <c r="B502" i="55"/>
  <c r="C501" i="55"/>
  <c r="B501" i="55"/>
  <c r="C500" i="55"/>
  <c r="B500" i="55"/>
  <c r="C499" i="55"/>
  <c r="B499" i="55"/>
  <c r="C498" i="55"/>
  <c r="B498" i="55"/>
  <c r="C497" i="55"/>
  <c r="B497" i="55"/>
  <c r="C496" i="55"/>
  <c r="B496" i="55"/>
  <c r="C495" i="55"/>
  <c r="B495" i="55"/>
  <c r="C494" i="55"/>
  <c r="B494" i="55"/>
  <c r="C493" i="55"/>
  <c r="B493" i="55"/>
  <c r="C492" i="55"/>
  <c r="B492" i="55"/>
  <c r="C491" i="55"/>
  <c r="B491" i="55"/>
  <c r="C490" i="55"/>
  <c r="B490" i="55"/>
  <c r="C489" i="55"/>
  <c r="B489" i="55"/>
  <c r="C488" i="55"/>
  <c r="B488" i="55"/>
  <c r="C487" i="55"/>
  <c r="B487" i="55"/>
  <c r="C486" i="55"/>
  <c r="B486" i="55"/>
  <c r="C485" i="55"/>
  <c r="B485" i="55"/>
  <c r="C484" i="55"/>
  <c r="B484" i="55"/>
  <c r="C483" i="55"/>
  <c r="B483" i="55"/>
  <c r="C482" i="55"/>
  <c r="B482" i="55"/>
  <c r="C481" i="55"/>
  <c r="B481" i="55"/>
  <c r="C480" i="55"/>
  <c r="B480" i="55"/>
  <c r="C479" i="55"/>
  <c r="B479" i="55"/>
  <c r="C478" i="55"/>
  <c r="B478" i="55"/>
  <c r="C477" i="55"/>
  <c r="B477" i="55"/>
  <c r="C476" i="55"/>
  <c r="B476" i="55"/>
  <c r="C475" i="55"/>
  <c r="B475" i="55"/>
  <c r="C474" i="55"/>
  <c r="B474" i="55"/>
  <c r="C473" i="55"/>
  <c r="B473" i="55"/>
  <c r="C472" i="55"/>
  <c r="B472" i="55"/>
  <c r="C471" i="55"/>
  <c r="B471" i="55"/>
  <c r="C470" i="55"/>
  <c r="B470" i="55"/>
  <c r="C469" i="55"/>
  <c r="B469" i="55"/>
  <c r="C468" i="55"/>
  <c r="B468" i="55"/>
  <c r="C467" i="55"/>
  <c r="B467" i="55"/>
  <c r="C466" i="55"/>
  <c r="B466" i="55"/>
  <c r="C465" i="55"/>
  <c r="B465" i="55"/>
  <c r="C464" i="55"/>
  <c r="B464" i="55"/>
  <c r="C463" i="55"/>
  <c r="B463" i="55"/>
  <c r="C462" i="55"/>
  <c r="B462" i="55"/>
  <c r="C461" i="55"/>
  <c r="B461" i="55"/>
  <c r="C460" i="55"/>
  <c r="B460" i="55"/>
  <c r="C459" i="55"/>
  <c r="B459" i="55"/>
  <c r="C458" i="55"/>
  <c r="B458" i="55"/>
  <c r="C457" i="55"/>
  <c r="B457" i="55"/>
  <c r="C456" i="55"/>
  <c r="B456" i="55"/>
  <c r="C455" i="55"/>
  <c r="B455" i="55"/>
  <c r="C454" i="55"/>
  <c r="B454" i="55"/>
  <c r="C453" i="55"/>
  <c r="B453" i="55"/>
  <c r="C452" i="55"/>
  <c r="B452" i="55"/>
  <c r="C451" i="55"/>
  <c r="B451" i="55"/>
  <c r="C450" i="55"/>
  <c r="B450" i="55"/>
  <c r="C449" i="55"/>
  <c r="B449" i="55"/>
  <c r="C448" i="55"/>
  <c r="B448" i="55"/>
  <c r="C447" i="55"/>
  <c r="B447" i="55"/>
  <c r="C446" i="55"/>
  <c r="B446" i="55"/>
  <c r="C445" i="55"/>
  <c r="B445" i="55"/>
  <c r="C444" i="55"/>
  <c r="B444" i="55"/>
  <c r="C443" i="55"/>
  <c r="B443" i="55"/>
  <c r="C442" i="55"/>
  <c r="B442" i="55"/>
  <c r="C441" i="55"/>
  <c r="B441" i="55"/>
  <c r="C440" i="55"/>
  <c r="B440" i="55"/>
  <c r="C439" i="55"/>
  <c r="B439" i="55"/>
  <c r="C438" i="55"/>
  <c r="B438" i="55"/>
  <c r="C437" i="55"/>
  <c r="B437" i="55"/>
  <c r="C436" i="55"/>
  <c r="B436" i="55"/>
  <c r="C435" i="55"/>
  <c r="B435" i="55"/>
  <c r="C434" i="55"/>
  <c r="B434" i="55"/>
  <c r="C433" i="55"/>
  <c r="B433" i="55"/>
  <c r="C432" i="55"/>
  <c r="B432" i="55"/>
  <c r="C431" i="55"/>
  <c r="B431" i="55"/>
  <c r="C430" i="55"/>
  <c r="B430" i="55"/>
  <c r="C429" i="55"/>
  <c r="B429" i="55"/>
  <c r="C428" i="55"/>
  <c r="B428" i="55"/>
  <c r="C427" i="55"/>
  <c r="B427" i="55"/>
  <c r="C426" i="55"/>
  <c r="B426" i="55"/>
  <c r="C425" i="55"/>
  <c r="B425" i="55"/>
  <c r="C424" i="55"/>
  <c r="B424" i="55"/>
  <c r="C423" i="55"/>
  <c r="B423" i="55"/>
  <c r="C422" i="55"/>
  <c r="B422" i="55"/>
  <c r="C421" i="55"/>
  <c r="B421" i="55"/>
  <c r="C420" i="55"/>
  <c r="B420" i="55"/>
  <c r="C419" i="55"/>
  <c r="B419" i="55"/>
  <c r="C418" i="55"/>
  <c r="B418" i="55"/>
  <c r="C417" i="55"/>
  <c r="B417" i="55"/>
  <c r="C416" i="55"/>
  <c r="B416" i="55"/>
  <c r="C415" i="55"/>
  <c r="B415" i="55"/>
  <c r="C414" i="55"/>
  <c r="B414" i="55"/>
  <c r="C413" i="55"/>
  <c r="B413" i="55"/>
  <c r="C412" i="55"/>
  <c r="B412" i="55"/>
  <c r="C411" i="55"/>
  <c r="B411" i="55"/>
  <c r="C410" i="55"/>
  <c r="B410" i="55"/>
  <c r="C409" i="55"/>
  <c r="B409" i="55"/>
  <c r="C408" i="55"/>
  <c r="B408" i="55"/>
  <c r="C407" i="55"/>
  <c r="B407" i="55"/>
  <c r="C406" i="55"/>
  <c r="B406" i="55"/>
  <c r="C405" i="55"/>
  <c r="B405" i="55"/>
  <c r="C404" i="55"/>
  <c r="B404" i="55"/>
  <c r="C403" i="55"/>
  <c r="B403" i="55"/>
  <c r="C402" i="55"/>
  <c r="B402" i="55"/>
  <c r="C401" i="55"/>
  <c r="B401" i="55"/>
  <c r="C400" i="55"/>
  <c r="B400" i="55"/>
  <c r="C399" i="55"/>
  <c r="B399" i="55"/>
  <c r="C398" i="55"/>
  <c r="B398" i="55"/>
  <c r="C397" i="55"/>
  <c r="B397" i="55"/>
  <c r="C396" i="55"/>
  <c r="B396" i="55"/>
  <c r="C395" i="55"/>
  <c r="B395" i="55"/>
  <c r="C394" i="55"/>
  <c r="B394" i="55"/>
  <c r="C393" i="55"/>
  <c r="B393" i="55"/>
  <c r="C392" i="55"/>
  <c r="B392" i="55"/>
  <c r="C391" i="55"/>
  <c r="B391" i="55"/>
  <c r="C390" i="55"/>
  <c r="B390" i="55"/>
  <c r="C389" i="55"/>
  <c r="B389" i="55"/>
  <c r="C388" i="55"/>
  <c r="B388" i="55"/>
  <c r="C387" i="55"/>
  <c r="B387" i="55"/>
  <c r="C386" i="55"/>
  <c r="B386" i="55"/>
  <c r="C385" i="55"/>
  <c r="B385" i="55"/>
  <c r="C384" i="55"/>
  <c r="B384" i="55"/>
  <c r="C383" i="55"/>
  <c r="B383" i="55"/>
  <c r="C382" i="55"/>
  <c r="B382" i="55"/>
  <c r="C381" i="55"/>
  <c r="B381" i="55"/>
  <c r="C380" i="55"/>
  <c r="B380" i="55"/>
  <c r="C379" i="55"/>
  <c r="B379" i="55"/>
  <c r="C378" i="55"/>
  <c r="B378" i="55"/>
  <c r="C377" i="55"/>
  <c r="B377" i="55"/>
  <c r="C376" i="55"/>
  <c r="B376" i="55"/>
  <c r="C375" i="55"/>
  <c r="B375" i="55"/>
  <c r="C374" i="55"/>
  <c r="B374" i="55"/>
  <c r="C373" i="55"/>
  <c r="B373" i="55"/>
  <c r="C372" i="55"/>
  <c r="B372" i="55"/>
  <c r="C371" i="55"/>
  <c r="B371" i="55"/>
  <c r="C370" i="55"/>
  <c r="B370" i="55"/>
  <c r="C369" i="55"/>
  <c r="B369" i="55"/>
  <c r="C368" i="55"/>
  <c r="B368" i="55"/>
  <c r="C367" i="55"/>
  <c r="B367" i="55"/>
  <c r="C366" i="55"/>
  <c r="B366" i="55"/>
  <c r="C365" i="55"/>
  <c r="B365" i="55"/>
  <c r="C364" i="55"/>
  <c r="B364" i="55"/>
  <c r="C363" i="55"/>
  <c r="B363" i="55"/>
  <c r="C362" i="55"/>
  <c r="B362" i="55"/>
  <c r="C361" i="55"/>
  <c r="B361" i="55"/>
  <c r="C360" i="55"/>
  <c r="B360" i="55"/>
  <c r="C359" i="55"/>
  <c r="B359" i="55"/>
  <c r="C358" i="55"/>
  <c r="B358" i="55"/>
  <c r="C357" i="55"/>
  <c r="B357" i="55"/>
  <c r="C356" i="55"/>
  <c r="B356" i="55"/>
  <c r="C355" i="55"/>
  <c r="B355" i="55"/>
  <c r="C354" i="55"/>
  <c r="B354" i="55"/>
  <c r="C353" i="55"/>
  <c r="B353" i="55"/>
  <c r="C352" i="55"/>
  <c r="B352" i="55"/>
  <c r="C351" i="55"/>
  <c r="B351" i="55"/>
  <c r="C350" i="55"/>
  <c r="B350" i="55"/>
  <c r="C349" i="55"/>
  <c r="B349" i="55"/>
  <c r="C348" i="55"/>
  <c r="B348" i="55"/>
  <c r="C347" i="55"/>
  <c r="B347" i="55"/>
  <c r="C346" i="55"/>
  <c r="B346" i="55"/>
  <c r="C345" i="55"/>
  <c r="B345" i="55"/>
  <c r="C344" i="55"/>
  <c r="B344" i="55"/>
  <c r="C343" i="55"/>
  <c r="B343" i="55"/>
  <c r="C342" i="55"/>
  <c r="B342" i="55"/>
  <c r="C341" i="55"/>
  <c r="B341" i="55"/>
  <c r="C340" i="55"/>
  <c r="B340" i="55"/>
  <c r="C339" i="55"/>
  <c r="B339" i="55"/>
  <c r="C338" i="55"/>
  <c r="B338" i="55"/>
  <c r="C337" i="55"/>
  <c r="B337" i="55"/>
  <c r="C336" i="55"/>
  <c r="B336" i="55"/>
  <c r="C335" i="55"/>
  <c r="B335" i="55"/>
  <c r="C334" i="55"/>
  <c r="B334" i="55"/>
  <c r="C333" i="55"/>
  <c r="B333" i="55"/>
  <c r="C332" i="55"/>
  <c r="B332" i="55"/>
  <c r="C331" i="55"/>
  <c r="B331" i="55"/>
  <c r="C330" i="55"/>
  <c r="B330" i="55"/>
  <c r="C329" i="55"/>
  <c r="B329" i="55"/>
  <c r="C328" i="55"/>
  <c r="B328" i="55"/>
  <c r="C327" i="55"/>
  <c r="B327" i="55"/>
  <c r="C326" i="55"/>
  <c r="B326" i="55"/>
  <c r="C325" i="55"/>
  <c r="B325" i="55"/>
  <c r="C324" i="55"/>
  <c r="B324" i="55"/>
  <c r="C323" i="55"/>
  <c r="B323" i="55"/>
  <c r="C322" i="55"/>
  <c r="B322" i="55"/>
  <c r="C321" i="55"/>
  <c r="B321" i="55"/>
  <c r="C320" i="55"/>
  <c r="B320" i="55"/>
  <c r="C319" i="55"/>
  <c r="B319" i="55"/>
  <c r="C318" i="55"/>
  <c r="B318" i="55"/>
  <c r="C317" i="55"/>
  <c r="B317" i="55"/>
  <c r="C316" i="55"/>
  <c r="B316" i="55"/>
  <c r="C315" i="55"/>
  <c r="B315" i="55"/>
  <c r="C314" i="55"/>
  <c r="B314" i="55"/>
  <c r="C313" i="55"/>
  <c r="B313" i="55"/>
  <c r="C312" i="55"/>
  <c r="B312" i="55"/>
  <c r="C311" i="55"/>
  <c r="B311" i="55"/>
  <c r="C310" i="55"/>
  <c r="B310" i="55"/>
  <c r="C309" i="55"/>
  <c r="B309" i="55"/>
  <c r="C308" i="55"/>
  <c r="B308" i="55"/>
  <c r="C307" i="55"/>
  <c r="B307" i="55"/>
  <c r="C306" i="55"/>
  <c r="B306" i="55"/>
  <c r="C305" i="55"/>
  <c r="B305" i="55"/>
  <c r="C304" i="55"/>
  <c r="B304" i="55"/>
  <c r="C303" i="55"/>
  <c r="B303" i="55"/>
  <c r="C302" i="55"/>
  <c r="B302" i="55"/>
  <c r="C301" i="55"/>
  <c r="B301" i="55"/>
  <c r="C300" i="55"/>
  <c r="B300" i="55"/>
  <c r="C299" i="55"/>
  <c r="B299" i="55"/>
  <c r="C298" i="55"/>
  <c r="B298" i="55"/>
  <c r="C297" i="55"/>
  <c r="B297" i="55"/>
  <c r="C296" i="55"/>
  <c r="B296" i="55"/>
  <c r="C295" i="55"/>
  <c r="B295" i="55"/>
  <c r="C294" i="55"/>
  <c r="B294" i="55"/>
  <c r="C293" i="55"/>
  <c r="B293" i="55"/>
  <c r="C292" i="55"/>
  <c r="B292" i="55"/>
  <c r="C291" i="55"/>
  <c r="B291" i="55"/>
  <c r="C290" i="55"/>
  <c r="B290" i="55"/>
  <c r="C289" i="55"/>
  <c r="B289" i="55"/>
  <c r="C288" i="55"/>
  <c r="B288" i="55"/>
  <c r="C287" i="55"/>
  <c r="B287" i="55"/>
  <c r="C286" i="55"/>
  <c r="B286" i="55"/>
  <c r="C285" i="55"/>
  <c r="B285" i="55"/>
  <c r="C284" i="55"/>
  <c r="B284" i="55"/>
  <c r="C283" i="55"/>
  <c r="B283" i="55"/>
  <c r="C282" i="55"/>
  <c r="B282" i="55"/>
  <c r="C281" i="55"/>
  <c r="B281" i="55"/>
  <c r="C280" i="55"/>
  <c r="B280" i="55"/>
  <c r="C279" i="55"/>
  <c r="B279" i="55"/>
  <c r="C278" i="55"/>
  <c r="B278" i="55"/>
  <c r="C277" i="55"/>
  <c r="B277" i="55"/>
  <c r="C276" i="55"/>
  <c r="B276" i="55"/>
  <c r="C275" i="55"/>
  <c r="B275" i="55"/>
  <c r="C274" i="55"/>
  <c r="B274" i="55"/>
  <c r="C273" i="55"/>
  <c r="B273" i="55"/>
  <c r="C272" i="55"/>
  <c r="B272" i="55"/>
  <c r="C271" i="55"/>
  <c r="B271" i="55"/>
  <c r="C270" i="55"/>
  <c r="B270" i="55"/>
  <c r="C269" i="55"/>
  <c r="B269" i="55"/>
  <c r="C268" i="55"/>
  <c r="B268" i="55"/>
  <c r="C267" i="55"/>
  <c r="B267" i="55"/>
  <c r="C266" i="55"/>
  <c r="B266" i="55"/>
  <c r="C265" i="55"/>
  <c r="B265" i="55"/>
  <c r="C264" i="55"/>
  <c r="B264" i="55"/>
  <c r="C263" i="55"/>
  <c r="B263" i="55"/>
  <c r="C262" i="55"/>
  <c r="B262" i="55"/>
  <c r="C261" i="55"/>
  <c r="B261" i="55"/>
  <c r="C260" i="55"/>
  <c r="B260" i="55"/>
  <c r="C259" i="55"/>
  <c r="B259" i="55"/>
  <c r="C258" i="55"/>
  <c r="B258" i="55"/>
  <c r="C257" i="55"/>
  <c r="B257" i="55"/>
  <c r="C256" i="55"/>
  <c r="B256" i="55"/>
  <c r="C255" i="55"/>
  <c r="B255" i="55"/>
  <c r="C254" i="55"/>
  <c r="B254" i="55"/>
  <c r="C253" i="55"/>
  <c r="B253" i="55"/>
  <c r="C252" i="55"/>
  <c r="B252" i="55"/>
  <c r="C251" i="55"/>
  <c r="B251" i="55"/>
  <c r="C250" i="55"/>
  <c r="B250" i="55"/>
  <c r="C249" i="55"/>
  <c r="B249" i="55"/>
  <c r="C248" i="55"/>
  <c r="B248" i="55"/>
  <c r="C247" i="55"/>
  <c r="B247" i="55"/>
  <c r="C246" i="55"/>
  <c r="B246" i="55"/>
  <c r="C245" i="55"/>
  <c r="B245" i="55"/>
  <c r="C244" i="55"/>
  <c r="B244" i="55"/>
  <c r="C243" i="55"/>
  <c r="B243" i="55"/>
  <c r="C242" i="55"/>
  <c r="B242" i="55"/>
  <c r="C241" i="55"/>
  <c r="B241" i="55"/>
  <c r="C240" i="55"/>
  <c r="B240" i="55"/>
  <c r="C239" i="55"/>
  <c r="B239" i="55"/>
  <c r="C238" i="55"/>
  <c r="B238" i="55"/>
  <c r="C237" i="55"/>
  <c r="B237" i="55"/>
  <c r="C236" i="55"/>
  <c r="B236" i="55"/>
  <c r="C235" i="55"/>
  <c r="B235" i="55"/>
  <c r="C234" i="55"/>
  <c r="B234" i="55"/>
  <c r="C233" i="55"/>
  <c r="B233" i="55"/>
  <c r="C232" i="55"/>
  <c r="B232" i="55"/>
  <c r="C231" i="55"/>
  <c r="B231" i="55"/>
  <c r="C230" i="55"/>
  <c r="B230" i="55"/>
  <c r="C229" i="55"/>
  <c r="B229" i="55"/>
  <c r="C228" i="55"/>
  <c r="B228" i="55"/>
  <c r="C227" i="55"/>
  <c r="B227" i="55"/>
  <c r="C226" i="55"/>
  <c r="B226" i="55"/>
  <c r="C225" i="55"/>
  <c r="B225" i="55"/>
  <c r="C224" i="55"/>
  <c r="B224" i="55"/>
  <c r="C223" i="55"/>
  <c r="B223" i="55"/>
  <c r="C222" i="55"/>
  <c r="B222" i="55"/>
  <c r="C221" i="55"/>
  <c r="B221" i="55"/>
  <c r="C220" i="55"/>
  <c r="B220" i="55"/>
  <c r="C219" i="55"/>
  <c r="B219" i="55"/>
  <c r="C218" i="55"/>
  <c r="B218" i="55"/>
  <c r="C217" i="55"/>
  <c r="B217" i="55"/>
  <c r="C216" i="55"/>
  <c r="B216" i="55"/>
  <c r="C215" i="55"/>
  <c r="B215" i="55"/>
  <c r="C214" i="55"/>
  <c r="B214" i="55"/>
  <c r="C213" i="55"/>
  <c r="B213" i="55"/>
  <c r="C212" i="55"/>
  <c r="B212" i="55"/>
  <c r="C211" i="55"/>
  <c r="B211" i="55"/>
  <c r="C210" i="55"/>
  <c r="B210" i="55"/>
  <c r="C209" i="55"/>
  <c r="B209" i="55"/>
  <c r="C208" i="55"/>
  <c r="B208" i="55"/>
  <c r="C207" i="55"/>
  <c r="B207" i="55"/>
  <c r="C206" i="55"/>
  <c r="B206" i="55"/>
  <c r="C205" i="55"/>
  <c r="B205" i="55"/>
  <c r="C204" i="55"/>
  <c r="B204" i="55"/>
  <c r="C203" i="55"/>
  <c r="B203" i="55"/>
  <c r="C202" i="55"/>
  <c r="B202" i="55"/>
  <c r="C201" i="55"/>
  <c r="B201" i="55"/>
  <c r="C200" i="55"/>
  <c r="B200" i="55"/>
  <c r="C199" i="55"/>
  <c r="B199" i="55"/>
  <c r="C198" i="55"/>
  <c r="B198" i="55"/>
  <c r="C197" i="55"/>
  <c r="B197" i="55"/>
  <c r="C196" i="55"/>
  <c r="B196" i="55"/>
  <c r="C195" i="55"/>
  <c r="B195" i="55"/>
  <c r="C194" i="55"/>
  <c r="B194" i="55"/>
  <c r="C193" i="55"/>
  <c r="B193" i="55"/>
  <c r="C192" i="55"/>
  <c r="B192" i="55"/>
  <c r="C191" i="55"/>
  <c r="B191" i="55"/>
  <c r="C190" i="55"/>
  <c r="B190" i="55"/>
  <c r="C189" i="55"/>
  <c r="B189" i="55"/>
  <c r="C188" i="55"/>
  <c r="B188" i="55"/>
  <c r="C187" i="55"/>
  <c r="B187" i="55"/>
  <c r="C186" i="55"/>
  <c r="B186" i="55"/>
  <c r="C185" i="55"/>
  <c r="B185" i="55"/>
  <c r="C184" i="55"/>
  <c r="B184" i="55"/>
  <c r="C183" i="55"/>
  <c r="B183" i="55"/>
  <c r="C182" i="55"/>
  <c r="B182" i="55"/>
  <c r="C181" i="55"/>
  <c r="B181" i="55"/>
  <c r="C180" i="55"/>
  <c r="B180" i="55"/>
  <c r="C179" i="55"/>
  <c r="B179" i="55"/>
  <c r="C178" i="55"/>
  <c r="B178" i="55"/>
  <c r="C177" i="55"/>
  <c r="B177" i="55"/>
  <c r="C176" i="55"/>
  <c r="B176" i="55"/>
  <c r="C175" i="55"/>
  <c r="B175" i="55"/>
  <c r="C174" i="55"/>
  <c r="B174" i="55"/>
  <c r="C173" i="55"/>
  <c r="B173" i="55"/>
  <c r="C172" i="55"/>
  <c r="B172" i="55"/>
  <c r="C171" i="55"/>
  <c r="B171" i="55"/>
  <c r="C170" i="55"/>
  <c r="B170" i="55"/>
  <c r="C169" i="55"/>
  <c r="B169" i="55"/>
  <c r="C168" i="55"/>
  <c r="B168" i="55"/>
  <c r="C167" i="55"/>
  <c r="B167" i="55"/>
  <c r="C166" i="55"/>
  <c r="B166" i="55"/>
  <c r="C165" i="55"/>
  <c r="B165" i="55"/>
  <c r="C164" i="55"/>
  <c r="B164" i="55"/>
  <c r="C163" i="55"/>
  <c r="B163" i="55"/>
  <c r="C162" i="55"/>
  <c r="B162" i="55"/>
  <c r="C161" i="55"/>
  <c r="B161" i="55"/>
  <c r="C160" i="55"/>
  <c r="B160" i="55"/>
  <c r="C159" i="55"/>
  <c r="B159" i="55"/>
  <c r="C158" i="55"/>
  <c r="B158" i="55"/>
  <c r="C157" i="55"/>
  <c r="B157" i="55"/>
  <c r="C156" i="55"/>
  <c r="B156" i="55"/>
  <c r="C155" i="55"/>
  <c r="B155" i="55"/>
  <c r="C154" i="55"/>
  <c r="B154" i="55"/>
  <c r="C153" i="55"/>
  <c r="B153" i="55"/>
  <c r="C152" i="55"/>
  <c r="B152" i="55"/>
  <c r="C151" i="55"/>
  <c r="B151" i="55"/>
  <c r="C150" i="55"/>
  <c r="B150" i="55"/>
  <c r="C149" i="55"/>
  <c r="B149" i="55"/>
  <c r="C148" i="55"/>
  <c r="B148" i="55"/>
  <c r="C147" i="55"/>
  <c r="B147" i="55"/>
  <c r="C146" i="55"/>
  <c r="B146" i="55"/>
  <c r="C145" i="55"/>
  <c r="B145" i="55"/>
  <c r="C144" i="55"/>
  <c r="B144" i="55"/>
  <c r="C143" i="55"/>
  <c r="B143" i="55"/>
  <c r="C142" i="55"/>
  <c r="B142" i="55"/>
  <c r="C141" i="55"/>
  <c r="B141" i="55"/>
  <c r="C140" i="55"/>
  <c r="B140" i="55"/>
  <c r="C139" i="55"/>
  <c r="B139" i="55"/>
  <c r="C138" i="55"/>
  <c r="B138" i="55"/>
  <c r="C137" i="55"/>
  <c r="B137" i="55"/>
  <c r="C136" i="55"/>
  <c r="B136" i="55"/>
  <c r="C135" i="55"/>
  <c r="B135" i="55"/>
  <c r="C134" i="55"/>
  <c r="B134" i="55"/>
  <c r="C133" i="55"/>
  <c r="B133" i="55"/>
  <c r="C132" i="55"/>
  <c r="B132" i="55"/>
  <c r="C131" i="55"/>
  <c r="B131" i="55"/>
  <c r="C130" i="55"/>
  <c r="B130" i="55"/>
  <c r="C129" i="55"/>
  <c r="B129" i="55"/>
  <c r="C128" i="55"/>
  <c r="B128" i="55"/>
  <c r="C127" i="55"/>
  <c r="B127" i="55"/>
  <c r="C126" i="55"/>
  <c r="B126" i="55"/>
  <c r="C125" i="55"/>
  <c r="B125" i="55"/>
  <c r="C124" i="55"/>
  <c r="B124" i="55"/>
  <c r="C123" i="55"/>
  <c r="B123" i="55"/>
  <c r="C122" i="55"/>
  <c r="B122" i="55"/>
  <c r="C121" i="55"/>
  <c r="B121" i="55"/>
  <c r="C120" i="55"/>
  <c r="B120" i="55"/>
  <c r="C119" i="55"/>
  <c r="B119" i="55"/>
  <c r="C118" i="55"/>
  <c r="B118" i="55"/>
  <c r="C117" i="55"/>
  <c r="B117" i="55"/>
  <c r="C116" i="55"/>
  <c r="B116" i="55"/>
  <c r="C115" i="55"/>
  <c r="B115" i="55"/>
  <c r="C114" i="55"/>
  <c r="B114" i="55"/>
  <c r="C113" i="55"/>
  <c r="B113" i="55"/>
  <c r="C112" i="55"/>
  <c r="B112" i="55"/>
  <c r="C111" i="55"/>
  <c r="B111" i="55"/>
  <c r="C110" i="55"/>
  <c r="B110" i="55"/>
  <c r="C109" i="55"/>
  <c r="B109" i="55"/>
  <c r="C108" i="55"/>
  <c r="B108" i="55"/>
  <c r="C107" i="55"/>
  <c r="B107" i="55"/>
  <c r="C106" i="55"/>
  <c r="B106" i="55"/>
  <c r="C105" i="55"/>
  <c r="B105" i="55"/>
  <c r="C104" i="55"/>
  <c r="B104" i="55"/>
  <c r="C103" i="55"/>
  <c r="B103" i="55"/>
  <c r="C102" i="55"/>
  <c r="B102" i="55"/>
  <c r="C101" i="55"/>
  <c r="B101" i="55"/>
  <c r="C100" i="55"/>
  <c r="B100" i="55"/>
  <c r="C99" i="55"/>
  <c r="B99" i="55"/>
  <c r="C98" i="55"/>
  <c r="B98" i="55"/>
  <c r="C97" i="55"/>
  <c r="B97" i="55"/>
  <c r="C96" i="55"/>
  <c r="B96" i="55"/>
  <c r="C95" i="55"/>
  <c r="B95" i="55"/>
  <c r="C94" i="55"/>
  <c r="B94" i="55"/>
  <c r="C93" i="55"/>
  <c r="B93" i="55"/>
  <c r="C92" i="55"/>
  <c r="B92" i="55"/>
  <c r="C91" i="55"/>
  <c r="B91" i="55"/>
  <c r="C90" i="55"/>
  <c r="B90" i="55"/>
  <c r="C89" i="55"/>
  <c r="B89" i="55"/>
  <c r="C88" i="55"/>
  <c r="B88" i="55"/>
  <c r="C87" i="55"/>
  <c r="B87" i="55"/>
  <c r="C86" i="55"/>
  <c r="B86" i="55"/>
  <c r="C85" i="55"/>
  <c r="B85" i="55"/>
  <c r="C84" i="55"/>
  <c r="B84" i="55"/>
  <c r="C83" i="55"/>
  <c r="B83" i="55"/>
  <c r="C82" i="55"/>
  <c r="B82" i="55"/>
  <c r="C81" i="55"/>
  <c r="B81" i="55"/>
  <c r="C80" i="55"/>
  <c r="B80" i="55"/>
  <c r="C79" i="55"/>
  <c r="B79" i="55"/>
  <c r="C78" i="55"/>
  <c r="B78" i="55"/>
  <c r="C77" i="55"/>
  <c r="B77" i="55"/>
  <c r="C76" i="55"/>
  <c r="B76" i="55"/>
  <c r="C75" i="55"/>
  <c r="B75" i="55"/>
  <c r="C74" i="55"/>
  <c r="B74" i="55"/>
  <c r="C73" i="55"/>
  <c r="B73" i="55"/>
  <c r="C72" i="55"/>
  <c r="B72" i="55"/>
  <c r="C71" i="55"/>
  <c r="B71" i="55"/>
  <c r="C70" i="55"/>
  <c r="B70" i="55"/>
  <c r="C69" i="55"/>
  <c r="B69" i="55"/>
  <c r="C68" i="55"/>
  <c r="B68" i="55"/>
  <c r="C67" i="55"/>
  <c r="B67" i="55"/>
  <c r="C66" i="55"/>
  <c r="B66" i="55"/>
  <c r="C65" i="55"/>
  <c r="B65" i="55"/>
  <c r="C64" i="55"/>
  <c r="B64" i="55"/>
  <c r="C63" i="55"/>
  <c r="B63" i="55"/>
  <c r="C62" i="55"/>
  <c r="B62" i="55"/>
  <c r="C61" i="55"/>
  <c r="B61" i="55"/>
  <c r="C60" i="55"/>
  <c r="B60" i="55"/>
  <c r="C59" i="55"/>
  <c r="B59" i="55"/>
  <c r="C58" i="55"/>
  <c r="B58" i="55"/>
  <c r="C57" i="55"/>
  <c r="B57" i="55"/>
  <c r="C56" i="55"/>
  <c r="B56" i="55"/>
  <c r="C55" i="55"/>
  <c r="B55" i="55"/>
  <c r="C54" i="55"/>
  <c r="B54" i="55"/>
  <c r="C53" i="55"/>
  <c r="B53" i="55"/>
  <c r="C52" i="55"/>
  <c r="B52" i="55"/>
  <c r="C51" i="55"/>
  <c r="B51" i="55"/>
  <c r="C50" i="55"/>
  <c r="B50" i="55"/>
  <c r="C49" i="55"/>
  <c r="B49" i="55"/>
  <c r="C48" i="55"/>
  <c r="B48" i="55"/>
  <c r="C47" i="55"/>
  <c r="B47" i="55"/>
  <c r="C46" i="55"/>
  <c r="B46" i="55"/>
  <c r="C45" i="55"/>
  <c r="B45" i="55"/>
  <c r="C44" i="55"/>
  <c r="B44" i="55"/>
  <c r="C43" i="55"/>
  <c r="B43" i="55"/>
  <c r="C42" i="55"/>
  <c r="B42" i="55"/>
  <c r="C41" i="55"/>
  <c r="B41" i="55"/>
  <c r="C40" i="55"/>
  <c r="B40" i="55"/>
  <c r="C39" i="55"/>
  <c r="B39" i="55"/>
  <c r="C38" i="55"/>
  <c r="B38" i="55"/>
  <c r="C37" i="55"/>
  <c r="B37" i="55"/>
  <c r="C36" i="55"/>
  <c r="B36" i="55"/>
  <c r="C35" i="55"/>
  <c r="B35" i="55"/>
  <c r="C34" i="55"/>
  <c r="B34" i="55"/>
  <c r="C33" i="55"/>
  <c r="B33" i="55"/>
  <c r="C32" i="55"/>
  <c r="B32" i="55"/>
  <c r="C31" i="55"/>
  <c r="B31" i="55"/>
  <c r="C30" i="55"/>
  <c r="B30" i="55"/>
  <c r="C29" i="55"/>
  <c r="B29" i="55"/>
  <c r="C28" i="55"/>
  <c r="B28" i="55"/>
  <c r="C27" i="55"/>
  <c r="B27" i="55"/>
  <c r="C26" i="55"/>
  <c r="B26" i="55"/>
  <c r="C25" i="55"/>
  <c r="B25" i="55"/>
  <c r="C24" i="55"/>
  <c r="B24" i="55"/>
  <c r="C23" i="55"/>
  <c r="B23" i="55"/>
  <c r="C22" i="55"/>
  <c r="B22" i="55"/>
  <c r="C21" i="55"/>
  <c r="B21" i="55"/>
  <c r="C20" i="55"/>
  <c r="B20" i="55"/>
  <c r="C19" i="55"/>
  <c r="B19" i="55"/>
  <c r="C18" i="55"/>
  <c r="B18" i="55"/>
  <c r="C17" i="55"/>
  <c r="B17" i="55"/>
  <c r="C16" i="55"/>
  <c r="B16" i="55"/>
  <c r="C15" i="55"/>
  <c r="B15" i="55"/>
  <c r="C14" i="55"/>
  <c r="B14" i="55"/>
  <c r="C13" i="55"/>
  <c r="B13" i="55"/>
  <c r="C12" i="55"/>
  <c r="B12" i="55"/>
  <c r="C11" i="55"/>
  <c r="B11" i="55"/>
  <c r="C10" i="55"/>
  <c r="B10" i="55"/>
  <c r="C9" i="55"/>
  <c r="B9" i="55"/>
  <c r="P45" i="88"/>
  <c r="O45" i="88"/>
  <c r="G44" i="88"/>
  <c r="F43" i="88"/>
  <c r="F40" i="88"/>
  <c r="E40" i="88"/>
  <c r="F22" i="88"/>
  <c r="E22" i="88"/>
  <c r="L6" i="88"/>
  <c r="O2" i="88" s="1"/>
  <c r="I6" i="88"/>
  <c r="H6" i="88" s="1"/>
  <c r="E2" i="88"/>
  <c r="AI216" i="82"/>
  <c r="AG216" i="82"/>
  <c r="P216" i="82"/>
  <c r="O216" i="82"/>
  <c r="N216" i="82"/>
  <c r="M216" i="82"/>
  <c r="L216" i="82"/>
  <c r="K216" i="82"/>
  <c r="J216" i="82"/>
  <c r="I216" i="82"/>
  <c r="H216" i="82"/>
  <c r="G216" i="82"/>
  <c r="F216" i="82"/>
  <c r="E216" i="82"/>
  <c r="D216" i="82"/>
  <c r="AI215" i="82"/>
  <c r="AG215" i="82"/>
  <c r="P215" i="82"/>
  <c r="O215" i="82"/>
  <c r="N215" i="82"/>
  <c r="M215" i="82"/>
  <c r="L215" i="82"/>
  <c r="K215" i="82"/>
  <c r="J215" i="82"/>
  <c r="I215" i="82"/>
  <c r="H215" i="82"/>
  <c r="G215" i="82"/>
  <c r="F215" i="82"/>
  <c r="E215" i="82"/>
  <c r="D215" i="82"/>
  <c r="AI214" i="82"/>
  <c r="AG214" i="82"/>
  <c r="P214" i="82"/>
  <c r="O214" i="82"/>
  <c r="N214" i="82"/>
  <c r="M214" i="82"/>
  <c r="L214" i="82"/>
  <c r="K214" i="82"/>
  <c r="J214" i="82"/>
  <c r="I214" i="82"/>
  <c r="H214" i="82"/>
  <c r="G214" i="82"/>
  <c r="F214" i="82"/>
  <c r="E214" i="82"/>
  <c r="D214" i="82"/>
  <c r="AI213" i="82"/>
  <c r="AG213" i="82"/>
  <c r="P213" i="82"/>
  <c r="O213" i="82"/>
  <c r="N213" i="82"/>
  <c r="M213" i="82"/>
  <c r="L213" i="82"/>
  <c r="K213" i="82"/>
  <c r="J213" i="82"/>
  <c r="I213" i="82"/>
  <c r="H213" i="82"/>
  <c r="G213" i="82"/>
  <c r="F213" i="82"/>
  <c r="E213" i="82"/>
  <c r="D213" i="82"/>
  <c r="AI212" i="82"/>
  <c r="AG212" i="82"/>
  <c r="P212" i="82"/>
  <c r="O212" i="82"/>
  <c r="N212" i="82"/>
  <c r="M212" i="82"/>
  <c r="L212" i="82"/>
  <c r="K212" i="82"/>
  <c r="J212" i="82"/>
  <c r="I212" i="82"/>
  <c r="H212" i="82"/>
  <c r="G212" i="82"/>
  <c r="F212" i="82"/>
  <c r="E212" i="82"/>
  <c r="D212" i="82"/>
  <c r="AI211" i="82"/>
  <c r="AG211" i="82"/>
  <c r="P211" i="82"/>
  <c r="O211" i="82"/>
  <c r="N211" i="82"/>
  <c r="M211" i="82"/>
  <c r="L211" i="82"/>
  <c r="K211" i="82"/>
  <c r="J211" i="82"/>
  <c r="I211" i="82"/>
  <c r="H211" i="82"/>
  <c r="G211" i="82"/>
  <c r="F211" i="82"/>
  <c r="E211" i="82"/>
  <c r="D211" i="82"/>
  <c r="AI210" i="82"/>
  <c r="AG210" i="82"/>
  <c r="P210" i="82"/>
  <c r="O210" i="82"/>
  <c r="N210" i="82"/>
  <c r="M210" i="82"/>
  <c r="L210" i="82"/>
  <c r="K210" i="82"/>
  <c r="J210" i="82"/>
  <c r="I210" i="82"/>
  <c r="H210" i="82"/>
  <c r="G210" i="82"/>
  <c r="F210" i="82"/>
  <c r="E210" i="82"/>
  <c r="D210" i="82"/>
  <c r="AI209" i="82"/>
  <c r="AG209" i="82"/>
  <c r="P209" i="82"/>
  <c r="O209" i="82"/>
  <c r="N209" i="82"/>
  <c r="M209" i="82"/>
  <c r="L209" i="82"/>
  <c r="K209" i="82"/>
  <c r="J209" i="82"/>
  <c r="I209" i="82"/>
  <c r="H209" i="82"/>
  <c r="G209" i="82"/>
  <c r="F209" i="82"/>
  <c r="E209" i="82"/>
  <c r="D209" i="82"/>
  <c r="AI208" i="82"/>
  <c r="AG208" i="82"/>
  <c r="P208" i="82"/>
  <c r="O208" i="82"/>
  <c r="N208" i="82"/>
  <c r="M208" i="82"/>
  <c r="L208" i="82"/>
  <c r="K208" i="82"/>
  <c r="J208" i="82"/>
  <c r="I208" i="82"/>
  <c r="H208" i="82"/>
  <c r="G208" i="82"/>
  <c r="F208" i="82"/>
  <c r="E208" i="82"/>
  <c r="D208" i="82"/>
  <c r="AI207" i="82"/>
  <c r="AG207" i="82"/>
  <c r="P207" i="82"/>
  <c r="O207" i="82"/>
  <c r="N207" i="82"/>
  <c r="M207" i="82"/>
  <c r="L207" i="82"/>
  <c r="K207" i="82"/>
  <c r="J207" i="82"/>
  <c r="I207" i="82"/>
  <c r="H207" i="82"/>
  <c r="G207" i="82"/>
  <c r="F207" i="82"/>
  <c r="E207" i="82"/>
  <c r="D207" i="82"/>
  <c r="AI206" i="82"/>
  <c r="AG206" i="82"/>
  <c r="P206" i="82"/>
  <c r="O206" i="82"/>
  <c r="N206" i="82"/>
  <c r="M206" i="82"/>
  <c r="L206" i="82"/>
  <c r="K206" i="82"/>
  <c r="J206" i="82"/>
  <c r="I206" i="82"/>
  <c r="H206" i="82"/>
  <c r="G206" i="82"/>
  <c r="F206" i="82"/>
  <c r="E206" i="82"/>
  <c r="D206" i="82"/>
  <c r="AI205" i="82"/>
  <c r="AG205" i="82"/>
  <c r="P205" i="82"/>
  <c r="O205" i="82"/>
  <c r="N205" i="82"/>
  <c r="M205" i="82"/>
  <c r="L205" i="82"/>
  <c r="K205" i="82"/>
  <c r="J205" i="82"/>
  <c r="I205" i="82"/>
  <c r="H205" i="82"/>
  <c r="G205" i="82"/>
  <c r="F205" i="82"/>
  <c r="E205" i="82"/>
  <c r="D205" i="82"/>
  <c r="AI204" i="82"/>
  <c r="AG204" i="82"/>
  <c r="P204" i="82"/>
  <c r="O204" i="82"/>
  <c r="N204" i="82"/>
  <c r="M204" i="82"/>
  <c r="L204" i="82"/>
  <c r="K204" i="82"/>
  <c r="J204" i="82"/>
  <c r="I204" i="82"/>
  <c r="H204" i="82"/>
  <c r="G204" i="82"/>
  <c r="F204" i="82"/>
  <c r="E204" i="82"/>
  <c r="D204" i="82"/>
  <c r="AI203" i="82"/>
  <c r="AG203" i="82"/>
  <c r="P203" i="82"/>
  <c r="O203" i="82"/>
  <c r="N203" i="82"/>
  <c r="M203" i="82"/>
  <c r="L203" i="82"/>
  <c r="K203" i="82"/>
  <c r="J203" i="82"/>
  <c r="I203" i="82"/>
  <c r="H203" i="82"/>
  <c r="G203" i="82"/>
  <c r="F203" i="82"/>
  <c r="E203" i="82"/>
  <c r="D203" i="82"/>
  <c r="AI202" i="82"/>
  <c r="AG202" i="82"/>
  <c r="P202" i="82"/>
  <c r="O202" i="82"/>
  <c r="N202" i="82"/>
  <c r="M202" i="82"/>
  <c r="L202" i="82"/>
  <c r="K202" i="82"/>
  <c r="J202" i="82"/>
  <c r="I202" i="82"/>
  <c r="H202" i="82"/>
  <c r="G202" i="82"/>
  <c r="F202" i="82"/>
  <c r="E202" i="82"/>
  <c r="D202" i="82"/>
  <c r="AI201" i="82"/>
  <c r="AG201" i="82"/>
  <c r="P201" i="82"/>
  <c r="O201" i="82"/>
  <c r="N201" i="82"/>
  <c r="M201" i="82"/>
  <c r="L201" i="82"/>
  <c r="K201" i="82"/>
  <c r="J201" i="82"/>
  <c r="I201" i="82"/>
  <c r="H201" i="82"/>
  <c r="G201" i="82"/>
  <c r="F201" i="82"/>
  <c r="E201" i="82"/>
  <c r="D201" i="82"/>
  <c r="AI200" i="82"/>
  <c r="AG200" i="82"/>
  <c r="P200" i="82"/>
  <c r="O200" i="82"/>
  <c r="N200" i="82"/>
  <c r="M200" i="82"/>
  <c r="L200" i="82"/>
  <c r="K200" i="82"/>
  <c r="J200" i="82"/>
  <c r="I200" i="82"/>
  <c r="H200" i="82"/>
  <c r="G200" i="82"/>
  <c r="F200" i="82"/>
  <c r="E200" i="82"/>
  <c r="D200" i="82"/>
  <c r="AI199" i="82"/>
  <c r="AG199" i="82"/>
  <c r="P199" i="82"/>
  <c r="O199" i="82"/>
  <c r="N199" i="82"/>
  <c r="M199" i="82"/>
  <c r="L199" i="82"/>
  <c r="K199" i="82"/>
  <c r="J199" i="82"/>
  <c r="I199" i="82"/>
  <c r="H199" i="82"/>
  <c r="G199" i="82"/>
  <c r="F199" i="82"/>
  <c r="E199" i="82"/>
  <c r="D199" i="82"/>
  <c r="AI198" i="82"/>
  <c r="AG198" i="82"/>
  <c r="P198" i="82"/>
  <c r="O198" i="82"/>
  <c r="N198" i="82"/>
  <c r="M198" i="82"/>
  <c r="L198" i="82"/>
  <c r="K198" i="82"/>
  <c r="J198" i="82"/>
  <c r="I198" i="82"/>
  <c r="H198" i="82"/>
  <c r="G198" i="82"/>
  <c r="F198" i="82"/>
  <c r="E198" i="82"/>
  <c r="D198" i="82"/>
  <c r="AI197" i="82"/>
  <c r="AG197" i="82"/>
  <c r="P197" i="82"/>
  <c r="O197" i="82"/>
  <c r="N197" i="82"/>
  <c r="M197" i="82"/>
  <c r="L197" i="82"/>
  <c r="K197" i="82"/>
  <c r="J197" i="82"/>
  <c r="I197" i="82"/>
  <c r="H197" i="82"/>
  <c r="G197" i="82"/>
  <c r="F197" i="82"/>
  <c r="E197" i="82"/>
  <c r="D197" i="82"/>
  <c r="AI196" i="82"/>
  <c r="AG196" i="82"/>
  <c r="P196" i="82"/>
  <c r="O196" i="82"/>
  <c r="N196" i="82"/>
  <c r="M196" i="82"/>
  <c r="L196" i="82"/>
  <c r="K196" i="82"/>
  <c r="J196" i="82"/>
  <c r="I196" i="82"/>
  <c r="H196" i="82"/>
  <c r="G196" i="82"/>
  <c r="F196" i="82"/>
  <c r="E196" i="82"/>
  <c r="D196" i="82"/>
  <c r="AI195" i="82"/>
  <c r="AG195" i="82"/>
  <c r="P195" i="82"/>
  <c r="O195" i="82"/>
  <c r="N195" i="82"/>
  <c r="M195" i="82"/>
  <c r="L195" i="82"/>
  <c r="K195" i="82"/>
  <c r="J195" i="82"/>
  <c r="I195" i="82"/>
  <c r="H195" i="82"/>
  <c r="G195" i="82"/>
  <c r="F195" i="82"/>
  <c r="E195" i="82"/>
  <c r="D195" i="82"/>
  <c r="AI194" i="82"/>
  <c r="AG194" i="82"/>
  <c r="P194" i="82"/>
  <c r="O194" i="82"/>
  <c r="N194" i="82"/>
  <c r="M194" i="82"/>
  <c r="L194" i="82"/>
  <c r="K194" i="82"/>
  <c r="J194" i="82"/>
  <c r="I194" i="82"/>
  <c r="H194" i="82"/>
  <c r="G194" i="82"/>
  <c r="F194" i="82"/>
  <c r="E194" i="82"/>
  <c r="D194" i="82"/>
  <c r="AI193" i="82"/>
  <c r="AG193" i="82"/>
  <c r="P193" i="82"/>
  <c r="O193" i="82"/>
  <c r="N193" i="82"/>
  <c r="M193" i="82"/>
  <c r="L193" i="82"/>
  <c r="K193" i="82"/>
  <c r="J193" i="82"/>
  <c r="I193" i="82"/>
  <c r="H193" i="82"/>
  <c r="G193" i="82"/>
  <c r="F193" i="82"/>
  <c r="E193" i="82"/>
  <c r="D193" i="82"/>
  <c r="AI192" i="82"/>
  <c r="AG192" i="82"/>
  <c r="P192" i="82"/>
  <c r="O192" i="82"/>
  <c r="N192" i="82"/>
  <c r="M192" i="82"/>
  <c r="L192" i="82"/>
  <c r="K192" i="82"/>
  <c r="J192" i="82"/>
  <c r="I192" i="82"/>
  <c r="H192" i="82"/>
  <c r="G192" i="82"/>
  <c r="F192" i="82"/>
  <c r="E192" i="82"/>
  <c r="D192" i="82"/>
  <c r="AI191" i="82"/>
  <c r="AG191" i="82"/>
  <c r="P191" i="82"/>
  <c r="O191" i="82"/>
  <c r="N191" i="82"/>
  <c r="M191" i="82"/>
  <c r="L191" i="82"/>
  <c r="K191" i="82"/>
  <c r="J191" i="82"/>
  <c r="I191" i="82"/>
  <c r="H191" i="82"/>
  <c r="G191" i="82"/>
  <c r="F191" i="82"/>
  <c r="E191" i="82"/>
  <c r="D191" i="82"/>
  <c r="AI190" i="82"/>
  <c r="AG190" i="82"/>
  <c r="P190" i="82"/>
  <c r="O190" i="82"/>
  <c r="N190" i="82"/>
  <c r="M190" i="82"/>
  <c r="L190" i="82"/>
  <c r="K190" i="82"/>
  <c r="J190" i="82"/>
  <c r="I190" i="82"/>
  <c r="H190" i="82"/>
  <c r="G190" i="82"/>
  <c r="F190" i="82"/>
  <c r="E190" i="82"/>
  <c r="D190" i="82"/>
  <c r="AI189" i="82"/>
  <c r="AG189" i="82"/>
  <c r="P189" i="82"/>
  <c r="O189" i="82"/>
  <c r="N189" i="82"/>
  <c r="M189" i="82"/>
  <c r="L189" i="82"/>
  <c r="K189" i="82"/>
  <c r="J189" i="82"/>
  <c r="I189" i="82"/>
  <c r="H189" i="82"/>
  <c r="G189" i="82"/>
  <c r="F189" i="82"/>
  <c r="E189" i="82"/>
  <c r="D189" i="82"/>
  <c r="AI188" i="82"/>
  <c r="AG188" i="82"/>
  <c r="P188" i="82"/>
  <c r="O188" i="82"/>
  <c r="N188" i="82"/>
  <c r="M188" i="82"/>
  <c r="L188" i="82"/>
  <c r="K188" i="82"/>
  <c r="J188" i="82"/>
  <c r="I188" i="82"/>
  <c r="H188" i="82"/>
  <c r="G188" i="82"/>
  <c r="F188" i="82"/>
  <c r="E188" i="82"/>
  <c r="D188" i="82"/>
  <c r="AI187" i="82"/>
  <c r="AG187" i="82"/>
  <c r="P187" i="82"/>
  <c r="O187" i="82"/>
  <c r="N187" i="82"/>
  <c r="M187" i="82"/>
  <c r="L187" i="82"/>
  <c r="K187" i="82"/>
  <c r="J187" i="82"/>
  <c r="I187" i="82"/>
  <c r="H187" i="82"/>
  <c r="G187" i="82"/>
  <c r="F187" i="82"/>
  <c r="E187" i="82"/>
  <c r="D187" i="82"/>
  <c r="AI186" i="82"/>
  <c r="AG186" i="82"/>
  <c r="P186" i="82"/>
  <c r="O186" i="82"/>
  <c r="N186" i="82"/>
  <c r="M186" i="82"/>
  <c r="L186" i="82"/>
  <c r="K186" i="82"/>
  <c r="J186" i="82"/>
  <c r="I186" i="82"/>
  <c r="H186" i="82"/>
  <c r="G186" i="82"/>
  <c r="F186" i="82"/>
  <c r="E186" i="82"/>
  <c r="D186" i="82"/>
  <c r="AI185" i="82"/>
  <c r="AG185" i="82"/>
  <c r="P185" i="82"/>
  <c r="O185" i="82"/>
  <c r="N185" i="82"/>
  <c r="M185" i="82"/>
  <c r="L185" i="82"/>
  <c r="K185" i="82"/>
  <c r="J185" i="82"/>
  <c r="I185" i="82"/>
  <c r="H185" i="82"/>
  <c r="G185" i="82"/>
  <c r="F185" i="82"/>
  <c r="E185" i="82"/>
  <c r="D185" i="82"/>
  <c r="AI184" i="82"/>
  <c r="AG184" i="82"/>
  <c r="P184" i="82"/>
  <c r="O184" i="82"/>
  <c r="N184" i="82"/>
  <c r="M184" i="82"/>
  <c r="L184" i="82"/>
  <c r="K184" i="82"/>
  <c r="J184" i="82"/>
  <c r="I184" i="82"/>
  <c r="H184" i="82"/>
  <c r="G184" i="82"/>
  <c r="F184" i="82"/>
  <c r="E184" i="82"/>
  <c r="D184" i="82"/>
  <c r="AI183" i="82"/>
  <c r="AG183" i="82"/>
  <c r="P183" i="82"/>
  <c r="O183" i="82"/>
  <c r="N183" i="82"/>
  <c r="M183" i="82"/>
  <c r="L183" i="82"/>
  <c r="K183" i="82"/>
  <c r="J183" i="82"/>
  <c r="I183" i="82"/>
  <c r="H183" i="82"/>
  <c r="G183" i="82"/>
  <c r="F183" i="82"/>
  <c r="E183" i="82"/>
  <c r="D183" i="82"/>
  <c r="AI182" i="82"/>
  <c r="AG182" i="82"/>
  <c r="P182" i="82"/>
  <c r="O182" i="82"/>
  <c r="N182" i="82"/>
  <c r="M182" i="82"/>
  <c r="L182" i="82"/>
  <c r="K182" i="82"/>
  <c r="J182" i="82"/>
  <c r="I182" i="82"/>
  <c r="H182" i="82"/>
  <c r="G182" i="82"/>
  <c r="F182" i="82"/>
  <c r="E182" i="82"/>
  <c r="D182" i="82"/>
  <c r="AI181" i="82"/>
  <c r="AG181" i="82"/>
  <c r="P181" i="82"/>
  <c r="O181" i="82"/>
  <c r="N181" i="82"/>
  <c r="M181" i="82"/>
  <c r="L181" i="82"/>
  <c r="K181" i="82"/>
  <c r="J181" i="82"/>
  <c r="I181" i="82"/>
  <c r="H181" i="82"/>
  <c r="G181" i="82"/>
  <c r="F181" i="82"/>
  <c r="E181" i="82"/>
  <c r="D181" i="82"/>
  <c r="AI180" i="82"/>
  <c r="AG180" i="82"/>
  <c r="P180" i="82"/>
  <c r="O180" i="82"/>
  <c r="N180" i="82"/>
  <c r="M180" i="82"/>
  <c r="L180" i="82"/>
  <c r="K180" i="82"/>
  <c r="J180" i="82"/>
  <c r="I180" i="82"/>
  <c r="H180" i="82"/>
  <c r="G180" i="82"/>
  <c r="F180" i="82"/>
  <c r="E180" i="82"/>
  <c r="D180" i="82"/>
  <c r="AI179" i="82"/>
  <c r="AG179" i="82"/>
  <c r="P179" i="82"/>
  <c r="O179" i="82"/>
  <c r="N179" i="82"/>
  <c r="M179" i="82"/>
  <c r="L179" i="82"/>
  <c r="K179" i="82"/>
  <c r="J179" i="82"/>
  <c r="I179" i="82"/>
  <c r="H179" i="82"/>
  <c r="G179" i="82"/>
  <c r="F179" i="82"/>
  <c r="E179" i="82"/>
  <c r="D179" i="82"/>
  <c r="AI178" i="82"/>
  <c r="AG178" i="82"/>
  <c r="P178" i="82"/>
  <c r="O178" i="82"/>
  <c r="N178" i="82"/>
  <c r="M178" i="82"/>
  <c r="L178" i="82"/>
  <c r="K178" i="82"/>
  <c r="J178" i="82"/>
  <c r="I178" i="82"/>
  <c r="H178" i="82"/>
  <c r="G178" i="82"/>
  <c r="F178" i="82"/>
  <c r="E178" i="82"/>
  <c r="D178" i="82"/>
  <c r="AI177" i="82"/>
  <c r="AG177" i="82"/>
  <c r="P177" i="82"/>
  <c r="O177" i="82"/>
  <c r="N177" i="82"/>
  <c r="M177" i="82"/>
  <c r="L177" i="82"/>
  <c r="K177" i="82"/>
  <c r="J177" i="82"/>
  <c r="I177" i="82"/>
  <c r="H177" i="82"/>
  <c r="G177" i="82"/>
  <c r="F177" i="82"/>
  <c r="E177" i="82"/>
  <c r="D177" i="82"/>
  <c r="AI176" i="82"/>
  <c r="AG176" i="82"/>
  <c r="P176" i="82"/>
  <c r="O176" i="82"/>
  <c r="N176" i="82"/>
  <c r="M176" i="82"/>
  <c r="L176" i="82"/>
  <c r="K176" i="82"/>
  <c r="J176" i="82"/>
  <c r="I176" i="82"/>
  <c r="H176" i="82"/>
  <c r="G176" i="82"/>
  <c r="F176" i="82"/>
  <c r="E176" i="82"/>
  <c r="D176" i="82"/>
  <c r="AI175" i="82"/>
  <c r="AG175" i="82"/>
  <c r="P175" i="82"/>
  <c r="O175" i="82"/>
  <c r="N175" i="82"/>
  <c r="M175" i="82"/>
  <c r="L175" i="82"/>
  <c r="K175" i="82"/>
  <c r="J175" i="82"/>
  <c r="I175" i="82"/>
  <c r="H175" i="82"/>
  <c r="G175" i="82"/>
  <c r="F175" i="82"/>
  <c r="E175" i="82"/>
  <c r="D175" i="82"/>
  <c r="AI174" i="82"/>
  <c r="AG174" i="82"/>
  <c r="P174" i="82"/>
  <c r="O174" i="82"/>
  <c r="N174" i="82"/>
  <c r="M174" i="82"/>
  <c r="L174" i="82"/>
  <c r="K174" i="82"/>
  <c r="J174" i="82"/>
  <c r="I174" i="82"/>
  <c r="H174" i="82"/>
  <c r="G174" i="82"/>
  <c r="F174" i="82"/>
  <c r="E174" i="82"/>
  <c r="D174" i="82"/>
  <c r="AI173" i="82"/>
  <c r="AG173" i="82"/>
  <c r="P173" i="82"/>
  <c r="O173" i="82"/>
  <c r="N173" i="82"/>
  <c r="M173" i="82"/>
  <c r="L173" i="82"/>
  <c r="K173" i="82"/>
  <c r="J173" i="82"/>
  <c r="I173" i="82"/>
  <c r="H173" i="82"/>
  <c r="G173" i="82"/>
  <c r="F173" i="82"/>
  <c r="E173" i="82"/>
  <c r="D173" i="82"/>
  <c r="AI172" i="82"/>
  <c r="AG172" i="82"/>
  <c r="P172" i="82"/>
  <c r="O172" i="82"/>
  <c r="N172" i="82"/>
  <c r="M172" i="82"/>
  <c r="L172" i="82"/>
  <c r="K172" i="82"/>
  <c r="J172" i="82"/>
  <c r="I172" i="82"/>
  <c r="H172" i="82"/>
  <c r="G172" i="82"/>
  <c r="F172" i="82"/>
  <c r="E172" i="82"/>
  <c r="D172" i="82"/>
  <c r="AI171" i="82"/>
  <c r="AG171" i="82"/>
  <c r="P171" i="82"/>
  <c r="O171" i="82"/>
  <c r="N171" i="82"/>
  <c r="M171" i="82"/>
  <c r="L171" i="82"/>
  <c r="K171" i="82"/>
  <c r="J171" i="82"/>
  <c r="I171" i="82"/>
  <c r="H171" i="82"/>
  <c r="G171" i="82"/>
  <c r="F171" i="82"/>
  <c r="E171" i="82"/>
  <c r="D171" i="82"/>
  <c r="AI170" i="82"/>
  <c r="AG170" i="82"/>
  <c r="P170" i="82"/>
  <c r="O170" i="82"/>
  <c r="N170" i="82"/>
  <c r="M170" i="82"/>
  <c r="L170" i="82"/>
  <c r="K170" i="82"/>
  <c r="J170" i="82"/>
  <c r="I170" i="82"/>
  <c r="H170" i="82"/>
  <c r="G170" i="82"/>
  <c r="F170" i="82"/>
  <c r="E170" i="82"/>
  <c r="D170" i="82"/>
  <c r="AI169" i="82"/>
  <c r="AG169" i="82"/>
  <c r="P169" i="82"/>
  <c r="O169" i="82"/>
  <c r="N169" i="82"/>
  <c r="M169" i="82"/>
  <c r="L169" i="82"/>
  <c r="K169" i="82"/>
  <c r="J169" i="82"/>
  <c r="I169" i="82"/>
  <c r="H169" i="82"/>
  <c r="G169" i="82"/>
  <c r="F169" i="82"/>
  <c r="E169" i="82"/>
  <c r="D169" i="82"/>
  <c r="AI168" i="82"/>
  <c r="AG168" i="82"/>
  <c r="P168" i="82"/>
  <c r="O168" i="82"/>
  <c r="N168" i="82"/>
  <c r="M168" i="82"/>
  <c r="L168" i="82"/>
  <c r="K168" i="82"/>
  <c r="J168" i="82"/>
  <c r="I168" i="82"/>
  <c r="H168" i="82"/>
  <c r="G168" i="82"/>
  <c r="F168" i="82"/>
  <c r="E168" i="82"/>
  <c r="D168" i="82"/>
  <c r="AI167" i="82"/>
  <c r="AG167" i="82"/>
  <c r="P167" i="82"/>
  <c r="O167" i="82"/>
  <c r="N167" i="82"/>
  <c r="M167" i="82"/>
  <c r="L167" i="82"/>
  <c r="K167" i="82"/>
  <c r="J167" i="82"/>
  <c r="I167" i="82"/>
  <c r="H167" i="82"/>
  <c r="G167" i="82"/>
  <c r="F167" i="82"/>
  <c r="E167" i="82"/>
  <c r="D167" i="82"/>
  <c r="AI166" i="82"/>
  <c r="AG166" i="82"/>
  <c r="P166" i="82"/>
  <c r="O166" i="82"/>
  <c r="N166" i="82"/>
  <c r="M166" i="82"/>
  <c r="L166" i="82"/>
  <c r="K166" i="82"/>
  <c r="J166" i="82"/>
  <c r="I166" i="82"/>
  <c r="H166" i="82"/>
  <c r="G166" i="82"/>
  <c r="F166" i="82"/>
  <c r="E166" i="82"/>
  <c r="D166" i="82"/>
  <c r="AI165" i="82"/>
  <c r="AG165" i="82"/>
  <c r="P165" i="82"/>
  <c r="O165" i="82"/>
  <c r="N165" i="82"/>
  <c r="M165" i="82"/>
  <c r="L165" i="82"/>
  <c r="K165" i="82"/>
  <c r="J165" i="82"/>
  <c r="I165" i="82"/>
  <c r="H165" i="82"/>
  <c r="G165" i="82"/>
  <c r="F165" i="82"/>
  <c r="E165" i="82"/>
  <c r="D165" i="82"/>
  <c r="AI164" i="82"/>
  <c r="AG164" i="82"/>
  <c r="P164" i="82"/>
  <c r="O164" i="82"/>
  <c r="N164" i="82"/>
  <c r="M164" i="82"/>
  <c r="L164" i="82"/>
  <c r="K164" i="82"/>
  <c r="J164" i="82"/>
  <c r="I164" i="82"/>
  <c r="H164" i="82"/>
  <c r="G164" i="82"/>
  <c r="F164" i="82"/>
  <c r="E164" i="82"/>
  <c r="D164" i="82"/>
  <c r="AI163" i="82"/>
  <c r="AG163" i="82"/>
  <c r="P163" i="82"/>
  <c r="O163" i="82"/>
  <c r="N163" i="82"/>
  <c r="M163" i="82"/>
  <c r="L163" i="82"/>
  <c r="K163" i="82"/>
  <c r="J163" i="82"/>
  <c r="I163" i="82"/>
  <c r="H163" i="82"/>
  <c r="G163" i="82"/>
  <c r="F163" i="82"/>
  <c r="E163" i="82"/>
  <c r="D163" i="82"/>
  <c r="AI162" i="82"/>
  <c r="AG162" i="82"/>
  <c r="P162" i="82"/>
  <c r="O162" i="82"/>
  <c r="N162" i="82"/>
  <c r="M162" i="82"/>
  <c r="L162" i="82"/>
  <c r="K162" i="82"/>
  <c r="J162" i="82"/>
  <c r="I162" i="82"/>
  <c r="H162" i="82"/>
  <c r="G162" i="82"/>
  <c r="F162" i="82"/>
  <c r="E162" i="82"/>
  <c r="D162" i="82"/>
  <c r="AI161" i="82"/>
  <c r="AG161" i="82"/>
  <c r="P161" i="82"/>
  <c r="O161" i="82"/>
  <c r="N161" i="82"/>
  <c r="M161" i="82"/>
  <c r="L161" i="82"/>
  <c r="K161" i="82"/>
  <c r="J161" i="82"/>
  <c r="I161" i="82"/>
  <c r="H161" i="82"/>
  <c r="G161" i="82"/>
  <c r="F161" i="82"/>
  <c r="E161" i="82"/>
  <c r="D161" i="82"/>
  <c r="AI160" i="82"/>
  <c r="AG160" i="82"/>
  <c r="P160" i="82"/>
  <c r="O160" i="82"/>
  <c r="N160" i="82"/>
  <c r="M160" i="82"/>
  <c r="L160" i="82"/>
  <c r="K160" i="82"/>
  <c r="J160" i="82"/>
  <c r="I160" i="82"/>
  <c r="H160" i="82"/>
  <c r="G160" i="82"/>
  <c r="F160" i="82"/>
  <c r="E160" i="82"/>
  <c r="D160" i="82"/>
  <c r="AI159" i="82"/>
  <c r="AG159" i="82"/>
  <c r="P159" i="82"/>
  <c r="O159" i="82"/>
  <c r="N159" i="82"/>
  <c r="M159" i="82"/>
  <c r="L159" i="82"/>
  <c r="K159" i="82"/>
  <c r="J159" i="82"/>
  <c r="I159" i="82"/>
  <c r="H159" i="82"/>
  <c r="G159" i="82"/>
  <c r="F159" i="82"/>
  <c r="E159" i="82"/>
  <c r="D159" i="82"/>
  <c r="AI158" i="82"/>
  <c r="AG158" i="82"/>
  <c r="P158" i="82"/>
  <c r="O158" i="82"/>
  <c r="N158" i="82"/>
  <c r="M158" i="82"/>
  <c r="L158" i="82"/>
  <c r="K158" i="82"/>
  <c r="J158" i="82"/>
  <c r="I158" i="82"/>
  <c r="H158" i="82"/>
  <c r="G158" i="82"/>
  <c r="F158" i="82"/>
  <c r="E158" i="82"/>
  <c r="D158" i="82"/>
  <c r="AI157" i="82"/>
  <c r="AG157" i="82"/>
  <c r="P157" i="82"/>
  <c r="O157" i="82"/>
  <c r="N157" i="82"/>
  <c r="M157" i="82"/>
  <c r="L157" i="82"/>
  <c r="K157" i="82"/>
  <c r="J157" i="82"/>
  <c r="I157" i="82"/>
  <c r="H157" i="82"/>
  <c r="G157" i="82"/>
  <c r="F157" i="82"/>
  <c r="E157" i="82"/>
  <c r="D157" i="82"/>
  <c r="AI156" i="82"/>
  <c r="AG156" i="82"/>
  <c r="P156" i="82"/>
  <c r="O156" i="82"/>
  <c r="N156" i="82"/>
  <c r="M156" i="82"/>
  <c r="L156" i="82"/>
  <c r="K156" i="82"/>
  <c r="J156" i="82"/>
  <c r="I156" i="82"/>
  <c r="H156" i="82"/>
  <c r="G156" i="82"/>
  <c r="F156" i="82"/>
  <c r="E156" i="82"/>
  <c r="D156" i="82"/>
  <c r="AI155" i="82"/>
  <c r="AG155" i="82"/>
  <c r="P155" i="82"/>
  <c r="O155" i="82"/>
  <c r="N155" i="82"/>
  <c r="M155" i="82"/>
  <c r="L155" i="82"/>
  <c r="K155" i="82"/>
  <c r="J155" i="82"/>
  <c r="I155" i="82"/>
  <c r="H155" i="82"/>
  <c r="G155" i="82"/>
  <c r="F155" i="82"/>
  <c r="E155" i="82"/>
  <c r="D155" i="82"/>
  <c r="AI154" i="82"/>
  <c r="AG154" i="82"/>
  <c r="P154" i="82"/>
  <c r="O154" i="82"/>
  <c r="N154" i="82"/>
  <c r="M154" i="82"/>
  <c r="L154" i="82"/>
  <c r="K154" i="82"/>
  <c r="J154" i="82"/>
  <c r="I154" i="82"/>
  <c r="H154" i="82"/>
  <c r="G154" i="82"/>
  <c r="F154" i="82"/>
  <c r="E154" i="82"/>
  <c r="D154" i="82"/>
  <c r="AI153" i="82"/>
  <c r="AG153" i="82"/>
  <c r="P153" i="82"/>
  <c r="O153" i="82"/>
  <c r="N153" i="82"/>
  <c r="M153" i="82"/>
  <c r="L153" i="82"/>
  <c r="K153" i="82"/>
  <c r="J153" i="82"/>
  <c r="I153" i="82"/>
  <c r="H153" i="82"/>
  <c r="G153" i="82"/>
  <c r="F153" i="82"/>
  <c r="E153" i="82"/>
  <c r="D153" i="82"/>
  <c r="AI152" i="82"/>
  <c r="AG152" i="82"/>
  <c r="P152" i="82"/>
  <c r="O152" i="82"/>
  <c r="N152" i="82"/>
  <c r="M152" i="82"/>
  <c r="L152" i="82"/>
  <c r="K152" i="82"/>
  <c r="J152" i="82"/>
  <c r="I152" i="82"/>
  <c r="H152" i="82"/>
  <c r="G152" i="82"/>
  <c r="F152" i="82"/>
  <c r="E152" i="82"/>
  <c r="D152" i="82"/>
  <c r="AI151" i="82"/>
  <c r="AG151" i="82"/>
  <c r="P151" i="82"/>
  <c r="O151" i="82"/>
  <c r="N151" i="82"/>
  <c r="M151" i="82"/>
  <c r="L151" i="82"/>
  <c r="K151" i="82"/>
  <c r="J151" i="82"/>
  <c r="I151" i="82"/>
  <c r="H151" i="82"/>
  <c r="G151" i="82"/>
  <c r="F151" i="82"/>
  <c r="E151" i="82"/>
  <c r="D151" i="82"/>
  <c r="AI150" i="82"/>
  <c r="AG150" i="82"/>
  <c r="P150" i="82"/>
  <c r="O150" i="82"/>
  <c r="N150" i="82"/>
  <c r="M150" i="82"/>
  <c r="L150" i="82"/>
  <c r="K150" i="82"/>
  <c r="J150" i="82"/>
  <c r="I150" i="82"/>
  <c r="H150" i="82"/>
  <c r="G150" i="82"/>
  <c r="F150" i="82"/>
  <c r="E150" i="82"/>
  <c r="D150" i="82"/>
  <c r="AI149" i="82"/>
  <c r="AG149" i="82"/>
  <c r="P149" i="82"/>
  <c r="O149" i="82"/>
  <c r="N149" i="82"/>
  <c r="M149" i="82"/>
  <c r="L149" i="82"/>
  <c r="K149" i="82"/>
  <c r="J149" i="82"/>
  <c r="I149" i="82"/>
  <c r="H149" i="82"/>
  <c r="G149" i="82"/>
  <c r="F149" i="82"/>
  <c r="E149" i="82"/>
  <c r="D149" i="82"/>
  <c r="AI148" i="82"/>
  <c r="AG148" i="82"/>
  <c r="P148" i="82"/>
  <c r="O148" i="82"/>
  <c r="N148" i="82"/>
  <c r="M148" i="82"/>
  <c r="L148" i="82"/>
  <c r="K148" i="82"/>
  <c r="J148" i="82"/>
  <c r="I148" i="82"/>
  <c r="H148" i="82"/>
  <c r="G148" i="82"/>
  <c r="F148" i="82"/>
  <c r="E148" i="82"/>
  <c r="D148" i="82"/>
  <c r="AI147" i="82"/>
  <c r="AG147" i="82"/>
  <c r="P147" i="82"/>
  <c r="O147" i="82"/>
  <c r="N147" i="82"/>
  <c r="M147" i="82"/>
  <c r="L147" i="82"/>
  <c r="K147" i="82"/>
  <c r="J147" i="82"/>
  <c r="I147" i="82"/>
  <c r="H147" i="82"/>
  <c r="G147" i="82"/>
  <c r="F147" i="82"/>
  <c r="E147" i="82"/>
  <c r="D147" i="82"/>
  <c r="AI146" i="82"/>
  <c r="AG146" i="82"/>
  <c r="P146" i="82"/>
  <c r="O146" i="82"/>
  <c r="N146" i="82"/>
  <c r="M146" i="82"/>
  <c r="L146" i="82"/>
  <c r="K146" i="82"/>
  <c r="J146" i="82"/>
  <c r="I146" i="82"/>
  <c r="H146" i="82"/>
  <c r="G146" i="82"/>
  <c r="F146" i="82"/>
  <c r="E146" i="82"/>
  <c r="D146" i="82"/>
  <c r="AI145" i="82"/>
  <c r="AG145" i="82"/>
  <c r="P145" i="82"/>
  <c r="O145" i="82"/>
  <c r="N145" i="82"/>
  <c r="M145" i="82"/>
  <c r="L145" i="82"/>
  <c r="K145" i="82"/>
  <c r="J145" i="82"/>
  <c r="I145" i="82"/>
  <c r="H145" i="82"/>
  <c r="G145" i="82"/>
  <c r="F145" i="82"/>
  <c r="E145" i="82"/>
  <c r="D145" i="82"/>
  <c r="AI144" i="82"/>
  <c r="AG144" i="82"/>
  <c r="P144" i="82"/>
  <c r="O144" i="82"/>
  <c r="N144" i="82"/>
  <c r="M144" i="82"/>
  <c r="L144" i="82"/>
  <c r="K144" i="82"/>
  <c r="J144" i="82"/>
  <c r="I144" i="82"/>
  <c r="H144" i="82"/>
  <c r="G144" i="82"/>
  <c r="F144" i="82"/>
  <c r="E144" i="82"/>
  <c r="D144" i="82"/>
  <c r="AI143" i="82"/>
  <c r="AG143" i="82"/>
  <c r="P143" i="82"/>
  <c r="O143" i="82"/>
  <c r="N143" i="82"/>
  <c r="M143" i="82"/>
  <c r="L143" i="82"/>
  <c r="K143" i="82"/>
  <c r="J143" i="82"/>
  <c r="I143" i="82"/>
  <c r="H143" i="82"/>
  <c r="G143" i="82"/>
  <c r="F143" i="82"/>
  <c r="E143" i="82"/>
  <c r="D143" i="82"/>
  <c r="AI142" i="82"/>
  <c r="AG142" i="82"/>
  <c r="P142" i="82"/>
  <c r="O142" i="82"/>
  <c r="N142" i="82"/>
  <c r="M142" i="82"/>
  <c r="L142" i="82"/>
  <c r="K142" i="82"/>
  <c r="J142" i="82"/>
  <c r="I142" i="82"/>
  <c r="H142" i="82"/>
  <c r="G142" i="82"/>
  <c r="F142" i="82"/>
  <c r="E142" i="82"/>
  <c r="D142" i="82"/>
  <c r="AI141" i="82"/>
  <c r="AG141" i="82"/>
  <c r="P141" i="82"/>
  <c r="O141" i="82"/>
  <c r="N141" i="82"/>
  <c r="M141" i="82"/>
  <c r="L141" i="82"/>
  <c r="K141" i="82"/>
  <c r="J141" i="82"/>
  <c r="I141" i="82"/>
  <c r="H141" i="82"/>
  <c r="G141" i="82"/>
  <c r="F141" i="82"/>
  <c r="E141" i="82"/>
  <c r="D141" i="82"/>
  <c r="AI140" i="82"/>
  <c r="AG140" i="82"/>
  <c r="P140" i="82"/>
  <c r="O140" i="82"/>
  <c r="N140" i="82"/>
  <c r="M140" i="82"/>
  <c r="L140" i="82"/>
  <c r="K140" i="82"/>
  <c r="J140" i="82"/>
  <c r="I140" i="82"/>
  <c r="H140" i="82"/>
  <c r="G140" i="82"/>
  <c r="F140" i="82"/>
  <c r="E140" i="82"/>
  <c r="D140" i="82"/>
  <c r="AI139" i="82"/>
  <c r="AG139" i="82"/>
  <c r="P139" i="82"/>
  <c r="O139" i="82"/>
  <c r="N139" i="82"/>
  <c r="M139" i="82"/>
  <c r="L139" i="82"/>
  <c r="K139" i="82"/>
  <c r="J139" i="82"/>
  <c r="I139" i="82"/>
  <c r="H139" i="82"/>
  <c r="G139" i="82"/>
  <c r="F139" i="82"/>
  <c r="E139" i="82"/>
  <c r="D139" i="82"/>
  <c r="AI138" i="82"/>
  <c r="AG138" i="82"/>
  <c r="P138" i="82"/>
  <c r="O138" i="82"/>
  <c r="N138" i="82"/>
  <c r="M138" i="82"/>
  <c r="L138" i="82"/>
  <c r="K138" i="82"/>
  <c r="J138" i="82"/>
  <c r="I138" i="82"/>
  <c r="H138" i="82"/>
  <c r="G138" i="82"/>
  <c r="F138" i="82"/>
  <c r="E138" i="82"/>
  <c r="D138" i="82"/>
  <c r="AI137" i="82"/>
  <c r="AG137" i="82"/>
  <c r="P137" i="82"/>
  <c r="O137" i="82"/>
  <c r="N137" i="82"/>
  <c r="M137" i="82"/>
  <c r="L137" i="82"/>
  <c r="K137" i="82"/>
  <c r="J137" i="82"/>
  <c r="I137" i="82"/>
  <c r="H137" i="82"/>
  <c r="G137" i="82"/>
  <c r="F137" i="82"/>
  <c r="E137" i="82"/>
  <c r="D137" i="82"/>
  <c r="AI136" i="82"/>
  <c r="AG136" i="82"/>
  <c r="P136" i="82"/>
  <c r="O136" i="82"/>
  <c r="N136" i="82"/>
  <c r="M136" i="82"/>
  <c r="L136" i="82"/>
  <c r="K136" i="82"/>
  <c r="J136" i="82"/>
  <c r="I136" i="82"/>
  <c r="H136" i="82"/>
  <c r="G136" i="82"/>
  <c r="F136" i="82"/>
  <c r="E136" i="82"/>
  <c r="D136" i="82"/>
  <c r="AI135" i="82"/>
  <c r="AG135" i="82"/>
  <c r="P135" i="82"/>
  <c r="O135" i="82"/>
  <c r="N135" i="82"/>
  <c r="M135" i="82"/>
  <c r="L135" i="82"/>
  <c r="K135" i="82"/>
  <c r="J135" i="82"/>
  <c r="I135" i="82"/>
  <c r="H135" i="82"/>
  <c r="G135" i="82"/>
  <c r="F135" i="82"/>
  <c r="E135" i="82"/>
  <c r="D135" i="82"/>
  <c r="AI134" i="82"/>
  <c r="AG134" i="82"/>
  <c r="P134" i="82"/>
  <c r="O134" i="82"/>
  <c r="N134" i="82"/>
  <c r="M134" i="82"/>
  <c r="L134" i="82"/>
  <c r="K134" i="82"/>
  <c r="J134" i="82"/>
  <c r="I134" i="82"/>
  <c r="H134" i="82"/>
  <c r="G134" i="82"/>
  <c r="F134" i="82"/>
  <c r="E134" i="82"/>
  <c r="D134" i="82"/>
  <c r="AI133" i="82"/>
  <c r="AG133" i="82"/>
  <c r="P133" i="82"/>
  <c r="O133" i="82"/>
  <c r="N133" i="82"/>
  <c r="M133" i="82"/>
  <c r="L133" i="82"/>
  <c r="K133" i="82"/>
  <c r="J133" i="82"/>
  <c r="I133" i="82"/>
  <c r="H133" i="82"/>
  <c r="G133" i="82"/>
  <c r="F133" i="82"/>
  <c r="E133" i="82"/>
  <c r="D133" i="82"/>
  <c r="AI132" i="82"/>
  <c r="AG132" i="82"/>
  <c r="P132" i="82"/>
  <c r="O132" i="82"/>
  <c r="N132" i="82"/>
  <c r="M132" i="82"/>
  <c r="L132" i="82"/>
  <c r="K132" i="82"/>
  <c r="J132" i="82"/>
  <c r="I132" i="82"/>
  <c r="H132" i="82"/>
  <c r="G132" i="82"/>
  <c r="F132" i="82"/>
  <c r="E132" i="82"/>
  <c r="D132" i="82"/>
  <c r="AI131" i="82"/>
  <c r="AG131" i="82"/>
  <c r="P131" i="82"/>
  <c r="O131" i="82"/>
  <c r="N131" i="82"/>
  <c r="M131" i="82"/>
  <c r="L131" i="82"/>
  <c r="K131" i="82"/>
  <c r="J131" i="82"/>
  <c r="I131" i="82"/>
  <c r="H131" i="82"/>
  <c r="G131" i="82"/>
  <c r="F131" i="82"/>
  <c r="E131" i="82"/>
  <c r="D131" i="82"/>
  <c r="AI130" i="82"/>
  <c r="AG130" i="82"/>
  <c r="P130" i="82"/>
  <c r="O130" i="82"/>
  <c r="N130" i="82"/>
  <c r="M130" i="82"/>
  <c r="L130" i="82"/>
  <c r="K130" i="82"/>
  <c r="J130" i="82"/>
  <c r="I130" i="82"/>
  <c r="H130" i="82"/>
  <c r="G130" i="82"/>
  <c r="F130" i="82"/>
  <c r="E130" i="82"/>
  <c r="D130" i="82"/>
  <c r="AI129" i="82"/>
  <c r="AG129" i="82"/>
  <c r="P129" i="82"/>
  <c r="O129" i="82"/>
  <c r="N129" i="82"/>
  <c r="M129" i="82"/>
  <c r="L129" i="82"/>
  <c r="K129" i="82"/>
  <c r="J129" i="82"/>
  <c r="I129" i="82"/>
  <c r="H129" i="82"/>
  <c r="G129" i="82"/>
  <c r="F129" i="82"/>
  <c r="E129" i="82"/>
  <c r="D129" i="82"/>
  <c r="AI128" i="82"/>
  <c r="AG128" i="82"/>
  <c r="P128" i="82"/>
  <c r="O128" i="82"/>
  <c r="N128" i="82"/>
  <c r="M128" i="82"/>
  <c r="L128" i="82"/>
  <c r="K128" i="82"/>
  <c r="J128" i="82"/>
  <c r="I128" i="82"/>
  <c r="H128" i="82"/>
  <c r="G128" i="82"/>
  <c r="F128" i="82"/>
  <c r="E128" i="82"/>
  <c r="D128" i="82"/>
  <c r="AI127" i="82"/>
  <c r="AG127" i="82"/>
  <c r="P127" i="82"/>
  <c r="O127" i="82"/>
  <c r="N127" i="82"/>
  <c r="M127" i="82"/>
  <c r="L127" i="82"/>
  <c r="K127" i="82"/>
  <c r="J127" i="82"/>
  <c r="I127" i="82"/>
  <c r="H127" i="82"/>
  <c r="G127" i="82"/>
  <c r="F127" i="82"/>
  <c r="E127" i="82"/>
  <c r="D127" i="82"/>
  <c r="AI126" i="82"/>
  <c r="AG126" i="82"/>
  <c r="P126" i="82"/>
  <c r="O126" i="82"/>
  <c r="N126" i="82"/>
  <c r="M126" i="82"/>
  <c r="L126" i="82"/>
  <c r="K126" i="82"/>
  <c r="J126" i="82"/>
  <c r="I126" i="82"/>
  <c r="H126" i="82"/>
  <c r="G126" i="82"/>
  <c r="F126" i="82"/>
  <c r="E126" i="82"/>
  <c r="D126" i="82"/>
  <c r="AI125" i="82"/>
  <c r="AG125" i="82"/>
  <c r="P125" i="82"/>
  <c r="O125" i="82"/>
  <c r="N125" i="82"/>
  <c r="M125" i="82"/>
  <c r="L125" i="82"/>
  <c r="K125" i="82"/>
  <c r="J125" i="82"/>
  <c r="I125" i="82"/>
  <c r="H125" i="82"/>
  <c r="G125" i="82"/>
  <c r="F125" i="82"/>
  <c r="E125" i="82"/>
  <c r="D125" i="82"/>
  <c r="AI124" i="82"/>
  <c r="AG124" i="82"/>
  <c r="P124" i="82"/>
  <c r="O124" i="82"/>
  <c r="N124" i="82"/>
  <c r="M124" i="82"/>
  <c r="L124" i="82"/>
  <c r="K124" i="82"/>
  <c r="J124" i="82"/>
  <c r="I124" i="82"/>
  <c r="H124" i="82"/>
  <c r="G124" i="82"/>
  <c r="F124" i="82"/>
  <c r="E124" i="82"/>
  <c r="D124" i="82"/>
  <c r="AI123" i="82"/>
  <c r="AG123" i="82"/>
  <c r="P123" i="82"/>
  <c r="O123" i="82"/>
  <c r="N123" i="82"/>
  <c r="M123" i="82"/>
  <c r="L123" i="82"/>
  <c r="K123" i="82"/>
  <c r="J123" i="82"/>
  <c r="I123" i="82"/>
  <c r="H123" i="82"/>
  <c r="G123" i="82"/>
  <c r="F123" i="82"/>
  <c r="E123" i="82"/>
  <c r="D123" i="82"/>
  <c r="AI122" i="82"/>
  <c r="AG122" i="82"/>
  <c r="P122" i="82"/>
  <c r="O122" i="82"/>
  <c r="N122" i="82"/>
  <c r="M122" i="82"/>
  <c r="L122" i="82"/>
  <c r="K122" i="82"/>
  <c r="J122" i="82"/>
  <c r="I122" i="82"/>
  <c r="H122" i="82"/>
  <c r="G122" i="82"/>
  <c r="F122" i="82"/>
  <c r="E122" i="82"/>
  <c r="D122" i="82"/>
  <c r="AI121" i="82"/>
  <c r="AG121" i="82"/>
  <c r="P121" i="82"/>
  <c r="O121" i="82"/>
  <c r="N121" i="82"/>
  <c r="M121" i="82"/>
  <c r="L121" i="82"/>
  <c r="K121" i="82"/>
  <c r="J121" i="82"/>
  <c r="I121" i="82"/>
  <c r="H121" i="82"/>
  <c r="G121" i="82"/>
  <c r="F121" i="82"/>
  <c r="E121" i="82"/>
  <c r="D121" i="82"/>
  <c r="AI120" i="82"/>
  <c r="AG120" i="82"/>
  <c r="P120" i="82"/>
  <c r="O120" i="82"/>
  <c r="N120" i="82"/>
  <c r="M120" i="82"/>
  <c r="L120" i="82"/>
  <c r="K120" i="82"/>
  <c r="J120" i="82"/>
  <c r="I120" i="82"/>
  <c r="H120" i="82"/>
  <c r="G120" i="82"/>
  <c r="F120" i="82"/>
  <c r="E120" i="82"/>
  <c r="D120" i="82"/>
  <c r="AI119" i="82"/>
  <c r="AG119" i="82"/>
  <c r="P119" i="82"/>
  <c r="O119" i="82"/>
  <c r="N119" i="82"/>
  <c r="M119" i="82"/>
  <c r="L119" i="82"/>
  <c r="K119" i="82"/>
  <c r="J119" i="82"/>
  <c r="I119" i="82"/>
  <c r="H119" i="82"/>
  <c r="G119" i="82"/>
  <c r="F119" i="82"/>
  <c r="E119" i="82"/>
  <c r="D119" i="82"/>
  <c r="AI118" i="82"/>
  <c r="AG118" i="82"/>
  <c r="P118" i="82"/>
  <c r="O118" i="82"/>
  <c r="N118" i="82"/>
  <c r="M118" i="82"/>
  <c r="L118" i="82"/>
  <c r="K118" i="82"/>
  <c r="J118" i="82"/>
  <c r="I118" i="82"/>
  <c r="H118" i="82"/>
  <c r="G118" i="82"/>
  <c r="F118" i="82"/>
  <c r="E118" i="82"/>
  <c r="D118" i="82"/>
  <c r="AI117" i="82"/>
  <c r="AG117" i="82"/>
  <c r="P117" i="82"/>
  <c r="O117" i="82"/>
  <c r="N117" i="82"/>
  <c r="M117" i="82"/>
  <c r="L117" i="82"/>
  <c r="K117" i="82"/>
  <c r="J117" i="82"/>
  <c r="I117" i="82"/>
  <c r="H117" i="82"/>
  <c r="G117" i="82"/>
  <c r="F117" i="82"/>
  <c r="E117" i="82"/>
  <c r="D117" i="82"/>
  <c r="AI116" i="82"/>
  <c r="AG116" i="82"/>
  <c r="P116" i="82"/>
  <c r="O116" i="82"/>
  <c r="N116" i="82"/>
  <c r="M116" i="82"/>
  <c r="L116" i="82"/>
  <c r="K116" i="82"/>
  <c r="J116" i="82"/>
  <c r="I116" i="82"/>
  <c r="H116" i="82"/>
  <c r="G116" i="82"/>
  <c r="F116" i="82"/>
  <c r="E116" i="82"/>
  <c r="D116" i="82"/>
  <c r="AI115" i="82"/>
  <c r="AG115" i="82"/>
  <c r="P115" i="82"/>
  <c r="O115" i="82"/>
  <c r="N115" i="82"/>
  <c r="M115" i="82"/>
  <c r="L115" i="82"/>
  <c r="K115" i="82"/>
  <c r="J115" i="82"/>
  <c r="I115" i="82"/>
  <c r="H115" i="82"/>
  <c r="G115" i="82"/>
  <c r="F115" i="82"/>
  <c r="E115" i="82"/>
  <c r="D115" i="82"/>
  <c r="AI114" i="82"/>
  <c r="AG114" i="82"/>
  <c r="P114" i="82"/>
  <c r="O114" i="82"/>
  <c r="N114" i="82"/>
  <c r="M114" i="82"/>
  <c r="L114" i="82"/>
  <c r="K114" i="82"/>
  <c r="J114" i="82"/>
  <c r="I114" i="82"/>
  <c r="H114" i="82"/>
  <c r="G114" i="82"/>
  <c r="F114" i="82"/>
  <c r="E114" i="82"/>
  <c r="D114" i="82"/>
  <c r="AI113" i="82"/>
  <c r="AG113" i="82"/>
  <c r="P113" i="82"/>
  <c r="O113" i="82"/>
  <c r="N113" i="82"/>
  <c r="M113" i="82"/>
  <c r="L113" i="82"/>
  <c r="K113" i="82"/>
  <c r="J113" i="82"/>
  <c r="I113" i="82"/>
  <c r="H113" i="82"/>
  <c r="G113" i="82"/>
  <c r="F113" i="82"/>
  <c r="E113" i="82"/>
  <c r="D113" i="82"/>
  <c r="AI112" i="82"/>
  <c r="AG112" i="82"/>
  <c r="P112" i="82"/>
  <c r="O112" i="82"/>
  <c r="N112" i="82"/>
  <c r="M112" i="82"/>
  <c r="L112" i="82"/>
  <c r="K112" i="82"/>
  <c r="J112" i="82"/>
  <c r="I112" i="82"/>
  <c r="H112" i="82"/>
  <c r="G112" i="82"/>
  <c r="F112" i="82"/>
  <c r="E112" i="82"/>
  <c r="D112" i="82"/>
  <c r="AI111" i="82"/>
  <c r="AG111" i="82"/>
  <c r="P111" i="82"/>
  <c r="O111" i="82"/>
  <c r="N111" i="82"/>
  <c r="M111" i="82"/>
  <c r="L111" i="82"/>
  <c r="K111" i="82"/>
  <c r="J111" i="82"/>
  <c r="I111" i="82"/>
  <c r="H111" i="82"/>
  <c r="G111" i="82"/>
  <c r="F111" i="82"/>
  <c r="E111" i="82"/>
  <c r="D111" i="82"/>
  <c r="AI110" i="82"/>
  <c r="AG110" i="82"/>
  <c r="P110" i="82"/>
  <c r="O110" i="82"/>
  <c r="N110" i="82"/>
  <c r="M110" i="82"/>
  <c r="L110" i="82"/>
  <c r="K110" i="82"/>
  <c r="J110" i="82"/>
  <c r="I110" i="82"/>
  <c r="H110" i="82"/>
  <c r="G110" i="82"/>
  <c r="F110" i="82"/>
  <c r="E110" i="82"/>
  <c r="D110" i="82"/>
  <c r="AI109" i="82"/>
  <c r="AG109" i="82"/>
  <c r="P109" i="82"/>
  <c r="O109" i="82"/>
  <c r="N109" i="82"/>
  <c r="M109" i="82"/>
  <c r="L109" i="82"/>
  <c r="K109" i="82"/>
  <c r="J109" i="82"/>
  <c r="I109" i="82"/>
  <c r="H109" i="82"/>
  <c r="G109" i="82"/>
  <c r="F109" i="82"/>
  <c r="E109" i="82"/>
  <c r="D109" i="82"/>
  <c r="AI108" i="82"/>
  <c r="AG108" i="82"/>
  <c r="P108" i="82"/>
  <c r="O108" i="82"/>
  <c r="N108" i="82"/>
  <c r="M108" i="82"/>
  <c r="L108" i="82"/>
  <c r="K108" i="82"/>
  <c r="J108" i="82"/>
  <c r="I108" i="82"/>
  <c r="H108" i="82"/>
  <c r="G108" i="82"/>
  <c r="F108" i="82"/>
  <c r="E108" i="82"/>
  <c r="D108" i="82"/>
  <c r="AI107" i="82"/>
  <c r="AG107" i="82"/>
  <c r="P107" i="82"/>
  <c r="O107" i="82"/>
  <c r="N107" i="82"/>
  <c r="M107" i="82"/>
  <c r="L107" i="82"/>
  <c r="K107" i="82"/>
  <c r="J107" i="82"/>
  <c r="I107" i="82"/>
  <c r="H107" i="82"/>
  <c r="G107" i="82"/>
  <c r="F107" i="82"/>
  <c r="E107" i="82"/>
  <c r="D107" i="82"/>
  <c r="AI106" i="82"/>
  <c r="AG106" i="82"/>
  <c r="P106" i="82"/>
  <c r="O106" i="82"/>
  <c r="N106" i="82"/>
  <c r="M106" i="82"/>
  <c r="L106" i="82"/>
  <c r="K106" i="82"/>
  <c r="J106" i="82"/>
  <c r="I106" i="82"/>
  <c r="H106" i="82"/>
  <c r="G106" i="82"/>
  <c r="F106" i="82"/>
  <c r="E106" i="82"/>
  <c r="D106" i="82"/>
  <c r="AI105" i="82"/>
  <c r="AG105" i="82"/>
  <c r="P105" i="82"/>
  <c r="O105" i="82"/>
  <c r="N105" i="82"/>
  <c r="M105" i="82"/>
  <c r="L105" i="82"/>
  <c r="K105" i="82"/>
  <c r="J105" i="82"/>
  <c r="I105" i="82"/>
  <c r="H105" i="82"/>
  <c r="G105" i="82"/>
  <c r="F105" i="82"/>
  <c r="E105" i="82"/>
  <c r="D105" i="82"/>
  <c r="AI104" i="82"/>
  <c r="AG104" i="82"/>
  <c r="P104" i="82"/>
  <c r="O104" i="82"/>
  <c r="N104" i="82"/>
  <c r="M104" i="82"/>
  <c r="L104" i="82"/>
  <c r="K104" i="82"/>
  <c r="J104" i="82"/>
  <c r="I104" i="82"/>
  <c r="H104" i="82"/>
  <c r="G104" i="82"/>
  <c r="F104" i="82"/>
  <c r="E104" i="82"/>
  <c r="D104" i="82"/>
  <c r="AI103" i="82"/>
  <c r="AG103" i="82"/>
  <c r="P103" i="82"/>
  <c r="O103" i="82"/>
  <c r="N103" i="82"/>
  <c r="M103" i="82"/>
  <c r="L103" i="82"/>
  <c r="K103" i="82"/>
  <c r="J103" i="82"/>
  <c r="I103" i="82"/>
  <c r="H103" i="82"/>
  <c r="G103" i="82"/>
  <c r="F103" i="82"/>
  <c r="E103" i="82"/>
  <c r="D103" i="82"/>
  <c r="AI102" i="82"/>
  <c r="AG102" i="82"/>
  <c r="P102" i="82"/>
  <c r="O102" i="82"/>
  <c r="N102" i="82"/>
  <c r="M102" i="82"/>
  <c r="L102" i="82"/>
  <c r="K102" i="82"/>
  <c r="J102" i="82"/>
  <c r="I102" i="82"/>
  <c r="H102" i="82"/>
  <c r="G102" i="82"/>
  <c r="F102" i="82"/>
  <c r="E102" i="82"/>
  <c r="D102" i="82"/>
  <c r="AI101" i="82"/>
  <c r="AG101" i="82"/>
  <c r="P101" i="82"/>
  <c r="O101" i="82"/>
  <c r="N101" i="82"/>
  <c r="M101" i="82"/>
  <c r="L101" i="82"/>
  <c r="K101" i="82"/>
  <c r="J101" i="82"/>
  <c r="I101" i="82"/>
  <c r="H101" i="82"/>
  <c r="G101" i="82"/>
  <c r="F101" i="82"/>
  <c r="E101" i="82"/>
  <c r="D101" i="82"/>
  <c r="AI100" i="82"/>
  <c r="AG100" i="82"/>
  <c r="P100" i="82"/>
  <c r="O100" i="82"/>
  <c r="N100" i="82"/>
  <c r="M100" i="82"/>
  <c r="L100" i="82"/>
  <c r="K100" i="82"/>
  <c r="J100" i="82"/>
  <c r="I100" i="82"/>
  <c r="H100" i="82"/>
  <c r="G100" i="82"/>
  <c r="F100" i="82"/>
  <c r="E100" i="82"/>
  <c r="D100" i="82"/>
  <c r="AI99" i="82"/>
  <c r="AG99" i="82"/>
  <c r="P99" i="82"/>
  <c r="O99" i="82"/>
  <c r="N99" i="82"/>
  <c r="M99" i="82"/>
  <c r="L99" i="82"/>
  <c r="K99" i="82"/>
  <c r="J99" i="82"/>
  <c r="I99" i="82"/>
  <c r="H99" i="82"/>
  <c r="G99" i="82"/>
  <c r="F99" i="82"/>
  <c r="E99" i="82"/>
  <c r="D99" i="82"/>
  <c r="AI98" i="82"/>
  <c r="AG98" i="82"/>
  <c r="P98" i="82"/>
  <c r="O98" i="82"/>
  <c r="N98" i="82"/>
  <c r="M98" i="82"/>
  <c r="L98" i="82"/>
  <c r="K98" i="82"/>
  <c r="J98" i="82"/>
  <c r="I98" i="82"/>
  <c r="H98" i="82"/>
  <c r="G98" i="82"/>
  <c r="F98" i="82"/>
  <c r="E98" i="82"/>
  <c r="D98" i="82"/>
  <c r="AI97" i="82"/>
  <c r="AG97" i="82"/>
  <c r="P97" i="82"/>
  <c r="O97" i="82"/>
  <c r="N97" i="82"/>
  <c r="M97" i="82"/>
  <c r="L97" i="82"/>
  <c r="K97" i="82"/>
  <c r="J97" i="82"/>
  <c r="I97" i="82"/>
  <c r="H97" i="82"/>
  <c r="G97" i="82"/>
  <c r="F97" i="82"/>
  <c r="E97" i="82"/>
  <c r="D97" i="82"/>
  <c r="AI96" i="82"/>
  <c r="AG96" i="82"/>
  <c r="P96" i="82"/>
  <c r="O96" i="82"/>
  <c r="N96" i="82"/>
  <c r="M96" i="82"/>
  <c r="L96" i="82"/>
  <c r="K96" i="82"/>
  <c r="J96" i="82"/>
  <c r="I96" i="82"/>
  <c r="H96" i="82"/>
  <c r="G96" i="82"/>
  <c r="F96" i="82"/>
  <c r="E96" i="82"/>
  <c r="D96" i="82"/>
  <c r="AI95" i="82"/>
  <c r="AG95" i="82"/>
  <c r="P95" i="82"/>
  <c r="O95" i="82"/>
  <c r="N95" i="82"/>
  <c r="M95" i="82"/>
  <c r="L95" i="82"/>
  <c r="K95" i="82"/>
  <c r="J95" i="82"/>
  <c r="I95" i="82"/>
  <c r="H95" i="82"/>
  <c r="G95" i="82"/>
  <c r="F95" i="82"/>
  <c r="E95" i="82"/>
  <c r="D95" i="82"/>
  <c r="AI94" i="82"/>
  <c r="AG94" i="82"/>
  <c r="P94" i="82"/>
  <c r="O94" i="82"/>
  <c r="N94" i="82"/>
  <c r="M94" i="82"/>
  <c r="L94" i="82"/>
  <c r="K94" i="82"/>
  <c r="J94" i="82"/>
  <c r="I94" i="82"/>
  <c r="H94" i="82"/>
  <c r="G94" i="82"/>
  <c r="F94" i="82"/>
  <c r="E94" i="82"/>
  <c r="D94" i="82"/>
  <c r="AI93" i="82"/>
  <c r="AG93" i="82"/>
  <c r="P93" i="82"/>
  <c r="O93" i="82"/>
  <c r="N93" i="82"/>
  <c r="M93" i="82"/>
  <c r="L93" i="82"/>
  <c r="K93" i="82"/>
  <c r="J93" i="82"/>
  <c r="I93" i="82"/>
  <c r="H93" i="82"/>
  <c r="G93" i="82"/>
  <c r="F93" i="82"/>
  <c r="E93" i="82"/>
  <c r="D93" i="82"/>
  <c r="AI92" i="82"/>
  <c r="AG92" i="82"/>
  <c r="P92" i="82"/>
  <c r="O92" i="82"/>
  <c r="N92" i="82"/>
  <c r="M92" i="82"/>
  <c r="L92" i="82"/>
  <c r="K92" i="82"/>
  <c r="J92" i="82"/>
  <c r="I92" i="82"/>
  <c r="H92" i="82"/>
  <c r="G92" i="82"/>
  <c r="F92" i="82"/>
  <c r="E92" i="82"/>
  <c r="D92" i="82"/>
  <c r="AJ91" i="82"/>
  <c r="AI91" i="82"/>
  <c r="AG91" i="82"/>
  <c r="P91" i="82"/>
  <c r="O91" i="82"/>
  <c r="N91" i="82"/>
  <c r="M91" i="82"/>
  <c r="L91" i="82"/>
  <c r="K91" i="82"/>
  <c r="J91" i="82"/>
  <c r="I91" i="82"/>
  <c r="H91" i="82"/>
  <c r="G91" i="82"/>
  <c r="F91" i="82"/>
  <c r="E91" i="82"/>
  <c r="D91" i="82"/>
  <c r="AJ90" i="82"/>
  <c r="AI90" i="82"/>
  <c r="AF90" i="82"/>
  <c r="AE90" i="82"/>
  <c r="AD90" i="82"/>
  <c r="AC90" i="82"/>
  <c r="AB90" i="82"/>
  <c r="AA90" i="82"/>
  <c r="Z90" i="82"/>
  <c r="Y90" i="82"/>
  <c r="X90" i="82"/>
  <c r="W90" i="82"/>
  <c r="V90" i="82"/>
  <c r="U90" i="82"/>
  <c r="T90" i="82"/>
  <c r="S90" i="82"/>
  <c r="P90" i="82"/>
  <c r="O90" i="82"/>
  <c r="N90" i="82"/>
  <c r="M90" i="82"/>
  <c r="L90" i="82"/>
  <c r="K90" i="82"/>
  <c r="J90" i="82"/>
  <c r="I90" i="82"/>
  <c r="H90" i="82"/>
  <c r="G90" i="82"/>
  <c r="F90" i="82"/>
  <c r="E90" i="82"/>
  <c r="D90" i="82"/>
  <c r="AJ89" i="82"/>
  <c r="AI89" i="82"/>
  <c r="AF89" i="82"/>
  <c r="AE89" i="82"/>
  <c r="AD89" i="82"/>
  <c r="AC89" i="82"/>
  <c r="AB89" i="82"/>
  <c r="AA89" i="82"/>
  <c r="Z89" i="82"/>
  <c r="Y89" i="82"/>
  <c r="X89" i="82"/>
  <c r="W89" i="82"/>
  <c r="V89" i="82"/>
  <c r="U89" i="82"/>
  <c r="T89" i="82"/>
  <c r="S89" i="82"/>
  <c r="P89" i="82"/>
  <c r="O89" i="82"/>
  <c r="N89" i="82"/>
  <c r="M89" i="82"/>
  <c r="L89" i="82"/>
  <c r="K89" i="82"/>
  <c r="J89" i="82"/>
  <c r="I89" i="82"/>
  <c r="H89" i="82"/>
  <c r="G89" i="82"/>
  <c r="F89" i="82"/>
  <c r="E89" i="82"/>
  <c r="D89" i="82"/>
  <c r="AJ88" i="82"/>
  <c r="AI88" i="82"/>
  <c r="AF88" i="82"/>
  <c r="AE88" i="82"/>
  <c r="AD88" i="82"/>
  <c r="AC88" i="82"/>
  <c r="AB88" i="82"/>
  <c r="AA88" i="82"/>
  <c r="Z88" i="82"/>
  <c r="Y88" i="82"/>
  <c r="X88" i="82"/>
  <c r="W88" i="82"/>
  <c r="V88" i="82"/>
  <c r="U88" i="82"/>
  <c r="T88" i="82"/>
  <c r="S88" i="82"/>
  <c r="P88" i="82"/>
  <c r="O88" i="82"/>
  <c r="N88" i="82"/>
  <c r="M88" i="82"/>
  <c r="L88" i="82"/>
  <c r="K88" i="82"/>
  <c r="J88" i="82"/>
  <c r="I88" i="82"/>
  <c r="H88" i="82"/>
  <c r="G88" i="82"/>
  <c r="F88" i="82"/>
  <c r="E88" i="82"/>
  <c r="D88" i="82"/>
  <c r="AJ87" i="82"/>
  <c r="AI87" i="82"/>
  <c r="AF87" i="82"/>
  <c r="AE87" i="82"/>
  <c r="AD87" i="82"/>
  <c r="AC87" i="82"/>
  <c r="AB87" i="82"/>
  <c r="AA87" i="82"/>
  <c r="Z87" i="82"/>
  <c r="Y87" i="82"/>
  <c r="X87" i="82"/>
  <c r="W87" i="82"/>
  <c r="V87" i="82"/>
  <c r="U87" i="82"/>
  <c r="T87" i="82"/>
  <c r="S87" i="82"/>
  <c r="P87" i="82"/>
  <c r="O87" i="82"/>
  <c r="N87" i="82"/>
  <c r="M87" i="82"/>
  <c r="L87" i="82"/>
  <c r="K87" i="82"/>
  <c r="J87" i="82"/>
  <c r="I87" i="82"/>
  <c r="H87" i="82"/>
  <c r="G87" i="82"/>
  <c r="F87" i="82"/>
  <c r="E87" i="82"/>
  <c r="D87" i="82"/>
  <c r="AJ86" i="82"/>
  <c r="AI86" i="82"/>
  <c r="AF86" i="82"/>
  <c r="AE86" i="82"/>
  <c r="AD86" i="82"/>
  <c r="AC86" i="82"/>
  <c r="AB86" i="82"/>
  <c r="AA86" i="82"/>
  <c r="Z86" i="82"/>
  <c r="Y86" i="82"/>
  <c r="X86" i="82"/>
  <c r="W86" i="82"/>
  <c r="V86" i="82"/>
  <c r="U86" i="82"/>
  <c r="T86" i="82"/>
  <c r="S86" i="82"/>
  <c r="P86" i="82"/>
  <c r="O86" i="82"/>
  <c r="N86" i="82"/>
  <c r="M86" i="82"/>
  <c r="L86" i="82"/>
  <c r="K86" i="82"/>
  <c r="J86" i="82"/>
  <c r="I86" i="82"/>
  <c r="H86" i="82"/>
  <c r="G86" i="82"/>
  <c r="F86" i="82"/>
  <c r="E86" i="82"/>
  <c r="D86" i="82"/>
  <c r="AJ85" i="82"/>
  <c r="AI85" i="82"/>
  <c r="AF85" i="82"/>
  <c r="AE85" i="82"/>
  <c r="AD85" i="82"/>
  <c r="AC85" i="82"/>
  <c r="AB85" i="82"/>
  <c r="AA85" i="82"/>
  <c r="Z85" i="82"/>
  <c r="Y85" i="82"/>
  <c r="X85" i="82"/>
  <c r="W85" i="82"/>
  <c r="V85" i="82"/>
  <c r="U85" i="82"/>
  <c r="T85" i="82"/>
  <c r="S85" i="82"/>
  <c r="P85" i="82"/>
  <c r="O85" i="82"/>
  <c r="N85" i="82"/>
  <c r="M85" i="82"/>
  <c r="L85" i="82"/>
  <c r="K85" i="82"/>
  <c r="J85" i="82"/>
  <c r="I85" i="82"/>
  <c r="H85" i="82"/>
  <c r="G85" i="82"/>
  <c r="F85" i="82"/>
  <c r="E85" i="82"/>
  <c r="D85" i="82"/>
  <c r="AJ84" i="82"/>
  <c r="AI84" i="82"/>
  <c r="AF84" i="82"/>
  <c r="AE84" i="82"/>
  <c r="AD84" i="82"/>
  <c r="AC84" i="82"/>
  <c r="AB84" i="82"/>
  <c r="AA84" i="82"/>
  <c r="Z84" i="82"/>
  <c r="Y84" i="82"/>
  <c r="X84" i="82"/>
  <c r="W84" i="82"/>
  <c r="V84" i="82"/>
  <c r="U84" i="82"/>
  <c r="T84" i="82"/>
  <c r="S84" i="82"/>
  <c r="P84" i="82"/>
  <c r="O84" i="82"/>
  <c r="N84" i="82"/>
  <c r="M84" i="82"/>
  <c r="L84" i="82"/>
  <c r="K84" i="82"/>
  <c r="J84" i="82"/>
  <c r="I84" i="82"/>
  <c r="H84" i="82"/>
  <c r="G84" i="82"/>
  <c r="F84" i="82"/>
  <c r="E84" i="82"/>
  <c r="D84" i="82"/>
  <c r="AJ83" i="82"/>
  <c r="AI83" i="82"/>
  <c r="AF83" i="82"/>
  <c r="AE83" i="82"/>
  <c r="AD83" i="82"/>
  <c r="AC83" i="82"/>
  <c r="AB83" i="82"/>
  <c r="AA83" i="82"/>
  <c r="Z83" i="82"/>
  <c r="Y83" i="82"/>
  <c r="X83" i="82"/>
  <c r="W83" i="82"/>
  <c r="V83" i="82"/>
  <c r="U83" i="82"/>
  <c r="T83" i="82"/>
  <c r="S83" i="82"/>
  <c r="P83" i="82"/>
  <c r="O83" i="82"/>
  <c r="N83" i="82"/>
  <c r="M83" i="82"/>
  <c r="L83" i="82"/>
  <c r="K83" i="82"/>
  <c r="J83" i="82"/>
  <c r="I83" i="82"/>
  <c r="H83" i="82"/>
  <c r="G83" i="82"/>
  <c r="F83" i="82"/>
  <c r="E83" i="82"/>
  <c r="D83" i="82"/>
  <c r="AJ82" i="82"/>
  <c r="AI82" i="82"/>
  <c r="AF82" i="82"/>
  <c r="AE82" i="82"/>
  <c r="AD82" i="82"/>
  <c r="AC82" i="82"/>
  <c r="AB82" i="82"/>
  <c r="AA82" i="82"/>
  <c r="Z82" i="82"/>
  <c r="Y82" i="82"/>
  <c r="X82" i="82"/>
  <c r="W82" i="82"/>
  <c r="V82" i="82"/>
  <c r="U82" i="82"/>
  <c r="T82" i="82"/>
  <c r="S82" i="82"/>
  <c r="P82" i="82"/>
  <c r="O82" i="82"/>
  <c r="N82" i="82"/>
  <c r="M82" i="82"/>
  <c r="L82" i="82"/>
  <c r="K82" i="82"/>
  <c r="J82" i="82"/>
  <c r="I82" i="82"/>
  <c r="H82" i="82"/>
  <c r="G82" i="82"/>
  <c r="F82" i="82"/>
  <c r="E82" i="82"/>
  <c r="D82" i="82"/>
  <c r="AJ81" i="82"/>
  <c r="AI81" i="82"/>
  <c r="AF81" i="82"/>
  <c r="AE81" i="82"/>
  <c r="AD81" i="82"/>
  <c r="AC81" i="82"/>
  <c r="AB81" i="82"/>
  <c r="AA81" i="82"/>
  <c r="Z81" i="82"/>
  <c r="Y81" i="82"/>
  <c r="X81" i="82"/>
  <c r="W81" i="82"/>
  <c r="V81" i="82"/>
  <c r="U81" i="82"/>
  <c r="T81" i="82"/>
  <c r="S81" i="82"/>
  <c r="P81" i="82"/>
  <c r="O81" i="82"/>
  <c r="N81" i="82"/>
  <c r="M81" i="82"/>
  <c r="L81" i="82"/>
  <c r="K81" i="82"/>
  <c r="J81" i="82"/>
  <c r="I81" i="82"/>
  <c r="H81" i="82"/>
  <c r="G81" i="82"/>
  <c r="F81" i="82"/>
  <c r="E81" i="82"/>
  <c r="D81" i="82"/>
  <c r="AJ80" i="82"/>
  <c r="AI80" i="82"/>
  <c r="AF80" i="82"/>
  <c r="AE80" i="82"/>
  <c r="AD80" i="82"/>
  <c r="AC80" i="82"/>
  <c r="AB80" i="82"/>
  <c r="AA80" i="82"/>
  <c r="Z80" i="82"/>
  <c r="Y80" i="82"/>
  <c r="X80" i="82"/>
  <c r="W80" i="82"/>
  <c r="V80" i="82"/>
  <c r="U80" i="82"/>
  <c r="T80" i="82"/>
  <c r="S80" i="82"/>
  <c r="P80" i="82"/>
  <c r="O80" i="82"/>
  <c r="N80" i="82"/>
  <c r="M80" i="82"/>
  <c r="L80" i="82"/>
  <c r="K80" i="82"/>
  <c r="J80" i="82"/>
  <c r="I80" i="82"/>
  <c r="H80" i="82"/>
  <c r="G80" i="82"/>
  <c r="F80" i="82"/>
  <c r="E80" i="82"/>
  <c r="D80" i="82"/>
  <c r="AJ79" i="82"/>
  <c r="AI79" i="82"/>
  <c r="AF79" i="82"/>
  <c r="AE79" i="82"/>
  <c r="AD79" i="82"/>
  <c r="AC79" i="82"/>
  <c r="AB79" i="82"/>
  <c r="AA79" i="82"/>
  <c r="Z79" i="82"/>
  <c r="Y79" i="82"/>
  <c r="X79" i="82"/>
  <c r="W79" i="82"/>
  <c r="V79" i="82"/>
  <c r="U79" i="82"/>
  <c r="T79" i="82"/>
  <c r="S79" i="82"/>
  <c r="P79" i="82"/>
  <c r="O79" i="82"/>
  <c r="N79" i="82"/>
  <c r="M79" i="82"/>
  <c r="L79" i="82"/>
  <c r="K79" i="82"/>
  <c r="J79" i="82"/>
  <c r="I79" i="82"/>
  <c r="H79" i="82"/>
  <c r="G79" i="82"/>
  <c r="F79" i="82"/>
  <c r="E79" i="82"/>
  <c r="D79" i="82"/>
  <c r="AJ78" i="82"/>
  <c r="AI78" i="82"/>
  <c r="AF78" i="82"/>
  <c r="AE78" i="82"/>
  <c r="AD78" i="82"/>
  <c r="AC78" i="82"/>
  <c r="AB78" i="82"/>
  <c r="AA78" i="82"/>
  <c r="Z78" i="82"/>
  <c r="Y78" i="82"/>
  <c r="X78" i="82"/>
  <c r="W78" i="82"/>
  <c r="V78" i="82"/>
  <c r="U78" i="82"/>
  <c r="T78" i="82"/>
  <c r="S78" i="82"/>
  <c r="P78" i="82"/>
  <c r="O78" i="82"/>
  <c r="N78" i="82"/>
  <c r="M78" i="82"/>
  <c r="L78" i="82"/>
  <c r="K78" i="82"/>
  <c r="J78" i="82"/>
  <c r="I78" i="82"/>
  <c r="H78" i="82"/>
  <c r="G78" i="82"/>
  <c r="F78" i="82"/>
  <c r="E78" i="82"/>
  <c r="D78" i="82"/>
  <c r="AJ77" i="82"/>
  <c r="AI77" i="82"/>
  <c r="AF77" i="82"/>
  <c r="AE77" i="82"/>
  <c r="AD77" i="82"/>
  <c r="AC77" i="82"/>
  <c r="AB77" i="82"/>
  <c r="AA77" i="82"/>
  <c r="Z77" i="82"/>
  <c r="Y77" i="82"/>
  <c r="X77" i="82"/>
  <c r="W77" i="82"/>
  <c r="V77" i="82"/>
  <c r="U77" i="82"/>
  <c r="T77" i="82"/>
  <c r="S77" i="82"/>
  <c r="P77" i="82"/>
  <c r="O77" i="82"/>
  <c r="N77" i="82"/>
  <c r="M77" i="82"/>
  <c r="L77" i="82"/>
  <c r="K77" i="82"/>
  <c r="J77" i="82"/>
  <c r="I77" i="82"/>
  <c r="H77" i="82"/>
  <c r="G77" i="82"/>
  <c r="F77" i="82"/>
  <c r="E77" i="82"/>
  <c r="D77" i="82"/>
  <c r="AJ76" i="82"/>
  <c r="AI76" i="82"/>
  <c r="AF76" i="82"/>
  <c r="AE76" i="82"/>
  <c r="AD76" i="82"/>
  <c r="AC76" i="82"/>
  <c r="AB76" i="82"/>
  <c r="AA76" i="82"/>
  <c r="Z76" i="82"/>
  <c r="Y76" i="82"/>
  <c r="X76" i="82"/>
  <c r="W76" i="82"/>
  <c r="V76" i="82"/>
  <c r="U76" i="82"/>
  <c r="T76" i="82"/>
  <c r="S76" i="82"/>
  <c r="P76" i="82"/>
  <c r="O76" i="82"/>
  <c r="N76" i="82"/>
  <c r="M76" i="82"/>
  <c r="L76" i="82"/>
  <c r="K76" i="82"/>
  <c r="J76" i="82"/>
  <c r="I76" i="82"/>
  <c r="H76" i="82"/>
  <c r="G76" i="82"/>
  <c r="F76" i="82"/>
  <c r="E76" i="82"/>
  <c r="D76" i="82"/>
  <c r="AJ75" i="82"/>
  <c r="AI75" i="82"/>
  <c r="AF75" i="82"/>
  <c r="AE75" i="82"/>
  <c r="AD75" i="82"/>
  <c r="AC75" i="82"/>
  <c r="AB75" i="82"/>
  <c r="AA75" i="82"/>
  <c r="Z75" i="82"/>
  <c r="Y75" i="82"/>
  <c r="X75" i="82"/>
  <c r="W75" i="82"/>
  <c r="V75" i="82"/>
  <c r="U75" i="82"/>
  <c r="T75" i="82"/>
  <c r="S75" i="82"/>
  <c r="P75" i="82"/>
  <c r="O75" i="82"/>
  <c r="N75" i="82"/>
  <c r="M75" i="82"/>
  <c r="L75" i="82"/>
  <c r="K75" i="82"/>
  <c r="J75" i="82"/>
  <c r="I75" i="82"/>
  <c r="H75" i="82"/>
  <c r="G75" i="82"/>
  <c r="F75" i="82"/>
  <c r="E75" i="82"/>
  <c r="D75" i="82"/>
  <c r="AJ74" i="82"/>
  <c r="AI74" i="82"/>
  <c r="AF74" i="82"/>
  <c r="AE74" i="82"/>
  <c r="AD74" i="82"/>
  <c r="AC74" i="82"/>
  <c r="AB74" i="82"/>
  <c r="AA74" i="82"/>
  <c r="Z74" i="82"/>
  <c r="Y74" i="82"/>
  <c r="X74" i="82"/>
  <c r="W74" i="82"/>
  <c r="V74" i="82"/>
  <c r="U74" i="82"/>
  <c r="T74" i="82"/>
  <c r="S74" i="82"/>
  <c r="P74" i="82"/>
  <c r="O74" i="82"/>
  <c r="N74" i="82"/>
  <c r="M74" i="82"/>
  <c r="L74" i="82"/>
  <c r="K74" i="82"/>
  <c r="J74" i="82"/>
  <c r="I74" i="82"/>
  <c r="H74" i="82"/>
  <c r="G74" i="82"/>
  <c r="F74" i="82"/>
  <c r="E74" i="82"/>
  <c r="D74" i="82"/>
  <c r="AJ73" i="82"/>
  <c r="AI73" i="82"/>
  <c r="AF73" i="82"/>
  <c r="AE73" i="82"/>
  <c r="AD73" i="82"/>
  <c r="AC73" i="82"/>
  <c r="AB73" i="82"/>
  <c r="AA73" i="82"/>
  <c r="Z73" i="82"/>
  <c r="Y73" i="82"/>
  <c r="X73" i="82"/>
  <c r="W73" i="82"/>
  <c r="V73" i="82"/>
  <c r="U73" i="82"/>
  <c r="T73" i="82"/>
  <c r="S73" i="82"/>
  <c r="P73" i="82"/>
  <c r="O73" i="82"/>
  <c r="N73" i="82"/>
  <c r="M73" i="82"/>
  <c r="L73" i="82"/>
  <c r="K73" i="82"/>
  <c r="J73" i="82"/>
  <c r="I73" i="82"/>
  <c r="H73" i="82"/>
  <c r="G73" i="82"/>
  <c r="F73" i="82"/>
  <c r="E73" i="82"/>
  <c r="D73" i="82"/>
  <c r="AJ72" i="82"/>
  <c r="AI72" i="82"/>
  <c r="AF72" i="82"/>
  <c r="AE72" i="82"/>
  <c r="AD72" i="82"/>
  <c r="AC72" i="82"/>
  <c r="AB72" i="82"/>
  <c r="AA72" i="82"/>
  <c r="Z72" i="82"/>
  <c r="Y72" i="82"/>
  <c r="X72" i="82"/>
  <c r="W72" i="82"/>
  <c r="V72" i="82"/>
  <c r="U72" i="82"/>
  <c r="T72" i="82"/>
  <c r="S72" i="82"/>
  <c r="P72" i="82"/>
  <c r="O72" i="82"/>
  <c r="N72" i="82"/>
  <c r="M72" i="82"/>
  <c r="L72" i="82"/>
  <c r="K72" i="82"/>
  <c r="J72" i="82"/>
  <c r="I72" i="82"/>
  <c r="H72" i="82"/>
  <c r="G72" i="82"/>
  <c r="F72" i="82"/>
  <c r="E72" i="82"/>
  <c r="D72" i="82"/>
  <c r="AJ71" i="82"/>
  <c r="AI71" i="82"/>
  <c r="AF71" i="82"/>
  <c r="AE71" i="82"/>
  <c r="AD71" i="82"/>
  <c r="AC71" i="82"/>
  <c r="AB71" i="82"/>
  <c r="AA71" i="82"/>
  <c r="Z71" i="82"/>
  <c r="Y71" i="82"/>
  <c r="X71" i="82"/>
  <c r="W71" i="82"/>
  <c r="V71" i="82"/>
  <c r="U71" i="82"/>
  <c r="T71" i="82"/>
  <c r="S71" i="82"/>
  <c r="P71" i="82"/>
  <c r="O71" i="82"/>
  <c r="N71" i="82"/>
  <c r="M71" i="82"/>
  <c r="L71" i="82"/>
  <c r="K71" i="82"/>
  <c r="J71" i="82"/>
  <c r="I71" i="82"/>
  <c r="H71" i="82"/>
  <c r="G71" i="82"/>
  <c r="F71" i="82"/>
  <c r="E71" i="82"/>
  <c r="D71" i="82"/>
  <c r="AJ70" i="82"/>
  <c r="AI70" i="82"/>
  <c r="AF70" i="82"/>
  <c r="AE70" i="82"/>
  <c r="AD70" i="82"/>
  <c r="AC70" i="82"/>
  <c r="AB70" i="82"/>
  <c r="AA70" i="82"/>
  <c r="Z70" i="82"/>
  <c r="Y70" i="82"/>
  <c r="X70" i="82"/>
  <c r="W70" i="82"/>
  <c r="V70" i="82"/>
  <c r="U70" i="82"/>
  <c r="T70" i="82"/>
  <c r="S70" i="82"/>
  <c r="P70" i="82"/>
  <c r="O70" i="82"/>
  <c r="N70" i="82"/>
  <c r="M70" i="82"/>
  <c r="L70" i="82"/>
  <c r="K70" i="82"/>
  <c r="J70" i="82"/>
  <c r="I70" i="82"/>
  <c r="H70" i="82"/>
  <c r="G70" i="82"/>
  <c r="F70" i="82"/>
  <c r="E70" i="82"/>
  <c r="D70" i="82"/>
  <c r="AJ69" i="82"/>
  <c r="AI69" i="82"/>
  <c r="AF69" i="82"/>
  <c r="AE69" i="82"/>
  <c r="AD69" i="82"/>
  <c r="AC69" i="82"/>
  <c r="AB69" i="82"/>
  <c r="AA69" i="82"/>
  <c r="Z69" i="82"/>
  <c r="Y69" i="82"/>
  <c r="X69" i="82"/>
  <c r="W69" i="82"/>
  <c r="V69" i="82"/>
  <c r="U69" i="82"/>
  <c r="T69" i="82"/>
  <c r="S69" i="82"/>
  <c r="P69" i="82"/>
  <c r="O69" i="82"/>
  <c r="N69" i="82"/>
  <c r="M69" i="82"/>
  <c r="L69" i="82"/>
  <c r="K69" i="82"/>
  <c r="J69" i="82"/>
  <c r="I69" i="82"/>
  <c r="H69" i="82"/>
  <c r="G69" i="82"/>
  <c r="F69" i="82"/>
  <c r="E69" i="82"/>
  <c r="D69" i="82"/>
  <c r="AJ68" i="82"/>
  <c r="AI68" i="82"/>
  <c r="AF68" i="82"/>
  <c r="AE68" i="82"/>
  <c r="AD68" i="82"/>
  <c r="AC68" i="82"/>
  <c r="AB68" i="82"/>
  <c r="AA68" i="82"/>
  <c r="Z68" i="82"/>
  <c r="Y68" i="82"/>
  <c r="X68" i="82"/>
  <c r="W68" i="82"/>
  <c r="V68" i="82"/>
  <c r="U68" i="82"/>
  <c r="T68" i="82"/>
  <c r="S68" i="82"/>
  <c r="P68" i="82"/>
  <c r="O68" i="82"/>
  <c r="N68" i="82"/>
  <c r="M68" i="82"/>
  <c r="L68" i="82"/>
  <c r="K68" i="82"/>
  <c r="J68" i="82"/>
  <c r="I68" i="82"/>
  <c r="H68" i="82"/>
  <c r="G68" i="82"/>
  <c r="F68" i="82"/>
  <c r="E68" i="82"/>
  <c r="D68" i="82"/>
  <c r="AJ67" i="82"/>
  <c r="AI67" i="82"/>
  <c r="AF67" i="82"/>
  <c r="AE67" i="82"/>
  <c r="AD67" i="82"/>
  <c r="AC67" i="82"/>
  <c r="AB67" i="82"/>
  <c r="AA67" i="82"/>
  <c r="Z67" i="82"/>
  <c r="Y67" i="82"/>
  <c r="X67" i="82"/>
  <c r="W67" i="82"/>
  <c r="V67" i="82"/>
  <c r="U67" i="82"/>
  <c r="T67" i="82"/>
  <c r="S67" i="82"/>
  <c r="P67" i="82"/>
  <c r="O67" i="82"/>
  <c r="N67" i="82"/>
  <c r="M67" i="82"/>
  <c r="L67" i="82"/>
  <c r="K67" i="82"/>
  <c r="J67" i="82"/>
  <c r="I67" i="82"/>
  <c r="H67" i="82"/>
  <c r="G67" i="82"/>
  <c r="F67" i="82"/>
  <c r="E67" i="82"/>
  <c r="D67" i="82"/>
  <c r="AJ66" i="82"/>
  <c r="AI66" i="82"/>
  <c r="AF66" i="82"/>
  <c r="AE66" i="82"/>
  <c r="AD66" i="82"/>
  <c r="AC66" i="82"/>
  <c r="AB66" i="82"/>
  <c r="AA66" i="82"/>
  <c r="Z66" i="82"/>
  <c r="Y66" i="82"/>
  <c r="X66" i="82"/>
  <c r="W66" i="82"/>
  <c r="V66" i="82"/>
  <c r="U66" i="82"/>
  <c r="T66" i="82"/>
  <c r="S66" i="82"/>
  <c r="P66" i="82"/>
  <c r="O66" i="82"/>
  <c r="N66" i="82"/>
  <c r="M66" i="82"/>
  <c r="L66" i="82"/>
  <c r="K66" i="82"/>
  <c r="J66" i="82"/>
  <c r="I66" i="82"/>
  <c r="H66" i="82"/>
  <c r="G66" i="82"/>
  <c r="F66" i="82"/>
  <c r="E66" i="82"/>
  <c r="D66" i="82"/>
  <c r="AJ65" i="82"/>
  <c r="AI65" i="82"/>
  <c r="AF65" i="82"/>
  <c r="AE65" i="82"/>
  <c r="AD65" i="82"/>
  <c r="AC65" i="82"/>
  <c r="AB65" i="82"/>
  <c r="AA65" i="82"/>
  <c r="Z65" i="82"/>
  <c r="Y65" i="82"/>
  <c r="X65" i="82"/>
  <c r="W65" i="82"/>
  <c r="V65" i="82"/>
  <c r="U65" i="82"/>
  <c r="T65" i="82"/>
  <c r="S65" i="82"/>
  <c r="P65" i="82"/>
  <c r="O65" i="82"/>
  <c r="N65" i="82"/>
  <c r="M65" i="82"/>
  <c r="L65" i="82"/>
  <c r="K65" i="82"/>
  <c r="J65" i="82"/>
  <c r="I65" i="82"/>
  <c r="H65" i="82"/>
  <c r="G65" i="82"/>
  <c r="F65" i="82"/>
  <c r="E65" i="82"/>
  <c r="D65" i="82"/>
  <c r="AJ64" i="82"/>
  <c r="AI64" i="82"/>
  <c r="AF64" i="82"/>
  <c r="AE64" i="82"/>
  <c r="AD64" i="82"/>
  <c r="AC64" i="82"/>
  <c r="AB64" i="82"/>
  <c r="AA64" i="82"/>
  <c r="Z64" i="82"/>
  <c r="Y64" i="82"/>
  <c r="X64" i="82"/>
  <c r="W64" i="82"/>
  <c r="V64" i="82"/>
  <c r="U64" i="82"/>
  <c r="T64" i="82"/>
  <c r="S64" i="82"/>
  <c r="P64" i="82"/>
  <c r="O64" i="82"/>
  <c r="N64" i="82"/>
  <c r="M64" i="82"/>
  <c r="L64" i="82"/>
  <c r="K64" i="82"/>
  <c r="J64" i="82"/>
  <c r="I64" i="82"/>
  <c r="H64" i="82"/>
  <c r="G64" i="82"/>
  <c r="F64" i="82"/>
  <c r="E64" i="82"/>
  <c r="D64" i="82"/>
  <c r="AJ63" i="82"/>
  <c r="AF63" i="82"/>
  <c r="AE63" i="82"/>
  <c r="AD63" i="82"/>
  <c r="AC63" i="82"/>
  <c r="AB63" i="82"/>
  <c r="AA63" i="82"/>
  <c r="Z63" i="82"/>
  <c r="Y63" i="82"/>
  <c r="X63" i="82"/>
  <c r="W63" i="82"/>
  <c r="V63" i="82"/>
  <c r="U63" i="82"/>
  <c r="T63" i="82"/>
  <c r="S63" i="82"/>
  <c r="P63" i="82"/>
  <c r="O63" i="82"/>
  <c r="N63" i="82"/>
  <c r="M63" i="82"/>
  <c r="L63" i="82"/>
  <c r="K63" i="82"/>
  <c r="J63" i="82"/>
  <c r="I63" i="82"/>
  <c r="H63" i="82"/>
  <c r="G63" i="82"/>
  <c r="F63" i="82"/>
  <c r="E63" i="82"/>
  <c r="D63" i="82"/>
  <c r="AJ62" i="82"/>
  <c r="AF62" i="82"/>
  <c r="AE62" i="82"/>
  <c r="AD62" i="82"/>
  <c r="AC62" i="82"/>
  <c r="AB62" i="82"/>
  <c r="AA62" i="82"/>
  <c r="Z62" i="82"/>
  <c r="Y62" i="82"/>
  <c r="X62" i="82"/>
  <c r="W62" i="82"/>
  <c r="V62" i="82"/>
  <c r="U62" i="82"/>
  <c r="T62" i="82"/>
  <c r="S62" i="82"/>
  <c r="P62" i="82"/>
  <c r="O62" i="82"/>
  <c r="N62" i="82"/>
  <c r="M62" i="82"/>
  <c r="L62" i="82"/>
  <c r="K62" i="82"/>
  <c r="J62" i="82"/>
  <c r="I62" i="82"/>
  <c r="H62" i="82"/>
  <c r="G62" i="82"/>
  <c r="F62" i="82"/>
  <c r="E62" i="82"/>
  <c r="D62" i="82"/>
  <c r="AJ61" i="82"/>
  <c r="AF61" i="82"/>
  <c r="AE61" i="82"/>
  <c r="AD61" i="82"/>
  <c r="AC61" i="82"/>
  <c r="AB61" i="82"/>
  <c r="AA61" i="82"/>
  <c r="Z61" i="82"/>
  <c r="Y61" i="82"/>
  <c r="X61" i="82"/>
  <c r="W61" i="82"/>
  <c r="V61" i="82"/>
  <c r="U61" i="82"/>
  <c r="T61" i="82"/>
  <c r="S61" i="82"/>
  <c r="P61" i="82"/>
  <c r="O61" i="82"/>
  <c r="N61" i="82"/>
  <c r="M61" i="82"/>
  <c r="L61" i="82"/>
  <c r="K61" i="82"/>
  <c r="J61" i="82"/>
  <c r="I61" i="82"/>
  <c r="H61" i="82"/>
  <c r="G61" i="82"/>
  <c r="F61" i="82"/>
  <c r="E61" i="82"/>
  <c r="D61" i="82"/>
  <c r="AJ60" i="82"/>
  <c r="AF60" i="82"/>
  <c r="AE60" i="82"/>
  <c r="AD60" i="82"/>
  <c r="AC60" i="82"/>
  <c r="AB60" i="82"/>
  <c r="AA60" i="82"/>
  <c r="Z60" i="82"/>
  <c r="Y60" i="82"/>
  <c r="X60" i="82"/>
  <c r="W60" i="82"/>
  <c r="V60" i="82"/>
  <c r="U60" i="82"/>
  <c r="T60" i="82"/>
  <c r="S60" i="82"/>
  <c r="P60" i="82"/>
  <c r="O60" i="82"/>
  <c r="N60" i="82"/>
  <c r="M60" i="82"/>
  <c r="L60" i="82"/>
  <c r="K60" i="82"/>
  <c r="J60" i="82"/>
  <c r="I60" i="82"/>
  <c r="H60" i="82"/>
  <c r="G60" i="82"/>
  <c r="F60" i="82"/>
  <c r="E60" i="82"/>
  <c r="D60" i="82"/>
  <c r="AJ59" i="82"/>
  <c r="AF59" i="82"/>
  <c r="AE59" i="82"/>
  <c r="AD59" i="82"/>
  <c r="AC59" i="82"/>
  <c r="AB59" i="82"/>
  <c r="AA59" i="82"/>
  <c r="Z59" i="82"/>
  <c r="Y59" i="82"/>
  <c r="X59" i="82"/>
  <c r="W59" i="82"/>
  <c r="V59" i="82"/>
  <c r="U59" i="82"/>
  <c r="T59" i="82"/>
  <c r="S59" i="82"/>
  <c r="P59" i="82"/>
  <c r="O59" i="82"/>
  <c r="N59" i="82"/>
  <c r="M59" i="82"/>
  <c r="L59" i="82"/>
  <c r="K59" i="82"/>
  <c r="J59" i="82"/>
  <c r="I59" i="82"/>
  <c r="H59" i="82"/>
  <c r="G59" i="82"/>
  <c r="F59" i="82"/>
  <c r="E59" i="82"/>
  <c r="D59" i="82"/>
  <c r="AJ58" i="82"/>
  <c r="AF58" i="82"/>
  <c r="AE58" i="82"/>
  <c r="AD58" i="82"/>
  <c r="AC58" i="82"/>
  <c r="AB58" i="82"/>
  <c r="AA58" i="82"/>
  <c r="Z58" i="82"/>
  <c r="Y58" i="82"/>
  <c r="X58" i="82"/>
  <c r="W58" i="82"/>
  <c r="V58" i="82"/>
  <c r="U58" i="82"/>
  <c r="T58" i="82"/>
  <c r="S58" i="82"/>
  <c r="P58" i="82"/>
  <c r="O58" i="82"/>
  <c r="N58" i="82"/>
  <c r="M58" i="82"/>
  <c r="L58" i="82"/>
  <c r="K58" i="82"/>
  <c r="J58" i="82"/>
  <c r="I58" i="82"/>
  <c r="H58" i="82"/>
  <c r="G58" i="82"/>
  <c r="F58" i="82"/>
  <c r="E58" i="82"/>
  <c r="D58" i="82"/>
  <c r="AJ57" i="82"/>
  <c r="AF57" i="82"/>
  <c r="AE57" i="82"/>
  <c r="AD57" i="82"/>
  <c r="AC57" i="82"/>
  <c r="AB57" i="82"/>
  <c r="AA57" i="82"/>
  <c r="Z57" i="82"/>
  <c r="Y57" i="82"/>
  <c r="X57" i="82"/>
  <c r="W57" i="82"/>
  <c r="V57" i="82"/>
  <c r="U57" i="82"/>
  <c r="T57" i="82"/>
  <c r="S57" i="82"/>
  <c r="P57" i="82"/>
  <c r="O57" i="82"/>
  <c r="N57" i="82"/>
  <c r="M57" i="82"/>
  <c r="L57" i="82"/>
  <c r="K57" i="82"/>
  <c r="J57" i="82"/>
  <c r="I57" i="82"/>
  <c r="H57" i="82"/>
  <c r="G57" i="82"/>
  <c r="F57" i="82"/>
  <c r="E57" i="82"/>
  <c r="D57" i="82"/>
  <c r="AJ56" i="82"/>
  <c r="AF56" i="82"/>
  <c r="AE56" i="82"/>
  <c r="AD56" i="82"/>
  <c r="AC56" i="82"/>
  <c r="AB56" i="82"/>
  <c r="AA56" i="82"/>
  <c r="Z56" i="82"/>
  <c r="Y56" i="82"/>
  <c r="X56" i="82"/>
  <c r="W56" i="82"/>
  <c r="V56" i="82"/>
  <c r="U56" i="82"/>
  <c r="T56" i="82"/>
  <c r="S56" i="82"/>
  <c r="P56" i="82"/>
  <c r="O56" i="82"/>
  <c r="N56" i="82"/>
  <c r="M56" i="82"/>
  <c r="L56" i="82"/>
  <c r="K56" i="82"/>
  <c r="J56" i="82"/>
  <c r="I56" i="82"/>
  <c r="H56" i="82"/>
  <c r="G56" i="82"/>
  <c r="F56" i="82"/>
  <c r="E56" i="82"/>
  <c r="D56" i="82"/>
  <c r="AJ55" i="82"/>
  <c r="AF55" i="82"/>
  <c r="AE55" i="82"/>
  <c r="AD55" i="82"/>
  <c r="AC55" i="82"/>
  <c r="AB55" i="82"/>
  <c r="AA55" i="82"/>
  <c r="Z55" i="82"/>
  <c r="Y55" i="82"/>
  <c r="X55" i="82"/>
  <c r="W55" i="82"/>
  <c r="V55" i="82"/>
  <c r="U55" i="82"/>
  <c r="T55" i="82"/>
  <c r="S55" i="82"/>
  <c r="P55" i="82"/>
  <c r="O55" i="82"/>
  <c r="N55" i="82"/>
  <c r="M55" i="82"/>
  <c r="L55" i="82"/>
  <c r="K55" i="82"/>
  <c r="J55" i="82"/>
  <c r="I55" i="82"/>
  <c r="H55" i="82"/>
  <c r="G55" i="82"/>
  <c r="F55" i="82"/>
  <c r="E55" i="82"/>
  <c r="D55" i="82"/>
  <c r="AJ54" i="82"/>
  <c r="AF54" i="82"/>
  <c r="AE54" i="82"/>
  <c r="AD54" i="82"/>
  <c r="AC54" i="82"/>
  <c r="AB54" i="82"/>
  <c r="AA54" i="82"/>
  <c r="Z54" i="82"/>
  <c r="Y54" i="82"/>
  <c r="X54" i="82"/>
  <c r="W54" i="82"/>
  <c r="V54" i="82"/>
  <c r="U54" i="82"/>
  <c r="T54" i="82"/>
  <c r="S54" i="82"/>
  <c r="P54" i="82"/>
  <c r="O54" i="82"/>
  <c r="N54" i="82"/>
  <c r="M54" i="82"/>
  <c r="L54" i="82"/>
  <c r="K54" i="82"/>
  <c r="J54" i="82"/>
  <c r="I54" i="82"/>
  <c r="H54" i="82"/>
  <c r="G54" i="82"/>
  <c r="F54" i="82"/>
  <c r="E54" i="82"/>
  <c r="D54" i="82"/>
  <c r="AJ53" i="82"/>
  <c r="AF53" i="82"/>
  <c r="AE53" i="82"/>
  <c r="AD53" i="82"/>
  <c r="AC53" i="82"/>
  <c r="AB53" i="82"/>
  <c r="AA53" i="82"/>
  <c r="Z53" i="82"/>
  <c r="Y53" i="82"/>
  <c r="X53" i="82"/>
  <c r="W53" i="82"/>
  <c r="V53" i="82"/>
  <c r="U53" i="82"/>
  <c r="T53" i="82"/>
  <c r="S53" i="82"/>
  <c r="P53" i="82"/>
  <c r="O53" i="82"/>
  <c r="N53" i="82"/>
  <c r="M53" i="82"/>
  <c r="L53" i="82"/>
  <c r="K53" i="82"/>
  <c r="J53" i="82"/>
  <c r="I53" i="82"/>
  <c r="H53" i="82"/>
  <c r="G53" i="82"/>
  <c r="F53" i="82"/>
  <c r="E53" i="82"/>
  <c r="D53" i="82"/>
  <c r="AJ52" i="82"/>
  <c r="AF52" i="82"/>
  <c r="AE52" i="82"/>
  <c r="AD52" i="82"/>
  <c r="AC52" i="82"/>
  <c r="AB52" i="82"/>
  <c r="AA52" i="82"/>
  <c r="Z52" i="82"/>
  <c r="Y52" i="82"/>
  <c r="X52" i="82"/>
  <c r="W52" i="82"/>
  <c r="V52" i="82"/>
  <c r="U52" i="82"/>
  <c r="T52" i="82"/>
  <c r="S52" i="82"/>
  <c r="P52" i="82"/>
  <c r="O52" i="82"/>
  <c r="N52" i="82"/>
  <c r="M52" i="82"/>
  <c r="L52" i="82"/>
  <c r="K52" i="82"/>
  <c r="J52" i="82"/>
  <c r="I52" i="82"/>
  <c r="H52" i="82"/>
  <c r="G52" i="82"/>
  <c r="F52" i="82"/>
  <c r="E52" i="82"/>
  <c r="D52" i="82"/>
  <c r="AJ51" i="82"/>
  <c r="AF51" i="82"/>
  <c r="AE51" i="82"/>
  <c r="AD51" i="82"/>
  <c r="AC51" i="82"/>
  <c r="AB51" i="82"/>
  <c r="AA51" i="82"/>
  <c r="Z51" i="82"/>
  <c r="Y51" i="82"/>
  <c r="X51" i="82"/>
  <c r="W51" i="82"/>
  <c r="V51" i="82"/>
  <c r="U51" i="82"/>
  <c r="T51" i="82"/>
  <c r="S51" i="82"/>
  <c r="P51" i="82"/>
  <c r="O51" i="82"/>
  <c r="N51" i="82"/>
  <c r="M51" i="82"/>
  <c r="L51" i="82"/>
  <c r="K51" i="82"/>
  <c r="J51" i="82"/>
  <c r="I51" i="82"/>
  <c r="H51" i="82"/>
  <c r="G51" i="82"/>
  <c r="F51" i="82"/>
  <c r="E51" i="82"/>
  <c r="D51" i="82"/>
  <c r="AJ50" i="82"/>
  <c r="AF50" i="82"/>
  <c r="AE50" i="82"/>
  <c r="AD50" i="82"/>
  <c r="AC50" i="82"/>
  <c r="AB50" i="82"/>
  <c r="AA50" i="82"/>
  <c r="Z50" i="82"/>
  <c r="Y50" i="82"/>
  <c r="X50" i="82"/>
  <c r="W50" i="82"/>
  <c r="V50" i="82"/>
  <c r="U50" i="82"/>
  <c r="T50" i="82"/>
  <c r="S50" i="82"/>
  <c r="P50" i="82"/>
  <c r="O50" i="82"/>
  <c r="N50" i="82"/>
  <c r="M50" i="82"/>
  <c r="L50" i="82"/>
  <c r="K50" i="82"/>
  <c r="J50" i="82"/>
  <c r="I50" i="82"/>
  <c r="H50" i="82"/>
  <c r="G50" i="82"/>
  <c r="F50" i="82"/>
  <c r="E50" i="82"/>
  <c r="D50" i="82"/>
  <c r="AJ49" i="82"/>
  <c r="AF49" i="82"/>
  <c r="AE49" i="82"/>
  <c r="AD49" i="82"/>
  <c r="AC49" i="82"/>
  <c r="AB49" i="82"/>
  <c r="AA49" i="82"/>
  <c r="Z49" i="82"/>
  <c r="Y49" i="82"/>
  <c r="X49" i="82"/>
  <c r="W49" i="82"/>
  <c r="V49" i="82"/>
  <c r="U49" i="82"/>
  <c r="T49" i="82"/>
  <c r="S49" i="82"/>
  <c r="P49" i="82"/>
  <c r="O49" i="82"/>
  <c r="N49" i="82"/>
  <c r="M49" i="82"/>
  <c r="L49" i="82"/>
  <c r="K49" i="82"/>
  <c r="J49" i="82"/>
  <c r="I49" i="82"/>
  <c r="H49" i="82"/>
  <c r="G49" i="82"/>
  <c r="F49" i="82"/>
  <c r="E49" i="82"/>
  <c r="D49" i="82"/>
  <c r="AJ48" i="82"/>
  <c r="AF48" i="82"/>
  <c r="AE48" i="82"/>
  <c r="AD48" i="82"/>
  <c r="AC48" i="82"/>
  <c r="AB48" i="82"/>
  <c r="AA48" i="82"/>
  <c r="Z48" i="82"/>
  <c r="Y48" i="82"/>
  <c r="X48" i="82"/>
  <c r="W48" i="82"/>
  <c r="V48" i="82"/>
  <c r="U48" i="82"/>
  <c r="T48" i="82"/>
  <c r="S48" i="82"/>
  <c r="P48" i="82"/>
  <c r="O48" i="82"/>
  <c r="N48" i="82"/>
  <c r="M48" i="82"/>
  <c r="L48" i="82"/>
  <c r="K48" i="82"/>
  <c r="J48" i="82"/>
  <c r="I48" i="82"/>
  <c r="H48" i="82"/>
  <c r="G48" i="82"/>
  <c r="F48" i="82"/>
  <c r="E48" i="82"/>
  <c r="D48" i="82"/>
  <c r="AJ47" i="82"/>
  <c r="AF47" i="82"/>
  <c r="AE47" i="82"/>
  <c r="AD47" i="82"/>
  <c r="AC47" i="82"/>
  <c r="AB47" i="82"/>
  <c r="AA47" i="82"/>
  <c r="Z47" i="82"/>
  <c r="Y47" i="82"/>
  <c r="X47" i="82"/>
  <c r="W47" i="82"/>
  <c r="V47" i="82"/>
  <c r="U47" i="82"/>
  <c r="T47" i="82"/>
  <c r="S47" i="82"/>
  <c r="P47" i="82"/>
  <c r="O47" i="82"/>
  <c r="N47" i="82"/>
  <c r="M47" i="82"/>
  <c r="L47" i="82"/>
  <c r="K47" i="82"/>
  <c r="J47" i="82"/>
  <c r="I47" i="82"/>
  <c r="H47" i="82"/>
  <c r="G47" i="82"/>
  <c r="F47" i="82"/>
  <c r="E47" i="82"/>
  <c r="D47" i="82"/>
  <c r="AJ46" i="82"/>
  <c r="AF46" i="82"/>
  <c r="AE46" i="82"/>
  <c r="AD46" i="82"/>
  <c r="AC46" i="82"/>
  <c r="AB46" i="82"/>
  <c r="AA46" i="82"/>
  <c r="Z46" i="82"/>
  <c r="Y46" i="82"/>
  <c r="X46" i="82"/>
  <c r="W46" i="82"/>
  <c r="V46" i="82"/>
  <c r="U46" i="82"/>
  <c r="T46" i="82"/>
  <c r="S46" i="82"/>
  <c r="P46" i="82"/>
  <c r="O46" i="82"/>
  <c r="N46" i="82"/>
  <c r="M46" i="82"/>
  <c r="L46" i="82"/>
  <c r="K46" i="82"/>
  <c r="J46" i="82"/>
  <c r="I46" i="82"/>
  <c r="H46" i="82"/>
  <c r="G46" i="82"/>
  <c r="F46" i="82"/>
  <c r="E46" i="82"/>
  <c r="D46" i="82"/>
  <c r="AJ45" i="82"/>
  <c r="AF45" i="82"/>
  <c r="AE45" i="82"/>
  <c r="AD45" i="82"/>
  <c r="AC45" i="82"/>
  <c r="AB45" i="82"/>
  <c r="AA45" i="82"/>
  <c r="Z45" i="82"/>
  <c r="Y45" i="82"/>
  <c r="X45" i="82"/>
  <c r="W45" i="82"/>
  <c r="V45" i="82"/>
  <c r="U45" i="82"/>
  <c r="T45" i="82"/>
  <c r="S45" i="82"/>
  <c r="P45" i="82"/>
  <c r="O45" i="82"/>
  <c r="N45" i="82"/>
  <c r="M45" i="82"/>
  <c r="L45" i="82"/>
  <c r="K45" i="82"/>
  <c r="J45" i="82"/>
  <c r="I45" i="82"/>
  <c r="H45" i="82"/>
  <c r="G45" i="82"/>
  <c r="F45" i="82"/>
  <c r="E45" i="82"/>
  <c r="D45" i="82"/>
  <c r="AJ44" i="82"/>
  <c r="AF44" i="82"/>
  <c r="AE44" i="82"/>
  <c r="AD44" i="82"/>
  <c r="AC44" i="82"/>
  <c r="AB44" i="82"/>
  <c r="AA44" i="82"/>
  <c r="Z44" i="82"/>
  <c r="Y44" i="82"/>
  <c r="X44" i="82"/>
  <c r="W44" i="82"/>
  <c r="V44" i="82"/>
  <c r="U44" i="82"/>
  <c r="T44" i="82"/>
  <c r="S44" i="82"/>
  <c r="P44" i="82"/>
  <c r="O44" i="82"/>
  <c r="N44" i="82"/>
  <c r="M44" i="82"/>
  <c r="L44" i="82"/>
  <c r="K44" i="82"/>
  <c r="J44" i="82"/>
  <c r="I44" i="82"/>
  <c r="H44" i="82"/>
  <c r="G44" i="82"/>
  <c r="F44" i="82"/>
  <c r="E44" i="82"/>
  <c r="D44" i="82"/>
  <c r="AJ43" i="82"/>
  <c r="AF43" i="82"/>
  <c r="AE43" i="82"/>
  <c r="AD43" i="82"/>
  <c r="AC43" i="82"/>
  <c r="AB43" i="82"/>
  <c r="AA43" i="82"/>
  <c r="Z43" i="82"/>
  <c r="Y43" i="82"/>
  <c r="X43" i="82"/>
  <c r="W43" i="82"/>
  <c r="V43" i="82"/>
  <c r="U43" i="82"/>
  <c r="T43" i="82"/>
  <c r="S43" i="82"/>
  <c r="P43" i="82"/>
  <c r="O43" i="82"/>
  <c r="N43" i="82"/>
  <c r="M43" i="82"/>
  <c r="L43" i="82"/>
  <c r="K43" i="82"/>
  <c r="J43" i="82"/>
  <c r="I43" i="82"/>
  <c r="H43" i="82"/>
  <c r="G43" i="82"/>
  <c r="F43" i="82"/>
  <c r="E43" i="82"/>
  <c r="D43" i="82"/>
  <c r="AJ42" i="82"/>
  <c r="AF42" i="82"/>
  <c r="AE42" i="82"/>
  <c r="AD42" i="82"/>
  <c r="AC42" i="82"/>
  <c r="AB42" i="82"/>
  <c r="AA42" i="82"/>
  <c r="Z42" i="82"/>
  <c r="Y42" i="82"/>
  <c r="X42" i="82"/>
  <c r="W42" i="82"/>
  <c r="V42" i="82"/>
  <c r="U42" i="82"/>
  <c r="T42" i="82"/>
  <c r="S42" i="82"/>
  <c r="P42" i="82"/>
  <c r="O42" i="82"/>
  <c r="N42" i="82"/>
  <c r="M42" i="82"/>
  <c r="L42" i="82"/>
  <c r="K42" i="82"/>
  <c r="J42" i="82"/>
  <c r="I42" i="82"/>
  <c r="H42" i="82"/>
  <c r="G42" i="82"/>
  <c r="F42" i="82"/>
  <c r="E42" i="82"/>
  <c r="D42" i="82"/>
  <c r="AJ41" i="82"/>
  <c r="AF41" i="82"/>
  <c r="AE41" i="82"/>
  <c r="AD41" i="82"/>
  <c r="AC41" i="82"/>
  <c r="AB41" i="82"/>
  <c r="AA41" i="82"/>
  <c r="Z41" i="82"/>
  <c r="Y41" i="82"/>
  <c r="X41" i="82"/>
  <c r="W41" i="82"/>
  <c r="V41" i="82"/>
  <c r="U41" i="82"/>
  <c r="T41" i="82"/>
  <c r="S41" i="82"/>
  <c r="P41" i="82"/>
  <c r="O41" i="82"/>
  <c r="N41" i="82"/>
  <c r="M41" i="82"/>
  <c r="L41" i="82"/>
  <c r="K41" i="82"/>
  <c r="J41" i="82"/>
  <c r="I41" i="82"/>
  <c r="H41" i="82"/>
  <c r="G41" i="82"/>
  <c r="F41" i="82"/>
  <c r="E41" i="82"/>
  <c r="D41" i="82"/>
  <c r="AJ40" i="82"/>
  <c r="AF40" i="82"/>
  <c r="AE40" i="82"/>
  <c r="AD40" i="82"/>
  <c r="AC40" i="82"/>
  <c r="AB40" i="82"/>
  <c r="AA40" i="82"/>
  <c r="Z40" i="82"/>
  <c r="Y40" i="82"/>
  <c r="X40" i="82"/>
  <c r="W40" i="82"/>
  <c r="V40" i="82"/>
  <c r="U40" i="82"/>
  <c r="T40" i="82"/>
  <c r="S40" i="82"/>
  <c r="P40" i="82"/>
  <c r="O40" i="82"/>
  <c r="N40" i="82"/>
  <c r="M40" i="82"/>
  <c r="L40" i="82"/>
  <c r="K40" i="82"/>
  <c r="J40" i="82"/>
  <c r="I40" i="82"/>
  <c r="H40" i="82"/>
  <c r="G40" i="82"/>
  <c r="F40" i="82"/>
  <c r="E40" i="82"/>
  <c r="D40" i="82"/>
  <c r="AJ39" i="82"/>
  <c r="AF39" i="82"/>
  <c r="AE39" i="82"/>
  <c r="AD39" i="82"/>
  <c r="AC39" i="82"/>
  <c r="AB39" i="82"/>
  <c r="AA39" i="82"/>
  <c r="Z39" i="82"/>
  <c r="Y39" i="82"/>
  <c r="X39" i="82"/>
  <c r="W39" i="82"/>
  <c r="V39" i="82"/>
  <c r="U39" i="82"/>
  <c r="T39" i="82"/>
  <c r="S39" i="82"/>
  <c r="P39" i="82"/>
  <c r="O39" i="82"/>
  <c r="N39" i="82"/>
  <c r="M39" i="82"/>
  <c r="L39" i="82"/>
  <c r="K39" i="82"/>
  <c r="J39" i="82"/>
  <c r="I39" i="82"/>
  <c r="H39" i="82"/>
  <c r="G39" i="82"/>
  <c r="F39" i="82"/>
  <c r="E39" i="82"/>
  <c r="D39" i="82"/>
  <c r="AJ38" i="82"/>
  <c r="AF38" i="82"/>
  <c r="AE38" i="82"/>
  <c r="AD38" i="82"/>
  <c r="AC38" i="82"/>
  <c r="AB38" i="82"/>
  <c r="AA38" i="82"/>
  <c r="Z38" i="82"/>
  <c r="Y38" i="82"/>
  <c r="X38" i="82"/>
  <c r="W38" i="82"/>
  <c r="V38" i="82"/>
  <c r="U38" i="82"/>
  <c r="T38" i="82"/>
  <c r="S38" i="82"/>
  <c r="P38" i="82"/>
  <c r="O38" i="82"/>
  <c r="N38" i="82"/>
  <c r="M38" i="82"/>
  <c r="L38" i="82"/>
  <c r="K38" i="82"/>
  <c r="J38" i="82"/>
  <c r="I38" i="82"/>
  <c r="H38" i="82"/>
  <c r="G38" i="82"/>
  <c r="F38" i="82"/>
  <c r="E38" i="82"/>
  <c r="D38" i="82"/>
  <c r="AJ37" i="82"/>
  <c r="AF37" i="82"/>
  <c r="AE37" i="82"/>
  <c r="AD37" i="82"/>
  <c r="AC37" i="82"/>
  <c r="AB37" i="82"/>
  <c r="AA37" i="82"/>
  <c r="Z37" i="82"/>
  <c r="Y37" i="82"/>
  <c r="X37" i="82"/>
  <c r="W37" i="82"/>
  <c r="V37" i="82"/>
  <c r="U37" i="82"/>
  <c r="T37" i="82"/>
  <c r="S37" i="82"/>
  <c r="P37" i="82"/>
  <c r="O37" i="82"/>
  <c r="N37" i="82"/>
  <c r="M37" i="82"/>
  <c r="L37" i="82"/>
  <c r="K37" i="82"/>
  <c r="J37" i="82"/>
  <c r="I37" i="82"/>
  <c r="H37" i="82"/>
  <c r="G37" i="82"/>
  <c r="F37" i="82"/>
  <c r="E37" i="82"/>
  <c r="D37" i="82"/>
  <c r="AJ36" i="82"/>
  <c r="AF36" i="82"/>
  <c r="AE36" i="82"/>
  <c r="AD36" i="82"/>
  <c r="AC36" i="82"/>
  <c r="AB36" i="82"/>
  <c r="AA36" i="82"/>
  <c r="Z36" i="82"/>
  <c r="Y36" i="82"/>
  <c r="X36" i="82"/>
  <c r="W36" i="82"/>
  <c r="V36" i="82"/>
  <c r="U36" i="82"/>
  <c r="T36" i="82"/>
  <c r="S36" i="82"/>
  <c r="P36" i="82"/>
  <c r="O36" i="82"/>
  <c r="N36" i="82"/>
  <c r="M36" i="82"/>
  <c r="L36" i="82"/>
  <c r="K36" i="82"/>
  <c r="J36" i="82"/>
  <c r="I36" i="82"/>
  <c r="H36" i="82"/>
  <c r="G36" i="82"/>
  <c r="F36" i="82"/>
  <c r="E36" i="82"/>
  <c r="D36" i="82"/>
  <c r="AJ35" i="82"/>
  <c r="AF35" i="82"/>
  <c r="AE35" i="82"/>
  <c r="AD35" i="82"/>
  <c r="AC35" i="82"/>
  <c r="AB35" i="82"/>
  <c r="AA35" i="82"/>
  <c r="Z35" i="82"/>
  <c r="Y35" i="82"/>
  <c r="X35" i="82"/>
  <c r="W35" i="82"/>
  <c r="V35" i="82"/>
  <c r="U35" i="82"/>
  <c r="T35" i="82"/>
  <c r="S35" i="82"/>
  <c r="P35" i="82"/>
  <c r="O35" i="82"/>
  <c r="N35" i="82"/>
  <c r="M35" i="82"/>
  <c r="L35" i="82"/>
  <c r="K35" i="82"/>
  <c r="J35" i="82"/>
  <c r="I35" i="82"/>
  <c r="H35" i="82"/>
  <c r="G35" i="82"/>
  <c r="F35" i="82"/>
  <c r="E35" i="82"/>
  <c r="D35" i="82"/>
  <c r="AJ34" i="82"/>
  <c r="AF34" i="82"/>
  <c r="AE34" i="82"/>
  <c r="AD34" i="82"/>
  <c r="AC34" i="82"/>
  <c r="AB34" i="82"/>
  <c r="AA34" i="82"/>
  <c r="Z34" i="82"/>
  <c r="Y34" i="82"/>
  <c r="X34" i="82"/>
  <c r="W34" i="82"/>
  <c r="V34" i="82"/>
  <c r="U34" i="82"/>
  <c r="T34" i="82"/>
  <c r="S34" i="82"/>
  <c r="P34" i="82"/>
  <c r="O34" i="82"/>
  <c r="N34" i="82"/>
  <c r="M34" i="82"/>
  <c r="L34" i="82"/>
  <c r="K34" i="82"/>
  <c r="J34" i="82"/>
  <c r="I34" i="82"/>
  <c r="H34" i="82"/>
  <c r="G34" i="82"/>
  <c r="F34" i="82"/>
  <c r="E34" i="82"/>
  <c r="D34" i="82"/>
  <c r="AJ33" i="82"/>
  <c r="AF33" i="82"/>
  <c r="AE33" i="82"/>
  <c r="AD33" i="82"/>
  <c r="AC33" i="82"/>
  <c r="AB33" i="82"/>
  <c r="AA33" i="82"/>
  <c r="Z33" i="82"/>
  <c r="Y33" i="82"/>
  <c r="X33" i="82"/>
  <c r="W33" i="82"/>
  <c r="V33" i="82"/>
  <c r="U33" i="82"/>
  <c r="T33" i="82"/>
  <c r="S33" i="82"/>
  <c r="P33" i="82"/>
  <c r="O33" i="82"/>
  <c r="N33" i="82"/>
  <c r="M33" i="82"/>
  <c r="L33" i="82"/>
  <c r="K33" i="82"/>
  <c r="J33" i="82"/>
  <c r="I33" i="82"/>
  <c r="H33" i="82"/>
  <c r="G33" i="82"/>
  <c r="F33" i="82"/>
  <c r="E33" i="82"/>
  <c r="D33" i="82"/>
  <c r="AJ32" i="82"/>
  <c r="AF32" i="82"/>
  <c r="AE32" i="82"/>
  <c r="AD32" i="82"/>
  <c r="AC32" i="82"/>
  <c r="AB32" i="82"/>
  <c r="AA32" i="82"/>
  <c r="Z32" i="82"/>
  <c r="Y32" i="82"/>
  <c r="X32" i="82"/>
  <c r="W32" i="82"/>
  <c r="V32" i="82"/>
  <c r="U32" i="82"/>
  <c r="T32" i="82"/>
  <c r="S32" i="82"/>
  <c r="P32" i="82"/>
  <c r="O32" i="82"/>
  <c r="N32" i="82"/>
  <c r="M32" i="82"/>
  <c r="L32" i="82"/>
  <c r="K32" i="82"/>
  <c r="J32" i="82"/>
  <c r="I32" i="82"/>
  <c r="H32" i="82"/>
  <c r="G32" i="82"/>
  <c r="F32" i="82"/>
  <c r="E32" i="82"/>
  <c r="D32" i="82"/>
  <c r="AJ31" i="82"/>
  <c r="AF31" i="82"/>
  <c r="AE31" i="82"/>
  <c r="AD31" i="82"/>
  <c r="AC31" i="82"/>
  <c r="AB31" i="82"/>
  <c r="AA31" i="82"/>
  <c r="Z31" i="82"/>
  <c r="Y31" i="82"/>
  <c r="X31" i="82"/>
  <c r="W31" i="82"/>
  <c r="V31" i="82"/>
  <c r="U31" i="82"/>
  <c r="T31" i="82"/>
  <c r="S31" i="82"/>
  <c r="P31" i="82"/>
  <c r="O31" i="82"/>
  <c r="N31" i="82"/>
  <c r="M31" i="82"/>
  <c r="L31" i="82"/>
  <c r="K31" i="82"/>
  <c r="J31" i="82"/>
  <c r="I31" i="82"/>
  <c r="H31" i="82"/>
  <c r="G31" i="82"/>
  <c r="F31" i="82"/>
  <c r="E31" i="82"/>
  <c r="D31" i="82"/>
  <c r="AJ30" i="82"/>
  <c r="AF30" i="82"/>
  <c r="AE30" i="82"/>
  <c r="AD30" i="82"/>
  <c r="AC30" i="82"/>
  <c r="AB30" i="82"/>
  <c r="AA30" i="82"/>
  <c r="Z30" i="82"/>
  <c r="Y30" i="82"/>
  <c r="X30" i="82"/>
  <c r="W30" i="82"/>
  <c r="V30" i="82"/>
  <c r="U30" i="82"/>
  <c r="T30" i="82"/>
  <c r="S30" i="82"/>
  <c r="P30" i="82"/>
  <c r="O30" i="82"/>
  <c r="N30" i="82"/>
  <c r="M30" i="82"/>
  <c r="L30" i="82"/>
  <c r="K30" i="82"/>
  <c r="J30" i="82"/>
  <c r="I30" i="82"/>
  <c r="H30" i="82"/>
  <c r="G30" i="82"/>
  <c r="F30" i="82"/>
  <c r="E30" i="82"/>
  <c r="D30" i="82"/>
  <c r="AJ29" i="82"/>
  <c r="AF29" i="82"/>
  <c r="AE29" i="82"/>
  <c r="AD29" i="82"/>
  <c r="AC29" i="82"/>
  <c r="AB29" i="82"/>
  <c r="AA29" i="82"/>
  <c r="Z29" i="82"/>
  <c r="Y29" i="82"/>
  <c r="X29" i="82"/>
  <c r="W29" i="82"/>
  <c r="V29" i="82"/>
  <c r="U29" i="82"/>
  <c r="T29" i="82"/>
  <c r="S29" i="82"/>
  <c r="P29" i="82"/>
  <c r="O29" i="82"/>
  <c r="N29" i="82"/>
  <c r="M29" i="82"/>
  <c r="L29" i="82"/>
  <c r="K29" i="82"/>
  <c r="J29" i="82"/>
  <c r="I29" i="82"/>
  <c r="H29" i="82"/>
  <c r="G29" i="82"/>
  <c r="F29" i="82"/>
  <c r="E29" i="82"/>
  <c r="D29" i="82"/>
  <c r="AJ28" i="82"/>
  <c r="AF28" i="82"/>
  <c r="AE28" i="82"/>
  <c r="AD28" i="82"/>
  <c r="AC28" i="82"/>
  <c r="AB28" i="82"/>
  <c r="AA28" i="82"/>
  <c r="Z28" i="82"/>
  <c r="Y28" i="82"/>
  <c r="X28" i="82"/>
  <c r="W28" i="82"/>
  <c r="V28" i="82"/>
  <c r="U28" i="82"/>
  <c r="T28" i="82"/>
  <c r="S28" i="82"/>
  <c r="P28" i="82"/>
  <c r="O28" i="82"/>
  <c r="N28" i="82"/>
  <c r="M28" i="82"/>
  <c r="L28" i="82"/>
  <c r="K28" i="82"/>
  <c r="J28" i="82"/>
  <c r="I28" i="82"/>
  <c r="H28" i="82"/>
  <c r="G28" i="82"/>
  <c r="F28" i="82"/>
  <c r="E28" i="82"/>
  <c r="D28" i="82"/>
  <c r="AJ27" i="82"/>
  <c r="AF27" i="82"/>
  <c r="AE27" i="82"/>
  <c r="AD27" i="82"/>
  <c r="AC27" i="82"/>
  <c r="AB27" i="82"/>
  <c r="AA27" i="82"/>
  <c r="Z27" i="82"/>
  <c r="Y27" i="82"/>
  <c r="X27" i="82"/>
  <c r="W27" i="82"/>
  <c r="V27" i="82"/>
  <c r="U27" i="82"/>
  <c r="T27" i="82"/>
  <c r="S27" i="82"/>
  <c r="P27" i="82"/>
  <c r="O27" i="82"/>
  <c r="N27" i="82"/>
  <c r="M27" i="82"/>
  <c r="L27" i="82"/>
  <c r="K27" i="82"/>
  <c r="J27" i="82"/>
  <c r="I27" i="82"/>
  <c r="H27" i="82"/>
  <c r="G27" i="82"/>
  <c r="F27" i="82"/>
  <c r="E27" i="82"/>
  <c r="D27" i="82"/>
  <c r="AJ26" i="82"/>
  <c r="AF26" i="82"/>
  <c r="AE26" i="82"/>
  <c r="AD26" i="82"/>
  <c r="AC26" i="82"/>
  <c r="AB26" i="82"/>
  <c r="AA26" i="82"/>
  <c r="Z26" i="82"/>
  <c r="Y26" i="82"/>
  <c r="X26" i="82"/>
  <c r="W26" i="82"/>
  <c r="V26" i="82"/>
  <c r="U26" i="82"/>
  <c r="T26" i="82"/>
  <c r="S26" i="82"/>
  <c r="P26" i="82"/>
  <c r="O26" i="82"/>
  <c r="N26" i="82"/>
  <c r="M26" i="82"/>
  <c r="L26" i="82"/>
  <c r="K26" i="82"/>
  <c r="J26" i="82"/>
  <c r="I26" i="82"/>
  <c r="H26" i="82"/>
  <c r="G26" i="82"/>
  <c r="F26" i="82"/>
  <c r="E26" i="82"/>
  <c r="D26" i="82"/>
  <c r="AJ25" i="82"/>
  <c r="AF25" i="82"/>
  <c r="AE25" i="82"/>
  <c r="AD25" i="82"/>
  <c r="AC25" i="82"/>
  <c r="AB25" i="82"/>
  <c r="AA25" i="82"/>
  <c r="Z25" i="82"/>
  <c r="Y25" i="82"/>
  <c r="X25" i="82"/>
  <c r="W25" i="82"/>
  <c r="V25" i="82"/>
  <c r="U25" i="82"/>
  <c r="T25" i="82"/>
  <c r="S25" i="82"/>
  <c r="P25" i="82"/>
  <c r="O25" i="82"/>
  <c r="N25" i="82"/>
  <c r="M25" i="82"/>
  <c r="L25" i="82"/>
  <c r="K25" i="82"/>
  <c r="J25" i="82"/>
  <c r="I25" i="82"/>
  <c r="H25" i="82"/>
  <c r="G25" i="82"/>
  <c r="F25" i="82"/>
  <c r="E25" i="82"/>
  <c r="D25" i="82"/>
  <c r="AJ24" i="82"/>
  <c r="AF24" i="82"/>
  <c r="AE24" i="82"/>
  <c r="AD24" i="82"/>
  <c r="AC24" i="82"/>
  <c r="AB24" i="82"/>
  <c r="AA24" i="82"/>
  <c r="Z24" i="82"/>
  <c r="Y24" i="82"/>
  <c r="X24" i="82"/>
  <c r="W24" i="82"/>
  <c r="V24" i="82"/>
  <c r="U24" i="82"/>
  <c r="T24" i="82"/>
  <c r="S24" i="82"/>
  <c r="P24" i="82"/>
  <c r="O24" i="82"/>
  <c r="N24" i="82"/>
  <c r="M24" i="82"/>
  <c r="L24" i="82"/>
  <c r="K24" i="82"/>
  <c r="J24" i="82"/>
  <c r="I24" i="82"/>
  <c r="H24" i="82"/>
  <c r="G24" i="82"/>
  <c r="F24" i="82"/>
  <c r="E24" i="82"/>
  <c r="D24" i="82"/>
  <c r="AJ23" i="82"/>
  <c r="AF23" i="82"/>
  <c r="AE23" i="82"/>
  <c r="AD23" i="82"/>
  <c r="AC23" i="82"/>
  <c r="AB23" i="82"/>
  <c r="AA23" i="82"/>
  <c r="Z23" i="82"/>
  <c r="Y23" i="82"/>
  <c r="X23" i="82"/>
  <c r="W23" i="82"/>
  <c r="V23" i="82"/>
  <c r="U23" i="82"/>
  <c r="T23" i="82"/>
  <c r="S23" i="82"/>
  <c r="P23" i="82"/>
  <c r="O23" i="82"/>
  <c r="N23" i="82"/>
  <c r="M23" i="82"/>
  <c r="L23" i="82"/>
  <c r="K23" i="82"/>
  <c r="J23" i="82"/>
  <c r="I23" i="82"/>
  <c r="H23" i="82"/>
  <c r="G23" i="82"/>
  <c r="F23" i="82"/>
  <c r="E23" i="82"/>
  <c r="AJ22" i="82"/>
  <c r="AF22" i="82"/>
  <c r="AE22" i="82"/>
  <c r="AD22" i="82"/>
  <c r="AC22" i="82"/>
  <c r="AB22" i="82"/>
  <c r="AA22" i="82"/>
  <c r="Z22" i="82"/>
  <c r="Y22" i="82"/>
  <c r="X22" i="82"/>
  <c r="W22" i="82"/>
  <c r="V22" i="82"/>
  <c r="U22" i="82"/>
  <c r="T22" i="82"/>
  <c r="S22" i="82"/>
  <c r="P22" i="82"/>
  <c r="O22" i="82"/>
  <c r="N22" i="82"/>
  <c r="M22" i="82"/>
  <c r="L22" i="82"/>
  <c r="K22" i="82"/>
  <c r="J22" i="82"/>
  <c r="I22" i="82"/>
  <c r="H22" i="82"/>
  <c r="G22" i="82"/>
  <c r="F22" i="82"/>
  <c r="E22" i="82"/>
  <c r="AJ21" i="82"/>
  <c r="AF21" i="82"/>
  <c r="AE21" i="82"/>
  <c r="AD21" i="82"/>
  <c r="AC21" i="82"/>
  <c r="AB21" i="82"/>
  <c r="AA21" i="82"/>
  <c r="Z21" i="82"/>
  <c r="Y21" i="82"/>
  <c r="X21" i="82"/>
  <c r="W21" i="82"/>
  <c r="V21" i="82"/>
  <c r="U21" i="82"/>
  <c r="T21" i="82"/>
  <c r="S21" i="82"/>
  <c r="P21" i="82"/>
  <c r="O21" i="82"/>
  <c r="N21" i="82"/>
  <c r="M21" i="82"/>
  <c r="L21" i="82"/>
  <c r="K21" i="82"/>
  <c r="J21" i="82"/>
  <c r="I21" i="82"/>
  <c r="H21" i="82"/>
  <c r="G21" i="82"/>
  <c r="F21" i="82"/>
  <c r="E21" i="82"/>
  <c r="AJ20" i="82"/>
  <c r="AF20" i="82"/>
  <c r="AE20" i="82"/>
  <c r="AD20" i="82"/>
  <c r="AC20" i="82"/>
  <c r="AB20" i="82"/>
  <c r="AA20" i="82"/>
  <c r="Z20" i="82"/>
  <c r="Y20" i="82"/>
  <c r="X20" i="82"/>
  <c r="W20" i="82"/>
  <c r="V20" i="82"/>
  <c r="U20" i="82"/>
  <c r="T20" i="82"/>
  <c r="S20" i="82"/>
  <c r="P20" i="82"/>
  <c r="O20" i="82"/>
  <c r="N20" i="82"/>
  <c r="M20" i="82"/>
  <c r="L20" i="82"/>
  <c r="K20" i="82"/>
  <c r="J20" i="82"/>
  <c r="I20" i="82"/>
  <c r="H20" i="82"/>
  <c r="G20" i="82"/>
  <c r="F20" i="82"/>
  <c r="E20" i="82"/>
  <c r="AJ19" i="82"/>
  <c r="AF19" i="82"/>
  <c r="AE19" i="82"/>
  <c r="AD19" i="82"/>
  <c r="AC19" i="82"/>
  <c r="AB19" i="82"/>
  <c r="AA19" i="82"/>
  <c r="Z19" i="82"/>
  <c r="Y19" i="82"/>
  <c r="X19" i="82"/>
  <c r="W19" i="82"/>
  <c r="V19" i="82"/>
  <c r="U19" i="82"/>
  <c r="T19" i="82"/>
  <c r="S19" i="82"/>
  <c r="P19" i="82"/>
  <c r="O19" i="82"/>
  <c r="N19" i="82"/>
  <c r="M19" i="82"/>
  <c r="L19" i="82"/>
  <c r="K19" i="82"/>
  <c r="J19" i="82"/>
  <c r="I19" i="82"/>
  <c r="H19" i="82"/>
  <c r="G19" i="82"/>
  <c r="F19" i="82"/>
  <c r="E19" i="82"/>
  <c r="AJ18" i="82"/>
  <c r="AF18" i="82"/>
  <c r="AE18" i="82"/>
  <c r="AD18" i="82"/>
  <c r="AC18" i="82"/>
  <c r="AB18" i="82"/>
  <c r="AA18" i="82"/>
  <c r="Z18" i="82"/>
  <c r="Y18" i="82"/>
  <c r="X18" i="82"/>
  <c r="W18" i="82"/>
  <c r="V18" i="82"/>
  <c r="U18" i="82"/>
  <c r="T18" i="82"/>
  <c r="S18" i="82"/>
  <c r="P18" i="82"/>
  <c r="O18" i="82"/>
  <c r="N18" i="82"/>
  <c r="M18" i="82"/>
  <c r="L18" i="82"/>
  <c r="K18" i="82"/>
  <c r="J18" i="82"/>
  <c r="I18" i="82"/>
  <c r="H18" i="82"/>
  <c r="G18" i="82"/>
  <c r="F18" i="82"/>
  <c r="E18" i="82"/>
  <c r="AJ17" i="82"/>
  <c r="AF17" i="82"/>
  <c r="AE17" i="82"/>
  <c r="AD17" i="82"/>
  <c r="AC17" i="82"/>
  <c r="AB17" i="82"/>
  <c r="AA17" i="82"/>
  <c r="Z17" i="82"/>
  <c r="Y17" i="82"/>
  <c r="X17" i="82"/>
  <c r="W17" i="82"/>
  <c r="V17" i="82"/>
  <c r="U17" i="82"/>
  <c r="T17" i="82"/>
  <c r="S17" i="82"/>
  <c r="P17" i="82"/>
  <c r="O17" i="82"/>
  <c r="N17" i="82"/>
  <c r="M17" i="82"/>
  <c r="L17" i="82"/>
  <c r="K17" i="82"/>
  <c r="J17" i="82"/>
  <c r="I17" i="82"/>
  <c r="H17" i="82"/>
  <c r="G17" i="82"/>
  <c r="F17" i="82"/>
  <c r="E17" i="82"/>
  <c r="AJ16" i="82"/>
  <c r="AF16" i="82"/>
  <c r="AE16" i="82"/>
  <c r="AD16" i="82"/>
  <c r="AC16" i="82"/>
  <c r="AB16" i="82"/>
  <c r="AA16" i="82"/>
  <c r="Z16" i="82"/>
  <c r="Y16" i="82"/>
  <c r="X16" i="82"/>
  <c r="W16" i="82"/>
  <c r="V16" i="82"/>
  <c r="U16" i="82"/>
  <c r="T16" i="82"/>
  <c r="S16" i="82"/>
  <c r="P16" i="82"/>
  <c r="O16" i="82"/>
  <c r="N16" i="82"/>
  <c r="M16" i="82"/>
  <c r="L16" i="82"/>
  <c r="K16" i="82"/>
  <c r="J16" i="82"/>
  <c r="I16" i="82"/>
  <c r="H16" i="82"/>
  <c r="G16" i="82"/>
  <c r="F16" i="82"/>
  <c r="E16" i="82"/>
  <c r="D16" i="82"/>
  <c r="AJ15" i="82"/>
  <c r="AF15" i="82"/>
  <c r="AE15" i="82"/>
  <c r="AD15" i="82"/>
  <c r="AC15" i="82"/>
  <c r="AB15" i="82"/>
  <c r="AA15" i="82"/>
  <c r="Z15" i="82"/>
  <c r="Y15" i="82"/>
  <c r="X15" i="82"/>
  <c r="W15" i="82"/>
  <c r="V15" i="82"/>
  <c r="U15" i="82"/>
  <c r="T15" i="82"/>
  <c r="S15" i="82"/>
  <c r="P15" i="82"/>
  <c r="O15" i="82"/>
  <c r="N15" i="82"/>
  <c r="M15" i="82"/>
  <c r="L15" i="82"/>
  <c r="K15" i="82"/>
  <c r="J15" i="82"/>
  <c r="I15" i="82"/>
  <c r="H15" i="82"/>
  <c r="G15" i="82"/>
  <c r="F15" i="82"/>
  <c r="E15" i="82"/>
  <c r="D15" i="82"/>
  <c r="AJ14" i="82"/>
  <c r="AF14" i="82"/>
  <c r="AE14" i="82"/>
  <c r="AD14" i="82"/>
  <c r="AC14" i="82"/>
  <c r="AB14" i="82"/>
  <c r="AA14" i="82"/>
  <c r="Z14" i="82"/>
  <c r="Y14" i="82"/>
  <c r="X14" i="82"/>
  <c r="W14" i="82"/>
  <c r="V14" i="82"/>
  <c r="U14" i="82"/>
  <c r="T14" i="82"/>
  <c r="S14" i="82"/>
  <c r="P14" i="82"/>
  <c r="O14" i="82"/>
  <c r="N14" i="82"/>
  <c r="M14" i="82"/>
  <c r="L14" i="82"/>
  <c r="K14" i="82"/>
  <c r="J14" i="82"/>
  <c r="I14" i="82"/>
  <c r="H14" i="82"/>
  <c r="G14" i="82"/>
  <c r="F14" i="82"/>
  <c r="E14" i="82"/>
  <c r="D14" i="82"/>
  <c r="AJ13" i="82"/>
  <c r="AF13" i="82"/>
  <c r="AE13" i="82"/>
  <c r="AD13" i="82"/>
  <c r="AC13" i="82"/>
  <c r="AB13" i="82"/>
  <c r="AA13" i="82"/>
  <c r="Z13" i="82"/>
  <c r="Y13" i="82"/>
  <c r="X13" i="82"/>
  <c r="W13" i="82"/>
  <c r="V13" i="82"/>
  <c r="U13" i="82"/>
  <c r="T13" i="82"/>
  <c r="S13" i="82"/>
  <c r="P13" i="82"/>
  <c r="O13" i="82"/>
  <c r="N13" i="82"/>
  <c r="M13" i="82"/>
  <c r="L13" i="82"/>
  <c r="K13" i="82"/>
  <c r="J13" i="82"/>
  <c r="I13" i="82"/>
  <c r="H13" i="82"/>
  <c r="G13" i="82"/>
  <c r="F13" i="82"/>
  <c r="E13" i="82"/>
  <c r="D13" i="82"/>
  <c r="AJ12" i="82"/>
  <c r="AF12" i="82"/>
  <c r="AE12" i="82"/>
  <c r="AD12" i="82"/>
  <c r="AC12" i="82"/>
  <c r="AB12" i="82"/>
  <c r="AA12" i="82"/>
  <c r="Z12" i="82"/>
  <c r="Y12" i="82"/>
  <c r="X12" i="82"/>
  <c r="W12" i="82"/>
  <c r="V12" i="82"/>
  <c r="U12" i="82"/>
  <c r="T12" i="82"/>
  <c r="S12" i="82"/>
  <c r="P12" i="82"/>
  <c r="O12" i="82"/>
  <c r="N12" i="82"/>
  <c r="M12" i="82"/>
  <c r="L12" i="82"/>
  <c r="K12" i="82"/>
  <c r="J12" i="82"/>
  <c r="I12" i="82"/>
  <c r="H12" i="82"/>
  <c r="G12" i="82"/>
  <c r="F12" i="82"/>
  <c r="E12" i="82"/>
  <c r="D12" i="82"/>
  <c r="A2" i="82"/>
  <c r="AK1" i="82"/>
  <c r="AH85" i="82" s="1"/>
  <c r="R18" i="60"/>
  <c r="R16" i="60"/>
  <c r="AO5" i="34"/>
  <c r="AN5" i="34"/>
  <c r="L2" i="75" s="1"/>
  <c r="AK5" i="34"/>
  <c r="A2" i="34"/>
  <c r="AK1" i="34"/>
  <c r="L47" i="35"/>
  <c r="J47" i="35"/>
  <c r="I47" i="35"/>
  <c r="C47" i="35"/>
  <c r="L46" i="35"/>
  <c r="J46" i="35"/>
  <c r="I46" i="35"/>
  <c r="C46" i="35"/>
  <c r="I45" i="35"/>
  <c r="C45" i="35"/>
  <c r="L44" i="35"/>
  <c r="J44" i="35"/>
  <c r="I44" i="35"/>
  <c r="C44" i="35"/>
  <c r="L43" i="35"/>
  <c r="J43" i="35"/>
  <c r="I43" i="35"/>
  <c r="C43" i="35"/>
  <c r="L42" i="35"/>
  <c r="J42" i="35"/>
  <c r="I42" i="35"/>
  <c r="C42" i="35"/>
  <c r="C41" i="35"/>
  <c r="L3" i="75"/>
  <c r="G2" i="75"/>
  <c r="X32" i="76"/>
  <c r="X25" i="76"/>
  <c r="X30" i="76" s="1"/>
  <c r="X23" i="76"/>
  <c r="X29" i="76" s="1"/>
  <c r="X21" i="76"/>
  <c r="X18" i="76"/>
  <c r="X17" i="76" s="1"/>
  <c r="X16" i="76"/>
  <c r="X15" i="76" s="1"/>
  <c r="W14" i="76"/>
  <c r="X11" i="76"/>
  <c r="D3" i="76" s="1"/>
  <c r="K52" i="74"/>
  <c r="I60" i="74" s="1"/>
  <c r="L20" i="35" s="1"/>
  <c r="F52" i="74"/>
  <c r="F60" i="74" s="1"/>
  <c r="J20" i="35" s="1"/>
  <c r="J19" i="74"/>
  <c r="P1" i="74"/>
  <c r="D76" i="40"/>
  <c r="E76" i="40" s="1"/>
  <c r="F76" i="40" s="1"/>
  <c r="G76" i="40" s="1"/>
  <c r="H76" i="40" s="1"/>
  <c r="I76" i="40" s="1"/>
  <c r="J76" i="40" s="1"/>
  <c r="K76" i="40" s="1"/>
  <c r="L76" i="40" s="1"/>
  <c r="M76" i="40" s="1"/>
  <c r="T75" i="40"/>
  <c r="S75" i="40"/>
  <c r="R75" i="40"/>
  <c r="R76" i="40" s="1"/>
  <c r="A2" i="40"/>
  <c r="N2" i="45"/>
  <c r="J2" i="45"/>
  <c r="J3" i="46"/>
  <c r="F2" i="46"/>
  <c r="P3" i="47"/>
  <c r="J2" i="47"/>
  <c r="N4" i="48"/>
  <c r="J4" i="48"/>
  <c r="P5" i="50"/>
  <c r="M5" i="50"/>
  <c r="C1" i="44"/>
  <c r="A1" i="44"/>
  <c r="A675" i="44" s="1"/>
  <c r="C691" i="44" s="1"/>
  <c r="AH1104" i="72"/>
  <c r="AH1103" i="72"/>
  <c r="AH1102" i="72"/>
  <c r="AH1101" i="72"/>
  <c r="AH1100" i="72"/>
  <c r="AH1099" i="72"/>
  <c r="AH1098" i="72"/>
  <c r="AH1097" i="72"/>
  <c r="AH1096" i="72"/>
  <c r="AH1095" i="72"/>
  <c r="AH1094" i="72"/>
  <c r="AH1093" i="72"/>
  <c r="AH1092" i="72"/>
  <c r="AH1091" i="72"/>
  <c r="AH1090" i="72"/>
  <c r="AH1089" i="72"/>
  <c r="AH1088" i="72"/>
  <c r="AH1087" i="72"/>
  <c r="AH1086" i="72"/>
  <c r="AH1085" i="72"/>
  <c r="AH1084" i="72"/>
  <c r="AH1083" i="72"/>
  <c r="AH1082" i="72"/>
  <c r="AH1081" i="72"/>
  <c r="AH1080" i="72"/>
  <c r="AH1079" i="72"/>
  <c r="AH1078" i="72"/>
  <c r="AH1077" i="72"/>
  <c r="AH1076" i="72"/>
  <c r="AH1075" i="72"/>
  <c r="AH1074" i="72"/>
  <c r="AH1073" i="72"/>
  <c r="AH1072" i="72"/>
  <c r="AH1071" i="72"/>
  <c r="AH1070" i="72"/>
  <c r="AH1069" i="72"/>
  <c r="AH1068" i="72"/>
  <c r="AH1067" i="72"/>
  <c r="AH1066" i="72"/>
  <c r="AH1065" i="72"/>
  <c r="AH1064" i="72"/>
  <c r="AH1063" i="72"/>
  <c r="AH1062" i="72"/>
  <c r="AH1061" i="72"/>
  <c r="AH1060" i="72"/>
  <c r="AH1059" i="72"/>
  <c r="AH1058" i="72"/>
  <c r="AH1057" i="72"/>
  <c r="AH1056" i="72"/>
  <c r="AH1055" i="72"/>
  <c r="AH1054" i="72"/>
  <c r="AH1053" i="72"/>
  <c r="AH1052" i="72"/>
  <c r="AH1051" i="72"/>
  <c r="AH1050" i="72"/>
  <c r="AH1049" i="72"/>
  <c r="AH1048" i="72"/>
  <c r="AH1047" i="72"/>
  <c r="AH1046" i="72"/>
  <c r="AH1045" i="72"/>
  <c r="AH1044" i="72"/>
  <c r="AH1043" i="72"/>
  <c r="AH1042" i="72"/>
  <c r="AH1041" i="72"/>
  <c r="AH1040" i="72"/>
  <c r="AH1039" i="72"/>
  <c r="AH1038" i="72"/>
  <c r="AH1037" i="72"/>
  <c r="AH1036" i="72"/>
  <c r="AH1035" i="72"/>
  <c r="AH1034" i="72"/>
  <c r="AH1033" i="72"/>
  <c r="AH1032" i="72"/>
  <c r="AH1031" i="72"/>
  <c r="AH1030" i="72"/>
  <c r="AH1029" i="72"/>
  <c r="AH1028" i="72"/>
  <c r="AH1027" i="72"/>
  <c r="AH1026" i="72"/>
  <c r="AH1025" i="72"/>
  <c r="AH1024" i="72"/>
  <c r="AH1023" i="72"/>
  <c r="AH1022" i="72"/>
  <c r="AH1021" i="72"/>
  <c r="AH1020" i="72"/>
  <c r="AH1019" i="72"/>
  <c r="AH1018" i="72"/>
  <c r="AH1017" i="72"/>
  <c r="AH1016" i="72"/>
  <c r="AH1015" i="72"/>
  <c r="AH1014" i="72"/>
  <c r="AH1013" i="72"/>
  <c r="AH1012" i="72"/>
  <c r="AH1011" i="72"/>
  <c r="AH1010" i="72"/>
  <c r="AH1009" i="72"/>
  <c r="AH1008" i="72"/>
  <c r="AH1007" i="72"/>
  <c r="AH1006" i="72"/>
  <c r="AH1005" i="72"/>
  <c r="AH1004" i="72"/>
  <c r="AH1003" i="72"/>
  <c r="AH1002" i="72"/>
  <c r="AH1001" i="72"/>
  <c r="AH1000" i="72"/>
  <c r="AH999" i="72"/>
  <c r="AH998" i="72"/>
  <c r="AH997" i="72"/>
  <c r="AH996" i="72"/>
  <c r="AH995" i="72"/>
  <c r="AH994" i="72"/>
  <c r="AH993" i="72"/>
  <c r="AH992" i="72"/>
  <c r="AH991" i="72"/>
  <c r="AH990" i="72"/>
  <c r="AH989" i="72"/>
  <c r="AH988" i="72"/>
  <c r="AH987" i="72"/>
  <c r="AH986" i="72"/>
  <c r="AH985" i="72"/>
  <c r="AH984" i="72"/>
  <c r="AH983" i="72"/>
  <c r="AH982" i="72"/>
  <c r="AH981" i="72"/>
  <c r="AH980" i="72"/>
  <c r="AH979" i="72"/>
  <c r="AH978" i="72"/>
  <c r="AH977" i="72"/>
  <c r="AH976" i="72"/>
  <c r="AH975" i="72"/>
  <c r="AH974" i="72"/>
  <c r="AH973" i="72"/>
  <c r="AH972" i="72"/>
  <c r="AH971" i="72"/>
  <c r="AH970" i="72"/>
  <c r="AH969" i="72"/>
  <c r="AH968" i="72"/>
  <c r="AH967" i="72"/>
  <c r="AH966" i="72"/>
  <c r="AH965" i="72"/>
  <c r="AH964" i="72"/>
  <c r="AH963" i="72"/>
  <c r="AH962" i="72"/>
  <c r="AH961" i="72"/>
  <c r="AH960" i="72"/>
  <c r="AH959" i="72"/>
  <c r="AH958" i="72"/>
  <c r="AH957" i="72"/>
  <c r="AH956" i="72"/>
  <c r="AH955" i="72"/>
  <c r="AH954" i="72"/>
  <c r="AH953" i="72"/>
  <c r="AH952" i="72"/>
  <c r="AH951" i="72"/>
  <c r="AH950" i="72"/>
  <c r="AH949" i="72"/>
  <c r="AH948" i="72"/>
  <c r="AH947" i="72"/>
  <c r="AH946" i="72"/>
  <c r="AH945" i="72"/>
  <c r="AH944" i="72"/>
  <c r="AH943" i="72"/>
  <c r="AH942" i="72"/>
  <c r="AH941" i="72"/>
  <c r="AH940" i="72"/>
  <c r="AH939" i="72"/>
  <c r="AH938" i="72"/>
  <c r="AH937" i="72"/>
  <c r="AH936" i="72"/>
  <c r="AH935" i="72"/>
  <c r="AH934" i="72"/>
  <c r="AH933" i="72"/>
  <c r="AH932" i="72"/>
  <c r="AH931" i="72"/>
  <c r="AH930" i="72"/>
  <c r="AH929" i="72"/>
  <c r="AH928" i="72"/>
  <c r="AH927" i="72"/>
  <c r="AH926" i="72"/>
  <c r="AH925" i="72"/>
  <c r="AH924" i="72"/>
  <c r="AH923" i="72"/>
  <c r="AH922" i="72"/>
  <c r="AH921" i="72"/>
  <c r="AH920" i="72"/>
  <c r="AH919" i="72"/>
  <c r="AH918" i="72"/>
  <c r="AH917" i="72"/>
  <c r="AH916" i="72"/>
  <c r="AH915" i="72"/>
  <c r="AH914" i="72"/>
  <c r="AH913" i="72"/>
  <c r="AH912" i="72"/>
  <c r="AH911" i="72"/>
  <c r="AH910" i="72"/>
  <c r="AH909" i="72"/>
  <c r="AH908" i="72"/>
  <c r="AH907" i="72"/>
  <c r="AH906" i="72"/>
  <c r="AH905" i="72"/>
  <c r="AH904" i="72"/>
  <c r="AH903" i="72"/>
  <c r="AH902" i="72"/>
  <c r="AH901" i="72"/>
  <c r="AH900" i="72"/>
  <c r="AH899" i="72"/>
  <c r="AH898" i="72"/>
  <c r="AH897" i="72"/>
  <c r="AH896" i="72"/>
  <c r="AH895" i="72"/>
  <c r="AH894" i="72"/>
  <c r="AH893" i="72"/>
  <c r="AH892" i="72"/>
  <c r="AH891" i="72"/>
  <c r="AH890" i="72"/>
  <c r="AH889" i="72"/>
  <c r="AH888" i="72"/>
  <c r="AH887" i="72"/>
  <c r="AH886" i="72"/>
  <c r="AH885" i="72"/>
  <c r="AH884" i="72"/>
  <c r="AH883" i="72"/>
  <c r="AH882" i="72"/>
  <c r="AH881" i="72"/>
  <c r="AH880" i="72"/>
  <c r="AH879" i="72"/>
  <c r="AH878" i="72"/>
  <c r="AH877" i="72"/>
  <c r="AH876" i="72"/>
  <c r="AH875" i="72"/>
  <c r="AH874" i="72"/>
  <c r="AH873" i="72"/>
  <c r="AH872" i="72"/>
  <c r="AH871" i="72"/>
  <c r="AH870" i="72"/>
  <c r="AH869" i="72"/>
  <c r="AH868" i="72"/>
  <c r="AH867" i="72"/>
  <c r="AH866" i="72"/>
  <c r="AH865" i="72"/>
  <c r="AH864" i="72"/>
  <c r="AH863" i="72"/>
  <c r="AH862" i="72"/>
  <c r="AH861" i="72"/>
  <c r="AH860" i="72"/>
  <c r="AH859" i="72"/>
  <c r="AH858" i="72"/>
  <c r="AH857" i="72"/>
  <c r="AH856" i="72"/>
  <c r="AH855" i="72"/>
  <c r="AH854" i="72"/>
  <c r="AH853" i="72"/>
  <c r="AH852" i="72"/>
  <c r="AH851" i="72"/>
  <c r="AH850" i="72"/>
  <c r="AH849" i="72"/>
  <c r="AH848" i="72"/>
  <c r="AH847" i="72"/>
  <c r="AH846" i="72"/>
  <c r="AH845" i="72"/>
  <c r="AH844" i="72"/>
  <c r="AH843" i="72"/>
  <c r="AH842" i="72"/>
  <c r="AH841" i="72"/>
  <c r="AH840" i="72"/>
  <c r="AH839" i="72"/>
  <c r="AH838" i="72"/>
  <c r="AH837" i="72"/>
  <c r="AH836" i="72"/>
  <c r="AH835" i="72"/>
  <c r="AH834" i="72"/>
  <c r="AH833" i="72"/>
  <c r="AH832" i="72"/>
  <c r="AH831" i="72"/>
  <c r="AH830" i="72"/>
  <c r="AH829" i="72"/>
  <c r="AH828" i="72"/>
  <c r="AH827" i="72"/>
  <c r="AH826" i="72"/>
  <c r="AH825" i="72"/>
  <c r="AH824" i="72"/>
  <c r="AH823" i="72"/>
  <c r="AH822" i="72"/>
  <c r="AH821" i="72"/>
  <c r="AH820" i="72"/>
  <c r="AH819" i="72"/>
  <c r="AH818" i="72"/>
  <c r="AH817" i="72"/>
  <c r="AH816" i="72"/>
  <c r="AH815" i="72"/>
  <c r="AH814" i="72"/>
  <c r="AH813" i="72"/>
  <c r="AH812" i="72"/>
  <c r="AH811" i="72"/>
  <c r="AH810" i="72"/>
  <c r="AH809" i="72"/>
  <c r="AH808" i="72"/>
  <c r="AH807" i="72"/>
  <c r="AH806" i="72"/>
  <c r="AH805" i="72"/>
  <c r="AH804" i="72"/>
  <c r="AH803" i="72"/>
  <c r="AH802" i="72"/>
  <c r="AH801" i="72"/>
  <c r="AH800" i="72"/>
  <c r="AH799" i="72"/>
  <c r="AH798" i="72"/>
  <c r="AH797" i="72"/>
  <c r="AH796" i="72"/>
  <c r="AH795" i="72"/>
  <c r="AH794" i="72"/>
  <c r="AH793" i="72"/>
  <c r="AH792" i="72"/>
  <c r="AH791" i="72"/>
  <c r="AH790" i="72"/>
  <c r="AH789" i="72"/>
  <c r="AH788" i="72"/>
  <c r="AH787" i="72"/>
  <c r="AH786" i="72"/>
  <c r="AH785" i="72"/>
  <c r="AH784" i="72"/>
  <c r="AH783" i="72"/>
  <c r="AH782" i="72"/>
  <c r="AH781" i="72"/>
  <c r="AH780" i="72"/>
  <c r="AH779" i="72"/>
  <c r="AH778" i="72"/>
  <c r="AH777" i="72"/>
  <c r="AH776" i="72"/>
  <c r="AH775" i="72"/>
  <c r="AH774" i="72"/>
  <c r="AH773" i="72"/>
  <c r="AH772" i="72"/>
  <c r="AH771" i="72"/>
  <c r="AH770" i="72"/>
  <c r="AH769" i="72"/>
  <c r="AH768" i="72"/>
  <c r="AH767" i="72"/>
  <c r="AH766" i="72"/>
  <c r="AH765" i="72"/>
  <c r="AH764" i="72"/>
  <c r="AH763" i="72"/>
  <c r="AH762" i="72"/>
  <c r="AH761" i="72"/>
  <c r="AH760" i="72"/>
  <c r="AH759" i="72"/>
  <c r="AH758" i="72"/>
  <c r="AH757" i="72"/>
  <c r="AH756" i="72"/>
  <c r="AH755" i="72"/>
  <c r="AH754" i="72"/>
  <c r="AH753" i="72"/>
  <c r="AH752" i="72"/>
  <c r="AH751" i="72"/>
  <c r="AH750" i="72"/>
  <c r="AH749" i="72"/>
  <c r="AH748" i="72"/>
  <c r="AH747" i="72"/>
  <c r="AH746" i="72"/>
  <c r="AH745" i="72"/>
  <c r="AH744" i="72"/>
  <c r="AH743" i="72"/>
  <c r="AH742" i="72"/>
  <c r="AH741" i="72"/>
  <c r="AH740" i="72"/>
  <c r="AH739" i="72"/>
  <c r="AH738" i="72"/>
  <c r="AH737" i="72"/>
  <c r="AH736" i="72"/>
  <c r="AH735" i="72"/>
  <c r="AH734" i="72"/>
  <c r="AH733" i="72"/>
  <c r="AH732" i="72"/>
  <c r="AH731" i="72"/>
  <c r="AH730" i="72"/>
  <c r="AH729" i="72"/>
  <c r="AH728" i="72"/>
  <c r="AH727" i="72"/>
  <c r="AH726" i="72"/>
  <c r="AH725" i="72"/>
  <c r="AH724" i="72"/>
  <c r="AH723" i="72"/>
  <c r="AH722" i="72"/>
  <c r="AH721" i="72"/>
  <c r="AH720" i="72"/>
  <c r="AH719" i="72"/>
  <c r="AH718" i="72"/>
  <c r="AH717" i="72"/>
  <c r="AH716" i="72"/>
  <c r="AH715" i="72"/>
  <c r="AH714" i="72"/>
  <c r="AH713" i="72"/>
  <c r="AH712" i="72"/>
  <c r="AH711" i="72"/>
  <c r="AH710" i="72"/>
  <c r="AH709" i="72"/>
  <c r="AH708" i="72"/>
  <c r="AH707" i="72"/>
  <c r="AH706" i="72"/>
  <c r="AH705" i="72"/>
  <c r="AH704" i="72"/>
  <c r="AH703" i="72"/>
  <c r="AH702" i="72"/>
  <c r="AH701" i="72"/>
  <c r="AH700" i="72"/>
  <c r="AH699" i="72"/>
  <c r="AH698" i="72"/>
  <c r="AH697" i="72"/>
  <c r="AH696" i="72"/>
  <c r="AH695" i="72"/>
  <c r="AH694" i="72"/>
  <c r="AH693" i="72"/>
  <c r="AH692" i="72"/>
  <c r="AH691" i="72"/>
  <c r="AH690" i="72"/>
  <c r="AH689" i="72"/>
  <c r="AH688" i="72"/>
  <c r="AH687" i="72"/>
  <c r="AH686" i="72"/>
  <c r="AH685" i="72"/>
  <c r="AH684" i="72"/>
  <c r="AH683" i="72"/>
  <c r="AH682" i="72"/>
  <c r="AH681" i="72"/>
  <c r="AH680" i="72"/>
  <c r="AH679" i="72"/>
  <c r="AH678" i="72"/>
  <c r="AH677" i="72"/>
  <c r="AH676" i="72"/>
  <c r="AH675" i="72"/>
  <c r="AH674" i="72"/>
  <c r="AH673" i="72"/>
  <c r="AH672" i="72"/>
  <c r="AH671" i="72"/>
  <c r="AH670" i="72"/>
  <c r="AH669" i="72"/>
  <c r="AH668" i="72"/>
  <c r="AH667" i="72"/>
  <c r="AH666" i="72"/>
  <c r="AH665" i="72"/>
  <c r="AH664" i="72"/>
  <c r="AH663" i="72"/>
  <c r="AH662" i="72"/>
  <c r="AH661" i="72"/>
  <c r="AH660" i="72"/>
  <c r="AH659" i="72"/>
  <c r="AH658" i="72"/>
  <c r="AH657" i="72"/>
  <c r="AH656" i="72"/>
  <c r="AH655" i="72"/>
  <c r="AH654" i="72"/>
  <c r="AH653" i="72"/>
  <c r="AH652" i="72"/>
  <c r="AH651" i="72"/>
  <c r="AH650" i="72"/>
  <c r="AH649" i="72"/>
  <c r="AH648" i="72"/>
  <c r="AH647" i="72"/>
  <c r="AH646" i="72"/>
  <c r="AH645" i="72"/>
  <c r="AH644" i="72"/>
  <c r="AH643" i="72"/>
  <c r="AH642" i="72"/>
  <c r="AH641" i="72"/>
  <c r="AH640" i="72"/>
  <c r="AH639" i="72"/>
  <c r="AH638" i="72"/>
  <c r="AH637" i="72"/>
  <c r="AH636" i="72"/>
  <c r="AH635" i="72"/>
  <c r="AH634" i="72"/>
  <c r="AH633" i="72"/>
  <c r="AH632" i="72"/>
  <c r="AH631" i="72"/>
  <c r="AH630" i="72"/>
  <c r="AH629" i="72"/>
  <c r="AH628" i="72"/>
  <c r="AH627" i="72"/>
  <c r="AH626" i="72"/>
  <c r="AH625" i="72"/>
  <c r="AH624" i="72"/>
  <c r="AH623" i="72"/>
  <c r="AH622" i="72"/>
  <c r="AH621" i="72"/>
  <c r="AH620" i="72"/>
  <c r="AH619" i="72"/>
  <c r="AH618" i="72"/>
  <c r="AH617" i="72"/>
  <c r="AH616" i="72"/>
  <c r="AH615" i="72"/>
  <c r="AH614" i="72"/>
  <c r="AH613" i="72"/>
  <c r="AH612" i="72"/>
  <c r="AH611" i="72"/>
  <c r="AH610" i="72"/>
  <c r="AH609" i="72"/>
  <c r="AH608" i="72"/>
  <c r="AH607" i="72"/>
  <c r="AH606" i="72"/>
  <c r="AH605" i="72"/>
  <c r="AH604" i="72"/>
  <c r="AH603" i="72"/>
  <c r="AH602" i="72"/>
  <c r="AH601" i="72"/>
  <c r="AH600" i="72"/>
  <c r="AH599" i="72"/>
  <c r="AH598" i="72"/>
  <c r="AH597" i="72"/>
  <c r="AH596" i="72"/>
  <c r="AH595" i="72"/>
  <c r="AH594" i="72"/>
  <c r="AH593" i="72"/>
  <c r="AH592" i="72"/>
  <c r="AH591" i="72"/>
  <c r="AH590" i="72"/>
  <c r="AH589" i="72"/>
  <c r="AH588" i="72"/>
  <c r="AH587" i="72"/>
  <c r="AH586" i="72"/>
  <c r="AH585" i="72"/>
  <c r="AH584" i="72"/>
  <c r="AH583" i="72"/>
  <c r="AH582" i="72"/>
  <c r="AH581" i="72"/>
  <c r="AH580" i="72"/>
  <c r="AH579" i="72"/>
  <c r="AH578" i="72"/>
  <c r="AH577" i="72"/>
  <c r="AH576" i="72"/>
  <c r="AH575" i="72"/>
  <c r="AH574" i="72"/>
  <c r="AH573" i="72"/>
  <c r="AH572" i="72"/>
  <c r="AH571" i="72"/>
  <c r="AH570" i="72"/>
  <c r="AH569" i="72"/>
  <c r="AH568" i="72"/>
  <c r="AH567" i="72"/>
  <c r="AH566" i="72"/>
  <c r="AH565" i="72"/>
  <c r="AH564" i="72"/>
  <c r="AH563" i="72"/>
  <c r="AH562" i="72"/>
  <c r="AH561" i="72"/>
  <c r="AH560" i="72"/>
  <c r="AH559" i="72"/>
  <c r="AH558" i="72"/>
  <c r="AH557" i="72"/>
  <c r="AH556" i="72"/>
  <c r="AH555" i="72"/>
  <c r="AH554" i="72"/>
  <c r="AH553" i="72"/>
  <c r="AH552" i="72"/>
  <c r="AH551" i="72"/>
  <c r="AH550" i="72"/>
  <c r="AH549" i="72"/>
  <c r="AH548" i="72"/>
  <c r="AH547" i="72"/>
  <c r="AH546" i="72"/>
  <c r="AH545" i="72"/>
  <c r="AH544" i="72"/>
  <c r="AH543" i="72"/>
  <c r="AH542" i="72"/>
  <c r="AH541" i="72"/>
  <c r="AH540" i="72"/>
  <c r="AH539" i="72"/>
  <c r="AH538" i="72"/>
  <c r="AH537" i="72"/>
  <c r="AH536" i="72"/>
  <c r="AH535" i="72"/>
  <c r="AH534" i="72"/>
  <c r="AH533" i="72"/>
  <c r="AH532" i="72"/>
  <c r="AH531" i="72"/>
  <c r="AH530" i="72"/>
  <c r="AH529" i="72"/>
  <c r="AH528" i="72"/>
  <c r="AH527" i="72"/>
  <c r="AH526" i="72"/>
  <c r="AH525" i="72"/>
  <c r="AH524" i="72"/>
  <c r="AH523" i="72"/>
  <c r="AH522" i="72"/>
  <c r="AH521" i="72"/>
  <c r="AH520" i="72"/>
  <c r="AH519" i="72"/>
  <c r="AH518" i="72"/>
  <c r="AH517" i="72"/>
  <c r="AH516" i="72"/>
  <c r="AH515" i="72"/>
  <c r="AH514" i="72"/>
  <c r="AH513" i="72"/>
  <c r="AH512" i="72"/>
  <c r="AH511" i="72"/>
  <c r="AH510" i="72"/>
  <c r="AH509" i="72"/>
  <c r="AH508" i="72"/>
  <c r="AH507" i="72"/>
  <c r="AH506" i="72"/>
  <c r="AH505" i="72"/>
  <c r="AH504" i="72"/>
  <c r="AH503" i="72"/>
  <c r="AH502" i="72"/>
  <c r="AH501" i="72"/>
  <c r="AH500" i="72"/>
  <c r="AH499" i="72"/>
  <c r="AH498" i="72"/>
  <c r="AH497" i="72"/>
  <c r="AH496" i="72"/>
  <c r="AH495" i="72"/>
  <c r="AH494" i="72"/>
  <c r="AH493" i="72"/>
  <c r="AH492" i="72"/>
  <c r="AH491" i="72"/>
  <c r="AH490" i="72"/>
  <c r="AH489" i="72"/>
  <c r="AH488" i="72"/>
  <c r="AH487" i="72"/>
  <c r="AH486" i="72"/>
  <c r="AH485" i="72"/>
  <c r="AH484" i="72"/>
  <c r="AH483" i="72"/>
  <c r="AH482" i="72"/>
  <c r="AH481" i="72"/>
  <c r="AH480" i="72"/>
  <c r="AH479" i="72"/>
  <c r="AH478" i="72"/>
  <c r="AH477" i="72"/>
  <c r="AH476" i="72"/>
  <c r="AH475" i="72"/>
  <c r="AH474" i="72"/>
  <c r="AH473" i="72"/>
  <c r="AH472" i="72"/>
  <c r="AH471" i="72"/>
  <c r="AH470" i="72"/>
  <c r="AH469" i="72"/>
  <c r="AH468" i="72"/>
  <c r="AH467" i="72"/>
  <c r="AH466" i="72"/>
  <c r="AH465" i="72"/>
  <c r="AH464" i="72"/>
  <c r="AH463" i="72"/>
  <c r="AH462" i="72"/>
  <c r="AH461" i="72"/>
  <c r="AH460" i="72"/>
  <c r="AH459" i="72"/>
  <c r="AH458" i="72"/>
  <c r="AH457" i="72"/>
  <c r="AH456" i="72"/>
  <c r="AH455" i="72"/>
  <c r="AH454" i="72"/>
  <c r="AH453" i="72"/>
  <c r="AH452" i="72"/>
  <c r="AH451" i="72"/>
  <c r="AH450" i="72"/>
  <c r="AH449" i="72"/>
  <c r="AH448" i="72"/>
  <c r="AH447" i="72"/>
  <c r="AH446" i="72"/>
  <c r="AH445" i="72"/>
  <c r="AH444" i="72"/>
  <c r="AH443" i="72"/>
  <c r="AH442" i="72"/>
  <c r="AH441" i="72"/>
  <c r="AH440" i="72"/>
  <c r="AH439" i="72"/>
  <c r="AH438" i="72"/>
  <c r="AH437" i="72"/>
  <c r="AH436" i="72"/>
  <c r="AH435" i="72"/>
  <c r="AH434" i="72"/>
  <c r="AH433" i="72"/>
  <c r="AH432" i="72"/>
  <c r="AH431" i="72"/>
  <c r="AH430" i="72"/>
  <c r="AH429" i="72"/>
  <c r="AH428" i="72"/>
  <c r="AH427" i="72"/>
  <c r="AH426" i="72"/>
  <c r="AH425" i="72"/>
  <c r="AH424" i="72"/>
  <c r="AH423" i="72"/>
  <c r="AH422" i="72"/>
  <c r="AH421" i="72"/>
  <c r="AH420" i="72"/>
  <c r="AH419" i="72"/>
  <c r="AH418" i="72"/>
  <c r="AH417" i="72"/>
  <c r="AH416" i="72"/>
  <c r="AH415" i="72"/>
  <c r="AH414" i="72"/>
  <c r="AH413" i="72"/>
  <c r="AH412" i="72"/>
  <c r="AH411" i="72"/>
  <c r="AH410" i="72"/>
  <c r="AH409" i="72"/>
  <c r="AH408" i="72"/>
  <c r="AH407" i="72"/>
  <c r="AH406" i="72"/>
  <c r="AH405" i="72"/>
  <c r="AH404" i="72"/>
  <c r="AH403" i="72"/>
  <c r="AH402" i="72"/>
  <c r="AH401" i="72"/>
  <c r="AH400" i="72"/>
  <c r="AH399" i="72"/>
  <c r="AH398" i="72"/>
  <c r="AH397" i="72"/>
  <c r="AH396" i="72"/>
  <c r="AH395" i="72"/>
  <c r="AH394" i="72"/>
  <c r="AH393" i="72"/>
  <c r="AH392" i="72"/>
  <c r="AH391" i="72"/>
  <c r="AH390" i="72"/>
  <c r="AH389" i="72"/>
  <c r="AH388" i="72"/>
  <c r="AH387" i="72"/>
  <c r="AH386" i="72"/>
  <c r="AH385" i="72"/>
  <c r="AH384" i="72"/>
  <c r="AH383" i="72"/>
  <c r="AH382" i="72"/>
  <c r="AH381" i="72"/>
  <c r="AH380" i="72"/>
  <c r="AH379" i="72"/>
  <c r="AH378" i="72"/>
  <c r="AH377" i="72"/>
  <c r="AH376" i="72"/>
  <c r="AH375" i="72"/>
  <c r="AH374" i="72"/>
  <c r="AH373" i="72"/>
  <c r="AH372" i="72"/>
  <c r="AH371" i="72"/>
  <c r="AH370" i="72"/>
  <c r="AH369" i="72"/>
  <c r="AH368" i="72"/>
  <c r="AH367" i="72"/>
  <c r="AH366" i="72"/>
  <c r="AH365" i="72"/>
  <c r="AH364" i="72"/>
  <c r="AH363" i="72"/>
  <c r="AH362" i="72"/>
  <c r="AH361" i="72"/>
  <c r="AH360" i="72"/>
  <c r="AH359" i="72"/>
  <c r="AH358" i="72"/>
  <c r="AH357" i="72"/>
  <c r="AH356" i="72"/>
  <c r="AH355" i="72"/>
  <c r="AH354" i="72"/>
  <c r="AH353" i="72"/>
  <c r="AH352" i="72"/>
  <c r="AH351" i="72"/>
  <c r="AH350" i="72"/>
  <c r="AH349" i="72"/>
  <c r="AH348" i="72"/>
  <c r="AH347" i="72"/>
  <c r="AH346" i="72"/>
  <c r="AH345" i="72"/>
  <c r="AH344" i="72"/>
  <c r="AH343" i="72"/>
  <c r="AH342" i="72"/>
  <c r="AH341" i="72"/>
  <c r="AH340" i="72"/>
  <c r="AH339" i="72"/>
  <c r="AH338" i="72"/>
  <c r="AH337" i="72"/>
  <c r="AH336" i="72"/>
  <c r="AH335" i="72"/>
  <c r="AH334" i="72"/>
  <c r="AH333" i="72"/>
  <c r="AH332" i="72"/>
  <c r="AH331" i="72"/>
  <c r="AH330" i="72"/>
  <c r="AH329" i="72"/>
  <c r="AH328" i="72"/>
  <c r="AH327" i="72"/>
  <c r="AH326" i="72"/>
  <c r="AH325" i="72"/>
  <c r="AH324" i="72"/>
  <c r="AH323" i="72"/>
  <c r="AH322" i="72"/>
  <c r="AH321" i="72"/>
  <c r="AH320" i="72"/>
  <c r="AH319" i="72"/>
  <c r="AH318" i="72"/>
  <c r="AH317" i="72"/>
  <c r="AH316" i="72"/>
  <c r="AH315" i="72"/>
  <c r="AH314" i="72"/>
  <c r="AH313" i="72"/>
  <c r="AH312" i="72"/>
  <c r="AH311" i="72"/>
  <c r="AH310" i="72"/>
  <c r="AH309" i="72"/>
  <c r="AH308" i="72"/>
  <c r="AH307" i="72"/>
  <c r="AH306" i="72"/>
  <c r="AH305" i="72"/>
  <c r="AH304" i="72"/>
  <c r="AH303" i="72"/>
  <c r="AH302" i="72"/>
  <c r="AH301" i="72"/>
  <c r="AH300" i="72"/>
  <c r="AH299" i="72"/>
  <c r="AH298" i="72"/>
  <c r="AH297" i="72"/>
  <c r="AH296" i="72"/>
  <c r="AH295" i="72"/>
  <c r="AH294" i="72"/>
  <c r="AH293" i="72"/>
  <c r="AH292" i="72"/>
  <c r="AH291" i="72"/>
  <c r="AH290" i="72"/>
  <c r="AH289" i="72"/>
  <c r="AH288" i="72"/>
  <c r="AH287" i="72"/>
  <c r="AH286" i="72"/>
  <c r="AH285" i="72"/>
  <c r="AH284" i="72"/>
  <c r="AH283" i="72"/>
  <c r="AH282" i="72"/>
  <c r="AH281" i="72"/>
  <c r="AH280" i="72"/>
  <c r="AH279" i="72"/>
  <c r="AH278" i="72"/>
  <c r="AH277" i="72"/>
  <c r="AH276" i="72"/>
  <c r="AH275" i="72"/>
  <c r="AH274" i="72"/>
  <c r="AH273" i="72"/>
  <c r="AH272" i="72"/>
  <c r="AH271" i="72"/>
  <c r="AH270" i="72"/>
  <c r="AH269" i="72"/>
  <c r="AH268" i="72"/>
  <c r="AH267" i="72"/>
  <c r="AH266" i="72"/>
  <c r="AH265" i="72"/>
  <c r="AH264" i="72"/>
  <c r="AH263" i="72"/>
  <c r="AH262" i="72"/>
  <c r="AH261" i="72"/>
  <c r="AH260" i="72"/>
  <c r="AH259" i="72"/>
  <c r="AH258" i="72"/>
  <c r="AH257" i="72"/>
  <c r="AH256" i="72"/>
  <c r="AH255" i="72"/>
  <c r="AH254" i="72"/>
  <c r="AH253" i="72"/>
  <c r="AH252" i="72"/>
  <c r="AH251" i="72"/>
  <c r="AH250" i="72"/>
  <c r="AH249" i="72"/>
  <c r="AH248" i="72"/>
  <c r="AH247" i="72"/>
  <c r="AH246" i="72"/>
  <c r="AH245" i="72"/>
  <c r="AH244" i="72"/>
  <c r="AH243" i="72"/>
  <c r="AH242" i="72"/>
  <c r="AH241" i="72"/>
  <c r="AH240" i="72"/>
  <c r="AH239" i="72"/>
  <c r="AH238" i="72"/>
  <c r="AH237" i="72"/>
  <c r="AH236" i="72"/>
  <c r="AH235" i="72"/>
  <c r="AH234" i="72"/>
  <c r="AH233" i="72"/>
  <c r="AH232" i="72"/>
  <c r="AH231" i="72"/>
  <c r="AH230" i="72"/>
  <c r="AH229" i="72"/>
  <c r="AH228" i="72"/>
  <c r="AH227" i="72"/>
  <c r="AH226" i="72"/>
  <c r="AH225" i="72"/>
  <c r="AH224" i="72"/>
  <c r="AH223" i="72"/>
  <c r="AH222" i="72"/>
  <c r="AH221" i="72"/>
  <c r="AH220" i="72"/>
  <c r="AH219" i="72"/>
  <c r="AH218" i="72"/>
  <c r="AH217" i="72"/>
  <c r="AH216" i="72"/>
  <c r="AH215" i="72"/>
  <c r="AH214" i="72"/>
  <c r="AH213" i="72"/>
  <c r="AH212" i="72"/>
  <c r="AH211" i="72"/>
  <c r="AH210" i="72"/>
  <c r="AH209" i="72"/>
  <c r="AH208" i="72"/>
  <c r="AH207" i="72"/>
  <c r="AH206" i="72"/>
  <c r="AH205" i="72"/>
  <c r="AH204" i="72"/>
  <c r="AH203" i="72"/>
  <c r="AH202" i="72"/>
  <c r="AH201" i="72"/>
  <c r="AH200" i="72"/>
  <c r="AH199" i="72"/>
  <c r="AH198" i="72"/>
  <c r="AH197" i="72"/>
  <c r="AH196" i="72"/>
  <c r="AH195" i="72"/>
  <c r="AH194" i="72"/>
  <c r="AH193" i="72"/>
  <c r="AH192" i="72"/>
  <c r="AH191" i="72"/>
  <c r="AH190" i="72"/>
  <c r="AH189" i="72"/>
  <c r="AH188" i="72"/>
  <c r="AH187" i="72"/>
  <c r="AH186" i="72"/>
  <c r="AH185" i="72"/>
  <c r="AH184" i="72"/>
  <c r="AH183" i="72"/>
  <c r="AH182" i="72"/>
  <c r="AH181" i="72"/>
  <c r="AH180" i="72"/>
  <c r="AH179" i="72"/>
  <c r="AH178" i="72"/>
  <c r="AH177" i="72"/>
  <c r="AH176" i="72"/>
  <c r="AH175" i="72"/>
  <c r="AH174" i="72"/>
  <c r="AH173" i="72"/>
  <c r="AH172" i="72"/>
  <c r="AH171" i="72"/>
  <c r="AH170" i="72"/>
  <c r="AH169" i="72"/>
  <c r="AH168" i="72"/>
  <c r="AH167" i="72"/>
  <c r="AH166" i="72"/>
  <c r="AH165" i="72"/>
  <c r="AH164" i="72"/>
  <c r="AH163" i="72"/>
  <c r="AH162" i="72"/>
  <c r="AH161" i="72"/>
  <c r="AH160" i="72"/>
  <c r="AH159" i="72"/>
  <c r="AH158" i="72"/>
  <c r="AH157" i="72"/>
  <c r="AH156" i="72"/>
  <c r="AH155" i="72"/>
  <c r="AH154" i="72"/>
  <c r="AH153" i="72"/>
  <c r="AH152" i="72"/>
  <c r="AH151" i="72"/>
  <c r="AH150" i="72"/>
  <c r="AH149" i="72"/>
  <c r="AH148" i="72"/>
  <c r="AH147" i="72"/>
  <c r="AH146" i="72"/>
  <c r="AH145" i="72"/>
  <c r="AH144" i="72"/>
  <c r="AH143" i="72"/>
  <c r="AH142" i="72"/>
  <c r="AH141" i="72"/>
  <c r="AH140" i="72"/>
  <c r="AH139" i="72"/>
  <c r="AH138" i="72"/>
  <c r="AH137" i="72"/>
  <c r="AH136" i="72"/>
  <c r="AH135" i="72"/>
  <c r="AH134" i="72"/>
  <c r="AH133" i="72"/>
  <c r="AH132" i="72"/>
  <c r="AH131" i="72"/>
  <c r="AH130" i="72"/>
  <c r="AH129" i="72"/>
  <c r="AH128" i="72"/>
  <c r="AH127" i="72"/>
  <c r="AH126" i="72"/>
  <c r="AH125" i="72"/>
  <c r="AH124" i="72"/>
  <c r="AH123" i="72"/>
  <c r="AH122" i="72"/>
  <c r="AH121" i="72"/>
  <c r="AH120" i="72"/>
  <c r="AH119" i="72"/>
  <c r="AH118" i="72"/>
  <c r="AH117" i="72"/>
  <c r="AH116" i="72"/>
  <c r="AH115" i="72"/>
  <c r="AH114" i="72"/>
  <c r="AH113" i="72"/>
  <c r="AH112" i="72"/>
  <c r="AH111" i="72"/>
  <c r="AH110" i="72"/>
  <c r="AH109" i="72"/>
  <c r="AH108" i="72"/>
  <c r="AH107" i="72"/>
  <c r="AH106" i="72"/>
  <c r="AH105" i="72"/>
  <c r="AH104" i="72"/>
  <c r="AH103" i="72"/>
  <c r="AH102" i="72"/>
  <c r="AH101" i="72"/>
  <c r="AH100" i="72"/>
  <c r="AH99" i="72"/>
  <c r="AH98" i="72"/>
  <c r="AH97" i="72"/>
  <c r="AH96" i="72"/>
  <c r="AH95" i="72"/>
  <c r="AH94" i="72"/>
  <c r="AH93" i="72"/>
  <c r="AH92" i="72"/>
  <c r="AH91" i="72"/>
  <c r="AH90" i="72"/>
  <c r="AH89" i="72"/>
  <c r="AH88" i="72"/>
  <c r="AH87" i="72"/>
  <c r="AH86" i="72"/>
  <c r="AH85" i="72"/>
  <c r="AH84" i="72"/>
  <c r="AH83" i="72"/>
  <c r="AH82" i="72"/>
  <c r="AH81" i="72"/>
  <c r="AH80" i="72"/>
  <c r="AH79" i="72"/>
  <c r="AH78" i="72"/>
  <c r="AH77" i="72"/>
  <c r="AH76" i="72"/>
  <c r="AH75" i="72"/>
  <c r="AH74" i="72"/>
  <c r="AH73" i="72"/>
  <c r="AH72" i="72"/>
  <c r="AH71" i="72"/>
  <c r="AH70" i="72"/>
  <c r="AH69" i="72"/>
  <c r="AH68" i="72"/>
  <c r="AH67" i="72"/>
  <c r="AH66" i="72"/>
  <c r="AH65" i="72"/>
  <c r="AH64" i="72"/>
  <c r="AH63" i="72"/>
  <c r="AH62" i="72"/>
  <c r="AH61" i="72"/>
  <c r="AH60" i="72"/>
  <c r="AH59" i="72"/>
  <c r="AH58" i="72"/>
  <c r="AH57" i="72"/>
  <c r="AH56" i="72"/>
  <c r="AH55" i="72"/>
  <c r="AH54" i="72"/>
  <c r="AH53" i="72"/>
  <c r="AH52" i="72"/>
  <c r="AH51" i="72"/>
  <c r="AH50" i="72"/>
  <c r="AH49" i="72"/>
  <c r="AH48" i="72"/>
  <c r="AH47" i="72"/>
  <c r="AH46" i="72"/>
  <c r="AH45" i="72"/>
  <c r="AH44" i="72"/>
  <c r="AH43" i="72"/>
  <c r="AH42" i="72"/>
  <c r="AH41" i="72"/>
  <c r="AH40" i="72"/>
  <c r="AH39" i="72"/>
  <c r="AH38" i="72"/>
  <c r="AH37" i="72"/>
  <c r="AH36" i="72"/>
  <c r="AH35" i="72"/>
  <c r="AH34" i="72"/>
  <c r="AH33" i="72"/>
  <c r="AH32" i="72"/>
  <c r="AH31" i="72"/>
  <c r="AH30" i="72"/>
  <c r="AH29" i="72"/>
  <c r="AH28" i="72"/>
  <c r="AH27" i="72"/>
  <c r="AH26" i="72"/>
  <c r="AH25" i="72"/>
  <c r="AH24" i="72"/>
  <c r="AH23" i="72"/>
  <c r="AH22" i="72"/>
  <c r="AH21" i="72"/>
  <c r="AH20" i="72"/>
  <c r="AH19" i="72"/>
  <c r="AH18" i="72"/>
  <c r="AH17" i="72"/>
  <c r="AH16" i="72"/>
  <c r="AH15" i="72"/>
  <c r="AH14" i="72"/>
  <c r="AH13" i="72"/>
  <c r="AH12" i="72"/>
  <c r="AH11" i="72"/>
  <c r="AH10" i="72"/>
  <c r="AH9" i="72"/>
  <c r="K78" i="43"/>
  <c r="K637" i="44" s="1"/>
  <c r="J78" i="43"/>
  <c r="J637" i="44" s="1"/>
  <c r="K76" i="43"/>
  <c r="K623" i="44" s="1"/>
  <c r="J76" i="43"/>
  <c r="J623" i="44" s="1"/>
  <c r="F73" i="43"/>
  <c r="F602" i="44" s="1"/>
  <c r="E73" i="43"/>
  <c r="E602" i="44" s="1"/>
  <c r="D73" i="43"/>
  <c r="D602" i="44" s="1"/>
  <c r="N72" i="43"/>
  <c r="N595" i="44" s="1"/>
  <c r="K72" i="43"/>
  <c r="K595" i="44" s="1"/>
  <c r="J72" i="43"/>
  <c r="J595" i="44" s="1"/>
  <c r="E72" i="43"/>
  <c r="E595" i="44" s="1"/>
  <c r="D72" i="43"/>
  <c r="D595" i="44" s="1"/>
  <c r="H14" i="43"/>
  <c r="H116" i="44" s="1"/>
  <c r="O80" i="33"/>
  <c r="K37" i="43" s="1"/>
  <c r="K306" i="44" s="1"/>
  <c r="N80" i="33"/>
  <c r="J37" i="43" s="1"/>
  <c r="J306" i="44" s="1"/>
  <c r="O78" i="33"/>
  <c r="K35" i="43" s="1"/>
  <c r="K292" i="44" s="1"/>
  <c r="N78" i="33"/>
  <c r="J35" i="43" s="1"/>
  <c r="J292" i="44" s="1"/>
  <c r="G75" i="33"/>
  <c r="G75" i="41" s="1"/>
  <c r="F75" i="33"/>
  <c r="E32" i="43" s="1"/>
  <c r="E271" i="44" s="1"/>
  <c r="E75" i="33"/>
  <c r="D32" i="43" s="1"/>
  <c r="D271" i="44" s="1"/>
  <c r="O74" i="33"/>
  <c r="K31" i="43" s="1"/>
  <c r="K264" i="44" s="1"/>
  <c r="N74" i="33"/>
  <c r="J31" i="43" s="1"/>
  <c r="J264" i="44" s="1"/>
  <c r="F74" i="33"/>
  <c r="E31" i="43" s="1"/>
  <c r="E264" i="44" s="1"/>
  <c r="E74" i="33"/>
  <c r="D31" i="43" s="1"/>
  <c r="D264" i="44" s="1"/>
  <c r="H34" i="33"/>
  <c r="H34" i="41" s="1"/>
  <c r="Q5" i="33"/>
  <c r="L5" i="33"/>
  <c r="H5" i="33"/>
  <c r="L2" i="33"/>
  <c r="L3" i="41" s="1"/>
  <c r="K2" i="33"/>
  <c r="K3" i="41" s="1"/>
  <c r="A1" i="51"/>
  <c r="K2" i="42"/>
  <c r="D2" i="42"/>
  <c r="O2" i="75" s="1"/>
  <c r="I5" i="75" s="1"/>
  <c r="A1" i="42"/>
  <c r="J57" i="41"/>
  <c r="O39" i="41"/>
  <c r="N39" i="41"/>
  <c r="O37" i="41"/>
  <c r="N37" i="41"/>
  <c r="G34" i="41"/>
  <c r="F34" i="41"/>
  <c r="E34" i="41"/>
  <c r="T33" i="41"/>
  <c r="O33" i="41"/>
  <c r="N33" i="41"/>
  <c r="F33" i="41"/>
  <c r="E33" i="41"/>
  <c r="Q5" i="41"/>
  <c r="L5" i="41"/>
  <c r="H5" i="41"/>
  <c r="K1" i="52"/>
  <c r="N2" i="15"/>
  <c r="D88" i="68"/>
  <c r="K2" i="52" s="1"/>
  <c r="D87" i="68"/>
  <c r="D86" i="68"/>
  <c r="D85" i="68"/>
  <c r="U77" i="40" s="1"/>
  <c r="D84" i="68"/>
  <c r="T77" i="40" s="1"/>
  <c r="D83" i="68"/>
  <c r="S77" i="40" s="1"/>
  <c r="D82" i="68"/>
  <c r="R77" i="40" s="1"/>
  <c r="D81" i="68"/>
  <c r="D80" i="68"/>
  <c r="D79" i="68"/>
  <c r="C318" i="36" s="1"/>
  <c r="E318" i="36" s="1"/>
  <c r="D78" i="68"/>
  <c r="D77" i="68"/>
  <c r="C313" i="36" s="1"/>
  <c r="E313" i="36" s="1"/>
  <c r="D76" i="68"/>
  <c r="D75" i="68"/>
  <c r="D74" i="68"/>
  <c r="D73" i="68"/>
  <c r="D72" i="68"/>
  <c r="D71" i="68"/>
  <c r="D70" i="68"/>
  <c r="D69" i="68"/>
  <c r="D68" i="68"/>
  <c r="D67" i="68"/>
  <c r="D66" i="68"/>
  <c r="D65" i="68"/>
  <c r="D64" i="68"/>
  <c r="D63" i="68"/>
  <c r="D62" i="68"/>
  <c r="D61" i="68"/>
  <c r="D60" i="68"/>
  <c r="I101" i="36" s="1"/>
  <c r="D59" i="68"/>
  <c r="I100" i="36" s="1"/>
  <c r="D58" i="68"/>
  <c r="I99" i="36" s="1"/>
  <c r="D57" i="68"/>
  <c r="I98" i="36" s="1"/>
  <c r="D56" i="68"/>
  <c r="E109" i="36" s="1"/>
  <c r="D55" i="68"/>
  <c r="E108" i="36" s="1"/>
  <c r="D54" i="68"/>
  <c r="E107" i="36" s="1"/>
  <c r="D53" i="68"/>
  <c r="E106" i="36" s="1"/>
  <c r="D52" i="68"/>
  <c r="E105" i="36" s="1"/>
  <c r="D51" i="68"/>
  <c r="E104" i="36" s="1"/>
  <c r="D50" i="68"/>
  <c r="E103" i="36" s="1"/>
  <c r="D49" i="68"/>
  <c r="E102" i="36" s="1"/>
  <c r="D48" i="68"/>
  <c r="E101" i="36" s="1"/>
  <c r="D47" i="68"/>
  <c r="E100" i="36" s="1"/>
  <c r="D46" i="68"/>
  <c r="E99" i="36" s="1"/>
  <c r="D45" i="68"/>
  <c r="E98" i="36" s="1"/>
  <c r="D44" i="68"/>
  <c r="C342" i="36" s="1"/>
  <c r="E342" i="36" s="1"/>
  <c r="D43" i="68"/>
  <c r="C341" i="36" s="1"/>
  <c r="E341" i="36" s="1"/>
  <c r="D42" i="68"/>
  <c r="C340" i="36" s="1"/>
  <c r="E340" i="36" s="1"/>
  <c r="D41" i="68"/>
  <c r="D40" i="68"/>
  <c r="D39" i="68"/>
  <c r="D38" i="68"/>
  <c r="D37" i="68"/>
  <c r="A64" i="37" s="1"/>
  <c r="D36" i="68"/>
  <c r="A59" i="37" s="1"/>
  <c r="D35" i="68"/>
  <c r="A54" i="37" s="1"/>
  <c r="D34" i="68"/>
  <c r="A49" i="37" s="1"/>
  <c r="D33" i="68"/>
  <c r="A44" i="37" s="1"/>
  <c r="D32" i="68"/>
  <c r="A39" i="37" s="1"/>
  <c r="D31" i="68"/>
  <c r="A34" i="37" s="1"/>
  <c r="D30" i="68"/>
  <c r="A29" i="37" s="1"/>
  <c r="D29" i="68"/>
  <c r="A24" i="37" s="1"/>
  <c r="D28" i="68"/>
  <c r="A19" i="37" s="1"/>
  <c r="D27" i="68"/>
  <c r="A14" i="37" s="1"/>
  <c r="D26" i="68"/>
  <c r="A9" i="37" s="1"/>
  <c r="D25" i="68"/>
  <c r="D24" i="68"/>
  <c r="L3" i="35" s="1"/>
  <c r="D23" i="68"/>
  <c r="D22" i="68"/>
  <c r="U21" i="68" s="1"/>
  <c r="D21" i="68"/>
  <c r="M21" i="68" s="1"/>
  <c r="BT20" i="68"/>
  <c r="BS20" i="68"/>
  <c r="BR20" i="68"/>
  <c r="BQ20" i="68"/>
  <c r="BP20" i="68"/>
  <c r="BO20" i="68"/>
  <c r="BN20" i="68"/>
  <c r="BM20" i="68"/>
  <c r="BL20" i="68"/>
  <c r="BK20" i="68"/>
  <c r="BJ20" i="68"/>
  <c r="BI20" i="68"/>
  <c r="BH20" i="68"/>
  <c r="BG20" i="68"/>
  <c r="BF20" i="68"/>
  <c r="BE20" i="68"/>
  <c r="BD20" i="68"/>
  <c r="BC20" i="68"/>
  <c r="BB20" i="68"/>
  <c r="BA20" i="68"/>
  <c r="AZ20" i="68"/>
  <c r="AY20" i="68"/>
  <c r="AX20" i="68"/>
  <c r="AW20" i="68"/>
  <c r="AV20" i="68"/>
  <c r="AU20" i="68"/>
  <c r="AT20" i="68"/>
  <c r="AS20" i="68"/>
  <c r="AR20" i="68"/>
  <c r="AQ20" i="68"/>
  <c r="AP20" i="68"/>
  <c r="AO20" i="68"/>
  <c r="AN20" i="68"/>
  <c r="AM20" i="68"/>
  <c r="AL20" i="68"/>
  <c r="AK20" i="68"/>
  <c r="AJ20" i="68"/>
  <c r="AI20" i="68"/>
  <c r="AH20" i="68"/>
  <c r="AG20" i="68"/>
  <c r="AF20" i="68"/>
  <c r="AE20" i="68"/>
  <c r="AD20" i="68"/>
  <c r="AC20" i="68"/>
  <c r="AB20" i="68"/>
  <c r="AP4" i="65" s="1"/>
  <c r="AP22" i="65" s="1"/>
  <c r="AA20" i="68"/>
  <c r="AO4" i="65" s="1"/>
  <c r="AO22" i="65" s="1"/>
  <c r="Z20" i="68"/>
  <c r="AN4" i="65" s="1"/>
  <c r="AN22" i="65" s="1"/>
  <c r="Y20" i="68"/>
  <c r="AM4" i="65" s="1"/>
  <c r="AM22" i="65" s="1"/>
  <c r="X20" i="68"/>
  <c r="AL4" i="65" s="1"/>
  <c r="AL22" i="65" s="1"/>
  <c r="W20" i="68"/>
  <c r="AK4" i="65" s="1"/>
  <c r="AK22" i="65" s="1"/>
  <c r="V20" i="68"/>
  <c r="AJ4" i="65" s="1"/>
  <c r="AJ22" i="65" s="1"/>
  <c r="U20" i="68"/>
  <c r="T20" i="68"/>
  <c r="S20" i="68"/>
  <c r="R20" i="68"/>
  <c r="Q20" i="68"/>
  <c r="P20" i="68"/>
  <c r="O20" i="68"/>
  <c r="N20" i="68"/>
  <c r="M20" i="68"/>
  <c r="L20" i="68"/>
  <c r="K20" i="68"/>
  <c r="E657" i="44" s="1"/>
  <c r="J20" i="68"/>
  <c r="I20" i="68"/>
  <c r="H20" i="68"/>
  <c r="G20" i="68"/>
  <c r="F20" i="68"/>
  <c r="E20" i="68"/>
  <c r="I17" i="68"/>
  <c r="S1" i="31" s="1"/>
  <c r="U1" i="31" s="1"/>
  <c r="O54" i="39"/>
  <c r="N54" i="39"/>
  <c r="M54" i="39"/>
  <c r="L54" i="39"/>
  <c r="K54" i="39"/>
  <c r="J54" i="39"/>
  <c r="I54" i="39"/>
  <c r="H54" i="39"/>
  <c r="G54" i="39"/>
  <c r="F54" i="39"/>
  <c r="E54" i="39"/>
  <c r="D54" i="39"/>
  <c r="AX4" i="39"/>
  <c r="A2" i="39"/>
  <c r="A3" i="37"/>
  <c r="A1" i="37"/>
  <c r="M3" i="40" s="1"/>
  <c r="E2" i="38"/>
  <c r="M2" i="40" s="1"/>
  <c r="A1" i="38"/>
  <c r="A25" i="29"/>
  <c r="A23" i="29"/>
  <c r="H1" i="29"/>
  <c r="A25" i="28"/>
  <c r="A23" i="28"/>
  <c r="H1" i="28"/>
  <c r="A25" i="27"/>
  <c r="A23" i="27"/>
  <c r="H1" i="27"/>
  <c r="A25" i="26"/>
  <c r="A23" i="26"/>
  <c r="H1" i="26"/>
  <c r="A25" i="25"/>
  <c r="A23" i="25"/>
  <c r="H1" i="25"/>
  <c r="A25" i="24"/>
  <c r="A23" i="24"/>
  <c r="H1" i="24"/>
  <c r="A25" i="23"/>
  <c r="A23" i="23"/>
  <c r="H1" i="23"/>
  <c r="A25" i="22"/>
  <c r="A23" i="22"/>
  <c r="H1" i="22"/>
  <c r="A25" i="21"/>
  <c r="A23" i="21"/>
  <c r="K1" i="21"/>
  <c r="A25" i="20"/>
  <c r="A23" i="20"/>
  <c r="H1" i="20"/>
  <c r="A25" i="19"/>
  <c r="A23" i="19"/>
  <c r="H1" i="19"/>
  <c r="A25" i="18"/>
  <c r="A23" i="18"/>
  <c r="H1" i="18"/>
  <c r="A25" i="17"/>
  <c r="A23" i="17"/>
  <c r="H1" i="17"/>
  <c r="A25" i="16"/>
  <c r="A23" i="16"/>
  <c r="H1" i="16"/>
  <c r="Q3" i="30"/>
  <c r="D3" i="30"/>
  <c r="T57" i="31"/>
  <c r="T57" i="15" s="1"/>
  <c r="S57" i="31"/>
  <c r="S57" i="15" s="1"/>
  <c r="R57" i="31"/>
  <c r="O57" i="31"/>
  <c r="O57" i="15" s="1"/>
  <c r="N57" i="31"/>
  <c r="N57" i="15" s="1"/>
  <c r="M57" i="31"/>
  <c r="J57" i="31"/>
  <c r="J57" i="15" s="1"/>
  <c r="I57" i="31"/>
  <c r="I57" i="15" s="1"/>
  <c r="H57" i="31"/>
  <c r="H57" i="15" s="1"/>
  <c r="F57" i="31"/>
  <c r="F57" i="15" s="1"/>
  <c r="E57" i="31"/>
  <c r="E57" i="15" s="1"/>
  <c r="D57" i="31"/>
  <c r="T56" i="31"/>
  <c r="T56" i="15" s="1"/>
  <c r="S56" i="31"/>
  <c r="S56" i="15" s="1"/>
  <c r="R56" i="31"/>
  <c r="R56" i="15" s="1"/>
  <c r="O56" i="31"/>
  <c r="N56" i="31"/>
  <c r="N56" i="15" s="1"/>
  <c r="M56" i="31"/>
  <c r="M56" i="15" s="1"/>
  <c r="J56" i="31"/>
  <c r="J56" i="15" s="1"/>
  <c r="I56" i="31"/>
  <c r="I56" i="15" s="1"/>
  <c r="H56" i="31"/>
  <c r="H56" i="15" s="1"/>
  <c r="F56" i="31"/>
  <c r="F56" i="15" s="1"/>
  <c r="E56" i="31"/>
  <c r="D56" i="31"/>
  <c r="D56" i="15" s="1"/>
  <c r="T55" i="31"/>
  <c r="T55" i="15" s="1"/>
  <c r="S55" i="31"/>
  <c r="S55" i="15" s="1"/>
  <c r="R55" i="31"/>
  <c r="O55" i="31"/>
  <c r="O55" i="15" s="1"/>
  <c r="N55" i="31"/>
  <c r="N55" i="15" s="1"/>
  <c r="M55" i="31"/>
  <c r="M55" i="15" s="1"/>
  <c r="J55" i="31"/>
  <c r="J55" i="15" s="1"/>
  <c r="I55" i="31"/>
  <c r="I55" i="15" s="1"/>
  <c r="H55" i="31"/>
  <c r="F55" i="31"/>
  <c r="F55" i="15" s="1"/>
  <c r="E55" i="31"/>
  <c r="E55" i="15" s="1"/>
  <c r="D55" i="31"/>
  <c r="T54" i="31"/>
  <c r="T54" i="15" s="1"/>
  <c r="S54" i="31"/>
  <c r="S54" i="15" s="1"/>
  <c r="R54" i="31"/>
  <c r="R54" i="15" s="1"/>
  <c r="O54" i="31"/>
  <c r="O54" i="15" s="1"/>
  <c r="N54" i="31"/>
  <c r="N54" i="15" s="1"/>
  <c r="M54" i="31"/>
  <c r="M54" i="15" s="1"/>
  <c r="J54" i="31"/>
  <c r="J54" i="15" s="1"/>
  <c r="I54" i="31"/>
  <c r="I54" i="15" s="1"/>
  <c r="H54" i="31"/>
  <c r="H54" i="15" s="1"/>
  <c r="F54" i="31"/>
  <c r="F54" i="15" s="1"/>
  <c r="E54" i="31"/>
  <c r="E54" i="15" s="1"/>
  <c r="D54" i="31"/>
  <c r="D54" i="15" s="1"/>
  <c r="T53" i="31"/>
  <c r="T53" i="15" s="1"/>
  <c r="S53" i="31"/>
  <c r="S53" i="15" s="1"/>
  <c r="R53" i="31"/>
  <c r="O53" i="31"/>
  <c r="O53" i="15" s="1"/>
  <c r="N53" i="31"/>
  <c r="N53" i="15" s="1"/>
  <c r="M53" i="31"/>
  <c r="M53" i="15" s="1"/>
  <c r="J53" i="31"/>
  <c r="J53" i="15" s="1"/>
  <c r="I53" i="31"/>
  <c r="I53" i="15" s="1"/>
  <c r="H53" i="31"/>
  <c r="H53" i="15" s="1"/>
  <c r="F53" i="31"/>
  <c r="F53" i="15" s="1"/>
  <c r="E53" i="31"/>
  <c r="E53" i="15" s="1"/>
  <c r="D53" i="31"/>
  <c r="T52" i="31"/>
  <c r="T52" i="15" s="1"/>
  <c r="S52" i="31"/>
  <c r="S52" i="15" s="1"/>
  <c r="R52" i="31"/>
  <c r="O52" i="31"/>
  <c r="O52" i="15" s="1"/>
  <c r="N52" i="31"/>
  <c r="N52" i="15" s="1"/>
  <c r="M52" i="31"/>
  <c r="J52" i="31"/>
  <c r="J52" i="15" s="1"/>
  <c r="I52" i="31"/>
  <c r="I52" i="15" s="1"/>
  <c r="H52" i="31"/>
  <c r="F52" i="31"/>
  <c r="F52" i="15" s="1"/>
  <c r="E52" i="31"/>
  <c r="E52" i="15" s="1"/>
  <c r="D52" i="31"/>
  <c r="T51" i="31"/>
  <c r="T51" i="15" s="1"/>
  <c r="S51" i="31"/>
  <c r="S51" i="15" s="1"/>
  <c r="R51" i="31"/>
  <c r="R51" i="15" s="1"/>
  <c r="O51" i="31"/>
  <c r="O51" i="15" s="1"/>
  <c r="N51" i="31"/>
  <c r="N51" i="15" s="1"/>
  <c r="M51" i="31"/>
  <c r="M51" i="15" s="1"/>
  <c r="J51" i="31"/>
  <c r="J51" i="15" s="1"/>
  <c r="I51" i="31"/>
  <c r="I51" i="15" s="1"/>
  <c r="H51" i="31"/>
  <c r="F51" i="31"/>
  <c r="F51" i="15" s="1"/>
  <c r="E51" i="31"/>
  <c r="E51" i="15" s="1"/>
  <c r="D51" i="31"/>
  <c r="T50" i="31"/>
  <c r="T50" i="15" s="1"/>
  <c r="S50" i="31"/>
  <c r="S50" i="15" s="1"/>
  <c r="R50" i="31"/>
  <c r="R50" i="15" s="1"/>
  <c r="O50" i="31"/>
  <c r="O50" i="15" s="1"/>
  <c r="N50" i="31"/>
  <c r="N50" i="15" s="1"/>
  <c r="M50" i="31"/>
  <c r="M50" i="15" s="1"/>
  <c r="J50" i="31"/>
  <c r="J50" i="15" s="1"/>
  <c r="I50" i="31"/>
  <c r="I50" i="15" s="1"/>
  <c r="H50" i="31"/>
  <c r="H50" i="15" s="1"/>
  <c r="F50" i="31"/>
  <c r="F50" i="15" s="1"/>
  <c r="E50" i="31"/>
  <c r="E50" i="15" s="1"/>
  <c r="D50" i="31"/>
  <c r="D50" i="15" s="1"/>
  <c r="T49" i="31"/>
  <c r="T49" i="15" s="1"/>
  <c r="S49" i="31"/>
  <c r="S49" i="15" s="1"/>
  <c r="R49" i="31"/>
  <c r="O49" i="31"/>
  <c r="N49" i="31"/>
  <c r="N49" i="15" s="1"/>
  <c r="M49" i="31"/>
  <c r="M49" i="15" s="1"/>
  <c r="J49" i="31"/>
  <c r="J49" i="15" s="1"/>
  <c r="I49" i="31"/>
  <c r="I49" i="15" s="1"/>
  <c r="H49" i="31"/>
  <c r="H49" i="15" s="1"/>
  <c r="F49" i="31"/>
  <c r="F49" i="15" s="1"/>
  <c r="E49" i="31"/>
  <c r="E49" i="15" s="1"/>
  <c r="D49" i="31"/>
  <c r="D49" i="15" s="1"/>
  <c r="T48" i="31"/>
  <c r="T48" i="15" s="1"/>
  <c r="S48" i="31"/>
  <c r="R48" i="31"/>
  <c r="R48" i="15" s="1"/>
  <c r="O48" i="31"/>
  <c r="O48" i="15" s="1"/>
  <c r="N48" i="31"/>
  <c r="N48" i="15" s="1"/>
  <c r="M48" i="31"/>
  <c r="J48" i="31"/>
  <c r="J48" i="15" s="1"/>
  <c r="I48" i="31"/>
  <c r="I48" i="15" s="1"/>
  <c r="H48" i="31"/>
  <c r="F48" i="31"/>
  <c r="F48" i="15" s="1"/>
  <c r="E48" i="31"/>
  <c r="E48" i="15" s="1"/>
  <c r="D48" i="31"/>
  <c r="D48" i="15" s="1"/>
  <c r="T47" i="31"/>
  <c r="T47" i="15" s="1"/>
  <c r="S47" i="31"/>
  <c r="S47" i="15" s="1"/>
  <c r="R47" i="31"/>
  <c r="O47" i="31"/>
  <c r="N47" i="31"/>
  <c r="M47" i="31"/>
  <c r="J47" i="31"/>
  <c r="I47" i="31"/>
  <c r="H47" i="31"/>
  <c r="F47" i="31"/>
  <c r="F47" i="15" s="1"/>
  <c r="E47" i="31"/>
  <c r="D47" i="31"/>
  <c r="D47" i="15" s="1"/>
  <c r="T46" i="31"/>
  <c r="T46" i="15" s="1"/>
  <c r="S46" i="31"/>
  <c r="S46" i="15" s="1"/>
  <c r="R46" i="31"/>
  <c r="O46" i="31"/>
  <c r="O46" i="15" s="1"/>
  <c r="N46" i="31"/>
  <c r="N46" i="15" s="1"/>
  <c r="M46" i="31"/>
  <c r="M46" i="15" s="1"/>
  <c r="J46" i="31"/>
  <c r="J46" i="15" s="1"/>
  <c r="I46" i="31"/>
  <c r="I46" i="15" s="1"/>
  <c r="H46" i="31"/>
  <c r="H46" i="15" s="1"/>
  <c r="F46" i="31"/>
  <c r="F46" i="15" s="1"/>
  <c r="E46" i="31"/>
  <c r="E46" i="15" s="1"/>
  <c r="D46" i="31"/>
  <c r="T45" i="31"/>
  <c r="T45" i="15" s="1"/>
  <c r="S45" i="31"/>
  <c r="S45" i="15" s="1"/>
  <c r="R45" i="31"/>
  <c r="R45" i="15" s="1"/>
  <c r="O45" i="31"/>
  <c r="O45" i="15" s="1"/>
  <c r="N45" i="31"/>
  <c r="N45" i="15" s="1"/>
  <c r="M45" i="31"/>
  <c r="M45" i="15" s="1"/>
  <c r="J45" i="31"/>
  <c r="J45" i="15" s="1"/>
  <c r="I45" i="31"/>
  <c r="I45" i="15" s="1"/>
  <c r="H45" i="31"/>
  <c r="F45" i="31"/>
  <c r="F45" i="15" s="1"/>
  <c r="E45" i="31"/>
  <c r="D45" i="31"/>
  <c r="D45" i="15" s="1"/>
  <c r="T44" i="31"/>
  <c r="T44" i="15" s="1"/>
  <c r="S44" i="31"/>
  <c r="S44" i="15" s="1"/>
  <c r="R44" i="31"/>
  <c r="O44" i="31"/>
  <c r="O44" i="15" s="1"/>
  <c r="N44" i="31"/>
  <c r="N44" i="15" s="1"/>
  <c r="M44" i="31"/>
  <c r="M44" i="15" s="1"/>
  <c r="J44" i="31"/>
  <c r="J44" i="15" s="1"/>
  <c r="I44" i="31"/>
  <c r="I44" i="15" s="1"/>
  <c r="H44" i="31"/>
  <c r="H44" i="15" s="1"/>
  <c r="F44" i="31"/>
  <c r="F44" i="15" s="1"/>
  <c r="E44" i="31"/>
  <c r="E44" i="15" s="1"/>
  <c r="D44" i="31"/>
  <c r="D44" i="15" s="1"/>
  <c r="T37" i="31"/>
  <c r="T76" i="15" s="1"/>
  <c r="S37" i="31"/>
  <c r="S76" i="15" s="1"/>
  <c r="R37" i="31"/>
  <c r="R76" i="15" s="1"/>
  <c r="O37" i="31"/>
  <c r="O76" i="15" s="1"/>
  <c r="N37" i="31"/>
  <c r="N37" i="15" s="1"/>
  <c r="M37" i="31"/>
  <c r="M37" i="15" s="1"/>
  <c r="J37" i="31"/>
  <c r="J37" i="15" s="1"/>
  <c r="I37" i="31"/>
  <c r="I37" i="15" s="1"/>
  <c r="H37" i="31"/>
  <c r="F37" i="31"/>
  <c r="F76" i="15" s="1"/>
  <c r="E37" i="31"/>
  <c r="E76" i="15" s="1"/>
  <c r="D37" i="31"/>
  <c r="D76" i="15" s="1"/>
  <c r="T36" i="31"/>
  <c r="T36" i="15" s="1"/>
  <c r="S36" i="31"/>
  <c r="R36" i="31"/>
  <c r="R36" i="15" s="1"/>
  <c r="O36" i="31"/>
  <c r="O75" i="15" s="1"/>
  <c r="N36" i="31"/>
  <c r="N75" i="15" s="1"/>
  <c r="M36" i="31"/>
  <c r="M75" i="15" s="1"/>
  <c r="J36" i="31"/>
  <c r="J75" i="15" s="1"/>
  <c r="I36" i="31"/>
  <c r="I75" i="15" s="1"/>
  <c r="H36" i="31"/>
  <c r="H75" i="15" s="1"/>
  <c r="F36" i="31"/>
  <c r="F36" i="15" s="1"/>
  <c r="E36" i="31"/>
  <c r="E36" i="15" s="1"/>
  <c r="D36" i="31"/>
  <c r="D36" i="15" s="1"/>
  <c r="T35" i="31"/>
  <c r="S35" i="31"/>
  <c r="S74" i="15" s="1"/>
  <c r="R35" i="31"/>
  <c r="R74" i="15" s="1"/>
  <c r="O35" i="31"/>
  <c r="O74" i="15" s="1"/>
  <c r="N35" i="31"/>
  <c r="N74" i="15" s="1"/>
  <c r="M35" i="31"/>
  <c r="J35" i="31"/>
  <c r="J74" i="15" s="1"/>
  <c r="I35" i="31"/>
  <c r="I74" i="15" s="1"/>
  <c r="H35" i="31"/>
  <c r="H74" i="15" s="1"/>
  <c r="F35" i="31"/>
  <c r="F74" i="15" s="1"/>
  <c r="E35" i="31"/>
  <c r="E74" i="15" s="1"/>
  <c r="D35" i="31"/>
  <c r="T34" i="31"/>
  <c r="T73" i="15" s="1"/>
  <c r="S34" i="31"/>
  <c r="S73" i="15" s="1"/>
  <c r="R34" i="31"/>
  <c r="O34" i="31"/>
  <c r="O73" i="15" s="1"/>
  <c r="N34" i="31"/>
  <c r="N34" i="15" s="1"/>
  <c r="M34" i="31"/>
  <c r="M34" i="15" s="1"/>
  <c r="J34" i="31"/>
  <c r="J34" i="15" s="1"/>
  <c r="I34" i="31"/>
  <c r="I34" i="15" s="1"/>
  <c r="H34" i="31"/>
  <c r="F34" i="31"/>
  <c r="F73" i="15" s="1"/>
  <c r="E34" i="31"/>
  <c r="E73" i="15" s="1"/>
  <c r="D34" i="31"/>
  <c r="T33" i="31"/>
  <c r="T33" i="15" s="1"/>
  <c r="S33" i="31"/>
  <c r="R33" i="31"/>
  <c r="R72" i="15" s="1"/>
  <c r="O33" i="31"/>
  <c r="O72" i="15" s="1"/>
  <c r="N33" i="31"/>
  <c r="M33" i="31"/>
  <c r="M33" i="15" s="1"/>
  <c r="J33" i="31"/>
  <c r="J33" i="15" s="1"/>
  <c r="I33" i="31"/>
  <c r="I33" i="15" s="1"/>
  <c r="H33" i="31"/>
  <c r="H33" i="15" s="1"/>
  <c r="F33" i="31"/>
  <c r="F33" i="15" s="1"/>
  <c r="E33" i="31"/>
  <c r="E33" i="15" s="1"/>
  <c r="D33" i="31"/>
  <c r="T32" i="31"/>
  <c r="T32" i="15" s="1"/>
  <c r="S32" i="31"/>
  <c r="R32" i="31"/>
  <c r="R32" i="15" s="1"/>
  <c r="O32" i="31"/>
  <c r="O32" i="15" s="1"/>
  <c r="N32" i="31"/>
  <c r="N32" i="15" s="1"/>
  <c r="M32" i="31"/>
  <c r="J32" i="31"/>
  <c r="J32" i="15" s="1"/>
  <c r="I32" i="31"/>
  <c r="I32" i="15" s="1"/>
  <c r="H32" i="31"/>
  <c r="F32" i="31"/>
  <c r="F32" i="15" s="1"/>
  <c r="E32" i="31"/>
  <c r="D32" i="31"/>
  <c r="D32" i="15" s="1"/>
  <c r="T31" i="31"/>
  <c r="T70" i="15" s="1"/>
  <c r="S31" i="31"/>
  <c r="R31" i="31"/>
  <c r="O31" i="31"/>
  <c r="N31" i="31"/>
  <c r="N70" i="15" s="1"/>
  <c r="M31" i="31"/>
  <c r="J31" i="31"/>
  <c r="J70" i="15" s="1"/>
  <c r="I31" i="31"/>
  <c r="H31" i="31"/>
  <c r="H31" i="15" s="1"/>
  <c r="F31" i="31"/>
  <c r="F70" i="15" s="1"/>
  <c r="E31" i="31"/>
  <c r="D31" i="31"/>
  <c r="D70" i="15" s="1"/>
  <c r="T30" i="31"/>
  <c r="T30" i="15" s="1"/>
  <c r="S30" i="31"/>
  <c r="R30" i="31"/>
  <c r="R69" i="15" s="1"/>
  <c r="O30" i="31"/>
  <c r="O30" i="15" s="1"/>
  <c r="N30" i="31"/>
  <c r="N30" i="15" s="1"/>
  <c r="M30" i="31"/>
  <c r="M69" i="15" s="1"/>
  <c r="J30" i="31"/>
  <c r="J30" i="15" s="1"/>
  <c r="I30" i="31"/>
  <c r="I30" i="15" s="1"/>
  <c r="H30" i="31"/>
  <c r="F30" i="31"/>
  <c r="F69" i="15" s="1"/>
  <c r="E30" i="31"/>
  <c r="E30" i="15" s="1"/>
  <c r="D30" i="31"/>
  <c r="T29" i="31"/>
  <c r="S29" i="31"/>
  <c r="S68" i="15" s="1"/>
  <c r="R29" i="31"/>
  <c r="R68" i="15" s="1"/>
  <c r="O29" i="31"/>
  <c r="O29" i="15" s="1"/>
  <c r="N29" i="31"/>
  <c r="N29" i="15" s="1"/>
  <c r="M29" i="31"/>
  <c r="M29" i="15" s="1"/>
  <c r="J29" i="31"/>
  <c r="J29" i="15" s="1"/>
  <c r="I29" i="31"/>
  <c r="I29" i="15" s="1"/>
  <c r="H29" i="31"/>
  <c r="H29" i="15" s="1"/>
  <c r="F29" i="31"/>
  <c r="F29" i="15" s="1"/>
  <c r="E29" i="31"/>
  <c r="E29" i="15" s="1"/>
  <c r="D29" i="31"/>
  <c r="T28" i="31"/>
  <c r="T67" i="15" s="1"/>
  <c r="S28" i="31"/>
  <c r="S67" i="15" s="1"/>
  <c r="R28" i="31"/>
  <c r="O28" i="31"/>
  <c r="O67" i="15" s="1"/>
  <c r="N28" i="31"/>
  <c r="N67" i="15" s="1"/>
  <c r="M28" i="31"/>
  <c r="J28" i="31"/>
  <c r="J67" i="15" s="1"/>
  <c r="I28" i="31"/>
  <c r="I67" i="15" s="1"/>
  <c r="H28" i="31"/>
  <c r="H67" i="15" s="1"/>
  <c r="F28" i="31"/>
  <c r="F67" i="15" s="1"/>
  <c r="E28" i="31"/>
  <c r="E67" i="15" s="1"/>
  <c r="D28" i="31"/>
  <c r="D67" i="15" s="1"/>
  <c r="T27" i="31"/>
  <c r="T66" i="15" s="1"/>
  <c r="S27" i="31"/>
  <c r="S66" i="15" s="1"/>
  <c r="R27" i="31"/>
  <c r="O27" i="31"/>
  <c r="O27" i="15" s="1"/>
  <c r="N27" i="31"/>
  <c r="N27" i="15" s="1"/>
  <c r="M27" i="31"/>
  <c r="M27" i="15" s="1"/>
  <c r="J27" i="31"/>
  <c r="J27" i="15" s="1"/>
  <c r="I27" i="31"/>
  <c r="I66" i="15" s="1"/>
  <c r="H27" i="31"/>
  <c r="H27" i="15" s="1"/>
  <c r="F27" i="31"/>
  <c r="E27" i="31"/>
  <c r="E66" i="15" s="1"/>
  <c r="D27" i="31"/>
  <c r="D66" i="15" s="1"/>
  <c r="T26" i="31"/>
  <c r="T65" i="15" s="1"/>
  <c r="S26" i="31"/>
  <c r="S65" i="15" s="1"/>
  <c r="R26" i="31"/>
  <c r="R65" i="15" s="1"/>
  <c r="O26" i="31"/>
  <c r="O65" i="15" s="1"/>
  <c r="N26" i="31"/>
  <c r="N26" i="15" s="1"/>
  <c r="M26" i="31"/>
  <c r="M26" i="15" s="1"/>
  <c r="J26" i="31"/>
  <c r="J65" i="15" s="1"/>
  <c r="I26" i="31"/>
  <c r="I65" i="15" s="1"/>
  <c r="H26" i="31"/>
  <c r="H65" i="15" s="1"/>
  <c r="F26" i="31"/>
  <c r="F65" i="15" s="1"/>
  <c r="E26" i="31"/>
  <c r="E65" i="15" s="1"/>
  <c r="D26" i="31"/>
  <c r="D65" i="15" s="1"/>
  <c r="T25" i="31"/>
  <c r="T25" i="15" s="1"/>
  <c r="S25" i="31"/>
  <c r="R25" i="31"/>
  <c r="R64" i="15" s="1"/>
  <c r="O25" i="31"/>
  <c r="N25" i="31"/>
  <c r="N25" i="15" s="1"/>
  <c r="M25" i="31"/>
  <c r="M25" i="15" s="1"/>
  <c r="J25" i="31"/>
  <c r="J25" i="15" s="1"/>
  <c r="I25" i="31"/>
  <c r="I25" i="15" s="1"/>
  <c r="H25" i="31"/>
  <c r="H25" i="15" s="1"/>
  <c r="F25" i="31"/>
  <c r="F25" i="15" s="1"/>
  <c r="E25" i="31"/>
  <c r="E25" i="15" s="1"/>
  <c r="D25" i="31"/>
  <c r="D25" i="15" s="1"/>
  <c r="T24" i="31"/>
  <c r="S24" i="31"/>
  <c r="S63" i="15" s="1"/>
  <c r="R24" i="31"/>
  <c r="O24" i="31"/>
  <c r="O24" i="15" s="1"/>
  <c r="N24" i="31"/>
  <c r="N63" i="15" s="1"/>
  <c r="M24" i="31"/>
  <c r="M63" i="15" s="1"/>
  <c r="J24" i="31"/>
  <c r="J63" i="15" s="1"/>
  <c r="I24" i="31"/>
  <c r="I63" i="15" s="1"/>
  <c r="H24" i="31"/>
  <c r="H63" i="15" s="1"/>
  <c r="F24" i="31"/>
  <c r="F63" i="15" s="1"/>
  <c r="E24" i="31"/>
  <c r="E63" i="15" s="1"/>
  <c r="D24" i="31"/>
  <c r="T19" i="31"/>
  <c r="T116" i="15" s="1"/>
  <c r="T135" i="15" s="1"/>
  <c r="S19" i="31"/>
  <c r="S116" i="15" s="1"/>
  <c r="R19" i="31"/>
  <c r="R19" i="15" s="1"/>
  <c r="O19" i="31"/>
  <c r="O19" i="15" s="1"/>
  <c r="N19" i="31"/>
  <c r="N19" i="15" s="1"/>
  <c r="M19" i="31"/>
  <c r="M19" i="15" s="1"/>
  <c r="J19" i="31"/>
  <c r="J19" i="15" s="1"/>
  <c r="I19" i="31"/>
  <c r="I19" i="15" s="1"/>
  <c r="H19" i="31"/>
  <c r="H19" i="15" s="1"/>
  <c r="F19" i="31"/>
  <c r="F19" i="15" s="1"/>
  <c r="E19" i="31"/>
  <c r="D19" i="31"/>
  <c r="D116" i="15" s="1"/>
  <c r="T18" i="31"/>
  <c r="T18" i="15" s="1"/>
  <c r="S18" i="31"/>
  <c r="R18" i="31"/>
  <c r="R18" i="15" s="1"/>
  <c r="O18" i="31"/>
  <c r="O115" i="15" s="1"/>
  <c r="N18" i="31"/>
  <c r="N115" i="15" s="1"/>
  <c r="N134" i="15" s="1"/>
  <c r="M18" i="31"/>
  <c r="M115" i="15" s="1"/>
  <c r="J18" i="31"/>
  <c r="J115" i="15" s="1"/>
  <c r="I18" i="31"/>
  <c r="I115" i="15" s="1"/>
  <c r="H18" i="31"/>
  <c r="H115" i="15" s="1"/>
  <c r="F18" i="31"/>
  <c r="F115" i="15" s="1"/>
  <c r="E18" i="31"/>
  <c r="E18" i="15" s="1"/>
  <c r="D18" i="31"/>
  <c r="D18" i="15" s="1"/>
  <c r="T17" i="31"/>
  <c r="T114" i="15" s="1"/>
  <c r="S17" i="31"/>
  <c r="S114" i="15" s="1"/>
  <c r="R17" i="31"/>
  <c r="R114" i="15" s="1"/>
  <c r="O17" i="31"/>
  <c r="O17" i="15" s="1"/>
  <c r="N17" i="31"/>
  <c r="N17" i="15" s="1"/>
  <c r="M17" i="31"/>
  <c r="M17" i="15" s="1"/>
  <c r="J17" i="31"/>
  <c r="J17" i="15" s="1"/>
  <c r="I17" i="31"/>
  <c r="I17" i="15" s="1"/>
  <c r="H17" i="31"/>
  <c r="H17" i="15" s="1"/>
  <c r="F17" i="31"/>
  <c r="F17" i="15" s="1"/>
  <c r="E17" i="31"/>
  <c r="E114" i="15" s="1"/>
  <c r="D17" i="31"/>
  <c r="D114" i="15" s="1"/>
  <c r="T16" i="31"/>
  <c r="T113" i="15" s="1"/>
  <c r="T132" i="15" s="1"/>
  <c r="S16" i="31"/>
  <c r="R16" i="31"/>
  <c r="R16" i="15" s="1"/>
  <c r="O16" i="31"/>
  <c r="O16" i="15" s="1"/>
  <c r="N16" i="31"/>
  <c r="N16" i="15" s="1"/>
  <c r="M16" i="31"/>
  <c r="M16" i="15" s="1"/>
  <c r="J16" i="31"/>
  <c r="J113" i="15" s="1"/>
  <c r="I16" i="31"/>
  <c r="I113" i="15" s="1"/>
  <c r="H16" i="31"/>
  <c r="F16" i="31"/>
  <c r="E16" i="31"/>
  <c r="E113" i="15" s="1"/>
  <c r="D16" i="31"/>
  <c r="D113" i="15" s="1"/>
  <c r="T15" i="31"/>
  <c r="T15" i="15" s="1"/>
  <c r="S15" i="31"/>
  <c r="R15" i="31"/>
  <c r="R112" i="15" s="1"/>
  <c r="O15" i="31"/>
  <c r="O112" i="15" s="1"/>
  <c r="N15" i="31"/>
  <c r="N112" i="15" s="1"/>
  <c r="N131" i="15" s="1"/>
  <c r="M15" i="31"/>
  <c r="J15" i="31"/>
  <c r="J112" i="15" s="1"/>
  <c r="I15" i="31"/>
  <c r="I112" i="15" s="1"/>
  <c r="H15" i="31"/>
  <c r="F15" i="31"/>
  <c r="F112" i="15" s="1"/>
  <c r="E15" i="31"/>
  <c r="E15" i="15" s="1"/>
  <c r="D15" i="31"/>
  <c r="D15" i="15" s="1"/>
  <c r="T14" i="31"/>
  <c r="T14" i="15" s="1"/>
  <c r="S14" i="31"/>
  <c r="R14" i="31"/>
  <c r="R14" i="15" s="1"/>
  <c r="O14" i="31"/>
  <c r="O14" i="15" s="1"/>
  <c r="N14" i="31"/>
  <c r="N14" i="15" s="1"/>
  <c r="M14" i="31"/>
  <c r="M14" i="15" s="1"/>
  <c r="J14" i="31"/>
  <c r="I14" i="31"/>
  <c r="H14" i="31"/>
  <c r="H111" i="15" s="1"/>
  <c r="F14" i="31"/>
  <c r="F14" i="15" s="1"/>
  <c r="E14" i="31"/>
  <c r="E14" i="15" s="1"/>
  <c r="D14" i="31"/>
  <c r="D14" i="15" s="1"/>
  <c r="T13" i="31"/>
  <c r="T110" i="15" s="1"/>
  <c r="T129" i="15" s="1"/>
  <c r="S13" i="31"/>
  <c r="R13" i="31"/>
  <c r="R13" i="15" s="1"/>
  <c r="O13" i="31"/>
  <c r="N13" i="31"/>
  <c r="N110" i="15" s="1"/>
  <c r="M13" i="31"/>
  <c r="M110" i="15" s="1"/>
  <c r="J13" i="31"/>
  <c r="J110" i="15" s="1"/>
  <c r="J129" i="15" s="1"/>
  <c r="I13" i="31"/>
  <c r="I110" i="15" s="1"/>
  <c r="H13" i="31"/>
  <c r="F13" i="31"/>
  <c r="F110" i="15" s="1"/>
  <c r="E13" i="31"/>
  <c r="E110" i="15" s="1"/>
  <c r="D13" i="31"/>
  <c r="D13" i="15" s="1"/>
  <c r="T12" i="31"/>
  <c r="T109" i="15" s="1"/>
  <c r="T128" i="15" s="1"/>
  <c r="S12" i="31"/>
  <c r="S109" i="15" s="1"/>
  <c r="R12" i="31"/>
  <c r="R109" i="15" s="1"/>
  <c r="O12" i="31"/>
  <c r="O12" i="15" s="1"/>
  <c r="N12" i="31"/>
  <c r="N12" i="15" s="1"/>
  <c r="M12" i="31"/>
  <c r="M109" i="15" s="1"/>
  <c r="J12" i="31"/>
  <c r="J109" i="15" s="1"/>
  <c r="I12" i="31"/>
  <c r="I12" i="15" s="1"/>
  <c r="H12" i="31"/>
  <c r="H109" i="15" s="1"/>
  <c r="F12" i="31"/>
  <c r="F109" i="15" s="1"/>
  <c r="E12" i="31"/>
  <c r="E12" i="15" s="1"/>
  <c r="D12" i="31"/>
  <c r="D109" i="15" s="1"/>
  <c r="T11" i="31"/>
  <c r="T11" i="15" s="1"/>
  <c r="S11" i="31"/>
  <c r="R11" i="31"/>
  <c r="R11" i="15" s="1"/>
  <c r="O11" i="31"/>
  <c r="O11" i="15" s="1"/>
  <c r="N11" i="31"/>
  <c r="N11" i="15" s="1"/>
  <c r="M11" i="31"/>
  <c r="J11" i="31"/>
  <c r="J108" i="15" s="1"/>
  <c r="J127" i="15" s="1"/>
  <c r="I11" i="31"/>
  <c r="I108" i="15" s="1"/>
  <c r="H11" i="31"/>
  <c r="H108" i="15" s="1"/>
  <c r="F11" i="31"/>
  <c r="F11" i="15" s="1"/>
  <c r="E11" i="31"/>
  <c r="E11" i="15" s="1"/>
  <c r="D11" i="31"/>
  <c r="D11" i="15" s="1"/>
  <c r="T10" i="31"/>
  <c r="T10" i="15" s="1"/>
  <c r="S10" i="31"/>
  <c r="S107" i="15" s="1"/>
  <c r="R10" i="31"/>
  <c r="R10" i="15" s="1"/>
  <c r="O10" i="31"/>
  <c r="O10" i="15" s="1"/>
  <c r="N10" i="31"/>
  <c r="N10" i="15" s="1"/>
  <c r="M10" i="31"/>
  <c r="M10" i="15" s="1"/>
  <c r="J10" i="31"/>
  <c r="J107" i="15" s="1"/>
  <c r="I10" i="31"/>
  <c r="I107" i="15" s="1"/>
  <c r="H10" i="31"/>
  <c r="H107" i="15" s="1"/>
  <c r="F10" i="31"/>
  <c r="F107" i="15" s="1"/>
  <c r="E10" i="31"/>
  <c r="E107" i="15" s="1"/>
  <c r="E126" i="15" s="1"/>
  <c r="D10" i="31"/>
  <c r="D10" i="15" s="1"/>
  <c r="T9" i="31"/>
  <c r="T9" i="15" s="1"/>
  <c r="S9" i="31"/>
  <c r="R9" i="31"/>
  <c r="R9" i="15" s="1"/>
  <c r="O9" i="31"/>
  <c r="O106" i="15" s="1"/>
  <c r="N9" i="31"/>
  <c r="M9" i="31"/>
  <c r="J9" i="31"/>
  <c r="J9" i="15" s="1"/>
  <c r="I9" i="31"/>
  <c r="I106" i="15" s="1"/>
  <c r="H9" i="31"/>
  <c r="H9" i="15" s="1"/>
  <c r="F9" i="31"/>
  <c r="F9" i="15" s="1"/>
  <c r="E9" i="31"/>
  <c r="D9" i="31"/>
  <c r="D9" i="15" s="1"/>
  <c r="T8" i="31"/>
  <c r="T105" i="15" s="1"/>
  <c r="S8" i="31"/>
  <c r="S105" i="15" s="1"/>
  <c r="R8" i="31"/>
  <c r="O8" i="31"/>
  <c r="O8" i="15" s="1"/>
  <c r="N8" i="31"/>
  <c r="N105" i="15" s="1"/>
  <c r="M8" i="31"/>
  <c r="M105" i="15" s="1"/>
  <c r="J8" i="31"/>
  <c r="J105" i="15" s="1"/>
  <c r="I8" i="31"/>
  <c r="I105" i="15" s="1"/>
  <c r="H8" i="31"/>
  <c r="F8" i="31"/>
  <c r="F105" i="15" s="1"/>
  <c r="E8" i="31"/>
  <c r="E105" i="15" s="1"/>
  <c r="E124" i="15" s="1"/>
  <c r="D8" i="31"/>
  <c r="T7" i="31"/>
  <c r="T104" i="15" s="1"/>
  <c r="S7" i="31"/>
  <c r="S104" i="15" s="1"/>
  <c r="R7" i="31"/>
  <c r="R104" i="15" s="1"/>
  <c r="O7" i="31"/>
  <c r="O104" i="15" s="1"/>
  <c r="N7" i="31"/>
  <c r="N104" i="15" s="1"/>
  <c r="N123" i="15" s="1"/>
  <c r="M7" i="31"/>
  <c r="M7" i="15" s="1"/>
  <c r="J7" i="31"/>
  <c r="J104" i="15" s="1"/>
  <c r="J123" i="15" s="1"/>
  <c r="I7" i="31"/>
  <c r="I104" i="15" s="1"/>
  <c r="I123" i="15" s="1"/>
  <c r="H7" i="31"/>
  <c r="H104" i="15" s="1"/>
  <c r="F7" i="31"/>
  <c r="F104" i="15" s="1"/>
  <c r="E7" i="31"/>
  <c r="E104" i="15" s="1"/>
  <c r="D7" i="31"/>
  <c r="D104" i="15" s="1"/>
  <c r="T6" i="31"/>
  <c r="T6" i="15" s="1"/>
  <c r="S6" i="31"/>
  <c r="R6" i="31"/>
  <c r="O6" i="31"/>
  <c r="O6" i="15" s="1"/>
  <c r="N6" i="31"/>
  <c r="N6" i="15" s="1"/>
  <c r="M6" i="31"/>
  <c r="M6" i="15" s="1"/>
  <c r="J6" i="31"/>
  <c r="J103" i="15" s="1"/>
  <c r="I6" i="31"/>
  <c r="I103" i="15" s="1"/>
  <c r="H6" i="31"/>
  <c r="H103" i="15" s="1"/>
  <c r="H122" i="15" s="1"/>
  <c r="F6" i="31"/>
  <c r="F103" i="15" s="1"/>
  <c r="E6" i="31"/>
  <c r="D6" i="31"/>
  <c r="D6" i="15" s="1"/>
  <c r="M2" i="31"/>
  <c r="P1" i="31"/>
  <c r="K1" i="31"/>
  <c r="G1" i="31"/>
  <c r="C2" i="69"/>
  <c r="Q99" i="77" l="1"/>
  <c r="D7" i="59"/>
  <c r="D49" i="59" s="1"/>
  <c r="G7" i="59"/>
  <c r="M101" i="53"/>
  <c r="D27" i="59"/>
  <c r="G27" i="59"/>
  <c r="F122" i="15"/>
  <c r="D7" i="54"/>
  <c r="D49" i="54" s="1"/>
  <c r="BV93" i="77"/>
  <c r="D7" i="56"/>
  <c r="D49" i="56" s="1"/>
  <c r="G7" i="54"/>
  <c r="D27" i="56"/>
  <c r="G27" i="54"/>
  <c r="G27" i="56"/>
  <c r="BC93" i="77"/>
  <c r="BC93" i="70" s="1"/>
  <c r="AA95" i="77"/>
  <c r="I99" i="77"/>
  <c r="Y99" i="77"/>
  <c r="AW99" i="77"/>
  <c r="BZ47" i="70"/>
  <c r="AF75" i="77"/>
  <c r="CA99" i="77"/>
  <c r="AF66" i="77"/>
  <c r="AY70" i="77"/>
  <c r="BV90" i="77"/>
  <c r="G101" i="53"/>
  <c r="T123" i="15"/>
  <c r="A3" i="39"/>
  <c r="X22" i="39" s="1"/>
  <c r="AX87" i="77"/>
  <c r="AO93" i="77"/>
  <c r="AJ96" i="77"/>
  <c r="AJ96" i="70" s="1"/>
  <c r="BC87" i="77"/>
  <c r="BC87" i="70" s="1"/>
  <c r="AX90" i="77"/>
  <c r="AU99" i="77"/>
  <c r="AU99" i="70" s="1"/>
  <c r="L1" i="31"/>
  <c r="Q1" i="31" s="1"/>
  <c r="G35" i="31"/>
  <c r="AX85" i="77"/>
  <c r="AJ91" i="77"/>
  <c r="BM89" i="77"/>
  <c r="AF59" i="77"/>
  <c r="BH85" i="77"/>
  <c r="AY53" i="77"/>
  <c r="BW57" i="77"/>
  <c r="AF67" i="77"/>
  <c r="U32" i="31"/>
  <c r="I38" i="30" s="1"/>
  <c r="U36" i="31"/>
  <c r="AA86" i="77"/>
  <c r="BR53" i="77"/>
  <c r="E75" i="41"/>
  <c r="F18" i="60"/>
  <c r="F19" i="60" s="1"/>
  <c r="A5" i="37"/>
  <c r="B59" i="37" s="1"/>
  <c r="BC92" i="77"/>
  <c r="AX95" i="77"/>
  <c r="AT98" i="77"/>
  <c r="AO88" i="77"/>
  <c r="BR69" i="77"/>
  <c r="AT94" i="77"/>
  <c r="R99" i="77"/>
  <c r="AM99" i="77"/>
  <c r="AU15" i="65"/>
  <c r="AJ87" i="77"/>
  <c r="AE90" i="77"/>
  <c r="AA4" i="39"/>
  <c r="AA34" i="39" s="1"/>
  <c r="AF76" i="77"/>
  <c r="AK76" i="77" s="1"/>
  <c r="AF51" i="77"/>
  <c r="D125" i="36"/>
  <c r="X3" i="51" s="1"/>
  <c r="T41" i="51" s="1"/>
  <c r="D137" i="36"/>
  <c r="C135" i="36" s="1"/>
  <c r="C3" i="49" s="1"/>
  <c r="J21" i="68"/>
  <c r="D24" i="43" s="1"/>
  <c r="P101" i="53"/>
  <c r="N21" i="68"/>
  <c r="BR52" i="77"/>
  <c r="AA98" i="77"/>
  <c r="J99" i="77"/>
  <c r="Z99" i="77"/>
  <c r="P21" i="68"/>
  <c r="M5" i="33"/>
  <c r="R5" i="33" s="1"/>
  <c r="S76" i="40"/>
  <c r="AE85" i="77"/>
  <c r="AX86" i="77"/>
  <c r="BM92" i="77"/>
  <c r="BR92" i="77" s="1"/>
  <c r="BR92" i="70" s="1"/>
  <c r="R21" i="68"/>
  <c r="E6" i="57"/>
  <c r="BI57" i="77"/>
  <c r="BW73" i="77"/>
  <c r="I84" i="15"/>
  <c r="H18" i="60"/>
  <c r="H19" i="60" s="1"/>
  <c r="AA88" i="77"/>
  <c r="AX89" i="77"/>
  <c r="AJ90" i="77"/>
  <c r="BR72" i="77"/>
  <c r="BQ89" i="77"/>
  <c r="AD4" i="39"/>
  <c r="AD23" i="39" s="1"/>
  <c r="J18" i="60"/>
  <c r="J19" i="60" s="1"/>
  <c r="BH86" i="77"/>
  <c r="AE88" i="77"/>
  <c r="BC91" i="77"/>
  <c r="BC91" i="70" s="1"/>
  <c r="BH96" i="77"/>
  <c r="BO99" i="77"/>
  <c r="BO99" i="70" s="1"/>
  <c r="BW75" i="77"/>
  <c r="BW75" i="70" s="1"/>
  <c r="AJ80" i="77"/>
  <c r="D126" i="36"/>
  <c r="BE3" i="51" s="1"/>
  <c r="N78" i="41"/>
  <c r="M18" i="60"/>
  <c r="M19" i="60" s="1"/>
  <c r="AS23" i="65"/>
  <c r="AT92" i="77"/>
  <c r="AF55" i="77"/>
  <c r="BW58" i="77"/>
  <c r="AT61" i="77"/>
  <c r="AY69" i="77"/>
  <c r="BD69" i="77" s="1"/>
  <c r="BI69" i="77" s="1"/>
  <c r="AY79" i="77"/>
  <c r="BD79" i="77" s="1"/>
  <c r="BI79" i="77" s="1"/>
  <c r="U8" i="31"/>
  <c r="I10" i="30" s="1"/>
  <c r="U24" i="31"/>
  <c r="U24" i="15" s="1"/>
  <c r="U65" i="15"/>
  <c r="AD40" i="39"/>
  <c r="R117" i="80"/>
  <c r="J172" i="80"/>
  <c r="H101" i="53"/>
  <c r="BC85" i="77"/>
  <c r="J75" i="36"/>
  <c r="D80" i="36" s="1"/>
  <c r="I88" i="15"/>
  <c r="K8" i="31"/>
  <c r="K63" i="15"/>
  <c r="L101" i="53"/>
  <c r="AA87" i="77"/>
  <c r="AJ89" i="77"/>
  <c r="AF71" i="77"/>
  <c r="BM85" i="77"/>
  <c r="BM85" i="70" s="1"/>
  <c r="BQ88" i="77"/>
  <c r="BR88" i="77" s="1"/>
  <c r="BR88" i="70" s="1"/>
  <c r="C31" i="60"/>
  <c r="K31" i="60" s="1"/>
  <c r="K32" i="60" s="1"/>
  <c r="AF47" i="77"/>
  <c r="AF85" i="77" s="1"/>
  <c r="AF85" i="70" s="1"/>
  <c r="BC98" i="77"/>
  <c r="AV99" i="77"/>
  <c r="AF69" i="77"/>
  <c r="BR74" i="77"/>
  <c r="BI49" i="77"/>
  <c r="AF57" i="77"/>
  <c r="AF73" i="77"/>
  <c r="BR77" i="77"/>
  <c r="BV86" i="77"/>
  <c r="BQ90" i="77"/>
  <c r="BV91" i="77"/>
  <c r="BQ94" i="77"/>
  <c r="E154" i="80"/>
  <c r="U154" i="80"/>
  <c r="G6" i="31"/>
  <c r="D8" i="30" s="1"/>
  <c r="F124" i="15"/>
  <c r="F134" i="15"/>
  <c r="T21" i="68"/>
  <c r="N4" i="43" s="1"/>
  <c r="O74" i="41"/>
  <c r="I101" i="53"/>
  <c r="I18" i="60"/>
  <c r="I19" i="60" s="1"/>
  <c r="AT85" i="77"/>
  <c r="BW48" i="77"/>
  <c r="AA91" i="77"/>
  <c r="AA93" i="77"/>
  <c r="BW55" i="77"/>
  <c r="BR75" i="77"/>
  <c r="BR75" i="70" s="1"/>
  <c r="BQ80" i="77"/>
  <c r="C260" i="36"/>
  <c r="I135" i="80"/>
  <c r="Q135" i="80"/>
  <c r="N135" i="80"/>
  <c r="K135" i="80"/>
  <c r="AA96" i="77"/>
  <c r="S99" i="77"/>
  <c r="S99" i="70" s="1"/>
  <c r="I122" i="15"/>
  <c r="O123" i="15"/>
  <c r="I124" i="15"/>
  <c r="I134" i="15"/>
  <c r="D135" i="15"/>
  <c r="L117" i="80"/>
  <c r="I117" i="80"/>
  <c r="S117" i="80"/>
  <c r="H154" i="80"/>
  <c r="K172" i="80"/>
  <c r="AE96" i="77"/>
  <c r="AE96" i="70" s="1"/>
  <c r="AX97" i="77"/>
  <c r="AX97" i="70" s="1"/>
  <c r="AC99" i="77"/>
  <c r="AF78" i="77"/>
  <c r="AK78" i="77" s="1"/>
  <c r="BQ87" i="77"/>
  <c r="AA89" i="77"/>
  <c r="BM91" i="77"/>
  <c r="BM93" i="77"/>
  <c r="O98" i="80"/>
  <c r="O101" i="53"/>
  <c r="N18" i="60"/>
  <c r="N19" i="60" s="1"/>
  <c r="AY50" i="77"/>
  <c r="AO98" i="77"/>
  <c r="BF99" i="77"/>
  <c r="BW68" i="77"/>
  <c r="AF74" i="77"/>
  <c r="AK74" i="77" s="1"/>
  <c r="AY77" i="77"/>
  <c r="AY77" i="70" s="1"/>
  <c r="BM86" i="77"/>
  <c r="BM86" i="70" s="1"/>
  <c r="BQ91" i="77"/>
  <c r="BQ93" i="77"/>
  <c r="BQ97" i="77"/>
  <c r="P56" i="31"/>
  <c r="J122" i="15"/>
  <c r="J124" i="15"/>
  <c r="J126" i="15"/>
  <c r="E129" i="15"/>
  <c r="E133" i="15"/>
  <c r="J134" i="15"/>
  <c r="G44" i="31"/>
  <c r="R8" i="30" s="1"/>
  <c r="F90" i="15"/>
  <c r="AA22" i="39"/>
  <c r="F123" i="15"/>
  <c r="S123" i="15"/>
  <c r="H86" i="15"/>
  <c r="A4" i="39"/>
  <c r="L21" i="68"/>
  <c r="P18" i="60"/>
  <c r="P19" i="60" s="1"/>
  <c r="BW47" i="77"/>
  <c r="AO89" i="77"/>
  <c r="AT91" i="77"/>
  <c r="AE94" i="77"/>
  <c r="BC95" i="77"/>
  <c r="AO96" i="77"/>
  <c r="AS99" i="77"/>
  <c r="AF70" i="77"/>
  <c r="AK70" i="77" s="1"/>
  <c r="BW76" i="77"/>
  <c r="BW76" i="70" s="1"/>
  <c r="AO80" i="77"/>
  <c r="AO80" i="70" s="1"/>
  <c r="BV85" i="77"/>
  <c r="BQ86" i="77"/>
  <c r="BQ86" i="70" s="1"/>
  <c r="BV87" i="77"/>
  <c r="BQ95" i="77"/>
  <c r="E123" i="15"/>
  <c r="J128" i="15"/>
  <c r="J132" i="15"/>
  <c r="G29" i="31"/>
  <c r="D35" i="30" s="1"/>
  <c r="P32" i="31"/>
  <c r="G53" i="31"/>
  <c r="W4" i="39"/>
  <c r="W29" i="39" s="1"/>
  <c r="AD32" i="39"/>
  <c r="E135" i="80"/>
  <c r="U135" i="80"/>
  <c r="E101" i="53"/>
  <c r="Q101" i="53"/>
  <c r="E18" i="60"/>
  <c r="E19" i="60" s="1"/>
  <c r="Q18" i="60"/>
  <c r="Q19" i="60" s="1"/>
  <c r="AU28" i="65"/>
  <c r="BR47" i="77"/>
  <c r="AX93" i="77"/>
  <c r="BH95" i="77"/>
  <c r="AT96" i="77"/>
  <c r="G99" i="77"/>
  <c r="O99" i="77"/>
  <c r="W99" i="77"/>
  <c r="W99" i="70" s="1"/>
  <c r="AH99" i="77"/>
  <c r="BR68" i="77"/>
  <c r="AY78" i="77"/>
  <c r="BD78" i="77" s="1"/>
  <c r="AF79" i="77"/>
  <c r="AK79" i="77" s="1"/>
  <c r="AK79" i="70" s="1"/>
  <c r="BW79" i="77"/>
  <c r="BW79" i="70" s="1"/>
  <c r="BM94" i="77"/>
  <c r="BM96" i="77"/>
  <c r="BM98" i="77"/>
  <c r="B64" i="37"/>
  <c r="E74" i="41"/>
  <c r="O78" i="41"/>
  <c r="T76" i="40"/>
  <c r="K98" i="80"/>
  <c r="S98" i="80"/>
  <c r="H98" i="80"/>
  <c r="P117" i="80"/>
  <c r="F172" i="80"/>
  <c r="N172" i="80"/>
  <c r="V172" i="80"/>
  <c r="S172" i="80"/>
  <c r="P172" i="80"/>
  <c r="M172" i="80"/>
  <c r="AS10" i="65"/>
  <c r="N99" i="77"/>
  <c r="AG99" i="77"/>
  <c r="AK67" i="77"/>
  <c r="AP67" i="77" s="1"/>
  <c r="AP67" i="70" s="1"/>
  <c r="S18" i="15"/>
  <c r="S9" i="15"/>
  <c r="S11" i="15"/>
  <c r="F129" i="15"/>
  <c r="F131" i="15"/>
  <c r="K33" i="31"/>
  <c r="K33" i="15" s="1"/>
  <c r="K46" i="31"/>
  <c r="S10" i="30" s="1"/>
  <c r="AD13" i="39"/>
  <c r="W25" i="39"/>
  <c r="AD35" i="39"/>
  <c r="O21" i="68"/>
  <c r="I4" i="43" s="1"/>
  <c r="F74" i="41"/>
  <c r="N80" i="41"/>
  <c r="A2" i="44"/>
  <c r="C60" i="44" s="1"/>
  <c r="L98" i="80"/>
  <c r="Q117" i="80"/>
  <c r="R154" i="80"/>
  <c r="O154" i="80"/>
  <c r="I154" i="80"/>
  <c r="G172" i="80"/>
  <c r="O172" i="80"/>
  <c r="D172" i="80"/>
  <c r="T172" i="80"/>
  <c r="Q172" i="80"/>
  <c r="J101" i="53"/>
  <c r="U101" i="53"/>
  <c r="K18" i="60"/>
  <c r="K19" i="60" s="1"/>
  <c r="AA61" i="77"/>
  <c r="AJ86" i="77"/>
  <c r="BR48" i="77"/>
  <c r="BH88" i="77"/>
  <c r="AA90" i="77"/>
  <c r="AA90" i="70" s="1"/>
  <c r="BW52" i="77"/>
  <c r="BW52" i="70" s="1"/>
  <c r="BW53" i="77"/>
  <c r="BH92" i="77"/>
  <c r="BC94" i="77"/>
  <c r="AA97" i="77"/>
  <c r="AA97" i="70" s="1"/>
  <c r="AX98" i="77"/>
  <c r="AX98" i="70" s="1"/>
  <c r="BD70" i="77"/>
  <c r="AF72" i="77"/>
  <c r="AK72" i="77" s="1"/>
  <c r="AP72" i="77" s="1"/>
  <c r="BW72" i="77"/>
  <c r="BH97" i="77"/>
  <c r="BM87" i="77"/>
  <c r="BR87" i="77" s="1"/>
  <c r="BR87" i="70" s="1"/>
  <c r="AX88" i="77"/>
  <c r="AX88" i="70" s="1"/>
  <c r="BM88" i="77"/>
  <c r="BV92" i="77"/>
  <c r="F409" i="36"/>
  <c r="U7" i="31"/>
  <c r="U7" i="15" s="1"/>
  <c r="P31" i="31"/>
  <c r="P31" i="15" s="1"/>
  <c r="AD9" i="39"/>
  <c r="AD14" i="39"/>
  <c r="Y22" i="39"/>
  <c r="AD36" i="39"/>
  <c r="N74" i="41"/>
  <c r="O80" i="41"/>
  <c r="F32" i="43"/>
  <c r="F271" i="44" s="1"/>
  <c r="E98" i="80"/>
  <c r="M98" i="80"/>
  <c r="U98" i="80"/>
  <c r="O135" i="80"/>
  <c r="L135" i="80"/>
  <c r="F135" i="80"/>
  <c r="V135" i="80"/>
  <c r="K154" i="80"/>
  <c r="S154" i="80"/>
  <c r="P154" i="80"/>
  <c r="M154" i="80"/>
  <c r="J154" i="80"/>
  <c r="H172" i="80"/>
  <c r="K101" i="53"/>
  <c r="V101" i="53"/>
  <c r="D18" i="60"/>
  <c r="D19" i="60" s="1"/>
  <c r="L18" i="60"/>
  <c r="L19" i="60" s="1"/>
  <c r="AS18" i="65"/>
  <c r="AY49" i="77"/>
  <c r="BD49" i="77" s="1"/>
  <c r="BD49" i="70" s="1"/>
  <c r="BR50" i="77"/>
  <c r="BR50" i="70" s="1"/>
  <c r="BW54" i="77"/>
  <c r="AY58" i="77"/>
  <c r="H99" i="77"/>
  <c r="H99" i="70" s="1"/>
  <c r="P99" i="77"/>
  <c r="X99" i="77"/>
  <c r="AI99" i="77"/>
  <c r="AI99" i="70" s="1"/>
  <c r="AX61" i="77"/>
  <c r="AY61" i="77" s="1"/>
  <c r="AY61" i="70" s="1"/>
  <c r="AE80" i="77"/>
  <c r="AE80" i="70" s="1"/>
  <c r="BM80" i="77"/>
  <c r="AY67" i="77"/>
  <c r="AY71" i="77"/>
  <c r="BD71" i="77" s="1"/>
  <c r="BI71" i="77" s="1"/>
  <c r="BI71" i="70" s="1"/>
  <c r="AY75" i="77"/>
  <c r="BD75" i="77" s="1"/>
  <c r="BI75" i="77" s="1"/>
  <c r="BW78" i="77"/>
  <c r="BV95" i="77"/>
  <c r="AT47" i="70"/>
  <c r="E80" i="36"/>
  <c r="W11" i="39"/>
  <c r="S36" i="15"/>
  <c r="U45" i="31"/>
  <c r="U45" i="15" s="1"/>
  <c r="G8" i="31"/>
  <c r="D10" i="30" s="1"/>
  <c r="I127" i="15"/>
  <c r="I129" i="15"/>
  <c r="I131" i="15"/>
  <c r="U17" i="31"/>
  <c r="I19" i="30" s="1"/>
  <c r="G19" i="31"/>
  <c r="D21" i="30" s="1"/>
  <c r="S25" i="15"/>
  <c r="P28" i="31"/>
  <c r="G34" i="30" s="1"/>
  <c r="U44" i="31"/>
  <c r="U44" i="15" s="1"/>
  <c r="G46" i="31"/>
  <c r="R10" i="30" s="1"/>
  <c r="W15" i="39"/>
  <c r="Z22" i="39"/>
  <c r="AA26" i="39"/>
  <c r="AD31" i="39"/>
  <c r="W40" i="39"/>
  <c r="W57" i="39"/>
  <c r="Q21" i="68"/>
  <c r="K4" i="43" s="1"/>
  <c r="N98" i="80"/>
  <c r="H135" i="80"/>
  <c r="P135" i="80"/>
  <c r="M135" i="80"/>
  <c r="J135" i="80"/>
  <c r="G135" i="80"/>
  <c r="D154" i="80"/>
  <c r="L154" i="80"/>
  <c r="T154" i="80"/>
  <c r="Q154" i="80"/>
  <c r="N154" i="80"/>
  <c r="I172" i="80"/>
  <c r="AJ88" i="77"/>
  <c r="AE92" i="77"/>
  <c r="BW56" i="77"/>
  <c r="BW56" i="70" s="1"/>
  <c r="AJ97" i="77"/>
  <c r="AJ97" i="70" s="1"/>
  <c r="AK66" i="77"/>
  <c r="AP66" i="77" s="1"/>
  <c r="BR70" i="77"/>
  <c r="BR70" i="70" s="1"/>
  <c r="BI73" i="77"/>
  <c r="BR76" i="77"/>
  <c r="E83" i="36"/>
  <c r="V1" i="31"/>
  <c r="S124" i="15"/>
  <c r="F126" i="15"/>
  <c r="S126" i="15"/>
  <c r="F128" i="15"/>
  <c r="S14" i="15"/>
  <c r="S16" i="15"/>
  <c r="A4" i="37"/>
  <c r="B39" i="37" s="1"/>
  <c r="Z4" i="39"/>
  <c r="Z14" i="39" s="1"/>
  <c r="W7" i="39"/>
  <c r="AD11" i="39"/>
  <c r="AC22" i="39"/>
  <c r="AD27" i="39"/>
  <c r="W33" i="39"/>
  <c r="K21" i="68"/>
  <c r="E24" i="43" s="1"/>
  <c r="S21" i="68"/>
  <c r="F75" i="41"/>
  <c r="BG5" i="51"/>
  <c r="E117" i="80"/>
  <c r="M117" i="80"/>
  <c r="U117" i="80"/>
  <c r="J117" i="80"/>
  <c r="G117" i="80"/>
  <c r="D117" i="80"/>
  <c r="T117" i="80"/>
  <c r="R135" i="80"/>
  <c r="F154" i="80"/>
  <c r="V154" i="80"/>
  <c r="F101" i="53"/>
  <c r="N101" i="53"/>
  <c r="G18" i="60"/>
  <c r="G19" i="60" s="1"/>
  <c r="AE87" i="77"/>
  <c r="AE87" i="70" s="1"/>
  <c r="AT88" i="77"/>
  <c r="BW50" i="77"/>
  <c r="AY52" i="77"/>
  <c r="AO92" i="77"/>
  <c r="BH93" i="77"/>
  <c r="BH93" i="70" s="1"/>
  <c r="AJ94" i="77"/>
  <c r="AJ94" i="70" s="1"/>
  <c r="BR56" i="77"/>
  <c r="BR56" i="70" s="1"/>
  <c r="AF58" i="77"/>
  <c r="AK58" i="77" s="1"/>
  <c r="BR58" i="77"/>
  <c r="BR58" i="70" s="1"/>
  <c r="AE98" i="77"/>
  <c r="AE98" i="70" s="1"/>
  <c r="AN99" i="77"/>
  <c r="BN99" i="77"/>
  <c r="AY68" i="77"/>
  <c r="BD68" i="77" s="1"/>
  <c r="BW70" i="77"/>
  <c r="AY72" i="77"/>
  <c r="BR73" i="77"/>
  <c r="BW74" i="77"/>
  <c r="AJ95" i="77"/>
  <c r="BV89" i="77"/>
  <c r="BQ92" i="77"/>
  <c r="BM95" i="77"/>
  <c r="BW95" i="77" s="1"/>
  <c r="BW95" i="70" s="1"/>
  <c r="BV99" i="77"/>
  <c r="BV99" i="70" s="1"/>
  <c r="K57" i="31"/>
  <c r="K57" i="15" s="1"/>
  <c r="I98" i="80"/>
  <c r="F98" i="80"/>
  <c r="V98" i="80"/>
  <c r="P98" i="80"/>
  <c r="F117" i="80"/>
  <c r="N117" i="80"/>
  <c r="V117" i="80"/>
  <c r="K117" i="80"/>
  <c r="H117" i="80"/>
  <c r="S135" i="80"/>
  <c r="G154" i="80"/>
  <c r="BW49" i="77"/>
  <c r="BI55" i="77"/>
  <c r="BI93" i="77" s="1"/>
  <c r="AJ98" i="77"/>
  <c r="AJ98" i="70" s="1"/>
  <c r="AK69" i="77"/>
  <c r="AK69" i="70" s="1"/>
  <c r="AK71" i="77"/>
  <c r="AP71" i="77" s="1"/>
  <c r="BW71" i="77"/>
  <c r="AK75" i="77"/>
  <c r="AK75" i="70" s="1"/>
  <c r="BQ85" i="77"/>
  <c r="BV88" i="77"/>
  <c r="BV94" i="77"/>
  <c r="BQ96" i="77"/>
  <c r="BQ98" i="77"/>
  <c r="O131" i="15"/>
  <c r="I132" i="15"/>
  <c r="K74" i="15"/>
  <c r="L41" i="30" s="1"/>
  <c r="T86" i="15"/>
  <c r="AB4" i="39"/>
  <c r="AB12" i="39" s="1"/>
  <c r="AD17" i="39"/>
  <c r="J98" i="80"/>
  <c r="R98" i="80"/>
  <c r="G98" i="80"/>
  <c r="D98" i="80"/>
  <c r="T98" i="80"/>
  <c r="Q98" i="80"/>
  <c r="O117" i="80"/>
  <c r="D135" i="80"/>
  <c r="T135" i="80"/>
  <c r="E172" i="80"/>
  <c r="U172" i="80"/>
  <c r="R172" i="80"/>
  <c r="L172" i="80"/>
  <c r="P49" i="70"/>
  <c r="AE86" i="77"/>
  <c r="AE86" i="70" s="1"/>
  <c r="BR49" i="77"/>
  <c r="BC90" i="77"/>
  <c r="BC90" i="70" s="1"/>
  <c r="BR55" i="77"/>
  <c r="BC97" i="77"/>
  <c r="BW67" i="77"/>
  <c r="BW67" i="70" s="1"/>
  <c r="BW69" i="77"/>
  <c r="BW69" i="70" s="1"/>
  <c r="AY76" i="77"/>
  <c r="BD76" i="77" s="1"/>
  <c r="BI76" i="77" s="1"/>
  <c r="AF77" i="77"/>
  <c r="BW77" i="77"/>
  <c r="BW77" i="70" s="1"/>
  <c r="BR79" i="77"/>
  <c r="BM90" i="77"/>
  <c r="BV96" i="77"/>
  <c r="O24" i="43"/>
  <c r="O4" i="43"/>
  <c r="BL1" i="51"/>
  <c r="O1" i="51"/>
  <c r="AE1" i="51"/>
  <c r="K53" i="31"/>
  <c r="K53" i="15" s="1"/>
  <c r="Z17" i="30" s="1"/>
  <c r="O94" i="15"/>
  <c r="AC4" i="39"/>
  <c r="AB22" i="39"/>
  <c r="AB26" i="39"/>
  <c r="X40" i="39"/>
  <c r="X57" i="39"/>
  <c r="A2" i="51"/>
  <c r="W120" i="15"/>
  <c r="A1" i="52"/>
  <c r="F62" i="36"/>
  <c r="N75" i="40"/>
  <c r="Q2" i="74"/>
  <c r="N3" i="88"/>
  <c r="T5" i="33"/>
  <c r="T5" i="41"/>
  <c r="V5" i="41" s="1"/>
  <c r="H100" i="36"/>
  <c r="C338" i="36"/>
  <c r="E338" i="36" s="1"/>
  <c r="C321" i="36"/>
  <c r="E321" i="36" s="1"/>
  <c r="C109" i="36"/>
  <c r="R17" i="15"/>
  <c r="R63" i="15"/>
  <c r="T16" i="15"/>
  <c r="J14" i="15"/>
  <c r="J111" i="15"/>
  <c r="J130" i="15" s="1"/>
  <c r="K13" i="31"/>
  <c r="K14" i="31"/>
  <c r="K14" i="15" s="1"/>
  <c r="T29" i="15"/>
  <c r="T68" i="15"/>
  <c r="T89" i="15" s="1"/>
  <c r="E86" i="15"/>
  <c r="K47" i="31"/>
  <c r="S11" i="30" s="1"/>
  <c r="P48" i="31"/>
  <c r="P48" i="15" s="1"/>
  <c r="U49" i="31"/>
  <c r="G51" i="31"/>
  <c r="R15" i="30" s="1"/>
  <c r="K52" i="31"/>
  <c r="G56" i="31"/>
  <c r="R20" i="30" s="1"/>
  <c r="Y40" i="39"/>
  <c r="Y57" i="39"/>
  <c r="D636" i="44"/>
  <c r="X4" i="65"/>
  <c r="X22" i="65" s="1"/>
  <c r="D675" i="44"/>
  <c r="D622" i="44"/>
  <c r="D608" i="44"/>
  <c r="D698" i="44"/>
  <c r="D594" i="44"/>
  <c r="D509" i="44"/>
  <c r="D683" i="44"/>
  <c r="D573" i="44"/>
  <c r="D545" i="44"/>
  <c r="D270" i="44"/>
  <c r="D192" i="44"/>
  <c r="D425" i="44"/>
  <c r="D326" i="44"/>
  <c r="D59" i="44"/>
  <c r="D643" i="44"/>
  <c r="D256" i="44"/>
  <c r="D157" i="44"/>
  <c r="D601" i="44"/>
  <c r="D467" i="44"/>
  <c r="D495" i="44"/>
  <c r="D341" i="44"/>
  <c r="D277" i="44"/>
  <c r="D690" i="44"/>
  <c r="D439" i="44"/>
  <c r="D523" i="44"/>
  <c r="D263" i="44"/>
  <c r="D171" i="44"/>
  <c r="D615" i="44"/>
  <c r="D411" i="44"/>
  <c r="D312" i="44"/>
  <c r="D45" i="44"/>
  <c r="D383" i="44"/>
  <c r="D298" i="44"/>
  <c r="D200" i="44"/>
  <c r="D397" i="44"/>
  <c r="D228" i="44"/>
  <c r="D17" i="44"/>
  <c r="D657" i="44"/>
  <c r="D6" i="44"/>
  <c r="D629" i="44"/>
  <c r="D291" i="44"/>
  <c r="D242" i="44"/>
  <c r="D453" i="44"/>
  <c r="D559" i="44"/>
  <c r="D369" i="44"/>
  <c r="D129" i="44"/>
  <c r="D115" i="44"/>
  <c r="D101" i="44"/>
  <c r="D87" i="44"/>
  <c r="D73" i="44"/>
  <c r="D531" i="44"/>
  <c r="D355" i="44"/>
  <c r="D88" i="43"/>
  <c r="D66" i="43"/>
  <c r="D46" i="43"/>
  <c r="D25" i="43"/>
  <c r="D284" i="44"/>
  <c r="D481" i="44"/>
  <c r="D214" i="44"/>
  <c r="D587" i="44"/>
  <c r="D305" i="44"/>
  <c r="D143" i="44"/>
  <c r="D31" i="44"/>
  <c r="D5" i="43"/>
  <c r="D6" i="51"/>
  <c r="D1" i="51"/>
  <c r="BA1" i="51"/>
  <c r="C324" i="36"/>
  <c r="E324" i="36" s="1"/>
  <c r="D98" i="36"/>
  <c r="I95" i="36" s="1"/>
  <c r="C16" i="36"/>
  <c r="H101" i="36"/>
  <c r="C339" i="36"/>
  <c r="E339" i="36" s="1"/>
  <c r="G98" i="36"/>
  <c r="C308" i="36"/>
  <c r="D19" i="15"/>
  <c r="H66" i="15"/>
  <c r="C108" i="36"/>
  <c r="C320" i="36"/>
  <c r="E320" i="36" s="1"/>
  <c r="R6" i="15"/>
  <c r="R103" i="15"/>
  <c r="R122" i="15" s="1"/>
  <c r="J88" i="15"/>
  <c r="P49" i="31"/>
  <c r="S6" i="15"/>
  <c r="P9" i="31"/>
  <c r="G11" i="30" s="1"/>
  <c r="S15" i="15"/>
  <c r="T24" i="15"/>
  <c r="T63" i="15"/>
  <c r="T84" i="15" s="1"/>
  <c r="U28" i="31"/>
  <c r="I34" i="30" s="1"/>
  <c r="G30" i="31"/>
  <c r="I70" i="15"/>
  <c r="I31" i="15"/>
  <c r="S33" i="15"/>
  <c r="P75" i="15"/>
  <c r="N42" i="30" s="1"/>
  <c r="U76" i="15"/>
  <c r="AE4" i="39"/>
  <c r="AD8" i="39"/>
  <c r="AD12" i="39"/>
  <c r="AD16" i="39"/>
  <c r="AD22" i="39"/>
  <c r="AD26" i="39"/>
  <c r="AD30" i="39"/>
  <c r="AD34" i="39"/>
  <c r="Z40" i="39"/>
  <c r="Z57" i="39"/>
  <c r="E559" i="44"/>
  <c r="Y4" i="65"/>
  <c r="Y22" i="65" s="1"/>
  <c r="E531" i="44"/>
  <c r="E643" i="44"/>
  <c r="E629" i="44"/>
  <c r="E615" i="44"/>
  <c r="E601" i="44"/>
  <c r="E523" i="44"/>
  <c r="E636" i="44"/>
  <c r="E573" i="44"/>
  <c r="E425" i="44"/>
  <c r="E326" i="44"/>
  <c r="E59" i="44"/>
  <c r="E256" i="44"/>
  <c r="E157" i="44"/>
  <c r="E587" i="44"/>
  <c r="E397" i="44"/>
  <c r="E305" i="44"/>
  <c r="E31" i="44"/>
  <c r="E495" i="44"/>
  <c r="E341" i="44"/>
  <c r="E277" i="44"/>
  <c r="E690" i="44"/>
  <c r="E509" i="44"/>
  <c r="E439" i="44"/>
  <c r="E608" i="44"/>
  <c r="E263" i="44"/>
  <c r="E698" i="44"/>
  <c r="E411" i="44"/>
  <c r="E312" i="44"/>
  <c r="E45" i="44"/>
  <c r="E242" i="44"/>
  <c r="E143" i="44"/>
  <c r="E622" i="44"/>
  <c r="E545" i="44"/>
  <c r="E481" i="44"/>
  <c r="E214" i="44"/>
  <c r="E115" i="44"/>
  <c r="E228" i="44"/>
  <c r="E17" i="44"/>
  <c r="E355" i="44"/>
  <c r="E594" i="44"/>
  <c r="E291" i="44"/>
  <c r="E453" i="44"/>
  <c r="E270" i="44"/>
  <c r="E683" i="44"/>
  <c r="E369" i="44"/>
  <c r="E298" i="44"/>
  <c r="E467" i="44"/>
  <c r="E383" i="44"/>
  <c r="E675" i="44"/>
  <c r="E129" i="44"/>
  <c r="E101" i="44"/>
  <c r="E87" i="44"/>
  <c r="E73" i="44"/>
  <c r="E192" i="44"/>
  <c r="E284" i="44"/>
  <c r="E171" i="44"/>
  <c r="E6" i="44"/>
  <c r="E200" i="44"/>
  <c r="E5" i="43"/>
  <c r="E66" i="43"/>
  <c r="E88" i="43"/>
  <c r="E25" i="43"/>
  <c r="E6" i="51"/>
  <c r="E46" i="43"/>
  <c r="D99" i="36"/>
  <c r="C325" i="36"/>
  <c r="E325" i="36" s="1"/>
  <c r="C17" i="36"/>
  <c r="C312" i="36"/>
  <c r="E312" i="36" s="1"/>
  <c r="G99" i="36"/>
  <c r="H6" i="15"/>
  <c r="S19" i="15"/>
  <c r="O66" i="15"/>
  <c r="O88" i="15"/>
  <c r="F91" i="15"/>
  <c r="H96" i="15"/>
  <c r="W6" i="39"/>
  <c r="W10" i="39"/>
  <c r="W14" i="39"/>
  <c r="W18" i="39"/>
  <c r="AE22" i="39"/>
  <c r="W24" i="39"/>
  <c r="W28" i="39"/>
  <c r="W32" i="39"/>
  <c r="AA33" i="39"/>
  <c r="W36" i="39"/>
  <c r="AA40" i="39"/>
  <c r="AA57" i="39"/>
  <c r="Z4" i="65"/>
  <c r="Z22" i="65" s="1"/>
  <c r="F675" i="44"/>
  <c r="F622" i="44"/>
  <c r="F608" i="44"/>
  <c r="F698" i="44"/>
  <c r="F594" i="44"/>
  <c r="F509" i="44"/>
  <c r="F683" i="44"/>
  <c r="F573" i="44"/>
  <c r="F545" i="44"/>
  <c r="F657" i="44"/>
  <c r="F256" i="44"/>
  <c r="F157" i="44"/>
  <c r="F643" i="44"/>
  <c r="F587" i="44"/>
  <c r="F397" i="44"/>
  <c r="F305" i="44"/>
  <c r="F31" i="44"/>
  <c r="F228" i="44"/>
  <c r="F129" i="44"/>
  <c r="F690" i="44"/>
  <c r="F439" i="44"/>
  <c r="F263" i="44"/>
  <c r="F523" i="44"/>
  <c r="F411" i="44"/>
  <c r="F312" i="44"/>
  <c r="F615" i="44"/>
  <c r="F242" i="44"/>
  <c r="F143" i="44"/>
  <c r="F531" i="44"/>
  <c r="F383" i="44"/>
  <c r="F298" i="44"/>
  <c r="F17" i="44"/>
  <c r="F355" i="44"/>
  <c r="F284" i="44"/>
  <c r="F6" i="44"/>
  <c r="F291" i="44"/>
  <c r="F629" i="44"/>
  <c r="F453" i="44"/>
  <c r="F270" i="44"/>
  <c r="F559" i="44"/>
  <c r="F495" i="44"/>
  <c r="F369" i="44"/>
  <c r="F326" i="44"/>
  <c r="F425" i="44"/>
  <c r="F101" i="44"/>
  <c r="F87" i="44"/>
  <c r="F73" i="44"/>
  <c r="F115" i="44"/>
  <c r="F341" i="44"/>
  <c r="F59" i="44"/>
  <c r="F192" i="44"/>
  <c r="F636" i="44"/>
  <c r="F171" i="44"/>
  <c r="F277" i="44"/>
  <c r="F601" i="44"/>
  <c r="F481" i="44"/>
  <c r="F214" i="44"/>
  <c r="F45" i="44"/>
  <c r="F467" i="44"/>
  <c r="F200" i="44"/>
  <c r="F5" i="43"/>
  <c r="F66" i="43"/>
  <c r="F88" i="43"/>
  <c r="F25" i="43"/>
  <c r="F46" i="43"/>
  <c r="F6" i="51"/>
  <c r="F4" i="43"/>
  <c r="F24" i="43"/>
  <c r="F1" i="51"/>
  <c r="V1" i="51"/>
  <c r="BC1" i="51"/>
  <c r="C326" i="36"/>
  <c r="E326" i="36" s="1"/>
  <c r="D100" i="36"/>
  <c r="C18" i="36"/>
  <c r="C317" i="36"/>
  <c r="E317" i="36" s="1"/>
  <c r="G100" i="36"/>
  <c r="J6" i="15"/>
  <c r="T19" i="15"/>
  <c r="M71" i="15"/>
  <c r="M70" i="15"/>
  <c r="M31" i="15"/>
  <c r="S32" i="15"/>
  <c r="G34" i="31"/>
  <c r="G45" i="31"/>
  <c r="P47" i="31"/>
  <c r="P47" i="15" s="1"/>
  <c r="K51" i="31"/>
  <c r="P52" i="31"/>
  <c r="U53" i="31"/>
  <c r="G55" i="31"/>
  <c r="R19" i="30" s="1"/>
  <c r="P57" i="31"/>
  <c r="P57" i="15" s="1"/>
  <c r="M57" i="15"/>
  <c r="AB11" i="39"/>
  <c r="AB15" i="39"/>
  <c r="AB19" i="39"/>
  <c r="AF22" i="39"/>
  <c r="AB25" i="39"/>
  <c r="AB29" i="39"/>
  <c r="AB33" i="39"/>
  <c r="AB40" i="39"/>
  <c r="AB57" i="39"/>
  <c r="G531" i="44"/>
  <c r="G643" i="44"/>
  <c r="G629" i="44"/>
  <c r="G615" i="44"/>
  <c r="G601" i="44"/>
  <c r="G523" i="44"/>
  <c r="G690" i="44"/>
  <c r="G587" i="44"/>
  <c r="G495" i="44"/>
  <c r="AA4" i="65"/>
  <c r="AA22" i="65" s="1"/>
  <c r="G397" i="44"/>
  <c r="G305" i="44"/>
  <c r="G31" i="44"/>
  <c r="G228" i="44"/>
  <c r="G129" i="44"/>
  <c r="G657" i="44"/>
  <c r="G369" i="44"/>
  <c r="G291" i="44"/>
  <c r="G6" i="44"/>
  <c r="G509" i="44"/>
  <c r="G263" i="44"/>
  <c r="G608" i="44"/>
  <c r="G411" i="44"/>
  <c r="G312" i="44"/>
  <c r="G698" i="44"/>
  <c r="G242" i="44"/>
  <c r="G383" i="44"/>
  <c r="G298" i="44"/>
  <c r="G17" i="44"/>
  <c r="G481" i="44"/>
  <c r="G214" i="44"/>
  <c r="G115" i="44"/>
  <c r="G453" i="44"/>
  <c r="G87" i="44"/>
  <c r="G573" i="44"/>
  <c r="G439" i="44"/>
  <c r="G355" i="44"/>
  <c r="G594" i="44"/>
  <c r="G270" i="44"/>
  <c r="G683" i="44"/>
  <c r="G559" i="44"/>
  <c r="G326" i="44"/>
  <c r="G467" i="44"/>
  <c r="G277" i="44"/>
  <c r="G675" i="44"/>
  <c r="G545" i="44"/>
  <c r="G341" i="44"/>
  <c r="G59" i="44"/>
  <c r="G284" i="44"/>
  <c r="G200" i="44"/>
  <c r="G192" i="44"/>
  <c r="G171" i="44"/>
  <c r="G157" i="44"/>
  <c r="G143" i="44"/>
  <c r="G45" i="44"/>
  <c r="G636" i="44"/>
  <c r="G88" i="43"/>
  <c r="G66" i="43"/>
  <c r="G46" i="43"/>
  <c r="G25" i="43"/>
  <c r="G622" i="44"/>
  <c r="G425" i="44"/>
  <c r="G101" i="44"/>
  <c r="G73" i="44"/>
  <c r="G5" i="43"/>
  <c r="G256" i="44"/>
  <c r="G6" i="51"/>
  <c r="G24" i="43"/>
  <c r="G4" i="43"/>
  <c r="G1" i="51"/>
  <c r="W1" i="51"/>
  <c r="BD1" i="51"/>
  <c r="C327" i="36"/>
  <c r="E327" i="36" s="1"/>
  <c r="D101" i="36"/>
  <c r="C19" i="36"/>
  <c r="G101" i="36"/>
  <c r="C322" i="36"/>
  <c r="E322" i="36" s="1"/>
  <c r="N7" i="15"/>
  <c r="E24" i="15"/>
  <c r="N71" i="15"/>
  <c r="N92" i="15" s="1"/>
  <c r="E132" i="15"/>
  <c r="S135" i="15"/>
  <c r="K26" i="31"/>
  <c r="K26" i="15" s="1"/>
  <c r="D29" i="15"/>
  <c r="D68" i="15"/>
  <c r="D89" i="15" s="1"/>
  <c r="K30" i="31"/>
  <c r="U48" i="31"/>
  <c r="W12" i="30" s="1"/>
  <c r="S48" i="15"/>
  <c r="S58" i="15" s="1"/>
  <c r="E95" i="15"/>
  <c r="J96" i="15"/>
  <c r="AC40" i="39"/>
  <c r="AC57" i="39"/>
  <c r="H608" i="44"/>
  <c r="H698" i="44"/>
  <c r="H594" i="44"/>
  <c r="H509" i="44"/>
  <c r="H683" i="44"/>
  <c r="H573" i="44"/>
  <c r="H545" i="44"/>
  <c r="H657" i="44"/>
  <c r="H636" i="44"/>
  <c r="AB4" i="65"/>
  <c r="AB22" i="65" s="1"/>
  <c r="H643" i="44"/>
  <c r="H587" i="44"/>
  <c r="H228" i="44"/>
  <c r="H129" i="44"/>
  <c r="H369" i="44"/>
  <c r="H291" i="44"/>
  <c r="H6" i="44"/>
  <c r="H675" i="44"/>
  <c r="H467" i="44"/>
  <c r="H101" i="44"/>
  <c r="H411" i="44"/>
  <c r="H312" i="44"/>
  <c r="H523" i="44"/>
  <c r="H242" i="44"/>
  <c r="H615" i="44"/>
  <c r="H383" i="44"/>
  <c r="H298" i="44"/>
  <c r="H531" i="44"/>
  <c r="H481" i="44"/>
  <c r="H214" i="44"/>
  <c r="H115" i="44"/>
  <c r="H622" i="44"/>
  <c r="H355" i="44"/>
  <c r="H284" i="44"/>
  <c r="H629" i="44"/>
  <c r="H559" i="44"/>
  <c r="H270" i="44"/>
  <c r="H192" i="44"/>
  <c r="H397" i="44"/>
  <c r="H453" i="44"/>
  <c r="H495" i="44"/>
  <c r="H326" i="44"/>
  <c r="H277" i="44"/>
  <c r="H425" i="44"/>
  <c r="H256" i="44"/>
  <c r="H73" i="44"/>
  <c r="H341" i="44"/>
  <c r="H59" i="44"/>
  <c r="H200" i="44"/>
  <c r="H171" i="44"/>
  <c r="H157" i="44"/>
  <c r="H143" i="44"/>
  <c r="H45" i="44"/>
  <c r="H601" i="44"/>
  <c r="H305" i="44"/>
  <c r="H439" i="44"/>
  <c r="H17" i="44"/>
  <c r="H690" i="44"/>
  <c r="H87" i="44"/>
  <c r="H31" i="44"/>
  <c r="H263" i="44"/>
  <c r="H5" i="43"/>
  <c r="H66" i="43"/>
  <c r="H88" i="43"/>
  <c r="H25" i="43"/>
  <c r="H46" i="43"/>
  <c r="H6" i="51"/>
  <c r="H24" i="43"/>
  <c r="H4" i="43"/>
  <c r="H1" i="51"/>
  <c r="X1" i="51"/>
  <c r="BE1" i="51"/>
  <c r="C328" i="36"/>
  <c r="E328" i="36" s="1"/>
  <c r="D102" i="36"/>
  <c r="C20" i="36"/>
  <c r="C305" i="36"/>
  <c r="C98" i="36"/>
  <c r="I94" i="36" s="1"/>
  <c r="I9" i="15"/>
  <c r="M24" i="15"/>
  <c r="S72" i="15"/>
  <c r="S93" i="15" s="1"/>
  <c r="I14" i="15"/>
  <c r="I111" i="15"/>
  <c r="I130" i="15" s="1"/>
  <c r="O13" i="15"/>
  <c r="O110" i="15"/>
  <c r="O129" i="15" s="1"/>
  <c r="G16" i="31"/>
  <c r="D18" i="30" s="1"/>
  <c r="O134" i="15"/>
  <c r="O97" i="15"/>
  <c r="AD15" i="39"/>
  <c r="AD19" i="39"/>
  <c r="AD25" i="39"/>
  <c r="AD29" i="39"/>
  <c r="AD33" i="39"/>
  <c r="AD57" i="39"/>
  <c r="I643" i="44"/>
  <c r="I629" i="44"/>
  <c r="I615" i="44"/>
  <c r="I601" i="44"/>
  <c r="I523" i="44"/>
  <c r="I690" i="44"/>
  <c r="I587" i="44"/>
  <c r="I559" i="44"/>
  <c r="AC4" i="65"/>
  <c r="AC22" i="65" s="1"/>
  <c r="I369" i="44"/>
  <c r="I291" i="44"/>
  <c r="I675" i="44"/>
  <c r="I657" i="44"/>
  <c r="I467" i="44"/>
  <c r="I101" i="44"/>
  <c r="I594" i="44"/>
  <c r="I341" i="44"/>
  <c r="I277" i="44"/>
  <c r="I200" i="44"/>
  <c r="I608" i="44"/>
  <c r="I242" i="44"/>
  <c r="I698" i="44"/>
  <c r="I383" i="44"/>
  <c r="I298" i="44"/>
  <c r="I531" i="44"/>
  <c r="I481" i="44"/>
  <c r="I622" i="44"/>
  <c r="I355" i="44"/>
  <c r="I284" i="44"/>
  <c r="I545" i="44"/>
  <c r="I453" i="44"/>
  <c r="I87" i="44"/>
  <c r="I425" i="44"/>
  <c r="I326" i="44"/>
  <c r="I6" i="44"/>
  <c r="I683" i="44"/>
  <c r="I495" i="44"/>
  <c r="I411" i="44"/>
  <c r="I256" i="44"/>
  <c r="I73" i="44"/>
  <c r="I171" i="44"/>
  <c r="I157" i="44"/>
  <c r="I143" i="44"/>
  <c r="I129" i="44"/>
  <c r="I115" i="44"/>
  <c r="I45" i="44"/>
  <c r="I305" i="44"/>
  <c r="I192" i="44"/>
  <c r="I636" i="44"/>
  <c r="I214" i="44"/>
  <c r="I31" i="44"/>
  <c r="I439" i="44"/>
  <c r="I17" i="44"/>
  <c r="I59" i="44"/>
  <c r="I509" i="44"/>
  <c r="I228" i="44"/>
  <c r="I397" i="44"/>
  <c r="I312" i="44"/>
  <c r="I270" i="44"/>
  <c r="I263" i="44"/>
  <c r="I573" i="44"/>
  <c r="I5" i="43"/>
  <c r="I66" i="43"/>
  <c r="I88" i="43"/>
  <c r="I25" i="43"/>
  <c r="I46" i="43"/>
  <c r="I6" i="51"/>
  <c r="I24" i="43"/>
  <c r="C329" i="36"/>
  <c r="E329" i="36" s="1"/>
  <c r="C21" i="36"/>
  <c r="D103" i="36"/>
  <c r="C99" i="36"/>
  <c r="C306" i="36"/>
  <c r="E306" i="36" s="1"/>
  <c r="S10" i="15"/>
  <c r="J28" i="15"/>
  <c r="E109" i="15"/>
  <c r="E128" i="15" s="1"/>
  <c r="N129" i="15"/>
  <c r="P35" i="31"/>
  <c r="G41" i="30" s="1"/>
  <c r="E84" i="15"/>
  <c r="K45" i="31"/>
  <c r="N124" i="15"/>
  <c r="K12" i="31"/>
  <c r="E14" i="30" s="1"/>
  <c r="P13" i="31"/>
  <c r="P13" i="15" s="1"/>
  <c r="K16" i="31"/>
  <c r="K16" i="15" s="1"/>
  <c r="D24" i="15"/>
  <c r="D63" i="15"/>
  <c r="D84" i="15" s="1"/>
  <c r="U31" i="31"/>
  <c r="U31" i="15" s="1"/>
  <c r="G33" i="31"/>
  <c r="G33" i="15" s="1"/>
  <c r="H34" i="15"/>
  <c r="H73" i="15"/>
  <c r="H94" i="15" s="1"/>
  <c r="U52" i="31"/>
  <c r="U52" i="15" s="1"/>
  <c r="K55" i="31"/>
  <c r="K55" i="15" s="1"/>
  <c r="N96" i="15"/>
  <c r="U57" i="31"/>
  <c r="W5" i="39"/>
  <c r="AA6" i="39"/>
  <c r="W9" i="39"/>
  <c r="W13" i="39"/>
  <c r="W17" i="39"/>
  <c r="W23" i="39"/>
  <c r="W27" i="39"/>
  <c r="W31" i="39"/>
  <c r="AA32" i="39"/>
  <c r="W35" i="39"/>
  <c r="AE40" i="39"/>
  <c r="AE57" i="39"/>
  <c r="J698" i="44"/>
  <c r="J594" i="44"/>
  <c r="J509" i="44"/>
  <c r="J683" i="44"/>
  <c r="J573" i="44"/>
  <c r="J545" i="44"/>
  <c r="J657" i="44"/>
  <c r="J636" i="44"/>
  <c r="AD4" i="65"/>
  <c r="AD22" i="65" s="1"/>
  <c r="J675" i="44"/>
  <c r="J622" i="44"/>
  <c r="J467" i="44"/>
  <c r="J101" i="44"/>
  <c r="J341" i="44"/>
  <c r="J277" i="44"/>
  <c r="J200" i="44"/>
  <c r="J495" i="44"/>
  <c r="J439" i="44"/>
  <c r="J73" i="44"/>
  <c r="J523" i="44"/>
  <c r="J383" i="44"/>
  <c r="J298" i="44"/>
  <c r="J615" i="44"/>
  <c r="J531" i="44"/>
  <c r="J481" i="44"/>
  <c r="J355" i="44"/>
  <c r="J284" i="44"/>
  <c r="J453" i="44"/>
  <c r="J87" i="44"/>
  <c r="J270" i="44"/>
  <c r="J192" i="44"/>
  <c r="J256" i="44"/>
  <c r="J157" i="44"/>
  <c r="J312" i="44"/>
  <c r="J629" i="44"/>
  <c r="J559" i="44"/>
  <c r="J411" i="44"/>
  <c r="J242" i="44"/>
  <c r="J369" i="44"/>
  <c r="J326" i="44"/>
  <c r="J608" i="44"/>
  <c r="J643" i="44"/>
  <c r="J425" i="44"/>
  <c r="J587" i="44"/>
  <c r="J59" i="44"/>
  <c r="J305" i="44"/>
  <c r="J601" i="44"/>
  <c r="J214" i="44"/>
  <c r="J31" i="44"/>
  <c r="J263" i="44"/>
  <c r="J17" i="44"/>
  <c r="J291" i="44"/>
  <c r="J171" i="44"/>
  <c r="J115" i="44"/>
  <c r="J228" i="44"/>
  <c r="J6" i="44"/>
  <c r="J45" i="44"/>
  <c r="J690" i="44"/>
  <c r="J397" i="44"/>
  <c r="J143" i="44"/>
  <c r="J5" i="43"/>
  <c r="J66" i="43"/>
  <c r="J88" i="43"/>
  <c r="J25" i="43"/>
  <c r="J46" i="43"/>
  <c r="J129" i="44"/>
  <c r="J6" i="51"/>
  <c r="J24" i="43"/>
  <c r="J4" i="43"/>
  <c r="Z1" i="51"/>
  <c r="BG1" i="51"/>
  <c r="J1" i="51"/>
  <c r="C307" i="36"/>
  <c r="E307" i="36" s="1"/>
  <c r="C100" i="36"/>
  <c r="F12" i="15"/>
  <c r="F30" i="15"/>
  <c r="I109" i="15"/>
  <c r="I128" i="15" s="1"/>
  <c r="C309" i="36"/>
  <c r="E309" i="36" s="1"/>
  <c r="C101" i="36"/>
  <c r="J12" i="15"/>
  <c r="R30" i="15"/>
  <c r="N109" i="15"/>
  <c r="N128" i="15" s="1"/>
  <c r="AB6" i="39"/>
  <c r="AB18" i="39"/>
  <c r="AB32" i="39"/>
  <c r="S13" i="15"/>
  <c r="S110" i="15"/>
  <c r="S129" i="15" s="1"/>
  <c r="P17" i="31"/>
  <c r="P17" i="15" s="1"/>
  <c r="O86" i="15"/>
  <c r="T97" i="15"/>
  <c r="L683" i="44"/>
  <c r="L573" i="44"/>
  <c r="L545" i="44"/>
  <c r="L657" i="44"/>
  <c r="L636" i="44"/>
  <c r="AF4" i="65"/>
  <c r="AF22" i="65" s="1"/>
  <c r="L675" i="44"/>
  <c r="L622" i="44"/>
  <c r="L608" i="44"/>
  <c r="L594" i="44"/>
  <c r="L439" i="44"/>
  <c r="L73" i="44"/>
  <c r="L495" i="44"/>
  <c r="L263" i="44"/>
  <c r="L171" i="44"/>
  <c r="L601" i="44"/>
  <c r="L411" i="44"/>
  <c r="L312" i="44"/>
  <c r="L45" i="44"/>
  <c r="L615" i="44"/>
  <c r="L531" i="44"/>
  <c r="L355" i="44"/>
  <c r="L284" i="44"/>
  <c r="L453" i="44"/>
  <c r="L270" i="44"/>
  <c r="L425" i="44"/>
  <c r="L326" i="44"/>
  <c r="L59" i="44"/>
  <c r="L629" i="44"/>
  <c r="L559" i="44"/>
  <c r="L256" i="44"/>
  <c r="L157" i="44"/>
  <c r="L228" i="44"/>
  <c r="L129" i="44"/>
  <c r="L291" i="44"/>
  <c r="L369" i="44"/>
  <c r="L298" i="44"/>
  <c r="L643" i="44"/>
  <c r="L467" i="44"/>
  <c r="L277" i="44"/>
  <c r="L698" i="44"/>
  <c r="L587" i="44"/>
  <c r="L523" i="44"/>
  <c r="L143" i="44"/>
  <c r="L115" i="44"/>
  <c r="L101" i="44"/>
  <c r="L87" i="44"/>
  <c r="L383" i="44"/>
  <c r="L200" i="44"/>
  <c r="L192" i="44"/>
  <c r="L17" i="44"/>
  <c r="L690" i="44"/>
  <c r="L509" i="44"/>
  <c r="L481" i="44"/>
  <c r="L397" i="44"/>
  <c r="L6" i="44"/>
  <c r="L242" i="44"/>
  <c r="L341" i="44"/>
  <c r="L214" i="44"/>
  <c r="L305" i="44"/>
  <c r="L31" i="44"/>
  <c r="L88" i="43"/>
  <c r="L66" i="43"/>
  <c r="L46" i="43"/>
  <c r="L25" i="43"/>
  <c r="L5" i="43"/>
  <c r="L6" i="51"/>
  <c r="L24" i="43"/>
  <c r="AB1" i="51"/>
  <c r="L4" i="43"/>
  <c r="BI1" i="51"/>
  <c r="L1" i="51"/>
  <c r="C23" i="36"/>
  <c r="C331" i="36"/>
  <c r="E331" i="36" s="1"/>
  <c r="D105" i="36"/>
  <c r="C102" i="36"/>
  <c r="C310" i="36"/>
  <c r="E310" i="36" s="1"/>
  <c r="S112" i="15"/>
  <c r="S131" i="15" s="1"/>
  <c r="P46" i="31"/>
  <c r="P46" i="15" s="1"/>
  <c r="D88" i="15"/>
  <c r="G49" i="31"/>
  <c r="G49" i="15" s="1"/>
  <c r="Y13" i="30" s="1"/>
  <c r="K50" i="31"/>
  <c r="K50" i="15" s="1"/>
  <c r="Z14" i="30" s="1"/>
  <c r="P51" i="31"/>
  <c r="P51" i="15" s="1"/>
  <c r="G54" i="31"/>
  <c r="R18" i="30" s="1"/>
  <c r="M629" i="44"/>
  <c r="M615" i="44"/>
  <c r="M601" i="44"/>
  <c r="M523" i="44"/>
  <c r="M690" i="44"/>
  <c r="M587" i="44"/>
  <c r="M495" i="44"/>
  <c r="M559" i="44"/>
  <c r="AG4" i="65"/>
  <c r="AG22" i="65" s="1"/>
  <c r="M531" i="44"/>
  <c r="M263" i="44"/>
  <c r="M171" i="44"/>
  <c r="M683" i="44"/>
  <c r="M411" i="44"/>
  <c r="M312" i="44"/>
  <c r="M45" i="44"/>
  <c r="M509" i="44"/>
  <c r="M242" i="44"/>
  <c r="M143" i="44"/>
  <c r="M453" i="44"/>
  <c r="M622" i="44"/>
  <c r="M270" i="44"/>
  <c r="M545" i="44"/>
  <c r="M425" i="44"/>
  <c r="M326" i="44"/>
  <c r="M256" i="44"/>
  <c r="M157" i="44"/>
  <c r="M397" i="44"/>
  <c r="M305" i="44"/>
  <c r="M31" i="44"/>
  <c r="M573" i="44"/>
  <c r="M369" i="44"/>
  <c r="M291" i="44"/>
  <c r="M657" i="44"/>
  <c r="M608" i="44"/>
  <c r="M298" i="44"/>
  <c r="M643" i="44"/>
  <c r="M467" i="44"/>
  <c r="M277" i="44"/>
  <c r="M698" i="44"/>
  <c r="M115" i="44"/>
  <c r="M101" i="44"/>
  <c r="M87" i="44"/>
  <c r="M73" i="44"/>
  <c r="M383" i="44"/>
  <c r="M129" i="44"/>
  <c r="M59" i="44"/>
  <c r="M341" i="44"/>
  <c r="M214" i="44"/>
  <c r="M636" i="44"/>
  <c r="M481" i="44"/>
  <c r="M284" i="44"/>
  <c r="M228" i="44"/>
  <c r="M6" i="44"/>
  <c r="M439" i="44"/>
  <c r="M355" i="44"/>
  <c r="M594" i="44"/>
  <c r="M88" i="43"/>
  <c r="M66" i="43"/>
  <c r="M46" i="43"/>
  <c r="M25" i="43"/>
  <c r="M675" i="44"/>
  <c r="M200" i="44"/>
  <c r="M17" i="44"/>
  <c r="M192" i="44"/>
  <c r="M5" i="43"/>
  <c r="M6" i="51"/>
  <c r="C24" i="36"/>
  <c r="D106" i="36"/>
  <c r="C332" i="36"/>
  <c r="E332" i="36" s="1"/>
  <c r="C103" i="36"/>
  <c r="C311" i="36"/>
  <c r="E311" i="36" s="1"/>
  <c r="H13" i="15"/>
  <c r="M35" i="15"/>
  <c r="F114" i="15"/>
  <c r="F133" i="15" s="1"/>
  <c r="C337" i="36"/>
  <c r="E337" i="36" s="1"/>
  <c r="H99" i="36"/>
  <c r="S31" i="15"/>
  <c r="S70" i="15"/>
  <c r="S91" i="15" s="1"/>
  <c r="U36" i="15"/>
  <c r="AB10" i="39"/>
  <c r="AB28" i="39"/>
  <c r="K643" i="44"/>
  <c r="K629" i="44"/>
  <c r="K615" i="44"/>
  <c r="K601" i="44"/>
  <c r="K523" i="44"/>
  <c r="K690" i="44"/>
  <c r="K587" i="44"/>
  <c r="K495" i="44"/>
  <c r="K559" i="44"/>
  <c r="AE4" i="65"/>
  <c r="AE22" i="65" s="1"/>
  <c r="K531" i="44"/>
  <c r="K675" i="44"/>
  <c r="K657" i="44"/>
  <c r="K341" i="44"/>
  <c r="K277" i="44"/>
  <c r="K200" i="44"/>
  <c r="K594" i="44"/>
  <c r="K439" i="44"/>
  <c r="K73" i="44"/>
  <c r="K683" i="44"/>
  <c r="K263" i="44"/>
  <c r="K171" i="44"/>
  <c r="K698" i="44"/>
  <c r="K481" i="44"/>
  <c r="K355" i="44"/>
  <c r="K284" i="44"/>
  <c r="K622" i="44"/>
  <c r="K453" i="44"/>
  <c r="K545" i="44"/>
  <c r="K270" i="44"/>
  <c r="K192" i="44"/>
  <c r="K425" i="44"/>
  <c r="K326" i="44"/>
  <c r="K59" i="44"/>
  <c r="K636" i="44"/>
  <c r="K397" i="44"/>
  <c r="K305" i="44"/>
  <c r="K312" i="44"/>
  <c r="K291" i="44"/>
  <c r="K411" i="44"/>
  <c r="K242" i="44"/>
  <c r="K369" i="44"/>
  <c r="K608" i="44"/>
  <c r="K298" i="44"/>
  <c r="K256" i="44"/>
  <c r="K467" i="44"/>
  <c r="K143" i="44"/>
  <c r="K129" i="44"/>
  <c r="K115" i="44"/>
  <c r="K101" i="44"/>
  <c r="K87" i="44"/>
  <c r="K45" i="44"/>
  <c r="K214" i="44"/>
  <c r="K31" i="44"/>
  <c r="K17" i="44"/>
  <c r="K228" i="44"/>
  <c r="K509" i="44"/>
  <c r="K6" i="44"/>
  <c r="K157" i="44"/>
  <c r="K383" i="44"/>
  <c r="K573" i="44"/>
  <c r="K88" i="43"/>
  <c r="K66" i="43"/>
  <c r="K46" i="43"/>
  <c r="K25" i="43"/>
  <c r="K5" i="43"/>
  <c r="K6" i="51"/>
  <c r="C22" i="36"/>
  <c r="D104" i="36"/>
  <c r="C330" i="36"/>
  <c r="E330" i="36" s="1"/>
  <c r="T124" i="15"/>
  <c r="G10" i="31"/>
  <c r="D12" i="30" s="1"/>
  <c r="P11" i="31"/>
  <c r="P11" i="15" s="1"/>
  <c r="K15" i="31"/>
  <c r="S133" i="15"/>
  <c r="E19" i="15"/>
  <c r="E116" i="15"/>
  <c r="E135" i="15" s="1"/>
  <c r="O64" i="15"/>
  <c r="O25" i="15"/>
  <c r="G32" i="31"/>
  <c r="G32" i="15" s="1"/>
  <c r="P34" i="31"/>
  <c r="U35" i="31"/>
  <c r="U46" i="31"/>
  <c r="E88" i="15"/>
  <c r="X4" i="39"/>
  <c r="W8" i="39"/>
  <c r="W12" i="39"/>
  <c r="W16" i="39"/>
  <c r="AA17" i="39"/>
  <c r="W22" i="39"/>
  <c r="W26" i="39"/>
  <c r="AA27" i="39"/>
  <c r="W30" i="39"/>
  <c r="W34" i="39"/>
  <c r="AH4" i="65"/>
  <c r="AH22" i="65" s="1"/>
  <c r="N545" i="44"/>
  <c r="N657" i="44"/>
  <c r="N636" i="44"/>
  <c r="N675" i="44"/>
  <c r="N622" i="44"/>
  <c r="N608" i="44"/>
  <c r="N698" i="44"/>
  <c r="N594" i="44"/>
  <c r="N509" i="44"/>
  <c r="N683" i="44"/>
  <c r="N495" i="44"/>
  <c r="N411" i="44"/>
  <c r="N312" i="44"/>
  <c r="N45" i="44"/>
  <c r="N601" i="44"/>
  <c r="N242" i="44"/>
  <c r="N143" i="44"/>
  <c r="N690" i="44"/>
  <c r="N383" i="44"/>
  <c r="N298" i="44"/>
  <c r="N17" i="44"/>
  <c r="N270" i="44"/>
  <c r="N425" i="44"/>
  <c r="N326" i="44"/>
  <c r="N256" i="44"/>
  <c r="N629" i="44"/>
  <c r="N559" i="44"/>
  <c r="N397" i="44"/>
  <c r="N305" i="44"/>
  <c r="N31" i="44"/>
  <c r="N228" i="44"/>
  <c r="N129" i="44"/>
  <c r="N643" i="44"/>
  <c r="N467" i="44"/>
  <c r="N101" i="44"/>
  <c r="N615" i="44"/>
  <c r="N531" i="44"/>
  <c r="N277" i="44"/>
  <c r="N115" i="44"/>
  <c r="N87" i="44"/>
  <c r="N73" i="44"/>
  <c r="N587" i="44"/>
  <c r="N523" i="44"/>
  <c r="N59" i="44"/>
  <c r="N341" i="44"/>
  <c r="N214" i="44"/>
  <c r="N200" i="44"/>
  <c r="N192" i="44"/>
  <c r="N171" i="44"/>
  <c r="N157" i="44"/>
  <c r="N481" i="44"/>
  <c r="N284" i="44"/>
  <c r="N6" i="44"/>
  <c r="N439" i="44"/>
  <c r="N263" i="44"/>
  <c r="N573" i="44"/>
  <c r="N355" i="44"/>
  <c r="N291" i="44"/>
  <c r="N88" i="43"/>
  <c r="N66" i="43"/>
  <c r="N46" i="43"/>
  <c r="N25" i="43"/>
  <c r="N453" i="44"/>
  <c r="N369" i="44"/>
  <c r="N5" i="43"/>
  <c r="N6" i="51"/>
  <c r="N24" i="43"/>
  <c r="BK1" i="51"/>
  <c r="N1" i="51"/>
  <c r="AD1" i="51"/>
  <c r="C25" i="36"/>
  <c r="D107" i="36"/>
  <c r="C333" i="36"/>
  <c r="E333" i="36" s="1"/>
  <c r="C104" i="36"/>
  <c r="C314" i="36"/>
  <c r="E314" i="36" s="1"/>
  <c r="T13" i="15"/>
  <c r="N35" i="15"/>
  <c r="F66" i="15"/>
  <c r="G66" i="15" s="1"/>
  <c r="F27" i="15"/>
  <c r="AB14" i="39"/>
  <c r="AB24" i="39"/>
  <c r="AB36" i="39"/>
  <c r="K6" i="31"/>
  <c r="K6" i="15" s="1"/>
  <c r="S128" i="15"/>
  <c r="T133" i="15"/>
  <c r="U26" i="31"/>
  <c r="I32" i="30" s="1"/>
  <c r="K67" i="15"/>
  <c r="S69" i="15"/>
  <c r="S30" i="15"/>
  <c r="H37" i="15"/>
  <c r="H76" i="15"/>
  <c r="H97" i="15" s="1"/>
  <c r="K44" i="31"/>
  <c r="S8" i="30" s="1"/>
  <c r="F88" i="15"/>
  <c r="U56" i="31"/>
  <c r="W20" i="30" s="1"/>
  <c r="Y4" i="39"/>
  <c r="AB5" i="39"/>
  <c r="AB9" i="39"/>
  <c r="AB13" i="39"/>
  <c r="AB17" i="39"/>
  <c r="AB23" i="39"/>
  <c r="AB27" i="39"/>
  <c r="AB31" i="39"/>
  <c r="AB35" i="39"/>
  <c r="O615" i="44"/>
  <c r="O601" i="44"/>
  <c r="O523" i="44"/>
  <c r="O690" i="44"/>
  <c r="O587" i="44"/>
  <c r="O495" i="44"/>
  <c r="O559" i="44"/>
  <c r="AI4" i="65"/>
  <c r="AI22" i="65" s="1"/>
  <c r="O531" i="44"/>
  <c r="O643" i="44"/>
  <c r="O242" i="44"/>
  <c r="O143" i="44"/>
  <c r="O509" i="44"/>
  <c r="O383" i="44"/>
  <c r="O298" i="44"/>
  <c r="O17" i="44"/>
  <c r="O608" i="44"/>
  <c r="O481" i="44"/>
  <c r="O214" i="44"/>
  <c r="O115" i="44"/>
  <c r="O622" i="44"/>
  <c r="O425" i="44"/>
  <c r="O326" i="44"/>
  <c r="O545" i="44"/>
  <c r="O256" i="44"/>
  <c r="O629" i="44"/>
  <c r="O397" i="44"/>
  <c r="O305" i="44"/>
  <c r="O228" i="44"/>
  <c r="O129" i="44"/>
  <c r="O636" i="44"/>
  <c r="O573" i="44"/>
  <c r="O369" i="44"/>
  <c r="O291" i="44"/>
  <c r="O6" i="44"/>
  <c r="O341" i="44"/>
  <c r="O277" i="44"/>
  <c r="O200" i="44"/>
  <c r="O657" i="44"/>
  <c r="O594" i="44"/>
  <c r="O453" i="44"/>
  <c r="O270" i="44"/>
  <c r="O683" i="44"/>
  <c r="O467" i="44"/>
  <c r="O87" i="44"/>
  <c r="O73" i="44"/>
  <c r="O698" i="44"/>
  <c r="O101" i="44"/>
  <c r="O59" i="44"/>
  <c r="O192" i="44"/>
  <c r="O171" i="44"/>
  <c r="O157" i="44"/>
  <c r="O45" i="44"/>
  <c r="O675" i="44"/>
  <c r="O31" i="44"/>
  <c r="O439" i="44"/>
  <c r="O263" i="44"/>
  <c r="O355" i="44"/>
  <c r="O284" i="44"/>
  <c r="O411" i="44"/>
  <c r="O88" i="43"/>
  <c r="O66" i="43"/>
  <c r="O46" i="43"/>
  <c r="O25" i="43"/>
  <c r="O312" i="44"/>
  <c r="O5" i="43"/>
  <c r="O6" i="51"/>
  <c r="D108" i="36"/>
  <c r="C26" i="36"/>
  <c r="C334" i="36"/>
  <c r="E334" i="36" s="1"/>
  <c r="C105" i="36"/>
  <c r="C315" i="36"/>
  <c r="E315" i="36" s="1"/>
  <c r="H14" i="15"/>
  <c r="O37" i="15"/>
  <c r="E70" i="15"/>
  <c r="E91" i="15" s="1"/>
  <c r="E31" i="15"/>
  <c r="N72" i="15"/>
  <c r="N93" i="15" s="1"/>
  <c r="N33" i="15"/>
  <c r="M84" i="15"/>
  <c r="G48" i="31"/>
  <c r="R12" i="30" s="1"/>
  <c r="U55" i="31"/>
  <c r="G57" i="31"/>
  <c r="G57" i="15" s="1"/>
  <c r="A3" i="51"/>
  <c r="A2" i="52"/>
  <c r="C27" i="36"/>
  <c r="C335" i="36"/>
  <c r="E335" i="36" s="1"/>
  <c r="D109" i="36"/>
  <c r="C106" i="36"/>
  <c r="C316" i="36"/>
  <c r="E316" i="36" s="1"/>
  <c r="F15" i="15"/>
  <c r="E9" i="15"/>
  <c r="E106" i="15"/>
  <c r="E125" i="15" s="1"/>
  <c r="I126" i="15"/>
  <c r="J131" i="15"/>
  <c r="K32" i="31"/>
  <c r="K32" i="15" s="1"/>
  <c r="U34" i="31"/>
  <c r="G13" i="31"/>
  <c r="D15" i="30" s="1"/>
  <c r="P15" i="31"/>
  <c r="K48" i="31"/>
  <c r="G52" i="31"/>
  <c r="C323" i="36"/>
  <c r="E323" i="36" s="1"/>
  <c r="N74" i="36"/>
  <c r="I192" i="36"/>
  <c r="C336" i="36"/>
  <c r="E336" i="36" s="1"/>
  <c r="H98" i="36"/>
  <c r="C319" i="36"/>
  <c r="E319" i="36" s="1"/>
  <c r="C107" i="36"/>
  <c r="N1" i="88"/>
  <c r="X1" i="76"/>
  <c r="W15" i="76" s="1"/>
  <c r="AA76" i="40"/>
  <c r="AA75" i="40" s="1"/>
  <c r="O1" i="74"/>
  <c r="P2" i="74" s="1"/>
  <c r="R2" i="74" s="1"/>
  <c r="D16" i="15"/>
  <c r="M5" i="41"/>
  <c r="R5" i="41" s="1"/>
  <c r="D41" i="51"/>
  <c r="O5" i="51"/>
  <c r="N5" i="51"/>
  <c r="M5" i="51"/>
  <c r="L5" i="51"/>
  <c r="K5" i="51"/>
  <c r="J5" i="51"/>
  <c r="I5" i="51"/>
  <c r="H5" i="51"/>
  <c r="G5" i="51"/>
  <c r="F5" i="51"/>
  <c r="E5" i="51"/>
  <c r="D5" i="51"/>
  <c r="BH5" i="51"/>
  <c r="BI5" i="51"/>
  <c r="BJ5" i="51"/>
  <c r="BA41" i="51"/>
  <c r="BL5" i="51"/>
  <c r="BA5" i="51"/>
  <c r="BB5" i="51"/>
  <c r="BC5" i="51"/>
  <c r="BD5" i="51"/>
  <c r="K2" i="72"/>
  <c r="A3" i="43"/>
  <c r="L2" i="72"/>
  <c r="A4" i="43"/>
  <c r="H75" i="33"/>
  <c r="H75" i="41" s="1"/>
  <c r="C32" i="44"/>
  <c r="C46" i="44"/>
  <c r="C130" i="44"/>
  <c r="C144" i="44"/>
  <c r="C158" i="44"/>
  <c r="C172" i="44"/>
  <c r="C193" i="44"/>
  <c r="A674" i="44"/>
  <c r="C684" i="44" s="1"/>
  <c r="A529" i="44"/>
  <c r="A676" i="44"/>
  <c r="C699" i="44" s="1"/>
  <c r="A673" i="44"/>
  <c r="C676" i="44" s="1"/>
  <c r="A340" i="44"/>
  <c r="C18" i="44"/>
  <c r="C116" i="44"/>
  <c r="C7" i="44"/>
  <c r="C102" i="44"/>
  <c r="C74" i="44"/>
  <c r="C88" i="44"/>
  <c r="A213" i="44"/>
  <c r="A20" i="40"/>
  <c r="A37" i="40"/>
  <c r="AK55" i="77"/>
  <c r="BH89" i="77"/>
  <c r="BH80" i="77"/>
  <c r="BH80" i="70" s="1"/>
  <c r="BW90" i="77"/>
  <c r="BW90" i="70" s="1"/>
  <c r="BR90" i="77"/>
  <c r="D16" i="60"/>
  <c r="D17" i="60" s="1"/>
  <c r="AF86" i="77"/>
  <c r="AF86" i="70" s="1"/>
  <c r="AK48" i="77"/>
  <c r="AK86" i="77" s="1"/>
  <c r="AK86" i="70" s="1"/>
  <c r="AO87" i="77"/>
  <c r="AO87" i="70" s="1"/>
  <c r="AA92" i="77"/>
  <c r="AA92" i="70" s="1"/>
  <c r="AF54" i="77"/>
  <c r="AF54" i="70" s="1"/>
  <c r="BW88" i="77"/>
  <c r="BW88" i="70" s="1"/>
  <c r="E16" i="60"/>
  <c r="E17" i="60" s="1"/>
  <c r="AT87" i="77"/>
  <c r="AT87" i="70" s="1"/>
  <c r="BW51" i="77"/>
  <c r="BW51" i="70" s="1"/>
  <c r="BR51" i="77"/>
  <c r="BI56" i="77"/>
  <c r="AX94" i="77"/>
  <c r="AX94" i="70" s="1"/>
  <c r="AY56" i="77"/>
  <c r="AO86" i="77"/>
  <c r="F16" i="60"/>
  <c r="F17" i="60" s="1"/>
  <c r="BC88" i="77"/>
  <c r="BC88" i="70" s="1"/>
  <c r="BI50" i="77"/>
  <c r="BI88" i="77" s="1"/>
  <c r="BI88" i="70" s="1"/>
  <c r="AJ92" i="77"/>
  <c r="AJ92" i="70" s="1"/>
  <c r="P3" i="88"/>
  <c r="G16" i="60"/>
  <c r="G17" i="60" s="1"/>
  <c r="AJ85" i="77"/>
  <c r="AJ85" i="70" s="1"/>
  <c r="BI48" i="77"/>
  <c r="AY48" i="77"/>
  <c r="AT86" i="77"/>
  <c r="BD87" i="77"/>
  <c r="BD87" i="70" s="1"/>
  <c r="BI68" i="77"/>
  <c r="BI87" i="77" s="1"/>
  <c r="H16" i="60"/>
  <c r="H17" i="60" s="1"/>
  <c r="AO85" i="77"/>
  <c r="AO85" i="70" s="1"/>
  <c r="AE91" i="77"/>
  <c r="AE91" i="70" s="1"/>
  <c r="AF53" i="77"/>
  <c r="AF53" i="70" s="1"/>
  <c r="AK59" i="77"/>
  <c r="BA99" i="77"/>
  <c r="BA99" i="70" s="1"/>
  <c r="BC61" i="77"/>
  <c r="BC61" i="70" s="1"/>
  <c r="I16" i="60"/>
  <c r="I17" i="60" s="1"/>
  <c r="BC86" i="77"/>
  <c r="BC86" i="70" s="1"/>
  <c r="J16" i="60"/>
  <c r="J17" i="60" s="1"/>
  <c r="K16" i="60"/>
  <c r="K17" i="60" s="1"/>
  <c r="AS35" i="65"/>
  <c r="AS27" i="65"/>
  <c r="AS14" i="65"/>
  <c r="AS6" i="65"/>
  <c r="AS32" i="65"/>
  <c r="AS24" i="65"/>
  <c r="AS11" i="65"/>
  <c r="AS29" i="65"/>
  <c r="AS16" i="65"/>
  <c r="AS8" i="65"/>
  <c r="AS34" i="65"/>
  <c r="AS26" i="65"/>
  <c r="AS13" i="65"/>
  <c r="AS5" i="65"/>
  <c r="AS36" i="65"/>
  <c r="AS28" i="65"/>
  <c r="AS15" i="65"/>
  <c r="AS7" i="65"/>
  <c r="AS33" i="65"/>
  <c r="AS25" i="65"/>
  <c r="AS12" i="65"/>
  <c r="AS30" i="65"/>
  <c r="AS17" i="65"/>
  <c r="AS9" i="65"/>
  <c r="BH98" i="77"/>
  <c r="BH98" i="70" s="1"/>
  <c r="BI60" i="77"/>
  <c r="BI98" i="77" s="1"/>
  <c r="BI98" i="70" s="1"/>
  <c r="AT80" i="77"/>
  <c r="AT99" i="77" s="1"/>
  <c r="AT99" i="70" s="1"/>
  <c r="BW89" i="77"/>
  <c r="BW89" i="70" s="1"/>
  <c r="BR89" i="77"/>
  <c r="BR89" i="70" s="1"/>
  <c r="L16" i="60"/>
  <c r="L17" i="60" s="1"/>
  <c r="C29" i="60"/>
  <c r="AU32" i="65"/>
  <c r="AU24" i="65"/>
  <c r="AU11" i="65"/>
  <c r="AU29" i="65"/>
  <c r="AU16" i="65"/>
  <c r="AU8" i="65"/>
  <c r="AU34" i="65"/>
  <c r="AU26" i="65"/>
  <c r="AU13" i="65"/>
  <c r="AU5" i="65"/>
  <c r="AU31" i="65"/>
  <c r="AU23" i="65"/>
  <c r="AU18" i="65"/>
  <c r="AU10" i="65"/>
  <c r="AU33" i="65"/>
  <c r="AU25" i="65"/>
  <c r="AU12" i="65"/>
  <c r="AU30" i="65"/>
  <c r="AU17" i="65"/>
  <c r="AU9" i="65"/>
  <c r="AU35" i="65"/>
  <c r="AU27" i="65"/>
  <c r="AU14" i="65"/>
  <c r="AU6" i="65"/>
  <c r="AK51" i="77"/>
  <c r="AF89" i="77"/>
  <c r="AF89" i="70" s="1"/>
  <c r="BI53" i="77"/>
  <c r="AX91" i="77"/>
  <c r="AX91" i="70" s="1"/>
  <c r="BI59" i="77"/>
  <c r="BI59" i="70" s="1"/>
  <c r="AT97" i="77"/>
  <c r="AT97" i="70" s="1"/>
  <c r="AY59" i="77"/>
  <c r="AY59" i="70" s="1"/>
  <c r="BW60" i="77"/>
  <c r="BW60" i="70" s="1"/>
  <c r="BR60" i="77"/>
  <c r="BR60" i="70" s="1"/>
  <c r="AX80" i="77"/>
  <c r="AY66" i="77"/>
  <c r="AY66" i="70" s="1"/>
  <c r="AE97" i="77"/>
  <c r="M16" i="60"/>
  <c r="M17" i="60" s="1"/>
  <c r="BD53" i="77"/>
  <c r="AK57" i="77"/>
  <c r="AL99" i="77"/>
  <c r="AL99" i="70" s="1"/>
  <c r="AO61" i="77"/>
  <c r="BC80" i="77"/>
  <c r="BC80" i="70" s="1"/>
  <c r="N16" i="60"/>
  <c r="N17" i="60" s="1"/>
  <c r="O16" i="60"/>
  <c r="O17" i="60" s="1"/>
  <c r="BR54" i="77"/>
  <c r="BR54" i="70" s="1"/>
  <c r="AO95" i="77"/>
  <c r="AO95" i="70" s="1"/>
  <c r="BM61" i="77"/>
  <c r="AA80" i="77"/>
  <c r="AA80" i="70" s="1"/>
  <c r="V75" i="40"/>
  <c r="R101" i="53"/>
  <c r="P16" i="60"/>
  <c r="P17" i="60" s="1"/>
  <c r="AF50" i="77"/>
  <c r="AT89" i="77"/>
  <c r="AT89" i="70" s="1"/>
  <c r="BI51" i="77"/>
  <c r="AA94" i="77"/>
  <c r="AF56" i="77"/>
  <c r="AF56" i="70" s="1"/>
  <c r="AT95" i="77"/>
  <c r="AT95" i="70" s="1"/>
  <c r="AY57" i="77"/>
  <c r="AY57" i="70" s="1"/>
  <c r="F99" i="77"/>
  <c r="F99" i="70" s="1"/>
  <c r="V99" i="77"/>
  <c r="V99" i="70" s="1"/>
  <c r="BW80" i="77"/>
  <c r="BW80" i="70" s="1"/>
  <c r="AP79" i="77"/>
  <c r="AP79" i="70" s="1"/>
  <c r="S101" i="53"/>
  <c r="BD52" i="77"/>
  <c r="BC96" i="77"/>
  <c r="BC96" i="70" s="1"/>
  <c r="BW59" i="77"/>
  <c r="BW59" i="70" s="1"/>
  <c r="BR59" i="77"/>
  <c r="BR59" i="70" s="1"/>
  <c r="AF68" i="77"/>
  <c r="AK68" i="77" s="1"/>
  <c r="AP68" i="77" s="1"/>
  <c r="AP68" i="70" s="1"/>
  <c r="D101" i="53"/>
  <c r="AU7" i="65"/>
  <c r="AY51" i="77"/>
  <c r="BH90" i="77"/>
  <c r="BH90" i="70" s="1"/>
  <c r="BI52" i="77"/>
  <c r="BI52" i="70" s="1"/>
  <c r="AK73" i="77"/>
  <c r="AE61" i="77"/>
  <c r="AE99" i="77" s="1"/>
  <c r="AE99" i="70" s="1"/>
  <c r="AT90" i="77"/>
  <c r="AT90" i="70" s="1"/>
  <c r="BV97" i="77"/>
  <c r="BV97" i="70" s="1"/>
  <c r="BJ47" i="70"/>
  <c r="AO91" i="77"/>
  <c r="AO91" i="70" s="1"/>
  <c r="AE95" i="77"/>
  <c r="AE95" i="70" s="1"/>
  <c r="CP47" i="70"/>
  <c r="O48" i="70"/>
  <c r="AF49" i="77"/>
  <c r="BP99" i="77"/>
  <c r="AE48" i="70"/>
  <c r="AY47" i="77"/>
  <c r="AE93" i="77"/>
  <c r="AE93" i="70" s="1"/>
  <c r="AX96" i="77"/>
  <c r="AX96" i="70" s="1"/>
  <c r="AO97" i="77"/>
  <c r="AO97" i="70" s="1"/>
  <c r="AF60" i="77"/>
  <c r="AF60" i="70" s="1"/>
  <c r="T99" i="77"/>
  <c r="T99" i="70" s="1"/>
  <c r="AJ61" i="77"/>
  <c r="AJ99" i="77" s="1"/>
  <c r="AJ99" i="70" s="1"/>
  <c r="AZ99" i="77"/>
  <c r="AZ99" i="70" s="1"/>
  <c r="BQ61" i="77"/>
  <c r="AU48" i="70"/>
  <c r="BW91" i="77"/>
  <c r="BW91" i="70" s="1"/>
  <c r="BK48" i="70"/>
  <c r="BB99" i="77"/>
  <c r="CA48" i="70"/>
  <c r="BR71" i="77"/>
  <c r="BR71" i="70" s="1"/>
  <c r="CQ48" i="70"/>
  <c r="BI47" i="77"/>
  <c r="BI47" i="70" s="1"/>
  <c r="BR66" i="77"/>
  <c r="BR66" i="70" s="1"/>
  <c r="AO94" i="77"/>
  <c r="AO94" i="70" s="1"/>
  <c r="BM97" i="77"/>
  <c r="BM97" i="70" s="1"/>
  <c r="CQ99" i="70"/>
  <c r="CA99" i="70"/>
  <c r="O99" i="70"/>
  <c r="CP98" i="70"/>
  <c r="BZ98" i="70"/>
  <c r="BJ98" i="70"/>
  <c r="AT98" i="70"/>
  <c r="AD98" i="70"/>
  <c r="N98" i="70"/>
  <c r="CO97" i="70"/>
  <c r="CP99" i="70"/>
  <c r="BZ99" i="70"/>
  <c r="AD99" i="70"/>
  <c r="N99" i="70"/>
  <c r="CO98" i="70"/>
  <c r="BY98" i="70"/>
  <c r="AS98" i="70"/>
  <c r="AC98" i="70"/>
  <c r="M98" i="70"/>
  <c r="CN97" i="70"/>
  <c r="BX97" i="70"/>
  <c r="BH97" i="70"/>
  <c r="AR97" i="70"/>
  <c r="AB97" i="70"/>
  <c r="L97" i="70"/>
  <c r="CM96" i="70"/>
  <c r="BG96" i="70"/>
  <c r="AQ96" i="70"/>
  <c r="AA96" i="70"/>
  <c r="K96" i="70"/>
  <c r="CL95" i="70"/>
  <c r="BV95" i="70"/>
  <c r="BF95" i="70"/>
  <c r="Z95" i="70"/>
  <c r="J95" i="70"/>
  <c r="CK94" i="70"/>
  <c r="BU94" i="70"/>
  <c r="BE94" i="70"/>
  <c r="Y94" i="70"/>
  <c r="I94" i="70"/>
  <c r="CJ93" i="70"/>
  <c r="BT93" i="70"/>
  <c r="AN93" i="70"/>
  <c r="X93" i="70"/>
  <c r="H93" i="70"/>
  <c r="CI92" i="70"/>
  <c r="BS92" i="70"/>
  <c r="BC92" i="70"/>
  <c r="AM92" i="70"/>
  <c r="W92" i="70"/>
  <c r="G92" i="70"/>
  <c r="CH91" i="70"/>
  <c r="BB91" i="70"/>
  <c r="AL91" i="70"/>
  <c r="V91" i="70"/>
  <c r="F91" i="70"/>
  <c r="CG90" i="70"/>
  <c r="BQ90" i="70"/>
  <c r="BA90" i="70"/>
  <c r="CO99" i="70"/>
  <c r="BY99" i="70"/>
  <c r="AS99" i="70"/>
  <c r="AC99" i="70"/>
  <c r="M99" i="70"/>
  <c r="CN98" i="70"/>
  <c r="BX98" i="70"/>
  <c r="AR98" i="70"/>
  <c r="AB98" i="70"/>
  <c r="CN99" i="70"/>
  <c r="BX99" i="70"/>
  <c r="CM99" i="70"/>
  <c r="CL99" i="70"/>
  <c r="BF99" i="70"/>
  <c r="Z99" i="70"/>
  <c r="J99" i="70"/>
  <c r="CK98" i="70"/>
  <c r="BU98" i="70"/>
  <c r="BE98" i="70"/>
  <c r="AO98" i="70"/>
  <c r="Y98" i="70"/>
  <c r="I98" i="70"/>
  <c r="CJ97" i="70"/>
  <c r="BT97" i="70"/>
  <c r="AN97" i="70"/>
  <c r="X97" i="70"/>
  <c r="H97" i="70"/>
  <c r="CI96" i="70"/>
  <c r="BS96" i="70"/>
  <c r="AM96" i="70"/>
  <c r="W96" i="70"/>
  <c r="G96" i="70"/>
  <c r="CH95" i="70"/>
  <c r="BB95" i="70"/>
  <c r="AL95" i="70"/>
  <c r="V95" i="70"/>
  <c r="F95" i="70"/>
  <c r="CG94" i="70"/>
  <c r="BA94" i="70"/>
  <c r="U94" i="70"/>
  <c r="E94" i="70"/>
  <c r="CF93" i="70"/>
  <c r="BP93" i="70"/>
  <c r="AZ93" i="70"/>
  <c r="AJ93" i="70"/>
  <c r="T93" i="70"/>
  <c r="CU92" i="70"/>
  <c r="CE92" i="70"/>
  <c r="BO92" i="70"/>
  <c r="AI92" i="70"/>
  <c r="S92" i="70"/>
  <c r="CT91" i="70"/>
  <c r="CD91" i="70"/>
  <c r="BN91" i="70"/>
  <c r="AH91" i="70"/>
  <c r="R91" i="70"/>
  <c r="CS90" i="70"/>
  <c r="CC90" i="70"/>
  <c r="BM90" i="70"/>
  <c r="AW90" i="70"/>
  <c r="AG90" i="70"/>
  <c r="Q90" i="70"/>
  <c r="CK99" i="70"/>
  <c r="BU99" i="70"/>
  <c r="BE99" i="70"/>
  <c r="Y99" i="70"/>
  <c r="I99" i="70"/>
  <c r="CJ98" i="70"/>
  <c r="BT98" i="70"/>
  <c r="AN98" i="70"/>
  <c r="X98" i="70"/>
  <c r="H98" i="70"/>
  <c r="CI97" i="70"/>
  <c r="BS97" i="70"/>
  <c r="BC97" i="70"/>
  <c r="AM97" i="70"/>
  <c r="W97" i="70"/>
  <c r="G97" i="70"/>
  <c r="CH96" i="70"/>
  <c r="BB96" i="70"/>
  <c r="AL96" i="70"/>
  <c r="V96" i="70"/>
  <c r="F96" i="70"/>
  <c r="CG95" i="70"/>
  <c r="BQ95" i="70"/>
  <c r="BA95" i="70"/>
  <c r="U95" i="70"/>
  <c r="E95" i="70"/>
  <c r="CF94" i="70"/>
  <c r="BP94" i="70"/>
  <c r="AZ94" i="70"/>
  <c r="T94" i="70"/>
  <c r="CU93" i="70"/>
  <c r="CE93" i="70"/>
  <c r="BO93" i="70"/>
  <c r="AI93" i="70"/>
  <c r="S93" i="70"/>
  <c r="CT92" i="70"/>
  <c r="CD92" i="70"/>
  <c r="BN92" i="70"/>
  <c r="AX92" i="70"/>
  <c r="AH92" i="70"/>
  <c r="R92" i="70"/>
  <c r="CS91" i="70"/>
  <c r="CC91" i="70"/>
  <c r="BM91" i="70"/>
  <c r="AW91" i="70"/>
  <c r="AG91" i="70"/>
  <c r="Q91" i="70"/>
  <c r="CJ99" i="70"/>
  <c r="BT99" i="70"/>
  <c r="AN99" i="70"/>
  <c r="X99" i="70"/>
  <c r="CI98" i="70"/>
  <c r="BS98" i="70"/>
  <c r="BC98" i="70"/>
  <c r="AM98" i="70"/>
  <c r="W98" i="70"/>
  <c r="G98" i="70"/>
  <c r="CH97" i="70"/>
  <c r="BB97" i="70"/>
  <c r="AL97" i="70"/>
  <c r="V97" i="70"/>
  <c r="F97" i="70"/>
  <c r="CG96" i="70"/>
  <c r="BA96" i="70"/>
  <c r="U96" i="70"/>
  <c r="E96" i="70"/>
  <c r="CF95" i="70"/>
  <c r="BP95" i="70"/>
  <c r="AZ95" i="70"/>
  <c r="AJ95" i="70"/>
  <c r="T95" i="70"/>
  <c r="CU94" i="70"/>
  <c r="CE94" i="70"/>
  <c r="BO94" i="70"/>
  <c r="AI94" i="70"/>
  <c r="S94" i="70"/>
  <c r="CT93" i="70"/>
  <c r="CD93" i="70"/>
  <c r="BN93" i="70"/>
  <c r="AX93" i="70"/>
  <c r="AH93" i="70"/>
  <c r="R93" i="70"/>
  <c r="CS92" i="70"/>
  <c r="CC92" i="70"/>
  <c r="AW92" i="70"/>
  <c r="AG92" i="70"/>
  <c r="Q92" i="70"/>
  <c r="CR91" i="70"/>
  <c r="CB91" i="70"/>
  <c r="BL91" i="70"/>
  <c r="AV91" i="70"/>
  <c r="P91" i="70"/>
  <c r="CQ90" i="70"/>
  <c r="CA90" i="70"/>
  <c r="BK90" i="70"/>
  <c r="AU90" i="70"/>
  <c r="AE90" i="70"/>
  <c r="O90" i="70"/>
  <c r="CI99" i="70"/>
  <c r="BS99" i="70"/>
  <c r="AM99" i="70"/>
  <c r="G99" i="70"/>
  <c r="CH98" i="70"/>
  <c r="BB98" i="70"/>
  <c r="AL98" i="70"/>
  <c r="V98" i="70"/>
  <c r="F98" i="70"/>
  <c r="CG97" i="70"/>
  <c r="BQ97" i="70"/>
  <c r="BA97" i="70"/>
  <c r="U97" i="70"/>
  <c r="E97" i="70"/>
  <c r="CF96" i="70"/>
  <c r="BP96" i="70"/>
  <c r="AZ96" i="70"/>
  <c r="T96" i="70"/>
  <c r="CU95" i="70"/>
  <c r="CE95" i="70"/>
  <c r="BO95" i="70"/>
  <c r="AI95" i="70"/>
  <c r="S95" i="70"/>
  <c r="CT94" i="70"/>
  <c r="CD94" i="70"/>
  <c r="BN94" i="70"/>
  <c r="AH94" i="70"/>
  <c r="R94" i="70"/>
  <c r="CS93" i="70"/>
  <c r="CC93" i="70"/>
  <c r="BM93" i="70"/>
  <c r="AW93" i="70"/>
  <c r="AG93" i="70"/>
  <c r="Q93" i="70"/>
  <c r="CR92" i="70"/>
  <c r="CB92" i="70"/>
  <c r="BL92" i="70"/>
  <c r="AV92" i="70"/>
  <c r="P92" i="70"/>
  <c r="CQ91" i="70"/>
  <c r="CA91" i="70"/>
  <c r="BK91" i="70"/>
  <c r="AU91" i="70"/>
  <c r="O91" i="70"/>
  <c r="CP90" i="70"/>
  <c r="BZ90" i="70"/>
  <c r="BJ90" i="70"/>
  <c r="AD90" i="70"/>
  <c r="N90" i="70"/>
  <c r="CG99" i="70"/>
  <c r="U99" i="70"/>
  <c r="E99" i="70"/>
  <c r="CF98" i="70"/>
  <c r="BP98" i="70"/>
  <c r="AZ98" i="70"/>
  <c r="T98" i="70"/>
  <c r="CU97" i="70"/>
  <c r="CE97" i="70"/>
  <c r="BO97" i="70"/>
  <c r="AI97" i="70"/>
  <c r="S97" i="70"/>
  <c r="CT96" i="70"/>
  <c r="CD96" i="70"/>
  <c r="BN96" i="70"/>
  <c r="AH96" i="70"/>
  <c r="R96" i="70"/>
  <c r="CS95" i="70"/>
  <c r="CC95" i="70"/>
  <c r="BM95" i="70"/>
  <c r="AW95" i="70"/>
  <c r="AG95" i="70"/>
  <c r="Q95" i="70"/>
  <c r="CR94" i="70"/>
  <c r="CB94" i="70"/>
  <c r="BL94" i="70"/>
  <c r="AV94" i="70"/>
  <c r="P94" i="70"/>
  <c r="CQ93" i="70"/>
  <c r="CA93" i="70"/>
  <c r="BK93" i="70"/>
  <c r="AU93" i="70"/>
  <c r="O93" i="70"/>
  <c r="CP92" i="70"/>
  <c r="BZ92" i="70"/>
  <c r="BJ92" i="70"/>
  <c r="AT92" i="70"/>
  <c r="AD92" i="70"/>
  <c r="N92" i="70"/>
  <c r="CO91" i="70"/>
  <c r="BY91" i="70"/>
  <c r="CF99" i="70"/>
  <c r="CU98" i="70"/>
  <c r="CE98" i="70"/>
  <c r="BO98" i="70"/>
  <c r="AI98" i="70"/>
  <c r="S98" i="70"/>
  <c r="CT97" i="70"/>
  <c r="CD97" i="70"/>
  <c r="BN97" i="70"/>
  <c r="AH97" i="70"/>
  <c r="R97" i="70"/>
  <c r="CS96" i="70"/>
  <c r="CC96" i="70"/>
  <c r="BM96" i="70"/>
  <c r="AW96" i="70"/>
  <c r="AG96" i="70"/>
  <c r="Q96" i="70"/>
  <c r="CR95" i="70"/>
  <c r="CB95" i="70"/>
  <c r="BL95" i="70"/>
  <c r="AV95" i="70"/>
  <c r="P95" i="70"/>
  <c r="CQ94" i="70"/>
  <c r="CA94" i="70"/>
  <c r="BK94" i="70"/>
  <c r="AU94" i="70"/>
  <c r="AE94" i="70"/>
  <c r="O94" i="70"/>
  <c r="CP93" i="70"/>
  <c r="BZ93" i="70"/>
  <c r="BJ93" i="70"/>
  <c r="AD93" i="70"/>
  <c r="N93" i="70"/>
  <c r="CO92" i="70"/>
  <c r="BY92" i="70"/>
  <c r="AS92" i="70"/>
  <c r="AC92" i="70"/>
  <c r="M92" i="70"/>
  <c r="CN91" i="70"/>
  <c r="BX91" i="70"/>
  <c r="AR91" i="70"/>
  <c r="AB91" i="70"/>
  <c r="L91" i="70"/>
  <c r="CM90" i="70"/>
  <c r="BG90" i="70"/>
  <c r="AQ90" i="70"/>
  <c r="K90" i="70"/>
  <c r="CL89" i="70"/>
  <c r="BV89" i="70"/>
  <c r="BF89" i="70"/>
  <c r="Z89" i="70"/>
  <c r="J89" i="70"/>
  <c r="CK88" i="70"/>
  <c r="BU88" i="70"/>
  <c r="BE88" i="70"/>
  <c r="AO88" i="70"/>
  <c r="Y88" i="70"/>
  <c r="I88" i="70"/>
  <c r="CJ87" i="70"/>
  <c r="CU99" i="70"/>
  <c r="CE99" i="70"/>
  <c r="CT98" i="70"/>
  <c r="CD98" i="70"/>
  <c r="BN98" i="70"/>
  <c r="AH98" i="70"/>
  <c r="R98" i="70"/>
  <c r="CS97" i="70"/>
  <c r="CC97" i="70"/>
  <c r="AW97" i="70"/>
  <c r="AG97" i="70"/>
  <c r="Q97" i="70"/>
  <c r="CR96" i="70"/>
  <c r="CB96" i="70"/>
  <c r="BL96" i="70"/>
  <c r="AV96" i="70"/>
  <c r="P96" i="70"/>
  <c r="CQ95" i="70"/>
  <c r="CA95" i="70"/>
  <c r="CT99" i="70"/>
  <c r="CD99" i="70"/>
  <c r="BN99" i="70"/>
  <c r="AH99" i="70"/>
  <c r="R99" i="70"/>
  <c r="CS98" i="70"/>
  <c r="CC98" i="70"/>
  <c r="AW98" i="70"/>
  <c r="AG98" i="70"/>
  <c r="Q98" i="70"/>
  <c r="CR97" i="70"/>
  <c r="CB97" i="70"/>
  <c r="BL97" i="70"/>
  <c r="AV97" i="70"/>
  <c r="P97" i="70"/>
  <c r="CQ96" i="70"/>
  <c r="CA96" i="70"/>
  <c r="BK96" i="70"/>
  <c r="AU96" i="70"/>
  <c r="O96" i="70"/>
  <c r="CP95" i="70"/>
  <c r="BZ95" i="70"/>
  <c r="BJ95" i="70"/>
  <c r="AD95" i="70"/>
  <c r="N95" i="70"/>
  <c r="CO94" i="70"/>
  <c r="BY94" i="70"/>
  <c r="AS94" i="70"/>
  <c r="AC94" i="70"/>
  <c r="M94" i="70"/>
  <c r="CN93" i="70"/>
  <c r="BX93" i="70"/>
  <c r="AR93" i="70"/>
  <c r="AB93" i="70"/>
  <c r="L93" i="70"/>
  <c r="CM92" i="70"/>
  <c r="BG92" i="70"/>
  <c r="AQ92" i="70"/>
  <c r="K92" i="70"/>
  <c r="CL91" i="70"/>
  <c r="BV91" i="70"/>
  <c r="BF91" i="70"/>
  <c r="Z91" i="70"/>
  <c r="J91" i="70"/>
  <c r="CK90" i="70"/>
  <c r="BU90" i="70"/>
  <c r="BE90" i="70"/>
  <c r="AO90" i="70"/>
  <c r="Y90" i="70"/>
  <c r="CH99" i="70"/>
  <c r="Q99" i="70"/>
  <c r="BK98" i="70"/>
  <c r="L98" i="70"/>
  <c r="BP97" i="70"/>
  <c r="AD97" i="70"/>
  <c r="CL96" i="70"/>
  <c r="N96" i="70"/>
  <c r="AQ95" i="70"/>
  <c r="K95" i="70"/>
  <c r="J94" i="70"/>
  <c r="BU93" i="70"/>
  <c r="AO93" i="70"/>
  <c r="I93" i="70"/>
  <c r="BT92" i="70"/>
  <c r="AN92" i="70"/>
  <c r="H92" i="70"/>
  <c r="BS91" i="70"/>
  <c r="AN91" i="70"/>
  <c r="K91" i="70"/>
  <c r="CD90" i="70"/>
  <c r="AC90" i="70"/>
  <c r="G90" i="70"/>
  <c r="CG89" i="70"/>
  <c r="BP89" i="70"/>
  <c r="AH89" i="70"/>
  <c r="Q89" i="70"/>
  <c r="CQ88" i="70"/>
  <c r="BZ88" i="70"/>
  <c r="AR88" i="70"/>
  <c r="AA88" i="70"/>
  <c r="J88" i="70"/>
  <c r="CI87" i="70"/>
  <c r="BS87" i="70"/>
  <c r="AM87" i="70"/>
  <c r="W87" i="70"/>
  <c r="G87" i="70"/>
  <c r="CH86" i="70"/>
  <c r="BB86" i="70"/>
  <c r="AL86" i="70"/>
  <c r="V86" i="70"/>
  <c r="F86" i="70"/>
  <c r="CG85" i="70"/>
  <c r="BA85" i="70"/>
  <c r="U85" i="70"/>
  <c r="E85" i="70"/>
  <c r="CF80" i="70"/>
  <c r="BP80" i="70"/>
  <c r="AZ80" i="70"/>
  <c r="AJ80" i="70"/>
  <c r="T80" i="70"/>
  <c r="CU79" i="70"/>
  <c r="CE79" i="70"/>
  <c r="BO79" i="70"/>
  <c r="AY79" i="70"/>
  <c r="AI79" i="70"/>
  <c r="S79" i="70"/>
  <c r="CT78" i="70"/>
  <c r="CD78" i="70"/>
  <c r="BN78" i="70"/>
  <c r="AX78" i="70"/>
  <c r="AH78" i="70"/>
  <c r="R78" i="70"/>
  <c r="CS77" i="70"/>
  <c r="CC77" i="70"/>
  <c r="W69" i="39" s="1"/>
  <c r="BM77" i="70"/>
  <c r="AW77" i="70"/>
  <c r="AG77" i="70"/>
  <c r="Q77" i="70"/>
  <c r="CR76" i="70"/>
  <c r="CB76" i="70"/>
  <c r="BL76" i="70"/>
  <c r="CC99" i="70"/>
  <c r="P99" i="70"/>
  <c r="BG98" i="70"/>
  <c r="K98" i="70"/>
  <c r="BK97" i="70"/>
  <c r="AC97" i="70"/>
  <c r="CK96" i="70"/>
  <c r="M96" i="70"/>
  <c r="BU95" i="70"/>
  <c r="I95" i="70"/>
  <c r="BT94" i="70"/>
  <c r="AN94" i="70"/>
  <c r="H94" i="70"/>
  <c r="BS93" i="70"/>
  <c r="AM93" i="70"/>
  <c r="G93" i="70"/>
  <c r="AL92" i="70"/>
  <c r="F92" i="70"/>
  <c r="BQ91" i="70"/>
  <c r="AM91" i="70"/>
  <c r="I91" i="70"/>
  <c r="CB90" i="70"/>
  <c r="BB90" i="70"/>
  <c r="AB90" i="70"/>
  <c r="F90" i="70"/>
  <c r="CF89" i="70"/>
  <c r="BO89" i="70"/>
  <c r="AX89" i="70"/>
  <c r="AG89" i="70"/>
  <c r="P89" i="70"/>
  <c r="CP88" i="70"/>
  <c r="BY88" i="70"/>
  <c r="BH88" i="70"/>
  <c r="AQ88" i="70"/>
  <c r="Z88" i="70"/>
  <c r="H88" i="70"/>
  <c r="CH87" i="70"/>
  <c r="BB87" i="70"/>
  <c r="AL87" i="70"/>
  <c r="V87" i="70"/>
  <c r="F87" i="70"/>
  <c r="CG86" i="70"/>
  <c r="BA86" i="70"/>
  <c r="U86" i="70"/>
  <c r="E86" i="70"/>
  <c r="CF85" i="70"/>
  <c r="BP85" i="70"/>
  <c r="AZ85" i="70"/>
  <c r="T85" i="70"/>
  <c r="CU80" i="70"/>
  <c r="CE80" i="70"/>
  <c r="BO80" i="70"/>
  <c r="AI80" i="70"/>
  <c r="S80" i="70"/>
  <c r="CT79" i="70"/>
  <c r="CD79" i="70"/>
  <c r="BN79" i="70"/>
  <c r="AX79" i="70"/>
  <c r="AH79" i="70"/>
  <c r="R79" i="70"/>
  <c r="CS78" i="70"/>
  <c r="CC78" i="70"/>
  <c r="W70" i="39" s="1"/>
  <c r="BM78" i="70"/>
  <c r="AW78" i="70"/>
  <c r="AG78" i="70"/>
  <c r="Q78" i="70"/>
  <c r="CR77" i="70"/>
  <c r="CB77" i="70"/>
  <c r="CB99" i="70"/>
  <c r="BF98" i="70"/>
  <c r="J98" i="70"/>
  <c r="BJ97" i="70"/>
  <c r="CJ96" i="70"/>
  <c r="AT96" i="70"/>
  <c r="L96" i="70"/>
  <c r="BT95" i="70"/>
  <c r="AN95" i="70"/>
  <c r="H95" i="70"/>
  <c r="BS94" i="70"/>
  <c r="AM94" i="70"/>
  <c r="G94" i="70"/>
  <c r="AL93" i="70"/>
  <c r="F93" i="70"/>
  <c r="BQ92" i="70"/>
  <c r="E92" i="70"/>
  <c r="BP91" i="70"/>
  <c r="H91" i="70"/>
  <c r="BY90" i="70"/>
  <c r="AZ90" i="70"/>
  <c r="Z90" i="70"/>
  <c r="E90" i="70"/>
  <c r="CE89" i="70"/>
  <c r="BN89" i="70"/>
  <c r="BA98" i="70"/>
  <c r="E98" i="70"/>
  <c r="Z97" i="70"/>
  <c r="CE96" i="70"/>
  <c r="AS96" i="70"/>
  <c r="J96" i="70"/>
  <c r="BS95" i="70"/>
  <c r="AM95" i="70"/>
  <c r="G95" i="70"/>
  <c r="AL94" i="70"/>
  <c r="F94" i="70"/>
  <c r="BQ93" i="70"/>
  <c r="E93" i="70"/>
  <c r="BP92" i="70"/>
  <c r="CU91" i="70"/>
  <c r="BO91" i="70"/>
  <c r="AJ91" i="70"/>
  <c r="G91" i="70"/>
  <c r="BX90" i="70"/>
  <c r="X90" i="70"/>
  <c r="CU89" i="70"/>
  <c r="CD89" i="70"/>
  <c r="BM89" i="70"/>
  <c r="AV89" i="70"/>
  <c r="AE89" i="70"/>
  <c r="N89" i="70"/>
  <c r="CN88" i="70"/>
  <c r="BF88" i="70"/>
  <c r="AN88" i="70"/>
  <c r="W88" i="70"/>
  <c r="F88" i="70"/>
  <c r="CF87" i="70"/>
  <c r="BP87" i="70"/>
  <c r="AZ87" i="70"/>
  <c r="AJ87" i="70"/>
  <c r="T87" i="70"/>
  <c r="CU86" i="70"/>
  <c r="CE86" i="70"/>
  <c r="BO86" i="70"/>
  <c r="AI86" i="70"/>
  <c r="S86" i="70"/>
  <c r="CT85" i="70"/>
  <c r="CD85" i="70"/>
  <c r="BN85" i="70"/>
  <c r="AX85" i="70"/>
  <c r="AH85" i="70"/>
  <c r="R85" i="70"/>
  <c r="CS80" i="70"/>
  <c r="CC80" i="70"/>
  <c r="BM80" i="70"/>
  <c r="AW80" i="70"/>
  <c r="AG80" i="70"/>
  <c r="Q80" i="70"/>
  <c r="CR79" i="70"/>
  <c r="CB79" i="70"/>
  <c r="BL79" i="70"/>
  <c r="AV79" i="70"/>
  <c r="P79" i="70"/>
  <c r="CQ78" i="70"/>
  <c r="CA78" i="70"/>
  <c r="BK78" i="70"/>
  <c r="AU78" i="70"/>
  <c r="AE78" i="70"/>
  <c r="O78" i="70"/>
  <c r="CP77" i="70"/>
  <c r="AV98" i="70"/>
  <c r="CQ97" i="70"/>
  <c r="BG97" i="70"/>
  <c r="Y97" i="70"/>
  <c r="BZ96" i="70"/>
  <c r="AR96" i="70"/>
  <c r="I96" i="70"/>
  <c r="BN95" i="70"/>
  <c r="AH95" i="70"/>
  <c r="CS94" i="70"/>
  <c r="BM94" i="70"/>
  <c r="AG94" i="70"/>
  <c r="CR93" i="70"/>
  <c r="BL93" i="70"/>
  <c r="CQ92" i="70"/>
  <c r="BK92" i="70"/>
  <c r="AE92" i="70"/>
  <c r="CP91" i="70"/>
  <c r="BJ91" i="70"/>
  <c r="AI91" i="70"/>
  <c r="E91" i="70"/>
  <c r="BV90" i="70"/>
  <c r="AX90" i="70"/>
  <c r="W90" i="70"/>
  <c r="CT89" i="70"/>
  <c r="CC89" i="70"/>
  <c r="BL89" i="70"/>
  <c r="AU89" i="70"/>
  <c r="AD89" i="70"/>
  <c r="M89" i="70"/>
  <c r="CM88" i="70"/>
  <c r="BV88" i="70"/>
  <c r="AM88" i="70"/>
  <c r="V88" i="70"/>
  <c r="E88" i="70"/>
  <c r="CE87" i="70"/>
  <c r="BO87" i="70"/>
  <c r="AI87" i="70"/>
  <c r="S87" i="70"/>
  <c r="BL99" i="70"/>
  <c r="CR98" i="70"/>
  <c r="AU98" i="70"/>
  <c r="CP97" i="70"/>
  <c r="BF97" i="70"/>
  <c r="T97" i="70"/>
  <c r="BY96" i="70"/>
  <c r="H96" i="70"/>
  <c r="BK95" i="70"/>
  <c r="CP94" i="70"/>
  <c r="BJ94" i="70"/>
  <c r="AD94" i="70"/>
  <c r="CO93" i="70"/>
  <c r="BI93" i="70"/>
  <c r="AC93" i="70"/>
  <c r="CN92" i="70"/>
  <c r="BH92" i="70"/>
  <c r="AB92" i="70"/>
  <c r="CM91" i="70"/>
  <c r="BG91" i="70"/>
  <c r="AD91" i="70"/>
  <c r="CU90" i="70"/>
  <c r="BT90" i="70"/>
  <c r="AV90" i="70"/>
  <c r="V90" i="70"/>
  <c r="CS89" i="70"/>
  <c r="CB89" i="70"/>
  <c r="BK89" i="70"/>
  <c r="AC89" i="70"/>
  <c r="L89" i="70"/>
  <c r="CL88" i="70"/>
  <c r="BT88" i="70"/>
  <c r="AL88" i="70"/>
  <c r="U88" i="70"/>
  <c r="CU87" i="70"/>
  <c r="CD87" i="70"/>
  <c r="BN87" i="70"/>
  <c r="AX87" i="70"/>
  <c r="AH87" i="70"/>
  <c r="R87" i="70"/>
  <c r="CS86" i="70"/>
  <c r="CC86" i="70"/>
  <c r="AW86" i="70"/>
  <c r="AG86" i="70"/>
  <c r="Q86" i="70"/>
  <c r="CR85" i="70"/>
  <c r="CB85" i="70"/>
  <c r="BL85" i="70"/>
  <c r="AV85" i="70"/>
  <c r="P85" i="70"/>
  <c r="CQ80" i="70"/>
  <c r="CA80" i="70"/>
  <c r="BK80" i="70"/>
  <c r="AU80" i="70"/>
  <c r="O80" i="70"/>
  <c r="CP79" i="70"/>
  <c r="BZ79" i="70"/>
  <c r="BJ79" i="70"/>
  <c r="AT79" i="70"/>
  <c r="AD79" i="70"/>
  <c r="N79" i="70"/>
  <c r="CO78" i="70"/>
  <c r="BY78" i="70"/>
  <c r="AS78" i="70"/>
  <c r="AC78" i="70"/>
  <c r="M78" i="70"/>
  <c r="CN77" i="70"/>
  <c r="BX77" i="70"/>
  <c r="CQ98" i="70"/>
  <c r="AQ98" i="70"/>
  <c r="CM97" i="70"/>
  <c r="BE97" i="70"/>
  <c r="O97" i="70"/>
  <c r="BX96" i="70"/>
  <c r="AO96" i="70"/>
  <c r="CT95" i="70"/>
  <c r="AC95" i="70"/>
  <c r="CN94" i="70"/>
  <c r="BH94" i="70"/>
  <c r="AB94" i="70"/>
  <c r="CM93" i="70"/>
  <c r="BG93" i="70"/>
  <c r="AA93" i="70"/>
  <c r="CL92" i="70"/>
  <c r="BF92" i="70"/>
  <c r="Z92" i="70"/>
  <c r="CK91" i="70"/>
  <c r="BE91" i="70"/>
  <c r="AC91" i="70"/>
  <c r="CT90" i="70"/>
  <c r="BS90" i="70"/>
  <c r="AS90" i="70"/>
  <c r="U90" i="70"/>
  <c r="CR89" i="70"/>
  <c r="CA89" i="70"/>
  <c r="BJ89" i="70"/>
  <c r="AS89" i="70"/>
  <c r="AB89" i="70"/>
  <c r="K89" i="70"/>
  <c r="CJ88" i="70"/>
  <c r="BS88" i="70"/>
  <c r="BB88" i="70"/>
  <c r="T88" i="70"/>
  <c r="CT87" i="70"/>
  <c r="CC87" i="70"/>
  <c r="AW87" i="70"/>
  <c r="AG87" i="70"/>
  <c r="Q87" i="70"/>
  <c r="CR86" i="70"/>
  <c r="CB86" i="70"/>
  <c r="BL86" i="70"/>
  <c r="AV86" i="70"/>
  <c r="P86" i="70"/>
  <c r="CQ85" i="70"/>
  <c r="CA85" i="70"/>
  <c r="BK85" i="70"/>
  <c r="AU85" i="70"/>
  <c r="AE85" i="70"/>
  <c r="O85" i="70"/>
  <c r="CP80" i="70"/>
  <c r="BZ80" i="70"/>
  <c r="BJ80" i="70"/>
  <c r="AD80" i="70"/>
  <c r="N80" i="70"/>
  <c r="CO79" i="70"/>
  <c r="BY79" i="70"/>
  <c r="BI79" i="70"/>
  <c r="AS79" i="70"/>
  <c r="AC79" i="70"/>
  <c r="M79" i="70"/>
  <c r="CN78" i="70"/>
  <c r="BX78" i="70"/>
  <c r="BH78" i="70"/>
  <c r="BB99" i="70"/>
  <c r="CM98" i="70"/>
  <c r="CL97" i="70"/>
  <c r="AZ97" i="70"/>
  <c r="N97" i="70"/>
  <c r="BV96" i="70"/>
  <c r="AN96" i="70"/>
  <c r="CO95" i="70"/>
  <c r="BH95" i="70"/>
  <c r="AB95" i="70"/>
  <c r="CM94" i="70"/>
  <c r="BG94" i="70"/>
  <c r="AA94" i="70"/>
  <c r="CL93" i="70"/>
  <c r="BF93" i="70"/>
  <c r="Z93" i="70"/>
  <c r="CK92" i="70"/>
  <c r="BE92" i="70"/>
  <c r="Y92" i="70"/>
  <c r="CJ91" i="70"/>
  <c r="AA91" i="70"/>
  <c r="CR90" i="70"/>
  <c r="BR90" i="70"/>
  <c r="AR90" i="70"/>
  <c r="T90" i="70"/>
  <c r="CQ89" i="70"/>
  <c r="BZ89" i="70"/>
  <c r="AR89" i="70"/>
  <c r="AA89" i="70"/>
  <c r="I89" i="70"/>
  <c r="CI88" i="70"/>
  <c r="BA88" i="70"/>
  <c r="AJ88" i="70"/>
  <c r="S88" i="70"/>
  <c r="CS87" i="70"/>
  <c r="CB87" i="70"/>
  <c r="BL87" i="70"/>
  <c r="AV87" i="70"/>
  <c r="P87" i="70"/>
  <c r="CQ86" i="70"/>
  <c r="CA86" i="70"/>
  <c r="BK86" i="70"/>
  <c r="AU86" i="70"/>
  <c r="O86" i="70"/>
  <c r="CP85" i="70"/>
  <c r="BZ85" i="70"/>
  <c r="BJ85" i="70"/>
  <c r="AT85" i="70"/>
  <c r="AD85" i="70"/>
  <c r="N85" i="70"/>
  <c r="CO80" i="70"/>
  <c r="BY80" i="70"/>
  <c r="AS80" i="70"/>
  <c r="AC80" i="70"/>
  <c r="M80" i="70"/>
  <c r="CN79" i="70"/>
  <c r="AW99" i="70"/>
  <c r="CL98" i="70"/>
  <c r="CK97" i="70"/>
  <c r="AU97" i="70"/>
  <c r="M97" i="70"/>
  <c r="BU96" i="70"/>
  <c r="AI96" i="70"/>
  <c r="CN95" i="70"/>
  <c r="BG95" i="70"/>
  <c r="AA95" i="70"/>
  <c r="CL94" i="70"/>
  <c r="BF94" i="70"/>
  <c r="Z94" i="70"/>
  <c r="CK93" i="70"/>
  <c r="BE93" i="70"/>
  <c r="Y93" i="70"/>
  <c r="CJ92" i="70"/>
  <c r="X92" i="70"/>
  <c r="CI91" i="70"/>
  <c r="Y91" i="70"/>
  <c r="CO90" i="70"/>
  <c r="BP90" i="70"/>
  <c r="S90" i="70"/>
  <c r="CP89" i="70"/>
  <c r="BY89" i="70"/>
  <c r="BH89" i="70"/>
  <c r="AQ89" i="70"/>
  <c r="Y89" i="70"/>
  <c r="H89" i="70"/>
  <c r="CH88" i="70"/>
  <c r="BQ88" i="70"/>
  <c r="AZ88" i="70"/>
  <c r="AI88" i="70"/>
  <c r="R88" i="70"/>
  <c r="CR87" i="70"/>
  <c r="CA87" i="70"/>
  <c r="BK87" i="70"/>
  <c r="AU87" i="70"/>
  <c r="O87" i="70"/>
  <c r="CP86" i="70"/>
  <c r="BZ86" i="70"/>
  <c r="BJ86" i="70"/>
  <c r="AT86" i="70"/>
  <c r="AD86" i="70"/>
  <c r="N86" i="70"/>
  <c r="CO85" i="70"/>
  <c r="BY85" i="70"/>
  <c r="AS85" i="70"/>
  <c r="AC85" i="70"/>
  <c r="M85" i="70"/>
  <c r="CN80" i="70"/>
  <c r="BX80" i="70"/>
  <c r="CB98" i="70"/>
  <c r="CA97" i="70"/>
  <c r="AS97" i="70"/>
  <c r="J97" i="70"/>
  <c r="BO96" i="70"/>
  <c r="AC96" i="70"/>
  <c r="CK95" i="70"/>
  <c r="X95" i="70"/>
  <c r="CI94" i="70"/>
  <c r="BC94" i="70"/>
  <c r="W94" i="70"/>
  <c r="CH93" i="70"/>
  <c r="BB93" i="70"/>
  <c r="V93" i="70"/>
  <c r="CG92" i="70"/>
  <c r="BA92" i="70"/>
  <c r="U92" i="70"/>
  <c r="CF91" i="70"/>
  <c r="AZ91" i="70"/>
  <c r="W91" i="70"/>
  <c r="CL90" i="70"/>
  <c r="BN90" i="70"/>
  <c r="AM90" i="70"/>
  <c r="P90" i="70"/>
  <c r="CN89" i="70"/>
  <c r="BE89" i="70"/>
  <c r="AN89" i="70"/>
  <c r="W89" i="70"/>
  <c r="F89" i="70"/>
  <c r="CF88" i="70"/>
  <c r="BO88" i="70"/>
  <c r="AG88" i="70"/>
  <c r="P88" i="70"/>
  <c r="CP87" i="70"/>
  <c r="BY87" i="70"/>
  <c r="BI87" i="70"/>
  <c r="AS87" i="70"/>
  <c r="CA98" i="70"/>
  <c r="AA98" i="70"/>
  <c r="BZ97" i="70"/>
  <c r="AQ97" i="70"/>
  <c r="I97" i="70"/>
  <c r="BJ96" i="70"/>
  <c r="AB96" i="70"/>
  <c r="CJ95" i="70"/>
  <c r="BC95" i="70"/>
  <c r="W95" i="70"/>
  <c r="CH94" i="70"/>
  <c r="BB94" i="70"/>
  <c r="V94" i="70"/>
  <c r="CG93" i="70"/>
  <c r="BA93" i="70"/>
  <c r="U93" i="70"/>
  <c r="CF92" i="70"/>
  <c r="AZ92" i="70"/>
  <c r="T92" i="70"/>
  <c r="CE91" i="70"/>
  <c r="U91" i="70"/>
  <c r="CJ90" i="70"/>
  <c r="BL90" i="70"/>
  <c r="AL90" i="70"/>
  <c r="M90" i="70"/>
  <c r="CM89" i="70"/>
  <c r="BU89" i="70"/>
  <c r="AM89" i="70"/>
  <c r="V89" i="70"/>
  <c r="E89" i="70"/>
  <c r="CE88" i="70"/>
  <c r="BN88" i="70"/>
  <c r="AW88" i="70"/>
  <c r="O88" i="70"/>
  <c r="CO87" i="70"/>
  <c r="BX87" i="70"/>
  <c r="BH87" i="70"/>
  <c r="AR87" i="70"/>
  <c r="AB87" i="70"/>
  <c r="L87" i="70"/>
  <c r="CM86" i="70"/>
  <c r="BG86" i="70"/>
  <c r="AQ86" i="70"/>
  <c r="AA86" i="70"/>
  <c r="K86" i="70"/>
  <c r="CL85" i="70"/>
  <c r="BV85" i="70"/>
  <c r="BF85" i="70"/>
  <c r="Z85" i="70"/>
  <c r="J85" i="70"/>
  <c r="CK80" i="70"/>
  <c r="BU80" i="70"/>
  <c r="BE80" i="70"/>
  <c r="Y80" i="70"/>
  <c r="I80" i="70"/>
  <c r="CJ79" i="70"/>
  <c r="BT79" i="70"/>
  <c r="BD79" i="70"/>
  <c r="AN79" i="70"/>
  <c r="X79" i="70"/>
  <c r="H79" i="70"/>
  <c r="CI78" i="70"/>
  <c r="BS78" i="70"/>
  <c r="BC78" i="70"/>
  <c r="AG99" i="70"/>
  <c r="Z98" i="70"/>
  <c r="BY97" i="70"/>
  <c r="CU96" i="70"/>
  <c r="Z96" i="70"/>
  <c r="CI95" i="70"/>
  <c r="AX95" i="70"/>
  <c r="R95" i="70"/>
  <c r="CC94" i="70"/>
  <c r="AW94" i="70"/>
  <c r="Q94" i="70"/>
  <c r="CB93" i="70"/>
  <c r="AV93" i="70"/>
  <c r="P93" i="70"/>
  <c r="CA92" i="70"/>
  <c r="AU92" i="70"/>
  <c r="O92" i="70"/>
  <c r="BZ91" i="70"/>
  <c r="AT91" i="70"/>
  <c r="T91" i="70"/>
  <c r="CI90" i="70"/>
  <c r="AJ90" i="70"/>
  <c r="L90" i="70"/>
  <c r="CK89" i="70"/>
  <c r="BT89" i="70"/>
  <c r="BC89" i="70"/>
  <c r="AL89" i="70"/>
  <c r="U89" i="70"/>
  <c r="CU88" i="70"/>
  <c r="CS99" i="70"/>
  <c r="BQ98" i="70"/>
  <c r="P98" i="70"/>
  <c r="CO96" i="70"/>
  <c r="BF96" i="70"/>
  <c r="X96" i="70"/>
  <c r="BY95" i="70"/>
  <c r="AS95" i="70"/>
  <c r="M95" i="70"/>
  <c r="BX94" i="70"/>
  <c r="AR94" i="70"/>
  <c r="L94" i="70"/>
  <c r="AQ93" i="70"/>
  <c r="K93" i="70"/>
  <c r="BV92" i="70"/>
  <c r="J92" i="70"/>
  <c r="BU91" i="70"/>
  <c r="AQ91" i="70"/>
  <c r="N91" i="70"/>
  <c r="CF90" i="70"/>
  <c r="BF90" i="70"/>
  <c r="AH90" i="70"/>
  <c r="I90" i="70"/>
  <c r="CI89" i="70"/>
  <c r="BA89" i="70"/>
  <c r="AJ89" i="70"/>
  <c r="S89" i="70"/>
  <c r="CS88" i="70"/>
  <c r="CB88" i="70"/>
  <c r="BK88" i="70"/>
  <c r="AT88" i="70"/>
  <c r="AC88" i="70"/>
  <c r="L88" i="70"/>
  <c r="CL87" i="70"/>
  <c r="BU87" i="70"/>
  <c r="BE87" i="70"/>
  <c r="Y87" i="70"/>
  <c r="I87" i="70"/>
  <c r="CJ86" i="70"/>
  <c r="BT86" i="70"/>
  <c r="AN86" i="70"/>
  <c r="X86" i="70"/>
  <c r="H86" i="70"/>
  <c r="CI85" i="70"/>
  <c r="BS85" i="70"/>
  <c r="BC85" i="70"/>
  <c r="AM85" i="70"/>
  <c r="W85" i="70"/>
  <c r="G85" i="70"/>
  <c r="CH80" i="70"/>
  <c r="BB80" i="70"/>
  <c r="AL80" i="70"/>
  <c r="V80" i="70"/>
  <c r="Y96" i="70"/>
  <c r="AQ94" i="70"/>
  <c r="BB92" i="70"/>
  <c r="CH90" i="70"/>
  <c r="BQ89" i="70"/>
  <c r="CO88" i="70"/>
  <c r="AH88" i="70"/>
  <c r="AA87" i="70"/>
  <c r="CF86" i="70"/>
  <c r="AS86" i="70"/>
  <c r="J86" i="70"/>
  <c r="AG85" i="70"/>
  <c r="CL80" i="70"/>
  <c r="X80" i="70"/>
  <c r="CK79" i="70"/>
  <c r="BK79" i="70"/>
  <c r="AL79" i="70"/>
  <c r="K79" i="70"/>
  <c r="CE78" i="70"/>
  <c r="AI78" i="70"/>
  <c r="K78" i="70"/>
  <c r="CH77" i="70"/>
  <c r="BO77" i="70"/>
  <c r="AX77" i="70"/>
  <c r="O77" i="70"/>
  <c r="CO76" i="70"/>
  <c r="BX76" i="70"/>
  <c r="BG76" i="70"/>
  <c r="AQ76" i="70"/>
  <c r="AA76" i="70"/>
  <c r="K76" i="70"/>
  <c r="CL75" i="70"/>
  <c r="BV75" i="70"/>
  <c r="BF75" i="70"/>
  <c r="Z75" i="70"/>
  <c r="J75" i="70"/>
  <c r="CK74" i="70"/>
  <c r="BU74" i="70"/>
  <c r="BE74" i="70"/>
  <c r="AO74" i="70"/>
  <c r="Y74" i="70"/>
  <c r="I74" i="70"/>
  <c r="CJ73" i="70"/>
  <c r="BT73" i="70"/>
  <c r="BD73" i="70"/>
  <c r="AN73" i="70"/>
  <c r="X73" i="70"/>
  <c r="H73" i="70"/>
  <c r="CI72" i="70"/>
  <c r="AB64" i="39" s="1"/>
  <c r="BS72" i="70"/>
  <c r="BC72" i="70"/>
  <c r="AM72" i="70"/>
  <c r="W72" i="70"/>
  <c r="G72" i="70"/>
  <c r="CH71" i="70"/>
  <c r="BB71" i="70"/>
  <c r="AL71" i="70"/>
  <c r="V71" i="70"/>
  <c r="F71" i="70"/>
  <c r="CG70" i="70"/>
  <c r="Z62" i="39" s="1"/>
  <c r="BQ70" i="70"/>
  <c r="BA70" i="70"/>
  <c r="U70" i="70"/>
  <c r="E70" i="70"/>
  <c r="CF69" i="70"/>
  <c r="BP69" i="70"/>
  <c r="AZ69" i="70"/>
  <c r="AJ69" i="70"/>
  <c r="T69" i="70"/>
  <c r="CU68" i="70"/>
  <c r="CE68" i="70"/>
  <c r="BO68" i="70"/>
  <c r="AY68" i="70"/>
  <c r="AI68" i="70"/>
  <c r="S68" i="70"/>
  <c r="CT67" i="70"/>
  <c r="CD67" i="70"/>
  <c r="BN67" i="70"/>
  <c r="AX67" i="70"/>
  <c r="AH67" i="70"/>
  <c r="R67" i="70"/>
  <c r="CS66" i="70"/>
  <c r="CC66" i="70"/>
  <c r="W58" i="39" s="1"/>
  <c r="BM66" i="70"/>
  <c r="AW66" i="70"/>
  <c r="AG66" i="70"/>
  <c r="Q66" i="70"/>
  <c r="CR61" i="70"/>
  <c r="U98" i="70"/>
  <c r="S96" i="70"/>
  <c r="X94" i="70"/>
  <c r="AR92" i="70"/>
  <c r="CE90" i="70"/>
  <c r="BG89" i="70"/>
  <c r="CG88" i="70"/>
  <c r="AE88" i="70"/>
  <c r="Z87" i="70"/>
  <c r="CD86" i="70"/>
  <c r="AR86" i="70"/>
  <c r="I86" i="70"/>
  <c r="BO85" i="70"/>
  <c r="AB85" i="70"/>
  <c r="CJ80" i="70"/>
  <c r="W80" i="70"/>
  <c r="CI79" i="70"/>
  <c r="AB71" i="39" s="1"/>
  <c r="BH79" i="70"/>
  <c r="J79" i="70"/>
  <c r="CB78" i="70"/>
  <c r="BB78" i="70"/>
  <c r="J78" i="70"/>
  <c r="CG77" i="70"/>
  <c r="Z69" i="39" s="1"/>
  <c r="BN77" i="70"/>
  <c r="AV77" i="70"/>
  <c r="AE77" i="70"/>
  <c r="N77" i="70"/>
  <c r="CN76" i="70"/>
  <c r="BF76" i="70"/>
  <c r="Z76" i="70"/>
  <c r="J76" i="70"/>
  <c r="CK75" i="70"/>
  <c r="BU75" i="70"/>
  <c r="BE75" i="70"/>
  <c r="AO75" i="70"/>
  <c r="Y75" i="70"/>
  <c r="I75" i="70"/>
  <c r="CJ74" i="70"/>
  <c r="BT74" i="70"/>
  <c r="BD74" i="70"/>
  <c r="AN74" i="70"/>
  <c r="X74" i="70"/>
  <c r="H74" i="70"/>
  <c r="CI73" i="70"/>
  <c r="AB65" i="39" s="1"/>
  <c r="BS73" i="70"/>
  <c r="BC73" i="70"/>
  <c r="AM73" i="70"/>
  <c r="W73" i="70"/>
  <c r="G73" i="70"/>
  <c r="CH72" i="70"/>
  <c r="BR72" i="70"/>
  <c r="BB72" i="70"/>
  <c r="AL72" i="70"/>
  <c r="V72" i="70"/>
  <c r="F72" i="70"/>
  <c r="CG71" i="70"/>
  <c r="Z63" i="39" s="1"/>
  <c r="BQ71" i="70"/>
  <c r="BA71" i="70"/>
  <c r="AK71" i="70"/>
  <c r="U71" i="70"/>
  <c r="E71" i="70"/>
  <c r="CF70" i="70"/>
  <c r="BP70" i="70"/>
  <c r="AZ70" i="70"/>
  <c r="AJ70" i="70"/>
  <c r="T70" i="70"/>
  <c r="CU69" i="70"/>
  <c r="CE69" i="70"/>
  <c r="BO69" i="70"/>
  <c r="AY69" i="70"/>
  <c r="AI69" i="70"/>
  <c r="S69" i="70"/>
  <c r="CT68" i="70"/>
  <c r="CD68" i="70"/>
  <c r="BN68" i="70"/>
  <c r="AX68" i="70"/>
  <c r="AH68" i="70"/>
  <c r="R68" i="70"/>
  <c r="CS67" i="70"/>
  <c r="O98" i="70"/>
  <c r="CM95" i="70"/>
  <c r="N94" i="70"/>
  <c r="AO92" i="70"/>
  <c r="BO90" i="70"/>
  <c r="BB89" i="70"/>
  <c r="CD88" i="70"/>
  <c r="AD88" i="70"/>
  <c r="BT87" i="70"/>
  <c r="X87" i="70"/>
  <c r="BY86" i="70"/>
  <c r="G86" i="70"/>
  <c r="CI80" i="70"/>
  <c r="BA80" i="70"/>
  <c r="U80" i="70"/>
  <c r="CH79" i="70"/>
  <c r="BG79" i="70"/>
  <c r="AJ79" i="70"/>
  <c r="I79" i="70"/>
  <c r="BZ78" i="70"/>
  <c r="BA78" i="70"/>
  <c r="AD78" i="70"/>
  <c r="I78" i="70"/>
  <c r="CF77" i="70"/>
  <c r="BL77" i="70"/>
  <c r="AU77" i="70"/>
  <c r="AD77" i="70"/>
  <c r="M77" i="70"/>
  <c r="CM76" i="70"/>
  <c r="AD68" i="39" s="1"/>
  <c r="BV76" i="70"/>
  <c r="BE76" i="70"/>
  <c r="AO76" i="70"/>
  <c r="Y76" i="70"/>
  <c r="I76" i="70"/>
  <c r="CJ75" i="70"/>
  <c r="BT75" i="70"/>
  <c r="BD75" i="70"/>
  <c r="AN75" i="70"/>
  <c r="X75" i="70"/>
  <c r="H75" i="70"/>
  <c r="CF97" i="70"/>
  <c r="CD95" i="70"/>
  <c r="K94" i="70"/>
  <c r="V92" i="70"/>
  <c r="AZ89" i="70"/>
  <c r="CC88" i="70"/>
  <c r="AB88" i="70"/>
  <c r="BQ87" i="70"/>
  <c r="U87" i="70"/>
  <c r="BX86" i="70"/>
  <c r="AO86" i="70"/>
  <c r="CU85" i="70"/>
  <c r="BH85" i="70"/>
  <c r="Y85" i="70"/>
  <c r="CG80" i="70"/>
  <c r="R80" i="70"/>
  <c r="CG79" i="70"/>
  <c r="Z71" i="39" s="1"/>
  <c r="BF79" i="70"/>
  <c r="AG79" i="70"/>
  <c r="G79" i="70"/>
  <c r="BW78" i="70"/>
  <c r="AZ78" i="70"/>
  <c r="AB78" i="70"/>
  <c r="H78" i="70"/>
  <c r="CE77" i="70"/>
  <c r="BK77" i="70"/>
  <c r="AT77" i="70"/>
  <c r="AC77" i="70"/>
  <c r="L77" i="70"/>
  <c r="CL76" i="70"/>
  <c r="BU76" i="70"/>
  <c r="BD76" i="70"/>
  <c r="AN76" i="70"/>
  <c r="X76" i="70"/>
  <c r="H76" i="70"/>
  <c r="CI75" i="70"/>
  <c r="AB67" i="39" s="1"/>
  <c r="BS75" i="70"/>
  <c r="BC75" i="70"/>
  <c r="AM75" i="70"/>
  <c r="W75" i="70"/>
  <c r="G75" i="70"/>
  <c r="CH74" i="70"/>
  <c r="BR74" i="70"/>
  <c r="BB74" i="70"/>
  <c r="AL74" i="70"/>
  <c r="V74" i="70"/>
  <c r="F74" i="70"/>
  <c r="CG73" i="70"/>
  <c r="Z65" i="39" s="1"/>
  <c r="BQ73" i="70"/>
  <c r="BA73" i="70"/>
  <c r="U73" i="70"/>
  <c r="E73" i="70"/>
  <c r="CF72" i="70"/>
  <c r="BP72" i="70"/>
  <c r="AZ72" i="70"/>
  <c r="AJ72" i="70"/>
  <c r="T72" i="70"/>
  <c r="CU71" i="70"/>
  <c r="CE71" i="70"/>
  <c r="BO71" i="70"/>
  <c r="AY71" i="70"/>
  <c r="AI71" i="70"/>
  <c r="S71" i="70"/>
  <c r="CT70" i="70"/>
  <c r="CD70" i="70"/>
  <c r="BN70" i="70"/>
  <c r="AX70" i="70"/>
  <c r="AH70" i="70"/>
  <c r="R70" i="70"/>
  <c r="CS69" i="70"/>
  <c r="CC69" i="70"/>
  <c r="W61" i="39" s="1"/>
  <c r="BM69" i="70"/>
  <c r="AW69" i="70"/>
  <c r="AG69" i="70"/>
  <c r="BX95" i="70"/>
  <c r="CI93" i="70"/>
  <c r="L92" i="70"/>
  <c r="AW89" i="70"/>
  <c r="CA88" i="70"/>
  <c r="X88" i="70"/>
  <c r="BJ87" i="70"/>
  <c r="N87" i="70"/>
  <c r="BV86" i="70"/>
  <c r="AM86" i="70"/>
  <c r="CS85" i="70"/>
  <c r="BG85" i="70"/>
  <c r="X85" i="70"/>
  <c r="CD80" i="70"/>
  <c r="AV80" i="70"/>
  <c r="P80" i="70"/>
  <c r="CF79" i="70"/>
  <c r="BE79" i="70"/>
  <c r="AE79" i="70"/>
  <c r="F79" i="70"/>
  <c r="BV78" i="70"/>
  <c r="AY78" i="70"/>
  <c r="AA78" i="70"/>
  <c r="G78" i="70"/>
  <c r="CD77" i="70"/>
  <c r="BJ77" i="70"/>
  <c r="AS77" i="70"/>
  <c r="AB77" i="70"/>
  <c r="K77" i="70"/>
  <c r="CK76" i="70"/>
  <c r="BT76" i="70"/>
  <c r="BC76" i="70"/>
  <c r="AM76" i="70"/>
  <c r="W76" i="70"/>
  <c r="G76" i="70"/>
  <c r="CH75" i="70"/>
  <c r="BU97" i="70"/>
  <c r="BE95" i="70"/>
  <c r="BY93" i="70"/>
  <c r="I92" i="70"/>
  <c r="AN90" i="70"/>
  <c r="AO89" i="70"/>
  <c r="BX88" i="70"/>
  <c r="Q88" i="70"/>
  <c r="BG87" i="70"/>
  <c r="M87" i="70"/>
  <c r="BU86" i="70"/>
  <c r="AJ86" i="70"/>
  <c r="CN85" i="70"/>
  <c r="BE85" i="70"/>
  <c r="V85" i="70"/>
  <c r="CB80" i="70"/>
  <c r="AR80" i="70"/>
  <c r="L80" i="70"/>
  <c r="CC79" i="70"/>
  <c r="W71" i="39" s="1"/>
  <c r="BC79" i="70"/>
  <c r="AB79" i="70"/>
  <c r="E79" i="70"/>
  <c r="BU78" i="70"/>
  <c r="AV78" i="70"/>
  <c r="Z78" i="70"/>
  <c r="F78" i="70"/>
  <c r="CA77" i="70"/>
  <c r="AR77" i="70"/>
  <c r="AA77" i="70"/>
  <c r="J77" i="70"/>
  <c r="CJ76" i="70"/>
  <c r="BS76" i="70"/>
  <c r="BB76" i="70"/>
  <c r="AL76" i="70"/>
  <c r="V76" i="70"/>
  <c r="F76" i="70"/>
  <c r="CG75" i="70"/>
  <c r="Z67" i="39" s="1"/>
  <c r="BQ75" i="70"/>
  <c r="BA75" i="70"/>
  <c r="U75" i="70"/>
  <c r="E75" i="70"/>
  <c r="CF74" i="70"/>
  <c r="BP74" i="70"/>
  <c r="AZ74" i="70"/>
  <c r="AJ74" i="70"/>
  <c r="T74" i="70"/>
  <c r="CU73" i="70"/>
  <c r="CE73" i="70"/>
  <c r="BO73" i="70"/>
  <c r="AY73" i="70"/>
  <c r="AI73" i="70"/>
  <c r="S73" i="70"/>
  <c r="AU95" i="70"/>
  <c r="BV93" i="70"/>
  <c r="CG91" i="70"/>
  <c r="AI90" i="70"/>
  <c r="BP88" i="70"/>
  <c r="N88" i="70"/>
  <c r="BF87" i="70"/>
  <c r="K87" i="70"/>
  <c r="BS86" i="70"/>
  <c r="AH86" i="70"/>
  <c r="CM85" i="70"/>
  <c r="S85" i="70"/>
  <c r="AQ80" i="70"/>
  <c r="K80" i="70"/>
  <c r="CA79" i="70"/>
  <c r="BB79" i="70"/>
  <c r="AA79" i="70"/>
  <c r="CU78" i="70"/>
  <c r="BT78" i="70"/>
  <c r="AT78" i="70"/>
  <c r="Y78" i="70"/>
  <c r="E78" i="70"/>
  <c r="BZ77" i="70"/>
  <c r="BH77" i="70"/>
  <c r="AQ77" i="70"/>
  <c r="Z77" i="70"/>
  <c r="I77" i="70"/>
  <c r="CI76" i="70"/>
  <c r="AB68" i="39" s="1"/>
  <c r="BR76" i="70"/>
  <c r="BA76" i="70"/>
  <c r="U76" i="70"/>
  <c r="E76" i="70"/>
  <c r="CF75" i="70"/>
  <c r="BP75" i="70"/>
  <c r="AZ75" i="70"/>
  <c r="AJ75" i="70"/>
  <c r="T75" i="70"/>
  <c r="CU74" i="70"/>
  <c r="CE74" i="70"/>
  <c r="BO74" i="70"/>
  <c r="AY74" i="70"/>
  <c r="AI74" i="70"/>
  <c r="S74" i="70"/>
  <c r="CT73" i="70"/>
  <c r="CD73" i="70"/>
  <c r="BN73" i="70"/>
  <c r="AX73" i="70"/>
  <c r="AH73" i="70"/>
  <c r="R73" i="70"/>
  <c r="CS72" i="70"/>
  <c r="CC72" i="70"/>
  <c r="W64" i="39" s="1"/>
  <c r="BM72" i="70"/>
  <c r="AW72" i="70"/>
  <c r="AG72" i="70"/>
  <c r="Q72" i="70"/>
  <c r="CR71" i="70"/>
  <c r="CB71" i="70"/>
  <c r="BL71" i="70"/>
  <c r="AV71" i="70"/>
  <c r="AF71" i="70"/>
  <c r="P71" i="70"/>
  <c r="CQ70" i="70"/>
  <c r="CA70" i="70"/>
  <c r="BK70" i="70"/>
  <c r="AU70" i="70"/>
  <c r="AE70" i="70"/>
  <c r="O70" i="70"/>
  <c r="CP69" i="70"/>
  <c r="BZ69" i="70"/>
  <c r="BJ69" i="70"/>
  <c r="AT69" i="70"/>
  <c r="AD69" i="70"/>
  <c r="N69" i="70"/>
  <c r="CO68" i="70"/>
  <c r="BY68" i="70"/>
  <c r="BI68" i="70"/>
  <c r="AS68" i="70"/>
  <c r="AC68" i="70"/>
  <c r="M68" i="70"/>
  <c r="CN67" i="70"/>
  <c r="AR95" i="70"/>
  <c r="AI89" i="70"/>
  <c r="BM88" i="70"/>
  <c r="M88" i="70"/>
  <c r="J87" i="70"/>
  <c r="BP86" i="70"/>
  <c r="AC86" i="70"/>
  <c r="CK85" i="70"/>
  <c r="BB85" i="70"/>
  <c r="Q85" i="70"/>
  <c r="BV80" i="70"/>
  <c r="J80" i="70"/>
  <c r="BX79" i="70"/>
  <c r="BA79" i="70"/>
  <c r="Z79" i="70"/>
  <c r="CR78" i="70"/>
  <c r="AR78" i="70"/>
  <c r="X78" i="70"/>
  <c r="CU77" i="70"/>
  <c r="BY77" i="70"/>
  <c r="BG77" i="70"/>
  <c r="Y77" i="70"/>
  <c r="H77" i="70"/>
  <c r="CH76" i="70"/>
  <c r="AA68" i="39" s="1"/>
  <c r="BQ76" i="70"/>
  <c r="AZ76" i="70"/>
  <c r="AJ76" i="70"/>
  <c r="T76" i="70"/>
  <c r="CU75" i="70"/>
  <c r="CE75" i="70"/>
  <c r="BO75" i="70"/>
  <c r="AY75" i="70"/>
  <c r="AI75" i="70"/>
  <c r="S75" i="70"/>
  <c r="CT74" i="70"/>
  <c r="CD74" i="70"/>
  <c r="BN74" i="70"/>
  <c r="AX74" i="70"/>
  <c r="AH74" i="70"/>
  <c r="R74" i="70"/>
  <c r="CS73" i="70"/>
  <c r="CC73" i="70"/>
  <c r="W65" i="39" s="1"/>
  <c r="BM73" i="70"/>
  <c r="AW73" i="70"/>
  <c r="AG73" i="70"/>
  <c r="Q73" i="70"/>
  <c r="CR72" i="70"/>
  <c r="CB72" i="70"/>
  <c r="BL72" i="70"/>
  <c r="AV72" i="70"/>
  <c r="P72" i="70"/>
  <c r="CQ71" i="70"/>
  <c r="CA71" i="70"/>
  <c r="BK71" i="70"/>
  <c r="AU71" i="70"/>
  <c r="AE71" i="70"/>
  <c r="O71" i="70"/>
  <c r="CP70" i="70"/>
  <c r="BZ70" i="70"/>
  <c r="BJ70" i="70"/>
  <c r="AT70" i="70"/>
  <c r="AD70" i="70"/>
  <c r="N70" i="70"/>
  <c r="CO69" i="70"/>
  <c r="BY69" i="70"/>
  <c r="BI69" i="70"/>
  <c r="AS69" i="70"/>
  <c r="AC69" i="70"/>
  <c r="AE97" i="70"/>
  <c r="Y95" i="70"/>
  <c r="AS93" i="70"/>
  <c r="BT91" i="70"/>
  <c r="R90" i="70"/>
  <c r="BL88" i="70"/>
  <c r="K88" i="70"/>
  <c r="BA87" i="70"/>
  <c r="H87" i="70"/>
  <c r="BN86" i="70"/>
  <c r="AB86" i="70"/>
  <c r="CJ85" i="70"/>
  <c r="L85" i="70"/>
  <c r="BT80" i="70"/>
  <c r="AN80" i="70"/>
  <c r="H80" i="70"/>
  <c r="AZ79" i="70"/>
  <c r="Y79" i="70"/>
  <c r="CP78" i="70"/>
  <c r="BQ78" i="70"/>
  <c r="AQ78" i="70"/>
  <c r="W78" i="70"/>
  <c r="CT77" i="70"/>
  <c r="BF77" i="70"/>
  <c r="AO77" i="70"/>
  <c r="X77" i="70"/>
  <c r="G77" i="70"/>
  <c r="CG76" i="70"/>
  <c r="Z68" i="39" s="1"/>
  <c r="BP76" i="70"/>
  <c r="AY76" i="70"/>
  <c r="AI76" i="70"/>
  <c r="S76" i="70"/>
  <c r="CT75" i="70"/>
  <c r="CD75" i="70"/>
  <c r="BN75" i="70"/>
  <c r="AX75" i="70"/>
  <c r="AH75" i="70"/>
  <c r="R75" i="70"/>
  <c r="CS74" i="70"/>
  <c r="CC74" i="70"/>
  <c r="W66" i="39" s="1"/>
  <c r="BM74" i="70"/>
  <c r="AW74" i="70"/>
  <c r="AG74" i="70"/>
  <c r="Q74" i="70"/>
  <c r="CR73" i="70"/>
  <c r="CB73" i="70"/>
  <c r="BL73" i="70"/>
  <c r="AV73" i="70"/>
  <c r="AF73" i="70"/>
  <c r="P73" i="70"/>
  <c r="CQ72" i="70"/>
  <c r="CA72" i="70"/>
  <c r="BK72" i="70"/>
  <c r="AU72" i="70"/>
  <c r="AE72" i="70"/>
  <c r="O72" i="70"/>
  <c r="CP71" i="70"/>
  <c r="BZ71" i="70"/>
  <c r="BJ71" i="70"/>
  <c r="AT71" i="70"/>
  <c r="AD71" i="70"/>
  <c r="N71" i="70"/>
  <c r="CO70" i="70"/>
  <c r="BY70" i="70"/>
  <c r="AS70" i="70"/>
  <c r="AC70" i="70"/>
  <c r="M70" i="70"/>
  <c r="CN69" i="70"/>
  <c r="BX69" i="70"/>
  <c r="BH69" i="70"/>
  <c r="AR69" i="70"/>
  <c r="AB69" i="70"/>
  <c r="CR99" i="70"/>
  <c r="K97" i="70"/>
  <c r="O95" i="70"/>
  <c r="BA91" i="70"/>
  <c r="J90" i="70"/>
  <c r="X89" i="70"/>
  <c r="BJ88" i="70"/>
  <c r="G88" i="70"/>
  <c r="E87" i="70"/>
  <c r="Z86" i="70"/>
  <c r="CH85" i="70"/>
  <c r="AW85" i="70"/>
  <c r="K85" i="70"/>
  <c r="BS80" i="70"/>
  <c r="AM80" i="70"/>
  <c r="G80" i="70"/>
  <c r="BV79" i="70"/>
  <c r="AW79" i="70"/>
  <c r="W79" i="70"/>
  <c r="CM78" i="70"/>
  <c r="AD70" i="39" s="1"/>
  <c r="BP78" i="70"/>
  <c r="V78" i="70"/>
  <c r="CQ77" i="70"/>
  <c r="BV77" i="70"/>
  <c r="BE77" i="70"/>
  <c r="AN77" i="70"/>
  <c r="W77" i="70"/>
  <c r="F77" i="70"/>
  <c r="CF76" i="70"/>
  <c r="BO76" i="70"/>
  <c r="AX76" i="70"/>
  <c r="AH76" i="70"/>
  <c r="R76" i="70"/>
  <c r="CS75" i="70"/>
  <c r="CC75" i="70"/>
  <c r="W67" i="39" s="1"/>
  <c r="AV99" i="70"/>
  <c r="CP96" i="70"/>
  <c r="L95" i="70"/>
  <c r="W93" i="70"/>
  <c r="AS91" i="70"/>
  <c r="H90" i="70"/>
  <c r="T89" i="70"/>
  <c r="BG88" i="70"/>
  <c r="CQ87" i="70"/>
  <c r="AQ87" i="70"/>
  <c r="CT86" i="70"/>
  <c r="BH86" i="70"/>
  <c r="Y86" i="70"/>
  <c r="CE85" i="70"/>
  <c r="AR85" i="70"/>
  <c r="I85" i="70"/>
  <c r="BQ80" i="70"/>
  <c r="F80" i="70"/>
  <c r="BU79" i="70"/>
  <c r="AU79" i="70"/>
  <c r="V79" i="70"/>
  <c r="CL78" i="70"/>
  <c r="BO78" i="70"/>
  <c r="AO78" i="70"/>
  <c r="U78" i="70"/>
  <c r="CO77" i="70"/>
  <c r="BU77" i="70"/>
  <c r="AM77" i="70"/>
  <c r="V77" i="70"/>
  <c r="E77" i="70"/>
  <c r="CE76" i="70"/>
  <c r="BN76" i="70"/>
  <c r="AW76" i="70"/>
  <c r="AG76" i="70"/>
  <c r="Q76" i="70"/>
  <c r="CR75" i="70"/>
  <c r="CB75" i="70"/>
  <c r="BL75" i="70"/>
  <c r="AV75" i="70"/>
  <c r="AF75" i="70"/>
  <c r="P75" i="70"/>
  <c r="CN96" i="70"/>
  <c r="CJ94" i="70"/>
  <c r="M93" i="70"/>
  <c r="CO89" i="70"/>
  <c r="R89" i="70"/>
  <c r="CN87" i="70"/>
  <c r="CO86" i="70"/>
  <c r="BF86" i="70"/>
  <c r="W86" i="70"/>
  <c r="CC85" i="70"/>
  <c r="AQ85" i="70"/>
  <c r="H85" i="70"/>
  <c r="BN80" i="70"/>
  <c r="AH80" i="70"/>
  <c r="E80" i="70"/>
  <c r="BS79" i="70"/>
  <c r="AR79" i="70"/>
  <c r="U79" i="70"/>
  <c r="CK78" i="70"/>
  <c r="BL78" i="70"/>
  <c r="AN78" i="70"/>
  <c r="T78" i="70"/>
  <c r="CM77" i="70"/>
  <c r="AD69" i="39" s="1"/>
  <c r="BT77" i="70"/>
  <c r="BC77" i="70"/>
  <c r="AL77" i="70"/>
  <c r="U77" i="70"/>
  <c r="CU76" i="70"/>
  <c r="CD76" i="70"/>
  <c r="BM76" i="70"/>
  <c r="AV76" i="70"/>
  <c r="AF76" i="70"/>
  <c r="P76" i="70"/>
  <c r="CQ75" i="70"/>
  <c r="CA75" i="70"/>
  <c r="BK75" i="70"/>
  <c r="AU75" i="70"/>
  <c r="AE75" i="70"/>
  <c r="O75" i="70"/>
  <c r="CP74" i="70"/>
  <c r="BZ74" i="70"/>
  <c r="BJ74" i="70"/>
  <c r="AT74" i="70"/>
  <c r="AD74" i="70"/>
  <c r="N74" i="70"/>
  <c r="CO73" i="70"/>
  <c r="BY73" i="70"/>
  <c r="BI73" i="70"/>
  <c r="AS73" i="70"/>
  <c r="AC73" i="70"/>
  <c r="M73" i="70"/>
  <c r="CN72" i="70"/>
  <c r="BX72" i="70"/>
  <c r="BH72" i="70"/>
  <c r="AR72" i="70"/>
  <c r="AB72" i="70"/>
  <c r="L72" i="70"/>
  <c r="CM71" i="70"/>
  <c r="AD63" i="39" s="1"/>
  <c r="BW71" i="70"/>
  <c r="BG71" i="70"/>
  <c r="AQ71" i="70"/>
  <c r="AA71" i="70"/>
  <c r="K71" i="70"/>
  <c r="CL70" i="70"/>
  <c r="BV70" i="70"/>
  <c r="BF70" i="70"/>
  <c r="Z70" i="70"/>
  <c r="J70" i="70"/>
  <c r="CK69" i="70"/>
  <c r="BU69" i="70"/>
  <c r="BE69" i="70"/>
  <c r="BT96" i="70"/>
  <c r="BZ94" i="70"/>
  <c r="J93" i="70"/>
  <c r="X91" i="70"/>
  <c r="CJ89" i="70"/>
  <c r="O89" i="70"/>
  <c r="AV88" i="70"/>
  <c r="CM87" i="70"/>
  <c r="AN87" i="70"/>
  <c r="CN86" i="70"/>
  <c r="BE86" i="70"/>
  <c r="T86" i="70"/>
  <c r="BX85" i="70"/>
  <c r="F85" i="70"/>
  <c r="BL80" i="70"/>
  <c r="CS79" i="70"/>
  <c r="BR79" i="70"/>
  <c r="AQ79" i="70"/>
  <c r="T79" i="70"/>
  <c r="CJ78" i="70"/>
  <c r="BJ78" i="70"/>
  <c r="AM78" i="70"/>
  <c r="S78" i="70"/>
  <c r="CL77" i="70"/>
  <c r="BS77" i="70"/>
  <c r="BB77" i="70"/>
  <c r="T77" i="70"/>
  <c r="CT76" i="70"/>
  <c r="CC76" i="70"/>
  <c r="W68" i="39" s="1"/>
  <c r="BK76" i="70"/>
  <c r="AU76" i="70"/>
  <c r="AE76" i="70"/>
  <c r="O76" i="70"/>
  <c r="CP75" i="70"/>
  <c r="BZ75" i="70"/>
  <c r="BJ75" i="70"/>
  <c r="AT75" i="70"/>
  <c r="AD75" i="70"/>
  <c r="N75" i="70"/>
  <c r="CO74" i="70"/>
  <c r="BY74" i="70"/>
  <c r="BI74" i="70"/>
  <c r="AS74" i="70"/>
  <c r="AC74" i="70"/>
  <c r="M74" i="70"/>
  <c r="CN73" i="70"/>
  <c r="BX73" i="70"/>
  <c r="BH73" i="70"/>
  <c r="AR73" i="70"/>
  <c r="AB73" i="70"/>
  <c r="L73" i="70"/>
  <c r="CM72" i="70"/>
  <c r="AD64" i="39" s="1"/>
  <c r="BW72" i="70"/>
  <c r="BG72" i="70"/>
  <c r="AQ72" i="70"/>
  <c r="AA72" i="70"/>
  <c r="K72" i="70"/>
  <c r="CL71" i="70"/>
  <c r="BV71" i="70"/>
  <c r="BF71" i="70"/>
  <c r="AP71" i="70"/>
  <c r="Z71" i="70"/>
  <c r="CG98" i="70"/>
  <c r="BH96" i="70"/>
  <c r="CH92" i="70"/>
  <c r="S91" i="70"/>
  <c r="CH89" i="70"/>
  <c r="G89" i="70"/>
  <c r="AU88" i="70"/>
  <c r="CK87" i="70"/>
  <c r="CL86" i="70"/>
  <c r="R86" i="70"/>
  <c r="AN85" i="70"/>
  <c r="CT80" i="70"/>
  <c r="AB80" i="70"/>
  <c r="CQ79" i="70"/>
  <c r="BQ79" i="70"/>
  <c r="Q79" i="70"/>
  <c r="CH78" i="70"/>
  <c r="AA70" i="39" s="1"/>
  <c r="BG78" i="70"/>
  <c r="AL78" i="70"/>
  <c r="P78" i="70"/>
  <c r="CK77" i="70"/>
  <c r="BR77" i="70"/>
  <c r="BA77" i="70"/>
  <c r="AJ77" i="70"/>
  <c r="S77" i="70"/>
  <c r="CS76" i="70"/>
  <c r="CA76" i="70"/>
  <c r="BJ76" i="70"/>
  <c r="AT76" i="70"/>
  <c r="AD76" i="70"/>
  <c r="N76" i="70"/>
  <c r="CO75" i="70"/>
  <c r="BY75" i="70"/>
  <c r="BI75" i="70"/>
  <c r="AS75" i="70"/>
  <c r="AC75" i="70"/>
  <c r="M75" i="70"/>
  <c r="CN74" i="70"/>
  <c r="BX74" i="70"/>
  <c r="BH74" i="70"/>
  <c r="AR74" i="70"/>
  <c r="AB74" i="70"/>
  <c r="L74" i="70"/>
  <c r="CM73" i="70"/>
  <c r="AD65" i="39" s="1"/>
  <c r="BW73" i="70"/>
  <c r="BG73" i="70"/>
  <c r="AQ73" i="70"/>
  <c r="AA73" i="70"/>
  <c r="BS89" i="70"/>
  <c r="BT85" i="70"/>
  <c r="L79" i="70"/>
  <c r="AH77" i="70"/>
  <c r="CM75" i="70"/>
  <c r="AD67" i="39" s="1"/>
  <c r="Q75" i="70"/>
  <c r="BL74" i="70"/>
  <c r="W74" i="70"/>
  <c r="BV73" i="70"/>
  <c r="AE73" i="70"/>
  <c r="CL72" i="70"/>
  <c r="BF72" i="70"/>
  <c r="Z72" i="70"/>
  <c r="CK71" i="70"/>
  <c r="BE71" i="70"/>
  <c r="Y71" i="70"/>
  <c r="CM70" i="70"/>
  <c r="AD62" i="39" s="1"/>
  <c r="BL70" i="70"/>
  <c r="AI70" i="70"/>
  <c r="G70" i="70"/>
  <c r="BT69" i="70"/>
  <c r="AQ69" i="70"/>
  <c r="U69" i="70"/>
  <c r="CQ68" i="70"/>
  <c r="BW68" i="70"/>
  <c r="BD68" i="70"/>
  <c r="P68" i="70"/>
  <c r="CM67" i="70"/>
  <c r="AD59" i="39" s="1"/>
  <c r="BV67" i="70"/>
  <c r="BE67" i="70"/>
  <c r="AN67" i="70"/>
  <c r="W67" i="70"/>
  <c r="F67" i="70"/>
  <c r="CF66" i="70"/>
  <c r="BO66" i="70"/>
  <c r="AX66" i="70"/>
  <c r="AF66" i="70"/>
  <c r="O66" i="70"/>
  <c r="CO61" i="70"/>
  <c r="BY61" i="70"/>
  <c r="AS61" i="70"/>
  <c r="AC61" i="70"/>
  <c r="M61" i="70"/>
  <c r="CN60" i="70"/>
  <c r="BX60" i="70"/>
  <c r="BH60" i="70"/>
  <c r="AR60" i="70"/>
  <c r="AB60" i="70"/>
  <c r="L60" i="70"/>
  <c r="CM59" i="70"/>
  <c r="AD53" i="39" s="1"/>
  <c r="BG59" i="70"/>
  <c r="AQ59" i="70"/>
  <c r="AA59" i="70"/>
  <c r="K59" i="70"/>
  <c r="CL58" i="70"/>
  <c r="BV58" i="70"/>
  <c r="BF58" i="70"/>
  <c r="Z58" i="70"/>
  <c r="J58" i="70"/>
  <c r="CK57" i="70"/>
  <c r="BU57" i="70"/>
  <c r="BE57" i="70"/>
  <c r="AO57" i="70"/>
  <c r="Y57" i="70"/>
  <c r="I57" i="70"/>
  <c r="CJ56" i="70"/>
  <c r="BT56" i="70"/>
  <c r="AN56" i="70"/>
  <c r="X56" i="70"/>
  <c r="H56" i="70"/>
  <c r="CI55" i="70"/>
  <c r="AB49" i="39" s="1"/>
  <c r="BS55" i="70"/>
  <c r="BC55" i="70"/>
  <c r="AM55" i="70"/>
  <c r="W55" i="70"/>
  <c r="G55" i="70"/>
  <c r="CH54" i="70"/>
  <c r="AA48" i="39" s="1"/>
  <c r="BB54" i="70"/>
  <c r="AL54" i="70"/>
  <c r="V54" i="70"/>
  <c r="F54" i="70"/>
  <c r="CG53" i="70"/>
  <c r="Z47" i="39" s="1"/>
  <c r="BQ53" i="70"/>
  <c r="BA53" i="70"/>
  <c r="U53" i="70"/>
  <c r="E53" i="70"/>
  <c r="CF52" i="70"/>
  <c r="BP52" i="70"/>
  <c r="AZ52" i="70"/>
  <c r="CT88" i="70"/>
  <c r="AL85" i="70"/>
  <c r="CG78" i="70"/>
  <c r="Z70" i="39" s="1"/>
  <c r="R77" i="70"/>
  <c r="BX75" i="70"/>
  <c r="L75" i="70"/>
  <c r="BK74" i="70"/>
  <c r="U74" i="70"/>
  <c r="BU73" i="70"/>
  <c r="AD73" i="70"/>
  <c r="CK72" i="70"/>
  <c r="BE72" i="70"/>
  <c r="Y72" i="70"/>
  <c r="CJ71" i="70"/>
  <c r="X71" i="70"/>
  <c r="CK70" i="70"/>
  <c r="BH70" i="70"/>
  <c r="AG70" i="70"/>
  <c r="F70" i="70"/>
  <c r="BS69" i="70"/>
  <c r="R69" i="70"/>
  <c r="CP68" i="70"/>
  <c r="BV68" i="70"/>
  <c r="BC68" i="70"/>
  <c r="AJ68" i="70"/>
  <c r="O68" i="70"/>
  <c r="CL67" i="70"/>
  <c r="BU67" i="70"/>
  <c r="AM67" i="70"/>
  <c r="V67" i="70"/>
  <c r="E67" i="70"/>
  <c r="CE66" i="70"/>
  <c r="BN66" i="70"/>
  <c r="AV66" i="70"/>
  <c r="AE66" i="70"/>
  <c r="N66" i="70"/>
  <c r="CN61" i="70"/>
  <c r="BX61" i="70"/>
  <c r="AR61" i="70"/>
  <c r="AB61" i="70"/>
  <c r="L61" i="70"/>
  <c r="CM60" i="70"/>
  <c r="AD54" i="39" s="1"/>
  <c r="BG60" i="70"/>
  <c r="AQ60" i="70"/>
  <c r="AA60" i="70"/>
  <c r="K60" i="70"/>
  <c r="CL59" i="70"/>
  <c r="BV59" i="70"/>
  <c r="BF59" i="70"/>
  <c r="Z59" i="70"/>
  <c r="J59" i="70"/>
  <c r="CK58" i="70"/>
  <c r="BU58" i="70"/>
  <c r="BE58" i="70"/>
  <c r="AO58" i="70"/>
  <c r="Y58" i="70"/>
  <c r="I58" i="70"/>
  <c r="CJ57" i="70"/>
  <c r="BT57" i="70"/>
  <c r="AN57" i="70"/>
  <c r="X57" i="70"/>
  <c r="H57" i="70"/>
  <c r="CI56" i="70"/>
  <c r="AB50" i="39" s="1"/>
  <c r="BS56" i="70"/>
  <c r="BC56" i="70"/>
  <c r="AM56" i="70"/>
  <c r="W56" i="70"/>
  <c r="G56" i="70"/>
  <c r="CH55" i="70"/>
  <c r="AA49" i="39" s="1"/>
  <c r="BR55" i="70"/>
  <c r="BB55" i="70"/>
  <c r="AL55" i="70"/>
  <c r="V55" i="70"/>
  <c r="F55" i="70"/>
  <c r="CG54" i="70"/>
  <c r="Z48" i="39" s="1"/>
  <c r="BQ54" i="70"/>
  <c r="BA54" i="70"/>
  <c r="CR88" i="70"/>
  <c r="AI85" i="70"/>
  <c r="CF78" i="70"/>
  <c r="P77" i="70"/>
  <c r="K75" i="70"/>
  <c r="BG74" i="70"/>
  <c r="P74" i="70"/>
  <c r="BR73" i="70"/>
  <c r="Z73" i="70"/>
  <c r="CJ72" i="70"/>
  <c r="X72" i="70"/>
  <c r="CI71" i="70"/>
  <c r="AB63" i="39" s="1"/>
  <c r="BC71" i="70"/>
  <c r="W71" i="70"/>
  <c r="CJ70" i="70"/>
  <c r="BG70" i="70"/>
  <c r="AF70" i="70"/>
  <c r="CT69" i="70"/>
  <c r="BR69" i="70"/>
  <c r="AO69" i="70"/>
  <c r="Q69" i="70"/>
  <c r="CN68" i="70"/>
  <c r="BU68" i="70"/>
  <c r="BB68" i="70"/>
  <c r="AG68" i="70"/>
  <c r="N68" i="70"/>
  <c r="CK67" i="70"/>
  <c r="BT67" i="70"/>
  <c r="BC67" i="70"/>
  <c r="AL67" i="70"/>
  <c r="U67" i="70"/>
  <c r="CU66" i="70"/>
  <c r="CD66" i="70"/>
  <c r="BL66" i="70"/>
  <c r="AU66" i="70"/>
  <c r="AD66" i="70"/>
  <c r="M66" i="70"/>
  <c r="CM61" i="70"/>
  <c r="BG61" i="70"/>
  <c r="AQ61" i="70"/>
  <c r="AA61" i="70"/>
  <c r="K61" i="70"/>
  <c r="CL60" i="70"/>
  <c r="BV60" i="70"/>
  <c r="AS88" i="70"/>
  <c r="CR80" i="70"/>
  <c r="BF78" i="70"/>
  <c r="CQ76" i="70"/>
  <c r="F75" i="70"/>
  <c r="BF74" i="70"/>
  <c r="O74" i="70"/>
  <c r="BP73" i="70"/>
  <c r="Y73" i="70"/>
  <c r="CG72" i="70"/>
  <c r="Z64" i="39" s="1"/>
  <c r="BA72" i="70"/>
  <c r="U72" i="70"/>
  <c r="CF71" i="70"/>
  <c r="AZ71" i="70"/>
  <c r="T71" i="70"/>
  <c r="CI70" i="70"/>
  <c r="AB62" i="39" s="1"/>
  <c r="BE70" i="70"/>
  <c r="AB70" i="70"/>
  <c r="CR69" i="70"/>
  <c r="BQ69" i="70"/>
  <c r="AN69" i="70"/>
  <c r="P69" i="70"/>
  <c r="CM68" i="70"/>
  <c r="AD60" i="39" s="1"/>
  <c r="BT68" i="70"/>
  <c r="BA68" i="70"/>
  <c r="L68" i="70"/>
  <c r="CJ67" i="70"/>
  <c r="BS67" i="70"/>
  <c r="BB67" i="70"/>
  <c r="AK67" i="70"/>
  <c r="T67" i="70"/>
  <c r="CT66" i="70"/>
  <c r="CB66" i="70"/>
  <c r="BK66" i="70"/>
  <c r="AT66" i="70"/>
  <c r="AC66" i="70"/>
  <c r="L66" i="70"/>
  <c r="CL61" i="70"/>
  <c r="BV61" i="70"/>
  <c r="BF61" i="70"/>
  <c r="Z61" i="70"/>
  <c r="J61" i="70"/>
  <c r="CK60" i="70"/>
  <c r="BU60" i="70"/>
  <c r="BE60" i="70"/>
  <c r="AO60" i="70"/>
  <c r="Y60" i="70"/>
  <c r="I60" i="70"/>
  <c r="CJ59" i="70"/>
  <c r="BT59" i="70"/>
  <c r="AN59" i="70"/>
  <c r="X59" i="70"/>
  <c r="H59" i="70"/>
  <c r="CI58" i="70"/>
  <c r="AB52" i="39" s="1"/>
  <c r="BS58" i="70"/>
  <c r="BC58" i="70"/>
  <c r="AM58" i="70"/>
  <c r="W58" i="70"/>
  <c r="G58" i="70"/>
  <c r="CH57" i="70"/>
  <c r="AA51" i="39" s="1"/>
  <c r="BB57" i="70"/>
  <c r="AL57" i="70"/>
  <c r="V57" i="70"/>
  <c r="F57" i="70"/>
  <c r="CG56" i="70"/>
  <c r="Z50" i="39" s="1"/>
  <c r="BQ56" i="70"/>
  <c r="BA56" i="70"/>
  <c r="U56" i="70"/>
  <c r="E56" i="70"/>
  <c r="CF55" i="70"/>
  <c r="BP55" i="70"/>
  <c r="AZ55" i="70"/>
  <c r="AJ55" i="70"/>
  <c r="T55" i="70"/>
  <c r="CU54" i="70"/>
  <c r="CE54" i="70"/>
  <c r="BO54" i="70"/>
  <c r="CM80" i="70"/>
  <c r="BE78" i="70"/>
  <c r="CP76" i="70"/>
  <c r="BM75" i="70"/>
  <c r="CR74" i="70"/>
  <c r="BC74" i="70"/>
  <c r="K74" i="70"/>
  <c r="BK73" i="70"/>
  <c r="V73" i="70"/>
  <c r="CE72" i="70"/>
  <c r="S72" i="70"/>
  <c r="CD71" i="70"/>
  <c r="AX71" i="70"/>
  <c r="R71" i="70"/>
  <c r="CH70" i="70"/>
  <c r="AA62" i="39" s="1"/>
  <c r="AA70" i="70"/>
  <c r="CQ69" i="70"/>
  <c r="BN69" i="70"/>
  <c r="AM69" i="70"/>
  <c r="O69" i="70"/>
  <c r="CL68" i="70"/>
  <c r="BS68" i="70"/>
  <c r="AZ68" i="70"/>
  <c r="AE68" i="70"/>
  <c r="K68" i="70"/>
  <c r="CI67" i="70"/>
  <c r="AB59" i="39" s="1"/>
  <c r="BA67" i="70"/>
  <c r="AJ67" i="70"/>
  <c r="S67" i="70"/>
  <c r="CR66" i="70"/>
  <c r="CA66" i="70"/>
  <c r="BJ66" i="70"/>
  <c r="AS66" i="70"/>
  <c r="AB66" i="70"/>
  <c r="K66" i="70"/>
  <c r="CK61" i="70"/>
  <c r="BU61" i="70"/>
  <c r="BE61" i="70"/>
  <c r="Y61" i="70"/>
  <c r="CG87" i="70"/>
  <c r="BG80" i="70"/>
  <c r="BZ76" i="70"/>
  <c r="BH75" i="70"/>
  <c r="CQ74" i="70"/>
  <c r="BA74" i="70"/>
  <c r="J74" i="70"/>
  <c r="BJ73" i="70"/>
  <c r="T73" i="70"/>
  <c r="CD72" i="70"/>
  <c r="AX72" i="70"/>
  <c r="R72" i="70"/>
  <c r="CC71" i="70"/>
  <c r="W63" i="39" s="1"/>
  <c r="AW71" i="70"/>
  <c r="Q71" i="70"/>
  <c r="CE70" i="70"/>
  <c r="BC70" i="70"/>
  <c r="Y70" i="70"/>
  <c r="CM69" i="70"/>
  <c r="AD61" i="39" s="1"/>
  <c r="BL69" i="70"/>
  <c r="AL69" i="70"/>
  <c r="M69" i="70"/>
  <c r="CK68" i="70"/>
  <c r="BR68" i="70"/>
  <c r="AW68" i="70"/>
  <c r="AD68" i="70"/>
  <c r="J68" i="70"/>
  <c r="CH67" i="70"/>
  <c r="AA59" i="39" s="1"/>
  <c r="BQ67" i="70"/>
  <c r="AZ67" i="70"/>
  <c r="AI67" i="70"/>
  <c r="Q67" i="70"/>
  <c r="CQ66" i="70"/>
  <c r="BZ66" i="70"/>
  <c r="AR66" i="70"/>
  <c r="AA66" i="70"/>
  <c r="J66" i="70"/>
  <c r="CJ61" i="70"/>
  <c r="BT61" i="70"/>
  <c r="AN61" i="70"/>
  <c r="X61" i="70"/>
  <c r="H61" i="70"/>
  <c r="CI60" i="70"/>
  <c r="AB54" i="39" s="1"/>
  <c r="BS60" i="70"/>
  <c r="BC60" i="70"/>
  <c r="AM60" i="70"/>
  <c r="W60" i="70"/>
  <c r="G60" i="70"/>
  <c r="CH59" i="70"/>
  <c r="AA53" i="39" s="1"/>
  <c r="BB59" i="70"/>
  <c r="AL59" i="70"/>
  <c r="V59" i="70"/>
  <c r="F59" i="70"/>
  <c r="CG58" i="70"/>
  <c r="Z52" i="39" s="1"/>
  <c r="BQ58" i="70"/>
  <c r="BA58" i="70"/>
  <c r="U58" i="70"/>
  <c r="E58" i="70"/>
  <c r="CF57" i="70"/>
  <c r="BP57" i="70"/>
  <c r="AZ57" i="70"/>
  <c r="AJ57" i="70"/>
  <c r="T57" i="70"/>
  <c r="CU56" i="70"/>
  <c r="CE56" i="70"/>
  <c r="BO56" i="70"/>
  <c r="AY56" i="70"/>
  <c r="AI56" i="70"/>
  <c r="S56" i="70"/>
  <c r="CT55" i="70"/>
  <c r="CD55" i="70"/>
  <c r="BN55" i="70"/>
  <c r="AX55" i="70"/>
  <c r="AH55" i="70"/>
  <c r="R55" i="70"/>
  <c r="CS54" i="70"/>
  <c r="CC54" i="70"/>
  <c r="W48" i="39" s="1"/>
  <c r="BM54" i="70"/>
  <c r="BL98" i="70"/>
  <c r="BZ87" i="70"/>
  <c r="BF80" i="70"/>
  <c r="AJ78" i="70"/>
  <c r="BY76" i="70"/>
  <c r="BG75" i="70"/>
  <c r="CM74" i="70"/>
  <c r="AD66" i="39" s="1"/>
  <c r="AV74" i="70"/>
  <c r="G74" i="70"/>
  <c r="BF73" i="70"/>
  <c r="O73" i="70"/>
  <c r="BZ72" i="70"/>
  <c r="AT72" i="70"/>
  <c r="N72" i="70"/>
  <c r="BY71" i="70"/>
  <c r="AS71" i="70"/>
  <c r="M71" i="70"/>
  <c r="CC70" i="70"/>
  <c r="W62" i="39" s="1"/>
  <c r="BB70" i="70"/>
  <c r="X70" i="70"/>
  <c r="CL69" i="70"/>
  <c r="BK69" i="70"/>
  <c r="L69" i="70"/>
  <c r="CJ68" i="70"/>
  <c r="BQ68" i="70"/>
  <c r="AV68" i="70"/>
  <c r="AB68" i="70"/>
  <c r="I68" i="70"/>
  <c r="CG67" i="70"/>
  <c r="Z59" i="39" s="1"/>
  <c r="BP67" i="70"/>
  <c r="AG67" i="70"/>
  <c r="P67" i="70"/>
  <c r="CP66" i="70"/>
  <c r="BY66" i="70"/>
  <c r="BH66" i="70"/>
  <c r="AQ66" i="70"/>
  <c r="Z66" i="70"/>
  <c r="I66" i="70"/>
  <c r="CI61" i="70"/>
  <c r="BS61" i="70"/>
  <c r="AM61" i="70"/>
  <c r="W61" i="70"/>
  <c r="G61" i="70"/>
  <c r="CH60" i="70"/>
  <c r="AA54" i="39" s="1"/>
  <c r="BB60" i="70"/>
  <c r="AL60" i="70"/>
  <c r="V60" i="70"/>
  <c r="F60" i="70"/>
  <c r="CG59" i="70"/>
  <c r="Z53" i="39" s="1"/>
  <c r="BQ59" i="70"/>
  <c r="BA59" i="70"/>
  <c r="AK59" i="70"/>
  <c r="U59" i="70"/>
  <c r="E59" i="70"/>
  <c r="CF58" i="70"/>
  <c r="BP58" i="70"/>
  <c r="AZ58" i="70"/>
  <c r="AJ58" i="70"/>
  <c r="T58" i="70"/>
  <c r="CU57" i="70"/>
  <c r="CE57" i="70"/>
  <c r="BO57" i="70"/>
  <c r="AI57" i="70"/>
  <c r="S57" i="70"/>
  <c r="CT56" i="70"/>
  <c r="CD56" i="70"/>
  <c r="BN56" i="70"/>
  <c r="AX56" i="70"/>
  <c r="AH56" i="70"/>
  <c r="R56" i="70"/>
  <c r="CS55" i="70"/>
  <c r="CC55" i="70"/>
  <c r="W49" i="39" s="1"/>
  <c r="BM55" i="70"/>
  <c r="AW55" i="70"/>
  <c r="AG55" i="70"/>
  <c r="Q55" i="70"/>
  <c r="CR54" i="70"/>
  <c r="CB54" i="70"/>
  <c r="BL54" i="70"/>
  <c r="AV54" i="70"/>
  <c r="BE96" i="70"/>
  <c r="AD87" i="70"/>
  <c r="N78" i="70"/>
  <c r="BI76" i="70"/>
  <c r="BB75" i="70"/>
  <c r="CL74" i="70"/>
  <c r="AU74" i="70"/>
  <c r="E74" i="70"/>
  <c r="BE73" i="70"/>
  <c r="N73" i="70"/>
  <c r="BY72" i="70"/>
  <c r="AS72" i="70"/>
  <c r="M72" i="70"/>
  <c r="BX71" i="70"/>
  <c r="AR71" i="70"/>
  <c r="L71" i="70"/>
  <c r="CB70" i="70"/>
  <c r="AY70" i="70"/>
  <c r="W70" i="70"/>
  <c r="CJ69" i="70"/>
  <c r="BG69" i="70"/>
  <c r="AH69" i="70"/>
  <c r="K69" i="70"/>
  <c r="CI68" i="70"/>
  <c r="AB60" i="39" s="1"/>
  <c r="BP68" i="70"/>
  <c r="AU68" i="70"/>
  <c r="AA68" i="70"/>
  <c r="H68" i="70"/>
  <c r="CF67" i="70"/>
  <c r="BO67" i="70"/>
  <c r="AW67" i="70"/>
  <c r="AF67" i="70"/>
  <c r="O67" i="70"/>
  <c r="CO66" i="70"/>
  <c r="BX66" i="70"/>
  <c r="BG66" i="70"/>
  <c r="AP66" i="70"/>
  <c r="Y66" i="70"/>
  <c r="H66" i="70"/>
  <c r="CH61" i="70"/>
  <c r="BB61" i="70"/>
  <c r="AL61" i="70"/>
  <c r="V61" i="70"/>
  <c r="F61" i="70"/>
  <c r="CG60" i="70"/>
  <c r="Z54" i="39" s="1"/>
  <c r="BQ60" i="70"/>
  <c r="BA60" i="70"/>
  <c r="U60" i="70"/>
  <c r="E60" i="70"/>
  <c r="CF59" i="70"/>
  <c r="BP59" i="70"/>
  <c r="AZ59" i="70"/>
  <c r="AJ59" i="70"/>
  <c r="T59" i="70"/>
  <c r="CU58" i="70"/>
  <c r="CE58" i="70"/>
  <c r="BO58" i="70"/>
  <c r="AI58" i="70"/>
  <c r="S58" i="70"/>
  <c r="CT57" i="70"/>
  <c r="CD57" i="70"/>
  <c r="BN57" i="70"/>
  <c r="AX57" i="70"/>
  <c r="AH57" i="70"/>
  <c r="R57" i="70"/>
  <c r="CS56" i="70"/>
  <c r="CC56" i="70"/>
  <c r="W50" i="39" s="1"/>
  <c r="AD96" i="70"/>
  <c r="AC87" i="70"/>
  <c r="Z80" i="70"/>
  <c r="L78" i="70"/>
  <c r="BH76" i="70"/>
  <c r="AW75" i="70"/>
  <c r="CI74" i="70"/>
  <c r="AB66" i="39" s="1"/>
  <c r="AQ74" i="70"/>
  <c r="CQ73" i="70"/>
  <c r="BB73" i="70"/>
  <c r="K73" i="70"/>
  <c r="BV72" i="70"/>
  <c r="AP72" i="70"/>
  <c r="J72" i="70"/>
  <c r="BU71" i="70"/>
  <c r="AO71" i="70"/>
  <c r="J71" i="70"/>
  <c r="BX70" i="70"/>
  <c r="AW70" i="70"/>
  <c r="V70" i="70"/>
  <c r="CI69" i="70"/>
  <c r="AB61" i="39" s="1"/>
  <c r="BF69" i="70"/>
  <c r="AF69" i="70"/>
  <c r="J69" i="70"/>
  <c r="CH68" i="70"/>
  <c r="AA60" i="39" s="1"/>
  <c r="BM68" i="70"/>
  <c r="AT68" i="70"/>
  <c r="Z68" i="70"/>
  <c r="G68" i="70"/>
  <c r="CE67" i="70"/>
  <c r="BM67" i="70"/>
  <c r="AV67" i="70"/>
  <c r="AE67" i="70"/>
  <c r="N67" i="70"/>
  <c r="CN66" i="70"/>
  <c r="BF66" i="70"/>
  <c r="AO66" i="70"/>
  <c r="X66" i="70"/>
  <c r="G66" i="70"/>
  <c r="CG61" i="70"/>
  <c r="BQ61" i="70"/>
  <c r="BA61" i="70"/>
  <c r="U61" i="70"/>
  <c r="E61" i="70"/>
  <c r="CF60" i="70"/>
  <c r="BP60" i="70"/>
  <c r="AZ60" i="70"/>
  <c r="AJ60" i="70"/>
  <c r="T60" i="70"/>
  <c r="CU59" i="70"/>
  <c r="CE59" i="70"/>
  <c r="BO59" i="70"/>
  <c r="AI59" i="70"/>
  <c r="S59" i="70"/>
  <c r="CT58" i="70"/>
  <c r="CD58" i="70"/>
  <c r="BN58" i="70"/>
  <c r="AX58" i="70"/>
  <c r="AH58" i="70"/>
  <c r="R58" i="70"/>
  <c r="CS57" i="70"/>
  <c r="CC57" i="70"/>
  <c r="W51" i="39" s="1"/>
  <c r="BM57" i="70"/>
  <c r="AW57" i="70"/>
  <c r="AG57" i="70"/>
  <c r="Q57" i="70"/>
  <c r="CR56" i="70"/>
  <c r="CB56" i="70"/>
  <c r="BL56" i="70"/>
  <c r="CK86" i="70"/>
  <c r="CM79" i="70"/>
  <c r="AD71" i="39" s="1"/>
  <c r="CJ77" i="70"/>
  <c r="AS76" i="70"/>
  <c r="AR75" i="70"/>
  <c r="CG74" i="70"/>
  <c r="Z66" i="39" s="1"/>
  <c r="CP73" i="70"/>
  <c r="AZ73" i="70"/>
  <c r="J73" i="70"/>
  <c r="BU72" i="70"/>
  <c r="AO72" i="70"/>
  <c r="I72" i="70"/>
  <c r="BT71" i="70"/>
  <c r="AN71" i="70"/>
  <c r="I71" i="70"/>
  <c r="BW70" i="70"/>
  <c r="AV70" i="70"/>
  <c r="S70" i="70"/>
  <c r="CH69" i="70"/>
  <c r="AA61" i="39" s="1"/>
  <c r="BD69" i="70"/>
  <c r="AE69" i="70"/>
  <c r="I69" i="70"/>
  <c r="CG68" i="70"/>
  <c r="Z60" i="39" s="1"/>
  <c r="BL68" i="70"/>
  <c r="AR68" i="70"/>
  <c r="Y68" i="70"/>
  <c r="F68" i="70"/>
  <c r="CC67" i="70"/>
  <c r="W59" i="39" s="1"/>
  <c r="BL67" i="70"/>
  <c r="AU67" i="70"/>
  <c r="AD67" i="70"/>
  <c r="M67" i="70"/>
  <c r="CM66" i="70"/>
  <c r="AD58" i="39" s="1"/>
  <c r="BV66" i="70"/>
  <c r="BE66" i="70"/>
  <c r="AN66" i="70"/>
  <c r="W66" i="70"/>
  <c r="F66" i="70"/>
  <c r="CF61" i="70"/>
  <c r="BP61" i="70"/>
  <c r="AZ61" i="70"/>
  <c r="T61" i="70"/>
  <c r="AT94" i="70"/>
  <c r="CI86" i="70"/>
  <c r="CL79" i="70"/>
  <c r="CI77" i="70"/>
  <c r="AB69" i="39" s="1"/>
  <c r="AR76" i="70"/>
  <c r="AQ75" i="70"/>
  <c r="CB74" i="70"/>
  <c r="AM74" i="70"/>
  <c r="CL73" i="70"/>
  <c r="AU73" i="70"/>
  <c r="I73" i="70"/>
  <c r="BT72" i="70"/>
  <c r="AN72" i="70"/>
  <c r="H72" i="70"/>
  <c r="BS71" i="70"/>
  <c r="AM71" i="70"/>
  <c r="H71" i="70"/>
  <c r="BU70" i="70"/>
  <c r="AR70" i="70"/>
  <c r="Q70" i="70"/>
  <c r="CG69" i="70"/>
  <c r="Z61" i="39" s="1"/>
  <c r="BC69" i="70"/>
  <c r="AA69" i="70"/>
  <c r="H69" i="70"/>
  <c r="CF68" i="70"/>
  <c r="BK68" i="70"/>
  <c r="AQ68" i="70"/>
  <c r="X68" i="70"/>
  <c r="E68" i="70"/>
  <c r="CB67" i="70"/>
  <c r="BK67" i="70"/>
  <c r="AT67" i="70"/>
  <c r="AC67" i="70"/>
  <c r="L67" i="70"/>
  <c r="CL66" i="70"/>
  <c r="BU66" i="70"/>
  <c r="AM66" i="70"/>
  <c r="V66" i="70"/>
  <c r="E66" i="70"/>
  <c r="CE61" i="70"/>
  <c r="BO61" i="70"/>
  <c r="AI61" i="70"/>
  <c r="S61" i="70"/>
  <c r="CT60" i="70"/>
  <c r="CD60" i="70"/>
  <c r="BX92" i="70"/>
  <c r="AZ86" i="70"/>
  <c r="BP79" i="70"/>
  <c r="BQ77" i="70"/>
  <c r="AC76" i="70"/>
  <c r="AL75" i="70"/>
  <c r="CA74" i="70"/>
  <c r="CK73" i="70"/>
  <c r="AT73" i="70"/>
  <c r="F73" i="70"/>
  <c r="BQ72" i="70"/>
  <c r="AK72" i="70"/>
  <c r="E72" i="70"/>
  <c r="BP71" i="70"/>
  <c r="AJ71" i="70"/>
  <c r="G71" i="70"/>
  <c r="BT70" i="70"/>
  <c r="AQ70" i="70"/>
  <c r="P70" i="70"/>
  <c r="CD69" i="70"/>
  <c r="BB69" i="70"/>
  <c r="Z69" i="70"/>
  <c r="G69" i="70"/>
  <c r="CC68" i="70"/>
  <c r="W60" i="39" s="1"/>
  <c r="BJ68" i="70"/>
  <c r="W68" i="70"/>
  <c r="CU67" i="70"/>
  <c r="CA67" i="70"/>
  <c r="BJ67" i="70"/>
  <c r="AS67" i="70"/>
  <c r="AB67" i="70"/>
  <c r="K67" i="70"/>
  <c r="CK66" i="70"/>
  <c r="BT66" i="70"/>
  <c r="BC66" i="70"/>
  <c r="AL66" i="70"/>
  <c r="U66" i="70"/>
  <c r="CU61" i="70"/>
  <c r="CD61" i="70"/>
  <c r="BN61" i="70"/>
  <c r="AH61" i="70"/>
  <c r="R61" i="70"/>
  <c r="CS60" i="70"/>
  <c r="CC60" i="70"/>
  <c r="W54" i="39" s="1"/>
  <c r="BM60" i="70"/>
  <c r="AW60" i="70"/>
  <c r="AG60" i="70"/>
  <c r="Q60" i="70"/>
  <c r="CR59" i="70"/>
  <c r="CB59" i="70"/>
  <c r="BL59" i="70"/>
  <c r="AV59" i="70"/>
  <c r="AF59" i="70"/>
  <c r="P59" i="70"/>
  <c r="CQ58" i="70"/>
  <c r="CA58" i="70"/>
  <c r="BK58" i="70"/>
  <c r="AU58" i="70"/>
  <c r="AE58" i="70"/>
  <c r="O58" i="70"/>
  <c r="CP57" i="70"/>
  <c r="BZ57" i="70"/>
  <c r="BJ57" i="70"/>
  <c r="AT57" i="70"/>
  <c r="AD57" i="70"/>
  <c r="N57" i="70"/>
  <c r="BU92" i="70"/>
  <c r="AX86" i="70"/>
  <c r="BM79" i="70"/>
  <c r="BP77" i="70"/>
  <c r="AB76" i="70"/>
  <c r="AG75" i="70"/>
  <c r="BW74" i="70"/>
  <c r="AF74" i="70"/>
  <c r="CH73" i="70"/>
  <c r="AA65" i="39" s="1"/>
  <c r="CU72" i="70"/>
  <c r="BO72" i="70"/>
  <c r="AI72" i="70"/>
  <c r="CT71" i="70"/>
  <c r="BN71" i="70"/>
  <c r="AH71" i="70"/>
  <c r="CU70" i="70"/>
  <c r="BS70" i="70"/>
  <c r="AO70" i="70"/>
  <c r="L70" i="70"/>
  <c r="CB69" i="70"/>
  <c r="BA69" i="70"/>
  <c r="Y69" i="70"/>
  <c r="F69" i="70"/>
  <c r="CB68" i="70"/>
  <c r="BH68" i="70"/>
  <c r="AO68" i="70"/>
  <c r="V68" i="70"/>
  <c r="CR67" i="70"/>
  <c r="BZ67" i="70"/>
  <c r="AR67" i="70"/>
  <c r="AA67" i="70"/>
  <c r="J67" i="70"/>
  <c r="CJ66" i="70"/>
  <c r="BS66" i="70"/>
  <c r="BB66" i="70"/>
  <c r="AK66" i="70"/>
  <c r="T66" i="70"/>
  <c r="CT61" i="70"/>
  <c r="CC61" i="70"/>
  <c r="AW61" i="70"/>
  <c r="AG61" i="70"/>
  <c r="Q61" i="70"/>
  <c r="CR60" i="70"/>
  <c r="CB60" i="70"/>
  <c r="BL60" i="70"/>
  <c r="AV60" i="70"/>
  <c r="P60" i="70"/>
  <c r="CQ59" i="70"/>
  <c r="CA59" i="70"/>
  <c r="BK59" i="70"/>
  <c r="AU59" i="70"/>
  <c r="AE59" i="70"/>
  <c r="O59" i="70"/>
  <c r="CP58" i="70"/>
  <c r="BZ58" i="70"/>
  <c r="BJ58" i="70"/>
  <c r="M91" i="70"/>
  <c r="M86" i="70"/>
  <c r="AO79" i="70"/>
  <c r="AZ77" i="70"/>
  <c r="M76" i="70"/>
  <c r="AB75" i="70"/>
  <c r="BV74" i="70"/>
  <c r="AE74" i="70"/>
  <c r="CF73" i="70"/>
  <c r="AO73" i="70"/>
  <c r="CT72" i="70"/>
  <c r="BN72" i="70"/>
  <c r="AH72" i="70"/>
  <c r="CS71" i="70"/>
  <c r="BM71" i="70"/>
  <c r="AG71" i="70"/>
  <c r="CS70" i="70"/>
  <c r="AN70" i="70"/>
  <c r="K70" i="70"/>
  <c r="CA69" i="70"/>
  <c r="AX69" i="70"/>
  <c r="X69" i="70"/>
  <c r="E69" i="70"/>
  <c r="CA68" i="70"/>
  <c r="BG68" i="70"/>
  <c r="AN68" i="70"/>
  <c r="U68" i="70"/>
  <c r="CQ67" i="70"/>
  <c r="BY67" i="70"/>
  <c r="BH67" i="70"/>
  <c r="AQ67" i="70"/>
  <c r="Z67" i="70"/>
  <c r="I67" i="70"/>
  <c r="CI66" i="70"/>
  <c r="AB58" i="39" s="1"/>
  <c r="BA66" i="70"/>
  <c r="AJ66" i="70"/>
  <c r="S66" i="70"/>
  <c r="CS61" i="70"/>
  <c r="CB61" i="70"/>
  <c r="BL61" i="70"/>
  <c r="AV61" i="70"/>
  <c r="P61" i="70"/>
  <c r="CQ60" i="70"/>
  <c r="CA60" i="70"/>
  <c r="BK60" i="70"/>
  <c r="AU60" i="70"/>
  <c r="AE60" i="70"/>
  <c r="O60" i="70"/>
  <c r="CP59" i="70"/>
  <c r="BZ59" i="70"/>
  <c r="BJ59" i="70"/>
  <c r="AT59" i="70"/>
  <c r="AD59" i="70"/>
  <c r="BS74" i="70"/>
  <c r="W69" i="70"/>
  <c r="BG67" i="70"/>
  <c r="R66" i="70"/>
  <c r="CP60" i="70"/>
  <c r="AS60" i="70"/>
  <c r="CS59" i="70"/>
  <c r="BC59" i="70"/>
  <c r="M59" i="70"/>
  <c r="BT58" i="70"/>
  <c r="AL58" i="70"/>
  <c r="F58" i="70"/>
  <c r="BQ57" i="70"/>
  <c r="E57" i="70"/>
  <c r="BU56" i="70"/>
  <c r="AT56" i="70"/>
  <c r="Y56" i="70"/>
  <c r="CP55" i="70"/>
  <c r="BU55" i="70"/>
  <c r="AU55" i="70"/>
  <c r="Z55" i="70"/>
  <c r="CQ54" i="70"/>
  <c r="BV54" i="70"/>
  <c r="AX54" i="70"/>
  <c r="AE54" i="70"/>
  <c r="N54" i="70"/>
  <c r="CN53" i="70"/>
  <c r="BW53" i="70"/>
  <c r="BF53" i="70"/>
  <c r="AO53" i="70"/>
  <c r="X53" i="70"/>
  <c r="G53" i="70"/>
  <c r="CG52" i="70"/>
  <c r="Z46" i="39" s="1"/>
  <c r="BO52" i="70"/>
  <c r="AX52" i="70"/>
  <c r="AH52" i="70"/>
  <c r="R52" i="70"/>
  <c r="CS51" i="70"/>
  <c r="CC51" i="70"/>
  <c r="W45" i="39" s="1"/>
  <c r="BM51" i="70"/>
  <c r="AW51" i="70"/>
  <c r="AG51" i="70"/>
  <c r="Q51" i="70"/>
  <c r="CR50" i="70"/>
  <c r="CB50" i="70"/>
  <c r="BL50" i="70"/>
  <c r="AV50" i="70"/>
  <c r="AF50" i="70"/>
  <c r="P50" i="70"/>
  <c r="CQ49" i="70"/>
  <c r="CA49" i="70"/>
  <c r="BK49" i="70"/>
  <c r="AU49" i="70"/>
  <c r="AE49" i="70"/>
  <c r="O49" i="70"/>
  <c r="CP48" i="70"/>
  <c r="BZ48" i="70"/>
  <c r="BJ48" i="70"/>
  <c r="AT48" i="70"/>
  <c r="AD48" i="70"/>
  <c r="N48" i="70"/>
  <c r="CO47" i="70"/>
  <c r="BY47" i="70"/>
  <c r="AS47" i="70"/>
  <c r="AC47" i="70"/>
  <c r="M47" i="70"/>
  <c r="BQ74" i="70"/>
  <c r="BH71" i="70"/>
  <c r="V69" i="70"/>
  <c r="BF67" i="70"/>
  <c r="P66" i="70"/>
  <c r="CO60" i="70"/>
  <c r="CO59" i="70"/>
  <c r="AX59" i="70"/>
  <c r="L59" i="70"/>
  <c r="AG58" i="70"/>
  <c r="CR57" i="70"/>
  <c r="BL57" i="70"/>
  <c r="AF57" i="70"/>
  <c r="CQ56" i="70"/>
  <c r="AS56" i="70"/>
  <c r="V56" i="70"/>
  <c r="CO55" i="70"/>
  <c r="BT55" i="70"/>
  <c r="AT55" i="70"/>
  <c r="Y55" i="70"/>
  <c r="CP54" i="70"/>
  <c r="BU54" i="70"/>
  <c r="AW54" i="70"/>
  <c r="AD54" i="70"/>
  <c r="M54" i="70"/>
  <c r="CM53" i="70"/>
  <c r="AD47" i="39" s="1"/>
  <c r="BV53" i="70"/>
  <c r="BE53" i="70"/>
  <c r="AN53" i="70"/>
  <c r="W53" i="70"/>
  <c r="F53" i="70"/>
  <c r="CE52" i="70"/>
  <c r="BN52" i="70"/>
  <c r="AW52" i="70"/>
  <c r="AG52" i="70"/>
  <c r="Q52" i="70"/>
  <c r="CR51" i="70"/>
  <c r="CB51" i="70"/>
  <c r="BL51" i="70"/>
  <c r="AV51" i="70"/>
  <c r="AF51" i="70"/>
  <c r="P51" i="70"/>
  <c r="CQ50" i="70"/>
  <c r="CA50" i="70"/>
  <c r="BK50" i="70"/>
  <c r="AU50" i="70"/>
  <c r="AE50" i="70"/>
  <c r="O50" i="70"/>
  <c r="CP49" i="70"/>
  <c r="BZ49" i="70"/>
  <c r="BJ49" i="70"/>
  <c r="AT49" i="70"/>
  <c r="AD49" i="70"/>
  <c r="N49" i="70"/>
  <c r="CO48" i="70"/>
  <c r="BY48" i="70"/>
  <c r="BI48" i="70"/>
  <c r="AS48" i="70"/>
  <c r="AC48" i="70"/>
  <c r="M48" i="70"/>
  <c r="CN47" i="70"/>
  <c r="BX47" i="70"/>
  <c r="BH47" i="70"/>
  <c r="AR47" i="70"/>
  <c r="AB47" i="70"/>
  <c r="L47" i="70"/>
  <c r="AA74" i="70"/>
  <c r="AC71" i="70"/>
  <c r="CS68" i="70"/>
  <c r="CQ61" i="70"/>
  <c r="CJ60" i="70"/>
  <c r="AN60" i="70"/>
  <c r="CN59" i="70"/>
  <c r="AW59" i="70"/>
  <c r="I59" i="70"/>
  <c r="BM58" i="70"/>
  <c r="AF58" i="70"/>
  <c r="CQ57" i="70"/>
  <c r="BK57" i="70"/>
  <c r="AE57" i="70"/>
  <c r="CP56" i="70"/>
  <c r="BP56" i="70"/>
  <c r="AR56" i="70"/>
  <c r="T56" i="70"/>
  <c r="CN55" i="70"/>
  <c r="BQ55" i="70"/>
  <c r="AS55" i="70"/>
  <c r="X55" i="70"/>
  <c r="CO54" i="70"/>
  <c r="BT54" i="70"/>
  <c r="AU54" i="70"/>
  <c r="AC54" i="70"/>
  <c r="L54" i="70"/>
  <c r="CL53" i="70"/>
  <c r="BU53" i="70"/>
  <c r="BD53" i="70"/>
  <c r="AM53" i="70"/>
  <c r="V53" i="70"/>
  <c r="CU52" i="70"/>
  <c r="CD52" i="70"/>
  <c r="BM52" i="70"/>
  <c r="AV52" i="70"/>
  <c r="P52" i="70"/>
  <c r="CQ51" i="70"/>
  <c r="CA51" i="70"/>
  <c r="BK51" i="70"/>
  <c r="AU51" i="70"/>
  <c r="AE51" i="70"/>
  <c r="O51" i="70"/>
  <c r="CP50" i="70"/>
  <c r="BZ50" i="70"/>
  <c r="BJ50" i="70"/>
  <c r="AT50" i="70"/>
  <c r="AD50" i="70"/>
  <c r="N50" i="70"/>
  <c r="CO49" i="70"/>
  <c r="BY49" i="70"/>
  <c r="BI49" i="70"/>
  <c r="AS49" i="70"/>
  <c r="AC49" i="70"/>
  <c r="M49" i="70"/>
  <c r="CN48" i="70"/>
  <c r="BX48" i="70"/>
  <c r="BH48" i="70"/>
  <c r="AR48" i="70"/>
  <c r="AB48" i="70"/>
  <c r="L48" i="70"/>
  <c r="CM47" i="70"/>
  <c r="AD41" i="39" s="1"/>
  <c r="BW47" i="70"/>
  <c r="BG47" i="70"/>
  <c r="AQ47" i="70"/>
  <c r="AA47" i="70"/>
  <c r="K47" i="70"/>
  <c r="Z74" i="70"/>
  <c r="AB71" i="70"/>
  <c r="CR68" i="70"/>
  <c r="AO67" i="70"/>
  <c r="CP61" i="70"/>
  <c r="CE60" i="70"/>
  <c r="AI60" i="70"/>
  <c r="CK59" i="70"/>
  <c r="AS59" i="70"/>
  <c r="G59" i="70"/>
  <c r="BL58" i="70"/>
  <c r="AD58" i="70"/>
  <c r="CO57" i="70"/>
  <c r="AC57" i="70"/>
  <c r="CO56" i="70"/>
  <c r="BM56" i="70"/>
  <c r="AQ56" i="70"/>
  <c r="Q56" i="70"/>
  <c r="CM55" i="70"/>
  <c r="AD49" i="39" s="1"/>
  <c r="BO55" i="70"/>
  <c r="AR55" i="70"/>
  <c r="U55" i="70"/>
  <c r="CN54" i="70"/>
  <c r="BS54" i="70"/>
  <c r="AT54" i="70"/>
  <c r="AB54" i="70"/>
  <c r="K54" i="70"/>
  <c r="CK53" i="70"/>
  <c r="BT53" i="70"/>
  <c r="BC53" i="70"/>
  <c r="AL53" i="70"/>
  <c r="T53" i="70"/>
  <c r="CT52" i="70"/>
  <c r="CC52" i="70"/>
  <c r="W46" i="39" s="1"/>
  <c r="BL52" i="70"/>
  <c r="AU52" i="70"/>
  <c r="AE52" i="70"/>
  <c r="O52" i="70"/>
  <c r="CP51" i="70"/>
  <c r="BZ51" i="70"/>
  <c r="BJ51" i="70"/>
  <c r="AT51" i="70"/>
  <c r="AD51" i="70"/>
  <c r="N51" i="70"/>
  <c r="CO50" i="70"/>
  <c r="BY50" i="70"/>
  <c r="AS50" i="70"/>
  <c r="AC50" i="70"/>
  <c r="M50" i="70"/>
  <c r="CN49" i="70"/>
  <c r="BX49" i="70"/>
  <c r="BH49" i="70"/>
  <c r="AR49" i="70"/>
  <c r="AB49" i="70"/>
  <c r="L49" i="70"/>
  <c r="CM48" i="70"/>
  <c r="AD42" i="39" s="1"/>
  <c r="BW48" i="70"/>
  <c r="BG48" i="70"/>
  <c r="AQ48" i="70"/>
  <c r="AA48" i="70"/>
  <c r="K48" i="70"/>
  <c r="CL47" i="70"/>
  <c r="BV47" i="70"/>
  <c r="BF47" i="70"/>
  <c r="Z47" i="70"/>
  <c r="J47" i="70"/>
  <c r="CN90" i="70"/>
  <c r="CA73" i="70"/>
  <c r="CR70" i="70"/>
  <c r="BZ68" i="70"/>
  <c r="Y67" i="70"/>
  <c r="CA61" i="70"/>
  <c r="BZ60" i="70"/>
  <c r="AH60" i="70"/>
  <c r="CI59" i="70"/>
  <c r="AB53" i="39" s="1"/>
  <c r="AR59" i="70"/>
  <c r="CS58" i="70"/>
  <c r="AC58" i="70"/>
  <c r="CN57" i="70"/>
  <c r="BH57" i="70"/>
  <c r="AB57" i="70"/>
  <c r="CN56" i="70"/>
  <c r="BK56" i="70"/>
  <c r="P56" i="70"/>
  <c r="CL55" i="70"/>
  <c r="BL55" i="70"/>
  <c r="AQ55" i="70"/>
  <c r="S55" i="70"/>
  <c r="CM54" i="70"/>
  <c r="AD48" i="39" s="1"/>
  <c r="BP54" i="70"/>
  <c r="AS54" i="70"/>
  <c r="AA54" i="70"/>
  <c r="J54" i="70"/>
  <c r="CJ53" i="70"/>
  <c r="BS53" i="70"/>
  <c r="BB53" i="70"/>
  <c r="AJ53" i="70"/>
  <c r="S53" i="70"/>
  <c r="CS52" i="70"/>
  <c r="CB52" i="70"/>
  <c r="BK52" i="70"/>
  <c r="AT52" i="70"/>
  <c r="AD52" i="70"/>
  <c r="N52" i="70"/>
  <c r="CO51" i="70"/>
  <c r="BY51" i="70"/>
  <c r="AS51" i="70"/>
  <c r="AC51" i="70"/>
  <c r="M51" i="70"/>
  <c r="CN50" i="70"/>
  <c r="BX50" i="70"/>
  <c r="BH50" i="70"/>
  <c r="AR50" i="70"/>
  <c r="AB50" i="70"/>
  <c r="L50" i="70"/>
  <c r="CM49" i="70"/>
  <c r="AD43" i="39" s="1"/>
  <c r="BW49" i="70"/>
  <c r="BG49" i="70"/>
  <c r="AQ49" i="70"/>
  <c r="AA49" i="70"/>
  <c r="K49" i="70"/>
  <c r="CL48" i="70"/>
  <c r="BV48" i="70"/>
  <c r="BF48" i="70"/>
  <c r="Z48" i="70"/>
  <c r="J48" i="70"/>
  <c r="CK47" i="70"/>
  <c r="BU47" i="70"/>
  <c r="BE47" i="70"/>
  <c r="AO47" i="70"/>
  <c r="Y47" i="70"/>
  <c r="I47" i="70"/>
  <c r="BX89" i="70"/>
  <c r="BZ73" i="70"/>
  <c r="CN70" i="70"/>
  <c r="BX68" i="70"/>
  <c r="X67" i="70"/>
  <c r="BZ61" i="70"/>
  <c r="BY60" i="70"/>
  <c r="AD60" i="70"/>
  <c r="CD59" i="70"/>
  <c r="AO59" i="70"/>
  <c r="CR58" i="70"/>
  <c r="BH58" i="70"/>
  <c r="AB58" i="70"/>
  <c r="CM57" i="70"/>
  <c r="AD51" i="39" s="1"/>
  <c r="BG57" i="70"/>
  <c r="AA57" i="70"/>
  <c r="CM56" i="70"/>
  <c r="AD50" i="39" s="1"/>
  <c r="BJ56" i="70"/>
  <c r="AO56" i="70"/>
  <c r="O56" i="70"/>
  <c r="CK55" i="70"/>
  <c r="BK55" i="70"/>
  <c r="P55" i="70"/>
  <c r="CL54" i="70"/>
  <c r="BN54" i="70"/>
  <c r="AR54" i="70"/>
  <c r="Z54" i="70"/>
  <c r="I54" i="70"/>
  <c r="CI53" i="70"/>
  <c r="AB47" i="39" s="1"/>
  <c r="BR53" i="70"/>
  <c r="AZ53" i="70"/>
  <c r="AI53" i="70"/>
  <c r="R53" i="70"/>
  <c r="CR52" i="70"/>
  <c r="CA52" i="70"/>
  <c r="BJ52" i="70"/>
  <c r="AS52" i="70"/>
  <c r="AC52" i="70"/>
  <c r="M52" i="70"/>
  <c r="CN51" i="70"/>
  <c r="BX51" i="70"/>
  <c r="BH51" i="70"/>
  <c r="AR51" i="70"/>
  <c r="AB51" i="70"/>
  <c r="L51" i="70"/>
  <c r="CM50" i="70"/>
  <c r="AD44" i="39" s="1"/>
  <c r="BW50" i="70"/>
  <c r="BG50" i="70"/>
  <c r="AQ50" i="70"/>
  <c r="AA50" i="70"/>
  <c r="K50" i="70"/>
  <c r="CL49" i="70"/>
  <c r="BV49" i="70"/>
  <c r="BF49" i="70"/>
  <c r="Z49" i="70"/>
  <c r="J49" i="70"/>
  <c r="CK48" i="70"/>
  <c r="BU48" i="70"/>
  <c r="BE48" i="70"/>
  <c r="AO48" i="70"/>
  <c r="Y48" i="70"/>
  <c r="I48" i="70"/>
  <c r="CJ47" i="70"/>
  <c r="BT47" i="70"/>
  <c r="AN47" i="70"/>
  <c r="X47" i="70"/>
  <c r="H47" i="70"/>
  <c r="L86" i="70"/>
  <c r="AL73" i="70"/>
  <c r="BO70" i="70"/>
  <c r="BF68" i="70"/>
  <c r="H67" i="70"/>
  <c r="BK61" i="70"/>
  <c r="BT60" i="70"/>
  <c r="AC60" i="70"/>
  <c r="CC59" i="70"/>
  <c r="W53" i="39" s="1"/>
  <c r="AM59" i="70"/>
  <c r="CO58" i="70"/>
  <c r="BG58" i="70"/>
  <c r="AA58" i="70"/>
  <c r="CL57" i="70"/>
  <c r="BF57" i="70"/>
  <c r="Z57" i="70"/>
  <c r="CL56" i="70"/>
  <c r="BI56" i="70"/>
  <c r="AL56" i="70"/>
  <c r="N56" i="70"/>
  <c r="CJ55" i="70"/>
  <c r="BJ55" i="70"/>
  <c r="AO55" i="70"/>
  <c r="O55" i="70"/>
  <c r="CK54" i="70"/>
  <c r="BK54" i="70"/>
  <c r="AQ54" i="70"/>
  <c r="Y54" i="70"/>
  <c r="H54" i="70"/>
  <c r="CH53" i="70"/>
  <c r="AA47" i="39" s="1"/>
  <c r="BP53" i="70"/>
  <c r="AY53" i="70"/>
  <c r="AH53" i="70"/>
  <c r="Q53" i="70"/>
  <c r="CQ52" i="70"/>
  <c r="BZ52" i="70"/>
  <c r="AR52" i="70"/>
  <c r="AB52" i="70"/>
  <c r="L52" i="70"/>
  <c r="CM51" i="70"/>
  <c r="AD45" i="39" s="1"/>
  <c r="BG51" i="70"/>
  <c r="AQ51" i="70"/>
  <c r="AA51" i="70"/>
  <c r="K51" i="70"/>
  <c r="CL50" i="70"/>
  <c r="BV50" i="70"/>
  <c r="BF50" i="70"/>
  <c r="Z50" i="70"/>
  <c r="J50" i="70"/>
  <c r="CK49" i="70"/>
  <c r="BU49" i="70"/>
  <c r="BE49" i="70"/>
  <c r="AO49" i="70"/>
  <c r="Y49" i="70"/>
  <c r="I49" i="70"/>
  <c r="CJ48" i="70"/>
  <c r="BT48" i="70"/>
  <c r="AN48" i="70"/>
  <c r="X48" i="70"/>
  <c r="H48" i="70"/>
  <c r="CI47" i="70"/>
  <c r="AB41" i="39" s="1"/>
  <c r="BS47" i="70"/>
  <c r="BC47" i="70"/>
  <c r="AM47" i="70"/>
  <c r="W47" i="70"/>
  <c r="G47" i="70"/>
  <c r="BU85" i="70"/>
  <c r="AJ73" i="70"/>
  <c r="BM70" i="70"/>
  <c r="BE68" i="70"/>
  <c r="G67" i="70"/>
  <c r="BJ61" i="70"/>
  <c r="BO60" i="70"/>
  <c r="Z60" i="70"/>
  <c r="BY59" i="70"/>
  <c r="AH59" i="70"/>
  <c r="CN58" i="70"/>
  <c r="X58" i="70"/>
  <c r="CI57" i="70"/>
  <c r="AB51" i="39" s="1"/>
  <c r="BC57" i="70"/>
  <c r="W57" i="70"/>
  <c r="CK56" i="70"/>
  <c r="BH56" i="70"/>
  <c r="AJ56" i="70"/>
  <c r="M56" i="70"/>
  <c r="CG55" i="70"/>
  <c r="Z49" i="39" s="1"/>
  <c r="BI55" i="70"/>
  <c r="AN55" i="70"/>
  <c r="N55" i="70"/>
  <c r="CJ54" i="70"/>
  <c r="BJ54" i="70"/>
  <c r="X54" i="70"/>
  <c r="G54" i="70"/>
  <c r="CF53" i="70"/>
  <c r="BO53" i="70"/>
  <c r="AX53" i="70"/>
  <c r="AG53" i="70"/>
  <c r="P53" i="70"/>
  <c r="CP52" i="70"/>
  <c r="BY52" i="70"/>
  <c r="BH52" i="70"/>
  <c r="AQ52" i="70"/>
  <c r="AA52" i="70"/>
  <c r="K52" i="70"/>
  <c r="CL51" i="70"/>
  <c r="BV51" i="70"/>
  <c r="BF51" i="70"/>
  <c r="Z51" i="70"/>
  <c r="J51" i="70"/>
  <c r="CK50" i="70"/>
  <c r="BU50" i="70"/>
  <c r="BE50" i="70"/>
  <c r="AO50" i="70"/>
  <c r="Y50" i="70"/>
  <c r="I50" i="70"/>
  <c r="CJ49" i="70"/>
  <c r="BT49" i="70"/>
  <c r="AN49" i="70"/>
  <c r="X49" i="70"/>
  <c r="H49" i="70"/>
  <c r="CI48" i="70"/>
  <c r="AB42" i="39" s="1"/>
  <c r="BS48" i="70"/>
  <c r="BC48" i="70"/>
  <c r="AM48" i="70"/>
  <c r="W48" i="70"/>
  <c r="G48" i="70"/>
  <c r="CH47" i="70"/>
  <c r="AA41" i="39" s="1"/>
  <c r="BR47" i="70"/>
  <c r="BB47" i="70"/>
  <c r="AL47" i="70"/>
  <c r="V47" i="70"/>
  <c r="F47" i="70"/>
  <c r="AM79" i="70"/>
  <c r="CP72" i="70"/>
  <c r="AM70" i="70"/>
  <c r="AM68" i="70"/>
  <c r="CH66" i="70"/>
  <c r="AA58" i="39" s="1"/>
  <c r="AU61" i="70"/>
  <c r="BN60" i="70"/>
  <c r="X60" i="70"/>
  <c r="BX59" i="70"/>
  <c r="AG59" i="70"/>
  <c r="CM58" i="70"/>
  <c r="AD52" i="39" s="1"/>
  <c r="BB58" i="70"/>
  <c r="V58" i="70"/>
  <c r="CG57" i="70"/>
  <c r="Z51" i="39" s="1"/>
  <c r="BA57" i="70"/>
  <c r="U57" i="70"/>
  <c r="CH56" i="70"/>
  <c r="AA50" i="39" s="1"/>
  <c r="BG56" i="70"/>
  <c r="AG56" i="70"/>
  <c r="L56" i="70"/>
  <c r="CE55" i="70"/>
  <c r="BH55" i="70"/>
  <c r="AK55" i="70"/>
  <c r="M55" i="70"/>
  <c r="CI54" i="70"/>
  <c r="AB48" i="39" s="1"/>
  <c r="AO54" i="70"/>
  <c r="W54" i="70"/>
  <c r="E54" i="70"/>
  <c r="CE53" i="70"/>
  <c r="BN53" i="70"/>
  <c r="AW53" i="70"/>
  <c r="O53" i="70"/>
  <c r="CO52" i="70"/>
  <c r="BX52" i="70"/>
  <c r="BG52" i="70"/>
  <c r="Z52" i="70"/>
  <c r="J52" i="70"/>
  <c r="CK51" i="70"/>
  <c r="BU51" i="70"/>
  <c r="BE51" i="70"/>
  <c r="AO51" i="70"/>
  <c r="Y51" i="70"/>
  <c r="I51" i="70"/>
  <c r="CJ50" i="70"/>
  <c r="BT50" i="70"/>
  <c r="AN50" i="70"/>
  <c r="X50" i="70"/>
  <c r="H50" i="70"/>
  <c r="CI49" i="70"/>
  <c r="AB43" i="39" s="1"/>
  <c r="BS49" i="70"/>
  <c r="BC49" i="70"/>
  <c r="AM49" i="70"/>
  <c r="W49" i="70"/>
  <c r="G49" i="70"/>
  <c r="CH48" i="70"/>
  <c r="AA42" i="39" s="1"/>
  <c r="BR48" i="70"/>
  <c r="BB48" i="70"/>
  <c r="AL48" i="70"/>
  <c r="V48" i="70"/>
  <c r="F48" i="70"/>
  <c r="CG47" i="70"/>
  <c r="Z41" i="39" s="1"/>
  <c r="BQ47" i="70"/>
  <c r="BA47" i="70"/>
  <c r="U47" i="70"/>
  <c r="E47" i="70"/>
  <c r="O79" i="70"/>
  <c r="CO72" i="70"/>
  <c r="AL70" i="70"/>
  <c r="AL68" i="70"/>
  <c r="CG66" i="70"/>
  <c r="Z58" i="39" s="1"/>
  <c r="AT61" i="70"/>
  <c r="BJ60" i="70"/>
  <c r="S60" i="70"/>
  <c r="BU59" i="70"/>
  <c r="AC59" i="70"/>
  <c r="CJ58" i="70"/>
  <c r="AW58" i="70"/>
  <c r="Q58" i="70"/>
  <c r="CB57" i="70"/>
  <c r="AV57" i="70"/>
  <c r="P57" i="70"/>
  <c r="CF56" i="70"/>
  <c r="BF56" i="70"/>
  <c r="K56" i="70"/>
  <c r="CB55" i="70"/>
  <c r="BG55" i="70"/>
  <c r="AI55" i="70"/>
  <c r="L55" i="70"/>
  <c r="CF54" i="70"/>
  <c r="BH54" i="70"/>
  <c r="AN54" i="70"/>
  <c r="U54" i="70"/>
  <c r="CU53" i="70"/>
  <c r="CD53" i="70"/>
  <c r="BM53" i="70"/>
  <c r="AV53" i="70"/>
  <c r="AE53" i="70"/>
  <c r="N53" i="70"/>
  <c r="CN52" i="70"/>
  <c r="BF52" i="70"/>
  <c r="AO52" i="70"/>
  <c r="Y52" i="70"/>
  <c r="I52" i="70"/>
  <c r="CJ51" i="70"/>
  <c r="BT51" i="70"/>
  <c r="AN51" i="70"/>
  <c r="X51" i="70"/>
  <c r="H51" i="70"/>
  <c r="CI50" i="70"/>
  <c r="AB44" i="39" s="1"/>
  <c r="BS50" i="70"/>
  <c r="BC50" i="70"/>
  <c r="AM50" i="70"/>
  <c r="W50" i="70"/>
  <c r="G50" i="70"/>
  <c r="CH49" i="70"/>
  <c r="AA43" i="39" s="1"/>
  <c r="BR49" i="70"/>
  <c r="BB49" i="70"/>
  <c r="AL49" i="70"/>
  <c r="V49" i="70"/>
  <c r="F49" i="70"/>
  <c r="CG48" i="70"/>
  <c r="Z42" i="39" s="1"/>
  <c r="BQ48" i="70"/>
  <c r="BA48" i="70"/>
  <c r="U48" i="70"/>
  <c r="E48" i="70"/>
  <c r="CF47" i="70"/>
  <c r="BP47" i="70"/>
  <c r="AZ47" i="70"/>
  <c r="AJ47" i="70"/>
  <c r="T47" i="70"/>
  <c r="BJ72" i="70"/>
  <c r="I70" i="70"/>
  <c r="T68" i="70"/>
  <c r="BQ66" i="70"/>
  <c r="BI60" i="70"/>
  <c r="R60" i="70"/>
  <c r="BS59" i="70"/>
  <c r="AB59" i="70"/>
  <c r="CH58" i="70"/>
  <c r="AA52" i="39" s="1"/>
  <c r="AV58" i="70"/>
  <c r="P58" i="70"/>
  <c r="CA57" i="70"/>
  <c r="AU57" i="70"/>
  <c r="O57" i="70"/>
  <c r="CA56" i="70"/>
  <c r="BE56" i="70"/>
  <c r="AE56" i="70"/>
  <c r="J56" i="70"/>
  <c r="CA55" i="70"/>
  <c r="BF55" i="70"/>
  <c r="AF55" i="70"/>
  <c r="K55" i="70"/>
  <c r="CD54" i="70"/>
  <c r="BG54" i="70"/>
  <c r="AM54" i="70"/>
  <c r="T54" i="70"/>
  <c r="CT53" i="70"/>
  <c r="CC53" i="70"/>
  <c r="W47" i="39" s="1"/>
  <c r="BL53" i="70"/>
  <c r="AU53" i="70"/>
  <c r="AD53" i="70"/>
  <c r="M53" i="70"/>
  <c r="CM52" i="70"/>
  <c r="AD46" i="39" s="1"/>
  <c r="BV52" i="70"/>
  <c r="BE52" i="70"/>
  <c r="AN52" i="70"/>
  <c r="X52" i="70"/>
  <c r="H52" i="70"/>
  <c r="CI51" i="70"/>
  <c r="AB45" i="39" s="1"/>
  <c r="BS51" i="70"/>
  <c r="BC51" i="70"/>
  <c r="AM51" i="70"/>
  <c r="W51" i="70"/>
  <c r="G51" i="70"/>
  <c r="CH50" i="70"/>
  <c r="AA44" i="39" s="1"/>
  <c r="BB50" i="70"/>
  <c r="AL50" i="70"/>
  <c r="V50" i="70"/>
  <c r="F50" i="70"/>
  <c r="CG49" i="70"/>
  <c r="Z43" i="39" s="1"/>
  <c r="BQ49" i="70"/>
  <c r="BA49" i="70"/>
  <c r="U49" i="70"/>
  <c r="E49" i="70"/>
  <c r="CF48" i="70"/>
  <c r="BP48" i="70"/>
  <c r="AZ48" i="70"/>
  <c r="AJ48" i="70"/>
  <c r="T48" i="70"/>
  <c r="CU47" i="70"/>
  <c r="CE47" i="70"/>
  <c r="BO47" i="70"/>
  <c r="AY47" i="70"/>
  <c r="AI47" i="70"/>
  <c r="S47" i="70"/>
  <c r="AI77" i="70"/>
  <c r="H70" i="70"/>
  <c r="Q68" i="70"/>
  <c r="BP66" i="70"/>
  <c r="AD61" i="70"/>
  <c r="BF60" i="70"/>
  <c r="N60" i="70"/>
  <c r="BN59" i="70"/>
  <c r="Y59" i="70"/>
  <c r="CC58" i="70"/>
  <c r="W52" i="39" s="1"/>
  <c r="AT58" i="70"/>
  <c r="N58" i="70"/>
  <c r="BY57" i="70"/>
  <c r="AS57" i="70"/>
  <c r="M57" i="70"/>
  <c r="BZ56" i="70"/>
  <c r="BB56" i="70"/>
  <c r="AD56" i="70"/>
  <c r="I56" i="70"/>
  <c r="BZ55" i="70"/>
  <c r="BE55" i="70"/>
  <c r="AE55" i="70"/>
  <c r="J55" i="70"/>
  <c r="CA54" i="70"/>
  <c r="BF54" i="70"/>
  <c r="AJ54" i="70"/>
  <c r="S54" i="70"/>
  <c r="CS53" i="70"/>
  <c r="CB53" i="70"/>
  <c r="BK53" i="70"/>
  <c r="AT53" i="70"/>
  <c r="AC53" i="70"/>
  <c r="L53" i="70"/>
  <c r="CL52" i="70"/>
  <c r="BU52" i="70"/>
  <c r="BD52" i="70"/>
  <c r="AM52" i="70"/>
  <c r="W52" i="70"/>
  <c r="G52" i="70"/>
  <c r="CH51" i="70"/>
  <c r="AA45" i="39" s="1"/>
  <c r="BR51" i="70"/>
  <c r="BB51" i="70"/>
  <c r="AL51" i="70"/>
  <c r="V51" i="70"/>
  <c r="F51" i="70"/>
  <c r="CG50" i="70"/>
  <c r="Z44" i="39" s="1"/>
  <c r="BQ50" i="70"/>
  <c r="BA50" i="70"/>
  <c r="U50" i="70"/>
  <c r="E50" i="70"/>
  <c r="CF49" i="70"/>
  <c r="BP49" i="70"/>
  <c r="AZ49" i="70"/>
  <c r="AJ49" i="70"/>
  <c r="T49" i="70"/>
  <c r="CU48" i="70"/>
  <c r="CE48" i="70"/>
  <c r="BO48" i="70"/>
  <c r="AY48" i="70"/>
  <c r="AI48" i="70"/>
  <c r="S48" i="70"/>
  <c r="CT47" i="70"/>
  <c r="CD47" i="70"/>
  <c r="BN47" i="70"/>
  <c r="AX47" i="70"/>
  <c r="AH47" i="70"/>
  <c r="R47" i="70"/>
  <c r="L76" i="70"/>
  <c r="AD72" i="70"/>
  <c r="CP67" i="70"/>
  <c r="AZ66" i="70"/>
  <c r="O61" i="70"/>
  <c r="M60" i="70"/>
  <c r="BM59" i="70"/>
  <c r="W59" i="70"/>
  <c r="CB58" i="70"/>
  <c r="AS58" i="70"/>
  <c r="M58" i="70"/>
  <c r="BX57" i="70"/>
  <c r="AR57" i="70"/>
  <c r="L57" i="70"/>
  <c r="BY56" i="70"/>
  <c r="AZ56" i="70"/>
  <c r="AC56" i="70"/>
  <c r="F56" i="70"/>
  <c r="BY55" i="70"/>
  <c r="AD55" i="70"/>
  <c r="I55" i="70"/>
  <c r="BZ54" i="70"/>
  <c r="BE54" i="70"/>
  <c r="AI54" i="70"/>
  <c r="R54" i="70"/>
  <c r="CR53" i="70"/>
  <c r="CA53" i="70"/>
  <c r="BJ53" i="70"/>
  <c r="AS53" i="70"/>
  <c r="AB53" i="70"/>
  <c r="K53" i="70"/>
  <c r="CK52" i="70"/>
  <c r="BT52" i="70"/>
  <c r="BC52" i="70"/>
  <c r="AL52" i="70"/>
  <c r="V52" i="70"/>
  <c r="F52" i="70"/>
  <c r="CG51" i="70"/>
  <c r="Z45" i="39" s="1"/>
  <c r="BQ51" i="70"/>
  <c r="BA51" i="70"/>
  <c r="AK51" i="70"/>
  <c r="U51" i="70"/>
  <c r="E51" i="70"/>
  <c r="CF50" i="70"/>
  <c r="BP50" i="70"/>
  <c r="AZ50" i="70"/>
  <c r="AJ50" i="70"/>
  <c r="T50" i="70"/>
  <c r="CU49" i="70"/>
  <c r="CE49" i="70"/>
  <c r="BO49" i="70"/>
  <c r="AY49" i="70"/>
  <c r="AI49" i="70"/>
  <c r="S49" i="70"/>
  <c r="CT48" i="70"/>
  <c r="CD48" i="70"/>
  <c r="BN48" i="70"/>
  <c r="AX48" i="70"/>
  <c r="AH48" i="70"/>
  <c r="R48" i="70"/>
  <c r="CS47" i="70"/>
  <c r="CC47" i="70"/>
  <c r="W41" i="39" s="1"/>
  <c r="BM47" i="70"/>
  <c r="AW47" i="70"/>
  <c r="AG47" i="70"/>
  <c r="Q47" i="70"/>
  <c r="CN75" i="70"/>
  <c r="AC72" i="70"/>
  <c r="BV69" i="70"/>
  <c r="CO67" i="70"/>
  <c r="N61" i="70"/>
  <c r="J60" i="70"/>
  <c r="R59" i="70"/>
  <c r="BY58" i="70"/>
  <c r="AR58" i="70"/>
  <c r="L58" i="70"/>
  <c r="BW57" i="70"/>
  <c r="AQ57" i="70"/>
  <c r="K57" i="70"/>
  <c r="BX56" i="70"/>
  <c r="AW56" i="70"/>
  <c r="AB56" i="70"/>
  <c r="CU55" i="70"/>
  <c r="BX55" i="70"/>
  <c r="BA55" i="70"/>
  <c r="AC55" i="70"/>
  <c r="H55" i="70"/>
  <c r="BY54" i="70"/>
  <c r="AH54" i="70"/>
  <c r="Q54" i="70"/>
  <c r="CQ53" i="70"/>
  <c r="BZ53" i="70"/>
  <c r="BI53" i="70"/>
  <c r="AR53" i="70"/>
  <c r="AA53" i="70"/>
  <c r="J53" i="70"/>
  <c r="CJ52" i="70"/>
  <c r="BS52" i="70"/>
  <c r="BB52" i="70"/>
  <c r="U52" i="70"/>
  <c r="E52" i="70"/>
  <c r="CF51" i="70"/>
  <c r="BP51" i="70"/>
  <c r="AZ51" i="70"/>
  <c r="AJ51" i="70"/>
  <c r="T51" i="70"/>
  <c r="CU50" i="70"/>
  <c r="CE50" i="70"/>
  <c r="BO50" i="70"/>
  <c r="AI50" i="70"/>
  <c r="S50" i="70"/>
  <c r="CT49" i="70"/>
  <c r="CD49" i="70"/>
  <c r="BN49" i="70"/>
  <c r="AX49" i="70"/>
  <c r="AH49" i="70"/>
  <c r="R49" i="70"/>
  <c r="CS48" i="70"/>
  <c r="CC48" i="70"/>
  <c r="W42" i="39" s="1"/>
  <c r="BM48" i="70"/>
  <c r="AW48" i="70"/>
  <c r="AG48" i="70"/>
  <c r="Q48" i="70"/>
  <c r="CR47" i="70"/>
  <c r="CB47" i="70"/>
  <c r="BL47" i="70"/>
  <c r="AV47" i="70"/>
  <c r="P47" i="70"/>
  <c r="AA75" i="70"/>
  <c r="CO71" i="70"/>
  <c r="AV69" i="70"/>
  <c r="BX67" i="70"/>
  <c r="AI66" i="70"/>
  <c r="I61" i="70"/>
  <c r="AX60" i="70"/>
  <c r="H60" i="70"/>
  <c r="BH59" i="70"/>
  <c r="Q59" i="70"/>
  <c r="BX58" i="70"/>
  <c r="AQ58" i="70"/>
  <c r="K58" i="70"/>
  <c r="BV57" i="70"/>
  <c r="J57" i="70"/>
  <c r="AV56" i="70"/>
  <c r="AA56" i="70"/>
  <c r="CR55" i="70"/>
  <c r="BW55" i="70"/>
  <c r="AB55" i="70"/>
  <c r="E55" i="70"/>
  <c r="BX54" i="70"/>
  <c r="BC54" i="70"/>
  <c r="AG54" i="70"/>
  <c r="P54" i="70"/>
  <c r="CP53" i="70"/>
  <c r="BY53" i="70"/>
  <c r="BH53" i="70"/>
  <c r="AQ53" i="70"/>
  <c r="Z53" i="70"/>
  <c r="I53" i="70"/>
  <c r="CI52" i="70"/>
  <c r="AB46" i="39" s="1"/>
  <c r="BR52" i="70"/>
  <c r="BA52" i="70"/>
  <c r="AJ52" i="70"/>
  <c r="T52" i="70"/>
  <c r="CU51" i="70"/>
  <c r="CE51" i="70"/>
  <c r="BO51" i="70"/>
  <c r="AI51" i="70"/>
  <c r="S51" i="70"/>
  <c r="CT50" i="70"/>
  <c r="CD50" i="70"/>
  <c r="BN50" i="70"/>
  <c r="AX50" i="70"/>
  <c r="AH50" i="70"/>
  <c r="R50" i="70"/>
  <c r="CS49" i="70"/>
  <c r="CC49" i="70"/>
  <c r="W43" i="39" s="1"/>
  <c r="BM49" i="70"/>
  <c r="AW49" i="70"/>
  <c r="AG49" i="70"/>
  <c r="Q49" i="70"/>
  <c r="CR48" i="70"/>
  <c r="CB48" i="70"/>
  <c r="BL48" i="70"/>
  <c r="AV48" i="70"/>
  <c r="AF48" i="70"/>
  <c r="P48" i="70"/>
  <c r="CQ47" i="70"/>
  <c r="CA47" i="70"/>
  <c r="BK47" i="70"/>
  <c r="AU47" i="70"/>
  <c r="AE47" i="70"/>
  <c r="O47" i="70"/>
  <c r="V75" i="70"/>
  <c r="CN71" i="70"/>
  <c r="AU69" i="70"/>
  <c r="AH66" i="70"/>
  <c r="CU60" i="70"/>
  <c r="AT60" i="70"/>
  <c r="CT59" i="70"/>
  <c r="BE59" i="70"/>
  <c r="N59" i="70"/>
  <c r="BW58" i="70"/>
  <c r="AN58" i="70"/>
  <c r="H58" i="70"/>
  <c r="BS57" i="70"/>
  <c r="AM57" i="70"/>
  <c r="G57" i="70"/>
  <c r="BV56" i="70"/>
  <c r="AU56" i="70"/>
  <c r="Z56" i="70"/>
  <c r="CQ55" i="70"/>
  <c r="BV55" i="70"/>
  <c r="AV55" i="70"/>
  <c r="AA55" i="70"/>
  <c r="CT54" i="70"/>
  <c r="BW54" i="70"/>
  <c r="AZ54" i="70"/>
  <c r="O54" i="70"/>
  <c r="CO53" i="70"/>
  <c r="BX53" i="70"/>
  <c r="BG53" i="70"/>
  <c r="Y53" i="70"/>
  <c r="H53" i="70"/>
  <c r="CH52" i="70"/>
  <c r="AA46" i="39" s="1"/>
  <c r="BQ52" i="70"/>
  <c r="AY52" i="70"/>
  <c r="AI52" i="70"/>
  <c r="S52" i="70"/>
  <c r="CT51" i="70"/>
  <c r="CD51" i="70"/>
  <c r="BN51" i="70"/>
  <c r="AX51" i="70"/>
  <c r="AH51" i="70"/>
  <c r="R51" i="70"/>
  <c r="CS50" i="70"/>
  <c r="CC50" i="70"/>
  <c r="W44" i="39" s="1"/>
  <c r="BM50" i="70"/>
  <c r="AW50" i="70"/>
  <c r="AG50" i="70"/>
  <c r="Q50" i="70"/>
  <c r="CR49" i="70"/>
  <c r="CB49" i="70"/>
  <c r="BL49" i="70"/>
  <c r="AV49" i="70"/>
  <c r="BH91" i="77"/>
  <c r="BH91" i="70" s="1"/>
  <c r="AY54" i="77"/>
  <c r="BR57" i="77"/>
  <c r="BR57" i="70" s="1"/>
  <c r="BI58" i="77"/>
  <c r="BR78" i="77"/>
  <c r="BR78" i="70" s="1"/>
  <c r="AA85" i="77"/>
  <c r="AA85" i="70" s="1"/>
  <c r="AT93" i="77"/>
  <c r="AT93" i="70" s="1"/>
  <c r="BG99" i="77"/>
  <c r="BG99" i="70" s="1"/>
  <c r="BW66" i="77"/>
  <c r="BW66" i="70" s="1"/>
  <c r="BR91" i="77"/>
  <c r="BR91" i="70" s="1"/>
  <c r="AY60" i="77"/>
  <c r="K99" i="77"/>
  <c r="K99" i="70" s="1"/>
  <c r="AQ99" i="77"/>
  <c r="AQ99" i="70" s="1"/>
  <c r="BH61" i="77"/>
  <c r="BR67" i="77"/>
  <c r="BR67" i="70" s="1"/>
  <c r="BV98" i="77"/>
  <c r="AF52" i="77"/>
  <c r="AF52" i="70" s="1"/>
  <c r="AY55" i="77"/>
  <c r="AY55" i="70" s="1"/>
  <c r="L99" i="77"/>
  <c r="L99" i="70" s="1"/>
  <c r="AB99" i="77"/>
  <c r="AB99" i="70" s="1"/>
  <c r="AR99" i="77"/>
  <c r="AR99" i="70" s="1"/>
  <c r="BJ99" i="77"/>
  <c r="BJ99" i="70" s="1"/>
  <c r="N47" i="70"/>
  <c r="BI54" i="77"/>
  <c r="BI92" i="77" s="1"/>
  <c r="BI92" i="70" s="1"/>
  <c r="BK99" i="77"/>
  <c r="BK99" i="70" s="1"/>
  <c r="AD47" i="70"/>
  <c r="D295" i="36"/>
  <c r="G31" i="68" s="1"/>
  <c r="H204" i="36"/>
  <c r="F204" i="36"/>
  <c r="B433" i="36"/>
  <c r="B432" i="36"/>
  <c r="B431" i="36"/>
  <c r="B430" i="36"/>
  <c r="B429" i="36"/>
  <c r="B428" i="36"/>
  <c r="B427" i="36"/>
  <c r="B426" i="36"/>
  <c r="B425" i="36"/>
  <c r="B424" i="36"/>
  <c r="B423" i="36"/>
  <c r="B422" i="36"/>
  <c r="F203" i="36"/>
  <c r="H293" i="36"/>
  <c r="L293" i="36" s="1"/>
  <c r="T3" i="38" s="1"/>
  <c r="E386" i="36"/>
  <c r="F386" i="36" s="1"/>
  <c r="X12" i="76" s="1"/>
  <c r="C78" i="36"/>
  <c r="Q17" i="60"/>
  <c r="AT37" i="65"/>
  <c r="D37" i="66" s="1"/>
  <c r="AH983" i="34"/>
  <c r="AH967" i="34"/>
  <c r="AH951" i="34"/>
  <c r="AH925" i="34"/>
  <c r="AH909" i="34"/>
  <c r="AH893" i="34"/>
  <c r="AH877" i="34"/>
  <c r="AH861" i="34"/>
  <c r="AH845" i="34"/>
  <c r="AH829" i="34"/>
  <c r="AH813" i="34"/>
  <c r="AH797" i="34"/>
  <c r="AH781" i="34"/>
  <c r="AH765" i="34"/>
  <c r="AH749" i="34"/>
  <c r="AH733" i="34"/>
  <c r="AH717" i="34"/>
  <c r="AH701" i="34"/>
  <c r="AH685" i="34"/>
  <c r="AH669" i="34"/>
  <c r="AH653" i="34"/>
  <c r="AH637" i="34"/>
  <c r="AH621" i="34"/>
  <c r="AH605" i="34"/>
  <c r="AH589" i="34"/>
  <c r="AH573" i="34"/>
  <c r="AH557" i="34"/>
  <c r="AH541" i="34"/>
  <c r="AH525" i="34"/>
  <c r="AH509" i="34"/>
  <c r="AH494" i="34"/>
  <c r="AH490" i="34"/>
  <c r="AH474" i="34"/>
  <c r="AH458" i="34"/>
  <c r="AH442" i="34"/>
  <c r="AH426" i="34"/>
  <c r="AH410" i="34"/>
  <c r="AH394" i="34"/>
  <c r="AH378" i="34"/>
  <c r="AH362" i="34"/>
  <c r="AH346" i="34"/>
  <c r="AH330" i="34"/>
  <c r="AH314" i="34"/>
  <c r="AH298" i="34"/>
  <c r="AH282" i="34"/>
  <c r="AH266" i="34"/>
  <c r="AH250" i="34"/>
  <c r="AH234" i="34"/>
  <c r="AH218" i="34"/>
  <c r="AH202" i="34"/>
  <c r="AH186" i="34"/>
  <c r="AH170" i="34"/>
  <c r="AH154" i="34"/>
  <c r="AH138" i="34"/>
  <c r="AH122" i="34"/>
  <c r="AH106" i="34"/>
  <c r="AH90" i="34"/>
  <c r="AH74" i="34"/>
  <c r="AH58" i="34"/>
  <c r="AH42" i="34"/>
  <c r="AH26" i="34"/>
  <c r="AH10" i="34"/>
  <c r="AH984" i="34"/>
  <c r="AH910" i="34"/>
  <c r="AH862" i="34"/>
  <c r="AH734" i="34"/>
  <c r="AH526" i="34"/>
  <c r="AH427" i="34"/>
  <c r="AH315" i="34"/>
  <c r="AH267" i="34"/>
  <c r="AH155" i="34"/>
  <c r="AH43" i="34"/>
  <c r="AH915" i="34"/>
  <c r="AH819" i="34"/>
  <c r="AH515" i="34"/>
  <c r="AH448" i="34"/>
  <c r="AH336" i="34"/>
  <c r="AH64" i="34"/>
  <c r="AH872" i="34"/>
  <c r="AH776" i="34"/>
  <c r="AH568" i="34"/>
  <c r="AH504" i="34"/>
  <c r="AH309" i="34"/>
  <c r="AH245" i="34"/>
  <c r="AH972" i="34"/>
  <c r="AH956" i="34"/>
  <c r="AH930" i="34"/>
  <c r="AH914" i="34"/>
  <c r="AH898" i="34"/>
  <c r="AH882" i="34"/>
  <c r="AH866" i="34"/>
  <c r="AH850" i="34"/>
  <c r="AH834" i="34"/>
  <c r="AH818" i="34"/>
  <c r="AH802" i="34"/>
  <c r="AH786" i="34"/>
  <c r="AH770" i="34"/>
  <c r="AH754" i="34"/>
  <c r="AH738" i="34"/>
  <c r="AH722" i="34"/>
  <c r="AH706" i="34"/>
  <c r="AH690" i="34"/>
  <c r="AH674" i="34"/>
  <c r="AH658" i="34"/>
  <c r="AH642" i="34"/>
  <c r="AH626" i="34"/>
  <c r="AH610" i="34"/>
  <c r="AH594" i="34"/>
  <c r="AH578" i="34"/>
  <c r="AH562" i="34"/>
  <c r="AH546" i="34"/>
  <c r="AH530" i="34"/>
  <c r="AH514" i="34"/>
  <c r="AH498" i="34"/>
  <c r="AH479" i="34"/>
  <c r="AH463" i="34"/>
  <c r="AH447" i="34"/>
  <c r="AH431" i="34"/>
  <c r="AH415" i="34"/>
  <c r="AH399" i="34"/>
  <c r="AH383" i="34"/>
  <c r="AH367" i="34"/>
  <c r="AH351" i="34"/>
  <c r="AH335" i="34"/>
  <c r="AH319" i="34"/>
  <c r="AH303" i="34"/>
  <c r="AH287" i="34"/>
  <c r="AH271" i="34"/>
  <c r="AH255" i="34"/>
  <c r="AH239" i="34"/>
  <c r="AH223" i="34"/>
  <c r="AH207" i="34"/>
  <c r="AH191" i="34"/>
  <c r="AH175" i="34"/>
  <c r="AH159" i="34"/>
  <c r="AH143" i="34"/>
  <c r="AH127" i="34"/>
  <c r="AH111" i="34"/>
  <c r="AH95" i="34"/>
  <c r="AH79" i="34"/>
  <c r="AH63" i="34"/>
  <c r="AH47" i="34"/>
  <c r="AH31" i="34"/>
  <c r="AH15" i="34"/>
  <c r="AH968" i="34"/>
  <c r="AH926" i="34"/>
  <c r="AH878" i="34"/>
  <c r="AH475" i="34"/>
  <c r="AH411" i="34"/>
  <c r="AH219" i="34"/>
  <c r="AH941" i="34"/>
  <c r="AH755" i="34"/>
  <c r="AH368" i="34"/>
  <c r="AH224" i="34"/>
  <c r="AH16" i="34"/>
  <c r="AH962" i="34"/>
  <c r="AH888" i="34"/>
  <c r="AH808" i="34"/>
  <c r="AH648" i="34"/>
  <c r="AH552" i="34"/>
  <c r="AH389" i="34"/>
  <c r="AH165" i="34"/>
  <c r="AH977" i="34"/>
  <c r="AH961" i="34"/>
  <c r="AH945" i="34"/>
  <c r="AH940" i="34"/>
  <c r="AH935" i="34"/>
  <c r="AH919" i="34"/>
  <c r="AH903" i="34"/>
  <c r="AH887" i="34"/>
  <c r="AH871" i="34"/>
  <c r="AH855" i="34"/>
  <c r="AH839" i="34"/>
  <c r="AH823" i="34"/>
  <c r="AH807" i="34"/>
  <c r="AH791" i="34"/>
  <c r="AH775" i="34"/>
  <c r="AH759" i="34"/>
  <c r="AH743" i="34"/>
  <c r="AH727" i="34"/>
  <c r="AH711" i="34"/>
  <c r="AH695" i="34"/>
  <c r="AH679" i="34"/>
  <c r="AH663" i="34"/>
  <c r="AH647" i="34"/>
  <c r="AH631" i="34"/>
  <c r="AH615" i="34"/>
  <c r="AH599" i="34"/>
  <c r="AH583" i="34"/>
  <c r="AH567" i="34"/>
  <c r="AH551" i="34"/>
  <c r="AH535" i="34"/>
  <c r="AH519" i="34"/>
  <c r="AH503" i="34"/>
  <c r="AH484" i="34"/>
  <c r="AH468" i="34"/>
  <c r="AH452" i="34"/>
  <c r="AH436" i="34"/>
  <c r="AH420" i="34"/>
  <c r="AH404" i="34"/>
  <c r="AH388" i="34"/>
  <c r="AH372" i="34"/>
  <c r="AH356" i="34"/>
  <c r="AH340" i="34"/>
  <c r="AH324" i="34"/>
  <c r="AH308" i="34"/>
  <c r="AH292" i="34"/>
  <c r="AH276" i="34"/>
  <c r="AH260" i="34"/>
  <c r="AH244" i="34"/>
  <c r="AH228" i="34"/>
  <c r="AH212" i="34"/>
  <c r="AH196" i="34"/>
  <c r="AH180" i="34"/>
  <c r="AH164" i="34"/>
  <c r="AH148" i="34"/>
  <c r="AH132" i="34"/>
  <c r="AH116" i="34"/>
  <c r="AH100" i="34"/>
  <c r="AH84" i="34"/>
  <c r="AH68" i="34"/>
  <c r="AH52" i="34"/>
  <c r="AH36" i="34"/>
  <c r="AH20" i="34"/>
  <c r="AH846" i="34"/>
  <c r="AH395" i="34"/>
  <c r="AH235" i="34"/>
  <c r="AH107" i="34"/>
  <c r="AH899" i="34"/>
  <c r="AH611" i="34"/>
  <c r="AH320" i="34"/>
  <c r="AH240" i="34"/>
  <c r="AH712" i="34"/>
  <c r="AH632" i="34"/>
  <c r="AH485" i="34"/>
  <c r="AH421" i="34"/>
  <c r="AH982" i="34"/>
  <c r="AH966" i="34"/>
  <c r="AH950" i="34"/>
  <c r="AH924" i="34"/>
  <c r="AH908" i="34"/>
  <c r="AH892" i="34"/>
  <c r="AH876" i="34"/>
  <c r="AH860" i="34"/>
  <c r="AH844" i="34"/>
  <c r="AH828" i="34"/>
  <c r="AH812" i="34"/>
  <c r="AH796" i="34"/>
  <c r="AH780" i="34"/>
  <c r="AH764" i="34"/>
  <c r="AH748" i="34"/>
  <c r="AH732" i="34"/>
  <c r="AH716" i="34"/>
  <c r="AH700" i="34"/>
  <c r="AH684" i="34"/>
  <c r="AH668" i="34"/>
  <c r="AH652" i="34"/>
  <c r="AH636" i="34"/>
  <c r="AH620" i="34"/>
  <c r="AH604" i="34"/>
  <c r="AH588" i="34"/>
  <c r="AH572" i="34"/>
  <c r="AH556" i="34"/>
  <c r="AH540" i="34"/>
  <c r="AH524" i="34"/>
  <c r="AH508" i="34"/>
  <c r="AH489" i="34"/>
  <c r="AH473" i="34"/>
  <c r="AH457" i="34"/>
  <c r="AH441" i="34"/>
  <c r="AH425" i="34"/>
  <c r="AH409" i="34"/>
  <c r="AH393" i="34"/>
  <c r="AH377" i="34"/>
  <c r="AH361" i="34"/>
  <c r="AH345" i="34"/>
  <c r="AH329" i="34"/>
  <c r="AH313" i="34"/>
  <c r="AH297" i="34"/>
  <c r="AH281" i="34"/>
  <c r="AH265" i="34"/>
  <c r="AH249" i="34"/>
  <c r="AH233" i="34"/>
  <c r="AH217" i="34"/>
  <c r="AH201" i="34"/>
  <c r="AH185" i="34"/>
  <c r="AH169" i="34"/>
  <c r="AH153" i="34"/>
  <c r="AH137" i="34"/>
  <c r="AH121" i="34"/>
  <c r="AH105" i="34"/>
  <c r="AH89" i="34"/>
  <c r="AH73" i="34"/>
  <c r="AH57" i="34"/>
  <c r="AH41" i="34"/>
  <c r="AH25" i="34"/>
  <c r="AH9" i="34"/>
  <c r="AH952" i="34"/>
  <c r="AH782" i="34"/>
  <c r="AH251" i="34"/>
  <c r="AH139" i="34"/>
  <c r="AH973" i="34"/>
  <c r="AH851" i="34"/>
  <c r="AH787" i="34"/>
  <c r="AH723" i="34"/>
  <c r="AH659" i="34"/>
  <c r="AH579" i="34"/>
  <c r="AH288" i="34"/>
  <c r="AH208" i="34"/>
  <c r="AH920" i="34"/>
  <c r="AH824" i="34"/>
  <c r="AH469" i="34"/>
  <c r="AH987" i="34"/>
  <c r="AH971" i="34"/>
  <c r="AH955" i="34"/>
  <c r="AH929" i="34"/>
  <c r="AH913" i="34"/>
  <c r="AH897" i="34"/>
  <c r="AH881" i="34"/>
  <c r="AH865" i="34"/>
  <c r="AH849" i="34"/>
  <c r="AH833" i="34"/>
  <c r="AH817" i="34"/>
  <c r="AH801" i="34"/>
  <c r="AH785" i="34"/>
  <c r="AH769" i="34"/>
  <c r="AH753" i="34"/>
  <c r="AH737" i="34"/>
  <c r="AH721" i="34"/>
  <c r="AH705" i="34"/>
  <c r="AH689" i="34"/>
  <c r="AH673" i="34"/>
  <c r="AH657" i="34"/>
  <c r="AH641" i="34"/>
  <c r="AH625" i="34"/>
  <c r="AH609" i="34"/>
  <c r="AH593" i="34"/>
  <c r="AH577" i="34"/>
  <c r="AH561" i="34"/>
  <c r="AH545" i="34"/>
  <c r="AH529" i="34"/>
  <c r="AH513" i="34"/>
  <c r="AH497" i="34"/>
  <c r="AH493" i="34"/>
  <c r="AH478" i="34"/>
  <c r="AH462" i="34"/>
  <c r="AH446" i="34"/>
  <c r="AH430" i="34"/>
  <c r="AH414" i="34"/>
  <c r="AH398" i="34"/>
  <c r="AH382" i="34"/>
  <c r="AH366" i="34"/>
  <c r="AH350" i="34"/>
  <c r="AH334" i="34"/>
  <c r="AH318" i="34"/>
  <c r="AH302" i="34"/>
  <c r="AH286" i="34"/>
  <c r="AH270" i="34"/>
  <c r="AH254" i="34"/>
  <c r="AH238" i="34"/>
  <c r="AH222" i="34"/>
  <c r="AH206" i="34"/>
  <c r="AH190" i="34"/>
  <c r="AH174" i="34"/>
  <c r="AH158" i="34"/>
  <c r="AH142" i="34"/>
  <c r="AH126" i="34"/>
  <c r="AH110" i="34"/>
  <c r="AH94" i="34"/>
  <c r="AH78" i="34"/>
  <c r="AH62" i="34"/>
  <c r="AH46" i="34"/>
  <c r="AH30" i="34"/>
  <c r="AH14" i="34"/>
  <c r="AH379" i="34"/>
  <c r="AH187" i="34"/>
  <c r="AH272" i="34"/>
  <c r="AH976" i="34"/>
  <c r="AH960" i="34"/>
  <c r="AH944" i="34"/>
  <c r="AH934" i="34"/>
  <c r="AH918" i="34"/>
  <c r="AH902" i="34"/>
  <c r="AH886" i="34"/>
  <c r="AH870" i="34"/>
  <c r="AH854" i="34"/>
  <c r="AH838" i="34"/>
  <c r="AH822" i="34"/>
  <c r="AH806" i="34"/>
  <c r="AH790" i="34"/>
  <c r="AH774" i="34"/>
  <c r="AH758" i="34"/>
  <c r="AH742" i="34"/>
  <c r="AH726" i="34"/>
  <c r="AH710" i="34"/>
  <c r="AH694" i="34"/>
  <c r="AH678" i="34"/>
  <c r="AH662" i="34"/>
  <c r="AH646" i="34"/>
  <c r="AH630" i="34"/>
  <c r="AH614" i="34"/>
  <c r="AH598" i="34"/>
  <c r="AH582" i="34"/>
  <c r="AH566" i="34"/>
  <c r="AH550" i="34"/>
  <c r="AH534" i="34"/>
  <c r="AH518" i="34"/>
  <c r="AH502" i="34"/>
  <c r="AH483" i="34"/>
  <c r="AH467" i="34"/>
  <c r="AH451" i="34"/>
  <c r="AH435" i="34"/>
  <c r="AH419" i="34"/>
  <c r="AH403" i="34"/>
  <c r="AH387" i="34"/>
  <c r="AH371" i="34"/>
  <c r="AH355" i="34"/>
  <c r="AH339" i="34"/>
  <c r="AH323" i="34"/>
  <c r="AH307" i="34"/>
  <c r="AH291" i="34"/>
  <c r="AH275" i="34"/>
  <c r="AH259" i="34"/>
  <c r="AH243" i="34"/>
  <c r="AH227" i="34"/>
  <c r="AH211" i="34"/>
  <c r="AH195" i="34"/>
  <c r="AH179" i="34"/>
  <c r="AH163" i="34"/>
  <c r="AH147" i="34"/>
  <c r="AH131" i="34"/>
  <c r="AH115" i="34"/>
  <c r="AH99" i="34"/>
  <c r="AH83" i="34"/>
  <c r="AH67" i="34"/>
  <c r="AH51" i="34"/>
  <c r="AH35" i="34"/>
  <c r="AH19" i="34"/>
  <c r="AH814" i="34"/>
  <c r="AH606" i="34"/>
  <c r="AH123" i="34"/>
  <c r="AH563" i="34"/>
  <c r="AH981" i="34"/>
  <c r="AH965" i="34"/>
  <c r="AH949" i="34"/>
  <c r="AH939" i="34"/>
  <c r="AH923" i="34"/>
  <c r="AH907" i="34"/>
  <c r="AH891" i="34"/>
  <c r="AH875" i="34"/>
  <c r="AH859" i="34"/>
  <c r="AH843" i="34"/>
  <c r="AH827" i="34"/>
  <c r="AH811" i="34"/>
  <c r="AH795" i="34"/>
  <c r="AH779" i="34"/>
  <c r="AH763" i="34"/>
  <c r="AH747" i="34"/>
  <c r="AH731" i="34"/>
  <c r="AH715" i="34"/>
  <c r="AH699" i="34"/>
  <c r="AH683" i="34"/>
  <c r="AH667" i="34"/>
  <c r="AH651" i="34"/>
  <c r="AH635" i="34"/>
  <c r="AH619" i="34"/>
  <c r="AH603" i="34"/>
  <c r="AH587" i="34"/>
  <c r="AH571" i="34"/>
  <c r="AH555" i="34"/>
  <c r="AH539" i="34"/>
  <c r="AH523" i="34"/>
  <c r="AH507" i="34"/>
  <c r="AH488" i="34"/>
  <c r="AH472" i="34"/>
  <c r="AH456" i="34"/>
  <c r="AH440" i="34"/>
  <c r="AH424" i="34"/>
  <c r="AH408" i="34"/>
  <c r="AH392" i="34"/>
  <c r="AH376" i="34"/>
  <c r="AH360" i="34"/>
  <c r="AH344" i="34"/>
  <c r="AH328" i="34"/>
  <c r="AH312" i="34"/>
  <c r="AH296" i="34"/>
  <c r="AH280" i="34"/>
  <c r="AH264" i="34"/>
  <c r="AH248" i="34"/>
  <c r="AH232" i="34"/>
  <c r="AH216" i="34"/>
  <c r="AH200" i="34"/>
  <c r="AH184" i="34"/>
  <c r="AH168" i="34"/>
  <c r="AH152" i="34"/>
  <c r="AH136" i="34"/>
  <c r="AH120" i="34"/>
  <c r="AH104" i="34"/>
  <c r="AH88" i="34"/>
  <c r="AH72" i="34"/>
  <c r="AH56" i="34"/>
  <c r="AH40" i="34"/>
  <c r="AH24" i="34"/>
  <c r="AH766" i="34"/>
  <c r="AH718" i="34"/>
  <c r="AH542" i="34"/>
  <c r="AH11" i="34"/>
  <c r="AH707" i="34"/>
  <c r="AH627" i="34"/>
  <c r="AH499" i="34"/>
  <c r="AH432" i="34"/>
  <c r="AH176" i="34"/>
  <c r="AH96" i="34"/>
  <c r="AH744" i="34"/>
  <c r="AH664" i="34"/>
  <c r="AH616" i="34"/>
  <c r="AH584" i="34"/>
  <c r="AH405" i="34"/>
  <c r="AH293" i="34"/>
  <c r="AH986" i="34"/>
  <c r="AH970" i="34"/>
  <c r="AH954" i="34"/>
  <c r="AH928" i="34"/>
  <c r="AH912" i="34"/>
  <c r="AH896" i="34"/>
  <c r="AH880" i="34"/>
  <c r="AH864" i="34"/>
  <c r="AH848" i="34"/>
  <c r="AH832" i="34"/>
  <c r="AH816" i="34"/>
  <c r="AH800" i="34"/>
  <c r="AH784" i="34"/>
  <c r="AH768" i="34"/>
  <c r="AH752" i="34"/>
  <c r="AH736" i="34"/>
  <c r="AH720" i="34"/>
  <c r="AH704" i="34"/>
  <c r="AH688" i="34"/>
  <c r="AH672" i="34"/>
  <c r="AH656" i="34"/>
  <c r="AH640" i="34"/>
  <c r="AH624" i="34"/>
  <c r="AH608" i="34"/>
  <c r="AH592" i="34"/>
  <c r="AH576" i="34"/>
  <c r="AH560" i="34"/>
  <c r="AH544" i="34"/>
  <c r="AH528" i="34"/>
  <c r="AH512" i="34"/>
  <c r="AH477" i="34"/>
  <c r="AH461" i="34"/>
  <c r="AH445" i="34"/>
  <c r="AH429" i="34"/>
  <c r="AH413" i="34"/>
  <c r="AH397" i="34"/>
  <c r="AH381" i="34"/>
  <c r="AH365" i="34"/>
  <c r="AH349" i="34"/>
  <c r="AH333" i="34"/>
  <c r="AH317" i="34"/>
  <c r="AH301" i="34"/>
  <c r="AH285" i="34"/>
  <c r="AH269" i="34"/>
  <c r="AH253" i="34"/>
  <c r="AH237" i="34"/>
  <c r="AH221" i="34"/>
  <c r="AH205" i="34"/>
  <c r="AH189" i="34"/>
  <c r="AH173" i="34"/>
  <c r="AH157" i="34"/>
  <c r="AH141" i="34"/>
  <c r="AH125" i="34"/>
  <c r="AH109" i="34"/>
  <c r="AH93" i="34"/>
  <c r="AH77" i="34"/>
  <c r="AH61" i="34"/>
  <c r="AH45" i="34"/>
  <c r="AH29" i="34"/>
  <c r="AH13" i="34"/>
  <c r="AH798" i="34"/>
  <c r="AH590" i="34"/>
  <c r="AH331" i="34"/>
  <c r="AH203" i="34"/>
  <c r="AH91" i="34"/>
  <c r="AH27" i="34"/>
  <c r="AH867" i="34"/>
  <c r="AH835" i="34"/>
  <c r="AH739" i="34"/>
  <c r="AH675" i="34"/>
  <c r="AH547" i="34"/>
  <c r="AH400" i="34"/>
  <c r="AH304" i="34"/>
  <c r="AH192" i="34"/>
  <c r="AH112" i="34"/>
  <c r="AH946" i="34"/>
  <c r="AH840" i="34"/>
  <c r="AH680" i="34"/>
  <c r="AH373" i="34"/>
  <c r="AH149" i="34"/>
  <c r="AH975" i="34"/>
  <c r="AH959" i="34"/>
  <c r="AH943" i="34"/>
  <c r="AH933" i="34"/>
  <c r="AH917" i="34"/>
  <c r="AH901" i="34"/>
  <c r="AH885" i="34"/>
  <c r="AH869" i="34"/>
  <c r="AH853" i="34"/>
  <c r="AH837" i="34"/>
  <c r="AH821" i="34"/>
  <c r="AH805" i="34"/>
  <c r="AH789" i="34"/>
  <c r="AH773" i="34"/>
  <c r="AH757" i="34"/>
  <c r="AH741" i="34"/>
  <c r="AH725" i="34"/>
  <c r="AH709" i="34"/>
  <c r="AH693" i="34"/>
  <c r="AH677" i="34"/>
  <c r="AH661" i="34"/>
  <c r="AH645" i="34"/>
  <c r="AH629" i="34"/>
  <c r="AH613" i="34"/>
  <c r="AH597" i="34"/>
  <c r="AH581" i="34"/>
  <c r="AH565" i="34"/>
  <c r="AH549" i="34"/>
  <c r="AH533" i="34"/>
  <c r="AH517" i="34"/>
  <c r="AH501" i="34"/>
  <c r="AH496" i="34"/>
  <c r="AH492" i="34"/>
  <c r="AH482" i="34"/>
  <c r="AH466" i="34"/>
  <c r="AH450" i="34"/>
  <c r="AH434" i="34"/>
  <c r="AH418" i="34"/>
  <c r="AH402" i="34"/>
  <c r="AH386" i="34"/>
  <c r="AH370" i="34"/>
  <c r="AH354" i="34"/>
  <c r="AH338" i="34"/>
  <c r="AH322" i="34"/>
  <c r="AH306" i="34"/>
  <c r="AH290" i="34"/>
  <c r="AH274" i="34"/>
  <c r="AH258" i="34"/>
  <c r="AH242" i="34"/>
  <c r="AH226" i="34"/>
  <c r="AH210" i="34"/>
  <c r="AH194" i="34"/>
  <c r="AH178" i="34"/>
  <c r="AH162" i="34"/>
  <c r="AH146" i="34"/>
  <c r="AH130" i="34"/>
  <c r="AH114" i="34"/>
  <c r="AH98" i="34"/>
  <c r="AH82" i="34"/>
  <c r="AH66" i="34"/>
  <c r="AH50" i="34"/>
  <c r="AH34" i="34"/>
  <c r="AH18" i="34"/>
  <c r="AH638" i="34"/>
  <c r="AH32" i="34"/>
  <c r="AH980" i="34"/>
  <c r="AH964" i="34"/>
  <c r="AH948" i="34"/>
  <c r="AH938" i="34"/>
  <c r="AH922" i="34"/>
  <c r="AH906" i="34"/>
  <c r="AH890" i="34"/>
  <c r="AH874" i="34"/>
  <c r="AH858" i="34"/>
  <c r="AH842" i="34"/>
  <c r="AH826" i="34"/>
  <c r="AH810" i="34"/>
  <c r="AH794" i="34"/>
  <c r="AH778" i="34"/>
  <c r="AH762" i="34"/>
  <c r="AH746" i="34"/>
  <c r="AH730" i="34"/>
  <c r="AH714" i="34"/>
  <c r="AH698" i="34"/>
  <c r="AH682" i="34"/>
  <c r="AH666" i="34"/>
  <c r="AH650" i="34"/>
  <c r="AH634" i="34"/>
  <c r="AH618" i="34"/>
  <c r="AH602" i="34"/>
  <c r="AH586" i="34"/>
  <c r="AH570" i="34"/>
  <c r="AH554" i="34"/>
  <c r="AH538" i="34"/>
  <c r="AH522" i="34"/>
  <c r="AH506" i="34"/>
  <c r="AH487" i="34"/>
  <c r="AH471" i="34"/>
  <c r="AH455" i="34"/>
  <c r="AH439" i="34"/>
  <c r="AH423" i="34"/>
  <c r="AH407" i="34"/>
  <c r="AH391" i="34"/>
  <c r="AH375" i="34"/>
  <c r="AH359" i="34"/>
  <c r="AH343" i="34"/>
  <c r="AH327" i="34"/>
  <c r="AH311" i="34"/>
  <c r="AH295" i="34"/>
  <c r="AH279" i="34"/>
  <c r="AH263" i="34"/>
  <c r="AH247" i="34"/>
  <c r="AH231" i="34"/>
  <c r="AH215" i="34"/>
  <c r="AH199" i="34"/>
  <c r="AH183" i="34"/>
  <c r="AH167" i="34"/>
  <c r="AH151" i="34"/>
  <c r="AH135" i="34"/>
  <c r="AH119" i="34"/>
  <c r="AH103" i="34"/>
  <c r="AH87" i="34"/>
  <c r="AH71" i="34"/>
  <c r="AH55" i="34"/>
  <c r="AH39" i="34"/>
  <c r="AH23" i="34"/>
  <c r="AH830" i="34"/>
  <c r="AH750" i="34"/>
  <c r="AH686" i="34"/>
  <c r="AH771" i="34"/>
  <c r="AH595" i="34"/>
  <c r="AH531" i="34"/>
  <c r="AH464" i="34"/>
  <c r="AH904" i="34"/>
  <c r="AH728" i="34"/>
  <c r="AH437" i="34"/>
  <c r="AH213" i="34"/>
  <c r="AH133" i="34"/>
  <c r="AH985" i="34"/>
  <c r="AH969" i="34"/>
  <c r="AH953" i="34"/>
  <c r="AH927" i="34"/>
  <c r="AH911" i="34"/>
  <c r="AH895" i="34"/>
  <c r="AH879" i="34"/>
  <c r="AH863" i="34"/>
  <c r="AH847" i="34"/>
  <c r="AH831" i="34"/>
  <c r="AH815" i="34"/>
  <c r="AH799" i="34"/>
  <c r="AH783" i="34"/>
  <c r="AH767" i="34"/>
  <c r="AH751" i="34"/>
  <c r="AH735" i="34"/>
  <c r="AH719" i="34"/>
  <c r="AH703" i="34"/>
  <c r="AH687" i="34"/>
  <c r="AH671" i="34"/>
  <c r="AH655" i="34"/>
  <c r="AH639" i="34"/>
  <c r="AH623" i="34"/>
  <c r="AH607" i="34"/>
  <c r="AH591" i="34"/>
  <c r="AH575" i="34"/>
  <c r="AH559" i="34"/>
  <c r="AH543" i="34"/>
  <c r="AH527" i="34"/>
  <c r="AH511" i="34"/>
  <c r="AH476" i="34"/>
  <c r="AH460" i="34"/>
  <c r="AH444" i="34"/>
  <c r="AH428" i="34"/>
  <c r="AH412" i="34"/>
  <c r="AH396" i="34"/>
  <c r="AH380" i="34"/>
  <c r="AH364" i="34"/>
  <c r="AH348" i="34"/>
  <c r="AH332" i="34"/>
  <c r="AH316" i="34"/>
  <c r="AH300" i="34"/>
  <c r="AH284" i="34"/>
  <c r="AH268" i="34"/>
  <c r="AH252" i="34"/>
  <c r="AH236" i="34"/>
  <c r="AH220" i="34"/>
  <c r="AH204" i="34"/>
  <c r="AH188" i="34"/>
  <c r="AH172" i="34"/>
  <c r="AH156" i="34"/>
  <c r="AH140" i="34"/>
  <c r="AH124" i="34"/>
  <c r="AH108" i="34"/>
  <c r="AH92" i="34"/>
  <c r="AH76" i="34"/>
  <c r="AH60" i="34"/>
  <c r="AH44" i="34"/>
  <c r="AH28" i="34"/>
  <c r="AH12" i="34"/>
  <c r="AH702" i="34"/>
  <c r="AH622" i="34"/>
  <c r="AH347" i="34"/>
  <c r="AH75" i="34"/>
  <c r="AH352" i="34"/>
  <c r="AH256" i="34"/>
  <c r="AH160" i="34"/>
  <c r="AH48" i="34"/>
  <c r="AH936" i="34"/>
  <c r="AH536" i="34"/>
  <c r="AH357" i="34"/>
  <c r="AH277" i="34"/>
  <c r="AH197" i="34"/>
  <c r="AH974" i="34"/>
  <c r="AH958" i="34"/>
  <c r="AH942" i="34"/>
  <c r="AH932" i="34"/>
  <c r="AH916" i="34"/>
  <c r="AH900" i="34"/>
  <c r="AH884" i="34"/>
  <c r="AH868" i="34"/>
  <c r="AH852" i="34"/>
  <c r="AH836" i="34"/>
  <c r="AH820" i="34"/>
  <c r="AH804" i="34"/>
  <c r="AH788" i="34"/>
  <c r="AH772" i="34"/>
  <c r="AH756" i="34"/>
  <c r="AH740" i="34"/>
  <c r="AH724" i="34"/>
  <c r="AH708" i="34"/>
  <c r="AH692" i="34"/>
  <c r="AH676" i="34"/>
  <c r="AH660" i="34"/>
  <c r="AH644" i="34"/>
  <c r="AH628" i="34"/>
  <c r="AH612" i="34"/>
  <c r="AH596" i="34"/>
  <c r="AH580" i="34"/>
  <c r="AH564" i="34"/>
  <c r="AH548" i="34"/>
  <c r="AH532" i="34"/>
  <c r="AH516" i="34"/>
  <c r="AH500" i="34"/>
  <c r="AH481" i="34"/>
  <c r="AH465" i="34"/>
  <c r="AH449" i="34"/>
  <c r="AH433" i="34"/>
  <c r="AH417" i="34"/>
  <c r="AH401" i="34"/>
  <c r="AH385" i="34"/>
  <c r="AH369" i="34"/>
  <c r="AH353" i="34"/>
  <c r="AH337" i="34"/>
  <c r="AH321" i="34"/>
  <c r="AH305" i="34"/>
  <c r="AH289" i="34"/>
  <c r="AH273" i="34"/>
  <c r="AH257" i="34"/>
  <c r="AH241" i="34"/>
  <c r="AH225" i="34"/>
  <c r="AH209" i="34"/>
  <c r="AH193" i="34"/>
  <c r="AH177" i="34"/>
  <c r="AH161" i="34"/>
  <c r="AH145" i="34"/>
  <c r="AH129" i="34"/>
  <c r="AH113" i="34"/>
  <c r="AH97" i="34"/>
  <c r="AH81" i="34"/>
  <c r="AH65" i="34"/>
  <c r="AH49" i="34"/>
  <c r="AH33" i="34"/>
  <c r="AH17" i="34"/>
  <c r="AH894" i="34"/>
  <c r="AH670" i="34"/>
  <c r="AH558" i="34"/>
  <c r="AH459" i="34"/>
  <c r="AH283" i="34"/>
  <c r="AH931" i="34"/>
  <c r="AH883" i="34"/>
  <c r="AH384" i="34"/>
  <c r="AH144" i="34"/>
  <c r="AH80" i="34"/>
  <c r="AH856" i="34"/>
  <c r="AH453" i="34"/>
  <c r="AH325" i="34"/>
  <c r="AH261" i="34"/>
  <c r="AH181" i="34"/>
  <c r="AH979" i="34"/>
  <c r="AH963" i="34"/>
  <c r="AH947" i="34"/>
  <c r="AH937" i="34"/>
  <c r="AH921" i="34"/>
  <c r="AH905" i="34"/>
  <c r="AH889" i="34"/>
  <c r="AH873" i="34"/>
  <c r="AH857" i="34"/>
  <c r="AH841" i="34"/>
  <c r="AH825" i="34"/>
  <c r="AH809" i="34"/>
  <c r="AH793" i="34"/>
  <c r="AH777" i="34"/>
  <c r="AH761" i="34"/>
  <c r="AH745" i="34"/>
  <c r="AH729" i="34"/>
  <c r="AH713" i="34"/>
  <c r="AH697" i="34"/>
  <c r="AH681" i="34"/>
  <c r="AH665" i="34"/>
  <c r="AH649" i="34"/>
  <c r="AH633" i="34"/>
  <c r="AH617" i="34"/>
  <c r="AH601" i="34"/>
  <c r="AH585" i="34"/>
  <c r="AH569" i="34"/>
  <c r="AH553" i="34"/>
  <c r="AH537" i="34"/>
  <c r="AH521" i="34"/>
  <c r="AH505" i="34"/>
  <c r="AH495" i="34"/>
  <c r="AH491" i="34"/>
  <c r="AH486" i="34"/>
  <c r="AH470" i="34"/>
  <c r="AH454" i="34"/>
  <c r="AH438" i="34"/>
  <c r="AH422" i="34"/>
  <c r="AH406" i="34"/>
  <c r="AH390" i="34"/>
  <c r="AH374" i="34"/>
  <c r="AH358" i="34"/>
  <c r="AH342" i="34"/>
  <c r="AH326" i="34"/>
  <c r="AH310" i="34"/>
  <c r="AH294" i="34"/>
  <c r="AH278" i="34"/>
  <c r="AH262" i="34"/>
  <c r="AH246" i="34"/>
  <c r="AH230" i="34"/>
  <c r="AH214" i="34"/>
  <c r="AH198" i="34"/>
  <c r="AH182" i="34"/>
  <c r="AH166" i="34"/>
  <c r="AH150" i="34"/>
  <c r="AH134" i="34"/>
  <c r="AH118" i="34"/>
  <c r="AH102" i="34"/>
  <c r="AH86" i="34"/>
  <c r="AH70" i="34"/>
  <c r="AH54" i="34"/>
  <c r="AH38" i="34"/>
  <c r="AH22" i="34"/>
  <c r="AH654" i="34"/>
  <c r="AH574" i="34"/>
  <c r="AH510" i="34"/>
  <c r="AH443" i="34"/>
  <c r="AH363" i="34"/>
  <c r="AH299" i="34"/>
  <c r="AH171" i="34"/>
  <c r="AH59" i="34"/>
  <c r="AH957" i="34"/>
  <c r="AH803" i="34"/>
  <c r="AH691" i="34"/>
  <c r="AH643" i="34"/>
  <c r="AH480" i="34"/>
  <c r="AH416" i="34"/>
  <c r="AH128" i="34"/>
  <c r="AH978" i="34"/>
  <c r="AH792" i="34"/>
  <c r="AH760" i="34"/>
  <c r="AH696" i="34"/>
  <c r="AH600" i="34"/>
  <c r="AH520" i="34"/>
  <c r="AH229" i="34"/>
  <c r="AH21" i="34"/>
  <c r="AH69" i="34"/>
  <c r="AH37" i="34"/>
  <c r="AH341" i="34"/>
  <c r="AH117" i="34"/>
  <c r="AH101" i="34"/>
  <c r="AH85" i="34"/>
  <c r="AH53" i="34"/>
  <c r="AG18" i="82"/>
  <c r="R98" i="82"/>
  <c r="R145" i="82"/>
  <c r="AG19" i="82"/>
  <c r="R28" i="82"/>
  <c r="R168" i="82"/>
  <c r="AG39" i="82"/>
  <c r="R35" i="82"/>
  <c r="AG50" i="82"/>
  <c r="R51" i="82"/>
  <c r="AG34" i="82"/>
  <c r="R19" i="82"/>
  <c r="R114" i="82"/>
  <c r="R200" i="82"/>
  <c r="R210" i="82"/>
  <c r="R152" i="82"/>
  <c r="R136" i="82"/>
  <c r="R111" i="82"/>
  <c r="AG56" i="82"/>
  <c r="AG75" i="82"/>
  <c r="AG49" i="82"/>
  <c r="R171" i="82"/>
  <c r="R14" i="82"/>
  <c r="AG55" i="82"/>
  <c r="AG83" i="82"/>
  <c r="R153" i="82"/>
  <c r="R156" i="82"/>
  <c r="AG21" i="82"/>
  <c r="AG54" i="82"/>
  <c r="R172" i="82"/>
  <c r="R186" i="82"/>
  <c r="R188" i="82"/>
  <c r="AG13" i="82"/>
  <c r="AG16" i="82"/>
  <c r="R30" i="82"/>
  <c r="AG41" i="82"/>
  <c r="R78" i="82"/>
  <c r="R167" i="82"/>
  <c r="R202" i="82"/>
  <c r="AG37" i="82"/>
  <c r="R183" i="82"/>
  <c r="AG24" i="82"/>
  <c r="AG29" i="82"/>
  <c r="R46" i="82"/>
  <c r="AG71" i="82"/>
  <c r="R72" i="82"/>
  <c r="AG87" i="82"/>
  <c r="R88" i="82"/>
  <c r="R100" i="82"/>
  <c r="R149" i="82"/>
  <c r="R165" i="82"/>
  <c r="R41" i="82"/>
  <c r="AG53" i="82"/>
  <c r="R116" i="82"/>
  <c r="R118" i="82"/>
  <c r="R132" i="82"/>
  <c r="R134" i="82"/>
  <c r="R197" i="82"/>
  <c r="R215" i="82"/>
  <c r="R12" i="82"/>
  <c r="AG36" i="82"/>
  <c r="AG40" i="82"/>
  <c r="AG44" i="82"/>
  <c r="AG45" i="82"/>
  <c r="AG48" i="82"/>
  <c r="R62" i="82"/>
  <c r="R66" i="82"/>
  <c r="R82" i="82"/>
  <c r="R104" i="82"/>
  <c r="R113" i="82"/>
  <c r="R150" i="82"/>
  <c r="R163" i="82"/>
  <c r="R164" i="82"/>
  <c r="R120" i="82"/>
  <c r="R182" i="82"/>
  <c r="R213" i="82"/>
  <c r="R15" i="82"/>
  <c r="R18" i="82"/>
  <c r="R24" i="82"/>
  <c r="R130" i="82"/>
  <c r="R184" i="82"/>
  <c r="R193" i="82"/>
  <c r="R211" i="82"/>
  <c r="R212" i="82"/>
  <c r="R214" i="82"/>
  <c r="AG14" i="82"/>
  <c r="R20" i="82"/>
  <c r="AG35" i="82"/>
  <c r="R44" i="82"/>
  <c r="R70" i="82"/>
  <c r="R86" i="82"/>
  <c r="R109" i="82"/>
  <c r="R143" i="82"/>
  <c r="R146" i="82"/>
  <c r="R159" i="82"/>
  <c r="R162" i="82"/>
  <c r="AG17" i="82"/>
  <c r="AG23" i="82"/>
  <c r="R34" i="82"/>
  <c r="R40" i="82"/>
  <c r="R126" i="82"/>
  <c r="R175" i="82"/>
  <c r="R178" i="82"/>
  <c r="R192" i="82"/>
  <c r="R194" i="82"/>
  <c r="R216" i="82"/>
  <c r="AG22" i="82"/>
  <c r="AG30" i="82"/>
  <c r="R36" i="82"/>
  <c r="AG51" i="82"/>
  <c r="R60" i="82"/>
  <c r="AG63" i="82"/>
  <c r="R64" i="82"/>
  <c r="AG79" i="82"/>
  <c r="R80" i="82"/>
  <c r="R107" i="82"/>
  <c r="R141" i="82"/>
  <c r="R157" i="82"/>
  <c r="R208" i="82"/>
  <c r="AG33" i="82"/>
  <c r="R47" i="82"/>
  <c r="R50" i="82"/>
  <c r="R174" i="82"/>
  <c r="R189" i="82"/>
  <c r="R190" i="82"/>
  <c r="AG38" i="82"/>
  <c r="AG46" i="82"/>
  <c r="R52" i="82"/>
  <c r="R56" i="82"/>
  <c r="R74" i="82"/>
  <c r="R90" i="82"/>
  <c r="R105" i="82"/>
  <c r="R108" i="82"/>
  <c r="R139" i="82"/>
  <c r="R206" i="82"/>
  <c r="AR24" i="65"/>
  <c r="AR16" i="65"/>
  <c r="H19" i="88" s="1"/>
  <c r="AR25" i="65"/>
  <c r="L26" i="74" s="1"/>
  <c r="M26" i="74" s="1"/>
  <c r="AR17" i="65"/>
  <c r="H20" i="88" s="1"/>
  <c r="AR26" i="65"/>
  <c r="L27" i="74" s="1"/>
  <c r="M27" i="74" s="1"/>
  <c r="AR18" i="65"/>
  <c r="L20" i="74" s="1"/>
  <c r="AR27" i="65"/>
  <c r="AR11" i="65"/>
  <c r="L13" i="74" s="1"/>
  <c r="AR28" i="65"/>
  <c r="L29" i="74" s="1"/>
  <c r="M29" i="74" s="1"/>
  <c r="AR12" i="65"/>
  <c r="H15" i="88" s="1"/>
  <c r="AR29" i="65"/>
  <c r="L30" i="74" s="1"/>
  <c r="M30" i="74" s="1"/>
  <c r="AR13" i="65"/>
  <c r="AR30" i="65"/>
  <c r="AR10" i="65"/>
  <c r="AR14" i="65"/>
  <c r="H17" i="88" s="1"/>
  <c r="AR31" i="65"/>
  <c r="AR9" i="65"/>
  <c r="AR32" i="65"/>
  <c r="L33" i="74" s="1"/>
  <c r="M33" i="74" s="1"/>
  <c r="AR8" i="65"/>
  <c r="L10" i="74" s="1"/>
  <c r="AR23" i="65"/>
  <c r="AR33" i="65"/>
  <c r="L34" i="74" s="1"/>
  <c r="M34" i="74" s="1"/>
  <c r="AR7" i="65"/>
  <c r="AR34" i="65"/>
  <c r="L35" i="74" s="1"/>
  <c r="M35" i="74" s="1"/>
  <c r="AR6" i="65"/>
  <c r="L8" i="74" s="1"/>
  <c r="AR35" i="65"/>
  <c r="L36" i="74" s="1"/>
  <c r="M36" i="74" s="1"/>
  <c r="AR5" i="65"/>
  <c r="L7" i="74" s="1"/>
  <c r="AR36" i="65"/>
  <c r="AR15" i="65"/>
  <c r="AR37" i="65"/>
  <c r="J8" i="35"/>
  <c r="AR19" i="65"/>
  <c r="J7" i="35"/>
  <c r="G22" i="57"/>
  <c r="G41" i="57"/>
  <c r="G25" i="57"/>
  <c r="AH55" i="82"/>
  <c r="AH28" i="82"/>
  <c r="AH49" i="82"/>
  <c r="AH84" i="82"/>
  <c r="Z2" i="41"/>
  <c r="D55" i="36" s="1"/>
  <c r="D59" i="36" s="1"/>
  <c r="AH27" i="82"/>
  <c r="AH53" i="82"/>
  <c r="G12" i="57"/>
  <c r="H12" i="57" s="1"/>
  <c r="G40" i="57"/>
  <c r="G27" i="57"/>
  <c r="H27" i="57" s="1"/>
  <c r="AH136" i="82"/>
  <c r="AH137" i="82"/>
  <c r="AH138" i="82"/>
  <c r="AH139" i="82"/>
  <c r="AH140" i="82"/>
  <c r="AH141" i="82"/>
  <c r="AH142" i="82"/>
  <c r="AH143" i="82"/>
  <c r="AH144" i="82"/>
  <c r="AH145" i="82"/>
  <c r="AH146" i="82"/>
  <c r="AH147" i="82"/>
  <c r="AH148" i="82"/>
  <c r="AH149" i="82"/>
  <c r="AH150" i="82"/>
  <c r="AH151" i="82"/>
  <c r="AH152" i="82"/>
  <c r="AH153" i="82"/>
  <c r="AH154" i="82"/>
  <c r="AH155" i="82"/>
  <c r="AH156" i="82"/>
  <c r="AH157" i="82"/>
  <c r="AH158" i="82"/>
  <c r="AH159" i="82"/>
  <c r="AH160" i="82"/>
  <c r="AH161" i="82"/>
  <c r="AH162" i="82"/>
  <c r="AH163" i="82"/>
  <c r="AH164" i="82"/>
  <c r="AH165" i="82"/>
  <c r="AH166" i="82"/>
  <c r="AH167" i="82"/>
  <c r="G35" i="57"/>
  <c r="H35" i="57" s="1"/>
  <c r="AH47" i="82"/>
  <c r="AH76" i="82"/>
  <c r="G15" i="57"/>
  <c r="H15" i="57" s="1"/>
  <c r="G30" i="61"/>
  <c r="AH56" i="82"/>
  <c r="G16" i="57"/>
  <c r="H16" i="57" s="1"/>
  <c r="AH25" i="82"/>
  <c r="G37" i="57"/>
  <c r="H37" i="57" s="1"/>
  <c r="G6" i="57"/>
  <c r="AH68" i="82"/>
  <c r="G8" i="57"/>
  <c r="H8" i="57" s="1"/>
  <c r="G20" i="57"/>
  <c r="H20" i="57" s="1"/>
  <c r="G38" i="57"/>
  <c r="H38" i="57" s="1"/>
  <c r="N2" i="88"/>
  <c r="O3" i="88" s="1"/>
  <c r="AA77" i="40"/>
  <c r="N2" i="53"/>
  <c r="D33" i="36"/>
  <c r="AA79" i="40" s="1"/>
  <c r="D32" i="36"/>
  <c r="C358" i="36"/>
  <c r="C357" i="36"/>
  <c r="C359" i="36" s="1"/>
  <c r="AH17" i="82"/>
  <c r="AH23" i="82"/>
  <c r="AH34" i="82"/>
  <c r="AH45" i="82"/>
  <c r="AH51" i="82"/>
  <c r="G11" i="57"/>
  <c r="H11" i="57" s="1"/>
  <c r="G19" i="57"/>
  <c r="H19" i="57" s="1"/>
  <c r="G29" i="57"/>
  <c r="H29" i="57" s="1"/>
  <c r="M10" i="61"/>
  <c r="AH33" i="82"/>
  <c r="AH39" i="82"/>
  <c r="AH50" i="82"/>
  <c r="AH61" i="82"/>
  <c r="C241" i="36"/>
  <c r="C251" i="36" s="1"/>
  <c r="G354" i="36"/>
  <c r="G356" i="36" s="1"/>
  <c r="AH16" i="82"/>
  <c r="AH22" i="82"/>
  <c r="AH44" i="82"/>
  <c r="AH67" i="82"/>
  <c r="AH75" i="82"/>
  <c r="AH83" i="82"/>
  <c r="G30" i="57"/>
  <c r="C242" i="36"/>
  <c r="C252" i="36" s="1"/>
  <c r="D249" i="36" s="1"/>
  <c r="G13" i="57"/>
  <c r="H13" i="57" s="1"/>
  <c r="G21" i="57"/>
  <c r="H21" i="57" s="1"/>
  <c r="C243" i="36"/>
  <c r="C254" i="36" s="1"/>
  <c r="AH32" i="82"/>
  <c r="AH38" i="82"/>
  <c r="AH60" i="82"/>
  <c r="AH66" i="82"/>
  <c r="AH74" i="82"/>
  <c r="AH82" i="82"/>
  <c r="AH90" i="82"/>
  <c r="G36" i="57"/>
  <c r="H36" i="57" s="1"/>
  <c r="C244" i="36"/>
  <c r="C255" i="36" s="1"/>
  <c r="AH15" i="82"/>
  <c r="AH21" i="82"/>
  <c r="AH43" i="82"/>
  <c r="AH91" i="82"/>
  <c r="G14" i="57"/>
  <c r="H14" i="57" s="1"/>
  <c r="G31" i="57"/>
  <c r="F30" i="61"/>
  <c r="C245" i="36"/>
  <c r="C256" i="36" s="1"/>
  <c r="AH26" i="82"/>
  <c r="AH48" i="82"/>
  <c r="AH54" i="82"/>
  <c r="AH65" i="82"/>
  <c r="AH73" i="82"/>
  <c r="AH81" i="82"/>
  <c r="AH89" i="82"/>
  <c r="AH92" i="82"/>
  <c r="AH93" i="82"/>
  <c r="AH94" i="82"/>
  <c r="AH95" i="82"/>
  <c r="AH96" i="82"/>
  <c r="AH97" i="82"/>
  <c r="AH31" i="82"/>
  <c r="AH37" i="82"/>
  <c r="AH59" i="82"/>
  <c r="AH98" i="82"/>
  <c r="AH99" i="82"/>
  <c r="AH100" i="82"/>
  <c r="AH101" i="82"/>
  <c r="AH102" i="82"/>
  <c r="AH103" i="82"/>
  <c r="AH104" i="82"/>
  <c r="AH105" i="82"/>
  <c r="AH106" i="82"/>
  <c r="AH107" i="82"/>
  <c r="AH108" i="82"/>
  <c r="AH109" i="82"/>
  <c r="AH110" i="82"/>
  <c r="AH111" i="82"/>
  <c r="AH112" i="82"/>
  <c r="AH113" i="82"/>
  <c r="H30" i="61"/>
  <c r="AH14" i="82"/>
  <c r="AH20" i="82"/>
  <c r="AH42" i="82"/>
  <c r="AH64" i="82"/>
  <c r="AH72" i="82"/>
  <c r="AH80" i="82"/>
  <c r="AH88" i="82"/>
  <c r="AH114" i="82"/>
  <c r="AH115" i="82"/>
  <c r="AH116" i="82"/>
  <c r="AH117" i="82"/>
  <c r="AH118" i="82"/>
  <c r="AH119" i="82"/>
  <c r="AH120" i="82"/>
  <c r="AH121" i="82"/>
  <c r="AH122" i="82"/>
  <c r="AH123" i="82"/>
  <c r="AH124" i="82"/>
  <c r="AH125" i="82"/>
  <c r="AH126" i="82"/>
  <c r="AH127" i="82"/>
  <c r="AH128" i="82"/>
  <c r="AH129" i="82"/>
  <c r="AH130" i="82"/>
  <c r="AH131" i="82"/>
  <c r="AH132" i="82"/>
  <c r="AH133" i="82"/>
  <c r="AH134" i="82"/>
  <c r="AH135" i="82"/>
  <c r="G32" i="57"/>
  <c r="H32" i="57" s="1"/>
  <c r="I30" i="61"/>
  <c r="AH30" i="82"/>
  <c r="AH36" i="82"/>
  <c r="AH58" i="82"/>
  <c r="AH71" i="82"/>
  <c r="AH79" i="82"/>
  <c r="AH87" i="82"/>
  <c r="AH168" i="82"/>
  <c r="AH169" i="82"/>
  <c r="AH170" i="82"/>
  <c r="AH171" i="82"/>
  <c r="AH172" i="82"/>
  <c r="AH173" i="82"/>
  <c r="AH174" i="82"/>
  <c r="AH175" i="82"/>
  <c r="AH176" i="82"/>
  <c r="AH177" i="82"/>
  <c r="AH178" i="82"/>
  <c r="AH179" i="82"/>
  <c r="AH180" i="82"/>
  <c r="AH181" i="82"/>
  <c r="AH182" i="82"/>
  <c r="AH183" i="82"/>
  <c r="AH184" i="82"/>
  <c r="AH185" i="82"/>
  <c r="AH186" i="82"/>
  <c r="AH187" i="82"/>
  <c r="AH188" i="82"/>
  <c r="AH189" i="82"/>
  <c r="AH190" i="82"/>
  <c r="AH191" i="82"/>
  <c r="AH192" i="82"/>
  <c r="AH193" i="82"/>
  <c r="AH194" i="82"/>
  <c r="AH195" i="82"/>
  <c r="AH196" i="82"/>
  <c r="AH197" i="82"/>
  <c r="AH198" i="82"/>
  <c r="AH199" i="82"/>
  <c r="AH13" i="82"/>
  <c r="AH19" i="82"/>
  <c r="AH41" i="82"/>
  <c r="AH63" i="82"/>
  <c r="AH200" i="82"/>
  <c r="AH201" i="82"/>
  <c r="AH202" i="82"/>
  <c r="AH203" i="82"/>
  <c r="AH204" i="82"/>
  <c r="AH205" i="82"/>
  <c r="AH206" i="82"/>
  <c r="AH207" i="82"/>
  <c r="AH208" i="82"/>
  <c r="AH209" i="82"/>
  <c r="G9" i="57"/>
  <c r="H9" i="57" s="1"/>
  <c r="G17" i="57"/>
  <c r="H17" i="57" s="1"/>
  <c r="G33" i="57"/>
  <c r="AH24" i="82"/>
  <c r="AH46" i="82"/>
  <c r="AH52" i="82"/>
  <c r="AH70" i="82"/>
  <c r="AH78" i="82"/>
  <c r="AH86" i="82"/>
  <c r="AH210" i="82"/>
  <c r="AH211" i="82"/>
  <c r="AH212" i="82"/>
  <c r="AH213" i="82"/>
  <c r="AH214" i="82"/>
  <c r="AH215" i="82"/>
  <c r="AH216" i="82"/>
  <c r="G28" i="57"/>
  <c r="H28" i="57" s="1"/>
  <c r="AH18" i="82"/>
  <c r="AH29" i="82"/>
  <c r="AH35" i="82"/>
  <c r="AH57" i="82"/>
  <c r="G10" i="57"/>
  <c r="H10" i="57" s="1"/>
  <c r="G18" i="57"/>
  <c r="H18" i="57" s="1"/>
  <c r="G39" i="57"/>
  <c r="H39" i="57" s="1"/>
  <c r="AH12" i="82"/>
  <c r="AH40" i="82"/>
  <c r="AH62" i="82"/>
  <c r="AH69" i="82"/>
  <c r="AH77" i="82"/>
  <c r="O19" i="60"/>
  <c r="N3" i="49"/>
  <c r="F2" i="78"/>
  <c r="R22" i="82"/>
  <c r="R54" i="82"/>
  <c r="AG65" i="82"/>
  <c r="AG73" i="82"/>
  <c r="AG81" i="82"/>
  <c r="AG89" i="82"/>
  <c r="R94" i="82"/>
  <c r="R96" i="82"/>
  <c r="R99" i="82"/>
  <c r="R101" i="82"/>
  <c r="R103" i="82"/>
  <c r="R204" i="82"/>
  <c r="AG27" i="82"/>
  <c r="AG59" i="82"/>
  <c r="AG64" i="82"/>
  <c r="AG72" i="82"/>
  <c r="AG80" i="82"/>
  <c r="AG88" i="82"/>
  <c r="R92" i="82"/>
  <c r="R106" i="82"/>
  <c r="R110" i="82"/>
  <c r="R112" i="82"/>
  <c r="R115" i="82"/>
  <c r="R117" i="82"/>
  <c r="R119" i="82"/>
  <c r="AG20" i="82"/>
  <c r="R21" i="82"/>
  <c r="AG26" i="82"/>
  <c r="R27" i="82"/>
  <c r="AG32" i="82"/>
  <c r="R33" i="82"/>
  <c r="AG52" i="82"/>
  <c r="R53" i="82"/>
  <c r="AG58" i="82"/>
  <c r="R59" i="82"/>
  <c r="R65" i="82"/>
  <c r="R73" i="82"/>
  <c r="R81" i="82"/>
  <c r="R89" i="82"/>
  <c r="R102" i="82"/>
  <c r="R121" i="82"/>
  <c r="R123" i="82"/>
  <c r="R125" i="82"/>
  <c r="R127" i="82"/>
  <c r="R129" i="82"/>
  <c r="R20" i="60"/>
  <c r="R122" i="82"/>
  <c r="R128" i="82"/>
  <c r="R131" i="82"/>
  <c r="R133" i="82"/>
  <c r="R135" i="82"/>
  <c r="R13" i="82"/>
  <c r="R39" i="82"/>
  <c r="R45" i="82"/>
  <c r="R137" i="82"/>
  <c r="AG12" i="82"/>
  <c r="AG25" i="82"/>
  <c r="AG31" i="82"/>
  <c r="AG57" i="82"/>
  <c r="AG70" i="82"/>
  <c r="AG78" i="82"/>
  <c r="AG86" i="82"/>
  <c r="R124" i="82"/>
  <c r="R138" i="82"/>
  <c r="R142" i="82"/>
  <c r="R144" i="82"/>
  <c r="R147" i="82"/>
  <c r="R151" i="82"/>
  <c r="R26" i="82"/>
  <c r="R32" i="82"/>
  <c r="R58" i="82"/>
  <c r="AG62" i="82"/>
  <c r="R63" i="82"/>
  <c r="R71" i="82"/>
  <c r="R79" i="82"/>
  <c r="R87" i="82"/>
  <c r="R148" i="82"/>
  <c r="R155" i="82"/>
  <c r="R161" i="82"/>
  <c r="R38" i="82"/>
  <c r="AG69" i="82"/>
  <c r="AG77" i="82"/>
  <c r="AG85" i="82"/>
  <c r="R140" i="82"/>
  <c r="R154" i="82"/>
  <c r="R158" i="82"/>
  <c r="R160" i="82"/>
  <c r="R25" i="82"/>
  <c r="R31" i="82"/>
  <c r="R57" i="82"/>
  <c r="R169" i="82"/>
  <c r="R173" i="82"/>
  <c r="R177" i="82"/>
  <c r="AG43" i="82"/>
  <c r="AG68" i="82"/>
  <c r="AG76" i="82"/>
  <c r="AG84" i="82"/>
  <c r="R170" i="82"/>
  <c r="R176" i="82"/>
  <c r="R179" i="82"/>
  <c r="R181" i="82"/>
  <c r="R17" i="82"/>
  <c r="R37" i="82"/>
  <c r="AG42" i="82"/>
  <c r="R43" i="82"/>
  <c r="R49" i="82"/>
  <c r="R69" i="82"/>
  <c r="R77" i="82"/>
  <c r="R85" i="82"/>
  <c r="R166" i="82"/>
  <c r="R180" i="82"/>
  <c r="R185" i="82"/>
  <c r="R187" i="82"/>
  <c r="R191" i="82"/>
  <c r="AG67" i="82"/>
  <c r="R195" i="82"/>
  <c r="R199" i="82"/>
  <c r="R23" i="82"/>
  <c r="AG28" i="82"/>
  <c r="R29" i="82"/>
  <c r="R55" i="82"/>
  <c r="R61" i="82"/>
  <c r="R68" i="82"/>
  <c r="R76" i="82"/>
  <c r="R84" i="82"/>
  <c r="R196" i="82"/>
  <c r="R201" i="82"/>
  <c r="R203" i="82"/>
  <c r="R205" i="82"/>
  <c r="R207" i="82"/>
  <c r="R209" i="82"/>
  <c r="AG15" i="82"/>
  <c r="AG47" i="82"/>
  <c r="AG60" i="82"/>
  <c r="AG61" i="82"/>
  <c r="AG66" i="82"/>
  <c r="AG74" i="82"/>
  <c r="AG82" i="82"/>
  <c r="AG90" i="82"/>
  <c r="R16" i="82"/>
  <c r="R42" i="82"/>
  <c r="R48" i="82"/>
  <c r="R67" i="82"/>
  <c r="R75" i="82"/>
  <c r="R83" i="82"/>
  <c r="R91" i="82"/>
  <c r="R93" i="82"/>
  <c r="R95" i="82"/>
  <c r="R97" i="82"/>
  <c r="R198" i="82"/>
  <c r="AT19" i="65"/>
  <c r="D19" i="66" s="1"/>
  <c r="R128" i="15"/>
  <c r="U109" i="15"/>
  <c r="R90" i="15"/>
  <c r="S90" i="15"/>
  <c r="M90" i="15"/>
  <c r="D128" i="15"/>
  <c r="H128" i="15"/>
  <c r="K109" i="15"/>
  <c r="K30" i="15"/>
  <c r="E36" i="30"/>
  <c r="G30" i="15"/>
  <c r="M128" i="15"/>
  <c r="H69" i="15"/>
  <c r="H90" i="15" s="1"/>
  <c r="P12" i="31"/>
  <c r="P50" i="31"/>
  <c r="K12" i="15"/>
  <c r="I69" i="15"/>
  <c r="I90" i="15" s="1"/>
  <c r="H30" i="15"/>
  <c r="J69" i="15"/>
  <c r="J90" i="15" s="1"/>
  <c r="M12" i="15"/>
  <c r="U12" i="31"/>
  <c r="U50" i="31"/>
  <c r="N69" i="15"/>
  <c r="N90" i="15" s="1"/>
  <c r="O109" i="15"/>
  <c r="O128" i="15" s="1"/>
  <c r="U30" i="31"/>
  <c r="M30" i="15"/>
  <c r="O69" i="15"/>
  <c r="O90" i="15" s="1"/>
  <c r="G12" i="31"/>
  <c r="P30" i="31"/>
  <c r="G50" i="31"/>
  <c r="R12" i="15"/>
  <c r="S12" i="15"/>
  <c r="D12" i="15"/>
  <c r="T12" i="15"/>
  <c r="D69" i="15"/>
  <c r="T69" i="15"/>
  <c r="U69" i="15" s="1"/>
  <c r="E69" i="15"/>
  <c r="E90" i="15" s="1"/>
  <c r="H12" i="15"/>
  <c r="D30" i="15"/>
  <c r="J95" i="15"/>
  <c r="G35" i="15"/>
  <c r="D41" i="30"/>
  <c r="N95" i="15"/>
  <c r="O95" i="15"/>
  <c r="U114" i="15"/>
  <c r="R133" i="15"/>
  <c r="W19" i="30"/>
  <c r="U55" i="15"/>
  <c r="S95" i="15"/>
  <c r="I41" i="30"/>
  <c r="U35" i="15"/>
  <c r="D133" i="15"/>
  <c r="F95" i="15"/>
  <c r="I95" i="15"/>
  <c r="K35" i="31"/>
  <c r="L35" i="31" s="1"/>
  <c r="S17" i="15"/>
  <c r="O35" i="15"/>
  <c r="R55" i="15"/>
  <c r="R95" i="15" s="1"/>
  <c r="M74" i="15"/>
  <c r="P74" i="15" s="1"/>
  <c r="H114" i="15"/>
  <c r="D17" i="15"/>
  <c r="T17" i="15"/>
  <c r="I114" i="15"/>
  <c r="I133" i="15" s="1"/>
  <c r="E17" i="15"/>
  <c r="D55" i="15"/>
  <c r="J114" i="15"/>
  <c r="J133" i="15" s="1"/>
  <c r="R35" i="15"/>
  <c r="K17" i="31"/>
  <c r="S35" i="15"/>
  <c r="D35" i="15"/>
  <c r="T35" i="15"/>
  <c r="M114" i="15"/>
  <c r="P55" i="31"/>
  <c r="E35" i="15"/>
  <c r="H55" i="15"/>
  <c r="H95" i="15" s="1"/>
  <c r="N114" i="15"/>
  <c r="N133" i="15" s="1"/>
  <c r="F35" i="15"/>
  <c r="D74" i="15"/>
  <c r="G74" i="15" s="1"/>
  <c r="T74" i="15"/>
  <c r="U74" i="15" s="1"/>
  <c r="O114" i="15"/>
  <c r="O133" i="15" s="1"/>
  <c r="G17" i="31"/>
  <c r="H35" i="15"/>
  <c r="I35" i="15"/>
  <c r="J35" i="15"/>
  <c r="D40" i="30"/>
  <c r="G34" i="15"/>
  <c r="E94" i="15"/>
  <c r="F94" i="15"/>
  <c r="D132" i="15"/>
  <c r="G16" i="15"/>
  <c r="P34" i="15"/>
  <c r="G40" i="30"/>
  <c r="U34" i="15"/>
  <c r="I40" i="30"/>
  <c r="S94" i="15"/>
  <c r="T94" i="15"/>
  <c r="M113" i="15"/>
  <c r="K34" i="31"/>
  <c r="E16" i="15"/>
  <c r="O34" i="15"/>
  <c r="I73" i="15"/>
  <c r="N113" i="15"/>
  <c r="N132" i="15" s="1"/>
  <c r="U54" i="31"/>
  <c r="F16" i="15"/>
  <c r="J73" i="15"/>
  <c r="J94" i="15" s="1"/>
  <c r="O113" i="15"/>
  <c r="O132" i="15" s="1"/>
  <c r="P16" i="31"/>
  <c r="H16" i="15"/>
  <c r="R34" i="15"/>
  <c r="I16" i="15"/>
  <c r="S34" i="15"/>
  <c r="M73" i="15"/>
  <c r="M94" i="15" s="1"/>
  <c r="R113" i="15"/>
  <c r="J16" i="15"/>
  <c r="D34" i="15"/>
  <c r="T34" i="15"/>
  <c r="N73" i="15"/>
  <c r="N94" i="15" s="1"/>
  <c r="S113" i="15"/>
  <c r="S132" i="15" s="1"/>
  <c r="E34" i="15"/>
  <c r="U16" i="31"/>
  <c r="K54" i="31"/>
  <c r="F34" i="15"/>
  <c r="G54" i="15"/>
  <c r="F113" i="15"/>
  <c r="F132" i="15" s="1"/>
  <c r="R73" i="15"/>
  <c r="U73" i="15" s="1"/>
  <c r="H113" i="15"/>
  <c r="D73" i="15"/>
  <c r="G73" i="15" s="1"/>
  <c r="P54" i="31"/>
  <c r="G17" i="30"/>
  <c r="P15" i="15"/>
  <c r="R131" i="15"/>
  <c r="O93" i="15"/>
  <c r="E17" i="30"/>
  <c r="K15" i="15"/>
  <c r="W17" i="30"/>
  <c r="U53" i="15"/>
  <c r="U15" i="31"/>
  <c r="O33" i="15"/>
  <c r="D72" i="15"/>
  <c r="T72" i="15"/>
  <c r="U72" i="15" s="1"/>
  <c r="D112" i="15"/>
  <c r="T112" i="15"/>
  <c r="T131" i="15" s="1"/>
  <c r="P53" i="31"/>
  <c r="H15" i="15"/>
  <c r="E72" i="15"/>
  <c r="E93" i="15" s="1"/>
  <c r="E112" i="15"/>
  <c r="E131" i="15" s="1"/>
  <c r="E39" i="30"/>
  <c r="G15" i="31"/>
  <c r="I15" i="15"/>
  <c r="F72" i="15"/>
  <c r="F93" i="15" s="1"/>
  <c r="J15" i="15"/>
  <c r="R33" i="15"/>
  <c r="P33" i="31"/>
  <c r="H72" i="15"/>
  <c r="H93" i="15" s="1"/>
  <c r="H112" i="15"/>
  <c r="D33" i="15"/>
  <c r="R53" i="15"/>
  <c r="R93" i="15" s="1"/>
  <c r="I72" i="15"/>
  <c r="I93" i="15" s="1"/>
  <c r="M15" i="15"/>
  <c r="J72" i="15"/>
  <c r="J93" i="15" s="1"/>
  <c r="N15" i="15"/>
  <c r="D53" i="15"/>
  <c r="O15" i="15"/>
  <c r="U33" i="31"/>
  <c r="M72" i="15"/>
  <c r="P72" i="15" s="1"/>
  <c r="M112" i="15"/>
  <c r="R15" i="15"/>
  <c r="P52" i="15"/>
  <c r="U16" i="30"/>
  <c r="G38" i="30"/>
  <c r="P32" i="15"/>
  <c r="H130" i="15"/>
  <c r="K111" i="15"/>
  <c r="R16" i="30"/>
  <c r="G52" i="15"/>
  <c r="M32" i="15"/>
  <c r="H52" i="15"/>
  <c r="E16" i="30"/>
  <c r="O71" i="15"/>
  <c r="P71" i="15" s="1"/>
  <c r="M111" i="15"/>
  <c r="P14" i="31"/>
  <c r="R71" i="15"/>
  <c r="N111" i="15"/>
  <c r="N130" i="15" s="1"/>
  <c r="M52" i="15"/>
  <c r="M92" i="15" s="1"/>
  <c r="S71" i="15"/>
  <c r="S92" i="15" s="1"/>
  <c r="O111" i="15"/>
  <c r="O130" i="15" s="1"/>
  <c r="D71" i="15"/>
  <c r="T71" i="15"/>
  <c r="T92" i="15" s="1"/>
  <c r="E71" i="15"/>
  <c r="E92" i="15" s="1"/>
  <c r="E32" i="15"/>
  <c r="U32" i="15"/>
  <c r="F71" i="15"/>
  <c r="R111" i="15"/>
  <c r="U14" i="31"/>
  <c r="S111" i="15"/>
  <c r="S130" i="15" s="1"/>
  <c r="R52" i="15"/>
  <c r="H71" i="15"/>
  <c r="D111" i="15"/>
  <c r="T111" i="15"/>
  <c r="T130" i="15" s="1"/>
  <c r="H32" i="15"/>
  <c r="I71" i="15"/>
  <c r="I92" i="15" s="1"/>
  <c r="E111" i="15"/>
  <c r="E130" i="15" s="1"/>
  <c r="G14" i="31"/>
  <c r="D52" i="15"/>
  <c r="J71" i="15"/>
  <c r="J92" i="15" s="1"/>
  <c r="F111" i="15"/>
  <c r="F130" i="15" s="1"/>
  <c r="S15" i="30"/>
  <c r="K51" i="15"/>
  <c r="I91" i="15"/>
  <c r="M129" i="15"/>
  <c r="P110" i="15"/>
  <c r="J91" i="15"/>
  <c r="M91" i="15"/>
  <c r="N91" i="15"/>
  <c r="AB15" i="30"/>
  <c r="T91" i="15"/>
  <c r="G13" i="15"/>
  <c r="K13" i="15"/>
  <c r="E15" i="30"/>
  <c r="G51" i="15"/>
  <c r="L51" i="31"/>
  <c r="G31" i="31"/>
  <c r="U15" i="30"/>
  <c r="E13" i="15"/>
  <c r="J31" i="15"/>
  <c r="D51" i="15"/>
  <c r="D91" i="15" s="1"/>
  <c r="H70" i="15"/>
  <c r="K70" i="15" s="1"/>
  <c r="F13" i="15"/>
  <c r="G15" i="30"/>
  <c r="R110" i="15"/>
  <c r="K31" i="31"/>
  <c r="I13" i="15"/>
  <c r="N31" i="15"/>
  <c r="H51" i="15"/>
  <c r="D110" i="15"/>
  <c r="J13" i="15"/>
  <c r="O31" i="15"/>
  <c r="O70" i="15"/>
  <c r="O91" i="15" s="1"/>
  <c r="U13" i="31"/>
  <c r="U51" i="31"/>
  <c r="M13" i="15"/>
  <c r="R31" i="15"/>
  <c r="H110" i="15"/>
  <c r="N13" i="15"/>
  <c r="D31" i="15"/>
  <c r="T31" i="15"/>
  <c r="R70" i="15"/>
  <c r="U70" i="15" s="1"/>
  <c r="F31" i="15"/>
  <c r="K75" i="15"/>
  <c r="I96" i="15"/>
  <c r="H134" i="15"/>
  <c r="K115" i="15"/>
  <c r="P115" i="15"/>
  <c r="M134" i="15"/>
  <c r="M96" i="15"/>
  <c r="U20" i="30"/>
  <c r="P56" i="15"/>
  <c r="G18" i="31"/>
  <c r="K36" i="31"/>
  <c r="K56" i="31"/>
  <c r="F18" i="15"/>
  <c r="H36" i="15"/>
  <c r="O56" i="15"/>
  <c r="O96" i="15" s="1"/>
  <c r="R115" i="15"/>
  <c r="I36" i="15"/>
  <c r="S115" i="15"/>
  <c r="S134" i="15" s="1"/>
  <c r="U18" i="31"/>
  <c r="H18" i="15"/>
  <c r="J36" i="15"/>
  <c r="R75" i="15"/>
  <c r="D115" i="15"/>
  <c r="T115" i="15"/>
  <c r="T134" i="15" s="1"/>
  <c r="K18" i="31"/>
  <c r="I42" i="30"/>
  <c r="I18" i="15"/>
  <c r="S75" i="15"/>
  <c r="S96" i="15" s="1"/>
  <c r="E115" i="15"/>
  <c r="E134" i="15" s="1"/>
  <c r="J18" i="15"/>
  <c r="D75" i="15"/>
  <c r="D96" i="15" s="1"/>
  <c r="T75" i="15"/>
  <c r="P36" i="31"/>
  <c r="M36" i="15"/>
  <c r="E75" i="15"/>
  <c r="N36" i="15"/>
  <c r="E56" i="15"/>
  <c r="F75" i="15"/>
  <c r="F96" i="15" s="1"/>
  <c r="M18" i="15"/>
  <c r="O36" i="15"/>
  <c r="P18" i="31"/>
  <c r="N18" i="15"/>
  <c r="O18" i="15"/>
  <c r="G36" i="31"/>
  <c r="AD9" i="30"/>
  <c r="U104" i="15"/>
  <c r="R123" i="15"/>
  <c r="R9" i="30"/>
  <c r="L45" i="31"/>
  <c r="G45" i="15"/>
  <c r="K45" i="15"/>
  <c r="S9" i="30"/>
  <c r="G104" i="15"/>
  <c r="D123" i="15"/>
  <c r="O85" i="15"/>
  <c r="H123" i="15"/>
  <c r="K104" i="15"/>
  <c r="R85" i="15"/>
  <c r="S64" i="15"/>
  <c r="O7" i="15"/>
  <c r="D64" i="15"/>
  <c r="T64" i="15"/>
  <c r="T85" i="15" s="1"/>
  <c r="E20" i="31"/>
  <c r="G7" i="31"/>
  <c r="U25" i="31"/>
  <c r="P45" i="31"/>
  <c r="E64" i="15"/>
  <c r="M104" i="15"/>
  <c r="R25" i="15"/>
  <c r="F64" i="15"/>
  <c r="F85" i="15" s="1"/>
  <c r="G25" i="31"/>
  <c r="W9" i="30"/>
  <c r="R7" i="15"/>
  <c r="E45" i="15"/>
  <c r="S7" i="15"/>
  <c r="H64" i="15"/>
  <c r="K7" i="31"/>
  <c r="I9" i="30"/>
  <c r="D7" i="15"/>
  <c r="T7" i="15"/>
  <c r="I64" i="15"/>
  <c r="I85" i="15" s="1"/>
  <c r="E7" i="15"/>
  <c r="H45" i="15"/>
  <c r="J64" i="15"/>
  <c r="J85" i="15" s="1"/>
  <c r="K25" i="31"/>
  <c r="F7" i="15"/>
  <c r="H7" i="15"/>
  <c r="M64" i="15"/>
  <c r="M85" i="15" s="1"/>
  <c r="P7" i="31"/>
  <c r="I7" i="15"/>
  <c r="N64" i="15"/>
  <c r="N85" i="15" s="1"/>
  <c r="J7" i="15"/>
  <c r="P25" i="31"/>
  <c r="L8" i="31"/>
  <c r="G8" i="15"/>
  <c r="AB10" i="30"/>
  <c r="G65" i="15"/>
  <c r="U46" i="15"/>
  <c r="W10" i="30"/>
  <c r="K8" i="15"/>
  <c r="E10" i="30"/>
  <c r="S86" i="15"/>
  <c r="K65" i="15"/>
  <c r="M124" i="15"/>
  <c r="F86" i="15"/>
  <c r="I86" i="15"/>
  <c r="W32" i="30"/>
  <c r="P32" i="30"/>
  <c r="J86" i="15"/>
  <c r="P8" i="31"/>
  <c r="G26" i="31"/>
  <c r="O26" i="15"/>
  <c r="M65" i="15"/>
  <c r="M86" i="15" s="1"/>
  <c r="O105" i="15"/>
  <c r="O124" i="15" s="1"/>
  <c r="R8" i="15"/>
  <c r="N65" i="15"/>
  <c r="N86" i="15" s="1"/>
  <c r="S8" i="15"/>
  <c r="D8" i="15"/>
  <c r="T8" i="15"/>
  <c r="R26" i="15"/>
  <c r="R105" i="15"/>
  <c r="E8" i="15"/>
  <c r="S26" i="15"/>
  <c r="R46" i="15"/>
  <c r="R86" i="15" s="1"/>
  <c r="F8" i="15"/>
  <c r="D26" i="15"/>
  <c r="T26" i="15"/>
  <c r="D105" i="15"/>
  <c r="E26" i="15"/>
  <c r="D46" i="15"/>
  <c r="D86" i="15" s="1"/>
  <c r="H8" i="15"/>
  <c r="F26" i="15"/>
  <c r="I8" i="15"/>
  <c r="P26" i="31"/>
  <c r="J8" i="15"/>
  <c r="H26" i="15"/>
  <c r="H105" i="15"/>
  <c r="I26" i="15"/>
  <c r="J26" i="15"/>
  <c r="M8" i="15"/>
  <c r="N8" i="15"/>
  <c r="S30" i="30"/>
  <c r="L30" i="30"/>
  <c r="G63" i="15"/>
  <c r="S84" i="15"/>
  <c r="F84" i="15"/>
  <c r="H84" i="15"/>
  <c r="J84" i="15"/>
  <c r="N84" i="15"/>
  <c r="G24" i="31"/>
  <c r="E6" i="15"/>
  <c r="R24" i="15"/>
  <c r="O63" i="15"/>
  <c r="P63" i="15" s="1"/>
  <c r="M103" i="15"/>
  <c r="F6" i="15"/>
  <c r="S24" i="15"/>
  <c r="N103" i="15"/>
  <c r="N122" i="15" s="1"/>
  <c r="R44" i="15"/>
  <c r="R84" i="15" s="1"/>
  <c r="O103" i="15"/>
  <c r="O122" i="15" s="1"/>
  <c r="K24" i="31"/>
  <c r="L44" i="31"/>
  <c r="I6" i="15"/>
  <c r="F24" i="15"/>
  <c r="H24" i="15"/>
  <c r="S103" i="15"/>
  <c r="S122" i="15" s="1"/>
  <c r="I24" i="15"/>
  <c r="G44" i="15"/>
  <c r="D103" i="15"/>
  <c r="T103" i="15"/>
  <c r="T122" i="15" s="1"/>
  <c r="P6" i="31"/>
  <c r="P44" i="31"/>
  <c r="J24" i="15"/>
  <c r="E103" i="15"/>
  <c r="E122" i="15" s="1"/>
  <c r="P24" i="31"/>
  <c r="J58" i="31"/>
  <c r="K44" i="15"/>
  <c r="N58" i="31"/>
  <c r="N24" i="15"/>
  <c r="U6" i="31"/>
  <c r="R58" i="31"/>
  <c r="K103" i="15"/>
  <c r="G76" i="15"/>
  <c r="E97" i="15"/>
  <c r="F97" i="15"/>
  <c r="Z21" i="30"/>
  <c r="W43" i="30"/>
  <c r="P43" i="30"/>
  <c r="W21" i="30"/>
  <c r="U57" i="15"/>
  <c r="S97" i="15"/>
  <c r="K19" i="31"/>
  <c r="U37" i="31"/>
  <c r="I76" i="15"/>
  <c r="I97" i="15" s="1"/>
  <c r="F116" i="15"/>
  <c r="F135" i="15" s="1"/>
  <c r="R37" i="15"/>
  <c r="J76" i="15"/>
  <c r="J97" i="15" s="1"/>
  <c r="G37" i="31"/>
  <c r="H38" i="31"/>
  <c r="G19" i="15"/>
  <c r="S37" i="15"/>
  <c r="H116" i="15"/>
  <c r="D37" i="15"/>
  <c r="T37" i="15"/>
  <c r="R57" i="15"/>
  <c r="R97" i="15" s="1"/>
  <c r="I116" i="15"/>
  <c r="I135" i="15" s="1"/>
  <c r="P19" i="31"/>
  <c r="E37" i="15"/>
  <c r="M76" i="15"/>
  <c r="M97" i="15" s="1"/>
  <c r="J116" i="15"/>
  <c r="J135" i="15" s="1"/>
  <c r="F37" i="15"/>
  <c r="D57" i="15"/>
  <c r="D97" i="15" s="1"/>
  <c r="N76" i="15"/>
  <c r="N97" i="15" s="1"/>
  <c r="K37" i="31"/>
  <c r="M116" i="15"/>
  <c r="N116" i="15"/>
  <c r="N135" i="15" s="1"/>
  <c r="U19" i="31"/>
  <c r="O116" i="15"/>
  <c r="O135" i="15" s="1"/>
  <c r="P37" i="31"/>
  <c r="R116" i="15"/>
  <c r="U13" i="30"/>
  <c r="P49" i="15"/>
  <c r="U49" i="15"/>
  <c r="W13" i="30"/>
  <c r="S89" i="15"/>
  <c r="H127" i="15"/>
  <c r="K108" i="15"/>
  <c r="U11" i="31"/>
  <c r="H11" i="15"/>
  <c r="E68" i="15"/>
  <c r="K49" i="31"/>
  <c r="I11" i="15"/>
  <c r="R29" i="15"/>
  <c r="F68" i="15"/>
  <c r="F89" i="15" s="1"/>
  <c r="M108" i="15"/>
  <c r="J11" i="15"/>
  <c r="S29" i="15"/>
  <c r="N108" i="15"/>
  <c r="N127" i="15" s="1"/>
  <c r="G11" i="31"/>
  <c r="K29" i="31"/>
  <c r="O49" i="15"/>
  <c r="H68" i="15"/>
  <c r="O108" i="15"/>
  <c r="O127" i="15" s="1"/>
  <c r="I68" i="15"/>
  <c r="I89" i="15" s="1"/>
  <c r="J38" i="31"/>
  <c r="I58" i="31"/>
  <c r="M11" i="15"/>
  <c r="J68" i="15"/>
  <c r="J89" i="15" s="1"/>
  <c r="K11" i="31"/>
  <c r="R49" i="15"/>
  <c r="R89" i="15" s="1"/>
  <c r="R108" i="15"/>
  <c r="S108" i="15"/>
  <c r="S127" i="15" s="1"/>
  <c r="P29" i="31"/>
  <c r="M68" i="15"/>
  <c r="D108" i="15"/>
  <c r="T108" i="15"/>
  <c r="T127" i="15" s="1"/>
  <c r="N68" i="15"/>
  <c r="N89" i="15" s="1"/>
  <c r="E108" i="15"/>
  <c r="E127" i="15" s="1"/>
  <c r="O68" i="15"/>
  <c r="F108" i="15"/>
  <c r="F127" i="15" s="1"/>
  <c r="R38" i="31"/>
  <c r="U29" i="31"/>
  <c r="G67" i="15"/>
  <c r="L48" i="31"/>
  <c r="S12" i="30"/>
  <c r="K48" i="15"/>
  <c r="S34" i="30"/>
  <c r="L34" i="30"/>
  <c r="N88" i="15"/>
  <c r="K107" i="15"/>
  <c r="H126" i="15"/>
  <c r="P28" i="15"/>
  <c r="T88" i="15"/>
  <c r="E10" i="15"/>
  <c r="M107" i="15"/>
  <c r="G28" i="31"/>
  <c r="M58" i="31"/>
  <c r="F10" i="15"/>
  <c r="M28" i="15"/>
  <c r="M67" i="15"/>
  <c r="P67" i="15" s="1"/>
  <c r="N107" i="15"/>
  <c r="N126" i="15" s="1"/>
  <c r="K10" i="31"/>
  <c r="S58" i="31"/>
  <c r="N28" i="15"/>
  <c r="G48" i="15"/>
  <c r="O107" i="15"/>
  <c r="H10" i="15"/>
  <c r="O28" i="15"/>
  <c r="H48" i="15"/>
  <c r="H88" i="15" s="1"/>
  <c r="N20" i="31"/>
  <c r="I10" i="15"/>
  <c r="P10" i="31"/>
  <c r="K28" i="31"/>
  <c r="J10" i="15"/>
  <c r="R107" i="15"/>
  <c r="R28" i="15"/>
  <c r="R67" i="15"/>
  <c r="U67" i="15" s="1"/>
  <c r="S28" i="15"/>
  <c r="D107" i="15"/>
  <c r="T107" i="15"/>
  <c r="T126" i="15" s="1"/>
  <c r="M20" i="31"/>
  <c r="E58" i="31"/>
  <c r="D28" i="15"/>
  <c r="T28" i="15"/>
  <c r="M48" i="15"/>
  <c r="E28" i="15"/>
  <c r="U10" i="31"/>
  <c r="O38" i="31"/>
  <c r="F28" i="15"/>
  <c r="H28" i="15"/>
  <c r="I28" i="15"/>
  <c r="O58" i="31"/>
  <c r="S87" i="15"/>
  <c r="T87" i="15"/>
  <c r="T58" i="15"/>
  <c r="I125" i="15"/>
  <c r="O125" i="15"/>
  <c r="D87" i="15"/>
  <c r="F58" i="15"/>
  <c r="U11" i="30"/>
  <c r="T58" i="31"/>
  <c r="S38" i="31"/>
  <c r="G47" i="31"/>
  <c r="F58" i="31"/>
  <c r="J66" i="15"/>
  <c r="K66" i="15" s="1"/>
  <c r="U27" i="31"/>
  <c r="D38" i="31"/>
  <c r="T38" i="31"/>
  <c r="R27" i="15"/>
  <c r="H47" i="15"/>
  <c r="R20" i="31"/>
  <c r="E38" i="31"/>
  <c r="H58" i="31"/>
  <c r="M9" i="15"/>
  <c r="S27" i="15"/>
  <c r="I47" i="15"/>
  <c r="R106" i="15"/>
  <c r="D58" i="31"/>
  <c r="E47" i="15"/>
  <c r="S20" i="31"/>
  <c r="G27" i="31"/>
  <c r="F38" i="31"/>
  <c r="N9" i="15"/>
  <c r="D27" i="15"/>
  <c r="T27" i="15"/>
  <c r="J47" i="15"/>
  <c r="M66" i="15"/>
  <c r="S106" i="15"/>
  <c r="U47" i="31"/>
  <c r="N106" i="15"/>
  <c r="U9" i="31"/>
  <c r="D20" i="31"/>
  <c r="T20" i="31"/>
  <c r="O9" i="15"/>
  <c r="E27" i="15"/>
  <c r="N66" i="15"/>
  <c r="D106" i="15"/>
  <c r="T106" i="15"/>
  <c r="G9" i="31"/>
  <c r="F20" i="31"/>
  <c r="I38" i="31"/>
  <c r="M47" i="15"/>
  <c r="F106" i="15"/>
  <c r="N47" i="15"/>
  <c r="H20" i="31"/>
  <c r="I27" i="15"/>
  <c r="O47" i="15"/>
  <c r="R66" i="15"/>
  <c r="H106" i="15"/>
  <c r="I20" i="31"/>
  <c r="K9" i="31"/>
  <c r="J20" i="31"/>
  <c r="M38" i="31"/>
  <c r="J106" i="15"/>
  <c r="K27" i="31"/>
  <c r="N38" i="31"/>
  <c r="R47" i="15"/>
  <c r="P27" i="31"/>
  <c r="M106" i="15"/>
  <c r="O20" i="31"/>
  <c r="U42" i="30" l="1"/>
  <c r="S41" i="30"/>
  <c r="P35" i="15"/>
  <c r="E8" i="30"/>
  <c r="U68" i="15"/>
  <c r="U48" i="15"/>
  <c r="BM87" i="70"/>
  <c r="AY87" i="77"/>
  <c r="AY87" i="70" s="1"/>
  <c r="AA13" i="39"/>
  <c r="AA28" i="39"/>
  <c r="AA12" i="39"/>
  <c r="AA67" i="39"/>
  <c r="AA29" i="39"/>
  <c r="T1" i="51"/>
  <c r="AA30" i="39"/>
  <c r="AA9" i="39"/>
  <c r="AA24" i="39"/>
  <c r="AK68" i="70"/>
  <c r="AA25" i="39"/>
  <c r="D4" i="43"/>
  <c r="BM92" i="70"/>
  <c r="AA5" i="39"/>
  <c r="AA18" i="39"/>
  <c r="AA66" i="39"/>
  <c r="AA64" i="39"/>
  <c r="BR80" i="77"/>
  <c r="BR80" i="70" s="1"/>
  <c r="AA35" i="39"/>
  <c r="AA14" i="39"/>
  <c r="BF1" i="51"/>
  <c r="AA19" i="39"/>
  <c r="AJ61" i="70"/>
  <c r="AA71" i="39"/>
  <c r="Y1" i="51"/>
  <c r="AA63" i="39"/>
  <c r="BW92" i="77"/>
  <c r="BW92" i="70" s="1"/>
  <c r="AF95" i="77"/>
  <c r="AF95" i="70" s="1"/>
  <c r="BI94" i="77"/>
  <c r="BI94" i="70" s="1"/>
  <c r="AA31" i="39"/>
  <c r="AA10" i="39"/>
  <c r="I1" i="51"/>
  <c r="AA15" i="39"/>
  <c r="AA69" i="39"/>
  <c r="AB34" i="39"/>
  <c r="AA16" i="39"/>
  <c r="AK48" i="70"/>
  <c r="AA11" i="39"/>
  <c r="BR95" i="77"/>
  <c r="BR95" i="70" s="1"/>
  <c r="AA23" i="39"/>
  <c r="AA36" i="39"/>
  <c r="AA7" i="39"/>
  <c r="AA8" i="39"/>
  <c r="AP76" i="77"/>
  <c r="AP76" i="70" s="1"/>
  <c r="AK76" i="70"/>
  <c r="AK95" i="77"/>
  <c r="AK95" i="70" s="1"/>
  <c r="U56" i="15"/>
  <c r="U17" i="15"/>
  <c r="L16" i="31"/>
  <c r="E18" i="30"/>
  <c r="F87" i="15"/>
  <c r="U12" i="30"/>
  <c r="G109" i="15"/>
  <c r="BW86" i="77"/>
  <c r="BW86" i="70" s="1"/>
  <c r="S14" i="30"/>
  <c r="E38" i="30"/>
  <c r="S19" i="30"/>
  <c r="E31" i="60"/>
  <c r="E32" i="60" s="1"/>
  <c r="BR96" i="77"/>
  <c r="BR96" i="70" s="1"/>
  <c r="U26" i="15"/>
  <c r="AD5" i="51"/>
  <c r="L6" i="31"/>
  <c r="AB5" i="51"/>
  <c r="AA99" i="77"/>
  <c r="AA99" i="70" s="1"/>
  <c r="W5" i="41"/>
  <c r="AD18" i="39"/>
  <c r="K47" i="15"/>
  <c r="W16" i="30"/>
  <c r="AT80" i="70"/>
  <c r="P9" i="15"/>
  <c r="R13" i="30"/>
  <c r="L30" i="31"/>
  <c r="AB30" i="39"/>
  <c r="S17" i="30"/>
  <c r="I37" i="30"/>
  <c r="G37" i="30"/>
  <c r="L33" i="31"/>
  <c r="D39" i="30"/>
  <c r="I30" i="30"/>
  <c r="W8" i="30"/>
  <c r="U8" i="15"/>
  <c r="G46" i="15"/>
  <c r="U21" i="30"/>
  <c r="G29" i="15"/>
  <c r="D36" i="30"/>
  <c r="Z28" i="39"/>
  <c r="BW93" i="77"/>
  <c r="BW93" i="70" s="1"/>
  <c r="Z25" i="39"/>
  <c r="Z6" i="39"/>
  <c r="L52" i="31"/>
  <c r="BW85" i="77"/>
  <c r="BW85" i="70" s="1"/>
  <c r="AC5" i="51"/>
  <c r="AD6" i="39"/>
  <c r="B54" i="37"/>
  <c r="BI95" i="77"/>
  <c r="BI95" i="70" s="1"/>
  <c r="AP74" i="77"/>
  <c r="AP74" i="70" s="1"/>
  <c r="AK74" i="70"/>
  <c r="BI50" i="70"/>
  <c r="AX61" i="70"/>
  <c r="G19" i="30"/>
  <c r="G31" i="60"/>
  <c r="G32" i="60" s="1"/>
  <c r="AA5" i="51"/>
  <c r="G6" i="15"/>
  <c r="U63" i="15"/>
  <c r="BI57" i="70"/>
  <c r="AA1" i="51"/>
  <c r="AA28" i="51" s="1"/>
  <c r="S88" i="15"/>
  <c r="G70" i="15"/>
  <c r="G114" i="15"/>
  <c r="K19" i="30" s="1"/>
  <c r="AF47" i="70"/>
  <c r="BQ99" i="77"/>
  <c r="BQ99" i="70" s="1"/>
  <c r="F31" i="60"/>
  <c r="F32" i="60" s="1"/>
  <c r="AX99" i="77"/>
  <c r="AX99" i="70" s="1"/>
  <c r="Z5" i="51"/>
  <c r="AY88" i="77"/>
  <c r="AY88" i="70" s="1"/>
  <c r="AD7" i="39"/>
  <c r="S16" i="30"/>
  <c r="L46" i="31"/>
  <c r="K52" i="15"/>
  <c r="BQ85" i="70"/>
  <c r="BR85" i="77"/>
  <c r="BR85" i="70" s="1"/>
  <c r="D31" i="60"/>
  <c r="D32" i="60" s="1"/>
  <c r="Y5" i="51"/>
  <c r="U28" i="15"/>
  <c r="G13" i="30"/>
  <c r="U10" i="30"/>
  <c r="BD77" i="77"/>
  <c r="Z7" i="39"/>
  <c r="AD10" i="39"/>
  <c r="AP75" i="77"/>
  <c r="AP75" i="70" s="1"/>
  <c r="X5" i="51"/>
  <c r="AD5" i="39"/>
  <c r="AD24" i="39"/>
  <c r="AK47" i="77"/>
  <c r="T5" i="51"/>
  <c r="K46" i="15"/>
  <c r="H31" i="60"/>
  <c r="H32" i="60" s="1"/>
  <c r="Q31" i="60"/>
  <c r="Q32" i="60" s="1"/>
  <c r="M31" i="60"/>
  <c r="M32" i="60" s="1"/>
  <c r="AK93" i="77"/>
  <c r="AK93" i="70" s="1"/>
  <c r="W5" i="51"/>
  <c r="O31" i="60"/>
  <c r="O32" i="60" s="1"/>
  <c r="AF93" i="77"/>
  <c r="AF93" i="70" s="1"/>
  <c r="V5" i="51"/>
  <c r="AD28" i="39"/>
  <c r="U5" i="51"/>
  <c r="I31" i="60"/>
  <c r="I32" i="60" s="1"/>
  <c r="AF79" i="70"/>
  <c r="AE5" i="51"/>
  <c r="W19" i="39"/>
  <c r="BD78" i="70"/>
  <c r="BI78" i="77"/>
  <c r="BI78" i="70" s="1"/>
  <c r="N31" i="60"/>
  <c r="N32" i="60" s="1"/>
  <c r="K24" i="43"/>
  <c r="AA953" i="72" s="1"/>
  <c r="B9" i="37"/>
  <c r="R9" i="37" s="1"/>
  <c r="Z10" i="39"/>
  <c r="AB7" i="39"/>
  <c r="E4" i="43"/>
  <c r="M993" i="72" s="1"/>
  <c r="Z29" i="39"/>
  <c r="Z11" i="39"/>
  <c r="AF68" i="70"/>
  <c r="BP99" i="70"/>
  <c r="B34" i="37"/>
  <c r="AE35" i="37" s="1"/>
  <c r="L31" i="60"/>
  <c r="L32" i="60" s="1"/>
  <c r="L56" i="31"/>
  <c r="J31" i="60"/>
  <c r="J32" i="60" s="1"/>
  <c r="R31" i="60"/>
  <c r="Z24" i="39"/>
  <c r="B44" i="37"/>
  <c r="P45" i="37" s="1"/>
  <c r="G116" i="15"/>
  <c r="K1" i="51"/>
  <c r="K32" i="51" s="1"/>
  <c r="BB1" i="51"/>
  <c r="Z19" i="39"/>
  <c r="C79" i="36"/>
  <c r="C80" i="36"/>
  <c r="AK57" i="70"/>
  <c r="BH1" i="51"/>
  <c r="Z36" i="39"/>
  <c r="Z18" i="39"/>
  <c r="U1" i="51"/>
  <c r="AB8" i="39"/>
  <c r="P31" i="60"/>
  <c r="P32" i="60" s="1"/>
  <c r="BR98" i="77"/>
  <c r="BR98" i="70" s="1"/>
  <c r="L53" i="31"/>
  <c r="BW87" i="77"/>
  <c r="BW87" i="70" s="1"/>
  <c r="BR94" i="77"/>
  <c r="BR94" i="70" s="1"/>
  <c r="M95" i="15"/>
  <c r="E1" i="51"/>
  <c r="Z33" i="39"/>
  <c r="Z15" i="39"/>
  <c r="Z32" i="39"/>
  <c r="BE5" i="51"/>
  <c r="BK5" i="51"/>
  <c r="BF5" i="51"/>
  <c r="AK58" i="70"/>
  <c r="AP58" i="77"/>
  <c r="AP58" i="70" s="1"/>
  <c r="AP78" i="77"/>
  <c r="AP78" i="70" s="1"/>
  <c r="AK78" i="70"/>
  <c r="AG57" i="39"/>
  <c r="AF57" i="39"/>
  <c r="AH40" i="39"/>
  <c r="G64" i="15"/>
  <c r="G56" i="15"/>
  <c r="BD71" i="70"/>
  <c r="BV87" i="70"/>
  <c r="BM98" i="70"/>
  <c r="BQ94" i="70"/>
  <c r="BD90" i="77"/>
  <c r="BD90" i="70" s="1"/>
  <c r="AF72" i="70"/>
  <c r="AF78" i="70"/>
  <c r="AY90" i="77"/>
  <c r="AY90" i="70" s="1"/>
  <c r="BR86" i="77"/>
  <c r="BR86" i="70" s="1"/>
  <c r="AY50" i="70"/>
  <c r="AF97" i="77"/>
  <c r="AF97" i="70" s="1"/>
  <c r="AB16" i="39"/>
  <c r="AH57" i="39"/>
  <c r="L57" i="31"/>
  <c r="T21" i="30" s="1"/>
  <c r="E32" i="30"/>
  <c r="H91" i="15"/>
  <c r="D38" i="30"/>
  <c r="G10" i="15"/>
  <c r="R21" i="30"/>
  <c r="E85" i="15"/>
  <c r="L32" i="31"/>
  <c r="L55" i="31"/>
  <c r="BW98" i="77"/>
  <c r="BW98" i="70" s="1"/>
  <c r="BW96" i="77"/>
  <c r="BW96" i="70" s="1"/>
  <c r="AP69" i="77"/>
  <c r="AP69" i="70" s="1"/>
  <c r="BD50" i="77"/>
  <c r="AF4" i="39"/>
  <c r="AF60" i="39" s="1"/>
  <c r="AF40" i="39"/>
  <c r="BQ96" i="70"/>
  <c r="BI90" i="77"/>
  <c r="BI90" i="70" s="1"/>
  <c r="BR93" i="77"/>
  <c r="BR93" i="70" s="1"/>
  <c r="AH22" i="39"/>
  <c r="AG22" i="39"/>
  <c r="AG4" i="39"/>
  <c r="AG28" i="39" s="1"/>
  <c r="O92" i="15"/>
  <c r="L13" i="31"/>
  <c r="G53" i="15"/>
  <c r="G55" i="15"/>
  <c r="AG40" i="39"/>
  <c r="AH4" i="39"/>
  <c r="AH36" i="39" s="1"/>
  <c r="G69" i="15"/>
  <c r="R17" i="30"/>
  <c r="S21" i="30"/>
  <c r="S77" i="15"/>
  <c r="S146" i="15" s="1"/>
  <c r="P70" i="15"/>
  <c r="P91" i="15" s="1"/>
  <c r="U71" i="15"/>
  <c r="U92" i="15" s="1"/>
  <c r="K64" i="15"/>
  <c r="K85" i="15" s="1"/>
  <c r="G72" i="15"/>
  <c r="G93" i="15" s="1"/>
  <c r="K73" i="15"/>
  <c r="G68" i="15"/>
  <c r="AK77" i="77"/>
  <c r="AK96" i="77" s="1"/>
  <c r="AK96" i="70" s="1"/>
  <c r="AF77" i="70"/>
  <c r="AF80" i="77"/>
  <c r="BW94" i="77"/>
  <c r="BW94" i="70" s="1"/>
  <c r="BV94" i="70"/>
  <c r="BD72" i="77"/>
  <c r="BD91" i="77" s="1"/>
  <c r="BD91" i="70" s="1"/>
  <c r="AY91" i="77"/>
  <c r="AY91" i="70" s="1"/>
  <c r="AY72" i="70"/>
  <c r="M24" i="43"/>
  <c r="AC1" i="51"/>
  <c r="BJ1" i="51"/>
  <c r="M1" i="51"/>
  <c r="M36" i="51" s="1"/>
  <c r="M4" i="43"/>
  <c r="Q718" i="72" s="1"/>
  <c r="AP70" i="77"/>
  <c r="AP70" i="70" s="1"/>
  <c r="AK70" i="70"/>
  <c r="BD67" i="77"/>
  <c r="AY67" i="70"/>
  <c r="BD58" i="77"/>
  <c r="AY96" i="77"/>
  <c r="AY96" i="70" s="1"/>
  <c r="AY58" i="70"/>
  <c r="BI70" i="77"/>
  <c r="BI70" i="70" s="1"/>
  <c r="BD70" i="70"/>
  <c r="AP73" i="77"/>
  <c r="AP73" i="70" s="1"/>
  <c r="AK73" i="70"/>
  <c r="BI51" i="70"/>
  <c r="BH99" i="77"/>
  <c r="BH99" i="70" s="1"/>
  <c r="AE61" i="70"/>
  <c r="AX80" i="70"/>
  <c r="AB70" i="39"/>
  <c r="Z8" i="39"/>
  <c r="Z34" i="39"/>
  <c r="Z16" i="39"/>
  <c r="Z23" i="39"/>
  <c r="Z17" i="39"/>
  <c r="Z12" i="39"/>
  <c r="Z27" i="39"/>
  <c r="Z31" i="39"/>
  <c r="Z26" i="39"/>
  <c r="Z5" i="39"/>
  <c r="Z9" i="39"/>
  <c r="Z30" i="39"/>
  <c r="Z35" i="39"/>
  <c r="Z13" i="39"/>
  <c r="B49" i="37"/>
  <c r="Y50" i="37" s="1"/>
  <c r="B29" i="37"/>
  <c r="X30" i="37" s="1"/>
  <c r="B24" i="37"/>
  <c r="V25" i="37" s="1"/>
  <c r="B19" i="37"/>
  <c r="B14" i="37"/>
  <c r="F2" i="38"/>
  <c r="AF96" i="77"/>
  <c r="AF96" i="70" s="1"/>
  <c r="H20" i="60"/>
  <c r="AU37" i="65"/>
  <c r="AS19" i="65"/>
  <c r="AU19" i="65"/>
  <c r="AS37" i="65"/>
  <c r="E77" i="15"/>
  <c r="E146" i="15" s="1"/>
  <c r="P105" i="15"/>
  <c r="D94" i="15"/>
  <c r="AY92" i="77"/>
  <c r="AY92" i="70" s="1"/>
  <c r="BD54" i="77"/>
  <c r="AY54" i="70"/>
  <c r="K71" i="15"/>
  <c r="T6" i="38"/>
  <c r="T15" i="38"/>
  <c r="T5" i="38"/>
  <c r="T14" i="38"/>
  <c r="T13" i="38"/>
  <c r="T12" i="38"/>
  <c r="T11" i="38"/>
  <c r="T10" i="38"/>
  <c r="T16" i="38"/>
  <c r="T9" i="38"/>
  <c r="T8" i="38"/>
  <c r="T17" i="38"/>
  <c r="T7" i="38"/>
  <c r="BD32" i="51"/>
  <c r="BD20" i="51"/>
  <c r="BD19" i="51"/>
  <c r="BD37" i="51"/>
  <c r="BD29" i="51"/>
  <c r="BD36" i="51"/>
  <c r="BD28" i="51"/>
  <c r="BD34" i="51"/>
  <c r="BD31" i="51"/>
  <c r="BD26" i="51"/>
  <c r="BD14" i="51"/>
  <c r="BD17" i="51"/>
  <c r="BD13" i="51"/>
  <c r="BD33" i="51"/>
  <c r="BD12" i="51"/>
  <c r="BD18" i="51"/>
  <c r="BD11" i="51"/>
  <c r="BD35" i="51"/>
  <c r="BD25" i="51"/>
  <c r="BD10" i="51"/>
  <c r="BD27" i="51"/>
  <c r="BD9" i="51"/>
  <c r="BD38" i="51"/>
  <c r="BD30" i="51"/>
  <c r="BD16" i="51"/>
  <c r="BD8" i="51"/>
  <c r="BD15" i="51"/>
  <c r="BD7" i="51"/>
  <c r="BI61" i="77"/>
  <c r="BI61" i="70" s="1"/>
  <c r="H36" i="51"/>
  <c r="H28" i="51"/>
  <c r="H35" i="51"/>
  <c r="H32" i="51"/>
  <c r="H27" i="51"/>
  <c r="H34" i="51"/>
  <c r="H26" i="51"/>
  <c r="H20" i="51"/>
  <c r="H16" i="51"/>
  <c r="H8" i="51"/>
  <c r="H33" i="51"/>
  <c r="H15" i="51"/>
  <c r="H7" i="51"/>
  <c r="H14" i="51"/>
  <c r="H13" i="51"/>
  <c r="H31" i="51"/>
  <c r="H12" i="51"/>
  <c r="H30" i="51"/>
  <c r="H18" i="51"/>
  <c r="H11" i="51"/>
  <c r="H25" i="51"/>
  <c r="H38" i="51"/>
  <c r="H10" i="51"/>
  <c r="H37" i="51"/>
  <c r="H19" i="51"/>
  <c r="H29" i="51"/>
  <c r="H9" i="51"/>
  <c r="H17" i="51"/>
  <c r="U75" i="15"/>
  <c r="M93" i="15"/>
  <c r="D95" i="15"/>
  <c r="E96" i="15"/>
  <c r="K68" i="15"/>
  <c r="AO99" i="77"/>
  <c r="AO99" i="70" s="1"/>
  <c r="AO61" i="70"/>
  <c r="I29" i="60"/>
  <c r="I30" i="60" s="1"/>
  <c r="H29" i="60"/>
  <c r="H30" i="60" s="1"/>
  <c r="G29" i="60"/>
  <c r="G30" i="60" s="1"/>
  <c r="F29" i="60"/>
  <c r="F30" i="60" s="1"/>
  <c r="E29" i="60"/>
  <c r="E30" i="60" s="1"/>
  <c r="D29" i="60"/>
  <c r="D30" i="60" s="1"/>
  <c r="Q29" i="60"/>
  <c r="Q30" i="60" s="1"/>
  <c r="P29" i="60"/>
  <c r="P30" i="60" s="1"/>
  <c r="O29" i="60"/>
  <c r="O30" i="60" s="1"/>
  <c r="N29" i="60"/>
  <c r="N30" i="60" s="1"/>
  <c r="M29" i="60"/>
  <c r="M30" i="60" s="1"/>
  <c r="L29" i="60"/>
  <c r="L30" i="60" s="1"/>
  <c r="K29" i="60"/>
  <c r="K30" i="60" s="1"/>
  <c r="K33" i="60" s="1"/>
  <c r="J29" i="60"/>
  <c r="J30" i="60" s="1"/>
  <c r="R29" i="60"/>
  <c r="D92" i="15"/>
  <c r="AY89" i="77"/>
  <c r="AY89" i="70" s="1"/>
  <c r="BD51" i="77"/>
  <c r="AY51" i="70"/>
  <c r="BW61" i="77"/>
  <c r="BW61" i="70" s="1"/>
  <c r="BR61" i="77"/>
  <c r="BR61" i="70" s="1"/>
  <c r="BM61" i="70"/>
  <c r="AF87" i="77"/>
  <c r="AF87" i="70" s="1"/>
  <c r="AK49" i="77"/>
  <c r="AF61" i="77"/>
  <c r="AF49" i="70"/>
  <c r="T410" i="72"/>
  <c r="V201" i="72"/>
  <c r="Y597" i="72"/>
  <c r="G113" i="15"/>
  <c r="BH61" i="70"/>
  <c r="I117" i="15"/>
  <c r="I136" i="15" s="1"/>
  <c r="U64" i="15"/>
  <c r="U85" i="15" s="1"/>
  <c r="E308" i="36"/>
  <c r="F301" i="36"/>
  <c r="G301" i="36"/>
  <c r="G6" i="64" s="1"/>
  <c r="G25" i="64" s="1"/>
  <c r="AP57" i="77"/>
  <c r="BI97" i="77"/>
  <c r="BI97" i="70" s="1"/>
  <c r="C299" i="44"/>
  <c r="C215" i="44"/>
  <c r="C285" i="44"/>
  <c r="C257" i="44"/>
  <c r="C306" i="44"/>
  <c r="C229" i="44"/>
  <c r="C292" i="44"/>
  <c r="C271" i="44"/>
  <c r="C243" i="44"/>
  <c r="C327" i="44"/>
  <c r="C278" i="44"/>
  <c r="C201" i="44"/>
  <c r="C313" i="44"/>
  <c r="C264" i="44"/>
  <c r="AE24" i="51"/>
  <c r="AU24" i="51"/>
  <c r="O24" i="51"/>
  <c r="BL24" i="51"/>
  <c r="AE6" i="51"/>
  <c r="AU6" i="51"/>
  <c r="BL6" i="51"/>
  <c r="AD33" i="51"/>
  <c r="AD25" i="51"/>
  <c r="AD20" i="51"/>
  <c r="AD19" i="51"/>
  <c r="AD38" i="51"/>
  <c r="AD18" i="51"/>
  <c r="AD29" i="51"/>
  <c r="AD35" i="51"/>
  <c r="AD27" i="51"/>
  <c r="AD15" i="51"/>
  <c r="AD7" i="51"/>
  <c r="AD14" i="51"/>
  <c r="AD13" i="51"/>
  <c r="AD34" i="51"/>
  <c r="AD12" i="51"/>
  <c r="AD26" i="51"/>
  <c r="AD11" i="51"/>
  <c r="AD10" i="51"/>
  <c r="AD36" i="51"/>
  <c r="AD28" i="51"/>
  <c r="AD9" i="51"/>
  <c r="AD17" i="51"/>
  <c r="AD16" i="51"/>
  <c r="AD8" i="51"/>
  <c r="AC24" i="51"/>
  <c r="BJ24" i="51"/>
  <c r="AC6" i="51"/>
  <c r="M24" i="51"/>
  <c r="AS24" i="51"/>
  <c r="AS6" i="51"/>
  <c r="BJ6" i="51"/>
  <c r="W36" i="51"/>
  <c r="W28" i="51"/>
  <c r="W19" i="51"/>
  <c r="W38" i="51"/>
  <c r="W18" i="51"/>
  <c r="W10" i="51"/>
  <c r="W35" i="51"/>
  <c r="W32" i="51"/>
  <c r="W17" i="51"/>
  <c r="W9" i="51"/>
  <c r="W27" i="51"/>
  <c r="W16" i="51"/>
  <c r="W8" i="51"/>
  <c r="W25" i="51"/>
  <c r="W15" i="51"/>
  <c r="W7" i="51"/>
  <c r="W34" i="51"/>
  <c r="W29" i="51"/>
  <c r="W14" i="51"/>
  <c r="W26" i="51"/>
  <c r="W13" i="51"/>
  <c r="W20" i="51"/>
  <c r="W12" i="51"/>
  <c r="W11" i="51"/>
  <c r="W33" i="51"/>
  <c r="AF91" i="77"/>
  <c r="AF91" i="70" s="1"/>
  <c r="AK53" i="77"/>
  <c r="N38" i="51"/>
  <c r="N31" i="51"/>
  <c r="N18" i="51"/>
  <c r="N37" i="51"/>
  <c r="N30" i="51"/>
  <c r="N29" i="51"/>
  <c r="N35" i="51"/>
  <c r="N32" i="51"/>
  <c r="N27" i="51"/>
  <c r="N34" i="51"/>
  <c r="N26" i="51"/>
  <c r="N20" i="51"/>
  <c r="N36" i="51"/>
  <c r="N33" i="51"/>
  <c r="N13" i="51"/>
  <c r="N28" i="51"/>
  <c r="N12" i="51"/>
  <c r="N11" i="51"/>
  <c r="N10" i="51"/>
  <c r="N25" i="51"/>
  <c r="N17" i="51"/>
  <c r="N9" i="51"/>
  <c r="N16" i="51"/>
  <c r="N8" i="51"/>
  <c r="N19" i="51"/>
  <c r="N15" i="51"/>
  <c r="N7" i="51"/>
  <c r="N14" i="51"/>
  <c r="L20" i="51"/>
  <c r="L19" i="51"/>
  <c r="L37" i="51"/>
  <c r="L30" i="51"/>
  <c r="L29" i="51"/>
  <c r="L36" i="51"/>
  <c r="L28" i="51"/>
  <c r="L34" i="51"/>
  <c r="L14" i="51"/>
  <c r="L33" i="51"/>
  <c r="L13" i="51"/>
  <c r="L12" i="51"/>
  <c r="L32" i="51"/>
  <c r="L31" i="51"/>
  <c r="L35" i="51"/>
  <c r="L11" i="51"/>
  <c r="L27" i="51"/>
  <c r="L18" i="51"/>
  <c r="L10" i="51"/>
  <c r="L38" i="51"/>
  <c r="L25" i="51"/>
  <c r="L17" i="51"/>
  <c r="L9" i="51"/>
  <c r="L16" i="51"/>
  <c r="L8" i="51"/>
  <c r="L26" i="51"/>
  <c r="L15" i="51"/>
  <c r="L7" i="51"/>
  <c r="I24" i="51"/>
  <c r="Y24" i="51"/>
  <c r="BF24" i="51"/>
  <c r="Y6" i="51"/>
  <c r="AO24" i="51"/>
  <c r="AO6" i="51"/>
  <c r="BF6" i="51"/>
  <c r="G37" i="51"/>
  <c r="G30" i="51"/>
  <c r="G29" i="51"/>
  <c r="G36" i="51"/>
  <c r="G28" i="51"/>
  <c r="G35" i="51"/>
  <c r="G32" i="51"/>
  <c r="G27" i="51"/>
  <c r="G33" i="51"/>
  <c r="G25" i="51"/>
  <c r="G38" i="51"/>
  <c r="G31" i="51"/>
  <c r="G17" i="51"/>
  <c r="G9" i="51"/>
  <c r="G26" i="51"/>
  <c r="G16" i="51"/>
  <c r="G8" i="51"/>
  <c r="G20" i="51"/>
  <c r="G15" i="51"/>
  <c r="G7" i="51"/>
  <c r="G14" i="51"/>
  <c r="G13" i="51"/>
  <c r="G12" i="51"/>
  <c r="G18" i="51"/>
  <c r="G11" i="51"/>
  <c r="G34" i="51"/>
  <c r="G10" i="51"/>
  <c r="G19" i="51"/>
  <c r="BC24" i="51"/>
  <c r="V24" i="51"/>
  <c r="BC6" i="51"/>
  <c r="F24" i="51"/>
  <c r="V6" i="51"/>
  <c r="AL24" i="51"/>
  <c r="AL6" i="51"/>
  <c r="BB34" i="51"/>
  <c r="BB31" i="51"/>
  <c r="BB26" i="51"/>
  <c r="BB33" i="51"/>
  <c r="BB25" i="51"/>
  <c r="BB32" i="51"/>
  <c r="BB20" i="51"/>
  <c r="BB36" i="51"/>
  <c r="BB28" i="51"/>
  <c r="BB29" i="51"/>
  <c r="BB15" i="51"/>
  <c r="BB7" i="51"/>
  <c r="BB37" i="51"/>
  <c r="BB14" i="51"/>
  <c r="BB17" i="51"/>
  <c r="BB13" i="51"/>
  <c r="BB18" i="51"/>
  <c r="BB12" i="51"/>
  <c r="BB11" i="51"/>
  <c r="BB35" i="51"/>
  <c r="BB27" i="51"/>
  <c r="BB19" i="51"/>
  <c r="BB10" i="51"/>
  <c r="BB9" i="51"/>
  <c r="BB38" i="51"/>
  <c r="BB30" i="51"/>
  <c r="BB8" i="51"/>
  <c r="BB16" i="51"/>
  <c r="AC71" i="39"/>
  <c r="AC67" i="39"/>
  <c r="AC63" i="39"/>
  <c r="AC59" i="39"/>
  <c r="AC50" i="39"/>
  <c r="AC46" i="39"/>
  <c r="AC42" i="39"/>
  <c r="AC35" i="39"/>
  <c r="AC31" i="39"/>
  <c r="AC27" i="39"/>
  <c r="AC23" i="39"/>
  <c r="AC17" i="39"/>
  <c r="AC13" i="39"/>
  <c r="AC9" i="39"/>
  <c r="AC5" i="39"/>
  <c r="AC68" i="39"/>
  <c r="AC64" i="39"/>
  <c r="AC60" i="39"/>
  <c r="AC54" i="39"/>
  <c r="AC51" i="39"/>
  <c r="AC47" i="39"/>
  <c r="AC43" i="39"/>
  <c r="AC36" i="39"/>
  <c r="AC32" i="39"/>
  <c r="AC28" i="39"/>
  <c r="AC24" i="39"/>
  <c r="AC18" i="39"/>
  <c r="AC14" i="39"/>
  <c r="AC10" i="39"/>
  <c r="AC6" i="39"/>
  <c r="AC69" i="39"/>
  <c r="AC65" i="39"/>
  <c r="AC61" i="39"/>
  <c r="AC52" i="39"/>
  <c r="AC48" i="39"/>
  <c r="AC44" i="39"/>
  <c r="AC33" i="39"/>
  <c r="AC29" i="39"/>
  <c r="AC25" i="39"/>
  <c r="AC19" i="39"/>
  <c r="AC15" i="39"/>
  <c r="AC11" i="39"/>
  <c r="AC7" i="39"/>
  <c r="AC70" i="39"/>
  <c r="AC66" i="39"/>
  <c r="AC62" i="39"/>
  <c r="AC58" i="39"/>
  <c r="AC53" i="39"/>
  <c r="AC49" i="39"/>
  <c r="AC45" i="39"/>
  <c r="AC41" i="39"/>
  <c r="AC34" i="39"/>
  <c r="AC30" i="39"/>
  <c r="AC26" i="39"/>
  <c r="AC16" i="39"/>
  <c r="AC12" i="39"/>
  <c r="AC8" i="39"/>
  <c r="AY98" i="77"/>
  <c r="AY98" i="70" s="1"/>
  <c r="BD60" i="77"/>
  <c r="BI54" i="70"/>
  <c r="BD57" i="77"/>
  <c r="AY95" i="77"/>
  <c r="AY95" i="70" s="1"/>
  <c r="Y70" i="39"/>
  <c r="Y66" i="39"/>
  <c r="Y62" i="39"/>
  <c r="Y58" i="39"/>
  <c r="Y53" i="39"/>
  <c r="Y49" i="39"/>
  <c r="Y45" i="39"/>
  <c r="Y41" i="39"/>
  <c r="Y34" i="39"/>
  <c r="Y30" i="39"/>
  <c r="Y26" i="39"/>
  <c r="Y16" i="39"/>
  <c r="Y12" i="39"/>
  <c r="Y8" i="39"/>
  <c r="Y71" i="39"/>
  <c r="Y67" i="39"/>
  <c r="Y63" i="39"/>
  <c r="Y59" i="39"/>
  <c r="Y50" i="39"/>
  <c r="Y46" i="39"/>
  <c r="Y42" i="39"/>
  <c r="Y35" i="39"/>
  <c r="Y31" i="39"/>
  <c r="Y27" i="39"/>
  <c r="Y23" i="39"/>
  <c r="Y17" i="39"/>
  <c r="Y13" i="39"/>
  <c r="Y9" i="39"/>
  <c r="Y5" i="39"/>
  <c r="Y68" i="39"/>
  <c r="Y64" i="39"/>
  <c r="Y60" i="39"/>
  <c r="Y54" i="39"/>
  <c r="Y51" i="39"/>
  <c r="Y47" i="39"/>
  <c r="Y43" i="39"/>
  <c r="Y36" i="39"/>
  <c r="Y32" i="39"/>
  <c r="Y28" i="39"/>
  <c r="Y24" i="39"/>
  <c r="Y18" i="39"/>
  <c r="Y14" i="39"/>
  <c r="Y10" i="39"/>
  <c r="Y6" i="39"/>
  <c r="Y69" i="39"/>
  <c r="Y65" i="39"/>
  <c r="Y61" i="39"/>
  <c r="Y52" i="39"/>
  <c r="Y48" i="39"/>
  <c r="Y44" i="39"/>
  <c r="Y33" i="39"/>
  <c r="Y29" i="39"/>
  <c r="Y25" i="39"/>
  <c r="Y19" i="39"/>
  <c r="Y15" i="39"/>
  <c r="Y11" i="39"/>
  <c r="Y7" i="39"/>
  <c r="BK29" i="51"/>
  <c r="BK33" i="51"/>
  <c r="BK32" i="51"/>
  <c r="BK20" i="51"/>
  <c r="BK38" i="51"/>
  <c r="BK30" i="51"/>
  <c r="BK18" i="51"/>
  <c r="BK36" i="51"/>
  <c r="BK11" i="51"/>
  <c r="BK28" i="51"/>
  <c r="BK10" i="51"/>
  <c r="BK9" i="51"/>
  <c r="BK25" i="51"/>
  <c r="BK35" i="51"/>
  <c r="BK16" i="51"/>
  <c r="BK8" i="51"/>
  <c r="BK27" i="51"/>
  <c r="BK19" i="51"/>
  <c r="BK15" i="51"/>
  <c r="BK7" i="51"/>
  <c r="BK14" i="51"/>
  <c r="BK31" i="51"/>
  <c r="BK34" i="51"/>
  <c r="BK13" i="51"/>
  <c r="BK26" i="51"/>
  <c r="BK12" i="51"/>
  <c r="BK37" i="51"/>
  <c r="BK17" i="51"/>
  <c r="BI17" i="51"/>
  <c r="BI35" i="51"/>
  <c r="BI27" i="51"/>
  <c r="BI34" i="51"/>
  <c r="BI31" i="51"/>
  <c r="BI26" i="51"/>
  <c r="BI32" i="51"/>
  <c r="BI20" i="51"/>
  <c r="BI19" i="51"/>
  <c r="BI38" i="51"/>
  <c r="BI30" i="51"/>
  <c r="BI37" i="51"/>
  <c r="BI12" i="51"/>
  <c r="BI36" i="51"/>
  <c r="BI33" i="51"/>
  <c r="BI11" i="51"/>
  <c r="BI28" i="51"/>
  <c r="BI18" i="51"/>
  <c r="BI10" i="51"/>
  <c r="BI25" i="51"/>
  <c r="BI9" i="51"/>
  <c r="BI16" i="51"/>
  <c r="BI8" i="51"/>
  <c r="BI15" i="51"/>
  <c r="BI7" i="51"/>
  <c r="BI14" i="51"/>
  <c r="BI29" i="51"/>
  <c r="BI13" i="51"/>
  <c r="BH37" i="51"/>
  <c r="BH17" i="51"/>
  <c r="BH36" i="51"/>
  <c r="BH28" i="51"/>
  <c r="BH35" i="51"/>
  <c r="BH27" i="51"/>
  <c r="BH33" i="51"/>
  <c r="BH25" i="51"/>
  <c r="BH32" i="51"/>
  <c r="BH20" i="51"/>
  <c r="BH12" i="51"/>
  <c r="BH11" i="51"/>
  <c r="BH18" i="51"/>
  <c r="BH10" i="51"/>
  <c r="BH9" i="51"/>
  <c r="BH19" i="51"/>
  <c r="BH16" i="51"/>
  <c r="BH8" i="51"/>
  <c r="BH15" i="51"/>
  <c r="BH7" i="51"/>
  <c r="BH38" i="51"/>
  <c r="BH31" i="51"/>
  <c r="BH30" i="51"/>
  <c r="BH34" i="51"/>
  <c r="BH14" i="51"/>
  <c r="BH29" i="51"/>
  <c r="BH26" i="51"/>
  <c r="BH13" i="51"/>
  <c r="AN24" i="51"/>
  <c r="BE6" i="51"/>
  <c r="X24" i="51"/>
  <c r="BE24" i="51"/>
  <c r="H24" i="51"/>
  <c r="X6" i="51"/>
  <c r="AN6" i="51"/>
  <c r="U34" i="51"/>
  <c r="U33" i="51"/>
  <c r="U25" i="51"/>
  <c r="U19" i="51"/>
  <c r="U28" i="51"/>
  <c r="U11" i="51"/>
  <c r="U10" i="51"/>
  <c r="U32" i="51"/>
  <c r="U35" i="51"/>
  <c r="U18" i="51"/>
  <c r="U17" i="51"/>
  <c r="U9" i="51"/>
  <c r="U27" i="51"/>
  <c r="U16" i="51"/>
  <c r="U8" i="51"/>
  <c r="U38" i="51"/>
  <c r="U37" i="51"/>
  <c r="U15" i="51"/>
  <c r="U7" i="51"/>
  <c r="U29" i="51"/>
  <c r="U14" i="51"/>
  <c r="U26" i="51"/>
  <c r="U13" i="51"/>
  <c r="U20" i="51"/>
  <c r="U36" i="51"/>
  <c r="U12" i="51"/>
  <c r="AA36" i="51"/>
  <c r="AA27" i="51"/>
  <c r="AA34" i="51"/>
  <c r="AA26" i="51"/>
  <c r="AA20" i="51"/>
  <c r="AA17" i="51"/>
  <c r="AA32" i="51"/>
  <c r="AA16" i="51"/>
  <c r="AA8" i="51"/>
  <c r="AA18" i="51"/>
  <c r="AA25" i="51"/>
  <c r="AA15" i="51"/>
  <c r="AA7" i="51"/>
  <c r="AA14" i="51"/>
  <c r="AA29" i="51"/>
  <c r="AA12" i="51"/>
  <c r="AA11" i="51"/>
  <c r="AA33" i="51"/>
  <c r="AA10" i="51"/>
  <c r="AA9" i="51"/>
  <c r="AF64" i="39"/>
  <c r="AF28" i="39"/>
  <c r="AF65" i="39"/>
  <c r="AF29" i="39"/>
  <c r="AF49" i="39"/>
  <c r="AF8" i="39"/>
  <c r="AF35" i="39"/>
  <c r="E37" i="51"/>
  <c r="E30" i="51"/>
  <c r="E29" i="51"/>
  <c r="E35" i="51"/>
  <c r="E32" i="51"/>
  <c r="E27" i="51"/>
  <c r="E10" i="51"/>
  <c r="E19" i="51"/>
  <c r="E26" i="51"/>
  <c r="E17" i="51"/>
  <c r="E9" i="51"/>
  <c r="E36" i="51"/>
  <c r="E16" i="51"/>
  <c r="E8" i="51"/>
  <c r="E33" i="51"/>
  <c r="E28" i="51"/>
  <c r="E20" i="51"/>
  <c r="E15" i="51"/>
  <c r="E7" i="51"/>
  <c r="E14" i="51"/>
  <c r="E31" i="51"/>
  <c r="E13" i="51"/>
  <c r="E12" i="51"/>
  <c r="E18" i="51"/>
  <c r="E38" i="51"/>
  <c r="E25" i="51"/>
  <c r="E11" i="51"/>
  <c r="E34" i="51"/>
  <c r="BV98" i="70"/>
  <c r="AF94" i="77"/>
  <c r="AF94" i="70" s="1"/>
  <c r="AK56" i="77"/>
  <c r="AB35" i="51"/>
  <c r="AB27" i="51"/>
  <c r="AB34" i="51"/>
  <c r="AB26" i="51"/>
  <c r="AB33" i="51"/>
  <c r="AB32" i="51"/>
  <c r="AB25" i="51"/>
  <c r="AB19" i="51"/>
  <c r="AB31" i="51"/>
  <c r="AB29" i="51"/>
  <c r="AB16" i="51"/>
  <c r="AB8" i="51"/>
  <c r="AB18" i="51"/>
  <c r="AB15" i="51"/>
  <c r="AB7" i="51"/>
  <c r="AB14" i="51"/>
  <c r="AB38" i="51"/>
  <c r="AB30" i="51"/>
  <c r="AB13" i="51"/>
  <c r="AB12" i="51"/>
  <c r="AB20" i="51"/>
  <c r="AB11" i="51"/>
  <c r="AB36" i="51"/>
  <c r="AB10" i="51"/>
  <c r="AB28" i="51"/>
  <c r="AB9" i="51"/>
  <c r="AB17" i="51"/>
  <c r="BD24" i="51"/>
  <c r="G24" i="51"/>
  <c r="AM24" i="51"/>
  <c r="BD6" i="51"/>
  <c r="W24" i="51"/>
  <c r="W6" i="51"/>
  <c r="AM6" i="51"/>
  <c r="AP51" i="77"/>
  <c r="AK89" i="77"/>
  <c r="AK89" i="70" s="1"/>
  <c r="AP48" i="77"/>
  <c r="C510" i="44"/>
  <c r="C384" i="44"/>
  <c r="C482" i="44"/>
  <c r="C356" i="44"/>
  <c r="C398" i="44"/>
  <c r="C370" i="44"/>
  <c r="C468" i="44"/>
  <c r="C440" i="44"/>
  <c r="C454" i="44"/>
  <c r="C412" i="44"/>
  <c r="C496" i="44"/>
  <c r="C524" i="44"/>
  <c r="C426" i="44"/>
  <c r="C342" i="44"/>
  <c r="AD24" i="51"/>
  <c r="BK24" i="51"/>
  <c r="AD6" i="51"/>
  <c r="N24" i="51"/>
  <c r="AT24" i="51"/>
  <c r="AT6" i="51"/>
  <c r="BK6" i="51"/>
  <c r="X9" i="39"/>
  <c r="X70" i="39"/>
  <c r="X66" i="39"/>
  <c r="X62" i="39"/>
  <c r="X58" i="39"/>
  <c r="X53" i="39"/>
  <c r="X49" i="39"/>
  <c r="X45" i="39"/>
  <c r="X41" i="39"/>
  <c r="X34" i="39"/>
  <c r="X30" i="39"/>
  <c r="X26" i="39"/>
  <c r="X16" i="39"/>
  <c r="X12" i="39"/>
  <c r="X8" i="39"/>
  <c r="X71" i="39"/>
  <c r="X67" i="39"/>
  <c r="X63" i="39"/>
  <c r="X46" i="39"/>
  <c r="X42" i="39"/>
  <c r="X35" i="39"/>
  <c r="X31" i="39"/>
  <c r="X17" i="39"/>
  <c r="X13" i="39"/>
  <c r="X5" i="39"/>
  <c r="X59" i="39"/>
  <c r="X50" i="39"/>
  <c r="X27" i="39"/>
  <c r="X23" i="39"/>
  <c r="X68" i="39"/>
  <c r="X64" i="39"/>
  <c r="X60" i="39"/>
  <c r="X54" i="39"/>
  <c r="X51" i="39"/>
  <c r="X47" i="39"/>
  <c r="X43" i="39"/>
  <c r="X36" i="39"/>
  <c r="X32" i="39"/>
  <c r="X28" i="39"/>
  <c r="X24" i="39"/>
  <c r="X18" i="39"/>
  <c r="X14" i="39"/>
  <c r="X10" i="39"/>
  <c r="X6" i="39"/>
  <c r="X69" i="39"/>
  <c r="X65" i="39"/>
  <c r="X61" i="39"/>
  <c r="X52" i="39"/>
  <c r="X48" i="39"/>
  <c r="X44" i="39"/>
  <c r="X33" i="39"/>
  <c r="X29" i="39"/>
  <c r="X25" i="39"/>
  <c r="X19" i="39"/>
  <c r="X15" i="39"/>
  <c r="X11" i="39"/>
  <c r="X7" i="39"/>
  <c r="BW97" i="77"/>
  <c r="BW97" i="70" s="1"/>
  <c r="BR97" i="77"/>
  <c r="BR97" i="70" s="1"/>
  <c r="BD61" i="77"/>
  <c r="BI24" i="51"/>
  <c r="AB6" i="51"/>
  <c r="L24" i="51"/>
  <c r="AR24" i="51"/>
  <c r="AR6" i="51"/>
  <c r="BI6" i="51"/>
  <c r="AB24" i="51"/>
  <c r="BA35" i="51"/>
  <c r="BA27" i="51"/>
  <c r="BA34" i="51"/>
  <c r="BA31" i="51"/>
  <c r="AJ31" i="51" s="1"/>
  <c r="BA26" i="51"/>
  <c r="BA33" i="51"/>
  <c r="BA25" i="51"/>
  <c r="BA19" i="51"/>
  <c r="BA29" i="51"/>
  <c r="BA20" i="51"/>
  <c r="BA16" i="51"/>
  <c r="BA8" i="51"/>
  <c r="BA15" i="51"/>
  <c r="BA7" i="51"/>
  <c r="BA37" i="51"/>
  <c r="BA14" i="51"/>
  <c r="BA36" i="51"/>
  <c r="BA17" i="51"/>
  <c r="BA28" i="51"/>
  <c r="BA13" i="51"/>
  <c r="BA18" i="51"/>
  <c r="BA12" i="51"/>
  <c r="BA32" i="51"/>
  <c r="BA11" i="51"/>
  <c r="BA10" i="51"/>
  <c r="BA9" i="51"/>
  <c r="BA38" i="51"/>
  <c r="BA30" i="51"/>
  <c r="AJ30" i="51" s="1"/>
  <c r="J34" i="51"/>
  <c r="J26" i="51"/>
  <c r="J33" i="51"/>
  <c r="J25" i="51"/>
  <c r="J20" i="51"/>
  <c r="J36" i="51"/>
  <c r="J28" i="51"/>
  <c r="J15" i="51"/>
  <c r="J7" i="51"/>
  <c r="J14" i="51"/>
  <c r="J13" i="51"/>
  <c r="J32" i="51"/>
  <c r="J31" i="51"/>
  <c r="J12" i="51"/>
  <c r="J35" i="51"/>
  <c r="J30" i="51"/>
  <c r="J27" i="51"/>
  <c r="J18" i="51"/>
  <c r="J11" i="51"/>
  <c r="J38" i="51"/>
  <c r="J10" i="51"/>
  <c r="J37" i="51"/>
  <c r="J19" i="51"/>
  <c r="J17" i="51"/>
  <c r="J9" i="51"/>
  <c r="J29" i="51"/>
  <c r="J16" i="51"/>
  <c r="J8" i="51"/>
  <c r="AG60" i="39"/>
  <c r="AG51" i="39"/>
  <c r="AG47" i="39"/>
  <c r="AG43" i="39"/>
  <c r="AG32" i="39"/>
  <c r="AG52" i="39"/>
  <c r="AG44" i="39"/>
  <c r="AG33" i="39"/>
  <c r="AG29" i="39"/>
  <c r="AG19" i="39"/>
  <c r="AG45" i="39"/>
  <c r="AG34" i="39"/>
  <c r="AG30" i="39"/>
  <c r="AG26" i="39"/>
  <c r="AG12" i="39"/>
  <c r="AG31" i="39"/>
  <c r="AG23" i="39"/>
  <c r="AG17" i="39"/>
  <c r="AG13" i="39"/>
  <c r="AG5" i="39"/>
  <c r="BB24" i="51"/>
  <c r="U24" i="51"/>
  <c r="BB6" i="51"/>
  <c r="E24" i="51"/>
  <c r="U6" i="51"/>
  <c r="AK24" i="51"/>
  <c r="AK6" i="51"/>
  <c r="AE46" i="39"/>
  <c r="AE31" i="39"/>
  <c r="AE27" i="39"/>
  <c r="AE68" i="39"/>
  <c r="AE64" i="39"/>
  <c r="AE60" i="39"/>
  <c r="AE54" i="39"/>
  <c r="AE51" i="39"/>
  <c r="AE47" i="39"/>
  <c r="AE43" i="39"/>
  <c r="AE36" i="39"/>
  <c r="AE32" i="39"/>
  <c r="AE28" i="39"/>
  <c r="AE24" i="39"/>
  <c r="AE18" i="39"/>
  <c r="AE14" i="39"/>
  <c r="AE10" i="39"/>
  <c r="AE6" i="39"/>
  <c r="AE13" i="39"/>
  <c r="AE9" i="39"/>
  <c r="AE69" i="39"/>
  <c r="AE65" i="39"/>
  <c r="AE61" i="39"/>
  <c r="AE52" i="39"/>
  <c r="AE48" i="39"/>
  <c r="AE44" i="39"/>
  <c r="AE33" i="39"/>
  <c r="AE29" i="39"/>
  <c r="AE25" i="39"/>
  <c r="AE19" i="39"/>
  <c r="AE15" i="39"/>
  <c r="AE11" i="39"/>
  <c r="AE7" i="39"/>
  <c r="AE17" i="39"/>
  <c r="AE67" i="39"/>
  <c r="AE50" i="39"/>
  <c r="AE23" i="39"/>
  <c r="AE5" i="39"/>
  <c r="AE35" i="39"/>
  <c r="AE70" i="39"/>
  <c r="AE66" i="39"/>
  <c r="AE62" i="39"/>
  <c r="AE58" i="39"/>
  <c r="AE53" i="39"/>
  <c r="AE49" i="39"/>
  <c r="AE45" i="39"/>
  <c r="AE41" i="39"/>
  <c r="AE34" i="39"/>
  <c r="AE30" i="39"/>
  <c r="AE26" i="39"/>
  <c r="AE16" i="39"/>
  <c r="AE12" i="39"/>
  <c r="AE8" i="39"/>
  <c r="AE42" i="39"/>
  <c r="AE63" i="39"/>
  <c r="AE71" i="39"/>
  <c r="AE59" i="39"/>
  <c r="T35" i="51"/>
  <c r="T32" i="51"/>
  <c r="T27" i="51"/>
  <c r="T34" i="51"/>
  <c r="T26" i="51"/>
  <c r="T20" i="51"/>
  <c r="T19" i="51"/>
  <c r="T38" i="51"/>
  <c r="T36" i="51"/>
  <c r="T33" i="51"/>
  <c r="T12" i="51"/>
  <c r="T28" i="51"/>
  <c r="T11" i="51"/>
  <c r="T10" i="51"/>
  <c r="T18" i="51"/>
  <c r="T17" i="51"/>
  <c r="T9" i="51"/>
  <c r="T25" i="51"/>
  <c r="T16" i="51"/>
  <c r="T8" i="51"/>
  <c r="T37" i="51"/>
  <c r="T15" i="51"/>
  <c r="T7" i="51"/>
  <c r="T29" i="51"/>
  <c r="T14" i="51"/>
  <c r="T13" i="51"/>
  <c r="T74" i="33"/>
  <c r="V5" i="33"/>
  <c r="W5" i="33" s="1"/>
  <c r="BI58" i="70"/>
  <c r="AF98" i="77"/>
  <c r="AF98" i="70" s="1"/>
  <c r="AK60" i="77"/>
  <c r="AK50" i="77"/>
  <c r="AF88" i="77"/>
  <c r="AF88" i="70" s="1"/>
  <c r="AF92" i="77"/>
  <c r="AF92" i="70" s="1"/>
  <c r="AK54" i="77"/>
  <c r="C658" i="44"/>
  <c r="C637" i="44"/>
  <c r="C623" i="44"/>
  <c r="C609" i="44"/>
  <c r="C595" i="44"/>
  <c r="C574" i="44"/>
  <c r="C602" i="44"/>
  <c r="C546" i="44"/>
  <c r="C630" i="44"/>
  <c r="C560" i="44"/>
  <c r="C588" i="44"/>
  <c r="C532" i="44"/>
  <c r="C644" i="44"/>
  <c r="C616" i="44"/>
  <c r="K24" i="51"/>
  <c r="AA24" i="51"/>
  <c r="BH24" i="51"/>
  <c r="AA6" i="51"/>
  <c r="AQ24" i="51"/>
  <c r="AQ6" i="51"/>
  <c r="BH6" i="51"/>
  <c r="BG38" i="51"/>
  <c r="BG30" i="51"/>
  <c r="BG18" i="51"/>
  <c r="BG37" i="51"/>
  <c r="BG17" i="51"/>
  <c r="BG29" i="51"/>
  <c r="BG36" i="51"/>
  <c r="BG28" i="51"/>
  <c r="BG34" i="51"/>
  <c r="BG31" i="51"/>
  <c r="BG26" i="51"/>
  <c r="BG33" i="51"/>
  <c r="BG25" i="51"/>
  <c r="BG13" i="51"/>
  <c r="BG12" i="51"/>
  <c r="BG11" i="51"/>
  <c r="BG10" i="51"/>
  <c r="BG35" i="51"/>
  <c r="BG32" i="51"/>
  <c r="BG9" i="51"/>
  <c r="BG27" i="51"/>
  <c r="BG19" i="51"/>
  <c r="BG16" i="51"/>
  <c r="BG8" i="51"/>
  <c r="BG15" i="51"/>
  <c r="BG7" i="51"/>
  <c r="BG20" i="51"/>
  <c r="BG14" i="51"/>
  <c r="AH70" i="39"/>
  <c r="D36" i="51"/>
  <c r="D28" i="51"/>
  <c r="D19" i="51"/>
  <c r="D38" i="51"/>
  <c r="D18" i="51"/>
  <c r="D34" i="51"/>
  <c r="D29" i="51"/>
  <c r="D10" i="51"/>
  <c r="D26" i="51"/>
  <c r="D17" i="51"/>
  <c r="D9" i="51"/>
  <c r="D16" i="51"/>
  <c r="D8" i="51"/>
  <c r="D33" i="51"/>
  <c r="D20" i="51"/>
  <c r="D15" i="51"/>
  <c r="D7" i="51"/>
  <c r="D32" i="51"/>
  <c r="D14" i="51"/>
  <c r="D35" i="51"/>
  <c r="D27" i="51"/>
  <c r="D13" i="51"/>
  <c r="D12" i="51"/>
  <c r="D11" i="51"/>
  <c r="D37" i="51"/>
  <c r="D25" i="51"/>
  <c r="Z29" i="51"/>
  <c r="Z36" i="51"/>
  <c r="Z28" i="51"/>
  <c r="Z35" i="51"/>
  <c r="Z27" i="51"/>
  <c r="Z33" i="51"/>
  <c r="Z32" i="51"/>
  <c r="Z25" i="51"/>
  <c r="Z38" i="51"/>
  <c r="Z17" i="51"/>
  <c r="Z9" i="51"/>
  <c r="Z16" i="51"/>
  <c r="Z8" i="51"/>
  <c r="Z18" i="51"/>
  <c r="Z15" i="51"/>
  <c r="Z7" i="51"/>
  <c r="Z19" i="51"/>
  <c r="Z14" i="51"/>
  <c r="Z34" i="51"/>
  <c r="Z26" i="51"/>
  <c r="Z13" i="51"/>
  <c r="Z20" i="51"/>
  <c r="Z12" i="51"/>
  <c r="Z11" i="51"/>
  <c r="Z10" i="51"/>
  <c r="G300" i="36"/>
  <c r="E6" i="64" s="1"/>
  <c r="E25" i="64" s="1"/>
  <c r="F300" i="36"/>
  <c r="E305" i="36"/>
  <c r="AY93" i="77"/>
  <c r="AY93" i="70" s="1"/>
  <c r="BD55" i="77"/>
  <c r="AY80" i="77"/>
  <c r="AY80" i="70" s="1"/>
  <c r="BD66" i="77"/>
  <c r="BD48" i="77"/>
  <c r="AY86" i="77"/>
  <c r="AY86" i="70" s="1"/>
  <c r="AY94" i="77"/>
  <c r="AY94" i="70" s="1"/>
  <c r="BD56" i="77"/>
  <c r="E86" i="36"/>
  <c r="D86" i="36"/>
  <c r="U75" i="40"/>
  <c r="N76" i="40"/>
  <c r="O76" i="40" s="1"/>
  <c r="AE32" i="51"/>
  <c r="AE20" i="51"/>
  <c r="AE19" i="51"/>
  <c r="AE29" i="51"/>
  <c r="AE36" i="51"/>
  <c r="AE28" i="51"/>
  <c r="AE34" i="51"/>
  <c r="AE26" i="51"/>
  <c r="AE35" i="51"/>
  <c r="AE27" i="51"/>
  <c r="AE14" i="51"/>
  <c r="AE25" i="51"/>
  <c r="AE38" i="51"/>
  <c r="AE13" i="51"/>
  <c r="AE30" i="51"/>
  <c r="AE12" i="51"/>
  <c r="AE11" i="51"/>
  <c r="AE10" i="51"/>
  <c r="AE33" i="51"/>
  <c r="AE9" i="51"/>
  <c r="AE17" i="51"/>
  <c r="AE16" i="51"/>
  <c r="AE8" i="51"/>
  <c r="AE15" i="51"/>
  <c r="AE18" i="51"/>
  <c r="AE7" i="51"/>
  <c r="AF90" i="77"/>
  <c r="AF90" i="70" s="1"/>
  <c r="AK52" i="77"/>
  <c r="AY60" i="70"/>
  <c r="BC99" i="77"/>
  <c r="BC99" i="70" s="1"/>
  <c r="T24" i="51"/>
  <c r="AJ6" i="51"/>
  <c r="BA6" i="51"/>
  <c r="BA24" i="51"/>
  <c r="D24" i="51"/>
  <c r="T6" i="51"/>
  <c r="AJ24" i="51"/>
  <c r="O38" i="51"/>
  <c r="O31" i="51"/>
  <c r="O18" i="51"/>
  <c r="O37" i="51"/>
  <c r="O30" i="51"/>
  <c r="O29" i="51"/>
  <c r="O36" i="51"/>
  <c r="O28" i="51"/>
  <c r="O34" i="51"/>
  <c r="O26" i="51"/>
  <c r="O33" i="51"/>
  <c r="O25" i="51"/>
  <c r="O13" i="51"/>
  <c r="O12" i="51"/>
  <c r="O11" i="51"/>
  <c r="O32" i="51"/>
  <c r="O35" i="51"/>
  <c r="O10" i="51"/>
  <c r="O27" i="51"/>
  <c r="O17" i="51"/>
  <c r="O9" i="51"/>
  <c r="O16" i="51"/>
  <c r="O8" i="51"/>
  <c r="O19" i="51"/>
  <c r="O15" i="51"/>
  <c r="O7" i="51"/>
  <c r="O14" i="51"/>
  <c r="O20" i="51"/>
  <c r="G24" i="35"/>
  <c r="AY85" i="77"/>
  <c r="AY85" i="70" s="1"/>
  <c r="BD47" i="77"/>
  <c r="X75" i="40"/>
  <c r="BM99" i="77"/>
  <c r="BJ34" i="51"/>
  <c r="BJ31" i="51"/>
  <c r="BJ26" i="51"/>
  <c r="BJ33" i="51"/>
  <c r="BJ25" i="51"/>
  <c r="BJ19" i="51"/>
  <c r="BJ37" i="51"/>
  <c r="BJ17" i="51"/>
  <c r="BJ36" i="51"/>
  <c r="BJ11" i="51"/>
  <c r="BJ28" i="51"/>
  <c r="BJ18" i="51"/>
  <c r="BJ10" i="51"/>
  <c r="BJ9" i="51"/>
  <c r="BJ35" i="51"/>
  <c r="BJ32" i="51"/>
  <c r="BJ16" i="51"/>
  <c r="BJ8" i="51"/>
  <c r="BJ27" i="51"/>
  <c r="BJ15" i="51"/>
  <c r="BJ7" i="51"/>
  <c r="BJ38" i="51"/>
  <c r="BJ30" i="51"/>
  <c r="BJ14" i="51"/>
  <c r="BJ29" i="51"/>
  <c r="BJ20" i="51"/>
  <c r="BJ13" i="51"/>
  <c r="BJ12" i="51"/>
  <c r="J24" i="51"/>
  <c r="AP24" i="51"/>
  <c r="BG24" i="51"/>
  <c r="Z6" i="51"/>
  <c r="AP6" i="51"/>
  <c r="BG6" i="51"/>
  <c r="Z24" i="51"/>
  <c r="BF38" i="51"/>
  <c r="BF30" i="51"/>
  <c r="BF18" i="51"/>
  <c r="BF37" i="51"/>
  <c r="BF29" i="51"/>
  <c r="BF35" i="51"/>
  <c r="BF27" i="51"/>
  <c r="BF34" i="51"/>
  <c r="BF31" i="51"/>
  <c r="BF26" i="51"/>
  <c r="BF32" i="51"/>
  <c r="BF17" i="51"/>
  <c r="BF13" i="51"/>
  <c r="BF36" i="51"/>
  <c r="BF33" i="51"/>
  <c r="BF12" i="51"/>
  <c r="BF28" i="51"/>
  <c r="BF11" i="51"/>
  <c r="BF25" i="51"/>
  <c r="BF10" i="51"/>
  <c r="BF9" i="51"/>
  <c r="BF19" i="51"/>
  <c r="BF16" i="51"/>
  <c r="BF8" i="51"/>
  <c r="BF15" i="51"/>
  <c r="BF7" i="51"/>
  <c r="BF20" i="51"/>
  <c r="BF14" i="51"/>
  <c r="BC33" i="51"/>
  <c r="BC25" i="51"/>
  <c r="BC32" i="51"/>
  <c r="BC20" i="51"/>
  <c r="BC19" i="51"/>
  <c r="BC38" i="51"/>
  <c r="BC30" i="51"/>
  <c r="BC18" i="51"/>
  <c r="BC29" i="51"/>
  <c r="BC35" i="51"/>
  <c r="BC27" i="51"/>
  <c r="BC26" i="51"/>
  <c r="BC15" i="51"/>
  <c r="BC7" i="51"/>
  <c r="BC37" i="51"/>
  <c r="BC14" i="51"/>
  <c r="BC17" i="51"/>
  <c r="BC36" i="51"/>
  <c r="BC13" i="51"/>
  <c r="BC28" i="51"/>
  <c r="BC12" i="51"/>
  <c r="BC11" i="51"/>
  <c r="BC10" i="51"/>
  <c r="BC9" i="51"/>
  <c r="BC31" i="51"/>
  <c r="BC16" i="51"/>
  <c r="BC8" i="51"/>
  <c r="BC34" i="51"/>
  <c r="H109" i="52"/>
  <c r="G109" i="52"/>
  <c r="U109" i="52"/>
  <c r="E109" i="52"/>
  <c r="D109" i="52"/>
  <c r="P109" i="52"/>
  <c r="O109" i="52"/>
  <c r="N109" i="52"/>
  <c r="M109" i="52"/>
  <c r="L109" i="52"/>
  <c r="K109" i="52"/>
  <c r="J109" i="52"/>
  <c r="I109" i="52"/>
  <c r="F109" i="52"/>
  <c r="V109" i="52"/>
  <c r="Q109" i="52"/>
  <c r="BL36" i="51"/>
  <c r="BL28" i="51"/>
  <c r="BL32" i="51"/>
  <c r="BL19" i="51"/>
  <c r="BL38" i="51"/>
  <c r="BL30" i="51"/>
  <c r="BL18" i="51"/>
  <c r="BL37" i="51"/>
  <c r="BL33" i="51"/>
  <c r="BL10" i="51"/>
  <c r="BL9" i="51"/>
  <c r="BL25" i="51"/>
  <c r="BL35" i="51"/>
  <c r="BL16" i="51"/>
  <c r="BL8" i="51"/>
  <c r="BL27" i="51"/>
  <c r="BL15" i="51"/>
  <c r="BL7" i="51"/>
  <c r="BL14" i="51"/>
  <c r="BL31" i="51"/>
  <c r="BL34" i="51"/>
  <c r="BL29" i="51"/>
  <c r="BL20" i="51"/>
  <c r="BL13" i="51"/>
  <c r="BL26" i="51"/>
  <c r="BL12" i="51"/>
  <c r="BL17" i="51"/>
  <c r="BL11" i="51"/>
  <c r="AP55" i="77"/>
  <c r="AC34" i="51"/>
  <c r="AC26" i="51"/>
  <c r="AC33" i="51"/>
  <c r="AC32" i="51"/>
  <c r="AC25" i="51"/>
  <c r="AC20" i="51"/>
  <c r="AC30" i="51"/>
  <c r="AC36" i="51"/>
  <c r="AC28" i="51"/>
  <c r="AC18" i="51"/>
  <c r="AC35" i="51"/>
  <c r="AC15" i="51"/>
  <c r="AC7" i="51"/>
  <c r="AC27" i="51"/>
  <c r="AC14" i="51"/>
  <c r="AC38" i="51"/>
  <c r="AC19" i="51"/>
  <c r="AC13" i="51"/>
  <c r="AC29" i="51"/>
  <c r="AC12" i="51"/>
  <c r="AC11" i="51"/>
  <c r="AC10" i="51"/>
  <c r="AC9" i="51"/>
  <c r="AC17" i="51"/>
  <c r="AC16" i="51"/>
  <c r="AC8" i="51"/>
  <c r="Y29" i="51"/>
  <c r="Y36" i="51"/>
  <c r="Y28" i="51"/>
  <c r="Y34" i="51"/>
  <c r="Y26" i="51"/>
  <c r="Y38" i="51"/>
  <c r="Y18" i="51"/>
  <c r="Y17" i="51"/>
  <c r="Y9" i="51"/>
  <c r="Y35" i="51"/>
  <c r="Y32" i="51"/>
  <c r="Y27" i="51"/>
  <c r="Y16" i="51"/>
  <c r="Y8" i="51"/>
  <c r="Y25" i="51"/>
  <c r="Y15" i="51"/>
  <c r="Y7" i="51"/>
  <c r="Y19" i="51"/>
  <c r="Y14" i="51"/>
  <c r="Y13" i="51"/>
  <c r="Y20" i="51"/>
  <c r="Y12" i="51"/>
  <c r="Y33" i="51"/>
  <c r="Y11" i="51"/>
  <c r="Y10" i="51"/>
  <c r="BE19" i="51"/>
  <c r="BE38" i="51"/>
  <c r="BE30" i="51"/>
  <c r="BE18" i="51"/>
  <c r="BE17" i="51"/>
  <c r="BE36" i="51"/>
  <c r="BE28" i="51"/>
  <c r="BE35" i="51"/>
  <c r="BE27" i="51"/>
  <c r="BE33" i="51"/>
  <c r="BE14" i="51"/>
  <c r="BE37" i="51"/>
  <c r="BE13" i="51"/>
  <c r="BE12" i="51"/>
  <c r="BE11" i="51"/>
  <c r="BE25" i="51"/>
  <c r="BE10" i="51"/>
  <c r="BE32" i="51"/>
  <c r="BE9" i="51"/>
  <c r="BE16" i="51"/>
  <c r="BE8" i="51"/>
  <c r="BE31" i="51"/>
  <c r="BE34" i="51"/>
  <c r="BE15" i="51"/>
  <c r="BE7" i="51"/>
  <c r="BE26" i="51"/>
  <c r="BE20" i="51"/>
  <c r="BE29" i="51"/>
  <c r="V37" i="51"/>
  <c r="V29" i="51"/>
  <c r="V33" i="51"/>
  <c r="V20" i="51"/>
  <c r="V38" i="51"/>
  <c r="V18" i="51"/>
  <c r="V11" i="51"/>
  <c r="V10" i="51"/>
  <c r="V35" i="51"/>
  <c r="V17" i="51"/>
  <c r="V9" i="51"/>
  <c r="V27" i="51"/>
  <c r="V30" i="51"/>
  <c r="V16" i="51"/>
  <c r="V8" i="51"/>
  <c r="V25" i="51"/>
  <c r="V15" i="51"/>
  <c r="V7" i="51"/>
  <c r="V19" i="51"/>
  <c r="V34" i="51"/>
  <c r="V14" i="51"/>
  <c r="V26" i="51"/>
  <c r="V13" i="51"/>
  <c r="V36" i="51"/>
  <c r="V12" i="51"/>
  <c r="V28" i="51"/>
  <c r="W130" i="15"/>
  <c r="W129" i="15"/>
  <c r="W128" i="15"/>
  <c r="W126" i="15"/>
  <c r="W125" i="15"/>
  <c r="W123" i="15"/>
  <c r="W136" i="15"/>
  <c r="W122" i="15"/>
  <c r="W135" i="15"/>
  <c r="W134" i="15"/>
  <c r="W131" i="15"/>
  <c r="W127" i="15"/>
  <c r="W124" i="15"/>
  <c r="W132" i="15"/>
  <c r="W133" i="15"/>
  <c r="AY97" i="77"/>
  <c r="AY97" i="70" s="1"/>
  <c r="BD59" i="77"/>
  <c r="AK97" i="77"/>
  <c r="AK97" i="70" s="1"/>
  <c r="AP59" i="77"/>
  <c r="T109" i="52"/>
  <c r="S109" i="52"/>
  <c r="R109" i="52"/>
  <c r="I35" i="51"/>
  <c r="I32" i="51"/>
  <c r="I27" i="51"/>
  <c r="I34" i="51"/>
  <c r="I26" i="51"/>
  <c r="I33" i="51"/>
  <c r="I25" i="51"/>
  <c r="I19" i="51"/>
  <c r="I37" i="51"/>
  <c r="I30" i="51"/>
  <c r="I29" i="51"/>
  <c r="I16" i="51"/>
  <c r="I8" i="51"/>
  <c r="I20" i="51"/>
  <c r="I15" i="51"/>
  <c r="I7" i="51"/>
  <c r="I36" i="51"/>
  <c r="I28" i="51"/>
  <c r="I14" i="51"/>
  <c r="I13" i="51"/>
  <c r="I31" i="51"/>
  <c r="I12" i="51"/>
  <c r="I18" i="51"/>
  <c r="I11" i="51"/>
  <c r="I38" i="51"/>
  <c r="I10" i="51"/>
  <c r="I17" i="51"/>
  <c r="I9" i="51"/>
  <c r="X29" i="51"/>
  <c r="X35" i="51"/>
  <c r="X27" i="51"/>
  <c r="X10" i="51"/>
  <c r="X17" i="51"/>
  <c r="X9" i="51"/>
  <c r="X18" i="51"/>
  <c r="X16" i="51"/>
  <c r="X8" i="51"/>
  <c r="X25" i="51"/>
  <c r="X15" i="51"/>
  <c r="X7" i="51"/>
  <c r="X38" i="51"/>
  <c r="X34" i="51"/>
  <c r="X19" i="51"/>
  <c r="X14" i="51"/>
  <c r="X26" i="51"/>
  <c r="X13" i="51"/>
  <c r="X20" i="51"/>
  <c r="X12" i="51"/>
  <c r="X36" i="51"/>
  <c r="X33" i="51"/>
  <c r="X28" i="51"/>
  <c r="X11" i="51"/>
  <c r="F37" i="51"/>
  <c r="F30" i="51"/>
  <c r="F29" i="51"/>
  <c r="F36" i="51"/>
  <c r="F28" i="51"/>
  <c r="F34" i="51"/>
  <c r="F26" i="51"/>
  <c r="F38" i="51"/>
  <c r="F31" i="51"/>
  <c r="F18" i="51"/>
  <c r="F19" i="51"/>
  <c r="F17" i="51"/>
  <c r="F9" i="51"/>
  <c r="F16" i="51"/>
  <c r="F8" i="51"/>
  <c r="F33" i="51"/>
  <c r="F20" i="51"/>
  <c r="F15" i="51"/>
  <c r="F7" i="51"/>
  <c r="F14" i="51"/>
  <c r="F32" i="51"/>
  <c r="F35" i="51"/>
  <c r="F13" i="51"/>
  <c r="F27" i="51"/>
  <c r="F12" i="51"/>
  <c r="F25" i="51"/>
  <c r="F11" i="51"/>
  <c r="F10" i="51"/>
  <c r="BA59" i="51"/>
  <c r="T59" i="51"/>
  <c r="D59" i="51"/>
  <c r="O20" i="60"/>
  <c r="J20" i="60"/>
  <c r="M20" i="60"/>
  <c r="D20" i="60"/>
  <c r="U65" i="37"/>
  <c r="E65" i="37"/>
  <c r="S64" i="37"/>
  <c r="U60" i="37"/>
  <c r="E60" i="37"/>
  <c r="S59" i="37"/>
  <c r="W55" i="37"/>
  <c r="G55" i="37"/>
  <c r="U54" i="37"/>
  <c r="E54" i="37"/>
  <c r="AF45" i="37"/>
  <c r="W40" i="37"/>
  <c r="G40" i="37"/>
  <c r="U39" i="37"/>
  <c r="E39" i="37"/>
  <c r="O35" i="37"/>
  <c r="AC34" i="37"/>
  <c r="M34" i="37"/>
  <c r="I30" i="37"/>
  <c r="G29" i="37"/>
  <c r="F24" i="37"/>
  <c r="Y20" i="37"/>
  <c r="I20" i="37"/>
  <c r="W19" i="37"/>
  <c r="G19" i="37"/>
  <c r="Z15" i="37"/>
  <c r="J15" i="37"/>
  <c r="X14" i="37"/>
  <c r="H14" i="37"/>
  <c r="K9" i="37"/>
  <c r="T65" i="37"/>
  <c r="D65" i="37"/>
  <c r="R64" i="37"/>
  <c r="T60" i="37"/>
  <c r="D60" i="37"/>
  <c r="R59" i="37"/>
  <c r="V55" i="37"/>
  <c r="F55" i="37"/>
  <c r="T54" i="37"/>
  <c r="D54" i="37"/>
  <c r="X50" i="37"/>
  <c r="H50" i="37"/>
  <c r="V49" i="37"/>
  <c r="F49" i="37"/>
  <c r="AE45" i="37"/>
  <c r="O45" i="37"/>
  <c r="AC44" i="37"/>
  <c r="M44" i="37"/>
  <c r="V40" i="37"/>
  <c r="F40" i="37"/>
  <c r="T39" i="37"/>
  <c r="D39" i="37"/>
  <c r="AD35" i="37"/>
  <c r="N35" i="37"/>
  <c r="AB34" i="37"/>
  <c r="L34" i="37"/>
  <c r="F29" i="37"/>
  <c r="W25" i="37"/>
  <c r="E24" i="37"/>
  <c r="X20" i="37"/>
  <c r="H20" i="37"/>
  <c r="V19" i="37"/>
  <c r="F19" i="37"/>
  <c r="Y15" i="37"/>
  <c r="I15" i="37"/>
  <c r="W14" i="37"/>
  <c r="G14" i="37"/>
  <c r="S65" i="37"/>
  <c r="AG64" i="37"/>
  <c r="Q64" i="37"/>
  <c r="S60" i="37"/>
  <c r="AG59" i="37"/>
  <c r="Q59" i="37"/>
  <c r="U55" i="37"/>
  <c r="E55" i="37"/>
  <c r="S54" i="37"/>
  <c r="W50" i="37"/>
  <c r="G50" i="37"/>
  <c r="U49" i="37"/>
  <c r="E49" i="37"/>
  <c r="AD45" i="37"/>
  <c r="N45" i="37"/>
  <c r="AB44" i="37"/>
  <c r="L44" i="37"/>
  <c r="U40" i="37"/>
  <c r="E40" i="37"/>
  <c r="S39" i="37"/>
  <c r="AC35" i="37"/>
  <c r="M35" i="37"/>
  <c r="AA34" i="37"/>
  <c r="K34" i="37"/>
  <c r="W30" i="37"/>
  <c r="G30" i="37"/>
  <c r="U29" i="37"/>
  <c r="E29" i="37"/>
  <c r="W20" i="37"/>
  <c r="G20" i="37"/>
  <c r="U19" i="37"/>
  <c r="E19" i="37"/>
  <c r="X15" i="37"/>
  <c r="H15" i="37"/>
  <c r="V14" i="37"/>
  <c r="F14" i="37"/>
  <c r="AC10" i="37"/>
  <c r="M10" i="37"/>
  <c r="Z9" i="37"/>
  <c r="I9" i="37"/>
  <c r="R65" i="37"/>
  <c r="AF64" i="37"/>
  <c r="P64" i="37"/>
  <c r="R60" i="37"/>
  <c r="AF59" i="37"/>
  <c r="P59" i="37"/>
  <c r="T55" i="37"/>
  <c r="D55" i="37"/>
  <c r="R54" i="37"/>
  <c r="V50" i="37"/>
  <c r="F50" i="37"/>
  <c r="T49" i="37"/>
  <c r="D49" i="37"/>
  <c r="AC45" i="37"/>
  <c r="M45" i="37"/>
  <c r="AA44" i="37"/>
  <c r="K44" i="37"/>
  <c r="T40" i="37"/>
  <c r="D40" i="37"/>
  <c r="R39" i="37"/>
  <c r="AB35" i="37"/>
  <c r="L35" i="37"/>
  <c r="Z34" i="37"/>
  <c r="J34" i="37"/>
  <c r="V30" i="37"/>
  <c r="F30" i="37"/>
  <c r="T29" i="37"/>
  <c r="D29" i="37"/>
  <c r="U25" i="37"/>
  <c r="E25" i="37"/>
  <c r="S24" i="37"/>
  <c r="V20" i="37"/>
  <c r="F20" i="37"/>
  <c r="T19" i="37"/>
  <c r="D19" i="37"/>
  <c r="W15" i="37"/>
  <c r="G15" i="37"/>
  <c r="U14" i="37"/>
  <c r="E14" i="37"/>
  <c r="AB10" i="37"/>
  <c r="L10" i="37"/>
  <c r="Y9" i="37"/>
  <c r="H9" i="37"/>
  <c r="AG65" i="37"/>
  <c r="Q65" i="37"/>
  <c r="AE64" i="37"/>
  <c r="O64" i="37"/>
  <c r="AG60" i="37"/>
  <c r="Q60" i="37"/>
  <c r="AE59" i="37"/>
  <c r="O59" i="37"/>
  <c r="S55" i="37"/>
  <c r="AG54" i="37"/>
  <c r="Q54" i="37"/>
  <c r="U50" i="37"/>
  <c r="E50" i="37"/>
  <c r="S49" i="37"/>
  <c r="AB45" i="37"/>
  <c r="L45" i="37"/>
  <c r="Z44" i="37"/>
  <c r="J44" i="37"/>
  <c r="S40" i="37"/>
  <c r="AG39" i="37"/>
  <c r="Q39" i="37"/>
  <c r="AA35" i="37"/>
  <c r="K35" i="37"/>
  <c r="Y34" i="37"/>
  <c r="I34" i="37"/>
  <c r="U30" i="37"/>
  <c r="E30" i="37"/>
  <c r="S29" i="37"/>
  <c r="T25" i="37"/>
  <c r="D25" i="37"/>
  <c r="R24" i="37"/>
  <c r="U20" i="37"/>
  <c r="E20" i="37"/>
  <c r="S19" i="37"/>
  <c r="V15" i="37"/>
  <c r="F15" i="37"/>
  <c r="T14" i="37"/>
  <c r="D14" i="37"/>
  <c r="AA10" i="37"/>
  <c r="K10" i="37"/>
  <c r="X9" i="37"/>
  <c r="G9" i="37"/>
  <c r="AF65" i="37"/>
  <c r="P65" i="37"/>
  <c r="AD64" i="37"/>
  <c r="N64" i="37"/>
  <c r="AF60" i="37"/>
  <c r="P60" i="37"/>
  <c r="AD59" i="37"/>
  <c r="N59" i="37"/>
  <c r="R55" i="37"/>
  <c r="AF54" i="37"/>
  <c r="P54" i="37"/>
  <c r="T50" i="37"/>
  <c r="D50" i="37"/>
  <c r="R49" i="37"/>
  <c r="AA45" i="37"/>
  <c r="K45" i="37"/>
  <c r="Y44" i="37"/>
  <c r="I44" i="37"/>
  <c r="R40" i="37"/>
  <c r="AF39" i="37"/>
  <c r="P39" i="37"/>
  <c r="Z35" i="37"/>
  <c r="J35" i="37"/>
  <c r="X34" i="37"/>
  <c r="H34" i="37"/>
  <c r="T30" i="37"/>
  <c r="D30" i="37"/>
  <c r="R29" i="37"/>
  <c r="S25" i="37"/>
  <c r="AG24" i="37"/>
  <c r="Q24" i="37"/>
  <c r="T20" i="37"/>
  <c r="D20" i="37"/>
  <c r="R19" i="37"/>
  <c r="U15" i="37"/>
  <c r="E15" i="37"/>
  <c r="S14" i="37"/>
  <c r="Z10" i="37"/>
  <c r="J10" i="37"/>
  <c r="W9" i="37"/>
  <c r="F9" i="37"/>
  <c r="AE65" i="37"/>
  <c r="O65" i="37"/>
  <c r="AC64" i="37"/>
  <c r="M64" i="37"/>
  <c r="AE60" i="37"/>
  <c r="O60" i="37"/>
  <c r="AC59" i="37"/>
  <c r="M59" i="37"/>
  <c r="AG55" i="37"/>
  <c r="Q55" i="37"/>
  <c r="AE54" i="37"/>
  <c r="O54" i="37"/>
  <c r="S50" i="37"/>
  <c r="AG49" i="37"/>
  <c r="Q49" i="37"/>
  <c r="Z45" i="37"/>
  <c r="J45" i="37"/>
  <c r="X44" i="37"/>
  <c r="H44" i="37"/>
  <c r="AG40" i="37"/>
  <c r="Q40" i="37"/>
  <c r="AE39" i="37"/>
  <c r="O39" i="37"/>
  <c r="Y35" i="37"/>
  <c r="I35" i="37"/>
  <c r="W34" i="37"/>
  <c r="G34" i="37"/>
  <c r="S30" i="37"/>
  <c r="AG29" i="37"/>
  <c r="Q29" i="37"/>
  <c r="R25" i="37"/>
  <c r="AF24" i="37"/>
  <c r="P24" i="37"/>
  <c r="S20" i="37"/>
  <c r="AG19" i="37"/>
  <c r="Q19" i="37"/>
  <c r="T15" i="37"/>
  <c r="D15" i="37"/>
  <c r="R14" i="37"/>
  <c r="Y10" i="37"/>
  <c r="I10" i="37"/>
  <c r="V9" i="37"/>
  <c r="E9" i="37"/>
  <c r="AD65" i="37"/>
  <c r="N65" i="37"/>
  <c r="AB64" i="37"/>
  <c r="L64" i="37"/>
  <c r="AD60" i="37"/>
  <c r="N60" i="37"/>
  <c r="AB59" i="37"/>
  <c r="L59" i="37"/>
  <c r="AF55" i="37"/>
  <c r="P55" i="37"/>
  <c r="AD54" i="37"/>
  <c r="N54" i="37"/>
  <c r="R50" i="37"/>
  <c r="AF49" i="37"/>
  <c r="P49" i="37"/>
  <c r="Y45" i="37"/>
  <c r="I45" i="37"/>
  <c r="W44" i="37"/>
  <c r="G44" i="37"/>
  <c r="AF40" i="37"/>
  <c r="P40" i="37"/>
  <c r="AD39" i="37"/>
  <c r="N39" i="37"/>
  <c r="X35" i="37"/>
  <c r="H35" i="37"/>
  <c r="V34" i="37"/>
  <c r="F34" i="37"/>
  <c r="R30" i="37"/>
  <c r="AF29" i="37"/>
  <c r="P29" i="37"/>
  <c r="AG25" i="37"/>
  <c r="Q25" i="37"/>
  <c r="AE24" i="37"/>
  <c r="O24" i="37"/>
  <c r="R20" i="37"/>
  <c r="AF19" i="37"/>
  <c r="P19" i="37"/>
  <c r="S15" i="37"/>
  <c r="AG14" i="37"/>
  <c r="Q14" i="37"/>
  <c r="X10" i="37"/>
  <c r="H10" i="37"/>
  <c r="U9" i="37"/>
  <c r="AC65" i="37"/>
  <c r="M65" i="37"/>
  <c r="AA64" i="37"/>
  <c r="K64" i="37"/>
  <c r="AC60" i="37"/>
  <c r="M60" i="37"/>
  <c r="AA59" i="37"/>
  <c r="K59" i="37"/>
  <c r="AE55" i="37"/>
  <c r="O55" i="37"/>
  <c r="AC54" i="37"/>
  <c r="M54" i="37"/>
  <c r="AG50" i="37"/>
  <c r="Q50" i="37"/>
  <c r="AE49" i="37"/>
  <c r="O49" i="37"/>
  <c r="X45" i="37"/>
  <c r="H45" i="37"/>
  <c r="V44" i="37"/>
  <c r="F44" i="37"/>
  <c r="AE40" i="37"/>
  <c r="O40" i="37"/>
  <c r="AC39" i="37"/>
  <c r="M39" i="37"/>
  <c r="W35" i="37"/>
  <c r="G35" i="37"/>
  <c r="U34" i="37"/>
  <c r="E34" i="37"/>
  <c r="AG30" i="37"/>
  <c r="Q30" i="37"/>
  <c r="AE29" i="37"/>
  <c r="O29" i="37"/>
  <c r="AF25" i="37"/>
  <c r="P25" i="37"/>
  <c r="AD24" i="37"/>
  <c r="N24" i="37"/>
  <c r="AG20" i="37"/>
  <c r="Q20" i="37"/>
  <c r="AE19" i="37"/>
  <c r="O19" i="37"/>
  <c r="R15" i="37"/>
  <c r="AF14" i="37"/>
  <c r="P14" i="37"/>
  <c r="W10" i="37"/>
  <c r="G10" i="37"/>
  <c r="T9" i="37"/>
  <c r="AB65" i="37"/>
  <c r="L65" i="37"/>
  <c r="Z64" i="37"/>
  <c r="J64" i="37"/>
  <c r="AB60" i="37"/>
  <c r="L60" i="37"/>
  <c r="Z59" i="37"/>
  <c r="J59" i="37"/>
  <c r="AD55" i="37"/>
  <c r="N55" i="37"/>
  <c r="AB54" i="37"/>
  <c r="L54" i="37"/>
  <c r="AF50" i="37"/>
  <c r="P50" i="37"/>
  <c r="AD49" i="37"/>
  <c r="N49" i="37"/>
  <c r="W45" i="37"/>
  <c r="G45" i="37"/>
  <c r="U44" i="37"/>
  <c r="E44" i="37"/>
  <c r="AD40" i="37"/>
  <c r="N40" i="37"/>
  <c r="AB39" i="37"/>
  <c r="L39" i="37"/>
  <c r="V35" i="37"/>
  <c r="F35" i="37"/>
  <c r="T34" i="37"/>
  <c r="D34" i="37"/>
  <c r="AF30" i="37"/>
  <c r="P30" i="37"/>
  <c r="AD29" i="37"/>
  <c r="N29" i="37"/>
  <c r="AE25" i="37"/>
  <c r="O25" i="37"/>
  <c r="AC24" i="37"/>
  <c r="M24" i="37"/>
  <c r="AF20" i="37"/>
  <c r="P20" i="37"/>
  <c r="AD19" i="37"/>
  <c r="N19" i="37"/>
  <c r="AG15" i="37"/>
  <c r="Q15" i="37"/>
  <c r="AE14" i="37"/>
  <c r="O14" i="37"/>
  <c r="V10" i="37"/>
  <c r="F10" i="37"/>
  <c r="S9" i="37"/>
  <c r="AA65" i="37"/>
  <c r="K65" i="37"/>
  <c r="Y64" i="37"/>
  <c r="I64" i="37"/>
  <c r="AA60" i="37"/>
  <c r="K60" i="37"/>
  <c r="Y59" i="37"/>
  <c r="I59" i="37"/>
  <c r="AC55" i="37"/>
  <c r="M55" i="37"/>
  <c r="AA54" i="37"/>
  <c r="K54" i="37"/>
  <c r="AE50" i="37"/>
  <c r="O50" i="37"/>
  <c r="AC49" i="37"/>
  <c r="M49" i="37"/>
  <c r="V45" i="37"/>
  <c r="F45" i="37"/>
  <c r="T44" i="37"/>
  <c r="D44" i="37"/>
  <c r="AC40" i="37"/>
  <c r="M40" i="37"/>
  <c r="AA39" i="37"/>
  <c r="K39" i="37"/>
  <c r="U35" i="37"/>
  <c r="E35" i="37"/>
  <c r="S34" i="37"/>
  <c r="AE30" i="37"/>
  <c r="O30" i="37"/>
  <c r="AC29" i="37"/>
  <c r="M29" i="37"/>
  <c r="AD25" i="37"/>
  <c r="N25" i="37"/>
  <c r="AB24" i="37"/>
  <c r="L24" i="37"/>
  <c r="AE20" i="37"/>
  <c r="O20" i="37"/>
  <c r="AC19" i="37"/>
  <c r="M19" i="37"/>
  <c r="AF15" i="37"/>
  <c r="P15" i="37"/>
  <c r="AD14" i="37"/>
  <c r="N14" i="37"/>
  <c r="U10" i="37"/>
  <c r="E10" i="37"/>
  <c r="Q9" i="37"/>
  <c r="Z65" i="37"/>
  <c r="J65" i="37"/>
  <c r="X64" i="37"/>
  <c r="H64" i="37"/>
  <c r="Z60" i="37"/>
  <c r="J60" i="37"/>
  <c r="X59" i="37"/>
  <c r="H59" i="37"/>
  <c r="AB55" i="37"/>
  <c r="L55" i="37"/>
  <c r="Z54" i="37"/>
  <c r="J54" i="37"/>
  <c r="AD50" i="37"/>
  <c r="N50" i="37"/>
  <c r="AB49" i="37"/>
  <c r="L49" i="37"/>
  <c r="U45" i="37"/>
  <c r="E45" i="37"/>
  <c r="S44" i="37"/>
  <c r="AB40" i="37"/>
  <c r="L40" i="37"/>
  <c r="Z39" i="37"/>
  <c r="J39" i="37"/>
  <c r="T35" i="37"/>
  <c r="D35" i="37"/>
  <c r="R34" i="37"/>
  <c r="AD30" i="37"/>
  <c r="N30" i="37"/>
  <c r="AB29" i="37"/>
  <c r="L29" i="37"/>
  <c r="AC25" i="37"/>
  <c r="M25" i="37"/>
  <c r="AA24" i="37"/>
  <c r="K24" i="37"/>
  <c r="AD20" i="37"/>
  <c r="N20" i="37"/>
  <c r="AB19" i="37"/>
  <c r="L19" i="37"/>
  <c r="AE15" i="37"/>
  <c r="O15" i="37"/>
  <c r="AC14" i="37"/>
  <c r="M14" i="37"/>
  <c r="T10" i="37"/>
  <c r="D10" i="37"/>
  <c r="P9" i="37"/>
  <c r="Y65" i="37"/>
  <c r="I65" i="37"/>
  <c r="W64" i="37"/>
  <c r="G64" i="37"/>
  <c r="Y60" i="37"/>
  <c r="I60" i="37"/>
  <c r="W59" i="37"/>
  <c r="G59" i="37"/>
  <c r="AA55" i="37"/>
  <c r="K55" i="37"/>
  <c r="Y54" i="37"/>
  <c r="I54" i="37"/>
  <c r="AC50" i="37"/>
  <c r="M50" i="37"/>
  <c r="AA49" i="37"/>
  <c r="K49" i="37"/>
  <c r="T45" i="37"/>
  <c r="D45" i="37"/>
  <c r="R44" i="37"/>
  <c r="AA40" i="37"/>
  <c r="K40" i="37"/>
  <c r="Y39" i="37"/>
  <c r="I39" i="37"/>
  <c r="S35" i="37"/>
  <c r="AG34" i="37"/>
  <c r="Q34" i="37"/>
  <c r="AC30" i="37"/>
  <c r="M30" i="37"/>
  <c r="AA29" i="37"/>
  <c r="K29" i="37"/>
  <c r="AB25" i="37"/>
  <c r="L25" i="37"/>
  <c r="Z24" i="37"/>
  <c r="J24" i="37"/>
  <c r="AC20" i="37"/>
  <c r="M20" i="37"/>
  <c r="AA19" i="37"/>
  <c r="K19" i="37"/>
  <c r="AD15" i="37"/>
  <c r="N15" i="37"/>
  <c r="AB14" i="37"/>
  <c r="L14" i="37"/>
  <c r="S10" i="37"/>
  <c r="AF9" i="37"/>
  <c r="O9" i="37"/>
  <c r="X65" i="37"/>
  <c r="H65" i="37"/>
  <c r="V64" i="37"/>
  <c r="F64" i="37"/>
  <c r="X60" i="37"/>
  <c r="H60" i="37"/>
  <c r="V59" i="37"/>
  <c r="F59" i="37"/>
  <c r="Z55" i="37"/>
  <c r="J55" i="37"/>
  <c r="X54" i="37"/>
  <c r="H54" i="37"/>
  <c r="AB50" i="37"/>
  <c r="L50" i="37"/>
  <c r="Z49" i="37"/>
  <c r="J49" i="37"/>
  <c r="S45" i="37"/>
  <c r="AG44" i="37"/>
  <c r="Q44" i="37"/>
  <c r="Z40" i="37"/>
  <c r="J40" i="37"/>
  <c r="X39" i="37"/>
  <c r="H39" i="37"/>
  <c r="R35" i="37"/>
  <c r="AF34" i="37"/>
  <c r="P34" i="37"/>
  <c r="AB30" i="37"/>
  <c r="L30" i="37"/>
  <c r="Z29" i="37"/>
  <c r="J29" i="37"/>
  <c r="AA25" i="37"/>
  <c r="K25" i="37"/>
  <c r="Y24" i="37"/>
  <c r="I24" i="37"/>
  <c r="AB20" i="37"/>
  <c r="L20" i="37"/>
  <c r="Z19" i="37"/>
  <c r="J19" i="37"/>
  <c r="AC15" i="37"/>
  <c r="M15" i="37"/>
  <c r="AA14" i="37"/>
  <c r="K14" i="37"/>
  <c r="R10" i="37"/>
  <c r="AE9" i="37"/>
  <c r="N9" i="37"/>
  <c r="W65" i="37"/>
  <c r="G65" i="37"/>
  <c r="U64" i="37"/>
  <c r="E64" i="37"/>
  <c r="W60" i="37"/>
  <c r="G60" i="37"/>
  <c r="U59" i="37"/>
  <c r="E59" i="37"/>
  <c r="Y55" i="37"/>
  <c r="I55" i="37"/>
  <c r="W54" i="37"/>
  <c r="G54" i="37"/>
  <c r="AA50" i="37"/>
  <c r="K50" i="37"/>
  <c r="Y49" i="37"/>
  <c r="I49" i="37"/>
  <c r="R45" i="37"/>
  <c r="AF44" i="37"/>
  <c r="P44" i="37"/>
  <c r="Y40" i="37"/>
  <c r="I40" i="37"/>
  <c r="W39" i="37"/>
  <c r="G39" i="37"/>
  <c r="AG35" i="37"/>
  <c r="Q35" i="37"/>
  <c r="AE34" i="37"/>
  <c r="O34" i="37"/>
  <c r="AA30" i="37"/>
  <c r="K30" i="37"/>
  <c r="Y29" i="37"/>
  <c r="I29" i="37"/>
  <c r="Z25" i="37"/>
  <c r="J25" i="37"/>
  <c r="X24" i="37"/>
  <c r="H24" i="37"/>
  <c r="AA20" i="37"/>
  <c r="K20" i="37"/>
  <c r="Y19" i="37"/>
  <c r="I19" i="37"/>
  <c r="AB15" i="37"/>
  <c r="L15" i="37"/>
  <c r="Z14" i="37"/>
  <c r="J14" i="37"/>
  <c r="AG10" i="37"/>
  <c r="Q10" i="37"/>
  <c r="AD9" i="37"/>
  <c r="M9" i="37"/>
  <c r="V65" i="37"/>
  <c r="F65" i="37"/>
  <c r="T64" i="37"/>
  <c r="D64" i="37"/>
  <c r="V60" i="37"/>
  <c r="F60" i="37"/>
  <c r="T59" i="37"/>
  <c r="D59" i="37"/>
  <c r="X55" i="37"/>
  <c r="H55" i="37"/>
  <c r="V54" i="37"/>
  <c r="F54" i="37"/>
  <c r="Z50" i="37"/>
  <c r="J50" i="37"/>
  <c r="X49" i="37"/>
  <c r="H49" i="37"/>
  <c r="AG45" i="37"/>
  <c r="Q45" i="37"/>
  <c r="AE44" i="37"/>
  <c r="O44" i="37"/>
  <c r="X40" i="37"/>
  <c r="H40" i="37"/>
  <c r="V39" i="37"/>
  <c r="F39" i="37"/>
  <c r="AF35" i="37"/>
  <c r="P35" i="37"/>
  <c r="AD34" i="37"/>
  <c r="N34" i="37"/>
  <c r="Z30" i="37"/>
  <c r="J30" i="37"/>
  <c r="X29" i="37"/>
  <c r="H29" i="37"/>
  <c r="Y25" i="37"/>
  <c r="I25" i="37"/>
  <c r="W24" i="37"/>
  <c r="G24" i="37"/>
  <c r="Z20" i="37"/>
  <c r="J20" i="37"/>
  <c r="X19" i="37"/>
  <c r="H19" i="37"/>
  <c r="AA15" i="37"/>
  <c r="K15" i="37"/>
  <c r="Y14" i="37"/>
  <c r="I14" i="37"/>
  <c r="AF10" i="37"/>
  <c r="P10" i="37"/>
  <c r="AC9" i="37"/>
  <c r="L9" i="37"/>
  <c r="AG9" i="37"/>
  <c r="L20" i="60"/>
  <c r="Q20" i="60"/>
  <c r="E20" i="60"/>
  <c r="I20" i="60"/>
  <c r="K20" i="60"/>
  <c r="N20" i="60"/>
  <c r="H8" i="88"/>
  <c r="H34" i="88"/>
  <c r="L17" i="74"/>
  <c r="L32" i="74"/>
  <c r="M32" i="74" s="1"/>
  <c r="H31" i="57"/>
  <c r="H32" i="88"/>
  <c r="H18" i="88"/>
  <c r="AB88" i="41"/>
  <c r="D56" i="36"/>
  <c r="D58" i="36" s="1"/>
  <c r="AA88" i="41" s="1"/>
  <c r="H29" i="88"/>
  <c r="H33" i="57"/>
  <c r="H9" i="88"/>
  <c r="H26" i="88"/>
  <c r="L11" i="74"/>
  <c r="H12" i="88"/>
  <c r="H27" i="88"/>
  <c r="H30" i="57"/>
  <c r="H40" i="57"/>
  <c r="H39" i="88"/>
  <c r="H33" i="88"/>
  <c r="L19" i="74"/>
  <c r="H11" i="88"/>
  <c r="L12" i="74"/>
  <c r="L14" i="74"/>
  <c r="L24" i="74"/>
  <c r="M24" i="74" s="1"/>
  <c r="L37" i="74"/>
  <c r="M37" i="74" s="1"/>
  <c r="L16" i="74"/>
  <c r="H30" i="88"/>
  <c r="T78" i="40"/>
  <c r="S78" i="40"/>
  <c r="R78" i="40"/>
  <c r="U78" i="40"/>
  <c r="L25" i="74"/>
  <c r="M25" i="74" s="1"/>
  <c r="AA80" i="40"/>
  <c r="D94" i="36"/>
  <c r="AA84" i="40"/>
  <c r="Z3" i="52"/>
  <c r="L21" i="74"/>
  <c r="G54" i="74" s="1"/>
  <c r="J22" i="35" s="1"/>
  <c r="H38" i="88"/>
  <c r="L18" i="74"/>
  <c r="H13" i="88"/>
  <c r="H14" i="88"/>
  <c r="L31" i="74"/>
  <c r="M31" i="74" s="1"/>
  <c r="D50" i="36"/>
  <c r="AA78" i="40"/>
  <c r="L38" i="74"/>
  <c r="G56" i="74" s="1"/>
  <c r="J24" i="35" s="1"/>
  <c r="H28" i="88"/>
  <c r="H10" i="88"/>
  <c r="L9" i="74"/>
  <c r="G357" i="36"/>
  <c r="H357" i="36" s="1"/>
  <c r="G359" i="36" s="1"/>
  <c r="H16" i="88"/>
  <c r="D77" i="40"/>
  <c r="C77" i="40"/>
  <c r="N77" i="40"/>
  <c r="M77" i="40"/>
  <c r="L77" i="40"/>
  <c r="K77" i="40"/>
  <c r="J77" i="40"/>
  <c r="H77" i="40"/>
  <c r="G77" i="40"/>
  <c r="F77" i="40"/>
  <c r="Q78" i="40"/>
  <c r="E77" i="40"/>
  <c r="I77" i="40"/>
  <c r="O77" i="40"/>
  <c r="L28" i="74"/>
  <c r="M28" i="74" s="1"/>
  <c r="H31" i="88"/>
  <c r="L15" i="74"/>
  <c r="F20" i="60"/>
  <c r="P20" i="60"/>
  <c r="G20" i="60"/>
  <c r="P36" i="30"/>
  <c r="W36" i="30"/>
  <c r="K14" i="30"/>
  <c r="L109" i="15"/>
  <c r="G128" i="15"/>
  <c r="D90" i="15"/>
  <c r="T90" i="15"/>
  <c r="G50" i="15"/>
  <c r="L50" i="31"/>
  <c r="R14" i="30"/>
  <c r="P50" i="15"/>
  <c r="U14" i="30"/>
  <c r="P30" i="15"/>
  <c r="G36" i="30"/>
  <c r="G14" i="30"/>
  <c r="P12" i="15"/>
  <c r="G12" i="15"/>
  <c r="L12" i="31"/>
  <c r="D14" i="30"/>
  <c r="K69" i="15"/>
  <c r="U30" i="15"/>
  <c r="I36" i="30"/>
  <c r="P69" i="15"/>
  <c r="R36" i="30"/>
  <c r="K36" i="30"/>
  <c r="P109" i="15"/>
  <c r="Q30" i="31"/>
  <c r="L30" i="15"/>
  <c r="F36" i="30"/>
  <c r="U128" i="15"/>
  <c r="P14" i="30"/>
  <c r="U50" i="15"/>
  <c r="W14" i="30"/>
  <c r="U12" i="15"/>
  <c r="I14" i="30"/>
  <c r="L14" i="30"/>
  <c r="K128" i="15"/>
  <c r="W41" i="30"/>
  <c r="P41" i="30"/>
  <c r="L74" i="15"/>
  <c r="R41" i="30"/>
  <c r="K41" i="30"/>
  <c r="L35" i="15"/>
  <c r="F41" i="30"/>
  <c r="Q35" i="31"/>
  <c r="H133" i="15"/>
  <c r="K114" i="15"/>
  <c r="Y19" i="30"/>
  <c r="G95" i="15"/>
  <c r="T95" i="15"/>
  <c r="U41" i="30"/>
  <c r="N41" i="30"/>
  <c r="U95" i="15"/>
  <c r="AD19" i="30"/>
  <c r="U19" i="30"/>
  <c r="P55" i="15"/>
  <c r="M133" i="15"/>
  <c r="P114" i="15"/>
  <c r="K35" i="15"/>
  <c r="E41" i="30"/>
  <c r="K17" i="15"/>
  <c r="E19" i="30"/>
  <c r="U133" i="15"/>
  <c r="P19" i="30"/>
  <c r="Z19" i="30"/>
  <c r="K95" i="15"/>
  <c r="D19" i="30"/>
  <c r="L17" i="31"/>
  <c r="G17" i="15"/>
  <c r="L55" i="15"/>
  <c r="Q55" i="31"/>
  <c r="T19" i="30"/>
  <c r="S40" i="30"/>
  <c r="L40" i="30"/>
  <c r="E40" i="30"/>
  <c r="K34" i="15"/>
  <c r="R132" i="15"/>
  <c r="U113" i="15"/>
  <c r="G94" i="15"/>
  <c r="Y18" i="30"/>
  <c r="P16" i="15"/>
  <c r="G18" i="30"/>
  <c r="S18" i="30"/>
  <c r="L54" i="31"/>
  <c r="K54" i="15"/>
  <c r="I18" i="30"/>
  <c r="U16" i="15"/>
  <c r="U54" i="15"/>
  <c r="W18" i="30"/>
  <c r="P54" i="15"/>
  <c r="U18" i="30"/>
  <c r="R40" i="30"/>
  <c r="L73" i="15"/>
  <c r="K40" i="30"/>
  <c r="I94" i="15"/>
  <c r="P73" i="15"/>
  <c r="L34" i="31"/>
  <c r="K113" i="15"/>
  <c r="L113" i="15" s="1"/>
  <c r="H132" i="15"/>
  <c r="K18" i="30"/>
  <c r="G132" i="15"/>
  <c r="P40" i="30"/>
  <c r="W40" i="30"/>
  <c r="R94" i="15"/>
  <c r="M132" i="15"/>
  <c r="P113" i="15"/>
  <c r="L16" i="15"/>
  <c r="Q16" i="31"/>
  <c r="F18" i="30"/>
  <c r="P39" i="30"/>
  <c r="W39" i="30"/>
  <c r="D17" i="30"/>
  <c r="L15" i="31"/>
  <c r="G15" i="15"/>
  <c r="T93" i="15"/>
  <c r="D93" i="15"/>
  <c r="L33" i="15"/>
  <c r="Q33" i="31"/>
  <c r="F39" i="30"/>
  <c r="U17" i="30"/>
  <c r="P53" i="15"/>
  <c r="D131" i="15"/>
  <c r="G112" i="15"/>
  <c r="F77" i="15"/>
  <c r="F146" i="15" s="1"/>
  <c r="H131" i="15"/>
  <c r="K112" i="15"/>
  <c r="K72" i="15"/>
  <c r="Y17" i="30"/>
  <c r="G39" i="30"/>
  <c r="P33" i="15"/>
  <c r="U15" i="15"/>
  <c r="I17" i="30"/>
  <c r="T17" i="30"/>
  <c r="Q53" i="31"/>
  <c r="L53" i="15"/>
  <c r="U93" i="15"/>
  <c r="AD17" i="30"/>
  <c r="U112" i="15"/>
  <c r="N39" i="30"/>
  <c r="U39" i="30"/>
  <c r="P112" i="15"/>
  <c r="M131" i="15"/>
  <c r="U33" i="15"/>
  <c r="I39" i="30"/>
  <c r="G71" i="15"/>
  <c r="G92" i="15" s="1"/>
  <c r="F38" i="30"/>
  <c r="Q32" i="31"/>
  <c r="L32" i="15"/>
  <c r="F92" i="15"/>
  <c r="F98" i="15" s="1"/>
  <c r="H92" i="15"/>
  <c r="K92" i="15"/>
  <c r="Z16" i="30"/>
  <c r="D58" i="15"/>
  <c r="G111" i="15"/>
  <c r="D130" i="15"/>
  <c r="Y16" i="30"/>
  <c r="P38" i="30"/>
  <c r="Q52" i="31"/>
  <c r="L52" i="15"/>
  <c r="T16" i="30"/>
  <c r="P14" i="15"/>
  <c r="G16" i="30"/>
  <c r="R92" i="15"/>
  <c r="M130" i="15"/>
  <c r="P111" i="15"/>
  <c r="L38" i="30"/>
  <c r="S38" i="30"/>
  <c r="L16" i="30"/>
  <c r="K130" i="15"/>
  <c r="T77" i="15"/>
  <c r="T146" i="15" s="1"/>
  <c r="U14" i="15"/>
  <c r="I16" i="30"/>
  <c r="U38" i="30"/>
  <c r="N38" i="30"/>
  <c r="AD16" i="30"/>
  <c r="U111" i="15"/>
  <c r="R130" i="15"/>
  <c r="D16" i="30"/>
  <c r="L14" i="31"/>
  <c r="G14" i="15"/>
  <c r="AB16" i="30"/>
  <c r="P92" i="15"/>
  <c r="P37" i="30"/>
  <c r="W37" i="30"/>
  <c r="N37" i="30"/>
  <c r="U37" i="30"/>
  <c r="U110" i="15"/>
  <c r="R129" i="15"/>
  <c r="R37" i="30"/>
  <c r="K37" i="30"/>
  <c r="L70" i="15"/>
  <c r="K110" i="15"/>
  <c r="H129" i="15"/>
  <c r="L37" i="30"/>
  <c r="S37" i="30"/>
  <c r="R91" i="15"/>
  <c r="G110" i="15"/>
  <c r="D129" i="15"/>
  <c r="W15" i="30"/>
  <c r="U51" i="15"/>
  <c r="I15" i="30"/>
  <c r="U13" i="15"/>
  <c r="G31" i="15"/>
  <c r="L31" i="31"/>
  <c r="D37" i="30"/>
  <c r="L51" i="15"/>
  <c r="Q51" i="31"/>
  <c r="T15" i="30"/>
  <c r="P129" i="15"/>
  <c r="N15" i="30"/>
  <c r="Y15" i="30"/>
  <c r="G91" i="15"/>
  <c r="K91" i="15"/>
  <c r="Z15" i="30"/>
  <c r="K31" i="15"/>
  <c r="E37" i="30"/>
  <c r="L13" i="15"/>
  <c r="Q13" i="31"/>
  <c r="F15" i="30"/>
  <c r="P18" i="15"/>
  <c r="G20" i="30"/>
  <c r="D20" i="30"/>
  <c r="L18" i="31"/>
  <c r="G18" i="15"/>
  <c r="T96" i="15"/>
  <c r="K18" i="15"/>
  <c r="E20" i="30"/>
  <c r="AB20" i="30"/>
  <c r="P96" i="15"/>
  <c r="D134" i="15"/>
  <c r="G115" i="15"/>
  <c r="N20" i="30"/>
  <c r="P134" i="15"/>
  <c r="K134" i="15"/>
  <c r="L20" i="30"/>
  <c r="U18" i="15"/>
  <c r="I20" i="30"/>
  <c r="AD20" i="30"/>
  <c r="U96" i="15"/>
  <c r="P36" i="15"/>
  <c r="G42" i="30"/>
  <c r="L56" i="15"/>
  <c r="Q56" i="31"/>
  <c r="T20" i="30"/>
  <c r="R134" i="15"/>
  <c r="U115" i="15"/>
  <c r="P42" i="30"/>
  <c r="W42" i="30"/>
  <c r="Y20" i="30"/>
  <c r="G75" i="15"/>
  <c r="G36" i="15"/>
  <c r="D42" i="30"/>
  <c r="L36" i="31"/>
  <c r="K56" i="15"/>
  <c r="S20" i="30"/>
  <c r="R96" i="15"/>
  <c r="E42" i="30"/>
  <c r="K36" i="15"/>
  <c r="S42" i="30"/>
  <c r="L42" i="30"/>
  <c r="H77" i="15"/>
  <c r="H146" i="15" s="1"/>
  <c r="K25" i="15"/>
  <c r="E31" i="30"/>
  <c r="K7" i="15"/>
  <c r="E9" i="30"/>
  <c r="L45" i="15"/>
  <c r="T9" i="30"/>
  <c r="Q45" i="31"/>
  <c r="D77" i="15"/>
  <c r="D146" i="15" s="1"/>
  <c r="P104" i="15"/>
  <c r="M123" i="15"/>
  <c r="H85" i="15"/>
  <c r="G123" i="15"/>
  <c r="K9" i="30"/>
  <c r="L104" i="15"/>
  <c r="P45" i="15"/>
  <c r="U9" i="30"/>
  <c r="Z9" i="30"/>
  <c r="Y9" i="30"/>
  <c r="I31" i="30"/>
  <c r="U25" i="15"/>
  <c r="G7" i="15"/>
  <c r="L7" i="31"/>
  <c r="D9" i="30"/>
  <c r="G31" i="30"/>
  <c r="P25" i="15"/>
  <c r="D85" i="15"/>
  <c r="G9" i="30"/>
  <c r="P7" i="15"/>
  <c r="K123" i="15"/>
  <c r="L9" i="30"/>
  <c r="P64" i="15"/>
  <c r="P9" i="30"/>
  <c r="U123" i="15"/>
  <c r="L25" i="31"/>
  <c r="G25" i="15"/>
  <c r="D31" i="30"/>
  <c r="S85" i="15"/>
  <c r="S98" i="15" s="1"/>
  <c r="K105" i="15"/>
  <c r="H124" i="15"/>
  <c r="P8" i="15"/>
  <c r="G10" i="30"/>
  <c r="O117" i="15"/>
  <c r="O145" i="15" s="1"/>
  <c r="L46" i="15"/>
  <c r="Q46" i="31"/>
  <c r="T10" i="30"/>
  <c r="N10" i="30"/>
  <c r="P124" i="15"/>
  <c r="L32" i="30"/>
  <c r="S32" i="30"/>
  <c r="K86" i="15"/>
  <c r="Z10" i="30"/>
  <c r="N77" i="15"/>
  <c r="N146" i="15" s="1"/>
  <c r="P20" i="31"/>
  <c r="G105" i="15"/>
  <c r="D124" i="15"/>
  <c r="P65" i="15"/>
  <c r="AD10" i="30"/>
  <c r="U86" i="15"/>
  <c r="G26" i="15"/>
  <c r="D32" i="30"/>
  <c r="L26" i="31"/>
  <c r="L65" i="15"/>
  <c r="K32" i="30"/>
  <c r="R32" i="30"/>
  <c r="G32" i="30"/>
  <c r="P26" i="15"/>
  <c r="U105" i="15"/>
  <c r="R124" i="15"/>
  <c r="G86" i="15"/>
  <c r="Y10" i="30"/>
  <c r="L8" i="15"/>
  <c r="F10" i="30"/>
  <c r="Q8" i="31"/>
  <c r="U30" i="30"/>
  <c r="N30" i="30"/>
  <c r="G84" i="15"/>
  <c r="Y8" i="30"/>
  <c r="I8" i="30"/>
  <c r="U6" i="15"/>
  <c r="D30" i="30"/>
  <c r="G24" i="15"/>
  <c r="L24" i="31"/>
  <c r="T8" i="30"/>
  <c r="L44" i="15"/>
  <c r="Q44" i="31"/>
  <c r="Z8" i="30"/>
  <c r="K84" i="15"/>
  <c r="O84" i="15"/>
  <c r="P24" i="15"/>
  <c r="G30" i="30"/>
  <c r="K24" i="15"/>
  <c r="E30" i="30"/>
  <c r="U103" i="15"/>
  <c r="Q6" i="31"/>
  <c r="L6" i="15"/>
  <c r="F8" i="30"/>
  <c r="L8" i="30"/>
  <c r="K122" i="15"/>
  <c r="W30" i="30"/>
  <c r="P30" i="30"/>
  <c r="K30" i="30"/>
  <c r="L63" i="15"/>
  <c r="R30" i="30"/>
  <c r="P44" i="15"/>
  <c r="U8" i="30"/>
  <c r="P6" i="15"/>
  <c r="G8" i="30"/>
  <c r="U84" i="15"/>
  <c r="AD8" i="30"/>
  <c r="O77" i="15"/>
  <c r="O146" i="15" s="1"/>
  <c r="D122" i="15"/>
  <c r="G103" i="15"/>
  <c r="M122" i="15"/>
  <c r="P103" i="15"/>
  <c r="I21" i="30"/>
  <c r="U19" i="15"/>
  <c r="K116" i="15"/>
  <c r="L116" i="15" s="1"/>
  <c r="H135" i="15"/>
  <c r="P58" i="31"/>
  <c r="P116" i="15"/>
  <c r="M135" i="15"/>
  <c r="AB21" i="30"/>
  <c r="K76" i="15"/>
  <c r="L76" i="15" s="1"/>
  <c r="J77" i="15"/>
  <c r="J146" i="15" s="1"/>
  <c r="L37" i="31"/>
  <c r="G37" i="15"/>
  <c r="D43" i="30"/>
  <c r="K37" i="15"/>
  <c r="E43" i="30"/>
  <c r="K21" i="30"/>
  <c r="G135" i="15"/>
  <c r="P76" i="15"/>
  <c r="P97" i="15" s="1"/>
  <c r="P19" i="15"/>
  <c r="G21" i="30"/>
  <c r="I43" i="30"/>
  <c r="U37" i="15"/>
  <c r="K19" i="15"/>
  <c r="E21" i="30"/>
  <c r="L19" i="31"/>
  <c r="R135" i="15"/>
  <c r="U116" i="15"/>
  <c r="U97" i="15"/>
  <c r="AD21" i="30"/>
  <c r="G43" i="30"/>
  <c r="P37" i="15"/>
  <c r="Y21" i="30"/>
  <c r="G97" i="15"/>
  <c r="K43" i="30"/>
  <c r="R43" i="30"/>
  <c r="K35" i="30"/>
  <c r="L68" i="15"/>
  <c r="R35" i="30"/>
  <c r="G89" i="15"/>
  <c r="P68" i="15"/>
  <c r="P89" i="15" s="1"/>
  <c r="K58" i="31"/>
  <c r="G35" i="30"/>
  <c r="P29" i="15"/>
  <c r="O89" i="15"/>
  <c r="D13" i="30"/>
  <c r="L11" i="31"/>
  <c r="G11" i="15"/>
  <c r="K29" i="15"/>
  <c r="E35" i="30"/>
  <c r="M89" i="15"/>
  <c r="I77" i="15"/>
  <c r="I146" i="15" s="1"/>
  <c r="I35" i="30"/>
  <c r="U29" i="15"/>
  <c r="U108" i="15"/>
  <c r="R127" i="15"/>
  <c r="K127" i="15"/>
  <c r="L13" i="30"/>
  <c r="E13" i="30"/>
  <c r="K11" i="15"/>
  <c r="M127" i="15"/>
  <c r="P108" i="15"/>
  <c r="H89" i="15"/>
  <c r="W35" i="30"/>
  <c r="P35" i="30"/>
  <c r="E89" i="15"/>
  <c r="S13" i="30"/>
  <c r="L49" i="31"/>
  <c r="K49" i="15"/>
  <c r="L29" i="31"/>
  <c r="AD13" i="30"/>
  <c r="U89" i="15"/>
  <c r="E117" i="15"/>
  <c r="E145" i="15" s="1"/>
  <c r="G108" i="15"/>
  <c r="D127" i="15"/>
  <c r="AB13" i="30"/>
  <c r="S35" i="30"/>
  <c r="L35" i="30"/>
  <c r="U11" i="15"/>
  <c r="I13" i="30"/>
  <c r="M88" i="15"/>
  <c r="Y12" i="30"/>
  <c r="G88" i="15"/>
  <c r="U107" i="15"/>
  <c r="R126" i="15"/>
  <c r="R88" i="15"/>
  <c r="K28" i="15"/>
  <c r="E34" i="30"/>
  <c r="G12" i="30"/>
  <c r="P10" i="15"/>
  <c r="E12" i="30"/>
  <c r="K10" i="15"/>
  <c r="K126" i="15"/>
  <c r="L12" i="30"/>
  <c r="U58" i="31"/>
  <c r="G107" i="15"/>
  <c r="D126" i="15"/>
  <c r="N34" i="30"/>
  <c r="U34" i="30"/>
  <c r="P88" i="15"/>
  <c r="AB12" i="30"/>
  <c r="G28" i="15"/>
  <c r="L28" i="31"/>
  <c r="D34" i="30"/>
  <c r="P34" i="30"/>
  <c r="W34" i="30"/>
  <c r="Z12" i="30"/>
  <c r="K88" i="15"/>
  <c r="I12" i="30"/>
  <c r="U10" i="15"/>
  <c r="L10" i="31"/>
  <c r="M126" i="15"/>
  <c r="P107" i="15"/>
  <c r="T12" i="30"/>
  <c r="L48" i="15"/>
  <c r="Q48" i="31"/>
  <c r="AD12" i="30"/>
  <c r="U88" i="15"/>
  <c r="R34" i="30"/>
  <c r="K34" i="30"/>
  <c r="L67" i="15"/>
  <c r="W11" i="30"/>
  <c r="U47" i="15"/>
  <c r="M125" i="15"/>
  <c r="P106" i="15"/>
  <c r="M117" i="15"/>
  <c r="J87" i="15"/>
  <c r="J98" i="15" s="1"/>
  <c r="J58" i="15"/>
  <c r="AB11" i="30"/>
  <c r="P27" i="15"/>
  <c r="G33" i="30"/>
  <c r="P38" i="31"/>
  <c r="G9" i="15"/>
  <c r="L9" i="31"/>
  <c r="D11" i="30"/>
  <c r="G20" i="31"/>
  <c r="P66" i="15"/>
  <c r="M77" i="15"/>
  <c r="M146" i="15" s="1"/>
  <c r="R58" i="15"/>
  <c r="R87" i="15"/>
  <c r="I87" i="15"/>
  <c r="I58" i="15"/>
  <c r="I145" i="15"/>
  <c r="S125" i="15"/>
  <c r="S117" i="15"/>
  <c r="H87" i="15"/>
  <c r="H58" i="15"/>
  <c r="U106" i="15"/>
  <c r="R125" i="15"/>
  <c r="R117" i="15"/>
  <c r="I11" i="30"/>
  <c r="U9" i="15"/>
  <c r="U20" i="31"/>
  <c r="F125" i="15"/>
  <c r="F117" i="15"/>
  <c r="M58" i="15"/>
  <c r="M87" i="15"/>
  <c r="K106" i="15"/>
  <c r="H125" i="15"/>
  <c r="H117" i="15"/>
  <c r="S33" i="30"/>
  <c r="L33" i="30"/>
  <c r="K87" i="15"/>
  <c r="Z11" i="30"/>
  <c r="U66" i="15"/>
  <c r="R77" i="15"/>
  <c r="R146" i="15" s="1"/>
  <c r="K27" i="15"/>
  <c r="E33" i="30"/>
  <c r="K38" i="31"/>
  <c r="O58" i="15"/>
  <c r="O87" i="15"/>
  <c r="T125" i="15"/>
  <c r="T117" i="15"/>
  <c r="G106" i="15"/>
  <c r="D125" i="15"/>
  <c r="D117" i="15"/>
  <c r="L27" i="31"/>
  <c r="G27" i="15"/>
  <c r="D33" i="30"/>
  <c r="G38" i="31"/>
  <c r="K20" i="31"/>
  <c r="E11" i="30"/>
  <c r="K9" i="15"/>
  <c r="E58" i="15"/>
  <c r="E87" i="15"/>
  <c r="I33" i="30"/>
  <c r="U27" i="15"/>
  <c r="U38" i="31"/>
  <c r="J125" i="15"/>
  <c r="J117" i="15"/>
  <c r="N58" i="15"/>
  <c r="N87" i="15"/>
  <c r="N98" i="15" s="1"/>
  <c r="G58" i="31"/>
  <c r="R33" i="30"/>
  <c r="K33" i="30"/>
  <c r="L66" i="15"/>
  <c r="R11" i="30"/>
  <c r="L47" i="31"/>
  <c r="G47" i="15"/>
  <c r="N125" i="15"/>
  <c r="N117" i="15"/>
  <c r="W38" i="30" l="1"/>
  <c r="W31" i="30"/>
  <c r="P31" i="30"/>
  <c r="AH10" i="39"/>
  <c r="AH13" i="39"/>
  <c r="AH14" i="39"/>
  <c r="AA19" i="51"/>
  <c r="AH17" i="39"/>
  <c r="AH18" i="39"/>
  <c r="AH42" i="39"/>
  <c r="AH43" i="39"/>
  <c r="V24" i="37"/>
  <c r="V27" i="37" s="1"/>
  <c r="V28" i="37" s="1"/>
  <c r="G63" i="39" s="1"/>
  <c r="AH59" i="39"/>
  <c r="AH68" i="39"/>
  <c r="L64" i="15"/>
  <c r="H25" i="37"/>
  <c r="H26" i="37" s="1"/>
  <c r="G8" i="39" s="1"/>
  <c r="AH63" i="39"/>
  <c r="X25" i="37"/>
  <c r="X26" i="37" s="1"/>
  <c r="G23" i="39" s="1"/>
  <c r="AH67" i="39"/>
  <c r="S845" i="72"/>
  <c r="AH26" i="39"/>
  <c r="AG214" i="72"/>
  <c r="AB9" i="37"/>
  <c r="AB12" i="37" s="1"/>
  <c r="AB13" i="37" s="1"/>
  <c r="D67" i="39" s="1"/>
  <c r="AH30" i="39"/>
  <c r="V962" i="72"/>
  <c r="U24" i="37"/>
  <c r="U27" i="37" s="1"/>
  <c r="U28" i="37" s="1"/>
  <c r="G64" i="39" s="1"/>
  <c r="O10" i="37"/>
  <c r="O11" i="37" s="1"/>
  <c r="D14" i="39" s="1"/>
  <c r="AH53" i="39"/>
  <c r="G25" i="37"/>
  <c r="AE10" i="37"/>
  <c r="AH66" i="39"/>
  <c r="D24" i="37"/>
  <c r="D26" i="37" s="1"/>
  <c r="G9" i="39" s="1"/>
  <c r="J9" i="37"/>
  <c r="J11" i="37" s="1"/>
  <c r="D7" i="39" s="1"/>
  <c r="AH61" i="39"/>
  <c r="T24" i="37"/>
  <c r="T27" i="37" s="1"/>
  <c r="T28" i="37" s="1"/>
  <c r="G62" i="39" s="1"/>
  <c r="AA9" i="37"/>
  <c r="AO31" i="51"/>
  <c r="K34" i="33" s="1"/>
  <c r="AH15" i="39"/>
  <c r="F25" i="37"/>
  <c r="F26" i="37" s="1"/>
  <c r="G12" i="39" s="1"/>
  <c r="N10" i="37"/>
  <c r="N11" i="37" s="1"/>
  <c r="D13" i="39" s="1"/>
  <c r="AH19" i="39"/>
  <c r="AA13" i="51"/>
  <c r="AA35" i="51"/>
  <c r="AD10" i="37"/>
  <c r="AD11" i="37" s="1"/>
  <c r="D31" i="39" s="1"/>
  <c r="AH48" i="39"/>
  <c r="AA38" i="51"/>
  <c r="S31" i="30"/>
  <c r="R31" i="30"/>
  <c r="L31" i="30"/>
  <c r="K31" i="30"/>
  <c r="G85" i="15"/>
  <c r="AM14" i="51"/>
  <c r="I15" i="33" s="1"/>
  <c r="AM30" i="51"/>
  <c r="I33" i="33" s="1"/>
  <c r="E33" i="60"/>
  <c r="AH47" i="39"/>
  <c r="AA239" i="72"/>
  <c r="R22" i="30"/>
  <c r="AH23" i="39"/>
  <c r="AH34" i="39"/>
  <c r="AH25" i="39"/>
  <c r="AH51" i="39"/>
  <c r="AH27" i="39"/>
  <c r="AH41" i="39"/>
  <c r="AH29" i="39"/>
  <c r="AH54" i="39"/>
  <c r="AH31" i="39"/>
  <c r="AH45" i="39"/>
  <c r="AH33" i="39"/>
  <c r="AH60" i="39"/>
  <c r="AH35" i="39"/>
  <c r="AH49" i="39"/>
  <c r="AH44" i="39"/>
  <c r="AH64" i="39"/>
  <c r="K10" i="51"/>
  <c r="G14" i="35"/>
  <c r="G936" i="72"/>
  <c r="AH46" i="39"/>
  <c r="AH58" i="39"/>
  <c r="AH52" i="39"/>
  <c r="AH50" i="39"/>
  <c r="AH62" i="39"/>
  <c r="AH6" i="39"/>
  <c r="AG1034" i="72"/>
  <c r="AL8" i="51"/>
  <c r="G9" i="33" s="1"/>
  <c r="AH71" i="39"/>
  <c r="AH65" i="39"/>
  <c r="AH24" i="39"/>
  <c r="AF350" i="72"/>
  <c r="AH8" i="39"/>
  <c r="AH69" i="39"/>
  <c r="AH28" i="39"/>
  <c r="AH5" i="39"/>
  <c r="AH12" i="39"/>
  <c r="AH7" i="39"/>
  <c r="AH32" i="39"/>
  <c r="AH9" i="39"/>
  <c r="AH16" i="39"/>
  <c r="AH11" i="39"/>
  <c r="F33" i="60"/>
  <c r="D33" i="60"/>
  <c r="L72" i="15"/>
  <c r="G77" i="15"/>
  <c r="G146" i="15" s="1"/>
  <c r="K39" i="30"/>
  <c r="R39" i="30"/>
  <c r="G133" i="15"/>
  <c r="L114" i="15"/>
  <c r="L57" i="15"/>
  <c r="AA21" i="30" s="1"/>
  <c r="Q57" i="31"/>
  <c r="K12" i="51"/>
  <c r="E936" i="72"/>
  <c r="K30" i="51"/>
  <c r="AK25" i="51"/>
  <c r="F28" i="33" s="1"/>
  <c r="K38" i="51"/>
  <c r="N949" i="72"/>
  <c r="M27" i="51"/>
  <c r="W29" i="37"/>
  <c r="W31" i="37" s="1"/>
  <c r="H25" i="39" s="1"/>
  <c r="L609" i="72"/>
  <c r="V29" i="37"/>
  <c r="V32" i="37" s="1"/>
  <c r="V33" i="37" s="1"/>
  <c r="H63" i="39" s="1"/>
  <c r="Y30" i="37"/>
  <c r="Y31" i="37" s="1"/>
  <c r="H24" i="39" s="1"/>
  <c r="H30" i="37"/>
  <c r="H31" i="37" s="1"/>
  <c r="H8" i="39" s="1"/>
  <c r="K17" i="51"/>
  <c r="I33" i="60"/>
  <c r="Q33" i="60"/>
  <c r="M32" i="51"/>
  <c r="K35" i="51"/>
  <c r="N44" i="37"/>
  <c r="N46" i="37" s="1"/>
  <c r="K13" i="39" s="1"/>
  <c r="M18" i="51"/>
  <c r="AD44" i="37"/>
  <c r="AD47" i="37" s="1"/>
  <c r="AD48" i="37" s="1"/>
  <c r="K66" i="39" s="1"/>
  <c r="M31" i="51"/>
  <c r="K37" i="51"/>
  <c r="AO27" i="51"/>
  <c r="K30" i="33" s="1"/>
  <c r="M19" i="51"/>
  <c r="K18" i="51"/>
  <c r="M7" i="51"/>
  <c r="AL10" i="51"/>
  <c r="G11" i="33" s="1"/>
  <c r="AL17" i="51"/>
  <c r="G18" i="33" s="1"/>
  <c r="M15" i="51"/>
  <c r="M29" i="51"/>
  <c r="M8" i="51"/>
  <c r="M9" i="51"/>
  <c r="M17" i="51"/>
  <c r="AL13" i="51"/>
  <c r="G14" i="33" s="1"/>
  <c r="M10" i="51"/>
  <c r="K16" i="51"/>
  <c r="M30" i="51"/>
  <c r="AM27" i="51"/>
  <c r="I30" i="33" s="1"/>
  <c r="K9" i="51"/>
  <c r="M20" i="51"/>
  <c r="M14" i="51"/>
  <c r="AS14" i="51" s="1"/>
  <c r="S15" i="33" s="1"/>
  <c r="G33" i="60"/>
  <c r="R33" i="60"/>
  <c r="H33" i="60"/>
  <c r="N33" i="60"/>
  <c r="O33" i="60"/>
  <c r="S22" i="30"/>
  <c r="BD77" i="70"/>
  <c r="BI77" i="77"/>
  <c r="AG9" i="39"/>
  <c r="AG16" i="39"/>
  <c r="AG25" i="39"/>
  <c r="AG36" i="39"/>
  <c r="K34" i="51"/>
  <c r="K29" i="51"/>
  <c r="G7" i="35"/>
  <c r="AO36" i="51"/>
  <c r="K39" i="33" s="1"/>
  <c r="I78" i="43" s="1"/>
  <c r="I637" i="44" s="1"/>
  <c r="AG27" i="39"/>
  <c r="AG41" i="39"/>
  <c r="AG48" i="39"/>
  <c r="AG54" i="39"/>
  <c r="AK19" i="51"/>
  <c r="F20" i="33" s="1"/>
  <c r="AM15" i="51"/>
  <c r="I16" i="33" s="1"/>
  <c r="AM29" i="51"/>
  <c r="I32" i="33" s="1"/>
  <c r="K11" i="51"/>
  <c r="K31" i="51"/>
  <c r="AL27" i="51"/>
  <c r="G30" i="33" s="1"/>
  <c r="AG35" i="39"/>
  <c r="AG49" i="39"/>
  <c r="AG61" i="39"/>
  <c r="AG64" i="39"/>
  <c r="K13" i="51"/>
  <c r="K19" i="51"/>
  <c r="AQ19" i="51" s="1"/>
  <c r="O20" i="33" s="1"/>
  <c r="AG42" i="39"/>
  <c r="AG53" i="39"/>
  <c r="AG65" i="39"/>
  <c r="AG68" i="39"/>
  <c r="K28" i="51"/>
  <c r="K20" i="51"/>
  <c r="AG46" i="39"/>
  <c r="AG58" i="39"/>
  <c r="AG69" i="39"/>
  <c r="K14" i="51"/>
  <c r="K25" i="51"/>
  <c r="AK85" i="77"/>
  <c r="AK85" i="70" s="1"/>
  <c r="AK47" i="70"/>
  <c r="AP47" i="77"/>
  <c r="AG50" i="39"/>
  <c r="AG62" i="39"/>
  <c r="AG6" i="39"/>
  <c r="AK29" i="51"/>
  <c r="F32" i="33" s="1"/>
  <c r="AM9" i="51"/>
  <c r="I10" i="33" s="1"/>
  <c r="K36" i="51"/>
  <c r="Q36" i="51" s="1"/>
  <c r="K33" i="51"/>
  <c r="M33" i="60"/>
  <c r="AG59" i="39"/>
  <c r="AG66" i="39"/>
  <c r="AG10" i="39"/>
  <c r="K7" i="51"/>
  <c r="G49" i="37"/>
  <c r="G51" i="37" s="1"/>
  <c r="L11" i="39" s="1"/>
  <c r="D9" i="37"/>
  <c r="D11" i="37" s="1"/>
  <c r="D9" i="39" s="1"/>
  <c r="AO18" i="51"/>
  <c r="K19" i="33" s="1"/>
  <c r="AO25" i="51"/>
  <c r="K28" i="33" s="1"/>
  <c r="AG63" i="39"/>
  <c r="AG70" i="39"/>
  <c r="AG14" i="39"/>
  <c r="AM19" i="51"/>
  <c r="I20" i="33" s="1"/>
  <c r="AM31" i="51"/>
  <c r="I34" i="33" s="1"/>
  <c r="K15" i="51"/>
  <c r="AQ15" i="51" s="1"/>
  <c r="O16" i="33" s="1"/>
  <c r="W49" i="37"/>
  <c r="W51" i="37" s="1"/>
  <c r="L25" i="39" s="1"/>
  <c r="AG67" i="39"/>
  <c r="AG7" i="39"/>
  <c r="AG18" i="39"/>
  <c r="K26" i="51"/>
  <c r="I50" i="37"/>
  <c r="I51" i="37" s="1"/>
  <c r="L6" i="39" s="1"/>
  <c r="G18" i="35"/>
  <c r="AG71" i="39"/>
  <c r="AG11" i="39"/>
  <c r="AG24" i="39"/>
  <c r="K27" i="51"/>
  <c r="AL33" i="51"/>
  <c r="G36" i="33" s="1"/>
  <c r="G77" i="33" s="1"/>
  <c r="AO13" i="51"/>
  <c r="K14" i="33" s="1"/>
  <c r="AO34" i="51"/>
  <c r="K37" i="33" s="1"/>
  <c r="AG8" i="39"/>
  <c r="AG15" i="39"/>
  <c r="K8" i="51"/>
  <c r="AQ8" i="51" s="1"/>
  <c r="O9" i="33" s="1"/>
  <c r="L33" i="60"/>
  <c r="W37" i="72"/>
  <c r="AG99" i="72"/>
  <c r="AA296" i="72"/>
  <c r="AE603" i="72"/>
  <c r="AA607" i="72"/>
  <c r="AG851" i="72"/>
  <c r="X473" i="72"/>
  <c r="S1025" i="72"/>
  <c r="AC860" i="72"/>
  <c r="Y11" i="72"/>
  <c r="W144" i="72"/>
  <c r="AA565" i="72"/>
  <c r="AA377" i="72"/>
  <c r="AF716" i="72"/>
  <c r="AE353" i="72"/>
  <c r="AF871" i="72"/>
  <c r="X367" i="72"/>
  <c r="Y622" i="72"/>
  <c r="W652" i="72"/>
  <c r="U486" i="72"/>
  <c r="AD333" i="72"/>
  <c r="AF515" i="72"/>
  <c r="AF55" i="72"/>
  <c r="AG138" i="72"/>
  <c r="AE319" i="72"/>
  <c r="AB530" i="72"/>
  <c r="W671" i="72"/>
  <c r="S1057" i="72"/>
  <c r="AE366" i="72"/>
  <c r="T198" i="72"/>
  <c r="T236" i="72"/>
  <c r="Z178" i="72"/>
  <c r="AF86" i="72"/>
  <c r="AE665" i="72"/>
  <c r="AE748" i="72"/>
  <c r="AA1024" i="72"/>
  <c r="X838" i="72"/>
  <c r="W562" i="72"/>
  <c r="AD459" i="72"/>
  <c r="T261" i="72"/>
  <c r="AG499" i="72"/>
  <c r="AE701" i="72"/>
  <c r="AG547" i="72"/>
  <c r="AG104" i="72"/>
  <c r="AG458" i="72"/>
  <c r="AA862" i="72"/>
  <c r="Z931" i="72"/>
  <c r="AD720" i="72"/>
  <c r="AF11" i="72"/>
  <c r="AA1007" i="72"/>
  <c r="AB614" i="72"/>
  <c r="T255" i="72"/>
  <c r="W373" i="72"/>
  <c r="AE1000" i="72"/>
  <c r="AC363" i="72"/>
  <c r="AG703" i="72"/>
  <c r="W724" i="72"/>
  <c r="U944" i="72"/>
  <c r="AD1099" i="72"/>
  <c r="W423" i="72"/>
  <c r="AE1033" i="72"/>
  <c r="AG283" i="72"/>
  <c r="AD240" i="72"/>
  <c r="AF151" i="72"/>
  <c r="AC379" i="72"/>
  <c r="AG383" i="72"/>
  <c r="Y946" i="72"/>
  <c r="AD199" i="72"/>
  <c r="U995" i="72"/>
  <c r="S173" i="72"/>
  <c r="AE779" i="72"/>
  <c r="AG286" i="72"/>
  <c r="AD340" i="72"/>
  <c r="AG473" i="72"/>
  <c r="AF540" i="72"/>
  <c r="W512" i="72"/>
  <c r="Y375" i="72"/>
  <c r="X110" i="72"/>
  <c r="V677" i="72"/>
  <c r="AC789" i="72"/>
  <c r="AD1093" i="72"/>
  <c r="T463" i="72"/>
  <c r="T272" i="72"/>
  <c r="AG677" i="72"/>
  <c r="Y301" i="72"/>
  <c r="V483" i="72"/>
  <c r="AG600" i="72"/>
  <c r="AA907" i="72"/>
  <c r="U911" i="72"/>
  <c r="AF996" i="72"/>
  <c r="AE524" i="72"/>
  <c r="AE208" i="72"/>
  <c r="S203" i="72"/>
  <c r="X203" i="72"/>
  <c r="AE161" i="72"/>
  <c r="AG54" i="72"/>
  <c r="AE633" i="72"/>
  <c r="AD1004" i="72"/>
  <c r="AG737" i="72"/>
  <c r="AF432" i="72"/>
  <c r="AA763" i="72"/>
  <c r="AG304" i="72"/>
  <c r="S974" i="72"/>
  <c r="Z224" i="72"/>
  <c r="AB669" i="72"/>
  <c r="AA787" i="72"/>
  <c r="AG56" i="72"/>
  <c r="AG315" i="72"/>
  <c r="Z655" i="72"/>
  <c r="AA850" i="72"/>
  <c r="X247" i="72"/>
  <c r="T388" i="72"/>
  <c r="AB893" i="72"/>
  <c r="T486" i="72"/>
  <c r="Y85" i="72"/>
  <c r="AD211" i="72"/>
  <c r="AB71" i="72"/>
  <c r="W969" i="72"/>
  <c r="S1036" i="72"/>
  <c r="AG785" i="72"/>
  <c r="AB1094" i="72"/>
  <c r="AA705" i="72"/>
  <c r="W1094" i="72"/>
  <c r="AG220" i="72"/>
  <c r="T245" i="72"/>
  <c r="X1069" i="72"/>
  <c r="X819" i="72"/>
  <c r="S376" i="72"/>
  <c r="W842" i="72"/>
  <c r="AF687" i="72"/>
  <c r="AF708" i="72"/>
  <c r="AE895" i="72"/>
  <c r="U755" i="72"/>
  <c r="AG621" i="72"/>
  <c r="S903" i="72"/>
  <c r="U224" i="72"/>
  <c r="AC629" i="72"/>
  <c r="AE169" i="72"/>
  <c r="S1003" i="72"/>
  <c r="AG991" i="72"/>
  <c r="AF582" i="72"/>
  <c r="W936" i="72"/>
  <c r="W656" i="72"/>
  <c r="AE234" i="72"/>
  <c r="W366" i="72"/>
  <c r="S284" i="72"/>
  <c r="V241" i="72"/>
  <c r="AF136" i="72"/>
  <c r="AF699" i="72"/>
  <c r="W719" i="72"/>
  <c r="Z756" i="72"/>
  <c r="T780" i="72"/>
  <c r="X165" i="72"/>
  <c r="Z642" i="72"/>
  <c r="V156" i="72"/>
  <c r="AG287" i="72"/>
  <c r="V676" i="72"/>
  <c r="AG729" i="72"/>
  <c r="AG828" i="72"/>
  <c r="AE800" i="72"/>
  <c r="AA663" i="72"/>
  <c r="V893" i="72"/>
  <c r="AE181" i="72"/>
  <c r="Z217" i="72"/>
  <c r="Z299" i="72"/>
  <c r="S12" i="72"/>
  <c r="AF273" i="72"/>
  <c r="AG965" i="72"/>
  <c r="T637" i="72"/>
  <c r="U228" i="72"/>
  <c r="AB920" i="72"/>
  <c r="Z412" i="72"/>
  <c r="X688" i="72"/>
  <c r="Y790" i="72"/>
  <c r="U219" i="72"/>
  <c r="Y981" i="72"/>
  <c r="AC663" i="72"/>
  <c r="AF53" i="72"/>
  <c r="T130" i="72"/>
  <c r="AF39" i="72"/>
  <c r="Y921" i="72"/>
  <c r="V462" i="72"/>
  <c r="AE1025" i="72"/>
  <c r="U130" i="72"/>
  <c r="X531" i="72"/>
  <c r="T362" i="72"/>
  <c r="U934" i="72"/>
  <c r="V377" i="72"/>
  <c r="Z1021" i="72"/>
  <c r="AD260" i="72"/>
  <c r="Z328" i="72"/>
  <c r="AG635" i="72"/>
  <c r="AG943" i="72"/>
  <c r="Z534" i="72"/>
  <c r="AF589" i="72"/>
  <c r="W198" i="72"/>
  <c r="AF1083" i="72"/>
  <c r="AG81" i="72"/>
  <c r="AB349" i="72"/>
  <c r="W531" i="72"/>
  <c r="Y88" i="72"/>
  <c r="AD154" i="72"/>
  <c r="X494" i="72"/>
  <c r="AA1073" i="72"/>
  <c r="V622" i="72"/>
  <c r="Z858" i="72"/>
  <c r="Y971" i="72"/>
  <c r="Z1033" i="72"/>
  <c r="AG594" i="72"/>
  <c r="AF222" i="72"/>
  <c r="AD612" i="72"/>
  <c r="AE680" i="72"/>
  <c r="AA347" i="72"/>
  <c r="V975" i="72"/>
  <c r="AG1060" i="72"/>
  <c r="U653" i="72"/>
  <c r="AE1083" i="72"/>
  <c r="W1030" i="72"/>
  <c r="Z267" i="72"/>
  <c r="AG225" i="72"/>
  <c r="AA901" i="72"/>
  <c r="S441" i="72"/>
  <c r="AG508" i="72"/>
  <c r="S480" i="72"/>
  <c r="AE870" i="72"/>
  <c r="AC331" i="72"/>
  <c r="X902" i="72"/>
  <c r="T444" i="72"/>
  <c r="AF545" i="72"/>
  <c r="S125" i="72"/>
  <c r="AG226" i="72"/>
  <c r="AE712" i="72"/>
  <c r="AD1019" i="72"/>
  <c r="V1007" i="72"/>
  <c r="V598" i="72"/>
  <c r="X769" i="72"/>
  <c r="T370" i="72"/>
  <c r="U912" i="72"/>
  <c r="U260" i="72"/>
  <c r="AF256" i="72"/>
  <c r="W661" i="72"/>
  <c r="AG1065" i="72"/>
  <c r="AG1100" i="72"/>
  <c r="AG529" i="72"/>
  <c r="T967" i="72"/>
  <c r="Y1011" i="72"/>
  <c r="U459" i="72"/>
  <c r="T419" i="72"/>
  <c r="AE510" i="72"/>
  <c r="AF13" i="72"/>
  <c r="AC258" i="72"/>
  <c r="AF166" i="72"/>
  <c r="AE957" i="72"/>
  <c r="AF277" i="72"/>
  <c r="AG73" i="72"/>
  <c r="V700" i="72"/>
  <c r="AF337" i="72"/>
  <c r="AA1046" i="72"/>
  <c r="AA631" i="72"/>
  <c r="S271" i="72"/>
  <c r="Z1042" i="72"/>
  <c r="V317" i="72"/>
  <c r="AE115" i="72"/>
  <c r="W40" i="72"/>
  <c r="Z122" i="72"/>
  <c r="Y798" i="72"/>
  <c r="AG867" i="72"/>
  <c r="U300" i="72"/>
  <c r="AG578" i="72"/>
  <c r="AD631" i="72"/>
  <c r="U722" i="72"/>
  <c r="V903" i="72"/>
  <c r="V190" i="72"/>
  <c r="AF564" i="72"/>
  <c r="AG632" i="72"/>
  <c r="AD955" i="72"/>
  <c r="T416" i="72"/>
  <c r="AE822" i="72"/>
  <c r="W403" i="72"/>
  <c r="Z792" i="72"/>
  <c r="T392" i="72"/>
  <c r="AC234" i="72"/>
  <c r="AG685" i="72"/>
  <c r="AG803" i="72"/>
  <c r="Z360" i="72"/>
  <c r="AF442" i="72"/>
  <c r="U846" i="72"/>
  <c r="AE866" i="72"/>
  <c r="AF644" i="72"/>
  <c r="W260" i="72"/>
  <c r="W1083" i="72"/>
  <c r="S1081" i="72"/>
  <c r="T903" i="72"/>
  <c r="T239" i="72"/>
  <c r="AF341" i="72"/>
  <c r="U984" i="72"/>
  <c r="AG987" i="72"/>
  <c r="AF448" i="72"/>
  <c r="AD566" i="72"/>
  <c r="S945" i="72"/>
  <c r="AC670" i="72"/>
  <c r="X60" i="72"/>
  <c r="AF268" i="72"/>
  <c r="AG210" i="72"/>
  <c r="AG118" i="72"/>
  <c r="AG697" i="72"/>
  <c r="AC780" i="72"/>
  <c r="AG768" i="72"/>
  <c r="AF631" i="72"/>
  <c r="AE652" i="72"/>
  <c r="T534" i="72"/>
  <c r="Z676" i="72"/>
  <c r="AD629" i="72"/>
  <c r="AG413" i="72"/>
  <c r="AF36" i="72"/>
  <c r="AG1016" i="72"/>
  <c r="AF524" i="72"/>
  <c r="S496" i="72"/>
  <c r="W886" i="72"/>
  <c r="Y412" i="72"/>
  <c r="V653" i="72"/>
  <c r="T761" i="72"/>
  <c r="U299" i="72"/>
  <c r="AD257" i="72"/>
  <c r="AE949" i="72"/>
  <c r="AG234" i="72"/>
  <c r="Z606" i="72"/>
  <c r="V626" i="72"/>
  <c r="V663" i="72"/>
  <c r="T24" i="72"/>
  <c r="AE1006" i="72"/>
  <c r="AF533" i="72"/>
  <c r="Z81" i="72"/>
  <c r="AG157" i="72"/>
  <c r="W307" i="72"/>
  <c r="AG168" i="72"/>
  <c r="AG158" i="72"/>
  <c r="AG821" i="72"/>
  <c r="AA361" i="72"/>
  <c r="AG988" i="72"/>
  <c r="AF721" i="72"/>
  <c r="X519" i="72"/>
  <c r="S568" i="72"/>
  <c r="AD923" i="72"/>
  <c r="AE261" i="72"/>
  <c r="AF653" i="72"/>
  <c r="W771" i="72"/>
  <c r="AA312" i="72"/>
  <c r="W410" i="72"/>
  <c r="Y1102" i="72"/>
  <c r="AA1012" i="72"/>
  <c r="AB728" i="72"/>
  <c r="S11" i="72"/>
  <c r="AG868" i="72"/>
  <c r="AA1033" i="72"/>
  <c r="Z27" i="72"/>
  <c r="AG191" i="72"/>
  <c r="W309" i="72"/>
  <c r="AG121" i="72"/>
  <c r="AF444" i="72"/>
  <c r="X720" i="72"/>
  <c r="AA1078" i="72"/>
  <c r="T568" i="72"/>
  <c r="U454" i="72"/>
  <c r="W419" i="72"/>
  <c r="V594" i="72"/>
  <c r="AA1037" i="72"/>
  <c r="AD276" i="72"/>
  <c r="Y664" i="72"/>
  <c r="AF826" i="72"/>
  <c r="U335" i="72"/>
  <c r="AB899" i="72"/>
  <c r="AE604" i="72"/>
  <c r="AB609" i="72"/>
  <c r="T757" i="72"/>
  <c r="Z597" i="72"/>
  <c r="U59" i="72"/>
  <c r="AF208" i="72"/>
  <c r="AD613" i="72"/>
  <c r="AE153" i="72"/>
  <c r="AB476" i="72"/>
  <c r="AE752" i="72"/>
  <c r="AA311" i="72"/>
  <c r="Y471" i="72"/>
  <c r="AG22" i="72"/>
  <c r="AE629" i="72"/>
  <c r="AA117" i="72"/>
  <c r="AD243" i="72"/>
  <c r="AA135" i="72"/>
  <c r="AF1017" i="72"/>
  <c r="W1068" i="72"/>
  <c r="AG433" i="72"/>
  <c r="X935" i="72"/>
  <c r="S685" i="72"/>
  <c r="AB949" i="72"/>
  <c r="T1014" i="72"/>
  <c r="W510" i="72"/>
  <c r="AG733" i="72"/>
  <c r="Z644" i="72"/>
  <c r="AD713" i="72"/>
  <c r="AG812" i="72"/>
  <c r="AF784" i="72"/>
  <c r="Y359" i="72"/>
  <c r="AB104" i="72"/>
  <c r="W962" i="72"/>
  <c r="AA1042" i="72"/>
  <c r="AF300" i="72"/>
  <c r="W242" i="72"/>
  <c r="AF150" i="72"/>
  <c r="AG538" i="72"/>
  <c r="AB926" i="72"/>
  <c r="Z962" i="72"/>
  <c r="V691" i="72"/>
  <c r="V1000" i="72"/>
  <c r="AF578" i="72"/>
  <c r="Y213" i="72"/>
  <c r="W233" i="72"/>
  <c r="AG461" i="72"/>
  <c r="AE627" i="72"/>
  <c r="AB159" i="72"/>
  <c r="AG38" i="72"/>
  <c r="AB617" i="72"/>
  <c r="Y446" i="72"/>
  <c r="AF993" i="72"/>
  <c r="T518" i="72"/>
  <c r="V984" i="72"/>
  <c r="AD271" i="72"/>
  <c r="AB642" i="72"/>
  <c r="AG989" i="72"/>
  <c r="Y244" i="72"/>
  <c r="AG616" i="72"/>
  <c r="AD778" i="72"/>
  <c r="V623" i="72"/>
  <c r="Z518" i="72"/>
  <c r="U244" i="72"/>
  <c r="X1010" i="72"/>
  <c r="V383" i="72"/>
  <c r="AC1093" i="72"/>
  <c r="AE219" i="72"/>
  <c r="X160" i="72"/>
  <c r="AF581" i="72"/>
  <c r="X393" i="72"/>
  <c r="AG732" i="72"/>
  <c r="AD1008" i="72"/>
  <c r="AD583" i="72"/>
  <c r="S803" i="72"/>
  <c r="AA329" i="72"/>
  <c r="S990" i="72"/>
  <c r="U903" i="72"/>
  <c r="T223" i="72"/>
  <c r="AF580" i="72"/>
  <c r="U968" i="72"/>
  <c r="AB331" i="72"/>
  <c r="X671" i="72"/>
  <c r="AC692" i="72"/>
  <c r="AF480" i="72"/>
  <c r="AD387" i="72"/>
  <c r="U316" i="72"/>
  <c r="X880" i="72"/>
  <c r="AA251" i="72"/>
  <c r="U209" i="72"/>
  <c r="AG885" i="72"/>
  <c r="Z681" i="72"/>
  <c r="AF764" i="72"/>
  <c r="X417" i="72"/>
  <c r="AF919" i="72"/>
  <c r="AF130" i="72"/>
  <c r="AD860" i="72"/>
  <c r="AC510" i="72"/>
  <c r="AE717" i="72"/>
  <c r="T563" i="72"/>
  <c r="AG120" i="72"/>
  <c r="W202" i="72"/>
  <c r="AC526" i="72"/>
  <c r="AE817" i="72"/>
  <c r="AB341" i="72"/>
  <c r="X653" i="72"/>
  <c r="S1043" i="72"/>
  <c r="AA863" i="72"/>
  <c r="AF148" i="72"/>
  <c r="X1101" i="72"/>
  <c r="W389" i="72"/>
  <c r="V1033" i="72"/>
  <c r="W1084" i="72"/>
  <c r="X465" i="72"/>
  <c r="AA647" i="72"/>
  <c r="AA692" i="72"/>
  <c r="Z781" i="72"/>
  <c r="AD491" i="72"/>
  <c r="T141" i="72"/>
  <c r="W291" i="72"/>
  <c r="Y152" i="72"/>
  <c r="AG395" i="72"/>
  <c r="Y399" i="72"/>
  <c r="AG995" i="72"/>
  <c r="AG496" i="72"/>
  <c r="Y720" i="72"/>
  <c r="AE193" i="72"/>
  <c r="Z934" i="72"/>
  <c r="AC545" i="72"/>
  <c r="AG30" i="72"/>
  <c r="AC68" i="72"/>
  <c r="S187" i="72"/>
  <c r="AF128" i="72"/>
  <c r="AF23" i="72"/>
  <c r="AF762" i="72"/>
  <c r="AB782" i="72"/>
  <c r="Y466" i="72"/>
  <c r="V24" i="72"/>
  <c r="T1048" i="72"/>
  <c r="U909" i="72"/>
  <c r="Z968" i="72"/>
  <c r="X174" i="72"/>
  <c r="AE532" i="72"/>
  <c r="AF936" i="72"/>
  <c r="U1098" i="72"/>
  <c r="W927" i="72"/>
  <c r="AF806" i="72"/>
  <c r="X366" i="72"/>
  <c r="AF110" i="72"/>
  <c r="AC223" i="72"/>
  <c r="AA977" i="72"/>
  <c r="AE220" i="72"/>
  <c r="W177" i="72"/>
  <c r="W853" i="72"/>
  <c r="Z649" i="72"/>
  <c r="S1020" i="72"/>
  <c r="S369" i="72"/>
  <c r="AG887" i="72"/>
  <c r="X239" i="72"/>
  <c r="V361" i="72"/>
  <c r="Y219" i="72"/>
  <c r="Z43" i="72"/>
  <c r="Y176" i="72"/>
  <c r="AG325" i="72"/>
  <c r="Z137" i="72"/>
  <c r="X971" i="72"/>
  <c r="V959" i="72"/>
  <c r="AE1044" i="72"/>
  <c r="S534" i="72"/>
  <c r="AF584" i="72"/>
  <c r="W220" i="72"/>
  <c r="W343" i="72"/>
  <c r="S252" i="72"/>
  <c r="AE194" i="72"/>
  <c r="AE102" i="72"/>
  <c r="AG1001" i="72"/>
  <c r="V1052" i="72"/>
  <c r="AB1089" i="72"/>
  <c r="X310" i="72"/>
  <c r="AA350" i="72"/>
  <c r="AD223" i="72"/>
  <c r="Y130" i="72"/>
  <c r="X1085" i="72"/>
  <c r="AG20" i="72"/>
  <c r="Z392" i="72"/>
  <c r="AB506" i="72"/>
  <c r="AF894" i="72"/>
  <c r="AC578" i="72"/>
  <c r="S366" i="72"/>
  <c r="W428" i="72"/>
  <c r="X22" i="72"/>
  <c r="V637" i="72"/>
  <c r="V255" i="72"/>
  <c r="AE254" i="72"/>
  <c r="W645" i="72"/>
  <c r="AE218" i="72"/>
  <c r="U590" i="72"/>
  <c r="Z833" i="72"/>
  <c r="T951" i="72"/>
  <c r="AF156" i="72"/>
  <c r="T423" i="72"/>
  <c r="S370" i="72"/>
  <c r="AG749" i="72"/>
  <c r="AE595" i="72"/>
  <c r="AD728" i="72"/>
  <c r="AF715" i="72"/>
  <c r="AE751" i="72"/>
  <c r="AE788" i="72"/>
  <c r="Y780" i="72"/>
  <c r="AE720" i="72"/>
  <c r="AD1003" i="72"/>
  <c r="Y193" i="72"/>
  <c r="Z779" i="72"/>
  <c r="AG15" i="72"/>
  <c r="V356" i="72"/>
  <c r="AD217" i="72"/>
  <c r="S24" i="72"/>
  <c r="AG175" i="72"/>
  <c r="T211" i="72"/>
  <c r="AC309" i="72"/>
  <c r="AF460" i="72"/>
  <c r="AG227" i="72"/>
  <c r="AF428" i="72"/>
  <c r="W696" i="72"/>
  <c r="AD610" i="72"/>
  <c r="AD1035" i="72"/>
  <c r="AF303" i="72"/>
  <c r="W922" i="72"/>
  <c r="AF431" i="72"/>
  <c r="Z1011" i="72"/>
  <c r="U158" i="72"/>
  <c r="X645" i="72"/>
  <c r="T950" i="72"/>
  <c r="AA199" i="72"/>
  <c r="AE473" i="72"/>
  <c r="AG31" i="72"/>
  <c r="X437" i="72"/>
  <c r="T1097" i="72"/>
  <c r="AE334" i="72"/>
  <c r="AF881" i="72"/>
  <c r="AG407" i="72"/>
  <c r="AB267" i="72"/>
  <c r="AB653" i="72"/>
  <c r="AC767" i="72"/>
  <c r="AG611" i="72"/>
  <c r="AA44" i="72"/>
  <c r="T305" i="72"/>
  <c r="X997" i="72"/>
  <c r="AG521" i="72"/>
  <c r="Z654" i="72"/>
  <c r="T674" i="72"/>
  <c r="AB1047" i="72"/>
  <c r="AE459" i="72"/>
  <c r="W519" i="72"/>
  <c r="AE611" i="72"/>
  <c r="Y61" i="72"/>
  <c r="AG371" i="72"/>
  <c r="AG216" i="72"/>
  <c r="S986" i="72"/>
  <c r="W990" i="72"/>
  <c r="AE706" i="72"/>
  <c r="AG1063" i="72"/>
  <c r="AA11" i="72"/>
  <c r="X981" i="72"/>
  <c r="AC611" i="72"/>
  <c r="AF94" i="72"/>
  <c r="AG213" i="72"/>
  <c r="AB297" i="72"/>
  <c r="AA316" i="72"/>
  <c r="Z1103" i="72"/>
  <c r="AG1091" i="72"/>
  <c r="V212" i="72"/>
  <c r="T244" i="72"/>
  <c r="Y722" i="72"/>
  <c r="U24" i="72"/>
  <c r="AB589" i="72"/>
  <c r="AG403" i="72"/>
  <c r="X263" i="72"/>
  <c r="U58" i="72"/>
  <c r="AG398" i="72"/>
  <c r="AG916" i="72"/>
  <c r="W737" i="72"/>
  <c r="Z531" i="72"/>
  <c r="Y891" i="72"/>
  <c r="AA621" i="72"/>
  <c r="AD215" i="72"/>
  <c r="X893" i="72"/>
  <c r="X196" i="72"/>
  <c r="AD856" i="72"/>
  <c r="AG555" i="72"/>
  <c r="X418" i="72"/>
  <c r="AF858" i="72"/>
  <c r="AE923" i="72"/>
  <c r="S316" i="72"/>
  <c r="U253" i="72"/>
  <c r="AG1066" i="72"/>
  <c r="AC293" i="72"/>
  <c r="Y431" i="72"/>
  <c r="AG589" i="72"/>
  <c r="V432" i="72"/>
  <c r="AA103" i="72"/>
  <c r="S238" i="72"/>
  <c r="Y22" i="72"/>
  <c r="AE454" i="72"/>
  <c r="W1023" i="72"/>
  <c r="T133" i="72"/>
  <c r="AF731" i="72"/>
  <c r="AE767" i="72"/>
  <c r="AD804" i="72"/>
  <c r="AE12" i="72"/>
  <c r="X798" i="72"/>
  <c r="X453" i="72"/>
  <c r="W493" i="72"/>
  <c r="AF890" i="72"/>
  <c r="AG16" i="72"/>
  <c r="AE693" i="72"/>
  <c r="AB266" i="72"/>
  <c r="AG638" i="72"/>
  <c r="T658" i="72"/>
  <c r="AG711" i="72"/>
  <c r="S562" i="72"/>
  <c r="V656" i="72"/>
  <c r="AE1066" i="72"/>
  <c r="AC122" i="72"/>
  <c r="X45" i="72"/>
  <c r="U290" i="72"/>
  <c r="Z198" i="72"/>
  <c r="AD793" i="72"/>
  <c r="AA974" i="72"/>
  <c r="Y1026" i="72"/>
  <c r="AA279" i="72"/>
  <c r="AE96" i="72"/>
  <c r="AF316" i="72"/>
  <c r="AD299" i="72"/>
  <c r="Z205" i="72"/>
  <c r="Y675" i="72"/>
  <c r="AD488" i="72"/>
  <c r="W475" i="72"/>
  <c r="AF815" i="72"/>
  <c r="AF1042" i="72"/>
  <c r="U148" i="72"/>
  <c r="S141" i="72"/>
  <c r="V223" i="72"/>
  <c r="S939" i="72"/>
  <c r="Z79" i="72"/>
  <c r="AB741" i="72"/>
  <c r="W553" i="72"/>
  <c r="AB636" i="72"/>
  <c r="AD624" i="72"/>
  <c r="AA900" i="72"/>
  <c r="V27" i="72"/>
  <c r="AF909" i="72"/>
  <c r="AE597" i="72"/>
  <c r="AC198" i="72"/>
  <c r="X861" i="72"/>
  <c r="AG707" i="72"/>
  <c r="AC248" i="72"/>
  <c r="AG330" i="72"/>
  <c r="S1022" i="72"/>
  <c r="AC454" i="72"/>
  <c r="T409" i="72"/>
  <c r="U20" i="72"/>
  <c r="AG599" i="72"/>
  <c r="S962" i="72"/>
  <c r="AE325" i="72"/>
  <c r="Y126" i="72"/>
  <c r="Z245" i="72"/>
  <c r="AD41" i="72"/>
  <c r="AD875" i="72"/>
  <c r="AG770" i="72"/>
  <c r="AC99" i="72"/>
  <c r="AA620" i="72"/>
  <c r="AF625" i="72"/>
  <c r="T888" i="72"/>
  <c r="Y1070" i="72"/>
  <c r="AD89" i="72"/>
  <c r="AG69" i="72"/>
  <c r="AB720" i="72"/>
  <c r="AG550" i="72"/>
  <c r="AG170" i="72"/>
  <c r="AD308" i="72"/>
  <c r="AE173" i="72"/>
  <c r="AE688" i="72"/>
  <c r="W902" i="72"/>
  <c r="U744" i="72"/>
  <c r="AC1051" i="72"/>
  <c r="AG544" i="72"/>
  <c r="AF326" i="72"/>
  <c r="U936" i="72"/>
  <c r="V470" i="72"/>
  <c r="AA423" i="72"/>
  <c r="X611" i="72"/>
  <c r="AA28" i="72"/>
  <c r="Y304" i="72"/>
  <c r="AG981" i="72"/>
  <c r="AE602" i="72"/>
  <c r="AA958" i="72"/>
  <c r="Y1010" i="72"/>
  <c r="AC1015" i="72"/>
  <c r="T220" i="72"/>
  <c r="V609" i="72"/>
  <c r="Y934" i="72"/>
  <c r="Y410" i="72"/>
  <c r="V189" i="72"/>
  <c r="S355" i="72"/>
  <c r="AF215" i="72"/>
  <c r="AG10" i="72"/>
  <c r="S1071" i="72"/>
  <c r="AG1043" i="72"/>
  <c r="AD436" i="72"/>
  <c r="X652" i="72"/>
  <c r="Y261" i="72"/>
  <c r="AB431" i="72"/>
  <c r="AF541" i="72"/>
  <c r="AE132" i="72"/>
  <c r="AG808" i="72"/>
  <c r="AF811" i="72"/>
  <c r="Z1087" i="72"/>
  <c r="AF1059" i="72"/>
  <c r="AG264" i="72"/>
  <c r="T755" i="72"/>
  <c r="Z526" i="72"/>
  <c r="AG500" i="72"/>
  <c r="AB49" i="72"/>
  <c r="AF1029" i="72"/>
  <c r="AE42" i="72"/>
  <c r="Z924" i="72"/>
  <c r="AD880" i="72"/>
  <c r="T438" i="72"/>
  <c r="S394" i="72"/>
  <c r="AA1048" i="72"/>
  <c r="V912" i="72"/>
  <c r="T316" i="72"/>
  <c r="AD110" i="72"/>
  <c r="AB164" i="72"/>
  <c r="AG536" i="72"/>
  <c r="AF698" i="72"/>
  <c r="X863" i="72"/>
  <c r="AF726" i="72"/>
  <c r="AG223" i="72"/>
  <c r="T506" i="72"/>
  <c r="AC459" i="72"/>
  <c r="AD261" i="72"/>
  <c r="Y500" i="72"/>
  <c r="AG127" i="72"/>
  <c r="AF789" i="72"/>
  <c r="S329" i="72"/>
  <c r="AC668" i="72"/>
  <c r="AC1090" i="72"/>
  <c r="Y350" i="72"/>
  <c r="AE260" i="72"/>
  <c r="W367" i="72"/>
  <c r="S217" i="72"/>
  <c r="W818" i="72"/>
  <c r="U619" i="72"/>
  <c r="T195" i="72"/>
  <c r="Z658" i="72"/>
  <c r="S663" i="72"/>
  <c r="AF510" i="72"/>
  <c r="AF696" i="72"/>
  <c r="Z657" i="72"/>
  <c r="U261" i="72"/>
  <c r="Y441" i="72"/>
  <c r="AF1048" i="72"/>
  <c r="AG556" i="72"/>
  <c r="AF816" i="72"/>
  <c r="W918" i="72"/>
  <c r="W219" i="72"/>
  <c r="AE199" i="72"/>
  <c r="Y550" i="72"/>
  <c r="AA545" i="72"/>
  <c r="AG29" i="72"/>
  <c r="AA289" i="72"/>
  <c r="W199" i="72"/>
  <c r="AG443" i="72"/>
  <c r="AE783" i="72"/>
  <c r="Z1027" i="72"/>
  <c r="AD642" i="72"/>
  <c r="AE129" i="72"/>
  <c r="AG208" i="72"/>
  <c r="Z213" i="72"/>
  <c r="S545" i="72"/>
  <c r="S797" i="72"/>
  <c r="AA659" i="72"/>
  <c r="AG200" i="72"/>
  <c r="X634" i="72"/>
  <c r="AG576" i="72"/>
  <c r="Y836" i="72"/>
  <c r="Y475" i="72"/>
  <c r="AA1094" i="72"/>
  <c r="V704" i="72"/>
  <c r="Z939" i="72"/>
  <c r="AD813" i="72"/>
  <c r="U420" i="72"/>
  <c r="AC281" i="72"/>
  <c r="V1099" i="72"/>
  <c r="AG592" i="72"/>
  <c r="AF868" i="72"/>
  <c r="X966" i="72"/>
  <c r="S805" i="72"/>
  <c r="V341" i="72"/>
  <c r="T76" i="72"/>
  <c r="AF18" i="72"/>
  <c r="AB247" i="72"/>
  <c r="AB314" i="72"/>
  <c r="AE382" i="72"/>
  <c r="AE625" i="72"/>
  <c r="Z710" i="72"/>
  <c r="AG792" i="72"/>
  <c r="T849" i="72"/>
  <c r="AB611" i="72"/>
  <c r="AF500" i="72"/>
  <c r="AC111" i="72"/>
  <c r="X452" i="72"/>
  <c r="AG840" i="72"/>
  <c r="AA1018" i="72"/>
  <c r="AA640" i="72"/>
  <c r="T998" i="72"/>
  <c r="U402" i="72"/>
  <c r="AA894" i="72"/>
  <c r="Y653" i="72"/>
  <c r="AA934" i="72"/>
  <c r="AF155" i="72"/>
  <c r="AD96" i="72"/>
  <c r="AF1093" i="72"/>
  <c r="AG585" i="72"/>
  <c r="X414" i="72"/>
  <c r="AC964" i="72"/>
  <c r="S1087" i="72"/>
  <c r="S524" i="72"/>
  <c r="X620" i="72"/>
  <c r="Y903" i="72"/>
  <c r="AC271" i="72"/>
  <c r="AG704" i="72"/>
  <c r="X70" i="72"/>
  <c r="AF235" i="72"/>
  <c r="U656" i="72"/>
  <c r="Z914" i="72"/>
  <c r="AC858" i="72"/>
  <c r="AG271" i="72"/>
  <c r="AD545" i="72"/>
  <c r="W604" i="72"/>
  <c r="W761" i="72"/>
  <c r="AE844" i="72"/>
  <c r="AA1104" i="72"/>
  <c r="Y391" i="72"/>
  <c r="AE952" i="72"/>
  <c r="U156" i="72"/>
  <c r="U325" i="72"/>
  <c r="Y779" i="72"/>
  <c r="AF173" i="72"/>
  <c r="AB274" i="72"/>
  <c r="AE184" i="72"/>
  <c r="AE763" i="72"/>
  <c r="Z1055" i="72"/>
  <c r="AF820" i="72"/>
  <c r="W780" i="72"/>
  <c r="V339" i="72"/>
  <c r="AB606" i="72"/>
  <c r="S674" i="72"/>
  <c r="U779" i="72"/>
  <c r="AF62" i="72"/>
  <c r="AE116" i="72"/>
  <c r="S472" i="72"/>
  <c r="Z459" i="72"/>
  <c r="W848" i="72"/>
  <c r="X390" i="72"/>
  <c r="V936" i="72"/>
  <c r="S950" i="72"/>
  <c r="AD213" i="72"/>
  <c r="AC525" i="72"/>
  <c r="AA63" i="72"/>
  <c r="W469" i="72"/>
  <c r="AF809" i="72"/>
  <c r="AF620" i="72"/>
  <c r="AG864" i="72"/>
  <c r="AC406" i="72"/>
  <c r="Z295" i="72"/>
  <c r="AB805" i="72"/>
  <c r="W1091" i="72"/>
  <c r="AB77" i="72"/>
  <c r="Y35" i="72"/>
  <c r="Y232" i="72"/>
  <c r="AA682" i="72"/>
  <c r="AG686" i="72"/>
  <c r="AC929" i="72"/>
  <c r="AG982" i="72"/>
  <c r="Y845" i="72"/>
  <c r="AE536" i="72"/>
  <c r="S156" i="72"/>
  <c r="AB903" i="72"/>
  <c r="U80" i="72"/>
  <c r="Z229" i="72"/>
  <c r="AD25" i="72"/>
  <c r="AF539" i="72"/>
  <c r="AC912" i="72"/>
  <c r="AG471" i="72"/>
  <c r="AA81" i="72"/>
  <c r="AA417" i="72"/>
  <c r="T809" i="72"/>
  <c r="T325" i="72"/>
  <c r="AF108" i="72"/>
  <c r="W50" i="72"/>
  <c r="AF262" i="72"/>
  <c r="AG873" i="72"/>
  <c r="AG559" i="72"/>
  <c r="W470" i="72"/>
  <c r="AE427" i="72"/>
  <c r="AE873" i="72"/>
  <c r="V935" i="72"/>
  <c r="V165" i="72"/>
  <c r="AG535" i="72"/>
  <c r="AD953" i="72"/>
  <c r="AC193" i="72"/>
  <c r="AG423" i="72"/>
  <c r="AE201" i="72"/>
  <c r="AE367" i="72"/>
  <c r="S933" i="72"/>
  <c r="AG14" i="72"/>
  <c r="T531" i="72"/>
  <c r="AG1081" i="72"/>
  <c r="AG318" i="72"/>
  <c r="AF561" i="72"/>
  <c r="AG679" i="72"/>
  <c r="AD1010" i="72"/>
  <c r="Y1073" i="72"/>
  <c r="S253" i="72"/>
  <c r="AE939" i="72"/>
  <c r="Z493" i="72"/>
  <c r="AB643" i="72"/>
  <c r="W760" i="72"/>
  <c r="AD1067" i="72"/>
  <c r="AD560" i="72"/>
  <c r="X358" i="72"/>
  <c r="Y936" i="72"/>
  <c r="V454" i="72"/>
  <c r="T803" i="72"/>
  <c r="T962" i="72"/>
  <c r="AA939" i="72"/>
  <c r="AD47" i="72"/>
  <c r="AG181" i="72"/>
  <c r="AB792" i="72"/>
  <c r="U1083" i="72"/>
  <c r="AG593" i="72"/>
  <c r="AD678" i="72"/>
  <c r="AG319" i="72"/>
  <c r="AG256" i="72"/>
  <c r="AE555" i="72"/>
  <c r="U487" i="72"/>
  <c r="AG48" i="72"/>
  <c r="AD725" i="72"/>
  <c r="Y26" i="72"/>
  <c r="AA908" i="72"/>
  <c r="Z609" i="72"/>
  <c r="AE694" i="72"/>
  <c r="S245" i="72"/>
  <c r="Y577" i="72"/>
  <c r="AG1085" i="72"/>
  <c r="AD221" i="72"/>
  <c r="U387" i="72"/>
  <c r="AF520" i="72"/>
  <c r="AB1002" i="72"/>
  <c r="S1006" i="72"/>
  <c r="AG370" i="72"/>
  <c r="AG455" i="72"/>
  <c r="AF950" i="72"/>
  <c r="AC88" i="72"/>
  <c r="AA319" i="72"/>
  <c r="AB139" i="72"/>
  <c r="V81" i="72"/>
  <c r="AA501" i="72"/>
  <c r="AB313" i="72"/>
  <c r="AC332" i="72"/>
  <c r="X402" i="72"/>
  <c r="V791" i="72"/>
  <c r="AA366" i="72"/>
  <c r="AF974" i="72"/>
  <c r="AA603" i="72"/>
  <c r="Z443" i="72"/>
  <c r="Y109" i="72"/>
  <c r="Y67" i="72"/>
  <c r="Y279" i="72"/>
  <c r="W346" i="72"/>
  <c r="AG320" i="72"/>
  <c r="AC1014" i="72"/>
  <c r="S789" i="72"/>
  <c r="AG1087" i="72"/>
  <c r="S58" i="72"/>
  <c r="AF188" i="72"/>
  <c r="AC631" i="72"/>
  <c r="AD534" i="72"/>
  <c r="AE814" i="72"/>
  <c r="AA597" i="72"/>
  <c r="W993" i="72"/>
  <c r="AF642" i="72"/>
  <c r="V963" i="72"/>
  <c r="AC874" i="72"/>
  <c r="AE52" i="72"/>
  <c r="X826" i="72"/>
  <c r="AE250" i="72"/>
  <c r="AD622" i="72"/>
  <c r="AC865" i="72"/>
  <c r="AE999" i="72"/>
  <c r="AD443" i="72"/>
  <c r="Y893" i="72"/>
  <c r="AE663" i="72"/>
  <c r="AF525" i="72"/>
  <c r="AD781" i="72"/>
  <c r="V388" i="72"/>
  <c r="X1064" i="72"/>
  <c r="X588" i="72"/>
  <c r="AF832" i="72"/>
  <c r="AG662" i="72"/>
  <c r="AC108" i="72"/>
  <c r="AC895" i="72"/>
  <c r="S1083" i="72"/>
  <c r="AD208" i="72"/>
  <c r="AD525" i="72"/>
  <c r="AG32" i="72"/>
  <c r="S453" i="72"/>
  <c r="S1080" i="72"/>
  <c r="Y604" i="72"/>
  <c r="AE897" i="72"/>
  <c r="AD950" i="72"/>
  <c r="AA235" i="72"/>
  <c r="X526" i="72"/>
  <c r="AE880" i="72"/>
  <c r="AC903" i="72"/>
  <c r="AG33" i="72"/>
  <c r="AG1013" i="72"/>
  <c r="AB298" i="72"/>
  <c r="AF366" i="72"/>
  <c r="T913" i="72"/>
  <c r="Y966" i="72"/>
  <c r="AC471" i="72"/>
  <c r="V720" i="72"/>
  <c r="T253" i="72"/>
  <c r="AD573" i="72"/>
  <c r="AD691" i="72"/>
  <c r="AF824" i="72"/>
  <c r="AE491" i="72"/>
  <c r="AG527" i="72"/>
  <c r="Z722" i="72"/>
  <c r="AC1079" i="72"/>
  <c r="W873" i="72"/>
  <c r="T597" i="72"/>
  <c r="W629" i="72"/>
  <c r="AD93" i="72"/>
  <c r="AF34" i="72"/>
  <c r="AF757" i="72"/>
  <c r="T569" i="72"/>
  <c r="V652" i="72"/>
  <c r="AG754" i="72"/>
  <c r="X1095" i="72"/>
  <c r="AB85" i="72"/>
  <c r="Y255" i="72"/>
  <c r="T116" i="72"/>
  <c r="X888" i="72"/>
  <c r="Z269" i="72"/>
  <c r="Y419" i="72"/>
  <c r="AB264" i="72"/>
  <c r="S730" i="72"/>
  <c r="AC656" i="72"/>
  <c r="AG487" i="72"/>
  <c r="U279" i="72"/>
  <c r="U893" i="72"/>
  <c r="V642" i="72"/>
  <c r="N905" i="72"/>
  <c r="F459" i="72"/>
  <c r="D402" i="72"/>
  <c r="I880" i="72"/>
  <c r="F783" i="72"/>
  <c r="D1043" i="72"/>
  <c r="D341" i="72"/>
  <c r="E217" i="72"/>
  <c r="D683" i="72"/>
  <c r="N166" i="72"/>
  <c r="E1007" i="72"/>
  <c r="K437" i="72"/>
  <c r="H341" i="72"/>
  <c r="L383" i="72"/>
  <c r="P125" i="72"/>
  <c r="R722" i="72"/>
  <c r="H531" i="72"/>
  <c r="I315" i="72"/>
  <c r="L834" i="72"/>
  <c r="I801" i="72"/>
  <c r="K926" i="72"/>
  <c r="M377" i="72"/>
  <c r="R483" i="72"/>
  <c r="E825" i="72"/>
  <c r="I720" i="72"/>
  <c r="N782" i="72"/>
  <c r="O193" i="72"/>
  <c r="Q183" i="72"/>
  <c r="I193" i="72"/>
  <c r="Q425" i="72"/>
  <c r="I245" i="72"/>
  <c r="F21" i="72"/>
  <c r="R615" i="72"/>
  <c r="Q1087" i="72"/>
  <c r="K797" i="72"/>
  <c r="G26" i="35"/>
  <c r="G15" i="35"/>
  <c r="M7" i="35"/>
  <c r="AK28" i="51"/>
  <c r="F31" i="33" s="1"/>
  <c r="AF5" i="39"/>
  <c r="AF42" i="39"/>
  <c r="AF12" i="39"/>
  <c r="AF53" i="39"/>
  <c r="AF44" i="39"/>
  <c r="AF69" i="39"/>
  <c r="AF32" i="39"/>
  <c r="AF68" i="39"/>
  <c r="P842" i="72"/>
  <c r="P928" i="72"/>
  <c r="R981" i="72"/>
  <c r="E130" i="72"/>
  <c r="G394" i="72"/>
  <c r="Q722" i="72"/>
  <c r="AG568" i="72"/>
  <c r="X1074" i="72"/>
  <c r="AA193" i="72"/>
  <c r="X977" i="72"/>
  <c r="Y19" i="72"/>
  <c r="AG265" i="72"/>
  <c r="W934" i="72"/>
  <c r="U453" i="72"/>
  <c r="AG910" i="72"/>
  <c r="AC145" i="72"/>
  <c r="G8" i="35"/>
  <c r="G16" i="35"/>
  <c r="G25" i="35"/>
  <c r="AF9" i="39"/>
  <c r="AF46" i="39"/>
  <c r="AF16" i="39"/>
  <c r="AF58" i="39"/>
  <c r="AF52" i="39"/>
  <c r="AF7" i="39"/>
  <c r="AF36" i="39"/>
  <c r="I322" i="72"/>
  <c r="N879" i="72"/>
  <c r="R453" i="72"/>
  <c r="I226" i="72"/>
  <c r="I483" i="72"/>
  <c r="R505" i="72"/>
  <c r="AF723" i="72"/>
  <c r="U940" i="72"/>
  <c r="AA220" i="72"/>
  <c r="AF531" i="72"/>
  <c r="AF107" i="72"/>
  <c r="V709" i="72"/>
  <c r="AG577" i="72"/>
  <c r="Z220" i="72"/>
  <c r="AE710" i="72"/>
  <c r="M8" i="35"/>
  <c r="G17" i="35"/>
  <c r="G75" i="36"/>
  <c r="E3" i="35" s="1"/>
  <c r="AF13" i="39"/>
  <c r="AF50" i="39"/>
  <c r="AF26" i="39"/>
  <c r="AF62" i="39"/>
  <c r="AF19" i="39"/>
  <c r="AF6" i="39"/>
  <c r="AF43" i="39"/>
  <c r="K220" i="72"/>
  <c r="Q468" i="72"/>
  <c r="L245" i="72"/>
  <c r="D604" i="72"/>
  <c r="L366" i="72"/>
  <c r="L720" i="72"/>
  <c r="S761" i="72"/>
  <c r="Y605" i="72"/>
  <c r="V857" i="72"/>
  <c r="T1058" i="72"/>
  <c r="AE341" i="72"/>
  <c r="V337" i="72"/>
  <c r="AG17" i="72"/>
  <c r="V860" i="72"/>
  <c r="AC419" i="72"/>
  <c r="S671" i="72"/>
  <c r="G9" i="35"/>
  <c r="G20" i="35"/>
  <c r="D75" i="36"/>
  <c r="AF17" i="39"/>
  <c r="AF59" i="39"/>
  <c r="AF30" i="39"/>
  <c r="AF66" i="39"/>
  <c r="AF25" i="39"/>
  <c r="AF10" i="39"/>
  <c r="AF47" i="39"/>
  <c r="R110" i="72"/>
  <c r="R97" i="72"/>
  <c r="Q984" i="72"/>
  <c r="G350" i="72"/>
  <c r="E427" i="72"/>
  <c r="M1007" i="72"/>
  <c r="Y588" i="72"/>
  <c r="AF28" i="72"/>
  <c r="AA246" i="72"/>
  <c r="AC831" i="72"/>
  <c r="Y743" i="72"/>
  <c r="X782" i="72"/>
  <c r="X903" i="72"/>
  <c r="AF777" i="72"/>
  <c r="Z994" i="72"/>
  <c r="Z101" i="72"/>
  <c r="G11" i="35"/>
  <c r="G21" i="35"/>
  <c r="AK14" i="51"/>
  <c r="F15" i="33" s="1"/>
  <c r="AF23" i="39"/>
  <c r="AF63" i="39"/>
  <c r="AF34" i="39"/>
  <c r="AF70" i="39"/>
  <c r="AF33" i="39"/>
  <c r="AF14" i="39"/>
  <c r="AF51" i="39"/>
  <c r="AM37" i="51"/>
  <c r="I40" i="33" s="1"/>
  <c r="D333" i="72"/>
  <c r="I45" i="72"/>
  <c r="F178" i="72"/>
  <c r="F325" i="72"/>
  <c r="N285" i="72"/>
  <c r="G775" i="72"/>
  <c r="F362" i="72"/>
  <c r="AA945" i="72"/>
  <c r="W116" i="72"/>
  <c r="Y51" i="72"/>
  <c r="AB827" i="72"/>
  <c r="S354" i="72"/>
  <c r="S720" i="72"/>
  <c r="S325" i="72"/>
  <c r="Z165" i="72"/>
  <c r="AA942" i="72"/>
  <c r="AC409" i="72"/>
  <c r="G10" i="35"/>
  <c r="G23" i="35"/>
  <c r="AF27" i="39"/>
  <c r="AF67" i="39"/>
  <c r="AF41" i="39"/>
  <c r="AF11" i="39"/>
  <c r="AF48" i="39"/>
  <c r="AF18" i="39"/>
  <c r="AF54" i="39"/>
  <c r="AM16" i="51"/>
  <c r="I17" i="33" s="1"/>
  <c r="J181" i="72"/>
  <c r="J540" i="72"/>
  <c r="G606" i="72"/>
  <c r="E441" i="72"/>
  <c r="I965" i="72"/>
  <c r="H823" i="72"/>
  <c r="N720" i="72"/>
  <c r="AA807" i="72"/>
  <c r="S931" i="72"/>
  <c r="AE253" i="72"/>
  <c r="AG9" i="72"/>
  <c r="X670" i="72"/>
  <c r="AC423" i="72"/>
  <c r="AD1066" i="72"/>
  <c r="AE46" i="72"/>
  <c r="AG586" i="72"/>
  <c r="AA1057" i="72"/>
  <c r="G27" i="35"/>
  <c r="G12" i="35"/>
  <c r="AF31" i="39"/>
  <c r="AF71" i="39"/>
  <c r="AF45" i="39"/>
  <c r="AF15" i="39"/>
  <c r="AF61" i="39"/>
  <c r="AF24" i="39"/>
  <c r="AM26" i="51"/>
  <c r="I29" i="33" s="1"/>
  <c r="G319" i="72"/>
  <c r="L445" i="72"/>
  <c r="K934" i="72"/>
  <c r="F543" i="72"/>
  <c r="M239" i="72"/>
  <c r="G193" i="72"/>
  <c r="W689" i="72"/>
  <c r="AC77" i="72"/>
  <c r="S888" i="72"/>
  <c r="AG148" i="72"/>
  <c r="T666" i="72"/>
  <c r="AG322" i="72"/>
  <c r="S1010" i="72"/>
  <c r="S267" i="72"/>
  <c r="W261" i="72"/>
  <c r="Y319" i="72"/>
  <c r="P33" i="60"/>
  <c r="J33" i="60"/>
  <c r="F394" i="72"/>
  <c r="I699" i="72"/>
  <c r="N220" i="72"/>
  <c r="R27" i="72"/>
  <c r="J1036" i="72"/>
  <c r="J642" i="72"/>
  <c r="E499" i="72"/>
  <c r="R1062" i="72"/>
  <c r="O228" i="72"/>
  <c r="Q256" i="72"/>
  <c r="D1033" i="72"/>
  <c r="J193" i="72"/>
  <c r="D354" i="72"/>
  <c r="R426" i="72"/>
  <c r="J742" i="72"/>
  <c r="R589" i="72"/>
  <c r="G94" i="72"/>
  <c r="E642" i="72"/>
  <c r="R761" i="72"/>
  <c r="I437" i="72"/>
  <c r="F869" i="72"/>
  <c r="H813" i="72"/>
  <c r="Q645" i="72"/>
  <c r="Q101" i="72"/>
  <c r="M383" i="72"/>
  <c r="J786" i="72"/>
  <c r="D629" i="72"/>
  <c r="N667" i="72"/>
  <c r="R1026" i="72"/>
  <c r="K737" i="72"/>
  <c r="R645" i="72"/>
  <c r="I879" i="72"/>
  <c r="R419" i="72"/>
  <c r="M1093" i="72"/>
  <c r="E363" i="72"/>
  <c r="R1056" i="72"/>
  <c r="J368" i="72"/>
  <c r="I81" i="72"/>
  <c r="E649" i="72"/>
  <c r="J42" i="72"/>
  <c r="D897" i="72"/>
  <c r="J442" i="72"/>
  <c r="E522" i="72"/>
  <c r="O805" i="72"/>
  <c r="H366" i="72"/>
  <c r="N256" i="72"/>
  <c r="H134" i="72"/>
  <c r="P261" i="72"/>
  <c r="I442" i="72"/>
  <c r="P445" i="72"/>
  <c r="O310" i="72"/>
  <c r="L967" i="72"/>
  <c r="N710" i="72"/>
  <c r="D728" i="72"/>
  <c r="E1029" i="72"/>
  <c r="D888" i="72"/>
  <c r="O489" i="72"/>
  <c r="J649" i="72"/>
  <c r="E728" i="72"/>
  <c r="I1016" i="72"/>
  <c r="P220" i="72"/>
  <c r="M934" i="72"/>
  <c r="J383" i="72"/>
  <c r="N938" i="72"/>
  <c r="E1052" i="72"/>
  <c r="L746" i="72"/>
  <c r="M935" i="72"/>
  <c r="P432" i="72"/>
  <c r="J71" i="72"/>
  <c r="P954" i="72"/>
  <c r="I1026" i="72"/>
  <c r="I1060" i="72"/>
  <c r="H840" i="72"/>
  <c r="E1034" i="72"/>
  <c r="G444" i="72"/>
  <c r="D220" i="72"/>
  <c r="L60" i="72"/>
  <c r="H901" i="72"/>
  <c r="F333" i="72"/>
  <c r="L235" i="72"/>
  <c r="P631" i="72"/>
  <c r="G597" i="72"/>
  <c r="E220" i="72"/>
  <c r="E545" i="72"/>
  <c r="R368" i="72"/>
  <c r="P118" i="72"/>
  <c r="R496" i="72"/>
  <c r="M606" i="72"/>
  <c r="E354" i="72"/>
  <c r="E117" i="72"/>
  <c r="E837" i="72"/>
  <c r="D813" i="72"/>
  <c r="M1048" i="72"/>
  <c r="O720" i="72"/>
  <c r="G662" i="72"/>
  <c r="H493" i="72"/>
  <c r="F629" i="72"/>
  <c r="N810" i="72"/>
  <c r="E377" i="72"/>
  <c r="P1052" i="72"/>
  <c r="H631" i="72"/>
  <c r="N719" i="72"/>
  <c r="G1042" i="72"/>
  <c r="J24" i="72"/>
  <c r="O651" i="72"/>
  <c r="F912" i="72"/>
  <c r="P604" i="72"/>
  <c r="L339" i="72"/>
  <c r="P662" i="72"/>
  <c r="I27" i="72"/>
  <c r="I888" i="72"/>
  <c r="L351" i="72"/>
  <c r="O166" i="72"/>
  <c r="N936" i="72"/>
  <c r="R418" i="72"/>
  <c r="L943" i="72"/>
  <c r="F350" i="72"/>
  <c r="P891" i="72"/>
  <c r="K499" i="72"/>
  <c r="P930" i="72"/>
  <c r="D748" i="72"/>
  <c r="G96" i="72"/>
  <c r="F22" i="72"/>
  <c r="M910" i="72"/>
  <c r="D423" i="72"/>
  <c r="R259" i="72"/>
  <c r="R1072" i="72"/>
  <c r="O1052" i="72"/>
  <c r="N341" i="72"/>
  <c r="F454" i="72"/>
  <c r="F685" i="72"/>
  <c r="D527" i="72"/>
  <c r="E254" i="72"/>
  <c r="H405" i="72"/>
  <c r="D614" i="72"/>
  <c r="N524" i="72"/>
  <c r="R388" i="72"/>
  <c r="N935" i="72"/>
  <c r="G912" i="72"/>
  <c r="I510" i="72"/>
  <c r="K427" i="72"/>
  <c r="J81" i="72"/>
  <c r="P822" i="72"/>
  <c r="L589" i="72"/>
  <c r="L737" i="72"/>
  <c r="M912" i="72"/>
  <c r="M178" i="72"/>
  <c r="D463" i="72"/>
  <c r="K710" i="72"/>
  <c r="H518" i="72"/>
  <c r="R223" i="72"/>
  <c r="D309" i="72"/>
  <c r="I254" i="72"/>
  <c r="E795" i="72"/>
  <c r="F12" i="72"/>
  <c r="I803" i="72"/>
  <c r="N688" i="72"/>
  <c r="G194" i="72"/>
  <c r="N1084" i="72"/>
  <c r="K968" i="72"/>
  <c r="O78" i="72"/>
  <c r="I871" i="72"/>
  <c r="O1069" i="72"/>
  <c r="H875" i="72"/>
  <c r="J842" i="72"/>
  <c r="G1091" i="72"/>
  <c r="I573" i="72"/>
  <c r="E779" i="72"/>
  <c r="L114" i="72"/>
  <c r="N960" i="72"/>
  <c r="L527" i="72"/>
  <c r="G1000" i="72"/>
  <c r="L423" i="72"/>
  <c r="G642" i="72"/>
  <c r="I912" i="72"/>
  <c r="R923" i="72"/>
  <c r="H77" i="72"/>
  <c r="N547" i="72"/>
  <c r="K443" i="72"/>
  <c r="H1033" i="72"/>
  <c r="G826" i="72"/>
  <c r="N888" i="72"/>
  <c r="M478" i="72"/>
  <c r="H562" i="72"/>
  <c r="J96" i="72"/>
  <c r="D935" i="72"/>
  <c r="M261" i="72"/>
  <c r="F517" i="72"/>
  <c r="H355" i="72"/>
  <c r="F736" i="72"/>
  <c r="K10" i="72"/>
  <c r="N298" i="72"/>
  <c r="F638" i="72"/>
  <c r="L910" i="72"/>
  <c r="N680" i="72"/>
  <c r="I491" i="72"/>
  <c r="L1040" i="72"/>
  <c r="G685" i="72"/>
  <c r="I606" i="72"/>
  <c r="P96" i="72"/>
  <c r="M423" i="72"/>
  <c r="P974" i="72"/>
  <c r="R36" i="72"/>
  <c r="H888" i="72"/>
  <c r="G1076" i="72"/>
  <c r="I781" i="72"/>
  <c r="H193" i="72"/>
  <c r="D438" i="72"/>
  <c r="K367" i="72"/>
  <c r="Q712" i="72"/>
  <c r="R579" i="72"/>
  <c r="R979" i="72"/>
  <c r="M808" i="72"/>
  <c r="E685" i="72"/>
  <c r="D568" i="72"/>
  <c r="E934" i="72"/>
  <c r="R691" i="72"/>
  <c r="F77" i="72"/>
  <c r="M167" i="72"/>
  <c r="I215" i="72"/>
  <c r="N353" i="72"/>
  <c r="R659" i="72"/>
  <c r="P134" i="72"/>
  <c r="Q268" i="72"/>
  <c r="R164" i="72"/>
  <c r="K1039" i="72"/>
  <c r="M938" i="72"/>
  <c r="E1000" i="72"/>
  <c r="J398" i="72"/>
  <c r="L196" i="72"/>
  <c r="K199" i="72"/>
  <c r="K339" i="72"/>
  <c r="E129" i="72"/>
  <c r="H763" i="72"/>
  <c r="Q1026" i="72"/>
  <c r="N519" i="72"/>
  <c r="N562" i="72"/>
  <c r="M181" i="72"/>
  <c r="D876" i="72"/>
  <c r="Q239" i="72"/>
  <c r="R309" i="72"/>
  <c r="P792" i="72"/>
  <c r="D623" i="72"/>
  <c r="N589" i="72"/>
  <c r="E77" i="72"/>
  <c r="J197" i="72"/>
  <c r="D755" i="72"/>
  <c r="Q496" i="72"/>
  <c r="L1052" i="72"/>
  <c r="E261" i="72"/>
  <c r="L597" i="72"/>
  <c r="I897" i="72"/>
  <c r="D22" i="72"/>
  <c r="N755" i="72"/>
  <c r="P502" i="72"/>
  <c r="G295" i="72"/>
  <c r="F798" i="72"/>
  <c r="G696" i="72"/>
  <c r="N211" i="72"/>
  <c r="J1016" i="72"/>
  <c r="K428" i="72"/>
  <c r="E486" i="72"/>
  <c r="K178" i="72"/>
  <c r="P37" i="72"/>
  <c r="N1066" i="72"/>
  <c r="E311" i="72"/>
  <c r="P491" i="72"/>
  <c r="H769" i="72"/>
  <c r="D441" i="72"/>
  <c r="O287" i="72"/>
  <c r="P1083" i="72"/>
  <c r="J934" i="72"/>
  <c r="H857" i="72"/>
  <c r="E629" i="72"/>
  <c r="N401" i="72"/>
  <c r="L710" i="72"/>
  <c r="P1068" i="72"/>
  <c r="Q936" i="72"/>
  <c r="E1090" i="72"/>
  <c r="J224" i="72"/>
  <c r="I117" i="72"/>
  <c r="N801" i="72"/>
  <c r="I617" i="72"/>
  <c r="G871" i="72"/>
  <c r="E459" i="72"/>
  <c r="P1026" i="72"/>
  <c r="R432" i="72"/>
  <c r="R350" i="72"/>
  <c r="O248" i="72"/>
  <c r="E343" i="72"/>
  <c r="M663" i="72"/>
  <c r="G584" i="72"/>
  <c r="K763" i="72"/>
  <c r="R990" i="72"/>
  <c r="P245" i="72"/>
  <c r="R324" i="72"/>
  <c r="M1092" i="72"/>
  <c r="G1083" i="72"/>
  <c r="O918" i="72"/>
  <c r="L63" i="72"/>
  <c r="D116" i="72"/>
  <c r="M1022" i="72"/>
  <c r="O224" i="72"/>
  <c r="R424" i="72"/>
  <c r="K863" i="72"/>
  <c r="R201" i="72"/>
  <c r="L85" i="72"/>
  <c r="F444" i="72"/>
  <c r="E891" i="72"/>
  <c r="M890" i="72"/>
  <c r="Q642" i="72"/>
  <c r="L210" i="72"/>
  <c r="F838" i="72"/>
  <c r="G676" i="72"/>
  <c r="L974" i="72"/>
  <c r="R857" i="72"/>
  <c r="G100" i="72"/>
  <c r="K1052" i="72"/>
  <c r="R297" i="72"/>
  <c r="H423" i="72"/>
  <c r="O757" i="72"/>
  <c r="O1033" i="72"/>
  <c r="L285" i="72"/>
  <c r="Q495" i="72"/>
  <c r="J1052" i="72"/>
  <c r="L936" i="72"/>
  <c r="N534" i="72"/>
  <c r="O808" i="72"/>
  <c r="R778" i="72"/>
  <c r="R130" i="72"/>
  <c r="H231" i="72"/>
  <c r="L534" i="72"/>
  <c r="R1087" i="72"/>
  <c r="E223" i="72"/>
  <c r="E419" i="72"/>
  <c r="O861" i="72"/>
  <c r="P81" i="72"/>
  <c r="J194" i="72"/>
  <c r="R516" i="72"/>
  <c r="K855" i="72"/>
  <c r="Q737" i="72"/>
  <c r="K805" i="72"/>
  <c r="F989" i="72"/>
  <c r="K691" i="72"/>
  <c r="P350" i="72"/>
  <c r="Q384" i="72"/>
  <c r="K534" i="72"/>
  <c r="J805" i="72"/>
  <c r="G931" i="72"/>
  <c r="R676" i="72"/>
  <c r="Q653" i="72"/>
  <c r="Q77" i="72"/>
  <c r="M883" i="72"/>
  <c r="I786" i="72"/>
  <c r="M1029" i="72"/>
  <c r="J950" i="72"/>
  <c r="L219" i="72"/>
  <c r="L11" i="72"/>
  <c r="J888" i="72"/>
  <c r="F546" i="72"/>
  <c r="M799" i="72"/>
  <c r="E931" i="72"/>
  <c r="D383" i="72"/>
  <c r="E402" i="72"/>
  <c r="F442" i="72"/>
  <c r="N403" i="72"/>
  <c r="P562" i="72"/>
  <c r="I355" i="72"/>
  <c r="H1052" i="72"/>
  <c r="H656" i="72"/>
  <c r="O1089" i="72"/>
  <c r="K350" i="72"/>
  <c r="H688" i="72"/>
  <c r="N75" i="72"/>
  <c r="D52" i="72"/>
  <c r="E737" i="72"/>
  <c r="J97" i="72"/>
  <c r="O842" i="72"/>
  <c r="R597" i="72"/>
  <c r="H473" i="72"/>
  <c r="Q134" i="72"/>
  <c r="R417" i="72"/>
  <c r="H943" i="72"/>
  <c r="O536" i="72"/>
  <c r="H452" i="72"/>
  <c r="J432" i="72"/>
  <c r="K642" i="72"/>
  <c r="E888" i="72"/>
  <c r="R1032" i="72"/>
  <c r="Q792" i="72"/>
  <c r="H929" i="72"/>
  <c r="F1065" i="72"/>
  <c r="O935" i="72"/>
  <c r="R193" i="72"/>
  <c r="J765" i="72"/>
  <c r="L630" i="72"/>
  <c r="J51" i="72"/>
  <c r="E696" i="72"/>
  <c r="I1018" i="72"/>
  <c r="K1033" i="72"/>
  <c r="F37" i="72"/>
  <c r="J182" i="72"/>
  <c r="K283" i="72"/>
  <c r="K63" i="72"/>
  <c r="J688" i="72"/>
  <c r="P958" i="72"/>
  <c r="L350" i="72"/>
  <c r="O480" i="72"/>
  <c r="P799" i="72"/>
  <c r="J737" i="72"/>
  <c r="J1029" i="72"/>
  <c r="J1048" i="72"/>
  <c r="K383" i="72"/>
  <c r="P1084" i="72"/>
  <c r="K545" i="72"/>
  <c r="M1096" i="72"/>
  <c r="D223" i="72"/>
  <c r="L742" i="72"/>
  <c r="I457" i="72"/>
  <c r="L958" i="72"/>
  <c r="P377" i="72"/>
  <c r="G355" i="72"/>
  <c r="K549" i="72"/>
  <c r="N967" i="72"/>
  <c r="Q368" i="72"/>
  <c r="E325" i="72"/>
  <c r="P1021" i="72"/>
  <c r="R393" i="72"/>
  <c r="I814" i="72"/>
  <c r="R992" i="72"/>
  <c r="J531" i="72"/>
  <c r="E875" i="72"/>
  <c r="E935" i="72"/>
  <c r="N778" i="72"/>
  <c r="O198" i="72"/>
  <c r="J546" i="72"/>
  <c r="J1028" i="72"/>
  <c r="M575" i="72"/>
  <c r="K909" i="72"/>
  <c r="R1054" i="72"/>
  <c r="Q656" i="72"/>
  <c r="J319" i="72"/>
  <c r="L491" i="72"/>
  <c r="N599" i="72"/>
  <c r="K564" i="72"/>
  <c r="G423" i="72"/>
  <c r="G737" i="72"/>
  <c r="R935" i="72"/>
  <c r="I37" i="72"/>
  <c r="M365" i="72"/>
  <c r="G854" i="72"/>
  <c r="K652" i="72"/>
  <c r="K319" i="72"/>
  <c r="I688" i="72"/>
  <c r="D790" i="72"/>
  <c r="P224" i="72"/>
  <c r="J233" i="72"/>
  <c r="G397" i="72"/>
  <c r="K804" i="72"/>
  <c r="D943" i="72"/>
  <c r="F443" i="72"/>
  <c r="J419" i="72"/>
  <c r="G260" i="72"/>
  <c r="L71" i="72"/>
  <c r="R408" i="72"/>
  <c r="R649" i="72"/>
  <c r="E956" i="72"/>
  <c r="E722" i="72"/>
  <c r="J1054" i="72"/>
  <c r="F934" i="72"/>
  <c r="I199" i="72"/>
  <c r="L510" i="72"/>
  <c r="G906" i="72"/>
  <c r="O425" i="72"/>
  <c r="I805" i="72"/>
  <c r="N223" i="72"/>
  <c r="R1014" i="72"/>
  <c r="F653" i="72"/>
  <c r="N421" i="72"/>
  <c r="G1052" i="72"/>
  <c r="G157" i="72"/>
  <c r="Q194" i="72"/>
  <c r="J595" i="72"/>
  <c r="N287" i="72"/>
  <c r="M316" i="72"/>
  <c r="R456" i="72"/>
  <c r="I1052" i="72"/>
  <c r="G720" i="72"/>
  <c r="J1026" i="72"/>
  <c r="L211" i="72"/>
  <c r="L260" i="72"/>
  <c r="E525" i="72"/>
  <c r="R727" i="72"/>
  <c r="O244" i="72"/>
  <c r="G797" i="72"/>
  <c r="J220" i="72"/>
  <c r="J965" i="72"/>
  <c r="N1080" i="72"/>
  <c r="J779" i="72"/>
  <c r="I537" i="72"/>
  <c r="M223" i="72"/>
  <c r="Q808" i="72"/>
  <c r="K803" i="72"/>
  <c r="H261" i="72"/>
  <c r="N350" i="72"/>
  <c r="P148" i="72"/>
  <c r="AL35" i="51"/>
  <c r="G38" i="33" s="1"/>
  <c r="M26" i="51"/>
  <c r="M25" i="51"/>
  <c r="M33" i="51"/>
  <c r="AS33" i="51" s="1"/>
  <c r="S36" i="33" s="1"/>
  <c r="M38" i="51"/>
  <c r="AS38" i="51" s="1"/>
  <c r="S41" i="33" s="1"/>
  <c r="AK34" i="51"/>
  <c r="F37" i="33" s="1"/>
  <c r="E76" i="43" s="1"/>
  <c r="E623" i="44" s="1"/>
  <c r="AK36" i="51"/>
  <c r="F39" i="33" s="1"/>
  <c r="AK35" i="51"/>
  <c r="F38" i="33" s="1"/>
  <c r="AM8" i="51"/>
  <c r="I9" i="33" s="1"/>
  <c r="J500" i="72"/>
  <c r="L611" i="72"/>
  <c r="H761" i="72"/>
  <c r="G989" i="72"/>
  <c r="P387" i="72"/>
  <c r="E339" i="72"/>
  <c r="L1000" i="72"/>
  <c r="J1038" i="72"/>
  <c r="E903" i="72"/>
  <c r="G245" i="72"/>
  <c r="E355" i="72"/>
  <c r="O423" i="72"/>
  <c r="K27" i="72"/>
  <c r="J609" i="72"/>
  <c r="H843" i="72"/>
  <c r="R993" i="72"/>
  <c r="O620" i="72"/>
  <c r="P423" i="72"/>
  <c r="J443" i="72"/>
  <c r="G524" i="72"/>
  <c r="P366" i="72"/>
  <c r="M230" i="72"/>
  <c r="Q316" i="72"/>
  <c r="M943" i="72"/>
  <c r="J365" i="72"/>
  <c r="K1048" i="72"/>
  <c r="R487" i="72"/>
  <c r="E233" i="72"/>
  <c r="L459" i="72"/>
  <c r="N472" i="72"/>
  <c r="N902" i="72"/>
  <c r="N402" i="72"/>
  <c r="D849" i="72"/>
  <c r="O676" i="72"/>
  <c r="J628" i="72"/>
  <c r="N459" i="72"/>
  <c r="E292" i="72"/>
  <c r="R317" i="72"/>
  <c r="Q986" i="72"/>
  <c r="G540" i="72"/>
  <c r="P402" i="72"/>
  <c r="O514" i="72"/>
  <c r="G644" i="72"/>
  <c r="H159" i="15"/>
  <c r="N159" i="15"/>
  <c r="T159" i="15"/>
  <c r="AL32" i="51"/>
  <c r="G35" i="33" s="1"/>
  <c r="AL28" i="51"/>
  <c r="G31" i="33" s="1"/>
  <c r="AP11" i="51"/>
  <c r="N12" i="33" s="1"/>
  <c r="N333" i="72"/>
  <c r="I383" i="72"/>
  <c r="H350" i="72"/>
  <c r="G519" i="72"/>
  <c r="O929" i="72"/>
  <c r="O454" i="72"/>
  <c r="N531" i="72"/>
  <c r="E734" i="72"/>
  <c r="J939" i="72"/>
  <c r="K1016" i="72"/>
  <c r="H642" i="72"/>
  <c r="I867" i="72"/>
  <c r="O780" i="72"/>
  <c r="O849" i="72"/>
  <c r="G1077" i="72"/>
  <c r="N260" i="72"/>
  <c r="D88" i="72"/>
  <c r="D419" i="72"/>
  <c r="Q588" i="72"/>
  <c r="D524" i="72"/>
  <c r="D564" i="72"/>
  <c r="K485" i="72"/>
  <c r="L712" i="72"/>
  <c r="L1063" i="72"/>
  <c r="J1033" i="72"/>
  <c r="R1021" i="72"/>
  <c r="F316" i="72"/>
  <c r="Q245" i="72"/>
  <c r="E621" i="72"/>
  <c r="M710" i="72"/>
  <c r="P849" i="72"/>
  <c r="N860" i="72"/>
  <c r="H457" i="72"/>
  <c r="M366" i="72"/>
  <c r="R220" i="72"/>
  <c r="R1048" i="72"/>
  <c r="J356" i="72"/>
  <c r="N645" i="72"/>
  <c r="H962" i="72"/>
  <c r="M534" i="72"/>
  <c r="G935" i="72"/>
  <c r="R204" i="72"/>
  <c r="G366" i="72"/>
  <c r="AK15" i="51"/>
  <c r="F16" i="33" s="1"/>
  <c r="E55" i="43" s="1"/>
  <c r="AK17" i="51"/>
  <c r="F18" i="33" s="1"/>
  <c r="R37" i="72"/>
  <c r="I181" i="72"/>
  <c r="K181" i="72"/>
  <c r="M676" i="72"/>
  <c r="N96" i="72"/>
  <c r="F377" i="72"/>
  <c r="R950" i="72"/>
  <c r="G956" i="72"/>
  <c r="R629" i="72"/>
  <c r="D742" i="72"/>
  <c r="I261" i="72"/>
  <c r="J223" i="72"/>
  <c r="O335" i="72"/>
  <c r="J501" i="72"/>
  <c r="R92" i="72"/>
  <c r="L953" i="72"/>
  <c r="F597" i="72"/>
  <c r="M649" i="72"/>
  <c r="L842" i="72"/>
  <c r="F285" i="72"/>
  <c r="M919" i="72"/>
  <c r="D436" i="72"/>
  <c r="R942" i="72"/>
  <c r="N271" i="72"/>
  <c r="Q220" i="72"/>
  <c r="Q692" i="72"/>
  <c r="M166" i="72"/>
  <c r="J89" i="72"/>
  <c r="N1026" i="72"/>
  <c r="P267" i="72"/>
  <c r="R1088" i="72"/>
  <c r="O220" i="72"/>
  <c r="M185" i="72"/>
  <c r="E156" i="72"/>
  <c r="H459" i="72"/>
  <c r="I645" i="72"/>
  <c r="M217" i="72"/>
  <c r="J988" i="72"/>
  <c r="D260" i="72"/>
  <c r="F663" i="72"/>
  <c r="G707" i="72"/>
  <c r="E194" i="72"/>
  <c r="E383" i="72"/>
  <c r="M16" i="51"/>
  <c r="M11" i="51"/>
  <c r="Q11" i="51" s="1"/>
  <c r="M35" i="51"/>
  <c r="AS35" i="51" s="1"/>
  <c r="S38" i="33" s="1"/>
  <c r="I939" i="72"/>
  <c r="J949" i="72"/>
  <c r="P671" i="72"/>
  <c r="K676" i="72"/>
  <c r="N1010" i="72"/>
  <c r="M1052" i="72"/>
  <c r="P459" i="72"/>
  <c r="P348" i="72"/>
  <c r="G178" i="72"/>
  <c r="P642" i="72"/>
  <c r="L1013" i="72"/>
  <c r="N1083" i="72"/>
  <c r="R918" i="72"/>
  <c r="J438" i="72"/>
  <c r="M939" i="72"/>
  <c r="H1092" i="72"/>
  <c r="F248" i="72"/>
  <c r="M220" i="72"/>
  <c r="Q891" i="72"/>
  <c r="Q22" i="72"/>
  <c r="F1043" i="72"/>
  <c r="R64" i="72"/>
  <c r="O1066" i="72"/>
  <c r="R439" i="72"/>
  <c r="G755" i="72"/>
  <c r="D282" i="72"/>
  <c r="N805" i="72"/>
  <c r="L1033" i="72"/>
  <c r="D822" i="72"/>
  <c r="R438" i="72"/>
  <c r="G657" i="72"/>
  <c r="H720" i="72"/>
  <c r="G888" i="72"/>
  <c r="F631" i="72"/>
  <c r="G857" i="72"/>
  <c r="H676" i="72"/>
  <c r="F1000" i="72"/>
  <c r="I156" i="72"/>
  <c r="G1036" i="72"/>
  <c r="K952" i="72"/>
  <c r="D1044" i="72"/>
  <c r="J960" i="72"/>
  <c r="I936" i="72"/>
  <c r="AL25" i="51"/>
  <c r="G28" i="33" s="1"/>
  <c r="AL18" i="51"/>
  <c r="G19" i="33" s="1"/>
  <c r="AO20" i="51"/>
  <c r="K21" i="33" s="1"/>
  <c r="AO33" i="51"/>
  <c r="K36" i="33" s="1"/>
  <c r="K77" i="33" s="1"/>
  <c r="AU14" i="51"/>
  <c r="U15" i="33" s="1"/>
  <c r="O54" i="43" s="1"/>
  <c r="AU27" i="51"/>
  <c r="U30" i="33" s="1"/>
  <c r="O69" i="43" s="1"/>
  <c r="O560" i="44" s="1"/>
  <c r="AU18" i="51"/>
  <c r="U19" i="33" s="1"/>
  <c r="M34" i="51"/>
  <c r="AS34" i="51" s="1"/>
  <c r="S37" i="33" s="1"/>
  <c r="M12" i="51"/>
  <c r="M28" i="51"/>
  <c r="AS28" i="51" s="1"/>
  <c r="S31" i="33" s="1"/>
  <c r="AK18" i="51"/>
  <c r="F19" i="33" s="1"/>
  <c r="Q629" i="72"/>
  <c r="E631" i="72"/>
  <c r="D193" i="72"/>
  <c r="D261" i="72"/>
  <c r="K903" i="72"/>
  <c r="E413" i="72"/>
  <c r="Q742" i="72"/>
  <c r="N74" i="72"/>
  <c r="Q611" i="72"/>
  <c r="Q17" i="72"/>
  <c r="K568" i="72"/>
  <c r="H849" i="72"/>
  <c r="K85" i="72"/>
  <c r="P945" i="72"/>
  <c r="H442" i="72"/>
  <c r="R1099" i="72"/>
  <c r="O989" i="72"/>
  <c r="J808" i="72"/>
  <c r="P768" i="72"/>
  <c r="M1033" i="72"/>
  <c r="L934" i="72"/>
  <c r="I123" i="72"/>
  <c r="L790" i="72"/>
  <c r="M511" i="72"/>
  <c r="E443" i="72"/>
  <c r="M404" i="72"/>
  <c r="R217" i="72"/>
  <c r="H722" i="72"/>
  <c r="I569" i="72"/>
  <c r="F868" i="72"/>
  <c r="M459" i="72"/>
  <c r="J627" i="72"/>
  <c r="F223" i="72"/>
  <c r="F936" i="72"/>
  <c r="P36" i="72"/>
  <c r="F562" i="72"/>
  <c r="K663" i="72"/>
  <c r="G903" i="72"/>
  <c r="N676" i="72"/>
  <c r="E146" i="72"/>
  <c r="H359" i="72"/>
  <c r="O645" i="72"/>
  <c r="H403" i="72"/>
  <c r="AL12" i="51"/>
  <c r="G13" i="33" s="1"/>
  <c r="AL20" i="51"/>
  <c r="G21" i="33" s="1"/>
  <c r="AL37" i="51"/>
  <c r="G40" i="33" s="1"/>
  <c r="AO8" i="51"/>
  <c r="K9" i="33" s="1"/>
  <c r="M37" i="51"/>
  <c r="M13" i="51"/>
  <c r="AK33" i="51"/>
  <c r="F36" i="33" s="1"/>
  <c r="E75" i="43" s="1"/>
  <c r="E616" i="44" s="1"/>
  <c r="I459" i="72"/>
  <c r="E1030" i="72"/>
  <c r="Q1021" i="72"/>
  <c r="L1048" i="72"/>
  <c r="D519" i="72"/>
  <c r="E436" i="72"/>
  <c r="N961" i="72"/>
  <c r="L517" i="72"/>
  <c r="I377" i="72"/>
  <c r="R261" i="72"/>
  <c r="H316" i="72"/>
  <c r="P518" i="72"/>
  <c r="J720" i="72"/>
  <c r="K673" i="72"/>
  <c r="I356" i="72"/>
  <c r="O870" i="72"/>
  <c r="I798" i="72"/>
  <c r="E473" i="72"/>
  <c r="H76" i="72"/>
  <c r="R359" i="72"/>
  <c r="H99" i="72"/>
  <c r="F903" i="72"/>
  <c r="R209" i="72"/>
  <c r="P300" i="72"/>
  <c r="H223" i="72"/>
  <c r="Q864" i="72"/>
  <c r="K1034" i="72"/>
  <c r="F261" i="72"/>
  <c r="R440" i="72"/>
  <c r="Q388" i="72"/>
  <c r="O185" i="72"/>
  <c r="G946" i="72"/>
  <c r="Q36" i="72"/>
  <c r="Q686" i="72"/>
  <c r="F918" i="72"/>
  <c r="R686" i="72"/>
  <c r="L1066" i="72"/>
  <c r="F206" i="72"/>
  <c r="O388" i="72"/>
  <c r="F194" i="72"/>
  <c r="L524" i="72"/>
  <c r="R625" i="72"/>
  <c r="K106" i="72"/>
  <c r="BD88" i="77"/>
  <c r="BD88" i="70" s="1"/>
  <c r="BD50" i="70"/>
  <c r="AO7" i="51"/>
  <c r="K8" i="33" s="1"/>
  <c r="AM20" i="51"/>
  <c r="I21" i="33" s="1"/>
  <c r="AM25" i="51"/>
  <c r="I28" i="33" s="1"/>
  <c r="G67" i="43" s="1"/>
  <c r="R159" i="15"/>
  <c r="J159" i="15"/>
  <c r="BI89" i="77"/>
  <c r="BI89" i="70" s="1"/>
  <c r="AG171" i="72"/>
  <c r="AG112" i="72"/>
  <c r="W500" i="72"/>
  <c r="AG584" i="72"/>
  <c r="AG746" i="72"/>
  <c r="AG750" i="72"/>
  <c r="Y977" i="72"/>
  <c r="AE835" i="72"/>
  <c r="AB486" i="72"/>
  <c r="U686" i="72"/>
  <c r="X116" i="72"/>
  <c r="Y688" i="72"/>
  <c r="AB951" i="72"/>
  <c r="AB1033" i="72"/>
  <c r="T182" i="72"/>
  <c r="AC377" i="72"/>
  <c r="S181" i="72"/>
  <c r="AG53" i="72"/>
  <c r="AG151" i="72"/>
  <c r="W205" i="72"/>
  <c r="AE245" i="72"/>
  <c r="S322" i="72"/>
  <c r="AF73" i="72"/>
  <c r="Y181" i="72"/>
  <c r="Y315" i="72"/>
  <c r="AB773" i="72"/>
  <c r="V459" i="72"/>
  <c r="W727" i="72"/>
  <c r="S915" i="72"/>
  <c r="W22" i="72"/>
  <c r="W216" i="72"/>
  <c r="AD355" i="72"/>
  <c r="Y458" i="72"/>
  <c r="S550" i="72"/>
  <c r="X756" i="72"/>
  <c r="AE756" i="72"/>
  <c r="AG690" i="72"/>
  <c r="Z156" i="72"/>
  <c r="Y129" i="72"/>
  <c r="AB261" i="72"/>
  <c r="W872" i="72"/>
  <c r="AD1050" i="72"/>
  <c r="Y1054" i="72"/>
  <c r="AG758" i="72"/>
  <c r="AF21" i="72"/>
  <c r="AE533" i="72"/>
  <c r="AD57" i="72"/>
  <c r="AA587" i="72"/>
  <c r="AG575" i="72"/>
  <c r="X1030" i="72"/>
  <c r="AE285" i="72"/>
  <c r="Z805" i="72"/>
  <c r="AG345" i="72"/>
  <c r="V891" i="72"/>
  <c r="X895" i="72"/>
  <c r="U798" i="72"/>
  <c r="U262" i="72"/>
  <c r="U962" i="72"/>
  <c r="T491" i="72"/>
  <c r="V546" i="72"/>
  <c r="U245" i="72"/>
  <c r="X904" i="72"/>
  <c r="W194" i="72"/>
  <c r="X403" i="72"/>
  <c r="W181" i="72"/>
  <c r="X423" i="72"/>
  <c r="AG205" i="72"/>
  <c r="X269" i="72"/>
  <c r="U365" i="72"/>
  <c r="AC178" i="72"/>
  <c r="Z315" i="72"/>
  <c r="AE178" i="72"/>
  <c r="AA223" i="72"/>
  <c r="W38" i="72"/>
  <c r="X529" i="72"/>
  <c r="T621" i="72"/>
  <c r="AD83" i="72"/>
  <c r="AF22" i="72"/>
  <c r="AC601" i="72"/>
  <c r="AD364" i="72"/>
  <c r="AG823" i="72"/>
  <c r="AG909" i="72"/>
  <c r="Y435" i="72"/>
  <c r="V278" i="72"/>
  <c r="Z889" i="72"/>
  <c r="AF684" i="72"/>
  <c r="AG336" i="72"/>
  <c r="AD1000" i="72"/>
  <c r="W402" i="72"/>
  <c r="AF51" i="72"/>
  <c r="W903" i="72"/>
  <c r="Y947" i="72"/>
  <c r="V37" i="72"/>
  <c r="AA599" i="72"/>
  <c r="AB245" i="72"/>
  <c r="AE520" i="72"/>
  <c r="V117" i="72"/>
  <c r="AD220" i="72"/>
  <c r="V438" i="72"/>
  <c r="AA383" i="72"/>
  <c r="W550" i="72"/>
  <c r="T216" i="72"/>
  <c r="AE641" i="72"/>
  <c r="W26" i="72"/>
  <c r="AB181" i="72"/>
  <c r="S348" i="72"/>
  <c r="AC442" i="72"/>
  <c r="U528" i="72"/>
  <c r="T979" i="72"/>
  <c r="AD102" i="72"/>
  <c r="T193" i="72"/>
  <c r="AE442" i="72"/>
  <c r="AE355" i="72"/>
  <c r="Y38" i="72"/>
  <c r="AG142" i="72"/>
  <c r="AC739" i="72"/>
  <c r="Y295" i="72"/>
  <c r="AB90" i="72"/>
  <c r="AC672" i="72"/>
  <c r="AA321" i="72"/>
  <c r="AB434" i="72"/>
  <c r="AE606" i="72"/>
  <c r="Z562" i="72"/>
  <c r="V220" i="72"/>
  <c r="U37" i="72"/>
  <c r="W648" i="72"/>
  <c r="W43" i="72"/>
  <c r="W245" i="72"/>
  <c r="X463" i="72"/>
  <c r="AG948" i="72"/>
  <c r="AD212" i="72"/>
  <c r="AA280" i="72"/>
  <c r="AG980" i="72"/>
  <c r="AC946" i="72"/>
  <c r="AE248" i="72"/>
  <c r="AB513" i="72"/>
  <c r="AC194" i="72"/>
  <c r="AF261" i="72"/>
  <c r="Z383" i="72"/>
  <c r="U315" i="72"/>
  <c r="S459" i="72"/>
  <c r="Z301" i="72"/>
  <c r="V641" i="72"/>
  <c r="V108" i="72"/>
  <c r="AC354" i="72"/>
  <c r="S475" i="72"/>
  <c r="X727" i="72"/>
  <c r="Y218" i="72"/>
  <c r="Y465" i="72"/>
  <c r="AD756" i="72"/>
  <c r="T47" i="72"/>
  <c r="AA47" i="72"/>
  <c r="AD218" i="72"/>
  <c r="V570" i="72"/>
  <c r="V877" i="72"/>
  <c r="S337" i="72"/>
  <c r="T886" i="72"/>
  <c r="AD1068" i="72"/>
  <c r="AA789" i="72"/>
  <c r="W868" i="72"/>
  <c r="AE1068" i="72"/>
  <c r="AC597" i="72"/>
  <c r="Z803" i="72"/>
  <c r="AD893" i="72"/>
  <c r="U808" i="72"/>
  <c r="AF645" i="72"/>
  <c r="V934" i="72"/>
  <c r="S981" i="72"/>
  <c r="AG1083" i="72"/>
  <c r="AF786" i="72"/>
  <c r="AF1095" i="72"/>
  <c r="Y536" i="72"/>
  <c r="AD649" i="72"/>
  <c r="AB362" i="72"/>
  <c r="T786" i="72"/>
  <c r="V606" i="72"/>
  <c r="S239" i="72"/>
  <c r="V260" i="72"/>
  <c r="AB599" i="72"/>
  <c r="U430" i="72"/>
  <c r="U771" i="72"/>
  <c r="V11" i="72"/>
  <c r="AG631" i="72"/>
  <c r="W637" i="72"/>
  <c r="Z377" i="72"/>
  <c r="AA14" i="72"/>
  <c r="AB316" i="72"/>
  <c r="S205" i="72"/>
  <c r="AE211" i="72"/>
  <c r="U419" i="72"/>
  <c r="V705" i="72"/>
  <c r="AA534" i="72"/>
  <c r="S676" i="72"/>
  <c r="S42" i="72"/>
  <c r="AG24" i="72"/>
  <c r="AE333" i="72"/>
  <c r="AD599" i="72"/>
  <c r="X125" i="72"/>
  <c r="AG316" i="72"/>
  <c r="Z442" i="72"/>
  <c r="X773" i="72"/>
  <c r="V216" i="72"/>
  <c r="X392" i="72"/>
  <c r="U550" i="72"/>
  <c r="Z216" i="72"/>
  <c r="T651" i="72"/>
  <c r="AB259" i="72"/>
  <c r="S491" i="72"/>
  <c r="AG852" i="72"/>
  <c r="V290" i="72"/>
  <c r="AG878" i="72"/>
  <c r="X886" i="72"/>
  <c r="W597" i="72"/>
  <c r="T722" i="72"/>
  <c r="AG1006" i="72"/>
  <c r="V627" i="72"/>
  <c r="Y803" i="72"/>
  <c r="AE869" i="72"/>
  <c r="U1014" i="72"/>
  <c r="S764" i="72"/>
  <c r="T935" i="72"/>
  <c r="AD1014" i="72"/>
  <c r="T688" i="72"/>
  <c r="AD1095" i="72"/>
  <c r="W944" i="72"/>
  <c r="V263" i="72"/>
  <c r="S371" i="72"/>
  <c r="V948" i="72"/>
  <c r="AD548" i="72"/>
  <c r="S442" i="72"/>
  <c r="S108" i="72"/>
  <c r="AF220" i="72"/>
  <c r="U108" i="72"/>
  <c r="S979" i="72"/>
  <c r="AB218" i="72"/>
  <c r="V155" i="72"/>
  <c r="S298" i="72"/>
  <c r="U491" i="72"/>
  <c r="W572" i="72"/>
  <c r="AE878" i="72"/>
  <c r="T609" i="72"/>
  <c r="T1010" i="72"/>
  <c r="AE1094" i="72"/>
  <c r="S645" i="72"/>
  <c r="AE947" i="72"/>
  <c r="X37" i="72"/>
  <c r="Y37" i="72"/>
  <c r="V235" i="72"/>
  <c r="S216" i="72"/>
  <c r="S458" i="72"/>
  <c r="AA979" i="72"/>
  <c r="V756" i="72"/>
  <c r="AF355" i="72"/>
  <c r="T789" i="72"/>
  <c r="AC642" i="72"/>
  <c r="Z720" i="72"/>
  <c r="Y863" i="72"/>
  <c r="AC893" i="72"/>
  <c r="V645" i="72"/>
  <c r="AG1010" i="72"/>
  <c r="AF597" i="72"/>
  <c r="U1043" i="72"/>
  <c r="AG597" i="72"/>
  <c r="X1000" i="72"/>
  <c r="AA1093" i="72"/>
  <c r="AA536" i="72"/>
  <c r="S640" i="72"/>
  <c r="AE808" i="72"/>
  <c r="AE1085" i="72"/>
  <c r="Z1012" i="72"/>
  <c r="AC60" i="72"/>
  <c r="W182" i="72"/>
  <c r="AE43" i="72"/>
  <c r="AF93" i="72"/>
  <c r="AB154" i="72"/>
  <c r="Y183" i="72"/>
  <c r="W27" i="72"/>
  <c r="AF474" i="72"/>
  <c r="AC58" i="72"/>
  <c r="W57" i="72"/>
  <c r="AE44" i="72"/>
  <c r="W235" i="72"/>
  <c r="AG495" i="72"/>
  <c r="AD178" i="72"/>
  <c r="T756" i="72"/>
  <c r="Z465" i="72"/>
  <c r="AF159" i="72"/>
  <c r="AA465" i="72"/>
  <c r="Z973" i="72"/>
  <c r="Y834" i="72"/>
  <c r="AB873" i="72"/>
  <c r="AG526" i="72"/>
  <c r="W755" i="72"/>
  <c r="AD663" i="72"/>
  <c r="T737" i="72"/>
  <c r="AC968" i="72"/>
  <c r="AD606" i="72"/>
  <c r="AC750" i="72"/>
  <c r="Z808" i="72"/>
  <c r="X577" i="72"/>
  <c r="S642" i="72"/>
  <c r="Y710" i="72"/>
  <c r="AD815" i="72"/>
  <c r="AD1022" i="72"/>
  <c r="U1090" i="72"/>
  <c r="U620" i="72"/>
  <c r="V873" i="72"/>
  <c r="S1073" i="72"/>
  <c r="V20" i="72"/>
  <c r="S182" i="72"/>
  <c r="AC57" i="72"/>
  <c r="X93" i="72"/>
  <c r="X164" i="72"/>
  <c r="W154" i="72"/>
  <c r="S183" i="72"/>
  <c r="AE429" i="72"/>
  <c r="X474" i="72"/>
  <c r="T58" i="72"/>
  <c r="X108" i="72"/>
  <c r="Y194" i="72"/>
  <c r="S73" i="72"/>
  <c r="AG245" i="72"/>
  <c r="AA841" i="72"/>
  <c r="AE287" i="72"/>
  <c r="V528" i="72"/>
  <c r="X26" i="72"/>
  <c r="V229" i="72"/>
  <c r="AB459" i="72"/>
  <c r="Y529" i="72"/>
  <c r="AF167" i="72"/>
  <c r="AB475" i="72"/>
  <c r="AC877" i="72"/>
  <c r="AA873" i="72"/>
  <c r="W653" i="72"/>
  <c r="W893" i="72"/>
  <c r="AA568" i="72"/>
  <c r="AF1010" i="72"/>
  <c r="AE691" i="72"/>
  <c r="U1011" i="72"/>
  <c r="AB649" i="72"/>
  <c r="X710" i="72"/>
  <c r="AC808" i="72"/>
  <c r="U838" i="72"/>
  <c r="V918" i="72"/>
  <c r="W642" i="72"/>
  <c r="AA696" i="72"/>
  <c r="AF1022" i="72"/>
  <c r="Z705" i="72"/>
  <c r="W463" i="72"/>
  <c r="U71" i="72"/>
  <c r="AG173" i="72"/>
  <c r="S350" i="72"/>
  <c r="AG37" i="72"/>
  <c r="U641" i="72"/>
  <c r="AC301" i="72"/>
  <c r="AF301" i="72"/>
  <c r="X475" i="72"/>
  <c r="AB756" i="72"/>
  <c r="AE651" i="72"/>
  <c r="AF552" i="72"/>
  <c r="AF877" i="72"/>
  <c r="AB283" i="72"/>
  <c r="U431" i="72"/>
  <c r="AD878" i="72"/>
  <c r="AF1006" i="72"/>
  <c r="V1019" i="72"/>
  <c r="AB597" i="72"/>
  <c r="S935" i="72"/>
  <c r="S808" i="72"/>
  <c r="AG1094" i="72"/>
  <c r="S649" i="72"/>
  <c r="AB778" i="72"/>
  <c r="T644" i="72"/>
  <c r="AC778" i="72"/>
  <c r="Y623" i="72"/>
  <c r="AF649" i="72"/>
  <c r="U844" i="72"/>
  <c r="S705" i="72"/>
  <c r="Y642" i="72"/>
  <c r="T909" i="72"/>
  <c r="V1003" i="72"/>
  <c r="S27" i="72"/>
  <c r="Z164" i="72"/>
  <c r="AG164" i="72"/>
  <c r="S944" i="72"/>
  <c r="S383" i="72"/>
  <c r="T355" i="72"/>
  <c r="T178" i="72"/>
  <c r="U355" i="72"/>
  <c r="AE117" i="72"/>
  <c r="AA181" i="72"/>
  <c r="AF773" i="72"/>
  <c r="S324" i="72"/>
  <c r="Z108" i="72"/>
  <c r="AC315" i="72"/>
  <c r="T550" i="72"/>
  <c r="X19" i="72"/>
  <c r="AB690" i="72"/>
  <c r="AD570" i="72"/>
  <c r="W877" i="72"/>
  <c r="X486" i="72"/>
  <c r="AG886" i="72"/>
  <c r="AD886" i="72"/>
  <c r="T1057" i="72"/>
  <c r="S792" i="72"/>
  <c r="AC609" i="72"/>
  <c r="Y728" i="72"/>
  <c r="AC962" i="72"/>
  <c r="AF663" i="72"/>
  <c r="S781" i="72"/>
  <c r="W1000" i="72"/>
  <c r="AF519" i="72"/>
  <c r="AG645" i="72"/>
  <c r="V781" i="72"/>
  <c r="S849" i="72"/>
  <c r="X946" i="72"/>
  <c r="AE1043" i="72"/>
  <c r="Y493" i="72"/>
  <c r="Z598" i="72"/>
  <c r="AA743" i="72"/>
  <c r="AD849" i="72"/>
  <c r="S1063" i="72"/>
  <c r="AA1063" i="72"/>
  <c r="S653" i="72"/>
  <c r="AA578" i="72"/>
  <c r="U720" i="72"/>
  <c r="Y1006" i="72"/>
  <c r="T65" i="72"/>
  <c r="AD30" i="72"/>
  <c r="AG182" i="72"/>
  <c r="AD60" i="72"/>
  <c r="AF141" i="72"/>
  <c r="Y164" i="72"/>
  <c r="W357" i="72"/>
  <c r="S248" i="72"/>
  <c r="V355" i="72"/>
  <c r="T22" i="72"/>
  <c r="AC355" i="72"/>
  <c r="X115" i="72"/>
  <c r="T324" i="72"/>
  <c r="Z690" i="72"/>
  <c r="W246" i="72"/>
  <c r="Z570" i="72"/>
  <c r="AC766" i="72"/>
  <c r="U877" i="72"/>
  <c r="AC491" i="72"/>
  <c r="U886" i="72"/>
  <c r="U526" i="72"/>
  <c r="X692" i="72"/>
  <c r="U1057" i="72"/>
  <c r="U860" i="72"/>
  <c r="Z960" i="72"/>
  <c r="V748" i="72"/>
  <c r="AE786" i="72"/>
  <c r="AE935" i="72"/>
  <c r="S575" i="72"/>
  <c r="T649" i="72"/>
  <c r="AB790" i="72"/>
  <c r="T838" i="72"/>
  <c r="AF904" i="72"/>
  <c r="AF354" i="72"/>
  <c r="U332" i="72"/>
  <c r="W691" i="72"/>
  <c r="AC755" i="72"/>
  <c r="S977" i="72"/>
  <c r="T720" i="72"/>
  <c r="AD182" i="72"/>
  <c r="U17" i="72"/>
  <c r="Y141" i="72"/>
  <c r="V429" i="72"/>
  <c r="U474" i="72"/>
  <c r="Z249" i="72"/>
  <c r="AG327" i="72"/>
  <c r="S94" i="72"/>
  <c r="AA88" i="72"/>
  <c r="S129" i="72"/>
  <c r="AG186" i="72"/>
  <c r="W19" i="72"/>
  <c r="AF69" i="72"/>
  <c r="Y415" i="72"/>
  <c r="AG150" i="72"/>
  <c r="U237" i="72"/>
  <c r="T109" i="72"/>
  <c r="AD74" i="72"/>
  <c r="Y177" i="72"/>
  <c r="AF92" i="72"/>
  <c r="V192" i="72"/>
  <c r="U109" i="72"/>
  <c r="Y238" i="72"/>
  <c r="W348" i="72"/>
  <c r="Z250" i="72"/>
  <c r="W401" i="72"/>
  <c r="X142" i="72"/>
  <c r="AF245" i="72"/>
  <c r="X217" i="72"/>
  <c r="Y309" i="72"/>
  <c r="U341" i="72"/>
  <c r="V498" i="72"/>
  <c r="Z660" i="72"/>
  <c r="AC199" i="72"/>
  <c r="Y229" i="72"/>
  <c r="AA269" i="72"/>
  <c r="X341" i="72"/>
  <c r="T347" i="72"/>
  <c r="W485" i="72"/>
  <c r="AD646" i="72"/>
  <c r="AG453" i="72"/>
  <c r="Y453" i="72"/>
  <c r="Y904" i="72"/>
  <c r="V444" i="72"/>
  <c r="W981" i="72"/>
  <c r="AE861" i="72"/>
  <c r="Y951" i="72"/>
  <c r="AA182" i="72"/>
  <c r="T27" i="72"/>
  <c r="X141" i="72"/>
  <c r="AA154" i="72"/>
  <c r="U10" i="72"/>
  <c r="W178" i="72"/>
  <c r="AC790" i="72"/>
  <c r="AF536" i="72"/>
  <c r="AB761" i="72"/>
  <c r="AB1063" i="72"/>
  <c r="AF194" i="72"/>
  <c r="AF550" i="72"/>
  <c r="AE834" i="72"/>
  <c r="Y879" i="72"/>
  <c r="X808" i="72"/>
  <c r="U737" i="72"/>
  <c r="S1089" i="72"/>
  <c r="AG801" i="72"/>
  <c r="V26" i="72"/>
  <c r="AA57" i="72"/>
  <c r="AA164" i="72"/>
  <c r="Z520" i="72"/>
  <c r="AD727" i="72"/>
  <c r="X766" i="72"/>
  <c r="AA962" i="72"/>
  <c r="Y795" i="72"/>
  <c r="V849" i="72"/>
  <c r="V696" i="72"/>
  <c r="AG87" i="72"/>
  <c r="V164" i="72"/>
  <c r="V474" i="72"/>
  <c r="Y27" i="72"/>
  <c r="T134" i="72"/>
  <c r="AB27" i="72"/>
  <c r="U327" i="72"/>
  <c r="W147" i="72"/>
  <c r="T59" i="72"/>
  <c r="AG135" i="72"/>
  <c r="V40" i="72"/>
  <c r="Z150" i="72"/>
  <c r="T159" i="72"/>
  <c r="S400" i="72"/>
  <c r="X40" i="72"/>
  <c r="AF415" i="72"/>
  <c r="AD69" i="72"/>
  <c r="AA137" i="72"/>
  <c r="AB47" i="72"/>
  <c r="AD63" i="72"/>
  <c r="AD197" i="72"/>
  <c r="AE109" i="72"/>
  <c r="AG70" i="72"/>
  <c r="AD259" i="72"/>
  <c r="AG335" i="72"/>
  <c r="AF361" i="72"/>
  <c r="AD774" i="72"/>
  <c r="X313" i="72"/>
  <c r="T898" i="72"/>
  <c r="S266" i="72"/>
  <c r="AF178" i="72"/>
  <c r="X266" i="72"/>
  <c r="U314" i="72"/>
  <c r="Z350" i="72"/>
  <c r="AG504" i="72"/>
  <c r="AE551" i="72"/>
  <c r="X472" i="72"/>
  <c r="AG497" i="72"/>
  <c r="X199" i="72"/>
  <c r="U269" i="72"/>
  <c r="AE365" i="72"/>
  <c r="AB488" i="72"/>
  <c r="W484" i="72"/>
  <c r="Z181" i="72"/>
  <c r="S260" i="72"/>
  <c r="W296" i="72"/>
  <c r="AG331" i="72"/>
  <c r="S390" i="72"/>
  <c r="W695" i="72"/>
  <c r="AB296" i="72"/>
  <c r="T445" i="72"/>
  <c r="S485" i="72"/>
  <c r="S436" i="72"/>
  <c r="AD453" i="72"/>
  <c r="W96" i="72"/>
  <c r="X442" i="72"/>
  <c r="V915" i="72"/>
  <c r="V246" i="72"/>
  <c r="W826" i="72"/>
  <c r="AF953" i="72"/>
  <c r="AB808" i="72"/>
  <c r="AA752" i="72"/>
  <c r="T1006" i="72"/>
  <c r="Y1042" i="72"/>
  <c r="AG183" i="72"/>
  <c r="Z26" i="72"/>
  <c r="T108" i="72"/>
  <c r="AB134" i="72"/>
  <c r="T327" i="72"/>
  <c r="S147" i="72"/>
  <c r="AE61" i="72"/>
  <c r="AB122" i="72"/>
  <c r="S159" i="72"/>
  <c r="AC415" i="72"/>
  <c r="W114" i="72"/>
  <c r="AA60" i="72"/>
  <c r="AG302" i="72"/>
  <c r="AA177" i="72"/>
  <c r="T9" i="72"/>
  <c r="AB41" i="72"/>
  <c r="AA178" i="72"/>
  <c r="V219" i="72"/>
  <c r="W313" i="72"/>
  <c r="Y364" i="72"/>
  <c r="Z774" i="72"/>
  <c r="AC864" i="72"/>
  <c r="W337" i="72"/>
  <c r="Z19" i="72"/>
  <c r="AF1094" i="72"/>
  <c r="AG524" i="72"/>
  <c r="Z182" i="72"/>
  <c r="Y134" i="72"/>
  <c r="Y21" i="72"/>
  <c r="AD249" i="72"/>
  <c r="Z327" i="72"/>
  <c r="Z159" i="72"/>
  <c r="AA13" i="72"/>
  <c r="W473" i="72"/>
  <c r="Z103" i="72"/>
  <c r="Y627" i="72"/>
  <c r="Y858" i="72"/>
  <c r="AF154" i="72"/>
  <c r="X71" i="72"/>
  <c r="AD108" i="72"/>
  <c r="AF149" i="72"/>
  <c r="AC249" i="72"/>
  <c r="Y327" i="72"/>
  <c r="AF147" i="72"/>
  <c r="AE27" i="72"/>
  <c r="AB129" i="72"/>
  <c r="V159" i="72"/>
  <c r="U124" i="72"/>
  <c r="X69" i="72"/>
  <c r="U137" i="72"/>
  <c r="U60" i="72"/>
  <c r="X177" i="72"/>
  <c r="AB109" i="72"/>
  <c r="V245" i="72"/>
  <c r="T345" i="72"/>
  <c r="V421" i="72"/>
  <c r="U482" i="72"/>
  <c r="AA353" i="72"/>
  <c r="Y266" i="72"/>
  <c r="Z472" i="72"/>
  <c r="W497" i="72"/>
  <c r="X365" i="72"/>
  <c r="T702" i="72"/>
  <c r="T173" i="72"/>
  <c r="AB220" i="72"/>
  <c r="AE316" i="72"/>
  <c r="T334" i="72"/>
  <c r="AA485" i="72"/>
  <c r="U174" i="72"/>
  <c r="Z211" i="72"/>
  <c r="Z519" i="72"/>
  <c r="S154" i="72"/>
  <c r="U21" i="72"/>
  <c r="V149" i="72"/>
  <c r="X249" i="72"/>
  <c r="S327" i="72"/>
  <c r="Y147" i="72"/>
  <c r="AF27" i="72"/>
  <c r="AB150" i="72"/>
  <c r="AE94" i="72"/>
  <c r="W137" i="72"/>
  <c r="AG352" i="72"/>
  <c r="V177" i="72"/>
  <c r="T43" i="72"/>
  <c r="U194" i="72"/>
  <c r="W250" i="72"/>
  <c r="Y348" i="72"/>
  <c r="S309" i="72"/>
  <c r="X193" i="72"/>
  <c r="V248" i="72"/>
  <c r="T309" i="72"/>
  <c r="AD354" i="72"/>
  <c r="T341" i="72"/>
  <c r="Y472" i="72"/>
  <c r="Y316" i="72"/>
  <c r="AC438" i="72"/>
  <c r="Z467" i="72"/>
  <c r="U362" i="72"/>
  <c r="AE468" i="72"/>
  <c r="Y829" i="72"/>
  <c r="V485" i="72"/>
  <c r="S178" i="72"/>
  <c r="Y215" i="72"/>
  <c r="AG246" i="72"/>
  <c r="V325" i="72"/>
  <c r="T381" i="72"/>
  <c r="AE30" i="72"/>
  <c r="AF183" i="72"/>
  <c r="AD429" i="72"/>
  <c r="X344" i="72"/>
  <c r="U249" i="72"/>
  <c r="X147" i="72"/>
  <c r="AG106" i="72"/>
  <c r="Z69" i="72"/>
  <c r="AF186" i="72"/>
  <c r="W415" i="72"/>
  <c r="Y150" i="72"/>
  <c r="AE60" i="72"/>
  <c r="AC352" i="72"/>
  <c r="W70" i="72"/>
  <c r="S177" i="72"/>
  <c r="AG28" i="72"/>
  <c r="AG109" i="72"/>
  <c r="U147" i="72"/>
  <c r="S314" i="72"/>
  <c r="AD194" i="72"/>
  <c r="W316" i="72"/>
  <c r="AA273" i="72"/>
  <c r="W472" i="72"/>
  <c r="AC467" i="72"/>
  <c r="AG397" i="72"/>
  <c r="AB184" i="72"/>
  <c r="S334" i="72"/>
  <c r="AG367" i="72"/>
  <c r="AC343" i="72"/>
  <c r="U485" i="72"/>
  <c r="AB411" i="72"/>
  <c r="AC253" i="72"/>
  <c r="AD332" i="72"/>
  <c r="AG384" i="72"/>
  <c r="AC608" i="72"/>
  <c r="AG93" i="72"/>
  <c r="Z183" i="72"/>
  <c r="AC429" i="72"/>
  <c r="Z344" i="72"/>
  <c r="Y13" i="72"/>
  <c r="AG88" i="72"/>
  <c r="AA129" i="72"/>
  <c r="Z59" i="72"/>
  <c r="S415" i="72"/>
  <c r="T150" i="72"/>
  <c r="AF162" i="72"/>
  <c r="AB76" i="72"/>
  <c r="T74" i="72"/>
  <c r="AA41" i="72"/>
  <c r="AC192" i="72"/>
  <c r="S60" i="72"/>
  <c r="AC212" i="72"/>
  <c r="AF283" i="72"/>
  <c r="AF412" i="72"/>
  <c r="AD116" i="72"/>
  <c r="S199" i="72"/>
  <c r="AA551" i="72"/>
  <c r="Y346" i="72"/>
  <c r="Z266" i="72"/>
  <c r="AA488" i="72"/>
  <c r="V660" i="72"/>
  <c r="U141" i="72"/>
  <c r="Y108" i="72"/>
  <c r="V88" i="72"/>
  <c r="Y82" i="72"/>
  <c r="AD114" i="72"/>
  <c r="Z41" i="72"/>
  <c r="AD180" i="72"/>
  <c r="AG268" i="72"/>
  <c r="AE504" i="72"/>
  <c r="Y217" i="72"/>
  <c r="AB346" i="72"/>
  <c r="Z702" i="72"/>
  <c r="AC217" i="72"/>
  <c r="AD309" i="72"/>
  <c r="AD439" i="72"/>
  <c r="AB269" i="72"/>
  <c r="AB453" i="72"/>
  <c r="AD181" i="72"/>
  <c r="AE224" i="72"/>
  <c r="AB355" i="72"/>
  <c r="U1006" i="72"/>
  <c r="AB108" i="72"/>
  <c r="S59" i="72"/>
  <c r="AB100" i="72"/>
  <c r="S114" i="72"/>
  <c r="AD37" i="72"/>
  <c r="AF109" i="72"/>
  <c r="X504" i="72"/>
  <c r="AG472" i="72"/>
  <c r="T218" i="72"/>
  <c r="AG498" i="72"/>
  <c r="AA702" i="72"/>
  <c r="AA218" i="72"/>
  <c r="Y646" i="72"/>
  <c r="Z453" i="72"/>
  <c r="T470" i="72"/>
  <c r="AD608" i="72"/>
  <c r="W505" i="72"/>
  <c r="X649" i="72"/>
  <c r="AD737" i="72"/>
  <c r="X642" i="72"/>
  <c r="AC1059" i="72"/>
  <c r="Y809" i="72"/>
  <c r="AA875" i="72"/>
  <c r="V657" i="72"/>
  <c r="W699" i="72"/>
  <c r="U1041" i="72"/>
  <c r="AA511" i="72"/>
  <c r="AA642" i="72"/>
  <c r="Y672" i="72"/>
  <c r="X1053" i="72"/>
  <c r="AB511" i="72"/>
  <c r="AC181" i="72"/>
  <c r="U604" i="72"/>
  <c r="S10" i="72"/>
  <c r="X94" i="72"/>
  <c r="AD94" i="72"/>
  <c r="V109" i="72"/>
  <c r="S43" i="72"/>
  <c r="AD109" i="72"/>
  <c r="AE774" i="72"/>
  <c r="W412" i="72"/>
  <c r="AG203" i="72"/>
  <c r="Z551" i="72"/>
  <c r="X309" i="72"/>
  <c r="AE273" i="72"/>
  <c r="AC660" i="72"/>
  <c r="AB695" i="72"/>
  <c r="AE646" i="72"/>
  <c r="T453" i="72"/>
  <c r="Z196" i="72"/>
  <c r="V447" i="72"/>
  <c r="W608" i="72"/>
  <c r="Y283" i="72"/>
  <c r="AD710" i="72"/>
  <c r="AB737" i="72"/>
  <c r="Z776" i="72"/>
  <c r="U644" i="72"/>
  <c r="Y1059" i="72"/>
  <c r="W491" i="72"/>
  <c r="Y875" i="72"/>
  <c r="AB499" i="72"/>
  <c r="U658" i="72"/>
  <c r="T1041" i="72"/>
  <c r="T653" i="72"/>
  <c r="AC27" i="72"/>
  <c r="AG207" i="72"/>
  <c r="AB237" i="72"/>
  <c r="U163" i="72"/>
  <c r="Z297" i="72"/>
  <c r="AG774" i="72"/>
  <c r="AA412" i="72"/>
  <c r="W217" i="72"/>
  <c r="AC314" i="72"/>
  <c r="X660" i="72"/>
  <c r="AB343" i="72"/>
  <c r="Y1094" i="72"/>
  <c r="U42" i="72"/>
  <c r="AG134" i="72"/>
  <c r="U40" i="72"/>
  <c r="Z237" i="72"/>
  <c r="AE177" i="72"/>
  <c r="AG92" i="72"/>
  <c r="AF9" i="72"/>
  <c r="Y774" i="72"/>
  <c r="X316" i="72"/>
  <c r="AD455" i="72"/>
  <c r="U660" i="72"/>
  <c r="S261" i="72"/>
  <c r="X379" i="72"/>
  <c r="AB200" i="72"/>
  <c r="T361" i="72"/>
  <c r="S608" i="72"/>
  <c r="Y526" i="72"/>
  <c r="T604" i="72"/>
  <c r="AA688" i="72"/>
  <c r="S722" i="72"/>
  <c r="U769" i="72"/>
  <c r="AB776" i="72"/>
  <c r="X499" i="72"/>
  <c r="T875" i="72"/>
  <c r="AC1021" i="72"/>
  <c r="AB43" i="72"/>
  <c r="AF134" i="72"/>
  <c r="AB327" i="72"/>
  <c r="AC159" i="72"/>
  <c r="Z415" i="72"/>
  <c r="AC302" i="72"/>
  <c r="Z177" i="72"/>
  <c r="AG140" i="72"/>
  <c r="V315" i="72"/>
  <c r="V774" i="72"/>
  <c r="AE223" i="72"/>
  <c r="T497" i="72"/>
  <c r="AD314" i="72"/>
  <c r="S660" i="72"/>
  <c r="X262" i="72"/>
  <c r="AC117" i="72"/>
  <c r="AF267" i="72"/>
  <c r="AA337" i="72"/>
  <c r="V463" i="72"/>
  <c r="S385" i="72"/>
  <c r="AF449" i="72"/>
  <c r="U493" i="72"/>
  <c r="Z529" i="72"/>
  <c r="U642" i="72"/>
  <c r="T691" i="72"/>
  <c r="AG922" i="72"/>
  <c r="S776" i="72"/>
  <c r="V491" i="72"/>
  <c r="AC627" i="72"/>
  <c r="AE649" i="72"/>
  <c r="AG765" i="72"/>
  <c r="AG875" i="72"/>
  <c r="S875" i="72"/>
  <c r="AG387" i="72"/>
  <c r="X511" i="72"/>
  <c r="V629" i="72"/>
  <c r="X459" i="72"/>
  <c r="AD499" i="72"/>
  <c r="Z525" i="72"/>
  <c r="AE589" i="72"/>
  <c r="Z624" i="72"/>
  <c r="V658" i="72"/>
  <c r="W728" i="72"/>
  <c r="AF587" i="72"/>
  <c r="X10" i="72"/>
  <c r="T82" i="72"/>
  <c r="U273" i="72"/>
  <c r="T376" i="72"/>
  <c r="X381" i="72"/>
  <c r="S478" i="72"/>
  <c r="T403" i="72"/>
  <c r="AE552" i="72"/>
  <c r="U645" i="72"/>
  <c r="Z843" i="72"/>
  <c r="X589" i="72"/>
  <c r="AD589" i="72"/>
  <c r="V597" i="72"/>
  <c r="U510" i="72"/>
  <c r="Y699" i="72"/>
  <c r="X847" i="72"/>
  <c r="S520" i="72"/>
  <c r="U569" i="72"/>
  <c r="X677" i="72"/>
  <c r="AE725" i="72"/>
  <c r="AA748" i="72"/>
  <c r="Z524" i="72"/>
  <c r="AC561" i="72"/>
  <c r="W599" i="72"/>
  <c r="X632" i="72"/>
  <c r="T778" i="72"/>
  <c r="S423" i="72"/>
  <c r="V529" i="72"/>
  <c r="Z599" i="72"/>
  <c r="U710" i="72"/>
  <c r="S763" i="72"/>
  <c r="V1064" i="72"/>
  <c r="AB977" i="72"/>
  <c r="AD1011" i="72"/>
  <c r="X1081" i="72"/>
  <c r="AF912" i="72"/>
  <c r="X943" i="72"/>
  <c r="X974" i="72"/>
  <c r="U1021" i="72"/>
  <c r="Y1081" i="72"/>
  <c r="V861" i="72"/>
  <c r="AB943" i="72"/>
  <c r="AB1000" i="72"/>
  <c r="AC1057" i="72"/>
  <c r="AD861" i="72"/>
  <c r="AB1021" i="72"/>
  <c r="AB947" i="72"/>
  <c r="Z844" i="72"/>
  <c r="AE902" i="72"/>
  <c r="Z991" i="72"/>
  <c r="X1080" i="72"/>
  <c r="W1035" i="72"/>
  <c r="T743" i="72"/>
  <c r="AD864" i="72"/>
  <c r="S934" i="72"/>
  <c r="T936" i="72"/>
  <c r="V968" i="72"/>
  <c r="AC1006" i="72"/>
  <c r="X1042" i="72"/>
  <c r="S169" i="72"/>
  <c r="AB240" i="72"/>
  <c r="Z40" i="72"/>
  <c r="AB58" i="72"/>
  <c r="AB40" i="72"/>
  <c r="AA59" i="72"/>
  <c r="AC40" i="72"/>
  <c r="AB59" i="72"/>
  <c r="Z172" i="72"/>
  <c r="AF257" i="72"/>
  <c r="U257" i="72"/>
  <c r="AG257" i="72"/>
  <c r="AG40" i="72"/>
  <c r="AC89" i="72"/>
  <c r="AB89" i="72"/>
  <c r="V100" i="72"/>
  <c r="AD100" i="72"/>
  <c r="AC327" i="72"/>
  <c r="AG94" i="72"/>
  <c r="AB238" i="72"/>
  <c r="AB301" i="72"/>
  <c r="AG485" i="72"/>
  <c r="AC110" i="72"/>
  <c r="AF608" i="72"/>
  <c r="T259" i="72"/>
  <c r="AA604" i="72"/>
  <c r="AA491" i="72"/>
  <c r="X672" i="72"/>
  <c r="V1041" i="72"/>
  <c r="V465" i="72"/>
  <c r="S866" i="72"/>
  <c r="AC723" i="72"/>
  <c r="W847" i="72"/>
  <c r="W524" i="72"/>
  <c r="Y572" i="72"/>
  <c r="AD656" i="72"/>
  <c r="X685" i="72"/>
  <c r="AF727" i="72"/>
  <c r="AB763" i="72"/>
  <c r="V437" i="72"/>
  <c r="X643" i="72"/>
  <c r="S710" i="72"/>
  <c r="AA799" i="72"/>
  <c r="AD1017" i="72"/>
  <c r="W541" i="72"/>
  <c r="AA612" i="72"/>
  <c r="AG658" i="72"/>
  <c r="S929" i="72"/>
  <c r="S891" i="72"/>
  <c r="S947" i="72"/>
  <c r="U979" i="72"/>
  <c r="AB1014" i="72"/>
  <c r="V1083" i="72"/>
  <c r="AE781" i="72"/>
  <c r="Y888" i="72"/>
  <c r="Y918" i="72"/>
  <c r="Y979" i="72"/>
  <c r="T1022" i="72"/>
  <c r="AF1096" i="72"/>
  <c r="Z815" i="72"/>
  <c r="W891" i="72"/>
  <c r="AE927" i="72"/>
  <c r="AC815" i="72"/>
  <c r="X891" i="72"/>
  <c r="V947" i="72"/>
  <c r="AB974" i="72"/>
  <c r="AC1022" i="72"/>
  <c r="V851" i="72"/>
  <c r="AC756" i="72"/>
  <c r="AD834" i="72"/>
  <c r="S1042" i="72"/>
  <c r="AE1084" i="72"/>
  <c r="AA1016" i="72"/>
  <c r="AG1044" i="72"/>
  <c r="AB1098" i="72"/>
  <c r="U868" i="72"/>
  <c r="V868" i="72"/>
  <c r="AE84" i="72"/>
  <c r="AC41" i="72"/>
  <c r="Y59" i="72"/>
  <c r="AE20" i="72"/>
  <c r="U172" i="72"/>
  <c r="AC257" i="72"/>
  <c r="T257" i="72"/>
  <c r="X89" i="72"/>
  <c r="T100" i="72"/>
  <c r="S9" i="72"/>
  <c r="U94" i="72"/>
  <c r="AE197" i="72"/>
  <c r="U343" i="72"/>
  <c r="T485" i="72"/>
  <c r="AE123" i="72"/>
  <c r="V608" i="72"/>
  <c r="W486" i="72"/>
  <c r="AE599" i="72"/>
  <c r="AC720" i="72"/>
  <c r="W589" i="72"/>
  <c r="AC589" i="72"/>
  <c r="S1041" i="72"/>
  <c r="V473" i="72"/>
  <c r="Y602" i="72"/>
  <c r="U866" i="72"/>
  <c r="V553" i="72"/>
  <c r="AA658" i="72"/>
  <c r="T847" i="72"/>
  <c r="Y1032" i="72"/>
  <c r="Y402" i="72"/>
  <c r="AD1045" i="72"/>
  <c r="T500" i="72"/>
  <c r="W569" i="72"/>
  <c r="X606" i="72"/>
  <c r="V712" i="72"/>
  <c r="AG799" i="72"/>
  <c r="AB1017" i="72"/>
  <c r="V500" i="72"/>
  <c r="AG553" i="72"/>
  <c r="U622" i="72"/>
  <c r="AG759" i="72"/>
  <c r="Z796" i="72"/>
  <c r="Z988" i="72"/>
  <c r="AB1042" i="72"/>
  <c r="Y1089" i="72"/>
  <c r="W789" i="72"/>
  <c r="AF855" i="72"/>
  <c r="T891" i="72"/>
  <c r="T947" i="72"/>
  <c r="S893" i="72"/>
  <c r="Y929" i="72"/>
  <c r="U947" i="72"/>
  <c r="Y974" i="72"/>
  <c r="X1021" i="72"/>
  <c r="AB1081" i="72"/>
  <c r="U895" i="72"/>
  <c r="Z949" i="72"/>
  <c r="AC1043" i="72"/>
  <c r="Z891" i="72"/>
  <c r="Z938" i="72"/>
  <c r="S1016" i="72"/>
  <c r="AD1084" i="72"/>
  <c r="W766" i="72"/>
  <c r="AG795" i="72"/>
  <c r="S842" i="72"/>
  <c r="AC743" i="72"/>
  <c r="T877" i="72"/>
  <c r="AF84" i="72"/>
  <c r="Y84" i="72"/>
  <c r="AC13" i="72"/>
  <c r="AG60" i="72"/>
  <c r="V45" i="72"/>
  <c r="V65" i="72"/>
  <c r="T172" i="72"/>
  <c r="S257" i="72"/>
  <c r="W108" i="72"/>
  <c r="AA76" i="72"/>
  <c r="U217" i="72"/>
  <c r="T199" i="72"/>
  <c r="U488" i="72"/>
  <c r="AC646" i="72"/>
  <c r="AG155" i="72"/>
  <c r="V496" i="72"/>
  <c r="AE797" i="72"/>
  <c r="U499" i="72"/>
  <c r="AD103" i="72"/>
  <c r="Z13" i="72"/>
  <c r="AF19" i="72"/>
  <c r="AF70" i="72"/>
  <c r="S218" i="72"/>
  <c r="S488" i="72"/>
  <c r="W379" i="72"/>
  <c r="AE198" i="72"/>
  <c r="W399" i="72"/>
  <c r="T671" i="72"/>
  <c r="AE737" i="72"/>
  <c r="U676" i="72"/>
  <c r="Z765" i="72"/>
  <c r="AB491" i="72"/>
  <c r="Z538" i="72"/>
  <c r="Z611" i="72"/>
  <c r="Y661" i="72"/>
  <c r="AC657" i="72"/>
  <c r="T846" i="72"/>
  <c r="X510" i="72"/>
  <c r="W793" i="72"/>
  <c r="X932" i="72"/>
  <c r="Z416" i="72"/>
  <c r="AF459" i="72"/>
  <c r="AE545" i="72"/>
  <c r="AG663" i="72"/>
  <c r="AB510" i="72"/>
  <c r="AG725" i="72"/>
  <c r="V799" i="72"/>
  <c r="U882" i="72"/>
  <c r="Y1017" i="72"/>
  <c r="AD510" i="72"/>
  <c r="X759" i="72"/>
  <c r="V853" i="72"/>
  <c r="S861" i="72"/>
  <c r="Y993" i="72"/>
  <c r="V1057" i="72"/>
  <c r="T815" i="72"/>
  <c r="W929" i="72"/>
  <c r="Y950" i="72"/>
  <c r="AC993" i="72"/>
  <c r="Y1043" i="72"/>
  <c r="AE934" i="72"/>
  <c r="AB950" i="72"/>
  <c r="AF955" i="72"/>
  <c r="AB1065" i="72"/>
  <c r="Y902" i="72"/>
  <c r="AG1022" i="72"/>
  <c r="AC1048" i="72"/>
  <c r="U1052" i="72"/>
  <c r="S1000" i="72"/>
  <c r="AB766" i="72"/>
  <c r="W1033" i="72"/>
  <c r="U84" i="72"/>
  <c r="AF169" i="72"/>
  <c r="AC20" i="72"/>
  <c r="U65" i="72"/>
  <c r="U100" i="72"/>
  <c r="AG13" i="72"/>
  <c r="AG65" i="72"/>
  <c r="AG189" i="72"/>
  <c r="AA100" i="72"/>
  <c r="T12" i="72"/>
  <c r="U400" i="72"/>
  <c r="AG396" i="72"/>
  <c r="AA695" i="72"/>
  <c r="AG470" i="72"/>
  <c r="AD500" i="72"/>
  <c r="AB622" i="72"/>
  <c r="X691" i="72"/>
  <c r="T765" i="72"/>
  <c r="S658" i="72"/>
  <c r="AB875" i="72"/>
  <c r="T413" i="72"/>
  <c r="U525" i="72"/>
  <c r="V621" i="72"/>
  <c r="X663" i="72"/>
  <c r="Z1071" i="72"/>
  <c r="W658" i="72"/>
  <c r="Z553" i="72"/>
  <c r="AC847" i="72"/>
  <c r="AA510" i="72"/>
  <c r="AF609" i="72"/>
  <c r="U712" i="72"/>
  <c r="U742" i="72"/>
  <c r="Y457" i="72"/>
  <c r="AG545" i="72"/>
  <c r="AC590" i="72"/>
  <c r="S622" i="72"/>
  <c r="AG727" i="72"/>
  <c r="Z778" i="72"/>
  <c r="X1017" i="72"/>
  <c r="X520" i="72"/>
  <c r="AC569" i="72"/>
  <c r="AE632" i="72"/>
  <c r="AC837" i="72"/>
  <c r="U789" i="72"/>
  <c r="S958" i="72"/>
  <c r="Y789" i="72"/>
  <c r="Z876" i="72"/>
  <c r="U902" i="72"/>
  <c r="AG1042" i="72"/>
  <c r="S844" i="72"/>
  <c r="AC876" i="72"/>
  <c r="AB958" i="72"/>
  <c r="AC1081" i="72"/>
  <c r="V919" i="72"/>
  <c r="AD1021" i="72"/>
  <c r="Z1026" i="72"/>
  <c r="S1052" i="72"/>
  <c r="AB780" i="72"/>
  <c r="U857" i="72"/>
  <c r="Z1003" i="72"/>
  <c r="AD1026" i="72"/>
  <c r="AG849" i="72"/>
  <c r="W1042" i="72"/>
  <c r="AD169" i="72"/>
  <c r="AC47" i="72"/>
  <c r="S65" i="72"/>
  <c r="U34" i="72"/>
  <c r="AE13" i="72"/>
  <c r="AA257" i="72"/>
  <c r="AD34" i="72"/>
  <c r="X243" i="72"/>
  <c r="AE243" i="72"/>
  <c r="Z262" i="72"/>
  <c r="AC674" i="72"/>
  <c r="W511" i="72"/>
  <c r="W459" i="72"/>
  <c r="V508" i="72"/>
  <c r="AC579" i="72"/>
  <c r="X1009" i="72"/>
  <c r="AC518" i="72"/>
  <c r="AF1045" i="72"/>
  <c r="U520" i="72"/>
  <c r="AE1017" i="72"/>
  <c r="S486" i="72"/>
  <c r="Y763" i="72"/>
  <c r="W965" i="72"/>
  <c r="Z789" i="72"/>
  <c r="V902" i="72"/>
  <c r="W1080" i="72"/>
  <c r="AE1021" i="72"/>
  <c r="W849" i="72"/>
  <c r="V169" i="72"/>
  <c r="Y36" i="72"/>
  <c r="AD58" i="72"/>
  <c r="X56" i="72"/>
  <c r="AB257" i="72"/>
  <c r="U189" i="72"/>
  <c r="S67" i="72"/>
  <c r="AG126" i="72"/>
  <c r="X24" i="72"/>
  <c r="T42" i="72"/>
  <c r="T60" i="72"/>
  <c r="AC254" i="72"/>
  <c r="AG236" i="72"/>
  <c r="AC236" i="72"/>
  <c r="Y236" i="72"/>
  <c r="U236" i="72"/>
  <c r="AF591" i="72"/>
  <c r="Z10" i="72"/>
  <c r="Z72" i="72"/>
  <c r="S80" i="72"/>
  <c r="AD101" i="72"/>
  <c r="AA23" i="72"/>
  <c r="AE167" i="72"/>
  <c r="Z167" i="72"/>
  <c r="AB830" i="72"/>
  <c r="W41" i="72"/>
  <c r="V76" i="72"/>
  <c r="AC76" i="72"/>
  <c r="V178" i="72"/>
  <c r="U199" i="72"/>
  <c r="AC259" i="72"/>
  <c r="AA351" i="72"/>
  <c r="V351" i="72"/>
  <c r="Y110" i="72"/>
  <c r="U125" i="72"/>
  <c r="AA165" i="72"/>
  <c r="Y249" i="72"/>
  <c r="AD282" i="72"/>
  <c r="T386" i="72"/>
  <c r="T422" i="72"/>
  <c r="V125" i="72"/>
  <c r="AF237" i="72"/>
  <c r="AF274" i="72"/>
  <c r="AE154" i="72"/>
  <c r="W317" i="72"/>
  <c r="AC479" i="72"/>
  <c r="Y125" i="72"/>
  <c r="T304" i="72"/>
  <c r="Z404" i="72"/>
  <c r="AA299" i="72"/>
  <c r="AF129" i="72"/>
  <c r="AE239" i="72"/>
  <c r="AD285" i="72"/>
  <c r="W156" i="72"/>
  <c r="X464" i="72"/>
  <c r="AE776" i="72"/>
  <c r="T704" i="72"/>
  <c r="U629" i="72"/>
  <c r="T675" i="72"/>
  <c r="V675" i="72"/>
  <c r="AG793" i="72"/>
  <c r="AB1009" i="72"/>
  <c r="U437" i="72"/>
  <c r="AC402" i="72"/>
  <c r="W630" i="72"/>
  <c r="W778" i="72"/>
  <c r="Z1017" i="72"/>
  <c r="Z643" i="72"/>
  <c r="W796" i="72"/>
  <c r="V929" i="72"/>
  <c r="T1021" i="72"/>
  <c r="S902" i="72"/>
  <c r="Y990" i="72"/>
  <c r="AB906" i="72"/>
  <c r="AB979" i="72"/>
  <c r="S790" i="72"/>
  <c r="Z929" i="72"/>
  <c r="AB1097" i="72"/>
  <c r="X1016" i="72"/>
  <c r="V1006" i="72"/>
  <c r="AG756" i="72"/>
  <c r="S37" i="72"/>
  <c r="AE58" i="72"/>
  <c r="Z257" i="72"/>
  <c r="AF59" i="72"/>
  <c r="T189" i="72"/>
  <c r="W100" i="72"/>
  <c r="V126" i="72"/>
  <c r="U43" i="72"/>
  <c r="U12" i="72"/>
  <c r="T51" i="72"/>
  <c r="AB254" i="72"/>
  <c r="AD591" i="72"/>
  <c r="AB11" i="72"/>
  <c r="U51" i="72"/>
  <c r="V67" i="72"/>
  <c r="X101" i="72"/>
  <c r="AG98" i="72"/>
  <c r="AC12" i="72"/>
  <c r="S40" i="72"/>
  <c r="Z60" i="72"/>
  <c r="Z830" i="72"/>
  <c r="AG23" i="72"/>
  <c r="U76" i="72"/>
  <c r="W109" i="72"/>
  <c r="AA122" i="72"/>
  <c r="X154" i="72"/>
  <c r="AC201" i="72"/>
  <c r="AA237" i="72"/>
  <c r="AE310" i="72"/>
  <c r="AE237" i="72"/>
  <c r="AA250" i="72"/>
  <c r="AC282" i="72"/>
  <c r="U386" i="72"/>
  <c r="S422" i="72"/>
  <c r="AD238" i="72"/>
  <c r="Z311" i="72"/>
  <c r="Y94" i="72"/>
  <c r="T156" i="72"/>
  <c r="AB178" i="72"/>
  <c r="AB199" i="72"/>
  <c r="AG237" i="72"/>
  <c r="X255" i="72"/>
  <c r="AB317" i="72"/>
  <c r="AE88" i="72"/>
  <c r="X128" i="72"/>
  <c r="AG229" i="72"/>
  <c r="AC304" i="72"/>
  <c r="AC323" i="72"/>
  <c r="AF404" i="72"/>
  <c r="Y404" i="72"/>
  <c r="AA125" i="72"/>
  <c r="U267" i="72"/>
  <c r="AA267" i="72"/>
  <c r="Y299" i="72"/>
  <c r="T114" i="72"/>
  <c r="V134" i="72"/>
  <c r="X156" i="72"/>
  <c r="S220" i="72"/>
  <c r="AE244" i="72"/>
  <c r="AA285" i="72"/>
  <c r="AD405" i="72"/>
  <c r="V344" i="72"/>
  <c r="AG478" i="72"/>
  <c r="X722" i="72"/>
  <c r="Z579" i="72"/>
  <c r="X699" i="72"/>
  <c r="W694" i="72"/>
  <c r="AB847" i="72"/>
  <c r="AB553" i="72"/>
  <c r="AF658" i="72"/>
  <c r="U778" i="72"/>
  <c r="S1017" i="72"/>
  <c r="U837" i="72"/>
  <c r="V943" i="72"/>
  <c r="Z906" i="72"/>
  <c r="Z1000" i="72"/>
  <c r="Z990" i="72"/>
  <c r="V826" i="72"/>
  <c r="V771" i="72"/>
  <c r="S868" i="72"/>
  <c r="T1000" i="72"/>
  <c r="AG169" i="72"/>
  <c r="AD13" i="72"/>
  <c r="Y89" i="72"/>
  <c r="Y257" i="72"/>
  <c r="AF75" i="72"/>
  <c r="Z243" i="72"/>
  <c r="Y100" i="72"/>
  <c r="AF126" i="72"/>
  <c r="AA27" i="72"/>
  <c r="S63" i="72"/>
  <c r="Z254" i="72"/>
  <c r="AF236" i="72"/>
  <c r="AB236" i="72"/>
  <c r="X236" i="72"/>
  <c r="S236" i="72"/>
  <c r="Y591" i="72"/>
  <c r="V12" i="72"/>
  <c r="AE37" i="72"/>
  <c r="AF71" i="72"/>
  <c r="AA43" i="72"/>
  <c r="W60" i="72"/>
  <c r="Y101" i="72"/>
  <c r="AA195" i="72"/>
  <c r="Y60" i="72"/>
  <c r="U13" i="72"/>
  <c r="AD167" i="72"/>
  <c r="Y167" i="72"/>
  <c r="X830" i="72"/>
  <c r="AB60" i="72"/>
  <c r="S76" i="72"/>
  <c r="AA84" i="72"/>
  <c r="W110" i="72"/>
  <c r="Z238" i="72"/>
  <c r="U263" i="72"/>
  <c r="AD310" i="72"/>
  <c r="Z351" i="72"/>
  <c r="U351" i="72"/>
  <c r="Z88" i="72"/>
  <c r="AC154" i="72"/>
  <c r="X178" i="72"/>
  <c r="Z199" i="72"/>
  <c r="AC238" i="72"/>
  <c r="T289" i="72"/>
  <c r="S386" i="72"/>
  <c r="AD250" i="72"/>
  <c r="U274" i="72"/>
  <c r="X311" i="72"/>
  <c r="AF311" i="72"/>
  <c r="X180" i="72"/>
  <c r="AF202" i="72"/>
  <c r="AE238" i="72"/>
  <c r="AG490" i="72"/>
  <c r="AG317" i="72"/>
  <c r="AG130" i="72"/>
  <c r="U323" i="72"/>
  <c r="AA128" i="72"/>
  <c r="AG267" i="72"/>
  <c r="T267" i="72"/>
  <c r="AE74" i="72"/>
  <c r="T115" i="72"/>
  <c r="T142" i="72"/>
  <c r="AG159" i="72"/>
  <c r="X285" i="72"/>
  <c r="AF405" i="72"/>
  <c r="Z400" i="72"/>
  <c r="S396" i="72"/>
  <c r="U178" i="72"/>
  <c r="T686" i="72"/>
  <c r="AE547" i="72"/>
  <c r="AD765" i="72"/>
  <c r="U699" i="72"/>
  <c r="V587" i="72"/>
  <c r="AF846" i="72"/>
  <c r="AA847" i="72"/>
  <c r="Z510" i="72"/>
  <c r="AF553" i="72"/>
  <c r="X799" i="72"/>
  <c r="AB524" i="72"/>
  <c r="X950" i="72"/>
  <c r="AC1033" i="72"/>
  <c r="AB927" i="72"/>
  <c r="AG1011" i="72"/>
  <c r="AE950" i="72"/>
  <c r="X844" i="72"/>
  <c r="AG891" i="72"/>
  <c r="AD1097" i="72"/>
  <c r="U783" i="72"/>
  <c r="AC1026" i="72"/>
  <c r="T934" i="72"/>
  <c r="V84" i="72"/>
  <c r="U240" i="72"/>
  <c r="U27" i="72"/>
  <c r="AG172" i="72"/>
  <c r="AD75" i="72"/>
  <c r="AF30" i="72"/>
  <c r="T67" i="72"/>
  <c r="Y254" i="72"/>
  <c r="AG113" i="72"/>
  <c r="S591" i="72"/>
  <c r="Z9" i="72"/>
  <c r="AD27" i="72"/>
  <c r="V44" i="72"/>
  <c r="V61" i="72"/>
  <c r="X67" i="72"/>
  <c r="AA101" i="72"/>
  <c r="AG195" i="72"/>
  <c r="AB12" i="72"/>
  <c r="AF294" i="72"/>
  <c r="Y14" i="72"/>
  <c r="AC44" i="72"/>
  <c r="AG167" i="72"/>
  <c r="T830" i="72"/>
  <c r="AD44" i="72"/>
  <c r="S130" i="72"/>
  <c r="AC220" i="72"/>
  <c r="Z310" i="72"/>
  <c r="T351" i="72"/>
  <c r="V130" i="72"/>
  <c r="AF201" i="72"/>
  <c r="V239" i="72"/>
  <c r="U289" i="72"/>
  <c r="AF185" i="72"/>
  <c r="Y263" i="72"/>
  <c r="V274" i="72"/>
  <c r="V311" i="72"/>
  <c r="AC109" i="72"/>
  <c r="AA159" i="72"/>
  <c r="X183" i="72"/>
  <c r="AE205" i="72"/>
  <c r="Z239" i="72"/>
  <c r="AC261" i="72"/>
  <c r="AB490" i="72"/>
  <c r="AE317" i="72"/>
  <c r="AA317" i="72"/>
  <c r="T323" i="72"/>
  <c r="AE404" i="72"/>
  <c r="V404" i="72"/>
  <c r="Z149" i="72"/>
  <c r="X267" i="72"/>
  <c r="AE267" i="72"/>
  <c r="W299" i="72"/>
  <c r="AG77" i="72"/>
  <c r="AF116" i="72"/>
  <c r="S223" i="72"/>
  <c r="W285" i="72"/>
  <c r="AF285" i="72"/>
  <c r="AA405" i="72"/>
  <c r="AB260" i="72"/>
  <c r="V692" i="72"/>
  <c r="AC875" i="72"/>
  <c r="U579" i="72"/>
  <c r="AA553" i="72"/>
  <c r="X590" i="72"/>
  <c r="AA572" i="72"/>
  <c r="T853" i="72"/>
  <c r="W1043" i="72"/>
  <c r="AB934" i="72"/>
  <c r="AC1042" i="72"/>
  <c r="AB1022" i="72"/>
  <c r="Y965" i="72"/>
  <c r="S901" i="72"/>
  <c r="Z1044" i="72"/>
  <c r="T1033" i="72"/>
  <c r="U1000" i="72"/>
  <c r="AE240" i="72"/>
  <c r="AC36" i="72"/>
  <c r="AF172" i="72"/>
  <c r="S100" i="72"/>
  <c r="W10" i="72"/>
  <c r="S51" i="72"/>
  <c r="AF91" i="72"/>
  <c r="U254" i="72"/>
  <c r="AF254" i="72"/>
  <c r="AE236" i="72"/>
  <c r="AA236" i="72"/>
  <c r="W236" i="72"/>
  <c r="AA113" i="72"/>
  <c r="AE10" i="72"/>
  <c r="AC63" i="72"/>
  <c r="AG97" i="72"/>
  <c r="AG80" i="72"/>
  <c r="W101" i="72"/>
  <c r="AF101" i="72"/>
  <c r="T13" i="72"/>
  <c r="X44" i="72"/>
  <c r="AD67" i="72"/>
  <c r="AC167" i="72"/>
  <c r="X167" i="72"/>
  <c r="S830" i="72"/>
  <c r="AE830" i="72"/>
  <c r="AD12" i="72"/>
  <c r="U73" i="72"/>
  <c r="U159" i="72"/>
  <c r="Z193" i="72"/>
  <c r="AF223" i="72"/>
  <c r="T248" i="72"/>
  <c r="AC310" i="72"/>
  <c r="T310" i="72"/>
  <c r="X351" i="72"/>
  <c r="V94" i="72"/>
  <c r="AF158" i="72"/>
  <c r="T205" i="72"/>
  <c r="AG259" i="72"/>
  <c r="Y191" i="72"/>
  <c r="AG263" i="72"/>
  <c r="S274" i="72"/>
  <c r="U311" i="72"/>
  <c r="S82" i="72"/>
  <c r="AE110" i="72"/>
  <c r="W125" i="72"/>
  <c r="V147" i="72"/>
  <c r="T163" i="72"/>
  <c r="AG185" i="72"/>
  <c r="T262" i="72"/>
  <c r="Z490" i="72"/>
  <c r="AE479" i="72"/>
  <c r="S323" i="72"/>
  <c r="U404" i="72"/>
  <c r="Z451" i="72"/>
  <c r="T299" i="72"/>
  <c r="AC299" i="72"/>
  <c r="S117" i="72"/>
  <c r="AB147" i="72"/>
  <c r="W224" i="72"/>
  <c r="V285" i="72"/>
  <c r="Z405" i="72"/>
  <c r="AF368" i="72"/>
  <c r="U361" i="72"/>
  <c r="X737" i="72"/>
  <c r="T629" i="72"/>
  <c r="U875" i="72"/>
  <c r="Z629" i="72"/>
  <c r="AE1053" i="72"/>
  <c r="AA872" i="72"/>
  <c r="AG483" i="72"/>
  <c r="AA742" i="72"/>
  <c r="T719" i="72"/>
  <c r="AD561" i="72"/>
  <c r="W974" i="72"/>
  <c r="U861" i="72"/>
  <c r="AB1057" i="72"/>
  <c r="AA1043" i="72"/>
  <c r="U967" i="72"/>
  <c r="AD947" i="72"/>
  <c r="AE1073" i="72"/>
  <c r="U1042" i="72"/>
  <c r="AB945" i="72"/>
  <c r="AF60" i="72"/>
  <c r="AB34" i="72"/>
  <c r="S172" i="72"/>
  <c r="X11" i="72"/>
  <c r="Z37" i="72"/>
  <c r="W91" i="72"/>
  <c r="U67" i="72"/>
  <c r="U113" i="72"/>
  <c r="X42" i="72"/>
  <c r="V60" i="72"/>
  <c r="AE71" i="72"/>
  <c r="AC11" i="72"/>
  <c r="AB97" i="72"/>
  <c r="W44" i="72"/>
  <c r="V101" i="72"/>
  <c r="X14" i="72"/>
  <c r="AC67" i="72"/>
  <c r="AD51" i="72"/>
  <c r="T70" i="72"/>
  <c r="U167" i="72"/>
  <c r="AD830" i="72"/>
  <c r="W13" i="72"/>
  <c r="AE67" i="72"/>
  <c r="AB81" i="72"/>
  <c r="S162" i="72"/>
  <c r="V194" i="72"/>
  <c r="W249" i="72"/>
  <c r="AG351" i="72"/>
  <c r="AF117" i="72"/>
  <c r="W159" i="72"/>
  <c r="X261" i="72"/>
  <c r="AF422" i="72"/>
  <c r="Y226" i="72"/>
  <c r="AF263" i="72"/>
  <c r="W164" i="72"/>
  <c r="Z194" i="72"/>
  <c r="AC226" i="72"/>
  <c r="AG275" i="72"/>
  <c r="Y490" i="72"/>
  <c r="AA490" i="72"/>
  <c r="AD317" i="72"/>
  <c r="Z317" i="72"/>
  <c r="T338" i="72"/>
  <c r="AD479" i="72"/>
  <c r="W149" i="72"/>
  <c r="AC239" i="72"/>
  <c r="AF304" i="72"/>
  <c r="AG378" i="72"/>
  <c r="AD404" i="72"/>
  <c r="T404" i="72"/>
  <c r="W267" i="72"/>
  <c r="AD267" i="72"/>
  <c r="S299" i="72"/>
  <c r="AA149" i="72"/>
  <c r="X253" i="72"/>
  <c r="U285" i="72"/>
  <c r="Y405" i="72"/>
  <c r="S198" i="72"/>
  <c r="AE381" i="72"/>
  <c r="S922" i="72"/>
  <c r="Z645" i="72"/>
  <c r="Z631" i="72"/>
  <c r="AB658" i="72"/>
  <c r="T742" i="72"/>
  <c r="AD597" i="72"/>
  <c r="AG882" i="72"/>
  <c r="AG572" i="72"/>
  <c r="AA759" i="72"/>
  <c r="AG1064" i="72"/>
  <c r="T876" i="72"/>
  <c r="X990" i="72"/>
  <c r="S1078" i="72"/>
  <c r="Y876" i="72"/>
  <c r="AD877" i="72"/>
  <c r="S949" i="72"/>
  <c r="AE877" i="72"/>
  <c r="AE979" i="72"/>
  <c r="W938" i="72"/>
  <c r="Z1073" i="72"/>
  <c r="AE47" i="72"/>
  <c r="AD36" i="72"/>
  <c r="S254" i="72"/>
  <c r="AD236" i="72"/>
  <c r="Z236" i="72"/>
  <c r="V236" i="72"/>
  <c r="AG19" i="72"/>
  <c r="Y43" i="72"/>
  <c r="Z71" i="72"/>
  <c r="W12" i="72"/>
  <c r="AA51" i="72"/>
  <c r="W67" i="72"/>
  <c r="V393" i="72"/>
  <c r="AF47" i="72"/>
  <c r="AF37" i="72"/>
  <c r="X80" i="72"/>
  <c r="S167" i="72"/>
  <c r="W165" i="72"/>
  <c r="AA109" i="72"/>
  <c r="X194" i="72"/>
  <c r="W263" i="72"/>
  <c r="V116" i="72"/>
  <c r="AB479" i="72"/>
  <c r="AB251" i="72"/>
  <c r="AC267" i="72"/>
  <c r="AD128" i="72"/>
  <c r="Z285" i="72"/>
  <c r="Z85" i="72"/>
  <c r="T117" i="72"/>
  <c r="W134" i="72"/>
  <c r="AB182" i="72"/>
  <c r="AE262" i="72"/>
  <c r="AG425" i="72"/>
  <c r="AC425" i="72"/>
  <c r="W425" i="72"/>
  <c r="U117" i="72"/>
  <c r="AD164" i="72"/>
  <c r="U220" i="72"/>
  <c r="AG239" i="72"/>
  <c r="S259" i="72"/>
  <c r="U339" i="72"/>
  <c r="AD380" i="72"/>
  <c r="AE182" i="72"/>
  <c r="AD207" i="72"/>
  <c r="T260" i="72"/>
  <c r="AG96" i="72"/>
  <c r="X122" i="72"/>
  <c r="U154" i="72"/>
  <c r="X237" i="72"/>
  <c r="AD300" i="72"/>
  <c r="X300" i="72"/>
  <c r="Z223" i="72"/>
  <c r="AC658" i="72"/>
  <c r="Z763" i="72"/>
  <c r="AG591" i="72"/>
  <c r="U101" i="72"/>
  <c r="AC51" i="72"/>
  <c r="U53" i="72"/>
  <c r="AB351" i="72"/>
  <c r="X121" i="72"/>
  <c r="X229" i="72"/>
  <c r="AC422" i="72"/>
  <c r="U129" i="72"/>
  <c r="AB229" i="72"/>
  <c r="U479" i="72"/>
  <c r="AA304" i="72"/>
  <c r="AE150" i="72"/>
  <c r="AF239" i="72"/>
  <c r="AD262" i="72"/>
  <c r="AB96" i="72"/>
  <c r="W142" i="72"/>
  <c r="T174" i="72"/>
  <c r="Y196" i="72"/>
  <c r="X223" i="72"/>
  <c r="W278" i="72"/>
  <c r="T339" i="72"/>
  <c r="Y380" i="72"/>
  <c r="X81" i="72"/>
  <c r="AF114" i="72"/>
  <c r="Z134" i="72"/>
  <c r="AD184" i="72"/>
  <c r="S211" i="72"/>
  <c r="Y103" i="72"/>
  <c r="Y157" i="72"/>
  <c r="AC196" i="72"/>
  <c r="AG300" i="72"/>
  <c r="AB117" i="72"/>
  <c r="Y237" i="72"/>
  <c r="S347" i="72"/>
  <c r="AC353" i="72"/>
  <c r="T366" i="72"/>
  <c r="AF229" i="72"/>
  <c r="AD503" i="72"/>
  <c r="S742" i="72"/>
  <c r="X958" i="72"/>
  <c r="S823" i="72"/>
  <c r="AE36" i="72"/>
  <c r="T44" i="72"/>
  <c r="W9" i="72"/>
  <c r="AF72" i="72"/>
  <c r="S53" i="72"/>
  <c r="AC830" i="72"/>
  <c r="T40" i="72"/>
  <c r="W88" i="72"/>
  <c r="AD198" i="72"/>
  <c r="AG122" i="72"/>
  <c r="Y233" i="72"/>
  <c r="U422" i="72"/>
  <c r="Z130" i="72"/>
  <c r="AA233" i="72"/>
  <c r="Z304" i="72"/>
  <c r="AA96" i="72"/>
  <c r="V142" i="72"/>
  <c r="Y262" i="72"/>
  <c r="AF425" i="72"/>
  <c r="AB425" i="72"/>
  <c r="V425" i="72"/>
  <c r="AA99" i="72"/>
  <c r="AA224" i="72"/>
  <c r="Y245" i="72"/>
  <c r="W292" i="72"/>
  <c r="S339" i="72"/>
  <c r="X380" i="72"/>
  <c r="AC85" i="72"/>
  <c r="AA115" i="72"/>
  <c r="X137" i="72"/>
  <c r="W192" i="72"/>
  <c r="Z218" i="72"/>
  <c r="AD245" i="72"/>
  <c r="AD272" i="72"/>
  <c r="AC300" i="72"/>
  <c r="W300" i="72"/>
  <c r="Y122" i="72"/>
  <c r="S413" i="72"/>
  <c r="Z431" i="72"/>
  <c r="X314" i="72"/>
  <c r="AG341" i="72"/>
  <c r="T354" i="72"/>
  <c r="X657" i="72"/>
  <c r="AF518" i="72"/>
  <c r="Y877" i="72"/>
  <c r="Y1033" i="72"/>
  <c r="AF89" i="72"/>
  <c r="AD254" i="72"/>
  <c r="AE101" i="72"/>
  <c r="W84" i="72"/>
  <c r="AE51" i="72"/>
  <c r="W351" i="72"/>
  <c r="X150" i="72"/>
  <c r="AA249" i="72"/>
  <c r="AA378" i="72"/>
  <c r="AB299" i="72"/>
  <c r="AF199" i="72"/>
  <c r="Y328" i="72"/>
  <c r="U99" i="72"/>
  <c r="U306" i="72"/>
  <c r="U425" i="72"/>
  <c r="AE147" i="72"/>
  <c r="AC182" i="72"/>
  <c r="AD292" i="72"/>
  <c r="Z339" i="72"/>
  <c r="W380" i="72"/>
  <c r="AE142" i="72"/>
  <c r="U193" i="72"/>
  <c r="AG114" i="72"/>
  <c r="AG293" i="72"/>
  <c r="W308" i="72"/>
  <c r="AE283" i="72"/>
  <c r="AG510" i="72"/>
  <c r="AG609" i="72"/>
  <c r="Y1000" i="72"/>
  <c r="S880" i="72"/>
  <c r="AA169" i="72"/>
  <c r="U44" i="72"/>
  <c r="Z12" i="72"/>
  <c r="AG294" i="72"/>
  <c r="W167" i="72"/>
  <c r="AD117" i="72"/>
  <c r="T147" i="72"/>
  <c r="Y248" i="72"/>
  <c r="AG250" i="72"/>
  <c r="AC317" i="72"/>
  <c r="AD239" i="72"/>
  <c r="AE203" i="72"/>
  <c r="AE125" i="72"/>
  <c r="AC147" i="72"/>
  <c r="AE425" i="72"/>
  <c r="Y425" i="72"/>
  <c r="T425" i="72"/>
  <c r="X112" i="72"/>
  <c r="AF125" i="72"/>
  <c r="AC149" i="72"/>
  <c r="Z184" i="72"/>
  <c r="X292" i="72"/>
  <c r="W117" i="72"/>
  <c r="T154" i="72"/>
  <c r="AC272" i="72"/>
  <c r="Y81" i="72"/>
  <c r="AB115" i="72"/>
  <c r="Y293" i="72"/>
  <c r="AF293" i="72"/>
  <c r="AB300" i="72"/>
  <c r="V300" i="72"/>
  <c r="S308" i="72"/>
  <c r="S249" i="72"/>
  <c r="AG932" i="72"/>
  <c r="AG1017" i="72"/>
  <c r="AA877" i="72"/>
  <c r="V1091" i="72"/>
  <c r="W89" i="72"/>
  <c r="AA19" i="72"/>
  <c r="AB51" i="72"/>
  <c r="Y76" i="72"/>
  <c r="U164" i="72"/>
  <c r="AB88" i="72"/>
  <c r="X317" i="72"/>
  <c r="AG154" i="72"/>
  <c r="AA404" i="72"/>
  <c r="V267" i="72"/>
  <c r="W405" i="72"/>
  <c r="AB114" i="72"/>
  <c r="AG129" i="72"/>
  <c r="AD425" i="72"/>
  <c r="X425" i="72"/>
  <c r="W115" i="72"/>
  <c r="T132" i="72"/>
  <c r="S155" i="72"/>
  <c r="T192" i="72"/>
  <c r="AA217" i="72"/>
  <c r="Z253" i="72"/>
  <c r="U278" i="72"/>
  <c r="T300" i="72"/>
  <c r="AF96" i="72"/>
  <c r="T122" i="72"/>
  <c r="W174" i="72"/>
  <c r="W237" i="72"/>
  <c r="AF253" i="72"/>
  <c r="Z117" i="72"/>
  <c r="Y137" i="72"/>
  <c r="X192" i="72"/>
  <c r="AG253" i="72"/>
  <c r="V293" i="72"/>
  <c r="AE300" i="72"/>
  <c r="Y300" i="72"/>
  <c r="S300" i="72"/>
  <c r="S165" i="72"/>
  <c r="AA259" i="72"/>
  <c r="T314" i="72"/>
  <c r="Y442" i="72"/>
  <c r="U347" i="72"/>
  <c r="U376" i="72"/>
  <c r="AG794" i="72"/>
  <c r="T443" i="72"/>
  <c r="AD879" i="72"/>
  <c r="V56" i="72"/>
  <c r="AB23" i="72"/>
  <c r="T167" i="72"/>
  <c r="Z14" i="72"/>
  <c r="AD193" i="72"/>
  <c r="AE263" i="72"/>
  <c r="S242" i="72"/>
  <c r="S404" i="72"/>
  <c r="AD125" i="72"/>
  <c r="AG74" i="72"/>
  <c r="V115" i="72"/>
  <c r="AC164" i="72"/>
  <c r="S262" i="72"/>
  <c r="S425" i="72"/>
  <c r="AA85" i="72"/>
  <c r="X134" i="72"/>
  <c r="S193" i="72"/>
  <c r="X218" i="72"/>
  <c r="Z256" i="72"/>
  <c r="AG339" i="72"/>
  <c r="X103" i="72"/>
  <c r="V259" i="72"/>
  <c r="AA120" i="72"/>
  <c r="AF142" i="72"/>
  <c r="W193" i="72"/>
  <c r="W259" i="72"/>
  <c r="T88" i="72"/>
  <c r="U392" i="72"/>
  <c r="AA443" i="72"/>
  <c r="V335" i="72"/>
  <c r="T350" i="72"/>
  <c r="U70" i="72"/>
  <c r="X405" i="72"/>
  <c r="V120" i="72"/>
  <c r="AC134" i="72"/>
  <c r="V365" i="72"/>
  <c r="U444" i="72"/>
  <c r="AD423" i="72"/>
  <c r="T447" i="72"/>
  <c r="AD353" i="72"/>
  <c r="AF383" i="72"/>
  <c r="U401" i="72"/>
  <c r="X444" i="72"/>
  <c r="AC530" i="72"/>
  <c r="U331" i="72"/>
  <c r="X345" i="72"/>
  <c r="U377" i="72"/>
  <c r="V401" i="72"/>
  <c r="Y429" i="72"/>
  <c r="X457" i="72"/>
  <c r="AG426" i="72"/>
  <c r="AB503" i="72"/>
  <c r="W334" i="72"/>
  <c r="AB366" i="72"/>
  <c r="U411" i="72"/>
  <c r="AA453" i="72"/>
  <c r="AE303" i="72"/>
  <c r="X375" i="72"/>
  <c r="AE269" i="72"/>
  <c r="AF305" i="72"/>
  <c r="AF334" i="72"/>
  <c r="Y355" i="72"/>
  <c r="AB367" i="72"/>
  <c r="AD628" i="72"/>
  <c r="AB290" i="72"/>
  <c r="AA388" i="72"/>
  <c r="AG388" i="72"/>
  <c r="X581" i="72"/>
  <c r="S487" i="72"/>
  <c r="Y570" i="72"/>
  <c r="T612" i="72"/>
  <c r="S648" i="72"/>
  <c r="AB519" i="72"/>
  <c r="AE534" i="72"/>
  <c r="AB570" i="72"/>
  <c r="Z602" i="72"/>
  <c r="AE612" i="72"/>
  <c r="AA1047" i="72"/>
  <c r="AB493" i="72"/>
  <c r="W517" i="72"/>
  <c r="X528" i="72"/>
  <c r="S564" i="72"/>
  <c r="AA588" i="72"/>
  <c r="S833" i="72"/>
  <c r="AB855" i="72"/>
  <c r="W855" i="72"/>
  <c r="AE855" i="72"/>
  <c r="Z473" i="72"/>
  <c r="X487" i="72"/>
  <c r="AE518" i="72"/>
  <c r="AE531" i="72"/>
  <c r="AD550" i="72"/>
  <c r="V566" i="72"/>
  <c r="V590" i="72"/>
  <c r="AF621" i="72"/>
  <c r="AD493" i="72"/>
  <c r="S546" i="72"/>
  <c r="S647" i="72"/>
  <c r="AB749" i="72"/>
  <c r="AF818" i="72"/>
  <c r="AB478" i="72"/>
  <c r="V499" i="72"/>
  <c r="AB517" i="72"/>
  <c r="T559" i="72"/>
  <c r="V579" i="72"/>
  <c r="V914" i="72"/>
  <c r="AF914" i="72"/>
  <c r="AA494" i="72"/>
  <c r="Y546" i="72"/>
  <c r="X597" i="72"/>
  <c r="AE609" i="72"/>
  <c r="AB631" i="72"/>
  <c r="Z679" i="72"/>
  <c r="AE772" i="72"/>
  <c r="V772" i="72"/>
  <c r="AG522" i="72"/>
  <c r="AG573" i="72"/>
  <c r="T714" i="72"/>
  <c r="AD494" i="72"/>
  <c r="W559" i="72"/>
  <c r="W655" i="72"/>
  <c r="Y504" i="72"/>
  <c r="W802" i="72"/>
  <c r="AD148" i="72"/>
  <c r="V154" i="72"/>
  <c r="S343" i="72"/>
  <c r="Y392" i="72"/>
  <c r="U410" i="72"/>
  <c r="Z314" i="72"/>
  <c r="Y354" i="72"/>
  <c r="U366" i="72"/>
  <c r="S387" i="72"/>
  <c r="Y447" i="72"/>
  <c r="V309" i="72"/>
  <c r="AC347" i="72"/>
  <c r="V379" i="72"/>
  <c r="T402" i="72"/>
  <c r="S457" i="72"/>
  <c r="AE447" i="72"/>
  <c r="Z503" i="72"/>
  <c r="AE271" i="72"/>
  <c r="Z367" i="72"/>
  <c r="AA415" i="72"/>
  <c r="Y454" i="72"/>
  <c r="AA305" i="72"/>
  <c r="AF330" i="72"/>
  <c r="W362" i="72"/>
  <c r="AF377" i="72"/>
  <c r="U356" i="72"/>
  <c r="AC368" i="72"/>
  <c r="AG618" i="72"/>
  <c r="AC628" i="72"/>
  <c r="AA433" i="72"/>
  <c r="AA295" i="72"/>
  <c r="AG337" i="72"/>
  <c r="X283" i="72"/>
  <c r="W581" i="72"/>
  <c r="AG581" i="72"/>
  <c r="AA614" i="72"/>
  <c r="T478" i="72"/>
  <c r="S538" i="72"/>
  <c r="AE614" i="72"/>
  <c r="Z1047" i="72"/>
  <c r="Y459" i="72"/>
  <c r="Z475" i="72"/>
  <c r="AD518" i="72"/>
  <c r="AA550" i="72"/>
  <c r="U566" i="72"/>
  <c r="AC620" i="72"/>
  <c r="V855" i="72"/>
  <c r="Z491" i="72"/>
  <c r="AE519" i="72"/>
  <c r="AD533" i="72"/>
  <c r="AD551" i="72"/>
  <c r="W623" i="72"/>
  <c r="AE645" i="72"/>
  <c r="Y494" i="72"/>
  <c r="AG480" i="72"/>
  <c r="U500" i="72"/>
  <c r="AG519" i="72"/>
  <c r="AG531" i="72"/>
  <c r="V561" i="72"/>
  <c r="Z623" i="72"/>
  <c r="U914" i="72"/>
  <c r="S501" i="72"/>
  <c r="X552" i="72"/>
  <c r="AE569" i="72"/>
  <c r="AF598" i="72"/>
  <c r="V611" i="72"/>
  <c r="U635" i="72"/>
  <c r="X679" i="72"/>
  <c r="U772" i="72"/>
  <c r="Z527" i="72"/>
  <c r="AD501" i="72"/>
  <c r="AD911" i="72"/>
  <c r="AD976" i="72"/>
  <c r="AG491" i="72"/>
  <c r="AE546" i="72"/>
  <c r="V583" i="72"/>
  <c r="S636" i="72"/>
  <c r="T871" i="72"/>
  <c r="S471" i="72"/>
  <c r="AB63" i="72"/>
  <c r="Y250" i="72"/>
  <c r="AC278" i="72"/>
  <c r="AB196" i="72"/>
  <c r="AE207" i="72"/>
  <c r="S250" i="72"/>
  <c r="S344" i="72"/>
  <c r="Z393" i="72"/>
  <c r="AB428" i="72"/>
  <c r="S315" i="72"/>
  <c r="T344" i="72"/>
  <c r="S313" i="72"/>
  <c r="W350" i="72"/>
  <c r="T387" i="72"/>
  <c r="Y452" i="72"/>
  <c r="Y503" i="72"/>
  <c r="X337" i="72"/>
  <c r="W355" i="72"/>
  <c r="AA368" i="72"/>
  <c r="W464" i="72"/>
  <c r="AE309" i="72"/>
  <c r="T346" i="72"/>
  <c r="S283" i="72"/>
  <c r="Z337" i="72"/>
  <c r="Y360" i="72"/>
  <c r="AD370" i="72"/>
  <c r="AF402" i="72"/>
  <c r="AB628" i="72"/>
  <c r="AC297" i="72"/>
  <c r="V418" i="72"/>
  <c r="AD284" i="72"/>
  <c r="AA581" i="72"/>
  <c r="U581" i="72"/>
  <c r="Z532" i="72"/>
  <c r="AG532" i="72"/>
  <c r="X493" i="72"/>
  <c r="U541" i="72"/>
  <c r="X604" i="72"/>
  <c r="Z620" i="72"/>
  <c r="V487" i="72"/>
  <c r="AB604" i="72"/>
  <c r="Z777" i="72"/>
  <c r="Y1047" i="72"/>
  <c r="U478" i="72"/>
  <c r="AD519" i="72"/>
  <c r="AB531" i="72"/>
  <c r="AC551" i="72"/>
  <c r="Y569" i="72"/>
  <c r="AD621" i="72"/>
  <c r="AD645" i="72"/>
  <c r="Z855" i="72"/>
  <c r="U855" i="72"/>
  <c r="AD855" i="72"/>
  <c r="AA475" i="72"/>
  <c r="V524" i="72"/>
  <c r="W538" i="72"/>
  <c r="Z569" i="72"/>
  <c r="U597" i="72"/>
  <c r="AA609" i="72"/>
  <c r="W564" i="72"/>
  <c r="AF664" i="72"/>
  <c r="AA749" i="72"/>
  <c r="T484" i="72"/>
  <c r="T522" i="72"/>
  <c r="AF535" i="72"/>
  <c r="U562" i="72"/>
  <c r="T914" i="72"/>
  <c r="V515" i="72"/>
  <c r="Y553" i="72"/>
  <c r="AA637" i="72"/>
  <c r="S772" i="72"/>
  <c r="AG983" i="72"/>
  <c r="Z592" i="72"/>
  <c r="U583" i="72"/>
  <c r="V911" i="72"/>
  <c r="Z556" i="72"/>
  <c r="AD592" i="72"/>
  <c r="S871" i="72"/>
  <c r="AC871" i="72"/>
  <c r="V778" i="72"/>
  <c r="AE128" i="72"/>
  <c r="AC114" i="72"/>
  <c r="Y423" i="72"/>
  <c r="V345" i="72"/>
  <c r="V371" i="72"/>
  <c r="T396" i="72"/>
  <c r="W413" i="72"/>
  <c r="W429" i="72"/>
  <c r="AC316" i="72"/>
  <c r="W345" i="72"/>
  <c r="AA392" i="72"/>
  <c r="AG507" i="72"/>
  <c r="AA314" i="72"/>
  <c r="V366" i="72"/>
  <c r="X412" i="72"/>
  <c r="W503" i="72"/>
  <c r="S340" i="72"/>
  <c r="U370" i="72"/>
  <c r="Z419" i="72"/>
  <c r="AE464" i="72"/>
  <c r="T284" i="72"/>
  <c r="S333" i="72"/>
  <c r="U284" i="72"/>
  <c r="AB315" i="72"/>
  <c r="S341" i="72"/>
  <c r="AG377" i="72"/>
  <c r="U409" i="72"/>
  <c r="AG449" i="72"/>
  <c r="Y628" i="72"/>
  <c r="AA628" i="72"/>
  <c r="T418" i="72"/>
  <c r="Z397" i="72"/>
  <c r="AC287" i="72"/>
  <c r="AC581" i="72"/>
  <c r="V316" i="72"/>
  <c r="V431" i="72"/>
  <c r="AD532" i="72"/>
  <c r="U470" i="72"/>
  <c r="W621" i="72"/>
  <c r="AG505" i="72"/>
  <c r="X541" i="72"/>
  <c r="Z588" i="72"/>
  <c r="AB620" i="72"/>
  <c r="AG642" i="72"/>
  <c r="W777" i="72"/>
  <c r="S1047" i="72"/>
  <c r="S468" i="72"/>
  <c r="AG520" i="72"/>
  <c r="AE570" i="72"/>
  <c r="AC602" i="72"/>
  <c r="T623" i="72"/>
  <c r="S855" i="72"/>
  <c r="Z478" i="72"/>
  <c r="AC493" i="72"/>
  <c r="S506" i="72"/>
  <c r="T525" i="72"/>
  <c r="AB555" i="72"/>
  <c r="Y573" i="72"/>
  <c r="W631" i="72"/>
  <c r="AE648" i="72"/>
  <c r="S515" i="72"/>
  <c r="Y566" i="72"/>
  <c r="S664" i="72"/>
  <c r="X749" i="72"/>
  <c r="S818" i="72"/>
  <c r="Z487" i="72"/>
  <c r="Y524" i="72"/>
  <c r="AC538" i="72"/>
  <c r="AA564" i="72"/>
  <c r="AA598" i="72"/>
  <c r="AC647" i="72"/>
  <c r="AC478" i="72"/>
  <c r="AE517" i="72"/>
  <c r="U559" i="72"/>
  <c r="AF573" i="72"/>
  <c r="AG641" i="72"/>
  <c r="AB540" i="72"/>
  <c r="W603" i="72"/>
  <c r="AG714" i="72"/>
  <c r="AB592" i="72"/>
  <c r="S911" i="72"/>
  <c r="AA526" i="72"/>
  <c r="AG162" i="72"/>
  <c r="AB149" i="72"/>
  <c r="AG128" i="72"/>
  <c r="X293" i="72"/>
  <c r="S393" i="72"/>
  <c r="S429" i="72"/>
  <c r="S398" i="72"/>
  <c r="AB347" i="72"/>
  <c r="T359" i="72"/>
  <c r="AA393" i="72"/>
  <c r="AC507" i="72"/>
  <c r="AA530" i="72"/>
  <c r="T315" i="72"/>
  <c r="AA354" i="72"/>
  <c r="AE392" i="72"/>
  <c r="V415" i="72"/>
  <c r="AA444" i="72"/>
  <c r="AB376" i="72"/>
  <c r="S503" i="72"/>
  <c r="AE503" i="72"/>
  <c r="Z464" i="72"/>
  <c r="X334" i="72"/>
  <c r="X352" i="72"/>
  <c r="AC366" i="72"/>
  <c r="S287" i="72"/>
  <c r="W319" i="72"/>
  <c r="AA362" i="72"/>
  <c r="AD385" i="72"/>
  <c r="U462" i="72"/>
  <c r="AF628" i="72"/>
  <c r="X628" i="72"/>
  <c r="T420" i="72"/>
  <c r="W280" i="72"/>
  <c r="AD369" i="72"/>
  <c r="AF290" i="72"/>
  <c r="AD287" i="72"/>
  <c r="AF319" i="72"/>
  <c r="U532" i="72"/>
  <c r="AC474" i="72"/>
  <c r="S528" i="72"/>
  <c r="AA493" i="72"/>
  <c r="W528" i="72"/>
  <c r="AC621" i="72"/>
  <c r="V777" i="72"/>
  <c r="X470" i="72"/>
  <c r="U524" i="72"/>
  <c r="AF534" i="72"/>
  <c r="X555" i="72"/>
  <c r="U573" i="72"/>
  <c r="AD648" i="72"/>
  <c r="Y855" i="72"/>
  <c r="Y937" i="72"/>
  <c r="T494" i="72"/>
  <c r="T510" i="72"/>
  <c r="AC541" i="72"/>
  <c r="T579" i="72"/>
  <c r="Y599" i="72"/>
  <c r="Z634" i="72"/>
  <c r="Z517" i="72"/>
  <c r="AC573" i="72"/>
  <c r="W749" i="72"/>
  <c r="AF749" i="72"/>
  <c r="U506" i="72"/>
  <c r="X525" i="72"/>
  <c r="S540" i="72"/>
  <c r="AB566" i="72"/>
  <c r="S655" i="72"/>
  <c r="U522" i="72"/>
  <c r="Y561" i="72"/>
  <c r="T578" i="72"/>
  <c r="AG604" i="72"/>
  <c r="AA643" i="72"/>
  <c r="AG493" i="72"/>
  <c r="S613" i="72"/>
  <c r="Y714" i="72"/>
  <c r="AC540" i="72"/>
  <c r="V613" i="72"/>
  <c r="AG459" i="72"/>
  <c r="X482" i="72"/>
  <c r="AE494" i="72"/>
  <c r="AE561" i="72"/>
  <c r="Z871" i="72"/>
  <c r="X957" i="72"/>
  <c r="AB167" i="72"/>
  <c r="Z233" i="72"/>
  <c r="Z96" i="72"/>
  <c r="Y253" i="72"/>
  <c r="S88" i="72"/>
  <c r="Y381" i="72"/>
  <c r="T401" i="72"/>
  <c r="AG301" i="72"/>
  <c r="T331" i="72"/>
  <c r="V350" i="72"/>
  <c r="T377" i="72"/>
  <c r="V398" i="72"/>
  <c r="Y438" i="72"/>
  <c r="Y507" i="72"/>
  <c r="U530" i="72"/>
  <c r="AD316" i="72"/>
  <c r="V343" i="72"/>
  <c r="V396" i="72"/>
  <c r="S419" i="72"/>
  <c r="AF392" i="72"/>
  <c r="AG503" i="72"/>
  <c r="AE403" i="72"/>
  <c r="V295" i="72"/>
  <c r="Y337" i="72"/>
  <c r="AB368" i="72"/>
  <c r="X295" i="72"/>
  <c r="U346" i="72"/>
  <c r="AG415" i="72"/>
  <c r="AE628" i="72"/>
  <c r="V284" i="72"/>
  <c r="Y284" i="72"/>
  <c r="Z319" i="72"/>
  <c r="T431" i="72"/>
  <c r="Z581" i="72"/>
  <c r="W442" i="72"/>
  <c r="Y519" i="72"/>
  <c r="Y531" i="72"/>
  <c r="S551" i="72"/>
  <c r="U568" i="72"/>
  <c r="U609" i="72"/>
  <c r="AA531" i="72"/>
  <c r="AB551" i="72"/>
  <c r="AB568" i="72"/>
  <c r="W609" i="72"/>
  <c r="AF629" i="72"/>
  <c r="AA777" i="72"/>
  <c r="AA472" i="72"/>
  <c r="X491" i="72"/>
  <c r="S579" i="72"/>
  <c r="X833" i="72"/>
  <c r="X855" i="72"/>
  <c r="AC937" i="72"/>
  <c r="AD468" i="72"/>
  <c r="X485" i="72"/>
  <c r="AE497" i="72"/>
  <c r="Y528" i="72"/>
  <c r="AD586" i="72"/>
  <c r="AD604" i="72"/>
  <c r="Y487" i="72"/>
  <c r="AC528" i="72"/>
  <c r="AC749" i="72"/>
  <c r="S749" i="72"/>
  <c r="AD749" i="72"/>
  <c r="Z494" i="72"/>
  <c r="V527" i="72"/>
  <c r="X553" i="72"/>
  <c r="AD569" i="72"/>
  <c r="AF604" i="72"/>
  <c r="AA914" i="72"/>
  <c r="AG528" i="72"/>
  <c r="AG564" i="72"/>
  <c r="AE623" i="72"/>
  <c r="AE679" i="72"/>
  <c r="AB501" i="72"/>
  <c r="AE647" i="72"/>
  <c r="V745" i="72"/>
  <c r="AE745" i="72"/>
  <c r="AD546" i="72"/>
  <c r="AC911" i="72"/>
  <c r="Z500" i="72"/>
  <c r="Y613" i="72"/>
  <c r="X871" i="72"/>
  <c r="AG830" i="72"/>
  <c r="S438" i="72"/>
  <c r="S359" i="72"/>
  <c r="AB383" i="72"/>
  <c r="AF421" i="72"/>
  <c r="W444" i="72"/>
  <c r="U309" i="72"/>
  <c r="S530" i="72"/>
  <c r="U344" i="72"/>
  <c r="X359" i="72"/>
  <c r="Y376" i="72"/>
  <c r="AF457" i="72"/>
  <c r="Y396" i="72"/>
  <c r="AC503" i="72"/>
  <c r="S409" i="72"/>
  <c r="T432" i="72"/>
  <c r="S297" i="72"/>
  <c r="AB322" i="72"/>
  <c r="AA340" i="72"/>
  <c r="S360" i="72"/>
  <c r="W370" i="72"/>
  <c r="AD266" i="72"/>
  <c r="Y297" i="72"/>
  <c r="V333" i="72"/>
  <c r="Y352" i="72"/>
  <c r="AD366" i="72"/>
  <c r="S418" i="72"/>
  <c r="X287" i="72"/>
  <c r="U397" i="72"/>
  <c r="Y287" i="72"/>
  <c r="Y581" i="72"/>
  <c r="X301" i="72"/>
  <c r="U443" i="72"/>
  <c r="S483" i="72"/>
  <c r="Y520" i="72"/>
  <c r="AC534" i="72"/>
  <c r="V569" i="72"/>
  <c r="V517" i="72"/>
  <c r="X569" i="72"/>
  <c r="S599" i="72"/>
  <c r="S631" i="72"/>
  <c r="AC648" i="72"/>
  <c r="AG1047" i="72"/>
  <c r="Y473" i="72"/>
  <c r="Z541" i="72"/>
  <c r="X609" i="72"/>
  <c r="S637" i="72"/>
  <c r="AD833" i="72"/>
  <c r="AA855" i="72"/>
  <c r="W937" i="72"/>
  <c r="Y470" i="72"/>
  <c r="Y486" i="72"/>
  <c r="X517" i="72"/>
  <c r="V564" i="72"/>
  <c r="AG588" i="72"/>
  <c r="S606" i="72"/>
  <c r="AG620" i="72"/>
  <c r="AC475" i="72"/>
  <c r="T515" i="72"/>
  <c r="AF528" i="72"/>
  <c r="AF555" i="72"/>
  <c r="AE573" i="72"/>
  <c r="W914" i="72"/>
  <c r="AG914" i="72"/>
  <c r="AF493" i="72"/>
  <c r="Y540" i="72"/>
  <c r="AC566" i="72"/>
  <c r="S592" i="72"/>
  <c r="S627" i="72"/>
  <c r="Y655" i="72"/>
  <c r="AA679" i="72"/>
  <c r="AC772" i="72"/>
  <c r="AF517" i="72"/>
  <c r="V559" i="72"/>
  <c r="AF714" i="72"/>
  <c r="T745" i="72"/>
  <c r="Z745" i="72"/>
  <c r="X655" i="72"/>
  <c r="AE501" i="72"/>
  <c r="AD540" i="72"/>
  <c r="X617" i="72"/>
  <c r="W871" i="72"/>
  <c r="U396" i="72"/>
  <c r="Y464" i="72"/>
  <c r="T283" i="72"/>
  <c r="W301" i="72"/>
  <c r="T566" i="72"/>
  <c r="V631" i="72"/>
  <c r="U637" i="72"/>
  <c r="AE493" i="72"/>
  <c r="AC487" i="72"/>
  <c r="AG911" i="72"/>
  <c r="AD603" i="72"/>
  <c r="AD871" i="72"/>
  <c r="S493" i="72"/>
  <c r="Z504" i="72"/>
  <c r="AC536" i="72"/>
  <c r="AC553" i="72"/>
  <c r="U608" i="72"/>
  <c r="AG627" i="72"/>
  <c r="AF496" i="72"/>
  <c r="AG546" i="72"/>
  <c r="AA613" i="72"/>
  <c r="AC734" i="72"/>
  <c r="X747" i="72"/>
  <c r="AE747" i="72"/>
  <c r="AE839" i="72"/>
  <c r="AG839" i="72"/>
  <c r="AF504" i="72"/>
  <c r="Z608" i="72"/>
  <c r="AE718" i="72"/>
  <c r="AB710" i="72"/>
  <c r="Z790" i="72"/>
  <c r="AD885" i="72"/>
  <c r="AG1049" i="72"/>
  <c r="AA1092" i="72"/>
  <c r="S755" i="72"/>
  <c r="AA790" i="72"/>
  <c r="Z1062" i="72"/>
  <c r="W675" i="72"/>
  <c r="AB696" i="72"/>
  <c r="AD743" i="72"/>
  <c r="AD763" i="72"/>
  <c r="AD790" i="72"/>
  <c r="V842" i="72"/>
  <c r="X898" i="72"/>
  <c r="Z945" i="72"/>
  <c r="AF1003" i="72"/>
  <c r="T1080" i="72"/>
  <c r="U1080" i="72"/>
  <c r="AG1102" i="72"/>
  <c r="V671" i="72"/>
  <c r="AF736" i="72"/>
  <c r="Z799" i="72"/>
  <c r="AA853" i="72"/>
  <c r="AC923" i="72"/>
  <c r="T940" i="72"/>
  <c r="W730" i="72"/>
  <c r="U766" i="72"/>
  <c r="V779" i="72"/>
  <c r="AD799" i="72"/>
  <c r="Z860" i="72"/>
  <c r="AG966" i="72"/>
  <c r="AA966" i="72"/>
  <c r="AA676" i="72"/>
  <c r="AB712" i="72"/>
  <c r="AC783" i="72"/>
  <c r="U807" i="72"/>
  <c r="U887" i="72"/>
  <c r="Y680" i="72"/>
  <c r="S706" i="72"/>
  <c r="Z752" i="72"/>
  <c r="AB807" i="72"/>
  <c r="AG842" i="72"/>
  <c r="S992" i="72"/>
  <c r="AA671" i="72"/>
  <c r="U706" i="72"/>
  <c r="Y793" i="72"/>
  <c r="AD823" i="72"/>
  <c r="AD671" i="72"/>
  <c r="V711" i="72"/>
  <c r="AC742" i="72"/>
  <c r="T764" i="72"/>
  <c r="AE780" i="72"/>
  <c r="W805" i="72"/>
  <c r="AB657" i="72"/>
  <c r="S688" i="72"/>
  <c r="AA706" i="72"/>
  <c r="AD742" i="72"/>
  <c r="AG807" i="72"/>
  <c r="AD1078" i="72"/>
  <c r="W1078" i="72"/>
  <c r="AB674" i="72"/>
  <c r="Y694" i="72"/>
  <c r="AC722" i="72"/>
  <c r="AD779" i="72"/>
  <c r="X890" i="72"/>
  <c r="W906" i="72"/>
  <c r="AF954" i="72"/>
  <c r="AG997" i="72"/>
  <c r="AD1015" i="72"/>
  <c r="U1058" i="72"/>
  <c r="V690" i="72"/>
  <c r="Y727" i="72"/>
  <c r="AC867" i="72"/>
  <c r="T695" i="72"/>
  <c r="S729" i="72"/>
  <c r="AC1000" i="72"/>
  <c r="AA300" i="72"/>
  <c r="X429" i="72"/>
  <c r="T322" i="72"/>
  <c r="S597" i="72"/>
  <c r="W487" i="72"/>
  <c r="AA478" i="72"/>
  <c r="V510" i="72"/>
  <c r="W527" i="72"/>
  <c r="AC494" i="72"/>
  <c r="AA556" i="72"/>
  <c r="Z572" i="72"/>
  <c r="T636" i="72"/>
  <c r="Y498" i="72"/>
  <c r="AF526" i="72"/>
  <c r="AE556" i="72"/>
  <c r="AD617" i="72"/>
  <c r="AA734" i="72"/>
  <c r="V747" i="72"/>
  <c r="X753" i="72"/>
  <c r="Y839" i="72"/>
  <c r="Z839" i="72"/>
  <c r="Z471" i="72"/>
  <c r="AC727" i="72"/>
  <c r="X763" i="72"/>
  <c r="S778" i="72"/>
  <c r="S794" i="72"/>
  <c r="AA885" i="72"/>
  <c r="AB1049" i="72"/>
  <c r="AD1049" i="72"/>
  <c r="AC1067" i="72"/>
  <c r="T798" i="72"/>
  <c r="T866" i="72"/>
  <c r="Y1062" i="72"/>
  <c r="W676" i="72"/>
  <c r="AB702" i="72"/>
  <c r="Y778" i="72"/>
  <c r="V797" i="72"/>
  <c r="Y852" i="72"/>
  <c r="AA1003" i="72"/>
  <c r="AB1080" i="72"/>
  <c r="S1096" i="72"/>
  <c r="AD672" i="72"/>
  <c r="AD695" i="72"/>
  <c r="AB769" i="72"/>
  <c r="Y802" i="72"/>
  <c r="W827" i="72"/>
  <c r="Z887" i="72"/>
  <c r="AA923" i="72"/>
  <c r="T693" i="72"/>
  <c r="AG736" i="72"/>
  <c r="AF767" i="72"/>
  <c r="V780" i="72"/>
  <c r="Z802" i="72"/>
  <c r="AE838" i="72"/>
  <c r="AB861" i="72"/>
  <c r="AB877" i="72"/>
  <c r="Z966" i="72"/>
  <c r="X765" i="72"/>
  <c r="X814" i="72"/>
  <c r="AE849" i="72"/>
  <c r="AE887" i="72"/>
  <c r="S940" i="72"/>
  <c r="AD940" i="72"/>
  <c r="AB755" i="72"/>
  <c r="Y814" i="72"/>
  <c r="AG889" i="72"/>
  <c r="X674" i="72"/>
  <c r="U711" i="72"/>
  <c r="Y796" i="72"/>
  <c r="X832" i="72"/>
  <c r="Z674" i="72"/>
  <c r="AC713" i="72"/>
  <c r="Z748" i="72"/>
  <c r="AE765" i="72"/>
  <c r="AD807" i="72"/>
  <c r="AA844" i="72"/>
  <c r="W997" i="72"/>
  <c r="AF660" i="72"/>
  <c r="Y711" i="72"/>
  <c r="AC779" i="72"/>
  <c r="Y812" i="72"/>
  <c r="AF863" i="72"/>
  <c r="U1032" i="72"/>
  <c r="AD1032" i="72"/>
  <c r="W1032" i="72"/>
  <c r="W782" i="72"/>
  <c r="S890" i="72"/>
  <c r="AE954" i="72"/>
  <c r="AC997" i="72"/>
  <c r="U1015" i="72"/>
  <c r="S695" i="72"/>
  <c r="AF801" i="72"/>
  <c r="AB868" i="72"/>
  <c r="AE789" i="72"/>
  <c r="U829" i="72"/>
  <c r="AD341" i="72"/>
  <c r="AE431" i="72"/>
  <c r="AB507" i="72"/>
  <c r="AB393" i="72"/>
  <c r="AD343" i="72"/>
  <c r="AA315" i="72"/>
  <c r="AE608" i="72"/>
  <c r="AG608" i="72"/>
  <c r="S510" i="72"/>
  <c r="Y833" i="72"/>
  <c r="T527" i="72"/>
  <c r="W526" i="72"/>
  <c r="V562" i="72"/>
  <c r="AB546" i="72"/>
  <c r="AF494" i="72"/>
  <c r="AE540" i="72"/>
  <c r="AE559" i="72"/>
  <c r="AG579" i="72"/>
  <c r="AB610" i="72"/>
  <c r="S638" i="72"/>
  <c r="T471" i="72"/>
  <c r="AF559" i="72"/>
  <c r="S620" i="72"/>
  <c r="Y734" i="72"/>
  <c r="T747" i="72"/>
  <c r="X839" i="72"/>
  <c r="AF836" i="72"/>
  <c r="V472" i="72"/>
  <c r="T488" i="72"/>
  <c r="T519" i="72"/>
  <c r="S569" i="72"/>
  <c r="V620" i="72"/>
  <c r="V728" i="72"/>
  <c r="S798" i="72"/>
  <c r="S853" i="72"/>
  <c r="X885" i="72"/>
  <c r="U1049" i="72"/>
  <c r="AC1049" i="72"/>
  <c r="AE1092" i="72"/>
  <c r="Z1092" i="72"/>
  <c r="S656" i="72"/>
  <c r="X695" i="72"/>
  <c r="AB878" i="72"/>
  <c r="W660" i="72"/>
  <c r="Y677" i="72"/>
  <c r="W704" i="72"/>
  <c r="T779" i="72"/>
  <c r="AA798" i="72"/>
  <c r="X853" i="72"/>
  <c r="AC945" i="72"/>
  <c r="X945" i="72"/>
  <c r="Y994" i="72"/>
  <c r="Y1003" i="72"/>
  <c r="AC1003" i="72"/>
  <c r="Z1096" i="72"/>
  <c r="X656" i="72"/>
  <c r="AE696" i="72"/>
  <c r="AB771" i="72"/>
  <c r="AB803" i="72"/>
  <c r="AC838" i="72"/>
  <c r="T858" i="72"/>
  <c r="AB923" i="72"/>
  <c r="Y923" i="72"/>
  <c r="AD769" i="72"/>
  <c r="AG781" i="72"/>
  <c r="AC803" i="72"/>
  <c r="W840" i="72"/>
  <c r="W863" i="72"/>
  <c r="AD919" i="72"/>
  <c r="AE966" i="72"/>
  <c r="T966" i="72"/>
  <c r="T680" i="72"/>
  <c r="AD724" i="72"/>
  <c r="V766" i="72"/>
  <c r="S851" i="72"/>
  <c r="Z917" i="72"/>
  <c r="AB940" i="72"/>
  <c r="AG693" i="72"/>
  <c r="AD712" i="72"/>
  <c r="AB889" i="72"/>
  <c r="AG992" i="72"/>
  <c r="T805" i="72"/>
  <c r="X851" i="72"/>
  <c r="Z1078" i="72"/>
  <c r="AD676" i="72"/>
  <c r="AC752" i="72"/>
  <c r="AA766" i="72"/>
  <c r="W812" i="72"/>
  <c r="Y691" i="72"/>
  <c r="AF780" i="72"/>
  <c r="AA816" i="72"/>
  <c r="T1032" i="72"/>
  <c r="V1032" i="72"/>
  <c r="AB1078" i="72"/>
  <c r="V1078" i="72"/>
  <c r="AF676" i="72"/>
  <c r="T701" i="72"/>
  <c r="S731" i="72"/>
  <c r="Y890" i="72"/>
  <c r="W954" i="72"/>
  <c r="V997" i="72"/>
  <c r="X1060" i="72"/>
  <c r="AG701" i="72"/>
  <c r="S804" i="72"/>
  <c r="AB850" i="72"/>
  <c r="AD870" i="72"/>
  <c r="AD717" i="72"/>
  <c r="V790" i="72"/>
  <c r="Z530" i="72"/>
  <c r="V362" i="72"/>
  <c r="W283" i="72"/>
  <c r="AB581" i="72"/>
  <c r="T532" i="72"/>
  <c r="W546" i="72"/>
  <c r="X579" i="72"/>
  <c r="AD496" i="72"/>
  <c r="AG871" i="72"/>
  <c r="AE496" i="72"/>
  <c r="S544" i="72"/>
  <c r="AG561" i="72"/>
  <c r="X583" i="72"/>
  <c r="AD611" i="72"/>
  <c r="AC500" i="72"/>
  <c r="AG565" i="72"/>
  <c r="W734" i="72"/>
  <c r="AF734" i="72"/>
  <c r="U839" i="72"/>
  <c r="AC625" i="72"/>
  <c r="AF729" i="72"/>
  <c r="AA857" i="72"/>
  <c r="U885" i="72"/>
  <c r="T1049" i="72"/>
  <c r="AB1067" i="72"/>
  <c r="AA1067" i="72"/>
  <c r="AD658" i="72"/>
  <c r="S809" i="72"/>
  <c r="Z661" i="72"/>
  <c r="Y685" i="72"/>
  <c r="AF705" i="72"/>
  <c r="S780" i="72"/>
  <c r="Y799" i="72"/>
  <c r="S994" i="72"/>
  <c r="W1003" i="72"/>
  <c r="AB1003" i="72"/>
  <c r="AF1080" i="72"/>
  <c r="AA1080" i="72"/>
  <c r="T657" i="72"/>
  <c r="AB675" i="72"/>
  <c r="Z704" i="72"/>
  <c r="AE790" i="72"/>
  <c r="V840" i="72"/>
  <c r="Y860" i="72"/>
  <c r="X923" i="72"/>
  <c r="Y656" i="72"/>
  <c r="AE695" i="72"/>
  <c r="AC771" i="72"/>
  <c r="V783" i="72"/>
  <c r="S814" i="72"/>
  <c r="AC842" i="72"/>
  <c r="Y864" i="72"/>
  <c r="AC919" i="72"/>
  <c r="S966" i="72"/>
  <c r="AC693" i="72"/>
  <c r="AG728" i="72"/>
  <c r="AG767" i="72"/>
  <c r="T819" i="72"/>
  <c r="Y917" i="72"/>
  <c r="Z940" i="72"/>
  <c r="AF769" i="72"/>
  <c r="U819" i="72"/>
  <c r="AE992" i="72"/>
  <c r="AE656" i="72"/>
  <c r="AC676" i="72"/>
  <c r="AC807" i="72"/>
  <c r="AC921" i="72"/>
  <c r="AG680" i="72"/>
  <c r="AA722" i="72"/>
  <c r="S786" i="72"/>
  <c r="Z816" i="72"/>
  <c r="Z851" i="72"/>
  <c r="Y692" i="72"/>
  <c r="X719" i="72"/>
  <c r="V822" i="72"/>
  <c r="Y867" i="72"/>
  <c r="AC1032" i="72"/>
  <c r="U1078" i="72"/>
  <c r="T684" i="72"/>
  <c r="AF748" i="72"/>
  <c r="W786" i="72"/>
  <c r="AC851" i="72"/>
  <c r="U954" i="72"/>
  <c r="U997" i="72"/>
  <c r="AC805" i="72"/>
  <c r="AE851" i="72"/>
  <c r="AF1070" i="72"/>
  <c r="AG719" i="72"/>
  <c r="AD447" i="72"/>
  <c r="AD377" i="72"/>
  <c r="X355" i="72"/>
  <c r="AD315" i="72"/>
  <c r="T475" i="72"/>
  <c r="AA645" i="72"/>
  <c r="U538" i="72"/>
  <c r="Y749" i="72"/>
  <c r="Y606" i="72"/>
  <c r="AC745" i="72"/>
  <c r="Y871" i="72"/>
  <c r="S498" i="72"/>
  <c r="AB526" i="72"/>
  <c r="AF546" i="72"/>
  <c r="AE562" i="72"/>
  <c r="AF592" i="72"/>
  <c r="Z613" i="72"/>
  <c r="AF455" i="72"/>
  <c r="AG501" i="72"/>
  <c r="V539" i="72"/>
  <c r="AC636" i="72"/>
  <c r="X681" i="72"/>
  <c r="AE734" i="72"/>
  <c r="W474" i="72"/>
  <c r="V493" i="72"/>
  <c r="V531" i="72"/>
  <c r="AF732" i="72"/>
  <c r="Z821" i="72"/>
  <c r="T885" i="72"/>
  <c r="Y1067" i="72"/>
  <c r="Y1092" i="72"/>
  <c r="S704" i="72"/>
  <c r="AF1023" i="72"/>
  <c r="Y670" i="72"/>
  <c r="AF688" i="72"/>
  <c r="AF710" i="72"/>
  <c r="V755" i="72"/>
  <c r="AA769" i="72"/>
  <c r="AA781" i="72"/>
  <c r="X802" i="72"/>
  <c r="AE945" i="72"/>
  <c r="W945" i="72"/>
  <c r="U1031" i="72"/>
  <c r="X676" i="72"/>
  <c r="AG720" i="72"/>
  <c r="AE792" i="72"/>
  <c r="Z842" i="72"/>
  <c r="W861" i="72"/>
  <c r="AG923" i="72"/>
  <c r="T923" i="72"/>
  <c r="U657" i="72"/>
  <c r="AB699" i="72"/>
  <c r="Y755" i="72"/>
  <c r="S773" i="72"/>
  <c r="X919" i="72"/>
  <c r="AD966" i="72"/>
  <c r="AC966" i="72"/>
  <c r="Z656" i="72"/>
  <c r="AD730" i="72"/>
  <c r="AE769" i="72"/>
  <c r="AE798" i="72"/>
  <c r="AE853" i="72"/>
  <c r="S917" i="72"/>
  <c r="Y940" i="72"/>
  <c r="Z671" i="72"/>
  <c r="AG695" i="72"/>
  <c r="AF771" i="72"/>
  <c r="AB823" i="72"/>
  <c r="AE905" i="72"/>
  <c r="AD992" i="72"/>
  <c r="Y657" i="72"/>
  <c r="AF680" i="72"/>
  <c r="V812" i="72"/>
  <c r="AF656" i="72"/>
  <c r="S727" i="72"/>
  <c r="AG755" i="72"/>
  <c r="AD773" i="72"/>
  <c r="U822" i="72"/>
  <c r="T1060" i="72"/>
  <c r="AF671" i="72"/>
  <c r="X694" i="72"/>
  <c r="AB722" i="72"/>
  <c r="AB837" i="72"/>
  <c r="X870" i="72"/>
  <c r="U1060" i="72"/>
  <c r="Y1078" i="72"/>
  <c r="T1078" i="72"/>
  <c r="V686" i="72"/>
  <c r="AF808" i="72"/>
  <c r="AC890" i="72"/>
  <c r="AE906" i="72"/>
  <c r="S954" i="72"/>
  <c r="T997" i="72"/>
  <c r="AF662" i="72"/>
  <c r="AD674" i="72"/>
  <c r="AF722" i="72"/>
  <c r="AE804" i="72"/>
  <c r="AF851" i="72"/>
  <c r="Y978" i="72"/>
  <c r="AG460" i="72"/>
  <c r="AD529" i="72"/>
  <c r="AC777" i="72"/>
  <c r="Z577" i="72"/>
  <c r="AA459" i="72"/>
  <c r="AD647" i="72"/>
  <c r="AD562" i="72"/>
  <c r="AB500" i="72"/>
  <c r="T529" i="72"/>
  <c r="U544" i="72"/>
  <c r="X734" i="72"/>
  <c r="AC747" i="72"/>
  <c r="AF753" i="72"/>
  <c r="V604" i="72"/>
  <c r="AE644" i="72"/>
  <c r="AE829" i="72"/>
  <c r="U1067" i="72"/>
  <c r="AB1092" i="72"/>
  <c r="W1092" i="72"/>
  <c r="AC710" i="72"/>
  <c r="U853" i="72"/>
  <c r="Z672" i="72"/>
  <c r="AC728" i="72"/>
  <c r="AB757" i="72"/>
  <c r="T827" i="72"/>
  <c r="S887" i="72"/>
  <c r="AD945" i="72"/>
  <c r="U945" i="72"/>
  <c r="AD1096" i="72"/>
  <c r="AD685" i="72"/>
  <c r="AE728" i="72"/>
  <c r="AC797" i="72"/>
  <c r="Z849" i="72"/>
  <c r="X864" i="72"/>
  <c r="AF923" i="72"/>
  <c r="Y660" i="72"/>
  <c r="AG763" i="72"/>
  <c r="AF790" i="72"/>
  <c r="AB966" i="72"/>
  <c r="AG1005" i="72"/>
  <c r="AC699" i="72"/>
  <c r="S754" i="72"/>
  <c r="U773" i="72"/>
  <c r="AG802" i="72"/>
  <c r="X840" i="72"/>
  <c r="AD887" i="72"/>
  <c r="W674" i="72"/>
  <c r="AE699" i="72"/>
  <c r="X742" i="72"/>
  <c r="X787" i="72"/>
  <c r="AG905" i="72"/>
  <c r="AA992" i="72"/>
  <c r="U667" i="72"/>
  <c r="AC703" i="72"/>
  <c r="Y742" i="72"/>
  <c r="Y816" i="72"/>
  <c r="AB863" i="72"/>
  <c r="AE660" i="72"/>
  <c r="Y759" i="72"/>
  <c r="AG778" i="72"/>
  <c r="AC796" i="72"/>
  <c r="AG834" i="72"/>
  <c r="T867" i="72"/>
  <c r="AE676" i="72"/>
  <c r="AD796" i="72"/>
  <c r="AA851" i="72"/>
  <c r="AG1078" i="72"/>
  <c r="X1078" i="72"/>
  <c r="AC691" i="72"/>
  <c r="Y717" i="72"/>
  <c r="W822" i="72"/>
  <c r="Z868" i="72"/>
  <c r="AA890" i="72"/>
  <c r="AD906" i="72"/>
  <c r="AC1058" i="72"/>
  <c r="Z686" i="72"/>
  <c r="AD719" i="72"/>
  <c r="AD789" i="72"/>
  <c r="AA826" i="72"/>
  <c r="AF1086" i="72"/>
  <c r="AD692" i="72"/>
  <c r="AA727" i="72"/>
  <c r="AA782" i="72"/>
  <c r="T821" i="72"/>
  <c r="V376" i="72"/>
  <c r="S290" i="72"/>
  <c r="T628" i="72"/>
  <c r="X430" i="72"/>
  <c r="S365" i="72"/>
  <c r="X550" i="72"/>
  <c r="Z550" i="72"/>
  <c r="AC604" i="72"/>
  <c r="V469" i="72"/>
  <c r="AF655" i="72"/>
  <c r="AD579" i="72"/>
  <c r="AF501" i="72"/>
  <c r="AF606" i="72"/>
  <c r="AG494" i="72"/>
  <c r="AB600" i="72"/>
  <c r="AG681" i="72"/>
  <c r="AD734" i="72"/>
  <c r="AA747" i="72"/>
  <c r="AG747" i="72"/>
  <c r="AA753" i="72"/>
  <c r="T459" i="72"/>
  <c r="AE500" i="72"/>
  <c r="W705" i="72"/>
  <c r="AA786" i="72"/>
  <c r="X843" i="72"/>
  <c r="S878" i="72"/>
  <c r="AF1067" i="72"/>
  <c r="S1067" i="72"/>
  <c r="Z688" i="72"/>
  <c r="AB786" i="72"/>
  <c r="AG1062" i="72"/>
  <c r="AC695" i="72"/>
  <c r="V761" i="72"/>
  <c r="AG786" i="72"/>
  <c r="AB838" i="72"/>
  <c r="AA898" i="72"/>
  <c r="T945" i="72"/>
  <c r="AG1080" i="72"/>
  <c r="AC1080" i="72"/>
  <c r="V1080" i="72"/>
  <c r="AB1096" i="72"/>
  <c r="Z670" i="72"/>
  <c r="S693" i="72"/>
  <c r="V730" i="72"/>
  <c r="AC798" i="72"/>
  <c r="AF852" i="72"/>
  <c r="AD661" i="72"/>
  <c r="AF728" i="72"/>
  <c r="U765" i="72"/>
  <c r="AA778" i="72"/>
  <c r="AD798" i="72"/>
  <c r="Y827" i="72"/>
  <c r="X858" i="72"/>
  <c r="X875" i="72"/>
  <c r="AF1005" i="72"/>
  <c r="U674" i="72"/>
  <c r="Z755" i="72"/>
  <c r="X779" i="72"/>
  <c r="AD803" i="72"/>
  <c r="AE842" i="72"/>
  <c r="X887" i="72"/>
  <c r="AF887" i="72"/>
  <c r="AG925" i="72"/>
  <c r="AE940" i="72"/>
  <c r="AB676" i="72"/>
  <c r="AA703" i="72"/>
  <c r="U748" i="72"/>
  <c r="AF905" i="72"/>
  <c r="X992" i="72"/>
  <c r="T791" i="72"/>
  <c r="Y819" i="72"/>
  <c r="AE864" i="72"/>
  <c r="X1032" i="72"/>
  <c r="AB667" i="72"/>
  <c r="V706" i="72"/>
  <c r="V739" i="72"/>
  <c r="AB779" i="72"/>
  <c r="AD800" i="72"/>
  <c r="Z837" i="72"/>
  <c r="AG656" i="72"/>
  <c r="S684" i="72"/>
  <c r="Y805" i="72"/>
  <c r="AE1032" i="72"/>
  <c r="Z1032" i="72"/>
  <c r="Y662" i="72"/>
  <c r="Z692" i="72"/>
  <c r="AC719" i="72"/>
  <c r="Y826" i="72"/>
  <c r="AB870" i="72"/>
  <c r="Z890" i="72"/>
  <c r="X906" i="72"/>
  <c r="AG954" i="72"/>
  <c r="Z997" i="72"/>
  <c r="W1058" i="72"/>
  <c r="V688" i="72"/>
  <c r="AD722" i="72"/>
  <c r="U790" i="72"/>
  <c r="T1092" i="72"/>
  <c r="Y822" i="72"/>
  <c r="AC868" i="72"/>
  <c r="T493" i="72"/>
  <c r="Z1080" i="72"/>
  <c r="AF695" i="72"/>
  <c r="AG940" i="72"/>
  <c r="AB992" i="72"/>
  <c r="AD703" i="72"/>
  <c r="AA674" i="72"/>
  <c r="AB890" i="72"/>
  <c r="X786" i="72"/>
  <c r="Y786" i="72"/>
  <c r="Y1060" i="72"/>
  <c r="AA710" i="72"/>
  <c r="W895" i="72"/>
  <c r="AA1000" i="72"/>
  <c r="AB1038" i="72"/>
  <c r="AE1081" i="72"/>
  <c r="Y939" i="72"/>
  <c r="AF1013" i="72"/>
  <c r="X1041" i="72"/>
  <c r="Z1095" i="72"/>
  <c r="Z967" i="72"/>
  <c r="AG1000" i="72"/>
  <c r="AD1052" i="72"/>
  <c r="AD1094" i="72"/>
  <c r="V900" i="72"/>
  <c r="AE938" i="72"/>
  <c r="Y982" i="72"/>
  <c r="AB1016" i="72"/>
  <c r="AA1027" i="72"/>
  <c r="AG888" i="72"/>
  <c r="AD962" i="72"/>
  <c r="V1022" i="72"/>
  <c r="AG1057" i="72"/>
  <c r="U946" i="72"/>
  <c r="V1044" i="72"/>
  <c r="Y886" i="72"/>
  <c r="Z935" i="72"/>
  <c r="S1021" i="72"/>
  <c r="AB886" i="72"/>
  <c r="AF958" i="72"/>
  <c r="AG1033" i="72"/>
  <c r="Y171" i="72"/>
  <c r="T35" i="72"/>
  <c r="Z56" i="72"/>
  <c r="AA102" i="72"/>
  <c r="T102" i="72"/>
  <c r="W191" i="72"/>
  <c r="AG105" i="72"/>
  <c r="W985" i="72"/>
  <c r="Z17" i="72"/>
  <c r="AG36" i="72"/>
  <c r="Y45" i="72"/>
  <c r="X143" i="72"/>
  <c r="S143" i="72"/>
  <c r="Y972" i="72"/>
  <c r="AG972" i="72"/>
  <c r="AD9" i="72"/>
  <c r="AB26" i="72"/>
  <c r="S39" i="72"/>
  <c r="AF87" i="72"/>
  <c r="W35" i="72"/>
  <c r="U221" i="72"/>
  <c r="Z554" i="72"/>
  <c r="AE554" i="72"/>
  <c r="S874" i="72"/>
  <c r="V28" i="72"/>
  <c r="Y58" i="72"/>
  <c r="Y77" i="72"/>
  <c r="AE33" i="72"/>
  <c r="W42" i="72"/>
  <c r="S46" i="72"/>
  <c r="AB136" i="72"/>
  <c r="AG95" i="72"/>
  <c r="T349" i="72"/>
  <c r="AA35" i="72"/>
  <c r="AG78" i="72"/>
  <c r="AC107" i="72"/>
  <c r="Y107" i="72"/>
  <c r="X119" i="72"/>
  <c r="AE133" i="72"/>
  <c r="Z133" i="72"/>
  <c r="T749" i="72"/>
  <c r="AA504" i="72"/>
  <c r="V695" i="72"/>
  <c r="AG1067" i="72"/>
  <c r="X860" i="72"/>
  <c r="AB853" i="72"/>
  <c r="T748" i="72"/>
  <c r="AD660" i="72"/>
  <c r="AG906" i="72"/>
  <c r="X822" i="72"/>
  <c r="AG722" i="72"/>
  <c r="U821" i="72"/>
  <c r="AF1002" i="72"/>
  <c r="Z918" i="72"/>
  <c r="AF965" i="72"/>
  <c r="W989" i="72"/>
  <c r="AG1014" i="72"/>
  <c r="X1052" i="72"/>
  <c r="AF903" i="72"/>
  <c r="AD938" i="72"/>
  <c r="AG968" i="72"/>
  <c r="U1027" i="72"/>
  <c r="S1055" i="72"/>
  <c r="AB1095" i="72"/>
  <c r="T910" i="72"/>
  <c r="AG939" i="72"/>
  <c r="Y989" i="72"/>
  <c r="T1017" i="72"/>
  <c r="Y1029" i="72"/>
  <c r="AC910" i="72"/>
  <c r="AD967" i="72"/>
  <c r="T1011" i="72"/>
  <c r="T1026" i="72"/>
  <c r="S1059" i="72"/>
  <c r="AG1052" i="72"/>
  <c r="W953" i="72"/>
  <c r="W1073" i="72"/>
  <c r="AB891" i="72"/>
  <c r="AG941" i="72"/>
  <c r="X1065" i="72"/>
  <c r="AF891" i="72"/>
  <c r="AD1073" i="72"/>
  <c r="AG924" i="72"/>
  <c r="AC971" i="72"/>
  <c r="Z1036" i="72"/>
  <c r="AF1073" i="72"/>
  <c r="U171" i="72"/>
  <c r="X171" i="72"/>
  <c r="AG558" i="72"/>
  <c r="W56" i="72"/>
  <c r="AF64" i="72"/>
  <c r="V191" i="72"/>
  <c r="AA26" i="72"/>
  <c r="X53" i="72"/>
  <c r="AG143" i="72"/>
  <c r="AA143" i="72"/>
  <c r="AB162" i="72"/>
  <c r="X162" i="72"/>
  <c r="T162" i="72"/>
  <c r="W972" i="72"/>
  <c r="AF972" i="72"/>
  <c r="AC10" i="72"/>
  <c r="AC19" i="72"/>
  <c r="AC42" i="72"/>
  <c r="AD87" i="72"/>
  <c r="AC92" i="72"/>
  <c r="X92" i="72"/>
  <c r="T92" i="72"/>
  <c r="AD17" i="72"/>
  <c r="AC26" i="72"/>
  <c r="X39" i="72"/>
  <c r="AF221" i="72"/>
  <c r="AB221" i="72"/>
  <c r="T221" i="72"/>
  <c r="S554" i="72"/>
  <c r="AF874" i="72"/>
  <c r="AA12" i="72"/>
  <c r="AA58" i="72"/>
  <c r="V58" i="72"/>
  <c r="AA74" i="72"/>
  <c r="U74" i="72"/>
  <c r="X77" i="72"/>
  <c r="AC24" i="72"/>
  <c r="AA136" i="72"/>
  <c r="AE227" i="72"/>
  <c r="AE95" i="72"/>
  <c r="Z95" i="72"/>
  <c r="AE349" i="72"/>
  <c r="U349" i="72"/>
  <c r="S349" i="72"/>
  <c r="AB39" i="72"/>
  <c r="AE78" i="72"/>
  <c r="V145" i="72"/>
  <c r="AD123" i="72"/>
  <c r="S321" i="72"/>
  <c r="AG540" i="72"/>
  <c r="W1067" i="72"/>
  <c r="U671" i="72"/>
  <c r="AA661" i="72"/>
  <c r="S923" i="72"/>
  <c r="AD771" i="72"/>
  <c r="AF673" i="72"/>
  <c r="AA756" i="72"/>
  <c r="T727" i="72"/>
  <c r="AD805" i="72"/>
  <c r="W1060" i="72"/>
  <c r="AF674" i="72"/>
  <c r="AB727" i="72"/>
  <c r="AA822" i="72"/>
  <c r="X949" i="72"/>
  <c r="W1014" i="72"/>
  <c r="S1064" i="72"/>
  <c r="AG1084" i="72"/>
  <c r="W888" i="72"/>
  <c r="Y949" i="72"/>
  <c r="T1064" i="72"/>
  <c r="Y967" i="72"/>
  <c r="AA990" i="72"/>
  <c r="Z1016" i="72"/>
  <c r="AD1098" i="72"/>
  <c r="S910" i="72"/>
  <c r="AF939" i="72"/>
  <c r="T973" i="72"/>
  <c r="X1029" i="72"/>
  <c r="AD1083" i="72"/>
  <c r="AD918" i="72"/>
  <c r="AD944" i="72"/>
  <c r="AE990" i="72"/>
  <c r="AA1034" i="72"/>
  <c r="AD922" i="72"/>
  <c r="AD1027" i="72"/>
  <c r="AG897" i="72"/>
  <c r="T953" i="72"/>
  <c r="U1059" i="72"/>
  <c r="V979" i="72"/>
  <c r="V1081" i="72"/>
  <c r="AA902" i="72"/>
  <c r="Y943" i="72"/>
  <c r="Z1010" i="72"/>
  <c r="AE1022" i="72"/>
  <c r="AG1068" i="72"/>
  <c r="AD902" i="72"/>
  <c r="Z943" i="72"/>
  <c r="AF979" i="72"/>
  <c r="AD1043" i="72"/>
  <c r="S1094" i="72"/>
  <c r="T171" i="72"/>
  <c r="U558" i="72"/>
  <c r="AC56" i="72"/>
  <c r="Y56" i="72"/>
  <c r="AD64" i="72"/>
  <c r="Z102" i="72"/>
  <c r="X191" i="72"/>
  <c r="AB19" i="72"/>
  <c r="S28" i="72"/>
  <c r="AB42" i="72"/>
  <c r="AD53" i="72"/>
  <c r="V972" i="72"/>
  <c r="AD972" i="72"/>
  <c r="U11" i="72"/>
  <c r="T28" i="72"/>
  <c r="Y87" i="72"/>
  <c r="S92" i="72"/>
  <c r="AD42" i="72"/>
  <c r="AE136" i="72"/>
  <c r="AD554" i="72"/>
  <c r="Y554" i="72"/>
  <c r="V874" i="72"/>
  <c r="AB31" i="72"/>
  <c r="S74" i="72"/>
  <c r="W77" i="72"/>
  <c r="X83" i="72"/>
  <c r="U25" i="72"/>
  <c r="Z35" i="72"/>
  <c r="V42" i="72"/>
  <c r="Z136" i="72"/>
  <c r="AD227" i="72"/>
  <c r="Y95" i="72"/>
  <c r="Z349" i="72"/>
  <c r="AC78" i="72"/>
  <c r="AB107" i="72"/>
  <c r="V107" i="72"/>
  <c r="AD133" i="72"/>
  <c r="Y133" i="72"/>
  <c r="U133" i="72"/>
  <c r="U145" i="72"/>
  <c r="S23" i="72"/>
  <c r="AB35" i="72"/>
  <c r="AC123" i="72"/>
  <c r="S518" i="72"/>
  <c r="Z583" i="72"/>
  <c r="V836" i="72"/>
  <c r="V945" i="72"/>
  <c r="AD677" i="72"/>
  <c r="AA919" i="72"/>
  <c r="AE799" i="72"/>
  <c r="V786" i="72"/>
  <c r="AB826" i="72"/>
  <c r="AF1060" i="72"/>
  <c r="AA690" i="72"/>
  <c r="T728" i="72"/>
  <c r="AC782" i="72"/>
  <c r="AC826" i="72"/>
  <c r="AE892" i="72"/>
  <c r="AA1049" i="72"/>
  <c r="AE1067" i="72"/>
  <c r="S927" i="72"/>
  <c r="AE1069" i="72"/>
  <c r="AA893" i="72"/>
  <c r="X922" i="72"/>
  <c r="AE968" i="72"/>
  <c r="AB1018" i="72"/>
  <c r="Y1063" i="72"/>
  <c r="AC1083" i="72"/>
  <c r="AB918" i="72"/>
  <c r="AA944" i="72"/>
  <c r="V980" i="72"/>
  <c r="X1034" i="72"/>
  <c r="Z1063" i="72"/>
  <c r="AF1098" i="72"/>
  <c r="AG950" i="72"/>
  <c r="AB1041" i="72"/>
  <c r="AA926" i="72"/>
  <c r="AE1016" i="72"/>
  <c r="Z1029" i="72"/>
  <c r="AE962" i="72"/>
  <c r="Z1022" i="72"/>
  <c r="V886" i="72"/>
  <c r="AA904" i="72"/>
  <c r="AF946" i="72"/>
  <c r="W1025" i="72"/>
  <c r="AC909" i="72"/>
  <c r="AC947" i="72"/>
  <c r="AB931" i="72"/>
  <c r="AD981" i="72"/>
  <c r="Z1054" i="72"/>
  <c r="S171" i="72"/>
  <c r="Y64" i="72"/>
  <c r="U191" i="72"/>
  <c r="U212" i="72"/>
  <c r="AC9" i="72"/>
  <c r="AD45" i="72"/>
  <c r="Z53" i="72"/>
  <c r="AF143" i="72"/>
  <c r="Z143" i="72"/>
  <c r="AE162" i="72"/>
  <c r="AA162" i="72"/>
  <c r="W162" i="72"/>
  <c r="AA221" i="72"/>
  <c r="S972" i="72"/>
  <c r="U972" i="72"/>
  <c r="X87" i="72"/>
  <c r="AB92" i="72"/>
  <c r="W92" i="72"/>
  <c r="AD19" i="72"/>
  <c r="U28" i="72"/>
  <c r="AG82" i="72"/>
  <c r="AG221" i="72"/>
  <c r="W221" i="72"/>
  <c r="AB24" i="72"/>
  <c r="AD33" i="72"/>
  <c r="Z58" i="72"/>
  <c r="Y74" i="72"/>
  <c r="U77" i="72"/>
  <c r="Y42" i="72"/>
  <c r="AG111" i="72"/>
  <c r="Y136" i="72"/>
  <c r="Z227" i="72"/>
  <c r="AD95" i="72"/>
  <c r="W95" i="72"/>
  <c r="X349" i="72"/>
  <c r="V25" i="72"/>
  <c r="AB55" i="72"/>
  <c r="Z78" i="72"/>
  <c r="AG83" i="72"/>
  <c r="W107" i="72"/>
  <c r="U107" i="72"/>
  <c r="AA133" i="72"/>
  <c r="S604" i="72"/>
  <c r="Y638" i="72"/>
  <c r="AG782" i="72"/>
  <c r="X1092" i="72"/>
  <c r="Y712" i="72"/>
  <c r="AF838" i="72"/>
  <c r="AF724" i="72"/>
  <c r="AB814" i="72"/>
  <c r="AF791" i="72"/>
  <c r="AD711" i="72"/>
  <c r="Y1086" i="72"/>
  <c r="AE1037" i="72"/>
  <c r="V1060" i="72"/>
  <c r="AG692" i="72"/>
  <c r="AD729" i="72"/>
  <c r="W843" i="72"/>
  <c r="U892" i="72"/>
  <c r="AF1061" i="72"/>
  <c r="AF931" i="72"/>
  <c r="AG958" i="72"/>
  <c r="T1091" i="72"/>
  <c r="AA903" i="72"/>
  <c r="AA1021" i="72"/>
  <c r="U1091" i="72"/>
  <c r="AC938" i="72"/>
  <c r="AF1000" i="72"/>
  <c r="T1027" i="72"/>
  <c r="Z1064" i="72"/>
  <c r="S881" i="72"/>
  <c r="AA1039" i="72"/>
  <c r="AB1064" i="72"/>
  <c r="AC922" i="72"/>
  <c r="AC1007" i="72"/>
  <c r="AF1021" i="72"/>
  <c r="AE929" i="72"/>
  <c r="U1017" i="72"/>
  <c r="AB1034" i="72"/>
  <c r="AD910" i="72"/>
  <c r="AG967" i="72"/>
  <c r="U1026" i="72"/>
  <c r="AG1071" i="72"/>
  <c r="X1044" i="72"/>
  <c r="AA909" i="72"/>
  <c r="AC979" i="72"/>
  <c r="AG1026" i="72"/>
  <c r="AB1073" i="72"/>
  <c r="AE912" i="72"/>
  <c r="AD1033" i="72"/>
  <c r="AF880" i="72"/>
  <c r="AF935" i="72"/>
  <c r="U1002" i="72"/>
  <c r="AD1081" i="72"/>
  <c r="AC171" i="72"/>
  <c r="AB56" i="72"/>
  <c r="T56" i="72"/>
  <c r="T64" i="72"/>
  <c r="Y102" i="72"/>
  <c r="T191" i="72"/>
  <c r="AF212" i="72"/>
  <c r="AF50" i="72"/>
  <c r="T11" i="72"/>
  <c r="U33" i="72"/>
  <c r="Y53" i="72"/>
  <c r="AE139" i="72"/>
  <c r="Y143" i="72"/>
  <c r="X972" i="72"/>
  <c r="Y12" i="72"/>
  <c r="T68" i="72"/>
  <c r="V87" i="72"/>
  <c r="Y92" i="72"/>
  <c r="AF82" i="72"/>
  <c r="AD82" i="72"/>
  <c r="AC554" i="72"/>
  <c r="W554" i="72"/>
  <c r="Z874" i="72"/>
  <c r="AE17" i="72"/>
  <c r="T25" i="72"/>
  <c r="T77" i="72"/>
  <c r="S133" i="72"/>
  <c r="AE26" i="72"/>
  <c r="AA42" i="72"/>
  <c r="X136" i="72"/>
  <c r="X227" i="72"/>
  <c r="T227" i="72"/>
  <c r="V95" i="72"/>
  <c r="X78" i="72"/>
  <c r="V83" i="72"/>
  <c r="AE107" i="72"/>
  <c r="AA107" i="72"/>
  <c r="T107" i="72"/>
  <c r="AG133" i="72"/>
  <c r="AC133" i="72"/>
  <c r="X133" i="72"/>
  <c r="AE145" i="72"/>
  <c r="Z123" i="72"/>
  <c r="AB402" i="72"/>
  <c r="U871" i="72"/>
  <c r="T458" i="72"/>
  <c r="Y705" i="72"/>
  <c r="Z771" i="72"/>
  <c r="AG815" i="72"/>
  <c r="X774" i="72"/>
  <c r="S826" i="72"/>
  <c r="AE863" i="72"/>
  <c r="AG1032" i="72"/>
  <c r="U684" i="72"/>
  <c r="U726" i="72"/>
  <c r="AB1037" i="72"/>
  <c r="S1049" i="72"/>
  <c r="U695" i="72"/>
  <c r="W790" i="72"/>
  <c r="Y857" i="72"/>
  <c r="AF913" i="72"/>
  <c r="U1061" i="72"/>
  <c r="AG880" i="72"/>
  <c r="AF981" i="72"/>
  <c r="U1094" i="72"/>
  <c r="X927" i="72"/>
  <c r="AA888" i="72"/>
  <c r="AA948" i="72"/>
  <c r="AC977" i="72"/>
  <c r="W1007" i="72"/>
  <c r="U1034" i="72"/>
  <c r="Y1091" i="72"/>
  <c r="AF893" i="72"/>
  <c r="AF949" i="72"/>
  <c r="AB990" i="72"/>
  <c r="AA1091" i="72"/>
  <c r="S886" i="72"/>
  <c r="AD929" i="72"/>
  <c r="V973" i="72"/>
  <c r="T1055" i="72"/>
  <c r="U999" i="72"/>
  <c r="AF1052" i="72"/>
  <c r="AG929" i="72"/>
  <c r="Z999" i="72"/>
  <c r="AB1029" i="72"/>
  <c r="T1081" i="72"/>
  <c r="T943" i="72"/>
  <c r="Y880" i="72"/>
  <c r="AC991" i="72"/>
  <c r="AC1017" i="72"/>
  <c r="AA1081" i="72"/>
  <c r="AF1099" i="72"/>
  <c r="AD934" i="72"/>
  <c r="U888" i="72"/>
  <c r="T939" i="72"/>
  <c r="AD1065" i="72"/>
  <c r="AF1084" i="72"/>
  <c r="AE171" i="72"/>
  <c r="AA56" i="72"/>
  <c r="AC102" i="72"/>
  <c r="V102" i="72"/>
  <c r="S212" i="72"/>
  <c r="X12" i="72"/>
  <c r="Y24" i="72"/>
  <c r="U35" i="72"/>
  <c r="AG45" i="72"/>
  <c r="V53" i="72"/>
  <c r="U143" i="72"/>
  <c r="AF14" i="72"/>
  <c r="S87" i="72"/>
  <c r="AA24" i="72"/>
  <c r="Z33" i="72"/>
  <c r="AA82" i="72"/>
  <c r="Y221" i="72"/>
  <c r="AB554" i="72"/>
  <c r="U554" i="72"/>
  <c r="W874" i="72"/>
  <c r="AE19" i="72"/>
  <c r="AD26" i="72"/>
  <c r="Y39" i="72"/>
  <c r="AF77" i="72"/>
  <c r="W28" i="72"/>
  <c r="Z42" i="72"/>
  <c r="AD46" i="72"/>
  <c r="S136" i="72"/>
  <c r="S95" i="72"/>
  <c r="AA349" i="72"/>
  <c r="AD107" i="72"/>
  <c r="Z107" i="72"/>
  <c r="AF133" i="72"/>
  <c r="AB133" i="72"/>
  <c r="W133" i="72"/>
  <c r="Y145" i="72"/>
  <c r="Y28" i="72"/>
  <c r="V123" i="72"/>
  <c r="AA367" i="72"/>
  <c r="AD937" i="72"/>
  <c r="U747" i="72"/>
  <c r="S783" i="72"/>
  <c r="AD1080" i="72"/>
  <c r="V846" i="72"/>
  <c r="Y671" i="72"/>
  <c r="W905" i="72"/>
  <c r="AA657" i="72"/>
  <c r="AA1032" i="72"/>
  <c r="AA867" i="72"/>
  <c r="AB717" i="72"/>
  <c r="S1037" i="72"/>
  <c r="AD1060" i="72"/>
  <c r="V1092" i="72"/>
  <c r="V888" i="72"/>
  <c r="X939" i="72"/>
  <c r="AG984" i="72"/>
  <c r="X1014" i="72"/>
  <c r="AD903" i="72"/>
  <c r="AD949" i="72"/>
  <c r="T1039" i="72"/>
  <c r="AC1094" i="72"/>
  <c r="T900" i="72"/>
  <c r="AF888" i="72"/>
  <c r="Y933" i="72"/>
  <c r="S1026" i="72"/>
  <c r="AC881" i="72"/>
  <c r="S953" i="72"/>
  <c r="AD1007" i="72"/>
  <c r="AG1021" i="72"/>
  <c r="AG1055" i="72"/>
  <c r="S943" i="72"/>
  <c r="AG1007" i="72"/>
  <c r="AF1034" i="72"/>
  <c r="W946" i="72"/>
  <c r="AE882" i="72"/>
  <c r="AC934" i="72"/>
  <c r="AG1019" i="72"/>
  <c r="AC880" i="72"/>
  <c r="AB935" i="72"/>
  <c r="AA1065" i="72"/>
  <c r="S899" i="72"/>
  <c r="W949" i="72"/>
  <c r="AD1030" i="72"/>
  <c r="AD171" i="72"/>
  <c r="U64" i="72"/>
  <c r="U102" i="72"/>
  <c r="AD14" i="72"/>
  <c r="AE45" i="72"/>
  <c r="AB143" i="72"/>
  <c r="T143" i="72"/>
  <c r="AC162" i="72"/>
  <c r="Y162" i="72"/>
  <c r="U162" i="72"/>
  <c r="Z972" i="72"/>
  <c r="AC17" i="72"/>
  <c r="V35" i="72"/>
  <c r="AE87" i="72"/>
  <c r="AD92" i="72"/>
  <c r="Z92" i="72"/>
  <c r="U92" i="72"/>
  <c r="S25" i="72"/>
  <c r="AC221" i="72"/>
  <c r="X221" i="72"/>
  <c r="T554" i="72"/>
  <c r="AG554" i="72"/>
  <c r="T874" i="72"/>
  <c r="W11" i="72"/>
  <c r="X55" i="72"/>
  <c r="W58" i="72"/>
  <c r="AB74" i="72"/>
  <c r="V74" i="72"/>
  <c r="AA77" i="72"/>
  <c r="X15" i="72"/>
  <c r="W46" i="72"/>
  <c r="T136" i="72"/>
  <c r="AA95" i="72"/>
  <c r="V349" i="72"/>
  <c r="Y349" i="72"/>
  <c r="AF78" i="72"/>
  <c r="AG119" i="72"/>
  <c r="X145" i="72"/>
  <c r="U123" i="72"/>
  <c r="AF861" i="72"/>
  <c r="X1061" i="72"/>
  <c r="W1090" i="72"/>
  <c r="AA881" i="72"/>
  <c r="AD979" i="72"/>
  <c r="AG102" i="72"/>
  <c r="Z162" i="72"/>
  <c r="X68" i="72"/>
  <c r="X74" i="72"/>
  <c r="V136" i="72"/>
  <c r="X28" i="72"/>
  <c r="AC151" i="72"/>
  <c r="U151" i="72"/>
  <c r="AF163" i="72"/>
  <c r="AB163" i="72"/>
  <c r="X163" i="72"/>
  <c r="V251" i="72"/>
  <c r="T23" i="72"/>
  <c r="W179" i="72"/>
  <c r="AF146" i="72"/>
  <c r="AB146" i="72"/>
  <c r="X146" i="72"/>
  <c r="X86" i="72"/>
  <c r="V683" i="72"/>
  <c r="AB18" i="72"/>
  <c r="AD35" i="72"/>
  <c r="AD153" i="72"/>
  <c r="W131" i="72"/>
  <c r="S288" i="72"/>
  <c r="T19" i="72"/>
  <c r="S207" i="72"/>
  <c r="AC207" i="72"/>
  <c r="Z153" i="72"/>
  <c r="AB166" i="72"/>
  <c r="X166" i="72"/>
  <c r="Z30" i="72"/>
  <c r="AB168" i="72"/>
  <c r="AB103" i="72"/>
  <c r="U208" i="72"/>
  <c r="AC213" i="72"/>
  <c r="V277" i="72"/>
  <c r="AF372" i="72"/>
  <c r="V43" i="72"/>
  <c r="V59" i="72"/>
  <c r="AG71" i="72"/>
  <c r="AE85" i="72"/>
  <c r="AB165" i="72"/>
  <c r="Z382" i="72"/>
  <c r="AF103" i="72"/>
  <c r="AC120" i="72"/>
  <c r="AE140" i="72"/>
  <c r="W173" i="72"/>
  <c r="Y197" i="72"/>
  <c r="AD233" i="72"/>
  <c r="AF233" i="72"/>
  <c r="AE294" i="72"/>
  <c r="X294" i="72"/>
  <c r="T294" i="72"/>
  <c r="AE65" i="72"/>
  <c r="AA89" i="72"/>
  <c r="AC125" i="72"/>
  <c r="Z142" i="72"/>
  <c r="Z197" i="72"/>
  <c r="AC211" i="72"/>
  <c r="AE156" i="72"/>
  <c r="AG194" i="72"/>
  <c r="Z195" i="72"/>
  <c r="Z281" i="72"/>
  <c r="AB195" i="72"/>
  <c r="AF44" i="72"/>
  <c r="AC113" i="72"/>
  <c r="W183" i="72"/>
  <c r="AE200" i="72"/>
  <c r="Y303" i="72"/>
  <c r="AB330" i="72"/>
  <c r="AD48" i="72"/>
  <c r="AG67" i="72"/>
  <c r="AD210" i="72"/>
  <c r="S232" i="72"/>
  <c r="Y282" i="72"/>
  <c r="AG63" i="72"/>
  <c r="T81" i="72"/>
  <c r="AD122" i="72"/>
  <c r="AG196" i="72"/>
  <c r="W208" i="72"/>
  <c r="T391" i="72"/>
  <c r="AE823" i="72"/>
  <c r="S1060" i="72"/>
  <c r="AD1092" i="72"/>
  <c r="AD888" i="72"/>
  <c r="S926" i="72"/>
  <c r="T1044" i="72"/>
  <c r="AD912" i="72"/>
  <c r="AB1043" i="72"/>
  <c r="W102" i="72"/>
  <c r="V162" i="72"/>
  <c r="U87" i="72"/>
  <c r="AB82" i="72"/>
  <c r="Y874" i="72"/>
  <c r="T151" i="72"/>
  <c r="AC35" i="72"/>
  <c r="AE75" i="72"/>
  <c r="AG179" i="72"/>
  <c r="AC179" i="72"/>
  <c r="V179" i="72"/>
  <c r="AA234" i="72"/>
  <c r="V234" i="72"/>
  <c r="AF683" i="72"/>
  <c r="U683" i="72"/>
  <c r="S19" i="72"/>
  <c r="X27" i="72"/>
  <c r="T36" i="72"/>
  <c r="AD288" i="72"/>
  <c r="AG21" i="72"/>
  <c r="AC28" i="72"/>
  <c r="V49" i="72"/>
  <c r="AF124" i="72"/>
  <c r="AB124" i="72"/>
  <c r="X124" i="72"/>
  <c r="AD28" i="72"/>
  <c r="W153" i="72"/>
  <c r="W166" i="72"/>
  <c r="X105" i="72"/>
  <c r="AA168" i="72"/>
  <c r="AE189" i="72"/>
  <c r="AF228" i="72"/>
  <c r="AC277" i="72"/>
  <c r="U277" i="72"/>
  <c r="AC61" i="72"/>
  <c r="X73" i="72"/>
  <c r="AC268" i="72"/>
  <c r="Y268" i="72"/>
  <c r="U268" i="72"/>
  <c r="Y382" i="72"/>
  <c r="Z44" i="72"/>
  <c r="AC84" i="72"/>
  <c r="AA106" i="72"/>
  <c r="AD141" i="72"/>
  <c r="X198" i="72"/>
  <c r="X233" i="72"/>
  <c r="AD252" i="72"/>
  <c r="Z252" i="72"/>
  <c r="V252" i="72"/>
  <c r="AB44" i="72"/>
  <c r="AB67" i="72"/>
  <c r="AA108" i="72"/>
  <c r="V180" i="72"/>
  <c r="Y198" i="72"/>
  <c r="T194" i="72"/>
  <c r="AC197" i="72"/>
  <c r="Y281" i="72"/>
  <c r="AD200" i="72"/>
  <c r="AE63" i="72"/>
  <c r="AG101" i="72"/>
  <c r="U114" i="72"/>
  <c r="AE183" i="72"/>
  <c r="AC195" i="72"/>
  <c r="X303" i="72"/>
  <c r="T330" i="72"/>
  <c r="U69" i="72"/>
  <c r="V85" i="72"/>
  <c r="AB198" i="72"/>
  <c r="X282" i="72"/>
  <c r="AE172" i="72"/>
  <c r="V185" i="72"/>
  <c r="S213" i="72"/>
  <c r="T777" i="72"/>
  <c r="AE1060" i="72"/>
  <c r="AD936" i="72"/>
  <c r="Z922" i="72"/>
  <c r="AB967" i="72"/>
  <c r="AE922" i="72"/>
  <c r="AE886" i="72"/>
  <c r="AB191" i="72"/>
  <c r="AE972" i="72"/>
  <c r="AE92" i="72"/>
  <c r="AD186" i="72"/>
  <c r="S227" i="72"/>
  <c r="U78" i="72"/>
  <c r="V133" i="72"/>
  <c r="AB151" i="72"/>
  <c r="S151" i="72"/>
  <c r="AE163" i="72"/>
  <c r="AA163" i="72"/>
  <c r="W163" i="72"/>
  <c r="Z25" i="72"/>
  <c r="AB75" i="72"/>
  <c r="S179" i="72"/>
  <c r="U179" i="72"/>
  <c r="AE146" i="72"/>
  <c r="AA146" i="72"/>
  <c r="W146" i="72"/>
  <c r="Z21" i="72"/>
  <c r="AE166" i="72"/>
  <c r="AE22" i="72"/>
  <c r="S30" i="72"/>
  <c r="AF207" i="72"/>
  <c r="Y207" i="72"/>
  <c r="U19" i="72"/>
  <c r="X30" i="72"/>
  <c r="V153" i="72"/>
  <c r="AA166" i="72"/>
  <c r="T166" i="72"/>
  <c r="V19" i="72"/>
  <c r="T34" i="72"/>
  <c r="U56" i="72"/>
  <c r="T124" i="72"/>
  <c r="Z168" i="72"/>
  <c r="AF174" i="72"/>
  <c r="W189" i="72"/>
  <c r="AB213" i="72"/>
  <c r="AE228" i="72"/>
  <c r="T277" i="72"/>
  <c r="AE372" i="72"/>
  <c r="AD407" i="72"/>
  <c r="Y44" i="72"/>
  <c r="T63" i="72"/>
  <c r="W76" i="72"/>
  <c r="AE103" i="72"/>
  <c r="U184" i="72"/>
  <c r="U382" i="72"/>
  <c r="T57" i="72"/>
  <c r="AA70" i="72"/>
  <c r="Z110" i="72"/>
  <c r="AB125" i="72"/>
  <c r="Y142" i="72"/>
  <c r="AC156" i="72"/>
  <c r="Y216" i="72"/>
  <c r="U233" i="72"/>
  <c r="AC233" i="72"/>
  <c r="AD294" i="72"/>
  <c r="W294" i="72"/>
  <c r="S294" i="72"/>
  <c r="AF81" i="72"/>
  <c r="X100" i="72"/>
  <c r="AC130" i="72"/>
  <c r="AA147" i="72"/>
  <c r="AE165" i="72"/>
  <c r="X281" i="72"/>
  <c r="AD147" i="72"/>
  <c r="AA173" i="72"/>
  <c r="AA48" i="72"/>
  <c r="AA138" i="72"/>
  <c r="AG197" i="72"/>
  <c r="AB210" i="72"/>
  <c r="S303" i="72"/>
  <c r="Z330" i="72"/>
  <c r="S330" i="72"/>
  <c r="W51" i="72"/>
  <c r="AD222" i="72"/>
  <c r="T282" i="72"/>
  <c r="V69" i="72"/>
  <c r="AG108" i="72"/>
  <c r="AE185" i="72"/>
  <c r="AD196" i="72"/>
  <c r="AB559" i="72"/>
  <c r="AF766" i="72"/>
  <c r="AG979" i="72"/>
  <c r="AD939" i="72"/>
  <c r="AC948" i="72"/>
  <c r="AB936" i="72"/>
  <c r="AF171" i="72"/>
  <c r="S191" i="72"/>
  <c r="W53" i="72"/>
  <c r="AA92" i="72"/>
  <c r="AE221" i="72"/>
  <c r="AC95" i="72"/>
  <c r="T83" i="72"/>
  <c r="AB145" i="72"/>
  <c r="AG90" i="72"/>
  <c r="Z151" i="72"/>
  <c r="AF66" i="72"/>
  <c r="AA75" i="72"/>
  <c r="AB179" i="72"/>
  <c r="AF179" i="72"/>
  <c r="Z179" i="72"/>
  <c r="Z234" i="72"/>
  <c r="S234" i="72"/>
  <c r="AE683" i="72"/>
  <c r="AD11" i="72"/>
  <c r="Z22" i="72"/>
  <c r="AB28" i="72"/>
  <c r="AE168" i="72"/>
  <c r="AA288" i="72"/>
  <c r="AE11" i="72"/>
  <c r="X23" i="72"/>
  <c r="AB32" i="72"/>
  <c r="X207" i="72"/>
  <c r="AE124" i="72"/>
  <c r="AA124" i="72"/>
  <c r="W124" i="72"/>
  <c r="Y23" i="72"/>
  <c r="U153" i="72"/>
  <c r="AG166" i="72"/>
  <c r="S166" i="72"/>
  <c r="Z23" i="72"/>
  <c r="U146" i="72"/>
  <c r="V168" i="72"/>
  <c r="Z65" i="72"/>
  <c r="T208" i="72"/>
  <c r="X213" i="72"/>
  <c r="AA228" i="72"/>
  <c r="Y277" i="72"/>
  <c r="S277" i="72"/>
  <c r="AA372" i="72"/>
  <c r="AB65" i="72"/>
  <c r="U106" i="72"/>
  <c r="AG184" i="72"/>
  <c r="AB268" i="72"/>
  <c r="X268" i="72"/>
  <c r="T268" i="72"/>
  <c r="W59" i="72"/>
  <c r="Z73" i="72"/>
  <c r="AF85" i="72"/>
  <c r="AB130" i="72"/>
  <c r="X216" i="72"/>
  <c r="T233" i="72"/>
  <c r="AC252" i="72"/>
  <c r="Y252" i="72"/>
  <c r="U252" i="72"/>
  <c r="AB110" i="72"/>
  <c r="AB183" i="72"/>
  <c r="AC175" i="72"/>
  <c r="S194" i="72"/>
  <c r="AC219" i="72"/>
  <c r="W281" i="72"/>
  <c r="S85" i="72"/>
  <c r="T85" i="72"/>
  <c r="Y222" i="72"/>
  <c r="AF67" i="72"/>
  <c r="U85" i="72"/>
  <c r="AC118" i="72"/>
  <c r="AD183" i="72"/>
  <c r="AB197" i="72"/>
  <c r="V52" i="72"/>
  <c r="V114" i="72"/>
  <c r="Z176" i="72"/>
  <c r="AF195" i="72"/>
  <c r="AA198" i="72"/>
  <c r="AC232" i="72"/>
  <c r="S282" i="72"/>
  <c r="W85" i="72"/>
  <c r="S128" i="72"/>
  <c r="AC185" i="72"/>
  <c r="Y617" i="72"/>
  <c r="AE761" i="72"/>
  <c r="X1037" i="72"/>
  <c r="Y1021" i="72"/>
  <c r="AG974" i="72"/>
  <c r="X989" i="72"/>
  <c r="U1022" i="72"/>
  <c r="AG1027" i="72"/>
  <c r="T212" i="72"/>
  <c r="V92" i="72"/>
  <c r="V221" i="72"/>
  <c r="T95" i="72"/>
  <c r="W145" i="72"/>
  <c r="AE151" i="72"/>
  <c r="AA151" i="72"/>
  <c r="AD163" i="72"/>
  <c r="Z163" i="72"/>
  <c r="V163" i="72"/>
  <c r="AA66" i="72"/>
  <c r="Y75" i="72"/>
  <c r="AF234" i="72"/>
  <c r="AD146" i="72"/>
  <c r="Z146" i="72"/>
  <c r="V146" i="72"/>
  <c r="AD683" i="72"/>
  <c r="W23" i="72"/>
  <c r="AC288" i="72"/>
  <c r="Z288" i="72"/>
  <c r="AA207" i="72"/>
  <c r="W207" i="72"/>
  <c r="S124" i="72"/>
  <c r="AD166" i="72"/>
  <c r="Z166" i="72"/>
  <c r="AG35" i="72"/>
  <c r="W62" i="72"/>
  <c r="AD168" i="72"/>
  <c r="U168" i="72"/>
  <c r="Y70" i="72"/>
  <c r="AA208" i="72"/>
  <c r="AF213" i="72"/>
  <c r="V213" i="72"/>
  <c r="T228" i="72"/>
  <c r="AG277" i="72"/>
  <c r="U372" i="72"/>
  <c r="AG47" i="72"/>
  <c r="Z67" i="72"/>
  <c r="AC81" i="72"/>
  <c r="Y116" i="72"/>
  <c r="AF184" i="72"/>
  <c r="AG61" i="72"/>
  <c r="X76" i="72"/>
  <c r="Z89" i="72"/>
  <c r="Z147" i="72"/>
  <c r="X159" i="72"/>
  <c r="AA183" i="72"/>
  <c r="Z219" i="72"/>
  <c r="S233" i="72"/>
  <c r="AG252" i="72"/>
  <c r="Z294" i="72"/>
  <c r="V294" i="72"/>
  <c r="U57" i="72"/>
  <c r="AC70" i="72"/>
  <c r="AD84" i="72"/>
  <c r="AC101" i="72"/>
  <c r="AE134" i="72"/>
  <c r="AG149" i="72"/>
  <c r="W180" i="72"/>
  <c r="AB194" i="72"/>
  <c r="AB219" i="72"/>
  <c r="S281" i="72"/>
  <c r="Y180" i="72"/>
  <c r="AG211" i="72"/>
  <c r="T232" i="72"/>
  <c r="V51" i="72"/>
  <c r="S69" i="72"/>
  <c r="AA197" i="72"/>
  <c r="AC222" i="72"/>
  <c r="AD43" i="72"/>
  <c r="AE76" i="72"/>
  <c r="W176" i="72"/>
  <c r="AG198" i="72"/>
  <c r="AE232" i="72"/>
  <c r="X51" i="72"/>
  <c r="AG147" i="72"/>
  <c r="V172" i="72"/>
  <c r="AA196" i="72"/>
  <c r="W856" i="72"/>
  <c r="V1029" i="72"/>
  <c r="AB1066" i="72"/>
  <c r="Z933" i="72"/>
  <c r="S912" i="72"/>
  <c r="AF1097" i="72"/>
  <c r="T50" i="72"/>
  <c r="V143" i="72"/>
  <c r="Z24" i="72"/>
  <c r="X58" i="72"/>
  <c r="AF46" i="72"/>
  <c r="S107" i="72"/>
  <c r="Y123" i="72"/>
  <c r="AD151" i="72"/>
  <c r="Y151" i="72"/>
  <c r="AG163" i="72"/>
  <c r="AC163" i="72"/>
  <c r="Y163" i="72"/>
  <c r="AF251" i="72"/>
  <c r="S75" i="72"/>
  <c r="AG160" i="72"/>
  <c r="U234" i="72"/>
  <c r="AG146" i="72"/>
  <c r="AC146" i="72"/>
  <c r="Y146" i="72"/>
  <c r="AG86" i="72"/>
  <c r="AG683" i="72"/>
  <c r="Z683" i="72"/>
  <c r="AG131" i="72"/>
  <c r="X288" i="72"/>
  <c r="AB25" i="72"/>
  <c r="AE35" i="72"/>
  <c r="AF168" i="72"/>
  <c r="Z207" i="72"/>
  <c r="U207" i="72"/>
  <c r="AC25" i="72"/>
  <c r="W36" i="72"/>
  <c r="AG153" i="72"/>
  <c r="AC166" i="72"/>
  <c r="Y166" i="72"/>
  <c r="AC168" i="72"/>
  <c r="AD85" i="72"/>
  <c r="Z189" i="72"/>
  <c r="Z208" i="72"/>
  <c r="AE213" i="72"/>
  <c r="U213" i="72"/>
  <c r="AG230" i="72"/>
  <c r="Y40" i="72"/>
  <c r="AG51" i="72"/>
  <c r="AB84" i="72"/>
  <c r="AB137" i="72"/>
  <c r="AF382" i="72"/>
  <c r="AC65" i="72"/>
  <c r="AB101" i="72"/>
  <c r="AB116" i="72"/>
  <c r="AD149" i="72"/>
  <c r="X195" i="72"/>
  <c r="X231" i="72"/>
  <c r="Y294" i="72"/>
  <c r="U294" i="72"/>
  <c r="AA40" i="72"/>
  <c r="X59" i="72"/>
  <c r="AA73" i="72"/>
  <c r="AG85" i="72"/>
  <c r="AG103" i="72"/>
  <c r="AC116" i="72"/>
  <c r="AF137" i="72"/>
  <c r="AE187" i="72"/>
  <c r="AG137" i="72"/>
  <c r="AC183" i="72"/>
  <c r="AA194" i="72"/>
  <c r="U211" i="72"/>
  <c r="AC43" i="72"/>
  <c r="AD76" i="72"/>
  <c r="AG125" i="72"/>
  <c r="T183" i="72"/>
  <c r="AA264" i="72"/>
  <c r="AD303" i="72"/>
  <c r="AA330" i="72"/>
  <c r="AG44" i="72"/>
  <c r="AF63" i="72"/>
  <c r="S81" i="72"/>
  <c r="AA180" i="72"/>
  <c r="W232" i="72"/>
  <c r="AA282" i="72"/>
  <c r="AF76" i="72"/>
  <c r="AE100" i="72"/>
  <c r="V196" i="72"/>
  <c r="AB822" i="72"/>
  <c r="AG1037" i="72"/>
  <c r="Y1090" i="72"/>
  <c r="AG990" i="72"/>
  <c r="W1059" i="72"/>
  <c r="S56" i="72"/>
  <c r="AD162" i="72"/>
  <c r="V33" i="72"/>
  <c r="V554" i="72"/>
  <c r="AC74" i="72"/>
  <c r="Y25" i="72"/>
  <c r="T123" i="72"/>
  <c r="X151" i="72"/>
  <c r="W251" i="72"/>
  <c r="T179" i="72"/>
  <c r="AD179" i="72"/>
  <c r="X179" i="72"/>
  <c r="AB234" i="72"/>
  <c r="W234" i="72"/>
  <c r="T234" i="72"/>
  <c r="AD86" i="72"/>
  <c r="S683" i="72"/>
  <c r="W683" i="72"/>
  <c r="AA25" i="72"/>
  <c r="AA131" i="72"/>
  <c r="AE288" i="72"/>
  <c r="T288" i="72"/>
  <c r="S26" i="72"/>
  <c r="U36" i="72"/>
  <c r="AB207" i="72"/>
  <c r="T207" i="72"/>
  <c r="AG124" i="72"/>
  <c r="AC124" i="72"/>
  <c r="Y124" i="72"/>
  <c r="T26" i="72"/>
  <c r="AA153" i="72"/>
  <c r="U14" i="72"/>
  <c r="AE28" i="72"/>
  <c r="AG49" i="72"/>
  <c r="V230" i="72"/>
  <c r="AD277" i="72"/>
  <c r="W277" i="72"/>
  <c r="V372" i="72"/>
  <c r="U41" i="72"/>
  <c r="Z70" i="72"/>
  <c r="AA141" i="72"/>
  <c r="U195" i="72"/>
  <c r="AD268" i="72"/>
  <c r="Z268" i="72"/>
  <c r="V268" i="72"/>
  <c r="AA382" i="72"/>
  <c r="AA67" i="72"/>
  <c r="AE81" i="72"/>
  <c r="AG117" i="72"/>
  <c r="AC137" i="72"/>
  <c r="AA150" i="72"/>
  <c r="AA167" i="72"/>
  <c r="AE252" i="72"/>
  <c r="AA252" i="72"/>
  <c r="W252" i="72"/>
  <c r="AC294" i="72"/>
  <c r="X43" i="72"/>
  <c r="Z63" i="72"/>
  <c r="Z76" i="72"/>
  <c r="AC106" i="72"/>
  <c r="AG141" i="72"/>
  <c r="AD165" i="72"/>
  <c r="Y195" i="72"/>
  <c r="T188" i="72"/>
  <c r="AB281" i="72"/>
  <c r="V173" i="72"/>
  <c r="AC59" i="72"/>
  <c r="Z80" i="72"/>
  <c r="AC100" i="72"/>
  <c r="AG110" i="72"/>
  <c r="Z180" i="72"/>
  <c r="V264" i="72"/>
  <c r="AC303" i="72"/>
  <c r="X330" i="72"/>
  <c r="S47" i="72"/>
  <c r="AF198" i="72"/>
  <c r="V232" i="72"/>
  <c r="Z282" i="72"/>
  <c r="AE59" i="72"/>
  <c r="AF80" i="72"/>
  <c r="AC121" i="72"/>
  <c r="Y135" i="72"/>
  <c r="AF196" i="72"/>
  <c r="AE1052" i="72"/>
  <c r="Y179" i="72"/>
  <c r="AF288" i="72"/>
  <c r="V207" i="72"/>
  <c r="X277" i="72"/>
  <c r="AG187" i="72"/>
  <c r="AG89" i="72"/>
  <c r="Y114" i="72"/>
  <c r="S195" i="72"/>
  <c r="Y208" i="72"/>
  <c r="W103" i="72"/>
  <c r="S189" i="72"/>
  <c r="AG218" i="72"/>
  <c r="AC237" i="72"/>
  <c r="AB250" i="72"/>
  <c r="Z263" i="72"/>
  <c r="AD293" i="72"/>
  <c r="Y314" i="72"/>
  <c r="W253" i="72"/>
  <c r="W269" i="72"/>
  <c r="AE293" i="72"/>
  <c r="AE304" i="72"/>
  <c r="Y298" i="72"/>
  <c r="W549" i="72"/>
  <c r="V279" i="72"/>
  <c r="S326" i="72"/>
  <c r="T448" i="72"/>
  <c r="AB306" i="72"/>
  <c r="AF346" i="72"/>
  <c r="AC270" i="72"/>
  <c r="AC298" i="72"/>
  <c r="U399" i="72"/>
  <c r="AD298" i="72"/>
  <c r="W481" i="72"/>
  <c r="V326" i="72"/>
  <c r="X182" i="72"/>
  <c r="U218" i="72"/>
  <c r="Y239" i="72"/>
  <c r="AG261" i="72"/>
  <c r="AC283" i="72"/>
  <c r="S293" i="72"/>
  <c r="AD301" i="72"/>
  <c r="AG321" i="72"/>
  <c r="AA343" i="72"/>
  <c r="T343" i="72"/>
  <c r="W378" i="72"/>
  <c r="V420" i="72"/>
  <c r="X433" i="72"/>
  <c r="AC286" i="72"/>
  <c r="X299" i="72"/>
  <c r="AF317" i="72"/>
  <c r="X304" i="72"/>
  <c r="V324" i="72"/>
  <c r="T335" i="72"/>
  <c r="U388" i="72"/>
  <c r="V411" i="72"/>
  <c r="AA436" i="72"/>
  <c r="AA460" i="72"/>
  <c r="AE542" i="72"/>
  <c r="Z542" i="72"/>
  <c r="V542" i="72"/>
  <c r="U681" i="72"/>
  <c r="U1073" i="72"/>
  <c r="AC143" i="72"/>
  <c r="AD234" i="72"/>
  <c r="AB683" i="72"/>
  <c r="Y288" i="72"/>
  <c r="AG209" i="72"/>
  <c r="AE108" i="72"/>
  <c r="AF200" i="72"/>
  <c r="W69" i="72"/>
  <c r="X85" i="72"/>
  <c r="S137" i="72"/>
  <c r="W195" i="72"/>
  <c r="U200" i="72"/>
  <c r="AF210" i="72"/>
  <c r="AB222" i="72"/>
  <c r="W128" i="72"/>
  <c r="AC177" i="72"/>
  <c r="AG199" i="72"/>
  <c r="Y223" i="72"/>
  <c r="U238" i="72"/>
  <c r="AG274" i="72"/>
  <c r="W284" i="72"/>
  <c r="AD304" i="72"/>
  <c r="U353" i="72"/>
  <c r="U414" i="72"/>
  <c r="AG240" i="72"/>
  <c r="V283" i="72"/>
  <c r="X509" i="72"/>
  <c r="AA509" i="72"/>
  <c r="S306" i="72"/>
  <c r="AC384" i="72"/>
  <c r="Y384" i="72"/>
  <c r="U384" i="72"/>
  <c r="AF549" i="72"/>
  <c r="V549" i="72"/>
  <c r="Z329" i="72"/>
  <c r="AE278" i="72"/>
  <c r="AC319" i="72"/>
  <c r="X347" i="72"/>
  <c r="AF271" i="72"/>
  <c r="AB284" i="72"/>
  <c r="X326" i="72"/>
  <c r="AD269" i="72"/>
  <c r="AA283" i="72"/>
  <c r="Y353" i="72"/>
  <c r="S353" i="72"/>
  <c r="U326" i="72"/>
  <c r="AD477" i="72"/>
  <c r="Z477" i="72"/>
  <c r="X220" i="72"/>
  <c r="AD253" i="72"/>
  <c r="V262" i="72"/>
  <c r="X342" i="72"/>
  <c r="V378" i="72"/>
  <c r="V340" i="72"/>
  <c r="AG284" i="72"/>
  <c r="S319" i="72"/>
  <c r="S278" i="72"/>
  <c r="T266" i="72"/>
  <c r="U324" i="72"/>
  <c r="AD327" i="72"/>
  <c r="Z355" i="72"/>
  <c r="Y366" i="72"/>
  <c r="W376" i="72"/>
  <c r="T393" i="72"/>
  <c r="Z436" i="72"/>
  <c r="Z366" i="72"/>
  <c r="X376" i="72"/>
  <c r="Z387" i="72"/>
  <c r="W400" i="72"/>
  <c r="Y409" i="72"/>
  <c r="V461" i="72"/>
  <c r="V543" i="72"/>
  <c r="V596" i="72"/>
  <c r="AE360" i="72"/>
  <c r="AE370" i="72"/>
  <c r="AE387" i="72"/>
  <c r="AA123" i="72"/>
  <c r="Z28" i="72"/>
  <c r="X234" i="72"/>
  <c r="AG288" i="72"/>
  <c r="AD124" i="72"/>
  <c r="AG174" i="72"/>
  <c r="AE268" i="72"/>
  <c r="AG115" i="72"/>
  <c r="AF252" i="72"/>
  <c r="AG156" i="72"/>
  <c r="X232" i="72"/>
  <c r="AF43" i="72"/>
  <c r="Z114" i="72"/>
  <c r="AC180" i="72"/>
  <c r="Z200" i="72"/>
  <c r="Z222" i="72"/>
  <c r="T129" i="72"/>
  <c r="S149" i="72"/>
  <c r="U177" i="72"/>
  <c r="AG178" i="72"/>
  <c r="AF240" i="72"/>
  <c r="V253" i="72"/>
  <c r="AA266" i="72"/>
  <c r="AF295" i="72"/>
  <c r="AE315" i="72"/>
  <c r="T243" i="72"/>
  <c r="AA255" i="72"/>
  <c r="Y271" i="72"/>
  <c r="AG295" i="72"/>
  <c r="X308" i="72"/>
  <c r="V353" i="72"/>
  <c r="W509" i="72"/>
  <c r="V509" i="72"/>
  <c r="T549" i="72"/>
  <c r="Z284" i="72"/>
  <c r="Z448" i="72"/>
  <c r="S448" i="72"/>
  <c r="W279" i="72"/>
  <c r="T326" i="72"/>
  <c r="AA346" i="72"/>
  <c r="AG215" i="72"/>
  <c r="AA253" i="72"/>
  <c r="Z272" i="72"/>
  <c r="AA301" i="72"/>
  <c r="V327" i="72"/>
  <c r="T399" i="72"/>
  <c r="AD270" i="72"/>
  <c r="AG306" i="72"/>
  <c r="AG353" i="72"/>
  <c r="AF224" i="72"/>
  <c r="AC242" i="72"/>
  <c r="X254" i="72"/>
  <c r="AE272" i="72"/>
  <c r="AE284" i="72"/>
  <c r="Z343" i="72"/>
  <c r="U378" i="72"/>
  <c r="Z420" i="72"/>
  <c r="V218" i="72"/>
  <c r="AF279" i="72"/>
  <c r="U292" i="72"/>
  <c r="U293" i="72"/>
  <c r="W229" i="72"/>
  <c r="S335" i="72"/>
  <c r="T394" i="72"/>
  <c r="X436" i="72"/>
  <c r="W452" i="72"/>
  <c r="V460" i="72"/>
  <c r="AD542" i="72"/>
  <c r="Y542" i="72"/>
  <c r="U542" i="72"/>
  <c r="W688" i="72"/>
  <c r="V66" i="72"/>
  <c r="Y234" i="72"/>
  <c r="AF12" i="72"/>
  <c r="AG12" i="72"/>
  <c r="Z124" i="72"/>
  <c r="AG372" i="72"/>
  <c r="AA268" i="72"/>
  <c r="AD134" i="72"/>
  <c r="AB252" i="72"/>
  <c r="AB282" i="72"/>
  <c r="X96" i="72"/>
  <c r="V195" i="72"/>
  <c r="X222" i="72"/>
  <c r="T84" i="72"/>
  <c r="AA114" i="72"/>
  <c r="T177" i="72"/>
  <c r="X181" i="72"/>
  <c r="S243" i="72"/>
  <c r="Z255" i="72"/>
  <c r="X278" i="72"/>
  <c r="AB285" i="72"/>
  <c r="W297" i="72"/>
  <c r="U308" i="72"/>
  <c r="X348" i="72"/>
  <c r="X374" i="72"/>
  <c r="AE229" i="72"/>
  <c r="AE256" i="72"/>
  <c r="S272" i="72"/>
  <c r="X284" i="72"/>
  <c r="X297" i="72"/>
  <c r="S358" i="72"/>
  <c r="U509" i="72"/>
  <c r="AB384" i="72"/>
  <c r="X384" i="72"/>
  <c r="T384" i="72"/>
  <c r="AB549" i="72"/>
  <c r="AD255" i="72"/>
  <c r="AE448" i="72"/>
  <c r="V319" i="72"/>
  <c r="X346" i="72"/>
  <c r="W347" i="72"/>
  <c r="AB224" i="72"/>
  <c r="AG285" i="72"/>
  <c r="AA272" i="72"/>
  <c r="AC284" i="72"/>
  <c r="S310" i="72"/>
  <c r="X353" i="72"/>
  <c r="AC477" i="72"/>
  <c r="T477" i="72"/>
  <c r="Y199" i="72"/>
  <c r="S229" i="72"/>
  <c r="W315" i="72"/>
  <c r="AD420" i="72"/>
  <c r="W433" i="72"/>
  <c r="U250" i="72"/>
  <c r="AG269" i="72"/>
  <c r="T293" i="72"/>
  <c r="AE301" i="72"/>
  <c r="U340" i="72"/>
  <c r="U229" i="72"/>
  <c r="U295" i="72"/>
  <c r="AA240" i="72"/>
  <c r="T278" i="72"/>
  <c r="Y310" i="72"/>
  <c r="X327" i="72"/>
  <c r="AC367" i="72"/>
  <c r="AA380" i="72"/>
  <c r="W404" i="72"/>
  <c r="U417" i="72"/>
  <c r="U436" i="72"/>
  <c r="S460" i="72"/>
  <c r="S345" i="72"/>
  <c r="AA355" i="72"/>
  <c r="AD367" i="72"/>
  <c r="U393" i="72"/>
  <c r="S403" i="72"/>
  <c r="V412" i="72"/>
  <c r="V428" i="72"/>
  <c r="AD386" i="72"/>
  <c r="AF543" i="72"/>
  <c r="AC596" i="72"/>
  <c r="Z786" i="72"/>
  <c r="T75" i="72"/>
  <c r="V124" i="72"/>
  <c r="U26" i="72"/>
  <c r="W268" i="72"/>
  <c r="X252" i="72"/>
  <c r="W211" i="72"/>
  <c r="U183" i="72"/>
  <c r="AD59" i="72"/>
  <c r="X47" i="72"/>
  <c r="W98" i="72"/>
  <c r="X117" i="72"/>
  <c r="AB180" i="72"/>
  <c r="U222" i="72"/>
  <c r="S44" i="72"/>
  <c r="S115" i="72"/>
  <c r="U134" i="72"/>
  <c r="AD177" i="72"/>
  <c r="AB208" i="72"/>
  <c r="U205" i="72"/>
  <c r="AF244" i="72"/>
  <c r="AD256" i="72"/>
  <c r="V269" i="72"/>
  <c r="T298" i="72"/>
  <c r="AB319" i="72"/>
  <c r="V346" i="72"/>
  <c r="W374" i="72"/>
  <c r="X248" i="72"/>
  <c r="AA263" i="72"/>
  <c r="X298" i="72"/>
  <c r="AG310" i="72"/>
  <c r="AF509" i="72"/>
  <c r="T509" i="72"/>
  <c r="AC255" i="72"/>
  <c r="AE384" i="72"/>
  <c r="X270" i="72"/>
  <c r="Z298" i="72"/>
  <c r="V448" i="72"/>
  <c r="W448" i="72"/>
  <c r="AE255" i="72"/>
  <c r="AA284" i="72"/>
  <c r="U319" i="72"/>
  <c r="S346" i="72"/>
  <c r="Z346" i="72"/>
  <c r="AD226" i="72"/>
  <c r="AF255" i="72"/>
  <c r="AF278" i="72"/>
  <c r="AF289" i="72"/>
  <c r="AB253" i="72"/>
  <c r="AB312" i="72"/>
  <c r="AF353" i="72"/>
  <c r="Y477" i="72"/>
  <c r="AG201" i="72"/>
  <c r="AB235" i="72"/>
  <c r="V299" i="72"/>
  <c r="Y343" i="72"/>
  <c r="U433" i="72"/>
  <c r="AG224" i="72"/>
  <c r="AD283" i="72"/>
  <c r="X315" i="72"/>
  <c r="T340" i="72"/>
  <c r="W240" i="72"/>
  <c r="AG272" i="72"/>
  <c r="S338" i="72"/>
  <c r="W344" i="72"/>
  <c r="T360" i="72"/>
  <c r="Z381" i="72"/>
  <c r="S397" i="72"/>
  <c r="T436" i="72"/>
  <c r="AD460" i="72"/>
  <c r="U460" i="72"/>
  <c r="AB542" i="72"/>
  <c r="X542" i="72"/>
  <c r="T542" i="72"/>
  <c r="AB380" i="72"/>
  <c r="AG394" i="72"/>
  <c r="S428" i="72"/>
  <c r="AG1073" i="72"/>
  <c r="X35" i="72"/>
  <c r="S163" i="72"/>
  <c r="Z32" i="72"/>
  <c r="X36" i="72"/>
  <c r="S268" i="72"/>
  <c r="AC165" i="72"/>
  <c r="T252" i="72"/>
  <c r="W197" i="72"/>
  <c r="AA80" i="72"/>
  <c r="Y52" i="72"/>
  <c r="W196" i="72"/>
  <c r="AG76" i="72"/>
  <c r="AF100" i="72"/>
  <c r="AE195" i="72"/>
  <c r="AA206" i="72"/>
  <c r="T213" i="72"/>
  <c r="Z47" i="72"/>
  <c r="T137" i="72"/>
  <c r="AF182" i="72"/>
  <c r="AD229" i="72"/>
  <c r="W248" i="72"/>
  <c r="V261" i="72"/>
  <c r="AB280" i="72"/>
  <c r="AF310" i="72"/>
  <c r="AF322" i="72"/>
  <c r="Z347" i="72"/>
  <c r="U348" i="72"/>
  <c r="S374" i="72"/>
  <c r="AC285" i="72"/>
  <c r="AC313" i="72"/>
  <c r="S509" i="72"/>
  <c r="W270" i="72"/>
  <c r="AF384" i="72"/>
  <c r="AA384" i="72"/>
  <c r="W384" i="72"/>
  <c r="S384" i="72"/>
  <c r="Z549" i="72"/>
  <c r="X272" i="72"/>
  <c r="V306" i="72"/>
  <c r="T319" i="72"/>
  <c r="V347" i="72"/>
  <c r="X279" i="72"/>
  <c r="AF306" i="72"/>
  <c r="AB353" i="72"/>
  <c r="W353" i="72"/>
  <c r="AG481" i="72"/>
  <c r="AF477" i="72"/>
  <c r="AB477" i="72"/>
  <c r="S477" i="72"/>
  <c r="T237" i="72"/>
  <c r="U259" i="72"/>
  <c r="Y267" i="72"/>
  <c r="AF287" i="72"/>
  <c r="AF309" i="72"/>
  <c r="Z316" i="72"/>
  <c r="AA420" i="72"/>
  <c r="S420" i="72"/>
  <c r="S433" i="72"/>
  <c r="T229" i="72"/>
  <c r="U305" i="72"/>
  <c r="S304" i="72"/>
  <c r="W293" i="72"/>
  <c r="X319" i="72"/>
  <c r="AF327" i="72"/>
  <c r="W327" i="72"/>
  <c r="AB405" i="72"/>
  <c r="T460" i="72"/>
  <c r="AC542" i="72"/>
  <c r="S542" i="72"/>
  <c r="U350" i="72"/>
  <c r="U360" i="72"/>
  <c r="AD381" i="72"/>
  <c r="X404" i="72"/>
  <c r="Z409" i="72"/>
  <c r="T461" i="72"/>
  <c r="AB543" i="72"/>
  <c r="T365" i="72"/>
  <c r="AA179" i="72"/>
  <c r="S146" i="72"/>
  <c r="AF35" i="72"/>
  <c r="AF264" i="72"/>
  <c r="Z51" i="72"/>
  <c r="U81" i="72"/>
  <c r="S101" i="72"/>
  <c r="T206" i="72"/>
  <c r="S222" i="72"/>
  <c r="Y96" i="72"/>
  <c r="Y117" i="72"/>
  <c r="W213" i="72"/>
  <c r="Y192" i="72"/>
  <c r="T217" i="72"/>
  <c r="T249" i="72"/>
  <c r="X271" i="72"/>
  <c r="AG290" i="72"/>
  <c r="AE299" i="72"/>
  <c r="AG311" i="72"/>
  <c r="AD348" i="72"/>
  <c r="V205" i="72"/>
  <c r="AD237" i="72"/>
  <c r="AC250" i="72"/>
  <c r="AC266" i="72"/>
  <c r="Y278" i="72"/>
  <c r="V301" i="72"/>
  <c r="AE549" i="72"/>
  <c r="Y549" i="72"/>
  <c r="U448" i="72"/>
  <c r="AB270" i="72"/>
  <c r="AG347" i="72"/>
  <c r="AD224" i="72"/>
  <c r="AG255" i="72"/>
  <c r="AG278" i="72"/>
  <c r="AG323" i="72"/>
  <c r="T481" i="72"/>
  <c r="AG326" i="72"/>
  <c r="AF249" i="72"/>
  <c r="AE279" i="72"/>
  <c r="Z300" i="72"/>
  <c r="U310" i="72"/>
  <c r="AA327" i="72"/>
  <c r="X343" i="72"/>
  <c r="AF272" i="72"/>
  <c r="AF284" i="72"/>
  <c r="Y317" i="72"/>
  <c r="AG340" i="72"/>
  <c r="Z240" i="72"/>
  <c r="AB338" i="72"/>
  <c r="X250" i="72"/>
  <c r="W295" i="72"/>
  <c r="AG324" i="72"/>
  <c r="AA352" i="72"/>
  <c r="AG362" i="72"/>
  <c r="Y370" i="72"/>
  <c r="Y386" i="72"/>
  <c r="V409" i="72"/>
  <c r="Y434" i="72"/>
  <c r="AB460" i="72"/>
  <c r="AF542" i="72"/>
  <c r="AA542" i="72"/>
  <c r="W542" i="72"/>
  <c r="AG542" i="72"/>
  <c r="T337" i="72"/>
  <c r="AC370" i="72"/>
  <c r="T397" i="72"/>
  <c r="AG428" i="72"/>
  <c r="X411" i="72"/>
  <c r="AC461" i="72"/>
  <c r="Y543" i="72"/>
  <c r="AF380" i="72"/>
  <c r="V397" i="72"/>
  <c r="AE179" i="72"/>
  <c r="X63" i="72"/>
  <c r="AD195" i="72"/>
  <c r="X549" i="72"/>
  <c r="AA298" i="72"/>
  <c r="Y178" i="72"/>
  <c r="X420" i="72"/>
  <c r="W461" i="72"/>
  <c r="W543" i="72"/>
  <c r="AE386" i="72"/>
  <c r="Z426" i="72"/>
  <c r="T452" i="72"/>
  <c r="U371" i="72"/>
  <c r="AF388" i="72"/>
  <c r="AF523" i="72"/>
  <c r="Z586" i="72"/>
  <c r="AA449" i="72"/>
  <c r="T449" i="72"/>
  <c r="W325" i="72"/>
  <c r="S351" i="72"/>
  <c r="W361" i="72"/>
  <c r="AF441" i="72"/>
  <c r="AG450" i="72"/>
  <c r="AC567" i="72"/>
  <c r="Y567" i="72"/>
  <c r="U567" i="72"/>
  <c r="AC412" i="72"/>
  <c r="Z574" i="72"/>
  <c r="Z361" i="72"/>
  <c r="S380" i="72"/>
  <c r="AE401" i="72"/>
  <c r="AB422" i="72"/>
  <c r="AG376" i="72"/>
  <c r="X395" i="72"/>
  <c r="AE489" i="72"/>
  <c r="Y489" i="72"/>
  <c r="AA421" i="72"/>
  <c r="T442" i="72"/>
  <c r="AG486" i="72"/>
  <c r="V471" i="72"/>
  <c r="V480" i="72"/>
  <c r="AA515" i="72"/>
  <c r="AE463" i="72"/>
  <c r="T454" i="72"/>
  <c r="AB468" i="72"/>
  <c r="AE480" i="72"/>
  <c r="V507" i="72"/>
  <c r="T513" i="72"/>
  <c r="T576" i="72"/>
  <c r="AG488" i="72"/>
  <c r="W522" i="72"/>
  <c r="S431" i="72"/>
  <c r="Z458" i="72"/>
  <c r="T516" i="72"/>
  <c r="W435" i="72"/>
  <c r="U472" i="72"/>
  <c r="AG479" i="72"/>
  <c r="AB584" i="72"/>
  <c r="W624" i="72"/>
  <c r="AB593" i="72"/>
  <c r="AB495" i="72"/>
  <c r="AA585" i="72"/>
  <c r="AC603" i="72"/>
  <c r="AF614" i="72"/>
  <c r="U614" i="72"/>
  <c r="AD630" i="72"/>
  <c r="Z1041" i="72"/>
  <c r="AB211" i="72"/>
  <c r="U283" i="72"/>
  <c r="AD319" i="72"/>
  <c r="W312" i="72"/>
  <c r="Z353" i="72"/>
  <c r="AF217" i="72"/>
  <c r="V310" i="72"/>
  <c r="Y338" i="72"/>
  <c r="W341" i="72"/>
  <c r="U461" i="72"/>
  <c r="T543" i="72"/>
  <c r="S361" i="72"/>
  <c r="AE388" i="72"/>
  <c r="AG405" i="72"/>
  <c r="AA410" i="72"/>
  <c r="AC452" i="72"/>
  <c r="AB523" i="72"/>
  <c r="AC586" i="72"/>
  <c r="W409" i="72"/>
  <c r="S411" i="72"/>
  <c r="V332" i="72"/>
  <c r="Z371" i="72"/>
  <c r="X401" i="72"/>
  <c r="X413" i="72"/>
  <c r="AB450" i="72"/>
  <c r="T567" i="72"/>
  <c r="Z365" i="72"/>
  <c r="AE376" i="72"/>
  <c r="V574" i="72"/>
  <c r="AG393" i="72"/>
  <c r="S402" i="72"/>
  <c r="Z422" i="72"/>
  <c r="Y437" i="72"/>
  <c r="V367" i="72"/>
  <c r="U446" i="72"/>
  <c r="AD446" i="72"/>
  <c r="AG489" i="72"/>
  <c r="Y421" i="72"/>
  <c r="T415" i="72"/>
  <c r="AF429" i="72"/>
  <c r="AB470" i="72"/>
  <c r="AD475" i="72"/>
  <c r="V486" i="72"/>
  <c r="V506" i="72"/>
  <c r="Z439" i="72"/>
  <c r="T473" i="72"/>
  <c r="Y488" i="72"/>
  <c r="AF521" i="72"/>
  <c r="AA474" i="72"/>
  <c r="V455" i="72"/>
  <c r="AD490" i="72"/>
  <c r="AD515" i="72"/>
  <c r="X515" i="72"/>
  <c r="AG506" i="72"/>
  <c r="Z506" i="72"/>
  <c r="S513" i="72"/>
  <c r="AE616" i="72"/>
  <c r="X616" i="72"/>
  <c r="W432" i="72"/>
  <c r="W462" i="72"/>
  <c r="AD478" i="72"/>
  <c r="AC511" i="72"/>
  <c r="S444" i="72"/>
  <c r="Y483" i="72"/>
  <c r="AF624" i="72"/>
  <c r="Y624" i="72"/>
  <c r="AA593" i="72"/>
  <c r="X490" i="72"/>
  <c r="Y499" i="72"/>
  <c r="S463" i="72"/>
  <c r="Y585" i="72"/>
  <c r="AB572" i="72"/>
  <c r="AB630" i="72"/>
  <c r="V565" i="72"/>
  <c r="AC588" i="72"/>
  <c r="AF640" i="72"/>
  <c r="Z640" i="72"/>
  <c r="V640" i="72"/>
  <c r="Z565" i="72"/>
  <c r="AD588" i="72"/>
  <c r="AF52" i="72"/>
  <c r="AE222" i="72"/>
  <c r="X238" i="72"/>
  <c r="AD278" i="72"/>
  <c r="V399" i="72"/>
  <c r="T353" i="72"/>
  <c r="AF238" i="72"/>
  <c r="U317" i="72"/>
  <c r="S255" i="72"/>
  <c r="Y344" i="72"/>
  <c r="AE405" i="72"/>
  <c r="AC380" i="72"/>
  <c r="S364" i="72"/>
  <c r="Y393" i="72"/>
  <c r="U426" i="72"/>
  <c r="S452" i="72"/>
  <c r="AA376" i="72"/>
  <c r="W397" i="72"/>
  <c r="AA523" i="72"/>
  <c r="AB586" i="72"/>
  <c r="X449" i="72"/>
  <c r="S449" i="72"/>
  <c r="W333" i="72"/>
  <c r="AE354" i="72"/>
  <c r="S421" i="72"/>
  <c r="AB567" i="72"/>
  <c r="X567" i="72"/>
  <c r="S567" i="72"/>
  <c r="Z345" i="72"/>
  <c r="AA401" i="72"/>
  <c r="Z413" i="72"/>
  <c r="U574" i="72"/>
  <c r="AA345" i="72"/>
  <c r="X363" i="72"/>
  <c r="U395" i="72"/>
  <c r="T380" i="72"/>
  <c r="AF413" i="72"/>
  <c r="S446" i="72"/>
  <c r="T489" i="72"/>
  <c r="AD489" i="72"/>
  <c r="X489" i="72"/>
  <c r="U471" i="72"/>
  <c r="X488" i="72"/>
  <c r="AD507" i="72"/>
  <c r="V423" i="72"/>
  <c r="T521" i="72"/>
  <c r="AG439" i="72"/>
  <c r="T465" i="72"/>
  <c r="X471" i="72"/>
  <c r="W490" i="72"/>
  <c r="W488" i="72"/>
  <c r="S435" i="72"/>
  <c r="T472" i="72"/>
  <c r="AF479" i="72"/>
  <c r="AF593" i="72"/>
  <c r="W445" i="72"/>
  <c r="AB473" i="72"/>
  <c r="AA584" i="72"/>
  <c r="U610" i="72"/>
  <c r="V624" i="72"/>
  <c r="X624" i="72"/>
  <c r="Z435" i="72"/>
  <c r="X593" i="72"/>
  <c r="AG465" i="72"/>
  <c r="W499" i="72"/>
  <c r="AD495" i="72"/>
  <c r="W585" i="72"/>
  <c r="Y603" i="72"/>
  <c r="AD614" i="72"/>
  <c r="Y630" i="72"/>
  <c r="AG518" i="72"/>
  <c r="X592" i="72"/>
  <c r="U640" i="72"/>
  <c r="AD156" i="72"/>
  <c r="S84" i="72"/>
  <c r="AG258" i="72"/>
  <c r="V193" i="72"/>
  <c r="U301" i="72"/>
  <c r="Z278" i="72"/>
  <c r="Y347" i="72"/>
  <c r="AE481" i="72"/>
  <c r="T250" i="72"/>
  <c r="Y182" i="72"/>
  <c r="W340" i="72"/>
  <c r="V387" i="72"/>
  <c r="X434" i="72"/>
  <c r="AF367" i="72"/>
  <c r="AA409" i="72"/>
  <c r="Y411" i="72"/>
  <c r="AG452" i="72"/>
  <c r="AA452" i="72"/>
  <c r="U398" i="72"/>
  <c r="X523" i="72"/>
  <c r="AC523" i="72"/>
  <c r="AA586" i="72"/>
  <c r="W398" i="72"/>
  <c r="Y365" i="72"/>
  <c r="AC393" i="72"/>
  <c r="Y403" i="72"/>
  <c r="AG427" i="72"/>
  <c r="T367" i="72"/>
  <c r="AB379" i="72"/>
  <c r="AF393" i="72"/>
  <c r="AG412" i="72"/>
  <c r="T421" i="72"/>
  <c r="AC403" i="72"/>
  <c r="X422" i="72"/>
  <c r="AE437" i="72"/>
  <c r="X446" i="72"/>
  <c r="AB398" i="72"/>
  <c r="AB413" i="72"/>
  <c r="AC446" i="72"/>
  <c r="W421" i="72"/>
  <c r="AG431" i="72"/>
  <c r="AB444" i="72"/>
  <c r="Y463" i="72"/>
  <c r="V478" i="72"/>
  <c r="U442" i="72"/>
  <c r="Z474" i="72"/>
  <c r="AF490" i="72"/>
  <c r="AG444" i="72"/>
  <c r="X468" i="72"/>
  <c r="X478" i="72"/>
  <c r="AA506" i="72"/>
  <c r="AC515" i="72"/>
  <c r="U515" i="72"/>
  <c r="AF506" i="72"/>
  <c r="X506" i="72"/>
  <c r="AD616" i="72"/>
  <c r="AF616" i="72"/>
  <c r="V488" i="72"/>
  <c r="AE522" i="72"/>
  <c r="AC451" i="72"/>
  <c r="T483" i="72"/>
  <c r="AG511" i="72"/>
  <c r="Z511" i="72"/>
  <c r="AB418" i="72"/>
  <c r="AE465" i="72"/>
  <c r="S490" i="72"/>
  <c r="AF571" i="72"/>
  <c r="Z584" i="72"/>
  <c r="AE624" i="72"/>
  <c r="S624" i="72"/>
  <c r="AB445" i="72"/>
  <c r="V593" i="72"/>
  <c r="AC435" i="72"/>
  <c r="AC499" i="72"/>
  <c r="T499" i="72"/>
  <c r="AC495" i="72"/>
  <c r="U585" i="72"/>
  <c r="AA577" i="72"/>
  <c r="T630" i="72"/>
  <c r="V630" i="72"/>
  <c r="W568" i="72"/>
  <c r="AE592" i="72"/>
  <c r="AE640" i="72"/>
  <c r="Y640" i="72"/>
  <c r="X568" i="72"/>
  <c r="T146" i="72"/>
  <c r="Y69" i="72"/>
  <c r="Z313" i="72"/>
  <c r="AD384" i="72"/>
  <c r="W326" i="72"/>
  <c r="AG343" i="72"/>
  <c r="V237" i="72"/>
  <c r="AD324" i="72"/>
  <c r="V400" i="72"/>
  <c r="AB352" i="72"/>
  <c r="W411" i="72"/>
  <c r="V434" i="72"/>
  <c r="T398" i="72"/>
  <c r="AG410" i="72"/>
  <c r="T426" i="72"/>
  <c r="V452" i="72"/>
  <c r="AG380" i="72"/>
  <c r="V403" i="72"/>
  <c r="V523" i="72"/>
  <c r="S523" i="72"/>
  <c r="V586" i="72"/>
  <c r="AG411" i="72"/>
  <c r="W449" i="72"/>
  <c r="AC339" i="72"/>
  <c r="AG355" i="72"/>
  <c r="S367" i="72"/>
  <c r="AD376" i="72"/>
  <c r="S395" i="72"/>
  <c r="S405" i="72"/>
  <c r="AA427" i="72"/>
  <c r="AA567" i="72"/>
  <c r="W567" i="72"/>
  <c r="AE567" i="72"/>
  <c r="AF356" i="72"/>
  <c r="T395" i="72"/>
  <c r="Z403" i="72"/>
  <c r="S412" i="72"/>
  <c r="T446" i="72"/>
  <c r="AD365" i="72"/>
  <c r="AE371" i="72"/>
  <c r="U380" i="72"/>
  <c r="AB489" i="72"/>
  <c r="AC489" i="72"/>
  <c r="W489" i="72"/>
  <c r="AF464" i="72"/>
  <c r="AD472" i="72"/>
  <c r="AC490" i="72"/>
  <c r="Z515" i="72"/>
  <c r="AA425" i="72"/>
  <c r="AD463" i="72"/>
  <c r="AG475" i="72"/>
  <c r="S454" i="72"/>
  <c r="Y513" i="72"/>
  <c r="AG463" i="72"/>
  <c r="AB474" i="72"/>
  <c r="U490" i="72"/>
  <c r="AA507" i="72"/>
  <c r="W515" i="72"/>
  <c r="AE576" i="72"/>
  <c r="AB616" i="72"/>
  <c r="AF505" i="72"/>
  <c r="AC522" i="72"/>
  <c r="AF438" i="72"/>
  <c r="AA473" i="72"/>
  <c r="Y511" i="72"/>
  <c r="W453" i="72"/>
  <c r="AE495" i="72"/>
  <c r="Y584" i="72"/>
  <c r="U624" i="72"/>
  <c r="AC462" i="72"/>
  <c r="AF478" i="72"/>
  <c r="AF585" i="72"/>
  <c r="S499" i="72"/>
  <c r="T585" i="72"/>
  <c r="S35" i="72"/>
  <c r="T128" i="72"/>
  <c r="T101" i="72"/>
  <c r="Z384" i="72"/>
  <c r="AG243" i="72"/>
  <c r="AE477" i="72"/>
  <c r="AF269" i="72"/>
  <c r="W262" i="72"/>
  <c r="V250" i="72"/>
  <c r="AE327" i="72"/>
  <c r="V410" i="72"/>
  <c r="AC386" i="72"/>
  <c r="T371" i="72"/>
  <c r="S401" i="72"/>
  <c r="W417" i="72"/>
  <c r="AF426" i="72"/>
  <c r="AE452" i="72"/>
  <c r="Z452" i="72"/>
  <c r="AC385" i="72"/>
  <c r="U523" i="72"/>
  <c r="U586" i="72"/>
  <c r="AE411" i="72"/>
  <c r="X371" i="72"/>
  <c r="AA356" i="72"/>
  <c r="U427" i="72"/>
  <c r="AG567" i="72"/>
  <c r="AA469" i="72"/>
  <c r="AF574" i="72"/>
  <c r="AG356" i="72"/>
  <c r="S375" i="72"/>
  <c r="AA398" i="72"/>
  <c r="W416" i="72"/>
  <c r="W422" i="72"/>
  <c r="Z437" i="72"/>
  <c r="AB437" i="72"/>
  <c r="AF371" i="72"/>
  <c r="AD403" i="72"/>
  <c r="AA413" i="72"/>
  <c r="AB446" i="72"/>
  <c r="V489" i="72"/>
  <c r="AE421" i="72"/>
  <c r="AG563" i="72"/>
  <c r="U423" i="72"/>
  <c r="AE453" i="72"/>
  <c r="S473" i="72"/>
  <c r="AE444" i="72"/>
  <c r="S465" i="72"/>
  <c r="W506" i="72"/>
  <c r="W471" i="72"/>
  <c r="AD480" i="72"/>
  <c r="AG515" i="72"/>
  <c r="AB515" i="72"/>
  <c r="W455" i="72"/>
  <c r="AE506" i="72"/>
  <c r="AG513" i="72"/>
  <c r="AA616" i="72"/>
  <c r="AC616" i="72"/>
  <c r="W616" i="72"/>
  <c r="AD576" i="72"/>
  <c r="AB522" i="72"/>
  <c r="Y418" i="72"/>
  <c r="V453" i="72"/>
  <c r="AD465" i="72"/>
  <c r="AF511" i="72"/>
  <c r="S470" i="72"/>
  <c r="V475" i="72"/>
  <c r="X584" i="72"/>
  <c r="Y610" i="72"/>
  <c r="AB624" i="72"/>
  <c r="Z593" i="72"/>
  <c r="AC445" i="72"/>
  <c r="S474" i="72"/>
  <c r="AA499" i="72"/>
  <c r="T474" i="72"/>
  <c r="AG512" i="72"/>
  <c r="S585" i="72"/>
  <c r="U565" i="72"/>
  <c r="AB588" i="72"/>
  <c r="AG534" i="72"/>
  <c r="AC572" i="72"/>
  <c r="U605" i="72"/>
  <c r="AD640" i="72"/>
  <c r="X640" i="72"/>
  <c r="AD572" i="72"/>
  <c r="W349" i="72"/>
  <c r="AE277" i="72"/>
  <c r="AG303" i="72"/>
  <c r="AG180" i="72"/>
  <c r="T125" i="72"/>
  <c r="V384" i="72"/>
  <c r="AC269" i="72"/>
  <c r="Z279" i="72"/>
  <c r="AA477" i="72"/>
  <c r="AB378" i="72"/>
  <c r="AG279" i="72"/>
  <c r="AF335" i="72"/>
  <c r="Y436" i="72"/>
  <c r="W388" i="72"/>
  <c r="AE543" i="72"/>
  <c r="W596" i="72"/>
  <c r="Z376" i="72"/>
  <c r="S417" i="72"/>
  <c r="AD426" i="72"/>
  <c r="U452" i="72"/>
  <c r="AF386" i="72"/>
  <c r="T523" i="72"/>
  <c r="AF409" i="72"/>
  <c r="V449" i="72"/>
  <c r="AD359" i="72"/>
  <c r="AG368" i="72"/>
  <c r="X398" i="72"/>
  <c r="AD567" i="72"/>
  <c r="Z567" i="72"/>
  <c r="V567" i="72"/>
  <c r="X361" i="72"/>
  <c r="AD371" i="72"/>
  <c r="T405" i="72"/>
  <c r="AD412" i="72"/>
  <c r="U469" i="72"/>
  <c r="AG574" i="72"/>
  <c r="U405" i="72"/>
  <c r="T437" i="72"/>
  <c r="T375" i="72"/>
  <c r="AA489" i="72"/>
  <c r="Z489" i="72"/>
  <c r="U489" i="72"/>
  <c r="W439" i="72"/>
  <c r="AB466" i="72"/>
  <c r="AG502" i="72"/>
  <c r="U415" i="72"/>
  <c r="AG429" i="72"/>
  <c r="AG466" i="72"/>
  <c r="W478" i="72"/>
  <c r="AF507" i="72"/>
  <c r="Z488" i="72"/>
  <c r="U465" i="72"/>
  <c r="T490" i="72"/>
  <c r="X507" i="72"/>
  <c r="X513" i="72"/>
  <c r="S616" i="72"/>
  <c r="V616" i="72"/>
  <c r="AC576" i="72"/>
  <c r="AA522" i="72"/>
  <c r="AG442" i="72"/>
  <c r="U495" i="72"/>
  <c r="AG516" i="72"/>
  <c r="U429" i="72"/>
  <c r="AG454" i="72"/>
  <c r="AF499" i="72"/>
  <c r="AC584" i="72"/>
  <c r="W584" i="72"/>
  <c r="Z610" i="72"/>
  <c r="T624" i="72"/>
  <c r="V490" i="72"/>
  <c r="AE593" i="72"/>
  <c r="Y614" i="72"/>
  <c r="AE630" i="72"/>
  <c r="AC640" i="72"/>
  <c r="AD410" i="72"/>
  <c r="U367" i="72"/>
  <c r="AA437" i="72"/>
  <c r="Z446" i="72"/>
  <c r="Z425" i="72"/>
  <c r="AC468" i="72"/>
  <c r="AE511" i="72"/>
  <c r="V584" i="72"/>
  <c r="V614" i="72"/>
  <c r="AB577" i="72"/>
  <c r="AA520" i="72"/>
  <c r="W530" i="72"/>
  <c r="AD577" i="72"/>
  <c r="AE588" i="72"/>
  <c r="S740" i="72"/>
  <c r="AA528" i="72"/>
  <c r="X570" i="72"/>
  <c r="AE581" i="72"/>
  <c r="AE613" i="72"/>
  <c r="AG650" i="72"/>
  <c r="AF599" i="72"/>
  <c r="AA687" i="72"/>
  <c r="S555" i="72"/>
  <c r="AE709" i="72"/>
  <c r="Z544" i="72"/>
  <c r="T561" i="72"/>
  <c r="AG570" i="72"/>
  <c r="U603" i="72"/>
  <c r="AC626" i="72"/>
  <c r="U638" i="72"/>
  <c r="Y518" i="72"/>
  <c r="AA532" i="72"/>
  <c r="AA544" i="72"/>
  <c r="U561" i="72"/>
  <c r="W588" i="72"/>
  <c r="AD619" i="72"/>
  <c r="T524" i="72"/>
  <c r="V541" i="72"/>
  <c r="S566" i="72"/>
  <c r="Z603" i="72"/>
  <c r="AG606" i="72"/>
  <c r="AG636" i="72"/>
  <c r="T648" i="72"/>
  <c r="AB661" i="72"/>
  <c r="Z675" i="72"/>
  <c r="W706" i="72"/>
  <c r="Y637" i="72"/>
  <c r="U690" i="72"/>
  <c r="T800" i="72"/>
  <c r="S733" i="72"/>
  <c r="AB663" i="72"/>
  <c r="AG674" i="72"/>
  <c r="AE705" i="72"/>
  <c r="AC706" i="72"/>
  <c r="W735" i="72"/>
  <c r="AF665" i="72"/>
  <c r="T681" i="72"/>
  <c r="AE704" i="72"/>
  <c r="W717" i="72"/>
  <c r="AB648" i="72"/>
  <c r="AG672" i="72"/>
  <c r="T806" i="72"/>
  <c r="X806" i="72"/>
  <c r="U647" i="72"/>
  <c r="AC736" i="72"/>
  <c r="AG629" i="72"/>
  <c r="AF648" i="72"/>
  <c r="W678" i="72"/>
  <c r="AE738" i="72"/>
  <c r="U672" i="72"/>
  <c r="X718" i="72"/>
  <c r="AE681" i="72"/>
  <c r="AE684" i="72"/>
  <c r="X631" i="72"/>
  <c r="X661" i="72"/>
  <c r="X731" i="72"/>
  <c r="W739" i="72"/>
  <c r="W820" i="72"/>
  <c r="Y748" i="72"/>
  <c r="AG817" i="72"/>
  <c r="AC859" i="72"/>
  <c r="X859" i="72"/>
  <c r="T859" i="72"/>
  <c r="U728" i="72"/>
  <c r="X780" i="72"/>
  <c r="AC824" i="72"/>
  <c r="AB835" i="72"/>
  <c r="AG760" i="72"/>
  <c r="AD810" i="72"/>
  <c r="X810" i="72"/>
  <c r="S825" i="72"/>
  <c r="U796" i="72"/>
  <c r="AF712" i="72"/>
  <c r="Z728" i="72"/>
  <c r="W722" i="72"/>
  <c r="AF755" i="72"/>
  <c r="U774" i="72"/>
  <c r="AE811" i="72"/>
  <c r="Y811" i="72"/>
  <c r="AF795" i="72"/>
  <c r="X792" i="72"/>
  <c r="AG804" i="72"/>
  <c r="Y840" i="72"/>
  <c r="AC799" i="72"/>
  <c r="AF843" i="72"/>
  <c r="AE896" i="72"/>
  <c r="X809" i="72"/>
  <c r="AD862" i="72"/>
  <c r="X862" i="72"/>
  <c r="T862" i="72"/>
  <c r="W850" i="72"/>
  <c r="AD928" i="72"/>
  <c r="AB798" i="72"/>
  <c r="AG837" i="72"/>
  <c r="AE840" i="72"/>
  <c r="Y846" i="72"/>
  <c r="U832" i="72"/>
  <c r="X778" i="72"/>
  <c r="AA794" i="72"/>
  <c r="W830" i="72"/>
  <c r="AC833" i="72"/>
  <c r="AC869" i="72"/>
  <c r="AE794" i="72"/>
  <c r="V823" i="72"/>
  <c r="AF827" i="72"/>
  <c r="V802" i="72"/>
  <c r="AC818" i="72"/>
  <c r="AG884" i="72"/>
  <c r="AA860" i="72"/>
  <c r="V876" i="72"/>
  <c r="AE889" i="72"/>
  <c r="AB860" i="72"/>
  <c r="Y873" i="72"/>
  <c r="Y887" i="72"/>
  <c r="AC878" i="72"/>
  <c r="S897" i="72"/>
  <c r="S904" i="72"/>
  <c r="AB961" i="72"/>
  <c r="U961" i="72"/>
  <c r="AE860" i="72"/>
  <c r="AF897" i="72"/>
  <c r="X915" i="72"/>
  <c r="AD924" i="72"/>
  <c r="Z970" i="72"/>
  <c r="T970" i="72"/>
  <c r="S870" i="72"/>
  <c r="V878" i="72"/>
  <c r="V887" i="72"/>
  <c r="AA952" i="72"/>
  <c r="AG844" i="72"/>
  <c r="U870" i="72"/>
  <c r="V956" i="72"/>
  <c r="AG262" i="72"/>
  <c r="S292" i="72"/>
  <c r="Y450" i="72"/>
  <c r="Z398" i="72"/>
  <c r="AF376" i="72"/>
  <c r="AD361" i="72"/>
  <c r="AF453" i="72"/>
  <c r="AC506" i="72"/>
  <c r="Z522" i="72"/>
  <c r="Z516" i="72"/>
  <c r="S610" i="72"/>
  <c r="AF630" i="72"/>
  <c r="AD553" i="72"/>
  <c r="Y568" i="72"/>
  <c r="X713" i="72"/>
  <c r="AB713" i="72"/>
  <c r="AA500" i="72"/>
  <c r="AC520" i="72"/>
  <c r="AB529" i="72"/>
  <c r="U552" i="72"/>
  <c r="Y562" i="72"/>
  <c r="U587" i="72"/>
  <c r="U613" i="72"/>
  <c r="AF650" i="72"/>
  <c r="T540" i="72"/>
  <c r="AC568" i="72"/>
  <c r="AE618" i="72"/>
  <c r="U687" i="72"/>
  <c r="W518" i="72"/>
  <c r="S561" i="72"/>
  <c r="U592" i="72"/>
  <c r="Y532" i="72"/>
  <c r="V545" i="72"/>
  <c r="AF583" i="72"/>
  <c r="Y607" i="72"/>
  <c r="AF626" i="72"/>
  <c r="AB638" i="72"/>
  <c r="T638" i="72"/>
  <c r="X545" i="72"/>
  <c r="AA518" i="72"/>
  <c r="AG607" i="72"/>
  <c r="AC532" i="72"/>
  <c r="V581" i="72"/>
  <c r="X637" i="72"/>
  <c r="U662" i="72"/>
  <c r="Z711" i="72"/>
  <c r="AF770" i="72"/>
  <c r="AB672" i="72"/>
  <c r="AG696" i="72"/>
  <c r="U696" i="72"/>
  <c r="Y800" i="72"/>
  <c r="AA608" i="72"/>
  <c r="AD637" i="72"/>
  <c r="Y648" i="72"/>
  <c r="AC675" i="72"/>
  <c r="T685" i="72"/>
  <c r="U688" i="72"/>
  <c r="V735" i="72"/>
  <c r="Z604" i="72"/>
  <c r="AA627" i="72"/>
  <c r="AG637" i="72"/>
  <c r="AG667" i="72"/>
  <c r="Y690" i="72"/>
  <c r="Z699" i="72"/>
  <c r="U717" i="72"/>
  <c r="AB627" i="72"/>
  <c r="T711" i="72"/>
  <c r="AA677" i="72"/>
  <c r="AF706" i="72"/>
  <c r="Z724" i="72"/>
  <c r="AF750" i="72"/>
  <c r="S806" i="72"/>
  <c r="AC806" i="72"/>
  <c r="W806" i="72"/>
  <c r="AA736" i="72"/>
  <c r="U649" i="72"/>
  <c r="W668" i="72"/>
  <c r="AF681" i="72"/>
  <c r="AA716" i="72"/>
  <c r="AF719" i="72"/>
  <c r="AC738" i="72"/>
  <c r="AG646" i="72"/>
  <c r="U661" i="72"/>
  <c r="AF690" i="72"/>
  <c r="AF707" i="72"/>
  <c r="AD681" i="72"/>
  <c r="S694" i="72"/>
  <c r="AF758" i="72"/>
  <c r="Z758" i="72"/>
  <c r="V758" i="72"/>
  <c r="T608" i="72"/>
  <c r="AC649" i="72"/>
  <c r="S692" i="72"/>
  <c r="AC731" i="72"/>
  <c r="W731" i="72"/>
  <c r="AB765" i="72"/>
  <c r="AG769" i="72"/>
  <c r="T774" i="72"/>
  <c r="Y781" i="72"/>
  <c r="AF768" i="72"/>
  <c r="Z793" i="72"/>
  <c r="V817" i="72"/>
  <c r="X730" i="72"/>
  <c r="X754" i="72"/>
  <c r="AD780" i="72"/>
  <c r="AD782" i="72"/>
  <c r="Z824" i="72"/>
  <c r="Z835" i="72"/>
  <c r="AC748" i="72"/>
  <c r="Y783" i="72"/>
  <c r="AF783" i="72"/>
  <c r="Y760" i="72"/>
  <c r="U810" i="72"/>
  <c r="AE825" i="72"/>
  <c r="AF781" i="72"/>
  <c r="U781" i="72"/>
  <c r="S796" i="72"/>
  <c r="AA796" i="72"/>
  <c r="X729" i="72"/>
  <c r="X777" i="72"/>
  <c r="Y676" i="72"/>
  <c r="AF742" i="72"/>
  <c r="AA755" i="72"/>
  <c r="S793" i="72"/>
  <c r="V811" i="72"/>
  <c r="W759" i="72"/>
  <c r="V795" i="72"/>
  <c r="AA779" i="72"/>
  <c r="U805" i="72"/>
  <c r="AE815" i="72"/>
  <c r="U830" i="72"/>
  <c r="X856" i="72"/>
  <c r="AB812" i="72"/>
  <c r="AB843" i="72"/>
  <c r="AG896" i="72"/>
  <c r="AD896" i="72"/>
  <c r="X823" i="72"/>
  <c r="AA856" i="72"/>
  <c r="Y862" i="72"/>
  <c r="Z809" i="72"/>
  <c r="W839" i="72"/>
  <c r="AE846" i="72"/>
  <c r="W928" i="72"/>
  <c r="AC928" i="72"/>
  <c r="AD809" i="72"/>
  <c r="S837" i="72"/>
  <c r="AE847" i="72"/>
  <c r="Y847" i="72"/>
  <c r="T840" i="72"/>
  <c r="AB846" i="72"/>
  <c r="S846" i="72"/>
  <c r="AE805" i="72"/>
  <c r="Z818" i="72"/>
  <c r="Z836" i="72"/>
  <c r="V869" i="72"/>
  <c r="T799" i="72"/>
  <c r="AA813" i="72"/>
  <c r="AE832" i="72"/>
  <c r="U848" i="72"/>
  <c r="X818" i="72"/>
  <c r="T812" i="72"/>
  <c r="Z898" i="72"/>
  <c r="X873" i="72"/>
  <c r="AG904" i="72"/>
  <c r="Z904" i="72"/>
  <c r="S961" i="72"/>
  <c r="AC913" i="72"/>
  <c r="X913" i="72"/>
  <c r="S913" i="72"/>
  <c r="V844" i="72"/>
  <c r="T861" i="72"/>
  <c r="AB871" i="72"/>
  <c r="W885" i="72"/>
  <c r="AA930" i="72"/>
  <c r="S963" i="72"/>
  <c r="AB963" i="72"/>
  <c r="AB894" i="72"/>
  <c r="Z897" i="72"/>
  <c r="W915" i="72"/>
  <c r="AE970" i="72"/>
  <c r="AG879" i="72"/>
  <c r="Z952" i="72"/>
  <c r="AA871" i="72"/>
  <c r="W878" i="72"/>
  <c r="Z899" i="72"/>
  <c r="AE956" i="72"/>
  <c r="U956" i="72"/>
  <c r="T348" i="72"/>
  <c r="Y345" i="72"/>
  <c r="AF406" i="72"/>
  <c r="S392" i="72"/>
  <c r="V468" i="72"/>
  <c r="V513" i="72"/>
  <c r="T429" i="72"/>
  <c r="Z432" i="72"/>
  <c r="AC624" i="72"/>
  <c r="AD462" i="72"/>
  <c r="V568" i="72"/>
  <c r="AG640" i="72"/>
  <c r="AC577" i="72"/>
  <c r="AC524" i="72"/>
  <c r="AC531" i="72"/>
  <c r="AA579" i="72"/>
  <c r="T594" i="72"/>
  <c r="W713" i="72"/>
  <c r="Z713" i="72"/>
  <c r="AC501" i="72"/>
  <c r="Y530" i="72"/>
  <c r="U564" i="72"/>
  <c r="AF572" i="72"/>
  <c r="AC613" i="72"/>
  <c r="AE650" i="72"/>
  <c r="V599" i="72"/>
  <c r="S687" i="72"/>
  <c r="U540" i="72"/>
  <c r="AF562" i="72"/>
  <c r="AE525" i="72"/>
  <c r="AG562" i="72"/>
  <c r="W626" i="72"/>
  <c r="Y534" i="72"/>
  <c r="V588" i="72"/>
  <c r="AE607" i="72"/>
  <c r="AB545" i="72"/>
  <c r="Z614" i="72"/>
  <c r="X608" i="72"/>
  <c r="AG649" i="72"/>
  <c r="AD664" i="72"/>
  <c r="Z677" i="72"/>
  <c r="AC770" i="72"/>
  <c r="AG643" i="72"/>
  <c r="AC661" i="72"/>
  <c r="AA675" i="72"/>
  <c r="Z706" i="72"/>
  <c r="AG800" i="72"/>
  <c r="AC694" i="72"/>
  <c r="U623" i="72"/>
  <c r="W641" i="72"/>
  <c r="X658" i="72"/>
  <c r="AF667" i="72"/>
  <c r="AC688" i="72"/>
  <c r="AC705" i="72"/>
  <c r="AE711" i="72"/>
  <c r="S735" i="72"/>
  <c r="W628" i="72"/>
  <c r="Y641" i="72"/>
  <c r="AA648" i="72"/>
  <c r="Y658" i="72"/>
  <c r="U685" i="72"/>
  <c r="AC704" i="72"/>
  <c r="S717" i="72"/>
  <c r="AE675" i="72"/>
  <c r="S711" i="72"/>
  <c r="AG724" i="72"/>
  <c r="T750" i="72"/>
  <c r="S661" i="72"/>
  <c r="AB681" i="72"/>
  <c r="U707" i="72"/>
  <c r="X736" i="72"/>
  <c r="T670" i="72"/>
  <c r="AC684" i="72"/>
  <c r="U716" i="72"/>
  <c r="Z738" i="72"/>
  <c r="X647" i="72"/>
  <c r="U758" i="72"/>
  <c r="AF692" i="72"/>
  <c r="U731" i="72"/>
  <c r="V742" i="72"/>
  <c r="AC759" i="72"/>
  <c r="T712" i="72"/>
  <c r="T730" i="72"/>
  <c r="AE749" i="72"/>
  <c r="Z769" i="72"/>
  <c r="S774" i="72"/>
  <c r="AA783" i="72"/>
  <c r="AA768" i="72"/>
  <c r="AB859" i="72"/>
  <c r="W859" i="72"/>
  <c r="AA775" i="72"/>
  <c r="AE782" i="72"/>
  <c r="X824" i="72"/>
  <c r="U835" i="72"/>
  <c r="AB810" i="72"/>
  <c r="T810" i="72"/>
  <c r="AF825" i="72"/>
  <c r="W720" i="72"/>
  <c r="T734" i="72"/>
  <c r="U749" i="72"/>
  <c r="S777" i="72"/>
  <c r="V727" i="72"/>
  <c r="AF743" i="72"/>
  <c r="AG742" i="72"/>
  <c r="S811" i="72"/>
  <c r="AF831" i="72"/>
  <c r="V798" i="72"/>
  <c r="AD816" i="72"/>
  <c r="AA846" i="72"/>
  <c r="S862" i="72"/>
  <c r="AF802" i="72"/>
  <c r="AA843" i="72"/>
  <c r="V896" i="72"/>
  <c r="Y896" i="72"/>
  <c r="AC812" i="72"/>
  <c r="AG862" i="72"/>
  <c r="AC862" i="72"/>
  <c r="W862" i="72"/>
  <c r="AA839" i="72"/>
  <c r="Z850" i="72"/>
  <c r="Y928" i="72"/>
  <c r="W773" i="72"/>
  <c r="AF799" i="72"/>
  <c r="Z829" i="72"/>
  <c r="AG846" i="72"/>
  <c r="X785" i="72"/>
  <c r="AB821" i="72"/>
  <c r="V830" i="72"/>
  <c r="S869" i="72"/>
  <c r="S802" i="72"/>
  <c r="AG827" i="72"/>
  <c r="AG833" i="72"/>
  <c r="Y807" i="72"/>
  <c r="W884" i="72"/>
  <c r="V839" i="72"/>
  <c r="AC863" i="72"/>
  <c r="AF878" i="72"/>
  <c r="U898" i="72"/>
  <c r="T887" i="72"/>
  <c r="T878" i="72"/>
  <c r="W904" i="72"/>
  <c r="AA961" i="72"/>
  <c r="AG913" i="72"/>
  <c r="AC849" i="72"/>
  <c r="AC885" i="72"/>
  <c r="AF930" i="72"/>
  <c r="AA963" i="72"/>
  <c r="AD897" i="72"/>
  <c r="W899" i="72"/>
  <c r="AG915" i="72"/>
  <c r="U915" i="72"/>
  <c r="AB924" i="72"/>
  <c r="X970" i="72"/>
  <c r="S970" i="72"/>
  <c r="AD970" i="72"/>
  <c r="AG826" i="72"/>
  <c r="Y861" i="72"/>
  <c r="AC894" i="72"/>
  <c r="V952" i="72"/>
  <c r="AE857" i="72"/>
  <c r="V871" i="72"/>
  <c r="X956" i="72"/>
  <c r="S956" i="72"/>
  <c r="AB461" i="72"/>
  <c r="S489" i="72"/>
  <c r="T468" i="72"/>
  <c r="Y478" i="72"/>
  <c r="AF443" i="72"/>
  <c r="X462" i="72"/>
  <c r="AG624" i="72"/>
  <c r="U630" i="72"/>
  <c r="S602" i="72"/>
  <c r="V525" i="72"/>
  <c r="AA569" i="72"/>
  <c r="V713" i="72"/>
  <c r="U713" i="72"/>
  <c r="AD524" i="72"/>
  <c r="AE553" i="72"/>
  <c r="AC565" i="72"/>
  <c r="AF588" i="72"/>
  <c r="T613" i="72"/>
  <c r="AC650" i="72"/>
  <c r="AE605" i="72"/>
  <c r="AB594" i="72"/>
  <c r="W544" i="72"/>
  <c r="U599" i="72"/>
  <c r="Y687" i="72"/>
  <c r="S603" i="72"/>
  <c r="T503" i="72"/>
  <c r="S526" i="72"/>
  <c r="X534" i="72"/>
  <c r="U588" i="72"/>
  <c r="AF618" i="72"/>
  <c r="AE638" i="72"/>
  <c r="Z638" i="72"/>
  <c r="T526" i="72"/>
  <c r="AF568" i="72"/>
  <c r="AB532" i="72"/>
  <c r="AD607" i="72"/>
  <c r="X503" i="72"/>
  <c r="V526" i="72"/>
  <c r="AB534" i="72"/>
  <c r="AE643" i="72"/>
  <c r="AF652" i="72"/>
  <c r="W667" i="72"/>
  <c r="AB733" i="72"/>
  <c r="AA770" i="72"/>
  <c r="W662" i="72"/>
  <c r="AD696" i="72"/>
  <c r="AA711" i="72"/>
  <c r="X800" i="72"/>
  <c r="AF733" i="72"/>
  <c r="AE677" i="72"/>
  <c r="AG688" i="72"/>
  <c r="X690" i="72"/>
  <c r="V719" i="72"/>
  <c r="AC686" i="72"/>
  <c r="AG699" i="72"/>
  <c r="AD704" i="72"/>
  <c r="Z641" i="72"/>
  <c r="AF711" i="72"/>
  <c r="S677" i="72"/>
  <c r="AB706" i="72"/>
  <c r="AC724" i="72"/>
  <c r="Y724" i="72"/>
  <c r="Y806" i="72"/>
  <c r="AG806" i="72"/>
  <c r="AB806" i="72"/>
  <c r="X684" i="72"/>
  <c r="W736" i="72"/>
  <c r="T672" i="72"/>
  <c r="AA719" i="72"/>
  <c r="U738" i="72"/>
  <c r="W685" i="72"/>
  <c r="AD690" i="72"/>
  <c r="S643" i="72"/>
  <c r="W670" i="72"/>
  <c r="AC681" i="72"/>
  <c r="AE758" i="72"/>
  <c r="Y758" i="72"/>
  <c r="S758" i="72"/>
  <c r="Y609" i="72"/>
  <c r="T643" i="72"/>
  <c r="AB731" i="72"/>
  <c r="Y765" i="72"/>
  <c r="AD768" i="72"/>
  <c r="AB739" i="72"/>
  <c r="S769" i="72"/>
  <c r="AF774" i="72"/>
  <c r="T796" i="72"/>
  <c r="AE793" i="72"/>
  <c r="X793" i="72"/>
  <c r="AA817" i="72"/>
  <c r="U859" i="72"/>
  <c r="Y775" i="72"/>
  <c r="Z742" i="72"/>
  <c r="AA780" i="72"/>
  <c r="Y782" i="72"/>
  <c r="AB801" i="72"/>
  <c r="V824" i="72"/>
  <c r="V835" i="72"/>
  <c r="S835" i="72"/>
  <c r="X783" i="72"/>
  <c r="AG810" i="72"/>
  <c r="S810" i="72"/>
  <c r="AD825" i="72"/>
  <c r="AC781" i="72"/>
  <c r="T781" i="72"/>
  <c r="Z695" i="72"/>
  <c r="S747" i="72"/>
  <c r="AG743" i="72"/>
  <c r="AG811" i="72"/>
  <c r="S748" i="72"/>
  <c r="AG831" i="72"/>
  <c r="AC763" i="72"/>
  <c r="AC786" i="72"/>
  <c r="AE807" i="72"/>
  <c r="T850" i="72"/>
  <c r="X803" i="72"/>
  <c r="X834" i="72"/>
  <c r="T843" i="72"/>
  <c r="X896" i="72"/>
  <c r="AG816" i="72"/>
  <c r="T823" i="72"/>
  <c r="Z856" i="72"/>
  <c r="AD812" i="72"/>
  <c r="AF839" i="72"/>
  <c r="T839" i="72"/>
  <c r="X928" i="72"/>
  <c r="V814" i="72"/>
  <c r="AB829" i="72"/>
  <c r="AG847" i="72"/>
  <c r="V847" i="72"/>
  <c r="Z846" i="72"/>
  <c r="V818" i="72"/>
  <c r="AD787" i="72"/>
  <c r="AF798" i="72"/>
  <c r="V807" i="72"/>
  <c r="U823" i="72"/>
  <c r="AF814" i="72"/>
  <c r="W815" i="72"/>
  <c r="AC827" i="72"/>
  <c r="AB836" i="72"/>
  <c r="Y815" i="72"/>
  <c r="AF870" i="72"/>
  <c r="T881" i="72"/>
  <c r="AG898" i="72"/>
  <c r="AC904" i="72"/>
  <c r="AD863" i="72"/>
  <c r="AE904" i="72"/>
  <c r="Y961" i="72"/>
  <c r="AD961" i="72"/>
  <c r="AB913" i="72"/>
  <c r="W913" i="72"/>
  <c r="AB851" i="72"/>
  <c r="AG863" i="72"/>
  <c r="V875" i="72"/>
  <c r="V885" i="72"/>
  <c r="AB900" i="72"/>
  <c r="AE930" i="72"/>
  <c r="AG881" i="72"/>
  <c r="W963" i="72"/>
  <c r="AG963" i="72"/>
  <c r="AF963" i="72"/>
  <c r="T897" i="72"/>
  <c r="S924" i="72"/>
  <c r="AC970" i="72"/>
  <c r="AB880" i="72"/>
  <c r="U952" i="72"/>
  <c r="Y908" i="72"/>
  <c r="Z956" i="72"/>
  <c r="AG549" i="72"/>
  <c r="W310" i="72"/>
  <c r="X543" i="72"/>
  <c r="X409" i="72"/>
  <c r="AG406" i="72"/>
  <c r="V405" i="72"/>
  <c r="V380" i="72"/>
  <c r="Y474" i="72"/>
  <c r="W513" i="72"/>
  <c r="AE490" i="72"/>
  <c r="Y616" i="72"/>
  <c r="AF454" i="72"/>
  <c r="AA624" i="72"/>
  <c r="Z499" i="72"/>
  <c r="AF603" i="72"/>
  <c r="AB640" i="72"/>
  <c r="V605" i="72"/>
  <c r="W570" i="72"/>
  <c r="AD581" i="72"/>
  <c r="X605" i="72"/>
  <c r="S713" i="72"/>
  <c r="AE740" i="72"/>
  <c r="W525" i="72"/>
  <c r="AD531" i="72"/>
  <c r="AF577" i="72"/>
  <c r="AG613" i="72"/>
  <c r="AB613" i="72"/>
  <c r="U650" i="72"/>
  <c r="AG605" i="72"/>
  <c r="U594" i="72"/>
  <c r="T545" i="72"/>
  <c r="Z687" i="72"/>
  <c r="X544" i="72"/>
  <c r="AD568" i="72"/>
  <c r="AE583" i="72"/>
  <c r="W607" i="72"/>
  <c r="W551" i="72"/>
  <c r="U618" i="72"/>
  <c r="U503" i="72"/>
  <c r="X551" i="72"/>
  <c r="S572" i="72"/>
  <c r="Y510" i="72"/>
  <c r="X536" i="72"/>
  <c r="X572" i="72"/>
  <c r="W627" i="72"/>
  <c r="Y645" i="72"/>
  <c r="AE770" i="72"/>
  <c r="U770" i="72"/>
  <c r="Y608" i="72"/>
  <c r="AG664" i="72"/>
  <c r="AC677" i="72"/>
  <c r="AF800" i="72"/>
  <c r="W733" i="72"/>
  <c r="Z627" i="72"/>
  <c r="AG653" i="72"/>
  <c r="AA660" i="72"/>
  <c r="AF679" i="72"/>
  <c r="U692" i="72"/>
  <c r="X705" i="72"/>
  <c r="AB608" i="72"/>
  <c r="AB629" i="72"/>
  <c r="AB660" i="72"/>
  <c r="AF672" i="72"/>
  <c r="S686" i="72"/>
  <c r="S699" i="72"/>
  <c r="U704" i="72"/>
  <c r="AD706" i="72"/>
  <c r="AG717" i="72"/>
  <c r="AG661" i="72"/>
  <c r="X724" i="72"/>
  <c r="V806" i="72"/>
  <c r="AF685" i="72"/>
  <c r="T718" i="72"/>
  <c r="S736" i="72"/>
  <c r="S744" i="72"/>
  <c r="AA655" i="72"/>
  <c r="V674" i="72"/>
  <c r="AB719" i="72"/>
  <c r="AG648" i="72"/>
  <c r="S718" i="72"/>
  <c r="Z647" i="72"/>
  <c r="AA758" i="72"/>
  <c r="T645" i="72"/>
  <c r="T656" i="72"/>
  <c r="W672" i="72"/>
  <c r="AE692" i="72"/>
  <c r="AB692" i="72"/>
  <c r="AG731" i="72"/>
  <c r="AA746" i="72"/>
  <c r="S765" i="72"/>
  <c r="W781" i="72"/>
  <c r="AE722" i="72"/>
  <c r="AF746" i="72"/>
  <c r="X817" i="72"/>
  <c r="AA859" i="72"/>
  <c r="S859" i="72"/>
  <c r="X775" i="72"/>
  <c r="W743" i="72"/>
  <c r="AF761" i="72"/>
  <c r="U782" i="72"/>
  <c r="AE801" i="72"/>
  <c r="AF810" i="72"/>
  <c r="AA810" i="72"/>
  <c r="AA825" i="72"/>
  <c r="V722" i="72"/>
  <c r="U753" i="72"/>
  <c r="AA728" i="72"/>
  <c r="T759" i="72"/>
  <c r="Z749" i="72"/>
  <c r="AA765" i="72"/>
  <c r="T766" i="72"/>
  <c r="AB799" i="72"/>
  <c r="V809" i="72"/>
  <c r="T834" i="72"/>
  <c r="AE854" i="72"/>
  <c r="V805" i="72"/>
  <c r="S896" i="72"/>
  <c r="V816" i="72"/>
  <c r="AC840" i="72"/>
  <c r="Y856" i="72"/>
  <c r="AF862" i="72"/>
  <c r="AB862" i="72"/>
  <c r="V862" i="72"/>
  <c r="AA815" i="72"/>
  <c r="AF840" i="72"/>
  <c r="U928" i="72"/>
  <c r="T790" i="72"/>
  <c r="Z812" i="72"/>
  <c r="AD840" i="72"/>
  <c r="AA819" i="72"/>
  <c r="AF834" i="72"/>
  <c r="S799" i="72"/>
  <c r="AA827" i="72"/>
  <c r="AF805" i="72"/>
  <c r="AF841" i="72"/>
  <c r="U799" i="72"/>
  <c r="T816" i="72"/>
  <c r="X827" i="72"/>
  <c r="AA833" i="72"/>
  <c r="S839" i="72"/>
  <c r="S812" i="72"/>
  <c r="Y823" i="72"/>
  <c r="AC848" i="72"/>
  <c r="X816" i="72"/>
  <c r="AF882" i="72"/>
  <c r="Y913" i="72"/>
  <c r="V864" i="72"/>
  <c r="Y881" i="72"/>
  <c r="AD882" i="72"/>
  <c r="U904" i="72"/>
  <c r="AE961" i="72"/>
  <c r="Z961" i="72"/>
  <c r="X961" i="72"/>
  <c r="V894" i="72"/>
  <c r="AB864" i="72"/>
  <c r="AD895" i="72"/>
  <c r="Y900" i="72"/>
  <c r="W930" i="72"/>
  <c r="AD963" i="72"/>
  <c r="Z915" i="72"/>
  <c r="AF915" i="72"/>
  <c r="AF924" i="72"/>
  <c r="AA924" i="72"/>
  <c r="W970" i="72"/>
  <c r="AG970" i="72"/>
  <c r="AA970" i="72"/>
  <c r="AD844" i="72"/>
  <c r="X877" i="72"/>
  <c r="Y899" i="72"/>
  <c r="Y272" i="72"/>
  <c r="U345" i="72"/>
  <c r="AD452" i="72"/>
  <c r="AC411" i="72"/>
  <c r="AD574" i="72"/>
  <c r="U421" i="72"/>
  <c r="Z484" i="72"/>
  <c r="W507" i="72"/>
  <c r="T616" i="72"/>
  <c r="AE478" i="72"/>
  <c r="AC504" i="72"/>
  <c r="AD526" i="72"/>
  <c r="AB550" i="72"/>
  <c r="S583" i="72"/>
  <c r="AG713" i="72"/>
  <c r="AG740" i="72"/>
  <c r="AD504" i="72"/>
  <c r="Z568" i="72"/>
  <c r="T650" i="72"/>
  <c r="AF605" i="72"/>
  <c r="V518" i="72"/>
  <c r="U551" i="72"/>
  <c r="S588" i="72"/>
  <c r="W532" i="72"/>
  <c r="U545" i="72"/>
  <c r="AE568" i="72"/>
  <c r="AD638" i="72"/>
  <c r="X638" i="72"/>
  <c r="S577" i="72"/>
  <c r="T572" i="72"/>
  <c r="T487" i="72"/>
  <c r="T538" i="72"/>
  <c r="Y555" i="72"/>
  <c r="AE670" i="72"/>
  <c r="S770" i="72"/>
  <c r="T770" i="72"/>
  <c r="X627" i="72"/>
  <c r="AG647" i="72"/>
  <c r="Z667" i="72"/>
  <c r="AC696" i="72"/>
  <c r="AA800" i="72"/>
  <c r="W800" i="72"/>
  <c r="V733" i="72"/>
  <c r="AB645" i="72"/>
  <c r="U655" i="72"/>
  <c r="V679" i="72"/>
  <c r="AD688" i="72"/>
  <c r="AE735" i="72"/>
  <c r="V655" i="72"/>
  <c r="AD675" i="72"/>
  <c r="Z646" i="72"/>
  <c r="AE662" i="72"/>
  <c r="AC711" i="72"/>
  <c r="T706" i="72"/>
  <c r="Y706" i="72"/>
  <c r="AB724" i="72"/>
  <c r="V724" i="72"/>
  <c r="AE806" i="72"/>
  <c r="AA806" i="72"/>
  <c r="Y736" i="72"/>
  <c r="AF646" i="72"/>
  <c r="W657" i="72"/>
  <c r="U719" i="72"/>
  <c r="Y719" i="72"/>
  <c r="X668" i="72"/>
  <c r="W690" i="72"/>
  <c r="AG718" i="72"/>
  <c r="T652" i="72"/>
  <c r="V672" i="72"/>
  <c r="AG684" i="72"/>
  <c r="T758" i="72"/>
  <c r="AD758" i="72"/>
  <c r="X758" i="72"/>
  <c r="W620" i="72"/>
  <c r="Y674" i="72"/>
  <c r="W692" i="72"/>
  <c r="AE731" i="72"/>
  <c r="Z731" i="72"/>
  <c r="W748" i="72"/>
  <c r="AF765" i="72"/>
  <c r="W783" i="72"/>
  <c r="W742" i="72"/>
  <c r="S757" i="72"/>
  <c r="AC774" i="72"/>
  <c r="AG751" i="72"/>
  <c r="AC793" i="72"/>
  <c r="V793" i="72"/>
  <c r="W817" i="72"/>
  <c r="AG820" i="72"/>
  <c r="V859" i="72"/>
  <c r="AD783" i="72"/>
  <c r="Z780" i="72"/>
  <c r="AA801" i="72"/>
  <c r="Y824" i="72"/>
  <c r="S726" i="72"/>
  <c r="AB783" i="72"/>
  <c r="T783" i="72"/>
  <c r="AF754" i="72"/>
  <c r="X825" i="72"/>
  <c r="AB781" i="72"/>
  <c r="AF796" i="72"/>
  <c r="Y695" i="72"/>
  <c r="AE742" i="72"/>
  <c r="AB777" i="72"/>
  <c r="AG712" i="72"/>
  <c r="AC729" i="72"/>
  <c r="AG788" i="72"/>
  <c r="V752" i="72"/>
  <c r="AC811" i="72"/>
  <c r="Y752" i="72"/>
  <c r="X767" i="72"/>
  <c r="AB789" i="72"/>
  <c r="AF854" i="72"/>
  <c r="S819" i="72"/>
  <c r="AC846" i="72"/>
  <c r="AD846" i="72"/>
  <c r="V856" i="72"/>
  <c r="AB815" i="72"/>
  <c r="AC839" i="72"/>
  <c r="AE845" i="72"/>
  <c r="T928" i="72"/>
  <c r="Y791" i="72"/>
  <c r="AA803" i="72"/>
  <c r="AD837" i="72"/>
  <c r="AF847" i="72"/>
  <c r="AF812" i="72"/>
  <c r="X846" i="72"/>
  <c r="T807" i="72"/>
  <c r="AD819" i="72"/>
  <c r="AA834" i="72"/>
  <c r="S771" i="72"/>
  <c r="Y830" i="72"/>
  <c r="AF830" i="72"/>
  <c r="V815" i="72"/>
  <c r="T802" i="72"/>
  <c r="AD821" i="72"/>
  <c r="AD832" i="72"/>
  <c r="W799" i="72"/>
  <c r="W870" i="72"/>
  <c r="AA889" i="72"/>
  <c r="AA887" i="72"/>
  <c r="AD904" i="72"/>
  <c r="V961" i="72"/>
  <c r="W897" i="72"/>
  <c r="AA913" i="72"/>
  <c r="V913" i="72"/>
  <c r="AC855" i="72"/>
  <c r="AF867" i="72"/>
  <c r="Z875" i="72"/>
  <c r="Y897" i="72"/>
  <c r="S900" i="72"/>
  <c r="V930" i="72"/>
  <c r="W881" i="72"/>
  <c r="U963" i="72"/>
  <c r="AE963" i="72"/>
  <c r="Z963" i="72"/>
  <c r="Y924" i="72"/>
  <c r="Y970" i="72"/>
  <c r="U970" i="72"/>
  <c r="AF864" i="72"/>
  <c r="Z877" i="72"/>
  <c r="Z880" i="72"/>
  <c r="T901" i="72"/>
  <c r="Z861" i="72"/>
  <c r="AB916" i="72"/>
  <c r="AF956" i="72"/>
  <c r="Z283" i="72"/>
  <c r="AB385" i="72"/>
  <c r="X364" i="72"/>
  <c r="AC376" i="72"/>
  <c r="W363" i="72"/>
  <c r="V422" i="72"/>
  <c r="AB421" i="72"/>
  <c r="Y502" i="72"/>
  <c r="AE515" i="72"/>
  <c r="X576" i="72"/>
  <c r="U475" i="72"/>
  <c r="AF465" i="72"/>
  <c r="AG614" i="72"/>
  <c r="AG551" i="72"/>
  <c r="W640" i="72"/>
  <c r="AC517" i="72"/>
  <c r="Z528" i="72"/>
  <c r="X562" i="72"/>
  <c r="AE572" i="72"/>
  <c r="T587" i="72"/>
  <c r="AE713" i="72"/>
  <c r="AA740" i="72"/>
  <c r="AE526" i="72"/>
  <c r="AB579" i="72"/>
  <c r="W613" i="72"/>
  <c r="AF613" i="72"/>
  <c r="T605" i="72"/>
  <c r="V532" i="72"/>
  <c r="T592" i="72"/>
  <c r="V551" i="72"/>
  <c r="AF569" i="72"/>
  <c r="T588" i="72"/>
  <c r="AE530" i="72"/>
  <c r="V540" i="72"/>
  <c r="T553" i="72"/>
  <c r="W592" i="72"/>
  <c r="S531" i="72"/>
  <c r="W540" i="72"/>
  <c r="U553" i="72"/>
  <c r="Y592" i="72"/>
  <c r="T577" i="72"/>
  <c r="T614" i="72"/>
  <c r="Y491" i="72"/>
  <c r="AB518" i="72"/>
  <c r="W561" i="72"/>
  <c r="V577" i="72"/>
  <c r="AA592" i="72"/>
  <c r="V682" i="72"/>
  <c r="X629" i="72"/>
  <c r="AF657" i="72"/>
  <c r="S690" i="72"/>
  <c r="Y629" i="72"/>
  <c r="V648" i="72"/>
  <c r="AC800" i="72"/>
  <c r="U694" i="72"/>
  <c r="U733" i="72"/>
  <c r="AA629" i="72"/>
  <c r="T646" i="72"/>
  <c r="AE661" i="72"/>
  <c r="AE672" i="72"/>
  <c r="S679" i="72"/>
  <c r="AD705" i="72"/>
  <c r="U705" i="72"/>
  <c r="AF735" i="72"/>
  <c r="AC645" i="72"/>
  <c r="AF661" i="72"/>
  <c r="Z717" i="72"/>
  <c r="AF717" i="72"/>
  <c r="W711" i="72"/>
  <c r="W677" i="72"/>
  <c r="AF700" i="72"/>
  <c r="S724" i="72"/>
  <c r="U806" i="72"/>
  <c r="S670" i="72"/>
  <c r="AC690" i="72"/>
  <c r="AE736" i="72"/>
  <c r="V647" i="72"/>
  <c r="T661" i="72"/>
  <c r="T696" i="72"/>
  <c r="S719" i="72"/>
  <c r="V670" i="72"/>
  <c r="AB685" i="72"/>
  <c r="AC718" i="72"/>
  <c r="T694" i="72"/>
  <c r="AF793" i="72"/>
  <c r="AA774" i="72"/>
  <c r="X752" i="72"/>
  <c r="U817" i="72"/>
  <c r="AG859" i="72"/>
  <c r="Z859" i="72"/>
  <c r="AD859" i="72"/>
  <c r="AF759" i="72"/>
  <c r="W712" i="72"/>
  <c r="AB748" i="72"/>
  <c r="AG761" i="72"/>
  <c r="Z801" i="72"/>
  <c r="AG835" i="72"/>
  <c r="Y730" i="72"/>
  <c r="AE810" i="72"/>
  <c r="Z810" i="72"/>
  <c r="V825" i="72"/>
  <c r="W825" i="72"/>
  <c r="AC702" i="72"/>
  <c r="U727" i="72"/>
  <c r="AE743" i="72"/>
  <c r="V734" i="72"/>
  <c r="V749" i="72"/>
  <c r="W765" i="72"/>
  <c r="AC788" i="72"/>
  <c r="V759" i="72"/>
  <c r="AA811" i="72"/>
  <c r="Z727" i="72"/>
  <c r="AG753" i="72"/>
  <c r="AC802" i="72"/>
  <c r="AA812" i="72"/>
  <c r="AD854" i="72"/>
  <c r="W798" i="72"/>
  <c r="AF807" i="72"/>
  <c r="AA840" i="72"/>
  <c r="AF865" i="72"/>
  <c r="AA823" i="72"/>
  <c r="AG856" i="72"/>
  <c r="T856" i="72"/>
  <c r="AE862" i="72"/>
  <c r="Z862" i="72"/>
  <c r="U862" i="72"/>
  <c r="AF850" i="72"/>
  <c r="S928" i="72"/>
  <c r="W833" i="72"/>
  <c r="Z840" i="72"/>
  <c r="W836" i="72"/>
  <c r="T772" i="72"/>
  <c r="X790" i="72"/>
  <c r="AA830" i="72"/>
  <c r="W807" i="72"/>
  <c r="AF833" i="72"/>
  <c r="AA836" i="72"/>
  <c r="X815" i="72"/>
  <c r="W832" i="72"/>
  <c r="AF848" i="72"/>
  <c r="AE876" i="72"/>
  <c r="AG872" i="72"/>
  <c r="AC887" i="72"/>
  <c r="AE913" i="72"/>
  <c r="AB882" i="72"/>
  <c r="T904" i="72"/>
  <c r="AC961" i="72"/>
  <c r="W961" i="72"/>
  <c r="T961" i="72"/>
  <c r="S857" i="72"/>
  <c r="W894" i="72"/>
  <c r="Z894" i="72"/>
  <c r="Y963" i="72"/>
  <c r="AB915" i="72"/>
  <c r="AE924" i="72"/>
  <c r="U924" i="72"/>
  <c r="AB970" i="72"/>
  <c r="V970" i="72"/>
  <c r="AF970" i="72"/>
  <c r="AG855" i="72"/>
  <c r="AA866" i="72"/>
  <c r="AC952" i="72"/>
  <c r="S873" i="72"/>
  <c r="AD956" i="72"/>
  <c r="AF387" i="72"/>
  <c r="AC614" i="72"/>
  <c r="AD650" i="72"/>
  <c r="AG652" i="72"/>
  <c r="T733" i="72"/>
  <c r="AB688" i="72"/>
  <c r="AB656" i="72"/>
  <c r="AA724" i="72"/>
  <c r="AA718" i="72"/>
  <c r="S629" i="72"/>
  <c r="AB774" i="72"/>
  <c r="Y859" i="72"/>
  <c r="Y810" i="72"/>
  <c r="T769" i="72"/>
  <c r="T793" i="72"/>
  <c r="U854" i="72"/>
  <c r="AC823" i="72"/>
  <c r="AB845" i="72"/>
  <c r="AE773" i="72"/>
  <c r="U816" i="72"/>
  <c r="AC963" i="72"/>
  <c r="S908" i="72"/>
  <c r="W956" i="72"/>
  <c r="V870" i="72"/>
  <c r="T894" i="72"/>
  <c r="AG908" i="72"/>
  <c r="S877" i="72"/>
  <c r="AB887" i="72"/>
  <c r="Y920" i="72"/>
  <c r="W911" i="72"/>
  <c r="AF957" i="72"/>
  <c r="Z1082" i="72"/>
  <c r="V1082" i="72"/>
  <c r="AC975" i="72"/>
  <c r="AB910" i="72"/>
  <c r="AG919" i="72"/>
  <c r="AB982" i="72"/>
  <c r="S982" i="72"/>
  <c r="V1050" i="72"/>
  <c r="W1050" i="72"/>
  <c r="Z1013" i="72"/>
  <c r="W935" i="72"/>
  <c r="Z978" i="72"/>
  <c r="AA946" i="72"/>
  <c r="AB983" i="72"/>
  <c r="AE893" i="72"/>
  <c r="AA935" i="72"/>
  <c r="AC1005" i="72"/>
  <c r="X1005" i="72"/>
  <c r="U931" i="72"/>
  <c r="T918" i="72"/>
  <c r="AA954" i="72"/>
  <c r="T911" i="72"/>
  <c r="V941" i="72"/>
  <c r="Y944" i="72"/>
  <c r="X1045" i="72"/>
  <c r="U958" i="72"/>
  <c r="AA989" i="72"/>
  <c r="AA997" i="72"/>
  <c r="Z1006" i="72"/>
  <c r="AG1038" i="72"/>
  <c r="AB989" i="72"/>
  <c r="AB997" i="72"/>
  <c r="U1030" i="72"/>
  <c r="Y998" i="72"/>
  <c r="V1074" i="72"/>
  <c r="AD989" i="72"/>
  <c r="AC999" i="72"/>
  <c r="AF1044" i="72"/>
  <c r="U994" i="72"/>
  <c r="X965" i="72"/>
  <c r="AG998" i="72"/>
  <c r="W1075" i="72"/>
  <c r="W1051" i="72"/>
  <c r="AF962" i="72"/>
  <c r="Z984" i="72"/>
  <c r="S1039" i="72"/>
  <c r="U977" i="72"/>
  <c r="AD994" i="72"/>
  <c r="AB1019" i="72"/>
  <c r="Z1035" i="72"/>
  <c r="S1076" i="72"/>
  <c r="AB1079" i="72"/>
  <c r="W1079" i="72"/>
  <c r="AD988" i="72"/>
  <c r="AB1040" i="72"/>
  <c r="AC1041" i="72"/>
  <c r="AE988" i="72"/>
  <c r="V1023" i="72"/>
  <c r="Y1077" i="72"/>
  <c r="V989" i="72"/>
  <c r="AF1018" i="72"/>
  <c r="AG1103" i="72"/>
  <c r="Z1091" i="72"/>
  <c r="Z1048" i="72"/>
  <c r="S1093" i="72"/>
  <c r="AG1099" i="72"/>
  <c r="S1065" i="72"/>
  <c r="S1054" i="72"/>
  <c r="X1090" i="72"/>
  <c r="Y1093" i="72"/>
  <c r="W1065" i="72"/>
  <c r="S22" i="72"/>
  <c r="AE25" i="72"/>
  <c r="AG66" i="72"/>
  <c r="AB66" i="72"/>
  <c r="AB72" i="72"/>
  <c r="W72" i="72"/>
  <c r="U16" i="72"/>
  <c r="V30" i="72"/>
  <c r="S41" i="72"/>
  <c r="Z46" i="72"/>
  <c r="W14" i="72"/>
  <c r="V22" i="72"/>
  <c r="S34" i="72"/>
  <c r="V15" i="72"/>
  <c r="AC54" i="72"/>
  <c r="AC18" i="72"/>
  <c r="S38" i="72"/>
  <c r="W45" i="72"/>
  <c r="W68" i="72"/>
  <c r="AA10" i="72"/>
  <c r="X20" i="72"/>
  <c r="T38" i="72"/>
  <c r="X46" i="72"/>
  <c r="U48" i="72"/>
  <c r="W30" i="72"/>
  <c r="T41" i="72"/>
  <c r="Z18" i="72"/>
  <c r="AD31" i="72"/>
  <c r="T79" i="72"/>
  <c r="AE79" i="72"/>
  <c r="Y79" i="72"/>
  <c r="W24" i="72"/>
  <c r="W25" i="72"/>
  <c r="AC34" i="72"/>
  <c r="AA37" i="72"/>
  <c r="Z49" i="72"/>
  <c r="X16" i="72"/>
  <c r="U29" i="72"/>
  <c r="AF20" i="72"/>
  <c r="AB22" i="72"/>
  <c r="S33" i="72"/>
  <c r="AG57" i="72"/>
  <c r="AD61" i="72"/>
  <c r="W61" i="72"/>
  <c r="AB9" i="72"/>
  <c r="T14" i="72"/>
  <c r="W21" i="72"/>
  <c r="V54" i="72"/>
  <c r="S20" i="72"/>
  <c r="Y34" i="72"/>
  <c r="AE48" i="72"/>
  <c r="W48" i="72"/>
  <c r="AA52" i="72"/>
  <c r="X32" i="72"/>
  <c r="AF38" i="72"/>
  <c r="AF42" i="72"/>
  <c r="AD70" i="72"/>
  <c r="U75" i="72"/>
  <c r="AD81" i="72"/>
  <c r="Z87" i="72"/>
  <c r="U93" i="72"/>
  <c r="Y104" i="72"/>
  <c r="Y111" i="72"/>
  <c r="AG26" i="72"/>
  <c r="AB53" i="72"/>
  <c r="W64" i="72"/>
  <c r="AD80" i="72"/>
  <c r="Z90" i="72"/>
  <c r="T96" i="72"/>
  <c r="U449" i="72"/>
  <c r="U473" i="72"/>
  <c r="W534" i="72"/>
  <c r="V555" i="72"/>
  <c r="AF647" i="72"/>
  <c r="AG670" i="72"/>
  <c r="AD662" i="72"/>
  <c r="AD736" i="72"/>
  <c r="AB738" i="72"/>
  <c r="V661" i="72"/>
  <c r="AB647" i="72"/>
  <c r="AD752" i="72"/>
  <c r="W752" i="72"/>
  <c r="Z759" i="72"/>
  <c r="AF856" i="72"/>
  <c r="Y850" i="72"/>
  <c r="AD847" i="72"/>
  <c r="AA818" i="72"/>
  <c r="V832" i="72"/>
  <c r="X963" i="72"/>
  <c r="AG952" i="72"/>
  <c r="W887" i="72"/>
  <c r="AD901" i="72"/>
  <c r="Z878" i="72"/>
  <c r="AD908" i="72"/>
  <c r="V889" i="72"/>
  <c r="AG920" i="72"/>
  <c r="AC920" i="72"/>
  <c r="W920" i="72"/>
  <c r="AG931" i="72"/>
  <c r="AA957" i="72"/>
  <c r="AG1082" i="72"/>
  <c r="AE1082" i="72"/>
  <c r="X975" i="72"/>
  <c r="Z893" i="72"/>
  <c r="AE911" i="72"/>
  <c r="AD921" i="72"/>
  <c r="U935" i="72"/>
  <c r="AD982" i="72"/>
  <c r="AE986" i="72"/>
  <c r="AA986" i="72"/>
  <c r="V986" i="72"/>
  <c r="AC1013" i="72"/>
  <c r="W1013" i="72"/>
  <c r="AF978" i="72"/>
  <c r="AB978" i="72"/>
  <c r="V978" i="72"/>
  <c r="AF918" i="72"/>
  <c r="AA936" i="72"/>
  <c r="Z983" i="72"/>
  <c r="U917" i="72"/>
  <c r="AB1001" i="72"/>
  <c r="X1001" i="72"/>
  <c r="X934" i="72"/>
  <c r="AD954" i="72"/>
  <c r="V954" i="72"/>
  <c r="Z919" i="72"/>
  <c r="Z941" i="72"/>
  <c r="T957" i="72"/>
  <c r="W979" i="72"/>
  <c r="W998" i="72"/>
  <c r="W1024" i="72"/>
  <c r="S1038" i="72"/>
  <c r="X947" i="72"/>
  <c r="AF966" i="72"/>
  <c r="X979" i="72"/>
  <c r="X998" i="72"/>
  <c r="AD1016" i="72"/>
  <c r="AG1046" i="72"/>
  <c r="AB962" i="72"/>
  <c r="Z979" i="72"/>
  <c r="W1029" i="72"/>
  <c r="Y1044" i="72"/>
  <c r="AD998" i="72"/>
  <c r="V1075" i="72"/>
  <c r="V964" i="72"/>
  <c r="Y1019" i="72"/>
  <c r="AC1023" i="72"/>
  <c r="AE1076" i="72"/>
  <c r="AE1079" i="72"/>
  <c r="S989" i="72"/>
  <c r="AA1002" i="72"/>
  <c r="U1040" i="72"/>
  <c r="T989" i="72"/>
  <c r="AG1029" i="72"/>
  <c r="X1077" i="72"/>
  <c r="X1018" i="72"/>
  <c r="AB1093" i="72"/>
  <c r="AC1065" i="72"/>
  <c r="AE1093" i="72"/>
  <c r="X1026" i="72"/>
  <c r="AD1042" i="72"/>
  <c r="W1061" i="72"/>
  <c r="T1067" i="72"/>
  <c r="T1066" i="72"/>
  <c r="AE1101" i="72"/>
  <c r="T1093" i="72"/>
  <c r="V1066" i="72"/>
  <c r="V1089" i="72"/>
  <c r="X1094" i="72"/>
  <c r="AG1095" i="72"/>
  <c r="U1065" i="72"/>
  <c r="Y1022" i="72"/>
  <c r="V1042" i="72"/>
  <c r="X1073" i="72"/>
  <c r="AF1102" i="72"/>
  <c r="AE15" i="72"/>
  <c r="W66" i="72"/>
  <c r="AD72" i="72"/>
  <c r="AF17" i="72"/>
  <c r="W18" i="72"/>
  <c r="AB33" i="72"/>
  <c r="AG41" i="72"/>
  <c r="V23" i="72"/>
  <c r="Y29" i="72"/>
  <c r="S36" i="72"/>
  <c r="U54" i="72"/>
  <c r="T21" i="72"/>
  <c r="AG39" i="72"/>
  <c r="AG55" i="72"/>
  <c r="Z62" i="72"/>
  <c r="AF68" i="72"/>
  <c r="AA68" i="72"/>
  <c r="Y33" i="72"/>
  <c r="S49" i="72"/>
  <c r="V9" i="72"/>
  <c r="V13" i="72"/>
  <c r="Y57" i="72"/>
  <c r="AG62" i="72"/>
  <c r="Y62" i="72"/>
  <c r="T62" i="72"/>
  <c r="S79" i="72"/>
  <c r="AD10" i="72"/>
  <c r="V17" i="72"/>
  <c r="V36" i="72"/>
  <c r="V50" i="72"/>
  <c r="V21" i="72"/>
  <c r="AF48" i="72"/>
  <c r="Z57" i="72"/>
  <c r="Y10" i="72"/>
  <c r="AA38" i="72"/>
  <c r="S55" i="72"/>
  <c r="AB20" i="72"/>
  <c r="S31" i="72"/>
  <c r="AB15" i="72"/>
  <c r="T49" i="72"/>
  <c r="Y49" i="72"/>
  <c r="S52" i="72"/>
  <c r="AC15" i="72"/>
  <c r="AD38" i="72"/>
  <c r="AG50" i="72"/>
  <c r="Y50" i="72"/>
  <c r="AF26" i="72"/>
  <c r="AD56" i="72"/>
  <c r="V64" i="72"/>
  <c r="AD98" i="72"/>
  <c r="Y118" i="72"/>
  <c r="AB123" i="72"/>
  <c r="AB132" i="72"/>
  <c r="AC73" i="72"/>
  <c r="Z104" i="72"/>
  <c r="Y515" i="72"/>
  <c r="T640" i="72"/>
  <c r="AA713" i="72"/>
  <c r="AC550" i="72"/>
  <c r="S553" i="72"/>
  <c r="AG569" i="72"/>
  <c r="T541" i="72"/>
  <c r="U531" i="72"/>
  <c r="AC634" i="72"/>
  <c r="T705" i="72"/>
  <c r="AF677" i="72"/>
  <c r="X711" i="72"/>
  <c r="T677" i="72"/>
  <c r="AC765" i="72"/>
  <c r="AA793" i="72"/>
  <c r="AE721" i="72"/>
  <c r="AC835" i="72"/>
  <c r="U825" i="72"/>
  <c r="V765" i="72"/>
  <c r="U759" i="72"/>
  <c r="AG771" i="72"/>
  <c r="W809" i="72"/>
  <c r="AF928" i="72"/>
  <c r="U812" i="72"/>
  <c r="AF803" i="72"/>
  <c r="AG895" i="72"/>
  <c r="U878" i="72"/>
  <c r="AB952" i="72"/>
  <c r="AE894" i="72"/>
  <c r="T860" i="72"/>
  <c r="AG894" i="72"/>
  <c r="AF899" i="72"/>
  <c r="AB908" i="72"/>
  <c r="Y870" i="72"/>
  <c r="AA878" i="72"/>
  <c r="W942" i="72"/>
  <c r="W957" i="72"/>
  <c r="AD1082" i="72"/>
  <c r="Y1082" i="72"/>
  <c r="U1082" i="72"/>
  <c r="T975" i="72"/>
  <c r="T902" i="72"/>
  <c r="Z923" i="72"/>
  <c r="AF982" i="72"/>
  <c r="AA982" i="72"/>
  <c r="U1050" i="72"/>
  <c r="Z936" i="72"/>
  <c r="S919" i="72"/>
  <c r="AG937" i="72"/>
  <c r="V946" i="72"/>
  <c r="Y983" i="72"/>
  <c r="Z902" i="72"/>
  <c r="AC936" i="72"/>
  <c r="AB1005" i="72"/>
  <c r="U1005" i="72"/>
  <c r="AC917" i="72"/>
  <c r="AC935" i="72"/>
  <c r="S906" i="72"/>
  <c r="Y919" i="72"/>
  <c r="W931" i="72"/>
  <c r="X918" i="72"/>
  <c r="AG1045" i="72"/>
  <c r="X962" i="72"/>
  <c r="AA980" i="72"/>
  <c r="AC990" i="72"/>
  <c r="V999" i="72"/>
  <c r="S1009" i="72"/>
  <c r="AD1024" i="72"/>
  <c r="AB1044" i="72"/>
  <c r="AF967" i="72"/>
  <c r="AC980" i="72"/>
  <c r="AD990" i="72"/>
  <c r="X999" i="72"/>
  <c r="AA1017" i="72"/>
  <c r="S965" i="72"/>
  <c r="AF990" i="72"/>
  <c r="S1051" i="72"/>
  <c r="AG1030" i="72"/>
  <c r="U1075" i="72"/>
  <c r="AF1051" i="72"/>
  <c r="T1051" i="72"/>
  <c r="Z965" i="72"/>
  <c r="AA988" i="72"/>
  <c r="Z1023" i="72"/>
  <c r="AA984" i="72"/>
  <c r="X1025" i="72"/>
  <c r="Z1076" i="72"/>
  <c r="AA1079" i="72"/>
  <c r="V1079" i="72"/>
  <c r="T1040" i="72"/>
  <c r="AA1041" i="72"/>
  <c r="AE1100" i="72"/>
  <c r="AE965" i="72"/>
  <c r="AG1035" i="72"/>
  <c r="W1077" i="72"/>
  <c r="AF1100" i="72"/>
  <c r="Y1095" i="72"/>
  <c r="Y1027" i="72"/>
  <c r="AC1092" i="72"/>
  <c r="T1059" i="72"/>
  <c r="V1067" i="72"/>
  <c r="V1094" i="72"/>
  <c r="Z1061" i="72"/>
  <c r="AF1101" i="72"/>
  <c r="AF1037" i="72"/>
  <c r="V1059" i="72"/>
  <c r="V1090" i="72"/>
  <c r="W1066" i="72"/>
  <c r="T1042" i="72"/>
  <c r="AC1064" i="72"/>
  <c r="V1073" i="72"/>
  <c r="AF1091" i="72"/>
  <c r="AE1096" i="72"/>
  <c r="V1065" i="72"/>
  <c r="AG1089" i="72"/>
  <c r="AA1066" i="72"/>
  <c r="T16" i="72"/>
  <c r="X25" i="72"/>
  <c r="W29" i="72"/>
  <c r="AE66" i="72"/>
  <c r="Z66" i="72"/>
  <c r="AG72" i="72"/>
  <c r="AA72" i="72"/>
  <c r="X9" i="72"/>
  <c r="U30" i="72"/>
  <c r="Y16" i="72"/>
  <c r="AB36" i="72"/>
  <c r="U15" i="72"/>
  <c r="AB54" i="72"/>
  <c r="AA29" i="72"/>
  <c r="AC29" i="72"/>
  <c r="AF45" i="72"/>
  <c r="U45" i="72"/>
  <c r="V68" i="72"/>
  <c r="AG46" i="72"/>
  <c r="V46" i="72"/>
  <c r="Y20" i="72"/>
  <c r="Y32" i="72"/>
  <c r="AA61" i="72"/>
  <c r="Y18" i="72"/>
  <c r="W31" i="72"/>
  <c r="AD79" i="72"/>
  <c r="X79" i="72"/>
  <c r="AF24" i="72"/>
  <c r="Y30" i="72"/>
  <c r="T37" i="72"/>
  <c r="X38" i="72"/>
  <c r="X52" i="72"/>
  <c r="W16" i="72"/>
  <c r="T29" i="72"/>
  <c r="Y15" i="72"/>
  <c r="U22" i="72"/>
  <c r="AE34" i="72"/>
  <c r="AC49" i="72"/>
  <c r="AF57" i="72"/>
  <c r="AB61" i="72"/>
  <c r="U61" i="72"/>
  <c r="Z15" i="72"/>
  <c r="AB30" i="72"/>
  <c r="U39" i="72"/>
  <c r="X34" i="72"/>
  <c r="AC48" i="72"/>
  <c r="V48" i="72"/>
  <c r="AG52" i="72"/>
  <c r="Z52" i="72"/>
  <c r="S16" i="72"/>
  <c r="W32" i="72"/>
  <c r="AG43" i="72"/>
  <c r="AD77" i="72"/>
  <c r="U82" i="72"/>
  <c r="AF88" i="72"/>
  <c r="Z94" i="72"/>
  <c r="AD105" i="72"/>
  <c r="AE112" i="72"/>
  <c r="AE40" i="72"/>
  <c r="AE56" i="72"/>
  <c r="X65" i="72"/>
  <c r="V82" i="72"/>
  <c r="V86" i="72"/>
  <c r="AE91" i="72"/>
  <c r="Z97" i="72"/>
  <c r="AF713" i="72"/>
  <c r="V534" i="72"/>
  <c r="S581" i="72"/>
  <c r="W555" i="72"/>
  <c r="Z540" i="72"/>
  <c r="AA672" i="72"/>
  <c r="Y696" i="72"/>
  <c r="AB735" i="72"/>
  <c r="AE686" i="72"/>
  <c r="AB711" i="72"/>
  <c r="U677" i="72"/>
  <c r="AB742" i="72"/>
  <c r="Y777" i="72"/>
  <c r="AG790" i="72"/>
  <c r="U815" i="72"/>
  <c r="X807" i="72"/>
  <c r="AD913" i="72"/>
  <c r="AG900" i="72"/>
  <c r="AC916" i="72"/>
  <c r="X878" i="72"/>
  <c r="Y894" i="72"/>
  <c r="Z908" i="72"/>
  <c r="AF920" i="72"/>
  <c r="AA920" i="72"/>
  <c r="V920" i="72"/>
  <c r="AA918" i="72"/>
  <c r="V957" i="72"/>
  <c r="AE914" i="72"/>
  <c r="X936" i="72"/>
  <c r="AD986" i="72"/>
  <c r="Z986" i="72"/>
  <c r="U986" i="72"/>
  <c r="AE1050" i="72"/>
  <c r="AB1013" i="72"/>
  <c r="V1013" i="72"/>
  <c r="AE978" i="72"/>
  <c r="AA978" i="72"/>
  <c r="U978" i="72"/>
  <c r="AC927" i="72"/>
  <c r="V937" i="72"/>
  <c r="AD946" i="72"/>
  <c r="AF951" i="72"/>
  <c r="U983" i="72"/>
  <c r="T919" i="72"/>
  <c r="T944" i="72"/>
  <c r="AA1001" i="72"/>
  <c r="W1001" i="72"/>
  <c r="Z1005" i="72"/>
  <c r="AC891" i="72"/>
  <c r="S918" i="72"/>
  <c r="AD935" i="72"/>
  <c r="AC954" i="72"/>
  <c r="T954" i="72"/>
  <c r="W996" i="72"/>
  <c r="Y1045" i="72"/>
  <c r="Z981" i="72"/>
  <c r="U1010" i="72"/>
  <c r="V1024" i="72"/>
  <c r="X1046" i="72"/>
  <c r="AA950" i="72"/>
  <c r="AB981" i="72"/>
  <c r="W1017" i="72"/>
  <c r="AA969" i="72"/>
  <c r="AE981" i="72"/>
  <c r="T993" i="72"/>
  <c r="AF1016" i="72"/>
  <c r="AD1044" i="72"/>
  <c r="W1044" i="72"/>
  <c r="AD987" i="72"/>
  <c r="AB1030" i="72"/>
  <c r="S1075" i="72"/>
  <c r="AA1028" i="72"/>
  <c r="T971" i="72"/>
  <c r="X1002" i="72"/>
  <c r="AA1029" i="72"/>
  <c r="AB1025" i="72"/>
  <c r="Y1076" i="72"/>
  <c r="U1079" i="72"/>
  <c r="AD965" i="72"/>
  <c r="V990" i="72"/>
  <c r="V1016" i="72"/>
  <c r="U943" i="72"/>
  <c r="W1016" i="72"/>
  <c r="AC1029" i="72"/>
  <c r="U1077" i="72"/>
  <c r="W1100" i="72"/>
  <c r="AF1019" i="72"/>
  <c r="X1062" i="72"/>
  <c r="V1058" i="72"/>
  <c r="AF1066" i="72"/>
  <c r="S1048" i="72"/>
  <c r="AF1068" i="72"/>
  <c r="AE1099" i="72"/>
  <c r="Y1061" i="72"/>
  <c r="AG1061" i="72"/>
  <c r="X1067" i="72"/>
  <c r="AE1095" i="72"/>
  <c r="W1089" i="72"/>
  <c r="T1065" i="72"/>
  <c r="AE1097" i="72"/>
  <c r="Y1066" i="72"/>
  <c r="Z1043" i="72"/>
  <c r="AD1059" i="72"/>
  <c r="Z1090" i="72"/>
  <c r="AE1059" i="72"/>
  <c r="S1070" i="72"/>
  <c r="U66" i="72"/>
  <c r="U72" i="72"/>
  <c r="Y17" i="72"/>
  <c r="AF41" i="72"/>
  <c r="AE23" i="72"/>
  <c r="AB46" i="72"/>
  <c r="S62" i="72"/>
  <c r="S54" i="72"/>
  <c r="AC21" i="72"/>
  <c r="AE39" i="72"/>
  <c r="Z55" i="72"/>
  <c r="AE55" i="72"/>
  <c r="AE68" i="72"/>
  <c r="Z68" i="72"/>
  <c r="AC16" i="72"/>
  <c r="AD29" i="72"/>
  <c r="X33" i="72"/>
  <c r="T52" i="72"/>
  <c r="AB10" i="72"/>
  <c r="AB14" i="72"/>
  <c r="Y48" i="72"/>
  <c r="S15" i="72"/>
  <c r="AE62" i="72"/>
  <c r="X62" i="72"/>
  <c r="U79" i="72"/>
  <c r="AA50" i="72"/>
  <c r="X57" i="72"/>
  <c r="AF10" i="72"/>
  <c r="AA20" i="72"/>
  <c r="AF32" i="72"/>
  <c r="T18" i="72"/>
  <c r="AF49" i="72"/>
  <c r="X49" i="72"/>
  <c r="U18" i="72"/>
  <c r="AC38" i="72"/>
  <c r="AE50" i="72"/>
  <c r="X50" i="72"/>
  <c r="AG27" i="72"/>
  <c r="AF58" i="72"/>
  <c r="W65" i="72"/>
  <c r="AB73" i="72"/>
  <c r="S89" i="72"/>
  <c r="AE119" i="72"/>
  <c r="AC126" i="72"/>
  <c r="V75" i="72"/>
  <c r="AE499" i="72"/>
  <c r="AA529" i="72"/>
  <c r="AB569" i="72"/>
  <c r="T581" i="72"/>
  <c r="Z694" i="72"/>
  <c r="Z800" i="72"/>
  <c r="AA656" i="72"/>
  <c r="AD699" i="72"/>
  <c r="AB677" i="72"/>
  <c r="AD806" i="72"/>
  <c r="AD655" i="72"/>
  <c r="AC758" i="72"/>
  <c r="T692" i="72"/>
  <c r="AE727" i="72"/>
  <c r="S817" i="72"/>
  <c r="Z783" i="72"/>
  <c r="X781" i="72"/>
  <c r="Z811" i="72"/>
  <c r="U803" i="72"/>
  <c r="Y843" i="72"/>
  <c r="W846" i="72"/>
  <c r="W823" i="72"/>
  <c r="Z823" i="72"/>
  <c r="Y878" i="72"/>
  <c r="Z913" i="72"/>
  <c r="AB857" i="72"/>
  <c r="AA861" i="72"/>
  <c r="X894" i="72"/>
  <c r="AD894" i="72"/>
  <c r="AA899" i="72"/>
  <c r="U908" i="72"/>
  <c r="T855" i="72"/>
  <c r="S898" i="72"/>
  <c r="U920" i="72"/>
  <c r="AG959" i="72"/>
  <c r="AC1082" i="72"/>
  <c r="X1082" i="72"/>
  <c r="T1082" i="72"/>
  <c r="T868" i="72"/>
  <c r="Z903" i="72"/>
  <c r="T927" i="72"/>
  <c r="AG938" i="72"/>
  <c r="AE982" i="72"/>
  <c r="Z982" i="72"/>
  <c r="Y986" i="72"/>
  <c r="T1050" i="72"/>
  <c r="U1013" i="72"/>
  <c r="W960" i="72"/>
  <c r="T978" i="72"/>
  <c r="AE946" i="72"/>
  <c r="T946" i="72"/>
  <c r="AD951" i="72"/>
  <c r="AE903" i="72"/>
  <c r="U919" i="72"/>
  <c r="AD1001" i="72"/>
  <c r="AE1005" i="72"/>
  <c r="AA1005" i="72"/>
  <c r="T1005" i="72"/>
  <c r="AE936" i="72"/>
  <c r="AD891" i="72"/>
  <c r="X931" i="72"/>
  <c r="AB919" i="72"/>
  <c r="AC944" i="72"/>
  <c r="AE996" i="72"/>
  <c r="AE1045" i="72"/>
  <c r="W1045" i="72"/>
  <c r="W958" i="72"/>
  <c r="S987" i="72"/>
  <c r="Z947" i="72"/>
  <c r="T994" i="72"/>
  <c r="AD1006" i="72"/>
  <c r="Z987" i="72"/>
  <c r="V1051" i="72"/>
  <c r="W988" i="72"/>
  <c r="V1035" i="72"/>
  <c r="AE1051" i="72"/>
  <c r="AA973" i="72"/>
  <c r="AF1007" i="72"/>
  <c r="Y1035" i="72"/>
  <c r="AG947" i="72"/>
  <c r="AB988" i="72"/>
  <c r="Y1002" i="72"/>
  <c r="AD1031" i="72"/>
  <c r="X1076" i="72"/>
  <c r="Z1079" i="72"/>
  <c r="T1079" i="72"/>
  <c r="V977" i="72"/>
  <c r="Y1018" i="72"/>
  <c r="AG1041" i="72"/>
  <c r="Y1041" i="72"/>
  <c r="W977" i="72"/>
  <c r="AG994" i="72"/>
  <c r="AE1029" i="72"/>
  <c r="AG1023" i="72"/>
  <c r="AC1035" i="72"/>
  <c r="T1077" i="72"/>
  <c r="AD1100" i="72"/>
  <c r="Z977" i="72"/>
  <c r="Z1019" i="72"/>
  <c r="AB1032" i="72"/>
  <c r="W1064" i="72"/>
  <c r="T1071" i="72"/>
  <c r="T1089" i="72"/>
  <c r="AC1095" i="72"/>
  <c r="AF1026" i="72"/>
  <c r="AD1091" i="72"/>
  <c r="AC1096" i="72"/>
  <c r="AE1091" i="72"/>
  <c r="X1043" i="72"/>
  <c r="X1059" i="72"/>
  <c r="U1081" i="72"/>
  <c r="AG1098" i="72"/>
  <c r="S1032" i="72"/>
  <c r="Z1066" i="72"/>
  <c r="AG1096" i="72"/>
  <c r="T10" i="72"/>
  <c r="V18" i="72"/>
  <c r="AG25" i="72"/>
  <c r="Y31" i="72"/>
  <c r="Z39" i="72"/>
  <c r="AA54" i="72"/>
  <c r="AD66" i="72"/>
  <c r="Y66" i="72"/>
  <c r="AE72" i="72"/>
  <c r="Y72" i="72"/>
  <c r="AE9" i="72"/>
  <c r="AE21" i="72"/>
  <c r="T30" i="72"/>
  <c r="V10" i="72"/>
  <c r="AA31" i="72"/>
  <c r="AA36" i="72"/>
  <c r="AD15" i="72"/>
  <c r="Z16" i="72"/>
  <c r="AF54" i="72"/>
  <c r="AC31" i="72"/>
  <c r="AB16" i="72"/>
  <c r="AE31" i="72"/>
  <c r="AB45" i="72"/>
  <c r="T45" i="72"/>
  <c r="U68" i="72"/>
  <c r="S17" i="72"/>
  <c r="AC46" i="72"/>
  <c r="U46" i="72"/>
  <c r="Z11" i="72"/>
  <c r="U49" i="72"/>
  <c r="X18" i="72"/>
  <c r="V31" i="72"/>
  <c r="AG79" i="72"/>
  <c r="AC79" i="72"/>
  <c r="W79" i="72"/>
  <c r="X13" i="72"/>
  <c r="AD20" i="72"/>
  <c r="AE24" i="72"/>
  <c r="AC37" i="72"/>
  <c r="V41" i="72"/>
  <c r="V16" i="72"/>
  <c r="S29" i="72"/>
  <c r="AD22" i="72"/>
  <c r="AA30" i="72"/>
  <c r="Z38" i="72"/>
  <c r="AC52" i="72"/>
  <c r="AE57" i="72"/>
  <c r="Z61" i="72"/>
  <c r="T61" i="72"/>
  <c r="AG34" i="72"/>
  <c r="Z48" i="72"/>
  <c r="AD50" i="72"/>
  <c r="AD52" i="72"/>
  <c r="X54" i="72"/>
  <c r="V29" i="72"/>
  <c r="V32" i="72"/>
  <c r="U47" i="72"/>
  <c r="AF74" i="72"/>
  <c r="AA83" i="72"/>
  <c r="AF95" i="72"/>
  <c r="S127" i="72"/>
  <c r="S139" i="72"/>
  <c r="AG42" i="72"/>
  <c r="AG58" i="72"/>
  <c r="AB69" i="72"/>
  <c r="AB83" i="72"/>
  <c r="AA87" i="72"/>
  <c r="V93" i="72"/>
  <c r="AF98" i="72"/>
  <c r="S437" i="72"/>
  <c r="T740" i="72"/>
  <c r="X599" i="72"/>
  <c r="AA709" i="72"/>
  <c r="V603" i="72"/>
  <c r="U800" i="72"/>
  <c r="AB662" i="72"/>
  <c r="AG706" i="72"/>
  <c r="Z806" i="72"/>
  <c r="AB758" i="72"/>
  <c r="Z696" i="72"/>
  <c r="AD746" i="72"/>
  <c r="U780" i="72"/>
  <c r="AG783" i="72"/>
  <c r="AG796" i="72"/>
  <c r="AA805" i="72"/>
  <c r="AG809" i="72"/>
  <c r="AB832" i="72"/>
  <c r="V833" i="72"/>
  <c r="S894" i="72"/>
  <c r="U913" i="72"/>
  <c r="AA915" i="72"/>
  <c r="U863" i="72"/>
  <c r="AB901" i="72"/>
  <c r="AF908" i="72"/>
  <c r="Z873" i="72"/>
  <c r="AE920" i="72"/>
  <c r="Z920" i="72"/>
  <c r="AE919" i="72"/>
  <c r="X959" i="72"/>
  <c r="S1082" i="72"/>
  <c r="AB975" i="72"/>
  <c r="AG986" i="72"/>
  <c r="AC986" i="72"/>
  <c r="X986" i="72"/>
  <c r="T986" i="72"/>
  <c r="AB1050" i="72"/>
  <c r="AA1013" i="72"/>
  <c r="T1013" i="72"/>
  <c r="AE918" i="72"/>
  <c r="AD960" i="72"/>
  <c r="AD978" i="72"/>
  <c r="X978" i="72"/>
  <c r="S978" i="72"/>
  <c r="AB939" i="72"/>
  <c r="T983" i="72"/>
  <c r="AF1001" i="72"/>
  <c r="Z1001" i="72"/>
  <c r="U1001" i="72"/>
  <c r="AB902" i="72"/>
  <c r="W919" i="72"/>
  <c r="AG936" i="72"/>
  <c r="AB954" i="72"/>
  <c r="X929" i="72"/>
  <c r="AB996" i="72"/>
  <c r="W947" i="72"/>
  <c r="AC1016" i="72"/>
  <c r="AF940" i="72"/>
  <c r="AB1006" i="72"/>
  <c r="T988" i="72"/>
  <c r="U987" i="72"/>
  <c r="Z1007" i="72"/>
  <c r="AC1044" i="72"/>
  <c r="U1044" i="72"/>
  <c r="V988" i="72"/>
  <c r="AC1074" i="72"/>
  <c r="U1023" i="72"/>
  <c r="AD1075" i="72"/>
  <c r="U1051" i="72"/>
  <c r="T990" i="72"/>
  <c r="T1016" i="72"/>
  <c r="Y1039" i="72"/>
  <c r="AA964" i="72"/>
  <c r="AC1031" i="72"/>
  <c r="W1076" i="72"/>
  <c r="S1079" i="72"/>
  <c r="AF994" i="72"/>
  <c r="AC1019" i="72"/>
  <c r="Y945" i="72"/>
  <c r="S997" i="72"/>
  <c r="U1029" i="72"/>
  <c r="AF1035" i="72"/>
  <c r="AF1077" i="72"/>
  <c r="W1019" i="72"/>
  <c r="Z1065" i="72"/>
  <c r="T1094" i="72"/>
  <c r="T1090" i="72"/>
  <c r="AA1096" i="72"/>
  <c r="U1066" i="72"/>
  <c r="V1043" i="72"/>
  <c r="AC1097" i="72"/>
  <c r="AG1048" i="72"/>
  <c r="X1066" i="72"/>
  <c r="W1093" i="72"/>
  <c r="W1081" i="72"/>
  <c r="AG1097" i="72"/>
  <c r="S1091" i="72"/>
  <c r="Y55" i="72"/>
  <c r="T66" i="72"/>
  <c r="V72" i="72"/>
  <c r="X17" i="72"/>
  <c r="X29" i="72"/>
  <c r="AA39" i="72"/>
  <c r="AE41" i="72"/>
  <c r="AE54" i="72"/>
  <c r="AB13" i="72"/>
  <c r="AA18" i="72"/>
  <c r="AD23" i="72"/>
  <c r="AB21" i="72"/>
  <c r="S32" i="72"/>
  <c r="AD39" i="72"/>
  <c r="V55" i="72"/>
  <c r="AD55" i="72"/>
  <c r="T32" i="72"/>
  <c r="AB62" i="72"/>
  <c r="AD68" i="72"/>
  <c r="AF31" i="72"/>
  <c r="W33" i="72"/>
  <c r="AA22" i="72"/>
  <c r="AA34" i="72"/>
  <c r="S50" i="72"/>
  <c r="AF16" i="72"/>
  <c r="AC62" i="72"/>
  <c r="V62" i="72"/>
  <c r="AB79" i="72"/>
  <c r="S21" i="72"/>
  <c r="AA32" i="72"/>
  <c r="AA17" i="72"/>
  <c r="T39" i="72"/>
  <c r="T54" i="72"/>
  <c r="V57" i="72"/>
  <c r="AC14" i="72"/>
  <c r="AB17" i="72"/>
  <c r="AD32" i="72"/>
  <c r="AA15" i="72"/>
  <c r="Z20" i="72"/>
  <c r="AE38" i="72"/>
  <c r="W54" i="72"/>
  <c r="T31" i="72"/>
  <c r="AD49" i="72"/>
  <c r="W49" i="72"/>
  <c r="W55" i="72"/>
  <c r="X31" i="72"/>
  <c r="AB38" i="72"/>
  <c r="AB50" i="72"/>
  <c r="Z54" i="72"/>
  <c r="AG59" i="72"/>
  <c r="AB80" i="72"/>
  <c r="Y90" i="72"/>
  <c r="S96" i="72"/>
  <c r="AF102" i="72"/>
  <c r="T140" i="72"/>
  <c r="AE77" i="72"/>
  <c r="Z84" i="72"/>
  <c r="S99" i="72"/>
  <c r="AG446" i="72"/>
  <c r="AF495" i="72"/>
  <c r="AB494" i="72"/>
  <c r="X613" i="72"/>
  <c r="X518" i="72"/>
  <c r="AC638" i="72"/>
  <c r="V800" i="72"/>
  <c r="AF634" i="72"/>
  <c r="AA717" i="72"/>
  <c r="X706" i="72"/>
  <c r="AE678" i="72"/>
  <c r="T690" i="72"/>
  <c r="W758" i="72"/>
  <c r="AD731" i="72"/>
  <c r="AD759" i="72"/>
  <c r="AF782" i="72"/>
  <c r="AB796" i="72"/>
  <c r="S737" i="72"/>
  <c r="AF823" i="72"/>
  <c r="AF896" i="72"/>
  <c r="S815" i="72"/>
  <c r="S821" i="72"/>
  <c r="AG869" i="72"/>
  <c r="U836" i="72"/>
  <c r="Z826" i="72"/>
  <c r="AG956" i="72"/>
  <c r="Z864" i="72"/>
  <c r="Z901" i="72"/>
  <c r="U894" i="72"/>
  <c r="AG899" i="72"/>
  <c r="X899" i="72"/>
  <c r="T822" i="72"/>
  <c r="W875" i="72"/>
  <c r="V904" i="72"/>
  <c r="AB1082" i="72"/>
  <c r="W1082" i="72"/>
  <c r="Z888" i="72"/>
  <c r="AF906" i="72"/>
  <c r="AC918" i="72"/>
  <c r="AF929" i="72"/>
  <c r="X938" i="72"/>
  <c r="AC982" i="72"/>
  <c r="X982" i="72"/>
  <c r="S1050" i="72"/>
  <c r="S1013" i="72"/>
  <c r="Y960" i="72"/>
  <c r="AC939" i="72"/>
  <c r="AB946" i="72"/>
  <c r="S946" i="72"/>
  <c r="AF983" i="72"/>
  <c r="AA891" i="72"/>
  <c r="AE909" i="72"/>
  <c r="AD1005" i="72"/>
  <c r="Y1005" i="72"/>
  <c r="S1005" i="72"/>
  <c r="U929" i="72"/>
  <c r="Y905" i="72"/>
  <c r="AA931" i="72"/>
  <c r="Z944" i="72"/>
  <c r="Z996" i="72"/>
  <c r="AC1045" i="72"/>
  <c r="Z1045" i="72"/>
  <c r="Z950" i="72"/>
  <c r="AD995" i="72"/>
  <c r="AG1003" i="72"/>
  <c r="T1030" i="72"/>
  <c r="Y962" i="72"/>
  <c r="S988" i="72"/>
  <c r="AE995" i="72"/>
  <c r="U1007" i="72"/>
  <c r="Z1046" i="72"/>
  <c r="AC950" i="72"/>
  <c r="U974" i="72"/>
  <c r="U988" i="72"/>
  <c r="AF997" i="72"/>
  <c r="AE1009" i="72"/>
  <c r="U1074" i="72"/>
  <c r="AF989" i="72"/>
  <c r="AC1030" i="72"/>
  <c r="Y1075" i="72"/>
  <c r="AD1051" i="72"/>
  <c r="AF947" i="72"/>
  <c r="T977" i="72"/>
  <c r="AE993" i="72"/>
  <c r="AG1039" i="72"/>
  <c r="AB965" i="72"/>
  <c r="U1016" i="72"/>
  <c r="V1076" i="72"/>
  <c r="Y1079" i="72"/>
  <c r="AC984" i="72"/>
  <c r="AD1023" i="72"/>
  <c r="W1041" i="72"/>
  <c r="AE984" i="72"/>
  <c r="U989" i="72"/>
  <c r="S1035" i="72"/>
  <c r="AA1077" i="72"/>
  <c r="Y1016" i="72"/>
  <c r="S1019" i="72"/>
  <c r="AA1062" i="72"/>
  <c r="AC1099" i="72"/>
  <c r="AF1033" i="72"/>
  <c r="AA1055" i="72"/>
  <c r="AE1065" i="72"/>
  <c r="S1066" i="72"/>
  <c r="Y1064" i="72"/>
  <c r="AA1097" i="72"/>
  <c r="U1089" i="72"/>
  <c r="AF1032" i="72"/>
  <c r="AB1048" i="72"/>
  <c r="AA1064" i="72"/>
  <c r="T1073" i="72"/>
  <c r="AE1098" i="72"/>
  <c r="V1093" i="72"/>
  <c r="X1033" i="72"/>
  <c r="W1052" i="72"/>
  <c r="U1092" i="72"/>
  <c r="AF25" i="72"/>
  <c r="AA45" i="72"/>
  <c r="AC66" i="72"/>
  <c r="X66" i="72"/>
  <c r="T72" i="72"/>
  <c r="AC72" i="72"/>
  <c r="X72" i="72"/>
  <c r="AC30" i="72"/>
  <c r="Z31" i="72"/>
  <c r="X41" i="72"/>
  <c r="AA55" i="72"/>
  <c r="T20" i="72"/>
  <c r="Z36" i="72"/>
  <c r="W15" i="72"/>
  <c r="Z29" i="72"/>
  <c r="AD54" i="72"/>
  <c r="AA16" i="72"/>
  <c r="AD18" i="72"/>
  <c r="Z45" i="72"/>
  <c r="S45" i="72"/>
  <c r="Y68" i="72"/>
  <c r="S68" i="72"/>
  <c r="U9" i="72"/>
  <c r="AE18" i="72"/>
  <c r="U32" i="72"/>
  <c r="AA46" i="72"/>
  <c r="T46" i="72"/>
  <c r="AD62" i="72"/>
  <c r="AG11" i="72"/>
  <c r="AD16" i="72"/>
  <c r="V38" i="72"/>
  <c r="U52" i="72"/>
  <c r="AG18" i="72"/>
  <c r="U31" i="72"/>
  <c r="AF79" i="72"/>
  <c r="AA79" i="72"/>
  <c r="AE14" i="72"/>
  <c r="AD24" i="72"/>
  <c r="AB37" i="72"/>
  <c r="AE16" i="72"/>
  <c r="AB29" i="72"/>
  <c r="AC22" i="72"/>
  <c r="Y41" i="72"/>
  <c r="AF61" i="72"/>
  <c r="X61" i="72"/>
  <c r="S61" i="72"/>
  <c r="T33" i="72"/>
  <c r="AE49" i="72"/>
  <c r="Z34" i="72"/>
  <c r="W39" i="72"/>
  <c r="X48" i="72"/>
  <c r="U55" i="72"/>
  <c r="AB52" i="72"/>
  <c r="AE32" i="72"/>
  <c r="U38" i="72"/>
  <c r="AD40" i="72"/>
  <c r="AA69" i="72"/>
  <c r="W74" i="72"/>
  <c r="W81" i="72"/>
  <c r="U86" i="72"/>
  <c r="S103" i="72"/>
  <c r="S110" i="72"/>
  <c r="AC115" i="72"/>
  <c r="Z121" i="72"/>
  <c r="V47" i="72"/>
  <c r="V63" i="72"/>
  <c r="AE70" i="72"/>
  <c r="T89" i="72"/>
  <c r="AB94" i="72"/>
  <c r="AD517" i="72"/>
  <c r="AC606" i="72"/>
  <c r="Z753" i="72"/>
  <c r="S864" i="72"/>
  <c r="AC861" i="72"/>
  <c r="AG1050" i="72"/>
  <c r="AC978" i="72"/>
  <c r="AC989" i="72"/>
  <c r="AA1044" i="72"/>
  <c r="AE973" i="72"/>
  <c r="S1029" i="72"/>
  <c r="Z1067" i="72"/>
  <c r="AD21" i="72"/>
  <c r="S72" i="72"/>
  <c r="AC45" i="72"/>
  <c r="AC55" i="72"/>
  <c r="T17" i="72"/>
  <c r="U62" i="72"/>
  <c r="AC32" i="72"/>
  <c r="U50" i="72"/>
  <c r="AF112" i="72"/>
  <c r="AF119" i="72"/>
  <c r="AF56" i="72"/>
  <c r="AC69" i="72"/>
  <c r="S78" i="72"/>
  <c r="W86" i="72"/>
  <c r="AB102" i="72"/>
  <c r="S109" i="72"/>
  <c r="S122" i="72"/>
  <c r="Y132" i="72"/>
  <c r="AB70" i="72"/>
  <c r="Y86" i="72"/>
  <c r="W120" i="72"/>
  <c r="AF123" i="72"/>
  <c r="Z86" i="72"/>
  <c r="AC138" i="72"/>
  <c r="AF97" i="72"/>
  <c r="Y106" i="72"/>
  <c r="S119" i="72"/>
  <c r="V121" i="72"/>
  <c r="AB140" i="72"/>
  <c r="AF144" i="72"/>
  <c r="Z144" i="72"/>
  <c r="U144" i="72"/>
  <c r="AC75" i="72"/>
  <c r="AC86" i="72"/>
  <c r="AC93" i="72"/>
  <c r="Z99" i="72"/>
  <c r="Z113" i="72"/>
  <c r="AE127" i="72"/>
  <c r="T139" i="72"/>
  <c r="Y139" i="72"/>
  <c r="U112" i="72"/>
  <c r="V138" i="72"/>
  <c r="AG100" i="72"/>
  <c r="AE114" i="72"/>
  <c r="AG152" i="72"/>
  <c r="U83" i="72"/>
  <c r="Y98" i="72"/>
  <c r="S111" i="72"/>
  <c r="T90" i="72"/>
  <c r="Z98" i="72"/>
  <c r="T111" i="72"/>
  <c r="AE135" i="72"/>
  <c r="Y73" i="72"/>
  <c r="AF122" i="72"/>
  <c r="Y99" i="72"/>
  <c r="AF106" i="72"/>
  <c r="W113" i="72"/>
  <c r="AD120" i="72"/>
  <c r="S135" i="72"/>
  <c r="AC98" i="72"/>
  <c r="X111" i="72"/>
  <c r="AB148" i="72"/>
  <c r="T145" i="72"/>
  <c r="T153" i="72"/>
  <c r="V176" i="72"/>
  <c r="V170" i="72"/>
  <c r="Y170" i="72"/>
  <c r="X176" i="72"/>
  <c r="Z160" i="72"/>
  <c r="AC188" i="72"/>
  <c r="S148" i="72"/>
  <c r="AA134" i="72"/>
  <c r="AA142" i="72"/>
  <c r="U173" i="72"/>
  <c r="U186" i="72"/>
  <c r="W168" i="72"/>
  <c r="AE160" i="72"/>
  <c r="Y190" i="72"/>
  <c r="S190" i="72"/>
  <c r="X172" i="72"/>
  <c r="AA172" i="72"/>
  <c r="Y161" i="72"/>
  <c r="W204" i="72"/>
  <c r="S204" i="72"/>
  <c r="S160" i="72"/>
  <c r="AB156" i="72"/>
  <c r="T165" i="72"/>
  <c r="Y173" i="72"/>
  <c r="AB173" i="72"/>
  <c r="W185" i="72"/>
  <c r="V183" i="72"/>
  <c r="AD191" i="72"/>
  <c r="Z214" i="72"/>
  <c r="T180" i="72"/>
  <c r="AA203" i="72"/>
  <c r="AB212" i="72"/>
  <c r="AE225" i="72"/>
  <c r="AA201" i="72"/>
  <c r="AF214" i="72"/>
  <c r="AF189" i="72"/>
  <c r="AC202" i="72"/>
  <c r="Z231" i="72"/>
  <c r="T231" i="72"/>
  <c r="AD231" i="72"/>
  <c r="U225" i="72"/>
  <c r="AC184" i="72"/>
  <c r="AD201" i="72"/>
  <c r="W210" i="72"/>
  <c r="X210" i="72"/>
  <c r="T203" i="72"/>
  <c r="S185" i="72"/>
  <c r="X228" i="72"/>
  <c r="AF181" i="72"/>
  <c r="Z191" i="72"/>
  <c r="AF197" i="72"/>
  <c r="V203" i="72"/>
  <c r="X208" i="72"/>
  <c r="AA191" i="72"/>
  <c r="V214" i="72"/>
  <c r="AC230" i="72"/>
  <c r="AB209" i="72"/>
  <c r="AA270" i="72"/>
  <c r="U270" i="72"/>
  <c r="AD273" i="72"/>
  <c r="Y273" i="72"/>
  <c r="V222" i="72"/>
  <c r="W239" i="72"/>
  <c r="AA243" i="72"/>
  <c r="AE247" i="72"/>
  <c r="V257" i="72"/>
  <c r="AC227" i="72"/>
  <c r="AC243" i="72"/>
  <c r="U251" i="72"/>
  <c r="AB241" i="72"/>
  <c r="AC241" i="72"/>
  <c r="S681" i="72"/>
  <c r="Y731" i="72"/>
  <c r="AD839" i="72"/>
  <c r="AB904" i="72"/>
  <c r="U876" i="72"/>
  <c r="W978" i="72"/>
  <c r="X954" i="72"/>
  <c r="S1044" i="72"/>
  <c r="U990" i="72"/>
  <c r="AC1066" i="72"/>
  <c r="AA1095" i="72"/>
  <c r="X1089" i="72"/>
  <c r="Y54" i="72"/>
  <c r="W20" i="72"/>
  <c r="AE29" i="72"/>
  <c r="V79" i="72"/>
  <c r="Z50" i="72"/>
  <c r="U103" i="72"/>
  <c r="S113" i="72"/>
  <c r="S120" i="72"/>
  <c r="AA90" i="72"/>
  <c r="AB95" i="72"/>
  <c r="Z109" i="72"/>
  <c r="S116" i="72"/>
  <c r="Z138" i="72"/>
  <c r="X98" i="72"/>
  <c r="V112" i="72"/>
  <c r="Y127" i="72"/>
  <c r="Y63" i="72"/>
  <c r="S70" i="72"/>
  <c r="V78" i="72"/>
  <c r="AC97" i="72"/>
  <c r="V106" i="72"/>
  <c r="AF115" i="72"/>
  <c r="Z129" i="72"/>
  <c r="S131" i="72"/>
  <c r="AA64" i="72"/>
  <c r="W78" i="72"/>
  <c r="AE111" i="72"/>
  <c r="X120" i="72"/>
  <c r="S126" i="72"/>
  <c r="AD139" i="72"/>
  <c r="AA86" i="72"/>
  <c r="S98" i="72"/>
  <c r="AA140" i="72"/>
  <c r="S144" i="72"/>
  <c r="AC64" i="72"/>
  <c r="AC87" i="72"/>
  <c r="T94" i="72"/>
  <c r="V131" i="72"/>
  <c r="U91" i="72"/>
  <c r="U104" i="72"/>
  <c r="AB118" i="72"/>
  <c r="Y138" i="72"/>
  <c r="T69" i="72"/>
  <c r="X84" i="72"/>
  <c r="AB106" i="72"/>
  <c r="AB120" i="72"/>
  <c r="AD130" i="72"/>
  <c r="AE130" i="72"/>
  <c r="AA127" i="72"/>
  <c r="AB127" i="72"/>
  <c r="AC152" i="72"/>
  <c r="V152" i="72"/>
  <c r="AD71" i="72"/>
  <c r="AD78" i="72"/>
  <c r="AE120" i="72"/>
  <c r="AD135" i="72"/>
  <c r="AF120" i="72"/>
  <c r="AA91" i="72"/>
  <c r="U97" i="72"/>
  <c r="V104" i="72"/>
  <c r="V111" i="72"/>
  <c r="V118" i="72"/>
  <c r="X129" i="72"/>
  <c r="V90" i="72"/>
  <c r="Y131" i="72"/>
  <c r="AF135" i="72"/>
  <c r="T135" i="72"/>
  <c r="T78" i="72"/>
  <c r="X90" i="72"/>
  <c r="X118" i="72"/>
  <c r="AB128" i="72"/>
  <c r="AC128" i="72"/>
  <c r="S140" i="72"/>
  <c r="U136" i="72"/>
  <c r="AA148" i="72"/>
  <c r="U160" i="72"/>
  <c r="S153" i="72"/>
  <c r="V160" i="72"/>
  <c r="AE174" i="72"/>
  <c r="Z157" i="72"/>
  <c r="AF175" i="72"/>
  <c r="X188" i="72"/>
  <c r="S188" i="72"/>
  <c r="W169" i="72"/>
  <c r="AC176" i="72"/>
  <c r="AF176" i="72"/>
  <c r="AE143" i="72"/>
  <c r="X149" i="72"/>
  <c r="AB153" i="72"/>
  <c r="AD160" i="72"/>
  <c r="S164" i="72"/>
  <c r="AB171" i="72"/>
  <c r="AB186" i="72"/>
  <c r="X186" i="72"/>
  <c r="AD136" i="72"/>
  <c r="T168" i="72"/>
  <c r="AC157" i="72"/>
  <c r="AG190" i="72"/>
  <c r="AC190" i="72"/>
  <c r="W148" i="72"/>
  <c r="W158" i="72"/>
  <c r="AB170" i="72"/>
  <c r="AG204" i="72"/>
  <c r="AC204" i="72"/>
  <c r="AG145" i="72"/>
  <c r="X153" i="72"/>
  <c r="Y169" i="72"/>
  <c r="Z148" i="72"/>
  <c r="AA161" i="72"/>
  <c r="V187" i="72"/>
  <c r="AD187" i="72"/>
  <c r="Z187" i="72"/>
  <c r="V200" i="72"/>
  <c r="AA205" i="72"/>
  <c r="AC216" i="72"/>
  <c r="AD216" i="72"/>
  <c r="AF177" i="72"/>
  <c r="U198" i="72"/>
  <c r="Y202" i="72"/>
  <c r="S215" i="72"/>
  <c r="T219" i="72"/>
  <c r="Y185" i="72"/>
  <c r="AG193" i="72"/>
  <c r="S231" i="72"/>
  <c r="Z185" i="72"/>
  <c r="U196" i="72"/>
  <c r="AA202" i="72"/>
  <c r="AA210" i="72"/>
  <c r="W226" i="72"/>
  <c r="AE226" i="72"/>
  <c r="X226" i="72"/>
  <c r="AD209" i="72"/>
  <c r="W215" i="72"/>
  <c r="S192" i="72"/>
  <c r="AC210" i="72"/>
  <c r="S214" i="72"/>
  <c r="Z225" i="72"/>
  <c r="T215" i="72"/>
  <c r="X206" i="72"/>
  <c r="AD228" i="72"/>
  <c r="W230" i="72"/>
  <c r="V208" i="72"/>
  <c r="AB216" i="72"/>
  <c r="U201" i="72"/>
  <c r="Z206" i="72"/>
  <c r="AF211" i="72"/>
  <c r="Y230" i="72"/>
  <c r="S230" i="72"/>
  <c r="AB230" i="72"/>
  <c r="S210" i="72"/>
  <c r="AF218" i="72"/>
  <c r="Y227" i="72"/>
  <c r="V240" i="72"/>
  <c r="Z244" i="72"/>
  <c r="AD248" i="72"/>
  <c r="T254" i="72"/>
  <c r="AD247" i="72"/>
  <c r="W223" i="72"/>
  <c r="AF232" i="72"/>
  <c r="W255" i="72"/>
  <c r="Z260" i="72"/>
  <c r="W222" i="72"/>
  <c r="T235" i="72"/>
  <c r="AA242" i="72"/>
  <c r="AF247" i="72"/>
  <c r="AB256" i="72"/>
  <c r="Y265" i="72"/>
  <c r="AE275" i="72"/>
  <c r="Z275" i="72"/>
  <c r="V217" i="72"/>
  <c r="AD687" i="72"/>
  <c r="W646" i="72"/>
  <c r="W774" i="72"/>
  <c r="S938" i="72"/>
  <c r="AC1050" i="72"/>
  <c r="U918" i="72"/>
  <c r="AB953" i="72"/>
  <c r="Y958" i="72"/>
  <c r="AE989" i="72"/>
  <c r="U1018" i="72"/>
  <c r="AB1035" i="72"/>
  <c r="U1064" i="72"/>
  <c r="T1043" i="72"/>
  <c r="AF1085" i="72"/>
  <c r="Z1094" i="72"/>
  <c r="AA33" i="72"/>
  <c r="S13" i="72"/>
  <c r="V34" i="72"/>
  <c r="AF33" i="72"/>
  <c r="AB48" i="72"/>
  <c r="AB57" i="72"/>
  <c r="AC50" i="72"/>
  <c r="AA49" i="72"/>
  <c r="AD91" i="72"/>
  <c r="AF105" i="72"/>
  <c r="AF40" i="72"/>
  <c r="W63" i="72"/>
  <c r="S71" i="72"/>
  <c r="AE80" i="72"/>
  <c r="AB87" i="72"/>
  <c r="S102" i="72"/>
  <c r="AA139" i="72"/>
  <c r="AF132" i="72"/>
  <c r="AG132" i="72"/>
  <c r="V71" i="72"/>
  <c r="AF121" i="72"/>
  <c r="X123" i="72"/>
  <c r="V80" i="72"/>
  <c r="AD90" i="72"/>
  <c r="W99" i="72"/>
  <c r="AA126" i="72"/>
  <c r="AF111" i="72"/>
  <c r="Y120" i="72"/>
  <c r="X140" i="72"/>
  <c r="AC140" i="72"/>
  <c r="AE144" i="72"/>
  <c r="Y144" i="72"/>
  <c r="AG144" i="72"/>
  <c r="Y78" i="72"/>
  <c r="T105" i="72"/>
  <c r="U119" i="72"/>
  <c r="AG139" i="72"/>
  <c r="X139" i="72"/>
  <c r="W97" i="72"/>
  <c r="T138" i="72"/>
  <c r="V77" i="72"/>
  <c r="V91" i="72"/>
  <c r="AG107" i="72"/>
  <c r="U115" i="72"/>
  <c r="AF152" i="72"/>
  <c r="S90" i="72"/>
  <c r="AD99" i="72"/>
  <c r="Y112" i="72"/>
  <c r="S121" i="72"/>
  <c r="Z91" i="72"/>
  <c r="AE99" i="72"/>
  <c r="Z112" i="72"/>
  <c r="T121" i="72"/>
  <c r="W87" i="72"/>
  <c r="AE122" i="72"/>
  <c r="AF99" i="72"/>
  <c r="W106" i="72"/>
  <c r="AD113" i="72"/>
  <c r="U120" i="72"/>
  <c r="AD112" i="72"/>
  <c r="V157" i="72"/>
  <c r="W136" i="72"/>
  <c r="AC148" i="72"/>
  <c r="AB161" i="72"/>
  <c r="U170" i="72"/>
  <c r="AA157" i="72"/>
  <c r="AG188" i="72"/>
  <c r="AB188" i="72"/>
  <c r="AE157" i="72"/>
  <c r="AC136" i="72"/>
  <c r="T155" i="72"/>
  <c r="T161" i="72"/>
  <c r="Y165" i="72"/>
  <c r="T186" i="72"/>
  <c r="AA145" i="72"/>
  <c r="AC153" i="72"/>
  <c r="T158" i="72"/>
  <c r="AC169" i="72"/>
  <c r="V161" i="72"/>
  <c r="X190" i="72"/>
  <c r="V158" i="72"/>
  <c r="AG136" i="72"/>
  <c r="W172" i="72"/>
  <c r="V174" i="72"/>
  <c r="Y155" i="72"/>
  <c r="T175" i="72"/>
  <c r="V204" i="72"/>
  <c r="Z161" i="72"/>
  <c r="AA156" i="72"/>
  <c r="AG165" i="72"/>
  <c r="X173" i="72"/>
  <c r="AB174" i="72"/>
  <c r="AA189" i="72"/>
  <c r="S180" i="72"/>
  <c r="W184" i="72"/>
  <c r="AE192" i="72"/>
  <c r="AE209" i="72"/>
  <c r="U181" i="72"/>
  <c r="X200" i="72"/>
  <c r="AC205" i="72"/>
  <c r="Y212" i="72"/>
  <c r="Z212" i="72"/>
  <c r="AB202" i="72"/>
  <c r="AF225" i="72"/>
  <c r="X197" i="72"/>
  <c r="AD203" i="72"/>
  <c r="Y231" i="72"/>
  <c r="AG231" i="72"/>
  <c r="AC231" i="72"/>
  <c r="AD214" i="72"/>
  <c r="T225" i="72"/>
  <c r="AD185" i="72"/>
  <c r="AE202" i="72"/>
  <c r="AA215" i="72"/>
  <c r="U210" i="72"/>
  <c r="W206" i="72"/>
  <c r="Z192" i="72"/>
  <c r="X209" i="72"/>
  <c r="W228" i="72"/>
  <c r="S184" i="72"/>
  <c r="AA192" i="72"/>
  <c r="S200" i="72"/>
  <c r="X205" i="72"/>
  <c r="Z209" i="72"/>
  <c r="AA219" i="72"/>
  <c r="T184" i="72"/>
  <c r="AB192" i="72"/>
  <c r="AF230" i="72"/>
  <c r="W214" i="72"/>
  <c r="S221" i="72"/>
  <c r="AG235" i="72"/>
  <c r="Z270" i="72"/>
  <c r="T270" i="72"/>
  <c r="AC273" i="72"/>
  <c r="X273" i="72"/>
  <c r="X241" i="72"/>
  <c r="V258" i="72"/>
  <c r="X240" i="72"/>
  <c r="AB244" i="72"/>
  <c r="AF248" i="72"/>
  <c r="Z258" i="72"/>
  <c r="U235" i="72"/>
  <c r="AD244" i="72"/>
  <c r="AC256" i="72"/>
  <c r="V275" i="72"/>
  <c r="AD242" i="72"/>
  <c r="AB839" i="72"/>
  <c r="T963" i="72"/>
  <c r="Y935" i="72"/>
  <c r="T929" i="72"/>
  <c r="Y906" i="72"/>
  <c r="AD977" i="72"/>
  <c r="AE977" i="72"/>
  <c r="T1074" i="72"/>
  <c r="Z1077" i="72"/>
  <c r="X1091" i="72"/>
  <c r="U1093" i="72"/>
  <c r="Y46" i="72"/>
  <c r="AF15" i="72"/>
  <c r="W34" i="72"/>
  <c r="S57" i="72"/>
  <c r="S18" i="72"/>
  <c r="W52" i="72"/>
  <c r="Y97" i="72"/>
  <c r="S106" i="72"/>
  <c r="AD115" i="72"/>
  <c r="AA121" i="72"/>
  <c r="AD132" i="72"/>
  <c r="AD88" i="72"/>
  <c r="U96" i="72"/>
  <c r="V103" i="72"/>
  <c r="V110" i="72"/>
  <c r="AA118" i="72"/>
  <c r="AE126" i="72"/>
  <c r="AD140" i="72"/>
  <c r="AE98" i="72"/>
  <c r="AC112" i="72"/>
  <c r="Z64" i="72"/>
  <c r="AC90" i="72"/>
  <c r="AD111" i="72"/>
  <c r="U116" i="72"/>
  <c r="U122" i="72"/>
  <c r="W129" i="72"/>
  <c r="W71" i="72"/>
  <c r="Z126" i="72"/>
  <c r="AB64" i="72"/>
  <c r="AE90" i="72"/>
  <c r="X99" i="72"/>
  <c r="S112" i="72"/>
  <c r="U121" i="72"/>
  <c r="AD127" i="72"/>
  <c r="AD65" i="72"/>
  <c r="T87" i="72"/>
  <c r="AA94" i="72"/>
  <c r="X135" i="72"/>
  <c r="U105" i="72"/>
  <c r="S118" i="72"/>
  <c r="X138" i="72"/>
  <c r="V70" i="72"/>
  <c r="AE86" i="72"/>
  <c r="V98" i="72"/>
  <c r="X102" i="72"/>
  <c r="W112" i="72"/>
  <c r="AA130" i="72"/>
  <c r="Z131" i="72"/>
  <c r="X127" i="72"/>
  <c r="X152" i="72"/>
  <c r="AB152" i="72"/>
  <c r="U152" i="72"/>
  <c r="W73" i="72"/>
  <c r="W80" i="72"/>
  <c r="S104" i="72"/>
  <c r="U126" i="72"/>
  <c r="S93" i="72"/>
  <c r="T104" i="72"/>
  <c r="S64" i="72"/>
  <c r="AE89" i="72"/>
  <c r="AA98" i="72"/>
  <c r="AA105" i="72"/>
  <c r="AA112" i="72"/>
  <c r="AA119" i="72"/>
  <c r="W132" i="72"/>
  <c r="AB91" i="72"/>
  <c r="X131" i="72"/>
  <c r="AC135" i="72"/>
  <c r="AA78" i="72"/>
  <c r="AC91" i="72"/>
  <c r="X104" i="72"/>
  <c r="AD119" i="72"/>
  <c r="Y128" i="72"/>
  <c r="V137" i="72"/>
  <c r="S150" i="72"/>
  <c r="AC161" i="72"/>
  <c r="W175" i="72"/>
  <c r="AE155" i="72"/>
  <c r="AD161" i="72"/>
  <c r="AC141" i="72"/>
  <c r="U149" i="72"/>
  <c r="X157" i="72"/>
  <c r="AA174" i="72"/>
  <c r="AD174" i="72"/>
  <c r="AE148" i="72"/>
  <c r="AD158" i="72"/>
  <c r="AB175" i="72"/>
  <c r="AE175" i="72"/>
  <c r="W188" i="72"/>
  <c r="AB176" i="72"/>
  <c r="AE176" i="72"/>
  <c r="AD143" i="72"/>
  <c r="AC150" i="72"/>
  <c r="AF164" i="72"/>
  <c r="AB169" i="72"/>
  <c r="AA171" i="72"/>
  <c r="AA186" i="72"/>
  <c r="T190" i="72"/>
  <c r="AE137" i="72"/>
  <c r="Z154" i="72"/>
  <c r="S168" i="72"/>
  <c r="S170" i="72"/>
  <c r="AB157" i="72"/>
  <c r="T170" i="72"/>
  <c r="AF190" i="72"/>
  <c r="AB190" i="72"/>
  <c r="S175" i="72"/>
  <c r="X148" i="72"/>
  <c r="S157" i="72"/>
  <c r="AF204" i="72"/>
  <c r="AB204" i="72"/>
  <c r="AF145" i="72"/>
  <c r="U169" i="72"/>
  <c r="X169" i="72"/>
  <c r="AE141" i="72"/>
  <c r="AE149" i="72"/>
  <c r="V175" i="72"/>
  <c r="U187" i="72"/>
  <c r="AC187" i="72"/>
  <c r="Y187" i="72"/>
  <c r="W201" i="72"/>
  <c r="AB206" i="72"/>
  <c r="AA216" i="72"/>
  <c r="X225" i="72"/>
  <c r="V199" i="72"/>
  <c r="Z203" i="72"/>
  <c r="V210" i="72"/>
  <c r="AF219" i="72"/>
  <c r="S219" i="72"/>
  <c r="V166" i="72"/>
  <c r="AC189" i="72"/>
  <c r="T196" i="72"/>
  <c r="AC214" i="72"/>
  <c r="U180" i="72"/>
  <c r="AD189" i="72"/>
  <c r="V197" i="72"/>
  <c r="AB203" i="72"/>
  <c r="V226" i="72"/>
  <c r="AB226" i="72"/>
  <c r="Y209" i="72"/>
  <c r="X215" i="72"/>
  <c r="Y225" i="72"/>
  <c r="V209" i="72"/>
  <c r="AE215" i="72"/>
  <c r="S201" i="72"/>
  <c r="T214" i="72"/>
  <c r="AC228" i="72"/>
  <c r="V202" i="72"/>
  <c r="AA209" i="72"/>
  <c r="AA211" i="72"/>
  <c r="AE216" i="72"/>
  <c r="X230" i="72"/>
  <c r="AA229" i="72"/>
  <c r="S237" i="72"/>
  <c r="W241" i="72"/>
  <c r="AA245" i="72"/>
  <c r="AE249" i="72"/>
  <c r="U255" i="72"/>
  <c r="X224" i="72"/>
  <c r="AG233" i="72"/>
  <c r="U403" i="72"/>
  <c r="V638" i="72"/>
  <c r="AG700" i="72"/>
  <c r="U801" i="72"/>
  <c r="T836" i="72"/>
  <c r="T924" i="72"/>
  <c r="AD920" i="72"/>
  <c r="AF1082" i="72"/>
  <c r="T982" i="72"/>
  <c r="X1013" i="72"/>
  <c r="AE1001" i="72"/>
  <c r="V944" i="72"/>
  <c r="S936" i="72"/>
  <c r="W1074" i="72"/>
  <c r="T1076" i="72"/>
  <c r="AB1091" i="72"/>
  <c r="AG1101" i="72"/>
  <c r="X1093" i="72"/>
  <c r="W17" i="72"/>
  <c r="AC23" i="72"/>
  <c r="AA21" i="72"/>
  <c r="T48" i="72"/>
  <c r="Y9" i="72"/>
  <c r="X21" i="72"/>
  <c r="AA53" i="72"/>
  <c r="U110" i="72"/>
  <c r="W47" i="72"/>
  <c r="X64" i="72"/>
  <c r="AD73" i="72"/>
  <c r="W82" i="72"/>
  <c r="W93" i="72"/>
  <c r="W127" i="72"/>
  <c r="AC132" i="72"/>
  <c r="Z82" i="72"/>
  <c r="V99" i="72"/>
  <c r="W123" i="72"/>
  <c r="AB138" i="72"/>
  <c r="AE73" i="72"/>
  <c r="AC80" i="72"/>
  <c r="AE104" i="72"/>
  <c r="X113" i="72"/>
  <c r="AC127" i="72"/>
  <c r="Y83" i="72"/>
  <c r="S91" i="72"/>
  <c r="AE121" i="72"/>
  <c r="U131" i="72"/>
  <c r="V140" i="72"/>
  <c r="Z140" i="72"/>
  <c r="AB144" i="72"/>
  <c r="X144" i="72"/>
  <c r="AD144" i="72"/>
  <c r="Z106" i="72"/>
  <c r="Z120" i="72"/>
  <c r="W139" i="72"/>
  <c r="AF139" i="72"/>
  <c r="AD97" i="72"/>
  <c r="U111" i="72"/>
  <c r="V119" i="72"/>
  <c r="S138" i="72"/>
  <c r="AB78" i="72"/>
  <c r="AE93" i="72"/>
  <c r="X107" i="72"/>
  <c r="AA116" i="72"/>
  <c r="S123" i="72"/>
  <c r="S132" i="72"/>
  <c r="T152" i="72"/>
  <c r="AE152" i="72"/>
  <c r="AG75" i="72"/>
  <c r="X82" i="72"/>
  <c r="Y91" i="72"/>
  <c r="AE113" i="72"/>
  <c r="Z93" i="72"/>
  <c r="AF113" i="72"/>
  <c r="Y80" i="72"/>
  <c r="W94" i="72"/>
  <c r="W122" i="72"/>
  <c r="T93" i="72"/>
  <c r="Z116" i="72"/>
  <c r="AA158" i="72"/>
  <c r="T176" i="72"/>
  <c r="AG161" i="72"/>
  <c r="AA170" i="72"/>
  <c r="AA155" i="72"/>
  <c r="Y160" i="72"/>
  <c r="AE188" i="72"/>
  <c r="AA188" i="72"/>
  <c r="AD157" i="72"/>
  <c r="AD137" i="72"/>
  <c r="W151" i="72"/>
  <c r="Y156" i="72"/>
  <c r="W186" i="72"/>
  <c r="S186" i="72"/>
  <c r="Y159" i="72"/>
  <c r="Y168" i="72"/>
  <c r="AA190" i="72"/>
  <c r="W190" i="72"/>
  <c r="Z141" i="72"/>
  <c r="AF153" i="72"/>
  <c r="X161" i="72"/>
  <c r="AC172" i="72"/>
  <c r="V150" i="72"/>
  <c r="Y204" i="72"/>
  <c r="U204" i="72"/>
  <c r="AB155" i="72"/>
  <c r="U157" i="72"/>
  <c r="AF165" i="72"/>
  <c r="AD170" i="72"/>
  <c r="AD173" i="72"/>
  <c r="S176" i="72"/>
  <c r="AC191" i="72"/>
  <c r="T181" i="72"/>
  <c r="X185" i="72"/>
  <c r="AF193" i="72"/>
  <c r="AG219" i="72"/>
  <c r="V182" i="72"/>
  <c r="Y201" i="72"/>
  <c r="AD206" i="72"/>
  <c r="U215" i="72"/>
  <c r="W212" i="72"/>
  <c r="W231" i="72"/>
  <c r="AC203" i="72"/>
  <c r="AA184" i="72"/>
  <c r="AA200" i="72"/>
  <c r="AF205" i="72"/>
  <c r="AB231" i="72"/>
  <c r="V231" i="72"/>
  <c r="AF231" i="72"/>
  <c r="AD202" i="72"/>
  <c r="AB214" i="72"/>
  <c r="S225" i="72"/>
  <c r="U192" i="72"/>
  <c r="AF203" i="72"/>
  <c r="AG202" i="72"/>
  <c r="AE210" i="72"/>
  <c r="V228" i="72"/>
  <c r="AB177" i="72"/>
  <c r="T185" i="72"/>
  <c r="AB193" i="72"/>
  <c r="T201" i="72"/>
  <c r="Y206" i="72"/>
  <c r="S226" i="72"/>
  <c r="U185" i="72"/>
  <c r="AE230" i="72"/>
  <c r="T222" i="72"/>
  <c r="AG270" i="72"/>
  <c r="Y270" i="72"/>
  <c r="S270" i="72"/>
  <c r="AB273" i="72"/>
  <c r="W273" i="72"/>
  <c r="Y242" i="72"/>
  <c r="T275" i="72"/>
  <c r="S235" i="72"/>
  <c r="Y241" i="72"/>
  <c r="AC245" i="72"/>
  <c r="AG249" i="72"/>
  <c r="X257" i="72"/>
  <c r="X264" i="72"/>
  <c r="AA241" i="72"/>
  <c r="AF246" i="72"/>
  <c r="AB258" i="72"/>
  <c r="U275" i="72"/>
  <c r="Y220" i="72"/>
  <c r="AF619" i="72"/>
  <c r="S672" i="72"/>
  <c r="V899" i="72"/>
  <c r="X920" i="72"/>
  <c r="AG975" i="72"/>
  <c r="AF986" i="72"/>
  <c r="Y1001" i="72"/>
  <c r="AC902" i="72"/>
  <c r="AB998" i="72"/>
  <c r="X994" i="72"/>
  <c r="AC994" i="72"/>
  <c r="AG1079" i="72"/>
  <c r="U1037" i="72"/>
  <c r="AC1098" i="72"/>
  <c r="U1033" i="72"/>
  <c r="Z1093" i="72"/>
  <c r="S66" i="72"/>
  <c r="AC33" i="72"/>
  <c r="V39" i="72"/>
  <c r="AF29" i="72"/>
  <c r="T15" i="72"/>
  <c r="AA9" i="72"/>
  <c r="U63" i="72"/>
  <c r="U138" i="72"/>
  <c r="U88" i="72"/>
  <c r="AA97" i="72"/>
  <c r="AA104" i="72"/>
  <c r="AA111" i="72"/>
  <c r="T120" i="72"/>
  <c r="AG91" i="72"/>
  <c r="AE105" i="72"/>
  <c r="AC119" i="72"/>
  <c r="Y47" i="72"/>
  <c r="AA65" i="72"/>
  <c r="Z75" i="72"/>
  <c r="AD118" i="72"/>
  <c r="Z127" i="72"/>
  <c r="V129" i="72"/>
  <c r="AC139" i="72"/>
  <c r="AA93" i="72"/>
  <c r="W126" i="72"/>
  <c r="T131" i="72"/>
  <c r="AF104" i="72"/>
  <c r="Y113" i="72"/>
  <c r="Y71" i="72"/>
  <c r="AC82" i="72"/>
  <c r="AF90" i="72"/>
  <c r="AF138" i="72"/>
  <c r="W138" i="72"/>
  <c r="AE64" i="72"/>
  <c r="AA71" i="72"/>
  <c r="T80" i="72"/>
  <c r="AB99" i="72"/>
  <c r="AB113" i="72"/>
  <c r="X130" i="72"/>
  <c r="Z135" i="72"/>
  <c r="U127" i="72"/>
  <c r="W152" i="72"/>
  <c r="AA152" i="72"/>
  <c r="S152" i="72"/>
  <c r="Y105" i="72"/>
  <c r="T118" i="72"/>
  <c r="AB86" i="72"/>
  <c r="Z105" i="72"/>
  <c r="U118" i="72"/>
  <c r="AD131" i="72"/>
  <c r="V89" i="72"/>
  <c r="V96" i="72"/>
  <c r="AC103" i="72"/>
  <c r="T110" i="72"/>
  <c r="W121" i="72"/>
  <c r="V97" i="72"/>
  <c r="W104" i="72"/>
  <c r="W111" i="72"/>
  <c r="W118" i="72"/>
  <c r="AE131" i="72"/>
  <c r="AF131" i="72"/>
  <c r="AB135" i="72"/>
  <c r="AC71" i="72"/>
  <c r="AC105" i="72"/>
  <c r="V128" i="72"/>
  <c r="AA132" i="72"/>
  <c r="S142" i="72"/>
  <c r="AE159" i="72"/>
  <c r="W157" i="72"/>
  <c r="AF170" i="72"/>
  <c r="AB141" i="72"/>
  <c r="T149" i="72"/>
  <c r="AE158" i="72"/>
  <c r="Z174" i="72"/>
  <c r="AC174" i="72"/>
  <c r="AC158" i="72"/>
  <c r="AA175" i="72"/>
  <c r="AD175" i="72"/>
  <c r="V188" i="72"/>
  <c r="AC160" i="72"/>
  <c r="AA176" i="72"/>
  <c r="AD176" i="72"/>
  <c r="AE164" i="72"/>
  <c r="W171" i="72"/>
  <c r="Z171" i="72"/>
  <c r="AE186" i="72"/>
  <c r="Z186" i="72"/>
  <c r="W141" i="72"/>
  <c r="Y149" i="72"/>
  <c r="Y154" i="72"/>
  <c r="AA160" i="72"/>
  <c r="AE190" i="72"/>
  <c r="V148" i="72"/>
  <c r="W161" i="72"/>
  <c r="AD142" i="72"/>
  <c r="X158" i="72"/>
  <c r="AE204" i="72"/>
  <c r="AA204" i="72"/>
  <c r="T157" i="72"/>
  <c r="T169" i="72"/>
  <c r="AC170" i="72"/>
  <c r="X187" i="72"/>
  <c r="T187" i="72"/>
  <c r="AB187" i="72"/>
  <c r="X202" i="72"/>
  <c r="AC209" i="72"/>
  <c r="U216" i="72"/>
  <c r="U166" i="72"/>
  <c r="S196" i="72"/>
  <c r="W200" i="72"/>
  <c r="AB205" i="72"/>
  <c r="AD219" i="72"/>
  <c r="AE191" i="72"/>
  <c r="U197" i="72"/>
  <c r="V181" i="72"/>
  <c r="AF191" i="72"/>
  <c r="Y200" i="72"/>
  <c r="AD205" i="72"/>
  <c r="AE214" i="72"/>
  <c r="U226" i="72"/>
  <c r="AA226" i="72"/>
  <c r="W209" i="72"/>
  <c r="AA214" i="72"/>
  <c r="AD225" i="72"/>
  <c r="W225" i="72"/>
  <c r="S206" i="72"/>
  <c r="V206" i="72"/>
  <c r="AB215" i="72"/>
  <c r="AC215" i="72"/>
  <c r="T202" i="72"/>
  <c r="AB228" i="72"/>
  <c r="S208" i="72"/>
  <c r="X212" i="72"/>
  <c r="AD585" i="72"/>
  <c r="AF787" i="72"/>
  <c r="AE871" i="72"/>
  <c r="AE908" i="72"/>
  <c r="AC906" i="72"/>
  <c r="U891" i="72"/>
  <c r="AB986" i="72"/>
  <c r="AG951" i="72"/>
  <c r="T1001" i="72"/>
  <c r="AD917" i="72"/>
  <c r="S996" i="72"/>
  <c r="W1009" i="72"/>
  <c r="AC1010" i="72"/>
  <c r="V1017" i="72"/>
  <c r="AD1058" i="72"/>
  <c r="AC1091" i="72"/>
  <c r="T1052" i="72"/>
  <c r="AF1054" i="72"/>
  <c r="AC39" i="72"/>
  <c r="AG68" i="72"/>
  <c r="U23" i="72"/>
  <c r="S48" i="72"/>
  <c r="AG84" i="72"/>
  <c r="Z111" i="72"/>
  <c r="Z118" i="72"/>
  <c r="AD126" i="72"/>
  <c r="V139" i="72"/>
  <c r="AC53" i="72"/>
  <c r="Y65" i="72"/>
  <c r="W75" i="72"/>
  <c r="AC83" i="72"/>
  <c r="AC94" i="72"/>
  <c r="Z132" i="72"/>
  <c r="S77" i="72"/>
  <c r="AE83" i="72"/>
  <c r="Y93" i="72"/>
  <c r="AC104" i="72"/>
  <c r="V113" i="72"/>
  <c r="AG123" i="72"/>
  <c r="AF140" i="72"/>
  <c r="V73" i="72"/>
  <c r="AE118" i="72"/>
  <c r="AF83" i="72"/>
  <c r="AB93" i="72"/>
  <c r="S105" i="72"/>
  <c r="AD121" i="72"/>
  <c r="W135" i="72"/>
  <c r="U140" i="72"/>
  <c r="Y140" i="72"/>
  <c r="AA144" i="72"/>
  <c r="V144" i="72"/>
  <c r="AC144" i="72"/>
  <c r="T91" i="72"/>
  <c r="T98" i="72"/>
  <c r="T112" i="72"/>
  <c r="U139" i="72"/>
  <c r="Z139" i="72"/>
  <c r="U98" i="72"/>
  <c r="AB111" i="72"/>
  <c r="AF127" i="72"/>
  <c r="T73" i="72"/>
  <c r="X88" i="72"/>
  <c r="Z100" i="72"/>
  <c r="X114" i="72"/>
  <c r="X75" i="72"/>
  <c r="AE82" i="72"/>
  <c r="S97" i="72"/>
  <c r="AC131" i="72"/>
  <c r="T97" i="72"/>
  <c r="V132" i="72"/>
  <c r="Z115" i="72"/>
  <c r="V122" i="72"/>
  <c r="X126" i="72"/>
  <c r="Z83" i="72"/>
  <c r="X97" i="72"/>
  <c r="AG116" i="72"/>
  <c r="Y121" i="72"/>
  <c r="Z125" i="72"/>
  <c r="S145" i="72"/>
  <c r="X175" i="72"/>
  <c r="AF161" i="72"/>
  <c r="Z170" i="72"/>
  <c r="Z155" i="72"/>
  <c r="AD188" i="72"/>
  <c r="Z188" i="72"/>
  <c r="T148" i="72"/>
  <c r="S161" i="72"/>
  <c r="V141" i="72"/>
  <c r="Z145" i="72"/>
  <c r="V151" i="72"/>
  <c r="AF157" i="72"/>
  <c r="V186" i="72"/>
  <c r="U161" i="72"/>
  <c r="X168" i="72"/>
  <c r="S174" i="72"/>
  <c r="AF160" i="72"/>
  <c r="Z190" i="72"/>
  <c r="U190" i="72"/>
  <c r="W170" i="72"/>
  <c r="X155" i="72"/>
  <c r="X170" i="72"/>
  <c r="AB172" i="72"/>
  <c r="U150" i="72"/>
  <c r="X204" i="72"/>
  <c r="T204" i="72"/>
  <c r="Y148" i="72"/>
  <c r="U175" i="72"/>
  <c r="W143" i="72"/>
  <c r="Z158" i="72"/>
  <c r="U165" i="72"/>
  <c r="Z173" i="72"/>
  <c r="AC173" i="72"/>
  <c r="V184" i="72"/>
  <c r="AD192" i="72"/>
  <c r="T210" i="72"/>
  <c r="U182" i="72"/>
  <c r="AB189" i="72"/>
  <c r="AE212" i="72"/>
  <c r="AB225" i="72"/>
  <c r="AG177" i="72"/>
  <c r="Z202" i="72"/>
  <c r="AF209" i="72"/>
  <c r="AG212" i="72"/>
  <c r="V215" i="72"/>
  <c r="AA185" i="72"/>
  <c r="AF206" i="72"/>
  <c r="AB185" i="72"/>
  <c r="AB201" i="72"/>
  <c r="AG206" i="72"/>
  <c r="AA231" i="72"/>
  <c r="U231" i="72"/>
  <c r="AE231" i="72"/>
  <c r="V225" i="72"/>
  <c r="AC200" i="72"/>
  <c r="U206" i="72"/>
  <c r="Z210" i="72"/>
  <c r="S202" i="72"/>
  <c r="Y228" i="72"/>
  <c r="S228" i="72"/>
  <c r="AE180" i="72"/>
  <c r="X189" i="72"/>
  <c r="AE196" i="72"/>
  <c r="U202" i="72"/>
  <c r="AC208" i="72"/>
  <c r="U214" i="72"/>
  <c r="Y189" i="72"/>
  <c r="AD230" i="72"/>
  <c r="AF270" i="72"/>
  <c r="V270" i="72"/>
  <c r="Z273" i="72"/>
  <c r="V273" i="72"/>
  <c r="AG217" i="72"/>
  <c r="V238" i="72"/>
  <c r="Z242" i="72"/>
  <c r="AD246" i="72"/>
  <c r="W257" i="72"/>
  <c r="S265" i="72"/>
  <c r="AC275" i="72"/>
  <c r="AB242" i="72"/>
  <c r="AG247" i="72"/>
  <c r="X265" i="72"/>
  <c r="S275" i="72"/>
  <c r="Z265" i="72"/>
  <c r="Z221" i="72"/>
  <c r="S14" i="72"/>
  <c r="U89" i="72"/>
  <c r="V105" i="72"/>
  <c r="AF65" i="72"/>
  <c r="S86" i="72"/>
  <c r="AC96" i="72"/>
  <c r="AB105" i="72"/>
  <c r="AD155" i="72"/>
  <c r="W160" i="72"/>
  <c r="Z175" i="72"/>
  <c r="AG176" i="72"/>
  <c r="AD172" i="72"/>
  <c r="AA187" i="72"/>
  <c r="X184" i="72"/>
  <c r="Z201" i="72"/>
  <c r="Z215" i="72"/>
  <c r="T200" i="72"/>
  <c r="Z230" i="72"/>
  <c r="U239" i="72"/>
  <c r="U258" i="72"/>
  <c r="AC229" i="72"/>
  <c r="AF260" i="72"/>
  <c r="W238" i="72"/>
  <c r="W254" i="72"/>
  <c r="AD275" i="72"/>
  <c r="AC224" i="72"/>
  <c r="X235" i="72"/>
  <c r="AD241" i="72"/>
  <c r="X258" i="72"/>
  <c r="V247" i="72"/>
  <c r="AD264" i="72"/>
  <c r="AA265" i="72"/>
  <c r="AF265" i="72"/>
  <c r="T242" i="72"/>
  <c r="Y247" i="72"/>
  <c r="X276" i="72"/>
  <c r="S224" i="72"/>
  <c r="AD235" i="72"/>
  <c r="Z259" i="72"/>
  <c r="AE235" i="72"/>
  <c r="W243" i="72"/>
  <c r="AB248" i="72"/>
  <c r="W276" i="72"/>
  <c r="AF276" i="72"/>
  <c r="AA276" i="72"/>
  <c r="V289" i="72"/>
  <c r="Z293" i="72"/>
  <c r="U304" i="72"/>
  <c r="Y308" i="72"/>
  <c r="AC312" i="72"/>
  <c r="AC295" i="72"/>
  <c r="AG299" i="72"/>
  <c r="T269" i="72"/>
  <c r="AB277" i="72"/>
  <c r="W288" i="72"/>
  <c r="AA292" i="72"/>
  <c r="AF297" i="72"/>
  <c r="AE312" i="72"/>
  <c r="AG281" i="72"/>
  <c r="Z290" i="72"/>
  <c r="AA274" i="72"/>
  <c r="AA290" i="72"/>
  <c r="W302" i="72"/>
  <c r="AC308" i="72"/>
  <c r="T281" i="72"/>
  <c r="AB289" i="72"/>
  <c r="AB305" i="72"/>
  <c r="AC320" i="72"/>
  <c r="X320" i="72"/>
  <c r="T320" i="72"/>
  <c r="AA271" i="72"/>
  <c r="T280" i="72"/>
  <c r="U313" i="72"/>
  <c r="W266" i="72"/>
  <c r="AF291" i="72"/>
  <c r="V297" i="72"/>
  <c r="X280" i="72"/>
  <c r="T308" i="72"/>
  <c r="T290" i="72"/>
  <c r="T306" i="72"/>
  <c r="Z312" i="72"/>
  <c r="U322" i="72"/>
  <c r="Y342" i="72"/>
  <c r="S352" i="72"/>
  <c r="Z359" i="72"/>
  <c r="W372" i="72"/>
  <c r="AG382" i="72"/>
  <c r="Z391" i="72"/>
  <c r="X324" i="72"/>
  <c r="T352" i="72"/>
  <c r="AA359" i="72"/>
  <c r="AF364" i="72"/>
  <c r="X372" i="72"/>
  <c r="W387" i="72"/>
  <c r="AA391" i="72"/>
  <c r="AC394" i="72"/>
  <c r="Y394" i="72"/>
  <c r="AG440" i="72"/>
  <c r="AA342" i="72"/>
  <c r="Y356" i="72"/>
  <c r="AE362" i="72"/>
  <c r="Y372" i="72"/>
  <c r="X322" i="72"/>
  <c r="AB326" i="72"/>
  <c r="X338" i="72"/>
  <c r="AB358" i="72"/>
  <c r="AG363" i="72"/>
  <c r="AA373" i="72"/>
  <c r="AF378" i="72"/>
  <c r="W385" i="72"/>
  <c r="AA389" i="72"/>
  <c r="AE393" i="72"/>
  <c r="S332" i="72"/>
  <c r="AG346" i="72"/>
  <c r="X369" i="72"/>
  <c r="X385" i="72"/>
  <c r="Y321" i="72"/>
  <c r="AC325" i="72"/>
  <c r="Z338" i="72"/>
  <c r="AF344" i="72"/>
  <c r="X368" i="72"/>
  <c r="U381" i="72"/>
  <c r="Z386" i="72"/>
  <c r="AD390" i="72"/>
  <c r="AE456" i="72"/>
  <c r="AA456" i="72"/>
  <c r="W456" i="72"/>
  <c r="S456" i="72"/>
  <c r="AA322" i="72"/>
  <c r="AG328" i="72"/>
  <c r="AE342" i="72"/>
  <c r="AE358" i="72"/>
  <c r="U364" i="72"/>
  <c r="AC372" i="72"/>
  <c r="Z385" i="72"/>
  <c r="AD389" i="72"/>
  <c r="U363" i="72"/>
  <c r="AC371" i="72"/>
  <c r="S377" i="72"/>
  <c r="X382" i="72"/>
  <c r="V331" i="72"/>
  <c r="AB337" i="72"/>
  <c r="AG390" i="72"/>
  <c r="AF324" i="72"/>
  <c r="W331" i="72"/>
  <c r="AG357" i="72"/>
  <c r="U328" i="72"/>
  <c r="Y332" i="72"/>
  <c r="AE338" i="72"/>
  <c r="V328" i="72"/>
  <c r="AB334" i="72"/>
  <c r="Z348" i="72"/>
  <c r="U359" i="72"/>
  <c r="AA365" i="72"/>
  <c r="Y330" i="72"/>
  <c r="AD335" i="72"/>
  <c r="AD351" i="72"/>
  <c r="U358" i="72"/>
  <c r="T389" i="72"/>
  <c r="AB332" i="72"/>
  <c r="V342" i="72"/>
  <c r="U357" i="72"/>
  <c r="Z362" i="72"/>
  <c r="T372" i="72"/>
  <c r="AD349" i="72"/>
  <c r="AB363" i="72"/>
  <c r="W394" i="72"/>
  <c r="AE407" i="72"/>
  <c r="Y417" i="72"/>
  <c r="AD422" i="72"/>
  <c r="X432" i="72"/>
  <c r="AB436" i="72"/>
  <c r="S443" i="72"/>
  <c r="AE455" i="72"/>
  <c r="AG492" i="72"/>
  <c r="AA537" i="72"/>
  <c r="AD537" i="72"/>
  <c r="AE406" i="72"/>
  <c r="W414" i="72"/>
  <c r="U428" i="72"/>
  <c r="AE438" i="72"/>
  <c r="Y448" i="72"/>
  <c r="Z399" i="72"/>
  <c r="X461" i="72"/>
  <c r="AC466" i="72"/>
  <c r="Y956" i="72"/>
  <c r="V931" i="72"/>
  <c r="U95" i="72"/>
  <c r="T119" i="72"/>
  <c r="Y115" i="72"/>
  <c r="AE97" i="72"/>
  <c r="AF118" i="72"/>
  <c r="W90" i="72"/>
  <c r="Z74" i="72"/>
  <c r="W119" i="72"/>
  <c r="AG64" i="72"/>
  <c r="T103" i="72"/>
  <c r="AB112" i="72"/>
  <c r="AD159" i="72"/>
  <c r="Y174" i="72"/>
  <c r="Y188" i="72"/>
  <c r="AD145" i="72"/>
  <c r="AC155" i="72"/>
  <c r="T197" i="72"/>
  <c r="AF192" i="72"/>
  <c r="AE206" i="72"/>
  <c r="AA225" i="72"/>
  <c r="W203" i="72"/>
  <c r="U230" i="72"/>
  <c r="AA213" i="72"/>
  <c r="X242" i="72"/>
  <c r="AA260" i="72"/>
  <c r="Y240" i="72"/>
  <c r="AA258" i="72"/>
  <c r="AB275" i="72"/>
  <c r="W218" i="72"/>
  <c r="T247" i="72"/>
  <c r="AA254" i="72"/>
  <c r="Y235" i="72"/>
  <c r="U247" i="72"/>
  <c r="AF241" i="72"/>
  <c r="U264" i="72"/>
  <c r="U227" i="72"/>
  <c r="V243" i="72"/>
  <c r="Z247" i="72"/>
  <c r="AG254" i="72"/>
  <c r="Z261" i="72"/>
  <c r="T271" i="72"/>
  <c r="AA278" i="72"/>
  <c r="AE282" i="72"/>
  <c r="AA294" i="72"/>
  <c r="AE298" i="72"/>
  <c r="AA261" i="72"/>
  <c r="S269" i="72"/>
  <c r="AA277" i="72"/>
  <c r="AE281" i="72"/>
  <c r="U287" i="72"/>
  <c r="Y291" i="72"/>
  <c r="S301" i="72"/>
  <c r="W305" i="72"/>
  <c r="AA309" i="72"/>
  <c r="AE313" i="72"/>
  <c r="AG282" i="72"/>
  <c r="W304" i="72"/>
  <c r="AA308" i="72"/>
  <c r="AG297" i="72"/>
  <c r="Z306" i="72"/>
  <c r="AF312" i="72"/>
  <c r="AC291" i="72"/>
  <c r="U266" i="72"/>
  <c r="T297" i="72"/>
  <c r="T313" i="72"/>
  <c r="AA287" i="72"/>
  <c r="AE291" i="72"/>
  <c r="U297" i="72"/>
  <c r="AB304" i="72"/>
  <c r="AF308" i="72"/>
  <c r="U280" i="72"/>
  <c r="AB287" i="72"/>
  <c r="AD305" i="72"/>
  <c r="T311" i="72"/>
  <c r="AA318" i="72"/>
  <c r="AG291" i="72"/>
  <c r="AG307" i="72"/>
  <c r="X296" i="72"/>
  <c r="W311" i="72"/>
  <c r="Y280" i="72"/>
  <c r="AE302" i="72"/>
  <c r="AA281" i="72"/>
  <c r="AA297" i="72"/>
  <c r="AA328" i="72"/>
  <c r="AE332" i="72"/>
  <c r="AA344" i="72"/>
  <c r="U354" i="72"/>
  <c r="AE364" i="72"/>
  <c r="AC378" i="72"/>
  <c r="AD330" i="72"/>
  <c r="T336" i="72"/>
  <c r="Z342" i="72"/>
  <c r="V354" i="72"/>
  <c r="AE379" i="72"/>
  <c r="AD440" i="72"/>
  <c r="Z440" i="72"/>
  <c r="V440" i="72"/>
  <c r="X323" i="72"/>
  <c r="AD329" i="72"/>
  <c r="U336" i="72"/>
  <c r="AC344" i="72"/>
  <c r="AF379" i="72"/>
  <c r="X387" i="72"/>
  <c r="AB391" i="72"/>
  <c r="Y339" i="72"/>
  <c r="AE345" i="72"/>
  <c r="V368" i="72"/>
  <c r="AB325" i="72"/>
  <c r="T333" i="72"/>
  <c r="W352" i="72"/>
  <c r="T332" i="72"/>
  <c r="AA339" i="72"/>
  <c r="AE359" i="72"/>
  <c r="AC373" i="72"/>
  <c r="AB424" i="72"/>
  <c r="X424" i="72"/>
  <c r="T424" i="72"/>
  <c r="AG456" i="72"/>
  <c r="X335" i="72"/>
  <c r="AF343" i="72"/>
  <c r="Y368" i="72"/>
  <c r="T379" i="72"/>
  <c r="Z336" i="72"/>
  <c r="AD356" i="72"/>
  <c r="V364" i="72"/>
  <c r="AD372" i="72"/>
  <c r="Y383" i="72"/>
  <c r="AD388" i="72"/>
  <c r="AB321" i="72"/>
  <c r="AF325" i="72"/>
  <c r="AE356" i="72"/>
  <c r="AB369" i="72"/>
  <c r="AB336" i="72"/>
  <c r="AD321" i="72"/>
  <c r="Z333" i="72"/>
  <c r="AF339" i="72"/>
  <c r="AC335" i="72"/>
  <c r="AB350" i="72"/>
  <c r="AD368" i="72"/>
  <c r="U375" i="72"/>
  <c r="AA381" i="72"/>
  <c r="T390" i="72"/>
  <c r="AA364" i="72"/>
  <c r="T373" i="72"/>
  <c r="Y378" i="72"/>
  <c r="AD383" i="72"/>
  <c r="X328" i="72"/>
  <c r="AB348" i="72"/>
  <c r="Z378" i="72"/>
  <c r="AE383" i="72"/>
  <c r="W391" i="72"/>
  <c r="AE350" i="72"/>
  <c r="AC364" i="72"/>
  <c r="X391" i="72"/>
  <c r="AE408" i="72"/>
  <c r="AA408" i="72"/>
  <c r="W408" i="72"/>
  <c r="S408" i="72"/>
  <c r="Z402" i="72"/>
  <c r="AG409" i="72"/>
  <c r="AE423" i="72"/>
  <c r="Z450" i="72"/>
  <c r="AD492" i="72"/>
  <c r="Z492" i="72"/>
  <c r="V492" i="72"/>
  <c r="AB537" i="72"/>
  <c r="X399" i="72"/>
  <c r="X415" i="72"/>
  <c r="AC420" i="72"/>
  <c r="AA434" i="72"/>
  <c r="Z449" i="72"/>
  <c r="AB467" i="72"/>
  <c r="AA400" i="72"/>
  <c r="AC418" i="72"/>
  <c r="Y430" i="72"/>
  <c r="AD435" i="72"/>
  <c r="X445" i="72"/>
  <c r="AD451" i="72"/>
  <c r="AG1018" i="72"/>
  <c r="V14" i="72"/>
  <c r="V127" i="72"/>
  <c r="T99" i="72"/>
  <c r="X106" i="72"/>
  <c r="AD104" i="72"/>
  <c r="S83" i="72"/>
  <c r="Z128" i="72"/>
  <c r="AE106" i="72"/>
  <c r="AA110" i="72"/>
  <c r="AB119" i="72"/>
  <c r="AE170" i="72"/>
  <c r="Y175" i="72"/>
  <c r="U188" i="72"/>
  <c r="AC186" i="72"/>
  <c r="AD204" i="72"/>
  <c r="T160" i="72"/>
  <c r="S197" i="72"/>
  <c r="X201" i="72"/>
  <c r="V198" i="72"/>
  <c r="U203" i="72"/>
  <c r="Y205" i="72"/>
  <c r="T230" i="72"/>
  <c r="AE217" i="72"/>
  <c r="Y243" i="72"/>
  <c r="S251" i="72"/>
  <c r="Y260" i="72"/>
  <c r="Z241" i="72"/>
  <c r="W265" i="72"/>
  <c r="AA275" i="72"/>
  <c r="AF227" i="72"/>
  <c r="AA238" i="72"/>
  <c r="AE242" i="72"/>
  <c r="Y251" i="72"/>
  <c r="W258" i="72"/>
  <c r="Z251" i="72"/>
  <c r="AC264" i="72"/>
  <c r="V265" i="72"/>
  <c r="AE265" i="72"/>
  <c r="U243" i="72"/>
  <c r="Z248" i="72"/>
  <c r="AB217" i="72"/>
  <c r="V227" i="72"/>
  <c r="AG238" i="72"/>
  <c r="S256" i="72"/>
  <c r="Y259" i="72"/>
  <c r="T224" i="72"/>
  <c r="T240" i="72"/>
  <c r="X244" i="72"/>
  <c r="AE251" i="72"/>
  <c r="V276" i="72"/>
  <c r="AE276" i="72"/>
  <c r="Z276" i="72"/>
  <c r="AC260" i="72"/>
  <c r="S286" i="72"/>
  <c r="W290" i="72"/>
  <c r="V305" i="72"/>
  <c r="Z309" i="72"/>
  <c r="AD313" i="72"/>
  <c r="AD296" i="72"/>
  <c r="V271" i="72"/>
  <c r="T285" i="72"/>
  <c r="X289" i="72"/>
  <c r="AB293" i="72"/>
  <c r="AG298" i="72"/>
  <c r="AF313" i="72"/>
  <c r="W271" i="72"/>
  <c r="V286" i="72"/>
  <c r="AA291" i="72"/>
  <c r="AG280" i="72"/>
  <c r="AB291" i="72"/>
  <c r="Z305" i="72"/>
  <c r="AG312" i="72"/>
  <c r="U282" i="72"/>
  <c r="AC290" i="72"/>
  <c r="U298" i="72"/>
  <c r="AC306" i="72"/>
  <c r="AB320" i="72"/>
  <c r="W320" i="72"/>
  <c r="S320" i="72"/>
  <c r="AB272" i="72"/>
  <c r="U281" i="72"/>
  <c r="V314" i="72"/>
  <c r="AB271" i="72"/>
  <c r="AG292" i="72"/>
  <c r="W298" i="72"/>
  <c r="AD286" i="72"/>
  <c r="U291" i="72"/>
  <c r="U307" i="72"/>
  <c r="AA313" i="72"/>
  <c r="V323" i="72"/>
  <c r="AB345" i="72"/>
  <c r="W356" i="72"/>
  <c r="AA360" i="72"/>
  <c r="X373" i="72"/>
  <c r="T385" i="72"/>
  <c r="U321" i="72"/>
  <c r="Y325" i="72"/>
  <c r="U337" i="72"/>
  <c r="AB344" i="72"/>
  <c r="X356" i="72"/>
  <c r="AB360" i="72"/>
  <c r="AG365" i="72"/>
  <c r="Y373" i="72"/>
  <c r="AG381" i="72"/>
  <c r="X388" i="72"/>
  <c r="AB392" i="72"/>
  <c r="AB394" i="72"/>
  <c r="X394" i="72"/>
  <c r="AF440" i="72"/>
  <c r="AD345" i="72"/>
  <c r="Z357" i="72"/>
  <c r="AF363" i="72"/>
  <c r="Z373" i="72"/>
  <c r="S382" i="72"/>
  <c r="Y323" i="72"/>
  <c r="AD328" i="72"/>
  <c r="V352" i="72"/>
  <c r="AC359" i="72"/>
  <c r="AB374" i="72"/>
  <c r="AG379" i="72"/>
  <c r="X386" i="72"/>
  <c r="AB390" i="72"/>
  <c r="X321" i="72"/>
  <c r="U334" i="72"/>
  <c r="AB373" i="72"/>
  <c r="AB389" i="72"/>
  <c r="Z322" i="72"/>
  <c r="AD326" i="72"/>
  <c r="U333" i="72"/>
  <c r="AB340" i="72"/>
  <c r="Z354" i="72"/>
  <c r="Y369" i="72"/>
  <c r="V382" i="72"/>
  <c r="AA387" i="72"/>
  <c r="AE391" i="72"/>
  <c r="AD456" i="72"/>
  <c r="Z456" i="72"/>
  <c r="V456" i="72"/>
  <c r="AB323" i="72"/>
  <c r="AF359" i="72"/>
  <c r="AD373" i="72"/>
  <c r="AA386" i="72"/>
  <c r="AE390" i="72"/>
  <c r="AF342" i="72"/>
  <c r="W365" i="72"/>
  <c r="T378" i="72"/>
  <c r="W332" i="72"/>
  <c r="AC338" i="72"/>
  <c r="AC321" i="72"/>
  <c r="X332" i="72"/>
  <c r="AC337" i="72"/>
  <c r="AC369" i="72"/>
  <c r="V329" i="72"/>
  <c r="AA334" i="72"/>
  <c r="S342" i="72"/>
  <c r="W329" i="72"/>
  <c r="AC351" i="72"/>
  <c r="V360" i="72"/>
  <c r="W377" i="72"/>
  <c r="AF321" i="72"/>
  <c r="Z331" i="72"/>
  <c r="AE336" i="72"/>
  <c r="AE352" i="72"/>
  <c r="V359" i="72"/>
  <c r="U390" i="72"/>
  <c r="AC333" i="72"/>
  <c r="AC349" i="72"/>
  <c r="V358" i="72"/>
  <c r="AA363" i="72"/>
  <c r="U373" i="72"/>
  <c r="AF351" i="72"/>
  <c r="AG408" i="72"/>
  <c r="AA403" i="72"/>
  <c r="T412" i="72"/>
  <c r="Z418" i="72"/>
  <c r="S427" i="72"/>
  <c r="Y433" i="72"/>
  <c r="AC437" i="72"/>
  <c r="U445" i="72"/>
  <c r="AG457" i="72"/>
  <c r="AF492" i="72"/>
  <c r="X537" i="72"/>
  <c r="Z537" i="72"/>
  <c r="Y400" i="72"/>
  <c r="AF407" i="72"/>
  <c r="AD421" i="72"/>
  <c r="W430" i="72"/>
  <c r="AF439" i="72"/>
  <c r="AB401" i="72"/>
  <c r="Y462" i="72"/>
  <c r="AD467" i="72"/>
  <c r="W140" i="72"/>
  <c r="T106" i="72"/>
  <c r="AE53" i="72"/>
  <c r="AD138" i="72"/>
  <c r="W130" i="72"/>
  <c r="Z119" i="72"/>
  <c r="AB131" i="72"/>
  <c r="AB126" i="72"/>
  <c r="Y186" i="72"/>
  <c r="Y172" i="72"/>
  <c r="Z204" i="72"/>
  <c r="Y203" i="72"/>
  <c r="AC206" i="72"/>
  <c r="X211" i="72"/>
  <c r="U223" i="72"/>
  <c r="AB246" i="72"/>
  <c r="AA244" i="72"/>
  <c r="V254" i="72"/>
  <c r="W264" i="72"/>
  <c r="AB243" i="72"/>
  <c r="Y264" i="72"/>
  <c r="Y275" i="72"/>
  <c r="U248" i="72"/>
  <c r="AB255" i="72"/>
  <c r="AE241" i="72"/>
  <c r="AE258" i="72"/>
  <c r="AG242" i="72"/>
  <c r="W256" i="72"/>
  <c r="T264" i="72"/>
  <c r="Z232" i="72"/>
  <c r="S240" i="72"/>
  <c r="W244" i="72"/>
  <c r="AA248" i="72"/>
  <c r="AA262" i="72"/>
  <c r="U272" i="72"/>
  <c r="AB279" i="72"/>
  <c r="AB295" i="72"/>
  <c r="AF299" i="72"/>
  <c r="AB262" i="72"/>
  <c r="U271" i="72"/>
  <c r="AB278" i="72"/>
  <c r="AF282" i="72"/>
  <c r="V288" i="72"/>
  <c r="Z292" i="72"/>
  <c r="T302" i="72"/>
  <c r="X306" i="72"/>
  <c r="AB310" i="72"/>
  <c r="AF314" i="72"/>
  <c r="AC262" i="72"/>
  <c r="AD279" i="72"/>
  <c r="T301" i="72"/>
  <c r="X305" i="72"/>
  <c r="AB309" i="72"/>
  <c r="V302" i="72"/>
  <c r="AA307" i="72"/>
  <c r="AG313" i="72"/>
  <c r="X302" i="72"/>
  <c r="Z271" i="72"/>
  <c r="Y318" i="72"/>
  <c r="S263" i="72"/>
  <c r="AB288" i="72"/>
  <c r="AF292" i="72"/>
  <c r="V298" i="72"/>
  <c r="AC305" i="72"/>
  <c r="AG309" i="72"/>
  <c r="V281" i="72"/>
  <c r="AE306" i="72"/>
  <c r="U312" i="72"/>
  <c r="V280" i="72"/>
  <c r="V296" i="72"/>
  <c r="V312" i="72"/>
  <c r="AD302" i="72"/>
  <c r="X312" i="72"/>
  <c r="AE286" i="72"/>
  <c r="T307" i="72"/>
  <c r="AB329" i="72"/>
  <c r="AF333" i="72"/>
  <c r="AC346" i="72"/>
  <c r="AB361" i="72"/>
  <c r="AF365" i="72"/>
  <c r="AD379" i="72"/>
  <c r="Z326" i="72"/>
  <c r="AE331" i="72"/>
  <c r="AC345" i="72"/>
  <c r="AC361" i="72"/>
  <c r="T368" i="72"/>
  <c r="AF394" i="72"/>
  <c r="AC440" i="72"/>
  <c r="Y440" i="72"/>
  <c r="U440" i="72"/>
  <c r="Y324" i="72"/>
  <c r="AE330" i="72"/>
  <c r="W338" i="72"/>
  <c r="AE346" i="72"/>
  <c r="T383" i="72"/>
  <c r="Y388" i="72"/>
  <c r="AC392" i="72"/>
  <c r="Z340" i="72"/>
  <c r="X354" i="72"/>
  <c r="W369" i="72"/>
  <c r="S381" i="72"/>
  <c r="Y322" i="72"/>
  <c r="AC326" i="72"/>
  <c r="AB357" i="72"/>
  <c r="V334" i="72"/>
  <c r="AC341" i="72"/>
  <c r="AB356" i="72"/>
  <c r="AF360" i="72"/>
  <c r="Z370" i="72"/>
  <c r="AD374" i="72"/>
  <c r="AE424" i="72"/>
  <c r="AA424" i="72"/>
  <c r="W424" i="72"/>
  <c r="S424" i="72"/>
  <c r="AF456" i="72"/>
  <c r="Y336" i="72"/>
  <c r="AG344" i="72"/>
  <c r="Z369" i="72"/>
  <c r="V381" i="72"/>
  <c r="V348" i="72"/>
  <c r="AE357" i="72"/>
  <c r="Y367" i="72"/>
  <c r="AE373" i="72"/>
  <c r="AA385" i="72"/>
  <c r="AE389" i="72"/>
  <c r="AC322" i="72"/>
  <c r="S328" i="72"/>
  <c r="X333" i="72"/>
  <c r="AD339" i="72"/>
  <c r="AF357" i="72"/>
  <c r="AF373" i="72"/>
  <c r="T328" i="72"/>
  <c r="AE322" i="72"/>
  <c r="AB335" i="72"/>
  <c r="Y331" i="72"/>
  <c r="AD336" i="72"/>
  <c r="AD352" i="72"/>
  <c r="X362" i="72"/>
  <c r="AE369" i="72"/>
  <c r="AB382" i="72"/>
  <c r="U391" i="72"/>
  <c r="AG354" i="72"/>
  <c r="AB365" i="72"/>
  <c r="U374" i="72"/>
  <c r="Z379" i="72"/>
  <c r="AF385" i="72"/>
  <c r="Y329" i="72"/>
  <c r="AD350" i="72"/>
  <c r="AA379" i="72"/>
  <c r="AG385" i="72"/>
  <c r="V373" i="72"/>
  <c r="AD408" i="72"/>
  <c r="Z408" i="72"/>
  <c r="V408" i="72"/>
  <c r="AB404" i="72"/>
  <c r="U413" i="72"/>
  <c r="T428" i="72"/>
  <c r="AD438" i="72"/>
  <c r="V446" i="72"/>
  <c r="AA451" i="72"/>
  <c r="AC492" i="72"/>
  <c r="Y492" i="72"/>
  <c r="U492" i="72"/>
  <c r="Y537" i="72"/>
  <c r="Z401" i="72"/>
  <c r="S410" i="72"/>
  <c r="Y416" i="72"/>
  <c r="AE422" i="72"/>
  <c r="X431" i="72"/>
  <c r="AB435" i="72"/>
  <c r="AA450" i="72"/>
  <c r="V395" i="72"/>
  <c r="AD419" i="72"/>
  <c r="AA432" i="72"/>
  <c r="AE436" i="72"/>
  <c r="Z447" i="72"/>
  <c r="T457" i="72"/>
  <c r="Z463" i="72"/>
  <c r="AB565" i="72"/>
  <c r="S909" i="72"/>
  <c r="T1029" i="72"/>
  <c r="T55" i="72"/>
  <c r="T113" i="72"/>
  <c r="AE69" i="72"/>
  <c r="AC129" i="72"/>
  <c r="T126" i="72"/>
  <c r="X95" i="72"/>
  <c r="X132" i="72"/>
  <c r="U128" i="72"/>
  <c r="AB158" i="72"/>
  <c r="Y153" i="72"/>
  <c r="X214" i="72"/>
  <c r="Y210" i="72"/>
  <c r="T226" i="72"/>
  <c r="AG228" i="72"/>
  <c r="AF180" i="72"/>
  <c r="V211" i="72"/>
  <c r="V224" i="72"/>
  <c r="AC247" i="72"/>
  <c r="AC246" i="72"/>
  <c r="AA256" i="72"/>
  <c r="W275" i="72"/>
  <c r="AC244" i="72"/>
  <c r="X275" i="72"/>
  <c r="AA222" i="72"/>
  <c r="U232" i="72"/>
  <c r="AB239" i="72"/>
  <c r="AF243" i="72"/>
  <c r="AC265" i="72"/>
  <c r="S244" i="72"/>
  <c r="V256" i="72"/>
  <c r="U265" i="72"/>
  <c r="AD265" i="72"/>
  <c r="V244" i="72"/>
  <c r="AC251" i="72"/>
  <c r="AC218" i="72"/>
  <c r="AA232" i="72"/>
  <c r="AF259" i="72"/>
  <c r="X259" i="72"/>
  <c r="W227" i="72"/>
  <c r="U241" i="72"/>
  <c r="Z246" i="72"/>
  <c r="T256" i="72"/>
  <c r="T276" i="72"/>
  <c r="AC276" i="72"/>
  <c r="Y276" i="72"/>
  <c r="X256" i="72"/>
  <c r="T287" i="72"/>
  <c r="X291" i="72"/>
  <c r="S302" i="72"/>
  <c r="W306" i="72"/>
  <c r="AA310" i="72"/>
  <c r="AE314" i="72"/>
  <c r="AE297" i="72"/>
  <c r="W272" i="72"/>
  <c r="U286" i="72"/>
  <c r="Y290" i="72"/>
  <c r="AD295" i="72"/>
  <c r="AG314" i="72"/>
  <c r="Z274" i="72"/>
  <c r="W287" i="72"/>
  <c r="AB292" i="72"/>
  <c r="W286" i="72"/>
  <c r="AC292" i="72"/>
  <c r="AA306" i="72"/>
  <c r="W318" i="72"/>
  <c r="Y286" i="72"/>
  <c r="AD291" i="72"/>
  <c r="Y302" i="72"/>
  <c r="AD307" i="72"/>
  <c r="AE320" i="72"/>
  <c r="AA320" i="72"/>
  <c r="V320" i="72"/>
  <c r="AD274" i="72"/>
  <c r="V282" i="72"/>
  <c r="S311" i="72"/>
  <c r="Z318" i="72"/>
  <c r="AD289" i="72"/>
  <c r="T295" i="72"/>
  <c r="AA302" i="72"/>
  <c r="AG289" i="72"/>
  <c r="T274" i="72"/>
  <c r="AF286" i="72"/>
  <c r="V292" i="72"/>
  <c r="AF302" i="72"/>
  <c r="V308" i="72"/>
  <c r="W324" i="72"/>
  <c r="AD347" i="72"/>
  <c r="X357" i="72"/>
  <c r="AG366" i="72"/>
  <c r="Y374" i="72"/>
  <c r="AE380" i="72"/>
  <c r="X389" i="72"/>
  <c r="V322" i="72"/>
  <c r="V338" i="72"/>
  <c r="AD346" i="72"/>
  <c r="Y357" i="72"/>
  <c r="AD362" i="72"/>
  <c r="Z374" i="72"/>
  <c r="U385" i="72"/>
  <c r="Y389" i="72"/>
  <c r="AE394" i="72"/>
  <c r="AA394" i="72"/>
  <c r="V394" i="72"/>
  <c r="Z325" i="72"/>
  <c r="X339" i="72"/>
  <c r="AF347" i="72"/>
  <c r="AA358" i="72"/>
  <c r="AG364" i="72"/>
  <c r="AA374" i="72"/>
  <c r="AD393" i="72"/>
  <c r="Z324" i="72"/>
  <c r="AE329" i="72"/>
  <c r="AA341" i="72"/>
  <c r="Z356" i="72"/>
  <c r="AD360" i="72"/>
  <c r="X370" i="72"/>
  <c r="AC375" i="72"/>
  <c r="Y387" i="72"/>
  <c r="AC391" i="72"/>
  <c r="W336" i="72"/>
  <c r="AC374" i="72"/>
  <c r="AC390" i="72"/>
  <c r="AA323" i="72"/>
  <c r="AF328" i="72"/>
  <c r="W335" i="72"/>
  <c r="W383" i="72"/>
  <c r="AB388" i="72"/>
  <c r="AG424" i="72"/>
  <c r="AC456" i="72"/>
  <c r="Y456" i="72"/>
  <c r="U456" i="72"/>
  <c r="AC324" i="72"/>
  <c r="AC356" i="72"/>
  <c r="AG360" i="72"/>
  <c r="AA370" i="72"/>
  <c r="AE374" i="72"/>
  <c r="AB387" i="72"/>
  <c r="AF391" i="72"/>
  <c r="X350" i="72"/>
  <c r="Z368" i="72"/>
  <c r="U379" i="72"/>
  <c r="Y334" i="72"/>
  <c r="AD322" i="72"/>
  <c r="Y333" i="72"/>
  <c r="AD338" i="72"/>
  <c r="AG373" i="72"/>
  <c r="W330" i="72"/>
  <c r="AE321" i="72"/>
  <c r="AE337" i="72"/>
  <c r="S357" i="72"/>
  <c r="AF370" i="72"/>
  <c r="X378" i="72"/>
  <c r="AC383" i="72"/>
  <c r="W328" i="72"/>
  <c r="AA332" i="72"/>
  <c r="AG338" i="72"/>
  <c r="S356" i="72"/>
  <c r="W360" i="72"/>
  <c r="AE368" i="72"/>
  <c r="V391" i="72"/>
  <c r="AD334" i="72"/>
  <c r="AE351" i="72"/>
  <c r="W359" i="72"/>
  <c r="AB364" i="72"/>
  <c r="V374" i="72"/>
  <c r="AF408" i="72"/>
  <c r="AC405" i="72"/>
  <c r="AA419" i="72"/>
  <c r="Z434" i="72"/>
  <c r="AB452" i="72"/>
  <c r="Z466" i="72"/>
  <c r="AE537" i="72"/>
  <c r="W986" i="72"/>
  <c r="AB68" i="72"/>
  <c r="AB121" i="72"/>
  <c r="Z77" i="72"/>
  <c r="AD129" i="72"/>
  <c r="U135" i="72"/>
  <c r="AE138" i="72"/>
  <c r="T127" i="72"/>
  <c r="AD106" i="72"/>
  <c r="V135" i="72"/>
  <c r="U176" i="72"/>
  <c r="AB160" i="72"/>
  <c r="S158" i="72"/>
  <c r="AB142" i="72"/>
  <c r="AC142" i="72"/>
  <c r="Y158" i="72"/>
  <c r="AF216" i="72"/>
  <c r="X219" i="72"/>
  <c r="AC225" i="72"/>
  <c r="Z226" i="72"/>
  <c r="S209" i="72"/>
  <c r="Z228" i="72"/>
  <c r="Y211" i="72"/>
  <c r="AD232" i="72"/>
  <c r="AF250" i="72"/>
  <c r="T273" i="72"/>
  <c r="Y224" i="72"/>
  <c r="AE246" i="72"/>
  <c r="V249" i="72"/>
  <c r="AF242" i="72"/>
  <c r="AD258" i="72"/>
  <c r="U256" i="72"/>
  <c r="S264" i="72"/>
  <c r="AC235" i="72"/>
  <c r="T241" i="72"/>
  <c r="X245" i="72"/>
  <c r="AB249" i="72"/>
  <c r="S258" i="72"/>
  <c r="AE270" i="72"/>
  <c r="AB263" i="72"/>
  <c r="W274" i="72"/>
  <c r="AC280" i="72"/>
  <c r="AC296" i="72"/>
  <c r="AF315" i="72"/>
  <c r="AC263" i="72"/>
  <c r="V272" i="72"/>
  <c r="AC279" i="72"/>
  <c r="S285" i="72"/>
  <c r="W289" i="72"/>
  <c r="AA293" i="72"/>
  <c r="U303" i="72"/>
  <c r="Y307" i="72"/>
  <c r="AC311" i="72"/>
  <c r="S317" i="72"/>
  <c r="AD263" i="72"/>
  <c r="AE280" i="72"/>
  <c r="U302" i="72"/>
  <c r="Y306" i="72"/>
  <c r="T317" i="72"/>
  <c r="AE295" i="72"/>
  <c r="W303" i="72"/>
  <c r="AB308" i="72"/>
  <c r="V318" i="72"/>
  <c r="AF320" i="72"/>
  <c r="AC307" i="72"/>
  <c r="AC274" i="72"/>
  <c r="V266" i="72"/>
  <c r="Y285" i="72"/>
  <c r="AC289" i="72"/>
  <c r="S295" i="72"/>
  <c r="Z302" i="72"/>
  <c r="AD306" i="72"/>
  <c r="AE274" i="72"/>
  <c r="W282" i="72"/>
  <c r="AF307" i="72"/>
  <c r="V313" i="72"/>
  <c r="AB286" i="72"/>
  <c r="AB302" i="72"/>
  <c r="AB318" i="72"/>
  <c r="S291" i="72"/>
  <c r="AG305" i="72"/>
  <c r="Y313" i="72"/>
  <c r="T291" i="72"/>
  <c r="Y312" i="72"/>
  <c r="AF318" i="72"/>
  <c r="V291" i="72"/>
  <c r="V307" i="72"/>
  <c r="AC330" i="72"/>
  <c r="AG334" i="72"/>
  <c r="AE348" i="72"/>
  <c r="AC362" i="72"/>
  <c r="S368" i="72"/>
  <c r="AB328" i="72"/>
  <c r="AF332" i="72"/>
  <c r="W339" i="72"/>
  <c r="AE347" i="72"/>
  <c r="U369" i="72"/>
  <c r="U394" i="72"/>
  <c r="AB440" i="72"/>
  <c r="X440" i="72"/>
  <c r="T440" i="72"/>
  <c r="V321" i="72"/>
  <c r="AA326" i="72"/>
  <c r="AF331" i="72"/>
  <c r="Y340" i="72"/>
  <c r="AG348" i="72"/>
  <c r="U368" i="72"/>
  <c r="V385" i="72"/>
  <c r="Z389" i="72"/>
  <c r="AE361" i="72"/>
  <c r="Y371" i="72"/>
  <c r="T382" i="72"/>
  <c r="Z323" i="72"/>
  <c r="AE328" i="72"/>
  <c r="AC342" i="72"/>
  <c r="AC358" i="72"/>
  <c r="AD342" i="72"/>
  <c r="AC357" i="72"/>
  <c r="AG361" i="72"/>
  <c r="AA371" i="72"/>
  <c r="AE375" i="72"/>
  <c r="AD424" i="72"/>
  <c r="Z424" i="72"/>
  <c r="V424" i="72"/>
  <c r="AD325" i="72"/>
  <c r="AA338" i="72"/>
  <c r="S362" i="72"/>
  <c r="W382" i="72"/>
  <c r="Y351" i="72"/>
  <c r="AF358" i="72"/>
  <c r="AF374" i="72"/>
  <c r="AB386" i="72"/>
  <c r="AF390" i="72"/>
  <c r="AD323" i="72"/>
  <c r="T329" i="72"/>
  <c r="Z335" i="72"/>
  <c r="AE340" i="72"/>
  <c r="AG358" i="72"/>
  <c r="AG374" i="72"/>
  <c r="U329" i="72"/>
  <c r="AE339" i="72"/>
  <c r="AF323" i="72"/>
  <c r="AC336" i="72"/>
  <c r="Z332" i="72"/>
  <c r="Y363" i="72"/>
  <c r="S373" i="72"/>
  <c r="V392" i="72"/>
  <c r="AB333" i="72"/>
  <c r="U342" i="72"/>
  <c r="Y362" i="72"/>
  <c r="V375" i="72"/>
  <c r="AB381" i="72"/>
  <c r="AG386" i="72"/>
  <c r="AE335" i="72"/>
  <c r="AF352" i="72"/>
  <c r="AC365" i="72"/>
  <c r="AC381" i="72"/>
  <c r="U389" i="72"/>
  <c r="V357" i="72"/>
  <c r="V389" i="72"/>
  <c r="AC408" i="72"/>
  <c r="Y408" i="72"/>
  <c r="U408" i="72"/>
  <c r="V414" i="72"/>
  <c r="V430" i="72"/>
  <c r="AE439" i="72"/>
  <c r="W447" i="72"/>
  <c r="AC453" i="72"/>
  <c r="AB492" i="72"/>
  <c r="X492" i="72"/>
  <c r="T492" i="72"/>
  <c r="T537" i="72"/>
  <c r="AG537" i="72"/>
  <c r="AB403" i="72"/>
  <c r="U412" i="72"/>
  <c r="S426" i="72"/>
  <c r="Y432" i="72"/>
  <c r="AC436" i="72"/>
  <c r="W446" i="72"/>
  <c r="AB451" i="72"/>
  <c r="W396" i="72"/>
  <c r="AG422" i="72"/>
  <c r="AB433" i="72"/>
  <c r="AG438" i="72"/>
  <c r="AB449" i="72"/>
  <c r="U458" i="72"/>
  <c r="AA464" i="72"/>
  <c r="X469" i="72"/>
  <c r="S960" i="72"/>
  <c r="X1075" i="72"/>
  <c r="T144" i="72"/>
  <c r="W105" i="72"/>
  <c r="AD152" i="72"/>
  <c r="Y119" i="72"/>
  <c r="W83" i="72"/>
  <c r="T71" i="72"/>
  <c r="S134" i="72"/>
  <c r="U142" i="72"/>
  <c r="T164" i="72"/>
  <c r="AD150" i="72"/>
  <c r="AD190" i="72"/>
  <c r="Z169" i="72"/>
  <c r="W187" i="72"/>
  <c r="V167" i="72"/>
  <c r="AF226" i="72"/>
  <c r="Y184" i="72"/>
  <c r="AA212" i="72"/>
  <c r="AE233" i="72"/>
  <c r="AG251" i="72"/>
  <c r="S273" i="72"/>
  <c r="AB227" i="72"/>
  <c r="AG248" i="72"/>
  <c r="S247" i="72"/>
  <c r="AB223" i="72"/>
  <c r="V233" i="72"/>
  <c r="AC240" i="72"/>
  <c r="AG244" i="72"/>
  <c r="AB265" i="72"/>
  <c r="Y258" i="72"/>
  <c r="U246" i="72"/>
  <c r="AE264" i="72"/>
  <c r="AG241" i="72"/>
  <c r="T265" i="72"/>
  <c r="S276" i="72"/>
  <c r="S241" i="72"/>
  <c r="X246" i="72"/>
  <c r="AB233" i="72"/>
  <c r="AE259" i="72"/>
  <c r="X260" i="72"/>
  <c r="AB232" i="72"/>
  <c r="V242" i="72"/>
  <c r="AA247" i="72"/>
  <c r="AG276" i="72"/>
  <c r="AB276" i="72"/>
  <c r="AE257" i="72"/>
  <c r="AG273" i="72"/>
  <c r="U288" i="72"/>
  <c r="Y292" i="72"/>
  <c r="T303" i="72"/>
  <c r="X307" i="72"/>
  <c r="AB311" i="72"/>
  <c r="S318" i="72"/>
  <c r="AB294" i="72"/>
  <c r="AF298" i="72"/>
  <c r="Y274" i="72"/>
  <c r="V287" i="72"/>
  <c r="Z291" i="72"/>
  <c r="AE296" i="72"/>
  <c r="AD311" i="72"/>
  <c r="AF280" i="72"/>
  <c r="Y289" i="72"/>
  <c r="Z320" i="72"/>
  <c r="Z289" i="72"/>
  <c r="AG296" i="72"/>
  <c r="AB307" i="72"/>
  <c r="S280" i="72"/>
  <c r="Z287" i="72"/>
  <c r="AE292" i="72"/>
  <c r="Z303" i="72"/>
  <c r="AE308" i="72"/>
  <c r="AD320" i="72"/>
  <c r="Y320" i="72"/>
  <c r="U320" i="72"/>
  <c r="Y269" i="72"/>
  <c r="S279" i="72"/>
  <c r="T312" i="72"/>
  <c r="T263" i="72"/>
  <c r="AE290" i="72"/>
  <c r="U296" i="72"/>
  <c r="AB303" i="72"/>
  <c r="AC318" i="72"/>
  <c r="S307" i="72"/>
  <c r="S289" i="72"/>
  <c r="S305" i="72"/>
  <c r="Y311" i="72"/>
  <c r="T321" i="72"/>
  <c r="X325" i="72"/>
  <c r="S336" i="72"/>
  <c r="AF349" i="72"/>
  <c r="Y358" i="72"/>
  <c r="Z375" i="72"/>
  <c r="AF381" i="72"/>
  <c r="Y390" i="72"/>
  <c r="W323" i="72"/>
  <c r="X340" i="72"/>
  <c r="AF348" i="72"/>
  <c r="Z358" i="72"/>
  <c r="AE363" i="72"/>
  <c r="V370" i="72"/>
  <c r="AA375" i="72"/>
  <c r="V386" i="72"/>
  <c r="Z390" i="72"/>
  <c r="AD394" i="72"/>
  <c r="Z394" i="72"/>
  <c r="Z341" i="72"/>
  <c r="U352" i="72"/>
  <c r="AB359" i="72"/>
  <c r="AB375" i="72"/>
  <c r="W321" i="72"/>
  <c r="AA325" i="72"/>
  <c r="V336" i="72"/>
  <c r="AB342" i="72"/>
  <c r="AA357" i="72"/>
  <c r="AF362" i="72"/>
  <c r="Z372" i="72"/>
  <c r="AE377" i="72"/>
  <c r="U383" i="72"/>
  <c r="Z388" i="72"/>
  <c r="AD392" i="72"/>
  <c r="AE344" i="72"/>
  <c r="W368" i="72"/>
  <c r="AD375" i="72"/>
  <c r="AD391" i="72"/>
  <c r="AB324" i="72"/>
  <c r="AG329" i="72"/>
  <c r="X336" i="72"/>
  <c r="AE343" i="72"/>
  <c r="S363" i="72"/>
  <c r="S379" i="72"/>
  <c r="Y385" i="72"/>
  <c r="AC389" i="72"/>
  <c r="AF424" i="72"/>
  <c r="AB456" i="72"/>
  <c r="X456" i="72"/>
  <c r="T456" i="72"/>
  <c r="Z321" i="72"/>
  <c r="AE326" i="72"/>
  <c r="AB339" i="72"/>
  <c r="AD357" i="72"/>
  <c r="AB371" i="72"/>
  <c r="AF375" i="72"/>
  <c r="X383" i="72"/>
  <c r="AC388" i="72"/>
  <c r="AG392" i="72"/>
  <c r="Z352" i="72"/>
  <c r="AA369" i="72"/>
  <c r="W381" i="72"/>
  <c r="U330" i="72"/>
  <c r="V363" i="72"/>
  <c r="AE323" i="72"/>
  <c r="V330" i="72"/>
  <c r="Z334" i="72"/>
  <c r="AF340" i="72"/>
  <c r="AG389" i="72"/>
  <c r="X331" i="72"/>
  <c r="AD337" i="72"/>
  <c r="AA333" i="72"/>
  <c r="AF338" i="72"/>
  <c r="T358" i="72"/>
  <c r="Y379" i="72"/>
  <c r="AE385" i="72"/>
  <c r="X329" i="72"/>
  <c r="AA348" i="72"/>
  <c r="T357" i="72"/>
  <c r="AF369" i="72"/>
  <c r="S388" i="72"/>
  <c r="W392" i="72"/>
  <c r="AA331" i="72"/>
  <c r="T356" i="72"/>
  <c r="X360" i="72"/>
  <c r="W375" i="72"/>
  <c r="W342" i="72"/>
  <c r="X400" i="72"/>
  <c r="AD406" i="72"/>
  <c r="AB420" i="72"/>
  <c r="W431" i="72"/>
  <c r="AA435" i="72"/>
  <c r="X448" i="72"/>
  <c r="AD454" i="72"/>
  <c r="AA467" i="72"/>
  <c r="AC537" i="72"/>
  <c r="U537" i="72"/>
  <c r="S537" i="72"/>
  <c r="AC404" i="72"/>
  <c r="V413" i="72"/>
  <c r="AA418" i="72"/>
  <c r="X397" i="72"/>
  <c r="AA416" i="72"/>
  <c r="T441" i="72"/>
  <c r="W460" i="72"/>
  <c r="AB465" i="72"/>
  <c r="AA62" i="72"/>
  <c r="AD297" i="72"/>
  <c r="T286" i="72"/>
  <c r="AG266" i="72"/>
  <c r="AD290" i="72"/>
  <c r="T292" i="72"/>
  <c r="U338" i="72"/>
  <c r="AD378" i="72"/>
  <c r="S440" i="72"/>
  <c r="AE378" i="72"/>
  <c r="AF345" i="72"/>
  <c r="AD358" i="72"/>
  <c r="U424" i="72"/>
  <c r="AG359" i="72"/>
  <c r="AA336" i="72"/>
  <c r="S391" i="72"/>
  <c r="Z364" i="72"/>
  <c r="AF336" i="72"/>
  <c r="W358" i="72"/>
  <c r="Y401" i="72"/>
  <c r="V537" i="72"/>
  <c r="Z417" i="72"/>
  <c r="V445" i="72"/>
  <c r="AE420" i="72"/>
  <c r="Y397" i="72"/>
  <c r="Z414" i="72"/>
  <c r="Z430" i="72"/>
  <c r="V442" i="72"/>
  <c r="AC449" i="72"/>
  <c r="U457" i="72"/>
  <c r="AA463" i="72"/>
  <c r="S406" i="72"/>
  <c r="AD417" i="72"/>
  <c r="T455" i="72"/>
  <c r="AF467" i="72"/>
  <c r="AC469" i="72"/>
  <c r="V557" i="72"/>
  <c r="AA557" i="72"/>
  <c r="W557" i="72"/>
  <c r="AE417" i="72"/>
  <c r="Z428" i="72"/>
  <c r="AE433" i="72"/>
  <c r="Z444" i="72"/>
  <c r="AF466" i="72"/>
  <c r="AB397" i="72"/>
  <c r="U406" i="72"/>
  <c r="AE416" i="72"/>
  <c r="AA428" i="72"/>
  <c r="AF433" i="72"/>
  <c r="AF400" i="72"/>
  <c r="AB412" i="72"/>
  <c r="AG417" i="72"/>
  <c r="T435" i="72"/>
  <c r="AB443" i="72"/>
  <c r="S450" i="72"/>
  <c r="AF398" i="72"/>
  <c r="AF430" i="72"/>
  <c r="Y439" i="72"/>
  <c r="AE445" i="72"/>
  <c r="X454" i="72"/>
  <c r="AF462" i="72"/>
  <c r="AE396" i="72"/>
  <c r="AB409" i="72"/>
  <c r="T417" i="72"/>
  <c r="Z423" i="72"/>
  <c r="S432" i="72"/>
  <c r="AC458" i="72"/>
  <c r="AC441" i="72"/>
  <c r="V450" i="72"/>
  <c r="V514" i="72"/>
  <c r="AB514" i="72"/>
  <c r="X514" i="72"/>
  <c r="S414" i="72"/>
  <c r="Y420" i="72"/>
  <c r="S430" i="72"/>
  <c r="X435" i="72"/>
  <c r="AE458" i="72"/>
  <c r="AE409" i="72"/>
  <c r="AB438" i="72"/>
  <c r="U447" i="72"/>
  <c r="Z468" i="72"/>
  <c r="AA476" i="72"/>
  <c r="V476" i="72"/>
  <c r="AG477" i="72"/>
  <c r="W498" i="72"/>
  <c r="U505" i="72"/>
  <c r="W516" i="72"/>
  <c r="X522" i="72"/>
  <c r="AB471" i="72"/>
  <c r="U480" i="72"/>
  <c r="Y484" i="72"/>
  <c r="AC488" i="72"/>
  <c r="V497" i="72"/>
  <c r="V505" i="72"/>
  <c r="S511" i="72"/>
  <c r="AE472" i="72"/>
  <c r="X481" i="72"/>
  <c r="AB485" i="72"/>
  <c r="S504" i="72"/>
  <c r="AB527" i="72"/>
  <c r="AG530" i="72"/>
  <c r="T53" i="72"/>
  <c r="W150" i="72"/>
  <c r="AF187" i="72"/>
  <c r="AG260" i="72"/>
  <c r="Z264" i="72"/>
  <c r="AG222" i="72"/>
  <c r="T258" i="72"/>
  <c r="X290" i="72"/>
  <c r="U318" i="72"/>
  <c r="S312" i="72"/>
  <c r="T296" i="72"/>
  <c r="AG350" i="72"/>
  <c r="AC329" i="72"/>
  <c r="W322" i="72"/>
  <c r="W386" i="72"/>
  <c r="T364" i="72"/>
  <c r="T363" i="72"/>
  <c r="AB370" i="72"/>
  <c r="AG342" i="72"/>
  <c r="T374" i="72"/>
  <c r="Z363" i="72"/>
  <c r="W390" i="72"/>
  <c r="AE492" i="72"/>
  <c r="AB419" i="72"/>
  <c r="X447" i="72"/>
  <c r="V427" i="72"/>
  <c r="AA399" i="72"/>
  <c r="AF420" i="72"/>
  <c r="AA431" i="72"/>
  <c r="AE435" i="72"/>
  <c r="AG468" i="72"/>
  <c r="X427" i="72"/>
  <c r="AD433" i="72"/>
  <c r="V441" i="72"/>
  <c r="AB447" i="72"/>
  <c r="AA462" i="72"/>
  <c r="AG469" i="72"/>
  <c r="AF557" i="72"/>
  <c r="Z396" i="72"/>
  <c r="U407" i="72"/>
  <c r="AA429" i="72"/>
  <c r="AG451" i="72"/>
  <c r="AA461" i="72"/>
  <c r="AB429" i="72"/>
  <c r="AA395" i="72"/>
  <c r="AG401" i="72"/>
  <c r="AC413" i="72"/>
  <c r="AD430" i="72"/>
  <c r="AD397" i="72"/>
  <c r="X407" i="72"/>
  <c r="AB427" i="72"/>
  <c r="W438" i="72"/>
  <c r="AC444" i="72"/>
  <c r="AA458" i="72"/>
  <c r="AG464" i="72"/>
  <c r="AG399" i="72"/>
  <c r="AF414" i="72"/>
  <c r="AF446" i="72"/>
  <c r="AC410" i="72"/>
  <c r="AC426" i="72"/>
  <c r="T433" i="72"/>
  <c r="U450" i="72"/>
  <c r="U466" i="72"/>
  <c r="AE395" i="72"/>
  <c r="Z406" i="72"/>
  <c r="AD442" i="72"/>
  <c r="AD458" i="72"/>
  <c r="AF514" i="72"/>
  <c r="AA406" i="72"/>
  <c r="Z421" i="72"/>
  <c r="X451" i="72"/>
  <c r="S462" i="72"/>
  <c r="Y468" i="72"/>
  <c r="AE457" i="72"/>
  <c r="V464" i="72"/>
  <c r="S469" i="72"/>
  <c r="AF476" i="72"/>
  <c r="S479" i="72"/>
  <c r="W483" i="72"/>
  <c r="AA487" i="72"/>
  <c r="T508" i="72"/>
  <c r="AA517" i="72"/>
  <c r="S529" i="72"/>
  <c r="AC472" i="72"/>
  <c r="AF491" i="72"/>
  <c r="AE507" i="72"/>
  <c r="AD511" i="72"/>
  <c r="AC519" i="72"/>
  <c r="S519" i="72"/>
  <c r="AA538" i="72"/>
  <c r="AF473" i="72"/>
  <c r="U494" i="72"/>
  <c r="Z498" i="72"/>
  <c r="X109" i="72"/>
  <c r="AA230" i="72"/>
  <c r="AG232" i="72"/>
  <c r="S246" i="72"/>
  <c r="AF281" i="72"/>
  <c r="AA303" i="72"/>
  <c r="AD318" i="72"/>
  <c r="AG333" i="72"/>
  <c r="AC328" i="72"/>
  <c r="AA390" i="72"/>
  <c r="AB372" i="72"/>
  <c r="AG375" i="72"/>
  <c r="W364" i="72"/>
  <c r="Z380" i="72"/>
  <c r="S372" i="72"/>
  <c r="Y361" i="72"/>
  <c r="X416" i="72"/>
  <c r="AA492" i="72"/>
  <c r="AF423" i="72"/>
  <c r="AB400" i="72"/>
  <c r="AB416" i="72"/>
  <c r="AG421" i="72"/>
  <c r="W443" i="72"/>
  <c r="AD450" i="72"/>
  <c r="V458" i="72"/>
  <c r="AB464" i="72"/>
  <c r="AB399" i="72"/>
  <c r="T407" i="72"/>
  <c r="AE418" i="72"/>
  <c r="Y428" i="72"/>
  <c r="AC448" i="72"/>
  <c r="V457" i="72"/>
  <c r="AB463" i="72"/>
  <c r="AB469" i="72"/>
  <c r="AE557" i="72"/>
  <c r="Z557" i="72"/>
  <c r="U557" i="72"/>
  <c r="X410" i="72"/>
  <c r="AF418" i="72"/>
  <c r="AF434" i="72"/>
  <c r="AA445" i="72"/>
  <c r="U455" i="72"/>
  <c r="AG467" i="72"/>
  <c r="AC398" i="72"/>
  <c r="V407" i="72"/>
  <c r="AF417" i="72"/>
  <c r="AG434" i="72"/>
  <c r="S451" i="72"/>
  <c r="AD413" i="72"/>
  <c r="AC428" i="72"/>
  <c r="T451" i="72"/>
  <c r="AC460" i="72"/>
  <c r="S466" i="72"/>
  <c r="AC395" i="72"/>
  <c r="AB426" i="72"/>
  <c r="T434" i="72"/>
  <c r="AA441" i="72"/>
  <c r="Y455" i="72"/>
  <c r="T466" i="72"/>
  <c r="AF397" i="72"/>
  <c r="AD411" i="72"/>
  <c r="U418" i="72"/>
  <c r="AE460" i="72"/>
  <c r="W451" i="72"/>
  <c r="T464" i="72"/>
  <c r="AG514" i="72"/>
  <c r="AA514" i="72"/>
  <c r="W514" i="72"/>
  <c r="U416" i="72"/>
  <c r="AA422" i="72"/>
  <c r="U432" i="72"/>
  <c r="AA438" i="72"/>
  <c r="AA454" i="72"/>
  <c r="AF410" i="72"/>
  <c r="AC439" i="72"/>
  <c r="X450" i="72"/>
  <c r="W465" i="72"/>
  <c r="AE476" i="72"/>
  <c r="Y476" i="72"/>
  <c r="U476" i="72"/>
  <c r="Z470" i="72"/>
  <c r="S495" i="72"/>
  <c r="Y517" i="72"/>
  <c r="AF522" i="72"/>
  <c r="V522" i="72"/>
  <c r="AF529" i="72"/>
  <c r="AD473" i="72"/>
  <c r="V481" i="72"/>
  <c r="Z485" i="72"/>
  <c r="S494" i="72"/>
  <c r="X498" i="72"/>
  <c r="S521" i="72"/>
  <c r="U539" i="72"/>
  <c r="AG474" i="72"/>
  <c r="Y482" i="72"/>
  <c r="AC486" i="72"/>
  <c r="Y505" i="72"/>
  <c r="X512" i="72"/>
  <c r="V521" i="72"/>
  <c r="X530" i="72"/>
  <c r="AF530" i="72"/>
  <c r="X91" i="72"/>
  <c r="Z152" i="72"/>
  <c r="T251" i="72"/>
  <c r="X251" i="72"/>
  <c r="W247" i="72"/>
  <c r="U242" i="72"/>
  <c r="AE266" i="72"/>
  <c r="X286" i="72"/>
  <c r="AE307" i="72"/>
  <c r="AG308" i="72"/>
  <c r="Y296" i="72"/>
  <c r="AD363" i="72"/>
  <c r="Y341" i="72"/>
  <c r="AG332" i="72"/>
  <c r="S378" i="72"/>
  <c r="AF389" i="72"/>
  <c r="S389" i="72"/>
  <c r="X377" i="72"/>
  <c r="AG369" i="72"/>
  <c r="AC421" i="72"/>
  <c r="W492" i="72"/>
  <c r="AF537" i="72"/>
  <c r="T427" i="72"/>
  <c r="AA466" i="72"/>
  <c r="AC434" i="72"/>
  <c r="AC401" i="72"/>
  <c r="V426" i="72"/>
  <c r="AB432" i="72"/>
  <c r="AF436" i="72"/>
  <c r="X460" i="72"/>
  <c r="AC465" i="72"/>
  <c r="AC400" i="72"/>
  <c r="Z429" i="72"/>
  <c r="AE434" i="72"/>
  <c r="X443" i="72"/>
  <c r="AD449" i="72"/>
  <c r="AF469" i="72"/>
  <c r="AA397" i="72"/>
  <c r="AB430" i="72"/>
  <c r="AC447" i="72"/>
  <c r="AB462" i="72"/>
  <c r="AD399" i="72"/>
  <c r="Z411" i="72"/>
  <c r="AC430" i="72"/>
  <c r="U438" i="72"/>
  <c r="AB396" i="72"/>
  <c r="V406" i="72"/>
  <c r="AD414" i="72"/>
  <c r="S467" i="72"/>
  <c r="AE398" i="72"/>
  <c r="X439" i="72"/>
  <c r="AD445" i="72"/>
  <c r="W454" i="72"/>
  <c r="X406" i="72"/>
  <c r="U435" i="72"/>
  <c r="AB442" i="72"/>
  <c r="AG447" i="72"/>
  <c r="AD427" i="72"/>
  <c r="U434" i="72"/>
  <c r="V451" i="72"/>
  <c r="V467" i="72"/>
  <c r="AF396" i="72"/>
  <c r="AA407" i="72"/>
  <c r="AE443" i="72"/>
  <c r="Z454" i="72"/>
  <c r="AE514" i="72"/>
  <c r="AB407" i="72"/>
  <c r="V417" i="72"/>
  <c r="AB423" i="72"/>
  <c r="U464" i="72"/>
  <c r="AF458" i="72"/>
  <c r="AA471" i="72"/>
  <c r="T480" i="72"/>
  <c r="X484" i="72"/>
  <c r="W502" i="72"/>
  <c r="Y509" i="72"/>
  <c r="T539" i="72"/>
  <c r="AE474" i="72"/>
  <c r="Z507" i="72"/>
  <c r="V512" i="72"/>
  <c r="AA519" i="72"/>
  <c r="V495" i="72"/>
  <c r="U501" i="72"/>
  <c r="U132" i="72"/>
  <c r="V171" i="72"/>
  <c r="AG192" i="72"/>
  <c r="T238" i="72"/>
  <c r="Y246" i="72"/>
  <c r="Z277" i="72"/>
  <c r="V304" i="72"/>
  <c r="AF296" i="72"/>
  <c r="X318" i="72"/>
  <c r="W314" i="72"/>
  <c r="AE318" i="72"/>
  <c r="T369" i="72"/>
  <c r="AG349" i="72"/>
  <c r="AC387" i="72"/>
  <c r="W393" i="72"/>
  <c r="AC382" i="72"/>
  <c r="Y377" i="72"/>
  <c r="S492" i="72"/>
  <c r="AA402" i="72"/>
  <c r="AF437" i="72"/>
  <c r="AF468" i="72"/>
  <c r="AD402" i="72"/>
  <c r="AC417" i="72"/>
  <c r="Y445" i="72"/>
  <c r="AE451" i="72"/>
  <c r="AD401" i="72"/>
  <c r="AA414" i="72"/>
  <c r="AF419" i="72"/>
  <c r="Y444" i="72"/>
  <c r="W458" i="72"/>
  <c r="AC464" i="72"/>
  <c r="Z469" i="72"/>
  <c r="AC557" i="72"/>
  <c r="Y557" i="72"/>
  <c r="T557" i="72"/>
  <c r="AD557" i="72"/>
  <c r="AC399" i="72"/>
  <c r="AB414" i="72"/>
  <c r="AG419" i="72"/>
  <c r="AC431" i="72"/>
  <c r="AG435" i="72"/>
  <c r="AD448" i="72"/>
  <c r="W457" i="72"/>
  <c r="AC463" i="72"/>
  <c r="Z395" i="72"/>
  <c r="AE400" i="72"/>
  <c r="AG418" i="72"/>
  <c r="AD431" i="72"/>
  <c r="AE415" i="72"/>
  <c r="AF399" i="72"/>
  <c r="AE414" i="72"/>
  <c r="AE430" i="72"/>
  <c r="AE446" i="72"/>
  <c r="AD461" i="72"/>
  <c r="T467" i="72"/>
  <c r="AD396" i="72"/>
  <c r="AC427" i="72"/>
  <c r="V436" i="72"/>
  <c r="AA457" i="72"/>
  <c r="U467" i="72"/>
  <c r="AE412" i="72"/>
  <c r="V419" i="72"/>
  <c r="V435" i="72"/>
  <c r="Z455" i="72"/>
  <c r="AF461" i="72"/>
  <c r="Z438" i="72"/>
  <c r="V466" i="72"/>
  <c r="AD514" i="72"/>
  <c r="Z514" i="72"/>
  <c r="U514" i="72"/>
  <c r="AD409" i="72"/>
  <c r="AE426" i="72"/>
  <c r="V433" i="72"/>
  <c r="AB439" i="72"/>
  <c r="AB455" i="72"/>
  <c r="T430" i="72"/>
  <c r="AE441" i="72"/>
  <c r="Y451" i="72"/>
  <c r="S461" i="72"/>
  <c r="X466" i="72"/>
  <c r="AD476" i="72"/>
  <c r="X476" i="72"/>
  <c r="T476" i="72"/>
  <c r="AB472" i="72"/>
  <c r="T496" i="72"/>
  <c r="AB504" i="72"/>
  <c r="U512" i="72"/>
  <c r="T517" i="72"/>
  <c r="AD522" i="72"/>
  <c r="X527" i="72"/>
  <c r="AE529" i="72"/>
  <c r="AF475" i="72"/>
  <c r="W482" i="72"/>
  <c r="AA486" i="72"/>
  <c r="T495" i="72"/>
  <c r="Y527" i="72"/>
  <c r="V479" i="72"/>
  <c r="Z483" i="72"/>
  <c r="AD487" i="72"/>
  <c r="AC513" i="72"/>
  <c r="V530" i="72"/>
  <c r="AD530" i="72"/>
  <c r="Z1039" i="72"/>
  <c r="AB98" i="72"/>
  <c r="W155" i="72"/>
  <c r="Y214" i="72"/>
  <c r="AF258" i="72"/>
  <c r="X274" i="72"/>
  <c r="AD312" i="72"/>
  <c r="V303" i="72"/>
  <c r="AE311" i="72"/>
  <c r="T279" i="72"/>
  <c r="AE305" i="72"/>
  <c r="Y326" i="72"/>
  <c r="AA440" i="72"/>
  <c r="AC360" i="72"/>
  <c r="AD344" i="72"/>
  <c r="AA324" i="72"/>
  <c r="AC424" i="72"/>
  <c r="Y335" i="72"/>
  <c r="AE324" i="72"/>
  <c r="AA335" i="72"/>
  <c r="T342" i="72"/>
  <c r="AC334" i="72"/>
  <c r="V390" i="72"/>
  <c r="X408" i="72"/>
  <c r="AG441" i="72"/>
  <c r="W537" i="72"/>
  <c r="T411" i="72"/>
  <c r="Y414" i="72"/>
  <c r="AA448" i="72"/>
  <c r="W395" i="72"/>
  <c r="Y413" i="72"/>
  <c r="AD418" i="72"/>
  <c r="X428" i="72"/>
  <c r="S439" i="72"/>
  <c r="AA447" i="72"/>
  <c r="S455" i="72"/>
  <c r="AF403" i="72"/>
  <c r="AG420" i="72"/>
  <c r="AG436" i="72"/>
  <c r="Z445" i="72"/>
  <c r="AE466" i="72"/>
  <c r="AD469" i="72"/>
  <c r="Y469" i="72"/>
  <c r="AB557" i="72"/>
  <c r="X557" i="72"/>
  <c r="AD416" i="72"/>
  <c r="AD432" i="72"/>
  <c r="W441" i="72"/>
  <c r="X458" i="72"/>
  <c r="AD464" i="72"/>
  <c r="AA396" i="72"/>
  <c r="AG402" i="72"/>
  <c r="AD415" i="72"/>
  <c r="AE432" i="72"/>
  <c r="AD398" i="72"/>
  <c r="Z410" i="72"/>
  <c r="AF416" i="72"/>
  <c r="AG416" i="72"/>
  <c r="AG432" i="72"/>
  <c r="AA442" i="72"/>
  <c r="AF447" i="72"/>
  <c r="AE462" i="72"/>
  <c r="U468" i="72"/>
  <c r="AE397" i="72"/>
  <c r="AB410" i="72"/>
  <c r="AD428" i="72"/>
  <c r="X438" i="72"/>
  <c r="AD444" i="72"/>
  <c r="AB458" i="72"/>
  <c r="AD395" i="72"/>
  <c r="AG414" i="72"/>
  <c r="X421" i="72"/>
  <c r="AB441" i="72"/>
  <c r="AB457" i="72"/>
  <c r="AG462" i="72"/>
  <c r="T400" i="72"/>
  <c r="AA439" i="72"/>
  <c r="S447" i="72"/>
  <c r="W467" i="72"/>
  <c r="AC514" i="72"/>
  <c r="Y514" i="72"/>
  <c r="S514" i="72"/>
  <c r="AF395" i="72"/>
  <c r="AE410" i="72"/>
  <c r="AF427" i="72"/>
  <c r="W434" i="72"/>
  <c r="AD457" i="72"/>
  <c r="S445" i="72"/>
  <c r="T462" i="72"/>
  <c r="Y467" i="72"/>
  <c r="AC476" i="72"/>
  <c r="W476" i="72"/>
  <c r="S476" i="72"/>
  <c r="AA468" i="72"/>
  <c r="AD474" i="72"/>
  <c r="U497" i="72"/>
  <c r="W504" i="72"/>
  <c r="Z513" i="72"/>
  <c r="S517" i="72"/>
  <c r="Y522" i="72"/>
  <c r="AC529" i="72"/>
  <c r="T479" i="72"/>
  <c r="X483" i="72"/>
  <c r="AB487" i="72"/>
  <c r="U496" i="72"/>
  <c r="AC470" i="72"/>
  <c r="W480" i="72"/>
  <c r="AA484" i="72"/>
  <c r="AE488" i="72"/>
  <c r="AA516" i="72"/>
  <c r="T530" i="72"/>
  <c r="T86" i="72"/>
  <c r="AA227" i="72"/>
  <c r="Z235" i="72"/>
  <c r="AD280" i="72"/>
  <c r="T318" i="72"/>
  <c r="Z307" i="72"/>
  <c r="S296" i="72"/>
  <c r="Z286" i="72"/>
  <c r="AA286" i="72"/>
  <c r="Z296" i="72"/>
  <c r="AD331" i="72"/>
  <c r="W371" i="72"/>
  <c r="W440" i="72"/>
  <c r="V369" i="72"/>
  <c r="AF329" i="72"/>
  <c r="Y424" i="72"/>
  <c r="AC340" i="72"/>
  <c r="AB354" i="72"/>
  <c r="AC350" i="72"/>
  <c r="AC348" i="72"/>
  <c r="T408" i="72"/>
  <c r="Y449" i="72"/>
  <c r="AD437" i="72"/>
  <c r="AB417" i="72"/>
  <c r="AC450" i="72"/>
  <c r="X396" i="72"/>
  <c r="AE419" i="72"/>
  <c r="AD434" i="72"/>
  <c r="U441" i="72"/>
  <c r="AB448" i="72"/>
  <c r="Z462" i="72"/>
  <c r="AE467" i="72"/>
  <c r="AG404" i="72"/>
  <c r="AC416" i="72"/>
  <c r="W426" i="72"/>
  <c r="AC432" i="72"/>
  <c r="T439" i="72"/>
  <c r="AA446" i="72"/>
  <c r="AF451" i="72"/>
  <c r="Z461" i="72"/>
  <c r="AG557" i="72"/>
  <c r="Y395" i="72"/>
  <c r="T406" i="72"/>
  <c r="Y427" i="72"/>
  <c r="Y443" i="72"/>
  <c r="AF450" i="72"/>
  <c r="Z460" i="72"/>
  <c r="Z427" i="72"/>
  <c r="X441" i="72"/>
  <c r="AE399" i="72"/>
  <c r="AA411" i="72"/>
  <c r="AC396" i="72"/>
  <c r="W406" i="72"/>
  <c r="AA426" i="72"/>
  <c r="S434" i="72"/>
  <c r="AG448" i="72"/>
  <c r="Z457" i="72"/>
  <c r="AF463" i="72"/>
  <c r="AE413" i="72"/>
  <c r="U451" i="72"/>
  <c r="AE461" i="72"/>
  <c r="Z407" i="72"/>
  <c r="S416" i="72"/>
  <c r="Y422" i="72"/>
  <c r="AG430" i="72"/>
  <c r="AF445" i="72"/>
  <c r="S464" i="72"/>
  <c r="V402" i="72"/>
  <c r="AC457" i="72"/>
  <c r="Z476" i="72"/>
  <c r="AF411" i="72"/>
  <c r="X419" i="72"/>
  <c r="W450" i="72"/>
  <c r="X467" i="72"/>
  <c r="AC407" i="72"/>
  <c r="V416" i="72"/>
  <c r="AC455" i="72"/>
  <c r="U463" i="72"/>
  <c r="AG476" i="72"/>
  <c r="T469" i="72"/>
  <c r="AE475" i="72"/>
  <c r="V482" i="72"/>
  <c r="Z486" i="72"/>
  <c r="AG517" i="72"/>
  <c r="U529" i="72"/>
  <c r="AA470" i="72"/>
  <c r="Z509" i="72"/>
  <c r="Y516" i="72"/>
  <c r="U519" i="72"/>
  <c r="AD471" i="72"/>
  <c r="AF489" i="72"/>
  <c r="X497" i="72"/>
  <c r="AF503" i="72"/>
  <c r="AC509" i="72"/>
  <c r="U155" i="72"/>
  <c r="AD281" i="72"/>
  <c r="AE289" i="72"/>
  <c r="Y398" i="72"/>
  <c r="AF435" i="72"/>
  <c r="AE449" i="72"/>
  <c r="V439" i="72"/>
  <c r="Z441" i="72"/>
  <c r="W437" i="72"/>
  <c r="AE428" i="72"/>
  <c r="AA455" i="72"/>
  <c r="AF472" i="72"/>
  <c r="Y481" i="72"/>
  <c r="AC485" i="72"/>
  <c r="V494" i="72"/>
  <c r="AA498" i="72"/>
  <c r="T504" i="72"/>
  <c r="T511" i="72"/>
  <c r="U533" i="72"/>
  <c r="S543" i="72"/>
  <c r="Z481" i="72"/>
  <c r="AD485" i="72"/>
  <c r="U504" i="72"/>
  <c r="U511" i="72"/>
  <c r="V533" i="72"/>
  <c r="S541" i="72"/>
  <c r="Y479" i="72"/>
  <c r="AC483" i="72"/>
  <c r="AC498" i="72"/>
  <c r="V504" i="72"/>
  <c r="W520" i="72"/>
  <c r="AB481" i="72"/>
  <c r="AF485" i="72"/>
  <c r="U513" i="72"/>
  <c r="U527" i="72"/>
  <c r="AD482" i="72"/>
  <c r="AF502" i="72"/>
  <c r="AC539" i="72"/>
  <c r="Y547" i="72"/>
  <c r="AE482" i="72"/>
  <c r="AC533" i="72"/>
  <c r="AF482" i="72"/>
  <c r="AA548" i="72"/>
  <c r="AC505" i="72"/>
  <c r="AC521" i="72"/>
  <c r="AF547" i="72"/>
  <c r="X547" i="72"/>
  <c r="V484" i="72"/>
  <c r="U516" i="72"/>
  <c r="T552" i="72"/>
  <c r="U498" i="72"/>
  <c r="S512" i="72"/>
  <c r="V576" i="72"/>
  <c r="X600" i="72"/>
  <c r="X540" i="72"/>
  <c r="X554" i="72"/>
  <c r="S563" i="72"/>
  <c r="T546" i="72"/>
  <c r="V558" i="72"/>
  <c r="Z566" i="72"/>
  <c r="AA594" i="72"/>
  <c r="AA554" i="72"/>
  <c r="V563" i="72"/>
  <c r="T590" i="72"/>
  <c r="AB590" i="72"/>
  <c r="Z558" i="72"/>
  <c r="X574" i="72"/>
  <c r="Y582" i="72"/>
  <c r="S556" i="72"/>
  <c r="W565" i="72"/>
  <c r="Y578" i="72"/>
  <c r="X596" i="72"/>
  <c r="X559" i="72"/>
  <c r="AA573" i="72"/>
  <c r="V550" i="72"/>
  <c r="W595" i="72"/>
  <c r="AA602" i="72"/>
  <c r="W556" i="72"/>
  <c r="AF575" i="72"/>
  <c r="X556" i="72"/>
  <c r="Z561" i="72"/>
  <c r="X587" i="72"/>
  <c r="Z587" i="72"/>
  <c r="W601" i="72"/>
  <c r="Z575" i="72"/>
  <c r="AD580" i="72"/>
  <c r="AC563" i="72"/>
  <c r="V571" i="72"/>
  <c r="AG580" i="72"/>
  <c r="AC595" i="72"/>
  <c r="S595" i="72"/>
  <c r="AA601" i="72"/>
  <c r="AG601" i="72"/>
  <c r="Z601" i="72"/>
  <c r="X615" i="72"/>
  <c r="AD615" i="72"/>
  <c r="AB639" i="72"/>
  <c r="V639" i="72"/>
  <c r="Y639" i="72"/>
  <c r="AA574" i="72"/>
  <c r="T584" i="72"/>
  <c r="S623" i="72"/>
  <c r="S651" i="72"/>
  <c r="W666" i="72"/>
  <c r="AE666" i="72"/>
  <c r="Y621" i="72"/>
  <c r="W635" i="72"/>
  <c r="V572" i="72"/>
  <c r="AB583" i="72"/>
  <c r="AD605" i="72"/>
  <c r="T586" i="72"/>
  <c r="W659" i="72"/>
  <c r="V625" i="72"/>
  <c r="Y593" i="72"/>
  <c r="X626" i="72"/>
  <c r="AE636" i="72"/>
  <c r="AG673" i="72"/>
  <c r="T607" i="72"/>
  <c r="X612" i="72"/>
  <c r="W634" i="72"/>
  <c r="AD654" i="72"/>
  <c r="AG654" i="72"/>
  <c r="AC635" i="72"/>
  <c r="AC669" i="72"/>
  <c r="AA617" i="72"/>
  <c r="AF617" i="72"/>
  <c r="S632" i="72"/>
  <c r="AB618" i="72"/>
  <c r="T618" i="72"/>
  <c r="AA625" i="72"/>
  <c r="AC665" i="72"/>
  <c r="X665" i="72"/>
  <c r="AE586" i="72"/>
  <c r="AD593" i="72"/>
  <c r="AF607" i="72"/>
  <c r="AD667" i="72"/>
  <c r="V664" i="72"/>
  <c r="AC592" i="72"/>
  <c r="AC630" i="72"/>
  <c r="Z637" i="72"/>
  <c r="U652" i="72"/>
  <c r="AB682" i="72"/>
  <c r="S682" i="72"/>
  <c r="U682" i="72"/>
  <c r="W650" i="72"/>
  <c r="AB668" i="72"/>
  <c r="T668" i="72"/>
  <c r="AE642" i="72"/>
  <c r="AD670" i="72"/>
  <c r="AC679" i="72"/>
  <c r="T209" i="72"/>
  <c r="AF266" i="72"/>
  <c r="Z280" i="72"/>
  <c r="S331" i="72"/>
  <c r="V443" i="72"/>
  <c r="AF452" i="72"/>
  <c r="S557" i="72"/>
  <c r="AC397" i="72"/>
  <c r="AC443" i="72"/>
  <c r="W436" i="72"/>
  <c r="AB454" i="72"/>
  <c r="X502" i="72"/>
  <c r="T535" i="72"/>
  <c r="AD544" i="72"/>
  <c r="X500" i="72"/>
  <c r="Y521" i="72"/>
  <c r="AA525" i="72"/>
  <c r="W535" i="72"/>
  <c r="AG543" i="72"/>
  <c r="Z543" i="72"/>
  <c r="AF471" i="72"/>
  <c r="X495" i="72"/>
  <c r="W501" i="72"/>
  <c r="Z521" i="72"/>
  <c r="Y523" i="72"/>
  <c r="X535" i="72"/>
  <c r="Y538" i="72"/>
  <c r="AG541" i="72"/>
  <c r="Y541" i="72"/>
  <c r="AF544" i="72"/>
  <c r="Z508" i="72"/>
  <c r="AD516" i="72"/>
  <c r="AD539" i="72"/>
  <c r="AD498" i="72"/>
  <c r="AB508" i="72"/>
  <c r="Z533" i="72"/>
  <c r="AB496" i="72"/>
  <c r="AD521" i="72"/>
  <c r="AB548" i="72"/>
  <c r="AD497" i="72"/>
  <c r="AD512" i="72"/>
  <c r="AE560" i="72"/>
  <c r="W560" i="72"/>
  <c r="Z502" i="72"/>
  <c r="AF481" i="72"/>
  <c r="AE512" i="72"/>
  <c r="V535" i="72"/>
  <c r="U484" i="72"/>
  <c r="W533" i="72"/>
  <c r="S497" i="72"/>
  <c r="AD552" i="72"/>
  <c r="Z552" i="72"/>
  <c r="S552" i="72"/>
  <c r="Y501" i="72"/>
  <c r="V516" i="72"/>
  <c r="Z536" i="72"/>
  <c r="S539" i="72"/>
  <c r="AC556" i="72"/>
  <c r="AF576" i="72"/>
  <c r="W576" i="72"/>
  <c r="AC591" i="72"/>
  <c r="Z591" i="72"/>
  <c r="AB578" i="72"/>
  <c r="AD594" i="72"/>
  <c r="U596" i="72"/>
  <c r="AE528" i="72"/>
  <c r="X561" i="72"/>
  <c r="V575" i="72"/>
  <c r="AD600" i="72"/>
  <c r="AA600" i="72"/>
  <c r="AD564" i="72"/>
  <c r="Z571" i="72"/>
  <c r="X578" i="72"/>
  <c r="AG596" i="72"/>
  <c r="AD596" i="72"/>
  <c r="T555" i="72"/>
  <c r="AF566" i="72"/>
  <c r="AD558" i="72"/>
  <c r="Y565" i="72"/>
  <c r="V602" i="72"/>
  <c r="AA580" i="72"/>
  <c r="Y545" i="72"/>
  <c r="AD571" i="72"/>
  <c r="S582" i="72"/>
  <c r="W582" i="72"/>
  <c r="X601" i="72"/>
  <c r="Y580" i="72"/>
  <c r="Y595" i="72"/>
  <c r="AA615" i="72"/>
  <c r="W639" i="72"/>
  <c r="X564" i="72"/>
  <c r="X573" i="72"/>
  <c r="Y598" i="72"/>
  <c r="W583" i="72"/>
  <c r="X585" i="72"/>
  <c r="AF623" i="72"/>
  <c r="AA623" i="72"/>
  <c r="V607" i="72"/>
  <c r="AE622" i="72"/>
  <c r="T622" i="72"/>
  <c r="X651" i="72"/>
  <c r="AD651" i="72"/>
  <c r="U572" i="72"/>
  <c r="AE579" i="72"/>
  <c r="T589" i="72"/>
  <c r="U636" i="72"/>
  <c r="W577" i="72"/>
  <c r="AG603" i="72"/>
  <c r="Y644" i="72"/>
  <c r="V589" i="72"/>
  <c r="T619" i="72"/>
  <c r="T659" i="72"/>
  <c r="V659" i="72"/>
  <c r="Y632" i="72"/>
  <c r="Y583" i="72"/>
  <c r="Z605" i="72"/>
  <c r="S607" i="72"/>
  <c r="AB632" i="72"/>
  <c r="Z673" i="72"/>
  <c r="AB673" i="72"/>
  <c r="AC673" i="72"/>
  <c r="T610" i="72"/>
  <c r="AF610" i="72"/>
  <c r="AD618" i="72"/>
  <c r="AA634" i="72"/>
  <c r="AC654" i="72"/>
  <c r="Y654" i="72"/>
  <c r="V633" i="72"/>
  <c r="X633" i="72"/>
  <c r="V635" i="72"/>
  <c r="AF669" i="72"/>
  <c r="Y669" i="72"/>
  <c r="AE626" i="72"/>
  <c r="Y626" i="72"/>
  <c r="AC619" i="72"/>
  <c r="Z619" i="72"/>
  <c r="Z632" i="72"/>
  <c r="V612" i="72"/>
  <c r="Z612" i="72"/>
  <c r="S618" i="72"/>
  <c r="AB625" i="72"/>
  <c r="Y665" i="72"/>
  <c r="U665" i="72"/>
  <c r="AF641" i="72"/>
  <c r="AA641" i="72"/>
  <c r="U611" i="72"/>
  <c r="T611" i="72"/>
  <c r="Y667" i="72"/>
  <c r="AD643" i="72"/>
  <c r="V643" i="72"/>
  <c r="AC664" i="72"/>
  <c r="W606" i="72"/>
  <c r="Z628" i="72"/>
  <c r="V646" i="72"/>
  <c r="Y611" i="72"/>
  <c r="Y652" i="72"/>
  <c r="S652" i="72"/>
  <c r="AE682" i="72"/>
  <c r="T682" i="72"/>
  <c r="AB689" i="72"/>
  <c r="X689" i="72"/>
  <c r="S668" i="72"/>
  <c r="V678" i="72"/>
  <c r="AF678" i="72"/>
  <c r="Z678" i="72"/>
  <c r="AE631" i="72"/>
  <c r="AA721" i="72"/>
  <c r="AC655" i="72"/>
  <c r="U697" i="72"/>
  <c r="Y256" i="72"/>
  <c r="Z308" i="72"/>
  <c r="AD382" i="72"/>
  <c r="Y461" i="72"/>
  <c r="AE450" i="72"/>
  <c r="W407" i="72"/>
  <c r="X455" i="72"/>
  <c r="T450" i="72"/>
  <c r="AD441" i="72"/>
  <c r="AC473" i="72"/>
  <c r="W529" i="72"/>
  <c r="U508" i="72"/>
  <c r="W496" i="72"/>
  <c r="U477" i="72"/>
  <c r="Z482" i="72"/>
  <c r="AD486" i="72"/>
  <c r="W495" i="72"/>
  <c r="Z505" i="72"/>
  <c r="Y512" i="72"/>
  <c r="V477" i="72"/>
  <c r="AA482" i="72"/>
  <c r="AE486" i="72"/>
  <c r="AA505" i="72"/>
  <c r="Z512" i="72"/>
  <c r="U548" i="72"/>
  <c r="Z480" i="72"/>
  <c r="AD484" i="72"/>
  <c r="Y495" i="72"/>
  <c r="AB505" i="72"/>
  <c r="U517" i="72"/>
  <c r="V520" i="72"/>
  <c r="X477" i="72"/>
  <c r="AC482" i="72"/>
  <c r="AG509" i="72"/>
  <c r="AF513" i="72"/>
  <c r="S527" i="72"/>
  <c r="AB535" i="72"/>
  <c r="AA479" i="72"/>
  <c r="AE483" i="72"/>
  <c r="AE505" i="72"/>
  <c r="AB533" i="72"/>
  <c r="Z539" i="72"/>
  <c r="AF483" i="72"/>
  <c r="X516" i="72"/>
  <c r="AE535" i="72"/>
  <c r="AG548" i="72"/>
  <c r="Z548" i="72"/>
  <c r="X505" i="72"/>
  <c r="X521" i="72"/>
  <c r="AD547" i="72"/>
  <c r="W547" i="72"/>
  <c r="S502" i="72"/>
  <c r="S481" i="72"/>
  <c r="S558" i="72"/>
  <c r="W566" i="72"/>
  <c r="X524" i="72"/>
  <c r="AA555" i="72"/>
  <c r="Z564" i="72"/>
  <c r="AC549" i="72"/>
  <c r="AC559" i="72"/>
  <c r="AC570" i="72"/>
  <c r="AF600" i="72"/>
  <c r="S532" i="72"/>
  <c r="U546" i="72"/>
  <c r="AD555" i="72"/>
  <c r="AC562" i="72"/>
  <c r="T565" i="72"/>
  <c r="W590" i="72"/>
  <c r="AG590" i="72"/>
  <c r="Z590" i="72"/>
  <c r="W563" i="72"/>
  <c r="W574" i="72"/>
  <c r="AB558" i="72"/>
  <c r="U570" i="72"/>
  <c r="Z573" i="72"/>
  <c r="W578" i="72"/>
  <c r="S596" i="72"/>
  <c r="Y551" i="72"/>
  <c r="AE575" i="72"/>
  <c r="S601" i="72"/>
  <c r="X602" i="72"/>
  <c r="AE558" i="72"/>
  <c r="AE582" i="72"/>
  <c r="AF558" i="72"/>
  <c r="AG587" i="72"/>
  <c r="AE587" i="72"/>
  <c r="Y587" i="72"/>
  <c r="Y556" i="72"/>
  <c r="Y575" i="72"/>
  <c r="AB582" i="72"/>
  <c r="X558" i="72"/>
  <c r="AB563" i="72"/>
  <c r="U571" i="72"/>
  <c r="Z580" i="72"/>
  <c r="AA595" i="72"/>
  <c r="AF601" i="72"/>
  <c r="Y615" i="72"/>
  <c r="V615" i="72"/>
  <c r="Z615" i="72"/>
  <c r="AD639" i="72"/>
  <c r="U639" i="72"/>
  <c r="T639" i="72"/>
  <c r="AE639" i="72"/>
  <c r="AF565" i="72"/>
  <c r="U584" i="72"/>
  <c r="AB666" i="72"/>
  <c r="AC666" i="72"/>
  <c r="AD666" i="72"/>
  <c r="U621" i="72"/>
  <c r="X610" i="72"/>
  <c r="T593" i="72"/>
  <c r="U659" i="72"/>
  <c r="AD659" i="72"/>
  <c r="AE659" i="72"/>
  <c r="W633" i="72"/>
  <c r="AC633" i="72"/>
  <c r="Z585" i="72"/>
  <c r="W612" i="72"/>
  <c r="AD633" i="72"/>
  <c r="Z636" i="72"/>
  <c r="AF636" i="72"/>
  <c r="AE673" i="72"/>
  <c r="W673" i="72"/>
  <c r="AA619" i="72"/>
  <c r="S634" i="72"/>
  <c r="AB654" i="72"/>
  <c r="X654" i="72"/>
  <c r="X635" i="72"/>
  <c r="S635" i="72"/>
  <c r="AA669" i="72"/>
  <c r="W669" i="72"/>
  <c r="V617" i="72"/>
  <c r="AE617" i="72"/>
  <c r="W618" i="72"/>
  <c r="Z618" i="72"/>
  <c r="W625" i="72"/>
  <c r="AB665" i="72"/>
  <c r="S665" i="72"/>
  <c r="W586" i="72"/>
  <c r="Z589" i="72"/>
  <c r="W593" i="72"/>
  <c r="S611" i="72"/>
  <c r="V667" i="72"/>
  <c r="U664" i="72"/>
  <c r="U606" i="72"/>
  <c r="S646" i="72"/>
  <c r="V650" i="72"/>
  <c r="V592" i="72"/>
  <c r="AA630" i="72"/>
  <c r="Z682" i="72"/>
  <c r="AB650" i="72"/>
  <c r="S689" i="72"/>
  <c r="AF689" i="72"/>
  <c r="Z668" i="72"/>
  <c r="Y678" i="72"/>
  <c r="AF638" i="72"/>
  <c r="AD653" i="72"/>
  <c r="AB670" i="72"/>
  <c r="AA691" i="72"/>
  <c r="X723" i="72"/>
  <c r="AD679" i="72"/>
  <c r="X683" i="72"/>
  <c r="AB691" i="72"/>
  <c r="AB729" i="72"/>
  <c r="V729" i="72"/>
  <c r="AE697" i="72"/>
  <c r="V697" i="72"/>
  <c r="AG698" i="72"/>
  <c r="AF275" i="72"/>
  <c r="AB377" i="72"/>
  <c r="AB408" i="72"/>
  <c r="S407" i="72"/>
  <c r="AD466" i="72"/>
  <c r="Y460" i="72"/>
  <c r="AD400" i="72"/>
  <c r="U481" i="72"/>
  <c r="AA513" i="72"/>
  <c r="AA502" i="72"/>
  <c r="S548" i="72"/>
  <c r="S500" i="72"/>
  <c r="S507" i="72"/>
  <c r="Y525" i="72"/>
  <c r="AD543" i="72"/>
  <c r="Y496" i="72"/>
  <c r="AC502" i="72"/>
  <c r="T507" i="72"/>
  <c r="AG523" i="72"/>
  <c r="W523" i="72"/>
  <c r="AF538" i="72"/>
  <c r="X538" i="72"/>
  <c r="AE541" i="72"/>
  <c r="Y544" i="72"/>
  <c r="AE544" i="72"/>
  <c r="X501" i="72"/>
  <c r="AD506" i="72"/>
  <c r="Z495" i="72"/>
  <c r="Z501" i="72"/>
  <c r="AD527" i="72"/>
  <c r="U536" i="72"/>
  <c r="AC497" i="72"/>
  <c r="AD535" i="72"/>
  <c r="AF498" i="72"/>
  <c r="Z547" i="72"/>
  <c r="AC560" i="72"/>
  <c r="V560" i="72"/>
  <c r="AG560" i="72"/>
  <c r="U502" i="72"/>
  <c r="AG482" i="72"/>
  <c r="AF508" i="72"/>
  <c r="AC535" i="72"/>
  <c r="U535" i="72"/>
  <c r="T533" i="72"/>
  <c r="T498" i="72"/>
  <c r="AC552" i="72"/>
  <c r="Y552" i="72"/>
  <c r="T501" i="72"/>
  <c r="W536" i="72"/>
  <c r="AB576" i="72"/>
  <c r="W591" i="72"/>
  <c r="AC574" i="72"/>
  <c r="Y600" i="72"/>
  <c r="U563" i="72"/>
  <c r="S571" i="72"/>
  <c r="W594" i="72"/>
  <c r="AC594" i="72"/>
  <c r="X571" i="72"/>
  <c r="V600" i="72"/>
  <c r="Z600" i="72"/>
  <c r="AC564" i="72"/>
  <c r="V578" i="72"/>
  <c r="Z596" i="72"/>
  <c r="AA596" i="72"/>
  <c r="T556" i="72"/>
  <c r="Z563" i="72"/>
  <c r="AE566" i="72"/>
  <c r="AC575" i="72"/>
  <c r="W545" i="72"/>
  <c r="U576" i="72"/>
  <c r="W602" i="72"/>
  <c r="U602" i="72"/>
  <c r="X595" i="72"/>
  <c r="AC546" i="72"/>
  <c r="S559" i="72"/>
  <c r="AF563" i="72"/>
  <c r="S574" i="72"/>
  <c r="X580" i="72"/>
  <c r="AG595" i="72"/>
  <c r="Y601" i="72"/>
  <c r="U615" i="72"/>
  <c r="W615" i="72"/>
  <c r="S639" i="72"/>
  <c r="AA639" i="72"/>
  <c r="W573" i="72"/>
  <c r="AG598" i="72"/>
  <c r="X598" i="72"/>
  <c r="AD623" i="72"/>
  <c r="X623" i="72"/>
  <c r="S644" i="72"/>
  <c r="U607" i="72"/>
  <c r="Z622" i="72"/>
  <c r="AC651" i="72"/>
  <c r="Z651" i="72"/>
  <c r="AB651" i="72"/>
  <c r="AF579" i="72"/>
  <c r="S621" i="72"/>
  <c r="W644" i="72"/>
  <c r="AE577" i="72"/>
  <c r="AC585" i="72"/>
  <c r="T603" i="72"/>
  <c r="T632" i="72"/>
  <c r="AB659" i="72"/>
  <c r="AB635" i="72"/>
  <c r="AD635" i="72"/>
  <c r="AG583" i="72"/>
  <c r="S605" i="72"/>
  <c r="Z617" i="72"/>
  <c r="AE635" i="72"/>
  <c r="AD644" i="72"/>
  <c r="AC644" i="72"/>
  <c r="Y673" i="72"/>
  <c r="U673" i="72"/>
  <c r="AE610" i="72"/>
  <c r="AC610" i="72"/>
  <c r="AG634" i="72"/>
  <c r="Y634" i="72"/>
  <c r="W654" i="72"/>
  <c r="V654" i="72"/>
  <c r="AF633" i="72"/>
  <c r="AD669" i="72"/>
  <c r="S669" i="72"/>
  <c r="AG626" i="72"/>
  <c r="AD626" i="72"/>
  <c r="X619" i="72"/>
  <c r="Y619" i="72"/>
  <c r="U632" i="72"/>
  <c r="AG612" i="72"/>
  <c r="Y612" i="72"/>
  <c r="X618" i="72"/>
  <c r="X625" i="72"/>
  <c r="W665" i="72"/>
  <c r="AC641" i="72"/>
  <c r="X641" i="72"/>
  <c r="AF611" i="72"/>
  <c r="X667" i="72"/>
  <c r="T667" i="72"/>
  <c r="AC643" i="72"/>
  <c r="AB664" i="72"/>
  <c r="T606" i="72"/>
  <c r="U628" i="72"/>
  <c r="AB646" i="72"/>
  <c r="X630" i="72"/>
  <c r="AF637" i="72"/>
  <c r="AD652" i="72"/>
  <c r="AD682" i="72"/>
  <c r="AA650" i="72"/>
  <c r="AG689" i="72"/>
  <c r="AA689" i="72"/>
  <c r="V689" i="72"/>
  <c r="AG668" i="72"/>
  <c r="T678" i="72"/>
  <c r="AC678" i="72"/>
  <c r="U678" i="72"/>
  <c r="Z648" i="72"/>
  <c r="AD983" i="72"/>
  <c r="T246" i="72"/>
  <c r="Y305" i="72"/>
  <c r="AE402" i="72"/>
  <c r="AF401" i="72"/>
  <c r="AB395" i="72"/>
  <c r="W468" i="72"/>
  <c r="T514" i="72"/>
  <c r="W466" i="72"/>
  <c r="Y485" i="72"/>
  <c r="V519" i="72"/>
  <c r="W508" i="72"/>
  <c r="AE538" i="72"/>
  <c r="W479" i="72"/>
  <c r="AA483" i="72"/>
  <c r="AE487" i="72"/>
  <c r="X496" i="72"/>
  <c r="V501" i="72"/>
  <c r="AD513" i="72"/>
  <c r="S525" i="72"/>
  <c r="AA539" i="72"/>
  <c r="T548" i="72"/>
  <c r="X479" i="72"/>
  <c r="AB483" i="72"/>
  <c r="AF487" i="72"/>
  <c r="AA503" i="72"/>
  <c r="AE513" i="72"/>
  <c r="V544" i="72"/>
  <c r="AF470" i="72"/>
  <c r="AA481" i="72"/>
  <c r="AE485" i="72"/>
  <c r="Z496" i="72"/>
  <c r="V511" i="72"/>
  <c r="AD520" i="72"/>
  <c r="T520" i="72"/>
  <c r="X533" i="72"/>
  <c r="Z479" i="72"/>
  <c r="AD483" i="72"/>
  <c r="AB509" i="72"/>
  <c r="AB480" i="72"/>
  <c r="AF484" i="72"/>
  <c r="AC508" i="72"/>
  <c r="AG539" i="72"/>
  <c r="Y539" i="72"/>
  <c r="AC480" i="72"/>
  <c r="AG484" i="72"/>
  <c r="S516" i="72"/>
  <c r="AA560" i="72"/>
  <c r="AF548" i="72"/>
  <c r="X548" i="72"/>
  <c r="S484" i="72"/>
  <c r="W521" i="72"/>
  <c r="AC547" i="72"/>
  <c r="U547" i="72"/>
  <c r="T482" i="72"/>
  <c r="T502" i="72"/>
  <c r="W552" i="72"/>
  <c r="AA546" i="72"/>
  <c r="Z559" i="72"/>
  <c r="V591" i="72"/>
  <c r="AB528" i="72"/>
  <c r="AA549" i="72"/>
  <c r="AD556" i="72"/>
  <c r="AC555" i="72"/>
  <c r="AE594" i="72"/>
  <c r="S594" i="72"/>
  <c r="U518" i="72"/>
  <c r="U534" i="72"/>
  <c r="AE550" i="72"/>
  <c r="AB562" i="72"/>
  <c r="AA566" i="72"/>
  <c r="U582" i="72"/>
  <c r="AE590" i="72"/>
  <c r="AF590" i="72"/>
  <c r="W575" i="72"/>
  <c r="AC600" i="72"/>
  <c r="AA558" i="72"/>
  <c r="T574" i="72"/>
  <c r="X546" i="72"/>
  <c r="T570" i="72"/>
  <c r="Z578" i="72"/>
  <c r="S578" i="72"/>
  <c r="U580" i="72"/>
  <c r="AF554" i="72"/>
  <c r="T562" i="72"/>
  <c r="AD602" i="72"/>
  <c r="T602" i="72"/>
  <c r="AE563" i="72"/>
  <c r="AB561" i="72"/>
  <c r="T564" i="72"/>
  <c r="AC587" i="72"/>
  <c r="AD587" i="72"/>
  <c r="X591" i="72"/>
  <c r="X575" i="72"/>
  <c r="T582" i="72"/>
  <c r="W558" i="72"/>
  <c r="T571" i="72"/>
  <c r="AC580" i="72"/>
  <c r="Z595" i="72"/>
  <c r="V601" i="72"/>
  <c r="AD601" i="72"/>
  <c r="T615" i="72"/>
  <c r="AE615" i="72"/>
  <c r="S615" i="72"/>
  <c r="AG615" i="72"/>
  <c r="AC639" i="72"/>
  <c r="AE565" i="72"/>
  <c r="S598" i="72"/>
  <c r="AD584" i="72"/>
  <c r="AG623" i="72"/>
  <c r="AG622" i="72"/>
  <c r="Z666" i="72"/>
  <c r="AA666" i="72"/>
  <c r="AF666" i="72"/>
  <c r="AA583" i="72"/>
  <c r="AE621" i="72"/>
  <c r="S586" i="72"/>
  <c r="T617" i="72"/>
  <c r="S633" i="72"/>
  <c r="S626" i="72"/>
  <c r="S659" i="72"/>
  <c r="AC659" i="72"/>
  <c r="X659" i="72"/>
  <c r="Y586" i="72"/>
  <c r="AC605" i="72"/>
  <c r="AC618" i="72"/>
  <c r="AD636" i="72"/>
  <c r="W636" i="72"/>
  <c r="AA636" i="72"/>
  <c r="X644" i="72"/>
  <c r="AD673" i="72"/>
  <c r="Z625" i="72"/>
  <c r="T634" i="72"/>
  <c r="AA654" i="72"/>
  <c r="U654" i="72"/>
  <c r="AG633" i="72"/>
  <c r="Y635" i="72"/>
  <c r="AF635" i="72"/>
  <c r="Z669" i="72"/>
  <c r="X669" i="72"/>
  <c r="U617" i="72"/>
  <c r="AC617" i="72"/>
  <c r="AF632" i="72"/>
  <c r="AA618" i="72"/>
  <c r="U625" i="72"/>
  <c r="T665" i="72"/>
  <c r="AF586" i="72"/>
  <c r="S589" i="72"/>
  <c r="U593" i="72"/>
  <c r="S641" i="72"/>
  <c r="W664" i="72"/>
  <c r="S667" i="72"/>
  <c r="Z664" i="72"/>
  <c r="AA664" i="72"/>
  <c r="S628" i="72"/>
  <c r="T599" i="72"/>
  <c r="Z630" i="72"/>
  <c r="AC652" i="72"/>
  <c r="X682" i="72"/>
  <c r="Z650" i="72"/>
  <c r="U689" i="72"/>
  <c r="AC689" i="72"/>
  <c r="Y668" i="72"/>
  <c r="AA638" i="72"/>
  <c r="Z662" i="72"/>
  <c r="AA670" i="72"/>
  <c r="V684" i="72"/>
  <c r="AF697" i="72"/>
  <c r="AC683" i="72"/>
  <c r="W684" i="72"/>
  <c r="AA729" i="72"/>
  <c r="AB697" i="72"/>
  <c r="AE698" i="72"/>
  <c r="AD251" i="72"/>
  <c r="W354" i="72"/>
  <c r="AC433" i="72"/>
  <c r="Y426" i="72"/>
  <c r="Y407" i="72"/>
  <c r="T414" i="72"/>
  <c r="AD523" i="72"/>
  <c r="X480" i="72"/>
  <c r="AB484" i="72"/>
  <c r="AF488" i="72"/>
  <c r="Y497" i="72"/>
  <c r="AB502" i="72"/>
  <c r="AB516" i="72"/>
  <c r="AE527" i="72"/>
  <c r="U543" i="72"/>
  <c r="Y480" i="72"/>
  <c r="AC484" i="72"/>
  <c r="V503" i="72"/>
  <c r="AC516" i="72"/>
  <c r="AF527" i="72"/>
  <c r="T544" i="72"/>
  <c r="W477" i="72"/>
  <c r="AB482" i="72"/>
  <c r="AF486" i="72"/>
  <c r="AA497" i="72"/>
  <c r="AA512" i="72"/>
  <c r="AB520" i="72"/>
  <c r="AA521" i="72"/>
  <c r="S536" i="72"/>
  <c r="V548" i="72"/>
  <c r="AA480" i="72"/>
  <c r="AE484" i="72"/>
  <c r="Y548" i="72"/>
  <c r="AC481" i="72"/>
  <c r="AC512" i="72"/>
  <c r="AE539" i="72"/>
  <c r="W539" i="72"/>
  <c r="AD481" i="72"/>
  <c r="T560" i="72"/>
  <c r="AF512" i="72"/>
  <c r="AE548" i="72"/>
  <c r="W548" i="72"/>
  <c r="AF497" i="72"/>
  <c r="AE521" i="72"/>
  <c r="U521" i="72"/>
  <c r="AB547" i="72"/>
  <c r="AA547" i="72"/>
  <c r="T547" i="72"/>
  <c r="AG533" i="72"/>
  <c r="U483" i="72"/>
  <c r="AG552" i="72"/>
  <c r="V552" i="72"/>
  <c r="T505" i="72"/>
  <c r="AB574" i="72"/>
  <c r="AF532" i="72"/>
  <c r="U578" i="72"/>
  <c r="Z545" i="72"/>
  <c r="AF556" i="72"/>
  <c r="S565" i="72"/>
  <c r="AE574" i="72"/>
  <c r="X594" i="72"/>
  <c r="AA524" i="72"/>
  <c r="AA540" i="72"/>
  <c r="T551" i="72"/>
  <c r="AA562" i="72"/>
  <c r="W571" i="72"/>
  <c r="AA590" i="72"/>
  <c r="Y590" i="72"/>
  <c r="AD590" i="72"/>
  <c r="V582" i="72"/>
  <c r="T600" i="72"/>
  <c r="X563" i="72"/>
  <c r="Y574" i="72"/>
  <c r="AA575" i="72"/>
  <c r="S570" i="72"/>
  <c r="S576" i="72"/>
  <c r="AD578" i="72"/>
  <c r="Z582" i="72"/>
  <c r="AB596" i="72"/>
  <c r="Y559" i="72"/>
  <c r="X565" i="72"/>
  <c r="AA571" i="72"/>
  <c r="S549" i="72"/>
  <c r="AA563" i="72"/>
  <c r="AD582" i="72"/>
  <c r="AB602" i="72"/>
  <c r="AC571" i="72"/>
  <c r="U555" i="72"/>
  <c r="AA561" i="72"/>
  <c r="S587" i="72"/>
  <c r="AB587" i="72"/>
  <c r="AB595" i="72"/>
  <c r="AE571" i="72"/>
  <c r="U575" i="72"/>
  <c r="AD563" i="72"/>
  <c r="AG571" i="72"/>
  <c r="S580" i="72"/>
  <c r="T580" i="72"/>
  <c r="U595" i="72"/>
  <c r="AE601" i="72"/>
  <c r="AB601" i="72"/>
  <c r="AC615" i="72"/>
  <c r="AB615" i="72"/>
  <c r="AG639" i="72"/>
  <c r="X639" i="72"/>
  <c r="AD565" i="72"/>
  <c r="U598" i="72"/>
  <c r="AE584" i="72"/>
  <c r="AB623" i="72"/>
  <c r="W651" i="72"/>
  <c r="X666" i="72"/>
  <c r="AG666" i="72"/>
  <c r="V666" i="72"/>
  <c r="AF567" i="72"/>
  <c r="Z621" i="72"/>
  <c r="S593" i="72"/>
  <c r="Z635" i="72"/>
  <c r="S584" i="72"/>
  <c r="S612" i="72"/>
  <c r="U633" i="72"/>
  <c r="Y659" i="72"/>
  <c r="Y618" i="72"/>
  <c r="AA589" i="72"/>
  <c r="AA605" i="72"/>
  <c r="Y636" i="72"/>
  <c r="V636" i="72"/>
  <c r="V673" i="72"/>
  <c r="AB634" i="72"/>
  <c r="AF654" i="72"/>
  <c r="S654" i="72"/>
  <c r="Z633" i="72"/>
  <c r="T635" i="72"/>
  <c r="AE669" i="72"/>
  <c r="T669" i="72"/>
  <c r="V669" i="72"/>
  <c r="AG617" i="72"/>
  <c r="S617" i="72"/>
  <c r="U626" i="72"/>
  <c r="AC632" i="72"/>
  <c r="V618" i="72"/>
  <c r="AD625" i="72"/>
  <c r="AG665" i="72"/>
  <c r="X586" i="72"/>
  <c r="Y589" i="72"/>
  <c r="S666" i="72"/>
  <c r="AE667" i="72"/>
  <c r="X664" i="72"/>
  <c r="AC599" i="72"/>
  <c r="AG630" i="72"/>
  <c r="AE637" i="72"/>
  <c r="AA652" i="72"/>
  <c r="W682" i="72"/>
  <c r="X650" i="72"/>
  <c r="S650" i="72"/>
  <c r="AD668" i="72"/>
  <c r="AE668" i="72"/>
  <c r="T664" i="72"/>
  <c r="T642" i="72"/>
  <c r="AF670" i="72"/>
  <c r="X614" i="72"/>
  <c r="AA662" i="72"/>
  <c r="AA683" i="72"/>
  <c r="Z729" i="72"/>
  <c r="Z697" i="72"/>
  <c r="AC698" i="72"/>
  <c r="U90" i="72"/>
  <c r="Z433" i="72"/>
  <c r="AG437" i="72"/>
  <c r="AA430" i="72"/>
  <c r="U439" i="72"/>
  <c r="W420" i="72"/>
  <c r="AG445" i="72"/>
  <c r="W418" i="72"/>
  <c r="AD541" i="72"/>
  <c r="AE471" i="72"/>
  <c r="AD509" i="72"/>
  <c r="AB525" i="72"/>
  <c r="AA543" i="72"/>
  <c r="AE470" i="72"/>
  <c r="W494" i="72"/>
  <c r="AB498" i="72"/>
  <c r="AE509" i="72"/>
  <c r="Z523" i="72"/>
  <c r="AB538" i="72"/>
  <c r="AB539" i="72"/>
  <c r="AA541" i="72"/>
  <c r="AB544" i="72"/>
  <c r="U507" i="72"/>
  <c r="S522" i="72"/>
  <c r="AB497" i="72"/>
  <c r="AD505" i="72"/>
  <c r="AB512" i="72"/>
  <c r="AB521" i="72"/>
  <c r="AA527" i="72"/>
  <c r="AA495" i="72"/>
  <c r="AC496" i="72"/>
  <c r="AD508" i="72"/>
  <c r="Y560" i="72"/>
  <c r="X560" i="72"/>
  <c r="S560" i="72"/>
  <c r="AC548" i="72"/>
  <c r="T512" i="72"/>
  <c r="Y535" i="72"/>
  <c r="S482" i="72"/>
  <c r="Y533" i="72"/>
  <c r="AA552" i="72"/>
  <c r="S508" i="72"/>
  <c r="AB536" i="72"/>
  <c r="T536" i="72"/>
  <c r="Z555" i="72"/>
  <c r="Y564" i="72"/>
  <c r="Z576" i="72"/>
  <c r="U591" i="72"/>
  <c r="AA591" i="72"/>
  <c r="AA559" i="72"/>
  <c r="AA570" i="72"/>
  <c r="T575" i="72"/>
  <c r="AF594" i="72"/>
  <c r="Y594" i="72"/>
  <c r="AD559" i="72"/>
  <c r="T573" i="72"/>
  <c r="S590" i="72"/>
  <c r="U600" i="72"/>
  <c r="AE600" i="72"/>
  <c r="S600" i="72"/>
  <c r="AE564" i="72"/>
  <c r="AF570" i="72"/>
  <c r="AE578" i="72"/>
  <c r="AE596" i="72"/>
  <c r="AG566" i="72"/>
  <c r="X532" i="72"/>
  <c r="V556" i="72"/>
  <c r="AB573" i="72"/>
  <c r="AG602" i="72"/>
  <c r="AB580" i="72"/>
  <c r="W587" i="72"/>
  <c r="AD575" i="72"/>
  <c r="X582" i="72"/>
  <c r="AD595" i="72"/>
  <c r="AE580" i="72"/>
  <c r="AF595" i="72"/>
  <c r="T595" i="72"/>
  <c r="Z639" i="72"/>
  <c r="S573" i="72"/>
  <c r="AC598" i="72"/>
  <c r="AD598" i="72"/>
  <c r="T598" i="72"/>
  <c r="X607" i="72"/>
  <c r="Z607" i="72"/>
  <c r="AA622" i="72"/>
  <c r="W622" i="72"/>
  <c r="Y651" i="72"/>
  <c r="AF651" i="72"/>
  <c r="U651" i="72"/>
  <c r="U666" i="72"/>
  <c r="W579" i="72"/>
  <c r="AB585" i="72"/>
  <c r="W610" i="72"/>
  <c r="X621" i="72"/>
  <c r="U634" i="72"/>
  <c r="X603" i="72"/>
  <c r="X636" i="72"/>
  <c r="W617" i="72"/>
  <c r="AA635" i="72"/>
  <c r="AF659" i="72"/>
  <c r="V619" i="72"/>
  <c r="AC583" i="72"/>
  <c r="AE585" i="72"/>
  <c r="Y625" i="72"/>
  <c r="AG644" i="72"/>
  <c r="AA644" i="72"/>
  <c r="S673" i="72"/>
  <c r="AA673" i="72"/>
  <c r="T673" i="72"/>
  <c r="AG610" i="72"/>
  <c r="AD634" i="72"/>
  <c r="AE654" i="72"/>
  <c r="AA633" i="72"/>
  <c r="Y633" i="72"/>
  <c r="T633" i="72"/>
  <c r="AG669" i="72"/>
  <c r="U669" i="72"/>
  <c r="T626" i="72"/>
  <c r="Z626" i="72"/>
  <c r="AB619" i="72"/>
  <c r="AE619" i="72"/>
  <c r="V632" i="72"/>
  <c r="AB612" i="72"/>
  <c r="AC612" i="72"/>
  <c r="AG625" i="72"/>
  <c r="AA665" i="72"/>
  <c r="Z665" i="72"/>
  <c r="AD665" i="72"/>
  <c r="T641" i="72"/>
  <c r="W611" i="72"/>
  <c r="AA667" i="72"/>
  <c r="AF643" i="72"/>
  <c r="W643" i="72"/>
  <c r="AE664" i="72"/>
  <c r="AA606" i="72"/>
  <c r="AG628" i="72"/>
  <c r="X646" i="72"/>
  <c r="U646" i="72"/>
  <c r="AB637" i="72"/>
  <c r="Z652" i="72"/>
  <c r="AA668" i="72"/>
  <c r="AF682" i="72"/>
  <c r="Y682" i="72"/>
  <c r="AD689" i="72"/>
  <c r="Y689" i="72"/>
  <c r="X678" i="72"/>
  <c r="AG678" i="72"/>
  <c r="AA678" i="72"/>
  <c r="AD627" i="72"/>
  <c r="U648" i="72"/>
  <c r="X686" i="72"/>
  <c r="AE655" i="72"/>
  <c r="Y686" i="72"/>
  <c r="AC721" i="72"/>
  <c r="U729" i="72"/>
  <c r="T697" i="72"/>
  <c r="AA698" i="72"/>
  <c r="AG391" i="72"/>
  <c r="S547" i="72"/>
  <c r="V547" i="72"/>
  <c r="AA576" i="72"/>
  <c r="AD549" i="72"/>
  <c r="Y596" i="72"/>
  <c r="U549" i="72"/>
  <c r="V595" i="72"/>
  <c r="AF615" i="72"/>
  <c r="AE598" i="72"/>
  <c r="AC607" i="72"/>
  <c r="S619" i="72"/>
  <c r="AD641" i="72"/>
  <c r="S630" i="72"/>
  <c r="AC682" i="72"/>
  <c r="AF668" i="72"/>
  <c r="AB693" i="72"/>
  <c r="AE729" i="72"/>
  <c r="T687" i="72"/>
  <c r="W707" i="72"/>
  <c r="T726" i="72"/>
  <c r="T715" i="72"/>
  <c r="Z721" i="72"/>
  <c r="AD723" i="72"/>
  <c r="Y732" i="72"/>
  <c r="V687" i="72"/>
  <c r="U693" i="72"/>
  <c r="Y693" i="72"/>
  <c r="U701" i="72"/>
  <c r="V716" i="72"/>
  <c r="AB680" i="72"/>
  <c r="W702" i="72"/>
  <c r="T627" i="72"/>
  <c r="T647" i="72"/>
  <c r="V649" i="72"/>
  <c r="AE671" i="72"/>
  <c r="X687" i="72"/>
  <c r="AF694" i="72"/>
  <c r="Y709" i="72"/>
  <c r="AB726" i="72"/>
  <c r="AD684" i="72"/>
  <c r="Y703" i="72"/>
  <c r="T739" i="72"/>
  <c r="AE726" i="72"/>
  <c r="Z726" i="72"/>
  <c r="AF741" i="72"/>
  <c r="V741" i="72"/>
  <c r="X700" i="72"/>
  <c r="Y701" i="72"/>
  <c r="Z725" i="72"/>
  <c r="W744" i="72"/>
  <c r="AG744" i="72"/>
  <c r="V680" i="72"/>
  <c r="AD702" i="72"/>
  <c r="S702" i="72"/>
  <c r="U723" i="72"/>
  <c r="AE703" i="72"/>
  <c r="Y663" i="72"/>
  <c r="U675" i="72"/>
  <c r="AB679" i="72"/>
  <c r="Z685" i="72"/>
  <c r="Y698" i="72"/>
  <c r="AF718" i="72"/>
  <c r="V718" i="72"/>
  <c r="U730" i="72"/>
  <c r="V757" i="72"/>
  <c r="Y766" i="72"/>
  <c r="S751" i="72"/>
  <c r="Z772" i="72"/>
  <c r="AD772" i="72"/>
  <c r="AC773" i="72"/>
  <c r="V785" i="72"/>
  <c r="AF794" i="72"/>
  <c r="T760" i="72"/>
  <c r="Z764" i="72"/>
  <c r="T660" i="72"/>
  <c r="AB705" i="72"/>
  <c r="AC735" i="72"/>
  <c r="AA745" i="72"/>
  <c r="AA754" i="72"/>
  <c r="S756" i="72"/>
  <c r="X738" i="72"/>
  <c r="W751" i="72"/>
  <c r="U724" i="72"/>
  <c r="V737" i="72"/>
  <c r="AC761" i="72"/>
  <c r="Z762" i="72"/>
  <c r="AC785" i="72"/>
  <c r="AF740" i="72"/>
  <c r="X740" i="72"/>
  <c r="AG745" i="72"/>
  <c r="AA750" i="72"/>
  <c r="AD754" i="72"/>
  <c r="Z754" i="72"/>
  <c r="X788" i="72"/>
  <c r="X712" i="72"/>
  <c r="AG762" i="72"/>
  <c r="Y784" i="72"/>
  <c r="W738" i="72"/>
  <c r="T776" i="72"/>
  <c r="U776" i="72"/>
  <c r="V776" i="72"/>
  <c r="AG791" i="72"/>
  <c r="AE746" i="72"/>
  <c r="AF788" i="72"/>
  <c r="AG775" i="72"/>
  <c r="AC764" i="72"/>
  <c r="AE787" i="72"/>
  <c r="U787" i="72"/>
  <c r="AD795" i="72"/>
  <c r="S795" i="72"/>
  <c r="X717" i="72"/>
  <c r="Z736" i="72"/>
  <c r="Z743" i="72"/>
  <c r="AD764" i="72"/>
  <c r="X811" i="72"/>
  <c r="AA814" i="72"/>
  <c r="U814" i="72"/>
  <c r="AB824" i="72"/>
  <c r="U834" i="72"/>
  <c r="AG838" i="72"/>
  <c r="W838" i="72"/>
  <c r="U841" i="72"/>
  <c r="W769" i="72"/>
  <c r="S779" i="72"/>
  <c r="AA808" i="72"/>
  <c r="W808" i="72"/>
  <c r="AB817" i="72"/>
  <c r="V837" i="72"/>
  <c r="Z845" i="72"/>
  <c r="AC845" i="72"/>
  <c r="AE755" i="72"/>
  <c r="T782" i="72"/>
  <c r="AG819" i="72"/>
  <c r="AA848" i="72"/>
  <c r="Z820" i="72"/>
  <c r="Y820" i="72"/>
  <c r="U842" i="72"/>
  <c r="Y842" i="72"/>
  <c r="V843" i="72"/>
  <c r="AA804" i="72"/>
  <c r="Y841" i="72"/>
  <c r="S831" i="72"/>
  <c r="X770" i="72"/>
  <c r="X813" i="72"/>
  <c r="T829" i="72"/>
  <c r="AB813" i="72"/>
  <c r="Y801" i="72"/>
  <c r="AF813" i="72"/>
  <c r="AE813" i="72"/>
  <c r="AC832" i="72"/>
  <c r="AB844" i="72"/>
  <c r="Z866" i="72"/>
  <c r="AE796" i="72"/>
  <c r="AC810" i="72"/>
  <c r="S822" i="72"/>
  <c r="AA865" i="72"/>
  <c r="V827" i="72"/>
  <c r="AD836" i="72"/>
  <c r="V867" i="72"/>
  <c r="AD852" i="72"/>
  <c r="X854" i="72"/>
  <c r="T844" i="72"/>
  <c r="Y406" i="72"/>
  <c r="X508" i="72"/>
  <c r="AD538" i="72"/>
  <c r="AB591" i="72"/>
  <c r="AD528" i="72"/>
  <c r="U556" i="72"/>
  <c r="Y563" i="72"/>
  <c r="AC558" i="72"/>
  <c r="AB571" i="72"/>
  <c r="AA582" i="72"/>
  <c r="W598" i="72"/>
  <c r="AF622" i="72"/>
  <c r="Y666" i="72"/>
  <c r="Z659" i="72"/>
  <c r="W632" i="72"/>
  <c r="X673" i="72"/>
  <c r="AA632" i="72"/>
  <c r="V665" i="72"/>
  <c r="AB641" i="72"/>
  <c r="S678" i="72"/>
  <c r="W697" i="72"/>
  <c r="AD620" i="72"/>
  <c r="Y631" i="72"/>
  <c r="AA653" i="72"/>
  <c r="V681" i="72"/>
  <c r="S708" i="72"/>
  <c r="AG721" i="72"/>
  <c r="AB723" i="72"/>
  <c r="S732" i="72"/>
  <c r="W679" i="72"/>
  <c r="U691" i="72"/>
  <c r="U702" i="72"/>
  <c r="AF686" i="72"/>
  <c r="W687" i="72"/>
  <c r="U703" i="72"/>
  <c r="U631" i="72"/>
  <c r="AD657" i="72"/>
  <c r="AC680" i="72"/>
  <c r="AD714" i="72"/>
  <c r="T662" i="72"/>
  <c r="AE707" i="72"/>
  <c r="S739" i="72"/>
  <c r="AA741" i="72"/>
  <c r="V726" i="72"/>
  <c r="W708" i="72"/>
  <c r="Y708" i="72"/>
  <c r="W715" i="72"/>
  <c r="Y715" i="72"/>
  <c r="U741" i="72"/>
  <c r="W700" i="72"/>
  <c r="Z701" i="72"/>
  <c r="X707" i="72"/>
  <c r="AF709" i="72"/>
  <c r="AD709" i="72"/>
  <c r="AB716" i="72"/>
  <c r="AG716" i="72"/>
  <c r="U725" i="72"/>
  <c r="T744" i="72"/>
  <c r="AA744" i="72"/>
  <c r="V744" i="72"/>
  <c r="AB687" i="72"/>
  <c r="V703" i="72"/>
  <c r="AE730" i="72"/>
  <c r="AG676" i="72"/>
  <c r="S728" i="72"/>
  <c r="Y750" i="72"/>
  <c r="S767" i="72"/>
  <c r="AA699" i="72"/>
  <c r="AA712" i="72"/>
  <c r="V731" i="72"/>
  <c r="T738" i="72"/>
  <c r="V773" i="72"/>
  <c r="Y794" i="72"/>
  <c r="AB797" i="72"/>
  <c r="AG797" i="72"/>
  <c r="W762" i="72"/>
  <c r="T717" i="72"/>
  <c r="U746" i="72"/>
  <c r="AF756" i="72"/>
  <c r="Y767" i="72"/>
  <c r="AC753" i="72"/>
  <c r="T753" i="72"/>
  <c r="Z767" i="72"/>
  <c r="T731" i="72"/>
  <c r="U763" i="72"/>
  <c r="AE766" i="72"/>
  <c r="AA757" i="72"/>
  <c r="AA762" i="72"/>
  <c r="V788" i="72"/>
  <c r="T735" i="72"/>
  <c r="U791" i="72"/>
  <c r="Z788" i="72"/>
  <c r="AE784" i="72"/>
  <c r="V784" i="72"/>
  <c r="AA751" i="72"/>
  <c r="AB751" i="72"/>
  <c r="W767" i="72"/>
  <c r="AG776" i="72"/>
  <c r="X791" i="72"/>
  <c r="AB760" i="72"/>
  <c r="AB775" i="72"/>
  <c r="AB768" i="72"/>
  <c r="X768" i="72"/>
  <c r="AA795" i="72"/>
  <c r="AB734" i="72"/>
  <c r="W747" i="72"/>
  <c r="Z747" i="72"/>
  <c r="U752" i="72"/>
  <c r="AB753" i="72"/>
  <c r="AF763" i="72"/>
  <c r="AD748" i="72"/>
  <c r="U777" i="72"/>
  <c r="T814" i="72"/>
  <c r="AG824" i="72"/>
  <c r="X831" i="72"/>
  <c r="S834" i="72"/>
  <c r="AB848" i="72"/>
  <c r="AG779" i="72"/>
  <c r="AB816" i="72"/>
  <c r="AF817" i="72"/>
  <c r="Y831" i="72"/>
  <c r="T837" i="72"/>
  <c r="W841" i="72"/>
  <c r="AA845" i="72"/>
  <c r="AB770" i="72"/>
  <c r="AG818" i="72"/>
  <c r="T818" i="72"/>
  <c r="AB819" i="72"/>
  <c r="AA821" i="72"/>
  <c r="Y848" i="72"/>
  <c r="AD848" i="72"/>
  <c r="V820" i="72"/>
  <c r="X801" i="72"/>
  <c r="AE809" i="72"/>
  <c r="AC843" i="72"/>
  <c r="V813" i="72"/>
  <c r="V841" i="72"/>
  <c r="X841" i="72"/>
  <c r="AB831" i="72"/>
  <c r="AF792" i="72"/>
  <c r="AD829" i="72"/>
  <c r="AE828" i="72"/>
  <c r="AB804" i="72"/>
  <c r="X771" i="72"/>
  <c r="AA835" i="72"/>
  <c r="AG780" i="72"/>
  <c r="U793" i="72"/>
  <c r="AD827" i="72"/>
  <c r="AE867" i="72"/>
  <c r="AF822" i="72"/>
  <c r="AC844" i="72"/>
  <c r="T851" i="72"/>
  <c r="AF869" i="72"/>
  <c r="W869" i="72"/>
  <c r="AE836" i="72"/>
  <c r="V866" i="72"/>
  <c r="AD866" i="72"/>
  <c r="X867" i="72"/>
  <c r="U867" i="72"/>
  <c r="AE865" i="72"/>
  <c r="Z883" i="72"/>
  <c r="W427" i="72"/>
  <c r="S399" i="72"/>
  <c r="X539" i="72"/>
  <c r="V538" i="72"/>
  <c r="AD502" i="72"/>
  <c r="AF516" i="72"/>
  <c r="AA533" i="72"/>
  <c r="V502" i="72"/>
  <c r="AE591" i="72"/>
  <c r="V580" i="72"/>
  <c r="AG582" i="72"/>
  <c r="AF639" i="72"/>
  <c r="X622" i="72"/>
  <c r="U577" i="72"/>
  <c r="AG659" i="72"/>
  <c r="W619" i="72"/>
  <c r="T654" i="72"/>
  <c r="V651" i="72"/>
  <c r="AC637" i="72"/>
  <c r="Y650" i="72"/>
  <c r="AB678" i="72"/>
  <c r="AA732" i="72"/>
  <c r="S680" i="72"/>
  <c r="Z698" i="72"/>
  <c r="W680" i="72"/>
  <c r="S709" i="72"/>
  <c r="X721" i="72"/>
  <c r="Z723" i="72"/>
  <c r="AD732" i="72"/>
  <c r="X732" i="72"/>
  <c r="AF693" i="72"/>
  <c r="W693" i="72"/>
  <c r="AB707" i="72"/>
  <c r="AA725" i="72"/>
  <c r="W614" i="72"/>
  <c r="AA649" i="72"/>
  <c r="AC671" i="72"/>
  <c r="AD694" i="72"/>
  <c r="AC700" i="72"/>
  <c r="AC715" i="72"/>
  <c r="AB684" i="72"/>
  <c r="AD708" i="72"/>
  <c r="AE739" i="72"/>
  <c r="AD739" i="72"/>
  <c r="AD726" i="72"/>
  <c r="AE741" i="72"/>
  <c r="AC741" i="72"/>
  <c r="T741" i="72"/>
  <c r="U700" i="72"/>
  <c r="AB714" i="72"/>
  <c r="Y725" i="72"/>
  <c r="AE744" i="72"/>
  <c r="U680" i="72"/>
  <c r="Y702" i="72"/>
  <c r="AG702" i="72"/>
  <c r="Z703" i="72"/>
  <c r="W663" i="72"/>
  <c r="S675" i="72"/>
  <c r="AE685" i="72"/>
  <c r="W686" i="72"/>
  <c r="AB718" i="72"/>
  <c r="Y721" i="72"/>
  <c r="AA730" i="72"/>
  <c r="AE658" i="72"/>
  <c r="X704" i="72"/>
  <c r="AF720" i="72"/>
  <c r="Y737" i="72"/>
  <c r="AF760" i="72"/>
  <c r="W740" i="72"/>
  <c r="V767" i="72"/>
  <c r="Y772" i="72"/>
  <c r="AA772" i="72"/>
  <c r="AA773" i="72"/>
  <c r="T773" i="72"/>
  <c r="AB794" i="72"/>
  <c r="AC760" i="72"/>
  <c r="X764" i="72"/>
  <c r="W764" i="72"/>
  <c r="T676" i="72"/>
  <c r="T710" i="72"/>
  <c r="AD757" i="72"/>
  <c r="AC740" i="72"/>
  <c r="S753" i="72"/>
  <c r="AF737" i="72"/>
  <c r="AA761" i="72"/>
  <c r="Y751" i="72"/>
  <c r="AE785" i="72"/>
  <c r="Y740" i="72"/>
  <c r="U745" i="72"/>
  <c r="AF745" i="72"/>
  <c r="X750" i="72"/>
  <c r="W754" i="72"/>
  <c r="Y754" i="72"/>
  <c r="AD767" i="72"/>
  <c r="S712" i="72"/>
  <c r="U760" i="72"/>
  <c r="T795" i="72"/>
  <c r="AD762" i="72"/>
  <c r="S738" i="72"/>
  <c r="Z760" i="72"/>
  <c r="AF776" i="72"/>
  <c r="Z791" i="72"/>
  <c r="AD791" i="72"/>
  <c r="Y746" i="72"/>
  <c r="AA760" i="72"/>
  <c r="Y788" i="72"/>
  <c r="AF775" i="72"/>
  <c r="AC787" i="72"/>
  <c r="AG787" i="72"/>
  <c r="W795" i="72"/>
  <c r="V710" i="72"/>
  <c r="T736" i="72"/>
  <c r="X743" i="72"/>
  <c r="T754" i="72"/>
  <c r="AE802" i="72"/>
  <c r="AD811" i="72"/>
  <c r="U811" i="72"/>
  <c r="Z814" i="72"/>
  <c r="AA824" i="72"/>
  <c r="AC834" i="72"/>
  <c r="Z838" i="72"/>
  <c r="V838" i="72"/>
  <c r="V769" i="72"/>
  <c r="T808" i="72"/>
  <c r="V808" i="72"/>
  <c r="Z817" i="72"/>
  <c r="X845" i="72"/>
  <c r="W845" i="72"/>
  <c r="U845" i="72"/>
  <c r="X755" i="72"/>
  <c r="S782" i="72"/>
  <c r="AF819" i="72"/>
  <c r="T848" i="72"/>
  <c r="X848" i="72"/>
  <c r="U820" i="72"/>
  <c r="T820" i="72"/>
  <c r="Z804" i="72"/>
  <c r="AD842" i="72"/>
  <c r="X842" i="72"/>
  <c r="AE843" i="72"/>
  <c r="AB828" i="72"/>
  <c r="S841" i="72"/>
  <c r="W770" i="72"/>
  <c r="X829" i="72"/>
  <c r="AC828" i="72"/>
  <c r="T801" i="72"/>
  <c r="W801" i="72"/>
  <c r="Y813" i="72"/>
  <c r="V831" i="72"/>
  <c r="U786" i="72"/>
  <c r="Z807" i="72"/>
  <c r="AA832" i="72"/>
  <c r="Z832" i="72"/>
  <c r="X796" i="72"/>
  <c r="V810" i="72"/>
  <c r="U869" i="72"/>
  <c r="AE827" i="72"/>
  <c r="AC836" i="72"/>
  <c r="AD865" i="72"/>
  <c r="S867" i="72"/>
  <c r="Z852" i="72"/>
  <c r="W844" i="72"/>
  <c r="AB415" i="72"/>
  <c r="AD470" i="72"/>
  <c r="AG525" i="72"/>
  <c r="Z497" i="72"/>
  <c r="AB541" i="72"/>
  <c r="Y506" i="72"/>
  <c r="AA496" i="72"/>
  <c r="AE498" i="72"/>
  <c r="Z560" i="72"/>
  <c r="S533" i="72"/>
  <c r="AD536" i="72"/>
  <c r="T591" i="72"/>
  <c r="AB564" i="72"/>
  <c r="Y558" i="72"/>
  <c r="AB575" i="72"/>
  <c r="AF602" i="72"/>
  <c r="Y576" i="72"/>
  <c r="T601" i="72"/>
  <c r="W605" i="72"/>
  <c r="Y579" i="72"/>
  <c r="U589" i="72"/>
  <c r="AF612" i="72"/>
  <c r="AA611" i="72"/>
  <c r="V628" i="72"/>
  <c r="AB652" i="72"/>
  <c r="AE689" i="72"/>
  <c r="Z693" i="72"/>
  <c r="S614" i="72"/>
  <c r="W729" i="72"/>
  <c r="U698" i="72"/>
  <c r="Y620" i="72"/>
  <c r="T631" i="72"/>
  <c r="Z653" i="72"/>
  <c r="AA681" i="72"/>
  <c r="W714" i="72"/>
  <c r="AB721" i="72"/>
  <c r="AA723" i="72"/>
  <c r="U679" i="72"/>
  <c r="S691" i="72"/>
  <c r="Z707" i="72"/>
  <c r="W725" i="72"/>
  <c r="AD686" i="72"/>
  <c r="Z708" i="72"/>
  <c r="X726" i="72"/>
  <c r="Z616" i="72"/>
  <c r="W638" i="72"/>
  <c r="T655" i="72"/>
  <c r="T683" i="72"/>
  <c r="V694" i="72"/>
  <c r="W701" i="72"/>
  <c r="Y716" i="72"/>
  <c r="S662" i="72"/>
  <c r="Z709" i="72"/>
  <c r="AG726" i="72"/>
  <c r="AG708" i="72"/>
  <c r="X708" i="72"/>
  <c r="AG715" i="72"/>
  <c r="X715" i="72"/>
  <c r="S700" i="72"/>
  <c r="T700" i="72"/>
  <c r="AF701" i="72"/>
  <c r="S707" i="72"/>
  <c r="V707" i="72"/>
  <c r="AB709" i="72"/>
  <c r="AC709" i="72"/>
  <c r="W716" i="72"/>
  <c r="AE716" i="72"/>
  <c r="AF725" i="72"/>
  <c r="AC744" i="72"/>
  <c r="Z744" i="72"/>
  <c r="AG687" i="72"/>
  <c r="AA697" i="72"/>
  <c r="T703" i="72"/>
  <c r="W721" i="72"/>
  <c r="AG675" i="72"/>
  <c r="AD718" i="72"/>
  <c r="W723" i="72"/>
  <c r="AC730" i="72"/>
  <c r="Z761" i="72"/>
  <c r="V699" i="72"/>
  <c r="T724" i="72"/>
  <c r="AE753" i="72"/>
  <c r="AC794" i="72"/>
  <c r="W794" i="72"/>
  <c r="Z794" i="72"/>
  <c r="W797" i="72"/>
  <c r="AD797" i="72"/>
  <c r="V738" i="72"/>
  <c r="Y756" i="72"/>
  <c r="V753" i="72"/>
  <c r="AC754" i="72"/>
  <c r="T699" i="72"/>
  <c r="V717" i="72"/>
  <c r="U734" i="72"/>
  <c r="Z746" i="72"/>
  <c r="Z766" i="72"/>
  <c r="AD766" i="72"/>
  <c r="T784" i="72"/>
  <c r="AG757" i="72"/>
  <c r="X757" i="72"/>
  <c r="T768" i="72"/>
  <c r="AF785" i="72"/>
  <c r="AC733" i="72"/>
  <c r="U735" i="72"/>
  <c r="V768" i="72"/>
  <c r="AF704" i="72"/>
  <c r="V762" i="72"/>
  <c r="Z784" i="72"/>
  <c r="AG784" i="72"/>
  <c r="T751" i="72"/>
  <c r="Z751" i="72"/>
  <c r="AG738" i="72"/>
  <c r="U767" i="72"/>
  <c r="AA776" i="72"/>
  <c r="W791" i="72"/>
  <c r="AD788" i="72"/>
  <c r="U788" i="72"/>
  <c r="AA764" i="72"/>
  <c r="AD775" i="72"/>
  <c r="U768" i="72"/>
  <c r="W768" i="72"/>
  <c r="Y733" i="72"/>
  <c r="X735" i="72"/>
  <c r="AF747" i="72"/>
  <c r="Y747" i="72"/>
  <c r="S752" i="72"/>
  <c r="U757" i="72"/>
  <c r="V763" i="72"/>
  <c r="AD755" i="72"/>
  <c r="AG777" i="72"/>
  <c r="V792" i="72"/>
  <c r="T811" i="72"/>
  <c r="AB818" i="72"/>
  <c r="AE824" i="72"/>
  <c r="AB834" i="72"/>
  <c r="AF779" i="72"/>
  <c r="W816" i="72"/>
  <c r="AD817" i="72"/>
  <c r="AF837" i="72"/>
  <c r="T845" i="72"/>
  <c r="Y792" i="72"/>
  <c r="AE818" i="72"/>
  <c r="AF821" i="72"/>
  <c r="X821" i="72"/>
  <c r="S828" i="72"/>
  <c r="Y804" i="72"/>
  <c r="T828" i="72"/>
  <c r="AC809" i="72"/>
  <c r="U843" i="72"/>
  <c r="T841" i="72"/>
  <c r="AC804" i="72"/>
  <c r="W831" i="72"/>
  <c r="AD792" i="72"/>
  <c r="AC829" i="72"/>
  <c r="AA828" i="72"/>
  <c r="Z828" i="72"/>
  <c r="X804" i="72"/>
  <c r="AE771" i="72"/>
  <c r="U792" i="72"/>
  <c r="AD835" i="72"/>
  <c r="Y835" i="72"/>
  <c r="AB852" i="72"/>
  <c r="AF778" i="72"/>
  <c r="AD822" i="72"/>
  <c r="AD851" i="72"/>
  <c r="AB869" i="72"/>
  <c r="AD869" i="72"/>
  <c r="T869" i="72"/>
  <c r="X836" i="72"/>
  <c r="AC866" i="72"/>
  <c r="X866" i="72"/>
  <c r="AB866" i="72"/>
  <c r="W867" i="72"/>
  <c r="X850" i="72"/>
  <c r="AE469" i="72"/>
  <c r="AB406" i="72"/>
  <c r="AE502" i="72"/>
  <c r="AB560" i="72"/>
  <c r="V536" i="72"/>
  <c r="W600" i="72"/>
  <c r="AC582" i="72"/>
  <c r="AB556" i="72"/>
  <c r="AA651" i="72"/>
  <c r="AB603" i="72"/>
  <c r="V610" i="72"/>
  <c r="AB633" i="72"/>
  <c r="AC667" i="72"/>
  <c r="Z689" i="72"/>
  <c r="AE620" i="72"/>
  <c r="AD698" i="72"/>
  <c r="Y683" i="72"/>
  <c r="AE732" i="72"/>
  <c r="S715" i="72"/>
  <c r="V721" i="72"/>
  <c r="AC732" i="72"/>
  <c r="U732" i="72"/>
  <c r="AG691" i="72"/>
  <c r="AD693" i="72"/>
  <c r="V693" i="72"/>
  <c r="V708" i="72"/>
  <c r="W726" i="72"/>
  <c r="X709" i="72"/>
  <c r="Y647" i="72"/>
  <c r="Y649" i="72"/>
  <c r="S657" i="72"/>
  <c r="Z663" i="72"/>
  <c r="AB671" i="72"/>
  <c r="AB694" i="72"/>
  <c r="X702" i="72"/>
  <c r="S741" i="72"/>
  <c r="Z684" i="72"/>
  <c r="AE714" i="72"/>
  <c r="X739" i="72"/>
  <c r="AA739" i="72"/>
  <c r="AC726" i="72"/>
  <c r="S698" i="72"/>
  <c r="AD741" i="72"/>
  <c r="Y741" i="72"/>
  <c r="AD700" i="72"/>
  <c r="AC701" i="72"/>
  <c r="AD707" i="72"/>
  <c r="X714" i="72"/>
  <c r="X725" i="72"/>
  <c r="Z680" i="72"/>
  <c r="X697" i="72"/>
  <c r="AE702" i="72"/>
  <c r="AF702" i="72"/>
  <c r="W698" i="72"/>
  <c r="AC697" i="72"/>
  <c r="S703" i="72"/>
  <c r="V723" i="72"/>
  <c r="U663" i="72"/>
  <c r="AC685" i="72"/>
  <c r="Z718" i="72"/>
  <c r="AG660" i="72"/>
  <c r="AE690" i="72"/>
  <c r="AA720" i="72"/>
  <c r="Z733" i="72"/>
  <c r="V740" i="72"/>
  <c r="T762" i="72"/>
  <c r="AA733" i="72"/>
  <c r="Y745" i="72"/>
  <c r="V754" i="72"/>
  <c r="AF772" i="72"/>
  <c r="W772" i="72"/>
  <c r="X772" i="72"/>
  <c r="Z773" i="72"/>
  <c r="X794" i="72"/>
  <c r="X760" i="72"/>
  <c r="AG764" i="72"/>
  <c r="V764" i="72"/>
  <c r="AC712" i="72"/>
  <c r="AD750" i="72"/>
  <c r="AB745" i="72"/>
  <c r="AE719" i="72"/>
  <c r="AA737" i="72"/>
  <c r="U761" i="72"/>
  <c r="Y761" i="72"/>
  <c r="T775" i="72"/>
  <c r="Y785" i="72"/>
  <c r="AG735" i="72"/>
  <c r="AD740" i="72"/>
  <c r="AD745" i="72"/>
  <c r="AB746" i="72"/>
  <c r="V750" i="72"/>
  <c r="AE754" i="72"/>
  <c r="V775" i="72"/>
  <c r="AC746" i="72"/>
  <c r="AC762" i="72"/>
  <c r="U764" i="72"/>
  <c r="AD776" i="72"/>
  <c r="S791" i="72"/>
  <c r="AC791" i="72"/>
  <c r="W746" i="72"/>
  <c r="Y764" i="72"/>
  <c r="S788" i="72"/>
  <c r="S775" i="72"/>
  <c r="Y787" i="72"/>
  <c r="AB787" i="72"/>
  <c r="AC795" i="72"/>
  <c r="AG710" i="72"/>
  <c r="Z734" i="72"/>
  <c r="AB736" i="72"/>
  <c r="U740" i="72"/>
  <c r="V743" i="72"/>
  <c r="AB802" i="72"/>
  <c r="W811" i="72"/>
  <c r="AD814" i="72"/>
  <c r="Z819" i="72"/>
  <c r="W824" i="72"/>
  <c r="V834" i="72"/>
  <c r="AD838" i="72"/>
  <c r="AA838" i="72"/>
  <c r="AC769" i="72"/>
  <c r="Y770" i="72"/>
  <c r="AD808" i="72"/>
  <c r="S816" i="72"/>
  <c r="Y817" i="72"/>
  <c r="AE837" i="72"/>
  <c r="AG845" i="72"/>
  <c r="V845" i="72"/>
  <c r="X748" i="72"/>
  <c r="S759" i="72"/>
  <c r="Z782" i="72"/>
  <c r="S801" i="72"/>
  <c r="W819" i="72"/>
  <c r="W829" i="72"/>
  <c r="Z848" i="72"/>
  <c r="S813" i="72"/>
  <c r="S820" i="72"/>
  <c r="AE831" i="72"/>
  <c r="AB809" i="72"/>
  <c r="AF842" i="72"/>
  <c r="AB842" i="72"/>
  <c r="S843" i="72"/>
  <c r="AG841" i="72"/>
  <c r="W813" i="72"/>
  <c r="AD770" i="72"/>
  <c r="AA792" i="72"/>
  <c r="AG829" i="72"/>
  <c r="Z813" i="72"/>
  <c r="V828" i="72"/>
  <c r="AC801" i="72"/>
  <c r="V801" i="72"/>
  <c r="U813" i="72"/>
  <c r="AD786" i="72"/>
  <c r="S807" i="72"/>
  <c r="T832" i="72"/>
  <c r="Y832" i="72"/>
  <c r="X789" i="72"/>
  <c r="V803" i="72"/>
  <c r="AG822" i="72"/>
  <c r="AC852" i="72"/>
  <c r="AC414" i="72"/>
  <c r="AC543" i="72"/>
  <c r="AE516" i="72"/>
  <c r="AF560" i="72"/>
  <c r="AA535" i="72"/>
  <c r="T558" i="72"/>
  <c r="Y571" i="72"/>
  <c r="T596" i="72"/>
  <c r="Z546" i="72"/>
  <c r="V573" i="72"/>
  <c r="AG651" i="72"/>
  <c r="V634" i="72"/>
  <c r="T583" i="72"/>
  <c r="AB644" i="72"/>
  <c r="AD632" i="72"/>
  <c r="AA626" i="72"/>
  <c r="S625" i="72"/>
  <c r="AC593" i="72"/>
  <c r="U643" i="72"/>
  <c r="U668" i="72"/>
  <c r="X648" i="72"/>
  <c r="Y729" i="72"/>
  <c r="AC662" i="72"/>
  <c r="Y707" i="72"/>
  <c r="AD721" i="72"/>
  <c r="U721" i="72"/>
  <c r="Z732" i="72"/>
  <c r="AF691" i="72"/>
  <c r="AA693" i="72"/>
  <c r="AA714" i="72"/>
  <c r="AA700" i="72"/>
  <c r="Z715" i="72"/>
  <c r="S609" i="72"/>
  <c r="W647" i="72"/>
  <c r="W649" i="72"/>
  <c r="AG671" i="72"/>
  <c r="X675" i="72"/>
  <c r="AA694" i="72"/>
  <c r="AC707" i="72"/>
  <c r="Y684" i="72"/>
  <c r="AE700" i="72"/>
  <c r="Z716" i="72"/>
  <c r="Y739" i="72"/>
  <c r="Z739" i="72"/>
  <c r="AA726" i="72"/>
  <c r="X741" i="72"/>
  <c r="T698" i="72"/>
  <c r="Z700" i="72"/>
  <c r="X701" i="72"/>
  <c r="V714" i="72"/>
  <c r="AC725" i="72"/>
  <c r="V725" i="72"/>
  <c r="Y744" i="72"/>
  <c r="X680" i="72"/>
  <c r="V702" i="72"/>
  <c r="AF703" i="72"/>
  <c r="T723" i="72"/>
  <c r="T663" i="72"/>
  <c r="AA685" i="72"/>
  <c r="X693" i="72"/>
  <c r="W718" i="72"/>
  <c r="Z730" i="72"/>
  <c r="Z712" i="72"/>
  <c r="X745" i="72"/>
  <c r="U754" i="72"/>
  <c r="Y704" i="72"/>
  <c r="AB772" i="72"/>
  <c r="AG772" i="72"/>
  <c r="AG773" i="72"/>
  <c r="T794" i="72"/>
  <c r="T797" i="72"/>
  <c r="Z797" i="72"/>
  <c r="V760" i="72"/>
  <c r="AB764" i="72"/>
  <c r="AG705" i="72"/>
  <c r="AA785" i="72"/>
  <c r="Z719" i="72"/>
  <c r="AC737" i="72"/>
  <c r="X751" i="72"/>
  <c r="AD761" i="72"/>
  <c r="X761" i="72"/>
  <c r="S768" i="72"/>
  <c r="T785" i="72"/>
  <c r="U785" i="72"/>
  <c r="Z740" i="72"/>
  <c r="S745" i="72"/>
  <c r="U750" i="72"/>
  <c r="AB754" i="72"/>
  <c r="AC784" i="72"/>
  <c r="Y768" i="72"/>
  <c r="S784" i="72"/>
  <c r="AD738" i="72"/>
  <c r="AE768" i="72"/>
  <c r="AC776" i="72"/>
  <c r="V746" i="72"/>
  <c r="T746" i="72"/>
  <c r="W788" i="72"/>
  <c r="AD760" i="72"/>
  <c r="V787" i="72"/>
  <c r="W787" i="72"/>
  <c r="T787" i="72"/>
  <c r="X795" i="72"/>
  <c r="AC717" i="72"/>
  <c r="S734" i="72"/>
  <c r="U736" i="72"/>
  <c r="AB743" i="72"/>
  <c r="U743" i="72"/>
  <c r="S762" i="72"/>
  <c r="AA802" i="72"/>
  <c r="AB811" i="72"/>
  <c r="W814" i="72"/>
  <c r="AC821" i="72"/>
  <c r="U824" i="72"/>
  <c r="Z834" i="72"/>
  <c r="Y838" i="72"/>
  <c r="Y769" i="72"/>
  <c r="W779" i="72"/>
  <c r="Y808" i="72"/>
  <c r="AC820" i="72"/>
  <c r="AA837" i="72"/>
  <c r="AD845" i="72"/>
  <c r="AF845" i="72"/>
  <c r="AG748" i="72"/>
  <c r="V782" i="72"/>
  <c r="V848" i="72"/>
  <c r="X820" i="72"/>
  <c r="AD820" i="72"/>
  <c r="U809" i="72"/>
  <c r="U828" i="72"/>
  <c r="AA842" i="72"/>
  <c r="AB841" i="72"/>
  <c r="Z831" i="72"/>
  <c r="T831" i="72"/>
  <c r="Z770" i="72"/>
  <c r="T792" i="72"/>
  <c r="S829" i="72"/>
  <c r="T804" i="72"/>
  <c r="AD801" i="72"/>
  <c r="AG813" i="72"/>
  <c r="AB800" i="72"/>
  <c r="AG832" i="72"/>
  <c r="AG789" i="72"/>
  <c r="AE803" i="72"/>
  <c r="Z822" i="72"/>
  <c r="U827" i="72"/>
  <c r="AG836" i="72"/>
  <c r="AB867" i="72"/>
  <c r="X852" i="72"/>
  <c r="V852" i="72"/>
  <c r="Y844" i="72"/>
  <c r="S858" i="72"/>
  <c r="AE440" i="72"/>
  <c r="AG400" i="72"/>
  <c r="AE523" i="72"/>
  <c r="Z535" i="72"/>
  <c r="AC527" i="72"/>
  <c r="AE508" i="72"/>
  <c r="S535" i="72"/>
  <c r="AB552" i="72"/>
  <c r="X566" i="72"/>
  <c r="Z594" i="72"/>
  <c r="AF596" i="72"/>
  <c r="U601" i="72"/>
  <c r="W580" i="72"/>
  <c r="AB598" i="72"/>
  <c r="AB607" i="72"/>
  <c r="AB621" i="72"/>
  <c r="V585" i="72"/>
  <c r="AE634" i="72"/>
  <c r="AG619" i="72"/>
  <c r="T625" i="72"/>
  <c r="AC622" i="72"/>
  <c r="Y643" i="72"/>
  <c r="AG682" i="72"/>
  <c r="AB655" i="72"/>
  <c r="T729" i="72"/>
  <c r="AB698" i="72"/>
  <c r="AF627" i="72"/>
  <c r="AC653" i="72"/>
  <c r="W681" i="72"/>
  <c r="U708" i="72"/>
  <c r="S723" i="72"/>
  <c r="AE723" i="72"/>
  <c r="W732" i="72"/>
  <c r="Y679" i="72"/>
  <c r="AA680" i="72"/>
  <c r="Y700" i="72"/>
  <c r="U715" i="72"/>
  <c r="AA686" i="72"/>
  <c r="V701" i="72"/>
  <c r="X716" i="72"/>
  <c r="AD609" i="72"/>
  <c r="T620" i="72"/>
  <c r="AE657" i="72"/>
  <c r="AB708" i="72"/>
  <c r="AB725" i="72"/>
  <c r="V662" i="72"/>
  <c r="AD680" i="72"/>
  <c r="AB701" i="72"/>
  <c r="U739" i="72"/>
  <c r="AF739" i="72"/>
  <c r="AE708" i="72"/>
  <c r="AA708" i="72"/>
  <c r="V715" i="72"/>
  <c r="AB715" i="72"/>
  <c r="Z741" i="72"/>
  <c r="W741" i="72"/>
  <c r="AB700" i="72"/>
  <c r="AA701" i="72"/>
  <c r="AA707" i="72"/>
  <c r="U709" i="72"/>
  <c r="AG709" i="72"/>
  <c r="U714" i="72"/>
  <c r="S714" i="72"/>
  <c r="T716" i="72"/>
  <c r="T725" i="72"/>
  <c r="AD744" i="72"/>
  <c r="X744" i="72"/>
  <c r="AC687" i="72"/>
  <c r="S721" i="72"/>
  <c r="X703" i="72"/>
  <c r="AD697" i="72"/>
  <c r="U718" i="72"/>
  <c r="AF730" i="72"/>
  <c r="V732" i="72"/>
  <c r="AE674" i="72"/>
  <c r="S696" i="72"/>
  <c r="X728" i="72"/>
  <c r="Y735" i="72"/>
  <c r="AE764" i="72"/>
  <c r="AA731" i="72"/>
  <c r="Z735" i="72"/>
  <c r="AB750" i="72"/>
  <c r="U762" i="72"/>
  <c r="Y773" i="72"/>
  <c r="AD794" i="72"/>
  <c r="Y797" i="72"/>
  <c r="X797" i="72"/>
  <c r="U751" i="72"/>
  <c r="S760" i="72"/>
  <c r="T713" i="72"/>
  <c r="U756" i="72"/>
  <c r="Z785" i="72"/>
  <c r="AD735" i="72"/>
  <c r="AE750" i="72"/>
  <c r="W753" i="72"/>
  <c r="Y762" i="72"/>
  <c r="W710" i="72"/>
  <c r="Y738" i="72"/>
  <c r="T752" i="72"/>
  <c r="AG766" i="72"/>
  <c r="AC757" i="72"/>
  <c r="AB785" i="72"/>
  <c r="S785" i="72"/>
  <c r="AA735" i="72"/>
  <c r="AA738" i="72"/>
  <c r="S750" i="72"/>
  <c r="AC751" i="72"/>
  <c r="AB762" i="72"/>
  <c r="W775" i="72"/>
  <c r="AB784" i="72"/>
  <c r="W784" i="72"/>
  <c r="AA784" i="72"/>
  <c r="AD751" i="72"/>
  <c r="T767" i="72"/>
  <c r="Z775" i="72"/>
  <c r="W776" i="72"/>
  <c r="AA791" i="72"/>
  <c r="S746" i="72"/>
  <c r="AA788" i="72"/>
  <c r="AC775" i="72"/>
  <c r="Z768" i="72"/>
  <c r="S787" i="72"/>
  <c r="AB795" i="72"/>
  <c r="U795" i="72"/>
  <c r="AG734" i="72"/>
  <c r="W745" i="72"/>
  <c r="AB747" i="72"/>
  <c r="AB752" i="72"/>
  <c r="AF752" i="72"/>
  <c r="W763" i="72"/>
  <c r="V770" i="72"/>
  <c r="AD777" i="72"/>
  <c r="AD802" i="72"/>
  <c r="AC814" i="72"/>
  <c r="S824" i="72"/>
  <c r="T824" i="72"/>
  <c r="AC816" i="72"/>
  <c r="T817" i="72"/>
  <c r="X837" i="72"/>
  <c r="W837" i="72"/>
  <c r="U818" i="72"/>
  <c r="Y818" i="72"/>
  <c r="AC819" i="72"/>
  <c r="AE821" i="72"/>
  <c r="V821" i="72"/>
  <c r="AD841" i="72"/>
  <c r="S848" i="72"/>
  <c r="AE848" i="72"/>
  <c r="T813" i="72"/>
  <c r="AD843" i="72"/>
  <c r="Z841" i="72"/>
  <c r="AA831" i="72"/>
  <c r="AF829" i="72"/>
  <c r="V829" i="72"/>
  <c r="AF828" i="72"/>
  <c r="X828" i="72"/>
  <c r="AF804" i="72"/>
  <c r="AC813" i="72"/>
  <c r="Y771" i="72"/>
  <c r="AA820" i="72"/>
  <c r="AF835" i="72"/>
  <c r="T835" i="72"/>
  <c r="AE778" i="72"/>
  <c r="AB793" i="72"/>
  <c r="Y865" i="72"/>
  <c r="Y851" i="72"/>
  <c r="Y869" i="72"/>
  <c r="X869" i="72"/>
  <c r="S827" i="72"/>
  <c r="W854" i="72"/>
  <c r="W866" i="72"/>
  <c r="AF866" i="72"/>
  <c r="Z867" i="72"/>
  <c r="AD883" i="72"/>
  <c r="AA508" i="72"/>
  <c r="T528" i="72"/>
  <c r="AB605" i="72"/>
  <c r="AA684" i="72"/>
  <c r="AB686" i="72"/>
  <c r="U670" i="72"/>
  <c r="Y726" i="72"/>
  <c r="Z714" i="72"/>
  <c r="Z691" i="72"/>
  <c r="X696" i="72"/>
  <c r="X762" i="72"/>
  <c r="AB767" i="72"/>
  <c r="AA704" i="72"/>
  <c r="AF751" i="72"/>
  <c r="AB791" i="72"/>
  <c r="T763" i="72"/>
  <c r="Y837" i="72"/>
  <c r="AD818" i="72"/>
  <c r="AE820" i="72"/>
  <c r="T842" i="72"/>
  <c r="AA869" i="72"/>
  <c r="U850" i="72"/>
  <c r="Y854" i="72"/>
  <c r="AC883" i="72"/>
  <c r="U883" i="72"/>
  <c r="V796" i="72"/>
  <c r="AB825" i="72"/>
  <c r="AA849" i="72"/>
  <c r="AF853" i="72"/>
  <c r="AD853" i="72"/>
  <c r="AD850" i="72"/>
  <c r="V863" i="72"/>
  <c r="AB879" i="72"/>
  <c r="AC856" i="72"/>
  <c r="AE881" i="72"/>
  <c r="U826" i="72"/>
  <c r="S840" i="72"/>
  <c r="AD872" i="72"/>
  <c r="AD874" i="72"/>
  <c r="X889" i="72"/>
  <c r="AF876" i="72"/>
  <c r="S872" i="72"/>
  <c r="AD892" i="72"/>
  <c r="AA864" i="72"/>
  <c r="Y884" i="72"/>
  <c r="X892" i="72"/>
  <c r="AC882" i="72"/>
  <c r="AD889" i="72"/>
  <c r="AC873" i="72"/>
  <c r="AF885" i="72"/>
  <c r="Y885" i="72"/>
  <c r="T890" i="72"/>
  <c r="T884" i="72"/>
  <c r="AG861" i="72"/>
  <c r="AC914" i="72"/>
  <c r="T899" i="72"/>
  <c r="V908" i="72"/>
  <c r="X917" i="72"/>
  <c r="T893" i="72"/>
  <c r="Y898" i="72"/>
  <c r="V906" i="72"/>
  <c r="AB909" i="72"/>
  <c r="AE916" i="72"/>
  <c r="AE921" i="72"/>
  <c r="X921" i="72"/>
  <c r="AF886" i="72"/>
  <c r="AE898" i="72"/>
  <c r="AA911" i="72"/>
  <c r="AB917" i="72"/>
  <c r="AG917" i="72"/>
  <c r="T908" i="72"/>
  <c r="AA925" i="72"/>
  <c r="U900" i="72"/>
  <c r="X901" i="72"/>
  <c r="AC898" i="72"/>
  <c r="V925" i="72"/>
  <c r="Z905" i="72"/>
  <c r="AF910" i="72"/>
  <c r="X910" i="72"/>
  <c r="AA932" i="72"/>
  <c r="U932" i="72"/>
  <c r="AC915" i="72"/>
  <c r="Y927" i="72"/>
  <c r="U939" i="72"/>
  <c r="AC943" i="72"/>
  <c r="AD952" i="72"/>
  <c r="V953" i="72"/>
  <c r="AC953" i="72"/>
  <c r="Z957" i="72"/>
  <c r="U922" i="72"/>
  <c r="AA928" i="72"/>
  <c r="W923" i="72"/>
  <c r="AD930" i="72"/>
  <c r="W939" i="72"/>
  <c r="W943" i="72"/>
  <c r="AD927" i="72"/>
  <c r="Y938" i="72"/>
  <c r="U951" i="72"/>
  <c r="V955" i="72"/>
  <c r="AB944" i="72"/>
  <c r="AE944" i="72"/>
  <c r="AA951" i="72"/>
  <c r="AF941" i="72"/>
  <c r="W955" i="72"/>
  <c r="AF922" i="72"/>
  <c r="Y931" i="72"/>
  <c r="AF937" i="72"/>
  <c r="S951" i="72"/>
  <c r="AA956" i="72"/>
  <c r="T965" i="72"/>
  <c r="X969" i="72"/>
  <c r="AC974" i="72"/>
  <c r="AG978" i="72"/>
  <c r="W992" i="72"/>
  <c r="AC992" i="72"/>
  <c r="AC998" i="72"/>
  <c r="S998" i="72"/>
  <c r="AG961" i="72"/>
  <c r="X968" i="72"/>
  <c r="AC973" i="72"/>
  <c r="AG977" i="72"/>
  <c r="Y988" i="72"/>
  <c r="AE958" i="72"/>
  <c r="Y968" i="72"/>
  <c r="AD973" i="72"/>
  <c r="U980" i="72"/>
  <c r="AA985" i="72"/>
  <c r="S976" i="72"/>
  <c r="X980" i="72"/>
  <c r="U991" i="72"/>
  <c r="AF995" i="72"/>
  <c r="U975" i="72"/>
  <c r="AC983" i="72"/>
  <c r="AA996" i="72"/>
  <c r="AG996" i="72"/>
  <c r="AF969" i="72"/>
  <c r="U1008" i="72"/>
  <c r="AC981" i="72"/>
  <c r="T987" i="72"/>
  <c r="U998" i="72"/>
  <c r="AC1002" i="72"/>
  <c r="T1002" i="72"/>
  <c r="W987" i="72"/>
  <c r="S967" i="72"/>
  <c r="Y991" i="72"/>
  <c r="AA1011" i="72"/>
  <c r="X1024" i="72"/>
  <c r="T1036" i="72"/>
  <c r="V1005" i="72"/>
  <c r="AA1010" i="72"/>
  <c r="AE1014" i="72"/>
  <c r="U1020" i="72"/>
  <c r="Y1024" i="72"/>
  <c r="AC1028" i="72"/>
  <c r="T1035" i="72"/>
  <c r="AF1030" i="72"/>
  <c r="W1020" i="72"/>
  <c r="S1031" i="72"/>
  <c r="Z989" i="72"/>
  <c r="X1019" i="72"/>
  <c r="W1034" i="72"/>
  <c r="AE1056" i="72"/>
  <c r="AA1088" i="72"/>
  <c r="W1088" i="72"/>
  <c r="S1088" i="72"/>
  <c r="S1028" i="72"/>
  <c r="AA1072" i="72"/>
  <c r="W1072" i="72"/>
  <c r="S1072" i="72"/>
  <c r="AG1009" i="72"/>
  <c r="AF1024" i="72"/>
  <c r="X1038" i="72"/>
  <c r="T1038" i="72"/>
  <c r="AE1020" i="72"/>
  <c r="AD1037" i="72"/>
  <c r="W1011" i="72"/>
  <c r="T1024" i="72"/>
  <c r="X1028" i="72"/>
  <c r="AE1035" i="72"/>
  <c r="AD1040" i="72"/>
  <c r="AE1018" i="72"/>
  <c r="AG1036" i="72"/>
  <c r="AA1071" i="72"/>
  <c r="AA1070" i="72"/>
  <c r="X1083" i="72"/>
  <c r="AB1087" i="72"/>
  <c r="U1047" i="72"/>
  <c r="AA1052" i="72"/>
  <c r="AF1057" i="72"/>
  <c r="AA1068" i="72"/>
  <c r="Z1083" i="72"/>
  <c r="AD1087" i="72"/>
  <c r="X1048" i="72"/>
  <c r="AC1053" i="72"/>
  <c r="Y1065" i="72"/>
  <c r="AA1083" i="72"/>
  <c r="AE1087" i="72"/>
  <c r="W1046" i="72"/>
  <c r="AB1051" i="72"/>
  <c r="S1058" i="72"/>
  <c r="U1076" i="72"/>
  <c r="AA1082" i="72"/>
  <c r="AA1098" i="72"/>
  <c r="AE1102" i="72"/>
  <c r="AF1053" i="72"/>
  <c r="S1104" i="72"/>
  <c r="S1086" i="72"/>
  <c r="AD1048" i="72"/>
  <c r="T1054" i="72"/>
  <c r="AA1061" i="72"/>
  <c r="T1070" i="72"/>
  <c r="S1101" i="72"/>
  <c r="V1039" i="72"/>
  <c r="T1101" i="72"/>
  <c r="W1039" i="72"/>
  <c r="U1053" i="72"/>
  <c r="Z1058" i="72"/>
  <c r="AE1063" i="72"/>
  <c r="V1070" i="72"/>
  <c r="AB1076" i="72"/>
  <c r="V1086" i="72"/>
  <c r="AC1060" i="72"/>
  <c r="U1068" i="72"/>
  <c r="AA1074" i="72"/>
  <c r="W1086" i="72"/>
  <c r="T1099" i="72"/>
  <c r="X1103" i="72"/>
  <c r="W1053" i="72"/>
  <c r="AE1061" i="72"/>
  <c r="X1070" i="72"/>
  <c r="AD1076" i="72"/>
  <c r="W1085" i="72"/>
  <c r="S1097" i="72"/>
  <c r="W1101" i="72"/>
  <c r="AE653" i="72"/>
  <c r="AD831" i="72"/>
  <c r="AF844" i="72"/>
  <c r="X865" i="72"/>
  <c r="AD857" i="72"/>
  <c r="AG870" i="72"/>
  <c r="Z907" i="72"/>
  <c r="W889" i="72"/>
  <c r="AC884" i="72"/>
  <c r="Z881" i="72"/>
  <c r="W917" i="72"/>
  <c r="AC899" i="72"/>
  <c r="X905" i="72"/>
  <c r="AE933" i="72"/>
  <c r="AC925" i="72"/>
  <c r="AG918" i="72"/>
  <c r="V949" i="72"/>
  <c r="AC941" i="72"/>
  <c r="Z937" i="72"/>
  <c r="V960" i="72"/>
  <c r="U982" i="72"/>
  <c r="V982" i="72"/>
  <c r="AA995" i="72"/>
  <c r="AC967" i="72"/>
  <c r="S993" i="72"/>
  <c r="T1004" i="72"/>
  <c r="Z1024" i="72"/>
  <c r="AE1027" i="72"/>
  <c r="AA1022" i="72"/>
  <c r="V1056" i="72"/>
  <c r="AE1088" i="72"/>
  <c r="AE1072" i="72"/>
  <c r="X1015" i="72"/>
  <c r="V1027" i="72"/>
  <c r="AF1020" i="72"/>
  <c r="W1040" i="72"/>
  <c r="X1027" i="72"/>
  <c r="Y1085" i="72"/>
  <c r="AB1055" i="72"/>
  <c r="T1095" i="72"/>
  <c r="T1062" i="72"/>
  <c r="T1045" i="72"/>
  <c r="AE1054" i="72"/>
  <c r="AG1051" i="72"/>
  <c r="AD1047" i="72"/>
  <c r="AF1081" i="72"/>
  <c r="AA1058" i="72"/>
  <c r="AA1090" i="72"/>
  <c r="S505" i="72"/>
  <c r="Y723" i="72"/>
  <c r="S701" i="72"/>
  <c r="T732" i="72"/>
  <c r="S697" i="72"/>
  <c r="X698" i="72"/>
  <c r="AE724" i="72"/>
  <c r="T788" i="72"/>
  <c r="Z795" i="72"/>
  <c r="AC768" i="72"/>
  <c r="AB820" i="72"/>
  <c r="V819" i="72"/>
  <c r="AG843" i="72"/>
  <c r="AC792" i="72"/>
  <c r="AE852" i="72"/>
  <c r="T883" i="72"/>
  <c r="AF883" i="72"/>
  <c r="U865" i="72"/>
  <c r="AG798" i="72"/>
  <c r="AG805" i="72"/>
  <c r="AG854" i="72"/>
  <c r="AB854" i="72"/>
  <c r="V850" i="72"/>
  <c r="T857" i="72"/>
  <c r="AG857" i="72"/>
  <c r="U858" i="72"/>
  <c r="W858" i="72"/>
  <c r="AE826" i="72"/>
  <c r="S860" i="72"/>
  <c r="Y872" i="72"/>
  <c r="AA870" i="72"/>
  <c r="AB874" i="72"/>
  <c r="T882" i="72"/>
  <c r="W907" i="72"/>
  <c r="AD907" i="72"/>
  <c r="AB840" i="72"/>
  <c r="AA868" i="72"/>
  <c r="U873" i="72"/>
  <c r="X882" i="72"/>
  <c r="AF872" i="72"/>
  <c r="V881" i="72"/>
  <c r="AA892" i="72"/>
  <c r="AE872" i="72"/>
  <c r="V879" i="72"/>
  <c r="T870" i="72"/>
  <c r="AF892" i="72"/>
  <c r="U889" i="72"/>
  <c r="V872" i="72"/>
  <c r="U880" i="72"/>
  <c r="T896" i="72"/>
  <c r="Y914" i="72"/>
  <c r="V926" i="72"/>
  <c r="AF926" i="72"/>
  <c r="Z926" i="72"/>
  <c r="AF859" i="72"/>
  <c r="T895" i="72"/>
  <c r="AE899" i="72"/>
  <c r="V905" i="72"/>
  <c r="W921" i="72"/>
  <c r="Z916" i="72"/>
  <c r="AC900" i="72"/>
  <c r="AC933" i="72"/>
  <c r="W933" i="72"/>
  <c r="AG933" i="72"/>
  <c r="AF898" i="72"/>
  <c r="W909" i="72"/>
  <c r="AB898" i="72"/>
  <c r="AE925" i="72"/>
  <c r="Y925" i="72"/>
  <c r="AG912" i="72"/>
  <c r="T916" i="72"/>
  <c r="V901" i="72"/>
  <c r="AD932" i="72"/>
  <c r="AF934" i="72"/>
  <c r="Z953" i="72"/>
  <c r="AD957" i="72"/>
  <c r="AG902" i="72"/>
  <c r="AB929" i="72"/>
  <c r="T937" i="72"/>
  <c r="X941" i="72"/>
  <c r="AF943" i="72"/>
  <c r="AC949" i="72"/>
  <c r="T949" i="72"/>
  <c r="AA941" i="72"/>
  <c r="U955" i="72"/>
  <c r="AG964" i="72"/>
  <c r="AB964" i="72"/>
  <c r="W964" i="72"/>
  <c r="T931" i="72"/>
  <c r="U960" i="72"/>
  <c r="AA937" i="72"/>
  <c r="AC955" i="72"/>
  <c r="AA955" i="72"/>
  <c r="AD948" i="72"/>
  <c r="AA960" i="72"/>
  <c r="AG960" i="72"/>
  <c r="AE951" i="72"/>
  <c r="V951" i="72"/>
  <c r="U948" i="72"/>
  <c r="AA959" i="72"/>
  <c r="S959" i="72"/>
  <c r="AF945" i="72"/>
  <c r="S980" i="72"/>
  <c r="W984" i="72"/>
  <c r="AF998" i="72"/>
  <c r="V950" i="72"/>
  <c r="X984" i="72"/>
  <c r="AG993" i="72"/>
  <c r="Y995" i="72"/>
  <c r="W999" i="72"/>
  <c r="Z985" i="72"/>
  <c r="AA968" i="72"/>
  <c r="AE971" i="72"/>
  <c r="U976" i="72"/>
  <c r="Z995" i="72"/>
  <c r="T958" i="72"/>
  <c r="AE969" i="72"/>
  <c r="AE1008" i="72"/>
  <c r="Y1008" i="72"/>
  <c r="T956" i="72"/>
  <c r="T972" i="72"/>
  <c r="X976" i="72"/>
  <c r="S999" i="72"/>
  <c r="AE1004" i="72"/>
  <c r="V1004" i="72"/>
  <c r="U971" i="72"/>
  <c r="AD980" i="72"/>
  <c r="T969" i="72"/>
  <c r="AA976" i="72"/>
  <c r="Y973" i="72"/>
  <c r="AF980" i="72"/>
  <c r="X987" i="72"/>
  <c r="Y999" i="72"/>
  <c r="V985" i="72"/>
  <c r="V991" i="72"/>
  <c r="AD1029" i="72"/>
  <c r="AE997" i="72"/>
  <c r="Y1007" i="72"/>
  <c r="AD1012" i="72"/>
  <c r="T1018" i="72"/>
  <c r="X1022" i="72"/>
  <c r="AB1026" i="72"/>
  <c r="V1036" i="72"/>
  <c r="AF1012" i="72"/>
  <c r="AB1024" i="72"/>
  <c r="AB1007" i="72"/>
  <c r="AG1012" i="72"/>
  <c r="AC1024" i="72"/>
  <c r="AG1028" i="72"/>
  <c r="X1056" i="72"/>
  <c r="T1056" i="72"/>
  <c r="AG1088" i="72"/>
  <c r="AC1088" i="72"/>
  <c r="V1015" i="72"/>
  <c r="AG1072" i="72"/>
  <c r="AC1072" i="72"/>
  <c r="S1011" i="72"/>
  <c r="Z1018" i="72"/>
  <c r="W1031" i="72"/>
  <c r="AG1024" i="72"/>
  <c r="AE1038" i="72"/>
  <c r="Y1031" i="72"/>
  <c r="W1012" i="72"/>
  <c r="S1024" i="72"/>
  <c r="Y1030" i="72"/>
  <c r="AC1037" i="72"/>
  <c r="AE1003" i="72"/>
  <c r="AD1018" i="72"/>
  <c r="Y1040" i="72"/>
  <c r="S1040" i="72"/>
  <c r="T1007" i="72"/>
  <c r="Y1012" i="72"/>
  <c r="V1025" i="72"/>
  <c r="AA1030" i="72"/>
  <c r="Y1053" i="72"/>
  <c r="AC1073" i="72"/>
  <c r="AG1077" i="72"/>
  <c r="AA1087" i="72"/>
  <c r="T1096" i="72"/>
  <c r="X1100" i="72"/>
  <c r="AB1104" i="72"/>
  <c r="T1047" i="72"/>
  <c r="Z1053" i="72"/>
  <c r="AE1058" i="72"/>
  <c r="AD1089" i="72"/>
  <c r="V1097" i="72"/>
  <c r="Z1101" i="72"/>
  <c r="AC1039" i="72"/>
  <c r="AA1053" i="72"/>
  <c r="AF1058" i="72"/>
  <c r="AA1069" i="72"/>
  <c r="AG1075" i="72"/>
  <c r="AB1086" i="72"/>
  <c r="V1096" i="72"/>
  <c r="Z1100" i="72"/>
  <c r="AD1104" i="72"/>
  <c r="V1047" i="72"/>
  <c r="AF1089" i="72"/>
  <c r="X1097" i="72"/>
  <c r="AB1101" i="72"/>
  <c r="AE1039" i="72"/>
  <c r="AB1068" i="72"/>
  <c r="W1095" i="72"/>
  <c r="AA1099" i="72"/>
  <c r="AE1103" i="72"/>
  <c r="AC1052" i="72"/>
  <c r="V1061" i="72"/>
  <c r="AE1070" i="72"/>
  <c r="AB1083" i="72"/>
  <c r="AF1087" i="72"/>
  <c r="U1039" i="72"/>
  <c r="AB1045" i="72"/>
  <c r="AF1049" i="72"/>
  <c r="X1057" i="72"/>
  <c r="AC1062" i="72"/>
  <c r="T1069" i="72"/>
  <c r="Z1075" i="72"/>
  <c r="AD1079" i="72"/>
  <c r="T1085" i="72"/>
  <c r="AA1059" i="72"/>
  <c r="V1102" i="72"/>
  <c r="AE1046" i="72"/>
  <c r="X1055" i="72"/>
  <c r="AF1079" i="72"/>
  <c r="W703" i="72"/>
  <c r="AG730" i="72"/>
  <c r="AB740" i="72"/>
  <c r="AE795" i="72"/>
  <c r="Y828" i="72"/>
  <c r="S856" i="72"/>
  <c r="U907" i="72"/>
  <c r="S876" i="72"/>
  <c r="V898" i="72"/>
  <c r="AD926" i="72"/>
  <c r="AC901" i="72"/>
  <c r="S952" i="72"/>
  <c r="S942" i="72"/>
  <c r="S941" i="72"/>
  <c r="X951" i="72"/>
  <c r="W959" i="72"/>
  <c r="AA993" i="72"/>
  <c r="AD985" i="72"/>
  <c r="AG1008" i="72"/>
  <c r="V974" i="72"/>
  <c r="AD991" i="72"/>
  <c r="AA975" i="72"/>
  <c r="T995" i="72"/>
  <c r="AD997" i="72"/>
  <c r="AF1014" i="72"/>
  <c r="X1003" i="72"/>
  <c r="AE1024" i="72"/>
  <c r="V1014" i="72"/>
  <c r="AC1034" i="72"/>
  <c r="AA1040" i="72"/>
  <c r="Z1102" i="72"/>
  <c r="AC1071" i="72"/>
  <c r="X1049" i="72"/>
  <c r="Z1099" i="72"/>
  <c r="Y1097" i="72"/>
  <c r="AC1068" i="72"/>
  <c r="X1058" i="72"/>
  <c r="AA1060" i="72"/>
  <c r="Y508" i="72"/>
  <c r="U612" i="72"/>
  <c r="AA646" i="72"/>
  <c r="Y697" i="72"/>
  <c r="S716" i="72"/>
  <c r="T679" i="72"/>
  <c r="AC714" i="72"/>
  <c r="V685" i="72"/>
  <c r="T708" i="72"/>
  <c r="AC716" i="72"/>
  <c r="V698" i="72"/>
  <c r="AB703" i="72"/>
  <c r="Y718" i="72"/>
  <c r="V794" i="72"/>
  <c r="AB704" i="72"/>
  <c r="AE733" i="72"/>
  <c r="V736" i="72"/>
  <c r="Z757" i="72"/>
  <c r="AF738" i="72"/>
  <c r="S743" i="72"/>
  <c r="AE759" i="72"/>
  <c r="W792" i="72"/>
  <c r="AE819" i="72"/>
  <c r="AE841" i="72"/>
  <c r="S800" i="72"/>
  <c r="AC822" i="72"/>
  <c r="Y866" i="72"/>
  <c r="X883" i="72"/>
  <c r="AB883" i="72"/>
  <c r="S883" i="72"/>
  <c r="T825" i="72"/>
  <c r="Z825" i="72"/>
  <c r="AB849" i="72"/>
  <c r="Y849" i="72"/>
  <c r="Z853" i="72"/>
  <c r="AC853" i="72"/>
  <c r="S852" i="72"/>
  <c r="U852" i="72"/>
  <c r="AG860" i="72"/>
  <c r="T863" i="72"/>
  <c r="Y907" i="72"/>
  <c r="AB856" i="72"/>
  <c r="V884" i="72"/>
  <c r="AD826" i="72"/>
  <c r="U874" i="72"/>
  <c r="W864" i="72"/>
  <c r="X884" i="72"/>
  <c r="W892" i="72"/>
  <c r="Y882" i="72"/>
  <c r="AC889" i="72"/>
  <c r="T873" i="72"/>
  <c r="X874" i="72"/>
  <c r="AE885" i="72"/>
  <c r="AG890" i="72"/>
  <c r="S884" i="72"/>
  <c r="AB888" i="72"/>
  <c r="AB914" i="72"/>
  <c r="AC908" i="72"/>
  <c r="Z909" i="72"/>
  <c r="V895" i="72"/>
  <c r="U906" i="72"/>
  <c r="AD916" i="72"/>
  <c r="AB921" i="72"/>
  <c r="U921" i="72"/>
  <c r="Y895" i="72"/>
  <c r="U901" i="72"/>
  <c r="Z911" i="72"/>
  <c r="AA917" i="72"/>
  <c r="AF917" i="72"/>
  <c r="U899" i="72"/>
  <c r="V910" i="72"/>
  <c r="AA895" i="72"/>
  <c r="AF900" i="72"/>
  <c r="AD905" i="72"/>
  <c r="U925" i="72"/>
  <c r="U905" i="72"/>
  <c r="AF895" i="72"/>
  <c r="AE910" i="72"/>
  <c r="W916" i="72"/>
  <c r="Z932" i="72"/>
  <c r="T932" i="72"/>
  <c r="T922" i="72"/>
  <c r="Z928" i="72"/>
  <c r="V940" i="72"/>
  <c r="Y952" i="72"/>
  <c r="U953" i="72"/>
  <c r="Y957" i="72"/>
  <c r="V923" i="72"/>
  <c r="X924" i="72"/>
  <c r="AE931" i="72"/>
  <c r="X940" i="72"/>
  <c r="AE928" i="72"/>
  <c r="AA940" i="72"/>
  <c r="T915" i="72"/>
  <c r="AC924" i="72"/>
  <c r="AC940" i="72"/>
  <c r="X944" i="72"/>
  <c r="W948" i="72"/>
  <c r="AB938" i="72"/>
  <c r="AG942" i="72"/>
  <c r="S955" i="72"/>
  <c r="U927" i="72"/>
  <c r="AE937" i="72"/>
  <c r="V927" i="72"/>
  <c r="U941" i="72"/>
  <c r="AF959" i="72"/>
  <c r="AG946" i="72"/>
  <c r="AC958" i="72"/>
  <c r="U966" i="72"/>
  <c r="Z971" i="72"/>
  <c r="AD975" i="72"/>
  <c r="U992" i="72"/>
  <c r="Z992" i="72"/>
  <c r="AA998" i="72"/>
  <c r="Z954" i="72"/>
  <c r="U965" i="72"/>
  <c r="Y969" i="72"/>
  <c r="AD974" i="72"/>
  <c r="T980" i="72"/>
  <c r="V996" i="72"/>
  <c r="V965" i="72"/>
  <c r="Z969" i="72"/>
  <c r="AE974" i="72"/>
  <c r="V981" i="72"/>
  <c r="W980" i="72"/>
  <c r="AA983" i="72"/>
  <c r="W1004" i="72"/>
  <c r="AC995" i="72"/>
  <c r="V976" i="72"/>
  <c r="AD984" i="72"/>
  <c r="Y996" i="72"/>
  <c r="AD996" i="72"/>
  <c r="W976" i="72"/>
  <c r="T1008" i="72"/>
  <c r="AE967" i="72"/>
  <c r="X988" i="72"/>
  <c r="AG1002" i="72"/>
  <c r="Z1002" i="72"/>
  <c r="S1002" i="72"/>
  <c r="S985" i="72"/>
  <c r="AE991" i="72"/>
  <c r="T968" i="72"/>
  <c r="X991" i="72"/>
  <c r="AB1012" i="72"/>
  <c r="Y1025" i="72"/>
  <c r="W1006" i="72"/>
  <c r="AB1011" i="72"/>
  <c r="AF1015" i="72"/>
  <c r="V1021" i="72"/>
  <c r="Z1025" i="72"/>
  <c r="U1036" i="72"/>
  <c r="S1001" i="72"/>
  <c r="AG1031" i="72"/>
  <c r="AE1028" i="72"/>
  <c r="S1015" i="72"/>
  <c r="V1034" i="72"/>
  <c r="AE994" i="72"/>
  <c r="S1014" i="72"/>
  <c r="Y1020" i="72"/>
  <c r="S1030" i="72"/>
  <c r="X1035" i="72"/>
  <c r="Z1020" i="72"/>
  <c r="AD1056" i="72"/>
  <c r="Z1088" i="72"/>
  <c r="V1088" i="72"/>
  <c r="V1031" i="72"/>
  <c r="Z1072" i="72"/>
  <c r="V1072" i="72"/>
  <c r="AA1019" i="72"/>
  <c r="AG1025" i="72"/>
  <c r="W1038" i="72"/>
  <c r="V1012" i="72"/>
  <c r="Y1014" i="72"/>
  <c r="S1007" i="72"/>
  <c r="X1012" i="72"/>
  <c r="U1025" i="72"/>
  <c r="Z1030" i="72"/>
  <c r="AF1036" i="72"/>
  <c r="AG1040" i="72"/>
  <c r="AC1040" i="72"/>
  <c r="X1068" i="72"/>
  <c r="AC1089" i="72"/>
  <c r="S1062" i="72"/>
  <c r="AB1071" i="72"/>
  <c r="Y1084" i="72"/>
  <c r="AE1041" i="72"/>
  <c r="V1048" i="72"/>
  <c r="AG1059" i="72"/>
  <c r="S1077" i="72"/>
  <c r="AB1053" i="72"/>
  <c r="AG1058" i="72"/>
  <c r="AB1069" i="72"/>
  <c r="AA1084" i="72"/>
  <c r="U1045" i="72"/>
  <c r="Y1049" i="72"/>
  <c r="AD1054" i="72"/>
  <c r="AB1084" i="72"/>
  <c r="X1047" i="72"/>
  <c r="V1077" i="72"/>
  <c r="S1090" i="72"/>
  <c r="AB1099" i="72"/>
  <c r="AF1103" i="72"/>
  <c r="AG1054" i="72"/>
  <c r="AG1053" i="72"/>
  <c r="T1087" i="72"/>
  <c r="AA1045" i="72"/>
  <c r="AE1049" i="72"/>
  <c r="U1055" i="72"/>
  <c r="AB1062" i="72"/>
  <c r="U1071" i="72"/>
  <c r="T1102" i="72"/>
  <c r="U1102" i="72"/>
  <c r="AD1046" i="72"/>
  <c r="V1054" i="72"/>
  <c r="AB1060" i="72"/>
  <c r="AF1064" i="72"/>
  <c r="W1071" i="72"/>
  <c r="AC1077" i="72"/>
  <c r="W1087" i="72"/>
  <c r="AD1061" i="72"/>
  <c r="V1069" i="72"/>
  <c r="AB1075" i="72"/>
  <c r="T1083" i="72"/>
  <c r="X1087" i="72"/>
  <c r="U1100" i="72"/>
  <c r="Y1104" i="72"/>
  <c r="X1054" i="72"/>
  <c r="AF1062" i="72"/>
  <c r="Y1071" i="72"/>
  <c r="AE1077" i="72"/>
  <c r="X1086" i="72"/>
  <c r="T1098" i="72"/>
  <c r="X1102" i="72"/>
  <c r="AE757" i="72"/>
  <c r="W834" i="72"/>
  <c r="AA809" i="72"/>
  <c r="Z865" i="72"/>
  <c r="AA854" i="72"/>
  <c r="AE858" i="72"/>
  <c r="AC879" i="72"/>
  <c r="AB872" i="72"/>
  <c r="AD884" i="72"/>
  <c r="S889" i="72"/>
  <c r="AG877" i="72"/>
  <c r="S914" i="72"/>
  <c r="AA886" i="72"/>
  <c r="AA896" i="72"/>
  <c r="W925" i="72"/>
  <c r="AF901" i="72"/>
  <c r="AF932" i="72"/>
  <c r="AB957" i="72"/>
  <c r="Y964" i="72"/>
  <c r="U942" i="72"/>
  <c r="AB948" i="72"/>
  <c r="AA987" i="72"/>
  <c r="V993" i="72"/>
  <c r="AB968" i="72"/>
  <c r="W995" i="72"/>
  <c r="AB1008" i="72"/>
  <c r="AG1004" i="72"/>
  <c r="AF991" i="72"/>
  <c r="W1005" i="72"/>
  <c r="T1034" i="72"/>
  <c r="AE1010" i="72"/>
  <c r="T1028" i="72"/>
  <c r="AD1020" i="72"/>
  <c r="W994" i="72"/>
  <c r="V1098" i="72"/>
  <c r="U1062" i="72"/>
  <c r="AA1051" i="72"/>
  <c r="AF1039" i="72"/>
  <c r="AD1085" i="72"/>
  <c r="T1103" i="72"/>
  <c r="V1087" i="72"/>
  <c r="AF1046" i="72"/>
  <c r="AC544" i="72"/>
  <c r="AF551" i="72"/>
  <c r="V644" i="72"/>
  <c r="V668" i="72"/>
  <c r="AG694" i="72"/>
  <c r="AE715" i="72"/>
  <c r="AC708" i="72"/>
  <c r="AD716" i="72"/>
  <c r="U794" i="72"/>
  <c r="Y713" i="72"/>
  <c r="X746" i="72"/>
  <c r="Z737" i="72"/>
  <c r="W757" i="72"/>
  <c r="Z750" i="72"/>
  <c r="AA767" i="72"/>
  <c r="AE777" i="72"/>
  <c r="AD824" i="72"/>
  <c r="Y821" i="72"/>
  <c r="T771" i="72"/>
  <c r="AC841" i="72"/>
  <c r="AA829" i="72"/>
  <c r="W851" i="72"/>
  <c r="Z827" i="72"/>
  <c r="W852" i="72"/>
  <c r="AB865" i="72"/>
  <c r="AG865" i="72"/>
  <c r="Z798" i="72"/>
  <c r="Y853" i="72"/>
  <c r="AC854" i="72"/>
  <c r="V854" i="72"/>
  <c r="S850" i="72"/>
  <c r="AF857" i="72"/>
  <c r="Z857" i="72"/>
  <c r="AG858" i="72"/>
  <c r="AE833" i="72"/>
  <c r="AD881" i="72"/>
  <c r="Z870" i="72"/>
  <c r="AB876" i="72"/>
  <c r="V907" i="72"/>
  <c r="AG907" i="72"/>
  <c r="AC907" i="72"/>
  <c r="Z847" i="72"/>
  <c r="Y868" i="72"/>
  <c r="Z884" i="72"/>
  <c r="U881" i="72"/>
  <c r="W876" i="72"/>
  <c r="AA882" i="72"/>
  <c r="AC872" i="72"/>
  <c r="T879" i="72"/>
  <c r="T826" i="72"/>
  <c r="AE884" i="72"/>
  <c r="T889" i="72"/>
  <c r="X876" i="72"/>
  <c r="T880" i="72"/>
  <c r="W890" i="72"/>
  <c r="AE875" i="72"/>
  <c r="U897" i="72"/>
  <c r="X914" i="72"/>
  <c r="U926" i="72"/>
  <c r="AE926" i="72"/>
  <c r="Y926" i="72"/>
  <c r="AF875" i="72"/>
  <c r="U896" i="72"/>
  <c r="AD899" i="72"/>
  <c r="Z900" i="72"/>
  <c r="T912" i="72"/>
  <c r="U916" i="72"/>
  <c r="AB933" i="72"/>
  <c r="V933" i="72"/>
  <c r="AF933" i="72"/>
  <c r="Z895" i="72"/>
  <c r="AD909" i="72"/>
  <c r="W910" i="72"/>
  <c r="AB895" i="72"/>
  <c r="Y901" i="72"/>
  <c r="AD925" i="72"/>
  <c r="X925" i="72"/>
  <c r="AB912" i="72"/>
  <c r="Y932" i="72"/>
  <c r="AG901" i="72"/>
  <c r="AA929" i="72"/>
  <c r="AG935" i="72"/>
  <c r="Y953" i="72"/>
  <c r="AC957" i="72"/>
  <c r="AD915" i="72"/>
  <c r="AC930" i="72"/>
  <c r="U938" i="72"/>
  <c r="Y942" i="72"/>
  <c r="AE915" i="72"/>
  <c r="AE943" i="72"/>
  <c r="AA949" i="72"/>
  <c r="AB942" i="72"/>
  <c r="AF964" i="72"/>
  <c r="Z964" i="72"/>
  <c r="U964" i="72"/>
  <c r="AB922" i="72"/>
  <c r="Y948" i="72"/>
  <c r="AG955" i="72"/>
  <c r="Z955" i="72"/>
  <c r="X960" i="72"/>
  <c r="AF960" i="72"/>
  <c r="T941" i="72"/>
  <c r="AC951" i="72"/>
  <c r="AF948" i="72"/>
  <c r="T948" i="72"/>
  <c r="Z959" i="72"/>
  <c r="T981" i="72"/>
  <c r="X985" i="72"/>
  <c r="AE998" i="72"/>
  <c r="Y985" i="72"/>
  <c r="X993" i="72"/>
  <c r="AD993" i="72"/>
  <c r="AD999" i="72"/>
  <c r="T999" i="72"/>
  <c r="W982" i="72"/>
  <c r="AC987" i="72"/>
  <c r="AB969" i="72"/>
  <c r="AA967" i="72"/>
  <c r="AG973" i="72"/>
  <c r="V1008" i="72"/>
  <c r="Y980" i="72"/>
  <c r="X995" i="72"/>
  <c r="AA965" i="72"/>
  <c r="AG971" i="72"/>
  <c r="AC1008" i="72"/>
  <c r="X1008" i="72"/>
  <c r="V958" i="72"/>
  <c r="U973" i="72"/>
  <c r="AE983" i="72"/>
  <c r="AA991" i="72"/>
  <c r="Y976" i="72"/>
  <c r="AB1004" i="72"/>
  <c r="U1004" i="72"/>
  <c r="W973" i="72"/>
  <c r="V971" i="72"/>
  <c r="AE980" i="72"/>
  <c r="Z974" i="72"/>
  <c r="S983" i="72"/>
  <c r="AC988" i="72"/>
  <c r="Y987" i="72"/>
  <c r="T991" i="72"/>
  <c r="AA994" i="72"/>
  <c r="AE1030" i="72"/>
  <c r="AA1009" i="72"/>
  <c r="AE1013" i="72"/>
  <c r="U1019" i="72"/>
  <c r="Y1023" i="72"/>
  <c r="AC1027" i="72"/>
  <c r="S1033" i="72"/>
  <c r="W1037" i="72"/>
  <c r="W1036" i="72"/>
  <c r="AC1025" i="72"/>
  <c r="V1001" i="72"/>
  <c r="AD1009" i="72"/>
  <c r="AD1025" i="72"/>
  <c r="AA1056" i="72"/>
  <c r="W1056" i="72"/>
  <c r="S1056" i="72"/>
  <c r="AF1088" i="72"/>
  <c r="AB1088" i="72"/>
  <c r="AA1020" i="72"/>
  <c r="AF1072" i="72"/>
  <c r="AB1072" i="72"/>
  <c r="T1012" i="72"/>
  <c r="S1027" i="72"/>
  <c r="Z1034" i="72"/>
  <c r="U1012" i="72"/>
  <c r="U1028" i="72"/>
  <c r="AD1038" i="72"/>
  <c r="Y1015" i="72"/>
  <c r="AD1036" i="72"/>
  <c r="T1025" i="72"/>
  <c r="Z1031" i="72"/>
  <c r="Y1013" i="72"/>
  <c r="AE1019" i="72"/>
  <c r="X1040" i="72"/>
  <c r="V1009" i="72"/>
  <c r="AG1020" i="72"/>
  <c r="W1026" i="72"/>
  <c r="AB1031" i="72"/>
  <c r="Z1028" i="72"/>
  <c r="AD1074" i="72"/>
  <c r="X1084" i="72"/>
  <c r="U1097" i="72"/>
  <c r="Y1101" i="72"/>
  <c r="AB1039" i="72"/>
  <c r="U1048" i="72"/>
  <c r="AA1054" i="72"/>
  <c r="T1063" i="72"/>
  <c r="AE1090" i="72"/>
  <c r="W1098" i="72"/>
  <c r="AA1102" i="72"/>
  <c r="AB1054" i="72"/>
  <c r="S1061" i="72"/>
  <c r="AB1070" i="72"/>
  <c r="Y1083" i="72"/>
  <c r="AC1087" i="72"/>
  <c r="W1097" i="72"/>
  <c r="AA1101" i="72"/>
  <c r="AD1039" i="72"/>
  <c r="W1048" i="72"/>
  <c r="T1061" i="72"/>
  <c r="AG1090" i="72"/>
  <c r="Y1098" i="72"/>
  <c r="AC1102" i="72"/>
  <c r="Z1050" i="72"/>
  <c r="AC1069" i="72"/>
  <c r="X1096" i="72"/>
  <c r="AB1100" i="72"/>
  <c r="AF1104" i="72"/>
  <c r="AD1053" i="72"/>
  <c r="W1062" i="72"/>
  <c r="AF1071" i="72"/>
  <c r="X1079" i="72"/>
  <c r="AC1084" i="72"/>
  <c r="S1102" i="72"/>
  <c r="AF1050" i="72"/>
  <c r="W1057" i="72"/>
  <c r="S1085" i="72"/>
  <c r="AC1046" i="72"/>
  <c r="T1053" i="72"/>
  <c r="Y1058" i="72"/>
  <c r="AD1063" i="72"/>
  <c r="U1070" i="72"/>
  <c r="AA1076" i="72"/>
  <c r="AE1080" i="72"/>
  <c r="U1086" i="72"/>
  <c r="S1099" i="72"/>
  <c r="W1103" i="72"/>
  <c r="AF1047" i="72"/>
  <c r="Z1057" i="72"/>
  <c r="Z1089" i="72"/>
  <c r="AF1078" i="72"/>
  <c r="AE960" i="72"/>
  <c r="AC1009" i="72"/>
  <c r="X1031" i="72"/>
  <c r="AE1034" i="72"/>
  <c r="AE1075" i="72"/>
  <c r="V1049" i="72"/>
  <c r="X1099" i="72"/>
  <c r="AC1055" i="72"/>
  <c r="AB1102" i="72"/>
  <c r="V1095" i="72"/>
  <c r="AD1070" i="72"/>
  <c r="U1054" i="72"/>
  <c r="AB1077" i="72"/>
  <c r="V1053" i="72"/>
  <c r="AA610" i="72"/>
  <c r="T689" i="72"/>
  <c r="U627" i="72"/>
  <c r="T721" i="72"/>
  <c r="U616" i="72"/>
  <c r="AA715" i="72"/>
  <c r="AD701" i="72"/>
  <c r="S725" i="72"/>
  <c r="Y757" i="72"/>
  <c r="AF797" i="72"/>
  <c r="AD733" i="72"/>
  <c r="Y753" i="72"/>
  <c r="U784" i="72"/>
  <c r="AE762" i="72"/>
  <c r="AB788" i="72"/>
  <c r="Z787" i="72"/>
  <c r="AD747" i="72"/>
  <c r="U802" i="72"/>
  <c r="AE816" i="72"/>
  <c r="W821" i="72"/>
  <c r="W828" i="72"/>
  <c r="AA771" i="72"/>
  <c r="AG866" i="72"/>
  <c r="W883" i="72"/>
  <c r="AA883" i="72"/>
  <c r="W810" i="72"/>
  <c r="AC825" i="72"/>
  <c r="Y825" i="72"/>
  <c r="U849" i="72"/>
  <c r="X849" i="72"/>
  <c r="V858" i="72"/>
  <c r="T854" i="72"/>
  <c r="AG850" i="72"/>
  <c r="AA858" i="72"/>
  <c r="AF860" i="72"/>
  <c r="S863" i="72"/>
  <c r="AA874" i="72"/>
  <c r="S882" i="72"/>
  <c r="AB833" i="72"/>
  <c r="AD876" i="72"/>
  <c r="S885" i="72"/>
  <c r="AG874" i="72"/>
  <c r="AF879" i="72"/>
  <c r="T833" i="72"/>
  <c r="U864" i="72"/>
  <c r="AC892" i="72"/>
  <c r="V892" i="72"/>
  <c r="W882" i="72"/>
  <c r="AF873" i="72"/>
  <c r="X879" i="72"/>
  <c r="AB885" i="72"/>
  <c r="V890" i="72"/>
  <c r="AE890" i="72"/>
  <c r="AE891" i="72"/>
  <c r="V909" i="72"/>
  <c r="X916" i="72"/>
  <c r="X908" i="72"/>
  <c r="AC886" i="72"/>
  <c r="W896" i="72"/>
  <c r="T906" i="72"/>
  <c r="AG921" i="72"/>
  <c r="AA921" i="72"/>
  <c r="T921" i="72"/>
  <c r="Z896" i="72"/>
  <c r="AB905" i="72"/>
  <c r="Y911" i="72"/>
  <c r="V917" i="72"/>
  <c r="AE917" i="72"/>
  <c r="W901" i="72"/>
  <c r="AB896" i="72"/>
  <c r="AE900" i="72"/>
  <c r="T925" i="72"/>
  <c r="T905" i="72"/>
  <c r="Z910" i="72"/>
  <c r="AC932" i="72"/>
  <c r="W932" i="72"/>
  <c r="S932" i="72"/>
  <c r="AF902" i="72"/>
  <c r="U923" i="72"/>
  <c r="S937" i="72"/>
  <c r="W941" i="72"/>
  <c r="T952" i="72"/>
  <c r="X952" i="72"/>
  <c r="AG953" i="72"/>
  <c r="U957" i="72"/>
  <c r="W924" i="72"/>
  <c r="T920" i="72"/>
  <c r="AA927" i="72"/>
  <c r="U937" i="72"/>
  <c r="Y941" i="72"/>
  <c r="T955" i="72"/>
  <c r="AG930" i="72"/>
  <c r="AB941" i="72"/>
  <c r="AF927" i="72"/>
  <c r="AD941" i="72"/>
  <c r="AG944" i="72"/>
  <c r="Z951" i="72"/>
  <c r="AE941" i="72"/>
  <c r="U930" i="72"/>
  <c r="T959" i="72"/>
  <c r="V928" i="72"/>
  <c r="AF938" i="72"/>
  <c r="Y959" i="72"/>
  <c r="AC959" i="72"/>
  <c r="V942" i="72"/>
  <c r="AE959" i="72"/>
  <c r="U950" i="72"/>
  <c r="AF961" i="72"/>
  <c r="V967" i="72"/>
  <c r="AA972" i="72"/>
  <c r="AE976" i="72"/>
  <c r="T992" i="72"/>
  <c r="Y992" i="72"/>
  <c r="Z998" i="72"/>
  <c r="AB956" i="72"/>
  <c r="V966" i="72"/>
  <c r="AA971" i="72"/>
  <c r="AE975" i="72"/>
  <c r="U981" i="72"/>
  <c r="W950" i="72"/>
  <c r="W966" i="72"/>
  <c r="AB971" i="72"/>
  <c r="AF975" i="72"/>
  <c r="AB985" i="72"/>
  <c r="S975" i="72"/>
  <c r="AB984" i="72"/>
  <c r="AB995" i="72"/>
  <c r="S973" i="72"/>
  <c r="Z980" i="72"/>
  <c r="AE985" i="72"/>
  <c r="X996" i="72"/>
  <c r="AC996" i="72"/>
  <c r="AF985" i="72"/>
  <c r="S1008" i="72"/>
  <c r="AF968" i="72"/>
  <c r="V992" i="72"/>
  <c r="AE1002" i="72"/>
  <c r="W1002" i="72"/>
  <c r="S1004" i="72"/>
  <c r="V987" i="72"/>
  <c r="S984" i="72"/>
  <c r="U969" i="72"/>
  <c r="AC976" i="72"/>
  <c r="AE1015" i="72"/>
  <c r="AB1028" i="72"/>
  <c r="X1007" i="72"/>
  <c r="AC1012" i="72"/>
  <c r="S1018" i="72"/>
  <c r="W1022" i="72"/>
  <c r="AA1026" i="72"/>
  <c r="V1037" i="72"/>
  <c r="U1003" i="72"/>
  <c r="V1018" i="72"/>
  <c r="X1036" i="72"/>
  <c r="T1015" i="72"/>
  <c r="T1031" i="72"/>
  <c r="Y1036" i="72"/>
  <c r="AG1056" i="72"/>
  <c r="AC1056" i="72"/>
  <c r="Y1088" i="72"/>
  <c r="U1088" i="72"/>
  <c r="Y1034" i="72"/>
  <c r="Y1072" i="72"/>
  <c r="U1072" i="72"/>
  <c r="AB1020" i="72"/>
  <c r="V1038" i="72"/>
  <c r="Z1015" i="72"/>
  <c r="V994" i="72"/>
  <c r="U1009" i="72"/>
  <c r="V1026" i="72"/>
  <c r="AA1031" i="72"/>
  <c r="AF1040" i="72"/>
  <c r="AA1014" i="72"/>
  <c r="Y1069" i="72"/>
  <c r="AD1090" i="72"/>
  <c r="AD1041" i="72"/>
  <c r="Y1068" i="72"/>
  <c r="AE1074" i="72"/>
  <c r="Z1085" i="72"/>
  <c r="AG1092" i="72"/>
  <c r="S1045" i="72"/>
  <c r="W1049" i="72"/>
  <c r="AE1089" i="72"/>
  <c r="AF1041" i="72"/>
  <c r="AC1054" i="72"/>
  <c r="AC1070" i="72"/>
  <c r="AB1085" i="72"/>
  <c r="S1092" i="72"/>
  <c r="V1046" i="72"/>
  <c r="AE1055" i="72"/>
  <c r="AC1085" i="72"/>
  <c r="Y1048" i="72"/>
  <c r="X1063" i="72"/>
  <c r="S1074" i="72"/>
  <c r="Y1096" i="72"/>
  <c r="AC1100" i="72"/>
  <c r="AG1104" i="72"/>
  <c r="AF1069" i="72"/>
  <c r="AG1069" i="72"/>
  <c r="AB1046" i="72"/>
  <c r="AC1063" i="72"/>
  <c r="U1103" i="72"/>
  <c r="Z1059" i="72"/>
  <c r="AE1064" i="72"/>
  <c r="V1103" i="72"/>
  <c r="AE1047" i="72"/>
  <c r="W1055" i="72"/>
  <c r="AC1061" i="72"/>
  <c r="T1068" i="72"/>
  <c r="Z1074" i="72"/>
  <c r="T1084" i="72"/>
  <c r="AE1062" i="72"/>
  <c r="W1070" i="72"/>
  <c r="AC1076" i="72"/>
  <c r="U1084" i="72"/>
  <c r="V1101" i="72"/>
  <c r="Y1055" i="72"/>
  <c r="V1068" i="72"/>
  <c r="AB1074" i="72"/>
  <c r="Y1087" i="72"/>
  <c r="U1099" i="72"/>
  <c r="Y1103" i="72"/>
  <c r="AD715" i="72"/>
  <c r="U797" i="72"/>
  <c r="AD785" i="72"/>
  <c r="AE812" i="72"/>
  <c r="W865" i="72"/>
  <c r="U884" i="72"/>
  <c r="S847" i="72"/>
  <c r="AB881" i="72"/>
  <c r="S879" i="72"/>
  <c r="U872" i="72"/>
  <c r="T926" i="72"/>
  <c r="V897" i="72"/>
  <c r="S916" i="72"/>
  <c r="U910" i="72"/>
  <c r="U933" i="72"/>
  <c r="X912" i="72"/>
  <c r="AC896" i="72"/>
  <c r="X953" i="72"/>
  <c r="AD931" i="72"/>
  <c r="AE964" i="72"/>
  <c r="AG927" i="72"/>
  <c r="Y930" i="72"/>
  <c r="S948" i="72"/>
  <c r="AB987" i="72"/>
  <c r="AG999" i="72"/>
  <c r="X983" i="72"/>
  <c r="Z946" i="72"/>
  <c r="AF984" i="72"/>
  <c r="Y1004" i="72"/>
  <c r="X973" i="72"/>
  <c r="T984" i="72"/>
  <c r="S991" i="72"/>
  <c r="AF1031" i="72"/>
  <c r="V1020" i="72"/>
  <c r="Z1056" i="72"/>
  <c r="AA1035" i="72"/>
  <c r="T1009" i="72"/>
  <c r="Z1014" i="72"/>
  <c r="W1010" i="72"/>
  <c r="AF1092" i="72"/>
  <c r="X1050" i="72"/>
  <c r="X1098" i="72"/>
  <c r="AC1101" i="72"/>
  <c r="Y1080" i="72"/>
  <c r="S1103" i="72"/>
  <c r="T1086" i="72"/>
  <c r="V1071" i="72"/>
  <c r="X1104" i="72"/>
  <c r="AA1089" i="72"/>
  <c r="X426" i="72"/>
  <c r="AC623" i="72"/>
  <c r="AB626" i="72"/>
  <c r="AG723" i="72"/>
  <c r="W709" i="72"/>
  <c r="AG739" i="72"/>
  <c r="AG741" i="72"/>
  <c r="T707" i="72"/>
  <c r="AF744" i="72"/>
  <c r="AE687" i="72"/>
  <c r="AF675" i="72"/>
  <c r="AB730" i="72"/>
  <c r="AA797" i="72"/>
  <c r="V751" i="72"/>
  <c r="W785" i="72"/>
  <c r="X784" i="72"/>
  <c r="Y776" i="72"/>
  <c r="AE775" i="72"/>
  <c r="AG752" i="72"/>
  <c r="AC817" i="72"/>
  <c r="U831" i="72"/>
  <c r="W804" i="72"/>
  <c r="W835" i="72"/>
  <c r="Z869" i="72"/>
  <c r="S836" i="72"/>
  <c r="AD867" i="72"/>
  <c r="AE883" i="72"/>
  <c r="Y883" i="72"/>
  <c r="T865" i="72"/>
  <c r="V789" i="72"/>
  <c r="W803" i="72"/>
  <c r="AG825" i="72"/>
  <c r="AF849" i="72"/>
  <c r="U851" i="72"/>
  <c r="AG853" i="72"/>
  <c r="AE850" i="72"/>
  <c r="W857" i="72"/>
  <c r="Z863" i="72"/>
  <c r="AD868" i="72"/>
  <c r="AA876" i="72"/>
  <c r="AE856" i="72"/>
  <c r="Z872" i="72"/>
  <c r="T892" i="72"/>
  <c r="X907" i="72"/>
  <c r="U833" i="72"/>
  <c r="AE879" i="72"/>
  <c r="AE874" i="72"/>
  <c r="AG876" i="72"/>
  <c r="Y889" i="72"/>
  <c r="U847" i="72"/>
  <c r="T864" i="72"/>
  <c r="AA884" i="72"/>
  <c r="Y892" i="72"/>
  <c r="S892" i="72"/>
  <c r="T872" i="72"/>
  <c r="V882" i="72"/>
  <c r="AF889" i="72"/>
  <c r="W879" i="72"/>
  <c r="AD873" i="72"/>
  <c r="Z885" i="72"/>
  <c r="U890" i="72"/>
  <c r="AD890" i="72"/>
  <c r="AE859" i="72"/>
  <c r="AG893" i="72"/>
  <c r="AD914" i="72"/>
  <c r="V921" i="72"/>
  <c r="W908" i="72"/>
  <c r="AE888" i="72"/>
  <c r="X897" i="72"/>
  <c r="AA906" i="72"/>
  <c r="AA905" i="72"/>
  <c r="AF916" i="72"/>
  <c r="AF921" i="72"/>
  <c r="Z921" i="72"/>
  <c r="S921" i="72"/>
  <c r="AA897" i="72"/>
  <c r="AF911" i="72"/>
  <c r="W912" i="72"/>
  <c r="T917" i="72"/>
  <c r="Z925" i="72"/>
  <c r="AC905" i="72"/>
  <c r="AC897" i="72"/>
  <c r="AD900" i="72"/>
  <c r="Y912" i="72"/>
  <c r="AA910" i="72"/>
  <c r="S925" i="72"/>
  <c r="S905" i="72"/>
  <c r="Y910" i="72"/>
  <c r="AB932" i="72"/>
  <c r="V932" i="72"/>
  <c r="AG903" i="72"/>
  <c r="V924" i="72"/>
  <c r="T938" i="72"/>
  <c r="X942" i="72"/>
  <c r="AF952" i="72"/>
  <c r="W952" i="72"/>
  <c r="AE953" i="72"/>
  <c r="S957" i="72"/>
  <c r="S920" i="72"/>
  <c r="Z927" i="72"/>
  <c r="V922" i="72"/>
  <c r="AB928" i="72"/>
  <c r="V938" i="72"/>
  <c r="Z942" i="72"/>
  <c r="Y922" i="72"/>
  <c r="X937" i="72"/>
  <c r="AC942" i="72"/>
  <c r="AG928" i="72"/>
  <c r="AE942" i="72"/>
  <c r="AF944" i="72"/>
  <c r="AF942" i="72"/>
  <c r="AB937" i="72"/>
  <c r="X955" i="72"/>
  <c r="Y915" i="72"/>
  <c r="X930" i="72"/>
  <c r="AD959" i="72"/>
  <c r="Y954" i="72"/>
  <c r="AG962" i="72"/>
  <c r="W968" i="72"/>
  <c r="AB973" i="72"/>
  <c r="AF977" i="72"/>
  <c r="AF992" i="72"/>
  <c r="V995" i="72"/>
  <c r="V998" i="72"/>
  <c r="AD958" i="72"/>
  <c r="W967" i="72"/>
  <c r="AB972" i="72"/>
  <c r="AF976" i="72"/>
  <c r="AF988" i="72"/>
  <c r="AC956" i="72"/>
  <c r="X967" i="72"/>
  <c r="AC972" i="72"/>
  <c r="AG976" i="72"/>
  <c r="AF987" i="72"/>
  <c r="T976" i="72"/>
  <c r="AC985" i="72"/>
  <c r="AE987" i="72"/>
  <c r="Z1004" i="72"/>
  <c r="T974" i="72"/>
  <c r="AA981" i="72"/>
  <c r="W991" i="72"/>
  <c r="T996" i="72"/>
  <c r="AA1004" i="72"/>
  <c r="W1008" i="72"/>
  <c r="AA947" i="72"/>
  <c r="AG969" i="72"/>
  <c r="AB980" i="72"/>
  <c r="AD1002" i="72"/>
  <c r="V1002" i="72"/>
  <c r="T985" i="72"/>
  <c r="Z958" i="72"/>
  <c r="W971" i="72"/>
  <c r="AB993" i="72"/>
  <c r="V969" i="72"/>
  <c r="AB991" i="72"/>
  <c r="Y1009" i="72"/>
  <c r="T1020" i="72"/>
  <c r="AE1031" i="72"/>
  <c r="Z1009" i="72"/>
  <c r="AD1013" i="72"/>
  <c r="T1019" i="72"/>
  <c r="X1023" i="72"/>
  <c r="AB1027" i="72"/>
  <c r="S1034" i="72"/>
  <c r="AE1012" i="72"/>
  <c r="X1020" i="72"/>
  <c r="Y1038" i="72"/>
  <c r="W1018" i="72"/>
  <c r="Z1037" i="72"/>
  <c r="AF1056" i="72"/>
  <c r="AB1056" i="72"/>
  <c r="X1088" i="72"/>
  <c r="T1088" i="72"/>
  <c r="AF1009" i="72"/>
  <c r="AA1036" i="72"/>
  <c r="X1072" i="72"/>
  <c r="T1072" i="72"/>
  <c r="AE1007" i="72"/>
  <c r="AE1023" i="72"/>
  <c r="U1038" i="72"/>
  <c r="AC1018" i="72"/>
  <c r="Y997" i="72"/>
  <c r="V1010" i="72"/>
  <c r="S1023" i="72"/>
  <c r="W1027" i="72"/>
  <c r="AD1034" i="72"/>
  <c r="AE1040" i="72"/>
  <c r="AB1015" i="72"/>
  <c r="T1037" i="72"/>
  <c r="Z1070" i="72"/>
  <c r="AG1093" i="72"/>
  <c r="AF1043" i="72"/>
  <c r="X1051" i="72"/>
  <c r="Z1069" i="72"/>
  <c r="AF1075" i="72"/>
  <c r="AA1086" i="72"/>
  <c r="T1046" i="72"/>
  <c r="Y1051" i="72"/>
  <c r="U1063" i="72"/>
  <c r="AF1090" i="72"/>
  <c r="Y1050" i="72"/>
  <c r="AD1055" i="72"/>
  <c r="AD1071" i="72"/>
  <c r="AC1086" i="72"/>
  <c r="W1047" i="72"/>
  <c r="AB1052" i="72"/>
  <c r="V1062" i="72"/>
  <c r="AD1086" i="72"/>
  <c r="V1045" i="72"/>
  <c r="Z1049" i="72"/>
  <c r="T1075" i="72"/>
  <c r="Z1097" i="72"/>
  <c r="AD1101" i="72"/>
  <c r="Y1046" i="72"/>
  <c r="AG1070" i="72"/>
  <c r="AC1047" i="72"/>
  <c r="S1053" i="72"/>
  <c r="Z1060" i="72"/>
  <c r="S1069" i="72"/>
  <c r="V1104" i="72"/>
  <c r="AF1065" i="72"/>
  <c r="S1100" i="72"/>
  <c r="W1104" i="72"/>
  <c r="Y1057" i="72"/>
  <c r="AD1062" i="72"/>
  <c r="U1069" i="72"/>
  <c r="AA1075" i="72"/>
  <c r="U1085" i="72"/>
  <c r="AB1059" i="72"/>
  <c r="AF1063" i="72"/>
  <c r="X1071" i="72"/>
  <c r="AD1077" i="72"/>
  <c r="V1085" i="72"/>
  <c r="S1098" i="72"/>
  <c r="W1102" i="72"/>
  <c r="AB1058" i="72"/>
  <c r="W1069" i="72"/>
  <c r="AC1075" i="72"/>
  <c r="V1084" i="72"/>
  <c r="V1100" i="72"/>
  <c r="Z1104" i="72"/>
  <c r="U560" i="72"/>
  <c r="AG655" i="72"/>
  <c r="Y681" i="72"/>
  <c r="AB732" i="72"/>
  <c r="AG657" i="72"/>
  <c r="X662" i="72"/>
  <c r="T709" i="72"/>
  <c r="AB744" i="72"/>
  <c r="W756" i="72"/>
  <c r="S766" i="72"/>
  <c r="X733" i="72"/>
  <c r="X776" i="72"/>
  <c r="AD784" i="72"/>
  <c r="AE791" i="72"/>
  <c r="U775" i="72"/>
  <c r="AE760" i="72"/>
  <c r="AG814" i="72"/>
  <c r="S838" i="72"/>
  <c r="V804" i="72"/>
  <c r="AG848" i="72"/>
  <c r="U804" i="72"/>
  <c r="X835" i="72"/>
  <c r="V883" i="72"/>
  <c r="AG883" i="72"/>
  <c r="V865" i="72"/>
  <c r="S865" i="72"/>
  <c r="X805" i="72"/>
  <c r="X812" i="72"/>
  <c r="S832" i="72"/>
  <c r="Z854" i="72"/>
  <c r="AC850" i="72"/>
  <c r="T852" i="72"/>
  <c r="AC857" i="72"/>
  <c r="AB858" i="72"/>
  <c r="AA852" i="72"/>
  <c r="AD858" i="72"/>
  <c r="W860" i="72"/>
  <c r="AC870" i="72"/>
  <c r="AB907" i="72"/>
  <c r="S907" i="72"/>
  <c r="AE907" i="72"/>
  <c r="T907" i="72"/>
  <c r="AE868" i="72"/>
  <c r="V880" i="72"/>
  <c r="Z892" i="72"/>
  <c r="X881" i="72"/>
  <c r="AB884" i="72"/>
  <c r="AB892" i="72"/>
  <c r="Z879" i="72"/>
  <c r="AF884" i="72"/>
  <c r="U856" i="72"/>
  <c r="AG892" i="72"/>
  <c r="U879" i="72"/>
  <c r="W880" i="72"/>
  <c r="AA879" i="72"/>
  <c r="Z886" i="72"/>
  <c r="S895" i="72"/>
  <c r="W900" i="72"/>
  <c r="X911" i="72"/>
  <c r="W926" i="72"/>
  <c r="AG926" i="72"/>
  <c r="AC926" i="72"/>
  <c r="AC888" i="72"/>
  <c r="W898" i="72"/>
  <c r="X900" i="72"/>
  <c r="Y916" i="72"/>
  <c r="AA916" i="72"/>
  <c r="AD933" i="72"/>
  <c r="X933" i="72"/>
  <c r="T933" i="72"/>
  <c r="AB897" i="72"/>
  <c r="X909" i="72"/>
  <c r="AD898" i="72"/>
  <c r="AF925" i="72"/>
  <c r="AB925" i="72"/>
  <c r="Z912" i="72"/>
  <c r="V916" i="72"/>
  <c r="AE901" i="72"/>
  <c r="AE932" i="72"/>
  <c r="AC931" i="72"/>
  <c r="AG957" i="72"/>
  <c r="AG934" i="72"/>
  <c r="W940" i="72"/>
  <c r="AA943" i="72"/>
  <c r="AG949" i="72"/>
  <c r="U949" i="72"/>
  <c r="AD942" i="72"/>
  <c r="AD964" i="72"/>
  <c r="X964" i="72"/>
  <c r="S964" i="72"/>
  <c r="AA922" i="72"/>
  <c r="S930" i="72"/>
  <c r="AA938" i="72"/>
  <c r="Y955" i="72"/>
  <c r="T930" i="72"/>
  <c r="X948" i="72"/>
  <c r="AB955" i="72"/>
  <c r="T942" i="72"/>
  <c r="AB960" i="72"/>
  <c r="T960" i="72"/>
  <c r="AE948" i="72"/>
  <c r="W951" i="72"/>
  <c r="Z930" i="72"/>
  <c r="Z948" i="72"/>
  <c r="AB959" i="72"/>
  <c r="U959" i="72"/>
  <c r="V983" i="72"/>
  <c r="U996" i="72"/>
  <c r="AG945" i="72"/>
  <c r="W983" i="72"/>
  <c r="U993" i="72"/>
  <c r="Z993" i="72"/>
  <c r="AA999" i="72"/>
  <c r="AF999" i="72"/>
  <c r="Y984" i="72"/>
  <c r="AF973" i="72"/>
  <c r="AC969" i="72"/>
  <c r="AF971" i="72"/>
  <c r="S995" i="72"/>
  <c r="AA1008" i="72"/>
  <c r="AD968" i="72"/>
  <c r="AF1008" i="72"/>
  <c r="Z1008" i="72"/>
  <c r="AC965" i="72"/>
  <c r="S971" i="72"/>
  <c r="W975" i="72"/>
  <c r="AG985" i="72"/>
  <c r="AF1004" i="72"/>
  <c r="X1004" i="72"/>
  <c r="S969" i="72"/>
  <c r="Z976" i="72"/>
  <c r="S968" i="72"/>
  <c r="Z975" i="72"/>
  <c r="AB976" i="72"/>
  <c r="U985" i="72"/>
  <c r="T1003" i="72"/>
  <c r="AB994" i="72"/>
  <c r="X1006" i="72"/>
  <c r="AC1011" i="72"/>
  <c r="AG1015" i="72"/>
  <c r="W1021" i="72"/>
  <c r="AA1025" i="72"/>
  <c r="U1035" i="72"/>
  <c r="AE1011" i="72"/>
  <c r="AA1023" i="72"/>
  <c r="AF1028" i="72"/>
  <c r="AA1006" i="72"/>
  <c r="AF1011" i="72"/>
  <c r="AB1023" i="72"/>
  <c r="AF1027" i="72"/>
  <c r="Z1038" i="72"/>
  <c r="Y1056" i="72"/>
  <c r="U1056" i="72"/>
  <c r="AD1088" i="72"/>
  <c r="S1012" i="72"/>
  <c r="AF1025" i="72"/>
  <c r="AF1038" i="72"/>
  <c r="AD1072" i="72"/>
  <c r="W1015" i="72"/>
  <c r="V1030" i="72"/>
  <c r="AB1036" i="72"/>
  <c r="AC1020" i="72"/>
  <c r="AC1036" i="72"/>
  <c r="AA1038" i="72"/>
  <c r="V1028" i="72"/>
  <c r="V1011" i="72"/>
  <c r="W1028" i="72"/>
  <c r="AE1036" i="72"/>
  <c r="AC1001" i="72"/>
  <c r="AA1015" i="72"/>
  <c r="Z1040" i="72"/>
  <c r="V1040" i="72"/>
  <c r="X1011" i="72"/>
  <c r="U1024" i="72"/>
  <c r="Y1028" i="72"/>
  <c r="AF1076" i="72"/>
  <c r="Z1086" i="72"/>
  <c r="S1095" i="72"/>
  <c r="W1099" i="72"/>
  <c r="AA1103" i="72"/>
  <c r="S1046" i="72"/>
  <c r="Y1052" i="72"/>
  <c r="AD1057" i="72"/>
  <c r="AG1076" i="72"/>
  <c r="U1096" i="72"/>
  <c r="Y1100" i="72"/>
  <c r="AC1104" i="72"/>
  <c r="Z1052" i="72"/>
  <c r="AE1057" i="72"/>
  <c r="Z1068" i="72"/>
  <c r="AF1074" i="72"/>
  <c r="AA1085" i="72"/>
  <c r="U1095" i="72"/>
  <c r="Y1099" i="72"/>
  <c r="AC1103" i="72"/>
  <c r="U1046" i="72"/>
  <c r="Z1051" i="72"/>
  <c r="V1063" i="72"/>
  <c r="AG1074" i="72"/>
  <c r="W1096" i="72"/>
  <c r="AA1100" i="72"/>
  <c r="AE1104" i="72"/>
  <c r="W1063" i="72"/>
  <c r="AE1071" i="72"/>
  <c r="Z1098" i="72"/>
  <c r="AD1102" i="72"/>
  <c r="AA1050" i="72"/>
  <c r="AF1055" i="72"/>
  <c r="AD1069" i="72"/>
  <c r="Z1081" i="72"/>
  <c r="AE1086" i="72"/>
  <c r="AG1086" i="72"/>
  <c r="T1104" i="72"/>
  <c r="U1104" i="72"/>
  <c r="U1087" i="72"/>
  <c r="AE1048" i="72"/>
  <c r="V1055" i="72"/>
  <c r="AB1061" i="72"/>
  <c r="S1068" i="72"/>
  <c r="Y1074" i="72"/>
  <c r="AC1078" i="72"/>
  <c r="S1084" i="72"/>
  <c r="U1101" i="72"/>
  <c r="X1039" i="72"/>
  <c r="W1054" i="72"/>
  <c r="AE1078" i="72"/>
  <c r="AB1090" i="72"/>
  <c r="U276" i="72"/>
  <c r="AD753" i="72"/>
  <c r="W750" i="72"/>
  <c r="AB759" i="72"/>
  <c r="AD828" i="72"/>
  <c r="S854" i="72"/>
  <c r="X857" i="72"/>
  <c r="AF907" i="72"/>
  <c r="X868" i="72"/>
  <c r="Z882" i="72"/>
  <c r="U840" i="72"/>
  <c r="AA880" i="72"/>
  <c r="X872" i="72"/>
  <c r="X926" i="72"/>
  <c r="AB911" i="72"/>
  <c r="AA933" i="72"/>
  <c r="Y909" i="72"/>
  <c r="AA912" i="72"/>
  <c r="AB930" i="72"/>
  <c r="V939" i="72"/>
  <c r="AD943" i="72"/>
  <c r="T964" i="72"/>
  <c r="AE955" i="72"/>
  <c r="AC960" i="72"/>
  <c r="AB999" i="72"/>
  <c r="AD971" i="72"/>
  <c r="AD969" i="72"/>
  <c r="AC1004" i="72"/>
  <c r="Y975" i="72"/>
  <c r="AB1010" i="72"/>
  <c r="AD1028" i="72"/>
  <c r="Y1037" i="72"/>
  <c r="AE1026" i="72"/>
  <c r="AC1038" i="72"/>
  <c r="T1023" i="72"/>
  <c r="AE1042" i="72"/>
  <c r="AB1103" i="72"/>
  <c r="Z1084" i="72"/>
  <c r="AD1103" i="72"/>
  <c r="AD1064" i="72"/>
  <c r="T1100" i="72"/>
  <c r="AP77" i="77"/>
  <c r="AK77" i="70"/>
  <c r="AL7" i="51"/>
  <c r="G8" i="33" s="1"/>
  <c r="AU20" i="51"/>
  <c r="U21" i="33" s="1"/>
  <c r="AU25" i="51"/>
  <c r="U28" i="33" s="1"/>
  <c r="U69" i="33" s="1"/>
  <c r="AP29" i="51"/>
  <c r="N32" i="33" s="1"/>
  <c r="N73" i="33" s="1"/>
  <c r="AP14" i="51"/>
  <c r="N15" i="33" s="1"/>
  <c r="AP26" i="51"/>
  <c r="N29" i="33" s="1"/>
  <c r="N29" i="41" s="1"/>
  <c r="AK11" i="51"/>
  <c r="F12" i="33" s="1"/>
  <c r="S159" i="15"/>
  <c r="M159" i="15"/>
  <c r="BI67" i="77"/>
  <c r="BD67" i="70"/>
  <c r="AO26" i="51"/>
  <c r="K29" i="33" s="1"/>
  <c r="K29" i="41" s="1"/>
  <c r="AU31" i="51"/>
  <c r="U34" i="33" s="1"/>
  <c r="AK26" i="51"/>
  <c r="F29" i="33" s="1"/>
  <c r="AK37" i="51"/>
  <c r="F40" i="33" s="1"/>
  <c r="AM12" i="51"/>
  <c r="I13" i="33" s="1"/>
  <c r="AQ14" i="51"/>
  <c r="O15" i="33" s="1"/>
  <c r="AQ25" i="51"/>
  <c r="O28" i="33" s="1"/>
  <c r="K67" i="43" s="1"/>
  <c r="AR31" i="51"/>
  <c r="P34" i="33" s="1"/>
  <c r="L73" i="43" s="1"/>
  <c r="L602" i="44" s="1"/>
  <c r="AT15" i="51"/>
  <c r="T16" i="33" s="1"/>
  <c r="AA2" i="39"/>
  <c r="AW2" i="39" s="1"/>
  <c r="AW3" i="39" s="1"/>
  <c r="O159" i="15"/>
  <c r="BI72" i="77"/>
  <c r="BD72" i="70"/>
  <c r="AO16" i="51"/>
  <c r="K17" i="33" s="1"/>
  <c r="W159" i="15"/>
  <c r="D49" i="36"/>
  <c r="K83" i="40" s="1"/>
  <c r="R364" i="72"/>
  <c r="J631" i="72"/>
  <c r="I1033" i="72"/>
  <c r="R888" i="72"/>
  <c r="G354" i="72"/>
  <c r="N903" i="72"/>
  <c r="L117" i="72"/>
  <c r="M355" i="72"/>
  <c r="I648" i="72"/>
  <c r="D947" i="72"/>
  <c r="N117" i="72"/>
  <c r="I277" i="72"/>
  <c r="D513" i="72"/>
  <c r="Q948" i="72"/>
  <c r="K354" i="72"/>
  <c r="J520" i="72"/>
  <c r="G399" i="72"/>
  <c r="I458" i="72"/>
  <c r="Q223" i="72"/>
  <c r="O354" i="72"/>
  <c r="E454" i="72"/>
  <c r="F26" i="72"/>
  <c r="D491" i="72"/>
  <c r="E81" i="72"/>
  <c r="F246" i="72"/>
  <c r="D361" i="72"/>
  <c r="G128" i="72"/>
  <c r="G263" i="72"/>
  <c r="G177" i="72"/>
  <c r="Q491" i="72"/>
  <c r="Q82" i="72"/>
  <c r="E503" i="72"/>
  <c r="P304" i="72"/>
  <c r="Q110" i="72"/>
  <c r="M125" i="72"/>
  <c r="G526" i="72"/>
  <c r="O203" i="72"/>
  <c r="H880" i="72"/>
  <c r="J350" i="72"/>
  <c r="I903" i="72"/>
  <c r="K442" i="72"/>
  <c r="H22" i="72"/>
  <c r="G326" i="72"/>
  <c r="H599" i="72"/>
  <c r="Q73" i="72"/>
  <c r="Q216" i="72"/>
  <c r="D458" i="72"/>
  <c r="Q548" i="72"/>
  <c r="N93" i="72"/>
  <c r="E218" i="72"/>
  <c r="I287" i="72"/>
  <c r="M354" i="72"/>
  <c r="J475" i="72"/>
  <c r="F115" i="72"/>
  <c r="F465" i="72"/>
  <c r="I431" i="72"/>
  <c r="O495" i="72"/>
  <c r="M11" i="72"/>
  <c r="K143" i="72"/>
  <c r="L431" i="72"/>
  <c r="J491" i="72"/>
  <c r="K727" i="72"/>
  <c r="L979" i="72"/>
  <c r="M74" i="72"/>
  <c r="M318" i="72"/>
  <c r="M431" i="72"/>
  <c r="F472" i="72"/>
  <c r="H550" i="72"/>
  <c r="L756" i="72"/>
  <c r="E222" i="72"/>
  <c r="N690" i="72"/>
  <c r="O28" i="72"/>
  <c r="F220" i="72"/>
  <c r="M927" i="72"/>
  <c r="J967" i="72"/>
  <c r="N881" i="72"/>
  <c r="R332" i="72"/>
  <c r="F193" i="72"/>
  <c r="R486" i="72"/>
  <c r="R941" i="72"/>
  <c r="K315" i="72"/>
  <c r="P648" i="72"/>
  <c r="D216" i="72"/>
  <c r="I354" i="72"/>
  <c r="O459" i="72"/>
  <c r="P117" i="72"/>
  <c r="K22" i="72"/>
  <c r="K193" i="72"/>
  <c r="M309" i="72"/>
  <c r="K365" i="72"/>
  <c r="P22" i="72"/>
  <c r="Q142" i="72"/>
  <c r="J218" i="72"/>
  <c r="N301" i="72"/>
  <c r="R458" i="72"/>
  <c r="F727" i="72"/>
  <c r="R246" i="72"/>
  <c r="R336" i="72"/>
  <c r="K491" i="72"/>
  <c r="F550" i="72"/>
  <c r="H756" i="72"/>
  <c r="Q155" i="72"/>
  <c r="G651" i="72"/>
  <c r="E972" i="72"/>
  <c r="K780" i="72"/>
  <c r="H438" i="72"/>
  <c r="P121" i="72"/>
  <c r="R1094" i="72"/>
  <c r="D597" i="72"/>
  <c r="D377" i="72"/>
  <c r="L343" i="72"/>
  <c r="H611" i="72"/>
  <c r="N629" i="72"/>
  <c r="R903" i="72"/>
  <c r="O333" i="72"/>
  <c r="P947" i="72"/>
  <c r="N355" i="72"/>
  <c r="F142" i="72"/>
  <c r="G363" i="72"/>
  <c r="O851" i="72"/>
  <c r="R786" i="72"/>
  <c r="M629" i="72"/>
  <c r="O903" i="72"/>
  <c r="H354" i="72"/>
  <c r="M947" i="72"/>
  <c r="R178" i="72"/>
  <c r="H475" i="72"/>
  <c r="Q63" i="72"/>
  <c r="H11" i="72"/>
  <c r="N193" i="72"/>
  <c r="F81" i="72"/>
  <c r="J351" i="72"/>
  <c r="I529" i="72"/>
  <c r="P431" i="72"/>
  <c r="G182" i="72"/>
  <c r="N766" i="72"/>
  <c r="O245" i="72"/>
  <c r="G473" i="72"/>
  <c r="E834" i="72"/>
  <c r="E886" i="72"/>
  <c r="M767" i="72"/>
  <c r="H649" i="72"/>
  <c r="P712" i="72"/>
  <c r="E597" i="72"/>
  <c r="M742" i="72"/>
  <c r="K849" i="72"/>
  <c r="N934" i="72"/>
  <c r="J1006" i="72"/>
  <c r="P737" i="72"/>
  <c r="L1006" i="72"/>
  <c r="O725" i="72"/>
  <c r="K807" i="72"/>
  <c r="R590" i="72"/>
  <c r="H692" i="72"/>
  <c r="K838" i="72"/>
  <c r="J909" i="72"/>
  <c r="Q1007" i="72"/>
  <c r="N815" i="72"/>
  <c r="L341" i="72"/>
  <c r="P888" i="72"/>
  <c r="L903" i="72"/>
  <c r="O371" i="72"/>
  <c r="M10" i="72"/>
  <c r="M315" i="72"/>
  <c r="H81" i="72"/>
  <c r="D939" i="72"/>
  <c r="J903" i="72"/>
  <c r="I599" i="72"/>
  <c r="R520" i="72"/>
  <c r="M108" i="72"/>
  <c r="R315" i="72"/>
  <c r="H1026" i="72"/>
  <c r="K531" i="72"/>
  <c r="P182" i="72"/>
  <c r="Q941" i="72"/>
  <c r="P520" i="72"/>
  <c r="D218" i="72"/>
  <c r="I520" i="72"/>
  <c r="R216" i="72"/>
  <c r="E431" i="72"/>
  <c r="I80" i="72"/>
  <c r="I220" i="72"/>
  <c r="O360" i="72"/>
  <c r="L841" i="72"/>
  <c r="J528" i="72"/>
  <c r="E979" i="72"/>
  <c r="M143" i="72"/>
  <c r="M253" i="72"/>
  <c r="R416" i="72"/>
  <c r="J756" i="72"/>
  <c r="F136" i="72"/>
  <c r="M570" i="72"/>
  <c r="Q431" i="72"/>
  <c r="E877" i="72"/>
  <c r="E356" i="72"/>
  <c r="J510" i="72"/>
  <c r="L886" i="72"/>
  <c r="O863" i="72"/>
  <c r="N663" i="72"/>
  <c r="M803" i="72"/>
  <c r="I1092" i="72"/>
  <c r="K953" i="72"/>
  <c r="Q649" i="72"/>
  <c r="G822" i="72"/>
  <c r="O575" i="72"/>
  <c r="N765" i="72"/>
  <c r="Q849" i="72"/>
  <c r="H946" i="72"/>
  <c r="N1006" i="72"/>
  <c r="G459" i="72"/>
  <c r="H1029" i="72"/>
  <c r="I642" i="72"/>
  <c r="F611" i="72"/>
  <c r="I223" i="72"/>
  <c r="E108" i="72"/>
  <c r="R648" i="72"/>
  <c r="G108" i="72"/>
  <c r="I301" i="72"/>
  <c r="K142" i="72"/>
  <c r="G220" i="72"/>
  <c r="R334" i="72"/>
  <c r="H379" i="72"/>
  <c r="H465" i="72"/>
  <c r="I773" i="72"/>
  <c r="O218" i="72"/>
  <c r="I435" i="72"/>
  <c r="Q727" i="72"/>
  <c r="J159" i="72"/>
  <c r="G261" i="72"/>
  <c r="M435" i="72"/>
  <c r="P550" i="72"/>
  <c r="F756" i="72"/>
  <c r="R651" i="72"/>
  <c r="O552" i="72"/>
  <c r="K570" i="72"/>
  <c r="Q852" i="72"/>
  <c r="O81" i="72"/>
  <c r="I299" i="72"/>
  <c r="G377" i="72"/>
  <c r="I886" i="72"/>
  <c r="L658" i="72"/>
  <c r="N868" i="72"/>
  <c r="I670" i="72"/>
  <c r="H742" i="72"/>
  <c r="R805" i="72"/>
  <c r="R808" i="72"/>
  <c r="J935" i="72"/>
  <c r="L355" i="72"/>
  <c r="Q459" i="72"/>
  <c r="J458" i="72"/>
  <c r="L475" i="72"/>
  <c r="O115" i="72"/>
  <c r="D213" i="72"/>
  <c r="D446" i="72"/>
  <c r="N431" i="72"/>
  <c r="P120" i="72"/>
  <c r="F570" i="72"/>
  <c r="K766" i="72"/>
  <c r="G181" i="72"/>
  <c r="F355" i="72"/>
  <c r="K834" i="72"/>
  <c r="H886" i="72"/>
  <c r="H519" i="72"/>
  <c r="I748" i="72"/>
  <c r="M1000" i="72"/>
  <c r="M786" i="72"/>
  <c r="P864" i="72"/>
  <c r="D722" i="72"/>
  <c r="I838" i="72"/>
  <c r="D962" i="72"/>
  <c r="I743" i="72"/>
  <c r="L807" i="72"/>
  <c r="J880" i="72"/>
  <c r="M838" i="72"/>
  <c r="F598" i="72"/>
  <c r="E674" i="72"/>
  <c r="D805" i="72"/>
  <c r="G893" i="72"/>
  <c r="E705" i="72"/>
  <c r="O909" i="72"/>
  <c r="Q1022" i="72"/>
  <c r="R1090" i="72"/>
  <c r="M893" i="72"/>
  <c r="E1017" i="72"/>
  <c r="P620" i="72"/>
  <c r="H677" i="72"/>
  <c r="G789" i="72"/>
  <c r="R909" i="72"/>
  <c r="R1073" i="72"/>
  <c r="G609" i="72"/>
  <c r="N677" i="72"/>
  <c r="I792" i="72"/>
  <c r="E863" i="72"/>
  <c r="Q966" i="72"/>
  <c r="O1068" i="72"/>
  <c r="R17" i="72"/>
  <c r="H182" i="72"/>
  <c r="F141" i="72"/>
  <c r="H164" i="72"/>
  <c r="H88" i="72"/>
  <c r="H429" i="72"/>
  <c r="F108" i="72"/>
  <c r="K1013" i="72"/>
  <c r="G500" i="72"/>
  <c r="P178" i="72"/>
  <c r="K108" i="72"/>
  <c r="P256" i="72"/>
  <c r="F471" i="72"/>
  <c r="K475" i="72"/>
  <c r="I465" i="72"/>
  <c r="P11" i="72"/>
  <c r="L220" i="72"/>
  <c r="N454" i="72"/>
  <c r="D766" i="72"/>
  <c r="D217" i="72"/>
  <c r="H383" i="72"/>
  <c r="G886" i="72"/>
  <c r="H826" i="72"/>
  <c r="P645" i="72"/>
  <c r="J755" i="72"/>
  <c r="D923" i="72"/>
  <c r="G1007" i="72"/>
  <c r="E790" i="72"/>
  <c r="D918" i="72"/>
  <c r="P1043" i="72"/>
  <c r="L642" i="72"/>
  <c r="R864" i="72"/>
  <c r="Q1089" i="72"/>
  <c r="N894" i="72"/>
  <c r="O1006" i="72"/>
  <c r="Q640" i="72"/>
  <c r="E893" i="72"/>
  <c r="F604" i="72"/>
  <c r="J692" i="72"/>
  <c r="P807" i="72"/>
  <c r="M909" i="72"/>
  <c r="O912" i="72"/>
  <c r="P1034" i="72"/>
  <c r="M1097" i="72"/>
  <c r="Q909" i="72"/>
  <c r="F625" i="72"/>
  <c r="N692" i="72"/>
  <c r="F792" i="72"/>
  <c r="H927" i="72"/>
  <c r="G1017" i="72"/>
  <c r="N1094" i="72"/>
  <c r="P692" i="72"/>
  <c r="E798" i="72"/>
  <c r="F984" i="72"/>
  <c r="K76" i="72"/>
  <c r="O342" i="72"/>
  <c r="G164" i="72"/>
  <c r="J37" i="72"/>
  <c r="L94" i="72"/>
  <c r="D486" i="72"/>
  <c r="O597" i="72"/>
  <c r="D903" i="72"/>
  <c r="O181" i="72"/>
  <c r="M301" i="72"/>
  <c r="E26" i="72"/>
  <c r="P495" i="72"/>
  <c r="D756" i="72"/>
  <c r="K973" i="72"/>
  <c r="H247" i="72"/>
  <c r="J410" i="72"/>
  <c r="O834" i="72"/>
  <c r="F886" i="72"/>
  <c r="I763" i="72"/>
  <c r="E822" i="72"/>
  <c r="Q929" i="72"/>
  <c r="I799" i="72"/>
  <c r="O934" i="72"/>
  <c r="H1078" i="72"/>
  <c r="N644" i="72"/>
  <c r="G743" i="72"/>
  <c r="L894" i="72"/>
  <c r="E977" i="72"/>
  <c r="N1093" i="72"/>
  <c r="M642" i="72"/>
  <c r="P765" i="72"/>
  <c r="I815" i="72"/>
  <c r="M902" i="72"/>
  <c r="P1006" i="72"/>
  <c r="D620" i="72"/>
  <c r="K962" i="72"/>
  <c r="I592" i="72"/>
  <c r="D645" i="72"/>
  <c r="R720" i="72"/>
  <c r="L1042" i="72"/>
  <c r="K674" i="72"/>
  <c r="M962" i="72"/>
  <c r="Q1027" i="72"/>
  <c r="G1094" i="72"/>
  <c r="G803" i="72"/>
  <c r="G944" i="72"/>
  <c r="N518" i="72"/>
  <c r="M625" i="72"/>
  <c r="H803" i="72"/>
  <c r="P893" i="72"/>
  <c r="O178" i="72"/>
  <c r="O205" i="72"/>
  <c r="P315" i="72"/>
  <c r="L296" i="72"/>
  <c r="J115" i="72"/>
  <c r="R528" i="72"/>
  <c r="J38" i="72"/>
  <c r="O177" i="72"/>
  <c r="M337" i="72"/>
  <c r="D886" i="72"/>
  <c r="M658" i="72"/>
  <c r="N767" i="72"/>
  <c r="D827" i="72"/>
  <c r="P1029" i="72"/>
  <c r="Q693" i="72"/>
  <c r="E946" i="72"/>
  <c r="D909" i="72"/>
  <c r="M988" i="72"/>
  <c r="Q493" i="72"/>
  <c r="F823" i="72"/>
  <c r="L918" i="72"/>
  <c r="E1042" i="72"/>
  <c r="I692" i="72"/>
  <c r="J1073" i="72"/>
  <c r="Q720" i="72"/>
  <c r="O815" i="72"/>
  <c r="Q1006" i="72"/>
  <c r="N597" i="72"/>
  <c r="K722" i="72"/>
  <c r="L926" i="72"/>
  <c r="F1044" i="72"/>
  <c r="E677" i="72"/>
  <c r="L966" i="72"/>
  <c r="M1042" i="72"/>
  <c r="N1097" i="72"/>
  <c r="J645" i="72"/>
  <c r="F808" i="72"/>
  <c r="O962" i="72"/>
  <c r="R1027" i="72"/>
  <c r="H534" i="72"/>
  <c r="M719" i="72"/>
  <c r="H808" i="72"/>
  <c r="Q1094" i="72"/>
  <c r="M154" i="72"/>
  <c r="O182" i="72"/>
  <c r="I342" i="72"/>
  <c r="E57" i="72"/>
  <c r="J103" i="72"/>
  <c r="O154" i="72"/>
  <c r="E653" i="72"/>
  <c r="N181" i="72"/>
  <c r="K340" i="72"/>
  <c r="M727" i="72"/>
  <c r="I222" i="72"/>
  <c r="D410" i="72"/>
  <c r="I316" i="72"/>
  <c r="L691" i="72"/>
  <c r="R1025" i="72"/>
  <c r="K842" i="72"/>
  <c r="L949" i="72"/>
  <c r="J1039" i="72"/>
  <c r="F814" i="72"/>
  <c r="I807" i="72"/>
  <c r="J918" i="72"/>
  <c r="J743" i="72"/>
  <c r="R640" i="72"/>
  <c r="I722" i="72"/>
  <c r="I823" i="72"/>
  <c r="P1022" i="72"/>
  <c r="N653" i="72"/>
  <c r="N943" i="72"/>
  <c r="M692" i="72"/>
  <c r="D997" i="72"/>
  <c r="M518" i="72"/>
  <c r="K719" i="72"/>
  <c r="M867" i="72"/>
  <c r="M966" i="72"/>
  <c r="L1035" i="72"/>
  <c r="M645" i="72"/>
  <c r="F826" i="72"/>
  <c r="L927" i="72"/>
  <c r="N182" i="72"/>
  <c r="H342" i="72"/>
  <c r="P143" i="72"/>
  <c r="L722" i="72"/>
  <c r="E193" i="72"/>
  <c r="L398" i="72"/>
  <c r="R442" i="72"/>
  <c r="Q185" i="72"/>
  <c r="R367" i="72"/>
  <c r="L158" i="72"/>
  <c r="N218" i="72"/>
  <c r="J727" i="72"/>
  <c r="M550" i="72"/>
  <c r="P159" i="72"/>
  <c r="G325" i="72"/>
  <c r="F670" i="72"/>
  <c r="P798" i="72"/>
  <c r="N649" i="72"/>
  <c r="J1043" i="72"/>
  <c r="L827" i="72"/>
  <c r="I981" i="72"/>
  <c r="M1006" i="72"/>
  <c r="E692" i="72"/>
  <c r="P1007" i="72"/>
  <c r="N790" i="72"/>
  <c r="E857" i="72"/>
  <c r="E962" i="72"/>
  <c r="E1073" i="72"/>
  <c r="N517" i="72"/>
  <c r="R642" i="72"/>
  <c r="Q743" i="72"/>
  <c r="K1042" i="72"/>
  <c r="M604" i="72"/>
  <c r="K413" i="72"/>
  <c r="D38" i="72"/>
  <c r="I337" i="72"/>
  <c r="P568" i="72"/>
  <c r="M703" i="72"/>
  <c r="H584" i="72"/>
  <c r="L653" i="72"/>
  <c r="J607" i="72"/>
  <c r="O857" i="72"/>
  <c r="N1081" i="72"/>
  <c r="O1073" i="72"/>
  <c r="D1010" i="72"/>
  <c r="J663" i="72"/>
  <c r="J944" i="72"/>
  <c r="E65" i="72"/>
  <c r="R357" i="72"/>
  <c r="J183" i="72"/>
  <c r="F61" i="72"/>
  <c r="Q88" i="72"/>
  <c r="O108" i="72"/>
  <c r="E134" i="72"/>
  <c r="J149" i="72"/>
  <c r="J19" i="72"/>
  <c r="D43" i="72"/>
  <c r="L327" i="72"/>
  <c r="G147" i="72"/>
  <c r="E27" i="72"/>
  <c r="P19" i="72"/>
  <c r="F159" i="72"/>
  <c r="O415" i="72"/>
  <c r="H60" i="72"/>
  <c r="H207" i="72"/>
  <c r="O94" i="72"/>
  <c r="N114" i="72"/>
  <c r="E60" i="72"/>
  <c r="P28" i="72"/>
  <c r="M302" i="72"/>
  <c r="M27" i="72"/>
  <c r="F177" i="72"/>
  <c r="N27" i="72"/>
  <c r="P109" i="72"/>
  <c r="I57" i="72"/>
  <c r="E103" i="72"/>
  <c r="F116" i="72"/>
  <c r="J199" i="72"/>
  <c r="M287" i="72"/>
  <c r="R318" i="72"/>
  <c r="H430" i="72"/>
  <c r="G774" i="72"/>
  <c r="K266" i="72"/>
  <c r="P199" i="72"/>
  <c r="O301" i="72"/>
  <c r="H453" i="72"/>
  <c r="J198" i="72"/>
  <c r="P295" i="72"/>
  <c r="F340" i="72"/>
  <c r="J362" i="72"/>
  <c r="P504" i="72"/>
  <c r="M551" i="72"/>
  <c r="N284" i="72"/>
  <c r="G340" i="72"/>
  <c r="J453" i="72"/>
  <c r="J472" i="72"/>
  <c r="G497" i="72"/>
  <c r="I253" i="72"/>
  <c r="M438" i="72"/>
  <c r="P462" i="72"/>
  <c r="L660" i="72"/>
  <c r="G702" i="72"/>
  <c r="D115" i="72"/>
  <c r="D315" i="72"/>
  <c r="I367" i="72"/>
  <c r="D439" i="72"/>
  <c r="O695" i="72"/>
  <c r="I257" i="72"/>
  <c r="G217" i="72"/>
  <c r="P411" i="72"/>
  <c r="K74" i="72"/>
  <c r="K361" i="72"/>
  <c r="D355" i="72"/>
  <c r="O353" i="72"/>
  <c r="F642" i="72"/>
  <c r="O693" i="72"/>
  <c r="Q778" i="72"/>
  <c r="M720" i="72"/>
  <c r="J597" i="72"/>
  <c r="Q662" i="72"/>
  <c r="H620" i="72"/>
  <c r="F705" i="72"/>
  <c r="R1081" i="72"/>
  <c r="N722" i="72"/>
  <c r="P1042" i="72"/>
  <c r="P674" i="72"/>
  <c r="K154" i="72"/>
  <c r="H183" i="72"/>
  <c r="E69" i="72"/>
  <c r="R429" i="72"/>
  <c r="N94" i="72"/>
  <c r="Q442" i="72"/>
  <c r="F366" i="72"/>
  <c r="G550" i="72"/>
  <c r="Q570" i="72"/>
  <c r="D572" i="72"/>
  <c r="G699" i="72"/>
  <c r="M864" i="72"/>
  <c r="M849" i="72"/>
  <c r="M790" i="72"/>
  <c r="E717" i="72"/>
  <c r="E1080" i="72"/>
  <c r="F674" i="72"/>
  <c r="K893" i="72"/>
  <c r="H719" i="72"/>
  <c r="P722" i="72"/>
  <c r="J22" i="72"/>
  <c r="G454" i="72"/>
  <c r="N570" i="72"/>
  <c r="D720" i="72"/>
  <c r="M855" i="72"/>
  <c r="K692" i="72"/>
  <c r="L962" i="72"/>
  <c r="E789" i="72"/>
  <c r="P597" i="72"/>
  <c r="F873" i="72"/>
  <c r="J1068" i="72"/>
  <c r="E783" i="72"/>
  <c r="Q990" i="72"/>
  <c r="R182" i="72"/>
  <c r="Q290" i="72"/>
  <c r="G431" i="72"/>
  <c r="O167" i="72"/>
  <c r="O886" i="72"/>
  <c r="N808" i="72"/>
  <c r="P1000" i="72"/>
  <c r="E943" i="72"/>
  <c r="O807" i="72"/>
  <c r="R1006" i="72"/>
  <c r="P1002" i="72"/>
  <c r="Q604" i="72"/>
  <c r="P881" i="72"/>
  <c r="J588" i="72"/>
  <c r="O789" i="72"/>
  <c r="H1010" i="72"/>
  <c r="Q38" i="72"/>
  <c r="L182" i="72"/>
  <c r="F154" i="72"/>
  <c r="N21" i="72"/>
  <c r="I129" i="72"/>
  <c r="D108" i="72"/>
  <c r="K129" i="72"/>
  <c r="R344" i="72"/>
  <c r="D109" i="72"/>
  <c r="G249" i="72"/>
  <c r="F327" i="72"/>
  <c r="L109" i="72"/>
  <c r="N415" i="72"/>
  <c r="G415" i="72"/>
  <c r="I100" i="72"/>
  <c r="P150" i="72"/>
  <c r="Q109" i="72"/>
  <c r="F237" i="72"/>
  <c r="F76" i="72"/>
  <c r="N179" i="72"/>
  <c r="N352" i="72"/>
  <c r="E164" i="72"/>
  <c r="N177" i="72"/>
  <c r="H180" i="72"/>
  <c r="K48" i="72"/>
  <c r="L140" i="72"/>
  <c r="P27" i="72"/>
  <c r="D154" i="72"/>
  <c r="D178" i="72"/>
  <c r="L218" i="72"/>
  <c r="N309" i="72"/>
  <c r="N774" i="72"/>
  <c r="N412" i="72"/>
  <c r="M343" i="72"/>
  <c r="K99" i="72"/>
  <c r="R218" i="72"/>
  <c r="F551" i="72"/>
  <c r="P262" i="72"/>
  <c r="D316" i="72"/>
  <c r="L362" i="72"/>
  <c r="Q331" i="72"/>
  <c r="K453" i="72"/>
  <c r="P498" i="72"/>
  <c r="P660" i="72"/>
  <c r="E660" i="72"/>
  <c r="H220" i="72"/>
  <c r="F354" i="72"/>
  <c r="E829" i="72"/>
  <c r="K646" i="72"/>
  <c r="F335" i="72"/>
  <c r="I900" i="72"/>
  <c r="D11" i="72"/>
  <c r="R766" i="72"/>
  <c r="N886" i="72"/>
  <c r="H981" i="72"/>
  <c r="K1007" i="72"/>
  <c r="N804" i="72"/>
  <c r="R861" i="72"/>
  <c r="J1012" i="72"/>
  <c r="H663" i="72"/>
  <c r="N893" i="72"/>
  <c r="Q597" i="72"/>
  <c r="E840" i="72"/>
  <c r="E42" i="72"/>
  <c r="K182" i="72"/>
  <c r="G87" i="72"/>
  <c r="L164" i="72"/>
  <c r="M159" i="72"/>
  <c r="G474" i="72"/>
  <c r="M32" i="72"/>
  <c r="N134" i="72"/>
  <c r="K344" i="72"/>
  <c r="R32" i="72"/>
  <c r="G150" i="72"/>
  <c r="E249" i="72"/>
  <c r="N147" i="72"/>
  <c r="I135" i="72"/>
  <c r="F43" i="72"/>
  <c r="Q159" i="72"/>
  <c r="O400" i="72"/>
  <c r="H43" i="72"/>
  <c r="K415" i="72"/>
  <c r="F415" i="72"/>
  <c r="O109" i="72"/>
  <c r="I150" i="72"/>
  <c r="G69" i="72"/>
  <c r="Q162" i="72"/>
  <c r="P9" i="72"/>
  <c r="M60" i="72"/>
  <c r="M352" i="72"/>
  <c r="R63" i="72"/>
  <c r="K177" i="72"/>
  <c r="G57" i="72"/>
  <c r="Q147" i="72"/>
  <c r="N197" i="72"/>
  <c r="G109" i="72"/>
  <c r="H70" i="72"/>
  <c r="N164" i="72"/>
  <c r="R268" i="72"/>
  <c r="J341" i="72"/>
  <c r="M774" i="72"/>
  <c r="G343" i="72"/>
  <c r="L412" i="72"/>
  <c r="Q898" i="72"/>
  <c r="H269" i="72"/>
  <c r="K196" i="72"/>
  <c r="F1006" i="72"/>
  <c r="N1073" i="72"/>
  <c r="R1012" i="72"/>
  <c r="D851" i="72"/>
  <c r="F164" i="72"/>
  <c r="E44" i="72"/>
  <c r="E474" i="72"/>
  <c r="Q108" i="72"/>
  <c r="H147" i="72"/>
  <c r="E43" i="72"/>
  <c r="F27" i="72"/>
  <c r="N122" i="72"/>
  <c r="J114" i="72"/>
  <c r="M415" i="72"/>
  <c r="R124" i="72"/>
  <c r="M597" i="72"/>
  <c r="G1068" i="72"/>
  <c r="I182" i="72"/>
  <c r="E13" i="72"/>
  <c r="I24" i="72"/>
  <c r="Q61" i="72"/>
  <c r="H27" i="72"/>
  <c r="J415" i="72"/>
  <c r="L415" i="72"/>
  <c r="M41" i="72"/>
  <c r="R302" i="72"/>
  <c r="Q60" i="72"/>
  <c r="F20" i="72"/>
  <c r="P140" i="72"/>
  <c r="R109" i="72"/>
  <c r="P20" i="72"/>
  <c r="L181" i="72"/>
  <c r="R316" i="72"/>
  <c r="N354" i="72"/>
  <c r="E774" i="72"/>
  <c r="F284" i="72"/>
  <c r="R181" i="72"/>
  <c r="E245" i="72"/>
  <c r="K305" i="72"/>
  <c r="R504" i="72"/>
  <c r="J551" i="72"/>
  <c r="F334" i="72"/>
  <c r="O229" i="72"/>
  <c r="E316" i="72"/>
  <c r="F455" i="72"/>
  <c r="R498" i="72"/>
  <c r="O660" i="72"/>
  <c r="N267" i="72"/>
  <c r="E361" i="72"/>
  <c r="G439" i="72"/>
  <c r="H695" i="72"/>
  <c r="P646" i="72"/>
  <c r="F348" i="72"/>
  <c r="F436" i="72"/>
  <c r="K478" i="72"/>
  <c r="R245" i="72"/>
  <c r="O283" i="72"/>
  <c r="L322" i="72"/>
  <c r="M199" i="72"/>
  <c r="J877" i="72"/>
  <c r="D1068" i="72"/>
  <c r="D668" i="72"/>
  <c r="P962" i="72"/>
  <c r="M342" i="72"/>
  <c r="P71" i="72"/>
  <c r="H108" i="72"/>
  <c r="D27" i="72"/>
  <c r="Q69" i="72"/>
  <c r="M33" i="72"/>
  <c r="O129" i="72"/>
  <c r="K159" i="72"/>
  <c r="I415" i="72"/>
  <c r="H415" i="72"/>
  <c r="N60" i="72"/>
  <c r="P43" i="72"/>
  <c r="J63" i="72"/>
  <c r="D26" i="72"/>
  <c r="N140" i="72"/>
  <c r="K109" i="72"/>
  <c r="G141" i="72"/>
  <c r="F324" i="72"/>
  <c r="D394" i="72"/>
  <c r="D774" i="72"/>
  <c r="L421" i="72"/>
  <c r="H482" i="72"/>
  <c r="J504" i="72"/>
  <c r="I551" i="72"/>
  <c r="R269" i="72"/>
  <c r="Q497" i="72"/>
  <c r="M260" i="72"/>
  <c r="Q498" i="72"/>
  <c r="N660" i="72"/>
  <c r="E702" i="72"/>
  <c r="N178" i="72"/>
  <c r="K223" i="72"/>
  <c r="F283" i="72"/>
  <c r="J325" i="72"/>
  <c r="Q340" i="72"/>
  <c r="M646" i="72"/>
  <c r="L361" i="72"/>
  <c r="P453" i="72"/>
  <c r="M85" i="72"/>
  <c r="R291" i="72"/>
  <c r="M356" i="72"/>
  <c r="N463" i="72"/>
  <c r="E470" i="72"/>
  <c r="O316" i="72"/>
  <c r="O223" i="72"/>
  <c r="E178" i="72"/>
  <c r="H597" i="72"/>
  <c r="M1073" i="72"/>
  <c r="L674" i="72"/>
  <c r="E1057" i="72"/>
  <c r="I61" i="72"/>
  <c r="E122" i="72"/>
  <c r="Q37" i="72"/>
  <c r="M327" i="72"/>
  <c r="L129" i="72"/>
  <c r="O33" i="72"/>
  <c r="R33" i="72"/>
  <c r="Q94" i="72"/>
  <c r="D137" i="72"/>
  <c r="I70" i="72"/>
  <c r="J164" i="72"/>
  <c r="R48" i="72"/>
  <c r="F208" i="72"/>
  <c r="P279" i="72"/>
  <c r="H326" i="72"/>
  <c r="Q406" i="72"/>
  <c r="P774" i="72"/>
  <c r="R401" i="72"/>
  <c r="D173" i="72"/>
  <c r="J104" i="72"/>
  <c r="H260" i="72"/>
  <c r="I360" i="72"/>
  <c r="H504" i="72"/>
  <c r="P173" i="72"/>
  <c r="P343" i="72"/>
  <c r="O497" i="72"/>
  <c r="R262" i="72"/>
  <c r="H334" i="72"/>
  <c r="N438" i="72"/>
  <c r="H498" i="72"/>
  <c r="M660" i="72"/>
  <c r="N224" i="72"/>
  <c r="D285" i="72"/>
  <c r="R468" i="72"/>
  <c r="F829" i="72"/>
  <c r="J646" i="72"/>
  <c r="M453" i="72"/>
  <c r="K102" i="72"/>
  <c r="H181" i="72"/>
  <c r="I217" i="72"/>
  <c r="I297" i="72"/>
  <c r="M361" i="72"/>
  <c r="M463" i="72"/>
  <c r="J217" i="72"/>
  <c r="H335" i="72"/>
  <c r="E399" i="72"/>
  <c r="O608" i="72"/>
  <c r="K217" i="72"/>
  <c r="I309" i="72"/>
  <c r="D364" i="72"/>
  <c r="F473" i="72"/>
  <c r="P354" i="72"/>
  <c r="R692" i="72"/>
  <c r="Q1011" i="72"/>
  <c r="E805" i="72"/>
  <c r="H990" i="72"/>
  <c r="D1091" i="72"/>
  <c r="F69" i="72"/>
  <c r="G134" i="72"/>
  <c r="F40" i="72"/>
  <c r="M249" i="72"/>
  <c r="K327" i="72"/>
  <c r="I106" i="72"/>
  <c r="Q186" i="72"/>
  <c r="I43" i="72"/>
  <c r="F94" i="72"/>
  <c r="L108" i="72"/>
  <c r="P352" i="72"/>
  <c r="J177" i="72"/>
  <c r="H109" i="72"/>
  <c r="G77" i="72"/>
  <c r="K333" i="72"/>
  <c r="E438" i="72"/>
  <c r="H774" i="72"/>
  <c r="D198" i="72"/>
  <c r="O341" i="72"/>
  <c r="N262" i="72"/>
  <c r="D325" i="72"/>
  <c r="I426" i="72"/>
  <c r="L198" i="72"/>
  <c r="Q301" i="72"/>
  <c r="M472" i="72"/>
  <c r="Q173" i="72"/>
  <c r="K337" i="72"/>
  <c r="L438" i="72"/>
  <c r="K660" i="72"/>
  <c r="J397" i="72"/>
  <c r="G196" i="72"/>
  <c r="N245" i="72"/>
  <c r="F290" i="72"/>
  <c r="O337" i="72"/>
  <c r="G367" i="72"/>
  <c r="D485" i="72"/>
  <c r="J214" i="72"/>
  <c r="F1068" i="72"/>
  <c r="K13" i="72"/>
  <c r="I327" i="72"/>
  <c r="J400" i="72"/>
  <c r="L27" i="72"/>
  <c r="G197" i="72"/>
  <c r="D76" i="72"/>
  <c r="N226" i="72"/>
  <c r="Q350" i="72"/>
  <c r="I262" i="72"/>
  <c r="F173" i="72"/>
  <c r="I284" i="72"/>
  <c r="F229" i="72"/>
  <c r="F396" i="72"/>
  <c r="E488" i="72"/>
  <c r="E485" i="72"/>
  <c r="E309" i="72"/>
  <c r="F309" i="72"/>
  <c r="I164" i="72"/>
  <c r="D59" i="72"/>
  <c r="K147" i="72"/>
  <c r="J88" i="72"/>
  <c r="R43" i="72"/>
  <c r="J180" i="72"/>
  <c r="F93" i="72"/>
  <c r="R244" i="72"/>
  <c r="K353" i="72"/>
  <c r="P309" i="72"/>
  <c r="P273" i="72"/>
  <c r="H178" i="72"/>
  <c r="P301" i="72"/>
  <c r="H253" i="72"/>
  <c r="R362" i="72"/>
  <c r="G316" i="72"/>
  <c r="J439" i="72"/>
  <c r="G283" i="72"/>
  <c r="O411" i="72"/>
  <c r="H194" i="72"/>
  <c r="R242" i="72"/>
  <c r="O315" i="72"/>
  <c r="J354" i="72"/>
  <c r="E412" i="72"/>
  <c r="G309" i="72"/>
  <c r="F412" i="72"/>
  <c r="G608" i="72"/>
  <c r="P268" i="72"/>
  <c r="O350" i="72"/>
  <c r="P454" i="72"/>
  <c r="M573" i="72"/>
  <c r="R627" i="72"/>
  <c r="P676" i="72"/>
  <c r="G703" i="72"/>
  <c r="I657" i="72"/>
  <c r="O797" i="72"/>
  <c r="F525" i="72"/>
  <c r="K728" i="72"/>
  <c r="E843" i="72"/>
  <c r="G525" i="72"/>
  <c r="K609" i="72"/>
  <c r="R658" i="72"/>
  <c r="I696" i="72"/>
  <c r="H765" i="72"/>
  <c r="E1059" i="72"/>
  <c r="F491" i="72"/>
  <c r="O579" i="72"/>
  <c r="Q661" i="72"/>
  <c r="L875" i="72"/>
  <c r="J423" i="72"/>
  <c r="M494" i="72"/>
  <c r="K538" i="72"/>
  <c r="O609" i="72"/>
  <c r="L402" i="72"/>
  <c r="J487" i="72"/>
  <c r="K553" i="72"/>
  <c r="D605" i="72"/>
  <c r="J712" i="72"/>
  <c r="R108" i="72"/>
  <c r="P69" i="72"/>
  <c r="O19" i="72"/>
  <c r="D150" i="72"/>
  <c r="R162" i="72"/>
  <c r="R163" i="72"/>
  <c r="Q81" i="72"/>
  <c r="D293" i="72"/>
  <c r="F346" i="72"/>
  <c r="E337" i="72"/>
  <c r="K472" i="72"/>
  <c r="K438" i="72"/>
  <c r="R484" i="72"/>
  <c r="Q246" i="72"/>
  <c r="N340" i="72"/>
  <c r="J361" i="72"/>
  <c r="E411" i="72"/>
  <c r="D259" i="72"/>
  <c r="N316" i="72"/>
  <c r="L363" i="72"/>
  <c r="L470" i="72"/>
  <c r="F341" i="72"/>
  <c r="H464" i="72"/>
  <c r="E608" i="72"/>
  <c r="L354" i="72"/>
  <c r="G465" i="72"/>
  <c r="K510" i="72"/>
  <c r="P589" i="72"/>
  <c r="O629" i="72"/>
  <c r="H657" i="72"/>
  <c r="L680" i="72"/>
  <c r="P658" i="72"/>
  <c r="N797" i="72"/>
  <c r="H579" i="72"/>
  <c r="N465" i="72"/>
  <c r="G545" i="72"/>
  <c r="N611" i="72"/>
  <c r="M661" i="72"/>
  <c r="Q699" i="72"/>
  <c r="G765" i="72"/>
  <c r="N366" i="72"/>
  <c r="M587" i="72"/>
  <c r="L672" i="72"/>
  <c r="R809" i="72"/>
  <c r="K875" i="72"/>
  <c r="D459" i="72"/>
  <c r="L545" i="72"/>
  <c r="R611" i="72"/>
  <c r="I710" i="72"/>
  <c r="K423" i="72"/>
  <c r="H491" i="72"/>
  <c r="L518" i="72"/>
  <c r="E559" i="72"/>
  <c r="O712" i="72"/>
  <c r="E18" i="72"/>
  <c r="F134" i="72"/>
  <c r="P94" i="72"/>
  <c r="I159" i="72"/>
  <c r="M109" i="72"/>
  <c r="L147" i="72"/>
  <c r="R60" i="72"/>
  <c r="E109" i="72"/>
  <c r="F125" i="72"/>
  <c r="R353" i="72"/>
  <c r="P341" i="72"/>
  <c r="R551" i="72"/>
  <c r="I472" i="72"/>
  <c r="R284" i="72"/>
  <c r="F438" i="72"/>
  <c r="H96" i="72"/>
  <c r="Q253" i="72"/>
  <c r="G10" i="72"/>
  <c r="D249" i="72"/>
  <c r="H159" i="72"/>
  <c r="Q415" i="72"/>
  <c r="G41" i="72"/>
  <c r="P179" i="72"/>
  <c r="D142" i="72"/>
  <c r="J301" i="72"/>
  <c r="F262" i="72"/>
  <c r="G362" i="72"/>
  <c r="G223" i="72"/>
  <c r="N343" i="72"/>
  <c r="N551" i="72"/>
  <c r="G472" i="72"/>
  <c r="R301" i="72"/>
  <c r="H110" i="72"/>
  <c r="N347" i="72"/>
  <c r="P695" i="72"/>
  <c r="E646" i="72"/>
  <c r="R436" i="72"/>
  <c r="R115" i="72"/>
  <c r="R263" i="72"/>
  <c r="G335" i="72"/>
  <c r="N368" i="72"/>
  <c r="N447" i="72"/>
  <c r="H218" i="72"/>
  <c r="R464" i="72"/>
  <c r="N194" i="72"/>
  <c r="G301" i="72"/>
  <c r="H412" i="72"/>
  <c r="R491" i="72"/>
  <c r="H634" i="72"/>
  <c r="H661" i="72"/>
  <c r="L699" i="72"/>
  <c r="P802" i="72"/>
  <c r="H621" i="72"/>
  <c r="E491" i="72"/>
  <c r="H553" i="72"/>
  <c r="M623" i="72"/>
  <c r="O648" i="72"/>
  <c r="E668" i="72"/>
  <c r="E710" i="72"/>
  <c r="D765" i="72"/>
  <c r="N1059" i="72"/>
  <c r="O413" i="72"/>
  <c r="E599" i="72"/>
  <c r="F690" i="72"/>
  <c r="D809" i="72"/>
  <c r="I875" i="72"/>
  <c r="Q465" i="72"/>
  <c r="P510" i="72"/>
  <c r="G429" i="72"/>
  <c r="I109" i="72"/>
  <c r="M43" i="72"/>
  <c r="J237" i="72"/>
  <c r="O17" i="72"/>
  <c r="N156" i="72"/>
  <c r="D284" i="72"/>
  <c r="O472" i="72"/>
  <c r="M346" i="72"/>
  <c r="L551" i="72"/>
  <c r="L331" i="72"/>
  <c r="J455" i="72"/>
  <c r="N148" i="72"/>
  <c r="I350" i="72"/>
  <c r="I695" i="72"/>
  <c r="G445" i="72"/>
  <c r="M196" i="72"/>
  <c r="N436" i="72"/>
  <c r="F218" i="72"/>
  <c r="G368" i="72"/>
  <c r="F259" i="72"/>
  <c r="P464" i="72"/>
  <c r="R608" i="72"/>
  <c r="D199" i="72"/>
  <c r="P316" i="72"/>
  <c r="E609" i="72"/>
  <c r="L663" i="72"/>
  <c r="H727" i="72"/>
  <c r="J728" i="72"/>
  <c r="M802" i="72"/>
  <c r="K657" i="72"/>
  <c r="K579" i="72"/>
  <c r="G672" i="72"/>
  <c r="H711" i="72"/>
  <c r="M1059" i="72"/>
  <c r="I423" i="72"/>
  <c r="O510" i="72"/>
  <c r="K621" i="72"/>
  <c r="N696" i="72"/>
  <c r="R473" i="72"/>
  <c r="R587" i="72"/>
  <c r="G675" i="72"/>
  <c r="O728" i="72"/>
  <c r="L1041" i="72"/>
  <c r="J690" i="72"/>
  <c r="R1071" i="72"/>
  <c r="E177" i="72"/>
  <c r="N345" i="72"/>
  <c r="N198" i="72"/>
  <c r="Q205" i="72"/>
  <c r="D453" i="72"/>
  <c r="M277" i="72"/>
  <c r="J297" i="72"/>
  <c r="R219" i="72"/>
  <c r="D696" i="72"/>
  <c r="J922" i="72"/>
  <c r="M510" i="72"/>
  <c r="G656" i="72"/>
  <c r="L727" i="72"/>
  <c r="I1059" i="72"/>
  <c r="O525" i="72"/>
  <c r="G710" i="72"/>
  <c r="N875" i="72"/>
  <c r="G491" i="72"/>
  <c r="R661" i="72"/>
  <c r="N1041" i="72"/>
  <c r="D443" i="72"/>
  <c r="Q510" i="72"/>
  <c r="L637" i="72"/>
  <c r="D677" i="72"/>
  <c r="E763" i="72"/>
  <c r="R872" i="72"/>
  <c r="N572" i="72"/>
  <c r="G847" i="72"/>
  <c r="R1009" i="72"/>
  <c r="G561" i="72"/>
  <c r="N794" i="72"/>
  <c r="P443" i="72"/>
  <c r="F486" i="72"/>
  <c r="P630" i="72"/>
  <c r="J428" i="72"/>
  <c r="N491" i="72"/>
  <c r="G706" i="72"/>
  <c r="M778" i="72"/>
  <c r="H799" i="72"/>
  <c r="D1017" i="72"/>
  <c r="P1017" i="72"/>
  <c r="F493" i="72"/>
  <c r="K658" i="72"/>
  <c r="N837" i="72"/>
  <c r="O902" i="72"/>
  <c r="H822" i="72"/>
  <c r="N880" i="72"/>
  <c r="I946" i="72"/>
  <c r="R1039" i="72"/>
  <c r="D780" i="72"/>
  <c r="J849" i="72"/>
  <c r="O880" i="72"/>
  <c r="K812" i="72"/>
  <c r="G887" i="72"/>
  <c r="Q923" i="72"/>
  <c r="R967" i="72"/>
  <c r="I804" i="72"/>
  <c r="R887" i="72"/>
  <c r="Q946" i="72"/>
  <c r="M971" i="72"/>
  <c r="P851" i="72"/>
  <c r="K877" i="72"/>
  <c r="I990" i="72"/>
  <c r="D1081" i="72"/>
  <c r="F790" i="72"/>
  <c r="M827" i="72"/>
  <c r="F947" i="72"/>
  <c r="D993" i="72"/>
  <c r="Q1033" i="72"/>
  <c r="I1083" i="72"/>
  <c r="H790" i="72"/>
  <c r="O979" i="72"/>
  <c r="I1014" i="72"/>
  <c r="M1043" i="72"/>
  <c r="P1095" i="72"/>
  <c r="J790" i="72"/>
  <c r="L863" i="72"/>
  <c r="H894" i="72"/>
  <c r="E967" i="72"/>
  <c r="I1011" i="72"/>
  <c r="L1081" i="72"/>
  <c r="M789" i="72"/>
  <c r="N863" i="72"/>
  <c r="D927" i="72"/>
  <c r="R1095" i="72"/>
  <c r="D84" i="72"/>
  <c r="L12" i="72"/>
  <c r="L100" i="72"/>
  <c r="R19" i="72"/>
  <c r="M67" i="72"/>
  <c r="Q243" i="72"/>
  <c r="R51" i="72"/>
  <c r="J12" i="72"/>
  <c r="R21" i="72"/>
  <c r="M861" i="72"/>
  <c r="F192" i="72"/>
  <c r="I453" i="72"/>
  <c r="I340" i="72"/>
  <c r="E301" i="72"/>
  <c r="P384" i="72"/>
  <c r="F301" i="72"/>
  <c r="L410" i="72"/>
  <c r="N555" i="72"/>
  <c r="H647" i="72"/>
  <c r="J699" i="72"/>
  <c r="D579" i="72"/>
  <c r="E511" i="72"/>
  <c r="G843" i="72"/>
  <c r="L657" i="72"/>
  <c r="M728" i="72"/>
  <c r="G1059" i="72"/>
  <c r="I553" i="72"/>
  <c r="N728" i="72"/>
  <c r="M875" i="72"/>
  <c r="F599" i="72"/>
  <c r="E520" i="72"/>
  <c r="G599" i="72"/>
  <c r="P653" i="72"/>
  <c r="G688" i="72"/>
  <c r="M553" i="72"/>
  <c r="G872" i="72"/>
  <c r="E658" i="72"/>
  <c r="F847" i="72"/>
  <c r="L1009" i="72"/>
  <c r="R569" i="72"/>
  <c r="E370" i="72"/>
  <c r="H454" i="72"/>
  <c r="M491" i="72"/>
  <c r="D493" i="72"/>
  <c r="I526" i="72"/>
  <c r="I566" i="72"/>
  <c r="H604" i="72"/>
  <c r="L778" i="72"/>
  <c r="G799" i="72"/>
  <c r="N1017" i="72"/>
  <c r="L428" i="72"/>
  <c r="O496" i="72"/>
  <c r="L730" i="72"/>
  <c r="N763" i="72"/>
  <c r="J837" i="72"/>
  <c r="O1064" i="72"/>
  <c r="J826" i="72"/>
  <c r="H1042" i="72"/>
  <c r="I851" i="72"/>
  <c r="L946" i="72"/>
  <c r="H864" i="72"/>
  <c r="O946" i="72"/>
  <c r="I971" i="72"/>
  <c r="L1019" i="72"/>
  <c r="M1065" i="72"/>
  <c r="L864" i="72"/>
  <c r="L868" i="72"/>
  <c r="F968" i="72"/>
  <c r="G929" i="72"/>
  <c r="N1000" i="72"/>
  <c r="D1083" i="72"/>
  <c r="G891" i="72"/>
  <c r="Q1000" i="72"/>
  <c r="Q1042" i="72"/>
  <c r="H1083" i="72"/>
  <c r="H792" i="72"/>
  <c r="Q868" i="72"/>
  <c r="L950" i="72"/>
  <c r="R1000" i="72"/>
  <c r="L798" i="72"/>
  <c r="R936" i="72"/>
  <c r="J981" i="72"/>
  <c r="M792" i="72"/>
  <c r="I902" i="72"/>
  <c r="K939" i="72"/>
  <c r="R968" i="72"/>
  <c r="L1014" i="72"/>
  <c r="K1083" i="72"/>
  <c r="K790" i="72"/>
  <c r="N929" i="72"/>
  <c r="I974" i="72"/>
  <c r="N1011" i="72"/>
  <c r="O1043" i="72"/>
  <c r="O1099" i="72"/>
  <c r="R169" i="72"/>
  <c r="P240" i="72"/>
  <c r="G13" i="72"/>
  <c r="K257" i="72"/>
  <c r="J44" i="72"/>
  <c r="P60" i="72"/>
  <c r="K9" i="72"/>
  <c r="L44" i="72"/>
  <c r="P63" i="72"/>
  <c r="J257" i="72"/>
  <c r="M44" i="72"/>
  <c r="R89" i="72"/>
  <c r="O243" i="72"/>
  <c r="E53" i="72"/>
  <c r="H100" i="72"/>
  <c r="R807" i="72"/>
  <c r="J327" i="72"/>
  <c r="D262" i="72"/>
  <c r="O504" i="72"/>
  <c r="E308" i="72"/>
  <c r="J317" i="72"/>
  <c r="R447" i="72"/>
  <c r="Q348" i="72"/>
  <c r="M297" i="72"/>
  <c r="N658" i="72"/>
  <c r="I661" i="72"/>
  <c r="I473" i="72"/>
  <c r="I621" i="72"/>
  <c r="Q663" i="72"/>
  <c r="E765" i="72"/>
  <c r="G402" i="72"/>
  <c r="G809" i="72"/>
  <c r="J875" i="72"/>
  <c r="O508" i="72"/>
  <c r="E602" i="72"/>
  <c r="F688" i="72"/>
  <c r="F524" i="72"/>
  <c r="O656" i="72"/>
  <c r="Q696" i="72"/>
  <c r="F569" i="72"/>
  <c r="D872" i="72"/>
  <c r="D847" i="72"/>
  <c r="O572" i="72"/>
  <c r="R457" i="72"/>
  <c r="R495" i="72"/>
  <c r="H526" i="72"/>
  <c r="E578" i="72"/>
  <c r="I658" i="72"/>
  <c r="O688" i="72"/>
  <c r="D730" i="72"/>
  <c r="O442" i="72"/>
  <c r="K529" i="72"/>
  <c r="J658" i="72"/>
  <c r="J778" i="72"/>
  <c r="E799" i="72"/>
  <c r="L1017" i="72"/>
  <c r="P442" i="72"/>
  <c r="J671" i="72"/>
  <c r="G837" i="72"/>
  <c r="H1064" i="72"/>
  <c r="R947" i="72"/>
  <c r="K844" i="72"/>
  <c r="L900" i="72"/>
  <c r="O949" i="72"/>
  <c r="P1018" i="72"/>
  <c r="K923" i="72"/>
  <c r="D982" i="72"/>
  <c r="I1042" i="72"/>
  <c r="M754" i="72"/>
  <c r="M822" i="72"/>
  <c r="D868" i="72"/>
  <c r="O822" i="72"/>
  <c r="E868" i="72"/>
  <c r="D979" i="72"/>
  <c r="H979" i="72"/>
  <c r="Q862" i="72"/>
  <c r="R1020" i="72"/>
  <c r="D1095" i="72"/>
  <c r="D902" i="72"/>
  <c r="K1043" i="72"/>
  <c r="L877" i="72"/>
  <c r="E958" i="72"/>
  <c r="D1011" i="72"/>
  <c r="L1043" i="72"/>
  <c r="I1089" i="72"/>
  <c r="E861" i="72"/>
  <c r="I947" i="72"/>
  <c r="K990" i="72"/>
  <c r="K1021" i="72"/>
  <c r="M1057" i="72"/>
  <c r="N798" i="72"/>
  <c r="R877" i="72"/>
  <c r="P909" i="72"/>
  <c r="F943" i="72"/>
  <c r="H974" i="72"/>
  <c r="L1021" i="72"/>
  <c r="O1085" i="72"/>
  <c r="O792" i="72"/>
  <c r="L947" i="72"/>
  <c r="M977" i="72"/>
  <c r="N1014" i="72"/>
  <c r="R1057" i="72"/>
  <c r="M169" i="72"/>
  <c r="J240" i="72"/>
  <c r="O43" i="72"/>
  <c r="O60" i="72"/>
  <c r="G9" i="72"/>
  <c r="L24" i="72"/>
  <c r="O45" i="72"/>
  <c r="R10" i="72"/>
  <c r="E257" i="72"/>
  <c r="O12" i="72"/>
  <c r="Q51" i="72"/>
  <c r="H150" i="72"/>
  <c r="R65" i="72"/>
  <c r="L376" i="72"/>
  <c r="E341" i="72"/>
  <c r="L463" i="72"/>
  <c r="R385" i="72"/>
  <c r="Q608" i="72"/>
  <c r="I335" i="72"/>
  <c r="G611" i="72"/>
  <c r="O667" i="72"/>
  <c r="F728" i="72"/>
  <c r="Q658" i="72"/>
  <c r="Q218" i="72"/>
  <c r="N283" i="72"/>
  <c r="H348" i="72"/>
  <c r="E463" i="72"/>
  <c r="N608" i="72"/>
  <c r="G341" i="72"/>
  <c r="F499" i="72"/>
  <c r="F614" i="72"/>
  <c r="R797" i="72"/>
  <c r="J661" i="72"/>
  <c r="N510" i="72"/>
  <c r="K631" i="72"/>
  <c r="O473" i="72"/>
  <c r="R657" i="72"/>
  <c r="D875" i="72"/>
  <c r="I402" i="72"/>
  <c r="E524" i="72"/>
  <c r="G628" i="72"/>
  <c r="P696" i="72"/>
  <c r="J1041" i="72"/>
  <c r="J710" i="72"/>
  <c r="O1053" i="72"/>
  <c r="Q847" i="72"/>
  <c r="K500" i="72"/>
  <c r="J622" i="72"/>
  <c r="F510" i="72"/>
  <c r="R599" i="72"/>
  <c r="O710" i="72"/>
  <c r="G742" i="72"/>
  <c r="I370" i="72"/>
  <c r="L454" i="72"/>
  <c r="M541" i="72"/>
  <c r="P578" i="72"/>
  <c r="L612" i="72"/>
  <c r="I671" i="72"/>
  <c r="H778" i="72"/>
  <c r="J1017" i="72"/>
  <c r="M454" i="72"/>
  <c r="N566" i="72"/>
  <c r="L629" i="72"/>
  <c r="F686" i="72"/>
  <c r="I796" i="72"/>
  <c r="J844" i="72"/>
  <c r="L965" i="72"/>
  <c r="H923" i="72"/>
  <c r="R958" i="72"/>
  <c r="R1022" i="72"/>
  <c r="R746" i="72"/>
  <c r="F864" i="72"/>
  <c r="N895" i="72"/>
  <c r="E780" i="72"/>
  <c r="D842" i="72"/>
  <c r="K873" i="72"/>
  <c r="R900" i="72"/>
  <c r="L982" i="72"/>
  <c r="J1042" i="72"/>
  <c r="J780" i="72"/>
  <c r="H842" i="72"/>
  <c r="L873" i="72"/>
  <c r="G910" i="72"/>
  <c r="M982" i="72"/>
  <c r="P991" i="72"/>
  <c r="F877" i="72"/>
  <c r="H950" i="72"/>
  <c r="E1089" i="72"/>
  <c r="E947" i="72"/>
  <c r="D1022" i="72"/>
  <c r="I1091" i="72"/>
  <c r="F779" i="72"/>
  <c r="L803" i="72"/>
  <c r="R852" i="72"/>
  <c r="H891" i="72"/>
  <c r="E974" i="72"/>
  <c r="I1021" i="72"/>
  <c r="K1094" i="72"/>
  <c r="O877" i="72"/>
  <c r="G958" i="72"/>
  <c r="K1024" i="72"/>
  <c r="J1083" i="72"/>
  <c r="G815" i="72"/>
  <c r="R886" i="72"/>
  <c r="H918" i="72"/>
  <c r="K947" i="72"/>
  <c r="P979" i="72"/>
  <c r="Q1095" i="72"/>
  <c r="Q803" i="72"/>
  <c r="J893" i="72"/>
  <c r="P950" i="72"/>
  <c r="O990" i="72"/>
  <c r="L1022" i="72"/>
  <c r="L1083" i="72"/>
  <c r="G169" i="72"/>
  <c r="L51" i="72"/>
  <c r="M45" i="72"/>
  <c r="M63" i="72"/>
  <c r="O11" i="72"/>
  <c r="N29" i="72"/>
  <c r="N51" i="72"/>
  <c r="I13" i="72"/>
  <c r="O51" i="72"/>
  <c r="Q172" i="72"/>
  <c r="D257" i="72"/>
  <c r="Q257" i="72"/>
  <c r="H89" i="72"/>
  <c r="D243" i="72"/>
  <c r="P100" i="72"/>
  <c r="R126" i="72"/>
  <c r="F429" i="72"/>
  <c r="F352" i="72"/>
  <c r="P217" i="72"/>
  <c r="I121" i="72"/>
  <c r="J660" i="72"/>
  <c r="H297" i="72"/>
  <c r="F219" i="72"/>
  <c r="M350" i="72"/>
  <c r="F399" i="72"/>
  <c r="J608" i="72"/>
  <c r="R348" i="72"/>
  <c r="M674" i="72"/>
  <c r="O737" i="72"/>
  <c r="Q797" i="72"/>
  <c r="P699" i="72"/>
  <c r="P511" i="72"/>
  <c r="K636" i="72"/>
  <c r="E487" i="72"/>
  <c r="R631" i="72"/>
  <c r="D712" i="72"/>
  <c r="F1041" i="72"/>
  <c r="P494" i="72"/>
  <c r="M545" i="72"/>
  <c r="D719" i="72"/>
  <c r="L846" i="72"/>
  <c r="P847" i="72"/>
  <c r="R932" i="72"/>
  <c r="E510" i="72"/>
  <c r="H658" i="72"/>
  <c r="Q423" i="72"/>
  <c r="R466" i="72"/>
  <c r="I550" i="72"/>
  <c r="G671" i="72"/>
  <c r="R389" i="72"/>
  <c r="O513" i="72"/>
  <c r="H674" i="72"/>
  <c r="R799" i="72"/>
  <c r="R882" i="72"/>
  <c r="I1017" i="72"/>
  <c r="I471" i="72"/>
  <c r="R688" i="72"/>
  <c r="I759" i="72"/>
  <c r="E853" i="72"/>
  <c r="E851" i="72"/>
  <c r="G873" i="72"/>
  <c r="O927" i="72"/>
  <c r="N965" i="72"/>
  <c r="H1000" i="72"/>
  <c r="D1026" i="72"/>
  <c r="H1065" i="72"/>
  <c r="E754" i="72"/>
  <c r="I822" i="72"/>
  <c r="J873" i="72"/>
  <c r="M900" i="72"/>
  <c r="H934" i="72"/>
  <c r="I1000" i="72"/>
  <c r="D1055" i="72"/>
  <c r="N844" i="72"/>
  <c r="D936" i="72"/>
  <c r="R955" i="72"/>
  <c r="E989" i="72"/>
  <c r="L782" i="72"/>
  <c r="L919" i="72"/>
  <c r="K1000" i="72"/>
  <c r="D891" i="72"/>
  <c r="J968" i="72"/>
  <c r="O1042" i="72"/>
  <c r="F1095" i="72"/>
  <c r="K950" i="72"/>
  <c r="I1094" i="72"/>
  <c r="L814" i="72"/>
  <c r="E902" i="72"/>
  <c r="G977" i="72"/>
  <c r="E1022" i="72"/>
  <c r="L1057" i="72"/>
  <c r="L1095" i="72"/>
  <c r="J891" i="72"/>
  <c r="Q968" i="72"/>
  <c r="K1089" i="72"/>
  <c r="L779" i="72"/>
  <c r="K888" i="72"/>
  <c r="L929" i="72"/>
  <c r="H949" i="72"/>
  <c r="L990" i="72"/>
  <c r="D773" i="72"/>
  <c r="H815" i="72"/>
  <c r="K894" i="72"/>
  <c r="I958" i="72"/>
  <c r="L993" i="72"/>
  <c r="L1025" i="72"/>
  <c r="P1085" i="72"/>
  <c r="M84" i="72"/>
  <c r="F169" i="72"/>
  <c r="E9" i="72"/>
  <c r="K24" i="72"/>
  <c r="M12" i="72"/>
  <c r="F52" i="72"/>
  <c r="P67" i="72"/>
  <c r="O52" i="72"/>
  <c r="R172" i="72"/>
  <c r="N172" i="72"/>
  <c r="P257" i="72"/>
  <c r="R67" i="72"/>
  <c r="G89" i="72"/>
  <c r="F100" i="72"/>
  <c r="O100" i="72"/>
  <c r="P126" i="72"/>
  <c r="M13" i="72"/>
  <c r="F343" i="72"/>
  <c r="P283" i="72"/>
  <c r="N546" i="72"/>
  <c r="N499" i="72"/>
  <c r="I690" i="72"/>
  <c r="D670" i="72"/>
  <c r="J569" i="72"/>
  <c r="I409" i="72"/>
  <c r="G674" i="72"/>
  <c r="I629" i="72"/>
  <c r="I778" i="72"/>
  <c r="F626" i="72"/>
  <c r="I876" i="72"/>
  <c r="R902" i="72"/>
  <c r="J1010" i="72"/>
  <c r="M756" i="72"/>
  <c r="R893" i="72"/>
  <c r="Q967" i="72"/>
  <c r="R790" i="72"/>
  <c r="O895" i="72"/>
  <c r="Q1019" i="72"/>
  <c r="M979" i="72"/>
  <c r="J1095" i="72"/>
  <c r="J990" i="72"/>
  <c r="Q1098" i="72"/>
  <c r="G993" i="72"/>
  <c r="M1094" i="72"/>
  <c r="M891" i="72"/>
  <c r="J977" i="72"/>
  <c r="G781" i="72"/>
  <c r="H965" i="72"/>
  <c r="M1081" i="72"/>
  <c r="Q10" i="72"/>
  <c r="E40" i="72"/>
  <c r="G101" i="72"/>
  <c r="D47" i="72"/>
  <c r="N254" i="72"/>
  <c r="E36" i="72"/>
  <c r="H47" i="72"/>
  <c r="E67" i="72"/>
  <c r="N80" i="72"/>
  <c r="L14" i="72"/>
  <c r="K40" i="72"/>
  <c r="I59" i="72"/>
  <c r="R13" i="72"/>
  <c r="R53" i="72"/>
  <c r="N101" i="72"/>
  <c r="K195" i="72"/>
  <c r="O59" i="72"/>
  <c r="O294" i="72"/>
  <c r="D12" i="72"/>
  <c r="N37" i="72"/>
  <c r="J60" i="72"/>
  <c r="R167" i="72"/>
  <c r="M830" i="72"/>
  <c r="D830" i="72"/>
  <c r="O20" i="72"/>
  <c r="R59" i="72"/>
  <c r="I96" i="72"/>
  <c r="L121" i="72"/>
  <c r="E154" i="72"/>
  <c r="E237" i="72"/>
  <c r="E310" i="72"/>
  <c r="N351" i="72"/>
  <c r="Q150" i="72"/>
  <c r="F196" i="72"/>
  <c r="G237" i="72"/>
  <c r="J263" i="72"/>
  <c r="G311" i="72"/>
  <c r="P93" i="72"/>
  <c r="O117" i="72"/>
  <c r="O134" i="72"/>
  <c r="R173" i="72"/>
  <c r="H199" i="72"/>
  <c r="I237" i="72"/>
  <c r="R253" i="72"/>
  <c r="D275" i="72"/>
  <c r="M490" i="72"/>
  <c r="M270" i="72"/>
  <c r="G317" i="72"/>
  <c r="I88" i="72"/>
  <c r="D192" i="72"/>
  <c r="G259" i="72"/>
  <c r="E404" i="72"/>
  <c r="Q404" i="72"/>
  <c r="J122" i="72"/>
  <c r="E250" i="72"/>
  <c r="D267" i="72"/>
  <c r="K267" i="72"/>
  <c r="N299" i="72"/>
  <c r="E112" i="72"/>
  <c r="P155" i="72"/>
  <c r="E207" i="72"/>
  <c r="K285" i="72"/>
  <c r="J328" i="72"/>
  <c r="F474" i="72"/>
  <c r="Q436" i="72"/>
  <c r="G631" i="72"/>
  <c r="F487" i="72"/>
  <c r="O727" i="72"/>
  <c r="P534" i="72"/>
  <c r="H529" i="72"/>
  <c r="J676" i="72"/>
  <c r="R535" i="72"/>
  <c r="O491" i="72"/>
  <c r="R891" i="72"/>
  <c r="I768" i="72"/>
  <c r="H804" i="72"/>
  <c r="Q1055" i="72"/>
  <c r="H1043" i="72"/>
  <c r="H1021" i="72"/>
  <c r="L1098" i="72"/>
  <c r="D861" i="72"/>
  <c r="K789" i="72"/>
  <c r="I893" i="72"/>
  <c r="I993" i="72"/>
  <c r="O798" i="72"/>
  <c r="I967" i="72"/>
  <c r="N1089" i="72"/>
  <c r="L169" i="72"/>
  <c r="H13" i="72"/>
  <c r="O63" i="72"/>
  <c r="G27" i="72"/>
  <c r="M61" i="72"/>
  <c r="M254" i="72"/>
  <c r="Q236" i="72"/>
  <c r="M236" i="72"/>
  <c r="I236" i="72"/>
  <c r="E236" i="72"/>
  <c r="G37" i="72"/>
  <c r="O18" i="72"/>
  <c r="L41" i="72"/>
  <c r="G60" i="72"/>
  <c r="P72" i="72"/>
  <c r="O14" i="72"/>
  <c r="N59" i="72"/>
  <c r="M101" i="72"/>
  <c r="D101" i="72"/>
  <c r="D195" i="72"/>
  <c r="M36" i="72"/>
  <c r="I60" i="72"/>
  <c r="N294" i="72"/>
  <c r="L167" i="72"/>
  <c r="E167" i="72"/>
  <c r="Q167" i="72"/>
  <c r="L830" i="72"/>
  <c r="F10" i="72"/>
  <c r="G43" i="72"/>
  <c r="K60" i="72"/>
  <c r="E76" i="72"/>
  <c r="I180" i="72"/>
  <c r="O262" i="72"/>
  <c r="H351" i="72"/>
  <c r="D351" i="72"/>
  <c r="K351" i="72"/>
  <c r="K114" i="72"/>
  <c r="M127" i="72"/>
  <c r="H154" i="72"/>
  <c r="J168" i="72"/>
  <c r="K197" i="72"/>
  <c r="K168" i="72"/>
  <c r="E263" i="72"/>
  <c r="F311" i="72"/>
  <c r="J118" i="72"/>
  <c r="D140" i="72"/>
  <c r="K404" i="72"/>
  <c r="L490" i="72"/>
  <c r="L270" i="72"/>
  <c r="Q317" i="72"/>
  <c r="R479" i="72"/>
  <c r="O404" i="72"/>
  <c r="K259" i="72"/>
  <c r="M299" i="72"/>
  <c r="J285" i="72"/>
  <c r="N269" i="72"/>
  <c r="L453" i="72"/>
  <c r="K644" i="72"/>
  <c r="F776" i="72"/>
  <c r="E688" i="72"/>
  <c r="K518" i="72"/>
  <c r="E778" i="72"/>
  <c r="D1032" i="72"/>
  <c r="M442" i="72"/>
  <c r="D691" i="72"/>
  <c r="R423" i="72"/>
  <c r="L550" i="72"/>
  <c r="H510" i="72"/>
  <c r="D657" i="72"/>
  <c r="Q958" i="72"/>
  <c r="G1033" i="72"/>
  <c r="Q790" i="72"/>
  <c r="R826" i="72"/>
  <c r="F910" i="72"/>
  <c r="J938" i="72"/>
  <c r="K991" i="72"/>
  <c r="M868" i="72"/>
  <c r="D1057" i="72"/>
  <c r="N1030" i="72"/>
  <c r="G863" i="72"/>
  <c r="F1024" i="72"/>
  <c r="E1011" i="72"/>
  <c r="F781" i="72"/>
  <c r="H912" i="72"/>
  <c r="J858" i="72"/>
  <c r="Q979" i="72"/>
  <c r="O1094" i="72"/>
  <c r="H44" i="72"/>
  <c r="Q67" i="72"/>
  <c r="Q44" i="72"/>
  <c r="O13" i="72"/>
  <c r="G53" i="72"/>
  <c r="L254" i="72"/>
  <c r="I53" i="72"/>
  <c r="L67" i="72"/>
  <c r="G23" i="72"/>
  <c r="M72" i="72"/>
  <c r="H23" i="72"/>
  <c r="G67" i="72"/>
  <c r="E98" i="72"/>
  <c r="I101" i="72"/>
  <c r="R40" i="72"/>
  <c r="M294" i="72"/>
  <c r="R41" i="72"/>
  <c r="P64" i="72"/>
  <c r="P167" i="72"/>
  <c r="K830" i="72"/>
  <c r="F11" i="72"/>
  <c r="M26" i="72"/>
  <c r="D44" i="72"/>
  <c r="N125" i="72"/>
  <c r="M156" i="72"/>
  <c r="O183" i="72"/>
  <c r="R205" i="72"/>
  <c r="H115" i="72"/>
  <c r="P129" i="72"/>
  <c r="P253" i="72"/>
  <c r="R422" i="72"/>
  <c r="L180" i="72"/>
  <c r="O96" i="72"/>
  <c r="D122" i="72"/>
  <c r="G142" i="72"/>
  <c r="D159" i="72"/>
  <c r="E259" i="72"/>
  <c r="K490" i="72"/>
  <c r="F317" i="72"/>
  <c r="P317" i="72"/>
  <c r="N479" i="72"/>
  <c r="R96" i="72"/>
  <c r="M237" i="72"/>
  <c r="K304" i="72"/>
  <c r="J404" i="72"/>
  <c r="D404" i="72"/>
  <c r="N404" i="72"/>
  <c r="I267" i="72"/>
  <c r="K299" i="72"/>
  <c r="R222" i="72"/>
  <c r="I249" i="72"/>
  <c r="G285" i="72"/>
  <c r="P223" i="72"/>
  <c r="J553" i="72"/>
  <c r="P1041" i="72"/>
  <c r="P723" i="72"/>
  <c r="K459" i="72"/>
  <c r="Q561" i="72"/>
  <c r="P719" i="72"/>
  <c r="R443" i="72"/>
  <c r="Q688" i="72"/>
  <c r="Q1017" i="72"/>
  <c r="J674" i="72"/>
  <c r="O837" i="72"/>
  <c r="O790" i="72"/>
  <c r="K826" i="72"/>
  <c r="K851" i="72"/>
  <c r="I934" i="72"/>
  <c r="J1000" i="72"/>
  <c r="L851" i="72"/>
  <c r="P1033" i="72"/>
  <c r="R881" i="72"/>
  <c r="F902" i="72"/>
  <c r="F1022" i="72"/>
  <c r="L789" i="72"/>
  <c r="J1022" i="72"/>
  <c r="L861" i="72"/>
  <c r="D1000" i="72"/>
  <c r="M51" i="72"/>
  <c r="N100" i="72"/>
  <c r="R257" i="72"/>
  <c r="R243" i="72"/>
  <c r="D100" i="72"/>
  <c r="F44" i="72"/>
  <c r="Q48" i="72"/>
  <c r="H14" i="72"/>
  <c r="G59" i="72"/>
  <c r="J254" i="72"/>
  <c r="P236" i="72"/>
  <c r="L236" i="72"/>
  <c r="H236" i="72"/>
  <c r="P13" i="72"/>
  <c r="J40" i="72"/>
  <c r="H59" i="72"/>
  <c r="H71" i="72"/>
  <c r="M76" i="72"/>
  <c r="H36" i="72"/>
  <c r="H101" i="72"/>
  <c r="N41" i="72"/>
  <c r="N64" i="72"/>
  <c r="J67" i="72"/>
  <c r="K167" i="72"/>
  <c r="D167" i="72"/>
  <c r="H830" i="72"/>
  <c r="E12" i="72"/>
  <c r="O27" i="72"/>
  <c r="D63" i="72"/>
  <c r="R76" i="72"/>
  <c r="R236" i="72"/>
  <c r="I114" i="72"/>
  <c r="P158" i="72"/>
  <c r="P185" i="72"/>
  <c r="R239" i="72"/>
  <c r="O267" i="72"/>
  <c r="G351" i="72"/>
  <c r="L93" i="72"/>
  <c r="O116" i="72"/>
  <c r="P156" i="72"/>
  <c r="K180" i="72"/>
  <c r="N255" i="72"/>
  <c r="R386" i="72"/>
  <c r="M422" i="72"/>
  <c r="L74" i="72"/>
  <c r="K123" i="72"/>
  <c r="R144" i="72"/>
  <c r="F490" i="72"/>
  <c r="O317" i="72"/>
  <c r="M479" i="72"/>
  <c r="R114" i="72"/>
  <c r="H136" i="72"/>
  <c r="E238" i="72"/>
  <c r="J304" i="72"/>
  <c r="L404" i="72"/>
  <c r="J299" i="72"/>
  <c r="D147" i="72"/>
  <c r="I192" i="72"/>
  <c r="G250" i="72"/>
  <c r="P415" i="72"/>
  <c r="L178" i="72"/>
  <c r="I218" i="72"/>
  <c r="L587" i="72"/>
  <c r="Q1059" i="72"/>
  <c r="E1041" i="72"/>
  <c r="Q609" i="72"/>
  <c r="P727" i="72"/>
  <c r="E846" i="72"/>
  <c r="R847" i="72"/>
  <c r="G471" i="72"/>
  <c r="M722" i="72"/>
  <c r="H471" i="72"/>
  <c r="I691" i="72"/>
  <c r="Q799" i="72"/>
  <c r="K1017" i="72"/>
  <c r="K526" i="72"/>
  <c r="E699" i="72"/>
  <c r="Q815" i="72"/>
  <c r="P967" i="72"/>
  <c r="L844" i="72"/>
  <c r="D860" i="72"/>
  <c r="G938" i="72"/>
  <c r="I860" i="72"/>
  <c r="K901" i="72"/>
  <c r="I789" i="72"/>
  <c r="H1044" i="72"/>
  <c r="J789" i="72"/>
  <c r="J929" i="72"/>
  <c r="K929" i="72"/>
  <c r="P803" i="72"/>
  <c r="P935" i="72"/>
  <c r="N1043" i="72"/>
  <c r="N891" i="72"/>
  <c r="K84" i="72"/>
  <c r="E52" i="72"/>
  <c r="N12" i="72"/>
  <c r="O257" i="72"/>
  <c r="Q89" i="72"/>
  <c r="N243" i="72"/>
  <c r="E37" i="72"/>
  <c r="D23" i="72"/>
  <c r="D67" i="72"/>
  <c r="M591" i="72"/>
  <c r="J14" i="72"/>
  <c r="J41" i="72"/>
  <c r="F60" i="72"/>
  <c r="F71" i="72"/>
  <c r="E32" i="72"/>
  <c r="J47" i="72"/>
  <c r="M40" i="72"/>
  <c r="R195" i="72"/>
  <c r="H67" i="72"/>
  <c r="G44" i="72"/>
  <c r="G19" i="72"/>
  <c r="P47" i="72"/>
  <c r="N167" i="72"/>
  <c r="K33" i="72"/>
  <c r="Q47" i="72"/>
  <c r="K67" i="72"/>
  <c r="Q76" i="72"/>
  <c r="E115" i="72"/>
  <c r="L143" i="72"/>
  <c r="R351" i="72"/>
  <c r="M117" i="72"/>
  <c r="M134" i="72"/>
  <c r="R183" i="72"/>
  <c r="R241" i="72"/>
  <c r="R289" i="72"/>
  <c r="L422" i="72"/>
  <c r="K422" i="72"/>
  <c r="K224" i="72"/>
  <c r="M242" i="72"/>
  <c r="D490" i="72"/>
  <c r="I317" i="72"/>
  <c r="E317" i="72"/>
  <c r="L317" i="72"/>
  <c r="Q115" i="72"/>
  <c r="P142" i="72"/>
  <c r="F239" i="72"/>
  <c r="I304" i="72"/>
  <c r="I404" i="72"/>
  <c r="N237" i="72"/>
  <c r="F267" i="72"/>
  <c r="M267" i="72"/>
  <c r="R85" i="72"/>
  <c r="N196" i="72"/>
  <c r="Q252" i="72"/>
  <c r="E285" i="72"/>
  <c r="R9" i="72"/>
  <c r="G660" i="72"/>
  <c r="L1059" i="72"/>
  <c r="P621" i="72"/>
  <c r="G442" i="72"/>
  <c r="N847" i="72"/>
  <c r="O599" i="72"/>
  <c r="N622" i="72"/>
  <c r="L486" i="72"/>
  <c r="I597" i="72"/>
  <c r="N799" i="72"/>
  <c r="R370" i="72"/>
  <c r="J706" i="72"/>
  <c r="E657" i="72"/>
  <c r="H851" i="72"/>
  <c r="H1068" i="72"/>
  <c r="I940" i="72"/>
  <c r="D870" i="72"/>
  <c r="J940" i="72"/>
  <c r="H870" i="72"/>
  <c r="F929" i="72"/>
  <c r="P868" i="72"/>
  <c r="G1057" i="72"/>
  <c r="K798" i="72"/>
  <c r="R934" i="72"/>
  <c r="M950" i="72"/>
  <c r="F858" i="72"/>
  <c r="Q1057" i="72"/>
  <c r="L902" i="72"/>
  <c r="O1021" i="72"/>
  <c r="E84" i="72"/>
  <c r="O10" i="72"/>
  <c r="H39" i="72"/>
  <c r="N257" i="72"/>
  <c r="P89" i="72"/>
  <c r="J243" i="72"/>
  <c r="R100" i="72"/>
  <c r="F53" i="72"/>
  <c r="D36" i="72"/>
  <c r="R254" i="72"/>
  <c r="H254" i="72"/>
  <c r="O236" i="72"/>
  <c r="K236" i="72"/>
  <c r="G236" i="72"/>
  <c r="H591" i="72"/>
  <c r="M18" i="72"/>
  <c r="F36" i="72"/>
  <c r="O49" i="72"/>
  <c r="F67" i="72"/>
  <c r="H80" i="72"/>
  <c r="F101" i="72"/>
  <c r="Q195" i="72"/>
  <c r="O47" i="72"/>
  <c r="N67" i="72"/>
  <c r="N20" i="72"/>
  <c r="J167" i="72"/>
  <c r="D236" i="72"/>
  <c r="Q830" i="72"/>
  <c r="O36" i="72"/>
  <c r="D51" i="72"/>
  <c r="L76" i="72"/>
  <c r="E116" i="72"/>
  <c r="O147" i="72"/>
  <c r="M226" i="72"/>
  <c r="I310" i="72"/>
  <c r="F351" i="72"/>
  <c r="Q351" i="72"/>
  <c r="L96" i="72"/>
  <c r="Q135" i="72"/>
  <c r="R185" i="72"/>
  <c r="R226" i="72"/>
  <c r="D244" i="72"/>
  <c r="E289" i="72"/>
  <c r="J422" i="72"/>
  <c r="R274" i="72"/>
  <c r="R311" i="72"/>
  <c r="J85" i="72"/>
  <c r="M114" i="72"/>
  <c r="D128" i="72"/>
  <c r="K149" i="72"/>
  <c r="P244" i="72"/>
  <c r="Q117" i="72"/>
  <c r="R451" i="72"/>
  <c r="H238" i="72"/>
  <c r="G299" i="72"/>
  <c r="K88" i="72"/>
  <c r="K122" i="72"/>
  <c r="L199" i="72"/>
  <c r="O237" i="72"/>
  <c r="N300" i="72"/>
  <c r="I177" i="72"/>
  <c r="Q449" i="72"/>
  <c r="P465" i="72"/>
  <c r="R875" i="72"/>
  <c r="G637" i="72"/>
  <c r="Q475" i="72"/>
  <c r="Q1071" i="72"/>
  <c r="D510" i="72"/>
  <c r="H847" i="72"/>
  <c r="L500" i="72"/>
  <c r="H629" i="72"/>
  <c r="G510" i="72"/>
  <c r="G730" i="72"/>
  <c r="H417" i="72"/>
  <c r="R949" i="72"/>
  <c r="K1065" i="72"/>
  <c r="K1055" i="72"/>
  <c r="J979" i="72"/>
  <c r="I929" i="72"/>
  <c r="I819" i="72"/>
  <c r="O968" i="72"/>
  <c r="G1081" i="72"/>
  <c r="G974" i="72"/>
  <c r="H1081" i="72"/>
  <c r="J861" i="72"/>
  <c r="O950" i="72"/>
  <c r="M1089" i="72"/>
  <c r="H904" i="72"/>
  <c r="D1027" i="72"/>
  <c r="K51" i="72"/>
  <c r="N11" i="72"/>
  <c r="O67" i="72"/>
  <c r="F172" i="72"/>
  <c r="J13" i="72"/>
  <c r="E89" i="72"/>
  <c r="R12" i="72"/>
  <c r="M100" i="72"/>
  <c r="F14" i="72"/>
  <c r="H40" i="72"/>
  <c r="E59" i="72"/>
  <c r="O91" i="72"/>
  <c r="I40" i="72"/>
  <c r="P254" i="72"/>
  <c r="P95" i="72"/>
  <c r="P113" i="72"/>
  <c r="D591" i="72"/>
  <c r="R61" i="72"/>
  <c r="H37" i="72"/>
  <c r="F513" i="72"/>
  <c r="D589" i="72"/>
  <c r="N756" i="72"/>
  <c r="M968" i="72"/>
  <c r="H958" i="72"/>
  <c r="D60" i="72"/>
  <c r="F236" i="72"/>
  <c r="H20" i="72"/>
  <c r="N36" i="72"/>
  <c r="H19" i="72"/>
  <c r="G76" i="72"/>
  <c r="G310" i="72"/>
  <c r="N317" i="72"/>
  <c r="O197" i="72"/>
  <c r="P490" i="72"/>
  <c r="R404" i="72"/>
  <c r="Q405" i="72"/>
  <c r="J239" i="72"/>
  <c r="P88" i="72"/>
  <c r="L137" i="72"/>
  <c r="M194" i="72"/>
  <c r="D278" i="72"/>
  <c r="I339" i="72"/>
  <c r="M73" i="72"/>
  <c r="J110" i="72"/>
  <c r="F130" i="72"/>
  <c r="N239" i="72"/>
  <c r="K272" i="72"/>
  <c r="P194" i="72"/>
  <c r="H262" i="72"/>
  <c r="M293" i="72"/>
  <c r="Q300" i="72"/>
  <c r="H117" i="72"/>
  <c r="N229" i="72"/>
  <c r="J267" i="72"/>
  <c r="E333" i="72"/>
  <c r="N656" i="72"/>
  <c r="P880" i="72"/>
  <c r="G1089" i="72"/>
  <c r="O779" i="72"/>
  <c r="E172" i="72"/>
  <c r="E91" i="72"/>
  <c r="J53" i="72"/>
  <c r="G12" i="72"/>
  <c r="O37" i="72"/>
  <c r="F87" i="72"/>
  <c r="I197" i="72"/>
  <c r="Q274" i="72"/>
  <c r="H270" i="72"/>
  <c r="M451" i="72"/>
  <c r="R299" i="72"/>
  <c r="R285" i="72"/>
  <c r="P405" i="72"/>
  <c r="L88" i="72"/>
  <c r="I120" i="72"/>
  <c r="G137" i="72"/>
  <c r="R184" i="72"/>
  <c r="N425" i="72"/>
  <c r="H425" i="72"/>
  <c r="D425" i="72"/>
  <c r="K120" i="72"/>
  <c r="D245" i="72"/>
  <c r="O260" i="72"/>
  <c r="G339" i="72"/>
  <c r="F245" i="72"/>
  <c r="Q261" i="72"/>
  <c r="D272" i="72"/>
  <c r="H125" i="72"/>
  <c r="P238" i="72"/>
  <c r="K263" i="72"/>
  <c r="I293" i="72"/>
  <c r="L300" i="72"/>
  <c r="F300" i="72"/>
  <c r="K269" i="72"/>
  <c r="G334" i="72"/>
  <c r="F370" i="72"/>
  <c r="H396" i="72"/>
  <c r="M412" i="72"/>
  <c r="F431" i="72"/>
  <c r="O447" i="72"/>
  <c r="M286" i="72"/>
  <c r="K341" i="72"/>
  <c r="F1064" i="72"/>
  <c r="I949" i="72"/>
  <c r="O101" i="72"/>
  <c r="P59" i="72"/>
  <c r="I351" i="72"/>
  <c r="F274" i="72"/>
  <c r="N270" i="72"/>
  <c r="E479" i="72"/>
  <c r="R117" i="72"/>
  <c r="O299" i="72"/>
  <c r="P154" i="72"/>
  <c r="O285" i="72"/>
  <c r="N405" i="72"/>
  <c r="L122" i="72"/>
  <c r="Q187" i="72"/>
  <c r="J249" i="72"/>
  <c r="M122" i="72"/>
  <c r="F147" i="72"/>
  <c r="M179" i="72"/>
  <c r="N199" i="72"/>
  <c r="O261" i="72"/>
  <c r="F339" i="72"/>
  <c r="G262" i="72"/>
  <c r="P110" i="72"/>
  <c r="H129" i="72"/>
  <c r="R159" i="72"/>
  <c r="R199" i="72"/>
  <c r="O239" i="72"/>
  <c r="G267" i="72"/>
  <c r="F293" i="72"/>
  <c r="O300" i="72"/>
  <c r="R238" i="72"/>
  <c r="M271" i="72"/>
  <c r="N335" i="72"/>
  <c r="E352" i="72"/>
  <c r="P371" i="72"/>
  <c r="K398" i="72"/>
  <c r="G452" i="72"/>
  <c r="N367" i="72"/>
  <c r="F470" i="72"/>
  <c r="Q756" i="72"/>
  <c r="N979" i="72"/>
  <c r="E23" i="72"/>
  <c r="P97" i="72"/>
  <c r="L84" i="72"/>
  <c r="P830" i="72"/>
  <c r="J117" i="72"/>
  <c r="R229" i="72"/>
  <c r="E142" i="72"/>
  <c r="G246" i="72"/>
  <c r="E422" i="72"/>
  <c r="K311" i="72"/>
  <c r="H317" i="72"/>
  <c r="R118" i="72"/>
  <c r="H239" i="72"/>
  <c r="K405" i="72"/>
  <c r="D125" i="72"/>
  <c r="E147" i="72"/>
  <c r="R192" i="72"/>
  <c r="H250" i="72"/>
  <c r="M425" i="72"/>
  <c r="G425" i="72"/>
  <c r="G110" i="72"/>
  <c r="E125" i="72"/>
  <c r="J200" i="72"/>
  <c r="E229" i="72"/>
  <c r="R247" i="72"/>
  <c r="E262" i="72"/>
  <c r="Q339" i="72"/>
  <c r="R88" i="72"/>
  <c r="F117" i="72"/>
  <c r="G229" i="72"/>
  <c r="P249" i="72"/>
  <c r="H263" i="72"/>
  <c r="P73" i="72"/>
  <c r="I130" i="72"/>
  <c r="P162" i="72"/>
  <c r="P201" i="72"/>
  <c r="R249" i="72"/>
  <c r="E293" i="72"/>
  <c r="I300" i="72"/>
  <c r="E300" i="72"/>
  <c r="L125" i="72"/>
  <c r="P239" i="72"/>
  <c r="D1071" i="72"/>
  <c r="O1091" i="72"/>
  <c r="N44" i="72"/>
  <c r="O254" i="72"/>
  <c r="E101" i="72"/>
  <c r="N830" i="72"/>
  <c r="H58" i="72"/>
  <c r="R233" i="72"/>
  <c r="E351" i="72"/>
  <c r="D422" i="72"/>
  <c r="H311" i="72"/>
  <c r="L154" i="72"/>
  <c r="I122" i="72"/>
  <c r="K378" i="72"/>
  <c r="F299" i="72"/>
  <c r="R328" i="72"/>
  <c r="J405" i="72"/>
  <c r="F110" i="72"/>
  <c r="R196" i="72"/>
  <c r="R252" i="72"/>
  <c r="P306" i="72"/>
  <c r="G207" i="72"/>
  <c r="K235" i="72"/>
  <c r="K249" i="72"/>
  <c r="F263" i="72"/>
  <c r="P339" i="72"/>
  <c r="D339" i="72"/>
  <c r="O380" i="72"/>
  <c r="P92" i="72"/>
  <c r="O194" i="72"/>
  <c r="I232" i="72"/>
  <c r="M250" i="72"/>
  <c r="D134" i="72"/>
  <c r="K164" i="72"/>
  <c r="G205" i="72"/>
  <c r="N250" i="72"/>
  <c r="L130" i="72"/>
  <c r="R296" i="72"/>
  <c r="I341" i="72"/>
  <c r="K362" i="72"/>
  <c r="N377" i="72"/>
  <c r="I653" i="72"/>
  <c r="F980" i="72"/>
  <c r="N236" i="72"/>
  <c r="O71" i="72"/>
  <c r="O195" i="72"/>
  <c r="E11" i="72"/>
  <c r="H167" i="72"/>
  <c r="G830" i="72"/>
  <c r="M150" i="72"/>
  <c r="J253" i="72"/>
  <c r="O351" i="72"/>
  <c r="R267" i="72"/>
  <c r="H237" i="72"/>
  <c r="L168" i="72"/>
  <c r="G275" i="72"/>
  <c r="O99" i="72"/>
  <c r="I239" i="72"/>
  <c r="G405" i="72"/>
  <c r="Q154" i="72"/>
  <c r="P237" i="72"/>
  <c r="Q259" i="72"/>
  <c r="F306" i="72"/>
  <c r="P425" i="72"/>
  <c r="M238" i="72"/>
  <c r="N339" i="72"/>
  <c r="N238" i="72"/>
  <c r="H380" i="72"/>
  <c r="Q199" i="72"/>
  <c r="P272" i="72"/>
  <c r="Q92" i="72"/>
  <c r="L225" i="72"/>
  <c r="N308" i="72"/>
  <c r="O343" i="72"/>
  <c r="Q366" i="72"/>
  <c r="D387" i="72"/>
  <c r="M403" i="72"/>
  <c r="H426" i="72"/>
  <c r="O271" i="72"/>
  <c r="I334" i="72"/>
  <c r="N361" i="72"/>
  <c r="K494" i="72"/>
  <c r="R965" i="72"/>
  <c r="M980" i="72"/>
  <c r="E41" i="72"/>
  <c r="J236" i="72"/>
  <c r="Q13" i="72"/>
  <c r="E80" i="72"/>
  <c r="F19" i="72"/>
  <c r="J76" i="72"/>
  <c r="Q164" i="72"/>
  <c r="H310" i="72"/>
  <c r="P104" i="72"/>
  <c r="H299" i="72"/>
  <c r="N115" i="72"/>
  <c r="H196" i="72"/>
  <c r="Q490" i="72"/>
  <c r="I338" i="72"/>
  <c r="L267" i="72"/>
  <c r="L259" i="72"/>
  <c r="R405" i="72"/>
  <c r="H132" i="72"/>
  <c r="L238" i="72"/>
  <c r="I425" i="72"/>
  <c r="E425" i="72"/>
  <c r="D117" i="72"/>
  <c r="L159" i="72"/>
  <c r="K239" i="72"/>
  <c r="O278" i="72"/>
  <c r="M339" i="72"/>
  <c r="L250" i="72"/>
  <c r="G380" i="72"/>
  <c r="G125" i="72"/>
  <c r="O179" i="72"/>
  <c r="D205" i="72"/>
  <c r="O238" i="72"/>
  <c r="O272" i="72"/>
  <c r="E96" i="72"/>
  <c r="L229" i="72"/>
  <c r="R293" i="72"/>
  <c r="M300" i="72"/>
  <c r="G300" i="72"/>
  <c r="R300" i="72"/>
  <c r="Q201" i="72"/>
  <c r="Q263" i="72"/>
  <c r="M331" i="72"/>
  <c r="O344" i="72"/>
  <c r="J367" i="72"/>
  <c r="P406" i="72"/>
  <c r="M428" i="72"/>
  <c r="E273" i="72"/>
  <c r="N362" i="72"/>
  <c r="K100" i="72"/>
  <c r="L166" i="72"/>
  <c r="L425" i="72"/>
  <c r="Q237" i="72"/>
  <c r="R308" i="72"/>
  <c r="R410" i="72"/>
  <c r="P337" i="72"/>
  <c r="F364" i="72"/>
  <c r="R387" i="72"/>
  <c r="O403" i="72"/>
  <c r="M313" i="72"/>
  <c r="K334" i="72"/>
  <c r="D366" i="72"/>
  <c r="G507" i="72"/>
  <c r="R530" i="72"/>
  <c r="H287" i="72"/>
  <c r="P362" i="72"/>
  <c r="J503" i="72"/>
  <c r="H444" i="72"/>
  <c r="I348" i="72"/>
  <c r="F393" i="72"/>
  <c r="I438" i="72"/>
  <c r="N277" i="72"/>
  <c r="N325" i="72"/>
  <c r="R341" i="72"/>
  <c r="D362" i="72"/>
  <c r="F401" i="72"/>
  <c r="K429" i="72"/>
  <c r="F581" i="72"/>
  <c r="N628" i="72"/>
  <c r="I314" i="72"/>
  <c r="F400" i="72"/>
  <c r="R431" i="72"/>
  <c r="J337" i="72"/>
  <c r="J413" i="72"/>
  <c r="F269" i="72"/>
  <c r="D334" i="72"/>
  <c r="P444" i="72"/>
  <c r="I581" i="72"/>
  <c r="O309" i="72"/>
  <c r="J344" i="72"/>
  <c r="E368" i="72"/>
  <c r="H398" i="72"/>
  <c r="F421" i="72"/>
  <c r="Q444" i="72"/>
  <c r="K532" i="72"/>
  <c r="M524" i="72"/>
  <c r="G538" i="72"/>
  <c r="E555" i="72"/>
  <c r="M602" i="72"/>
  <c r="M500" i="72"/>
  <c r="O555" i="72"/>
  <c r="I634" i="72"/>
  <c r="D655" i="72"/>
  <c r="K777" i="72"/>
  <c r="J1047" i="72"/>
  <c r="D475" i="72"/>
  <c r="P546" i="72"/>
  <c r="F620" i="72"/>
  <c r="E641" i="72"/>
  <c r="R937" i="72"/>
  <c r="Q500" i="72"/>
  <c r="M608" i="72"/>
  <c r="H645" i="72"/>
  <c r="Q749" i="72"/>
  <c r="I531" i="72"/>
  <c r="J620" i="72"/>
  <c r="H569" i="72"/>
  <c r="R745" i="72"/>
  <c r="F911" i="72"/>
  <c r="L473" i="72"/>
  <c r="F488" i="72"/>
  <c r="I544" i="72"/>
  <c r="M95" i="72"/>
  <c r="M275" i="72"/>
  <c r="I405" i="72"/>
  <c r="F425" i="72"/>
  <c r="I250" i="72"/>
  <c r="P157" i="72"/>
  <c r="I165" i="72"/>
  <c r="I368" i="72"/>
  <c r="G419" i="72"/>
  <c r="Q453" i="72"/>
  <c r="K368" i="72"/>
  <c r="J426" i="72"/>
  <c r="I452" i="72"/>
  <c r="Q337" i="72"/>
  <c r="R402" i="72"/>
  <c r="F507" i="72"/>
  <c r="O530" i="72"/>
  <c r="D266" i="72"/>
  <c r="J333" i="72"/>
  <c r="H364" i="72"/>
  <c r="J431" i="72"/>
  <c r="I503" i="72"/>
  <c r="F337" i="72"/>
  <c r="R352" i="72"/>
  <c r="P394" i="72"/>
  <c r="Q439" i="72"/>
  <c r="G280" i="72"/>
  <c r="E345" i="72"/>
  <c r="L280" i="72"/>
  <c r="H314" i="72"/>
  <c r="H337" i="72"/>
  <c r="H402" i="72"/>
  <c r="N430" i="72"/>
  <c r="L628" i="72"/>
  <c r="G344" i="72"/>
  <c r="J401" i="72"/>
  <c r="O392" i="72"/>
  <c r="D416" i="72"/>
  <c r="I344" i="72"/>
  <c r="P392" i="72"/>
  <c r="D447" i="72"/>
  <c r="R314" i="72"/>
  <c r="M345" i="72"/>
  <c r="D370" i="72"/>
  <c r="I400" i="72"/>
  <c r="Q429" i="72"/>
  <c r="I447" i="72"/>
  <c r="I532" i="72"/>
  <c r="G493" i="72"/>
  <c r="M525" i="72"/>
  <c r="I540" i="72"/>
  <c r="D559" i="72"/>
  <c r="K573" i="72"/>
  <c r="G604" i="72"/>
  <c r="L501" i="72"/>
  <c r="P525" i="72"/>
  <c r="J559" i="72"/>
  <c r="N573" i="72"/>
  <c r="J604" i="72"/>
  <c r="N637" i="72"/>
  <c r="K749" i="72"/>
  <c r="J777" i="72"/>
  <c r="R494" i="72"/>
  <c r="F531" i="72"/>
  <c r="K592" i="72"/>
  <c r="F645" i="72"/>
  <c r="R833" i="72"/>
  <c r="H855" i="72"/>
  <c r="J855" i="72"/>
  <c r="M937" i="72"/>
  <c r="G475" i="72"/>
  <c r="N501" i="72"/>
  <c r="E569" i="72"/>
  <c r="L592" i="72"/>
  <c r="D609" i="72"/>
  <c r="P559" i="72"/>
  <c r="K655" i="72"/>
  <c r="F749" i="72"/>
  <c r="P749" i="72"/>
  <c r="K818" i="72"/>
  <c r="P583" i="72"/>
  <c r="R914" i="72"/>
  <c r="E983" i="72"/>
  <c r="R583" i="72"/>
  <c r="H714" i="72"/>
  <c r="P745" i="72"/>
  <c r="K565" i="72"/>
  <c r="L474" i="72"/>
  <c r="N516" i="72"/>
  <c r="F871" i="72"/>
  <c r="H487" i="72"/>
  <c r="D561" i="72"/>
  <c r="D317" i="72"/>
  <c r="P112" i="72"/>
  <c r="R425" i="72"/>
  <c r="R376" i="72"/>
  <c r="M421" i="72"/>
  <c r="K454" i="72"/>
  <c r="K370" i="72"/>
  <c r="P412" i="72"/>
  <c r="P269" i="72"/>
  <c r="P355" i="72"/>
  <c r="P367" i="72"/>
  <c r="D391" i="72"/>
  <c r="P403" i="72"/>
  <c r="O452" i="72"/>
  <c r="E507" i="72"/>
  <c r="M530" i="72"/>
  <c r="Q269" i="72"/>
  <c r="P334" i="72"/>
  <c r="E366" i="72"/>
  <c r="Q403" i="72"/>
  <c r="G432" i="72"/>
  <c r="I460" i="72"/>
  <c r="H503" i="72"/>
  <c r="P305" i="72"/>
  <c r="I397" i="72"/>
  <c r="L418" i="72"/>
  <c r="N442" i="72"/>
  <c r="R283" i="72"/>
  <c r="F332" i="72"/>
  <c r="H365" i="72"/>
  <c r="H392" i="72"/>
  <c r="H315" i="72"/>
  <c r="M444" i="72"/>
  <c r="F618" i="72"/>
  <c r="K628" i="72"/>
  <c r="J345" i="72"/>
  <c r="G413" i="72"/>
  <c r="N444" i="72"/>
  <c r="H344" i="72"/>
  <c r="N393" i="72"/>
  <c r="L345" i="72"/>
  <c r="P393" i="72"/>
  <c r="G581" i="72"/>
  <c r="L315" i="72"/>
  <c r="J347" i="72"/>
  <c r="N371" i="72"/>
  <c r="M401" i="72"/>
  <c r="D431" i="72"/>
  <c r="J526" i="72"/>
  <c r="F561" i="72"/>
  <c r="K577" i="72"/>
  <c r="F504" i="72"/>
  <c r="O526" i="72"/>
  <c r="L540" i="72"/>
  <c r="H561" i="72"/>
  <c r="Q579" i="72"/>
  <c r="E620" i="72"/>
  <c r="N642" i="72"/>
  <c r="I777" i="72"/>
  <c r="O465" i="72"/>
  <c r="F496" i="72"/>
  <c r="N598" i="72"/>
  <c r="J833" i="72"/>
  <c r="I937" i="72"/>
  <c r="L493" i="72"/>
  <c r="I504" i="72"/>
  <c r="R553" i="72"/>
  <c r="I627" i="72"/>
  <c r="N647" i="72"/>
  <c r="O501" i="72"/>
  <c r="O749" i="72"/>
  <c r="F818" i="72"/>
  <c r="P501" i="72"/>
  <c r="R592" i="72"/>
  <c r="D635" i="72"/>
  <c r="O914" i="72"/>
  <c r="H572" i="72"/>
  <c r="L603" i="72"/>
  <c r="R613" i="72"/>
  <c r="R679" i="72"/>
  <c r="F539" i="72"/>
  <c r="G714" i="72"/>
  <c r="L745" i="72"/>
  <c r="F516" i="72"/>
  <c r="R976" i="72"/>
  <c r="N475" i="72"/>
  <c r="R493" i="72"/>
  <c r="I519" i="72"/>
  <c r="O638" i="72"/>
  <c r="Q472" i="72"/>
  <c r="L47" i="72"/>
  <c r="P351" i="72"/>
  <c r="N154" i="72"/>
  <c r="R292" i="72"/>
  <c r="R235" i="72"/>
  <c r="E253" i="72"/>
  <c r="R298" i="72"/>
  <c r="F379" i="72"/>
  <c r="O269" i="72"/>
  <c r="P271" i="72"/>
  <c r="G356" i="72"/>
  <c r="L368" i="72"/>
  <c r="J417" i="72"/>
  <c r="K530" i="72"/>
  <c r="L530" i="72"/>
  <c r="R271" i="72"/>
  <c r="R337" i="72"/>
  <c r="I352" i="72"/>
  <c r="R391" i="72"/>
  <c r="E444" i="72"/>
  <c r="R373" i="72"/>
  <c r="J460" i="72"/>
  <c r="G503" i="72"/>
  <c r="D314" i="72"/>
  <c r="Q356" i="72"/>
  <c r="D401" i="72"/>
  <c r="I443" i="72"/>
  <c r="E314" i="72"/>
  <c r="O348" i="72"/>
  <c r="J366" i="72"/>
  <c r="H393" i="72"/>
  <c r="E362" i="72"/>
  <c r="I628" i="72"/>
  <c r="D376" i="72"/>
  <c r="H581" i="72"/>
  <c r="J314" i="72"/>
  <c r="K345" i="72"/>
  <c r="E428" i="72"/>
  <c r="H362" i="72"/>
  <c r="D396" i="72"/>
  <c r="Q581" i="72"/>
  <c r="G269" i="72"/>
  <c r="I362" i="72"/>
  <c r="I376" i="72"/>
  <c r="M402" i="72"/>
  <c r="N494" i="72"/>
  <c r="J527" i="72"/>
  <c r="I545" i="72"/>
  <c r="I562" i="72"/>
  <c r="L579" i="72"/>
  <c r="L606" i="72"/>
  <c r="I493" i="72"/>
  <c r="O527" i="72"/>
  <c r="O562" i="72"/>
  <c r="Q606" i="72"/>
  <c r="G777" i="72"/>
  <c r="P480" i="72"/>
  <c r="N500" i="72"/>
  <c r="H533" i="72"/>
  <c r="Q553" i="72"/>
  <c r="K647" i="72"/>
  <c r="H833" i="72"/>
  <c r="G855" i="72"/>
  <c r="I855" i="72"/>
  <c r="G937" i="72"/>
  <c r="N540" i="72"/>
  <c r="P598" i="72"/>
  <c r="O611" i="72"/>
  <c r="M749" i="72"/>
  <c r="N504" i="72"/>
  <c r="J914" i="72"/>
  <c r="O604" i="72"/>
  <c r="D617" i="72"/>
  <c r="N679" i="72"/>
  <c r="R772" i="72"/>
  <c r="P493" i="72"/>
  <c r="K745" i="72"/>
  <c r="L539" i="72"/>
  <c r="G455" i="72"/>
  <c r="D478" i="72"/>
  <c r="D494" i="72"/>
  <c r="Q1096" i="72"/>
  <c r="P195" i="72"/>
  <c r="F404" i="72"/>
  <c r="O339" i="72"/>
  <c r="D253" i="72"/>
  <c r="N337" i="72"/>
  <c r="H279" i="72"/>
  <c r="G352" i="72"/>
  <c r="Q377" i="72"/>
  <c r="R415" i="72"/>
  <c r="H431" i="72"/>
  <c r="K273" i="72"/>
  <c r="E319" i="72"/>
  <c r="L370" i="72"/>
  <c r="O426" i="72"/>
  <c r="J530" i="72"/>
  <c r="O273" i="72"/>
  <c r="M341" i="72"/>
  <c r="Q367" i="72"/>
  <c r="H460" i="72"/>
  <c r="L319" i="72"/>
  <c r="Q341" i="72"/>
  <c r="R360" i="72"/>
  <c r="D375" i="72"/>
  <c r="F402" i="72"/>
  <c r="I429" i="72"/>
  <c r="I444" i="72"/>
  <c r="R287" i="72"/>
  <c r="E315" i="72"/>
  <c r="E401" i="72"/>
  <c r="D344" i="72"/>
  <c r="D412" i="72"/>
  <c r="R280" i="72"/>
  <c r="K392" i="72"/>
  <c r="J315" i="72"/>
  <c r="G400" i="72"/>
  <c r="O429" i="72"/>
  <c r="D368" i="72"/>
  <c r="H400" i="72"/>
  <c r="D581" i="72"/>
  <c r="P581" i="72"/>
  <c r="H363" i="72"/>
  <c r="L377" i="72"/>
  <c r="G403" i="72"/>
  <c r="J437" i="72"/>
  <c r="K517" i="72"/>
  <c r="M546" i="72"/>
  <c r="H564" i="72"/>
  <c r="I584" i="72"/>
  <c r="F608" i="72"/>
  <c r="H623" i="72"/>
  <c r="R510" i="72"/>
  <c r="O546" i="72"/>
  <c r="L564" i="72"/>
  <c r="J592" i="72"/>
  <c r="I608" i="72"/>
  <c r="E645" i="72"/>
  <c r="F777" i="72"/>
  <c r="R1047" i="72"/>
  <c r="D484" i="72"/>
  <c r="M501" i="72"/>
  <c r="K604" i="72"/>
  <c r="H627" i="72"/>
  <c r="G833" i="72"/>
  <c r="R855" i="72"/>
  <c r="F937" i="72"/>
  <c r="Q480" i="72"/>
  <c r="Q526" i="72"/>
  <c r="N559" i="72"/>
  <c r="I613" i="72"/>
  <c r="J655" i="72"/>
  <c r="Q664" i="72"/>
  <c r="L818" i="72"/>
  <c r="N493" i="72"/>
  <c r="G603" i="72"/>
  <c r="G914" i="72"/>
  <c r="D487" i="72"/>
  <c r="K620" i="72"/>
  <c r="M679" i="72"/>
  <c r="Q772" i="72"/>
  <c r="E544" i="72"/>
  <c r="I745" i="72"/>
  <c r="R911" i="72"/>
  <c r="G528" i="72"/>
  <c r="R604" i="72"/>
  <c r="P871" i="72"/>
  <c r="M474" i="72"/>
  <c r="H977" i="72"/>
  <c r="R187" i="72"/>
  <c r="I380" i="72"/>
  <c r="H300" i="72"/>
  <c r="P345" i="72"/>
  <c r="O401" i="72"/>
  <c r="L437" i="72"/>
  <c r="R331" i="72"/>
  <c r="F356" i="72"/>
  <c r="L419" i="72"/>
  <c r="R435" i="72"/>
  <c r="O362" i="72"/>
  <c r="G530" i="72"/>
  <c r="H283" i="72"/>
  <c r="H356" i="72"/>
  <c r="M370" i="72"/>
  <c r="P452" i="72"/>
  <c r="P503" i="72"/>
  <c r="D392" i="72"/>
  <c r="E332" i="72"/>
  <c r="D345" i="72"/>
  <c r="G365" i="72"/>
  <c r="L385" i="72"/>
  <c r="O431" i="72"/>
  <c r="I449" i="72"/>
  <c r="I464" i="72"/>
  <c r="P319" i="72"/>
  <c r="R356" i="72"/>
  <c r="L444" i="72"/>
  <c r="N332" i="72"/>
  <c r="K366" i="72"/>
  <c r="I393" i="72"/>
  <c r="N462" i="72"/>
  <c r="P628" i="72"/>
  <c r="H395" i="72"/>
  <c r="N429" i="72"/>
  <c r="E376" i="72"/>
  <c r="K402" i="72"/>
  <c r="N314" i="72"/>
  <c r="F376" i="72"/>
  <c r="F403" i="72"/>
  <c r="L581" i="72"/>
  <c r="E298" i="72"/>
  <c r="E334" i="72"/>
  <c r="O366" i="72"/>
  <c r="Q393" i="72"/>
  <c r="K412" i="72"/>
  <c r="M532" i="72"/>
  <c r="R478" i="72"/>
  <c r="G592" i="72"/>
  <c r="E634" i="72"/>
  <c r="R497" i="72"/>
  <c r="D515" i="72"/>
  <c r="G598" i="72"/>
  <c r="J647" i="72"/>
  <c r="R777" i="72"/>
  <c r="I1047" i="72"/>
  <c r="K511" i="72"/>
  <c r="P526" i="72"/>
  <c r="M540" i="72"/>
  <c r="I561" i="72"/>
  <c r="R606" i="72"/>
  <c r="J634" i="72"/>
  <c r="L749" i="72"/>
  <c r="O855" i="72"/>
  <c r="R515" i="72"/>
  <c r="Q546" i="72"/>
  <c r="R562" i="72"/>
  <c r="G620" i="72"/>
  <c r="F641" i="72"/>
  <c r="N592" i="72"/>
  <c r="I475" i="72"/>
  <c r="Q511" i="72"/>
  <c r="E914" i="72"/>
  <c r="O493" i="72"/>
  <c r="Q583" i="72"/>
  <c r="P608" i="72"/>
  <c r="L651" i="72"/>
  <c r="H772" i="72"/>
  <c r="I556" i="72"/>
  <c r="N655" i="72"/>
  <c r="R471" i="72"/>
  <c r="G486" i="72"/>
  <c r="N539" i="72"/>
  <c r="L565" i="72"/>
  <c r="L871" i="72"/>
  <c r="F463" i="72"/>
  <c r="E478" i="72"/>
  <c r="Q19" i="72"/>
  <c r="G88" i="72"/>
  <c r="J238" i="72"/>
  <c r="L306" i="72"/>
  <c r="M211" i="72"/>
  <c r="D96" i="72"/>
  <c r="G117" i="72"/>
  <c r="D300" i="72"/>
  <c r="N359" i="72"/>
  <c r="O402" i="72"/>
  <c r="G333" i="72"/>
  <c r="Q402" i="72"/>
  <c r="H333" i="72"/>
  <c r="H352" i="72"/>
  <c r="G364" i="72"/>
  <c r="R379" i="72"/>
  <c r="Q400" i="72"/>
  <c r="D444" i="72"/>
  <c r="P507" i="72"/>
  <c r="E530" i="72"/>
  <c r="E284" i="72"/>
  <c r="F319" i="72"/>
  <c r="R400" i="72"/>
  <c r="P426" i="72"/>
  <c r="M503" i="72"/>
  <c r="D393" i="72"/>
  <c r="R333" i="72"/>
  <c r="O346" i="72"/>
  <c r="I366" i="72"/>
  <c r="E392" i="72"/>
  <c r="E453" i="72"/>
  <c r="D464" i="72"/>
  <c r="R397" i="72"/>
  <c r="E462" i="72"/>
  <c r="D628" i="72"/>
  <c r="O628" i="72"/>
  <c r="R430" i="72"/>
  <c r="D331" i="72"/>
  <c r="J377" i="72"/>
  <c r="D403" i="72"/>
  <c r="O444" i="72"/>
  <c r="E331" i="72"/>
  <c r="K377" i="72"/>
  <c r="P429" i="72"/>
  <c r="J581" i="72"/>
  <c r="L337" i="72"/>
  <c r="H367" i="72"/>
  <c r="E396" i="72"/>
  <c r="L413" i="72"/>
  <c r="L532" i="72"/>
  <c r="L553" i="72"/>
  <c r="P599" i="72"/>
  <c r="J611" i="72"/>
  <c r="H637" i="72"/>
  <c r="M499" i="72"/>
  <c r="E533" i="72"/>
  <c r="P553" i="72"/>
  <c r="M611" i="72"/>
  <c r="P777" i="72"/>
  <c r="K1047" i="72"/>
  <c r="K493" i="72"/>
  <c r="E515" i="72"/>
  <c r="Q527" i="72"/>
  <c r="Q562" i="72"/>
  <c r="J583" i="72"/>
  <c r="E855" i="72"/>
  <c r="N855" i="72"/>
  <c r="O499" i="72"/>
  <c r="G531" i="72"/>
  <c r="D550" i="72"/>
  <c r="J643" i="72"/>
  <c r="M493" i="72"/>
  <c r="R540" i="72"/>
  <c r="J613" i="72"/>
  <c r="G749" i="72"/>
  <c r="R749" i="72"/>
  <c r="H749" i="72"/>
  <c r="P496" i="72"/>
  <c r="M613" i="72"/>
  <c r="I609" i="72"/>
  <c r="J556" i="72"/>
  <c r="L911" i="72"/>
  <c r="P472" i="72"/>
  <c r="G487" i="72"/>
  <c r="M569" i="72"/>
  <c r="J871" i="72"/>
  <c r="L466" i="72"/>
  <c r="G485" i="72"/>
  <c r="Q272" i="72"/>
  <c r="P400" i="72"/>
  <c r="R355" i="72"/>
  <c r="D503" i="72"/>
  <c r="R325" i="72"/>
  <c r="R392" i="72"/>
  <c r="L566" i="72"/>
  <c r="H472" i="72"/>
  <c r="N496" i="72"/>
  <c r="M772" i="72"/>
  <c r="L570" i="72"/>
  <c r="Q466" i="72"/>
  <c r="D483" i="72"/>
  <c r="F526" i="72"/>
  <c r="P681" i="72"/>
  <c r="H734" i="72"/>
  <c r="P470" i="72"/>
  <c r="R485" i="72"/>
  <c r="G562" i="72"/>
  <c r="O761" i="72"/>
  <c r="L776" i="72"/>
  <c r="R849" i="72"/>
  <c r="E1049" i="72"/>
  <c r="I1067" i="72"/>
  <c r="P1067" i="72"/>
  <c r="O1092" i="72"/>
  <c r="F693" i="72"/>
  <c r="O864" i="72"/>
  <c r="D778" i="72"/>
  <c r="N945" i="72"/>
  <c r="K1003" i="72"/>
  <c r="J1080" i="72"/>
  <c r="K695" i="72"/>
  <c r="O826" i="72"/>
  <c r="E870" i="72"/>
  <c r="P680" i="72"/>
  <c r="E832" i="72"/>
  <c r="D877" i="72"/>
  <c r="J919" i="72"/>
  <c r="O1005" i="72"/>
  <c r="D759" i="72"/>
  <c r="N848" i="72"/>
  <c r="D887" i="72"/>
  <c r="Q925" i="72"/>
  <c r="D940" i="72"/>
  <c r="E1060" i="72"/>
  <c r="L992" i="72"/>
  <c r="P867" i="72"/>
  <c r="J1060" i="72"/>
  <c r="O841" i="72"/>
  <c r="O954" i="72"/>
  <c r="J862" i="72"/>
  <c r="M1001" i="72"/>
  <c r="J1032" i="72"/>
  <c r="F1032" i="72"/>
  <c r="G829" i="72"/>
  <c r="M877" i="72"/>
  <c r="O794" i="72"/>
  <c r="Q843" i="72"/>
  <c r="L970" i="72"/>
  <c r="P656" i="72"/>
  <c r="I417" i="72"/>
  <c r="M368" i="72"/>
  <c r="R290" i="72"/>
  <c r="F345" i="72"/>
  <c r="M393" i="72"/>
  <c r="J371" i="72"/>
  <c r="K410" i="72"/>
  <c r="R588" i="72"/>
  <c r="G655" i="72"/>
  <c r="O511" i="72"/>
  <c r="G470" i="72"/>
  <c r="I605" i="72"/>
  <c r="D871" i="72"/>
  <c r="I494" i="72"/>
  <c r="O516" i="72"/>
  <c r="P539" i="72"/>
  <c r="M609" i="72"/>
  <c r="I470" i="72"/>
  <c r="H485" i="72"/>
  <c r="M681" i="72"/>
  <c r="G734" i="72"/>
  <c r="M487" i="72"/>
  <c r="E517" i="72"/>
  <c r="F566" i="72"/>
  <c r="R609" i="72"/>
  <c r="P718" i="72"/>
  <c r="J852" i="72"/>
  <c r="O1067" i="72"/>
  <c r="F1092" i="72"/>
  <c r="L1096" i="72"/>
  <c r="G695" i="72"/>
  <c r="N757" i="72"/>
  <c r="M746" i="72"/>
  <c r="R765" i="72"/>
  <c r="O940" i="72"/>
  <c r="E945" i="72"/>
  <c r="M945" i="72"/>
  <c r="I1003" i="72"/>
  <c r="R1080" i="72"/>
  <c r="E656" i="72"/>
  <c r="Q856" i="72"/>
  <c r="F992" i="72"/>
  <c r="E919" i="72"/>
  <c r="J966" i="72"/>
  <c r="N1005" i="72"/>
  <c r="R678" i="72"/>
  <c r="E721" i="72"/>
  <c r="P786" i="72"/>
  <c r="P887" i="72"/>
  <c r="Q1078" i="72"/>
  <c r="D684" i="72"/>
  <c r="J711" i="72"/>
  <c r="H992" i="72"/>
  <c r="K992" i="72"/>
  <c r="P870" i="72"/>
  <c r="F1067" i="72"/>
  <c r="O782" i="72"/>
  <c r="P690" i="72"/>
  <c r="J1078" i="72"/>
  <c r="D1078" i="72"/>
  <c r="L676" i="72"/>
  <c r="R695" i="72"/>
  <c r="Q729" i="72"/>
  <c r="M845" i="72"/>
  <c r="I878" i="72"/>
  <c r="P906" i="72"/>
  <c r="D1058" i="72"/>
  <c r="P728" i="72"/>
  <c r="N845" i="72"/>
  <c r="R1049" i="72"/>
  <c r="K671" i="72"/>
  <c r="M704" i="72"/>
  <c r="K755" i="72"/>
  <c r="H885" i="72"/>
  <c r="D998" i="72"/>
  <c r="E10" i="72"/>
  <c r="I365" i="72"/>
  <c r="D428" i="72"/>
  <c r="L401" i="72"/>
  <c r="Q438" i="72"/>
  <c r="R527" i="72"/>
  <c r="F485" i="72"/>
  <c r="Q620" i="72"/>
  <c r="R957" i="72"/>
  <c r="J519" i="72"/>
  <c r="I486" i="72"/>
  <c r="E500" i="72"/>
  <c r="I528" i="72"/>
  <c r="L681" i="72"/>
  <c r="F734" i="72"/>
  <c r="R753" i="72"/>
  <c r="K718" i="72"/>
  <c r="I765" i="72"/>
  <c r="I779" i="72"/>
  <c r="E1067" i="72"/>
  <c r="I766" i="72"/>
  <c r="H802" i="72"/>
  <c r="E748" i="72"/>
  <c r="P766" i="72"/>
  <c r="P1080" i="72"/>
  <c r="H1080" i="72"/>
  <c r="R674" i="72"/>
  <c r="F656" i="72"/>
  <c r="L695" i="72"/>
  <c r="J748" i="72"/>
  <c r="R879" i="72"/>
  <c r="M1032" i="72"/>
  <c r="Q787" i="72"/>
  <c r="G816" i="72"/>
  <c r="O887" i="72"/>
  <c r="P940" i="72"/>
  <c r="P667" i="72"/>
  <c r="K764" i="72"/>
  <c r="I816" i="72"/>
  <c r="I656" i="72"/>
  <c r="I676" i="72"/>
  <c r="N717" i="72"/>
  <c r="J890" i="72"/>
  <c r="O717" i="72"/>
  <c r="H785" i="72"/>
  <c r="G850" i="72"/>
  <c r="H1037" i="72"/>
  <c r="R662" i="72"/>
  <c r="P717" i="72"/>
  <c r="R865" i="72"/>
  <c r="I1032" i="72"/>
  <c r="L785" i="72"/>
  <c r="P850" i="72"/>
  <c r="I890" i="72"/>
  <c r="N906" i="72"/>
  <c r="R1015" i="72"/>
  <c r="R729" i="72"/>
  <c r="R1067" i="72"/>
  <c r="H672" i="72"/>
  <c r="E766" i="72"/>
  <c r="R843" i="72"/>
  <c r="G945" i="72"/>
  <c r="R998" i="72"/>
  <c r="Q262" i="72"/>
  <c r="N400" i="72"/>
  <c r="K279" i="72"/>
  <c r="K417" i="72"/>
  <c r="G337" i="72"/>
  <c r="I392" i="72"/>
  <c r="Q631" i="72"/>
  <c r="R623" i="72"/>
  <c r="R525" i="72"/>
  <c r="F855" i="72"/>
  <c r="Q545" i="72"/>
  <c r="L583" i="72"/>
  <c r="G617" i="72"/>
  <c r="H470" i="72"/>
  <c r="D526" i="72"/>
  <c r="K648" i="72"/>
  <c r="R472" i="72"/>
  <c r="I487" i="72"/>
  <c r="Q531" i="72"/>
  <c r="N621" i="72"/>
  <c r="H681" i="72"/>
  <c r="N747" i="72"/>
  <c r="Q753" i="72"/>
  <c r="J836" i="72"/>
  <c r="P473" i="72"/>
  <c r="E493" i="72"/>
  <c r="P528" i="72"/>
  <c r="J579" i="72"/>
  <c r="R656" i="72"/>
  <c r="H766" i="72"/>
  <c r="F780" i="72"/>
  <c r="G802" i="72"/>
  <c r="N1092" i="72"/>
  <c r="E1092" i="72"/>
  <c r="P702" i="72"/>
  <c r="L767" i="72"/>
  <c r="E887" i="72"/>
  <c r="I754" i="72"/>
  <c r="O767" i="72"/>
  <c r="H856" i="72"/>
  <c r="L945" i="72"/>
  <c r="D945" i="72"/>
  <c r="O1096" i="72"/>
  <c r="K810" i="72"/>
  <c r="M923" i="72"/>
  <c r="R754" i="72"/>
  <c r="O889" i="72"/>
  <c r="I966" i="72"/>
  <c r="K1078" i="72"/>
  <c r="K796" i="72"/>
  <c r="D853" i="72"/>
  <c r="N887" i="72"/>
  <c r="N940" i="72"/>
  <c r="E671" i="72"/>
  <c r="N695" i="72"/>
  <c r="J717" i="72"/>
  <c r="F889" i="72"/>
  <c r="L729" i="72"/>
  <c r="F853" i="72"/>
  <c r="J656" i="72"/>
  <c r="F755" i="72"/>
  <c r="K768" i="72"/>
  <c r="N1058" i="72"/>
  <c r="H671" i="72"/>
  <c r="Q782" i="72"/>
  <c r="Q1032" i="72"/>
  <c r="I1037" i="72"/>
  <c r="I1078" i="72"/>
  <c r="E704" i="72"/>
  <c r="G890" i="72"/>
  <c r="H890" i="72"/>
  <c r="L906" i="72"/>
  <c r="I1015" i="72"/>
  <c r="Q1067" i="72"/>
  <c r="H704" i="72"/>
  <c r="D769" i="72"/>
  <c r="N877" i="72"/>
  <c r="I674" i="72"/>
  <c r="F767" i="72"/>
  <c r="E267" i="72"/>
  <c r="J435" i="72"/>
  <c r="I326" i="72"/>
  <c r="I530" i="72"/>
  <c r="F413" i="72"/>
  <c r="O581" i="72"/>
  <c r="Q494" i="72"/>
  <c r="Q855" i="72"/>
  <c r="P561" i="72"/>
  <c r="G569" i="72"/>
  <c r="O531" i="72"/>
  <c r="M473" i="72"/>
  <c r="N473" i="72"/>
  <c r="H488" i="72"/>
  <c r="O569" i="72"/>
  <c r="Q734" i="72"/>
  <c r="I747" i="72"/>
  <c r="O753" i="72"/>
  <c r="P839" i="72"/>
  <c r="E836" i="72"/>
  <c r="K588" i="72"/>
  <c r="O631" i="72"/>
  <c r="F695" i="72"/>
  <c r="J767" i="72"/>
  <c r="R781" i="72"/>
  <c r="L860" i="72"/>
  <c r="N1049" i="72"/>
  <c r="N1067" i="72"/>
  <c r="K1092" i="72"/>
  <c r="E670" i="72"/>
  <c r="O769" i="72"/>
  <c r="G814" i="72"/>
  <c r="P858" i="72"/>
  <c r="P994" i="72"/>
  <c r="R1003" i="72"/>
  <c r="L1080" i="72"/>
  <c r="G1080" i="72"/>
  <c r="N1096" i="72"/>
  <c r="G659" i="72"/>
  <c r="R814" i="72"/>
  <c r="O786" i="72"/>
  <c r="M819" i="72"/>
  <c r="I848" i="72"/>
  <c r="F867" i="72"/>
  <c r="N992" i="72"/>
  <c r="M695" i="72"/>
  <c r="M832" i="72"/>
  <c r="M887" i="72"/>
  <c r="L940" i="72"/>
  <c r="O721" i="72"/>
  <c r="J731" i="72"/>
  <c r="E854" i="72"/>
  <c r="F921" i="72"/>
  <c r="M684" i="72"/>
  <c r="H788" i="72"/>
  <c r="G853" i="72"/>
  <c r="I785" i="72"/>
  <c r="P1032" i="72"/>
  <c r="H1032" i="72"/>
  <c r="O705" i="72"/>
  <c r="I755" i="72"/>
  <c r="L853" i="72"/>
  <c r="I906" i="72"/>
  <c r="E1015" i="72"/>
  <c r="P705" i="72"/>
  <c r="F771" i="72"/>
  <c r="L821" i="72"/>
  <c r="N853" i="72"/>
  <c r="J878" i="72"/>
  <c r="D1080" i="72"/>
  <c r="E769" i="72"/>
  <c r="R154" i="72"/>
  <c r="O355" i="72"/>
  <c r="R361" i="72"/>
  <c r="L316" i="72"/>
  <c r="E430" i="72"/>
  <c r="J429" i="72"/>
  <c r="E628" i="72"/>
  <c r="K401" i="72"/>
  <c r="I331" i="72"/>
  <c r="D531" i="72"/>
  <c r="L604" i="72"/>
  <c r="J749" i="72"/>
  <c r="Q914" i="72"/>
  <c r="H544" i="72"/>
  <c r="Q871" i="72"/>
  <c r="H486" i="72"/>
  <c r="K551" i="72"/>
  <c r="J568" i="72"/>
  <c r="L605" i="72"/>
  <c r="R620" i="72"/>
  <c r="R459" i="72"/>
  <c r="P475" i="72"/>
  <c r="J494" i="72"/>
  <c r="L519" i="72"/>
  <c r="I588" i="72"/>
  <c r="L648" i="72"/>
  <c r="L734" i="72"/>
  <c r="D747" i="72"/>
  <c r="H839" i="72"/>
  <c r="R836" i="72"/>
  <c r="L478" i="72"/>
  <c r="I500" i="72"/>
  <c r="J541" i="72"/>
  <c r="O704" i="72"/>
  <c r="K756" i="72"/>
  <c r="M771" i="72"/>
  <c r="G786" i="72"/>
  <c r="L876" i="72"/>
  <c r="F885" i="72"/>
  <c r="L1049" i="72"/>
  <c r="K1067" i="72"/>
  <c r="Q672" i="72"/>
  <c r="H786" i="72"/>
  <c r="E1023" i="72"/>
  <c r="J695" i="72"/>
  <c r="G773" i="72"/>
  <c r="L786" i="72"/>
  <c r="M994" i="72"/>
  <c r="N1003" i="72"/>
  <c r="G1078" i="72"/>
  <c r="K1080" i="72"/>
  <c r="F1080" i="72"/>
  <c r="O666" i="72"/>
  <c r="K819" i="72"/>
  <c r="P923" i="72"/>
  <c r="P724" i="72"/>
  <c r="G778" i="72"/>
  <c r="Q826" i="72"/>
  <c r="R856" i="72"/>
  <c r="P872" i="72"/>
  <c r="Q919" i="72"/>
  <c r="P966" i="72"/>
  <c r="L673" i="72"/>
  <c r="I887" i="72"/>
  <c r="I917" i="72"/>
  <c r="E940" i="72"/>
  <c r="Q940" i="72"/>
  <c r="R828" i="72"/>
  <c r="G997" i="72"/>
  <c r="J705" i="72"/>
  <c r="L731" i="72"/>
  <c r="M656" i="72"/>
  <c r="R701" i="72"/>
  <c r="P729" i="72"/>
  <c r="O1001" i="72"/>
  <c r="L1032" i="72"/>
  <c r="G1032" i="72"/>
  <c r="N1078" i="72"/>
  <c r="E771" i="72"/>
  <c r="D954" i="72"/>
  <c r="M954" i="72"/>
  <c r="L997" i="72"/>
  <c r="R862" i="72"/>
  <c r="F945" i="72"/>
  <c r="O866" i="72"/>
  <c r="O978" i="72"/>
  <c r="R237" i="72"/>
  <c r="L379" i="72"/>
  <c r="G342" i="72"/>
  <c r="R503" i="72"/>
  <c r="M445" i="72"/>
  <c r="L1047" i="72"/>
  <c r="J484" i="72"/>
  <c r="E615" i="72"/>
  <c r="F914" i="72"/>
  <c r="K679" i="72"/>
  <c r="O871" i="72"/>
  <c r="G488" i="72"/>
  <c r="P531" i="72"/>
  <c r="F553" i="72"/>
  <c r="N569" i="72"/>
  <c r="L621" i="72"/>
  <c r="K463" i="72"/>
  <c r="J478" i="72"/>
  <c r="D525" i="72"/>
  <c r="E546" i="72"/>
  <c r="K734" i="72"/>
  <c r="G839" i="72"/>
  <c r="Q483" i="72"/>
  <c r="H546" i="72"/>
  <c r="H606" i="72"/>
  <c r="Q648" i="72"/>
  <c r="I757" i="72"/>
  <c r="I774" i="72"/>
  <c r="D885" i="72"/>
  <c r="K1049" i="72"/>
  <c r="G1092" i="72"/>
  <c r="Q1092" i="72"/>
  <c r="D723" i="72"/>
  <c r="M860" i="72"/>
  <c r="Q674" i="72"/>
  <c r="G736" i="72"/>
  <c r="Q774" i="72"/>
  <c r="I945" i="72"/>
  <c r="H994" i="72"/>
  <c r="L1003" i="72"/>
  <c r="N823" i="72"/>
  <c r="D867" i="72"/>
  <c r="I923" i="72"/>
  <c r="N923" i="72"/>
  <c r="O919" i="72"/>
  <c r="O966" i="72"/>
  <c r="D966" i="72"/>
  <c r="I711" i="72"/>
  <c r="N1032" i="72"/>
  <c r="N791" i="72"/>
  <c r="R832" i="72"/>
  <c r="F671" i="72"/>
  <c r="G705" i="72"/>
  <c r="F763" i="72"/>
  <c r="R870" i="72"/>
  <c r="M705" i="72"/>
  <c r="M731" i="72"/>
  <c r="H853" i="72"/>
  <c r="N1001" i="72"/>
  <c r="L1078" i="72"/>
  <c r="E1078" i="72"/>
  <c r="D779" i="72"/>
  <c r="K997" i="72"/>
  <c r="I829" i="72"/>
  <c r="N866" i="72"/>
  <c r="J970" i="72"/>
  <c r="D695" i="72"/>
  <c r="R728" i="72"/>
  <c r="D786" i="72"/>
  <c r="G978" i="72"/>
  <c r="R462" i="72"/>
  <c r="K583" i="72"/>
  <c r="D500" i="72"/>
  <c r="E747" i="72"/>
  <c r="D637" i="72"/>
  <c r="M1049" i="72"/>
  <c r="M852" i="72"/>
  <c r="M814" i="72"/>
  <c r="P863" i="72"/>
  <c r="Q823" i="72"/>
  <c r="M1067" i="72"/>
  <c r="P978" i="72"/>
  <c r="P1037" i="72"/>
  <c r="N1060" i="72"/>
  <c r="N671" i="72"/>
  <c r="I767" i="72"/>
  <c r="R798" i="72"/>
  <c r="N861" i="72"/>
  <c r="P913" i="72"/>
  <c r="P1061" i="72"/>
  <c r="E944" i="72"/>
  <c r="N1098" i="72"/>
  <c r="P1016" i="72"/>
  <c r="Q1052" i="72"/>
  <c r="Q910" i="72"/>
  <c r="M953" i="72"/>
  <c r="R986" i="72"/>
  <c r="F1076" i="72"/>
  <c r="Q902" i="72"/>
  <c r="R933" i="72"/>
  <c r="Q1081" i="72"/>
  <c r="Q1010" i="72"/>
  <c r="R1010" i="72"/>
  <c r="P1097" i="72"/>
  <c r="R951" i="72"/>
  <c r="R1068" i="72"/>
  <c r="E1002" i="72"/>
  <c r="J1064" i="72"/>
  <c r="R1084" i="72"/>
  <c r="L938" i="72"/>
  <c r="N995" i="72"/>
  <c r="I1073" i="72"/>
  <c r="M922" i="72"/>
  <c r="K1073" i="72"/>
  <c r="Q1091" i="72"/>
  <c r="H171" i="72"/>
  <c r="D64" i="72"/>
  <c r="I191" i="72"/>
  <c r="O212" i="72"/>
  <c r="G26" i="72"/>
  <c r="P53" i="72"/>
  <c r="G143" i="72"/>
  <c r="M162" i="72"/>
  <c r="I162" i="72"/>
  <c r="E162" i="72"/>
  <c r="L19" i="72"/>
  <c r="P87" i="72"/>
  <c r="M92" i="72"/>
  <c r="H92" i="72"/>
  <c r="D92" i="72"/>
  <c r="D163" i="72"/>
  <c r="J26" i="72"/>
  <c r="J82" i="72"/>
  <c r="E123" i="72"/>
  <c r="N186" i="72"/>
  <c r="I221" i="72"/>
  <c r="E221" i="72"/>
  <c r="R554" i="72"/>
  <c r="K12" i="72"/>
  <c r="R22" i="72"/>
  <c r="D58" i="72"/>
  <c r="I74" i="72"/>
  <c r="D74" i="72"/>
  <c r="K77" i="72"/>
  <c r="Q23" i="72"/>
  <c r="P136" i="72"/>
  <c r="J227" i="72"/>
  <c r="D95" i="72"/>
  <c r="Q95" i="72"/>
  <c r="F349" i="72"/>
  <c r="I349" i="72"/>
  <c r="J78" i="72"/>
  <c r="L83" i="72"/>
  <c r="F207" i="72"/>
  <c r="D371" i="72"/>
  <c r="H528" i="72"/>
  <c r="K753" i="72"/>
  <c r="M1023" i="72"/>
  <c r="K1096" i="72"/>
  <c r="J923" i="72"/>
  <c r="R940" i="72"/>
  <c r="N729" i="72"/>
  <c r="Q695" i="72"/>
  <c r="F1078" i="72"/>
  <c r="Q794" i="72"/>
  <c r="N998" i="72"/>
  <c r="O1037" i="72"/>
  <c r="F1060" i="72"/>
  <c r="L1060" i="72"/>
  <c r="I672" i="72"/>
  <c r="L771" i="72"/>
  <c r="Q866" i="72"/>
  <c r="K945" i="72"/>
  <c r="I1061" i="72"/>
  <c r="O908" i="72"/>
  <c r="I948" i="72"/>
  <c r="H1063" i="72"/>
  <c r="R1083" i="72"/>
  <c r="R1101" i="72"/>
  <c r="O948" i="72"/>
  <c r="M1017" i="72"/>
  <c r="J1063" i="72"/>
  <c r="O1081" i="72"/>
  <c r="K1097" i="72"/>
  <c r="F1083" i="72"/>
  <c r="L951" i="72"/>
  <c r="G1014" i="72"/>
  <c r="P1099" i="72"/>
  <c r="O1009" i="72"/>
  <c r="I1022" i="72"/>
  <c r="K1091" i="72"/>
  <c r="N939" i="72"/>
  <c r="K1002" i="72"/>
  <c r="P1093" i="72"/>
  <c r="E56" i="72"/>
  <c r="E102" i="72"/>
  <c r="R102" i="72"/>
  <c r="F191" i="72"/>
  <c r="E212" i="72"/>
  <c r="P105" i="72"/>
  <c r="R985" i="72"/>
  <c r="K19" i="72"/>
  <c r="P39" i="72"/>
  <c r="N53" i="72"/>
  <c r="R143" i="72"/>
  <c r="D28" i="72"/>
  <c r="O87" i="72"/>
  <c r="I82" i="72"/>
  <c r="R133" i="72"/>
  <c r="E554" i="72"/>
  <c r="Q554" i="72"/>
  <c r="R874" i="72"/>
  <c r="P23" i="72"/>
  <c r="J30" i="72"/>
  <c r="I77" i="72"/>
  <c r="H35" i="72"/>
  <c r="D42" i="72"/>
  <c r="R46" i="72"/>
  <c r="O136" i="72"/>
  <c r="D349" i="72"/>
  <c r="H78" i="72"/>
  <c r="F83" i="72"/>
  <c r="J107" i="72"/>
  <c r="D107" i="72"/>
  <c r="P119" i="72"/>
  <c r="N133" i="72"/>
  <c r="I133" i="72"/>
  <c r="E133" i="72"/>
  <c r="M16" i="72"/>
  <c r="K35" i="72"/>
  <c r="R123" i="72"/>
  <c r="G296" i="72"/>
  <c r="N604" i="72"/>
  <c r="N550" i="72"/>
  <c r="M839" i="72"/>
  <c r="P755" i="72"/>
  <c r="J945" i="72"/>
  <c r="G870" i="72"/>
  <c r="F684" i="72"/>
  <c r="O1078" i="72"/>
  <c r="L954" i="72"/>
  <c r="E860" i="72"/>
  <c r="Q998" i="72"/>
  <c r="N1037" i="72"/>
  <c r="K1060" i="72"/>
  <c r="H779" i="72"/>
  <c r="O878" i="72"/>
  <c r="G1003" i="72"/>
  <c r="D1061" i="72"/>
  <c r="N922" i="72"/>
  <c r="E1018" i="72"/>
  <c r="H920" i="72"/>
  <c r="R1055" i="72"/>
  <c r="E1083" i="72"/>
  <c r="O1059" i="72"/>
  <c r="L1097" i="72"/>
  <c r="F1019" i="72"/>
  <c r="R969" i="72"/>
  <c r="E1014" i="72"/>
  <c r="I1019" i="72"/>
  <c r="D882" i="72"/>
  <c r="K1093" i="72"/>
  <c r="G1029" i="72"/>
  <c r="D1090" i="72"/>
  <c r="R927" i="72"/>
  <c r="I1079" i="72"/>
  <c r="P171" i="72"/>
  <c r="Q102" i="72"/>
  <c r="E191" i="72"/>
  <c r="D212" i="72"/>
  <c r="E105" i="72"/>
  <c r="K985" i="72"/>
  <c r="M107" i="72"/>
  <c r="J143" i="72"/>
  <c r="D143" i="72"/>
  <c r="L151" i="72"/>
  <c r="L162" i="72"/>
  <c r="H162" i="72"/>
  <c r="D162" i="72"/>
  <c r="E21" i="72"/>
  <c r="G46" i="72"/>
  <c r="N87" i="72"/>
  <c r="L92" i="72"/>
  <c r="G92" i="72"/>
  <c r="M19" i="72"/>
  <c r="E28" i="72"/>
  <c r="F82" i="72"/>
  <c r="Q221" i="72"/>
  <c r="H221" i="72"/>
  <c r="R221" i="72"/>
  <c r="P554" i="72"/>
  <c r="L874" i="72"/>
  <c r="G14" i="72"/>
  <c r="H24" i="72"/>
  <c r="G58" i="72"/>
  <c r="R58" i="72"/>
  <c r="H74" i="72"/>
  <c r="N46" i="72"/>
  <c r="L136" i="72"/>
  <c r="I95" i="72"/>
  <c r="E349" i="72"/>
  <c r="R349" i="72"/>
  <c r="R23" i="72"/>
  <c r="I39" i="72"/>
  <c r="F78" i="72"/>
  <c r="D83" i="72"/>
  <c r="F119" i="72"/>
  <c r="O123" i="72"/>
  <c r="D350" i="72"/>
  <c r="F621" i="72"/>
  <c r="R565" i="72"/>
  <c r="J769" i="72"/>
  <c r="J1092" i="72"/>
  <c r="R693" i="72"/>
  <c r="L659" i="72"/>
  <c r="F697" i="72"/>
  <c r="G739" i="72"/>
  <c r="K778" i="72"/>
  <c r="R690" i="72"/>
  <c r="N954" i="72"/>
  <c r="G885" i="72"/>
  <c r="F1003" i="72"/>
  <c r="L1037" i="72"/>
  <c r="D1060" i="72"/>
  <c r="D953" i="72"/>
  <c r="N1016" i="72"/>
  <c r="G1090" i="72"/>
  <c r="G953" i="72"/>
  <c r="E1021" i="72"/>
  <c r="I1090" i="72"/>
  <c r="J999" i="72"/>
  <c r="Q1103" i="72"/>
  <c r="R1085" i="72"/>
  <c r="P920" i="72"/>
  <c r="R999" i="72"/>
  <c r="M1021" i="72"/>
  <c r="Q975" i="72"/>
  <c r="I904" i="72"/>
  <c r="Q1068" i="72"/>
  <c r="D1041" i="72"/>
  <c r="F1091" i="72"/>
  <c r="Q1014" i="72"/>
  <c r="G1073" i="72"/>
  <c r="P1094" i="72"/>
  <c r="R1030" i="72"/>
  <c r="M1091" i="72"/>
  <c r="I1081" i="72"/>
  <c r="N1095" i="72"/>
  <c r="O171" i="72"/>
  <c r="Q558" i="72"/>
  <c r="I56" i="72"/>
  <c r="D56" i="72"/>
  <c r="D102" i="72"/>
  <c r="P102" i="72"/>
  <c r="D191" i="72"/>
  <c r="K25" i="72"/>
  <c r="O22" i="72"/>
  <c r="H31" i="72"/>
  <c r="I136" i="72"/>
  <c r="I12" i="72"/>
  <c r="K23" i="72"/>
  <c r="H30" i="72"/>
  <c r="F54" i="72"/>
  <c r="K87" i="72"/>
  <c r="N107" i="72"/>
  <c r="J46" i="72"/>
  <c r="N151" i="72"/>
  <c r="O221" i="72"/>
  <c r="I554" i="72"/>
  <c r="D554" i="72"/>
  <c r="N554" i="72"/>
  <c r="F874" i="72"/>
  <c r="K874" i="72"/>
  <c r="M15" i="72"/>
  <c r="O58" i="72"/>
  <c r="R74" i="72"/>
  <c r="P107" i="72"/>
  <c r="L26" i="72"/>
  <c r="R42" i="72"/>
  <c r="K136" i="72"/>
  <c r="Q349" i="72"/>
  <c r="P349" i="72"/>
  <c r="I107" i="72"/>
  <c r="M133" i="72"/>
  <c r="H133" i="72"/>
  <c r="D133" i="72"/>
  <c r="N145" i="72"/>
  <c r="O279" i="72"/>
  <c r="F511" i="72"/>
  <c r="H745" i="72"/>
  <c r="R475" i="72"/>
  <c r="R716" i="72"/>
  <c r="N994" i="72"/>
  <c r="I724" i="72"/>
  <c r="R966" i="72"/>
  <c r="N850" i="72"/>
  <c r="M997" i="72"/>
  <c r="O845" i="72"/>
  <c r="K1037" i="72"/>
  <c r="H1060" i="72"/>
  <c r="F786" i="72"/>
  <c r="M1080" i="72"/>
  <c r="D1021" i="72"/>
  <c r="L1073" i="72"/>
  <c r="N1007" i="72"/>
  <c r="R973" i="72"/>
  <c r="Q1085" i="72"/>
  <c r="O920" i="72"/>
  <c r="P946" i="72"/>
  <c r="O982" i="72"/>
  <c r="L1089" i="72"/>
  <c r="R1103" i="72"/>
  <c r="R953" i="72"/>
  <c r="R1044" i="72"/>
  <c r="D987" i="72"/>
  <c r="R904" i="72"/>
  <c r="R1097" i="72"/>
  <c r="G1016" i="72"/>
  <c r="H1095" i="72"/>
  <c r="R971" i="72"/>
  <c r="E1063" i="72"/>
  <c r="M1098" i="72"/>
  <c r="R171" i="72"/>
  <c r="P558" i="72"/>
  <c r="M102" i="72"/>
  <c r="R212" i="72"/>
  <c r="J23" i="72"/>
  <c r="H45" i="72"/>
  <c r="I143" i="72"/>
  <c r="O162" i="72"/>
  <c r="K162" i="72"/>
  <c r="G162" i="72"/>
  <c r="R972" i="72"/>
  <c r="P972" i="72"/>
  <c r="E24" i="72"/>
  <c r="M31" i="72"/>
  <c r="K92" i="72"/>
  <c r="F92" i="72"/>
  <c r="D123" i="72"/>
  <c r="L23" i="72"/>
  <c r="I30" i="72"/>
  <c r="Q163" i="72"/>
  <c r="M221" i="72"/>
  <c r="D221" i="72"/>
  <c r="N221" i="72"/>
  <c r="M554" i="72"/>
  <c r="I874" i="72"/>
  <c r="G35" i="72"/>
  <c r="F58" i="72"/>
  <c r="N58" i="72"/>
  <c r="F74" i="72"/>
  <c r="Q74" i="72"/>
  <c r="N42" i="72"/>
  <c r="R111" i="72"/>
  <c r="H95" i="72"/>
  <c r="H349" i="72"/>
  <c r="O349" i="72"/>
  <c r="M349" i="72"/>
  <c r="H28" i="72"/>
  <c r="P55" i="72"/>
  <c r="K145" i="72"/>
  <c r="N26" i="72"/>
  <c r="J56" i="72"/>
  <c r="M123" i="72"/>
  <c r="M559" i="72"/>
  <c r="M734" i="72"/>
  <c r="E540" i="72"/>
  <c r="R866" i="72"/>
  <c r="M1031" i="72"/>
  <c r="M1005" i="72"/>
  <c r="J887" i="72"/>
  <c r="F954" i="72"/>
  <c r="K821" i="72"/>
  <c r="K878" i="72"/>
  <c r="R1060" i="72"/>
  <c r="G1060" i="72"/>
  <c r="M761" i="72"/>
  <c r="O938" i="72"/>
  <c r="N1022" i="72"/>
  <c r="L1079" i="72"/>
  <c r="I1013" i="72"/>
  <c r="N1027" i="72"/>
  <c r="L1068" i="72"/>
  <c r="R926" i="72"/>
  <c r="L1044" i="72"/>
  <c r="N1068" i="72"/>
  <c r="R1011" i="72"/>
  <c r="R1024" i="72"/>
  <c r="R946" i="72"/>
  <c r="N1021" i="72"/>
  <c r="D1064" i="72"/>
  <c r="G922" i="72"/>
  <c r="Q1030" i="72"/>
  <c r="M984" i="72"/>
  <c r="L1064" i="72"/>
  <c r="I1029" i="72"/>
  <c r="M171" i="72"/>
  <c r="M25" i="72"/>
  <c r="R56" i="72"/>
  <c r="H191" i="72"/>
  <c r="R191" i="72"/>
  <c r="M212" i="72"/>
  <c r="M50" i="72"/>
  <c r="M139" i="72"/>
  <c r="H143" i="72"/>
  <c r="N162" i="72"/>
  <c r="J162" i="72"/>
  <c r="F162" i="72"/>
  <c r="F972" i="72"/>
  <c r="O972" i="72"/>
  <c r="I972" i="72"/>
  <c r="R25" i="72"/>
  <c r="E35" i="72"/>
  <c r="H68" i="72"/>
  <c r="N92" i="72"/>
  <c r="J92" i="72"/>
  <c r="E92" i="72"/>
  <c r="J136" i="72"/>
  <c r="N82" i="72"/>
  <c r="R186" i="72"/>
  <c r="L221" i="72"/>
  <c r="G221" i="72"/>
  <c r="K554" i="72"/>
  <c r="M874" i="72"/>
  <c r="E58" i="72"/>
  <c r="J74" i="72"/>
  <c r="E74" i="72"/>
  <c r="P77" i="72"/>
  <c r="O151" i="72"/>
  <c r="J111" i="72"/>
  <c r="O227" i="72"/>
  <c r="Q227" i="72"/>
  <c r="G95" i="72"/>
  <c r="G349" i="72"/>
  <c r="K349" i="72"/>
  <c r="N30" i="72"/>
  <c r="E55" i="72"/>
  <c r="P78" i="72"/>
  <c r="R83" i="72"/>
  <c r="R107" i="72"/>
  <c r="G145" i="72"/>
  <c r="R90" i="72"/>
  <c r="O475" i="72"/>
  <c r="N474" i="72"/>
  <c r="E604" i="72"/>
  <c r="R885" i="72"/>
  <c r="Q771" i="72"/>
  <c r="E787" i="72"/>
  <c r="M917" i="72"/>
  <c r="G1067" i="72"/>
  <c r="G771" i="72"/>
  <c r="R978" i="72"/>
  <c r="P1060" i="72"/>
  <c r="N704" i="72"/>
  <c r="G766" i="72"/>
  <c r="R794" i="72"/>
  <c r="J860" i="72"/>
  <c r="R913" i="72"/>
  <c r="Q1061" i="72"/>
  <c r="K1027" i="72"/>
  <c r="K1081" i="72"/>
  <c r="O1095" i="72"/>
  <c r="R938" i="72"/>
  <c r="K1029" i="72"/>
  <c r="R980" i="72"/>
  <c r="M1010" i="72"/>
  <c r="P1073" i="72"/>
  <c r="R928" i="72"/>
  <c r="N953" i="72"/>
  <c r="O999" i="72"/>
  <c r="E1051" i="72"/>
  <c r="Q1073" i="72"/>
  <c r="E1094" i="72"/>
  <c r="M975" i="72"/>
  <c r="D1014" i="72"/>
  <c r="E1091" i="72"/>
  <c r="I1065" i="72"/>
  <c r="I995" i="72"/>
  <c r="H1041" i="72"/>
  <c r="M1083" i="72"/>
  <c r="Q988" i="72"/>
  <c r="R1069" i="72"/>
  <c r="F1090" i="72"/>
  <c r="I171" i="72"/>
  <c r="R28" i="72"/>
  <c r="F56" i="72"/>
  <c r="G102" i="72"/>
  <c r="G191" i="72"/>
  <c r="Q191" i="72"/>
  <c r="P212" i="72"/>
  <c r="K212" i="72"/>
  <c r="D50" i="72"/>
  <c r="N25" i="72"/>
  <c r="G36" i="72"/>
  <c r="Q53" i="72"/>
  <c r="K139" i="72"/>
  <c r="N972" i="72"/>
  <c r="G972" i="72"/>
  <c r="H26" i="72"/>
  <c r="Q87" i="72"/>
  <c r="M151" i="72"/>
  <c r="F35" i="72"/>
  <c r="L82" i="72"/>
  <c r="O107" i="72"/>
  <c r="P186" i="72"/>
  <c r="F221" i="72"/>
  <c r="F554" i="72"/>
  <c r="J21" i="72"/>
  <c r="F28" i="72"/>
  <c r="O77" i="72"/>
  <c r="K30" i="72"/>
  <c r="F42" i="72"/>
  <c r="R136" i="72"/>
  <c r="N227" i="72"/>
  <c r="D227" i="72"/>
  <c r="R95" i="72"/>
  <c r="J349" i="72"/>
  <c r="J35" i="72"/>
  <c r="M78" i="72"/>
  <c r="O83" i="72"/>
  <c r="K107" i="72"/>
  <c r="F107" i="72"/>
  <c r="O133" i="72"/>
  <c r="J133" i="72"/>
  <c r="F133" i="72"/>
  <c r="F145" i="72"/>
  <c r="P30" i="72"/>
  <c r="O90" i="72"/>
  <c r="R671" i="72"/>
  <c r="E1037" i="72"/>
  <c r="E1010" i="72"/>
  <c r="G1019" i="72"/>
  <c r="Q1099" i="72"/>
  <c r="D24" i="72"/>
  <c r="P82" i="72"/>
  <c r="L554" i="72"/>
  <c r="L133" i="72"/>
  <c r="I28" i="72"/>
  <c r="N123" i="72"/>
  <c r="L35" i="72"/>
  <c r="K66" i="72"/>
  <c r="O75" i="72"/>
  <c r="F160" i="72"/>
  <c r="R179" i="72"/>
  <c r="G179" i="72"/>
  <c r="K234" i="72"/>
  <c r="F234" i="72"/>
  <c r="Q234" i="72"/>
  <c r="R683" i="72"/>
  <c r="L25" i="72"/>
  <c r="R26" i="72"/>
  <c r="H288" i="72"/>
  <c r="J288" i="72"/>
  <c r="L28" i="72"/>
  <c r="L42" i="72"/>
  <c r="Q207" i="72"/>
  <c r="Q124" i="72"/>
  <c r="M124" i="72"/>
  <c r="I124" i="72"/>
  <c r="K17" i="72"/>
  <c r="M28" i="72"/>
  <c r="Q56" i="72"/>
  <c r="F153" i="72"/>
  <c r="M17" i="72"/>
  <c r="F49" i="72"/>
  <c r="J102" i="72"/>
  <c r="O168" i="72"/>
  <c r="G189" i="72"/>
  <c r="P228" i="72"/>
  <c r="R230" i="72"/>
  <c r="G277" i="72"/>
  <c r="N372" i="72"/>
  <c r="F372" i="72"/>
  <c r="R197" i="72"/>
  <c r="N268" i="72"/>
  <c r="J268" i="72"/>
  <c r="F268" i="72"/>
  <c r="E382" i="72"/>
  <c r="J69" i="72"/>
  <c r="H84" i="72"/>
  <c r="G154" i="72"/>
  <c r="I216" i="72"/>
  <c r="O252" i="72"/>
  <c r="K252" i="72"/>
  <c r="G252" i="72"/>
  <c r="K44" i="72"/>
  <c r="Q80" i="72"/>
  <c r="J108" i="72"/>
  <c r="Q175" i="72"/>
  <c r="M219" i="72"/>
  <c r="I281" i="72"/>
  <c r="R69" i="72"/>
  <c r="I141" i="72"/>
  <c r="O173" i="72"/>
  <c r="G211" i="72"/>
  <c r="H63" i="72"/>
  <c r="R81" i="72"/>
  <c r="P101" i="72"/>
  <c r="J130" i="72"/>
  <c r="H195" i="72"/>
  <c r="K264" i="72"/>
  <c r="I303" i="72"/>
  <c r="D330" i="72"/>
  <c r="F85" i="72"/>
  <c r="P149" i="72"/>
  <c r="J184" i="72"/>
  <c r="M198" i="72"/>
  <c r="J282" i="72"/>
  <c r="Q103" i="72"/>
  <c r="R137" i="72"/>
  <c r="N165" i="72"/>
  <c r="L184" i="72"/>
  <c r="O756" i="72"/>
  <c r="O1022" i="72"/>
  <c r="D35" i="72"/>
  <c r="O74" i="72"/>
  <c r="R227" i="72"/>
  <c r="K55" i="72"/>
  <c r="G133" i="72"/>
  <c r="E34" i="72"/>
  <c r="L123" i="72"/>
  <c r="I151" i="72"/>
  <c r="O163" i="72"/>
  <c r="K163" i="72"/>
  <c r="G163" i="72"/>
  <c r="R251" i="72"/>
  <c r="D25" i="72"/>
  <c r="L75" i="72"/>
  <c r="M168" i="72"/>
  <c r="O234" i="72"/>
  <c r="P146" i="72"/>
  <c r="L146" i="72"/>
  <c r="H146" i="72"/>
  <c r="R86" i="72"/>
  <c r="L9" i="72"/>
  <c r="M161" i="72"/>
  <c r="R131" i="72"/>
  <c r="R288" i="72"/>
  <c r="M9" i="72"/>
  <c r="R207" i="72"/>
  <c r="D207" i="72"/>
  <c r="P207" i="72"/>
  <c r="D19" i="72"/>
  <c r="L58" i="72"/>
  <c r="E153" i="72"/>
  <c r="I166" i="72"/>
  <c r="E19" i="72"/>
  <c r="J33" i="72"/>
  <c r="E49" i="72"/>
  <c r="N168" i="72"/>
  <c r="O106" i="72"/>
  <c r="N208" i="72"/>
  <c r="K213" i="72"/>
  <c r="Q230" i="72"/>
  <c r="D372" i="72"/>
  <c r="K372" i="72"/>
  <c r="E372" i="72"/>
  <c r="I44" i="72"/>
  <c r="G103" i="72"/>
  <c r="D175" i="72"/>
  <c r="L200" i="72"/>
  <c r="F70" i="72"/>
  <c r="I125" i="72"/>
  <c r="D156" i="72"/>
  <c r="F175" i="72"/>
  <c r="H216" i="72"/>
  <c r="H233" i="72"/>
  <c r="L294" i="72"/>
  <c r="H294" i="72"/>
  <c r="D294" i="72"/>
  <c r="M81" i="72"/>
  <c r="R93" i="72"/>
  <c r="D130" i="72"/>
  <c r="J147" i="72"/>
  <c r="I213" i="72"/>
  <c r="H165" i="72"/>
  <c r="K219" i="72"/>
  <c r="H281" i="72"/>
  <c r="J70" i="72"/>
  <c r="M147" i="72"/>
  <c r="K173" i="72"/>
  <c r="E211" i="72"/>
  <c r="R47" i="72"/>
  <c r="O84" i="72"/>
  <c r="P137" i="72"/>
  <c r="P208" i="72"/>
  <c r="I264" i="72"/>
  <c r="H303" i="72"/>
  <c r="L40" i="72"/>
  <c r="F51" i="72"/>
  <c r="L165" i="72"/>
  <c r="F189" i="72"/>
  <c r="R213" i="72"/>
  <c r="R232" i="72"/>
  <c r="I282" i="72"/>
  <c r="M65" i="72"/>
  <c r="R84" i="72"/>
  <c r="P108" i="72"/>
  <c r="Q125" i="72"/>
  <c r="P141" i="72"/>
  <c r="J196" i="72"/>
  <c r="Q1003" i="72"/>
  <c r="G878" i="72"/>
  <c r="O1098" i="72"/>
  <c r="O988" i="72"/>
  <c r="F45" i="72"/>
  <c r="D874" i="72"/>
  <c r="R77" i="72"/>
  <c r="H42" i="72"/>
  <c r="D146" i="72"/>
  <c r="L251" i="72"/>
  <c r="K56" i="72"/>
  <c r="J75" i="72"/>
  <c r="L179" i="72"/>
  <c r="F179" i="72"/>
  <c r="J234" i="72"/>
  <c r="E234" i="72"/>
  <c r="N234" i="72"/>
  <c r="P86" i="72"/>
  <c r="E683" i="72"/>
  <c r="Q683" i="72"/>
  <c r="I11" i="72"/>
  <c r="K28" i="72"/>
  <c r="K42" i="72"/>
  <c r="J131" i="72"/>
  <c r="D288" i="72"/>
  <c r="Q288" i="72"/>
  <c r="K11" i="72"/>
  <c r="M56" i="72"/>
  <c r="N207" i="72"/>
  <c r="P124" i="72"/>
  <c r="L124" i="72"/>
  <c r="H124" i="72"/>
  <c r="J95" i="72"/>
  <c r="D153" i="72"/>
  <c r="E171" i="72"/>
  <c r="L208" i="72"/>
  <c r="G230" i="72"/>
  <c r="F277" i="72"/>
  <c r="J372" i="72"/>
  <c r="G208" i="72"/>
  <c r="M268" i="72"/>
  <c r="I268" i="72"/>
  <c r="E268" i="72"/>
  <c r="P85" i="72"/>
  <c r="R177" i="72"/>
  <c r="N200" i="72"/>
  <c r="N252" i="72"/>
  <c r="J252" i="72"/>
  <c r="F252" i="72"/>
  <c r="M47" i="72"/>
  <c r="N69" i="72"/>
  <c r="E110" i="72"/>
  <c r="D183" i="72"/>
  <c r="P200" i="72"/>
  <c r="Q214" i="72"/>
  <c r="D194" i="72"/>
  <c r="Q200" i="72"/>
  <c r="I219" i="72"/>
  <c r="G281" i="72"/>
  <c r="D85" i="72"/>
  <c r="O208" i="72"/>
  <c r="P213" i="72"/>
  <c r="J65" i="72"/>
  <c r="E85" i="72"/>
  <c r="O103" i="72"/>
  <c r="G116" i="72"/>
  <c r="M183" i="72"/>
  <c r="H264" i="72"/>
  <c r="D41" i="72"/>
  <c r="O70" i="72"/>
  <c r="P103" i="72"/>
  <c r="F174" i="72"/>
  <c r="I195" i="72"/>
  <c r="I198" i="72"/>
  <c r="O232" i="72"/>
  <c r="H282" i="72"/>
  <c r="G85" i="72"/>
  <c r="I126" i="72"/>
  <c r="H142" i="72"/>
  <c r="J172" i="72"/>
  <c r="E219" i="72"/>
  <c r="G796" i="72"/>
  <c r="E695" i="72"/>
  <c r="P1010" i="72"/>
  <c r="I987" i="72"/>
  <c r="H1017" i="72"/>
  <c r="Q972" i="72"/>
  <c r="N19" i="72"/>
  <c r="D145" i="72"/>
  <c r="E151" i="72"/>
  <c r="R151" i="72"/>
  <c r="N163" i="72"/>
  <c r="J163" i="72"/>
  <c r="F163" i="72"/>
  <c r="K251" i="72"/>
  <c r="O26" i="72"/>
  <c r="I75" i="72"/>
  <c r="Q179" i="72"/>
  <c r="L234" i="72"/>
  <c r="O146" i="72"/>
  <c r="K146" i="72"/>
  <c r="G146" i="72"/>
  <c r="N86" i="72"/>
  <c r="O683" i="72"/>
  <c r="Q49" i="72"/>
  <c r="D131" i="72"/>
  <c r="P288" i="72"/>
  <c r="K58" i="72"/>
  <c r="O207" i="72"/>
  <c r="M207" i="72"/>
  <c r="O34" i="72"/>
  <c r="I102" i="72"/>
  <c r="H166" i="72"/>
  <c r="P35" i="72"/>
  <c r="M58" i="72"/>
  <c r="L174" i="72"/>
  <c r="J213" i="72"/>
  <c r="F230" i="72"/>
  <c r="I372" i="72"/>
  <c r="R407" i="72"/>
  <c r="K47" i="72"/>
  <c r="K81" i="72"/>
  <c r="G213" i="72"/>
  <c r="R382" i="72"/>
  <c r="I113" i="72"/>
  <c r="I147" i="72"/>
  <c r="E159" i="72"/>
  <c r="M180" i="72"/>
  <c r="N202" i="72"/>
  <c r="G233" i="72"/>
  <c r="K294" i="72"/>
  <c r="G294" i="72"/>
  <c r="R294" i="72"/>
  <c r="E48" i="72"/>
  <c r="G70" i="72"/>
  <c r="I84" i="72"/>
  <c r="L101" i="72"/>
  <c r="J134" i="72"/>
  <c r="I149" i="72"/>
  <c r="P202" i="72"/>
  <c r="O222" i="72"/>
  <c r="R202" i="72"/>
  <c r="L149" i="72"/>
  <c r="E176" i="72"/>
  <c r="P210" i="72"/>
  <c r="E51" i="72"/>
  <c r="R104" i="72"/>
  <c r="J141" i="72"/>
  <c r="Q213" i="72"/>
  <c r="G264" i="72"/>
  <c r="R303" i="72"/>
  <c r="K330" i="72"/>
  <c r="R330" i="72"/>
  <c r="L43" i="72"/>
  <c r="N76" i="72"/>
  <c r="G232" i="72"/>
  <c r="G51" i="72"/>
  <c r="P70" i="72"/>
  <c r="M110" i="72"/>
  <c r="P147" i="72"/>
  <c r="I172" i="72"/>
  <c r="I196" i="72"/>
  <c r="N732" i="72"/>
  <c r="F1029" i="72"/>
  <c r="I1027" i="72"/>
  <c r="Q171" i="72"/>
  <c r="O139" i="72"/>
  <c r="J972" i="72"/>
  <c r="K26" i="72"/>
  <c r="G28" i="72"/>
  <c r="L107" i="72"/>
  <c r="J90" i="72"/>
  <c r="P151" i="72"/>
  <c r="I251" i="72"/>
  <c r="J28" i="72"/>
  <c r="F75" i="72"/>
  <c r="K179" i="72"/>
  <c r="I179" i="72"/>
  <c r="E179" i="72"/>
  <c r="I234" i="72"/>
  <c r="R234" i="72"/>
  <c r="H234" i="72"/>
  <c r="K86" i="72"/>
  <c r="N683" i="72"/>
  <c r="P12" i="72"/>
  <c r="R30" i="72"/>
  <c r="L56" i="72"/>
  <c r="M170" i="72"/>
  <c r="O288" i="72"/>
  <c r="Q12" i="72"/>
  <c r="Q24" i="72"/>
  <c r="N34" i="72"/>
  <c r="H102" i="72"/>
  <c r="K207" i="72"/>
  <c r="O124" i="72"/>
  <c r="K124" i="72"/>
  <c r="G124" i="72"/>
  <c r="R24" i="72"/>
  <c r="O35" i="72"/>
  <c r="P153" i="72"/>
  <c r="R166" i="72"/>
  <c r="I25" i="72"/>
  <c r="H174" i="72"/>
  <c r="E277" i="72"/>
  <c r="R277" i="72"/>
  <c r="H372" i="72"/>
  <c r="Q407" i="72"/>
  <c r="J222" i="72"/>
  <c r="L268" i="72"/>
  <c r="H268" i="72"/>
  <c r="D268" i="72"/>
  <c r="O382" i="72"/>
  <c r="P114" i="72"/>
  <c r="I134" i="72"/>
  <c r="H208" i="72"/>
  <c r="M252" i="72"/>
  <c r="I252" i="72"/>
  <c r="E252" i="72"/>
  <c r="Q294" i="72"/>
  <c r="K113" i="72"/>
  <c r="O187" i="72"/>
  <c r="I208" i="72"/>
  <c r="D232" i="72"/>
  <c r="J208" i="72"/>
  <c r="L103" i="72"/>
  <c r="N103" i="72"/>
  <c r="J156" i="72"/>
  <c r="I89" i="72"/>
  <c r="N108" i="72"/>
  <c r="R121" i="72"/>
  <c r="O149" i="72"/>
  <c r="L183" i="72"/>
  <c r="F264" i="72"/>
  <c r="P303" i="72"/>
  <c r="H330" i="72"/>
  <c r="Q330" i="72"/>
  <c r="L59" i="72"/>
  <c r="I116" i="72"/>
  <c r="H198" i="72"/>
  <c r="F232" i="72"/>
  <c r="R282" i="72"/>
  <c r="E73" i="72"/>
  <c r="L89" i="72"/>
  <c r="D114" i="72"/>
  <c r="Q129" i="72"/>
  <c r="Q189" i="72"/>
  <c r="L494" i="72"/>
  <c r="O853" i="72"/>
  <c r="Q853" i="72"/>
  <c r="R1093" i="72"/>
  <c r="Q1083" i="72"/>
  <c r="H56" i="72"/>
  <c r="F24" i="72"/>
  <c r="H554" i="72"/>
  <c r="N349" i="72"/>
  <c r="E145" i="72"/>
  <c r="F251" i="72"/>
  <c r="Q30" i="72"/>
  <c r="R66" i="72"/>
  <c r="J179" i="72"/>
  <c r="H179" i="72"/>
  <c r="D179" i="72"/>
  <c r="M234" i="72"/>
  <c r="G234" i="72"/>
  <c r="G683" i="72"/>
  <c r="P14" i="72"/>
  <c r="E25" i="72"/>
  <c r="M34" i="72"/>
  <c r="E124" i="72"/>
  <c r="I288" i="72"/>
  <c r="N288" i="72"/>
  <c r="Q14" i="72"/>
  <c r="Q35" i="72"/>
  <c r="N124" i="72"/>
  <c r="J124" i="72"/>
  <c r="F124" i="72"/>
  <c r="L153" i="72"/>
  <c r="D171" i="72"/>
  <c r="N28" i="72"/>
  <c r="O42" i="72"/>
  <c r="O92" i="72"/>
  <c r="Q168" i="72"/>
  <c r="H277" i="72"/>
  <c r="D277" i="72"/>
  <c r="O277" i="72"/>
  <c r="Q372" i="72"/>
  <c r="O372" i="72"/>
  <c r="D70" i="72"/>
  <c r="O184" i="72"/>
  <c r="O268" i="72"/>
  <c r="K268" i="72"/>
  <c r="G268" i="72"/>
  <c r="J382" i="72"/>
  <c r="L81" i="72"/>
  <c r="I137" i="72"/>
  <c r="I167" i="72"/>
  <c r="H213" i="72"/>
  <c r="M233" i="72"/>
  <c r="P252" i="72"/>
  <c r="L252" i="72"/>
  <c r="H252" i="72"/>
  <c r="D252" i="72"/>
  <c r="G165" i="72"/>
  <c r="P209" i="72"/>
  <c r="L213" i="72"/>
  <c r="H232" i="72"/>
  <c r="M281" i="72"/>
  <c r="O213" i="72"/>
  <c r="M137" i="72"/>
  <c r="J165" i="72"/>
  <c r="D189" i="72"/>
  <c r="K59" i="72"/>
  <c r="Q96" i="72"/>
  <c r="I110" i="72"/>
  <c r="E174" i="72"/>
  <c r="M197" i="72"/>
  <c r="N303" i="72"/>
  <c r="L330" i="72"/>
  <c r="Q137" i="72"/>
  <c r="P198" i="72"/>
  <c r="D206" i="72"/>
  <c r="M282" i="72"/>
  <c r="M59" i="72"/>
  <c r="K116" i="72"/>
  <c r="R134" i="72"/>
  <c r="J150" i="72"/>
  <c r="D177" i="72"/>
  <c r="J195" i="72"/>
  <c r="Q786" i="72"/>
  <c r="E892" i="72"/>
  <c r="O922" i="72"/>
  <c r="Q1066" i="72"/>
  <c r="H922" i="72"/>
  <c r="P1101" i="72"/>
  <c r="H12" i="72"/>
  <c r="P31" i="72"/>
  <c r="P111" i="72"/>
  <c r="L349" i="72"/>
  <c r="P133" i="72"/>
  <c r="J151" i="72"/>
  <c r="P163" i="72"/>
  <c r="L163" i="72"/>
  <c r="H163" i="72"/>
  <c r="Q28" i="72"/>
  <c r="G34" i="72"/>
  <c r="P66" i="72"/>
  <c r="P75" i="72"/>
  <c r="M160" i="72"/>
  <c r="Q146" i="72"/>
  <c r="M146" i="72"/>
  <c r="I146" i="72"/>
  <c r="F683" i="72"/>
  <c r="F17" i="72"/>
  <c r="M35" i="72"/>
  <c r="R146" i="72"/>
  <c r="K288" i="72"/>
  <c r="J17" i="72"/>
  <c r="I207" i="72"/>
  <c r="R14" i="72"/>
  <c r="M42" i="72"/>
  <c r="G153" i="72"/>
  <c r="J166" i="72"/>
  <c r="D166" i="72"/>
  <c r="K95" i="72"/>
  <c r="E168" i="72"/>
  <c r="P168" i="72"/>
  <c r="F103" i="72"/>
  <c r="O189" i="72"/>
  <c r="D208" i="72"/>
  <c r="M213" i="72"/>
  <c r="E213" i="72"/>
  <c r="P372" i="72"/>
  <c r="G372" i="72"/>
  <c r="R57" i="72"/>
  <c r="O85" i="72"/>
  <c r="I382" i="72"/>
  <c r="H103" i="72"/>
  <c r="Q196" i="72"/>
  <c r="O214" i="72"/>
  <c r="G231" i="72"/>
  <c r="K233" i="72"/>
  <c r="I294" i="72"/>
  <c r="E294" i="72"/>
  <c r="D89" i="72"/>
  <c r="K125" i="72"/>
  <c r="M209" i="72"/>
  <c r="F156" i="72"/>
  <c r="K194" i="72"/>
  <c r="O219" i="72"/>
  <c r="J281" i="72"/>
  <c r="F65" i="72"/>
  <c r="J138" i="72"/>
  <c r="G195" i="72"/>
  <c r="R211" i="72"/>
  <c r="O44" i="72"/>
  <c r="K128" i="72"/>
  <c r="E189" i="72"/>
  <c r="L197" i="72"/>
  <c r="M303" i="72"/>
  <c r="E330" i="72"/>
  <c r="L65" i="72"/>
  <c r="P84" i="72"/>
  <c r="O141" i="72"/>
  <c r="K183" i="72"/>
  <c r="Q208" i="72"/>
  <c r="K282" i="72"/>
  <c r="R101" i="72"/>
  <c r="O156" i="72"/>
  <c r="N183" i="72"/>
  <c r="G198" i="72"/>
  <c r="N212" i="72"/>
  <c r="G107" i="72"/>
  <c r="E163" i="72"/>
  <c r="F86" i="72"/>
  <c r="M153" i="72"/>
  <c r="R168" i="72"/>
  <c r="H137" i="72"/>
  <c r="P80" i="72"/>
  <c r="L222" i="72"/>
  <c r="P294" i="72"/>
  <c r="K208" i="72"/>
  <c r="O303" i="72"/>
  <c r="R198" i="72"/>
  <c r="F41" i="72"/>
  <c r="O65" i="72"/>
  <c r="H85" i="72"/>
  <c r="N110" i="72"/>
  <c r="P130" i="72"/>
  <c r="R180" i="72"/>
  <c r="M195" i="72"/>
  <c r="H222" i="72"/>
  <c r="P258" i="72"/>
  <c r="R70" i="72"/>
  <c r="N126" i="72"/>
  <c r="R147" i="72"/>
  <c r="Q174" i="72"/>
  <c r="I233" i="72"/>
  <c r="O199" i="72"/>
  <c r="Q273" i="72"/>
  <c r="G284" i="72"/>
  <c r="D304" i="72"/>
  <c r="O326" i="72"/>
  <c r="M348" i="72"/>
  <c r="D348" i="72"/>
  <c r="R384" i="72"/>
  <c r="R224" i="72"/>
  <c r="G240" i="72"/>
  <c r="E283" i="72"/>
  <c r="P326" i="72"/>
  <c r="D509" i="72"/>
  <c r="I509" i="72"/>
  <c r="N384" i="72"/>
  <c r="J384" i="72"/>
  <c r="F384" i="72"/>
  <c r="G549" i="72"/>
  <c r="H549" i="72"/>
  <c r="L448" i="72"/>
  <c r="I448" i="72"/>
  <c r="I278" i="72"/>
  <c r="N319" i="72"/>
  <c r="I347" i="72"/>
  <c r="P347" i="72"/>
  <c r="Q250" i="72"/>
  <c r="L284" i="72"/>
  <c r="M319" i="72"/>
  <c r="M399" i="72"/>
  <c r="O240" i="72"/>
  <c r="J269" i="72"/>
  <c r="J283" i="72"/>
  <c r="E323" i="72"/>
  <c r="J353" i="72"/>
  <c r="D353" i="72"/>
  <c r="J477" i="72"/>
  <c r="F477" i="72"/>
  <c r="P477" i="72"/>
  <c r="N253" i="72"/>
  <c r="H271" i="72"/>
  <c r="G313" i="72"/>
  <c r="L338" i="72"/>
  <c r="F378" i="72"/>
  <c r="H420" i="72"/>
  <c r="H192" i="72"/>
  <c r="R240" i="72"/>
  <c r="P263" i="72"/>
  <c r="Q278" i="72"/>
  <c r="Q311" i="72"/>
  <c r="E340" i="72"/>
  <c r="H346" i="72"/>
  <c r="Q255" i="72"/>
  <c r="Q284" i="72"/>
  <c r="J313" i="72"/>
  <c r="G270" i="72"/>
  <c r="L224" i="72"/>
  <c r="O256" i="72"/>
  <c r="O327" i="72"/>
  <c r="N346" i="72"/>
  <c r="J355" i="72"/>
  <c r="N365" i="72"/>
  <c r="G376" i="72"/>
  <c r="P401" i="72"/>
  <c r="G436" i="72"/>
  <c r="P460" i="72"/>
  <c r="J145" i="72"/>
  <c r="G251" i="72"/>
  <c r="J25" i="72"/>
  <c r="K166" i="72"/>
  <c r="N85" i="72"/>
  <c r="P277" i="72"/>
  <c r="P184" i="72"/>
  <c r="J101" i="72"/>
  <c r="P233" i="72"/>
  <c r="F59" i="72"/>
  <c r="J128" i="72"/>
  <c r="F330" i="72"/>
  <c r="M130" i="72"/>
  <c r="N43" i="72"/>
  <c r="F114" i="72"/>
  <c r="N180" i="72"/>
  <c r="N258" i="72"/>
  <c r="I73" i="72"/>
  <c r="O110" i="72"/>
  <c r="L148" i="72"/>
  <c r="L195" i="72"/>
  <c r="Q178" i="72"/>
  <c r="F253" i="72"/>
  <c r="G265" i="72"/>
  <c r="E295" i="72"/>
  <c r="N315" i="72"/>
  <c r="Q327" i="72"/>
  <c r="L348" i="72"/>
  <c r="Q226" i="72"/>
  <c r="F255" i="72"/>
  <c r="R270" i="72"/>
  <c r="F295" i="72"/>
  <c r="R306" i="72"/>
  <c r="R327" i="72"/>
  <c r="K240" i="72"/>
  <c r="J284" i="72"/>
  <c r="K448" i="72"/>
  <c r="D448" i="72"/>
  <c r="H448" i="72"/>
  <c r="Q310" i="72"/>
  <c r="L346" i="72"/>
  <c r="O347" i="72"/>
  <c r="K253" i="72"/>
  <c r="H301" i="72"/>
  <c r="D399" i="72"/>
  <c r="L399" i="72"/>
  <c r="D248" i="72"/>
  <c r="O304" i="72"/>
  <c r="D323" i="72"/>
  <c r="R481" i="72"/>
  <c r="O477" i="72"/>
  <c r="G192" i="72"/>
  <c r="Q240" i="72"/>
  <c r="H272" i="72"/>
  <c r="O284" i="72"/>
  <c r="Q295" i="72"/>
  <c r="Q304" i="72"/>
  <c r="K314" i="72"/>
  <c r="R321" i="72"/>
  <c r="K343" i="72"/>
  <c r="D343" i="72"/>
  <c r="E378" i="72"/>
  <c r="O420" i="72"/>
  <c r="G420" i="72"/>
  <c r="K433" i="72"/>
  <c r="F205" i="72"/>
  <c r="K244" i="72"/>
  <c r="N266" i="72"/>
  <c r="F279" i="72"/>
  <c r="P290" i="72"/>
  <c r="K300" i="72"/>
  <c r="H313" i="72"/>
  <c r="M317" i="72"/>
  <c r="L347" i="72"/>
  <c r="L256" i="72"/>
  <c r="D229" i="72"/>
  <c r="H308" i="72"/>
  <c r="D335" i="72"/>
  <c r="Q347" i="72"/>
  <c r="R403" i="72"/>
  <c r="Q412" i="72"/>
  <c r="J449" i="72"/>
  <c r="E460" i="72"/>
  <c r="N460" i="72"/>
  <c r="N542" i="72"/>
  <c r="I542" i="72"/>
  <c r="E542" i="72"/>
  <c r="P542" i="72"/>
  <c r="F344" i="72"/>
  <c r="R354" i="72"/>
  <c r="G428" i="72"/>
  <c r="L380" i="72"/>
  <c r="R434" i="72"/>
  <c r="F461" i="72"/>
  <c r="H966" i="72"/>
  <c r="F1081" i="72"/>
  <c r="E14" i="72"/>
  <c r="J683" i="72"/>
  <c r="G166" i="72"/>
  <c r="R372" i="72"/>
  <c r="H72" i="72"/>
  <c r="K137" i="72"/>
  <c r="O125" i="72"/>
  <c r="P330" i="72"/>
  <c r="Q149" i="72"/>
  <c r="Q70" i="72"/>
  <c r="M89" i="72"/>
  <c r="Q141" i="72"/>
  <c r="F195" i="72"/>
  <c r="N210" i="72"/>
  <c r="L258" i="72"/>
  <c r="D81" i="72"/>
  <c r="G114" i="72"/>
  <c r="H197" i="72"/>
  <c r="M201" i="72"/>
  <c r="Q224" i="72"/>
  <c r="E278" i="72"/>
  <c r="H285" i="72"/>
  <c r="Q306" i="72"/>
  <c r="E335" i="72"/>
  <c r="K348" i="72"/>
  <c r="R358" i="72"/>
  <c r="R414" i="72"/>
  <c r="I229" i="72"/>
  <c r="H284" i="72"/>
  <c r="G312" i="72"/>
  <c r="M384" i="72"/>
  <c r="I384" i="72"/>
  <c r="E384" i="72"/>
  <c r="F549" i="72"/>
  <c r="I255" i="72"/>
  <c r="R329" i="72"/>
  <c r="L240" i="72"/>
  <c r="R312" i="72"/>
  <c r="H347" i="72"/>
  <c r="M285" i="72"/>
  <c r="K399" i="72"/>
  <c r="R250" i="72"/>
  <c r="M284" i="72"/>
  <c r="E338" i="72"/>
  <c r="I353" i="72"/>
  <c r="Q481" i="72"/>
  <c r="K326" i="72"/>
  <c r="I477" i="72"/>
  <c r="E477" i="72"/>
  <c r="N477" i="72"/>
  <c r="E199" i="72"/>
  <c r="O263" i="72"/>
  <c r="H298" i="72"/>
  <c r="R305" i="72"/>
  <c r="F315" i="72"/>
  <c r="Q321" i="72"/>
  <c r="F342" i="72"/>
  <c r="R343" i="72"/>
  <c r="N420" i="72"/>
  <c r="F420" i="72"/>
  <c r="H433" i="72"/>
  <c r="H248" i="72"/>
  <c r="M269" i="72"/>
  <c r="L301" i="72"/>
  <c r="M314" i="72"/>
  <c r="R319" i="72"/>
  <c r="D340" i="72"/>
  <c r="E353" i="72"/>
  <c r="R266" i="72"/>
  <c r="D326" i="72"/>
  <c r="K298" i="72"/>
  <c r="N272" i="72"/>
  <c r="F310" i="72"/>
  <c r="E324" i="72"/>
  <c r="N327" i="72"/>
  <c r="M353" i="72"/>
  <c r="K356" i="72"/>
  <c r="L367" i="72"/>
  <c r="J380" i="72"/>
  <c r="G404" i="72"/>
  <c r="M413" i="72"/>
  <c r="M460" i="72"/>
  <c r="R1064" i="72"/>
  <c r="Q133" i="72"/>
  <c r="K151" i="72"/>
  <c r="P166" i="72"/>
  <c r="E208" i="72"/>
  <c r="Q85" i="72"/>
  <c r="E183" i="72"/>
  <c r="I183" i="72"/>
  <c r="K165" i="72"/>
  <c r="P44" i="72"/>
  <c r="G174" i="72"/>
  <c r="R44" i="72"/>
  <c r="H73" i="72"/>
  <c r="L116" i="72"/>
  <c r="R149" i="72"/>
  <c r="G180" i="72"/>
  <c r="R200" i="72"/>
  <c r="M210" i="72"/>
  <c r="F258" i="72"/>
  <c r="Q130" i="72"/>
  <c r="N150" i="72"/>
  <c r="K198" i="72"/>
  <c r="Q203" i="72"/>
  <c r="P226" i="72"/>
  <c r="D269" i="72"/>
  <c r="H319" i="72"/>
  <c r="H340" i="72"/>
  <c r="H414" i="72"/>
  <c r="G247" i="72"/>
  <c r="N310" i="72"/>
  <c r="H255" i="72"/>
  <c r="R326" i="72"/>
  <c r="R549" i="72"/>
  <c r="H295" i="72"/>
  <c r="K329" i="72"/>
  <c r="G448" i="72"/>
  <c r="J255" i="72"/>
  <c r="K284" i="72"/>
  <c r="J346" i="72"/>
  <c r="K255" i="72"/>
  <c r="J278" i="72"/>
  <c r="N304" i="72"/>
  <c r="L335" i="72"/>
  <c r="R399" i="72"/>
  <c r="J399" i="72"/>
  <c r="L253" i="72"/>
  <c r="E346" i="72"/>
  <c r="Q353" i="72"/>
  <c r="O481" i="72"/>
  <c r="J326" i="72"/>
  <c r="M477" i="72"/>
  <c r="E244" i="72"/>
  <c r="O255" i="72"/>
  <c r="M266" i="72"/>
  <c r="L274" i="72"/>
  <c r="P285" i="72"/>
  <c r="D299" i="72"/>
  <c r="G307" i="72"/>
  <c r="K321" i="72"/>
  <c r="E342" i="72"/>
  <c r="J343" i="72"/>
  <c r="Q343" i="72"/>
  <c r="R378" i="72"/>
  <c r="K420" i="72"/>
  <c r="E433" i="72"/>
  <c r="G224" i="72"/>
  <c r="M283" i="72"/>
  <c r="G315" i="72"/>
  <c r="D322" i="72"/>
  <c r="J272" i="72"/>
  <c r="K346" i="72"/>
  <c r="E326" i="72"/>
  <c r="D324" i="72"/>
  <c r="R335" i="72"/>
  <c r="E344" i="72"/>
  <c r="D359" i="72"/>
  <c r="I396" i="72"/>
  <c r="D460" i="72"/>
  <c r="L460" i="72"/>
  <c r="L542" i="72"/>
  <c r="H542" i="72"/>
  <c r="D542" i="72"/>
  <c r="L333" i="72"/>
  <c r="K380" i="72"/>
  <c r="I434" i="72"/>
  <c r="R461" i="72"/>
  <c r="R543" i="72"/>
  <c r="F363" i="72"/>
  <c r="J376" i="72"/>
  <c r="E393" i="72"/>
  <c r="K221" i="72"/>
  <c r="D151" i="72"/>
  <c r="D234" i="72"/>
  <c r="M24" i="72"/>
  <c r="F25" i="72"/>
  <c r="N213" i="72"/>
  <c r="D40" i="72"/>
  <c r="H149" i="72"/>
  <c r="I103" i="72"/>
  <c r="L194" i="72"/>
  <c r="N282" i="72"/>
  <c r="R194" i="72"/>
  <c r="P76" i="72"/>
  <c r="D155" i="72"/>
  <c r="E195" i="72"/>
  <c r="O200" i="72"/>
  <c r="F210" i="72"/>
  <c r="I85" i="72"/>
  <c r="O155" i="72"/>
  <c r="M182" i="72"/>
  <c r="H229" i="72"/>
  <c r="Q279" i="72"/>
  <c r="P287" i="72"/>
  <c r="J310" i="72"/>
  <c r="G348" i="72"/>
  <c r="O201" i="72"/>
  <c r="G235" i="72"/>
  <c r="R273" i="72"/>
  <c r="I285" i="72"/>
  <c r="L384" i="72"/>
  <c r="H384" i="72"/>
  <c r="D384" i="72"/>
  <c r="E549" i="72"/>
  <c r="Q549" i="72"/>
  <c r="R448" i="72"/>
  <c r="G347" i="72"/>
  <c r="E305" i="72"/>
  <c r="R340" i="72"/>
  <c r="Q399" i="72"/>
  <c r="I399" i="72"/>
  <c r="E276" i="72"/>
  <c r="N292" i="72"/>
  <c r="E347" i="72"/>
  <c r="H353" i="72"/>
  <c r="G481" i="72"/>
  <c r="H477" i="72"/>
  <c r="D477" i="72"/>
  <c r="L477" i="72"/>
  <c r="G248" i="72"/>
  <c r="G256" i="72"/>
  <c r="H267" i="72"/>
  <c r="P278" i="72"/>
  <c r="R286" i="72"/>
  <c r="H309" i="72"/>
  <c r="J316" i="72"/>
  <c r="N324" i="72"/>
  <c r="D342" i="72"/>
  <c r="G346" i="72"/>
  <c r="Q378" i="72"/>
  <c r="E420" i="72"/>
  <c r="J420" i="72"/>
  <c r="D433" i="72"/>
  <c r="O253" i="72"/>
  <c r="I271" i="72"/>
  <c r="R295" i="72"/>
  <c r="R304" i="72"/>
  <c r="E327" i="72"/>
  <c r="J298" i="72"/>
  <c r="M347" i="72"/>
  <c r="R248" i="72"/>
  <c r="J279" i="72"/>
  <c r="R313" i="72"/>
  <c r="F326" i="72"/>
  <c r="H327" i="72"/>
  <c r="Q335" i="72"/>
  <c r="O368" i="72"/>
  <c r="L405" i="72"/>
  <c r="D421" i="72"/>
  <c r="K460" i="72"/>
  <c r="O334" i="72"/>
  <c r="E350" i="72"/>
  <c r="L356" i="72"/>
  <c r="P368" i="72"/>
  <c r="H404" i="72"/>
  <c r="N413" i="72"/>
  <c r="E409" i="72"/>
  <c r="D124" i="72"/>
  <c r="N146" i="72"/>
  <c r="N35" i="72"/>
  <c r="G25" i="72"/>
  <c r="F213" i="72"/>
  <c r="P51" i="72"/>
  <c r="Q114" i="72"/>
  <c r="K210" i="72"/>
  <c r="K43" i="72"/>
  <c r="H51" i="72"/>
  <c r="R125" i="72"/>
  <c r="O165" i="72"/>
  <c r="F180" i="72"/>
  <c r="N222" i="72"/>
  <c r="N89" i="72"/>
  <c r="N116" i="72"/>
  <c r="R156" i="72"/>
  <c r="H177" i="72"/>
  <c r="D211" i="72"/>
  <c r="F215" i="72"/>
  <c r="O270" i="72"/>
  <c r="K289" i="72"/>
  <c r="L299" i="72"/>
  <c r="R203" i="72"/>
  <c r="L237" i="72"/>
  <c r="K250" i="72"/>
  <c r="H265" i="72"/>
  <c r="F278" i="72"/>
  <c r="D301" i="72"/>
  <c r="O509" i="72"/>
  <c r="P549" i="72"/>
  <c r="O448" i="72"/>
  <c r="F448" i="72"/>
  <c r="Q448" i="72"/>
  <c r="H266" i="72"/>
  <c r="N293" i="72"/>
  <c r="R346" i="72"/>
  <c r="I346" i="72"/>
  <c r="P229" i="72"/>
  <c r="I266" i="72"/>
  <c r="H292" i="72"/>
  <c r="D346" i="72"/>
  <c r="P399" i="72"/>
  <c r="H399" i="72"/>
  <c r="M255" i="72"/>
  <c r="N278" i="72"/>
  <c r="P293" i="72"/>
  <c r="O319" i="72"/>
  <c r="P353" i="72"/>
  <c r="P169" i="72"/>
  <c r="E205" i="72"/>
  <c r="H249" i="72"/>
  <c r="E279" i="72"/>
  <c r="J300" i="72"/>
  <c r="D327" i="72"/>
  <c r="R342" i="72"/>
  <c r="I343" i="72"/>
  <c r="K347" i="72"/>
  <c r="O378" i="72"/>
  <c r="J178" i="72"/>
  <c r="P255" i="72"/>
  <c r="I272" i="72"/>
  <c r="P284" i="72"/>
  <c r="G297" i="72"/>
  <c r="K316" i="72"/>
  <c r="R338" i="72"/>
  <c r="P340" i="72"/>
  <c r="I248" i="72"/>
  <c r="R278" i="72"/>
  <c r="F353" i="72"/>
  <c r="D338" i="72"/>
  <c r="F250" i="72"/>
  <c r="M335" i="72"/>
  <c r="R345" i="72"/>
  <c r="O361" i="72"/>
  <c r="G370" i="72"/>
  <c r="M385" i="72"/>
  <c r="N398" i="72"/>
  <c r="Q426" i="72"/>
  <c r="K436" i="72"/>
  <c r="G460" i="72"/>
  <c r="K542" i="72"/>
  <c r="G542" i="72"/>
  <c r="D337" i="72"/>
  <c r="H370" i="72"/>
  <c r="R396" i="72"/>
  <c r="E421" i="72"/>
  <c r="R428" i="72"/>
  <c r="O461" i="72"/>
  <c r="O543" i="72"/>
  <c r="M596" i="72"/>
  <c r="M380" i="72"/>
  <c r="N1004" i="72"/>
  <c r="G42" i="72"/>
  <c r="M163" i="72"/>
  <c r="J146" i="72"/>
  <c r="J58" i="72"/>
  <c r="I64" i="72"/>
  <c r="R228" i="72"/>
  <c r="I69" i="72"/>
  <c r="K382" i="72"/>
  <c r="I194" i="72"/>
  <c r="J294" i="72"/>
  <c r="J137" i="72"/>
  <c r="P222" i="72"/>
  <c r="P52" i="72"/>
  <c r="Q128" i="72"/>
  <c r="O76" i="72"/>
  <c r="D233" i="72"/>
  <c r="M126" i="72"/>
  <c r="P174" i="72"/>
  <c r="N184" i="72"/>
  <c r="N195" i="72"/>
  <c r="M222" i="72"/>
  <c r="Q65" i="72"/>
  <c r="R141" i="72"/>
  <c r="R165" i="72"/>
  <c r="P183" i="72"/>
  <c r="F235" i="72"/>
  <c r="J262" i="72"/>
  <c r="D283" i="72"/>
  <c r="R322" i="72"/>
  <c r="E348" i="72"/>
  <c r="R374" i="72"/>
  <c r="P289" i="72"/>
  <c r="I319" i="72"/>
  <c r="F509" i="72"/>
  <c r="R509" i="72"/>
  <c r="G278" i="72"/>
  <c r="O384" i="72"/>
  <c r="K384" i="72"/>
  <c r="G384" i="72"/>
  <c r="O549" i="72"/>
  <c r="H278" i="72"/>
  <c r="P310" i="72"/>
  <c r="N448" i="72"/>
  <c r="P448" i="72"/>
  <c r="J295" i="72"/>
  <c r="D319" i="72"/>
  <c r="Q346" i="72"/>
  <c r="F347" i="72"/>
  <c r="N240" i="72"/>
  <c r="I269" i="72"/>
  <c r="I283" i="72"/>
  <c r="O293" i="72"/>
  <c r="R310" i="72"/>
  <c r="D347" i="72"/>
  <c r="O399" i="72"/>
  <c r="O295" i="72"/>
  <c r="L353" i="72"/>
  <c r="G353" i="72"/>
  <c r="K477" i="72"/>
  <c r="G477" i="72"/>
  <c r="R477" i="72"/>
  <c r="I178" i="72"/>
  <c r="H217" i="72"/>
  <c r="I238" i="72"/>
  <c r="R260" i="72"/>
  <c r="L269" i="72"/>
  <c r="L290" i="72"/>
  <c r="K317" i="72"/>
  <c r="P342" i="72"/>
  <c r="J348" i="72"/>
  <c r="N378" i="72"/>
  <c r="D420" i="72"/>
  <c r="R420" i="72"/>
  <c r="R433" i="72"/>
  <c r="D182" i="72"/>
  <c r="D237" i="72"/>
  <c r="K256" i="72"/>
  <c r="I298" i="72"/>
  <c r="R307" i="72"/>
  <c r="M340" i="72"/>
  <c r="D250" i="72"/>
  <c r="G279" i="72"/>
  <c r="D310" i="72"/>
  <c r="P327" i="72"/>
  <c r="G327" i="72"/>
  <c r="K335" i="72"/>
  <c r="D400" i="72"/>
  <c r="J436" i="72"/>
  <c r="R460" i="72"/>
  <c r="M351" i="72"/>
  <c r="P361" i="72"/>
  <c r="F383" i="72"/>
  <c r="M405" i="72"/>
  <c r="P428" i="72"/>
  <c r="M461" i="72"/>
  <c r="L543" i="72"/>
  <c r="G596" i="72"/>
  <c r="O367" i="72"/>
  <c r="P98" i="72"/>
  <c r="E173" i="72"/>
  <c r="R272" i="72"/>
  <c r="G374" i="72"/>
  <c r="R323" i="72"/>
  <c r="K295" i="72"/>
  <c r="M323" i="72"/>
  <c r="K301" i="72"/>
  <c r="E299" i="72"/>
  <c r="R255" i="72"/>
  <c r="Q354" i="72"/>
  <c r="F460" i="72"/>
  <c r="R339" i="72"/>
  <c r="M367" i="72"/>
  <c r="E400" i="72"/>
  <c r="D437" i="72"/>
  <c r="P356" i="72"/>
  <c r="O405" i="72"/>
  <c r="F410" i="72"/>
  <c r="L417" i="72"/>
  <c r="K426" i="72"/>
  <c r="M452" i="72"/>
  <c r="N523" i="72"/>
  <c r="L586" i="72"/>
  <c r="H409" i="72"/>
  <c r="I411" i="72"/>
  <c r="P380" i="72"/>
  <c r="F371" i="72"/>
  <c r="F387" i="72"/>
  <c r="G401" i="72"/>
  <c r="G411" i="72"/>
  <c r="M344" i="72"/>
  <c r="E365" i="72"/>
  <c r="O376" i="72"/>
  <c r="J387" i="72"/>
  <c r="L400" i="72"/>
  <c r="L409" i="72"/>
  <c r="H469" i="72"/>
  <c r="N344" i="72"/>
  <c r="H368" i="72"/>
  <c r="L393" i="72"/>
  <c r="M409" i="72"/>
  <c r="F422" i="72"/>
  <c r="R437" i="72"/>
  <c r="F437" i="72"/>
  <c r="F367" i="72"/>
  <c r="N409" i="72"/>
  <c r="P413" i="72"/>
  <c r="M411" i="72"/>
  <c r="K446" i="72"/>
  <c r="G446" i="72"/>
  <c r="R489" i="72"/>
  <c r="R381" i="72"/>
  <c r="I421" i="72"/>
  <c r="D415" i="72"/>
  <c r="L429" i="72"/>
  <c r="J459" i="72"/>
  <c r="D470" i="72"/>
  <c r="M475" i="72"/>
  <c r="G502" i="72"/>
  <c r="O419" i="72"/>
  <c r="P438" i="72"/>
  <c r="R454" i="72"/>
  <c r="D432" i="72"/>
  <c r="J474" i="72"/>
  <c r="E495" i="72"/>
  <c r="O490" i="72"/>
  <c r="N515" i="72"/>
  <c r="H515" i="72"/>
  <c r="Q506" i="72"/>
  <c r="K506" i="72"/>
  <c r="P616" i="72"/>
  <c r="F616" i="72"/>
  <c r="R616" i="72"/>
  <c r="D468" i="72"/>
  <c r="R444" i="72"/>
  <c r="J471" i="72"/>
  <c r="N478" i="72"/>
  <c r="E506" i="72"/>
  <c r="H511" i="72"/>
  <c r="P463" i="72"/>
  <c r="I507" i="72"/>
  <c r="P584" i="72"/>
  <c r="L610" i="72"/>
  <c r="P624" i="72"/>
  <c r="J624" i="72"/>
  <c r="H624" i="72"/>
  <c r="L468" i="72"/>
  <c r="J506" i="72"/>
  <c r="I593" i="72"/>
  <c r="R463" i="72"/>
  <c r="N488" i="72"/>
  <c r="I499" i="72"/>
  <c r="E455" i="72"/>
  <c r="M585" i="72"/>
  <c r="I572" i="72"/>
  <c r="M630" i="72"/>
  <c r="F555" i="72"/>
  <c r="M588" i="72"/>
  <c r="P640" i="72"/>
  <c r="L640" i="72"/>
  <c r="G640" i="72"/>
  <c r="G555" i="72"/>
  <c r="N588" i="72"/>
  <c r="F146" i="72"/>
  <c r="Q40" i="72"/>
  <c r="R206" i="72"/>
  <c r="Q184" i="72"/>
  <c r="H215" i="72"/>
  <c r="E509" i="72"/>
  <c r="I549" i="72"/>
  <c r="P311" i="72"/>
  <c r="I420" i="72"/>
  <c r="I364" i="72"/>
  <c r="Q460" i="72"/>
  <c r="R371" i="72"/>
  <c r="Q401" i="72"/>
  <c r="K449" i="72"/>
  <c r="F417" i="72"/>
  <c r="E426" i="72"/>
  <c r="E446" i="72"/>
  <c r="D452" i="72"/>
  <c r="K376" i="72"/>
  <c r="E395" i="72"/>
  <c r="M523" i="72"/>
  <c r="K586" i="72"/>
  <c r="D381" i="72"/>
  <c r="H449" i="72"/>
  <c r="D449" i="72"/>
  <c r="J352" i="72"/>
  <c r="R363" i="72"/>
  <c r="D388" i="72"/>
  <c r="R441" i="72"/>
  <c r="K567" i="72"/>
  <c r="G567" i="72"/>
  <c r="H345" i="72"/>
  <c r="E388" i="72"/>
  <c r="H401" i="72"/>
  <c r="H410" i="72"/>
  <c r="I412" i="72"/>
  <c r="F469" i="72"/>
  <c r="I345" i="72"/>
  <c r="Q362" i="72"/>
  <c r="N369" i="72"/>
  <c r="J381" i="72"/>
  <c r="I410" i="72"/>
  <c r="Q422" i="72"/>
  <c r="P437" i="72"/>
  <c r="D380" i="72"/>
  <c r="F397" i="72"/>
  <c r="L411" i="72"/>
  <c r="G417" i="72"/>
  <c r="J489" i="72"/>
  <c r="F489" i="72"/>
  <c r="Q489" i="72"/>
  <c r="P386" i="72"/>
  <c r="R421" i="72"/>
  <c r="N443" i="72"/>
  <c r="F462" i="72"/>
  <c r="F423" i="72"/>
  <c r="Q455" i="72"/>
  <c r="F435" i="72"/>
  <c r="D465" i="72"/>
  <c r="R499" i="72"/>
  <c r="E471" i="72"/>
  <c r="D488" i="72"/>
  <c r="Q507" i="72"/>
  <c r="O616" i="72"/>
  <c r="R576" i="72"/>
  <c r="K488" i="72"/>
  <c r="O474" i="72"/>
  <c r="M522" i="72"/>
  <c r="R445" i="72"/>
  <c r="D472" i="72"/>
  <c r="H507" i="72"/>
  <c r="Q516" i="72"/>
  <c r="O464" i="72"/>
  <c r="K473" i="72"/>
  <c r="M512" i="72"/>
  <c r="D584" i="72"/>
  <c r="O584" i="72"/>
  <c r="F610" i="72"/>
  <c r="F624" i="72"/>
  <c r="G624" i="72"/>
  <c r="L471" i="72"/>
  <c r="K507" i="72"/>
  <c r="H593" i="72"/>
  <c r="M465" i="72"/>
  <c r="M495" i="72"/>
  <c r="L585" i="72"/>
  <c r="D603" i="72"/>
  <c r="K614" i="72"/>
  <c r="Q614" i="72"/>
  <c r="O518" i="72"/>
  <c r="D508" i="72"/>
  <c r="R35" i="72"/>
  <c r="F294" i="72"/>
  <c r="G219" i="72"/>
  <c r="G293" i="72"/>
  <c r="P509" i="72"/>
  <c r="P346" i="72"/>
  <c r="Q319" i="72"/>
  <c r="Q433" i="72"/>
  <c r="Q371" i="72"/>
  <c r="O542" i="72"/>
  <c r="H376" i="72"/>
  <c r="Q461" i="72"/>
  <c r="P543" i="72"/>
  <c r="F409" i="72"/>
  <c r="E410" i="72"/>
  <c r="E417" i="72"/>
  <c r="R449" i="72"/>
  <c r="L452" i="72"/>
  <c r="K523" i="72"/>
  <c r="J586" i="72"/>
  <c r="P409" i="72"/>
  <c r="R411" i="72"/>
  <c r="R395" i="72"/>
  <c r="D365" i="72"/>
  <c r="H375" i="72"/>
  <c r="J393" i="72"/>
  <c r="I403" i="72"/>
  <c r="N441" i="72"/>
  <c r="R450" i="72"/>
  <c r="D367" i="72"/>
  <c r="R377" i="72"/>
  <c r="K393" i="72"/>
  <c r="H411" i="72"/>
  <c r="E469" i="72"/>
  <c r="P370" i="72"/>
  <c r="R383" i="72"/>
  <c r="K403" i="72"/>
  <c r="K411" i="72"/>
  <c r="I422" i="72"/>
  <c r="P422" i="72"/>
  <c r="O437" i="72"/>
  <c r="E437" i="72"/>
  <c r="R369" i="72"/>
  <c r="G398" i="72"/>
  <c r="G426" i="72"/>
  <c r="J446" i="72"/>
  <c r="P489" i="72"/>
  <c r="Q387" i="72"/>
  <c r="Q421" i="72"/>
  <c r="H421" i="72"/>
  <c r="D418" i="72"/>
  <c r="K431" i="72"/>
  <c r="J444" i="72"/>
  <c r="G463" i="72"/>
  <c r="F478" i="72"/>
  <c r="E442" i="72"/>
  <c r="G462" i="72"/>
  <c r="I474" i="72"/>
  <c r="I490" i="72"/>
  <c r="H478" i="72"/>
  <c r="P505" i="72"/>
  <c r="M462" i="72"/>
  <c r="N490" i="72"/>
  <c r="M507" i="72"/>
  <c r="M515" i="72"/>
  <c r="F515" i="72"/>
  <c r="O506" i="72"/>
  <c r="G506" i="72"/>
  <c r="R513" i="72"/>
  <c r="L616" i="72"/>
  <c r="D616" i="72"/>
  <c r="N616" i="72"/>
  <c r="Q576" i="72"/>
  <c r="D506" i="72"/>
  <c r="K522" i="72"/>
  <c r="M447" i="72"/>
  <c r="O463" i="72"/>
  <c r="L511" i="72"/>
  <c r="G511" i="72"/>
  <c r="K465" i="72"/>
  <c r="J488" i="72"/>
  <c r="J515" i="72"/>
  <c r="M584" i="72"/>
  <c r="O624" i="72"/>
  <c r="R474" i="72"/>
  <c r="P512" i="72"/>
  <c r="F593" i="72"/>
  <c r="H499" i="72"/>
  <c r="N468" i="72"/>
  <c r="K585" i="72"/>
  <c r="E577" i="72"/>
  <c r="P614" i="72"/>
  <c r="F568" i="72"/>
  <c r="O640" i="72"/>
  <c r="J640" i="72"/>
  <c r="G568" i="72"/>
  <c r="O592" i="72"/>
  <c r="J207" i="72"/>
  <c r="G253" i="72"/>
  <c r="L312" i="72"/>
  <c r="N399" i="72"/>
  <c r="P335" i="72"/>
  <c r="M298" i="72"/>
  <c r="J542" i="72"/>
  <c r="D352" i="72"/>
  <c r="G379" i="72"/>
  <c r="D409" i="72"/>
  <c r="L461" i="72"/>
  <c r="I543" i="72"/>
  <c r="D395" i="72"/>
  <c r="D417" i="72"/>
  <c r="D426" i="72"/>
  <c r="R452" i="72"/>
  <c r="N380" i="72"/>
  <c r="I586" i="72"/>
  <c r="O409" i="72"/>
  <c r="L446" i="72"/>
  <c r="G449" i="72"/>
  <c r="P449" i="72"/>
  <c r="H339" i="72"/>
  <c r="Q355" i="72"/>
  <c r="N376" i="72"/>
  <c r="L441" i="72"/>
  <c r="Q450" i="72"/>
  <c r="J567" i="72"/>
  <c r="F567" i="72"/>
  <c r="R567" i="72"/>
  <c r="K352" i="72"/>
  <c r="J403" i="72"/>
  <c r="D469" i="72"/>
  <c r="R574" i="72"/>
  <c r="L352" i="72"/>
  <c r="F365" i="72"/>
  <c r="H371" i="72"/>
  <c r="M386" i="72"/>
  <c r="E397" i="72"/>
  <c r="G412" i="72"/>
  <c r="O422" i="72"/>
  <c r="Q370" i="72"/>
  <c r="N381" i="72"/>
  <c r="E380" i="72"/>
  <c r="R446" i="72"/>
  <c r="D489" i="72"/>
  <c r="I489" i="72"/>
  <c r="E489" i="72"/>
  <c r="M360" i="72"/>
  <c r="P388" i="72"/>
  <c r="P421" i="72"/>
  <c r="M419" i="72"/>
  <c r="L472" i="72"/>
  <c r="H490" i="72"/>
  <c r="Q513" i="72"/>
  <c r="K425" i="72"/>
  <c r="H463" i="72"/>
  <c r="N521" i="72"/>
  <c r="J463" i="72"/>
  <c r="K474" i="72"/>
  <c r="G490" i="72"/>
  <c r="N495" i="72"/>
  <c r="L507" i="72"/>
  <c r="J513" i="72"/>
  <c r="M616" i="72"/>
  <c r="M576" i="72"/>
  <c r="J522" i="72"/>
  <c r="G438" i="72"/>
  <c r="J464" i="72"/>
  <c r="J473" i="72"/>
  <c r="G453" i="72"/>
  <c r="Q474" i="72"/>
  <c r="K584" i="72"/>
  <c r="K610" i="72"/>
  <c r="E624" i="72"/>
  <c r="P478" i="72"/>
  <c r="O515" i="72"/>
  <c r="M468" i="72"/>
  <c r="N471" i="72"/>
  <c r="E585" i="72"/>
  <c r="P603" i="72"/>
  <c r="I614" i="72"/>
  <c r="N532" i="72"/>
  <c r="E640" i="72"/>
  <c r="R594" i="72"/>
  <c r="R281" i="72"/>
  <c r="R103" i="72"/>
  <c r="K218" i="72"/>
  <c r="E269" i="72"/>
  <c r="M448" i="72"/>
  <c r="R347" i="72"/>
  <c r="Q229" i="72"/>
  <c r="N261" i="72"/>
  <c r="L340" i="72"/>
  <c r="F542" i="72"/>
  <c r="N385" i="72"/>
  <c r="G461" i="72"/>
  <c r="G543" i="72"/>
  <c r="J370" i="72"/>
  <c r="R413" i="72"/>
  <c r="K421" i="72"/>
  <c r="Q452" i="72"/>
  <c r="K452" i="72"/>
  <c r="H586" i="72"/>
  <c r="E371" i="72"/>
  <c r="J409" i="72"/>
  <c r="O449" i="72"/>
  <c r="I441" i="72"/>
  <c r="L450" i="72"/>
  <c r="O370" i="72"/>
  <c r="R380" i="72"/>
  <c r="M489" i="72"/>
  <c r="N574" i="72"/>
  <c r="D356" i="72"/>
  <c r="N387" i="72"/>
  <c r="F398" i="72"/>
  <c r="P404" i="72"/>
  <c r="D413" i="72"/>
  <c r="H422" i="72"/>
  <c r="N422" i="72"/>
  <c r="H437" i="72"/>
  <c r="N489" i="72"/>
  <c r="I371" i="72"/>
  <c r="N386" i="72"/>
  <c r="L403" i="72"/>
  <c r="I413" i="72"/>
  <c r="Q446" i="72"/>
  <c r="I446" i="72"/>
  <c r="E364" i="72"/>
  <c r="H397" i="72"/>
  <c r="O421" i="72"/>
  <c r="G421" i="72"/>
  <c r="E423" i="72"/>
  <c r="D435" i="72"/>
  <c r="N453" i="72"/>
  <c r="O479" i="72"/>
  <c r="K444" i="72"/>
  <c r="Q499" i="72"/>
  <c r="L521" i="72"/>
  <c r="D471" i="72"/>
  <c r="Q479" i="72"/>
  <c r="L515" i="72"/>
  <c r="M506" i="72"/>
  <c r="F506" i="72"/>
  <c r="G513" i="72"/>
  <c r="K616" i="72"/>
  <c r="G616" i="72"/>
  <c r="H576" i="72"/>
  <c r="G522" i="72"/>
  <c r="F453" i="72"/>
  <c r="J465" i="72"/>
  <c r="I488" i="72"/>
  <c r="J511" i="72"/>
  <c r="N423" i="72"/>
  <c r="H468" i="72"/>
  <c r="F475" i="72"/>
  <c r="R571" i="72"/>
  <c r="J584" i="72"/>
  <c r="J610" i="72"/>
  <c r="N624" i="72"/>
  <c r="R624" i="72"/>
  <c r="Q593" i="72"/>
  <c r="E439" i="72"/>
  <c r="M471" i="72"/>
  <c r="L499" i="72"/>
  <c r="D474" i="72"/>
  <c r="R506" i="72"/>
  <c r="F168" i="72"/>
  <c r="K70" i="72"/>
  <c r="K237" i="72"/>
  <c r="Q322" i="72"/>
  <c r="R279" i="72"/>
  <c r="E448" i="72"/>
  <c r="J266" i="72"/>
  <c r="H343" i="72"/>
  <c r="R542" i="72"/>
  <c r="K355" i="72"/>
  <c r="I428" i="72"/>
  <c r="L434" i="72"/>
  <c r="E461" i="72"/>
  <c r="R596" i="72"/>
  <c r="N410" i="72"/>
  <c r="N426" i="72"/>
  <c r="F452" i="72"/>
  <c r="G409" i="72"/>
  <c r="R523" i="72"/>
  <c r="F586" i="72"/>
  <c r="F411" i="72"/>
  <c r="F449" i="72"/>
  <c r="N449" i="72"/>
  <c r="L344" i="72"/>
  <c r="F368" i="72"/>
  <c r="Q380" i="72"/>
  <c r="D398" i="72"/>
  <c r="R406" i="72"/>
  <c r="G441" i="72"/>
  <c r="I567" i="72"/>
  <c r="E567" i="72"/>
  <c r="O567" i="72"/>
  <c r="G361" i="72"/>
  <c r="G371" i="72"/>
  <c r="I381" i="72"/>
  <c r="D397" i="72"/>
  <c r="D405" i="72"/>
  <c r="R412" i="72"/>
  <c r="M574" i="72"/>
  <c r="R366" i="72"/>
  <c r="G388" i="72"/>
  <c r="E405" i="72"/>
  <c r="E360" i="72"/>
  <c r="O387" i="72"/>
  <c r="Q381" i="72"/>
  <c r="P446" i="72"/>
  <c r="L489" i="72"/>
  <c r="H489" i="72"/>
  <c r="M371" i="72"/>
  <c r="I398" i="72"/>
  <c r="O438" i="72"/>
  <c r="R465" i="72"/>
  <c r="R480" i="72"/>
  <c r="P499" i="72"/>
  <c r="E415" i="72"/>
  <c r="M429" i="72"/>
  <c r="G478" i="72"/>
  <c r="K521" i="72"/>
  <c r="R455" i="72"/>
  <c r="D522" i="72"/>
  <c r="E465" i="72"/>
  <c r="L476" i="72"/>
  <c r="E490" i="72"/>
  <c r="D507" i="72"/>
  <c r="G576" i="72"/>
  <c r="Q505" i="72"/>
  <c r="L442" i="72"/>
  <c r="P474" i="72"/>
  <c r="R490" i="72"/>
  <c r="I515" i="72"/>
  <c r="E429" i="72"/>
  <c r="J454" i="72"/>
  <c r="D499" i="72"/>
  <c r="M571" i="72"/>
  <c r="I610" i="72"/>
  <c r="D624" i="72"/>
  <c r="Q624" i="72"/>
  <c r="Q463" i="72"/>
  <c r="L488" i="72"/>
  <c r="P593" i="72"/>
  <c r="P506" i="72"/>
  <c r="I603" i="72"/>
  <c r="G614" i="72"/>
  <c r="E630" i="72"/>
  <c r="R630" i="72"/>
  <c r="D640" i="72"/>
  <c r="K602" i="72"/>
  <c r="J250" i="72"/>
  <c r="N348" i="72"/>
  <c r="H293" i="72"/>
  <c r="J448" i="72"/>
  <c r="L283" i="72"/>
  <c r="P274" i="72"/>
  <c r="Q542" i="72"/>
  <c r="M364" i="72"/>
  <c r="H428" i="72"/>
  <c r="F434" i="72"/>
  <c r="E403" i="72"/>
  <c r="M410" i="72"/>
  <c r="M426" i="72"/>
  <c r="N452" i="72"/>
  <c r="J452" i="72"/>
  <c r="D411" i="72"/>
  <c r="E523" i="72"/>
  <c r="Q586" i="72"/>
  <c r="J411" i="72"/>
  <c r="M376" i="72"/>
  <c r="M446" i="72"/>
  <c r="M449" i="72"/>
  <c r="G345" i="72"/>
  <c r="H381" i="72"/>
  <c r="K409" i="72"/>
  <c r="R427" i="72"/>
  <c r="N446" i="72"/>
  <c r="N567" i="72"/>
  <c r="P383" i="72"/>
  <c r="E398" i="72"/>
  <c r="J574" i="72"/>
  <c r="D360" i="72"/>
  <c r="E367" i="72"/>
  <c r="P376" i="72"/>
  <c r="Q390" i="72"/>
  <c r="M400" i="72"/>
  <c r="J416" i="72"/>
  <c r="G422" i="72"/>
  <c r="G437" i="72"/>
  <c r="I361" i="72"/>
  <c r="K388" i="72"/>
  <c r="F405" i="72"/>
  <c r="H413" i="72"/>
  <c r="O386" i="72"/>
  <c r="O446" i="72"/>
  <c r="H446" i="72"/>
  <c r="F380" i="72"/>
  <c r="R409" i="72"/>
  <c r="J421" i="72"/>
  <c r="P563" i="72"/>
  <c r="J425" i="72"/>
  <c r="Q454" i="72"/>
  <c r="H474" i="72"/>
  <c r="R482" i="72"/>
  <c r="O453" i="72"/>
  <c r="J521" i="72"/>
  <c r="H462" i="72"/>
  <c r="D473" i="72"/>
  <c r="G435" i="72"/>
  <c r="I478" i="72"/>
  <c r="P515" i="72"/>
  <c r="K515" i="72"/>
  <c r="R467" i="72"/>
  <c r="L506" i="72"/>
  <c r="I616" i="72"/>
  <c r="E576" i="72"/>
  <c r="O505" i="72"/>
  <c r="D429" i="72"/>
  <c r="I454" i="72"/>
  <c r="F468" i="72"/>
  <c r="E475" i="72"/>
  <c r="I511" i="72"/>
  <c r="K471" i="72"/>
  <c r="O478" i="72"/>
  <c r="H610" i="72"/>
  <c r="K624" i="72"/>
  <c r="L624" i="72"/>
  <c r="L465" i="72"/>
  <c r="M593" i="72"/>
  <c r="D455" i="72"/>
  <c r="Q478" i="72"/>
  <c r="J499" i="72"/>
  <c r="N507" i="72"/>
  <c r="N480" i="72"/>
  <c r="E512" i="72"/>
  <c r="Q585" i="72"/>
  <c r="E568" i="72"/>
  <c r="F594" i="72"/>
  <c r="P605" i="72"/>
  <c r="Q630" i="72"/>
  <c r="J544" i="72"/>
  <c r="F577" i="72"/>
  <c r="M640" i="72"/>
  <c r="H640" i="72"/>
  <c r="O532" i="72"/>
  <c r="H577" i="72"/>
  <c r="I602" i="72"/>
  <c r="L142" i="72"/>
  <c r="Q477" i="72"/>
  <c r="R365" i="72"/>
  <c r="F446" i="72"/>
  <c r="E449" i="72"/>
  <c r="O427" i="72"/>
  <c r="I386" i="72"/>
  <c r="E435" i="72"/>
  <c r="J490" i="72"/>
  <c r="E505" i="72"/>
  <c r="L593" i="72"/>
  <c r="P585" i="72"/>
  <c r="M544" i="72"/>
  <c r="O540" i="72"/>
  <c r="N553" i="72"/>
  <c r="H568" i="72"/>
  <c r="F713" i="72"/>
  <c r="K713" i="72"/>
  <c r="J713" i="72"/>
  <c r="F500" i="72"/>
  <c r="R518" i="72"/>
  <c r="J535" i="72"/>
  <c r="Q551" i="72"/>
  <c r="E562" i="72"/>
  <c r="F613" i="72"/>
  <c r="K650" i="72"/>
  <c r="O605" i="72"/>
  <c r="M538" i="72"/>
  <c r="L568" i="72"/>
  <c r="J614" i="72"/>
  <c r="D518" i="72"/>
  <c r="E536" i="72"/>
  <c r="Q577" i="72"/>
  <c r="H590" i="72"/>
  <c r="M520" i="72"/>
  <c r="D532" i="72"/>
  <c r="G582" i="72"/>
  <c r="I638" i="72"/>
  <c r="N582" i="72"/>
  <c r="N614" i="72"/>
  <c r="O494" i="72"/>
  <c r="G532" i="72"/>
  <c r="E581" i="72"/>
  <c r="F770" i="72"/>
  <c r="P770" i="72"/>
  <c r="R655" i="72"/>
  <c r="K672" i="72"/>
  <c r="F696" i="72"/>
  <c r="H800" i="72"/>
  <c r="R800" i="72"/>
  <c r="O694" i="72"/>
  <c r="K608" i="72"/>
  <c r="E637" i="72"/>
  <c r="D648" i="72"/>
  <c r="M657" i="72"/>
  <c r="Q684" i="72"/>
  <c r="K688" i="72"/>
  <c r="G735" i="72"/>
  <c r="F627" i="72"/>
  <c r="F637" i="72"/>
  <c r="P647" i="72"/>
  <c r="P657" i="72"/>
  <c r="K689" i="72"/>
  <c r="H699" i="72"/>
  <c r="G627" i="72"/>
  <c r="F711" i="72"/>
  <c r="K711" i="72"/>
  <c r="K677" i="72"/>
  <c r="Q706" i="72"/>
  <c r="H706" i="72"/>
  <c r="F700" i="72"/>
  <c r="F724" i="72"/>
  <c r="L724" i="72"/>
  <c r="L750" i="72"/>
  <c r="M806" i="72"/>
  <c r="I675" i="72"/>
  <c r="R696" i="72"/>
  <c r="K736" i="72"/>
  <c r="E667" i="72"/>
  <c r="N711" i="72"/>
  <c r="Q719" i="72"/>
  <c r="I738" i="72"/>
  <c r="D646" i="72"/>
  <c r="D661" i="72"/>
  <c r="Q690" i="72"/>
  <c r="N706" i="72"/>
  <c r="N662" i="72"/>
  <c r="L758" i="72"/>
  <c r="I758" i="72"/>
  <c r="E758" i="72"/>
  <c r="D608" i="72"/>
  <c r="D649" i="72"/>
  <c r="E681" i="72"/>
  <c r="D692" i="72"/>
  <c r="R706" i="72"/>
  <c r="H731" i="72"/>
  <c r="O754" i="72"/>
  <c r="L765" i="72"/>
  <c r="Q728" i="72"/>
  <c r="M765" i="72"/>
  <c r="F774" i="72"/>
  <c r="J774" i="72"/>
  <c r="H759" i="72"/>
  <c r="I793" i="72"/>
  <c r="R817" i="72"/>
  <c r="N820" i="72"/>
  <c r="F759" i="72"/>
  <c r="N753" i="72"/>
  <c r="R780" i="72"/>
  <c r="H782" i="72"/>
  <c r="R801" i="72"/>
  <c r="H824" i="72"/>
  <c r="G748" i="72"/>
  <c r="J783" i="72"/>
  <c r="Q783" i="72"/>
  <c r="K825" i="72"/>
  <c r="O759" i="72"/>
  <c r="H781" i="72"/>
  <c r="F796" i="72"/>
  <c r="K748" i="72"/>
  <c r="Q769" i="72"/>
  <c r="D777" i="72"/>
  <c r="E676" i="72"/>
  <c r="O742" i="72"/>
  <c r="N781" i="72"/>
  <c r="O783" i="72"/>
  <c r="K811" i="72"/>
  <c r="R742" i="72"/>
  <c r="I753" i="72"/>
  <c r="K831" i="72"/>
  <c r="L773" i="72"/>
  <c r="L815" i="72"/>
  <c r="E827" i="72"/>
  <c r="D854" i="72"/>
  <c r="E812" i="72"/>
  <c r="K827" i="72"/>
  <c r="G865" i="72"/>
  <c r="L823" i="72"/>
  <c r="F856" i="72"/>
  <c r="K856" i="72"/>
  <c r="O823" i="72"/>
  <c r="J839" i="72"/>
  <c r="R845" i="72"/>
  <c r="J771" i="72"/>
  <c r="Q807" i="72"/>
  <c r="P823" i="72"/>
  <c r="D846" i="72"/>
  <c r="I847" i="72"/>
  <c r="F846" i="72"/>
  <c r="M812" i="72"/>
  <c r="G840" i="72"/>
  <c r="L805" i="72"/>
  <c r="J816" i="72"/>
  <c r="Q812" i="72"/>
  <c r="N846" i="72"/>
  <c r="N809" i="72"/>
  <c r="Q833" i="72"/>
  <c r="Q836" i="72"/>
  <c r="P832" i="72"/>
  <c r="P809" i="72"/>
  <c r="D833" i="72"/>
  <c r="D898" i="72"/>
  <c r="L904" i="72"/>
  <c r="M961" i="72"/>
  <c r="N913" i="72"/>
  <c r="J913" i="72"/>
  <c r="E913" i="72"/>
  <c r="H838" i="72"/>
  <c r="H871" i="72"/>
  <c r="Q878" i="72"/>
  <c r="R895" i="72"/>
  <c r="K900" i="72"/>
  <c r="L924" i="72"/>
  <c r="G930" i="72"/>
  <c r="F904" i="72"/>
  <c r="D963" i="72"/>
  <c r="L963" i="72"/>
  <c r="Q963" i="72"/>
  <c r="E882" i="72"/>
  <c r="K915" i="72"/>
  <c r="R924" i="72"/>
  <c r="E970" i="72"/>
  <c r="M970" i="72"/>
  <c r="O860" i="72"/>
  <c r="Q952" i="72"/>
  <c r="E878" i="72"/>
  <c r="J898" i="72"/>
  <c r="F916" i="72"/>
  <c r="I956" i="72"/>
  <c r="R398" i="72"/>
  <c r="N417" i="72"/>
  <c r="P523" i="72"/>
  <c r="L449" i="72"/>
  <c r="K489" i="72"/>
  <c r="D442" i="72"/>
  <c r="D454" i="72"/>
  <c r="J593" i="72"/>
  <c r="D585" i="72"/>
  <c r="M594" i="72"/>
  <c r="K572" i="72"/>
  <c r="I524" i="72"/>
  <c r="L531" i="72"/>
  <c r="D541" i="72"/>
  <c r="F579" i="72"/>
  <c r="P592" i="72"/>
  <c r="H713" i="72"/>
  <c r="R740" i="72"/>
  <c r="K539" i="72"/>
  <c r="M572" i="72"/>
  <c r="N613" i="72"/>
  <c r="F650" i="72"/>
  <c r="M605" i="72"/>
  <c r="L599" i="72"/>
  <c r="O538" i="72"/>
  <c r="K578" i="72"/>
  <c r="D709" i="72"/>
  <c r="Q524" i="72"/>
  <c r="J562" i="72"/>
  <c r="R572" i="72"/>
  <c r="O520" i="72"/>
  <c r="G534" i="72"/>
  <c r="G565" i="72"/>
  <c r="F588" i="72"/>
  <c r="N619" i="72"/>
  <c r="P500" i="72"/>
  <c r="J525" i="72"/>
  <c r="D545" i="72"/>
  <c r="R568" i="72"/>
  <c r="Q613" i="72"/>
  <c r="H608" i="72"/>
  <c r="L649" i="72"/>
  <c r="F677" i="72"/>
  <c r="M770" i="72"/>
  <c r="Q641" i="72"/>
  <c r="L661" i="72"/>
  <c r="Q800" i="72"/>
  <c r="P800" i="72"/>
  <c r="G694" i="72"/>
  <c r="R733" i="72"/>
  <c r="F658" i="72"/>
  <c r="O665" i="72"/>
  <c r="I705" i="72"/>
  <c r="D711" i="72"/>
  <c r="F648" i="72"/>
  <c r="G658" i="72"/>
  <c r="R684" i="72"/>
  <c r="D704" i="72"/>
  <c r="G652" i="72"/>
  <c r="F675" i="72"/>
  <c r="I643" i="72"/>
  <c r="R670" i="72"/>
  <c r="D700" i="72"/>
  <c r="K750" i="72"/>
  <c r="M652" i="72"/>
  <c r="P677" i="72"/>
  <c r="K706" i="72"/>
  <c r="J736" i="72"/>
  <c r="Q633" i="72"/>
  <c r="H738" i="72"/>
  <c r="K675" i="72"/>
  <c r="O718" i="72"/>
  <c r="M664" i="72"/>
  <c r="F634" i="72"/>
  <c r="O662" i="72"/>
  <c r="D685" i="72"/>
  <c r="R711" i="72"/>
  <c r="E742" i="72"/>
  <c r="E759" i="72"/>
  <c r="M680" i="72"/>
  <c r="K729" i="72"/>
  <c r="N749" i="72"/>
  <c r="Q817" i="72"/>
  <c r="M820" i="72"/>
  <c r="J859" i="72"/>
  <c r="D859" i="72"/>
  <c r="Q859" i="72"/>
  <c r="P759" i="72"/>
  <c r="P780" i="72"/>
  <c r="J801" i="72"/>
  <c r="D824" i="72"/>
  <c r="H810" i="72"/>
  <c r="R825" i="72"/>
  <c r="E720" i="72"/>
  <c r="D749" i="72"/>
  <c r="R774" i="72"/>
  <c r="E727" i="72"/>
  <c r="N780" i="72"/>
  <c r="P742" i="72"/>
  <c r="N783" i="72"/>
  <c r="H811" i="72"/>
  <c r="E743" i="72"/>
  <c r="H831" i="72"/>
  <c r="I794" i="72"/>
  <c r="P845" i="72"/>
  <c r="F802" i="72"/>
  <c r="I832" i="72"/>
  <c r="F812" i="72"/>
  <c r="M862" i="72"/>
  <c r="G862" i="72"/>
  <c r="N832" i="72"/>
  <c r="N772" i="72"/>
  <c r="O799" i="72"/>
  <c r="N827" i="72"/>
  <c r="R815" i="72"/>
  <c r="N834" i="72"/>
  <c r="J846" i="72"/>
  <c r="M779" i="72"/>
  <c r="L797" i="72"/>
  <c r="F830" i="72"/>
  <c r="R812" i="72"/>
  <c r="J827" i="72"/>
  <c r="P833" i="72"/>
  <c r="M836" i="72"/>
  <c r="G807" i="72"/>
  <c r="L832" i="72"/>
  <c r="N884" i="72"/>
  <c r="G834" i="72"/>
  <c r="H863" i="72"/>
  <c r="M878" i="72"/>
  <c r="O894" i="72"/>
  <c r="P861" i="72"/>
  <c r="H887" i="72"/>
  <c r="L878" i="72"/>
  <c r="G899" i="72"/>
  <c r="H961" i="72"/>
  <c r="K961" i="72"/>
  <c r="M895" i="72"/>
  <c r="G900" i="72"/>
  <c r="F930" i="72"/>
  <c r="I908" i="72"/>
  <c r="O963" i="72"/>
  <c r="H915" i="72"/>
  <c r="E924" i="72"/>
  <c r="Q924" i="72"/>
  <c r="I970" i="72"/>
  <c r="D970" i="72"/>
  <c r="I826" i="72"/>
  <c r="F861" i="72"/>
  <c r="M871" i="72"/>
  <c r="I889" i="72"/>
  <c r="O952" i="72"/>
  <c r="F852" i="72"/>
  <c r="D916" i="72"/>
  <c r="G378" i="72"/>
  <c r="F428" i="72"/>
  <c r="F426" i="72"/>
  <c r="D523" i="72"/>
  <c r="L567" i="72"/>
  <c r="Q376" i="72"/>
  <c r="G489" i="72"/>
  <c r="P455" i="72"/>
  <c r="M467" i="72"/>
  <c r="D630" i="72"/>
  <c r="P544" i="72"/>
  <c r="H555" i="72"/>
  <c r="K569" i="72"/>
  <c r="G713" i="72"/>
  <c r="Q740" i="72"/>
  <c r="J524" i="72"/>
  <c r="Q540" i="72"/>
  <c r="O553" i="72"/>
  <c r="P588" i="72"/>
  <c r="D613" i="72"/>
  <c r="E650" i="72"/>
  <c r="L577" i="72"/>
  <c r="N541" i="72"/>
  <c r="P572" i="72"/>
  <c r="M626" i="72"/>
  <c r="K520" i="72"/>
  <c r="R581" i="72"/>
  <c r="J599" i="72"/>
  <c r="R709" i="72"/>
  <c r="F534" i="72"/>
  <c r="Q550" i="72"/>
  <c r="L573" i="72"/>
  <c r="E588" i="72"/>
  <c r="M614" i="72"/>
  <c r="H638" i="72"/>
  <c r="R638" i="72"/>
  <c r="R524" i="72"/>
  <c r="R550" i="72"/>
  <c r="O568" i="72"/>
  <c r="F532" i="72"/>
  <c r="E619" i="72"/>
  <c r="K501" i="72"/>
  <c r="E526" i="72"/>
  <c r="I534" i="72"/>
  <c r="D569" i="72"/>
  <c r="E583" i="72"/>
  <c r="P641" i="72"/>
  <c r="J724" i="72"/>
  <c r="L770" i="72"/>
  <c r="O696" i="72"/>
  <c r="G800" i="72"/>
  <c r="M800" i="72"/>
  <c r="P733" i="72"/>
  <c r="O649" i="72"/>
  <c r="I677" i="72"/>
  <c r="D688" i="72"/>
  <c r="O606" i="72"/>
  <c r="M670" i="72"/>
  <c r="M696" i="72"/>
  <c r="D699" i="72"/>
  <c r="O632" i="72"/>
  <c r="O654" i="72"/>
  <c r="R647" i="72"/>
  <c r="J677" i="72"/>
  <c r="P706" i="72"/>
  <c r="R672" i="72"/>
  <c r="E724" i="72"/>
  <c r="N758" i="72"/>
  <c r="R806" i="72"/>
  <c r="L806" i="72"/>
  <c r="Q806" i="72"/>
  <c r="I736" i="72"/>
  <c r="H636" i="72"/>
  <c r="O652" i="72"/>
  <c r="L719" i="72"/>
  <c r="D738" i="72"/>
  <c r="L662" i="72"/>
  <c r="R677" i="72"/>
  <c r="M690" i="72"/>
  <c r="H707" i="72"/>
  <c r="O627" i="72"/>
  <c r="L667" i="72"/>
  <c r="D681" i="72"/>
  <c r="O706" i="72"/>
  <c r="M758" i="72"/>
  <c r="H758" i="72"/>
  <c r="F609" i="72"/>
  <c r="O636" i="72"/>
  <c r="H655" i="72"/>
  <c r="N664" i="72"/>
  <c r="H686" i="72"/>
  <c r="K717" i="72"/>
  <c r="G731" i="72"/>
  <c r="K765" i="72"/>
  <c r="H793" i="72"/>
  <c r="G817" i="72"/>
  <c r="O817" i="72"/>
  <c r="K820" i="72"/>
  <c r="N859" i="72"/>
  <c r="I742" i="72"/>
  <c r="J759" i="72"/>
  <c r="L780" i="72"/>
  <c r="G782" i="72"/>
  <c r="H801" i="72"/>
  <c r="Q835" i="72"/>
  <c r="F752" i="72"/>
  <c r="I783" i="72"/>
  <c r="P783" i="72"/>
  <c r="G793" i="72"/>
  <c r="P825" i="72"/>
  <c r="P781" i="72"/>
  <c r="E781" i="72"/>
  <c r="Q796" i="72"/>
  <c r="E796" i="72"/>
  <c r="M780" i="72"/>
  <c r="N693" i="72"/>
  <c r="E755" i="72"/>
  <c r="K781" i="72"/>
  <c r="P793" i="72"/>
  <c r="R811" i="72"/>
  <c r="P703" i="72"/>
  <c r="K746" i="72"/>
  <c r="P761" i="72"/>
  <c r="F831" i="72"/>
  <c r="K786" i="72"/>
  <c r="M807" i="72"/>
  <c r="F832" i="72"/>
  <c r="O814" i="72"/>
  <c r="O833" i="72"/>
  <c r="G823" i="72"/>
  <c r="D856" i="72"/>
  <c r="I812" i="72"/>
  <c r="F839" i="72"/>
  <c r="N928" i="72"/>
  <c r="J812" i="72"/>
  <c r="M837" i="72"/>
  <c r="O847" i="72"/>
  <c r="E847" i="72"/>
  <c r="P840" i="72"/>
  <c r="K846" i="72"/>
  <c r="H816" i="72"/>
  <c r="J834" i="72"/>
  <c r="L848" i="72"/>
  <c r="M798" i="72"/>
  <c r="D807" i="72"/>
  <c r="Q839" i="72"/>
  <c r="P814" i="72"/>
  <c r="R839" i="72"/>
  <c r="E856" i="72"/>
  <c r="D815" i="72"/>
  <c r="F836" i="72"/>
  <c r="H818" i="72"/>
  <c r="Q840" i="72"/>
  <c r="F815" i="72"/>
  <c r="O897" i="72"/>
  <c r="I863" i="72"/>
  <c r="I873" i="72"/>
  <c r="Q904" i="72"/>
  <c r="J904" i="72"/>
  <c r="R961" i="72"/>
  <c r="E961" i="72"/>
  <c r="M913" i="72"/>
  <c r="H913" i="72"/>
  <c r="M863" i="72"/>
  <c r="H873" i="72"/>
  <c r="H895" i="72"/>
  <c r="D900" i="72"/>
  <c r="R878" i="72"/>
  <c r="R963" i="72"/>
  <c r="K963" i="72"/>
  <c r="M963" i="72"/>
  <c r="P924" i="72"/>
  <c r="O873" i="72"/>
  <c r="P879" i="72"/>
  <c r="M952" i="72"/>
  <c r="D881" i="72"/>
  <c r="M904" i="72"/>
  <c r="F956" i="72"/>
  <c r="H304" i="72"/>
  <c r="Q285" i="72"/>
  <c r="L426" i="72"/>
  <c r="O586" i="72"/>
  <c r="F361" i="72"/>
  <c r="H567" i="72"/>
  <c r="J412" i="72"/>
  <c r="I401" i="72"/>
  <c r="R390" i="72"/>
  <c r="P479" i="72"/>
  <c r="Q616" i="72"/>
  <c r="F480" i="72"/>
  <c r="L588" i="72"/>
  <c r="N640" i="72"/>
  <c r="Q532" i="72"/>
  <c r="N545" i="72"/>
  <c r="N556" i="72"/>
  <c r="M581" i="72"/>
  <c r="E603" i="72"/>
  <c r="E713" i="72"/>
  <c r="O740" i="72"/>
  <c r="L503" i="72"/>
  <c r="M531" i="72"/>
  <c r="G541" i="72"/>
  <c r="J577" i="72"/>
  <c r="L613" i="72"/>
  <c r="O577" i="72"/>
  <c r="I687" i="72"/>
  <c r="O524" i="72"/>
  <c r="P541" i="72"/>
  <c r="M568" i="72"/>
  <c r="E582" i="72"/>
  <c r="D551" i="72"/>
  <c r="J566" i="72"/>
  <c r="R577" i="72"/>
  <c r="Q638" i="72"/>
  <c r="I536" i="72"/>
  <c r="E551" i="72"/>
  <c r="K589" i="72"/>
  <c r="F630" i="72"/>
  <c r="G551" i="72"/>
  <c r="H570" i="72"/>
  <c r="H588" i="72"/>
  <c r="J630" i="72"/>
  <c r="P623" i="72"/>
  <c r="N681" i="72"/>
  <c r="D770" i="72"/>
  <c r="O646" i="72"/>
  <c r="G677" i="72"/>
  <c r="O800" i="72"/>
  <c r="K800" i="72"/>
  <c r="O733" i="72"/>
  <c r="D627" i="72"/>
  <c r="D644" i="72"/>
  <c r="D653" i="72"/>
  <c r="H660" i="72"/>
  <c r="J670" i="72"/>
  <c r="H705" i="72"/>
  <c r="R735" i="72"/>
  <c r="L608" i="72"/>
  <c r="K629" i="72"/>
  <c r="F643" i="72"/>
  <c r="P649" i="72"/>
  <c r="I660" i="72"/>
  <c r="O672" i="72"/>
  <c r="E706" i="72"/>
  <c r="L717" i="72"/>
  <c r="P661" i="72"/>
  <c r="M677" i="72"/>
  <c r="H652" i="72"/>
  <c r="H675" i="72"/>
  <c r="R750" i="72"/>
  <c r="O806" i="72"/>
  <c r="J662" i="72"/>
  <c r="M711" i="72"/>
  <c r="G744" i="72"/>
  <c r="P637" i="72"/>
  <c r="E655" i="72"/>
  <c r="H690" i="72"/>
  <c r="D716" i="72"/>
  <c r="P758" i="72"/>
  <c r="N648" i="72"/>
  <c r="I664" i="72"/>
  <c r="P711" i="72"/>
  <c r="Q711" i="72"/>
  <c r="D656" i="72"/>
  <c r="F672" i="72"/>
  <c r="K690" i="72"/>
  <c r="O692" i="72"/>
  <c r="E719" i="72"/>
  <c r="Q731" i="72"/>
  <c r="K743" i="72"/>
  <c r="O722" i="72"/>
  <c r="G751" i="72"/>
  <c r="J817" i="72"/>
  <c r="J820" i="72"/>
  <c r="I859" i="72"/>
  <c r="M859" i="72"/>
  <c r="K760" i="72"/>
  <c r="F801" i="72"/>
  <c r="K759" i="72"/>
  <c r="D793" i="72"/>
  <c r="G810" i="72"/>
  <c r="N825" i="72"/>
  <c r="P796" i="72"/>
  <c r="D811" i="72"/>
  <c r="F722" i="72"/>
  <c r="R737" i="72"/>
  <c r="I752" i="72"/>
  <c r="M777" i="72"/>
  <c r="J781" i="72"/>
  <c r="I728" i="72"/>
  <c r="Q755" i="72"/>
  <c r="I782" i="72"/>
  <c r="I746" i="72"/>
  <c r="Q811" i="72"/>
  <c r="N712" i="72"/>
  <c r="F765" i="72"/>
  <c r="J799" i="72"/>
  <c r="G818" i="72"/>
  <c r="K833" i="72"/>
  <c r="N773" i="72"/>
  <c r="M815" i="72"/>
  <c r="P896" i="72"/>
  <c r="P862" i="72"/>
  <c r="L862" i="72"/>
  <c r="F862" i="72"/>
  <c r="H850" i="72"/>
  <c r="M928" i="72"/>
  <c r="E785" i="72"/>
  <c r="K802" i="72"/>
  <c r="L837" i="72"/>
  <c r="O840" i="72"/>
  <c r="P846" i="72"/>
  <c r="I834" i="72"/>
  <c r="N812" i="72"/>
  <c r="E830" i="72"/>
  <c r="J840" i="72"/>
  <c r="R869" i="72"/>
  <c r="M805" i="72"/>
  <c r="K840" i="72"/>
  <c r="D799" i="72"/>
  <c r="I833" i="72"/>
  <c r="O809" i="72"/>
  <c r="D823" i="72"/>
  <c r="Q846" i="72"/>
  <c r="L884" i="72"/>
  <c r="R840" i="72"/>
  <c r="N878" i="72"/>
  <c r="Q894" i="72"/>
  <c r="D878" i="72"/>
  <c r="G904" i="72"/>
  <c r="G961" i="72"/>
  <c r="P878" i="72"/>
  <c r="Q913" i="72"/>
  <c r="E895" i="72"/>
  <c r="J963" i="72"/>
  <c r="R908" i="72"/>
  <c r="F915" i="72"/>
  <c r="D924" i="72"/>
  <c r="O924" i="72"/>
  <c r="H970" i="72"/>
  <c r="R970" i="72"/>
  <c r="N838" i="72"/>
  <c r="Q863" i="72"/>
  <c r="M876" i="72"/>
  <c r="E898" i="72"/>
  <c r="L952" i="72"/>
  <c r="R860" i="72"/>
  <c r="E871" i="72"/>
  <c r="L882" i="72"/>
  <c r="Q956" i="72"/>
  <c r="R956" i="72"/>
  <c r="I163" i="72"/>
  <c r="E452" i="72"/>
  <c r="N370" i="72"/>
  <c r="D567" i="72"/>
  <c r="O469" i="72"/>
  <c r="E472" i="72"/>
  <c r="N630" i="72"/>
  <c r="L526" i="72"/>
  <c r="J533" i="72"/>
  <c r="J550" i="72"/>
  <c r="N561" i="72"/>
  <c r="P713" i="72"/>
  <c r="N740" i="72"/>
  <c r="E504" i="72"/>
  <c r="Q544" i="72"/>
  <c r="K555" i="72"/>
  <c r="I568" i="72"/>
  <c r="Q592" i="72"/>
  <c r="F578" i="72"/>
  <c r="Q599" i="72"/>
  <c r="H687" i="72"/>
  <c r="R526" i="72"/>
  <c r="K504" i="72"/>
  <c r="K528" i="72"/>
  <c r="H536" i="72"/>
  <c r="N568" i="72"/>
  <c r="M578" i="72"/>
  <c r="I589" i="72"/>
  <c r="L638" i="72"/>
  <c r="G638" i="72"/>
  <c r="M528" i="72"/>
  <c r="R538" i="72"/>
  <c r="O590" i="72"/>
  <c r="I565" i="72"/>
  <c r="Q607" i="72"/>
  <c r="F640" i="72"/>
  <c r="P527" i="72"/>
  <c r="G553" i="72"/>
  <c r="M589" i="72"/>
  <c r="K640" i="72"/>
  <c r="P655" i="72"/>
  <c r="G670" i="72"/>
  <c r="G684" i="72"/>
  <c r="M647" i="72"/>
  <c r="L696" i="72"/>
  <c r="K724" i="72"/>
  <c r="F800" i="72"/>
  <c r="J800" i="72"/>
  <c r="J733" i="72"/>
  <c r="K645" i="72"/>
  <c r="D671" i="72"/>
  <c r="P688" i="72"/>
  <c r="Q724" i="72"/>
  <c r="Q735" i="72"/>
  <c r="E644" i="72"/>
  <c r="D652" i="72"/>
  <c r="H643" i="72"/>
  <c r="Q700" i="72"/>
  <c r="O711" i="72"/>
  <c r="R654" i="72"/>
  <c r="D694" i="72"/>
  <c r="L706" i="72"/>
  <c r="O677" i="72"/>
  <c r="H724" i="72"/>
  <c r="Q750" i="72"/>
  <c r="P806" i="72"/>
  <c r="K806" i="72"/>
  <c r="H806" i="72"/>
  <c r="D667" i="72"/>
  <c r="O643" i="72"/>
  <c r="F692" i="72"/>
  <c r="G719" i="72"/>
  <c r="P738" i="72"/>
  <c r="N627" i="72"/>
  <c r="J667" i="72"/>
  <c r="I685" i="72"/>
  <c r="L690" i="72"/>
  <c r="E672" i="72"/>
  <c r="Q681" i="72"/>
  <c r="K758" i="72"/>
  <c r="G758" i="72"/>
  <c r="R758" i="72"/>
  <c r="P617" i="72"/>
  <c r="E731" i="72"/>
  <c r="P731" i="72"/>
  <c r="F742" i="72"/>
  <c r="Q754" i="72"/>
  <c r="N769" i="72"/>
  <c r="O774" i="72"/>
  <c r="M793" i="72"/>
  <c r="F793" i="72"/>
  <c r="I817" i="72"/>
  <c r="E820" i="72"/>
  <c r="K859" i="72"/>
  <c r="I780" i="72"/>
  <c r="L810" i="72"/>
  <c r="R824" i="72"/>
  <c r="R835" i="72"/>
  <c r="H835" i="72"/>
  <c r="H762" i="72"/>
  <c r="H783" i="72"/>
  <c r="G752" i="72"/>
  <c r="Q810" i="72"/>
  <c r="L825" i="72"/>
  <c r="M781" i="72"/>
  <c r="D781" i="72"/>
  <c r="L796" i="72"/>
  <c r="H693" i="72"/>
  <c r="N742" i="72"/>
  <c r="L777" i="72"/>
  <c r="E782" i="72"/>
  <c r="F712" i="72"/>
  <c r="N748" i="72"/>
  <c r="M783" i="72"/>
  <c r="H746" i="72"/>
  <c r="P748" i="72"/>
  <c r="I811" i="72"/>
  <c r="P811" i="72"/>
  <c r="J722" i="72"/>
  <c r="N831" i="72"/>
  <c r="F789" i="72"/>
  <c r="Q819" i="72"/>
  <c r="J794" i="72"/>
  <c r="J818" i="72"/>
  <c r="I836" i="72"/>
  <c r="M843" i="72"/>
  <c r="O896" i="72"/>
  <c r="O839" i="72"/>
  <c r="E850" i="72"/>
  <c r="I928" i="72"/>
  <c r="E803" i="72"/>
  <c r="P815" i="72"/>
  <c r="J829" i="72"/>
  <c r="D837" i="72"/>
  <c r="L847" i="72"/>
  <c r="H846" i="72"/>
  <c r="O802" i="72"/>
  <c r="J763" i="72"/>
  <c r="P789" i="72"/>
  <c r="H809" i="72"/>
  <c r="R830" i="72"/>
  <c r="D843" i="72"/>
  <c r="O869" i="72"/>
  <c r="E814" i="72"/>
  <c r="F799" i="72"/>
  <c r="J845" i="72"/>
  <c r="L870" i="72"/>
  <c r="R898" i="72"/>
  <c r="R897" i="72"/>
  <c r="O904" i="72"/>
  <c r="L913" i="72"/>
  <c r="G913" i="72"/>
  <c r="G915" i="72"/>
  <c r="L855" i="72"/>
  <c r="Q875" i="72"/>
  <c r="K885" i="72"/>
  <c r="G881" i="72"/>
  <c r="G963" i="72"/>
  <c r="P963" i="72"/>
  <c r="I963" i="72"/>
  <c r="Q897" i="72"/>
  <c r="N924" i="72"/>
  <c r="I864" i="72"/>
  <c r="L880" i="72"/>
  <c r="G84" i="72"/>
  <c r="J335" i="72"/>
  <c r="E386" i="72"/>
  <c r="M567" i="72"/>
  <c r="Q413" i="72"/>
  <c r="N411" i="72"/>
  <c r="I418" i="72"/>
  <c r="R470" i="72"/>
  <c r="I624" i="72"/>
  <c r="Q515" i="72"/>
  <c r="O603" i="72"/>
  <c r="O534" i="72"/>
  <c r="I640" i="72"/>
  <c r="Q534" i="72"/>
  <c r="D562" i="72"/>
  <c r="L572" i="72"/>
  <c r="M638" i="72"/>
  <c r="Q713" i="72"/>
  <c r="K740" i="72"/>
  <c r="N526" i="72"/>
  <c r="R532" i="72"/>
  <c r="P545" i="72"/>
  <c r="Q556" i="72"/>
  <c r="G579" i="72"/>
  <c r="F603" i="72"/>
  <c r="P613" i="72"/>
  <c r="K613" i="72"/>
  <c r="N603" i="72"/>
  <c r="K687" i="72"/>
  <c r="G687" i="72"/>
  <c r="P569" i="72"/>
  <c r="D588" i="72"/>
  <c r="H613" i="72"/>
  <c r="H517" i="72"/>
  <c r="D529" i="72"/>
  <c r="Q538" i="72"/>
  <c r="D553" i="72"/>
  <c r="N579" i="72"/>
  <c r="N590" i="72"/>
  <c r="O618" i="72"/>
  <c r="M504" i="72"/>
  <c r="F529" i="72"/>
  <c r="D540" i="72"/>
  <c r="E553" i="72"/>
  <c r="D592" i="72"/>
  <c r="K607" i="72"/>
  <c r="I518" i="72"/>
  <c r="Q528" i="72"/>
  <c r="Q573" i="72"/>
  <c r="H592" i="72"/>
  <c r="N682" i="72"/>
  <c r="G629" i="72"/>
  <c r="N646" i="72"/>
  <c r="J657" i="72"/>
  <c r="L685" i="72"/>
  <c r="O681" i="72"/>
  <c r="N800" i="72"/>
  <c r="D800" i="72"/>
  <c r="E733" i="72"/>
  <c r="J629" i="72"/>
  <c r="N661" i="72"/>
  <c r="N672" i="72"/>
  <c r="J696" i="72"/>
  <c r="D705" i="72"/>
  <c r="P735" i="72"/>
  <c r="P609" i="72"/>
  <c r="L631" i="72"/>
  <c r="L645" i="72"/>
  <c r="O661" i="72"/>
  <c r="J686" i="72"/>
  <c r="N699" i="72"/>
  <c r="R704" i="72"/>
  <c r="E711" i="72"/>
  <c r="I717" i="72"/>
  <c r="F706" i="72"/>
  <c r="Q670" i="72"/>
  <c r="E694" i="72"/>
  <c r="P750" i="72"/>
  <c r="E806" i="72"/>
  <c r="G806" i="72"/>
  <c r="M668" i="72"/>
  <c r="G690" i="72"/>
  <c r="Q736" i="72"/>
  <c r="O758" i="72"/>
  <c r="J675" i="72"/>
  <c r="K694" i="72"/>
  <c r="L738" i="72"/>
  <c r="J636" i="72"/>
  <c r="P652" i="72"/>
  <c r="H685" i="72"/>
  <c r="Q758" i="72"/>
  <c r="F646" i="72"/>
  <c r="F657" i="72"/>
  <c r="L692" i="72"/>
  <c r="N731" i="72"/>
  <c r="R725" i="72"/>
  <c r="K769" i="72"/>
  <c r="H859" i="72"/>
  <c r="R859" i="72"/>
  <c r="E859" i="72"/>
  <c r="F748" i="72"/>
  <c r="Q761" i="72"/>
  <c r="R782" i="72"/>
  <c r="P824" i="72"/>
  <c r="O835" i="72"/>
  <c r="J810" i="72"/>
  <c r="E810" i="72"/>
  <c r="P810" i="72"/>
  <c r="I825" i="72"/>
  <c r="G783" i="72"/>
  <c r="D727" i="72"/>
  <c r="Q759" i="72"/>
  <c r="K783" i="72"/>
  <c r="E749" i="72"/>
  <c r="L761" i="72"/>
  <c r="O748" i="72"/>
  <c r="O811" i="72"/>
  <c r="I727" i="72"/>
  <c r="Q781" i="72"/>
  <c r="L831" i="72"/>
  <c r="D802" i="72"/>
  <c r="D812" i="72"/>
  <c r="G821" i="72"/>
  <c r="G836" i="72"/>
  <c r="D798" i="72"/>
  <c r="N807" i="72"/>
  <c r="E839" i="72"/>
  <c r="I896" i="72"/>
  <c r="R896" i="72"/>
  <c r="E816" i="72"/>
  <c r="O862" i="72"/>
  <c r="K862" i="72"/>
  <c r="E862" i="72"/>
  <c r="D850" i="72"/>
  <c r="H928" i="72"/>
  <c r="D816" i="72"/>
  <c r="Q832" i="72"/>
  <c r="I840" i="72"/>
  <c r="G790" i="72"/>
  <c r="R802" i="72"/>
  <c r="P812" i="72"/>
  <c r="M846" i="72"/>
  <c r="M869" i="72"/>
  <c r="E807" i="72"/>
  <c r="P841" i="72"/>
  <c r="Q827" i="72"/>
  <c r="F833" i="72"/>
  <c r="N840" i="72"/>
  <c r="E815" i="72"/>
  <c r="E848" i="72"/>
  <c r="D819" i="72"/>
  <c r="R846" i="72"/>
  <c r="O898" i="72"/>
  <c r="O844" i="72"/>
  <c r="F870" i="72"/>
  <c r="E899" i="72"/>
  <c r="J882" i="72"/>
  <c r="E904" i="72"/>
  <c r="L961" i="72"/>
  <c r="F961" i="72"/>
  <c r="K924" i="72"/>
  <c r="Q887" i="72"/>
  <c r="H963" i="72"/>
  <c r="P897" i="72"/>
  <c r="Q915" i="72"/>
  <c r="E915" i="72"/>
  <c r="J924" i="72"/>
  <c r="G970" i="72"/>
  <c r="P970" i="72"/>
  <c r="P855" i="72"/>
  <c r="E952" i="72"/>
  <c r="J952" i="72"/>
  <c r="N871" i="72"/>
  <c r="J889" i="72"/>
  <c r="O956" i="72"/>
  <c r="H176" i="72"/>
  <c r="H436" i="72"/>
  <c r="K400" i="72"/>
  <c r="J339" i="72"/>
  <c r="Q409" i="72"/>
  <c r="I463" i="72"/>
  <c r="H506" i="72"/>
  <c r="R488" i="72"/>
  <c r="G535" i="72"/>
  <c r="O551" i="72"/>
  <c r="L713" i="72"/>
  <c r="O713" i="72"/>
  <c r="J740" i="72"/>
  <c r="M508" i="72"/>
  <c r="P533" i="72"/>
  <c r="K550" i="72"/>
  <c r="R559" i="72"/>
  <c r="L569" i="72"/>
  <c r="N638" i="72"/>
  <c r="R650" i="72"/>
  <c r="Q555" i="72"/>
  <c r="R607" i="72"/>
  <c r="J687" i="72"/>
  <c r="F687" i="72"/>
  <c r="D534" i="72"/>
  <c r="L614" i="72"/>
  <c r="F518" i="72"/>
  <c r="Q569" i="72"/>
  <c r="L580" i="72"/>
  <c r="H618" i="72"/>
  <c r="J638" i="72"/>
  <c r="D638" i="72"/>
  <c r="J517" i="72"/>
  <c r="N578" i="72"/>
  <c r="E531" i="72"/>
  <c r="F540" i="72"/>
  <c r="L647" i="72"/>
  <c r="J672" i="72"/>
  <c r="O770" i="72"/>
  <c r="R770" i="72"/>
  <c r="H670" i="72"/>
  <c r="H684" i="72"/>
  <c r="K696" i="72"/>
  <c r="I800" i="72"/>
  <c r="E800" i="72"/>
  <c r="D733" i="72"/>
  <c r="K656" i="72"/>
  <c r="L688" i="72"/>
  <c r="M735" i="72"/>
  <c r="K611" i="72"/>
  <c r="G632" i="72"/>
  <c r="L656" i="72"/>
  <c r="L677" i="72"/>
  <c r="I686" i="72"/>
  <c r="M699" i="72"/>
  <c r="Q704" i="72"/>
  <c r="Q647" i="72"/>
  <c r="O670" i="72"/>
  <c r="L711" i="72"/>
  <c r="D706" i="72"/>
  <c r="I706" i="72"/>
  <c r="G724" i="72"/>
  <c r="O750" i="72"/>
  <c r="N806" i="72"/>
  <c r="J806" i="72"/>
  <c r="F806" i="72"/>
  <c r="N736" i="72"/>
  <c r="K627" i="72"/>
  <c r="Q677" i="72"/>
  <c r="F719" i="72"/>
  <c r="K738" i="72"/>
  <c r="Q637" i="72"/>
  <c r="F655" i="72"/>
  <c r="E690" i="72"/>
  <c r="E661" i="72"/>
  <c r="L675" i="72"/>
  <c r="P684" i="72"/>
  <c r="D758" i="72"/>
  <c r="J758" i="72"/>
  <c r="F758" i="72"/>
  <c r="E606" i="72"/>
  <c r="Q627" i="72"/>
  <c r="E647" i="72"/>
  <c r="R660" i="72"/>
  <c r="O675" i="72"/>
  <c r="G692" i="72"/>
  <c r="I731" i="72"/>
  <c r="D731" i="72"/>
  <c r="R712" i="72"/>
  <c r="F751" i="72"/>
  <c r="O765" i="72"/>
  <c r="N727" i="72"/>
  <c r="O743" i="72"/>
  <c r="G759" i="72"/>
  <c r="L774" i="72"/>
  <c r="J793" i="72"/>
  <c r="R793" i="72"/>
  <c r="Q820" i="72"/>
  <c r="G780" i="72"/>
  <c r="M782" i="72"/>
  <c r="Q824" i="72"/>
  <c r="N824" i="72"/>
  <c r="L783" i="72"/>
  <c r="D783" i="72"/>
  <c r="P754" i="72"/>
  <c r="F825" i="72"/>
  <c r="L781" i="72"/>
  <c r="K793" i="72"/>
  <c r="J796" i="72"/>
  <c r="J761" i="72"/>
  <c r="H777" i="72"/>
  <c r="N793" i="72"/>
  <c r="F720" i="72"/>
  <c r="R752" i="72"/>
  <c r="M811" i="72"/>
  <c r="R783" i="72"/>
  <c r="D831" i="72"/>
  <c r="D771" i="72"/>
  <c r="P790" i="72"/>
  <c r="J823" i="72"/>
  <c r="D839" i="72"/>
  <c r="J821" i="72"/>
  <c r="F896" i="72"/>
  <c r="N896" i="72"/>
  <c r="J815" i="72"/>
  <c r="L839" i="72"/>
  <c r="K845" i="72"/>
  <c r="E928" i="72"/>
  <c r="P794" i="72"/>
  <c r="F805" i="72"/>
  <c r="M818" i="72"/>
  <c r="I839" i="72"/>
  <c r="K847" i="72"/>
  <c r="L812" i="72"/>
  <c r="G846" i="72"/>
  <c r="F809" i="72"/>
  <c r="L819" i="72"/>
  <c r="J803" i="72"/>
  <c r="O813" i="72"/>
  <c r="O830" i="72"/>
  <c r="P848" i="72"/>
  <c r="K869" i="72"/>
  <c r="Q816" i="72"/>
  <c r="K841" i="72"/>
  <c r="F807" i="72"/>
  <c r="Q821" i="72"/>
  <c r="O846" i="72"/>
  <c r="P805" i="72"/>
  <c r="E823" i="72"/>
  <c r="I856" i="72"/>
  <c r="H889" i="72"/>
  <c r="K898" i="72"/>
  <c r="I857" i="72"/>
  <c r="N904" i="72"/>
  <c r="K899" i="72"/>
  <c r="K913" i="72"/>
  <c r="F913" i="72"/>
  <c r="D826" i="72"/>
  <c r="Q867" i="72"/>
  <c r="G875" i="72"/>
  <c r="L899" i="72"/>
  <c r="Q900" i="72"/>
  <c r="R930" i="72"/>
  <c r="E963" i="72"/>
  <c r="N963" i="72"/>
  <c r="F963" i="72"/>
  <c r="J897" i="72"/>
  <c r="P915" i="72"/>
  <c r="Q970" i="72"/>
  <c r="G877" i="72"/>
  <c r="K882" i="72"/>
  <c r="K904" i="72"/>
  <c r="F952" i="72"/>
  <c r="R863" i="72"/>
  <c r="E894" i="72"/>
  <c r="Q916" i="72"/>
  <c r="N956" i="72"/>
  <c r="F418" i="72"/>
  <c r="I577" i="72"/>
  <c r="E528" i="72"/>
  <c r="G517" i="72"/>
  <c r="R541" i="72"/>
  <c r="G518" i="72"/>
  <c r="J493" i="72"/>
  <c r="Q634" i="72"/>
  <c r="G648" i="72"/>
  <c r="H694" i="72"/>
  <c r="R719" i="72"/>
  <c r="P730" i="72"/>
  <c r="K824" i="72"/>
  <c r="G728" i="72"/>
  <c r="D840" i="72"/>
  <c r="K809" i="72"/>
  <c r="H898" i="72"/>
  <c r="J961" i="72"/>
  <c r="N870" i="72"/>
  <c r="K970" i="72"/>
  <c r="O876" i="72"/>
  <c r="P898" i="72"/>
  <c r="D913" i="72"/>
  <c r="I899" i="72"/>
  <c r="D908" i="72"/>
  <c r="H844" i="72"/>
  <c r="N864" i="72"/>
  <c r="K920" i="72"/>
  <c r="E920" i="72"/>
  <c r="F931" i="72"/>
  <c r="F959" i="72"/>
  <c r="N1082" i="72"/>
  <c r="F893" i="72"/>
  <c r="Q932" i="72"/>
  <c r="I944" i="72"/>
  <c r="O986" i="72"/>
  <c r="K986" i="72"/>
  <c r="G986" i="72"/>
  <c r="P1050" i="72"/>
  <c r="E1013" i="72"/>
  <c r="Q1013" i="72"/>
  <c r="K978" i="72"/>
  <c r="E978" i="72"/>
  <c r="N918" i="72"/>
  <c r="K936" i="72"/>
  <c r="R939" i="72"/>
  <c r="J951" i="72"/>
  <c r="L983" i="72"/>
  <c r="K914" i="72"/>
  <c r="K1001" i="72"/>
  <c r="G1001" i="72"/>
  <c r="R1001" i="72"/>
  <c r="Q1005" i="72"/>
  <c r="M911" i="72"/>
  <c r="K957" i="72"/>
  <c r="P903" i="72"/>
  <c r="D934" i="72"/>
  <c r="G954" i="72"/>
  <c r="I919" i="72"/>
  <c r="R996" i="72"/>
  <c r="N1045" i="72"/>
  <c r="K1045" i="72"/>
  <c r="F979" i="72"/>
  <c r="G1023" i="72"/>
  <c r="H947" i="72"/>
  <c r="K966" i="72"/>
  <c r="G979" i="72"/>
  <c r="M1016" i="72"/>
  <c r="I962" i="72"/>
  <c r="I979" i="72"/>
  <c r="H1014" i="72"/>
  <c r="O1025" i="72"/>
  <c r="K1044" i="72"/>
  <c r="R1074" i="72"/>
  <c r="G1030" i="72"/>
  <c r="F1075" i="72"/>
  <c r="L1051" i="72"/>
  <c r="P997" i="72"/>
  <c r="R1018" i="72"/>
  <c r="M1079" i="72"/>
  <c r="H999" i="72"/>
  <c r="O1044" i="72"/>
  <c r="R962" i="72"/>
  <c r="J1007" i="72"/>
  <c r="Q1029" i="72"/>
  <c r="M1035" i="72"/>
  <c r="I1077" i="72"/>
  <c r="O1100" i="72"/>
  <c r="H1030" i="72"/>
  <c r="L1093" i="72"/>
  <c r="J1065" i="72"/>
  <c r="O1093" i="72"/>
  <c r="N1042" i="72"/>
  <c r="R1059" i="72"/>
  <c r="D1067" i="72"/>
  <c r="R1096" i="72"/>
  <c r="D1066" i="72"/>
  <c r="D1093" i="72"/>
  <c r="H1034" i="72"/>
  <c r="P1054" i="72"/>
  <c r="F1066" i="72"/>
  <c r="F1089" i="72"/>
  <c r="H1094" i="72"/>
  <c r="L1034" i="72"/>
  <c r="K1063" i="72"/>
  <c r="K1068" i="72"/>
  <c r="K1095" i="72"/>
  <c r="I1062" i="72"/>
  <c r="Q1102" i="72"/>
  <c r="F1042" i="72"/>
  <c r="K1057" i="72"/>
  <c r="M1064" i="72"/>
  <c r="H1073" i="72"/>
  <c r="Q1086" i="72"/>
  <c r="D1048" i="72"/>
  <c r="N1099" i="72"/>
  <c r="J15" i="72"/>
  <c r="P34" i="72"/>
  <c r="L48" i="72"/>
  <c r="P62" i="72"/>
  <c r="M68" i="72"/>
  <c r="R72" i="72"/>
  <c r="G17" i="72"/>
  <c r="E33" i="72"/>
  <c r="R62" i="72"/>
  <c r="M23" i="72"/>
  <c r="P38" i="72"/>
  <c r="D54" i="72"/>
  <c r="I54" i="72"/>
  <c r="K21" i="72"/>
  <c r="F39" i="72"/>
  <c r="M39" i="72"/>
  <c r="D55" i="72"/>
  <c r="M55" i="72"/>
  <c r="O21" i="72"/>
  <c r="R49" i="72"/>
  <c r="Q68" i="72"/>
  <c r="L68" i="72"/>
  <c r="P33" i="72"/>
  <c r="D9" i="72"/>
  <c r="D13" i="72"/>
  <c r="L18" i="72"/>
  <c r="I55" i="72"/>
  <c r="O54" i="72"/>
  <c r="K62" i="72"/>
  <c r="E62" i="72"/>
  <c r="L10" i="72"/>
  <c r="L16" i="72"/>
  <c r="N10" i="72"/>
  <c r="O46" i="72"/>
  <c r="L57" i="72"/>
  <c r="G38" i="72"/>
  <c r="Q29" i="72"/>
  <c r="H15" i="72"/>
  <c r="I48" i="72"/>
  <c r="K49" i="72"/>
  <c r="G52" i="72"/>
  <c r="I15" i="72"/>
  <c r="E50" i="72"/>
  <c r="J50" i="72"/>
  <c r="P26" i="72"/>
  <c r="N56" i="72"/>
  <c r="F64" i="72"/>
  <c r="L98" i="72"/>
  <c r="G118" i="72"/>
  <c r="F123" i="72"/>
  <c r="E132" i="72"/>
  <c r="K73" i="72"/>
  <c r="Q84" i="72"/>
  <c r="H104" i="72"/>
  <c r="J572" i="72"/>
  <c r="O588" i="72"/>
  <c r="R534" i="72"/>
  <c r="M650" i="72"/>
  <c r="E532" i="72"/>
  <c r="Q520" i="72"/>
  <c r="N606" i="72"/>
  <c r="N705" i="72"/>
  <c r="P672" i="72"/>
  <c r="M724" i="72"/>
  <c r="M824" i="72"/>
  <c r="Q825" i="72"/>
  <c r="Q747" i="72"/>
  <c r="O793" i="72"/>
  <c r="Q831" i="72"/>
  <c r="L799" i="72"/>
  <c r="G792" i="72"/>
  <c r="H860" i="72"/>
  <c r="D961" i="72"/>
  <c r="I877" i="72"/>
  <c r="F970" i="72"/>
  <c r="J956" i="72"/>
  <c r="R876" i="72"/>
  <c r="R894" i="72"/>
  <c r="H899" i="72"/>
  <c r="Q908" i="72"/>
  <c r="M851" i="72"/>
  <c r="L867" i="72"/>
  <c r="H878" i="72"/>
  <c r="E917" i="72"/>
  <c r="I1082" i="72"/>
  <c r="E1082" i="72"/>
  <c r="H982" i="72"/>
  <c r="R982" i="72"/>
  <c r="F1050" i="72"/>
  <c r="O1050" i="72"/>
  <c r="R1050" i="72"/>
  <c r="P1013" i="72"/>
  <c r="J936" i="72"/>
  <c r="P939" i="72"/>
  <c r="J946" i="72"/>
  <c r="E951" i="72"/>
  <c r="J983" i="72"/>
  <c r="H902" i="72"/>
  <c r="M936" i="72"/>
  <c r="Q1001" i="72"/>
  <c r="J1005" i="72"/>
  <c r="F1005" i="72"/>
  <c r="P1005" i="72"/>
  <c r="P914" i="72"/>
  <c r="K935" i="72"/>
  <c r="Q888" i="72"/>
  <c r="M905" i="72"/>
  <c r="G919" i="72"/>
  <c r="E918" i="72"/>
  <c r="O996" i="72"/>
  <c r="L1045" i="72"/>
  <c r="D1045" i="72"/>
  <c r="I1045" i="72"/>
  <c r="F962" i="72"/>
  <c r="M990" i="72"/>
  <c r="R1007" i="72"/>
  <c r="N990" i="72"/>
  <c r="I1035" i="72"/>
  <c r="K943" i="72"/>
  <c r="P990" i="72"/>
  <c r="L1002" i="72"/>
  <c r="M1015" i="72"/>
  <c r="P1044" i="72"/>
  <c r="Q1074" i="72"/>
  <c r="R977" i="72"/>
  <c r="R1002" i="72"/>
  <c r="D1030" i="72"/>
  <c r="E1075" i="72"/>
  <c r="J1051" i="72"/>
  <c r="D1051" i="72"/>
  <c r="D988" i="72"/>
  <c r="E998" i="72"/>
  <c r="Q1039" i="72"/>
  <c r="N981" i="72"/>
  <c r="Q997" i="72"/>
  <c r="R1076" i="72"/>
  <c r="H1079" i="72"/>
  <c r="D1079" i="72"/>
  <c r="M1041" i="72"/>
  <c r="E1077" i="72"/>
  <c r="G965" i="72"/>
  <c r="N1008" i="72"/>
  <c r="Q1023" i="72"/>
  <c r="J1035" i="72"/>
  <c r="H1077" i="72"/>
  <c r="N1100" i="72"/>
  <c r="J994" i="72"/>
  <c r="R1058" i="72"/>
  <c r="L1092" i="72"/>
  <c r="Q1097" i="72"/>
  <c r="D1059" i="72"/>
  <c r="F1094" i="72"/>
  <c r="R1036" i="72"/>
  <c r="F1059" i="72"/>
  <c r="G1066" i="72"/>
  <c r="D1042" i="72"/>
  <c r="F1057" i="72"/>
  <c r="K1064" i="72"/>
  <c r="F1073" i="72"/>
  <c r="P1091" i="72"/>
  <c r="G1058" i="72"/>
  <c r="D1065" i="72"/>
  <c r="J1089" i="72"/>
  <c r="L1094" i="72"/>
  <c r="M1058" i="72"/>
  <c r="K1066" i="72"/>
  <c r="I23" i="72"/>
  <c r="O25" i="72"/>
  <c r="I36" i="72"/>
  <c r="J49" i="72"/>
  <c r="Q66" i="72"/>
  <c r="L66" i="72"/>
  <c r="Q72" i="72"/>
  <c r="J72" i="72"/>
  <c r="D72" i="72"/>
  <c r="F30" i="72"/>
  <c r="N48" i="72"/>
  <c r="R68" i="72"/>
  <c r="L15" i="72"/>
  <c r="G39" i="72"/>
  <c r="N57" i="72"/>
  <c r="F15" i="72"/>
  <c r="M54" i="72"/>
  <c r="G29" i="72"/>
  <c r="N50" i="72"/>
  <c r="H29" i="72"/>
  <c r="J39" i="72"/>
  <c r="G45" i="72"/>
  <c r="P50" i="72"/>
  <c r="G68" i="72"/>
  <c r="Q15" i="72"/>
  <c r="P21" i="72"/>
  <c r="K39" i="72"/>
  <c r="H46" i="72"/>
  <c r="E20" i="72"/>
  <c r="L31" i="72"/>
  <c r="K45" i="72"/>
  <c r="J18" i="72"/>
  <c r="N31" i="72"/>
  <c r="M79" i="72"/>
  <c r="G79" i="72"/>
  <c r="G24" i="72"/>
  <c r="M29" i="72"/>
  <c r="K37" i="72"/>
  <c r="H16" i="72"/>
  <c r="E29" i="72"/>
  <c r="N14" i="72"/>
  <c r="L22" i="72"/>
  <c r="K34" i="72"/>
  <c r="Q57" i="72"/>
  <c r="N61" i="72"/>
  <c r="G61" i="72"/>
  <c r="D14" i="72"/>
  <c r="P29" i="72"/>
  <c r="I34" i="72"/>
  <c r="O48" i="72"/>
  <c r="G48" i="72"/>
  <c r="K52" i="72"/>
  <c r="H32" i="72"/>
  <c r="Q43" i="72"/>
  <c r="Q71" i="72"/>
  <c r="L77" i="72"/>
  <c r="N81" i="72"/>
  <c r="M88" i="72"/>
  <c r="H94" i="72"/>
  <c r="L105" i="72"/>
  <c r="L112" i="72"/>
  <c r="O40" i="72"/>
  <c r="O56" i="72"/>
  <c r="H65" i="72"/>
  <c r="D82" i="72"/>
  <c r="D86" i="72"/>
  <c r="M91" i="72"/>
  <c r="H97" i="72"/>
  <c r="G410" i="72"/>
  <c r="Q605" i="72"/>
  <c r="K661" i="72"/>
  <c r="Q685" i="72"/>
  <c r="N750" i="72"/>
  <c r="M736" i="72"/>
  <c r="J738" i="72"/>
  <c r="F661" i="72"/>
  <c r="N856" i="72"/>
  <c r="I841" i="72"/>
  <c r="Q848" i="72"/>
  <c r="Q872" i="72"/>
  <c r="O961" i="72"/>
  <c r="O970" i="72"/>
  <c r="F878" i="72"/>
  <c r="N901" i="72"/>
  <c r="O882" i="72"/>
  <c r="N908" i="72"/>
  <c r="P852" i="72"/>
  <c r="J894" i="72"/>
  <c r="N920" i="72"/>
  <c r="J920" i="72"/>
  <c r="D920" i="72"/>
  <c r="I918" i="72"/>
  <c r="P1082" i="72"/>
  <c r="D914" i="72"/>
  <c r="H936" i="72"/>
  <c r="Q982" i="72"/>
  <c r="N986" i="72"/>
  <c r="J986" i="72"/>
  <c r="F986" i="72"/>
  <c r="M1050" i="72"/>
  <c r="N1050" i="72"/>
  <c r="H1013" i="72"/>
  <c r="D1013" i="72"/>
  <c r="M1013" i="72"/>
  <c r="N978" i="72"/>
  <c r="I978" i="72"/>
  <c r="D978" i="72"/>
  <c r="N944" i="72"/>
  <c r="D951" i="72"/>
  <c r="I983" i="72"/>
  <c r="P918" i="72"/>
  <c r="J1001" i="72"/>
  <c r="F1001" i="72"/>
  <c r="P1001" i="72"/>
  <c r="K891" i="72"/>
  <c r="R890" i="72"/>
  <c r="L935" i="72"/>
  <c r="K954" i="72"/>
  <c r="E954" i="72"/>
  <c r="R944" i="72"/>
  <c r="H975" i="72"/>
  <c r="L996" i="72"/>
  <c r="Q1045" i="72"/>
  <c r="G1045" i="72"/>
  <c r="D950" i="72"/>
  <c r="D1039" i="72"/>
  <c r="R1046" i="72"/>
  <c r="R945" i="72"/>
  <c r="G981" i="72"/>
  <c r="M1003" i="72"/>
  <c r="O1016" i="72"/>
  <c r="N1035" i="72"/>
  <c r="I1044" i="72"/>
  <c r="R1023" i="72"/>
  <c r="H1074" i="72"/>
  <c r="R984" i="72"/>
  <c r="R1016" i="72"/>
  <c r="K1079" i="72"/>
  <c r="E999" i="72"/>
  <c r="J1044" i="72"/>
  <c r="G998" i="72"/>
  <c r="Q1076" i="72"/>
  <c r="J1079" i="72"/>
  <c r="F990" i="72"/>
  <c r="E1016" i="72"/>
  <c r="G990" i="72"/>
  <c r="F1016" i="72"/>
  <c r="N1029" i="72"/>
  <c r="N1023" i="72"/>
  <c r="D1077" i="72"/>
  <c r="E995" i="72"/>
  <c r="L1018" i="72"/>
  <c r="J1061" i="72"/>
  <c r="Q1048" i="72"/>
  <c r="P1066" i="72"/>
  <c r="R1043" i="72"/>
  <c r="D1063" i="72"/>
  <c r="E1068" i="72"/>
  <c r="R1098" i="72"/>
  <c r="H1067" i="72"/>
  <c r="I1095" i="72"/>
  <c r="E1058" i="72"/>
  <c r="I1066" i="72"/>
  <c r="M1026" i="72"/>
  <c r="I1043" i="72"/>
  <c r="J1059" i="72"/>
  <c r="R1078" i="72"/>
  <c r="M1095" i="72"/>
  <c r="K1059" i="72"/>
  <c r="K38" i="72"/>
  <c r="F50" i="72"/>
  <c r="G66" i="72"/>
  <c r="N72" i="72"/>
  <c r="P17" i="72"/>
  <c r="R20" i="72"/>
  <c r="R34" i="72"/>
  <c r="Q41" i="72"/>
  <c r="L49" i="72"/>
  <c r="Q9" i="72"/>
  <c r="F23" i="72"/>
  <c r="O30" i="72"/>
  <c r="K41" i="72"/>
  <c r="O61" i="72"/>
  <c r="E54" i="72"/>
  <c r="D21" i="72"/>
  <c r="Q39" i="72"/>
  <c r="G54" i="72"/>
  <c r="Q55" i="72"/>
  <c r="P15" i="72"/>
  <c r="R52" i="72"/>
  <c r="P68" i="72"/>
  <c r="K68" i="72"/>
  <c r="I16" i="72"/>
  <c r="I29" i="72"/>
  <c r="I33" i="72"/>
  <c r="R50" i="72"/>
  <c r="J10" i="72"/>
  <c r="I14" i="72"/>
  <c r="I46" i="72"/>
  <c r="Q62" i="72"/>
  <c r="I62" i="72"/>
  <c r="D62" i="72"/>
  <c r="R79" i="72"/>
  <c r="R11" i="72"/>
  <c r="N18" i="72"/>
  <c r="O29" i="72"/>
  <c r="J57" i="72"/>
  <c r="I10" i="72"/>
  <c r="D57" i="72"/>
  <c r="L20" i="72"/>
  <c r="K32" i="72"/>
  <c r="R16" i="72"/>
  <c r="D49" i="72"/>
  <c r="I49" i="72"/>
  <c r="N38" i="72"/>
  <c r="Q50" i="72"/>
  <c r="I50" i="72"/>
  <c r="Q27" i="72"/>
  <c r="P58" i="72"/>
  <c r="G65" i="72"/>
  <c r="J73" i="72"/>
  <c r="R99" i="72"/>
  <c r="L119" i="72"/>
  <c r="E126" i="72"/>
  <c r="K135" i="72"/>
  <c r="D75" i="72"/>
  <c r="M105" i="72"/>
  <c r="R375" i="72"/>
  <c r="D576" i="72"/>
  <c r="Q518" i="72"/>
  <c r="O561" i="72"/>
  <c r="Q572" i="72"/>
  <c r="O647" i="72"/>
  <c r="D806" i="72"/>
  <c r="P629" i="72"/>
  <c r="R643" i="72"/>
  <c r="O684" i="72"/>
  <c r="M796" i="72"/>
  <c r="Q793" i="72"/>
  <c r="D752" i="72"/>
  <c r="H752" i="72"/>
  <c r="O781" i="72"/>
  <c r="M823" i="72"/>
  <c r="N862" i="72"/>
  <c r="D928" i="72"/>
  <c r="F840" i="72"/>
  <c r="H807" i="72"/>
  <c r="L887" i="72"/>
  <c r="G897" i="72"/>
  <c r="N970" i="72"/>
  <c r="R952" i="72"/>
  <c r="I861" i="72"/>
  <c r="G901" i="72"/>
  <c r="P894" i="72"/>
  <c r="F899" i="72"/>
  <c r="K908" i="72"/>
  <c r="D855" i="72"/>
  <c r="R871" i="72"/>
  <c r="M880" i="72"/>
  <c r="G895" i="72"/>
  <c r="K942" i="72"/>
  <c r="L1082" i="72"/>
  <c r="H1082" i="72"/>
  <c r="D1082" i="72"/>
  <c r="O1082" i="72"/>
  <c r="R975" i="72"/>
  <c r="H903" i="72"/>
  <c r="R925" i="72"/>
  <c r="K982" i="72"/>
  <c r="G982" i="72"/>
  <c r="P982" i="72"/>
  <c r="E1050" i="72"/>
  <c r="L1050" i="72"/>
  <c r="N917" i="72"/>
  <c r="M944" i="72"/>
  <c r="F946" i="72"/>
  <c r="M903" i="72"/>
  <c r="D919" i="72"/>
  <c r="I1005" i="72"/>
  <c r="E1005" i="72"/>
  <c r="O936" i="72"/>
  <c r="L891" i="72"/>
  <c r="F909" i="72"/>
  <c r="R922" i="72"/>
  <c r="P957" i="72"/>
  <c r="K919" i="72"/>
  <c r="K944" i="72"/>
  <c r="J996" i="72"/>
  <c r="J1045" i="72"/>
  <c r="E1045" i="72"/>
  <c r="O965" i="72"/>
  <c r="O992" i="72"/>
  <c r="O1000" i="72"/>
  <c r="K969" i="72"/>
  <c r="Q992" i="72"/>
  <c r="I1002" i="72"/>
  <c r="O1051" i="72"/>
  <c r="K1046" i="72"/>
  <c r="J947" i="72"/>
  <c r="I1006" i="72"/>
  <c r="O977" i="72"/>
  <c r="R1035" i="72"/>
  <c r="G1074" i="72"/>
  <c r="K1018" i="72"/>
  <c r="H1051" i="72"/>
  <c r="P1051" i="72"/>
  <c r="P989" i="72"/>
  <c r="O947" i="72"/>
  <c r="E988" i="72"/>
  <c r="F999" i="72"/>
  <c r="J1076" i="72"/>
  <c r="G1079" i="72"/>
  <c r="E1040" i="72"/>
  <c r="K1041" i="72"/>
  <c r="D977" i="72"/>
  <c r="E994" i="72"/>
  <c r="K1023" i="72"/>
  <c r="G1035" i="72"/>
  <c r="F977" i="72"/>
  <c r="M999" i="72"/>
  <c r="P1096" i="72"/>
  <c r="K1032" i="72"/>
  <c r="E1064" i="72"/>
  <c r="Q1093" i="72"/>
  <c r="D1089" i="72"/>
  <c r="G1095" i="72"/>
  <c r="O1065" i="72"/>
  <c r="E1026" i="72"/>
  <c r="R1042" i="72"/>
  <c r="N1091" i="72"/>
  <c r="G1043" i="72"/>
  <c r="H1059" i="72"/>
  <c r="P1078" i="72"/>
  <c r="R1092" i="72"/>
  <c r="E1027" i="72"/>
  <c r="J1066" i="72"/>
  <c r="Q1080" i="72"/>
  <c r="J1096" i="72"/>
  <c r="N9" i="72"/>
  <c r="L17" i="72"/>
  <c r="H25" i="72"/>
  <c r="L30" i="72"/>
  <c r="D39" i="72"/>
  <c r="H52" i="72"/>
  <c r="O66" i="72"/>
  <c r="J66" i="72"/>
  <c r="O72" i="72"/>
  <c r="I72" i="72"/>
  <c r="H9" i="72"/>
  <c r="H21" i="72"/>
  <c r="E30" i="72"/>
  <c r="O38" i="72"/>
  <c r="G50" i="72"/>
  <c r="D10" i="72"/>
  <c r="N17" i="72"/>
  <c r="D31" i="72"/>
  <c r="L36" i="72"/>
  <c r="E15" i="72"/>
  <c r="L54" i="72"/>
  <c r="I31" i="72"/>
  <c r="E16" i="72"/>
  <c r="J31" i="72"/>
  <c r="P45" i="72"/>
  <c r="E45" i="72"/>
  <c r="H54" i="72"/>
  <c r="F68" i="72"/>
  <c r="Q46" i="72"/>
  <c r="F46" i="72"/>
  <c r="Q21" i="72"/>
  <c r="N33" i="72"/>
  <c r="I18" i="72"/>
  <c r="G31" i="72"/>
  <c r="Q79" i="72"/>
  <c r="K79" i="72"/>
  <c r="F79" i="72"/>
  <c r="F13" i="72"/>
  <c r="G20" i="72"/>
  <c r="P24" i="72"/>
  <c r="O31" i="72"/>
  <c r="D37" i="72"/>
  <c r="R39" i="72"/>
  <c r="Q54" i="72"/>
  <c r="G16" i="72"/>
  <c r="D29" i="72"/>
  <c r="N16" i="72"/>
  <c r="E22" i="72"/>
  <c r="G30" i="72"/>
  <c r="F38" i="72"/>
  <c r="P57" i="72"/>
  <c r="L61" i="72"/>
  <c r="E61" i="72"/>
  <c r="P16" i="72"/>
  <c r="R31" i="72"/>
  <c r="R45" i="72"/>
  <c r="G62" i="72"/>
  <c r="H34" i="72"/>
  <c r="M48" i="72"/>
  <c r="F48" i="72"/>
  <c r="Q52" i="72"/>
  <c r="J52" i="72"/>
  <c r="G32" i="72"/>
  <c r="E47" i="72"/>
  <c r="Q78" i="72"/>
  <c r="H83" i="72"/>
  <c r="N95" i="72"/>
  <c r="E100" i="72"/>
  <c r="R106" i="72"/>
  <c r="R113" i="72"/>
  <c r="R138" i="72"/>
  <c r="Q42" i="72"/>
  <c r="Q58" i="72"/>
  <c r="L69" i="72"/>
  <c r="J83" i="72"/>
  <c r="I87" i="72"/>
  <c r="D93" i="72"/>
  <c r="M98" i="72"/>
  <c r="R189" i="72"/>
  <c r="H361" i="72"/>
  <c r="N713" i="72"/>
  <c r="R561" i="72"/>
  <c r="H589" i="72"/>
  <c r="K599" i="72"/>
  <c r="J565" i="72"/>
  <c r="L735" i="72"/>
  <c r="M648" i="72"/>
  <c r="Q765" i="72"/>
  <c r="F811" i="72"/>
  <c r="H862" i="72"/>
  <c r="H798" i="72"/>
  <c r="J830" i="72"/>
  <c r="R915" i="72"/>
  <c r="L915" i="72"/>
  <c r="R838" i="72"/>
  <c r="M916" i="72"/>
  <c r="K881" i="72"/>
  <c r="E901" i="72"/>
  <c r="J908" i="72"/>
  <c r="K872" i="72"/>
  <c r="O881" i="72"/>
  <c r="M920" i="72"/>
  <c r="G920" i="72"/>
  <c r="N919" i="72"/>
  <c r="H957" i="72"/>
  <c r="M1082" i="72"/>
  <c r="J917" i="72"/>
  <c r="M986" i="72"/>
  <c r="I986" i="72"/>
  <c r="E986" i="72"/>
  <c r="K1050" i="72"/>
  <c r="J1050" i="72"/>
  <c r="G1013" i="72"/>
  <c r="M918" i="72"/>
  <c r="M978" i="72"/>
  <c r="H978" i="72"/>
  <c r="P929" i="72"/>
  <c r="N937" i="72"/>
  <c r="R983" i="72"/>
  <c r="Q931" i="72"/>
  <c r="I1001" i="72"/>
  <c r="E1001" i="72"/>
  <c r="J902" i="72"/>
  <c r="F919" i="72"/>
  <c r="E910" i="72"/>
  <c r="O923" i="72"/>
  <c r="P936" i="72"/>
  <c r="J954" i="72"/>
  <c r="R954" i="72"/>
  <c r="F996" i="72"/>
  <c r="G947" i="72"/>
  <c r="D973" i="72"/>
  <c r="J984" i="72"/>
  <c r="O993" i="72"/>
  <c r="H1002" i="72"/>
  <c r="L1016" i="72"/>
  <c r="N1024" i="72"/>
  <c r="I1051" i="72"/>
  <c r="F973" i="72"/>
  <c r="K984" i="72"/>
  <c r="P993" i="72"/>
  <c r="E1006" i="72"/>
  <c r="K1019" i="72"/>
  <c r="J1046" i="72"/>
  <c r="D971" i="72"/>
  <c r="O984" i="72"/>
  <c r="R1017" i="72"/>
  <c r="N1044" i="72"/>
  <c r="G1044" i="72"/>
  <c r="F1074" i="72"/>
  <c r="R1019" i="72"/>
  <c r="R1075" i="72"/>
  <c r="R1028" i="72"/>
  <c r="Q943" i="72"/>
  <c r="D990" i="72"/>
  <c r="I1076" i="72"/>
  <c r="D994" i="72"/>
  <c r="H945" i="72"/>
  <c r="L1029" i="72"/>
  <c r="G1009" i="72"/>
  <c r="G1065" i="72"/>
  <c r="P1059" i="72"/>
  <c r="P1089" i="72"/>
  <c r="O1097" i="72"/>
  <c r="N1052" i="72"/>
  <c r="D1094" i="72"/>
  <c r="Q1101" i="72"/>
  <c r="G1063" i="72"/>
  <c r="E1066" i="72"/>
  <c r="E1043" i="72"/>
  <c r="I1063" i="72"/>
  <c r="I1068" i="72"/>
  <c r="H1066" i="72"/>
  <c r="G1093" i="72"/>
  <c r="P1070" i="72"/>
  <c r="D1049" i="72"/>
  <c r="Q1060" i="72"/>
  <c r="E1081" i="72"/>
  <c r="R1091" i="72"/>
  <c r="H1061" i="72"/>
  <c r="R1086" i="72"/>
  <c r="E66" i="72"/>
  <c r="E72" i="72"/>
  <c r="I17" i="72"/>
  <c r="E39" i="72"/>
  <c r="P41" i="72"/>
  <c r="I52" i="72"/>
  <c r="D18" i="72"/>
  <c r="O23" i="72"/>
  <c r="P48" i="72"/>
  <c r="O15" i="72"/>
  <c r="M21" i="72"/>
  <c r="O39" i="72"/>
  <c r="J55" i="72"/>
  <c r="O55" i="72"/>
  <c r="G55" i="72"/>
  <c r="O68" i="72"/>
  <c r="J68" i="72"/>
  <c r="K31" i="72"/>
  <c r="H33" i="72"/>
  <c r="J54" i="72"/>
  <c r="R15" i="72"/>
  <c r="G22" i="72"/>
  <c r="D34" i="72"/>
  <c r="K16" i="72"/>
  <c r="O62" i="72"/>
  <c r="H62" i="72"/>
  <c r="E79" i="72"/>
  <c r="D32" i="72"/>
  <c r="L55" i="72"/>
  <c r="D17" i="72"/>
  <c r="H57" i="72"/>
  <c r="P10" i="72"/>
  <c r="E17" i="72"/>
  <c r="J32" i="72"/>
  <c r="P46" i="72"/>
  <c r="D15" i="72"/>
  <c r="K20" i="72"/>
  <c r="H38" i="72"/>
  <c r="R29" i="72"/>
  <c r="P49" i="72"/>
  <c r="H49" i="72"/>
  <c r="M38" i="72"/>
  <c r="O50" i="72"/>
  <c r="H50" i="72"/>
  <c r="I35" i="72"/>
  <c r="Q59" i="72"/>
  <c r="I67" i="72"/>
  <c r="J80" i="72"/>
  <c r="F90" i="72"/>
  <c r="N102" i="72"/>
  <c r="E107" i="72"/>
  <c r="E114" i="72"/>
  <c r="R120" i="72"/>
  <c r="M77" i="72"/>
  <c r="D298" i="72"/>
  <c r="F584" i="72"/>
  <c r="H539" i="72"/>
  <c r="N581" i="72"/>
  <c r="E618" i="72"/>
  <c r="Q578" i="72"/>
  <c r="K770" i="72"/>
  <c r="D612" i="72"/>
  <c r="J704" i="72"/>
  <c r="K662" i="72"/>
  <c r="D672" i="72"/>
  <c r="O820" i="72"/>
  <c r="G722" i="72"/>
  <c r="L811" i="72"/>
  <c r="N814" i="72"/>
  <c r="J865" i="72"/>
  <c r="D862" i="72"/>
  <c r="F860" i="72"/>
  <c r="O930" i="72"/>
  <c r="J866" i="72"/>
  <c r="G861" i="72"/>
  <c r="P956" i="72"/>
  <c r="N882" i="72"/>
  <c r="G894" i="72"/>
  <c r="M894" i="72"/>
  <c r="D899" i="72"/>
  <c r="I913" i="72"/>
  <c r="G858" i="72"/>
  <c r="Q882" i="72"/>
  <c r="H900" i="72"/>
  <c r="R920" i="72"/>
  <c r="G957" i="72"/>
  <c r="K1082" i="72"/>
  <c r="G1082" i="72"/>
  <c r="F888" i="72"/>
  <c r="H906" i="72"/>
  <c r="K918" i="72"/>
  <c r="M929" i="72"/>
  <c r="H938" i="72"/>
  <c r="J982" i="72"/>
  <c r="F982" i="72"/>
  <c r="D1050" i="72"/>
  <c r="I1050" i="72"/>
  <c r="P931" i="72"/>
  <c r="M946" i="72"/>
  <c r="D946" i="72"/>
  <c r="Q983" i="72"/>
  <c r="I891" i="72"/>
  <c r="O906" i="72"/>
  <c r="R929" i="72"/>
  <c r="L1005" i="72"/>
  <c r="H1005" i="72"/>
  <c r="D1005" i="72"/>
  <c r="O939" i="72"/>
  <c r="O893" i="72"/>
  <c r="Q911" i="72"/>
  <c r="E929" i="72"/>
  <c r="Q954" i="72"/>
  <c r="D975" i="72"/>
  <c r="F944" i="72"/>
  <c r="E996" i="72"/>
  <c r="H1045" i="72"/>
  <c r="R1045" i="72"/>
  <c r="Q974" i="72"/>
  <c r="M987" i="72"/>
  <c r="Q994" i="72"/>
  <c r="J1003" i="72"/>
  <c r="R1029" i="72"/>
  <c r="G962" i="72"/>
  <c r="R974" i="72"/>
  <c r="Q987" i="72"/>
  <c r="R994" i="72"/>
  <c r="J1023" i="72"/>
  <c r="H1046" i="72"/>
  <c r="I950" i="72"/>
  <c r="O973" i="72"/>
  <c r="H997" i="72"/>
  <c r="H1018" i="72"/>
  <c r="E1074" i="72"/>
  <c r="N989" i="72"/>
  <c r="I1075" i="72"/>
  <c r="G1051" i="72"/>
  <c r="N947" i="72"/>
  <c r="I976" i="72"/>
  <c r="R989" i="72"/>
  <c r="D1016" i="72"/>
  <c r="H1076" i="72"/>
  <c r="F1079" i="72"/>
  <c r="O981" i="72"/>
  <c r="R1041" i="72"/>
  <c r="I1041" i="72"/>
  <c r="P981" i="72"/>
  <c r="Q1044" i="72"/>
  <c r="R1077" i="72"/>
  <c r="R1100" i="72"/>
  <c r="K980" i="72"/>
  <c r="H1016" i="72"/>
  <c r="R1061" i="72"/>
  <c r="H1090" i="72"/>
  <c r="P1098" i="72"/>
  <c r="N1033" i="72"/>
  <c r="R1053" i="72"/>
  <c r="L1065" i="72"/>
  <c r="R1089" i="72"/>
  <c r="R1104" i="72"/>
  <c r="G1064" i="72"/>
  <c r="O1032" i="72"/>
  <c r="I1064" i="72"/>
  <c r="D1073" i="72"/>
  <c r="P1092" i="72"/>
  <c r="F1093" i="72"/>
  <c r="O1060" i="72"/>
  <c r="O1084" i="72"/>
  <c r="P1102" i="72"/>
  <c r="P1086" i="72"/>
  <c r="E1033" i="72"/>
  <c r="F1052" i="72"/>
  <c r="G1061" i="72"/>
  <c r="L1067" i="72"/>
  <c r="D1092" i="72"/>
  <c r="K1062" i="72"/>
  <c r="G11" i="72"/>
  <c r="Q20" i="72"/>
  <c r="Q25" i="72"/>
  <c r="N32" i="72"/>
  <c r="I41" i="72"/>
  <c r="N66" i="72"/>
  <c r="I66" i="72"/>
  <c r="L72" i="72"/>
  <c r="G72" i="72"/>
  <c r="O9" i="72"/>
  <c r="D30" i="72"/>
  <c r="Q32" i="72"/>
  <c r="K36" i="72"/>
  <c r="M49" i="72"/>
  <c r="N15" i="72"/>
  <c r="F29" i="72"/>
  <c r="P54" i="72"/>
  <c r="D16" i="72"/>
  <c r="G18" i="72"/>
  <c r="L45" i="72"/>
  <c r="D45" i="72"/>
  <c r="E68" i="72"/>
  <c r="H79" i="72"/>
  <c r="K18" i="72"/>
  <c r="M46" i="72"/>
  <c r="E46" i="72"/>
  <c r="H55" i="72"/>
  <c r="J11" i="72"/>
  <c r="J16" i="72"/>
  <c r="H18" i="72"/>
  <c r="F31" i="72"/>
  <c r="O79" i="72"/>
  <c r="J79" i="72"/>
  <c r="D79" i="72"/>
  <c r="K14" i="72"/>
  <c r="O24" i="72"/>
  <c r="M37" i="72"/>
  <c r="N45" i="72"/>
  <c r="F66" i="72"/>
  <c r="F16" i="72"/>
  <c r="R54" i="72"/>
  <c r="N22" i="72"/>
  <c r="Q31" i="72"/>
  <c r="O57" i="72"/>
  <c r="J61" i="72"/>
  <c r="D61" i="72"/>
  <c r="D48" i="72"/>
  <c r="Q34" i="72"/>
  <c r="J48" i="72"/>
  <c r="N52" i="72"/>
  <c r="F32" i="72"/>
  <c r="N40" i="72"/>
  <c r="I51" i="72"/>
  <c r="K69" i="72"/>
  <c r="P74" i="72"/>
  <c r="N84" i="72"/>
  <c r="N109" i="72"/>
  <c r="K115" i="72"/>
  <c r="E121" i="72"/>
  <c r="N128" i="72"/>
  <c r="F47" i="72"/>
  <c r="F63" i="72"/>
  <c r="M70" i="72"/>
  <c r="O88" i="72"/>
  <c r="I94" i="72"/>
  <c r="O325" i="72"/>
  <c r="P552" i="72"/>
  <c r="E613" i="72"/>
  <c r="G588" i="72"/>
  <c r="L602" i="72"/>
  <c r="Q770" i="72"/>
  <c r="N674" i="72"/>
  <c r="M643" i="72"/>
  <c r="L859" i="72"/>
  <c r="N759" i="72"/>
  <c r="L728" i="72"/>
  <c r="R823" i="72"/>
  <c r="E876" i="72"/>
  <c r="D904" i="72"/>
  <c r="R899" i="72"/>
  <c r="I924" i="72"/>
  <c r="P877" i="72"/>
  <c r="J864" i="72"/>
  <c r="L889" i="72"/>
  <c r="E908" i="72"/>
  <c r="K861" i="72"/>
  <c r="M885" i="72"/>
  <c r="L920" i="72"/>
  <c r="F920" i="72"/>
  <c r="Q920" i="72"/>
  <c r="G921" i="72"/>
  <c r="F957" i="72"/>
  <c r="M959" i="72"/>
  <c r="R1082" i="72"/>
  <c r="F975" i="72"/>
  <c r="P986" i="72"/>
  <c r="L986" i="72"/>
  <c r="H986" i="72"/>
  <c r="D986" i="72"/>
  <c r="H1050" i="72"/>
  <c r="G1050" i="72"/>
  <c r="F1013" i="72"/>
  <c r="R919" i="72"/>
  <c r="L978" i="72"/>
  <c r="F978" i="72"/>
  <c r="M906" i="72"/>
  <c r="F935" i="72"/>
  <c r="P983" i="72"/>
  <c r="R931" i="72"/>
  <c r="L1001" i="72"/>
  <c r="H1001" i="72"/>
  <c r="D1001" i="72"/>
  <c r="L905" i="72"/>
  <c r="D929" i="72"/>
  <c r="J941" i="72"/>
  <c r="K902" i="72"/>
  <c r="N912" i="72"/>
  <c r="Q939" i="72"/>
  <c r="H954" i="72"/>
  <c r="O957" i="72"/>
  <c r="P1045" i="72"/>
  <c r="K977" i="72"/>
  <c r="R988" i="72"/>
  <c r="O1017" i="72"/>
  <c r="G943" i="72"/>
  <c r="L977" i="72"/>
  <c r="G1025" i="72"/>
  <c r="K989" i="72"/>
  <c r="N1019" i="72"/>
  <c r="M1044" i="72"/>
  <c r="E1044" i="72"/>
  <c r="M989" i="72"/>
  <c r="D1074" i="72"/>
  <c r="H1075" i="72"/>
  <c r="N1051" i="72"/>
  <c r="F1017" i="72"/>
  <c r="E990" i="72"/>
  <c r="R1031" i="72"/>
  <c r="D1076" i="72"/>
  <c r="R1079" i="72"/>
  <c r="R997" i="72"/>
  <c r="Q1041" i="72"/>
  <c r="Q947" i="72"/>
  <c r="I998" i="72"/>
  <c r="D1029" i="72"/>
  <c r="K1077" i="72"/>
  <c r="Q1100" i="72"/>
  <c r="L988" i="72"/>
  <c r="M1066" i="72"/>
  <c r="H1091" i="72"/>
  <c r="J1090" i="72"/>
  <c r="E1095" i="72"/>
  <c r="L1091" i="72"/>
  <c r="E1093" i="72"/>
  <c r="D1052" i="72"/>
  <c r="E1061" i="72"/>
  <c r="J1067" i="72"/>
  <c r="H1089" i="72"/>
  <c r="J1094" i="72"/>
  <c r="F1058" i="72"/>
  <c r="H1093" i="72"/>
  <c r="J1062" i="72"/>
  <c r="M1068" i="72"/>
  <c r="O1083" i="72"/>
  <c r="M1099" i="72"/>
  <c r="N1064" i="72"/>
  <c r="J1093" i="72"/>
  <c r="N13" i="72"/>
  <c r="G21" i="72"/>
  <c r="D33" i="72"/>
  <c r="K57" i="72"/>
  <c r="D66" i="72"/>
  <c r="K15" i="72"/>
  <c r="H17" i="72"/>
  <c r="O41" i="72"/>
  <c r="L13" i="72"/>
  <c r="N23" i="72"/>
  <c r="F33" i="72"/>
  <c r="K50" i="72"/>
  <c r="L21" i="72"/>
  <c r="R38" i="72"/>
  <c r="N39" i="72"/>
  <c r="F55" i="72"/>
  <c r="N55" i="72"/>
  <c r="L33" i="72"/>
  <c r="N68" i="72"/>
  <c r="G33" i="72"/>
  <c r="J29" i="72"/>
  <c r="K29" i="72"/>
  <c r="M62" i="72"/>
  <c r="F62" i="72"/>
  <c r="L79" i="72"/>
  <c r="F9" i="72"/>
  <c r="I22" i="72"/>
  <c r="Q33" i="72"/>
  <c r="L46" i="72"/>
  <c r="I9" i="72"/>
  <c r="P18" i="72"/>
  <c r="I32" i="72"/>
  <c r="R55" i="72"/>
  <c r="F57" i="72"/>
  <c r="M14" i="72"/>
  <c r="R18" i="72"/>
  <c r="Q16" i="72"/>
  <c r="J20" i="72"/>
  <c r="L32" i="72"/>
  <c r="N49" i="72"/>
  <c r="G49" i="72"/>
  <c r="L62" i="72"/>
  <c r="L38" i="72"/>
  <c r="L50" i="72"/>
  <c r="N62" i="72"/>
  <c r="K53" i="72"/>
  <c r="E63" i="72"/>
  <c r="L91" i="72"/>
  <c r="F97" i="72"/>
  <c r="D129" i="72"/>
  <c r="E144" i="72"/>
  <c r="R78" i="72"/>
  <c r="J84" i="72"/>
  <c r="O102" i="72"/>
  <c r="P694" i="72"/>
  <c r="G889" i="72"/>
  <c r="D957" i="72"/>
  <c r="P919" i="72"/>
  <c r="N983" i="72"/>
  <c r="G1005" i="72"/>
  <c r="N946" i="72"/>
  <c r="F1045" i="72"/>
  <c r="F1035" i="72"/>
  <c r="G1075" i="72"/>
  <c r="G988" i="72"/>
  <c r="M1019" i="72"/>
  <c r="J1091" i="72"/>
  <c r="R1052" i="72"/>
  <c r="R1070" i="72"/>
  <c r="G15" i="72"/>
  <c r="H10" i="72"/>
  <c r="F34" i="72"/>
  <c r="M20" i="72"/>
  <c r="J62" i="72"/>
  <c r="G81" i="72"/>
  <c r="M131" i="72"/>
  <c r="O95" i="72"/>
  <c r="O128" i="72"/>
  <c r="N144" i="72"/>
  <c r="I90" i="72"/>
  <c r="E95" i="72"/>
  <c r="M115" i="72"/>
  <c r="O135" i="72"/>
  <c r="H91" i="72"/>
  <c r="F105" i="72"/>
  <c r="D119" i="72"/>
  <c r="I63" i="72"/>
  <c r="J77" i="72"/>
  <c r="K97" i="72"/>
  <c r="D106" i="72"/>
  <c r="I115" i="72"/>
  <c r="M129" i="72"/>
  <c r="N129" i="72"/>
  <c r="K64" i="72"/>
  <c r="E78" i="72"/>
  <c r="R98" i="72"/>
  <c r="M111" i="72"/>
  <c r="F120" i="72"/>
  <c r="D126" i="72"/>
  <c r="I86" i="72"/>
  <c r="R140" i="72"/>
  <c r="M64" i="72"/>
  <c r="G90" i="72"/>
  <c r="N104" i="72"/>
  <c r="O138" i="72"/>
  <c r="I26" i="72"/>
  <c r="G56" i="72"/>
  <c r="D69" i="72"/>
  <c r="M75" i="72"/>
  <c r="F84" i="72"/>
  <c r="Q90" i="72"/>
  <c r="K96" i="72"/>
  <c r="J106" i="72"/>
  <c r="L110" i="72"/>
  <c r="J120" i="72"/>
  <c r="R129" i="72"/>
  <c r="G130" i="72"/>
  <c r="G140" i="72"/>
  <c r="D127" i="72"/>
  <c r="L152" i="72"/>
  <c r="F152" i="72"/>
  <c r="K71" i="72"/>
  <c r="L78" i="72"/>
  <c r="L120" i="72"/>
  <c r="E135" i="72"/>
  <c r="M120" i="72"/>
  <c r="Q86" i="72"/>
  <c r="I91" i="72"/>
  <c r="M96" i="72"/>
  <c r="D103" i="72"/>
  <c r="K110" i="72"/>
  <c r="D118" i="72"/>
  <c r="H128" i="72"/>
  <c r="D90" i="72"/>
  <c r="L131" i="72"/>
  <c r="F135" i="72"/>
  <c r="D71" i="72"/>
  <c r="E90" i="72"/>
  <c r="F118" i="72"/>
  <c r="R127" i="72"/>
  <c r="E128" i="72"/>
  <c r="R139" i="72"/>
  <c r="E136" i="72"/>
  <c r="I148" i="72"/>
  <c r="Q156" i="72"/>
  <c r="N159" i="72"/>
  <c r="P172" i="72"/>
  <c r="D160" i="72"/>
  <c r="P188" i="72"/>
  <c r="K161" i="72"/>
  <c r="I174" i="72"/>
  <c r="H157" i="72"/>
  <c r="J175" i="72"/>
  <c r="I188" i="72"/>
  <c r="E188" i="72"/>
  <c r="D190" i="72"/>
  <c r="R161" i="72"/>
  <c r="H175" i="72"/>
  <c r="Q176" i="72"/>
  <c r="F149" i="72"/>
  <c r="J153" i="72"/>
  <c r="K160" i="72"/>
  <c r="D164" i="72"/>
  <c r="F171" i="72"/>
  <c r="M186" i="72"/>
  <c r="I186" i="72"/>
  <c r="N136" i="72"/>
  <c r="Q143" i="72"/>
  <c r="Q151" i="72"/>
  <c r="H156" i="72"/>
  <c r="F165" i="72"/>
  <c r="G176" i="72"/>
  <c r="N190" i="72"/>
  <c r="Q157" i="72"/>
  <c r="I176" i="72"/>
  <c r="E148" i="72"/>
  <c r="E158" i="72"/>
  <c r="M142" i="72"/>
  <c r="O153" i="72"/>
  <c r="N204" i="72"/>
  <c r="J204" i="72"/>
  <c r="I153" i="72"/>
  <c r="J169" i="72"/>
  <c r="D136" i="72"/>
  <c r="H148" i="72"/>
  <c r="H161" i="72"/>
  <c r="G187" i="72"/>
  <c r="P187" i="72"/>
  <c r="K187" i="72"/>
  <c r="F200" i="72"/>
  <c r="K205" i="72"/>
  <c r="R215" i="72"/>
  <c r="P216" i="72"/>
  <c r="P177" i="72"/>
  <c r="E198" i="72"/>
  <c r="I202" i="72"/>
  <c r="R208" i="72"/>
  <c r="H219" i="72"/>
  <c r="D228" i="72"/>
  <c r="I185" i="72"/>
  <c r="Q193" i="72"/>
  <c r="G199" i="72"/>
  <c r="Q211" i="72"/>
  <c r="E228" i="72"/>
  <c r="J185" i="72"/>
  <c r="E196" i="72"/>
  <c r="K202" i="72"/>
  <c r="L209" i="72"/>
  <c r="D226" i="72"/>
  <c r="J226" i="72"/>
  <c r="D209" i="72"/>
  <c r="D210" i="72"/>
  <c r="I214" i="72"/>
  <c r="K225" i="72"/>
  <c r="M214" i="72"/>
  <c r="J215" i="72"/>
  <c r="H206" i="72"/>
  <c r="Q228" i="72"/>
  <c r="J228" i="72"/>
  <c r="F216" i="72"/>
  <c r="Q181" i="72"/>
  <c r="E201" i="72"/>
  <c r="J206" i="72"/>
  <c r="F211" i="72"/>
  <c r="J230" i="72"/>
  <c r="D230" i="72"/>
  <c r="M192" i="72"/>
  <c r="P218" i="72"/>
  <c r="I227" i="72"/>
  <c r="P234" i="72"/>
  <c r="F240" i="72"/>
  <c r="J244" i="72"/>
  <c r="N248" i="72"/>
  <c r="D254" i="72"/>
  <c r="N259" i="72"/>
  <c r="R275" i="72"/>
  <c r="N247" i="72"/>
  <c r="P232" i="72"/>
  <c r="G255" i="72"/>
  <c r="K260" i="72"/>
  <c r="G222" i="72"/>
  <c r="D235" i="72"/>
  <c r="K242" i="72"/>
  <c r="P247" i="72"/>
  <c r="I256" i="72"/>
  <c r="P275" i="72"/>
  <c r="K275" i="72"/>
  <c r="F217" i="72"/>
  <c r="O613" i="72"/>
  <c r="F894" i="72"/>
  <c r="H959" i="72"/>
  <c r="H931" i="72"/>
  <c r="Q1050" i="72"/>
  <c r="L893" i="72"/>
  <c r="R1005" i="72"/>
  <c r="M1045" i="72"/>
  <c r="O945" i="72"/>
  <c r="R1051" i="72"/>
  <c r="M1051" i="72"/>
  <c r="H998" i="72"/>
  <c r="L998" i="72"/>
  <c r="R1065" i="72"/>
  <c r="Q1084" i="72"/>
  <c r="P25" i="72"/>
  <c r="K72" i="72"/>
  <c r="M57" i="72"/>
  <c r="D20" i="72"/>
  <c r="L37" i="72"/>
  <c r="Q45" i="72"/>
  <c r="L34" i="72"/>
  <c r="I38" i="72"/>
  <c r="H87" i="72"/>
  <c r="Q26" i="72"/>
  <c r="N131" i="72"/>
  <c r="P40" i="72"/>
  <c r="G63" i="72"/>
  <c r="N70" i="72"/>
  <c r="L80" i="72"/>
  <c r="J87" i="72"/>
  <c r="L102" i="72"/>
  <c r="J123" i="72"/>
  <c r="I132" i="72"/>
  <c r="L87" i="72"/>
  <c r="J121" i="72"/>
  <c r="P123" i="72"/>
  <c r="L90" i="72"/>
  <c r="E99" i="72"/>
  <c r="N111" i="72"/>
  <c r="G120" i="72"/>
  <c r="F121" i="72"/>
  <c r="Q140" i="72"/>
  <c r="P144" i="72"/>
  <c r="H144" i="72"/>
  <c r="G78" i="72"/>
  <c r="O104" i="72"/>
  <c r="O118" i="72"/>
  <c r="D139" i="72"/>
  <c r="I139" i="72"/>
  <c r="F138" i="72"/>
  <c r="J27" i="72"/>
  <c r="I58" i="72"/>
  <c r="D77" i="72"/>
  <c r="D91" i="72"/>
  <c r="Q97" i="72"/>
  <c r="Q100" i="72"/>
  <c r="Q111" i="72"/>
  <c r="O114" i="72"/>
  <c r="O152" i="72"/>
  <c r="O86" i="72"/>
  <c r="L99" i="72"/>
  <c r="G112" i="72"/>
  <c r="G91" i="72"/>
  <c r="M99" i="72"/>
  <c r="H112" i="72"/>
  <c r="L138" i="72"/>
  <c r="R75" i="72"/>
  <c r="E87" i="72"/>
  <c r="P122" i="72"/>
  <c r="I99" i="72"/>
  <c r="P106" i="72"/>
  <c r="G113" i="72"/>
  <c r="N120" i="72"/>
  <c r="Q99" i="72"/>
  <c r="K112" i="72"/>
  <c r="D157" i="72"/>
  <c r="G173" i="72"/>
  <c r="G136" i="72"/>
  <c r="K148" i="72"/>
  <c r="N155" i="72"/>
  <c r="Q169" i="72"/>
  <c r="R188" i="72"/>
  <c r="F170" i="72"/>
  <c r="I170" i="72"/>
  <c r="I157" i="72"/>
  <c r="O161" i="72"/>
  <c r="M188" i="72"/>
  <c r="O148" i="72"/>
  <c r="K157" i="72"/>
  <c r="M136" i="72"/>
  <c r="R174" i="72"/>
  <c r="E186" i="72"/>
  <c r="I145" i="72"/>
  <c r="K153" i="72"/>
  <c r="O157" i="72"/>
  <c r="G168" i="72"/>
  <c r="O160" i="72"/>
  <c r="I190" i="72"/>
  <c r="D158" i="72"/>
  <c r="Q136" i="72"/>
  <c r="H172" i="72"/>
  <c r="K172" i="72"/>
  <c r="M145" i="72"/>
  <c r="G155" i="72"/>
  <c r="G204" i="72"/>
  <c r="G161" i="72"/>
  <c r="E137" i="72"/>
  <c r="L156" i="72"/>
  <c r="D165" i="72"/>
  <c r="I173" i="72"/>
  <c r="L173" i="72"/>
  <c r="K189" i="72"/>
  <c r="G184" i="72"/>
  <c r="O192" i="72"/>
  <c r="J209" i="72"/>
  <c r="R231" i="72"/>
  <c r="E181" i="72"/>
  <c r="H200" i="72"/>
  <c r="M205" i="72"/>
  <c r="H212" i="72"/>
  <c r="L212" i="72"/>
  <c r="L202" i="72"/>
  <c r="N203" i="72"/>
  <c r="J231" i="72"/>
  <c r="D231" i="72"/>
  <c r="N231" i="72"/>
  <c r="E225" i="72"/>
  <c r="N185" i="72"/>
  <c r="O202" i="72"/>
  <c r="E215" i="72"/>
  <c r="G210" i="72"/>
  <c r="H210" i="72"/>
  <c r="G206" i="72"/>
  <c r="J192" i="72"/>
  <c r="H228" i="72"/>
  <c r="Q182" i="72"/>
  <c r="K192" i="72"/>
  <c r="Q198" i="72"/>
  <c r="H205" i="72"/>
  <c r="D184" i="72"/>
  <c r="L192" i="72"/>
  <c r="P215" i="72"/>
  <c r="E200" i="72"/>
  <c r="Q235" i="72"/>
  <c r="F260" i="72"/>
  <c r="K270" i="72"/>
  <c r="E270" i="72"/>
  <c r="N273" i="72"/>
  <c r="I273" i="72"/>
  <c r="H241" i="72"/>
  <c r="H240" i="72"/>
  <c r="L244" i="72"/>
  <c r="P248" i="72"/>
  <c r="F257" i="72"/>
  <c r="E235" i="72"/>
  <c r="N244" i="72"/>
  <c r="J256" i="72"/>
  <c r="N242" i="72"/>
  <c r="H896" i="72"/>
  <c r="K860" i="72"/>
  <c r="P904" i="72"/>
  <c r="F887" i="72"/>
  <c r="J1082" i="72"/>
  <c r="R917" i="72"/>
  <c r="H911" i="72"/>
  <c r="Q906" i="72"/>
  <c r="P965" i="72"/>
  <c r="F1051" i="72"/>
  <c r="Q1035" i="72"/>
  <c r="I1093" i="72"/>
  <c r="F72" i="72"/>
  <c r="N54" i="72"/>
  <c r="L39" i="72"/>
  <c r="N79" i="72"/>
  <c r="I19" i="72"/>
  <c r="L53" i="72"/>
  <c r="L115" i="72"/>
  <c r="G121" i="72"/>
  <c r="F132" i="72"/>
  <c r="N91" i="72"/>
  <c r="L95" i="72"/>
  <c r="J109" i="72"/>
  <c r="I118" i="72"/>
  <c r="H126" i="72"/>
  <c r="H98" i="72"/>
  <c r="F112" i="72"/>
  <c r="J64" i="72"/>
  <c r="O80" i="72"/>
  <c r="K90" i="72"/>
  <c r="Q98" i="72"/>
  <c r="K111" i="72"/>
  <c r="P115" i="72"/>
  <c r="J129" i="72"/>
  <c r="K132" i="72"/>
  <c r="E71" i="72"/>
  <c r="R112" i="72"/>
  <c r="K121" i="72"/>
  <c r="L64" i="72"/>
  <c r="M90" i="72"/>
  <c r="F99" i="72"/>
  <c r="F127" i="72"/>
  <c r="N65" i="72"/>
  <c r="M87" i="72"/>
  <c r="D94" i="72"/>
  <c r="O132" i="72"/>
  <c r="E104" i="72"/>
  <c r="L118" i="72"/>
  <c r="I138" i="72"/>
  <c r="G40" i="72"/>
  <c r="J59" i="72"/>
  <c r="E70" i="72"/>
  <c r="M86" i="72"/>
  <c r="D98" i="72"/>
  <c r="F102" i="72"/>
  <c r="D112" i="72"/>
  <c r="Q121" i="72"/>
  <c r="N130" i="72"/>
  <c r="O130" i="72"/>
  <c r="K127" i="72"/>
  <c r="L127" i="72"/>
  <c r="K152" i="72"/>
  <c r="D152" i="72"/>
  <c r="D73" i="72"/>
  <c r="D80" i="72"/>
  <c r="K138" i="72"/>
  <c r="H53" i="72"/>
  <c r="N78" i="72"/>
  <c r="Q93" i="72"/>
  <c r="I98" i="72"/>
  <c r="I105" i="72"/>
  <c r="I112" i="72"/>
  <c r="I119" i="72"/>
  <c r="G131" i="72"/>
  <c r="J91" i="72"/>
  <c r="I131" i="72"/>
  <c r="P135" i="72"/>
  <c r="D135" i="72"/>
  <c r="D78" i="72"/>
  <c r="K91" i="72"/>
  <c r="F104" i="72"/>
  <c r="K119" i="72"/>
  <c r="L128" i="72"/>
  <c r="M128" i="72"/>
  <c r="I76" i="72"/>
  <c r="F137" i="72"/>
  <c r="N149" i="72"/>
  <c r="I161" i="72"/>
  <c r="D174" i="72"/>
  <c r="M155" i="72"/>
  <c r="J161" i="72"/>
  <c r="F157" i="72"/>
  <c r="L170" i="72"/>
  <c r="O174" i="72"/>
  <c r="M148" i="72"/>
  <c r="O158" i="72"/>
  <c r="O170" i="72"/>
  <c r="P175" i="72"/>
  <c r="H188" i="72"/>
  <c r="R155" i="72"/>
  <c r="P170" i="72"/>
  <c r="M176" i="72"/>
  <c r="P176" i="72"/>
  <c r="O143" i="72"/>
  <c r="K150" i="72"/>
  <c r="L171" i="72"/>
  <c r="I175" i="72"/>
  <c r="L186" i="72"/>
  <c r="H186" i="72"/>
  <c r="O137" i="72"/>
  <c r="D168" i="72"/>
  <c r="M157" i="72"/>
  <c r="Q190" i="72"/>
  <c r="M190" i="72"/>
  <c r="O150" i="72"/>
  <c r="Q160" i="72"/>
  <c r="F148" i="72"/>
  <c r="Q204" i="72"/>
  <c r="M204" i="72"/>
  <c r="Q145" i="72"/>
  <c r="H153" i="72"/>
  <c r="I169" i="72"/>
  <c r="K141" i="72"/>
  <c r="M149" i="72"/>
  <c r="N169" i="72"/>
  <c r="F187" i="72"/>
  <c r="N187" i="72"/>
  <c r="J187" i="72"/>
  <c r="G201" i="72"/>
  <c r="L206" i="72"/>
  <c r="M216" i="72"/>
  <c r="N216" i="72"/>
  <c r="F199" i="72"/>
  <c r="J203" i="72"/>
  <c r="J216" i="72"/>
  <c r="D219" i="72"/>
  <c r="F166" i="72"/>
  <c r="M189" i="72"/>
  <c r="D196" i="72"/>
  <c r="E214" i="72"/>
  <c r="E180" i="72"/>
  <c r="N189" i="72"/>
  <c r="F197" i="72"/>
  <c r="L203" i="72"/>
  <c r="G226" i="72"/>
  <c r="O226" i="72"/>
  <c r="H226" i="72"/>
  <c r="N209" i="72"/>
  <c r="H214" i="72"/>
  <c r="J225" i="72"/>
  <c r="P214" i="72"/>
  <c r="D215" i="72"/>
  <c r="N228" i="72"/>
  <c r="Q166" i="72"/>
  <c r="F202" i="72"/>
  <c r="E209" i="72"/>
  <c r="P211" i="72"/>
  <c r="G216" i="72"/>
  <c r="I230" i="72"/>
  <c r="L230" i="72"/>
  <c r="F201" i="72"/>
  <c r="K229" i="72"/>
  <c r="G241" i="72"/>
  <c r="K245" i="72"/>
  <c r="O249" i="72"/>
  <c r="E255" i="72"/>
  <c r="R264" i="72"/>
  <c r="H224" i="72"/>
  <c r="Q233" i="72"/>
  <c r="H256" i="72"/>
  <c r="J260" i="72"/>
  <c r="I224" i="72"/>
  <c r="G238" i="72"/>
  <c r="L243" i="72"/>
  <c r="Q248" i="72"/>
  <c r="D258" i="72"/>
  <c r="O275" i="72"/>
  <c r="J275" i="72"/>
  <c r="G218" i="72"/>
  <c r="R531" i="72"/>
  <c r="F717" i="72"/>
  <c r="G859" i="72"/>
  <c r="D894" i="72"/>
  <c r="O913" i="72"/>
  <c r="F1082" i="72"/>
  <c r="I982" i="72"/>
  <c r="K931" i="72"/>
  <c r="I935" i="72"/>
  <c r="N977" i="72"/>
  <c r="N962" i="72"/>
  <c r="E1031" i="72"/>
  <c r="O1041" i="72"/>
  <c r="N1065" i="72"/>
  <c r="F1061" i="72"/>
  <c r="R1102" i="72"/>
  <c r="I21" i="72"/>
  <c r="F18" i="72"/>
  <c r="J45" i="72"/>
  <c r="K54" i="72"/>
  <c r="I79" i="72"/>
  <c r="O16" i="72"/>
  <c r="P42" i="72"/>
  <c r="G64" i="72"/>
  <c r="G47" i="72"/>
  <c r="H64" i="72"/>
  <c r="L73" i="72"/>
  <c r="E82" i="72"/>
  <c r="E93" i="72"/>
  <c r="P132" i="72"/>
  <c r="Q132" i="72"/>
  <c r="N73" i="72"/>
  <c r="G82" i="72"/>
  <c r="D99" i="72"/>
  <c r="H123" i="72"/>
  <c r="R135" i="72"/>
  <c r="F80" i="72"/>
  <c r="R91" i="72"/>
  <c r="L104" i="72"/>
  <c r="E113" i="72"/>
  <c r="K126" i="72"/>
  <c r="H140" i="72"/>
  <c r="K140" i="72"/>
  <c r="O144" i="72"/>
  <c r="G144" i="72"/>
  <c r="M144" i="72"/>
  <c r="R80" i="72"/>
  <c r="H106" i="72"/>
  <c r="H120" i="72"/>
  <c r="Q139" i="72"/>
  <c r="H139" i="72"/>
  <c r="G97" i="72"/>
  <c r="D138" i="72"/>
  <c r="I42" i="72"/>
  <c r="N63" i="72"/>
  <c r="I78" i="72"/>
  <c r="M93" i="72"/>
  <c r="Q107" i="72"/>
  <c r="H116" i="72"/>
  <c r="H122" i="72"/>
  <c r="N152" i="72"/>
  <c r="F91" i="72"/>
  <c r="L113" i="72"/>
  <c r="L139" i="72"/>
  <c r="M113" i="72"/>
  <c r="O127" i="72"/>
  <c r="G80" i="72"/>
  <c r="E94" i="72"/>
  <c r="O122" i="72"/>
  <c r="P99" i="72"/>
  <c r="G106" i="72"/>
  <c r="N113" i="72"/>
  <c r="E120" i="72"/>
  <c r="N138" i="72"/>
  <c r="Q113" i="72"/>
  <c r="K131" i="72"/>
  <c r="I92" i="72"/>
  <c r="I158" i="72"/>
  <c r="L161" i="72"/>
  <c r="E170" i="72"/>
  <c r="G160" i="72"/>
  <c r="Q188" i="72"/>
  <c r="L188" i="72"/>
  <c r="J157" i="72"/>
  <c r="G175" i="72"/>
  <c r="R158" i="72"/>
  <c r="N137" i="72"/>
  <c r="G156" i="72"/>
  <c r="F176" i="72"/>
  <c r="D186" i="72"/>
  <c r="R148" i="72"/>
  <c r="G159" i="72"/>
  <c r="H190" i="72"/>
  <c r="N160" i="72"/>
  <c r="H141" i="72"/>
  <c r="N153" i="72"/>
  <c r="E161" i="72"/>
  <c r="G172" i="72"/>
  <c r="N176" i="72"/>
  <c r="F204" i="72"/>
  <c r="H155" i="72"/>
  <c r="K156" i="72"/>
  <c r="Q165" i="72"/>
  <c r="D170" i="72"/>
  <c r="H173" i="72"/>
  <c r="M191" i="72"/>
  <c r="D181" i="72"/>
  <c r="H185" i="72"/>
  <c r="P193" i="72"/>
  <c r="F182" i="72"/>
  <c r="I201" i="72"/>
  <c r="N206" i="72"/>
  <c r="I212" i="72"/>
  <c r="J212" i="72"/>
  <c r="K228" i="72"/>
  <c r="M203" i="72"/>
  <c r="K184" i="72"/>
  <c r="K200" i="72"/>
  <c r="P205" i="72"/>
  <c r="I231" i="72"/>
  <c r="Q231" i="72"/>
  <c r="M231" i="72"/>
  <c r="N214" i="72"/>
  <c r="D225" i="72"/>
  <c r="E192" i="72"/>
  <c r="P203" i="72"/>
  <c r="Q202" i="72"/>
  <c r="E210" i="72"/>
  <c r="G215" i="72"/>
  <c r="G228" i="72"/>
  <c r="L177" i="72"/>
  <c r="D185" i="72"/>
  <c r="L193" i="72"/>
  <c r="D201" i="72"/>
  <c r="I206" i="72"/>
  <c r="Q210" i="72"/>
  <c r="P225" i="72"/>
  <c r="E185" i="72"/>
  <c r="M193" i="72"/>
  <c r="P230" i="72"/>
  <c r="Q180" i="72"/>
  <c r="G202" i="72"/>
  <c r="Q215" i="72"/>
  <c r="D222" i="72"/>
  <c r="Q265" i="72"/>
  <c r="J270" i="72"/>
  <c r="D270" i="72"/>
  <c r="M273" i="72"/>
  <c r="H273" i="72"/>
  <c r="I242" i="72"/>
  <c r="R265" i="72"/>
  <c r="Q899" i="72"/>
  <c r="H939" i="72"/>
  <c r="H989" i="72"/>
  <c r="I989" i="72"/>
  <c r="L989" i="72"/>
  <c r="L981" i="72"/>
  <c r="G1041" i="72"/>
  <c r="J1077" i="72"/>
  <c r="O1101" i="72"/>
  <c r="E1065" i="72"/>
  <c r="K61" i="72"/>
  <c r="K46" i="72"/>
  <c r="Q18" i="72"/>
  <c r="L29" i="72"/>
  <c r="P61" i="72"/>
  <c r="L52" i="72"/>
  <c r="G104" i="72"/>
  <c r="R71" i="72"/>
  <c r="R116" i="72"/>
  <c r="R122" i="72"/>
  <c r="N135" i="72"/>
  <c r="N88" i="72"/>
  <c r="I97" i="72"/>
  <c r="I104" i="72"/>
  <c r="I111" i="72"/>
  <c r="O119" i="72"/>
  <c r="Q144" i="72"/>
  <c r="O98" i="72"/>
  <c r="M112" i="72"/>
  <c r="I47" i="72"/>
  <c r="K65" i="72"/>
  <c r="G75" i="72"/>
  <c r="P91" i="72"/>
  <c r="Q112" i="72"/>
  <c r="K118" i="72"/>
  <c r="L126" i="72"/>
  <c r="G129" i="72"/>
  <c r="H93" i="72"/>
  <c r="J126" i="72"/>
  <c r="M104" i="72"/>
  <c r="F113" i="72"/>
  <c r="G71" i="72"/>
  <c r="K82" i="72"/>
  <c r="D87" i="72"/>
  <c r="K94" i="72"/>
  <c r="E152" i="72"/>
  <c r="H138" i="72"/>
  <c r="J43" i="72"/>
  <c r="O64" i="72"/>
  <c r="I71" i="72"/>
  <c r="R87" i="72"/>
  <c r="J99" i="72"/>
  <c r="K103" i="72"/>
  <c r="J113" i="72"/>
  <c r="K130" i="72"/>
  <c r="H127" i="72"/>
  <c r="H152" i="72"/>
  <c r="J152" i="72"/>
  <c r="G105" i="72"/>
  <c r="N127" i="72"/>
  <c r="M140" i="72"/>
  <c r="H105" i="72"/>
  <c r="F131" i="72"/>
  <c r="D65" i="72"/>
  <c r="O89" i="72"/>
  <c r="N99" i="72"/>
  <c r="N106" i="72"/>
  <c r="O113" i="72"/>
  <c r="O120" i="72"/>
  <c r="H135" i="72"/>
  <c r="D97" i="72"/>
  <c r="D104" i="72"/>
  <c r="D111" i="72"/>
  <c r="E118" i="72"/>
  <c r="Q127" i="72"/>
  <c r="H131" i="72"/>
  <c r="M135" i="72"/>
  <c r="E64" i="72"/>
  <c r="K78" i="72"/>
  <c r="K105" i="72"/>
  <c r="Q120" i="72"/>
  <c r="I128" i="72"/>
  <c r="D132" i="72"/>
  <c r="I108" i="72"/>
  <c r="N141" i="72"/>
  <c r="H151" i="72"/>
  <c r="M165" i="72"/>
  <c r="E157" i="72"/>
  <c r="H170" i="72"/>
  <c r="M141" i="72"/>
  <c r="E149" i="72"/>
  <c r="K158" i="72"/>
  <c r="K174" i="72"/>
  <c r="N174" i="72"/>
  <c r="N158" i="72"/>
  <c r="L175" i="72"/>
  <c r="O175" i="72"/>
  <c r="G188" i="72"/>
  <c r="D176" i="72"/>
  <c r="J160" i="72"/>
  <c r="L176" i="72"/>
  <c r="O176" i="72"/>
  <c r="N143" i="72"/>
  <c r="P164" i="72"/>
  <c r="R170" i="72"/>
  <c r="K171" i="72"/>
  <c r="K186" i="72"/>
  <c r="K101" i="72"/>
  <c r="E141" i="72"/>
  <c r="G149" i="72"/>
  <c r="J154" i="72"/>
  <c r="N171" i="72"/>
  <c r="L157" i="72"/>
  <c r="P190" i="72"/>
  <c r="L190" i="72"/>
  <c r="D161" i="72"/>
  <c r="J176" i="72"/>
  <c r="F158" i="72"/>
  <c r="P204" i="72"/>
  <c r="L204" i="72"/>
  <c r="P145" i="72"/>
  <c r="E169" i="72"/>
  <c r="H169" i="72"/>
  <c r="R142" i="72"/>
  <c r="R150" i="72"/>
  <c r="E187" i="72"/>
  <c r="M187" i="72"/>
  <c r="I187" i="72"/>
  <c r="H202" i="72"/>
  <c r="H209" i="72"/>
  <c r="K216" i="72"/>
  <c r="E166" i="72"/>
  <c r="G200" i="72"/>
  <c r="L205" i="72"/>
  <c r="O211" i="72"/>
  <c r="P219" i="72"/>
  <c r="G167" i="72"/>
  <c r="O191" i="72"/>
  <c r="E197" i="72"/>
  <c r="F181" i="72"/>
  <c r="P191" i="72"/>
  <c r="I200" i="72"/>
  <c r="N205" i="72"/>
  <c r="F214" i="72"/>
  <c r="F226" i="72"/>
  <c r="L226" i="72"/>
  <c r="I209" i="72"/>
  <c r="I225" i="72"/>
  <c r="H225" i="72"/>
  <c r="R214" i="72"/>
  <c r="O215" i="72"/>
  <c r="D202" i="72"/>
  <c r="K215" i="72"/>
  <c r="M228" i="72"/>
  <c r="J211" i="72"/>
  <c r="P196" i="72"/>
  <c r="G203" i="72"/>
  <c r="R210" i="72"/>
  <c r="K211" i="72"/>
  <c r="Q225" i="72"/>
  <c r="H230" i="72"/>
  <c r="E184" i="72"/>
  <c r="H203" i="72"/>
  <c r="R225" i="72"/>
  <c r="N232" i="72"/>
  <c r="D238" i="72"/>
  <c r="H242" i="72"/>
  <c r="L246" i="72"/>
  <c r="P250" i="72"/>
  <c r="F256" i="72"/>
  <c r="K227" i="72"/>
  <c r="Q260" i="72"/>
  <c r="I260" i="72"/>
  <c r="L227" i="72"/>
  <c r="I240" i="72"/>
  <c r="M244" i="72"/>
  <c r="D251" i="72"/>
  <c r="N275" i="72"/>
  <c r="I275" i="72"/>
  <c r="J258" i="72"/>
  <c r="O563" i="72"/>
  <c r="I810" i="72"/>
  <c r="N839" i="72"/>
  <c r="E885" i="72"/>
  <c r="R1013" i="72"/>
  <c r="K946" i="72"/>
  <c r="D944" i="72"/>
  <c r="E997" i="72"/>
  <c r="F997" i="72"/>
  <c r="Q950" i="72"/>
  <c r="P1100" i="72"/>
  <c r="R1034" i="72"/>
  <c r="M30" i="72"/>
  <c r="I68" i="72"/>
  <c r="D46" i="72"/>
  <c r="H61" i="72"/>
  <c r="J34" i="72"/>
  <c r="D68" i="72"/>
  <c r="G111" i="72"/>
  <c r="K80" i="72"/>
  <c r="H111" i="72"/>
  <c r="H118" i="72"/>
  <c r="F126" i="72"/>
  <c r="M53" i="72"/>
  <c r="I65" i="72"/>
  <c r="E75" i="72"/>
  <c r="K83" i="72"/>
  <c r="J94" i="72"/>
  <c r="P128" i="72"/>
  <c r="M132" i="72"/>
  <c r="M83" i="72"/>
  <c r="G93" i="72"/>
  <c r="K104" i="72"/>
  <c r="D113" i="72"/>
  <c r="G123" i="72"/>
  <c r="O73" i="72"/>
  <c r="M80" i="72"/>
  <c r="R105" i="72"/>
  <c r="M118" i="72"/>
  <c r="I83" i="72"/>
  <c r="I93" i="72"/>
  <c r="O121" i="72"/>
  <c r="N132" i="72"/>
  <c r="F140" i="72"/>
  <c r="J140" i="72"/>
  <c r="J144" i="72"/>
  <c r="F144" i="72"/>
  <c r="L144" i="72"/>
  <c r="N90" i="72"/>
  <c r="O97" i="72"/>
  <c r="O111" i="72"/>
  <c r="M121" i="72"/>
  <c r="G139" i="72"/>
  <c r="P139" i="72"/>
  <c r="N97" i="72"/>
  <c r="E111" i="72"/>
  <c r="I127" i="72"/>
  <c r="N47" i="72"/>
  <c r="F88" i="72"/>
  <c r="R94" i="72"/>
  <c r="Q104" i="72"/>
  <c r="H107" i="72"/>
  <c r="Q118" i="72"/>
  <c r="Q126" i="72"/>
  <c r="M152" i="72"/>
  <c r="Q75" i="72"/>
  <c r="H82" i="72"/>
  <c r="O93" i="72"/>
  <c r="E131" i="72"/>
  <c r="J93" i="72"/>
  <c r="H69" i="72"/>
  <c r="R82" i="72"/>
  <c r="G115" i="72"/>
  <c r="G122" i="72"/>
  <c r="M138" i="72"/>
  <c r="G83" i="72"/>
  <c r="E97" i="72"/>
  <c r="J116" i="72"/>
  <c r="D121" i="72"/>
  <c r="J125" i="72"/>
  <c r="R153" i="72"/>
  <c r="O169" i="72"/>
  <c r="D188" i="72"/>
  <c r="Q161" i="72"/>
  <c r="K170" i="72"/>
  <c r="K155" i="72"/>
  <c r="N161" i="72"/>
  <c r="O188" i="72"/>
  <c r="K188" i="72"/>
  <c r="Q158" i="72"/>
  <c r="F190" i="72"/>
  <c r="D141" i="72"/>
  <c r="H145" i="72"/>
  <c r="G151" i="72"/>
  <c r="N157" i="72"/>
  <c r="G186" i="72"/>
  <c r="K117" i="72"/>
  <c r="L160" i="72"/>
  <c r="I168" i="72"/>
  <c r="D172" i="72"/>
  <c r="K190" i="72"/>
  <c r="G190" i="72"/>
  <c r="O142" i="72"/>
  <c r="F155" i="72"/>
  <c r="K169" i="72"/>
  <c r="M172" i="72"/>
  <c r="F150" i="72"/>
  <c r="I204" i="72"/>
  <c r="E204" i="72"/>
  <c r="G148" i="72"/>
  <c r="E143" i="72"/>
  <c r="Q153" i="72"/>
  <c r="H158" i="72"/>
  <c r="P165" i="72"/>
  <c r="O172" i="72"/>
  <c r="N173" i="72"/>
  <c r="F184" i="72"/>
  <c r="N192" i="72"/>
  <c r="E182" i="72"/>
  <c r="L189" i="72"/>
  <c r="F212" i="72"/>
  <c r="Q219" i="72"/>
  <c r="Q177" i="72"/>
  <c r="G183" i="72"/>
  <c r="J202" i="72"/>
  <c r="K209" i="72"/>
  <c r="L216" i="72"/>
  <c r="G212" i="72"/>
  <c r="K185" i="72"/>
  <c r="P206" i="72"/>
  <c r="L185" i="72"/>
  <c r="L201" i="72"/>
  <c r="Q206" i="72"/>
  <c r="L231" i="72"/>
  <c r="F231" i="72"/>
  <c r="P231" i="72"/>
  <c r="L214" i="72"/>
  <c r="M200" i="72"/>
  <c r="E206" i="72"/>
  <c r="O210" i="72"/>
  <c r="O225" i="72"/>
  <c r="F228" i="72"/>
  <c r="O180" i="72"/>
  <c r="H189" i="72"/>
  <c r="O196" i="72"/>
  <c r="E202" i="72"/>
  <c r="M177" i="72"/>
  <c r="J606" i="72"/>
  <c r="M706" i="72"/>
  <c r="E712" i="72"/>
  <c r="L931" i="72"/>
  <c r="D1006" i="72"/>
  <c r="L1030" i="72"/>
  <c r="E1079" i="72"/>
  <c r="H988" i="72"/>
  <c r="D989" i="72"/>
  <c r="M66" i="72"/>
  <c r="P32" i="72"/>
  <c r="J36" i="72"/>
  <c r="P79" i="72"/>
  <c r="E31" i="72"/>
  <c r="I20" i="72"/>
  <c r="J9" i="72"/>
  <c r="O32" i="72"/>
  <c r="L70" i="72"/>
  <c r="P116" i="72"/>
  <c r="E88" i="72"/>
  <c r="N98" i="72"/>
  <c r="N105" i="72"/>
  <c r="O112" i="72"/>
  <c r="H121" i="72"/>
  <c r="Q131" i="72"/>
  <c r="Q91" i="72"/>
  <c r="O105" i="72"/>
  <c r="M119" i="72"/>
  <c r="O53" i="72"/>
  <c r="O69" i="72"/>
  <c r="Q119" i="72"/>
  <c r="R128" i="72"/>
  <c r="F129" i="72"/>
  <c r="N83" i="72"/>
  <c r="L97" i="72"/>
  <c r="E106" i="72"/>
  <c r="G126" i="72"/>
  <c r="L132" i="72"/>
  <c r="N118" i="72"/>
  <c r="R73" i="72"/>
  <c r="Q83" i="72"/>
  <c r="O126" i="72"/>
  <c r="P90" i="72"/>
  <c r="P138" i="72"/>
  <c r="G138" i="72"/>
  <c r="D53" i="72"/>
  <c r="P65" i="72"/>
  <c r="M82" i="72"/>
  <c r="F95" i="72"/>
  <c r="D105" i="72"/>
  <c r="F109" i="72"/>
  <c r="E119" i="72"/>
  <c r="J127" i="72"/>
  <c r="H130" i="72"/>
  <c r="E138" i="72"/>
  <c r="E127" i="72"/>
  <c r="G152" i="72"/>
  <c r="I152" i="72"/>
  <c r="R152" i="72"/>
  <c r="Q64" i="72"/>
  <c r="L106" i="72"/>
  <c r="G119" i="72"/>
  <c r="L86" i="72"/>
  <c r="M106" i="72"/>
  <c r="H119" i="72"/>
  <c r="N71" i="72"/>
  <c r="E83" i="72"/>
  <c r="F89" i="72"/>
  <c r="F96" i="72"/>
  <c r="M103" i="72"/>
  <c r="D110" i="72"/>
  <c r="N139" i="72"/>
  <c r="J98" i="72"/>
  <c r="J105" i="72"/>
  <c r="J112" i="72"/>
  <c r="J119" i="72"/>
  <c r="O131" i="72"/>
  <c r="P131" i="72"/>
  <c r="L135" i="72"/>
  <c r="M71" i="72"/>
  <c r="Q106" i="72"/>
  <c r="F128" i="72"/>
  <c r="J135" i="72"/>
  <c r="F143" i="72"/>
  <c r="L155" i="72"/>
  <c r="O159" i="72"/>
  <c r="G170" i="72"/>
  <c r="J158" i="72"/>
  <c r="L141" i="72"/>
  <c r="D149" i="72"/>
  <c r="E160" i="72"/>
  <c r="J174" i="72"/>
  <c r="M174" i="72"/>
  <c r="N170" i="72"/>
  <c r="M158" i="72"/>
  <c r="K175" i="72"/>
  <c r="N175" i="72"/>
  <c r="F188" i="72"/>
  <c r="I160" i="72"/>
  <c r="K176" i="72"/>
  <c r="R190" i="72"/>
  <c r="O164" i="72"/>
  <c r="G171" i="72"/>
  <c r="J171" i="72"/>
  <c r="O186" i="72"/>
  <c r="J186" i="72"/>
  <c r="K133" i="72"/>
  <c r="J142" i="72"/>
  <c r="L150" i="72"/>
  <c r="I154" i="72"/>
  <c r="O190" i="72"/>
  <c r="E155" i="72"/>
  <c r="L145" i="72"/>
  <c r="N142" i="72"/>
  <c r="R160" i="72"/>
  <c r="O204" i="72"/>
  <c r="K204" i="72"/>
  <c r="G158" i="72"/>
  <c r="D169" i="72"/>
  <c r="I155" i="72"/>
  <c r="H187" i="72"/>
  <c r="D187" i="72"/>
  <c r="L187" i="72"/>
  <c r="I203" i="72"/>
  <c r="E216" i="72"/>
  <c r="F167" i="72"/>
  <c r="D197" i="72"/>
  <c r="H201" i="72"/>
  <c r="M206" i="72"/>
  <c r="N219" i="72"/>
  <c r="H184" i="72"/>
  <c r="P192" i="72"/>
  <c r="F198" i="72"/>
  <c r="J219" i="72"/>
  <c r="I184" i="72"/>
  <c r="Q192" i="72"/>
  <c r="J201" i="72"/>
  <c r="O206" i="72"/>
  <c r="E226" i="72"/>
  <c r="K226" i="72"/>
  <c r="G209" i="72"/>
  <c r="K214" i="72"/>
  <c r="N225" i="72"/>
  <c r="G225" i="72"/>
  <c r="Q209" i="72"/>
  <c r="L215" i="72"/>
  <c r="M215" i="72"/>
  <c r="E203" i="72"/>
  <c r="L228" i="72"/>
  <c r="P180" i="72"/>
  <c r="D200" i="72"/>
  <c r="I205" i="72"/>
  <c r="H211" i="72"/>
  <c r="I211" i="72"/>
  <c r="K230" i="72"/>
  <c r="E230" i="72"/>
  <c r="J189" i="72"/>
  <c r="K206" i="72"/>
  <c r="O217" i="72"/>
  <c r="F224" i="72"/>
  <c r="O233" i="72"/>
  <c r="E239" i="72"/>
  <c r="I243" i="72"/>
  <c r="M247" i="72"/>
  <c r="Q251" i="72"/>
  <c r="M257" i="72"/>
  <c r="D273" i="72"/>
  <c r="M246" i="72"/>
  <c r="M229" i="72"/>
  <c r="F254" i="72"/>
  <c r="P260" i="72"/>
  <c r="Q232" i="72"/>
  <c r="J241" i="72"/>
  <c r="O246" i="72"/>
  <c r="G254" i="72"/>
  <c r="L275" i="72"/>
  <c r="H275" i="72"/>
  <c r="G856" i="72"/>
  <c r="K1005" i="72"/>
  <c r="O1079" i="72"/>
  <c r="N24" i="72"/>
  <c r="N112" i="72"/>
  <c r="Q105" i="72"/>
  <c r="H86" i="72"/>
  <c r="F106" i="72"/>
  <c r="K144" i="72"/>
  <c r="J139" i="72"/>
  <c r="H114" i="72"/>
  <c r="Q152" i="72"/>
  <c r="K98" i="72"/>
  <c r="M164" i="72"/>
  <c r="R175" i="72"/>
  <c r="H204" i="72"/>
  <c r="O145" i="72"/>
  <c r="N191" i="72"/>
  <c r="G214" i="72"/>
  <c r="F225" i="72"/>
  <c r="P197" i="72"/>
  <c r="F209" i="72"/>
  <c r="J273" i="72"/>
  <c r="O247" i="72"/>
  <c r="Q247" i="72"/>
  <c r="L207" i="72"/>
  <c r="D247" i="72"/>
  <c r="K254" i="72"/>
  <c r="I235" i="72"/>
  <c r="E247" i="72"/>
  <c r="P241" i="72"/>
  <c r="J264" i="72"/>
  <c r="E227" i="72"/>
  <c r="F243" i="72"/>
  <c r="J247" i="72"/>
  <c r="Q254" i="72"/>
  <c r="J265" i="72"/>
  <c r="H227" i="72"/>
  <c r="G242" i="72"/>
  <c r="O250" i="72"/>
  <c r="M259" i="72"/>
  <c r="J261" i="72"/>
  <c r="D271" i="72"/>
  <c r="K278" i="72"/>
  <c r="O282" i="72"/>
  <c r="O298" i="72"/>
  <c r="K261" i="72"/>
  <c r="Q267" i="72"/>
  <c r="K277" i="72"/>
  <c r="O281" i="72"/>
  <c r="E287" i="72"/>
  <c r="I291" i="72"/>
  <c r="G305" i="72"/>
  <c r="K309" i="72"/>
  <c r="O313" i="72"/>
  <c r="Q320" i="72"/>
  <c r="Q282" i="72"/>
  <c r="G304" i="72"/>
  <c r="K308" i="72"/>
  <c r="R320" i="72"/>
  <c r="Q297" i="72"/>
  <c r="J306" i="72"/>
  <c r="P312" i="72"/>
  <c r="M291" i="72"/>
  <c r="E266" i="72"/>
  <c r="D297" i="72"/>
  <c r="D313" i="72"/>
  <c r="K287" i="72"/>
  <c r="O291" i="72"/>
  <c r="E297" i="72"/>
  <c r="L304" i="72"/>
  <c r="P308" i="72"/>
  <c r="E280" i="72"/>
  <c r="L287" i="72"/>
  <c r="N305" i="72"/>
  <c r="D311" i="72"/>
  <c r="K318" i="72"/>
  <c r="Q291" i="72"/>
  <c r="Q307" i="72"/>
  <c r="H296" i="72"/>
  <c r="I280" i="72"/>
  <c r="O302" i="72"/>
  <c r="I263" i="72"/>
  <c r="K281" i="72"/>
  <c r="K297" i="72"/>
  <c r="L281" i="72"/>
  <c r="L297" i="72"/>
  <c r="K312" i="72"/>
  <c r="K328" i="72"/>
  <c r="O332" i="72"/>
  <c r="O364" i="72"/>
  <c r="M378" i="72"/>
  <c r="N330" i="72"/>
  <c r="D336" i="72"/>
  <c r="J342" i="72"/>
  <c r="O379" i="72"/>
  <c r="O440" i="72"/>
  <c r="K440" i="72"/>
  <c r="G440" i="72"/>
  <c r="H323" i="72"/>
  <c r="N329" i="72"/>
  <c r="E336" i="72"/>
  <c r="P379" i="72"/>
  <c r="H387" i="72"/>
  <c r="L391" i="72"/>
  <c r="O345" i="72"/>
  <c r="L325" i="72"/>
  <c r="D332" i="72"/>
  <c r="O359" i="72"/>
  <c r="M373" i="72"/>
  <c r="M424" i="72"/>
  <c r="I424" i="72"/>
  <c r="E424" i="72"/>
  <c r="D379" i="72"/>
  <c r="J336" i="72"/>
  <c r="N356" i="72"/>
  <c r="N388" i="72"/>
  <c r="L321" i="72"/>
  <c r="P325" i="72"/>
  <c r="O356" i="72"/>
  <c r="L369" i="72"/>
  <c r="L336" i="72"/>
  <c r="N321" i="72"/>
  <c r="E375" i="72"/>
  <c r="K381" i="72"/>
  <c r="D390" i="72"/>
  <c r="Q394" i="72"/>
  <c r="K364" i="72"/>
  <c r="D373" i="72"/>
  <c r="I378" i="72"/>
  <c r="N383" i="72"/>
  <c r="H328" i="72"/>
  <c r="J378" i="72"/>
  <c r="O383" i="72"/>
  <c r="G391" i="72"/>
  <c r="H391" i="72"/>
  <c r="O365" i="72"/>
  <c r="Q383" i="72"/>
  <c r="L408" i="72"/>
  <c r="H408" i="72"/>
  <c r="D408" i="72"/>
  <c r="J402" i="72"/>
  <c r="J450" i="72"/>
  <c r="O492" i="72"/>
  <c r="K492" i="72"/>
  <c r="G492" i="72"/>
  <c r="Q537" i="72"/>
  <c r="D537" i="72"/>
  <c r="M420" i="72"/>
  <c r="K434" i="72"/>
  <c r="L467" i="72"/>
  <c r="M418" i="72"/>
  <c r="I430" i="72"/>
  <c r="N435" i="72"/>
  <c r="H445" i="72"/>
  <c r="N451" i="72"/>
  <c r="I999" i="72"/>
  <c r="H66" i="72"/>
  <c r="M22" i="72"/>
  <c r="N119" i="72"/>
  <c r="K75" i="72"/>
  <c r="G98" i="72"/>
  <c r="F111" i="72"/>
  <c r="K134" i="72"/>
  <c r="F186" i="72"/>
  <c r="H168" i="72"/>
  <c r="D204" i="72"/>
  <c r="G185" i="72"/>
  <c r="P189" i="72"/>
  <c r="M225" i="72"/>
  <c r="F203" i="72"/>
  <c r="Q270" i="72"/>
  <c r="G273" i="72"/>
  <c r="F238" i="72"/>
  <c r="Q249" i="72"/>
  <c r="E251" i="72"/>
  <c r="P227" i="72"/>
  <c r="K238" i="72"/>
  <c r="O242" i="72"/>
  <c r="H258" i="72"/>
  <c r="J251" i="72"/>
  <c r="N264" i="72"/>
  <c r="K265" i="72"/>
  <c r="P265" i="72"/>
  <c r="E243" i="72"/>
  <c r="J248" i="72"/>
  <c r="L217" i="72"/>
  <c r="F227" i="72"/>
  <c r="Q238" i="72"/>
  <c r="J259" i="72"/>
  <c r="D224" i="72"/>
  <c r="D240" i="72"/>
  <c r="H244" i="72"/>
  <c r="O251" i="72"/>
  <c r="G276" i="72"/>
  <c r="P276" i="72"/>
  <c r="K276" i="72"/>
  <c r="J229" i="72"/>
  <c r="H243" i="72"/>
  <c r="P251" i="72"/>
  <c r="E260" i="72"/>
  <c r="G290" i="72"/>
  <c r="F305" i="72"/>
  <c r="J309" i="72"/>
  <c r="N313" i="72"/>
  <c r="N296" i="72"/>
  <c r="L261" i="72"/>
  <c r="F271" i="72"/>
  <c r="M278" i="72"/>
  <c r="H289" i="72"/>
  <c r="L293" i="72"/>
  <c r="Q298" i="72"/>
  <c r="P313" i="72"/>
  <c r="G271" i="72"/>
  <c r="F286" i="72"/>
  <c r="K291" i="72"/>
  <c r="Q280" i="72"/>
  <c r="L291" i="72"/>
  <c r="J305" i="72"/>
  <c r="Q312" i="72"/>
  <c r="E282" i="72"/>
  <c r="M290" i="72"/>
  <c r="M306" i="72"/>
  <c r="M320" i="72"/>
  <c r="H320" i="72"/>
  <c r="D320" i="72"/>
  <c r="L272" i="72"/>
  <c r="E281" i="72"/>
  <c r="F314" i="72"/>
  <c r="L271" i="72"/>
  <c r="Q292" i="72"/>
  <c r="G298" i="72"/>
  <c r="N286" i="72"/>
  <c r="L266" i="72"/>
  <c r="E291" i="72"/>
  <c r="E307" i="72"/>
  <c r="K313" i="72"/>
  <c r="Q286" i="72"/>
  <c r="Q302" i="72"/>
  <c r="L313" i="72"/>
  <c r="F323" i="72"/>
  <c r="K360" i="72"/>
  <c r="H373" i="72"/>
  <c r="D385" i="72"/>
  <c r="E321" i="72"/>
  <c r="I325" i="72"/>
  <c r="L360" i="72"/>
  <c r="Q365" i="72"/>
  <c r="I373" i="72"/>
  <c r="H388" i="72"/>
  <c r="L392" i="72"/>
  <c r="M394" i="72"/>
  <c r="I394" i="72"/>
  <c r="Q440" i="72"/>
  <c r="J357" i="72"/>
  <c r="P363" i="72"/>
  <c r="J373" i="72"/>
  <c r="I323" i="72"/>
  <c r="N328" i="72"/>
  <c r="M359" i="72"/>
  <c r="L374" i="72"/>
  <c r="Q379" i="72"/>
  <c r="H386" i="72"/>
  <c r="L390" i="72"/>
  <c r="H321" i="72"/>
  <c r="L373" i="72"/>
  <c r="L389" i="72"/>
  <c r="J322" i="72"/>
  <c r="N326" i="72"/>
  <c r="Q345" i="72"/>
  <c r="I369" i="72"/>
  <c r="F382" i="72"/>
  <c r="K387" i="72"/>
  <c r="O391" i="72"/>
  <c r="O456" i="72"/>
  <c r="K456" i="72"/>
  <c r="G456" i="72"/>
  <c r="L323" i="72"/>
  <c r="P359" i="72"/>
  <c r="N373" i="72"/>
  <c r="K386" i="72"/>
  <c r="O390" i="72"/>
  <c r="D378" i="72"/>
  <c r="G332" i="72"/>
  <c r="M338" i="72"/>
  <c r="M321" i="72"/>
  <c r="Q325" i="72"/>
  <c r="H332" i="72"/>
  <c r="M369" i="72"/>
  <c r="F329" i="72"/>
  <c r="G329" i="72"/>
  <c r="F360" i="72"/>
  <c r="P321" i="72"/>
  <c r="J331" i="72"/>
  <c r="O336" i="72"/>
  <c r="O352" i="72"/>
  <c r="F359" i="72"/>
  <c r="E390" i="72"/>
  <c r="M333" i="72"/>
  <c r="F358" i="72"/>
  <c r="K363" i="72"/>
  <c r="E373" i="72"/>
  <c r="G373" i="72"/>
  <c r="D386" i="72"/>
  <c r="J418" i="72"/>
  <c r="I433" i="72"/>
  <c r="M437" i="72"/>
  <c r="E445" i="72"/>
  <c r="Q457" i="72"/>
  <c r="Q492" i="72"/>
  <c r="K537" i="72"/>
  <c r="P537" i="72"/>
  <c r="P407" i="72"/>
  <c r="G430" i="72"/>
  <c r="P439" i="72"/>
  <c r="I462" i="72"/>
  <c r="N467" i="72"/>
  <c r="P826" i="72"/>
  <c r="O1045" i="72"/>
  <c r="H41" i="72"/>
  <c r="J132" i="72"/>
  <c r="D120" i="72"/>
  <c r="N121" i="72"/>
  <c r="J86" i="72"/>
  <c r="H75" i="72"/>
  <c r="Q116" i="72"/>
  <c r="I142" i="72"/>
  <c r="M175" i="72"/>
  <c r="R157" i="72"/>
  <c r="Q212" i="72"/>
  <c r="M202" i="72"/>
  <c r="M184" i="72"/>
  <c r="M208" i="72"/>
  <c r="P270" i="72"/>
  <c r="F273" i="72"/>
  <c r="G239" i="72"/>
  <c r="E258" i="72"/>
  <c r="J221" i="72"/>
  <c r="E248" i="72"/>
  <c r="L255" i="72"/>
  <c r="O241" i="72"/>
  <c r="Q242" i="72"/>
  <c r="E264" i="72"/>
  <c r="J232" i="72"/>
  <c r="G244" i="72"/>
  <c r="K248" i="72"/>
  <c r="M232" i="72"/>
  <c r="I244" i="72"/>
  <c r="D255" i="72"/>
  <c r="K262" i="72"/>
  <c r="E272" i="72"/>
  <c r="L279" i="72"/>
  <c r="L295" i="72"/>
  <c r="P299" i="72"/>
  <c r="L262" i="72"/>
  <c r="E271" i="72"/>
  <c r="L278" i="72"/>
  <c r="P282" i="72"/>
  <c r="F288" i="72"/>
  <c r="J292" i="72"/>
  <c r="D302" i="72"/>
  <c r="H306" i="72"/>
  <c r="L310" i="72"/>
  <c r="P314" i="72"/>
  <c r="M262" i="72"/>
  <c r="N279" i="72"/>
  <c r="H305" i="72"/>
  <c r="L309" i="72"/>
  <c r="F302" i="72"/>
  <c r="K307" i="72"/>
  <c r="Q313" i="72"/>
  <c r="H302" i="72"/>
  <c r="J271" i="72"/>
  <c r="I318" i="72"/>
  <c r="L288" i="72"/>
  <c r="P292" i="72"/>
  <c r="F298" i="72"/>
  <c r="M305" i="72"/>
  <c r="Q309" i="72"/>
  <c r="F281" i="72"/>
  <c r="M288" i="72"/>
  <c r="O306" i="72"/>
  <c r="E312" i="72"/>
  <c r="F280" i="72"/>
  <c r="F296" i="72"/>
  <c r="F312" i="72"/>
  <c r="N302" i="72"/>
  <c r="H312" i="72"/>
  <c r="O286" i="72"/>
  <c r="D307" i="72"/>
  <c r="Q271" i="72"/>
  <c r="L282" i="72"/>
  <c r="L298" i="72"/>
  <c r="D289" i="72"/>
  <c r="D305" i="72"/>
  <c r="Q318" i="72"/>
  <c r="L329" i="72"/>
  <c r="P333" i="72"/>
  <c r="P365" i="72"/>
  <c r="N379" i="72"/>
  <c r="O331" i="72"/>
  <c r="N440" i="72"/>
  <c r="J440" i="72"/>
  <c r="F440" i="72"/>
  <c r="I324" i="72"/>
  <c r="O330" i="72"/>
  <c r="G338" i="72"/>
  <c r="I388" i="72"/>
  <c r="M392" i="72"/>
  <c r="J340" i="72"/>
  <c r="G369" i="72"/>
  <c r="M326" i="72"/>
  <c r="L357" i="72"/>
  <c r="P360" i="72"/>
  <c r="N374" i="72"/>
  <c r="L424" i="72"/>
  <c r="H424" i="72"/>
  <c r="D424" i="72"/>
  <c r="Q456" i="72"/>
  <c r="I336" i="72"/>
  <c r="Q344" i="72"/>
  <c r="J369" i="72"/>
  <c r="F381" i="72"/>
  <c r="O357" i="72"/>
  <c r="O373" i="72"/>
  <c r="K385" i="72"/>
  <c r="O389" i="72"/>
  <c r="M322" i="72"/>
  <c r="Q326" i="72"/>
  <c r="P357" i="72"/>
  <c r="P373" i="72"/>
  <c r="D328" i="72"/>
  <c r="O322" i="72"/>
  <c r="N336" i="72"/>
  <c r="O369" i="72"/>
  <c r="L382" i="72"/>
  <c r="E391" i="72"/>
  <c r="L365" i="72"/>
  <c r="E374" i="72"/>
  <c r="J379" i="72"/>
  <c r="P385" i="72"/>
  <c r="I329" i="72"/>
  <c r="K379" i="72"/>
  <c r="Q385" i="72"/>
  <c r="I328" i="72"/>
  <c r="F373" i="72"/>
  <c r="G357" i="72"/>
  <c r="H374" i="72"/>
  <c r="E387" i="72"/>
  <c r="O408" i="72"/>
  <c r="K408" i="72"/>
  <c r="G408" i="72"/>
  <c r="K451" i="72"/>
  <c r="N492" i="72"/>
  <c r="J492" i="72"/>
  <c r="F492" i="72"/>
  <c r="N537" i="72"/>
  <c r="I416" i="72"/>
  <c r="L435" i="72"/>
  <c r="K450" i="72"/>
  <c r="F395" i="72"/>
  <c r="N419" i="72"/>
  <c r="K432" i="72"/>
  <c r="O436" i="72"/>
  <c r="J447" i="72"/>
  <c r="D457" i="72"/>
  <c r="J925" i="72"/>
  <c r="J1019" i="72"/>
  <c r="R1066" i="72"/>
  <c r="M52" i="72"/>
  <c r="H48" i="72"/>
  <c r="Q123" i="72"/>
  <c r="R119" i="72"/>
  <c r="K93" i="72"/>
  <c r="L111" i="72"/>
  <c r="K89" i="72"/>
  <c r="O82" i="72"/>
  <c r="M116" i="72"/>
  <c r="J148" i="72"/>
  <c r="P161" i="72"/>
  <c r="N188" i="72"/>
  <c r="Q148" i="72"/>
  <c r="P160" i="72"/>
  <c r="E165" i="72"/>
  <c r="K203" i="72"/>
  <c r="O216" i="72"/>
  <c r="O209" i="72"/>
  <c r="N201" i="72"/>
  <c r="I228" i="72"/>
  <c r="N215" i="72"/>
  <c r="O230" i="72"/>
  <c r="I270" i="72"/>
  <c r="I241" i="72"/>
  <c r="M227" i="72"/>
  <c r="K222" i="72"/>
  <c r="E232" i="72"/>
  <c r="L239" i="72"/>
  <c r="P243" i="72"/>
  <c r="G258" i="72"/>
  <c r="M264" i="72"/>
  <c r="F265" i="72"/>
  <c r="O265" i="72"/>
  <c r="F244" i="72"/>
  <c r="M251" i="72"/>
  <c r="M218" i="72"/>
  <c r="K232" i="72"/>
  <c r="R258" i="72"/>
  <c r="I259" i="72"/>
  <c r="G227" i="72"/>
  <c r="E241" i="72"/>
  <c r="J246" i="72"/>
  <c r="D256" i="72"/>
  <c r="F276" i="72"/>
  <c r="O276" i="72"/>
  <c r="J276" i="72"/>
  <c r="N233" i="72"/>
  <c r="J245" i="72"/>
  <c r="E256" i="72"/>
  <c r="Q264" i="72"/>
  <c r="D287" i="72"/>
  <c r="H291" i="72"/>
  <c r="G306" i="72"/>
  <c r="K310" i="72"/>
  <c r="O314" i="72"/>
  <c r="O297" i="72"/>
  <c r="G272" i="72"/>
  <c r="E286" i="72"/>
  <c r="I290" i="72"/>
  <c r="N295" i="72"/>
  <c r="Q314" i="72"/>
  <c r="J274" i="72"/>
  <c r="G287" i="72"/>
  <c r="L292" i="72"/>
  <c r="G286" i="72"/>
  <c r="M292" i="72"/>
  <c r="K306" i="72"/>
  <c r="G318" i="72"/>
  <c r="I286" i="72"/>
  <c r="N291" i="72"/>
  <c r="I302" i="72"/>
  <c r="N307" i="72"/>
  <c r="L320" i="72"/>
  <c r="G320" i="72"/>
  <c r="N274" i="72"/>
  <c r="F282" i="72"/>
  <c r="J318" i="72"/>
  <c r="M272" i="72"/>
  <c r="N289" i="72"/>
  <c r="D295" i="72"/>
  <c r="K302" i="72"/>
  <c r="Q289" i="72"/>
  <c r="D274" i="72"/>
  <c r="P286" i="72"/>
  <c r="F292" i="72"/>
  <c r="P302" i="72"/>
  <c r="F308" i="72"/>
  <c r="L314" i="72"/>
  <c r="E290" i="72"/>
  <c r="E306" i="72"/>
  <c r="G291" i="72"/>
  <c r="G324" i="72"/>
  <c r="H357" i="72"/>
  <c r="I374" i="72"/>
  <c r="H389" i="72"/>
  <c r="F322" i="72"/>
  <c r="F338" i="72"/>
  <c r="I357" i="72"/>
  <c r="J374" i="72"/>
  <c r="E385" i="72"/>
  <c r="I389" i="72"/>
  <c r="L394" i="72"/>
  <c r="H394" i="72"/>
  <c r="P440" i="72"/>
  <c r="K358" i="72"/>
  <c r="Q364" i="72"/>
  <c r="K374" i="72"/>
  <c r="J324" i="72"/>
  <c r="O329" i="72"/>
  <c r="N360" i="72"/>
  <c r="M375" i="72"/>
  <c r="I387" i="72"/>
  <c r="M391" i="72"/>
  <c r="G336" i="72"/>
  <c r="M374" i="72"/>
  <c r="M390" i="72"/>
  <c r="K323" i="72"/>
  <c r="P328" i="72"/>
  <c r="G383" i="72"/>
  <c r="L388" i="72"/>
  <c r="N456" i="72"/>
  <c r="J456" i="72"/>
  <c r="F456" i="72"/>
  <c r="M324" i="72"/>
  <c r="Q360" i="72"/>
  <c r="O374" i="72"/>
  <c r="L387" i="72"/>
  <c r="P391" i="72"/>
  <c r="E379" i="72"/>
  <c r="N322" i="72"/>
  <c r="I333" i="72"/>
  <c r="N338" i="72"/>
  <c r="Q373" i="72"/>
  <c r="G330" i="72"/>
  <c r="O321" i="72"/>
  <c r="H378" i="72"/>
  <c r="G328" i="72"/>
  <c r="K332" i="72"/>
  <c r="Q338" i="72"/>
  <c r="G360" i="72"/>
  <c r="F391" i="72"/>
  <c r="N334" i="72"/>
  <c r="G359" i="72"/>
  <c r="L364" i="72"/>
  <c r="F374" i="72"/>
  <c r="J329" i="72"/>
  <c r="Q352" i="72"/>
  <c r="H358" i="72"/>
  <c r="I375" i="72"/>
  <c r="F388" i="72"/>
  <c r="Q408" i="72"/>
  <c r="K419" i="72"/>
  <c r="J434" i="72"/>
  <c r="J466" i="72"/>
  <c r="P492" i="72"/>
  <c r="H537" i="72"/>
  <c r="L537" i="72"/>
  <c r="F445" i="72"/>
  <c r="I414" i="72"/>
  <c r="O468" i="72"/>
  <c r="R1033" i="72"/>
  <c r="E38" i="72"/>
  <c r="P56" i="72"/>
  <c r="E140" i="72"/>
  <c r="G99" i="72"/>
  <c r="R132" i="72"/>
  <c r="F139" i="72"/>
  <c r="F98" i="72"/>
  <c r="G135" i="72"/>
  <c r="F122" i="72"/>
  <c r="J170" i="72"/>
  <c r="J188" i="72"/>
  <c r="F151" i="72"/>
  <c r="L134" i="72"/>
  <c r="J190" i="72"/>
  <c r="L172" i="72"/>
  <c r="J173" i="72"/>
  <c r="D214" i="72"/>
  <c r="K231" i="72"/>
  <c r="I210" i="72"/>
  <c r="N230" i="72"/>
  <c r="F270" i="72"/>
  <c r="J242" i="72"/>
  <c r="K241" i="72"/>
  <c r="L241" i="72"/>
  <c r="F249" i="72"/>
  <c r="M256" i="72"/>
  <c r="P242" i="72"/>
  <c r="O258" i="72"/>
  <c r="D264" i="72"/>
  <c r="R276" i="72"/>
  <c r="M235" i="72"/>
  <c r="D241" i="72"/>
  <c r="H245" i="72"/>
  <c r="L249" i="72"/>
  <c r="P235" i="72"/>
  <c r="K246" i="72"/>
  <c r="M265" i="72"/>
  <c r="L263" i="72"/>
  <c r="G274" i="72"/>
  <c r="M280" i="72"/>
  <c r="M296" i="72"/>
  <c r="M263" i="72"/>
  <c r="F272" i="72"/>
  <c r="M279" i="72"/>
  <c r="Q283" i="72"/>
  <c r="G289" i="72"/>
  <c r="K293" i="72"/>
  <c r="E303" i="72"/>
  <c r="I307" i="72"/>
  <c r="M311" i="72"/>
  <c r="Q315" i="72"/>
  <c r="N263" i="72"/>
  <c r="O280" i="72"/>
  <c r="E302" i="72"/>
  <c r="I306" i="72"/>
  <c r="M310" i="72"/>
  <c r="G303" i="72"/>
  <c r="L308" i="72"/>
  <c r="F318" i="72"/>
  <c r="M307" i="72"/>
  <c r="M274" i="72"/>
  <c r="F266" i="72"/>
  <c r="M289" i="72"/>
  <c r="Q293" i="72"/>
  <c r="J302" i="72"/>
  <c r="N306" i="72"/>
  <c r="O274" i="72"/>
  <c r="G282" i="72"/>
  <c r="P307" i="72"/>
  <c r="F313" i="72"/>
  <c r="L286" i="72"/>
  <c r="L302" i="72"/>
  <c r="L318" i="72"/>
  <c r="Q305" i="72"/>
  <c r="I313" i="72"/>
  <c r="D291" i="72"/>
  <c r="I312" i="72"/>
  <c r="P318" i="72"/>
  <c r="F291" i="72"/>
  <c r="F307" i="72"/>
  <c r="J320" i="72"/>
  <c r="M330" i="72"/>
  <c r="Q334" i="72"/>
  <c r="M362" i="72"/>
  <c r="L328" i="72"/>
  <c r="P332" i="72"/>
  <c r="E369" i="72"/>
  <c r="M440" i="72"/>
  <c r="I440" i="72"/>
  <c r="E440" i="72"/>
  <c r="F321" i="72"/>
  <c r="P331" i="72"/>
  <c r="F385" i="72"/>
  <c r="J389" i="72"/>
  <c r="D382" i="72"/>
  <c r="J323" i="72"/>
  <c r="O328" i="72"/>
  <c r="M358" i="72"/>
  <c r="N342" i="72"/>
  <c r="M357" i="72"/>
  <c r="Q361" i="72"/>
  <c r="K371" i="72"/>
  <c r="O375" i="72"/>
  <c r="O424" i="72"/>
  <c r="K424" i="72"/>
  <c r="G424" i="72"/>
  <c r="P456" i="72"/>
  <c r="K338" i="72"/>
  <c r="G382" i="72"/>
  <c r="P358" i="72"/>
  <c r="P374" i="72"/>
  <c r="L386" i="72"/>
  <c r="P390" i="72"/>
  <c r="N323" i="72"/>
  <c r="D329" i="72"/>
  <c r="O340" i="72"/>
  <c r="Q358" i="72"/>
  <c r="Q374" i="72"/>
  <c r="E329" i="72"/>
  <c r="P323" i="72"/>
  <c r="M336" i="72"/>
  <c r="J332" i="72"/>
  <c r="I363" i="72"/>
  <c r="F392" i="72"/>
  <c r="F375" i="72"/>
  <c r="L381" i="72"/>
  <c r="Q386" i="72"/>
  <c r="J330" i="72"/>
  <c r="M381" i="72"/>
  <c r="E389" i="72"/>
  <c r="M332" i="72"/>
  <c r="F357" i="72"/>
  <c r="F389" i="72"/>
  <c r="I359" i="72"/>
  <c r="L378" i="72"/>
  <c r="G389" i="72"/>
  <c r="N408" i="72"/>
  <c r="J408" i="72"/>
  <c r="F408" i="72"/>
  <c r="F414" i="72"/>
  <c r="F430" i="72"/>
  <c r="O439" i="72"/>
  <c r="G447" i="72"/>
  <c r="M492" i="72"/>
  <c r="I492" i="72"/>
  <c r="E492" i="72"/>
  <c r="R634" i="72"/>
  <c r="P1023" i="72"/>
  <c r="H1062" i="72"/>
  <c r="G74" i="72"/>
  <c r="M69" i="72"/>
  <c r="I140" i="72"/>
  <c r="H113" i="72"/>
  <c r="J100" i="72"/>
  <c r="G73" i="72"/>
  <c r="P127" i="72"/>
  <c r="Q138" i="72"/>
  <c r="J155" i="72"/>
  <c r="E190" i="72"/>
  <c r="M173" i="72"/>
  <c r="E231" i="72"/>
  <c r="I189" i="72"/>
  <c r="F185" i="72"/>
  <c r="Q217" i="72"/>
  <c r="K243" i="72"/>
  <c r="H257" i="72"/>
  <c r="L242" i="72"/>
  <c r="F275" i="72"/>
  <c r="M241" i="72"/>
  <c r="L223" i="72"/>
  <c r="F233" i="72"/>
  <c r="M240" i="72"/>
  <c r="Q244" i="72"/>
  <c r="K258" i="72"/>
  <c r="N276" i="72"/>
  <c r="E246" i="72"/>
  <c r="Q241" i="72"/>
  <c r="E265" i="72"/>
  <c r="N265" i="72"/>
  <c r="H246" i="72"/>
  <c r="R256" i="72"/>
  <c r="P221" i="72"/>
  <c r="L233" i="72"/>
  <c r="P259" i="72"/>
  <c r="H259" i="72"/>
  <c r="L232" i="72"/>
  <c r="F242" i="72"/>
  <c r="K247" i="72"/>
  <c r="D276" i="72"/>
  <c r="M276" i="72"/>
  <c r="I276" i="72"/>
  <c r="D239" i="72"/>
  <c r="L247" i="72"/>
  <c r="L257" i="72"/>
  <c r="E288" i="72"/>
  <c r="I292" i="72"/>
  <c r="D303" i="72"/>
  <c r="H307" i="72"/>
  <c r="L311" i="72"/>
  <c r="P298" i="72"/>
  <c r="I274" i="72"/>
  <c r="F287" i="72"/>
  <c r="J291" i="72"/>
  <c r="O296" i="72"/>
  <c r="N311" i="72"/>
  <c r="P280" i="72"/>
  <c r="I289" i="72"/>
  <c r="J289" i="72"/>
  <c r="Q296" i="72"/>
  <c r="L307" i="72"/>
  <c r="J287" i="72"/>
  <c r="O292" i="72"/>
  <c r="J303" i="72"/>
  <c r="O308" i="72"/>
  <c r="O320" i="72"/>
  <c r="K320" i="72"/>
  <c r="F320" i="72"/>
  <c r="Q277" i="72"/>
  <c r="D312" i="72"/>
  <c r="D263" i="72"/>
  <c r="O290" i="72"/>
  <c r="E296" i="72"/>
  <c r="L303" i="72"/>
  <c r="I279" i="72"/>
  <c r="Q287" i="72"/>
  <c r="I295" i="72"/>
  <c r="Q303" i="72"/>
  <c r="I311" i="72"/>
  <c r="D321" i="72"/>
  <c r="H325" i="72"/>
  <c r="I358" i="72"/>
  <c r="J375" i="72"/>
  <c r="P381" i="72"/>
  <c r="I390" i="72"/>
  <c r="G323" i="72"/>
  <c r="J358" i="72"/>
  <c r="O363" i="72"/>
  <c r="K375" i="72"/>
  <c r="F386" i="72"/>
  <c r="J390" i="72"/>
  <c r="O394" i="72"/>
  <c r="K394" i="72"/>
  <c r="L359" i="72"/>
  <c r="L375" i="72"/>
  <c r="G321" i="72"/>
  <c r="K325" i="72"/>
  <c r="F336" i="72"/>
  <c r="L342" i="72"/>
  <c r="K357" i="72"/>
  <c r="O377" i="72"/>
  <c r="J388" i="72"/>
  <c r="N392" i="72"/>
  <c r="N375" i="72"/>
  <c r="N391" i="72"/>
  <c r="L324" i="72"/>
  <c r="Q329" i="72"/>
  <c r="H336" i="72"/>
  <c r="I385" i="72"/>
  <c r="M389" i="72"/>
  <c r="Q424" i="72"/>
  <c r="M456" i="72"/>
  <c r="I456" i="72"/>
  <c r="E456" i="72"/>
  <c r="J321" i="72"/>
  <c r="N357" i="72"/>
  <c r="L371" i="72"/>
  <c r="P375" i="72"/>
  <c r="M388" i="72"/>
  <c r="Q392" i="72"/>
  <c r="K369" i="72"/>
  <c r="G381" i="72"/>
  <c r="O323" i="72"/>
  <c r="J334" i="72"/>
  <c r="Q389" i="72"/>
  <c r="H331" i="72"/>
  <c r="P322" i="72"/>
  <c r="P338" i="72"/>
  <c r="D358" i="72"/>
  <c r="I379" i="72"/>
  <c r="O385" i="72"/>
  <c r="H329" i="72"/>
  <c r="D357" i="72"/>
  <c r="P369" i="72"/>
  <c r="G392" i="72"/>
  <c r="K331" i="72"/>
  <c r="H360" i="72"/>
  <c r="G375" i="72"/>
  <c r="Q336" i="72"/>
  <c r="J360" i="72"/>
  <c r="M379" i="72"/>
  <c r="H390" i="72"/>
  <c r="P408" i="72"/>
  <c r="N406" i="72"/>
  <c r="L420" i="72"/>
  <c r="K435" i="72"/>
  <c r="K467" i="72"/>
  <c r="O537" i="72"/>
  <c r="G537" i="72"/>
  <c r="K418" i="72"/>
  <c r="K416" i="72"/>
  <c r="M694" i="72"/>
  <c r="R1063" i="72"/>
  <c r="Q11" i="72"/>
  <c r="Q122" i="72"/>
  <c r="N77" i="72"/>
  <c r="G132" i="72"/>
  <c r="G86" i="72"/>
  <c r="P83" i="72"/>
  <c r="I144" i="72"/>
  <c r="G127" i="72"/>
  <c r="P152" i="72"/>
  <c r="O140" i="72"/>
  <c r="E175" i="72"/>
  <c r="D148" i="72"/>
  <c r="E150" i="72"/>
  <c r="K201" i="72"/>
  <c r="O231" i="72"/>
  <c r="J210" i="72"/>
  <c r="P181" i="72"/>
  <c r="K191" i="72"/>
  <c r="L191" i="72"/>
  <c r="F222" i="72"/>
  <c r="M245" i="72"/>
  <c r="G257" i="72"/>
  <c r="M243" i="72"/>
  <c r="E275" i="72"/>
  <c r="H251" i="72"/>
  <c r="D246" i="72"/>
  <c r="J235" i="72"/>
  <c r="M258" i="72"/>
  <c r="Q258" i="72"/>
  <c r="Q222" i="72"/>
  <c r="E242" i="72"/>
  <c r="I246" i="72"/>
  <c r="N251" i="72"/>
  <c r="P264" i="72"/>
  <c r="N217" i="72"/>
  <c r="E240" i="72"/>
  <c r="M248" i="72"/>
  <c r="O266" i="72"/>
  <c r="J277" i="72"/>
  <c r="N281" i="72"/>
  <c r="N297" i="72"/>
  <c r="P266" i="72"/>
  <c r="H274" i="72"/>
  <c r="N280" i="72"/>
  <c r="D286" i="72"/>
  <c r="H290" i="72"/>
  <c r="F304" i="72"/>
  <c r="J308" i="72"/>
  <c r="N312" i="72"/>
  <c r="D318" i="72"/>
  <c r="Q266" i="72"/>
  <c r="P281" i="72"/>
  <c r="F303" i="72"/>
  <c r="J307" i="72"/>
  <c r="E318" i="72"/>
  <c r="P296" i="72"/>
  <c r="I305" i="72"/>
  <c r="O311" i="72"/>
  <c r="H286" i="72"/>
  <c r="H318" i="72"/>
  <c r="J286" i="72"/>
  <c r="N290" i="72"/>
  <c r="D296" i="72"/>
  <c r="K303" i="72"/>
  <c r="O307" i="72"/>
  <c r="D279" i="72"/>
  <c r="K286" i="72"/>
  <c r="Q308" i="72"/>
  <c r="G314" i="72"/>
  <c r="O289" i="72"/>
  <c r="O305" i="72"/>
  <c r="D292" i="72"/>
  <c r="N318" i="72"/>
  <c r="I296" i="72"/>
  <c r="O318" i="72"/>
  <c r="J280" i="72"/>
  <c r="J296" i="72"/>
  <c r="E274" i="72"/>
  <c r="G292" i="72"/>
  <c r="G308" i="72"/>
  <c r="N331" i="72"/>
  <c r="N363" i="72"/>
  <c r="D369" i="72"/>
  <c r="M329" i="72"/>
  <c r="Q333" i="72"/>
  <c r="E394" i="72"/>
  <c r="L440" i="72"/>
  <c r="H440" i="72"/>
  <c r="D440" i="72"/>
  <c r="G322" i="72"/>
  <c r="M328" i="72"/>
  <c r="Q332" i="72"/>
  <c r="F369" i="72"/>
  <c r="G386" i="72"/>
  <c r="K390" i="72"/>
  <c r="K324" i="72"/>
  <c r="P329" i="72"/>
  <c r="N358" i="72"/>
  <c r="L372" i="72"/>
  <c r="N424" i="72"/>
  <c r="J424" i="72"/>
  <c r="F424" i="72"/>
  <c r="D363" i="72"/>
  <c r="Q359" i="72"/>
  <c r="Q375" i="72"/>
  <c r="M387" i="72"/>
  <c r="Q391" i="72"/>
  <c r="O324" i="72"/>
  <c r="K336" i="72"/>
  <c r="Q342" i="72"/>
  <c r="P389" i="72"/>
  <c r="Q324" i="72"/>
  <c r="Q323" i="72"/>
  <c r="J364" i="72"/>
  <c r="D374" i="72"/>
  <c r="G393" i="72"/>
  <c r="M334" i="72"/>
  <c r="J363" i="72"/>
  <c r="H377" i="72"/>
  <c r="M382" i="72"/>
  <c r="P336" i="72"/>
  <c r="Q369" i="72"/>
  <c r="N382" i="72"/>
  <c r="F390" i="72"/>
  <c r="G358" i="72"/>
  <c r="G390" i="72"/>
  <c r="M363" i="72"/>
  <c r="O381" i="72"/>
  <c r="I391" i="72"/>
  <c r="M408" i="72"/>
  <c r="I408" i="72"/>
  <c r="E408" i="72"/>
  <c r="H416" i="72"/>
  <c r="Q441" i="72"/>
  <c r="L492" i="72"/>
  <c r="H492" i="72"/>
  <c r="D492" i="72"/>
  <c r="F537" i="72"/>
  <c r="D427" i="72"/>
  <c r="J433" i="72"/>
  <c r="N437" i="72"/>
  <c r="H447" i="72"/>
  <c r="K466" i="72"/>
  <c r="F427" i="72"/>
  <c r="M434" i="72"/>
  <c r="M450" i="72"/>
  <c r="E139" i="72"/>
  <c r="R145" i="72"/>
  <c r="R176" i="72"/>
  <c r="J191" i="72"/>
  <c r="N246" i="72"/>
  <c r="H235" i="72"/>
  <c r="F247" i="72"/>
  <c r="I265" i="72"/>
  <c r="O235" i="72"/>
  <c r="N249" i="72"/>
  <c r="O312" i="72"/>
  <c r="K290" i="72"/>
  <c r="L305" i="72"/>
  <c r="P291" i="72"/>
  <c r="D306" i="72"/>
  <c r="H324" i="72"/>
  <c r="Q363" i="72"/>
  <c r="O358" i="72"/>
  <c r="E358" i="72"/>
  <c r="O455" i="72"/>
  <c r="E458" i="72"/>
  <c r="P420" i="72"/>
  <c r="O435" i="72"/>
  <c r="P468" i="72"/>
  <c r="H427" i="72"/>
  <c r="N433" i="72"/>
  <c r="F441" i="72"/>
  <c r="L447" i="72"/>
  <c r="K462" i="72"/>
  <c r="P557" i="72"/>
  <c r="J396" i="72"/>
  <c r="E407" i="72"/>
  <c r="Q451" i="72"/>
  <c r="K461" i="72"/>
  <c r="K395" i="72"/>
  <c r="N397" i="72"/>
  <c r="H407" i="72"/>
  <c r="L427" i="72"/>
  <c r="K458" i="72"/>
  <c r="Q464" i="72"/>
  <c r="J476" i="72"/>
  <c r="P414" i="72"/>
  <c r="E450" i="72"/>
  <c r="E466" i="72"/>
  <c r="O395" i="72"/>
  <c r="J406" i="72"/>
  <c r="N458" i="72"/>
  <c r="P514" i="72"/>
  <c r="K406" i="72"/>
  <c r="H451" i="72"/>
  <c r="I468" i="72"/>
  <c r="H418" i="72"/>
  <c r="O457" i="72"/>
  <c r="F464" i="72"/>
  <c r="Q476" i="72"/>
  <c r="N439" i="72"/>
  <c r="Q458" i="72"/>
  <c r="R492" i="72"/>
  <c r="G483" i="72"/>
  <c r="K487" i="72"/>
  <c r="Q517" i="72"/>
  <c r="E529" i="72"/>
  <c r="N533" i="72"/>
  <c r="M517" i="72"/>
  <c r="E519" i="72"/>
  <c r="M536" i="72"/>
  <c r="E494" i="72"/>
  <c r="I498" i="72"/>
  <c r="R511" i="72"/>
  <c r="O519" i="72"/>
  <c r="H90" i="72"/>
  <c r="Q197" i="72"/>
  <c r="N241" i="72"/>
  <c r="G243" i="72"/>
  <c r="E304" i="72"/>
  <c r="L277" i="72"/>
  <c r="G302" i="72"/>
  <c r="F297" i="72"/>
  <c r="D308" i="72"/>
  <c r="J312" i="72"/>
  <c r="G387" i="72"/>
  <c r="K373" i="72"/>
  <c r="H369" i="72"/>
  <c r="P424" i="72"/>
  <c r="E328" i="72"/>
  <c r="E357" i="72"/>
  <c r="O407" i="72"/>
  <c r="R537" i="72"/>
  <c r="H461" i="72"/>
  <c r="L416" i="72"/>
  <c r="G443" i="72"/>
  <c r="N450" i="72"/>
  <c r="F458" i="72"/>
  <c r="L464" i="72"/>
  <c r="D407" i="72"/>
  <c r="O418" i="72"/>
  <c r="F457" i="72"/>
  <c r="M469" i="72"/>
  <c r="F557" i="72"/>
  <c r="J557" i="72"/>
  <c r="E557" i="72"/>
  <c r="P418" i="72"/>
  <c r="P434" i="72"/>
  <c r="K445" i="72"/>
  <c r="Q467" i="72"/>
  <c r="M398" i="72"/>
  <c r="F407" i="72"/>
  <c r="P417" i="72"/>
  <c r="Q434" i="72"/>
  <c r="D451" i="72"/>
  <c r="M395" i="72"/>
  <c r="D434" i="72"/>
  <c r="K441" i="72"/>
  <c r="I455" i="72"/>
  <c r="D466" i="72"/>
  <c r="P397" i="72"/>
  <c r="E418" i="72"/>
  <c r="O460" i="72"/>
  <c r="G451" i="72"/>
  <c r="F514" i="72"/>
  <c r="J514" i="72"/>
  <c r="E514" i="72"/>
  <c r="E416" i="72"/>
  <c r="E432" i="72"/>
  <c r="I436" i="72"/>
  <c r="P410" i="72"/>
  <c r="I419" i="72"/>
  <c r="M439" i="72"/>
  <c r="H450" i="72"/>
  <c r="K476" i="72"/>
  <c r="F476" i="72"/>
  <c r="P441" i="72"/>
  <c r="D461" i="72"/>
  <c r="J470" i="72"/>
  <c r="Q501" i="72"/>
  <c r="R521" i="72"/>
  <c r="H522" i="72"/>
  <c r="P535" i="72"/>
  <c r="F481" i="72"/>
  <c r="J485" i="72"/>
  <c r="G498" i="72"/>
  <c r="I482" i="72"/>
  <c r="M486" i="72"/>
  <c r="F505" i="72"/>
  <c r="F512" i="72"/>
  <c r="H520" i="72"/>
  <c r="L529" i="72"/>
  <c r="Q530" i="72"/>
  <c r="E86" i="72"/>
  <c r="H160" i="72"/>
  <c r="F183" i="72"/>
  <c r="O264" i="72"/>
  <c r="N235" i="72"/>
  <c r="L248" i="72"/>
  <c r="Q275" i="72"/>
  <c r="I308" i="72"/>
  <c r="M295" i="72"/>
  <c r="Q281" i="72"/>
  <c r="M308" i="72"/>
  <c r="N320" i="72"/>
  <c r="M304" i="72"/>
  <c r="K280" i="72"/>
  <c r="J359" i="72"/>
  <c r="K391" i="72"/>
  <c r="P378" i="72"/>
  <c r="H385" i="72"/>
  <c r="L456" i="72"/>
  <c r="M372" i="72"/>
  <c r="I332" i="72"/>
  <c r="N364" i="72"/>
  <c r="J537" i="72"/>
  <c r="L451" i="72"/>
  <c r="L433" i="72"/>
  <c r="K464" i="72"/>
  <c r="L432" i="72"/>
  <c r="P436" i="72"/>
  <c r="O434" i="72"/>
  <c r="H443" i="72"/>
  <c r="Q469" i="72"/>
  <c r="O557" i="72"/>
  <c r="K397" i="72"/>
  <c r="L430" i="72"/>
  <c r="L462" i="72"/>
  <c r="M430" i="72"/>
  <c r="L396" i="72"/>
  <c r="F406" i="72"/>
  <c r="N414" i="72"/>
  <c r="O398" i="72"/>
  <c r="H439" i="72"/>
  <c r="N445" i="72"/>
  <c r="H406" i="72"/>
  <c r="Q447" i="72"/>
  <c r="N427" i="72"/>
  <c r="E434" i="72"/>
  <c r="F451" i="72"/>
  <c r="F467" i="72"/>
  <c r="P396" i="72"/>
  <c r="K407" i="72"/>
  <c r="O443" i="72"/>
  <c r="N514" i="72"/>
  <c r="L407" i="72"/>
  <c r="E464" i="72"/>
  <c r="R469" i="72"/>
  <c r="Q427" i="72"/>
  <c r="P458" i="72"/>
  <c r="P476" i="72"/>
  <c r="D445" i="72"/>
  <c r="G464" i="72"/>
  <c r="D480" i="72"/>
  <c r="H484" i="72"/>
  <c r="D502" i="72"/>
  <c r="G509" i="72"/>
  <c r="K536" i="72"/>
  <c r="O507" i="72"/>
  <c r="N511" i="72"/>
  <c r="M519" i="72"/>
  <c r="F495" i="72"/>
  <c r="O500" i="72"/>
  <c r="Q170" i="72"/>
  <c r="D180" i="72"/>
  <c r="J205" i="72"/>
  <c r="L265" i="72"/>
  <c r="M312" i="72"/>
  <c r="Q299" i="72"/>
  <c r="G288" i="72"/>
  <c r="J290" i="72"/>
  <c r="I320" i="72"/>
  <c r="K296" i="72"/>
  <c r="N394" i="72"/>
  <c r="H322" i="72"/>
  <c r="G385" i="72"/>
  <c r="I321" i="72"/>
  <c r="E381" i="72"/>
  <c r="H456" i="72"/>
  <c r="H382" i="72"/>
  <c r="O338" i="72"/>
  <c r="P382" i="72"/>
  <c r="M466" i="72"/>
  <c r="M417" i="72"/>
  <c r="I445" i="72"/>
  <c r="O451" i="72"/>
  <c r="K414" i="72"/>
  <c r="P419" i="72"/>
  <c r="G458" i="72"/>
  <c r="M464" i="72"/>
  <c r="L469" i="72"/>
  <c r="N557" i="72"/>
  <c r="I557" i="72"/>
  <c r="D557" i="72"/>
  <c r="M557" i="72"/>
  <c r="L414" i="72"/>
  <c r="Q419" i="72"/>
  <c r="Q435" i="72"/>
  <c r="G457" i="72"/>
  <c r="J395" i="72"/>
  <c r="Q418" i="72"/>
  <c r="O414" i="72"/>
  <c r="O430" i="72"/>
  <c r="N461" i="72"/>
  <c r="D467" i="72"/>
  <c r="N396" i="72"/>
  <c r="M427" i="72"/>
  <c r="K457" i="72"/>
  <c r="E467" i="72"/>
  <c r="Q398" i="72"/>
  <c r="O412" i="72"/>
  <c r="F419" i="72"/>
  <c r="P461" i="72"/>
  <c r="F466" i="72"/>
  <c r="Q514" i="72"/>
  <c r="I514" i="72"/>
  <c r="D514" i="72"/>
  <c r="F433" i="72"/>
  <c r="L439" i="72"/>
  <c r="L455" i="72"/>
  <c r="Q395" i="72"/>
  <c r="Q411" i="72"/>
  <c r="D430" i="72"/>
  <c r="O441" i="72"/>
  <c r="I451" i="72"/>
  <c r="H466" i="72"/>
  <c r="O476" i="72"/>
  <c r="I476" i="72"/>
  <c r="E476" i="72"/>
  <c r="M406" i="72"/>
  <c r="F447" i="72"/>
  <c r="I466" i="72"/>
  <c r="D496" i="72"/>
  <c r="I517" i="72"/>
  <c r="P522" i="72"/>
  <c r="F522" i="72"/>
  <c r="P529" i="72"/>
  <c r="G482" i="72"/>
  <c r="K486" i="72"/>
  <c r="D495" i="72"/>
  <c r="R501" i="72"/>
  <c r="L522" i="72"/>
  <c r="I547" i="72"/>
  <c r="F479" i="72"/>
  <c r="J483" i="72"/>
  <c r="N487" i="72"/>
  <c r="R507" i="72"/>
  <c r="K513" i="72"/>
  <c r="O522" i="72"/>
  <c r="H530" i="72"/>
  <c r="P530" i="72"/>
  <c r="M752" i="72"/>
  <c r="M94" i="72"/>
  <c r="P246" i="72"/>
  <c r="H276" i="72"/>
  <c r="D265" i="72"/>
  <c r="Q276" i="72"/>
  <c r="P320" i="72"/>
  <c r="K292" i="72"/>
  <c r="E320" i="72"/>
  <c r="E313" i="72"/>
  <c r="J311" i="72"/>
  <c r="J394" i="72"/>
  <c r="K342" i="72"/>
  <c r="L326" i="72"/>
  <c r="K389" i="72"/>
  <c r="M325" i="72"/>
  <c r="J386" i="72"/>
  <c r="D456" i="72"/>
  <c r="J385" i="72"/>
  <c r="P324" i="72"/>
  <c r="F328" i="72"/>
  <c r="J392" i="72"/>
  <c r="H432" i="72"/>
  <c r="I432" i="72"/>
  <c r="G396" i="72"/>
  <c r="G427" i="72"/>
  <c r="M433" i="72"/>
  <c r="Q437" i="72"/>
  <c r="I461" i="72"/>
  <c r="N466" i="72"/>
  <c r="K430" i="72"/>
  <c r="P435" i="72"/>
  <c r="O450" i="72"/>
  <c r="P469" i="72"/>
  <c r="M414" i="72"/>
  <c r="F439" i="72"/>
  <c r="M397" i="72"/>
  <c r="G407" i="72"/>
  <c r="L395" i="72"/>
  <c r="J441" i="72"/>
  <c r="H455" i="72"/>
  <c r="I407" i="72"/>
  <c r="M443" i="72"/>
  <c r="D450" i="72"/>
  <c r="I406" i="72"/>
  <c r="O428" i="72"/>
  <c r="G468" i="72"/>
  <c r="Q397" i="72"/>
  <c r="Q445" i="72"/>
  <c r="K455" i="72"/>
  <c r="M514" i="72"/>
  <c r="G418" i="72"/>
  <c r="G466" i="72"/>
  <c r="L406" i="72"/>
  <c r="D414" i="72"/>
  <c r="N407" i="72"/>
  <c r="I450" i="72"/>
  <c r="J467" i="72"/>
  <c r="E481" i="72"/>
  <c r="I485" i="72"/>
  <c r="H547" i="72"/>
  <c r="F502" i="72"/>
  <c r="J507" i="72"/>
  <c r="I513" i="72"/>
  <c r="K519" i="72"/>
  <c r="L548" i="72"/>
  <c r="G496" i="72"/>
  <c r="H502" i="72"/>
  <c r="E508" i="72"/>
  <c r="F523" i="72"/>
  <c r="M97" i="72"/>
  <c r="L273" i="72"/>
  <c r="I258" i="72"/>
  <c r="D242" i="72"/>
  <c r="O259" i="72"/>
  <c r="E224" i="72"/>
  <c r="F289" i="72"/>
  <c r="L289" i="72"/>
  <c r="D280" i="72"/>
  <c r="D290" i="72"/>
  <c r="Q382" i="72"/>
  <c r="P364" i="72"/>
  <c r="J338" i="72"/>
  <c r="Q328" i="72"/>
  <c r="R394" i="72"/>
  <c r="M436" i="72"/>
  <c r="N434" i="72"/>
  <c r="J462" i="72"/>
  <c r="O467" i="72"/>
  <c r="M416" i="72"/>
  <c r="M432" i="72"/>
  <c r="P451" i="72"/>
  <c r="J461" i="72"/>
  <c r="R557" i="72"/>
  <c r="I395" i="72"/>
  <c r="D406" i="72"/>
  <c r="I427" i="72"/>
  <c r="P450" i="72"/>
  <c r="J427" i="72"/>
  <c r="H441" i="72"/>
  <c r="M396" i="72"/>
  <c r="G406" i="72"/>
  <c r="J457" i="72"/>
  <c r="E451" i="72"/>
  <c r="J407" i="72"/>
  <c r="Q430" i="72"/>
  <c r="K469" i="72"/>
  <c r="M457" i="72"/>
  <c r="H419" i="72"/>
  <c r="G450" i="72"/>
  <c r="H467" i="72"/>
  <c r="M407" i="72"/>
  <c r="F416" i="72"/>
  <c r="G433" i="72"/>
  <c r="M455" i="72"/>
  <c r="E414" i="72"/>
  <c r="N455" i="72"/>
  <c r="F482" i="72"/>
  <c r="J486" i="72"/>
  <c r="G529" i="72"/>
  <c r="K470" i="72"/>
  <c r="Q504" i="72"/>
  <c r="H509" i="72"/>
  <c r="E516" i="72"/>
  <c r="F519" i="72"/>
  <c r="O533" i="72"/>
  <c r="H497" i="72"/>
  <c r="N503" i="72"/>
  <c r="J509" i="72"/>
  <c r="H525" i="72"/>
  <c r="R533" i="72"/>
  <c r="D144" i="72"/>
  <c r="F161" i="72"/>
  <c r="D203" i="72"/>
  <c r="M224" i="72"/>
  <c r="I247" i="72"/>
  <c r="L264" i="72"/>
  <c r="F241" i="72"/>
  <c r="J293" i="72"/>
  <c r="K274" i="72"/>
  <c r="H280" i="72"/>
  <c r="J391" i="72"/>
  <c r="L358" i="72"/>
  <c r="P344" i="72"/>
  <c r="F331" i="72"/>
  <c r="Q357" i="72"/>
  <c r="E359" i="72"/>
  <c r="L332" i="72"/>
  <c r="E537" i="72"/>
  <c r="G414" i="72"/>
  <c r="J414" i="72"/>
  <c r="J430" i="72"/>
  <c r="E457" i="72"/>
  <c r="P467" i="72"/>
  <c r="N469" i="72"/>
  <c r="I469" i="72"/>
  <c r="K557" i="72"/>
  <c r="G557" i="72"/>
  <c r="O417" i="72"/>
  <c r="O433" i="72"/>
  <c r="P466" i="72"/>
  <c r="L397" i="72"/>
  <c r="E406" i="72"/>
  <c r="O416" i="72"/>
  <c r="P433" i="72"/>
  <c r="Q417" i="72"/>
  <c r="L443" i="72"/>
  <c r="G469" i="72"/>
  <c r="P398" i="72"/>
  <c r="P430" i="72"/>
  <c r="I439" i="72"/>
  <c r="O445" i="72"/>
  <c r="O396" i="72"/>
  <c r="M458" i="72"/>
  <c r="R476" i="72"/>
  <c r="M441" i="72"/>
  <c r="F450" i="72"/>
  <c r="K514" i="72"/>
  <c r="G514" i="72"/>
  <c r="R514" i="72"/>
  <c r="Q396" i="72"/>
  <c r="Q428" i="72"/>
  <c r="H435" i="72"/>
  <c r="O458" i="72"/>
  <c r="H434" i="72"/>
  <c r="E447" i="72"/>
  <c r="J468" i="72"/>
  <c r="M476" i="72"/>
  <c r="G476" i="72"/>
  <c r="G416" i="72"/>
  <c r="P457" i="72"/>
  <c r="F498" i="72"/>
  <c r="G504" i="72"/>
  <c r="D516" i="72"/>
  <c r="I522" i="72"/>
  <c r="M529" i="72"/>
  <c r="E480" i="72"/>
  <c r="I484" i="72"/>
  <c r="M488" i="72"/>
  <c r="F497" i="72"/>
  <c r="D505" i="72"/>
  <c r="Q535" i="72"/>
  <c r="H481" i="72"/>
  <c r="L485" i="72"/>
  <c r="O517" i="72"/>
  <c r="F527" i="72"/>
  <c r="D530" i="72"/>
  <c r="O393" i="72"/>
  <c r="I330" i="72"/>
  <c r="K447" i="72"/>
  <c r="H557" i="72"/>
  <c r="P427" i="72"/>
  <c r="Q443" i="72"/>
  <c r="J451" i="72"/>
  <c r="D517" i="72"/>
  <c r="E496" i="72"/>
  <c r="K484" i="72"/>
  <c r="N530" i="72"/>
  <c r="D543" i="72"/>
  <c r="P519" i="72"/>
  <c r="L525" i="72"/>
  <c r="K543" i="72"/>
  <c r="P471" i="72"/>
  <c r="H495" i="72"/>
  <c r="E501" i="72"/>
  <c r="Q519" i="72"/>
  <c r="J523" i="72"/>
  <c r="L538" i="72"/>
  <c r="K541" i="72"/>
  <c r="R544" i="72"/>
  <c r="K544" i="72"/>
  <c r="H494" i="72"/>
  <c r="H508" i="72"/>
  <c r="K516" i="72"/>
  <c r="L523" i="72"/>
  <c r="D539" i="72"/>
  <c r="K560" i="72"/>
  <c r="M498" i="72"/>
  <c r="I508" i="72"/>
  <c r="K527" i="72"/>
  <c r="O560" i="72"/>
  <c r="L496" i="72"/>
  <c r="F521" i="72"/>
  <c r="N497" i="72"/>
  <c r="L512" i="72"/>
  <c r="I560" i="72"/>
  <c r="F560" i="72"/>
  <c r="R560" i="72"/>
  <c r="M548" i="72"/>
  <c r="P481" i="72"/>
  <c r="F533" i="72"/>
  <c r="D512" i="72"/>
  <c r="I535" i="72"/>
  <c r="E484" i="72"/>
  <c r="I533" i="72"/>
  <c r="L535" i="72"/>
  <c r="R552" i="72"/>
  <c r="J552" i="72"/>
  <c r="L536" i="72"/>
  <c r="D536" i="72"/>
  <c r="L556" i="72"/>
  <c r="M565" i="72"/>
  <c r="I576" i="72"/>
  <c r="E591" i="72"/>
  <c r="G591" i="72"/>
  <c r="P571" i="72"/>
  <c r="K582" i="72"/>
  <c r="N576" i="72"/>
  <c r="K594" i="72"/>
  <c r="D594" i="72"/>
  <c r="O528" i="72"/>
  <c r="R545" i="72"/>
  <c r="E561" i="72"/>
  <c r="L574" i="72"/>
  <c r="Q590" i="72"/>
  <c r="E600" i="72"/>
  <c r="I600" i="72"/>
  <c r="Q600" i="72"/>
  <c r="O564" i="72"/>
  <c r="P570" i="72"/>
  <c r="O578" i="72"/>
  <c r="L595" i="72"/>
  <c r="K596" i="72"/>
  <c r="M601" i="72"/>
  <c r="Q566" i="72"/>
  <c r="G499" i="72"/>
  <c r="J534" i="72"/>
  <c r="L558" i="72"/>
  <c r="F565" i="72"/>
  <c r="Q574" i="72"/>
  <c r="N602" i="72"/>
  <c r="H545" i="72"/>
  <c r="J571" i="72"/>
  <c r="O587" i="72"/>
  <c r="D582" i="72"/>
  <c r="J600" i="72"/>
  <c r="I580" i="72"/>
  <c r="P595" i="72"/>
  <c r="M615" i="72"/>
  <c r="H639" i="72"/>
  <c r="E564" i="72"/>
  <c r="N571" i="72"/>
  <c r="J598" i="72"/>
  <c r="H598" i="72"/>
  <c r="R600" i="72"/>
  <c r="I612" i="72"/>
  <c r="I623" i="72"/>
  <c r="N634" i="72"/>
  <c r="H607" i="72"/>
  <c r="P607" i="72"/>
  <c r="K622" i="72"/>
  <c r="E622" i="72"/>
  <c r="M632" i="72"/>
  <c r="I651" i="72"/>
  <c r="J651" i="72"/>
  <c r="P666" i="72"/>
  <c r="E572" i="72"/>
  <c r="E579" i="72"/>
  <c r="R586" i="72"/>
  <c r="M612" i="72"/>
  <c r="Q621" i="72"/>
  <c r="H603" i="72"/>
  <c r="G623" i="72"/>
  <c r="I641" i="72"/>
  <c r="R618" i="72"/>
  <c r="O641" i="72"/>
  <c r="P659" i="72"/>
  <c r="K659" i="72"/>
  <c r="M583" i="72"/>
  <c r="O585" i="72"/>
  <c r="R605" i="72"/>
  <c r="P636" i="72"/>
  <c r="Q644" i="72"/>
  <c r="I644" i="72"/>
  <c r="G673" i="72"/>
  <c r="R673" i="72"/>
  <c r="D673" i="72"/>
  <c r="N610" i="72"/>
  <c r="K634" i="72"/>
  <c r="H654" i="72"/>
  <c r="K633" i="72"/>
  <c r="G633" i="72"/>
  <c r="Q635" i="72"/>
  <c r="I669" i="72"/>
  <c r="E669" i="72"/>
  <c r="D626" i="72"/>
  <c r="H626" i="72"/>
  <c r="E635" i="72"/>
  <c r="J619" i="72"/>
  <c r="D619" i="72"/>
  <c r="G635" i="72"/>
  <c r="J612" i="72"/>
  <c r="J625" i="72"/>
  <c r="K665" i="72"/>
  <c r="J633" i="72"/>
  <c r="K632" i="72"/>
  <c r="R641" i="72"/>
  <c r="H641" i="72"/>
  <c r="F606" i="72"/>
  <c r="D611" i="72"/>
  <c r="K667" i="72"/>
  <c r="P643" i="72"/>
  <c r="D643" i="72"/>
  <c r="K664" i="72"/>
  <c r="K606" i="72"/>
  <c r="Q628" i="72"/>
  <c r="H646" i="72"/>
  <c r="R646" i="72"/>
  <c r="P606" i="72"/>
  <c r="I637" i="72"/>
  <c r="J652" i="72"/>
  <c r="K682" i="72"/>
  <c r="P650" i="72"/>
  <c r="N689" i="72"/>
  <c r="E689" i="72"/>
  <c r="M689" i="72"/>
  <c r="H678" i="72"/>
  <c r="M678" i="72"/>
  <c r="E678" i="72"/>
  <c r="K597" i="72"/>
  <c r="M631" i="72"/>
  <c r="E648" i="72"/>
  <c r="D389" i="72"/>
  <c r="J445" i="72"/>
  <c r="H458" i="72"/>
  <c r="P447" i="72"/>
  <c r="G467" i="72"/>
  <c r="G434" i="72"/>
  <c r="K468" i="72"/>
  <c r="N522" i="72"/>
  <c r="O488" i="72"/>
  <c r="Q473" i="72"/>
  <c r="J482" i="72"/>
  <c r="N486" i="72"/>
  <c r="G495" i="72"/>
  <c r="G505" i="72"/>
  <c r="G512" i="72"/>
  <c r="K482" i="72"/>
  <c r="O486" i="72"/>
  <c r="I505" i="72"/>
  <c r="H512" i="72"/>
  <c r="R547" i="72"/>
  <c r="J480" i="72"/>
  <c r="N484" i="72"/>
  <c r="I495" i="72"/>
  <c r="R500" i="72"/>
  <c r="J505" i="72"/>
  <c r="G520" i="72"/>
  <c r="N525" i="72"/>
  <c r="Q470" i="72"/>
  <c r="M482" i="72"/>
  <c r="Q486" i="72"/>
  <c r="E513" i="72"/>
  <c r="E527" i="72"/>
  <c r="K479" i="72"/>
  <c r="O483" i="72"/>
  <c r="L505" i="72"/>
  <c r="M539" i="72"/>
  <c r="P483" i="72"/>
  <c r="D535" i="72"/>
  <c r="Q560" i="72"/>
  <c r="R548" i="72"/>
  <c r="J548" i="72"/>
  <c r="M505" i="72"/>
  <c r="M521" i="72"/>
  <c r="H535" i="72"/>
  <c r="O547" i="72"/>
  <c r="G547" i="72"/>
  <c r="D548" i="72"/>
  <c r="P521" i="72"/>
  <c r="D566" i="72"/>
  <c r="H524" i="72"/>
  <c r="O545" i="72"/>
  <c r="J555" i="72"/>
  <c r="G564" i="72"/>
  <c r="P573" i="72"/>
  <c r="F587" i="72"/>
  <c r="L549" i="72"/>
  <c r="K559" i="72"/>
  <c r="I570" i="72"/>
  <c r="I594" i="72"/>
  <c r="D546" i="72"/>
  <c r="M555" i="72"/>
  <c r="J564" i="72"/>
  <c r="D590" i="72"/>
  <c r="P590" i="72"/>
  <c r="G590" i="72"/>
  <c r="D563" i="72"/>
  <c r="P600" i="72"/>
  <c r="H574" i="72"/>
  <c r="K595" i="72"/>
  <c r="J558" i="72"/>
  <c r="K566" i="72"/>
  <c r="D578" i="72"/>
  <c r="D596" i="72"/>
  <c r="H559" i="72"/>
  <c r="P574" i="72"/>
  <c r="G515" i="72"/>
  <c r="P540" i="72"/>
  <c r="H551" i="72"/>
  <c r="G575" i="72"/>
  <c r="O598" i="72"/>
  <c r="F602" i="72"/>
  <c r="M558" i="72"/>
  <c r="N558" i="72"/>
  <c r="J561" i="72"/>
  <c r="H587" i="72"/>
  <c r="N587" i="72"/>
  <c r="E587" i="72"/>
  <c r="H556" i="72"/>
  <c r="J575" i="72"/>
  <c r="M563" i="72"/>
  <c r="F571" i="72"/>
  <c r="Q580" i="72"/>
  <c r="H595" i="72"/>
  <c r="Q595" i="72"/>
  <c r="I601" i="72"/>
  <c r="L601" i="72"/>
  <c r="E601" i="72"/>
  <c r="F615" i="72"/>
  <c r="L615" i="72"/>
  <c r="L639" i="72"/>
  <c r="D639" i="72"/>
  <c r="G639" i="72"/>
  <c r="P575" i="72"/>
  <c r="R598" i="72"/>
  <c r="L617" i="72"/>
  <c r="O635" i="72"/>
  <c r="K612" i="72"/>
  <c r="P633" i="72"/>
  <c r="N651" i="72"/>
  <c r="G666" i="72"/>
  <c r="I666" i="72"/>
  <c r="N666" i="72"/>
  <c r="R617" i="72"/>
  <c r="G621" i="72"/>
  <c r="M621" i="72"/>
  <c r="R584" i="72"/>
  <c r="N607" i="72"/>
  <c r="P625" i="72"/>
  <c r="M654" i="72"/>
  <c r="F659" i="72"/>
  <c r="R585" i="72"/>
  <c r="L636" i="72"/>
  <c r="M636" i="72"/>
  <c r="R644" i="72"/>
  <c r="M644" i="72"/>
  <c r="Q673" i="72"/>
  <c r="G634" i="72"/>
  <c r="N654" i="72"/>
  <c r="M635" i="72"/>
  <c r="M669" i="72"/>
  <c r="K617" i="72"/>
  <c r="N617" i="72"/>
  <c r="R632" i="72"/>
  <c r="L618" i="72"/>
  <c r="I625" i="72"/>
  <c r="E665" i="72"/>
  <c r="K635" i="72"/>
  <c r="M586" i="72"/>
  <c r="N593" i="72"/>
  <c r="E612" i="72"/>
  <c r="M633" i="72"/>
  <c r="F667" i="72"/>
  <c r="F664" i="72"/>
  <c r="Q646" i="72"/>
  <c r="M592" i="72"/>
  <c r="K630" i="72"/>
  <c r="J637" i="72"/>
  <c r="Q643" i="72"/>
  <c r="L682" i="72"/>
  <c r="R682" i="72"/>
  <c r="G650" i="72"/>
  <c r="R664" i="72"/>
  <c r="L689" i="72"/>
  <c r="L668" i="72"/>
  <c r="H609" i="72"/>
  <c r="O642" i="72"/>
  <c r="G653" i="72"/>
  <c r="N670" i="72"/>
  <c r="R680" i="72"/>
  <c r="G691" i="72"/>
  <c r="K703" i="72"/>
  <c r="M620" i="72"/>
  <c r="J679" i="72"/>
  <c r="I683" i="72"/>
  <c r="H691" i="72"/>
  <c r="Q708" i="72"/>
  <c r="N725" i="72"/>
  <c r="M729" i="72"/>
  <c r="E729" i="72"/>
  <c r="E697" i="72"/>
  <c r="R698" i="72"/>
  <c r="I698" i="72"/>
  <c r="E322" i="72"/>
  <c r="N390" i="72"/>
  <c r="G395" i="72"/>
  <c r="Q557" i="72"/>
  <c r="N464" i="72"/>
  <c r="L457" i="72"/>
  <c r="L514" i="72"/>
  <c r="D462" i="72"/>
  <c r="P536" i="72"/>
  <c r="P547" i="72"/>
  <c r="H500" i="72"/>
  <c r="Q522" i="72"/>
  <c r="K525" i="72"/>
  <c r="Q536" i="72"/>
  <c r="Q543" i="72"/>
  <c r="J543" i="72"/>
  <c r="I496" i="72"/>
  <c r="K502" i="72"/>
  <c r="R522" i="72"/>
  <c r="I523" i="72"/>
  <c r="R536" i="72"/>
  <c r="I538" i="72"/>
  <c r="Q541" i="72"/>
  <c r="I541" i="72"/>
  <c r="O544" i="72"/>
  <c r="F501" i="72"/>
  <c r="N509" i="72"/>
  <c r="I527" i="72"/>
  <c r="H541" i="72"/>
  <c r="J495" i="72"/>
  <c r="G501" i="72"/>
  <c r="M497" i="72"/>
  <c r="L479" i="72"/>
  <c r="O498" i="72"/>
  <c r="L560" i="72"/>
  <c r="E560" i="72"/>
  <c r="P560" i="72"/>
  <c r="J502" i="72"/>
  <c r="Q482" i="72"/>
  <c r="R502" i="72"/>
  <c r="O512" i="72"/>
  <c r="F535" i="72"/>
  <c r="G533" i="72"/>
  <c r="D498" i="72"/>
  <c r="L533" i="72"/>
  <c r="M552" i="72"/>
  <c r="I552" i="72"/>
  <c r="D481" i="72"/>
  <c r="I501" i="72"/>
  <c r="Q521" i="72"/>
  <c r="J536" i="72"/>
  <c r="E547" i="72"/>
  <c r="O576" i="72"/>
  <c r="F576" i="72"/>
  <c r="J591" i="72"/>
  <c r="F591" i="72"/>
  <c r="R546" i="72"/>
  <c r="F574" i="72"/>
  <c r="N596" i="72"/>
  <c r="M580" i="72"/>
  <c r="Q594" i="72"/>
  <c r="J594" i="72"/>
  <c r="P576" i="72"/>
  <c r="N600" i="72"/>
  <c r="G600" i="72"/>
  <c r="R556" i="72"/>
  <c r="N564" i="72"/>
  <c r="H601" i="72"/>
  <c r="H578" i="72"/>
  <c r="Q596" i="72"/>
  <c r="H596" i="72"/>
  <c r="D555" i="72"/>
  <c r="G563" i="72"/>
  <c r="P566" i="72"/>
  <c r="F575" i="72"/>
  <c r="J518" i="72"/>
  <c r="F545" i="72"/>
  <c r="Q559" i="72"/>
  <c r="M566" i="72"/>
  <c r="D602" i="72"/>
  <c r="L546" i="72"/>
  <c r="J563" i="72"/>
  <c r="J573" i="72"/>
  <c r="R582" i="72"/>
  <c r="E580" i="72"/>
  <c r="I595" i="72"/>
  <c r="O595" i="72"/>
  <c r="Q601" i="72"/>
  <c r="J615" i="72"/>
  <c r="H573" i="72"/>
  <c r="F580" i="72"/>
  <c r="Q598" i="72"/>
  <c r="E598" i="72"/>
  <c r="N586" i="72"/>
  <c r="K618" i="72"/>
  <c r="N623" i="72"/>
  <c r="E623" i="72"/>
  <c r="R636" i="72"/>
  <c r="F607" i="72"/>
  <c r="M617" i="72"/>
  <c r="M622" i="72"/>
  <c r="R622" i="72"/>
  <c r="P635" i="72"/>
  <c r="H651" i="72"/>
  <c r="F651" i="72"/>
  <c r="K666" i="72"/>
  <c r="M577" i="72"/>
  <c r="M579" i="72"/>
  <c r="R593" i="72"/>
  <c r="P618" i="72"/>
  <c r="F623" i="72"/>
  <c r="G641" i="72"/>
  <c r="G577" i="72"/>
  <c r="I585" i="72"/>
  <c r="Q603" i="72"/>
  <c r="R626" i="72"/>
  <c r="I654" i="72"/>
  <c r="I622" i="72"/>
  <c r="G583" i="72"/>
  <c r="J605" i="72"/>
  <c r="P644" i="72"/>
  <c r="H644" i="72"/>
  <c r="F673" i="72"/>
  <c r="N583" i="72"/>
  <c r="D610" i="72"/>
  <c r="M610" i="72"/>
  <c r="D634" i="72"/>
  <c r="G654" i="72"/>
  <c r="F633" i="72"/>
  <c r="E633" i="72"/>
  <c r="H669" i="72"/>
  <c r="O626" i="72"/>
  <c r="G626" i="72"/>
  <c r="M619" i="72"/>
  <c r="G619" i="72"/>
  <c r="J632" i="72"/>
  <c r="P632" i="72"/>
  <c r="F612" i="72"/>
  <c r="H612" i="72"/>
  <c r="D625" i="72"/>
  <c r="I665" i="72"/>
  <c r="J617" i="72"/>
  <c r="N635" i="72"/>
  <c r="M641" i="72"/>
  <c r="D641" i="72"/>
  <c r="E611" i="72"/>
  <c r="I667" i="72"/>
  <c r="L643" i="72"/>
  <c r="N650" i="72"/>
  <c r="G664" i="72"/>
  <c r="H628" i="72"/>
  <c r="M628" i="72"/>
  <c r="R637" i="72"/>
  <c r="L646" i="72"/>
  <c r="I652" i="72"/>
  <c r="R652" i="72"/>
  <c r="Q682" i="72"/>
  <c r="I682" i="72"/>
  <c r="O650" i="72"/>
  <c r="H689" i="72"/>
  <c r="D689" i="72"/>
  <c r="O668" i="72"/>
  <c r="F678" i="72"/>
  <c r="L678" i="72"/>
  <c r="O614" i="72"/>
  <c r="F647" i="72"/>
  <c r="J681" i="72"/>
  <c r="O707" i="72"/>
  <c r="M627" i="72"/>
  <c r="M655" i="72"/>
  <c r="O709" i="72"/>
  <c r="R726" i="72"/>
  <c r="R708" i="72"/>
  <c r="P297" i="72"/>
  <c r="K322" i="72"/>
  <c r="K396" i="72"/>
  <c r="P416" i="72"/>
  <c r="O462" i="72"/>
  <c r="L458" i="72"/>
  <c r="Q462" i="72"/>
  <c r="H514" i="72"/>
  <c r="N457" i="72"/>
  <c r="I467" i="72"/>
  <c r="O529" i="72"/>
  <c r="D538" i="72"/>
  <c r="G479" i="72"/>
  <c r="K483" i="72"/>
  <c r="O487" i="72"/>
  <c r="H496" i="72"/>
  <c r="L513" i="72"/>
  <c r="H523" i="72"/>
  <c r="E538" i="72"/>
  <c r="Q547" i="72"/>
  <c r="H479" i="72"/>
  <c r="L483" i="72"/>
  <c r="P487" i="72"/>
  <c r="M513" i="72"/>
  <c r="G552" i="72"/>
  <c r="K481" i="72"/>
  <c r="O485" i="72"/>
  <c r="J496" i="72"/>
  <c r="D511" i="72"/>
  <c r="R519" i="72"/>
  <c r="F520" i="72"/>
  <c r="R529" i="72"/>
  <c r="H543" i="72"/>
  <c r="J479" i="72"/>
  <c r="N483" i="72"/>
  <c r="Q509" i="72"/>
  <c r="P513" i="72"/>
  <c r="L480" i="72"/>
  <c r="P484" i="72"/>
  <c r="J508" i="72"/>
  <c r="J539" i="72"/>
  <c r="M480" i="72"/>
  <c r="Q484" i="72"/>
  <c r="H516" i="72"/>
  <c r="P548" i="72"/>
  <c r="I548" i="72"/>
  <c r="H505" i="72"/>
  <c r="H521" i="72"/>
  <c r="M547" i="72"/>
  <c r="F547" i="72"/>
  <c r="Q508" i="72"/>
  <c r="D482" i="72"/>
  <c r="N535" i="72"/>
  <c r="E482" i="72"/>
  <c r="M533" i="72"/>
  <c r="H548" i="72"/>
  <c r="F559" i="72"/>
  <c r="O571" i="72"/>
  <c r="G580" i="72"/>
  <c r="R591" i="72"/>
  <c r="L528" i="72"/>
  <c r="J549" i="72"/>
  <c r="M556" i="72"/>
  <c r="Q565" i="72"/>
  <c r="L555" i="72"/>
  <c r="O582" i="72"/>
  <c r="E518" i="72"/>
  <c r="E534" i="72"/>
  <c r="M549" i="72"/>
  <c r="P556" i="72"/>
  <c r="M562" i="72"/>
  <c r="H566" i="72"/>
  <c r="N580" i="72"/>
  <c r="E590" i="72"/>
  <c r="L590" i="72"/>
  <c r="F590" i="72"/>
  <c r="I558" i="72"/>
  <c r="G574" i="72"/>
  <c r="G546" i="72"/>
  <c r="O559" i="72"/>
  <c r="E570" i="72"/>
  <c r="O574" i="72"/>
  <c r="R578" i="72"/>
  <c r="P596" i="72"/>
  <c r="P524" i="72"/>
  <c r="O554" i="72"/>
  <c r="M561" i="72"/>
  <c r="O570" i="72"/>
  <c r="O602" i="72"/>
  <c r="I563" i="72"/>
  <c r="Q587" i="72"/>
  <c r="J587" i="72"/>
  <c r="D587" i="72"/>
  <c r="O558" i="72"/>
  <c r="I575" i="72"/>
  <c r="L582" i="72"/>
  <c r="Q582" i="72"/>
  <c r="H558" i="72"/>
  <c r="L563" i="72"/>
  <c r="E571" i="72"/>
  <c r="J580" i="72"/>
  <c r="F595" i="72"/>
  <c r="M600" i="72"/>
  <c r="K601" i="72"/>
  <c r="I615" i="72"/>
  <c r="H615" i="72"/>
  <c r="K639" i="72"/>
  <c r="O639" i="72"/>
  <c r="P565" i="72"/>
  <c r="H582" i="72"/>
  <c r="E584" i="72"/>
  <c r="O589" i="72"/>
  <c r="K619" i="72"/>
  <c r="N618" i="72"/>
  <c r="L622" i="72"/>
  <c r="L666" i="72"/>
  <c r="E666" i="72"/>
  <c r="F666" i="72"/>
  <c r="D666" i="72"/>
  <c r="F583" i="72"/>
  <c r="K603" i="72"/>
  <c r="P619" i="72"/>
  <c r="O625" i="72"/>
  <c r="P612" i="72"/>
  <c r="G572" i="72"/>
  <c r="M603" i="72"/>
  <c r="Q625" i="72"/>
  <c r="E659" i="72"/>
  <c r="J659" i="72"/>
  <c r="H585" i="72"/>
  <c r="G636" i="72"/>
  <c r="F636" i="72"/>
  <c r="O673" i="72"/>
  <c r="N585" i="72"/>
  <c r="Q622" i="72"/>
  <c r="L654" i="72"/>
  <c r="L633" i="72"/>
  <c r="H635" i="72"/>
  <c r="L635" i="72"/>
  <c r="K669" i="72"/>
  <c r="F617" i="72"/>
  <c r="H617" i="72"/>
  <c r="N632" i="72"/>
  <c r="G618" i="72"/>
  <c r="E625" i="72"/>
  <c r="D665" i="72"/>
  <c r="M665" i="72"/>
  <c r="G586" i="72"/>
  <c r="J589" i="72"/>
  <c r="G593" i="72"/>
  <c r="J618" i="72"/>
  <c r="Q636" i="72"/>
  <c r="I650" i="72"/>
  <c r="F668" i="72"/>
  <c r="E664" i="72"/>
  <c r="R668" i="72"/>
  <c r="F592" i="72"/>
  <c r="I630" i="72"/>
  <c r="Q652" i="72"/>
  <c r="L664" i="72"/>
  <c r="J682" i="72"/>
  <c r="P682" i="72"/>
  <c r="L650" i="72"/>
  <c r="J689" i="72"/>
  <c r="J668" i="72"/>
  <c r="H616" i="72"/>
  <c r="P638" i="72"/>
  <c r="I655" i="72"/>
  <c r="L670" i="72"/>
  <c r="L683" i="72"/>
  <c r="K359" i="72"/>
  <c r="N389" i="72"/>
  <c r="L436" i="72"/>
  <c r="N418" i="72"/>
  <c r="O466" i="72"/>
  <c r="N416" i="72"/>
  <c r="E468" i="72"/>
  <c r="N395" i="72"/>
  <c r="N476" i="72"/>
  <c r="K548" i="72"/>
  <c r="N470" i="72"/>
  <c r="F508" i="72"/>
  <c r="I525" i="72"/>
  <c r="N543" i="72"/>
  <c r="J497" i="72"/>
  <c r="G508" i="72"/>
  <c r="Q523" i="72"/>
  <c r="G523" i="72"/>
  <c r="P538" i="72"/>
  <c r="H538" i="72"/>
  <c r="O541" i="72"/>
  <c r="N544" i="72"/>
  <c r="L502" i="72"/>
  <c r="N506" i="72"/>
  <c r="G544" i="72"/>
  <c r="K496" i="72"/>
  <c r="M502" i="72"/>
  <c r="L516" i="72"/>
  <c r="N527" i="72"/>
  <c r="E539" i="72"/>
  <c r="N498" i="72"/>
  <c r="O502" i="72"/>
  <c r="H560" i="72"/>
  <c r="D560" i="72"/>
  <c r="N560" i="72"/>
  <c r="E502" i="72"/>
  <c r="N508" i="72"/>
  <c r="P508" i="72"/>
  <c r="M535" i="72"/>
  <c r="E535" i="72"/>
  <c r="Q512" i="72"/>
  <c r="D533" i="72"/>
  <c r="R539" i="72"/>
  <c r="L552" i="72"/>
  <c r="F483" i="72"/>
  <c r="D501" i="72"/>
  <c r="O535" i="72"/>
  <c r="G536" i="72"/>
  <c r="O573" i="72"/>
  <c r="K576" i="72"/>
  <c r="J582" i="72"/>
  <c r="O591" i="72"/>
  <c r="E566" i="72"/>
  <c r="R575" i="72"/>
  <c r="N528" i="72"/>
  <c r="I564" i="72"/>
  <c r="R573" i="72"/>
  <c r="G594" i="72"/>
  <c r="E558" i="72"/>
  <c r="G595" i="72"/>
  <c r="F600" i="72"/>
  <c r="M564" i="72"/>
  <c r="F563" i="72"/>
  <c r="D575" i="72"/>
  <c r="J596" i="72"/>
  <c r="O596" i="72"/>
  <c r="F596" i="72"/>
  <c r="K558" i="72"/>
  <c r="Q564" i="72"/>
  <c r="O566" i="72"/>
  <c r="D528" i="72"/>
  <c r="I546" i="72"/>
  <c r="H571" i="72"/>
  <c r="I578" i="72"/>
  <c r="G602" i="72"/>
  <c r="D600" i="72"/>
  <c r="D549" i="72"/>
  <c r="L575" i="72"/>
  <c r="K563" i="72"/>
  <c r="P582" i="72"/>
  <c r="L571" i="72"/>
  <c r="D580" i="72"/>
  <c r="N595" i="72"/>
  <c r="D601" i="72"/>
  <c r="M639" i="72"/>
  <c r="R639" i="72"/>
  <c r="K556" i="72"/>
  <c r="G573" i="72"/>
  <c r="M598" i="72"/>
  <c r="D598" i="72"/>
  <c r="O593" i="72"/>
  <c r="K623" i="72"/>
  <c r="H625" i="72"/>
  <c r="H659" i="72"/>
  <c r="E607" i="72"/>
  <c r="L619" i="72"/>
  <c r="H622" i="72"/>
  <c r="M651" i="72"/>
  <c r="D651" i="72"/>
  <c r="E651" i="72"/>
  <c r="R666" i="72"/>
  <c r="P579" i="72"/>
  <c r="E605" i="72"/>
  <c r="R621" i="72"/>
  <c r="P626" i="72"/>
  <c r="F654" i="72"/>
  <c r="N577" i="72"/>
  <c r="R603" i="72"/>
  <c r="P577" i="72"/>
  <c r="G605" i="72"/>
  <c r="G669" i="72"/>
  <c r="L669" i="72"/>
  <c r="O583" i="72"/>
  <c r="L644" i="72"/>
  <c r="E673" i="72"/>
  <c r="M673" i="72"/>
  <c r="D586" i="72"/>
  <c r="O610" i="72"/>
  <c r="G610" i="72"/>
  <c r="O634" i="72"/>
  <c r="Q654" i="72"/>
  <c r="N633" i="72"/>
  <c r="R669" i="72"/>
  <c r="N626" i="72"/>
  <c r="E626" i="72"/>
  <c r="H619" i="72"/>
  <c r="F619" i="72"/>
  <c r="E632" i="72"/>
  <c r="Q612" i="72"/>
  <c r="G612" i="72"/>
  <c r="M618" i="72"/>
  <c r="F632" i="72"/>
  <c r="G665" i="72"/>
  <c r="J665" i="72"/>
  <c r="I619" i="72"/>
  <c r="K641" i="72"/>
  <c r="O644" i="72"/>
  <c r="P611" i="72"/>
  <c r="H667" i="72"/>
  <c r="K643" i="72"/>
  <c r="D664" i="72"/>
  <c r="D606" i="72"/>
  <c r="I646" i="72"/>
  <c r="J678" i="72"/>
  <c r="H630" i="72"/>
  <c r="M637" i="72"/>
  <c r="N652" i="72"/>
  <c r="Q667" i="72"/>
  <c r="O682" i="72"/>
  <c r="F682" i="72"/>
  <c r="D650" i="72"/>
  <c r="Q689" i="72"/>
  <c r="G689" i="72"/>
  <c r="K668" i="72"/>
  <c r="D678" i="72"/>
  <c r="I678" i="72"/>
  <c r="Q678" i="72"/>
  <c r="L620" i="72"/>
  <c r="J648" i="72"/>
  <c r="M709" i="72"/>
  <c r="O726" i="72"/>
  <c r="H653" i="72"/>
  <c r="L655" i="72"/>
  <c r="P700" i="72"/>
  <c r="Q715" i="72"/>
  <c r="I729" i="72"/>
  <c r="E739" i="72"/>
  <c r="J698" i="72"/>
  <c r="R614" i="72"/>
  <c r="F73" i="72"/>
  <c r="K271" i="72"/>
  <c r="G331" i="72"/>
  <c r="O406" i="72"/>
  <c r="Q420" i="72"/>
  <c r="J469" i="72"/>
  <c r="N432" i="72"/>
  <c r="Q416" i="72"/>
  <c r="Q414" i="72"/>
  <c r="K439" i="72"/>
  <c r="O410" i="72"/>
  <c r="D476" i="72"/>
  <c r="L504" i="72"/>
  <c r="H483" i="72"/>
  <c r="M470" i="72"/>
  <c r="E541" i="72"/>
  <c r="O471" i="72"/>
  <c r="K509" i="72"/>
  <c r="Q525" i="72"/>
  <c r="M543" i="72"/>
  <c r="O470" i="72"/>
  <c r="G494" i="72"/>
  <c r="K498" i="72"/>
  <c r="M509" i="72"/>
  <c r="O523" i="72"/>
  <c r="N538" i="72"/>
  <c r="F538" i="72"/>
  <c r="L541" i="72"/>
  <c r="L544" i="72"/>
  <c r="Q503" i="72"/>
  <c r="I506" i="72"/>
  <c r="L497" i="72"/>
  <c r="K505" i="72"/>
  <c r="J512" i="72"/>
  <c r="D521" i="72"/>
  <c r="M527" i="72"/>
  <c r="K495" i="72"/>
  <c r="H501" i="72"/>
  <c r="M496" i="72"/>
  <c r="L508" i="72"/>
  <c r="P516" i="72"/>
  <c r="J560" i="72"/>
  <c r="G560" i="72"/>
  <c r="M560" i="72"/>
  <c r="K508" i="72"/>
  <c r="K535" i="72"/>
  <c r="K533" i="72"/>
  <c r="R508" i="72"/>
  <c r="K552" i="72"/>
  <c r="D497" i="72"/>
  <c r="N536" i="72"/>
  <c r="F536" i="72"/>
  <c r="I555" i="72"/>
  <c r="F564" i="72"/>
  <c r="J576" i="72"/>
  <c r="L591" i="72"/>
  <c r="I591" i="72"/>
  <c r="Q591" i="72"/>
  <c r="P551" i="72"/>
  <c r="G559" i="72"/>
  <c r="G570" i="72"/>
  <c r="N594" i="72"/>
  <c r="E594" i="72"/>
  <c r="L559" i="72"/>
  <c r="E556" i="72"/>
  <c r="O600" i="72"/>
  <c r="N549" i="72"/>
  <c r="P564" i="72"/>
  <c r="L596" i="72"/>
  <c r="E596" i="72"/>
  <c r="R595" i="72"/>
  <c r="H532" i="72"/>
  <c r="D556" i="72"/>
  <c r="E573" i="72"/>
  <c r="P602" i="72"/>
  <c r="Q602" i="72"/>
  <c r="F528" i="72"/>
  <c r="R566" i="72"/>
  <c r="L578" i="72"/>
  <c r="I582" i="72"/>
  <c r="M582" i="72"/>
  <c r="F582" i="72"/>
  <c r="D595" i="72"/>
  <c r="R601" i="72"/>
  <c r="O615" i="72"/>
  <c r="E639" i="72"/>
  <c r="N639" i="72"/>
  <c r="R558" i="72"/>
  <c r="F573" i="72"/>
  <c r="L598" i="72"/>
  <c r="I598" i="72"/>
  <c r="I607" i="72"/>
  <c r="J623" i="72"/>
  <c r="L632" i="72"/>
  <c r="L607" i="72"/>
  <c r="G607" i="72"/>
  <c r="P622" i="72"/>
  <c r="F622" i="72"/>
  <c r="K625" i="72"/>
  <c r="K651" i="72"/>
  <c r="P651" i="72"/>
  <c r="I579" i="72"/>
  <c r="G585" i="72"/>
  <c r="M607" i="72"/>
  <c r="D621" i="72"/>
  <c r="R633" i="72"/>
  <c r="Q567" i="72"/>
  <c r="D577" i="72"/>
  <c r="J603" i="72"/>
  <c r="R619" i="72"/>
  <c r="Q659" i="72"/>
  <c r="N659" i="72"/>
  <c r="D583" i="72"/>
  <c r="F585" i="72"/>
  <c r="O622" i="72"/>
  <c r="F644" i="72"/>
  <c r="J644" i="72"/>
  <c r="P669" i="72"/>
  <c r="P673" i="72"/>
  <c r="I673" i="72"/>
  <c r="E593" i="72"/>
  <c r="Q610" i="72"/>
  <c r="E610" i="72"/>
  <c r="M634" i="72"/>
  <c r="E654" i="72"/>
  <c r="N665" i="72"/>
  <c r="I633" i="72"/>
  <c r="N669" i="72"/>
  <c r="J626" i="72"/>
  <c r="O619" i="72"/>
  <c r="Q619" i="72"/>
  <c r="H632" i="72"/>
  <c r="N612" i="72"/>
  <c r="O612" i="72"/>
  <c r="L625" i="72"/>
  <c r="J635" i="72"/>
  <c r="F665" i="72"/>
  <c r="Q665" i="72"/>
  <c r="K593" i="72"/>
  <c r="G625" i="72"/>
  <c r="N641" i="72"/>
  <c r="J641" i="72"/>
  <c r="I611" i="72"/>
  <c r="M667" i="72"/>
  <c r="E643" i="72"/>
  <c r="G643" i="72"/>
  <c r="O664" i="72"/>
  <c r="Q668" i="72"/>
  <c r="F628" i="72"/>
  <c r="N643" i="72"/>
  <c r="G646" i="72"/>
  <c r="K678" i="72"/>
  <c r="K637" i="72"/>
  <c r="L652" i="72"/>
  <c r="N678" i="72"/>
  <c r="M682" i="72"/>
  <c r="E682" i="72"/>
  <c r="O689" i="72"/>
  <c r="F689" i="72"/>
  <c r="R689" i="72"/>
  <c r="H668" i="72"/>
  <c r="O678" i="72"/>
  <c r="G678" i="72"/>
  <c r="L627" i="72"/>
  <c r="H648" i="72"/>
  <c r="M675" i="72"/>
  <c r="D686" i="72"/>
  <c r="O700" i="72"/>
  <c r="P715" i="72"/>
  <c r="Q655" i="72"/>
  <c r="E686" i="72"/>
  <c r="K702" i="72"/>
  <c r="H718" i="72"/>
  <c r="D729" i="72"/>
  <c r="I697" i="72"/>
  <c r="E698" i="72"/>
  <c r="L276" i="72"/>
  <c r="G266" i="72"/>
  <c r="H338" i="72"/>
  <c r="L334" i="72"/>
  <c r="L557" i="72"/>
  <c r="O432" i="72"/>
  <c r="Q432" i="72"/>
  <c r="N428" i="72"/>
  <c r="F432" i="72"/>
  <c r="Q410" i="72"/>
  <c r="H513" i="72"/>
  <c r="L487" i="72"/>
  <c r="G480" i="72"/>
  <c r="F530" i="72"/>
  <c r="I481" i="72"/>
  <c r="M485" i="72"/>
  <c r="F494" i="72"/>
  <c r="J498" i="72"/>
  <c r="O503" i="72"/>
  <c r="P517" i="72"/>
  <c r="N529" i="72"/>
  <c r="E543" i="72"/>
  <c r="J481" i="72"/>
  <c r="N485" i="72"/>
  <c r="F503" i="72"/>
  <c r="R517" i="72"/>
  <c r="Q529" i="72"/>
  <c r="D544" i="72"/>
  <c r="I479" i="72"/>
  <c r="M483" i="72"/>
  <c r="Q487" i="72"/>
  <c r="L498" i="72"/>
  <c r="D504" i="72"/>
  <c r="N513" i="72"/>
  <c r="L520" i="72"/>
  <c r="J538" i="72"/>
  <c r="H552" i="72"/>
  <c r="L481" i="72"/>
  <c r="P485" i="72"/>
  <c r="N552" i="72"/>
  <c r="N482" i="72"/>
  <c r="N502" i="72"/>
  <c r="M516" i="72"/>
  <c r="O539" i="72"/>
  <c r="G539" i="72"/>
  <c r="O482" i="72"/>
  <c r="I521" i="72"/>
  <c r="P482" i="72"/>
  <c r="N548" i="72"/>
  <c r="F548" i="72"/>
  <c r="Q502" i="72"/>
  <c r="O521" i="72"/>
  <c r="E521" i="72"/>
  <c r="L547" i="72"/>
  <c r="J547" i="72"/>
  <c r="Q533" i="72"/>
  <c r="F484" i="72"/>
  <c r="R512" i="72"/>
  <c r="Q552" i="72"/>
  <c r="E552" i="72"/>
  <c r="E498" i="72"/>
  <c r="Q575" i="72"/>
  <c r="P591" i="72"/>
  <c r="H540" i="72"/>
  <c r="G554" i="72"/>
  <c r="H580" i="72"/>
  <c r="J545" i="72"/>
  <c r="D558" i="72"/>
  <c r="G566" i="72"/>
  <c r="H594" i="72"/>
  <c r="M526" i="72"/>
  <c r="M542" i="72"/>
  <c r="J554" i="72"/>
  <c r="K562" i="72"/>
  <c r="K590" i="72"/>
  <c r="I590" i="72"/>
  <c r="F558" i="72"/>
  <c r="I574" i="72"/>
  <c r="P580" i="72"/>
  <c r="P555" i="72"/>
  <c r="D565" i="72"/>
  <c r="J578" i="72"/>
  <c r="K591" i="72"/>
  <c r="I596" i="72"/>
  <c r="K598" i="72"/>
  <c r="I559" i="72"/>
  <c r="D573" i="72"/>
  <c r="N601" i="72"/>
  <c r="E550" i="72"/>
  <c r="R564" i="72"/>
  <c r="N591" i="72"/>
  <c r="H602" i="72"/>
  <c r="F556" i="72"/>
  <c r="K575" i="72"/>
  <c r="J532" i="72"/>
  <c r="G556" i="72"/>
  <c r="K561" i="72"/>
  <c r="R570" i="72"/>
  <c r="G587" i="72"/>
  <c r="H600" i="72"/>
  <c r="E575" i="72"/>
  <c r="N563" i="72"/>
  <c r="L600" i="72"/>
  <c r="Q571" i="72"/>
  <c r="M595" i="72"/>
  <c r="O601" i="72"/>
  <c r="P601" i="72"/>
  <c r="G601" i="72"/>
  <c r="K615" i="72"/>
  <c r="P615" i="72"/>
  <c r="N615" i="72"/>
  <c r="Q639" i="72"/>
  <c r="F639" i="72"/>
  <c r="I639" i="72"/>
  <c r="Q563" i="72"/>
  <c r="N565" i="72"/>
  <c r="L584" i="72"/>
  <c r="P610" i="72"/>
  <c r="L623" i="72"/>
  <c r="O623" i="72"/>
  <c r="O633" i="72"/>
  <c r="L626" i="72"/>
  <c r="H666" i="72"/>
  <c r="M666" i="72"/>
  <c r="Q568" i="72"/>
  <c r="J621" i="72"/>
  <c r="F572" i="72"/>
  <c r="H583" i="72"/>
  <c r="F605" i="72"/>
  <c r="D622" i="72"/>
  <c r="J585" i="72"/>
  <c r="D659" i="72"/>
  <c r="M659" i="72"/>
  <c r="D593" i="72"/>
  <c r="H605" i="72"/>
  <c r="I636" i="72"/>
  <c r="D636" i="72"/>
  <c r="H673" i="72"/>
  <c r="N605" i="72"/>
  <c r="R610" i="72"/>
  <c r="L634" i="72"/>
  <c r="P654" i="72"/>
  <c r="D654" i="72"/>
  <c r="R635" i="72"/>
  <c r="O669" i="72"/>
  <c r="F669" i="72"/>
  <c r="O617" i="72"/>
  <c r="Q626" i="72"/>
  <c r="D632" i="72"/>
  <c r="D618" i="72"/>
  <c r="N625" i="72"/>
  <c r="P665" i="72"/>
  <c r="E586" i="72"/>
  <c r="G589" i="72"/>
  <c r="D607" i="72"/>
  <c r="I626" i="72"/>
  <c r="L641" i="72"/>
  <c r="E592" i="72"/>
  <c r="G667" i="72"/>
  <c r="H664" i="72"/>
  <c r="D682" i="72"/>
  <c r="M599" i="72"/>
  <c r="O630" i="72"/>
  <c r="O637" i="72"/>
  <c r="E652" i="72"/>
  <c r="G682" i="72"/>
  <c r="H650" i="72"/>
  <c r="Q650" i="72"/>
  <c r="P689" i="72"/>
  <c r="N668" i="72"/>
  <c r="G668" i="72"/>
  <c r="K581" i="72"/>
  <c r="D642" i="72"/>
  <c r="P670" i="72"/>
  <c r="H679" i="72"/>
  <c r="O701" i="72"/>
  <c r="N716" i="72"/>
  <c r="H614" i="72"/>
  <c r="P663" i="72"/>
  <c r="K683" i="72"/>
  <c r="L703" i="72"/>
  <c r="G729" i="72"/>
  <c r="G697" i="72"/>
  <c r="K698" i="72"/>
  <c r="O397" i="72"/>
  <c r="J529" i="72"/>
  <c r="I502" i="72"/>
  <c r="I480" i="72"/>
  <c r="H527" i="72"/>
  <c r="P486" i="72"/>
  <c r="L495" i="72"/>
  <c r="O548" i="72"/>
  <c r="K547" i="72"/>
  <c r="F552" i="72"/>
  <c r="L576" i="72"/>
  <c r="K524" i="72"/>
  <c r="J590" i="72"/>
  <c r="H563" i="72"/>
  <c r="H575" i="72"/>
  <c r="Q666" i="72"/>
  <c r="Q632" i="72"/>
  <c r="O607" i="72"/>
  <c r="E589" i="72"/>
  <c r="N673" i="72"/>
  <c r="P634" i="72"/>
  <c r="J669" i="72"/>
  <c r="D633" i="72"/>
  <c r="J664" i="72"/>
  <c r="K670" i="72"/>
  <c r="F718" i="72"/>
  <c r="E662" i="72"/>
  <c r="J697" i="72"/>
  <c r="R715" i="72"/>
  <c r="P627" i="72"/>
  <c r="M653" i="72"/>
  <c r="R675" i="72"/>
  <c r="G681" i="72"/>
  <c r="L723" i="72"/>
  <c r="G732" i="72"/>
  <c r="I679" i="72"/>
  <c r="K686" i="72"/>
  <c r="I721" i="72"/>
  <c r="N609" i="72"/>
  <c r="O657" i="72"/>
  <c r="G680" i="72"/>
  <c r="O697" i="72"/>
  <c r="F662" i="72"/>
  <c r="O686" i="72"/>
  <c r="K723" i="72"/>
  <c r="R739" i="72"/>
  <c r="J739" i="72"/>
  <c r="M723" i="72"/>
  <c r="O708" i="72"/>
  <c r="I708" i="72"/>
  <c r="F715" i="72"/>
  <c r="I715" i="72"/>
  <c r="J741" i="72"/>
  <c r="L700" i="72"/>
  <c r="I701" i="72"/>
  <c r="I707" i="72"/>
  <c r="E709" i="72"/>
  <c r="N709" i="72"/>
  <c r="E714" i="72"/>
  <c r="R714" i="72"/>
  <c r="Q716" i="72"/>
  <c r="Q723" i="72"/>
  <c r="O732" i="72"/>
  <c r="K744" i="72"/>
  <c r="H708" i="72"/>
  <c r="D726" i="72"/>
  <c r="M687" i="72"/>
  <c r="E703" i="72"/>
  <c r="F703" i="72"/>
  <c r="M714" i="72"/>
  <c r="N714" i="72"/>
  <c r="N730" i="72"/>
  <c r="M624" i="72"/>
  <c r="Q676" i="72"/>
  <c r="O699" i="72"/>
  <c r="Q717" i="72"/>
  <c r="H728" i="72"/>
  <c r="O736" i="72"/>
  <c r="K747" i="72"/>
  <c r="G791" i="72"/>
  <c r="I712" i="72"/>
  <c r="K731" i="72"/>
  <c r="P736" i="72"/>
  <c r="M763" i="72"/>
  <c r="E773" i="72"/>
  <c r="K794" i="72"/>
  <c r="I797" i="72"/>
  <c r="M797" i="72"/>
  <c r="R760" i="72"/>
  <c r="D713" i="72"/>
  <c r="F766" i="72"/>
  <c r="H787" i="72"/>
  <c r="D753" i="72"/>
  <c r="M764" i="72"/>
  <c r="R788" i="72"/>
  <c r="D674" i="72"/>
  <c r="M712" i="72"/>
  <c r="H740" i="72"/>
  <c r="L753" i="72"/>
  <c r="O766" i="72"/>
  <c r="H773" i="72"/>
  <c r="K795" i="72"/>
  <c r="K757" i="72"/>
  <c r="D762" i="72"/>
  <c r="J785" i="72"/>
  <c r="M787" i="72"/>
  <c r="K735" i="72"/>
  <c r="P764" i="72"/>
  <c r="F738" i="72"/>
  <c r="K754" i="72"/>
  <c r="P787" i="72"/>
  <c r="L784" i="72"/>
  <c r="E784" i="72"/>
  <c r="L751" i="72"/>
  <c r="J751" i="72"/>
  <c r="D767" i="72"/>
  <c r="H791" i="72"/>
  <c r="M751" i="72"/>
  <c r="I788" i="72"/>
  <c r="E760" i="72"/>
  <c r="M775" i="72"/>
  <c r="H768" i="72"/>
  <c r="J795" i="72"/>
  <c r="O734" i="72"/>
  <c r="N746" i="72"/>
  <c r="J747" i="72"/>
  <c r="L752" i="72"/>
  <c r="N752" i="72"/>
  <c r="G763" i="72"/>
  <c r="L748" i="72"/>
  <c r="N771" i="72"/>
  <c r="N777" i="72"/>
  <c r="N802" i="72"/>
  <c r="Q804" i="72"/>
  <c r="O824" i="72"/>
  <c r="O829" i="72"/>
  <c r="M816" i="72"/>
  <c r="D817" i="72"/>
  <c r="P829" i="72"/>
  <c r="F837" i="72"/>
  <c r="E770" i="72"/>
  <c r="E818" i="72"/>
  <c r="D818" i="72"/>
  <c r="H819" i="72"/>
  <c r="M821" i="72"/>
  <c r="R821" i="72"/>
  <c r="R848" i="72"/>
  <c r="G848" i="72"/>
  <c r="R748" i="72"/>
  <c r="E792" i="72"/>
  <c r="Q809" i="72"/>
  <c r="K816" i="72"/>
  <c r="L843" i="72"/>
  <c r="H841" i="72"/>
  <c r="R831" i="72"/>
  <c r="R792" i="72"/>
  <c r="N829" i="72"/>
  <c r="P828" i="72"/>
  <c r="E828" i="72"/>
  <c r="P804" i="72"/>
  <c r="P820" i="72"/>
  <c r="I771" i="72"/>
  <c r="N828" i="72"/>
  <c r="M835" i="72"/>
  <c r="P835" i="72"/>
  <c r="Q780" i="72"/>
  <c r="L793" i="72"/>
  <c r="N803" i="72"/>
  <c r="G827" i="72"/>
  <c r="E844" i="72"/>
  <c r="F851" i="72"/>
  <c r="I869" i="72"/>
  <c r="D869" i="72"/>
  <c r="R827" i="72"/>
  <c r="Q857" i="72"/>
  <c r="G866" i="72"/>
  <c r="K866" i="72"/>
  <c r="J867" i="72"/>
  <c r="N883" i="72"/>
  <c r="M537" i="72"/>
  <c r="G516" i="72"/>
  <c r="M484" i="72"/>
  <c r="K497" i="72"/>
  <c r="K480" i="72"/>
  <c r="M481" i="72"/>
  <c r="N505" i="72"/>
  <c r="G548" i="72"/>
  <c r="D547" i="72"/>
  <c r="G484" i="72"/>
  <c r="K540" i="72"/>
  <c r="L561" i="72"/>
  <c r="E595" i="72"/>
  <c r="J639" i="72"/>
  <c r="K605" i="72"/>
  <c r="K654" i="72"/>
  <c r="D669" i="72"/>
  <c r="P664" i="72"/>
  <c r="G630" i="72"/>
  <c r="J650" i="72"/>
  <c r="N685" i="72"/>
  <c r="M725" i="72"/>
  <c r="N675" i="72"/>
  <c r="P701" i="72"/>
  <c r="J729" i="72"/>
  <c r="L679" i="72"/>
  <c r="J691" i="72"/>
  <c r="F729" i="72"/>
  <c r="H721" i="72"/>
  <c r="N723" i="72"/>
  <c r="F732" i="72"/>
  <c r="E693" i="72"/>
  <c r="G693" i="72"/>
  <c r="G721" i="72"/>
  <c r="F723" i="72"/>
  <c r="E614" i="72"/>
  <c r="D647" i="72"/>
  <c r="F649" i="72"/>
  <c r="O671" i="72"/>
  <c r="N691" i="72"/>
  <c r="N694" i="72"/>
  <c r="N698" i="72"/>
  <c r="O729" i="72"/>
  <c r="N684" i="72"/>
  <c r="E687" i="72"/>
  <c r="I732" i="72"/>
  <c r="Q739" i="72"/>
  <c r="M726" i="72"/>
  <c r="H726" i="72"/>
  <c r="R741" i="72"/>
  <c r="H741" i="72"/>
  <c r="E700" i="72"/>
  <c r="F701" i="72"/>
  <c r="Q714" i="72"/>
  <c r="H725" i="72"/>
  <c r="F744" i="72"/>
  <c r="F680" i="72"/>
  <c r="N702" i="72"/>
  <c r="Q702" i="72"/>
  <c r="F709" i="72"/>
  <c r="P732" i="72"/>
  <c r="K707" i="72"/>
  <c r="I725" i="72"/>
  <c r="O703" i="72"/>
  <c r="M715" i="72"/>
  <c r="I663" i="72"/>
  <c r="E675" i="72"/>
  <c r="Q680" i="72"/>
  <c r="J685" i="72"/>
  <c r="N700" i="72"/>
  <c r="N715" i="72"/>
  <c r="M718" i="72"/>
  <c r="D718" i="72"/>
  <c r="E730" i="72"/>
  <c r="O658" i="72"/>
  <c r="F704" i="72"/>
  <c r="I719" i="72"/>
  <c r="D737" i="72"/>
  <c r="I760" i="72"/>
  <c r="K752" i="72"/>
  <c r="I764" i="72"/>
  <c r="J772" i="72"/>
  <c r="G772" i="72"/>
  <c r="M773" i="72"/>
  <c r="F788" i="72"/>
  <c r="H794" i="72"/>
  <c r="D760" i="72"/>
  <c r="G764" i="72"/>
  <c r="D676" i="72"/>
  <c r="L705" i="72"/>
  <c r="R736" i="72"/>
  <c r="R756" i="72"/>
  <c r="K788" i="72"/>
  <c r="E740" i="72"/>
  <c r="Q791" i="72"/>
  <c r="F676" i="72"/>
  <c r="R713" i="72"/>
  <c r="F737" i="72"/>
  <c r="R743" i="72"/>
  <c r="D754" i="72"/>
  <c r="K761" i="72"/>
  <c r="R775" i="72"/>
  <c r="D797" i="72"/>
  <c r="M785" i="72"/>
  <c r="Q785" i="72"/>
  <c r="P740" i="72"/>
  <c r="F740" i="72"/>
  <c r="O745" i="72"/>
  <c r="H750" i="72"/>
  <c r="N754" i="72"/>
  <c r="H754" i="72"/>
  <c r="G767" i="72"/>
  <c r="H712" i="72"/>
  <c r="M740" i="72"/>
  <c r="M757" i="72"/>
  <c r="N762" i="72"/>
  <c r="G738" i="72"/>
  <c r="P757" i="72"/>
  <c r="D776" i="72"/>
  <c r="G785" i="72"/>
  <c r="I791" i="72"/>
  <c r="O746" i="72"/>
  <c r="R757" i="72"/>
  <c r="P788" i="72"/>
  <c r="M788" i="72"/>
  <c r="J775" i="72"/>
  <c r="O787" i="72"/>
  <c r="R787" i="72"/>
  <c r="N795" i="72"/>
  <c r="R795" i="72"/>
  <c r="H717" i="72"/>
  <c r="H736" i="72"/>
  <c r="H743" i="72"/>
  <c r="P767" i="72"/>
  <c r="K779" i="72"/>
  <c r="Q802" i="72"/>
  <c r="I808" i="72"/>
  <c r="E811" i="72"/>
  <c r="K814" i="72"/>
  <c r="L824" i="72"/>
  <c r="Q838" i="72"/>
  <c r="E838" i="72"/>
  <c r="G769" i="72"/>
  <c r="K808" i="72"/>
  <c r="E808" i="72"/>
  <c r="H817" i="72"/>
  <c r="G845" i="72"/>
  <c r="O755" i="72"/>
  <c r="D782" i="72"/>
  <c r="P819" i="72"/>
  <c r="O821" i="72"/>
  <c r="K848" i="72"/>
  <c r="I820" i="72"/>
  <c r="R755" i="72"/>
  <c r="K817" i="72"/>
  <c r="E842" i="72"/>
  <c r="G842" i="72"/>
  <c r="F843" i="72"/>
  <c r="P831" i="72"/>
  <c r="H770" i="72"/>
  <c r="L820" i="72"/>
  <c r="R829" i="72"/>
  <c r="K828" i="72"/>
  <c r="D828" i="72"/>
  <c r="G801" i="72"/>
  <c r="H828" i="72"/>
  <c r="P813" i="72"/>
  <c r="M813" i="72"/>
  <c r="M829" i="72"/>
  <c r="L835" i="72"/>
  <c r="G805" i="72"/>
  <c r="J832" i="72"/>
  <c r="Q850" i="72"/>
  <c r="O796" i="72"/>
  <c r="M810" i="72"/>
  <c r="Q869" i="72"/>
  <c r="F827" i="72"/>
  <c r="L836" i="72"/>
  <c r="K858" i="72"/>
  <c r="L852" i="72"/>
  <c r="R844" i="72"/>
  <c r="I516" i="72"/>
  <c r="Q488" i="72"/>
  <c r="O484" i="72"/>
  <c r="Q485" i="72"/>
  <c r="P497" i="72"/>
  <c r="O556" i="72"/>
  <c r="O550" i="72"/>
  <c r="O580" i="72"/>
  <c r="D570" i="72"/>
  <c r="E565" i="72"/>
  <c r="H565" i="72"/>
  <c r="F601" i="72"/>
  <c r="N584" i="72"/>
  <c r="P567" i="72"/>
  <c r="J673" i="72"/>
  <c r="Q669" i="72"/>
  <c r="I632" i="72"/>
  <c r="R665" i="72"/>
  <c r="P668" i="72"/>
  <c r="P687" i="72"/>
  <c r="P707" i="72"/>
  <c r="H729" i="72"/>
  <c r="N620" i="72"/>
  <c r="I631" i="72"/>
  <c r="K653" i="72"/>
  <c r="F681" i="72"/>
  <c r="H697" i="72"/>
  <c r="F730" i="72"/>
  <c r="Q721" i="72"/>
  <c r="J723" i="72"/>
  <c r="G679" i="72"/>
  <c r="E691" i="72"/>
  <c r="Q703" i="72"/>
  <c r="E723" i="72"/>
  <c r="P686" i="72"/>
  <c r="M691" i="72"/>
  <c r="E638" i="72"/>
  <c r="R653" i="72"/>
  <c r="N657" i="72"/>
  <c r="R681" i="72"/>
  <c r="K693" i="72"/>
  <c r="Q730" i="72"/>
  <c r="D662" i="72"/>
  <c r="O691" i="72"/>
  <c r="P739" i="72"/>
  <c r="K680" i="72"/>
  <c r="F726" i="72"/>
  <c r="M732" i="72"/>
  <c r="E708" i="72"/>
  <c r="G708" i="72"/>
  <c r="D715" i="72"/>
  <c r="G715" i="72"/>
  <c r="G700" i="72"/>
  <c r="Q701" i="72"/>
  <c r="G701" i="72"/>
  <c r="F707" i="72"/>
  <c r="P709" i="72"/>
  <c r="L709" i="72"/>
  <c r="L716" i="72"/>
  <c r="O716" i="72"/>
  <c r="E725" i="72"/>
  <c r="D744" i="72"/>
  <c r="I744" i="72"/>
  <c r="R744" i="72"/>
  <c r="K714" i="72"/>
  <c r="O680" i="72"/>
  <c r="L687" i="72"/>
  <c r="J708" i="72"/>
  <c r="E726" i="72"/>
  <c r="D703" i="72"/>
  <c r="H716" i="72"/>
  <c r="L701" i="72"/>
  <c r="I716" i="72"/>
  <c r="M730" i="72"/>
  <c r="M688" i="72"/>
  <c r="O731" i="72"/>
  <c r="R751" i="72"/>
  <c r="N768" i="72"/>
  <c r="K699" i="72"/>
  <c r="R717" i="72"/>
  <c r="F731" i="72"/>
  <c r="H753" i="72"/>
  <c r="K791" i="72"/>
  <c r="G794" i="72"/>
  <c r="J797" i="72"/>
  <c r="H797" i="72"/>
  <c r="R724" i="72"/>
  <c r="I737" i="72"/>
  <c r="O747" i="72"/>
  <c r="P756" i="72"/>
  <c r="Q768" i="72"/>
  <c r="O791" i="72"/>
  <c r="M753" i="72"/>
  <c r="R768" i="72"/>
  <c r="H795" i="72"/>
  <c r="D690" i="72"/>
  <c r="D717" i="72"/>
  <c r="N733" i="72"/>
  <c r="G745" i="72"/>
  <c r="G757" i="72"/>
  <c r="N764" i="72"/>
  <c r="M766" i="72"/>
  <c r="R776" i="72"/>
  <c r="H757" i="72"/>
  <c r="O764" i="72"/>
  <c r="R785" i="72"/>
  <c r="M795" i="72"/>
  <c r="D735" i="72"/>
  <c r="O795" i="72"/>
  <c r="J745" i="72"/>
  <c r="M784" i="72"/>
  <c r="N784" i="72"/>
  <c r="K751" i="72"/>
  <c r="I751" i="72"/>
  <c r="E767" i="72"/>
  <c r="J776" i="72"/>
  <c r="F791" i="72"/>
  <c r="Q788" i="72"/>
  <c r="P762" i="72"/>
  <c r="L775" i="72"/>
  <c r="L768" i="72"/>
  <c r="F768" i="72"/>
  <c r="I795" i="72"/>
  <c r="F733" i="72"/>
  <c r="I734" i="72"/>
  <c r="G747" i="72"/>
  <c r="H747" i="72"/>
  <c r="E752" i="72"/>
  <c r="P763" i="72"/>
  <c r="M768" i="72"/>
  <c r="L755" i="72"/>
  <c r="E777" i="72"/>
  <c r="K782" i="72"/>
  <c r="F816" i="72"/>
  <c r="J824" i="72"/>
  <c r="R834" i="72"/>
  <c r="M748" i="72"/>
  <c r="Q779" i="72"/>
  <c r="L816" i="72"/>
  <c r="P817" i="72"/>
  <c r="D835" i="72"/>
  <c r="R837" i="72"/>
  <c r="R771" i="72"/>
  <c r="Q818" i="72"/>
  <c r="R818" i="72"/>
  <c r="G819" i="72"/>
  <c r="H821" i="72"/>
  <c r="N821" i="72"/>
  <c r="F848" i="72"/>
  <c r="R759" i="72"/>
  <c r="M809" i="72"/>
  <c r="I818" i="72"/>
  <c r="K843" i="72"/>
  <c r="D804" i="72"/>
  <c r="I831" i="72"/>
  <c r="O831" i="72"/>
  <c r="N792" i="72"/>
  <c r="L829" i="72"/>
  <c r="G831" i="72"/>
  <c r="M828" i="72"/>
  <c r="J804" i="72"/>
  <c r="M831" i="72"/>
  <c r="L828" i="72"/>
  <c r="H771" i="72"/>
  <c r="I835" i="72"/>
  <c r="K835" i="72"/>
  <c r="E793" i="72"/>
  <c r="J851" i="72"/>
  <c r="P778" i="72"/>
  <c r="N822" i="72"/>
  <c r="R850" i="72"/>
  <c r="R851" i="72"/>
  <c r="P869" i="72"/>
  <c r="N869" i="72"/>
  <c r="O836" i="72"/>
  <c r="F866" i="72"/>
  <c r="H866" i="72"/>
  <c r="H867" i="72"/>
  <c r="Q844" i="72"/>
  <c r="P395" i="72"/>
  <c r="N512" i="72"/>
  <c r="K600" i="72"/>
  <c r="G571" i="72"/>
  <c r="G558" i="72"/>
  <c r="P639" i="72"/>
  <c r="G622" i="72"/>
  <c r="I659" i="72"/>
  <c r="N636" i="72"/>
  <c r="F589" i="72"/>
  <c r="J654" i="72"/>
  <c r="Q617" i="72"/>
  <c r="H665" i="72"/>
  <c r="P678" i="72"/>
  <c r="M683" i="72"/>
  <c r="P714" i="72"/>
  <c r="P683" i="72"/>
  <c r="D698" i="72"/>
  <c r="L739" i="72"/>
  <c r="F721" i="72"/>
  <c r="H723" i="72"/>
  <c r="K732" i="72"/>
  <c r="E732" i="72"/>
  <c r="P693" i="72"/>
  <c r="D693" i="72"/>
  <c r="J693" i="72"/>
  <c r="K649" i="72"/>
  <c r="M662" i="72"/>
  <c r="M671" i="72"/>
  <c r="L694" i="72"/>
  <c r="D732" i="72"/>
  <c r="L684" i="72"/>
  <c r="M693" i="72"/>
  <c r="O739" i="72"/>
  <c r="I739" i="72"/>
  <c r="N739" i="72"/>
  <c r="Q697" i="72"/>
  <c r="L726" i="72"/>
  <c r="R697" i="72"/>
  <c r="M741" i="72"/>
  <c r="G741" i="72"/>
  <c r="P741" i="72"/>
  <c r="I714" i="72"/>
  <c r="G725" i="72"/>
  <c r="Q744" i="72"/>
  <c r="E744" i="72"/>
  <c r="E680" i="72"/>
  <c r="I702" i="72"/>
  <c r="O702" i="72"/>
  <c r="H715" i="72"/>
  <c r="G709" i="72"/>
  <c r="Q732" i="72"/>
  <c r="J703" i="72"/>
  <c r="G663" i="72"/>
  <c r="O685" i="72"/>
  <c r="N687" i="72"/>
  <c r="H702" i="72"/>
  <c r="J718" i="72"/>
  <c r="H730" i="72"/>
  <c r="Q660" i="72"/>
  <c r="O690" i="72"/>
  <c r="K705" i="72"/>
  <c r="P720" i="72"/>
  <c r="G733" i="72"/>
  <c r="R738" i="72"/>
  <c r="J752" i="72"/>
  <c r="E775" i="72"/>
  <c r="I733" i="72"/>
  <c r="N743" i="72"/>
  <c r="O768" i="72"/>
  <c r="I772" i="72"/>
  <c r="E772" i="72"/>
  <c r="K773" i="72"/>
  <c r="R773" i="72"/>
  <c r="M760" i="72"/>
  <c r="H764" i="72"/>
  <c r="E764" i="72"/>
  <c r="R699" i="72"/>
  <c r="K712" i="72"/>
  <c r="R731" i="72"/>
  <c r="E750" i="72"/>
  <c r="L760" i="72"/>
  <c r="F773" i="72"/>
  <c r="F795" i="72"/>
  <c r="F745" i="72"/>
  <c r="P775" i="72"/>
  <c r="G613" i="72"/>
  <c r="N737" i="72"/>
  <c r="O760" i="72"/>
  <c r="I761" i="72"/>
  <c r="F785" i="72"/>
  <c r="I740" i="72"/>
  <c r="E745" i="72"/>
  <c r="M745" i="72"/>
  <c r="F750" i="72"/>
  <c r="G754" i="72"/>
  <c r="F754" i="72"/>
  <c r="G717" i="72"/>
  <c r="E746" i="72"/>
  <c r="G762" i="72"/>
  <c r="L762" i="72"/>
  <c r="J762" i="72"/>
  <c r="P776" i="72"/>
  <c r="J791" i="72"/>
  <c r="D791" i="72"/>
  <c r="G746" i="72"/>
  <c r="M762" i="72"/>
  <c r="I775" i="72"/>
  <c r="K787" i="72"/>
  <c r="I787" i="72"/>
  <c r="G795" i="72"/>
  <c r="P795" i="72"/>
  <c r="F710" i="72"/>
  <c r="Q738" i="72"/>
  <c r="F743" i="72"/>
  <c r="D775" i="72"/>
  <c r="L802" i="72"/>
  <c r="N811" i="72"/>
  <c r="J814" i="72"/>
  <c r="I824" i="72"/>
  <c r="M834" i="72"/>
  <c r="J838" i="72"/>
  <c r="D838" i="72"/>
  <c r="M755" i="72"/>
  <c r="F769" i="72"/>
  <c r="D808" i="72"/>
  <c r="L813" i="72"/>
  <c r="F817" i="72"/>
  <c r="Q837" i="72"/>
  <c r="H845" i="72"/>
  <c r="E845" i="72"/>
  <c r="H755" i="72"/>
  <c r="N779" i="72"/>
  <c r="P818" i="72"/>
  <c r="O819" i="72"/>
  <c r="D848" i="72"/>
  <c r="O848" i="72"/>
  <c r="D820" i="72"/>
  <c r="R769" i="72"/>
  <c r="P808" i="72"/>
  <c r="E819" i="72"/>
  <c r="N842" i="72"/>
  <c r="F842" i="72"/>
  <c r="O843" i="72"/>
  <c r="R841" i="72"/>
  <c r="F841" i="72"/>
  <c r="G770" i="72"/>
  <c r="H829" i="72"/>
  <c r="G841" i="72"/>
  <c r="D801" i="72"/>
  <c r="E801" i="72"/>
  <c r="N841" i="72"/>
  <c r="I813" i="72"/>
  <c r="Q841" i="72"/>
  <c r="E786" i="72"/>
  <c r="N796" i="72"/>
  <c r="J807" i="72"/>
  <c r="K832" i="72"/>
  <c r="H832" i="72"/>
  <c r="H796" i="72"/>
  <c r="F810" i="72"/>
  <c r="Q851" i="72"/>
  <c r="O827" i="72"/>
  <c r="K836" i="72"/>
  <c r="R867" i="72"/>
  <c r="G852" i="72"/>
  <c r="G844" i="72"/>
  <c r="H480" i="72"/>
  <c r="G527" i="72"/>
  <c r="K503" i="72"/>
  <c r="F544" i="72"/>
  <c r="I512" i="72"/>
  <c r="K512" i="72"/>
  <c r="G521" i="72"/>
  <c r="E483" i="72"/>
  <c r="P532" i="72"/>
  <c r="K574" i="72"/>
  <c r="L562" i="72"/>
  <c r="G578" i="72"/>
  <c r="J602" i="72"/>
  <c r="K587" i="72"/>
  <c r="N575" i="72"/>
  <c r="J601" i="72"/>
  <c r="Q623" i="72"/>
  <c r="Q584" i="72"/>
  <c r="O659" i="72"/>
  <c r="E636" i="72"/>
  <c r="E617" i="72"/>
  <c r="R612" i="72"/>
  <c r="P586" i="72"/>
  <c r="R628" i="72"/>
  <c r="F652" i="72"/>
  <c r="N631" i="72"/>
  <c r="P716" i="72"/>
  <c r="H698" i="72"/>
  <c r="I620" i="72"/>
  <c r="D631" i="72"/>
  <c r="J653" i="72"/>
  <c r="K681" i="72"/>
  <c r="E684" i="72"/>
  <c r="R700" i="72"/>
  <c r="K697" i="72"/>
  <c r="L721" i="72"/>
  <c r="R723" i="72"/>
  <c r="I723" i="72"/>
  <c r="E679" i="72"/>
  <c r="N686" i="72"/>
  <c r="N697" i="72"/>
  <c r="I741" i="72"/>
  <c r="J616" i="72"/>
  <c r="K684" i="72"/>
  <c r="F694" i="72"/>
  <c r="R718" i="72"/>
  <c r="D675" i="72"/>
  <c r="P697" i="72"/>
  <c r="M739" i="72"/>
  <c r="Q698" i="72"/>
  <c r="Q726" i="72"/>
  <c r="N708" i="72"/>
  <c r="F708" i="72"/>
  <c r="O715" i="72"/>
  <c r="E715" i="72"/>
  <c r="O741" i="72"/>
  <c r="N701" i="72"/>
  <c r="D707" i="72"/>
  <c r="J709" i="72"/>
  <c r="K709" i="72"/>
  <c r="G716" i="72"/>
  <c r="M716" i="72"/>
  <c r="P725" i="72"/>
  <c r="M744" i="72"/>
  <c r="H744" i="72"/>
  <c r="P744" i="72"/>
  <c r="E716" i="72"/>
  <c r="Q687" i="72"/>
  <c r="L714" i="72"/>
  <c r="R703" i="72"/>
  <c r="Q675" i="72"/>
  <c r="F691" i="72"/>
  <c r="H703" i="72"/>
  <c r="N718" i="72"/>
  <c r="L725" i="72"/>
  <c r="R730" i="72"/>
  <c r="K730" i="72"/>
  <c r="P710" i="72"/>
  <c r="E753" i="72"/>
  <c r="I776" i="72"/>
  <c r="F699" i="72"/>
  <c r="D724" i="72"/>
  <c r="P773" i="72"/>
  <c r="M794" i="72"/>
  <c r="D794" i="72"/>
  <c r="E797" i="72"/>
  <c r="F797" i="72"/>
  <c r="I704" i="72"/>
  <c r="K733" i="72"/>
  <c r="D740" i="72"/>
  <c r="I756" i="72"/>
  <c r="D761" i="72"/>
  <c r="K775" i="72"/>
  <c r="L733" i="72"/>
  <c r="F753" i="72"/>
  <c r="D757" i="72"/>
  <c r="Q776" i="72"/>
  <c r="G645" i="72"/>
  <c r="L704" i="72"/>
  <c r="J735" i="72"/>
  <c r="R747" i="72"/>
  <c r="J766" i="72"/>
  <c r="L766" i="72"/>
  <c r="L787" i="72"/>
  <c r="Q757" i="72"/>
  <c r="F757" i="72"/>
  <c r="N785" i="72"/>
  <c r="M733" i="72"/>
  <c r="L757" i="72"/>
  <c r="P704" i="72"/>
  <c r="Q733" i="72"/>
  <c r="R764" i="72"/>
  <c r="F762" i="72"/>
  <c r="H784" i="72"/>
  <c r="I784" i="72"/>
  <c r="D751" i="72"/>
  <c r="H751" i="72"/>
  <c r="O738" i="72"/>
  <c r="R767" i="72"/>
  <c r="G776" i="72"/>
  <c r="E791" i="72"/>
  <c r="L788" i="72"/>
  <c r="H775" i="72"/>
  <c r="P751" i="72"/>
  <c r="E768" i="72"/>
  <c r="D768" i="72"/>
  <c r="Q795" i="72"/>
  <c r="P747" i="72"/>
  <c r="F747" i="72"/>
  <c r="Q752" i="72"/>
  <c r="H760" i="72"/>
  <c r="D763" i="72"/>
  <c r="H776" i="72"/>
  <c r="M759" i="72"/>
  <c r="Q777" i="72"/>
  <c r="P801" i="72"/>
  <c r="K813" i="72"/>
  <c r="G824" i="72"/>
  <c r="D834" i="72"/>
  <c r="P779" i="72"/>
  <c r="R816" i="72"/>
  <c r="N817" i="72"/>
  <c r="P837" i="72"/>
  <c r="O818" i="72"/>
  <c r="N819" i="72"/>
  <c r="P821" i="72"/>
  <c r="F821" i="72"/>
  <c r="M848" i="72"/>
  <c r="I770" i="72"/>
  <c r="J809" i="72"/>
  <c r="F820" i="72"/>
  <c r="P843" i="72"/>
  <c r="D841" i="72"/>
  <c r="E831" i="72"/>
  <c r="L792" i="72"/>
  <c r="K829" i="72"/>
  <c r="I828" i="72"/>
  <c r="E804" i="72"/>
  <c r="L801" i="72"/>
  <c r="O771" i="72"/>
  <c r="O801" i="72"/>
  <c r="N835" i="72"/>
  <c r="F835" i="72"/>
  <c r="K742" i="72"/>
  <c r="G798" i="72"/>
  <c r="P854" i="72"/>
  <c r="L822" i="72"/>
  <c r="N851" i="72"/>
  <c r="D281" i="72"/>
  <c r="E497" i="72"/>
  <c r="P488" i="72"/>
  <c r="J516" i="72"/>
  <c r="Q471" i="72"/>
  <c r="D520" i="72"/>
  <c r="I539" i="72"/>
  <c r="E548" i="72"/>
  <c r="R563" i="72"/>
  <c r="P594" i="72"/>
  <c r="P587" i="72"/>
  <c r="I571" i="72"/>
  <c r="L594" i="72"/>
  <c r="K580" i="72"/>
  <c r="G615" i="72"/>
  <c r="K626" i="72"/>
  <c r="O621" i="72"/>
  <c r="F635" i="72"/>
  <c r="H682" i="72"/>
  <c r="I689" i="72"/>
  <c r="P708" i="72"/>
  <c r="O655" i="72"/>
  <c r="P685" i="72"/>
  <c r="D697" i="72"/>
  <c r="M698" i="72"/>
  <c r="E627" i="72"/>
  <c r="O653" i="72"/>
  <c r="I681" i="72"/>
  <c r="R685" i="72"/>
  <c r="R702" i="72"/>
  <c r="L718" i="72"/>
  <c r="O723" i="72"/>
  <c r="L732" i="72"/>
  <c r="E741" i="72"/>
  <c r="D679" i="72"/>
  <c r="G698" i="72"/>
  <c r="O679" i="72"/>
  <c r="L686" i="72"/>
  <c r="E616" i="72"/>
  <c r="Q657" i="72"/>
  <c r="M686" i="72"/>
  <c r="Q694" i="72"/>
  <c r="G723" i="72"/>
  <c r="H662" i="72"/>
  <c r="I680" i="72"/>
  <c r="K739" i="72"/>
  <c r="D714" i="72"/>
  <c r="G726" i="72"/>
  <c r="D708" i="72"/>
  <c r="K708" i="72"/>
  <c r="K715" i="72"/>
  <c r="L715" i="72"/>
  <c r="Q741" i="72"/>
  <c r="N741" i="72"/>
  <c r="K701" i="72"/>
  <c r="Q707" i="72"/>
  <c r="R707" i="72"/>
  <c r="Q709" i="72"/>
  <c r="J714" i="72"/>
  <c r="J716" i="72"/>
  <c r="K716" i="72"/>
  <c r="N744" i="72"/>
  <c r="L744" i="72"/>
  <c r="I700" i="72"/>
  <c r="O687" i="72"/>
  <c r="E701" i="72"/>
  <c r="F716" i="72"/>
  <c r="M700" i="72"/>
  <c r="I703" i="72"/>
  <c r="L708" i="72"/>
  <c r="J726" i="72"/>
  <c r="P675" i="72"/>
  <c r="M708" i="72"/>
  <c r="I718" i="72"/>
  <c r="O730" i="72"/>
  <c r="I730" i="72"/>
  <c r="O674" i="72"/>
  <c r="H696" i="72"/>
  <c r="N724" i="72"/>
  <c r="E735" i="72"/>
  <c r="F764" i="72"/>
  <c r="P785" i="72"/>
  <c r="O724" i="72"/>
  <c r="F735" i="72"/>
  <c r="M747" i="72"/>
  <c r="J760" i="72"/>
  <c r="O773" i="72"/>
  <c r="K776" i="72"/>
  <c r="F794" i="72"/>
  <c r="P797" i="72"/>
  <c r="P784" i="72"/>
  <c r="I713" i="72"/>
  <c r="R734" i="72"/>
  <c r="P743" i="72"/>
  <c r="P752" i="72"/>
  <c r="E756" i="72"/>
  <c r="O763" i="72"/>
  <c r="Q784" i="72"/>
  <c r="I735" i="72"/>
  <c r="G750" i="72"/>
  <c r="G753" i="72"/>
  <c r="N760" i="72"/>
  <c r="F660" i="72"/>
  <c r="D710" i="72"/>
  <c r="H737" i="72"/>
  <c r="Q766" i="72"/>
  <c r="R791" i="72"/>
  <c r="J757" i="72"/>
  <c r="E757" i="72"/>
  <c r="K785" i="72"/>
  <c r="H733" i="72"/>
  <c r="E738" i="72"/>
  <c r="J750" i="72"/>
  <c r="E762" i="72"/>
  <c r="K704" i="72"/>
  <c r="N735" i="72"/>
  <c r="E751" i="72"/>
  <c r="O762" i="72"/>
  <c r="F784" i="72"/>
  <c r="D784" i="72"/>
  <c r="N751" i="72"/>
  <c r="M738" i="72"/>
  <c r="K767" i="72"/>
  <c r="E776" i="72"/>
  <c r="M791" i="72"/>
  <c r="P791" i="72"/>
  <c r="J788" i="72"/>
  <c r="N788" i="72"/>
  <c r="O775" i="72"/>
  <c r="Q775" i="72"/>
  <c r="J768" i="72"/>
  <c r="L795" i="72"/>
  <c r="L747" i="72"/>
  <c r="Q751" i="72"/>
  <c r="O752" i="72"/>
  <c r="R763" i="72"/>
  <c r="O785" i="72"/>
  <c r="L769" i="72"/>
  <c r="O777" i="72"/>
  <c r="E802" i="72"/>
  <c r="Q814" i="72"/>
  <c r="F824" i="72"/>
  <c r="Q834" i="72"/>
  <c r="P838" i="72"/>
  <c r="Q801" i="72"/>
  <c r="O816" i="72"/>
  <c r="N816" i="72"/>
  <c r="M817" i="72"/>
  <c r="I837" i="72"/>
  <c r="L759" i="72"/>
  <c r="R813" i="72"/>
  <c r="N818" i="72"/>
  <c r="F819" i="72"/>
  <c r="J819" i="72"/>
  <c r="I821" i="72"/>
  <c r="E821" i="72"/>
  <c r="J835" i="72"/>
  <c r="J848" i="72"/>
  <c r="G711" i="72"/>
  <c r="R779" i="72"/>
  <c r="I809" i="72"/>
  <c r="R842" i="72"/>
  <c r="N843" i="72"/>
  <c r="I843" i="72"/>
  <c r="M841" i="72"/>
  <c r="J792" i="72"/>
  <c r="D829" i="72"/>
  <c r="G828" i="72"/>
  <c r="F828" i="72"/>
  <c r="G804" i="72"/>
  <c r="F813" i="72"/>
  <c r="G813" i="72"/>
  <c r="K771" i="72"/>
  <c r="J813" i="72"/>
  <c r="G835" i="72"/>
  <c r="E835" i="72"/>
  <c r="O778" i="72"/>
  <c r="N789" i="72"/>
  <c r="G812" i="72"/>
  <c r="D836" i="72"/>
  <c r="H858" i="72"/>
  <c r="K822" i="72"/>
  <c r="G851" i="72"/>
  <c r="L857" i="72"/>
  <c r="J869" i="72"/>
  <c r="E869" i="72"/>
  <c r="R803" i="72"/>
  <c r="I852" i="72"/>
  <c r="I866" i="72"/>
  <c r="L866" i="72"/>
  <c r="N867" i="72"/>
  <c r="D479" i="72"/>
  <c r="I497" i="72"/>
  <c r="D552" i="72"/>
  <c r="L482" i="72"/>
  <c r="N481" i="72"/>
  <c r="E574" i="72"/>
  <c r="M590" i="72"/>
  <c r="D574" i="72"/>
  <c r="R555" i="72"/>
  <c r="K571" i="72"/>
  <c r="Q615" i="72"/>
  <c r="J666" i="72"/>
  <c r="I583" i="72"/>
  <c r="L665" i="72"/>
  <c r="I635" i="72"/>
  <c r="D599" i="72"/>
  <c r="I668" i="72"/>
  <c r="O663" i="72"/>
  <c r="O714" i="72"/>
  <c r="R687" i="72"/>
  <c r="M697" i="72"/>
  <c r="R663" i="72"/>
  <c r="G686" i="72"/>
  <c r="N703" i="72"/>
  <c r="Q725" i="72"/>
  <c r="K721" i="72"/>
  <c r="H732" i="72"/>
  <c r="P691" i="72"/>
  <c r="I693" i="72"/>
  <c r="D680" i="72"/>
  <c r="G647" i="72"/>
  <c r="G649" i="72"/>
  <c r="Q671" i="72"/>
  <c r="P679" i="72"/>
  <c r="D687" i="72"/>
  <c r="R694" i="72"/>
  <c r="I694" i="72"/>
  <c r="I684" i="72"/>
  <c r="M721" i="72"/>
  <c r="F739" i="72"/>
  <c r="N721" i="72"/>
  <c r="P726" i="72"/>
  <c r="I726" i="72"/>
  <c r="K741" i="72"/>
  <c r="H700" i="72"/>
  <c r="H701" i="72"/>
  <c r="P721" i="72"/>
  <c r="K725" i="72"/>
  <c r="J744" i="72"/>
  <c r="H680" i="72"/>
  <c r="D701" i="72"/>
  <c r="D702" i="72"/>
  <c r="J707" i="72"/>
  <c r="D725" i="72"/>
  <c r="F702" i="72"/>
  <c r="J701" i="72"/>
  <c r="H709" i="72"/>
  <c r="R732" i="72"/>
  <c r="D663" i="72"/>
  <c r="F679" i="72"/>
  <c r="K685" i="72"/>
  <c r="I709" i="72"/>
  <c r="E718" i="72"/>
  <c r="J730" i="72"/>
  <c r="M713" i="72"/>
  <c r="P746" i="72"/>
  <c r="G756" i="72"/>
  <c r="E788" i="72"/>
  <c r="R710" i="72"/>
  <c r="L772" i="72"/>
  <c r="K772" i="72"/>
  <c r="Q773" i="72"/>
  <c r="O784" i="72"/>
  <c r="L794" i="72"/>
  <c r="J764" i="72"/>
  <c r="D660" i="72"/>
  <c r="Q705" i="72"/>
  <c r="H735" i="72"/>
  <c r="D745" i="72"/>
  <c r="J753" i="72"/>
  <c r="L764" i="72"/>
  <c r="J787" i="72"/>
  <c r="G661" i="72"/>
  <c r="J719" i="72"/>
  <c r="M737" i="72"/>
  <c r="N761" i="72"/>
  <c r="F761" i="72"/>
  <c r="F772" i="72"/>
  <c r="E794" i="72"/>
  <c r="P760" i="72"/>
  <c r="D785" i="72"/>
  <c r="G740" i="72"/>
  <c r="Q745" i="72"/>
  <c r="J754" i="72"/>
  <c r="N787" i="72"/>
  <c r="H710" i="72"/>
  <c r="D736" i="72"/>
  <c r="P753" i="72"/>
  <c r="Q762" i="72"/>
  <c r="N738" i="72"/>
  <c r="J746" i="72"/>
  <c r="M776" i="72"/>
  <c r="L791" i="72"/>
  <c r="F746" i="72"/>
  <c r="G788" i="72"/>
  <c r="O751" i="72"/>
  <c r="N775" i="72"/>
  <c r="R762" i="72"/>
  <c r="F787" i="72"/>
  <c r="D787" i="72"/>
  <c r="M717" i="72"/>
  <c r="E736" i="72"/>
  <c r="L743" i="72"/>
  <c r="Q763" i="72"/>
  <c r="D788" i="72"/>
  <c r="I802" i="72"/>
  <c r="J811" i="72"/>
  <c r="D814" i="72"/>
  <c r="O828" i="72"/>
  <c r="H834" i="72"/>
  <c r="P834" i="72"/>
  <c r="G838" i="72"/>
  <c r="O838" i="72"/>
  <c r="I769" i="72"/>
  <c r="G779" i="72"/>
  <c r="R804" i="72"/>
  <c r="G808" i="72"/>
  <c r="L817" i="72"/>
  <c r="Q828" i="72"/>
  <c r="L845" i="72"/>
  <c r="I845" i="72"/>
  <c r="Q748" i="72"/>
  <c r="P769" i="72"/>
  <c r="F782" i="72"/>
  <c r="R819" i="72"/>
  <c r="H820" i="72"/>
  <c r="G820" i="72"/>
  <c r="G727" i="72"/>
  <c r="P782" i="72"/>
  <c r="E809" i="72"/>
  <c r="K837" i="72"/>
  <c r="I842" i="72"/>
  <c r="Q842" i="72"/>
  <c r="F845" i="72"/>
  <c r="E841" i="72"/>
  <c r="J831" i="72"/>
  <c r="J770" i="72"/>
  <c r="D792" i="72"/>
  <c r="F804" i="72"/>
  <c r="E813" i="72"/>
  <c r="K801" i="72"/>
  <c r="J828" i="72"/>
  <c r="N813" i="72"/>
  <c r="L800" i="72"/>
  <c r="F822" i="72"/>
  <c r="O832" i="72"/>
  <c r="D844" i="72"/>
  <c r="Q789" i="72"/>
  <c r="O803" i="72"/>
  <c r="J822" i="72"/>
  <c r="I827" i="72"/>
  <c r="I858" i="72"/>
  <c r="R810" i="72"/>
  <c r="N836" i="72"/>
  <c r="E867" i="72"/>
  <c r="H852" i="72"/>
  <c r="D852" i="72"/>
  <c r="F844" i="72"/>
  <c r="L484" i="72"/>
  <c r="Q589" i="72"/>
  <c r="H683" i="72"/>
  <c r="J732" i="72"/>
  <c r="Q679" i="72"/>
  <c r="D741" i="72"/>
  <c r="O744" i="72"/>
  <c r="J715" i="72"/>
  <c r="G704" i="72"/>
  <c r="J773" i="72"/>
  <c r="Q764" i="72"/>
  <c r="R705" i="72"/>
  <c r="O735" i="72"/>
  <c r="G760" i="72"/>
  <c r="J734" i="72"/>
  <c r="H814" i="72"/>
  <c r="M769" i="72"/>
  <c r="K792" i="72"/>
  <c r="M801" i="72"/>
  <c r="K774" i="72"/>
  <c r="F803" i="72"/>
  <c r="O867" i="72"/>
  <c r="L883" i="72"/>
  <c r="F865" i="72"/>
  <c r="Q865" i="72"/>
  <c r="H805" i="72"/>
  <c r="H812" i="72"/>
  <c r="P836" i="72"/>
  <c r="H869" i="72"/>
  <c r="J854" i="72"/>
  <c r="M850" i="72"/>
  <c r="I854" i="72"/>
  <c r="M857" i="72"/>
  <c r="N865" i="72"/>
  <c r="O854" i="72"/>
  <c r="N858" i="72"/>
  <c r="L826" i="72"/>
  <c r="G860" i="72"/>
  <c r="E872" i="72"/>
  <c r="K890" i="72"/>
  <c r="M870" i="72"/>
  <c r="H874" i="72"/>
  <c r="L907" i="72"/>
  <c r="R907" i="72"/>
  <c r="J907" i="72"/>
  <c r="O868" i="72"/>
  <c r="M881" i="72"/>
  <c r="I872" i="72"/>
  <c r="H881" i="72"/>
  <c r="J879" i="72"/>
  <c r="R868" i="72"/>
  <c r="Q881" i="72"/>
  <c r="Q892" i="72"/>
  <c r="P884" i="72"/>
  <c r="K892" i="72"/>
  <c r="G880" i="72"/>
  <c r="L892" i="72"/>
  <c r="K887" i="72"/>
  <c r="D896" i="72"/>
  <c r="L901" i="72"/>
  <c r="P912" i="72"/>
  <c r="G926" i="72"/>
  <c r="Q926" i="72"/>
  <c r="M926" i="72"/>
  <c r="P859" i="72"/>
  <c r="D895" i="72"/>
  <c r="M901" i="72"/>
  <c r="K916" i="72"/>
  <c r="N933" i="72"/>
  <c r="H933" i="72"/>
  <c r="D933" i="72"/>
  <c r="I846" i="72"/>
  <c r="H893" i="72"/>
  <c r="M898" i="72"/>
  <c r="H909" i="72"/>
  <c r="H917" i="72"/>
  <c r="P925" i="72"/>
  <c r="L925" i="72"/>
  <c r="I921" i="72"/>
  <c r="J912" i="72"/>
  <c r="N921" i="72"/>
  <c r="O901" i="72"/>
  <c r="O932" i="72"/>
  <c r="P934" i="72"/>
  <c r="Q957" i="72"/>
  <c r="K964" i="72"/>
  <c r="D937" i="72"/>
  <c r="H941" i="72"/>
  <c r="G960" i="72"/>
  <c r="Q949" i="72"/>
  <c r="E949" i="72"/>
  <c r="K941" i="72"/>
  <c r="N964" i="72"/>
  <c r="H964" i="72"/>
  <c r="G902" i="72"/>
  <c r="L923" i="72"/>
  <c r="D931" i="72"/>
  <c r="L939" i="72"/>
  <c r="Q959" i="72"/>
  <c r="K937" i="72"/>
  <c r="L955" i="72"/>
  <c r="F948" i="72"/>
  <c r="L960" i="72"/>
  <c r="D960" i="72"/>
  <c r="Q922" i="72"/>
  <c r="G951" i="72"/>
  <c r="Q937" i="72"/>
  <c r="K930" i="72"/>
  <c r="J948" i="72"/>
  <c r="L959" i="72"/>
  <c r="E959" i="72"/>
  <c r="F964" i="72"/>
  <c r="G984" i="72"/>
  <c r="F950" i="72"/>
  <c r="H984" i="72"/>
  <c r="E993" i="72"/>
  <c r="J993" i="72"/>
  <c r="K999" i="72"/>
  <c r="P999" i="72"/>
  <c r="J985" i="72"/>
  <c r="R1004" i="72"/>
  <c r="O971" i="72"/>
  <c r="R991" i="72"/>
  <c r="E976" i="72"/>
  <c r="D958" i="72"/>
  <c r="O969" i="72"/>
  <c r="P1008" i="72"/>
  <c r="J1008" i="72"/>
  <c r="D956" i="72"/>
  <c r="N966" i="72"/>
  <c r="D972" i="72"/>
  <c r="H976" i="72"/>
  <c r="P1004" i="72"/>
  <c r="H1004" i="72"/>
  <c r="E971" i="72"/>
  <c r="N980" i="72"/>
  <c r="D969" i="72"/>
  <c r="K976" i="72"/>
  <c r="I973" i="72"/>
  <c r="P980" i="72"/>
  <c r="G987" i="72"/>
  <c r="P996" i="72"/>
  <c r="J973" i="72"/>
  <c r="F985" i="72"/>
  <c r="G985" i="72"/>
  <c r="O997" i="72"/>
  <c r="I1007" i="72"/>
  <c r="N1012" i="72"/>
  <c r="D1018" i="72"/>
  <c r="H1022" i="72"/>
  <c r="L1026" i="72"/>
  <c r="F1036" i="72"/>
  <c r="P1012" i="72"/>
  <c r="L1024" i="72"/>
  <c r="L1007" i="72"/>
  <c r="Q1012" i="72"/>
  <c r="M1024" i="72"/>
  <c r="Q1028" i="72"/>
  <c r="D1040" i="72"/>
  <c r="I1056" i="72"/>
  <c r="E1056" i="72"/>
  <c r="N1088" i="72"/>
  <c r="F1015" i="72"/>
  <c r="N1072" i="72"/>
  <c r="J1018" i="72"/>
  <c r="G1031" i="72"/>
  <c r="M1037" i="72"/>
  <c r="Q1024" i="72"/>
  <c r="K1038" i="72"/>
  <c r="I1031" i="72"/>
  <c r="G1012" i="72"/>
  <c r="I1030" i="72"/>
  <c r="O1003" i="72"/>
  <c r="N1018" i="72"/>
  <c r="J1040" i="72"/>
  <c r="F1040" i="72"/>
  <c r="D1007" i="72"/>
  <c r="I1012" i="72"/>
  <c r="F1025" i="72"/>
  <c r="K1030" i="72"/>
  <c r="J1011" i="72"/>
  <c r="J1027" i="72"/>
  <c r="I1053" i="72"/>
  <c r="Q1077" i="72"/>
  <c r="K1087" i="72"/>
  <c r="D1096" i="72"/>
  <c r="H1100" i="72"/>
  <c r="L1104" i="72"/>
  <c r="D1047" i="72"/>
  <c r="J1053" i="72"/>
  <c r="O1058" i="72"/>
  <c r="F1097" i="72"/>
  <c r="J1101" i="72"/>
  <c r="M1039" i="72"/>
  <c r="K1053" i="72"/>
  <c r="P1058" i="72"/>
  <c r="K1069" i="72"/>
  <c r="Q1075" i="72"/>
  <c r="L1086" i="72"/>
  <c r="F1096" i="72"/>
  <c r="J1100" i="72"/>
  <c r="N1104" i="72"/>
  <c r="F1047" i="72"/>
  <c r="H1097" i="72"/>
  <c r="L1101" i="72"/>
  <c r="O1039" i="72"/>
  <c r="K1099" i="72"/>
  <c r="O1103" i="72"/>
  <c r="O1070" i="72"/>
  <c r="P1087" i="72"/>
  <c r="E1039" i="72"/>
  <c r="P1049" i="72"/>
  <c r="H1057" i="72"/>
  <c r="M1062" i="72"/>
  <c r="D1069" i="72"/>
  <c r="J1075" i="72"/>
  <c r="N1079" i="72"/>
  <c r="D1085" i="72"/>
  <c r="F1102" i="72"/>
  <c r="O1046" i="72"/>
  <c r="H1055" i="72"/>
  <c r="P1079" i="72"/>
  <c r="H1053" i="72"/>
  <c r="N1075" i="72"/>
  <c r="D1097" i="72"/>
  <c r="P772" i="72"/>
  <c r="K762" i="72"/>
  <c r="J802" i="72"/>
  <c r="O804" i="72"/>
  <c r="M825" i="72"/>
  <c r="D865" i="72"/>
  <c r="M847" i="72"/>
  <c r="N876" i="72"/>
  <c r="G882" i="72"/>
  <c r="O859" i="72"/>
  <c r="K921" i="72"/>
  <c r="I911" i="72"/>
  <c r="O900" i="72"/>
  <c r="J901" i="72"/>
  <c r="Q903" i="72"/>
  <c r="D952" i="72"/>
  <c r="L928" i="72"/>
  <c r="L937" i="72"/>
  <c r="H948" i="72"/>
  <c r="I954" i="72"/>
  <c r="N958" i="72"/>
  <c r="M956" i="72"/>
  <c r="M985" i="72"/>
  <c r="M996" i="72"/>
  <c r="J962" i="72"/>
  <c r="J958" i="72"/>
  <c r="Q980" i="72"/>
  <c r="O1031" i="72"/>
  <c r="D1019" i="72"/>
  <c r="Q1038" i="72"/>
  <c r="M1086" i="72"/>
  <c r="F1062" i="72"/>
  <c r="N1101" i="72"/>
  <c r="E1069" i="72"/>
  <c r="M1075" i="72"/>
  <c r="I1070" i="72"/>
  <c r="F541" i="72"/>
  <c r="R602" i="72"/>
  <c r="Q618" i="72"/>
  <c r="R667" i="72"/>
  <c r="L698" i="72"/>
  <c r="L671" i="72"/>
  <c r="J684" i="72"/>
  <c r="K726" i="72"/>
  <c r="F714" i="72"/>
  <c r="J680" i="72"/>
  <c r="M707" i="72"/>
  <c r="G712" i="72"/>
  <c r="F775" i="72"/>
  <c r="D764" i="72"/>
  <c r="O776" i="72"/>
  <c r="O719" i="72"/>
  <c r="L740" i="72"/>
  <c r="D734" i="72"/>
  <c r="I762" i="72"/>
  <c r="L736" i="72"/>
  <c r="J784" i="72"/>
  <c r="P771" i="72"/>
  <c r="H837" i="72"/>
  <c r="R820" i="72"/>
  <c r="L804" i="72"/>
  <c r="N786" i="72"/>
  <c r="Q822" i="72"/>
  <c r="R789" i="72"/>
  <c r="M866" i="72"/>
  <c r="J883" i="72"/>
  <c r="F883" i="72"/>
  <c r="P865" i="72"/>
  <c r="R822" i="72"/>
  <c r="J825" i="72"/>
  <c r="M844" i="72"/>
  <c r="I849" i="72"/>
  <c r="P853" i="72"/>
  <c r="K853" i="72"/>
  <c r="K850" i="72"/>
  <c r="J850" i="72"/>
  <c r="F863" i="72"/>
  <c r="Q880" i="72"/>
  <c r="R892" i="72"/>
  <c r="M856" i="72"/>
  <c r="Q907" i="72"/>
  <c r="E826" i="72"/>
  <c r="N874" i="72"/>
  <c r="P876" i="72"/>
  <c r="I790" i="72"/>
  <c r="K864" i="72"/>
  <c r="H882" i="72"/>
  <c r="I884" i="72"/>
  <c r="H892" i="72"/>
  <c r="M882" i="72"/>
  <c r="N889" i="72"/>
  <c r="M873" i="72"/>
  <c r="P885" i="72"/>
  <c r="I885" i="72"/>
  <c r="D890" i="72"/>
  <c r="D907" i="72"/>
  <c r="O892" i="72"/>
  <c r="K871" i="72"/>
  <c r="L888" i="72"/>
  <c r="R905" i="72"/>
  <c r="M914" i="72"/>
  <c r="F908" i="72"/>
  <c r="F895" i="72"/>
  <c r="P899" i="72"/>
  <c r="F906" i="72"/>
  <c r="R910" i="72"/>
  <c r="O916" i="72"/>
  <c r="O921" i="72"/>
  <c r="H921" i="72"/>
  <c r="I895" i="72"/>
  <c r="K911" i="72"/>
  <c r="L917" i="72"/>
  <c r="Q917" i="72"/>
  <c r="F859" i="72"/>
  <c r="I894" i="72"/>
  <c r="L909" i="72"/>
  <c r="K895" i="72"/>
  <c r="E900" i="72"/>
  <c r="I905" i="72"/>
  <c r="H932" i="72"/>
  <c r="F925" i="72"/>
  <c r="J905" i="72"/>
  <c r="P895" i="72"/>
  <c r="Q905" i="72"/>
  <c r="H910" i="72"/>
  <c r="K932" i="72"/>
  <c r="E932" i="72"/>
  <c r="D922" i="72"/>
  <c r="J928" i="72"/>
  <c r="F940" i="72"/>
  <c r="K948" i="72"/>
  <c r="N952" i="72"/>
  <c r="F953" i="72"/>
  <c r="J957" i="72"/>
  <c r="F923" i="72"/>
  <c r="M964" i="72"/>
  <c r="H924" i="72"/>
  <c r="O931" i="72"/>
  <c r="H940" i="72"/>
  <c r="O928" i="72"/>
  <c r="K940" i="72"/>
  <c r="D915" i="72"/>
  <c r="M924" i="72"/>
  <c r="M940" i="72"/>
  <c r="L944" i="72"/>
  <c r="O944" i="72"/>
  <c r="Q942" i="72"/>
  <c r="G955" i="72"/>
  <c r="E927" i="72"/>
  <c r="O937" i="72"/>
  <c r="F927" i="72"/>
  <c r="Q938" i="72"/>
  <c r="E941" i="72"/>
  <c r="F941" i="72"/>
  <c r="M958" i="72"/>
  <c r="E966" i="72"/>
  <c r="J971" i="72"/>
  <c r="N975" i="72"/>
  <c r="G992" i="72"/>
  <c r="M992" i="72"/>
  <c r="M998" i="72"/>
  <c r="E965" i="72"/>
  <c r="I969" i="72"/>
  <c r="N974" i="72"/>
  <c r="D980" i="72"/>
  <c r="I988" i="72"/>
  <c r="K1004" i="72"/>
  <c r="F965" i="72"/>
  <c r="J969" i="72"/>
  <c r="O974" i="72"/>
  <c r="F981" i="72"/>
  <c r="G980" i="72"/>
  <c r="R1008" i="72"/>
  <c r="K983" i="72"/>
  <c r="D995" i="72"/>
  <c r="P995" i="72"/>
  <c r="F976" i="72"/>
  <c r="N984" i="72"/>
  <c r="K996" i="72"/>
  <c r="Q996" i="72"/>
  <c r="G976" i="72"/>
  <c r="E1008" i="72"/>
  <c r="O967" i="72"/>
  <c r="N982" i="72"/>
  <c r="F988" i="72"/>
  <c r="M1002" i="72"/>
  <c r="D1002" i="72"/>
  <c r="E991" i="72"/>
  <c r="D968" i="72"/>
  <c r="K974" i="72"/>
  <c r="I991" i="72"/>
  <c r="L1012" i="72"/>
  <c r="I1025" i="72"/>
  <c r="P1038" i="72"/>
  <c r="G1006" i="72"/>
  <c r="L1011" i="72"/>
  <c r="P1015" i="72"/>
  <c r="F1021" i="72"/>
  <c r="J1025" i="72"/>
  <c r="E1036" i="72"/>
  <c r="Q1031" i="72"/>
  <c r="O1028" i="72"/>
  <c r="F1034" i="72"/>
  <c r="O994" i="72"/>
  <c r="I1020" i="72"/>
  <c r="H1035" i="72"/>
  <c r="J1020" i="72"/>
  <c r="O1056" i="72"/>
  <c r="K1088" i="72"/>
  <c r="G1088" i="72"/>
  <c r="F1031" i="72"/>
  <c r="K1072" i="72"/>
  <c r="G1072" i="72"/>
  <c r="Q1025" i="72"/>
  <c r="R1040" i="72"/>
  <c r="H1038" i="72"/>
  <c r="F1012" i="72"/>
  <c r="H1012" i="72"/>
  <c r="E1025" i="72"/>
  <c r="J1030" i="72"/>
  <c r="P1036" i="72"/>
  <c r="N1040" i="72"/>
  <c r="P1019" i="72"/>
  <c r="R1037" i="72"/>
  <c r="K1012" i="72"/>
  <c r="K1028" i="72"/>
  <c r="L1071" i="72"/>
  <c r="I1084" i="72"/>
  <c r="F1048" i="72"/>
  <c r="L1053" i="72"/>
  <c r="Q1058" i="72"/>
  <c r="L1069" i="72"/>
  <c r="K1084" i="72"/>
  <c r="I1049" i="72"/>
  <c r="N1054" i="72"/>
  <c r="L1084" i="72"/>
  <c r="H1047" i="72"/>
  <c r="F1077" i="72"/>
  <c r="L1099" i="72"/>
  <c r="P1103" i="72"/>
  <c r="Q1054" i="72"/>
  <c r="Q1053" i="72"/>
  <c r="D1087" i="72"/>
  <c r="O1049" i="72"/>
  <c r="E1055" i="72"/>
  <c r="L1062" i="72"/>
  <c r="E1071" i="72"/>
  <c r="D1102" i="72"/>
  <c r="E1102" i="72"/>
  <c r="N1046" i="72"/>
  <c r="F1054" i="72"/>
  <c r="P1064" i="72"/>
  <c r="G1071" i="72"/>
  <c r="M1077" i="72"/>
  <c r="G1087" i="72"/>
  <c r="N1061" i="72"/>
  <c r="F1069" i="72"/>
  <c r="L1075" i="72"/>
  <c r="H1087" i="72"/>
  <c r="E1100" i="72"/>
  <c r="I1104" i="72"/>
  <c r="H1054" i="72"/>
  <c r="P1062" i="72"/>
  <c r="I1071" i="72"/>
  <c r="O1077" i="72"/>
  <c r="H1086" i="72"/>
  <c r="D1098" i="72"/>
  <c r="H1102" i="72"/>
  <c r="I1054" i="72"/>
  <c r="O1076" i="72"/>
  <c r="E1098" i="72"/>
  <c r="L509" i="72"/>
  <c r="K638" i="72"/>
  <c r="L697" i="72"/>
  <c r="N707" i="72"/>
  <c r="L754" i="72"/>
  <c r="P816" i="72"/>
  <c r="H836" i="72"/>
  <c r="D883" i="72"/>
  <c r="D803" i="72"/>
  <c r="F849" i="72"/>
  <c r="O850" i="72"/>
  <c r="O865" i="72"/>
  <c r="P860" i="72"/>
  <c r="K879" i="72"/>
  <c r="E864" i="72"/>
  <c r="D892" i="72"/>
  <c r="P873" i="72"/>
  <c r="O890" i="72"/>
  <c r="H908" i="72"/>
  <c r="D906" i="72"/>
  <c r="D921" i="72"/>
  <c r="O917" i="72"/>
  <c r="H877" i="72"/>
  <c r="M897" i="72"/>
  <c r="D910" i="72"/>
  <c r="M932" i="72"/>
  <c r="F924" i="72"/>
  <c r="Q953" i="72"/>
  <c r="J927" i="72"/>
  <c r="M948" i="72"/>
  <c r="J942" i="72"/>
  <c r="H937" i="72"/>
  <c r="I920" i="72"/>
  <c r="L973" i="72"/>
  <c r="I992" i="72"/>
  <c r="L972" i="72"/>
  <c r="M972" i="72"/>
  <c r="N987" i="72"/>
  <c r="K981" i="72"/>
  <c r="G1002" i="72"/>
  <c r="L1027" i="72"/>
  <c r="O1012" i="72"/>
  <c r="E1032" i="72"/>
  <c r="M1056" i="72"/>
  <c r="F1038" i="72"/>
  <c r="L1015" i="72"/>
  <c r="J1070" i="72"/>
  <c r="K1086" i="72"/>
  <c r="I1046" i="72"/>
  <c r="G1104" i="72"/>
  <c r="E1085" i="72"/>
  <c r="H1071" i="72"/>
  <c r="G1069" i="72"/>
  <c r="I1086" i="72"/>
  <c r="K546" i="72"/>
  <c r="I587" i="72"/>
  <c r="P698" i="72"/>
  <c r="K700" i="72"/>
  <c r="K720" i="72"/>
  <c r="P734" i="72"/>
  <c r="N745" i="72"/>
  <c r="M750" i="72"/>
  <c r="D746" i="72"/>
  <c r="G784" i="72"/>
  <c r="E824" i="72"/>
  <c r="Q845" i="72"/>
  <c r="J843" i="72"/>
  <c r="Q829" i="72"/>
  <c r="M804" i="72"/>
  <c r="R796" i="72"/>
  <c r="O852" i="72"/>
  <c r="K883" i="72"/>
  <c r="E865" i="72"/>
  <c r="I749" i="72"/>
  <c r="Q798" i="72"/>
  <c r="Q805" i="72"/>
  <c r="Q854" i="72"/>
  <c r="F854" i="72"/>
  <c r="F850" i="72"/>
  <c r="D857" i="72"/>
  <c r="J857" i="72"/>
  <c r="E858" i="72"/>
  <c r="R858" i="72"/>
  <c r="M833" i="72"/>
  <c r="Q873" i="72"/>
  <c r="I881" i="72"/>
  <c r="K870" i="72"/>
  <c r="H876" i="72"/>
  <c r="G907" i="72"/>
  <c r="P907" i="72"/>
  <c r="I907" i="72"/>
  <c r="L840" i="72"/>
  <c r="K868" i="72"/>
  <c r="J874" i="72"/>
  <c r="D884" i="72"/>
  <c r="K876" i="72"/>
  <c r="F881" i="72"/>
  <c r="J872" i="72"/>
  <c r="M879" i="72"/>
  <c r="O872" i="72"/>
  <c r="F879" i="72"/>
  <c r="I806" i="72"/>
  <c r="N872" i="72"/>
  <c r="J884" i="72"/>
  <c r="P892" i="72"/>
  <c r="E889" i="72"/>
  <c r="E880" i="72"/>
  <c r="K889" i="72"/>
  <c r="O907" i="72"/>
  <c r="O875" i="72"/>
  <c r="E897" i="72"/>
  <c r="J906" i="72"/>
  <c r="I914" i="72"/>
  <c r="F926" i="72"/>
  <c r="P926" i="72"/>
  <c r="J926" i="72"/>
  <c r="P875" i="72"/>
  <c r="E896" i="72"/>
  <c r="O899" i="72"/>
  <c r="J933" i="72"/>
  <c r="F900" i="72"/>
  <c r="G911" i="72"/>
  <c r="J916" i="72"/>
  <c r="M933" i="72"/>
  <c r="G933" i="72"/>
  <c r="Q933" i="72"/>
  <c r="H861" i="72"/>
  <c r="J895" i="72"/>
  <c r="G909" i="72"/>
  <c r="L895" i="72"/>
  <c r="D901" i="72"/>
  <c r="O925" i="72"/>
  <c r="I925" i="72"/>
  <c r="Q912" i="72"/>
  <c r="M921" i="72"/>
  <c r="F901" i="72"/>
  <c r="N932" i="72"/>
  <c r="Q935" i="72"/>
  <c r="G949" i="72"/>
  <c r="J953" i="72"/>
  <c r="N957" i="72"/>
  <c r="N915" i="72"/>
  <c r="M930" i="72"/>
  <c r="E938" i="72"/>
  <c r="I942" i="72"/>
  <c r="O915" i="72"/>
  <c r="P943" i="72"/>
  <c r="M949" i="72"/>
  <c r="D949" i="72"/>
  <c r="L942" i="72"/>
  <c r="I959" i="72"/>
  <c r="Q964" i="72"/>
  <c r="L964" i="72"/>
  <c r="G964" i="72"/>
  <c r="G934" i="72"/>
  <c r="L922" i="72"/>
  <c r="R959" i="72"/>
  <c r="K955" i="72"/>
  <c r="I951" i="72"/>
  <c r="K960" i="72"/>
  <c r="Q960" i="72"/>
  <c r="D941" i="72"/>
  <c r="O951" i="72"/>
  <c r="F951" i="72"/>
  <c r="G942" i="72"/>
  <c r="E948" i="72"/>
  <c r="K959" i="72"/>
  <c r="D981" i="72"/>
  <c r="H985" i="72"/>
  <c r="P998" i="72"/>
  <c r="I985" i="72"/>
  <c r="N991" i="72"/>
  <c r="Q993" i="72"/>
  <c r="G999" i="72"/>
  <c r="F1008" i="72"/>
  <c r="L987" i="72"/>
  <c r="L969" i="72"/>
  <c r="K967" i="72"/>
  <c r="Q973" i="72"/>
  <c r="I980" i="72"/>
  <c r="J995" i="72"/>
  <c r="K965" i="72"/>
  <c r="Q971" i="72"/>
  <c r="O1008" i="72"/>
  <c r="I1008" i="72"/>
  <c r="F958" i="72"/>
  <c r="E973" i="72"/>
  <c r="I977" i="72"/>
  <c r="O983" i="72"/>
  <c r="O1004" i="72"/>
  <c r="F1004" i="72"/>
  <c r="G973" i="72"/>
  <c r="F971" i="72"/>
  <c r="O980" i="72"/>
  <c r="J974" i="72"/>
  <c r="Q981" i="72"/>
  <c r="K988" i="72"/>
  <c r="K958" i="72"/>
  <c r="L975" i="72"/>
  <c r="H987" i="72"/>
  <c r="F991" i="72"/>
  <c r="K994" i="72"/>
  <c r="O1030" i="72"/>
  <c r="K1009" i="72"/>
  <c r="O1013" i="72"/>
  <c r="E1019" i="72"/>
  <c r="I1023" i="72"/>
  <c r="M1027" i="72"/>
  <c r="G1037" i="72"/>
  <c r="M1025" i="72"/>
  <c r="N1009" i="72"/>
  <c r="N1025" i="72"/>
  <c r="H1056" i="72"/>
  <c r="D1056" i="72"/>
  <c r="Q1088" i="72"/>
  <c r="M1088" i="72"/>
  <c r="K1020" i="72"/>
  <c r="Q1072" i="72"/>
  <c r="M1072" i="72"/>
  <c r="D1012" i="72"/>
  <c r="J1034" i="72"/>
  <c r="E1012" i="72"/>
  <c r="E1028" i="72"/>
  <c r="O1038" i="72"/>
  <c r="N1036" i="72"/>
  <c r="D1025" i="72"/>
  <c r="J1031" i="72"/>
  <c r="Q989" i="72"/>
  <c r="O1019" i="72"/>
  <c r="I1040" i="72"/>
  <c r="F1009" i="72"/>
  <c r="J1013" i="72"/>
  <c r="Q1020" i="72"/>
  <c r="G1026" i="72"/>
  <c r="L1031" i="72"/>
  <c r="I1038" i="72"/>
  <c r="M1014" i="72"/>
  <c r="M1030" i="72"/>
  <c r="N1074" i="72"/>
  <c r="H1084" i="72"/>
  <c r="E1097" i="72"/>
  <c r="I1101" i="72"/>
  <c r="L1039" i="72"/>
  <c r="E1048" i="72"/>
  <c r="K1054" i="72"/>
  <c r="O1090" i="72"/>
  <c r="G1098" i="72"/>
  <c r="K1102" i="72"/>
  <c r="L1054" i="72"/>
  <c r="L1070" i="72"/>
  <c r="M1087" i="72"/>
  <c r="G1097" i="72"/>
  <c r="K1101" i="72"/>
  <c r="N1039" i="72"/>
  <c r="G1048" i="72"/>
  <c r="Q1090" i="72"/>
  <c r="I1098" i="72"/>
  <c r="M1102" i="72"/>
  <c r="M1069" i="72"/>
  <c r="H1096" i="72"/>
  <c r="L1100" i="72"/>
  <c r="P1104" i="72"/>
  <c r="N1053" i="72"/>
  <c r="G1062" i="72"/>
  <c r="P1071" i="72"/>
  <c r="M1084" i="72"/>
  <c r="M1046" i="72"/>
  <c r="D1053" i="72"/>
  <c r="I1058" i="72"/>
  <c r="N1063" i="72"/>
  <c r="E1070" i="72"/>
  <c r="K1076" i="72"/>
  <c r="O1080" i="72"/>
  <c r="E1086" i="72"/>
  <c r="G1103" i="72"/>
  <c r="P1047" i="72"/>
  <c r="J1057" i="72"/>
  <c r="J1055" i="72"/>
  <c r="P1077" i="72"/>
  <c r="F1099" i="72"/>
  <c r="O565" i="72"/>
  <c r="F725" i="72"/>
  <c r="O788" i="72"/>
  <c r="G832" i="72"/>
  <c r="G883" i="72"/>
  <c r="G825" i="72"/>
  <c r="F876" i="72"/>
  <c r="L833" i="72"/>
  <c r="Q874" i="72"/>
  <c r="L885" i="72"/>
  <c r="O888" i="72"/>
  <c r="Q921" i="72"/>
  <c r="F917" i="72"/>
  <c r="E912" i="72"/>
  <c r="H942" i="72"/>
  <c r="F922" i="72"/>
  <c r="D959" i="72"/>
  <c r="O942" i="72"/>
  <c r="P942" i="72"/>
  <c r="H930" i="72"/>
  <c r="Q962" i="72"/>
  <c r="J1004" i="72"/>
  <c r="H967" i="72"/>
  <c r="R987" i="72"/>
  <c r="L980" i="72"/>
  <c r="D985" i="72"/>
  <c r="I1009" i="72"/>
  <c r="N1013" i="72"/>
  <c r="J1037" i="72"/>
  <c r="I1088" i="72"/>
  <c r="I1072" i="72"/>
  <c r="F1010" i="72"/>
  <c r="F1023" i="72"/>
  <c r="J1069" i="72"/>
  <c r="D1046" i="72"/>
  <c r="P1090" i="72"/>
  <c r="F1104" i="72"/>
  <c r="K1075" i="72"/>
  <c r="P1063" i="72"/>
  <c r="F1100" i="72"/>
  <c r="D571" i="72"/>
  <c r="O698" i="72"/>
  <c r="F698" i="72"/>
  <c r="Q691" i="72"/>
  <c r="I604" i="72"/>
  <c r="M701" i="72"/>
  <c r="L702" i="72"/>
  <c r="L707" i="72"/>
  <c r="G718" i="72"/>
  <c r="N734" i="72"/>
  <c r="Q746" i="72"/>
  <c r="H767" i="72"/>
  <c r="G768" i="72"/>
  <c r="G787" i="72"/>
  <c r="D743" i="72"/>
  <c r="L808" i="72"/>
  <c r="D845" i="72"/>
  <c r="Q813" i="72"/>
  <c r="O810" i="72"/>
  <c r="P866" i="72"/>
  <c r="H883" i="72"/>
  <c r="E883" i="72"/>
  <c r="R883" i="72"/>
  <c r="F778" i="72"/>
  <c r="D810" i="72"/>
  <c r="D825" i="72"/>
  <c r="H825" i="72"/>
  <c r="L849" i="72"/>
  <c r="G849" i="72"/>
  <c r="J853" i="72"/>
  <c r="H854" i="72"/>
  <c r="L854" i="72"/>
  <c r="M858" i="72"/>
  <c r="Q860" i="72"/>
  <c r="D863" i="72"/>
  <c r="G874" i="72"/>
  <c r="M826" i="72"/>
  <c r="L856" i="72"/>
  <c r="Q885" i="72"/>
  <c r="N826" i="72"/>
  <c r="J876" i="72"/>
  <c r="E874" i="72"/>
  <c r="L879" i="72"/>
  <c r="G864" i="72"/>
  <c r="E873" i="72"/>
  <c r="H884" i="72"/>
  <c r="G892" i="72"/>
  <c r="Q879" i="72"/>
  <c r="I882" i="72"/>
  <c r="M889" i="72"/>
  <c r="D873" i="72"/>
  <c r="O885" i="72"/>
  <c r="Q890" i="72"/>
  <c r="N892" i="72"/>
  <c r="K823" i="72"/>
  <c r="O891" i="72"/>
  <c r="L908" i="72"/>
  <c r="L914" i="72"/>
  <c r="M908" i="72"/>
  <c r="P910" i="72"/>
  <c r="M886" i="72"/>
  <c r="G896" i="72"/>
  <c r="E906" i="72"/>
  <c r="N916" i="72"/>
  <c r="L921" i="72"/>
  <c r="E921" i="72"/>
  <c r="J896" i="72"/>
  <c r="G905" i="72"/>
  <c r="J911" i="72"/>
  <c r="K917" i="72"/>
  <c r="P917" i="72"/>
  <c r="I862" i="72"/>
  <c r="J900" i="72"/>
  <c r="N911" i="72"/>
  <c r="L896" i="72"/>
  <c r="P900" i="72"/>
  <c r="E925" i="72"/>
  <c r="E905" i="72"/>
  <c r="Q896" i="72"/>
  <c r="O910" i="72"/>
  <c r="R921" i="72"/>
  <c r="J932" i="72"/>
  <c r="D932" i="72"/>
  <c r="P902" i="72"/>
  <c r="E923" i="72"/>
  <c r="G941" i="72"/>
  <c r="N951" i="72"/>
  <c r="I952" i="72"/>
  <c r="E953" i="72"/>
  <c r="I957" i="72"/>
  <c r="G924" i="72"/>
  <c r="K927" i="72"/>
  <c r="E937" i="72"/>
  <c r="I941" i="72"/>
  <c r="Q951" i="72"/>
  <c r="Q930" i="72"/>
  <c r="L941" i="72"/>
  <c r="R960" i="72"/>
  <c r="G918" i="72"/>
  <c r="P927" i="72"/>
  <c r="H935" i="72"/>
  <c r="N941" i="72"/>
  <c r="H944" i="72"/>
  <c r="P949" i="72"/>
  <c r="O941" i="72"/>
  <c r="E930" i="72"/>
  <c r="F928" i="72"/>
  <c r="P938" i="72"/>
  <c r="D955" i="72"/>
  <c r="G928" i="72"/>
  <c r="E955" i="72"/>
  <c r="F942" i="72"/>
  <c r="P959" i="72"/>
  <c r="E950" i="72"/>
  <c r="P961" i="72"/>
  <c r="F967" i="72"/>
  <c r="K972" i="72"/>
  <c r="O976" i="72"/>
  <c r="E992" i="72"/>
  <c r="J992" i="72"/>
  <c r="K998" i="72"/>
  <c r="L956" i="72"/>
  <c r="F966" i="72"/>
  <c r="K971" i="72"/>
  <c r="O975" i="72"/>
  <c r="E981" i="72"/>
  <c r="G950" i="72"/>
  <c r="G966" i="72"/>
  <c r="L971" i="72"/>
  <c r="P975" i="72"/>
  <c r="L985" i="72"/>
  <c r="L984" i="72"/>
  <c r="M995" i="72"/>
  <c r="J980" i="72"/>
  <c r="O985" i="72"/>
  <c r="I996" i="72"/>
  <c r="N996" i="72"/>
  <c r="P985" i="72"/>
  <c r="D1008" i="72"/>
  <c r="P968" i="72"/>
  <c r="J978" i="72"/>
  <c r="Q1002" i="72"/>
  <c r="J1002" i="72"/>
  <c r="E987" i="72"/>
  <c r="Q995" i="72"/>
  <c r="E969" i="72"/>
  <c r="D967" i="72"/>
  <c r="M976" i="72"/>
  <c r="H991" i="72"/>
  <c r="O1015" i="72"/>
  <c r="L1028" i="72"/>
  <c r="H1007" i="72"/>
  <c r="M1012" i="72"/>
  <c r="Q1016" i="72"/>
  <c r="G1022" i="72"/>
  <c r="K1026" i="72"/>
  <c r="F1037" i="72"/>
  <c r="E1003" i="72"/>
  <c r="F1018" i="72"/>
  <c r="H1036" i="72"/>
  <c r="D1015" i="72"/>
  <c r="J1021" i="72"/>
  <c r="D1031" i="72"/>
  <c r="I1036" i="72"/>
  <c r="N1056" i="72"/>
  <c r="J1088" i="72"/>
  <c r="F1088" i="72"/>
  <c r="I1034" i="72"/>
  <c r="J1072" i="72"/>
  <c r="F1072" i="72"/>
  <c r="L1020" i="72"/>
  <c r="G1038" i="72"/>
  <c r="J1015" i="72"/>
  <c r="F994" i="72"/>
  <c r="E1009" i="72"/>
  <c r="F1026" i="72"/>
  <c r="K1031" i="72"/>
  <c r="Q1037" i="72"/>
  <c r="Q1040" i="72"/>
  <c r="M1040" i="72"/>
  <c r="K1014" i="72"/>
  <c r="N1015" i="72"/>
  <c r="N1031" i="72"/>
  <c r="I1069" i="72"/>
  <c r="N1090" i="72"/>
  <c r="O1074" i="72"/>
  <c r="J1085" i="72"/>
  <c r="Q1043" i="72"/>
  <c r="G1049" i="72"/>
  <c r="M1054" i="72"/>
  <c r="M1070" i="72"/>
  <c r="L1085" i="72"/>
  <c r="F1046" i="72"/>
  <c r="O1055" i="72"/>
  <c r="M1085" i="72"/>
  <c r="I1048" i="72"/>
  <c r="I1096" i="72"/>
  <c r="M1100" i="72"/>
  <c r="Q1104" i="72"/>
  <c r="P1069" i="72"/>
  <c r="Q1069" i="72"/>
  <c r="L1046" i="72"/>
  <c r="M1063" i="72"/>
  <c r="E1103" i="72"/>
  <c r="F1103" i="72"/>
  <c r="O1047" i="72"/>
  <c r="G1055" i="72"/>
  <c r="M1061" i="72"/>
  <c r="Q1065" i="72"/>
  <c r="J1074" i="72"/>
  <c r="D1084" i="72"/>
  <c r="O1062" i="72"/>
  <c r="G1070" i="72"/>
  <c r="M1076" i="72"/>
  <c r="E1084" i="72"/>
  <c r="F1101" i="72"/>
  <c r="I1039" i="72"/>
  <c r="I1055" i="72"/>
  <c r="Q1063" i="72"/>
  <c r="L1074" i="72"/>
  <c r="I1087" i="72"/>
  <c r="E1099" i="72"/>
  <c r="I1103" i="72"/>
  <c r="Q1062" i="72"/>
  <c r="G1084" i="72"/>
  <c r="G1100" i="72"/>
  <c r="P1009" i="72"/>
  <c r="O1007" i="72"/>
  <c r="M1018" i="72"/>
  <c r="G1027" i="72"/>
  <c r="P1040" i="72"/>
  <c r="J1049" i="72"/>
  <c r="J1097" i="72"/>
  <c r="M1047" i="72"/>
  <c r="N1062" i="72"/>
  <c r="F1085" i="72"/>
  <c r="L1058" i="72"/>
  <c r="J1104" i="72"/>
  <c r="N520" i="72"/>
  <c r="O594" i="72"/>
  <c r="D615" i="72"/>
  <c r="L693" i="72"/>
  <c r="J694" i="72"/>
  <c r="H739" i="72"/>
  <c r="M702" i="72"/>
  <c r="J725" i="72"/>
  <c r="N726" i="72"/>
  <c r="M743" i="72"/>
  <c r="I750" i="72"/>
  <c r="D750" i="72"/>
  <c r="Q767" i="72"/>
  <c r="F834" i="72"/>
  <c r="H748" i="72"/>
  <c r="L809" i="72"/>
  <c r="J841" i="72"/>
  <c r="D832" i="72"/>
  <c r="R854" i="72"/>
  <c r="H827" i="72"/>
  <c r="E852" i="72"/>
  <c r="Q883" i="72"/>
  <c r="L865" i="72"/>
  <c r="M865" i="72"/>
  <c r="H780" i="72"/>
  <c r="J798" i="72"/>
  <c r="I853" i="72"/>
  <c r="M854" i="72"/>
  <c r="P857" i="72"/>
  <c r="F857" i="72"/>
  <c r="D858" i="72"/>
  <c r="Q858" i="72"/>
  <c r="L858" i="72"/>
  <c r="M840" i="72"/>
  <c r="N833" i="72"/>
  <c r="J868" i="72"/>
  <c r="J870" i="72"/>
  <c r="H879" i="72"/>
  <c r="R889" i="72"/>
  <c r="F907" i="72"/>
  <c r="M907" i="72"/>
  <c r="H907" i="72"/>
  <c r="J847" i="72"/>
  <c r="I868" i="72"/>
  <c r="E881" i="72"/>
  <c r="G876" i="72"/>
  <c r="F884" i="72"/>
  <c r="M872" i="72"/>
  <c r="D879" i="72"/>
  <c r="P874" i="72"/>
  <c r="O884" i="72"/>
  <c r="M884" i="72"/>
  <c r="D889" i="72"/>
  <c r="J892" i="72"/>
  <c r="D880" i="72"/>
  <c r="N907" i="72"/>
  <c r="K839" i="72"/>
  <c r="Q877" i="72"/>
  <c r="F898" i="72"/>
  <c r="H914" i="72"/>
  <c r="E926" i="72"/>
  <c r="O926" i="72"/>
  <c r="I926" i="72"/>
  <c r="K886" i="72"/>
  <c r="F897" i="72"/>
  <c r="N899" i="72"/>
  <c r="E911" i="72"/>
  <c r="R901" i="72"/>
  <c r="K925" i="72"/>
  <c r="E916" i="72"/>
  <c r="L933" i="72"/>
  <c r="F933" i="72"/>
  <c r="P933" i="72"/>
  <c r="F875" i="72"/>
  <c r="K896" i="72"/>
  <c r="D912" i="72"/>
  <c r="N909" i="72"/>
  <c r="O911" i="72"/>
  <c r="M896" i="72"/>
  <c r="K905" i="72"/>
  <c r="N925" i="72"/>
  <c r="H925" i="72"/>
  <c r="I901" i="72"/>
  <c r="L912" i="72"/>
  <c r="Q895" i="72"/>
  <c r="Q901" i="72"/>
  <c r="L930" i="72"/>
  <c r="I953" i="72"/>
  <c r="M957" i="72"/>
  <c r="Q918" i="72"/>
  <c r="N931" i="72"/>
  <c r="F939" i="72"/>
  <c r="J943" i="72"/>
  <c r="O943" i="72"/>
  <c r="K949" i="72"/>
  <c r="P955" i="72"/>
  <c r="M941" i="72"/>
  <c r="P964" i="72"/>
  <c r="J964" i="72"/>
  <c r="E964" i="72"/>
  <c r="H919" i="72"/>
  <c r="J937" i="72"/>
  <c r="Q927" i="72"/>
  <c r="Q955" i="72"/>
  <c r="J955" i="72"/>
  <c r="H960" i="72"/>
  <c r="P960" i="72"/>
  <c r="I930" i="72"/>
  <c r="E942" i="72"/>
  <c r="M951" i="72"/>
  <c r="P948" i="72"/>
  <c r="D948" i="72"/>
  <c r="J959" i="72"/>
  <c r="E982" i="72"/>
  <c r="J987" i="72"/>
  <c r="O998" i="72"/>
  <c r="K987" i="72"/>
  <c r="H993" i="72"/>
  <c r="N993" i="72"/>
  <c r="N999" i="72"/>
  <c r="D999" i="72"/>
  <c r="H983" i="72"/>
  <c r="O991" i="72"/>
  <c r="N971" i="72"/>
  <c r="L968" i="72"/>
  <c r="N969" i="72"/>
  <c r="N985" i="72"/>
  <c r="H995" i="72"/>
  <c r="M967" i="72"/>
  <c r="M1008" i="72"/>
  <c r="H1008" i="72"/>
  <c r="I961" i="72"/>
  <c r="F974" i="72"/>
  <c r="K979" i="72"/>
  <c r="P984" i="72"/>
  <c r="L1004" i="72"/>
  <c r="E1004" i="72"/>
  <c r="I975" i="72"/>
  <c r="H973" i="72"/>
  <c r="H956" i="72"/>
  <c r="K975" i="72"/>
  <c r="D984" i="72"/>
  <c r="G991" i="72"/>
  <c r="E968" i="72"/>
  <c r="J991" i="72"/>
  <c r="D991" i="72"/>
  <c r="G1004" i="72"/>
  <c r="N997" i="72"/>
  <c r="P1031" i="72"/>
  <c r="L1010" i="72"/>
  <c r="P1014" i="72"/>
  <c r="F1020" i="72"/>
  <c r="J1024" i="72"/>
  <c r="N1028" i="72"/>
  <c r="D1034" i="72"/>
  <c r="R1038" i="72"/>
  <c r="M1009" i="72"/>
  <c r="O1027" i="72"/>
  <c r="H1003" i="72"/>
  <c r="O1010" i="72"/>
  <c r="K1022" i="72"/>
  <c r="O1026" i="72"/>
  <c r="K1056" i="72"/>
  <c r="G1056" i="72"/>
  <c r="P1088" i="72"/>
  <c r="L1088" i="72"/>
  <c r="O1024" i="72"/>
  <c r="P1072" i="72"/>
  <c r="L1072" i="72"/>
  <c r="F1014" i="72"/>
  <c r="D1028" i="72"/>
  <c r="K1035" i="72"/>
  <c r="H1015" i="72"/>
  <c r="H1031" i="72"/>
  <c r="N1038" i="72"/>
  <c r="N1020" i="72"/>
  <c r="D1009" i="72"/>
  <c r="F1027" i="72"/>
  <c r="M1034" i="72"/>
  <c r="J1014" i="72"/>
  <c r="P1020" i="72"/>
  <c r="D1038" i="72"/>
  <c r="H1040" i="72"/>
  <c r="G994" i="72"/>
  <c r="G1010" i="72"/>
  <c r="D1023" i="72"/>
  <c r="H1027" i="72"/>
  <c r="O1034" i="72"/>
  <c r="I994" i="72"/>
  <c r="Q1018" i="72"/>
  <c r="Q1034" i="72"/>
  <c r="O1075" i="72"/>
  <c r="I1085" i="72"/>
  <c r="F1098" i="72"/>
  <c r="J1102" i="72"/>
  <c r="F1049" i="72"/>
  <c r="L1055" i="72"/>
  <c r="H1099" i="72"/>
  <c r="L1103" i="72"/>
  <c r="M1055" i="72"/>
  <c r="D1062" i="72"/>
  <c r="M1071" i="72"/>
  <c r="J1084" i="72"/>
  <c r="H1098" i="72"/>
  <c r="L1102" i="72"/>
  <c r="H1049" i="72"/>
  <c r="E1062" i="72"/>
  <c r="J1099" i="72"/>
  <c r="N1103" i="72"/>
  <c r="K1051" i="72"/>
  <c r="N1070" i="72"/>
  <c r="I1097" i="72"/>
  <c r="M1101" i="72"/>
  <c r="P1039" i="72"/>
  <c r="O1054" i="72"/>
  <c r="I1080" i="72"/>
  <c r="N1085" i="72"/>
  <c r="D1103" i="72"/>
  <c r="Q1051" i="72"/>
  <c r="H1058" i="72"/>
  <c r="D1086" i="72"/>
  <c r="N1047" i="72"/>
  <c r="E1054" i="72"/>
  <c r="F1071" i="72"/>
  <c r="L1077" i="72"/>
  <c r="P1081" i="72"/>
  <c r="F1087" i="72"/>
  <c r="D1100" i="72"/>
  <c r="H1104" i="72"/>
  <c r="F1053" i="72"/>
  <c r="K1058" i="72"/>
  <c r="K1090" i="72"/>
  <c r="P1046" i="72"/>
  <c r="Q1079" i="72"/>
  <c r="H1069" i="72"/>
  <c r="H1085" i="72"/>
  <c r="H1101" i="72"/>
  <c r="J570" i="72"/>
  <c r="D721" i="72"/>
  <c r="E663" i="72"/>
  <c r="E866" i="72"/>
  <c r="R853" i="72"/>
  <c r="K865" i="72"/>
  <c r="L890" i="72"/>
  <c r="M892" i="72"/>
  <c r="F890" i="72"/>
  <c r="Q893" i="72"/>
  <c r="H897" i="72"/>
  <c r="D905" i="72"/>
  <c r="J910" i="72"/>
  <c r="D938" i="72"/>
  <c r="F938" i="72"/>
  <c r="I922" i="72"/>
  <c r="Q928" i="72"/>
  <c r="I915" i="72"/>
  <c r="G968" i="72"/>
  <c r="D992" i="72"/>
  <c r="G967" i="72"/>
  <c r="D976" i="72"/>
  <c r="L995" i="72"/>
  <c r="H996" i="72"/>
  <c r="J1009" i="72"/>
  <c r="H1020" i="72"/>
  <c r="G1018" i="72"/>
  <c r="E1088" i="72"/>
  <c r="E1072" i="72"/>
  <c r="F1007" i="72"/>
  <c r="P1075" i="72"/>
  <c r="N1071" i="72"/>
  <c r="G1047" i="72"/>
  <c r="I1057" i="72"/>
  <c r="G1102" i="72"/>
  <c r="Q539" i="72"/>
  <c r="E563" i="72"/>
  <c r="J702" i="72"/>
  <c r="I662" i="72"/>
  <c r="I649" i="72"/>
  <c r="J721" i="72"/>
  <c r="L763" i="72"/>
  <c r="O772" i="72"/>
  <c r="R784" i="72"/>
  <c r="G761" i="72"/>
  <c r="Q760" i="72"/>
  <c r="D795" i="72"/>
  <c r="G811" i="72"/>
  <c r="L838" i="72"/>
  <c r="J782" i="72"/>
  <c r="H848" i="72"/>
  <c r="D821" i="72"/>
  <c r="K857" i="72"/>
  <c r="P844" i="72"/>
  <c r="O883" i="72"/>
  <c r="H865" i="72"/>
  <c r="O812" i="72"/>
  <c r="P827" i="72"/>
  <c r="D866" i="72"/>
  <c r="K854" i="72"/>
  <c r="I865" i="72"/>
  <c r="I850" i="72"/>
  <c r="N857" i="72"/>
  <c r="N854" i="72"/>
  <c r="O858" i="72"/>
  <c r="K799" i="72"/>
  <c r="J856" i="72"/>
  <c r="N885" i="72"/>
  <c r="Q870" i="72"/>
  <c r="R880" i="72"/>
  <c r="E907" i="72"/>
  <c r="K907" i="72"/>
  <c r="P856" i="72"/>
  <c r="H868" i="72"/>
  <c r="P890" i="72"/>
  <c r="L881" i="72"/>
  <c r="E884" i="72"/>
  <c r="L872" i="72"/>
  <c r="G884" i="72"/>
  <c r="O879" i="72"/>
  <c r="K880" i="72"/>
  <c r="P882" i="72"/>
  <c r="E879" i="72"/>
  <c r="J886" i="72"/>
  <c r="J899" i="72"/>
  <c r="D911" i="72"/>
  <c r="D926" i="72"/>
  <c r="N926" i="72"/>
  <c r="H926" i="72"/>
  <c r="M888" i="72"/>
  <c r="G898" i="72"/>
  <c r="M899" i="72"/>
  <c r="R912" i="72"/>
  <c r="P908" i="72"/>
  <c r="K933" i="72"/>
  <c r="E933" i="72"/>
  <c r="O933" i="72"/>
  <c r="Q886" i="72"/>
  <c r="L897" i="72"/>
  <c r="H916" i="72"/>
  <c r="I909" i="72"/>
  <c r="N897" i="72"/>
  <c r="M925" i="72"/>
  <c r="G925" i="72"/>
  <c r="O905" i="72"/>
  <c r="K912" i="72"/>
  <c r="P905" i="72"/>
  <c r="P901" i="72"/>
  <c r="P932" i="72"/>
  <c r="M931" i="72"/>
  <c r="H953" i="72"/>
  <c r="L957" i="72"/>
  <c r="Q934" i="72"/>
  <c r="G940" i="72"/>
  <c r="P951" i="72"/>
  <c r="N948" i="72"/>
  <c r="F949" i="72"/>
  <c r="I960" i="72"/>
  <c r="N942" i="72"/>
  <c r="O964" i="72"/>
  <c r="I964" i="72"/>
  <c r="D964" i="72"/>
  <c r="K922" i="72"/>
  <c r="K938" i="72"/>
  <c r="P953" i="72"/>
  <c r="D930" i="72"/>
  <c r="O955" i="72"/>
  <c r="D942" i="72"/>
  <c r="M960" i="72"/>
  <c r="F960" i="72"/>
  <c r="O960" i="72"/>
  <c r="J931" i="72"/>
  <c r="G948" i="72"/>
  <c r="H951" i="72"/>
  <c r="J930" i="72"/>
  <c r="K951" i="72"/>
  <c r="L948" i="72"/>
  <c r="I955" i="72"/>
  <c r="G959" i="72"/>
  <c r="F983" i="72"/>
  <c r="N988" i="72"/>
  <c r="Q945" i="72"/>
  <c r="G983" i="72"/>
  <c r="F993" i="72"/>
  <c r="K993" i="72"/>
  <c r="L999" i="72"/>
  <c r="Q999" i="72"/>
  <c r="I984" i="72"/>
  <c r="M1004" i="72"/>
  <c r="P973" i="72"/>
  <c r="M969" i="72"/>
  <c r="P971" i="72"/>
  <c r="G995" i="72"/>
  <c r="N968" i="72"/>
  <c r="Q1008" i="72"/>
  <c r="L1008" i="72"/>
  <c r="M965" i="72"/>
  <c r="G975" i="72"/>
  <c r="Q985" i="72"/>
  <c r="K995" i="72"/>
  <c r="Q1004" i="72"/>
  <c r="I1004" i="72"/>
  <c r="D1004" i="72"/>
  <c r="J976" i="72"/>
  <c r="O995" i="72"/>
  <c r="J975" i="72"/>
  <c r="L976" i="72"/>
  <c r="E985" i="72"/>
  <c r="D983" i="72"/>
  <c r="G969" i="72"/>
  <c r="D1003" i="72"/>
  <c r="L994" i="72"/>
  <c r="H1006" i="72"/>
  <c r="M1011" i="72"/>
  <c r="Q1015" i="72"/>
  <c r="G1021" i="72"/>
  <c r="K1025" i="72"/>
  <c r="O1029" i="72"/>
  <c r="E1035" i="72"/>
  <c r="O1011" i="72"/>
  <c r="P1028" i="72"/>
  <c r="K1006" i="72"/>
  <c r="P1011" i="72"/>
  <c r="L1023" i="72"/>
  <c r="P1027" i="72"/>
  <c r="F1033" i="72"/>
  <c r="J1056" i="72"/>
  <c r="F1056" i="72"/>
  <c r="O1088" i="72"/>
  <c r="P1025" i="72"/>
  <c r="O1072" i="72"/>
  <c r="G1015" i="72"/>
  <c r="F1030" i="72"/>
  <c r="L1036" i="72"/>
  <c r="M1020" i="72"/>
  <c r="M1036" i="72"/>
  <c r="M1038" i="72"/>
  <c r="F1028" i="72"/>
  <c r="F1011" i="72"/>
  <c r="G1028" i="72"/>
  <c r="O1036" i="72"/>
  <c r="K1015" i="72"/>
  <c r="K1040" i="72"/>
  <c r="G1040" i="72"/>
  <c r="J997" i="72"/>
  <c r="H1011" i="72"/>
  <c r="E1024" i="72"/>
  <c r="I1028" i="72"/>
  <c r="P1035" i="72"/>
  <c r="H1009" i="72"/>
  <c r="G1024" i="72"/>
  <c r="P1076" i="72"/>
  <c r="J1086" i="72"/>
  <c r="G1099" i="72"/>
  <c r="K1103" i="72"/>
  <c r="N1057" i="72"/>
  <c r="E1096" i="72"/>
  <c r="I1100" i="72"/>
  <c r="M1104" i="72"/>
  <c r="O1057" i="72"/>
  <c r="P1074" i="72"/>
  <c r="K1085" i="72"/>
  <c r="I1099" i="72"/>
  <c r="M1103" i="72"/>
  <c r="E1046" i="72"/>
  <c r="F1063" i="72"/>
  <c r="G1096" i="72"/>
  <c r="K1100" i="72"/>
  <c r="O1104" i="72"/>
  <c r="O1071" i="72"/>
  <c r="J1098" i="72"/>
  <c r="N1102" i="72"/>
  <c r="P1055" i="72"/>
  <c r="N1069" i="72"/>
  <c r="J1081" i="72"/>
  <c r="O1086" i="72"/>
  <c r="D1104" i="72"/>
  <c r="E1104" i="72"/>
  <c r="E1087" i="72"/>
  <c r="O1048" i="72"/>
  <c r="F1055" i="72"/>
  <c r="L1061" i="72"/>
  <c r="I1074" i="72"/>
  <c r="M1078" i="72"/>
  <c r="Q1082" i="72"/>
  <c r="Q1049" i="72"/>
  <c r="E1101" i="72"/>
  <c r="H1039" i="72"/>
  <c r="G1054" i="72"/>
  <c r="Q1047" i="72"/>
  <c r="L1090" i="72"/>
  <c r="J1071" i="72"/>
  <c r="J1087" i="72"/>
  <c r="J1103" i="72"/>
  <c r="H476" i="72"/>
  <c r="R580" i="72"/>
  <c r="Q651" i="72"/>
  <c r="I618" i="72"/>
  <c r="F741" i="72"/>
  <c r="E707" i="72"/>
  <c r="L741" i="72"/>
  <c r="J700" i="72"/>
  <c r="M685" i="72"/>
  <c r="M672" i="72"/>
  <c r="K784" i="72"/>
  <c r="D772" i="72"/>
  <c r="F760" i="72"/>
  <c r="D658" i="72"/>
  <c r="Q710" i="72"/>
  <c r="E817" i="72"/>
  <c r="M842" i="72"/>
  <c r="N770" i="72"/>
  <c r="H789" i="72"/>
  <c r="G869" i="72"/>
  <c r="I844" i="72"/>
  <c r="G867" i="72"/>
  <c r="K852" i="72"/>
  <c r="I883" i="72"/>
  <c r="D796" i="72"/>
  <c r="O825" i="72"/>
  <c r="N849" i="72"/>
  <c r="N852" i="72"/>
  <c r="M853" i="72"/>
  <c r="K867" i="72"/>
  <c r="L850" i="72"/>
  <c r="K815" i="72"/>
  <c r="J863" i="72"/>
  <c r="I870" i="72"/>
  <c r="G879" i="72"/>
  <c r="Q889" i="72"/>
  <c r="O856" i="72"/>
  <c r="R873" i="72"/>
  <c r="J881" i="72"/>
  <c r="E833" i="72"/>
  <c r="H872" i="72"/>
  <c r="O874" i="72"/>
  <c r="Q876" i="72"/>
  <c r="D864" i="72"/>
  <c r="F880" i="72"/>
  <c r="K884" i="72"/>
  <c r="I892" i="72"/>
  <c r="F882" i="72"/>
  <c r="P889" i="72"/>
  <c r="Q884" i="72"/>
  <c r="N873" i="72"/>
  <c r="R884" i="72"/>
  <c r="J885" i="72"/>
  <c r="E890" i="72"/>
  <c r="N890" i="72"/>
  <c r="Q861" i="72"/>
  <c r="N914" i="72"/>
  <c r="I933" i="72"/>
  <c r="G908" i="72"/>
  <c r="D893" i="72"/>
  <c r="I898" i="72"/>
  <c r="K906" i="72"/>
  <c r="E909" i="72"/>
  <c r="P916" i="72"/>
  <c r="P921" i="72"/>
  <c r="J921" i="72"/>
  <c r="P886" i="72"/>
  <c r="L898" i="72"/>
  <c r="P911" i="72"/>
  <c r="G916" i="72"/>
  <c r="D917" i="72"/>
  <c r="I830" i="72"/>
  <c r="F891" i="72"/>
  <c r="R906" i="72"/>
  <c r="G917" i="72"/>
  <c r="N898" i="72"/>
  <c r="N900" i="72"/>
  <c r="I916" i="72"/>
  <c r="L916" i="72"/>
  <c r="I932" i="72"/>
  <c r="R916" i="72"/>
  <c r="K910" i="72"/>
  <c r="I910" i="72"/>
  <c r="L932" i="72"/>
  <c r="F932" i="72"/>
  <c r="M915" i="72"/>
  <c r="I927" i="72"/>
  <c r="E939" i="72"/>
  <c r="I943" i="72"/>
  <c r="P952" i="72"/>
  <c r="G952" i="72"/>
  <c r="O953" i="72"/>
  <c r="M955" i="72"/>
  <c r="E960" i="72"/>
  <c r="E922" i="72"/>
  <c r="K928" i="72"/>
  <c r="N955" i="72"/>
  <c r="G923" i="72"/>
  <c r="N930" i="72"/>
  <c r="G939" i="72"/>
  <c r="R964" i="72"/>
  <c r="N927" i="72"/>
  <c r="I938" i="72"/>
  <c r="R948" i="72"/>
  <c r="R943" i="72"/>
  <c r="P944" i="72"/>
  <c r="P941" i="72"/>
  <c r="H955" i="72"/>
  <c r="P922" i="72"/>
  <c r="I931" i="72"/>
  <c r="J915" i="72"/>
  <c r="P937" i="72"/>
  <c r="F955" i="72"/>
  <c r="N959" i="72"/>
  <c r="K956" i="72"/>
  <c r="D965" i="72"/>
  <c r="H969" i="72"/>
  <c r="M974" i="72"/>
  <c r="Q978" i="72"/>
  <c r="M991" i="72"/>
  <c r="P992" i="72"/>
  <c r="F998" i="72"/>
  <c r="Q961" i="72"/>
  <c r="H968" i="72"/>
  <c r="M973" i="72"/>
  <c r="Q977" i="72"/>
  <c r="P988" i="72"/>
  <c r="O958" i="72"/>
  <c r="I968" i="72"/>
  <c r="N973" i="72"/>
  <c r="E980" i="72"/>
  <c r="K1008" i="72"/>
  <c r="Q991" i="72"/>
  <c r="H980" i="72"/>
  <c r="P987" i="72"/>
  <c r="O987" i="72"/>
  <c r="E975" i="72"/>
  <c r="M983" i="72"/>
  <c r="F995" i="72"/>
  <c r="D996" i="72"/>
  <c r="P969" i="72"/>
  <c r="G1008" i="72"/>
  <c r="N950" i="72"/>
  <c r="M981" i="72"/>
  <c r="G996" i="72"/>
  <c r="N1002" i="72"/>
  <c r="F1002" i="72"/>
  <c r="F987" i="72"/>
  <c r="Q965" i="72"/>
  <c r="H972" i="72"/>
  <c r="R995" i="72"/>
  <c r="H971" i="72"/>
  <c r="E984" i="72"/>
  <c r="N976" i="72"/>
  <c r="L991" i="72"/>
  <c r="K1011" i="72"/>
  <c r="H1024" i="72"/>
  <c r="D1036" i="72"/>
  <c r="K1010" i="72"/>
  <c r="O1014" i="72"/>
  <c r="E1020" i="72"/>
  <c r="I1024" i="72"/>
  <c r="M1028" i="72"/>
  <c r="D1035" i="72"/>
  <c r="P1030" i="72"/>
  <c r="G1020" i="72"/>
  <c r="J989" i="72"/>
  <c r="H1019" i="72"/>
  <c r="G1034" i="72"/>
  <c r="P1056" i="72"/>
  <c r="L1056" i="72"/>
  <c r="H1088" i="72"/>
  <c r="D1088" i="72"/>
  <c r="H1072" i="72"/>
  <c r="D1072" i="72"/>
  <c r="Q1009" i="72"/>
  <c r="P1024" i="72"/>
  <c r="E1038" i="72"/>
  <c r="O1020" i="72"/>
  <c r="G1011" i="72"/>
  <c r="D1024" i="72"/>
  <c r="H1028" i="72"/>
  <c r="O1035" i="72"/>
  <c r="O1040" i="72"/>
  <c r="P1003" i="72"/>
  <c r="O1018" i="72"/>
  <c r="Q1036" i="72"/>
  <c r="I1010" i="72"/>
  <c r="H1025" i="72"/>
  <c r="L1038" i="72"/>
  <c r="K1071" i="72"/>
  <c r="K1070" i="72"/>
  <c r="L1087" i="72"/>
  <c r="E1047" i="72"/>
  <c r="P1057" i="72"/>
  <c r="N1087" i="72"/>
  <c r="H1048" i="72"/>
  <c r="M1053" i="72"/>
  <c r="O1087" i="72"/>
  <c r="G1046" i="72"/>
  <c r="E1076" i="72"/>
  <c r="K1098" i="72"/>
  <c r="O1102" i="72"/>
  <c r="P1053" i="72"/>
  <c r="N1048" i="72"/>
  <c r="D1054" i="72"/>
  <c r="K1061" i="72"/>
  <c r="D1070" i="72"/>
  <c r="F1039" i="72"/>
  <c r="D1101" i="72"/>
  <c r="G1039" i="72"/>
  <c r="E1053" i="72"/>
  <c r="J1058" i="72"/>
  <c r="O1063" i="72"/>
  <c r="F1070" i="72"/>
  <c r="L1076" i="72"/>
  <c r="F1086" i="72"/>
  <c r="M1060" i="72"/>
  <c r="Q1064" i="72"/>
  <c r="K1074" i="72"/>
  <c r="G1086" i="72"/>
  <c r="D1099" i="72"/>
  <c r="H1103" i="72"/>
  <c r="G1053" i="72"/>
  <c r="O1061" i="72"/>
  <c r="H1070" i="72"/>
  <c r="N1076" i="72"/>
  <c r="G1085" i="72"/>
  <c r="G1101" i="72"/>
  <c r="Q1046" i="72"/>
  <c r="M1074" i="72"/>
  <c r="M1090" i="72"/>
  <c r="K1104" i="72"/>
  <c r="H633" i="72"/>
  <c r="I647" i="72"/>
  <c r="D739" i="72"/>
  <c r="R721" i="72"/>
  <c r="E761" i="72"/>
  <c r="N776" i="72"/>
  <c r="L869" i="72"/>
  <c r="P883" i="72"/>
  <c r="D789" i="72"/>
  <c r="E849" i="72"/>
  <c r="G868" i="72"/>
  <c r="F872" i="72"/>
  <c r="F892" i="72"/>
  <c r="N910" i="72"/>
  <c r="F905" i="72"/>
  <c r="K897" i="72"/>
  <c r="H905" i="72"/>
  <c r="D925" i="72"/>
  <c r="G932" i="72"/>
  <c r="H952" i="72"/>
  <c r="E957" i="72"/>
  <c r="M942" i="72"/>
  <c r="Q944" i="72"/>
  <c r="G927" i="72"/>
  <c r="O959" i="72"/>
  <c r="P977" i="72"/>
  <c r="J998" i="72"/>
  <c r="P976" i="72"/>
  <c r="Q976" i="72"/>
  <c r="D974" i="72"/>
  <c r="Q969" i="72"/>
  <c r="O1002" i="72"/>
  <c r="G971" i="72"/>
  <c r="F969" i="72"/>
  <c r="D1020" i="72"/>
  <c r="H1023" i="72"/>
  <c r="Q1056" i="72"/>
  <c r="K1036" i="72"/>
  <c r="O1023" i="72"/>
  <c r="I997" i="72"/>
  <c r="N1034" i="72"/>
  <c r="D1037" i="72"/>
  <c r="N1055" i="72"/>
  <c r="N1086" i="72"/>
  <c r="D1075" i="72"/>
  <c r="Q1070" i="72"/>
  <c r="P1065" i="72"/>
  <c r="P1048" i="72"/>
  <c r="N1077" i="72"/>
  <c r="F1084" i="72"/>
  <c r="I1102" i="72"/>
  <c r="I98" i="15"/>
  <c r="AL26" i="51"/>
  <c r="G29" i="33" s="1"/>
  <c r="AO17" i="51"/>
  <c r="K18" i="33" s="1"/>
  <c r="I57" i="43" s="1"/>
  <c r="AU19" i="51"/>
  <c r="U20" i="33" s="1"/>
  <c r="O59" i="43" s="1"/>
  <c r="AP37" i="51"/>
  <c r="N40" i="33" s="1"/>
  <c r="J79" i="43" s="1"/>
  <c r="J644" i="44" s="1"/>
  <c r="AP36" i="51"/>
  <c r="D159" i="15"/>
  <c r="AO32" i="51"/>
  <c r="K35" i="33" s="1"/>
  <c r="I74" i="43" s="1"/>
  <c r="I609" i="44" s="1"/>
  <c r="AU11" i="51"/>
  <c r="U12" i="33" s="1"/>
  <c r="U12" i="41" s="1"/>
  <c r="AS25" i="51"/>
  <c r="S28" i="33" s="1"/>
  <c r="S69" i="33" s="1"/>
  <c r="AK27" i="51"/>
  <c r="F30" i="33" s="1"/>
  <c r="AR13" i="51"/>
  <c r="P14" i="33" s="1"/>
  <c r="L53" i="43" s="1"/>
  <c r="AT16" i="51"/>
  <c r="T17" i="33" s="1"/>
  <c r="T17" i="41" s="1"/>
  <c r="E159" i="15"/>
  <c r="F159" i="15"/>
  <c r="AK80" i="77"/>
  <c r="AF80" i="70"/>
  <c r="AL9" i="51"/>
  <c r="G10" i="33" s="1"/>
  <c r="F49" i="43" s="1"/>
  <c r="AO37" i="51"/>
  <c r="K40" i="33" s="1"/>
  <c r="AM10" i="51"/>
  <c r="I11" i="33" s="1"/>
  <c r="G50" i="43" s="1"/>
  <c r="AM38" i="51"/>
  <c r="I41" i="33" s="1"/>
  <c r="G80" i="43" s="1"/>
  <c r="G658" i="44" s="1"/>
  <c r="AQ31" i="51"/>
  <c r="O34" i="33" s="1"/>
  <c r="AR26" i="51"/>
  <c r="P29" i="33" s="1"/>
  <c r="AR18" i="51"/>
  <c r="P19" i="33" s="1"/>
  <c r="L58" i="43" s="1"/>
  <c r="AR19" i="51"/>
  <c r="P20" i="33" s="1"/>
  <c r="L59" i="43" s="1"/>
  <c r="AT9" i="51"/>
  <c r="T10" i="33" s="1"/>
  <c r="N49" i="43" s="1"/>
  <c r="AT33" i="51"/>
  <c r="T36" i="33" s="1"/>
  <c r="AT29" i="51"/>
  <c r="T32" i="33" s="1"/>
  <c r="T73" i="33" s="1"/>
  <c r="I159" i="15"/>
  <c r="BD96" i="77"/>
  <c r="BD96" i="70" s="1"/>
  <c r="BD58" i="70"/>
  <c r="F67" i="43"/>
  <c r="G69" i="33"/>
  <c r="G28" i="41"/>
  <c r="F58" i="43"/>
  <c r="G19" i="41"/>
  <c r="I60" i="43"/>
  <c r="K62" i="33"/>
  <c r="K21" i="41"/>
  <c r="T95" i="52"/>
  <c r="T74" i="52"/>
  <c r="T84" i="52"/>
  <c r="T63" i="52"/>
  <c r="T94" i="52"/>
  <c r="T73" i="52"/>
  <c r="T88" i="52"/>
  <c r="T87" i="52"/>
  <c r="T66" i="52"/>
  <c r="T92" i="52"/>
  <c r="T71" i="52"/>
  <c r="T97" i="52"/>
  <c r="T76" i="52"/>
  <c r="T91" i="52"/>
  <c r="T69" i="52"/>
  <c r="T56" i="52"/>
  <c r="T36" i="52"/>
  <c r="U35" i="65" s="1"/>
  <c r="T18" i="52"/>
  <c r="U17" i="65" s="1"/>
  <c r="T64" i="52"/>
  <c r="T45" i="52"/>
  <c r="T25" i="52"/>
  <c r="U24" i="65" s="1"/>
  <c r="T7" i="52"/>
  <c r="U6" i="65" s="1"/>
  <c r="T70" i="52"/>
  <c r="T50" i="52"/>
  <c r="T30" i="52"/>
  <c r="U29" i="65" s="1"/>
  <c r="T12" i="52"/>
  <c r="U11" i="65" s="1"/>
  <c r="T65" i="52"/>
  <c r="T55" i="52"/>
  <c r="T35" i="52"/>
  <c r="U34" i="65" s="1"/>
  <c r="T17" i="52"/>
  <c r="U16" i="65" s="1"/>
  <c r="T98" i="52"/>
  <c r="T96" i="52"/>
  <c r="T44" i="52"/>
  <c r="T24" i="52"/>
  <c r="U23" i="65" s="1"/>
  <c r="T49" i="52"/>
  <c r="T29" i="52"/>
  <c r="U28" i="65" s="1"/>
  <c r="T11" i="52"/>
  <c r="U10" i="65" s="1"/>
  <c r="T54" i="52"/>
  <c r="T34" i="52"/>
  <c r="U33" i="65" s="1"/>
  <c r="T16" i="52"/>
  <c r="U15" i="65" s="1"/>
  <c r="T85" i="52"/>
  <c r="T77" i="52"/>
  <c r="T48" i="52"/>
  <c r="T28" i="52"/>
  <c r="U27" i="65" s="1"/>
  <c r="T10" i="52"/>
  <c r="U9" i="65" s="1"/>
  <c r="T53" i="52"/>
  <c r="T33" i="52"/>
  <c r="U32" i="65" s="1"/>
  <c r="T15" i="52"/>
  <c r="U14" i="65" s="1"/>
  <c r="T67" i="52"/>
  <c r="T58" i="52"/>
  <c r="T38" i="52"/>
  <c r="U37" i="65" s="1"/>
  <c r="T20" i="52"/>
  <c r="U19" i="65" s="1"/>
  <c r="T62" i="52"/>
  <c r="T47" i="52"/>
  <c r="T27" i="52"/>
  <c r="U26" i="65" s="1"/>
  <c r="T9" i="52"/>
  <c r="U8" i="65" s="1"/>
  <c r="T86" i="52"/>
  <c r="T68" i="52"/>
  <c r="T52" i="52"/>
  <c r="T32" i="52"/>
  <c r="U31" i="65" s="1"/>
  <c r="T14" i="52"/>
  <c r="U13" i="65" s="1"/>
  <c r="T93" i="52"/>
  <c r="T83" i="52"/>
  <c r="T75" i="52"/>
  <c r="T72" i="52"/>
  <c r="T57" i="52"/>
  <c r="T37" i="52"/>
  <c r="U36" i="65" s="1"/>
  <c r="T19" i="52"/>
  <c r="U18" i="65" s="1"/>
  <c r="T46" i="52"/>
  <c r="T26" i="52"/>
  <c r="U25" i="65" s="1"/>
  <c r="T23" i="52"/>
  <c r="T5" i="52"/>
  <c r="U4" i="65" s="1"/>
  <c r="U22" i="65" s="1"/>
  <c r="T13" i="52"/>
  <c r="U12" i="65" s="1"/>
  <c r="T8" i="52"/>
  <c r="U7" i="65" s="1"/>
  <c r="T90" i="52"/>
  <c r="T89" i="52"/>
  <c r="T51" i="52"/>
  <c r="T43" i="52"/>
  <c r="T31" i="52"/>
  <c r="U30" i="65" s="1"/>
  <c r="T6" i="52"/>
  <c r="U5" i="65" s="1"/>
  <c r="L87" i="52"/>
  <c r="L66" i="52"/>
  <c r="L92" i="52"/>
  <c r="L71" i="52"/>
  <c r="L86" i="52"/>
  <c r="L91" i="52"/>
  <c r="L96" i="52"/>
  <c r="L75" i="52"/>
  <c r="L95" i="52"/>
  <c r="L74" i="52"/>
  <c r="L84" i="52"/>
  <c r="L63" i="52"/>
  <c r="L89" i="52"/>
  <c r="L68" i="52"/>
  <c r="L97" i="52"/>
  <c r="L62" i="52"/>
  <c r="L48" i="52"/>
  <c r="L28" i="52"/>
  <c r="M27" i="65" s="1"/>
  <c r="L10" i="52"/>
  <c r="M9" i="65" s="1"/>
  <c r="L93" i="52"/>
  <c r="L83" i="52"/>
  <c r="L53" i="52"/>
  <c r="L33" i="52"/>
  <c r="M32" i="65" s="1"/>
  <c r="L15" i="52"/>
  <c r="M14" i="65" s="1"/>
  <c r="L72" i="52"/>
  <c r="L58" i="52"/>
  <c r="L38" i="52"/>
  <c r="M37" i="65" s="1"/>
  <c r="L20" i="52"/>
  <c r="M19" i="65" s="1"/>
  <c r="L47" i="52"/>
  <c r="L27" i="52"/>
  <c r="M26" i="65" s="1"/>
  <c r="L9" i="52"/>
  <c r="M8" i="65" s="1"/>
  <c r="L52" i="52"/>
  <c r="L32" i="52"/>
  <c r="M31" i="65" s="1"/>
  <c r="L14" i="52"/>
  <c r="M13" i="65" s="1"/>
  <c r="L57" i="52"/>
  <c r="L37" i="52"/>
  <c r="M36" i="65" s="1"/>
  <c r="L19" i="52"/>
  <c r="M18" i="65" s="1"/>
  <c r="L73" i="52"/>
  <c r="L69" i="52"/>
  <c r="L46" i="52"/>
  <c r="L26" i="52"/>
  <c r="M25" i="65" s="1"/>
  <c r="L8" i="52"/>
  <c r="M7" i="65" s="1"/>
  <c r="L94" i="52"/>
  <c r="L70" i="52"/>
  <c r="L56" i="52"/>
  <c r="L36" i="52"/>
  <c r="M35" i="65" s="1"/>
  <c r="L18" i="52"/>
  <c r="M17" i="65" s="1"/>
  <c r="L65" i="52"/>
  <c r="L45" i="52"/>
  <c r="L25" i="52"/>
  <c r="M24" i="65" s="1"/>
  <c r="L7" i="52"/>
  <c r="M6" i="65" s="1"/>
  <c r="L90" i="52"/>
  <c r="L50" i="52"/>
  <c r="L30" i="52"/>
  <c r="M29" i="65" s="1"/>
  <c r="L12" i="52"/>
  <c r="M11" i="65" s="1"/>
  <c r="L55" i="52"/>
  <c r="L35" i="52"/>
  <c r="M34" i="65" s="1"/>
  <c r="L17" i="52"/>
  <c r="M16" i="65" s="1"/>
  <c r="L88" i="52"/>
  <c r="L85" i="52"/>
  <c r="L44" i="52"/>
  <c r="L24" i="52"/>
  <c r="M23" i="65" s="1"/>
  <c r="L6" i="52"/>
  <c r="M5" i="65" s="1"/>
  <c r="L77" i="52"/>
  <c r="L49" i="52"/>
  <c r="L29" i="52"/>
  <c r="M28" i="65" s="1"/>
  <c r="L11" i="52"/>
  <c r="M10" i="65" s="1"/>
  <c r="L54" i="52"/>
  <c r="L34" i="52"/>
  <c r="M33" i="65" s="1"/>
  <c r="L16" i="52"/>
  <c r="M15" i="65" s="1"/>
  <c r="L76" i="52"/>
  <c r="L23" i="52"/>
  <c r="L64" i="52"/>
  <c r="L13" i="52"/>
  <c r="M12" i="65" s="1"/>
  <c r="L5" i="52"/>
  <c r="M4" i="65" s="1"/>
  <c r="M22" i="65" s="1"/>
  <c r="L51" i="52"/>
  <c r="L43" i="52"/>
  <c r="L67" i="52"/>
  <c r="L31" i="52"/>
  <c r="M30" i="65" s="1"/>
  <c r="O60" i="43"/>
  <c r="U62" i="33"/>
  <c r="U21" i="41"/>
  <c r="Q7" i="51"/>
  <c r="AJ7" i="51"/>
  <c r="E8" i="33" s="1"/>
  <c r="AJ36" i="51"/>
  <c r="E39" i="33" s="1"/>
  <c r="J51" i="43"/>
  <c r="N12" i="41"/>
  <c r="AP33" i="51"/>
  <c r="N36" i="33" s="1"/>
  <c r="AK16" i="51"/>
  <c r="F17" i="33" s="1"/>
  <c r="BD95" i="77"/>
  <c r="BD95" i="70" s="1"/>
  <c r="BD57" i="70"/>
  <c r="G59" i="43"/>
  <c r="I20" i="41"/>
  <c r="G73" i="43"/>
  <c r="G602" i="44" s="1"/>
  <c r="I75" i="33"/>
  <c r="I34" i="41"/>
  <c r="AR15" i="51"/>
  <c r="P16" i="33" s="1"/>
  <c r="AT35" i="51"/>
  <c r="T38" i="33" s="1"/>
  <c r="AN13" i="51"/>
  <c r="J14" i="33" s="1"/>
  <c r="K77" i="15"/>
  <c r="K146" i="15" s="1"/>
  <c r="F52" i="43"/>
  <c r="G13" i="41"/>
  <c r="AL31" i="51"/>
  <c r="I48" i="43"/>
  <c r="K9" i="41"/>
  <c r="AP97" i="77"/>
  <c r="AP97" i="70" s="1"/>
  <c r="AP59" i="70"/>
  <c r="M92" i="52"/>
  <c r="M71" i="52"/>
  <c r="M97" i="52"/>
  <c r="M76" i="52"/>
  <c r="M91" i="52"/>
  <c r="M96" i="52"/>
  <c r="M85" i="52"/>
  <c r="M84" i="52"/>
  <c r="M63" i="52"/>
  <c r="M89" i="52"/>
  <c r="M68" i="52"/>
  <c r="M94" i="52"/>
  <c r="M73" i="52"/>
  <c r="M95" i="52"/>
  <c r="M93" i="52"/>
  <c r="M83" i="52"/>
  <c r="M53" i="52"/>
  <c r="M33" i="52"/>
  <c r="N32" i="65" s="1"/>
  <c r="M15" i="52"/>
  <c r="N14" i="65" s="1"/>
  <c r="M86" i="52"/>
  <c r="M75" i="52"/>
  <c r="M72" i="52"/>
  <c r="M58" i="52"/>
  <c r="M38" i="52"/>
  <c r="N37" i="65" s="1"/>
  <c r="M20" i="52"/>
  <c r="N19" i="65" s="1"/>
  <c r="M47" i="52"/>
  <c r="M27" i="52"/>
  <c r="N26" i="65" s="1"/>
  <c r="M9" i="52"/>
  <c r="N8" i="65" s="1"/>
  <c r="M52" i="52"/>
  <c r="M32" i="52"/>
  <c r="N31" i="65" s="1"/>
  <c r="M14" i="52"/>
  <c r="N13" i="65" s="1"/>
  <c r="M57" i="52"/>
  <c r="M37" i="52"/>
  <c r="N36" i="65" s="1"/>
  <c r="M19" i="52"/>
  <c r="N18" i="65" s="1"/>
  <c r="M69" i="52"/>
  <c r="M46" i="52"/>
  <c r="M26" i="52"/>
  <c r="N25" i="65" s="1"/>
  <c r="M8" i="52"/>
  <c r="N7" i="65" s="1"/>
  <c r="M64" i="52"/>
  <c r="M51" i="52"/>
  <c r="M31" i="52"/>
  <c r="N30" i="65" s="1"/>
  <c r="M13" i="52"/>
  <c r="N12" i="65" s="1"/>
  <c r="M65" i="52"/>
  <c r="M45" i="52"/>
  <c r="M25" i="52"/>
  <c r="N24" i="65" s="1"/>
  <c r="M7" i="52"/>
  <c r="N6" i="65" s="1"/>
  <c r="M90" i="52"/>
  <c r="M50" i="52"/>
  <c r="M30" i="52"/>
  <c r="N29" i="65" s="1"/>
  <c r="M12" i="52"/>
  <c r="N11" i="65" s="1"/>
  <c r="M55" i="52"/>
  <c r="M35" i="52"/>
  <c r="N34" i="65" s="1"/>
  <c r="M17" i="52"/>
  <c r="N16" i="65" s="1"/>
  <c r="M88" i="52"/>
  <c r="M44" i="52"/>
  <c r="M24" i="52"/>
  <c r="N23" i="65" s="1"/>
  <c r="M6" i="52"/>
  <c r="N5" i="65" s="1"/>
  <c r="M77" i="52"/>
  <c r="M74" i="52"/>
  <c r="M66" i="52"/>
  <c r="M49" i="52"/>
  <c r="M29" i="52"/>
  <c r="N28" i="65" s="1"/>
  <c r="M11" i="52"/>
  <c r="N10" i="65" s="1"/>
  <c r="M54" i="52"/>
  <c r="M34" i="52"/>
  <c r="N33" i="65" s="1"/>
  <c r="M16" i="52"/>
  <c r="N15" i="65" s="1"/>
  <c r="M67" i="52"/>
  <c r="M43" i="52"/>
  <c r="M23" i="52"/>
  <c r="M36" i="52"/>
  <c r="N35" i="65" s="1"/>
  <c r="M5" i="52"/>
  <c r="N4" i="65" s="1"/>
  <c r="N22" i="65" s="1"/>
  <c r="M62" i="52"/>
  <c r="M28" i="52"/>
  <c r="N27" i="65" s="1"/>
  <c r="M87" i="52"/>
  <c r="M70" i="52"/>
  <c r="M18" i="52"/>
  <c r="N17" i="65" s="1"/>
  <c r="M98" i="52"/>
  <c r="M56" i="52"/>
  <c r="M10" i="52"/>
  <c r="N9" i="65" s="1"/>
  <c r="M48" i="52"/>
  <c r="AU33" i="51"/>
  <c r="U36" i="33" s="1"/>
  <c r="AS12" i="51"/>
  <c r="S13" i="33" s="1"/>
  <c r="AJ15" i="51"/>
  <c r="E16" i="33" s="1"/>
  <c r="AP18" i="51"/>
  <c r="N19" i="33" s="1"/>
  <c r="E78" i="43"/>
  <c r="E637" i="44" s="1"/>
  <c r="F80" i="33"/>
  <c r="F39" i="41"/>
  <c r="AQ26" i="51"/>
  <c r="O29" i="33" s="1"/>
  <c r="L68" i="43"/>
  <c r="L546" i="44" s="1"/>
  <c r="P70" i="33"/>
  <c r="P29" i="41"/>
  <c r="AR33" i="51"/>
  <c r="P36" i="33" s="1"/>
  <c r="AN14" i="51"/>
  <c r="J15" i="33" s="1"/>
  <c r="F69" i="43"/>
  <c r="F560" i="44" s="1"/>
  <c r="G71" i="33"/>
  <c r="G30" i="41"/>
  <c r="AL38" i="51"/>
  <c r="G41" i="33" s="1"/>
  <c r="AO9" i="51"/>
  <c r="K10" i="33" s="1"/>
  <c r="I56" i="43"/>
  <c r="K17" i="41"/>
  <c r="N97" i="52"/>
  <c r="N76" i="52"/>
  <c r="N86" i="52"/>
  <c r="N65" i="52"/>
  <c r="N96" i="52"/>
  <c r="N75" i="52"/>
  <c r="N90" i="52"/>
  <c r="N89" i="52"/>
  <c r="N68" i="52"/>
  <c r="N94" i="52"/>
  <c r="N73" i="52"/>
  <c r="N83" i="52"/>
  <c r="N62" i="52"/>
  <c r="N93" i="52"/>
  <c r="N72" i="52"/>
  <c r="N58" i="52"/>
  <c r="N38" i="52"/>
  <c r="O37" i="65" s="1"/>
  <c r="G41" i="64" s="1"/>
  <c r="N20" i="52"/>
  <c r="O19" i="65" s="1"/>
  <c r="G22" i="64" s="1"/>
  <c r="N91" i="52"/>
  <c r="N47" i="52"/>
  <c r="N27" i="52"/>
  <c r="O26" i="65" s="1"/>
  <c r="N9" i="52"/>
  <c r="O8" i="65" s="1"/>
  <c r="G11" i="64" s="1"/>
  <c r="N52" i="52"/>
  <c r="N32" i="52"/>
  <c r="O31" i="65" s="1"/>
  <c r="G35" i="64" s="1"/>
  <c r="N14" i="52"/>
  <c r="O13" i="65" s="1"/>
  <c r="G16" i="64" s="1"/>
  <c r="N63" i="52"/>
  <c r="N57" i="52"/>
  <c r="N37" i="52"/>
  <c r="O36" i="65" s="1"/>
  <c r="G40" i="64" s="1"/>
  <c r="N19" i="52"/>
  <c r="O18" i="65" s="1"/>
  <c r="G21" i="64" s="1"/>
  <c r="N69" i="52"/>
  <c r="N46" i="52"/>
  <c r="N26" i="52"/>
  <c r="O25" i="65" s="1"/>
  <c r="G29" i="64" s="1"/>
  <c r="N64" i="52"/>
  <c r="N51" i="52"/>
  <c r="N31" i="52"/>
  <c r="O30" i="65" s="1"/>
  <c r="G34" i="64" s="1"/>
  <c r="N13" i="52"/>
  <c r="O12" i="65" s="1"/>
  <c r="G15" i="64" s="1"/>
  <c r="N98" i="52"/>
  <c r="N87" i="52"/>
  <c r="N84" i="52"/>
  <c r="N70" i="52"/>
  <c r="N56" i="52"/>
  <c r="N36" i="52"/>
  <c r="O35" i="65" s="1"/>
  <c r="G39" i="64" s="1"/>
  <c r="N18" i="52"/>
  <c r="O17" i="65" s="1"/>
  <c r="G20" i="64" s="1"/>
  <c r="N50" i="52"/>
  <c r="N30" i="52"/>
  <c r="O29" i="65" s="1"/>
  <c r="N12" i="52"/>
  <c r="O11" i="65" s="1"/>
  <c r="G14" i="64" s="1"/>
  <c r="N92" i="52"/>
  <c r="N55" i="52"/>
  <c r="N35" i="52"/>
  <c r="O34" i="65" s="1"/>
  <c r="G38" i="64" s="1"/>
  <c r="N17" i="52"/>
  <c r="O16" i="65" s="1"/>
  <c r="G19" i="64" s="1"/>
  <c r="N88" i="52"/>
  <c r="N44" i="52"/>
  <c r="N24" i="52"/>
  <c r="O23" i="65" s="1"/>
  <c r="N6" i="52"/>
  <c r="O5" i="65" s="1"/>
  <c r="G8" i="64" s="1"/>
  <c r="N85" i="52"/>
  <c r="N77" i="52"/>
  <c r="N74" i="52"/>
  <c r="N66" i="52"/>
  <c r="N49" i="52"/>
  <c r="N29" i="52"/>
  <c r="O28" i="65" s="1"/>
  <c r="G32" i="64" s="1"/>
  <c r="N11" i="52"/>
  <c r="O10" i="65" s="1"/>
  <c r="G13" i="64" s="1"/>
  <c r="N71" i="52"/>
  <c r="N54" i="52"/>
  <c r="N34" i="52"/>
  <c r="O33" i="65" s="1"/>
  <c r="G37" i="64" s="1"/>
  <c r="N16" i="52"/>
  <c r="O15" i="65" s="1"/>
  <c r="G18" i="64" s="1"/>
  <c r="N67" i="52"/>
  <c r="N43" i="52"/>
  <c r="N23" i="52"/>
  <c r="N48" i="52"/>
  <c r="N28" i="52"/>
  <c r="O27" i="65" s="1"/>
  <c r="N53" i="52"/>
  <c r="N5" i="52"/>
  <c r="O4" i="65" s="1"/>
  <c r="O22" i="65" s="1"/>
  <c r="N8" i="52"/>
  <c r="O7" i="65" s="1"/>
  <c r="N45" i="52"/>
  <c r="N33" i="52"/>
  <c r="O32" i="65" s="1"/>
  <c r="G36" i="64" s="1"/>
  <c r="N7" i="52"/>
  <c r="O6" i="65" s="1"/>
  <c r="G9" i="64" s="1"/>
  <c r="N10" i="52"/>
  <c r="O9" i="65" s="1"/>
  <c r="G12" i="64" s="1"/>
  <c r="N25" i="52"/>
  <c r="O24" i="65" s="1"/>
  <c r="G28" i="64" s="1"/>
  <c r="N15" i="52"/>
  <c r="O14" i="65" s="1"/>
  <c r="G17" i="64" s="1"/>
  <c r="N95" i="52"/>
  <c r="AU7" i="51"/>
  <c r="U8" i="33" s="1"/>
  <c r="AU26" i="51"/>
  <c r="U29" i="33" s="1"/>
  <c r="AS13" i="51"/>
  <c r="S14" i="33" s="1"/>
  <c r="AK90" i="77"/>
  <c r="AK90" i="70" s="1"/>
  <c r="AP52" i="77"/>
  <c r="AK52" i="70"/>
  <c r="BD94" i="77"/>
  <c r="BD94" i="70" s="1"/>
  <c r="BD56" i="70"/>
  <c r="Q20" i="51"/>
  <c r="AJ20" i="51"/>
  <c r="E21" i="33" s="1"/>
  <c r="AP27" i="51"/>
  <c r="N30" i="33" s="1"/>
  <c r="AP34" i="51"/>
  <c r="E51" i="43"/>
  <c r="F12" i="41"/>
  <c r="AK9" i="51"/>
  <c r="F10" i="33" s="1"/>
  <c r="BD98" i="77"/>
  <c r="BD98" i="70" s="1"/>
  <c r="BD60" i="70"/>
  <c r="AM34" i="51"/>
  <c r="I37" i="33" s="1"/>
  <c r="AQ27" i="51"/>
  <c r="O30" i="33" s="1"/>
  <c r="AR8" i="51"/>
  <c r="P9" i="33" s="1"/>
  <c r="AR14" i="51"/>
  <c r="P15" i="33" s="1"/>
  <c r="AT17" i="51"/>
  <c r="T18" i="33" s="1"/>
  <c r="AT30" i="51"/>
  <c r="AF99" i="77"/>
  <c r="AF99" i="70" s="1"/>
  <c r="AK61" i="77"/>
  <c r="AF61" i="70"/>
  <c r="AN7" i="51"/>
  <c r="J8" i="33" s="1"/>
  <c r="F53" i="43"/>
  <c r="G14" i="41"/>
  <c r="F68" i="43"/>
  <c r="F546" i="44" s="1"/>
  <c r="G70" i="33"/>
  <c r="G29" i="41"/>
  <c r="AO29" i="51"/>
  <c r="K32" i="33" s="1"/>
  <c r="BD97" i="77"/>
  <c r="BD97" i="70" s="1"/>
  <c r="BD59" i="70"/>
  <c r="O86" i="52"/>
  <c r="O65" i="52"/>
  <c r="O91" i="52"/>
  <c r="O70" i="52"/>
  <c r="O85" i="52"/>
  <c r="O90" i="52"/>
  <c r="O95" i="52"/>
  <c r="O74" i="52"/>
  <c r="O94" i="52"/>
  <c r="O73" i="52"/>
  <c r="O83" i="52"/>
  <c r="O62" i="52"/>
  <c r="O88" i="52"/>
  <c r="O67" i="52"/>
  <c r="O98" i="52"/>
  <c r="O75" i="52"/>
  <c r="O47" i="52"/>
  <c r="O27" i="52"/>
  <c r="P26" i="65" s="1"/>
  <c r="O9" i="52"/>
  <c r="P8" i="65" s="1"/>
  <c r="O89" i="52"/>
  <c r="O68" i="52"/>
  <c r="O52" i="52"/>
  <c r="O32" i="52"/>
  <c r="P31" i="65" s="1"/>
  <c r="O14" i="52"/>
  <c r="P13" i="65" s="1"/>
  <c r="O63" i="52"/>
  <c r="O57" i="52"/>
  <c r="O37" i="52"/>
  <c r="P36" i="65" s="1"/>
  <c r="O19" i="52"/>
  <c r="P18" i="65" s="1"/>
  <c r="O69" i="52"/>
  <c r="O46" i="52"/>
  <c r="O26" i="52"/>
  <c r="P25" i="65" s="1"/>
  <c r="O8" i="52"/>
  <c r="P7" i="65" s="1"/>
  <c r="O64" i="52"/>
  <c r="O51" i="52"/>
  <c r="O31" i="52"/>
  <c r="P30" i="65" s="1"/>
  <c r="O13" i="52"/>
  <c r="P12" i="65" s="1"/>
  <c r="O87" i="52"/>
  <c r="O84" i="52"/>
  <c r="O56" i="52"/>
  <c r="O36" i="52"/>
  <c r="P35" i="65" s="1"/>
  <c r="O18" i="52"/>
  <c r="P17" i="65" s="1"/>
  <c r="O76" i="52"/>
  <c r="O45" i="52"/>
  <c r="O25" i="52"/>
  <c r="P24" i="65" s="1"/>
  <c r="O7" i="52"/>
  <c r="P6" i="65" s="1"/>
  <c r="O92" i="52"/>
  <c r="O55" i="52"/>
  <c r="O35" i="52"/>
  <c r="P34" i="65" s="1"/>
  <c r="O17" i="52"/>
  <c r="P16" i="65" s="1"/>
  <c r="O44" i="52"/>
  <c r="O24" i="52"/>
  <c r="P23" i="65" s="1"/>
  <c r="O6" i="52"/>
  <c r="P5" i="65" s="1"/>
  <c r="O77" i="52"/>
  <c r="O66" i="52"/>
  <c r="O49" i="52"/>
  <c r="O29" i="52"/>
  <c r="P28" i="65" s="1"/>
  <c r="O11" i="52"/>
  <c r="P10" i="65" s="1"/>
  <c r="O71" i="52"/>
  <c r="O54" i="52"/>
  <c r="O34" i="52"/>
  <c r="P33" i="65" s="1"/>
  <c r="O16" i="52"/>
  <c r="P15" i="65" s="1"/>
  <c r="O43" i="52"/>
  <c r="O23" i="52"/>
  <c r="O5" i="52"/>
  <c r="P4" i="65" s="1"/>
  <c r="P22" i="65" s="1"/>
  <c r="O48" i="52"/>
  <c r="O28" i="52"/>
  <c r="P27" i="65" s="1"/>
  <c r="O10" i="52"/>
  <c r="P9" i="65" s="1"/>
  <c r="O53" i="52"/>
  <c r="O33" i="52"/>
  <c r="P32" i="65" s="1"/>
  <c r="O15" i="52"/>
  <c r="P14" i="65" s="1"/>
  <c r="O30" i="52"/>
  <c r="P29" i="65" s="1"/>
  <c r="O93" i="52"/>
  <c r="O20" i="52"/>
  <c r="P19" i="65" s="1"/>
  <c r="O72" i="52"/>
  <c r="O12" i="52"/>
  <c r="P11" i="65" s="1"/>
  <c r="O58" i="52"/>
  <c r="O50" i="52"/>
  <c r="O97" i="52"/>
  <c r="O38" i="52"/>
  <c r="P37" i="65" s="1"/>
  <c r="O96" i="52"/>
  <c r="AU15" i="51"/>
  <c r="U16" i="33" s="1"/>
  <c r="AU34" i="51"/>
  <c r="U37" i="33" s="1"/>
  <c r="AS7" i="51"/>
  <c r="S8" i="33" s="1"/>
  <c r="AS20" i="51"/>
  <c r="S21" i="33" s="1"/>
  <c r="AJ33" i="51"/>
  <c r="E36" i="33" s="1"/>
  <c r="N31" i="43"/>
  <c r="N264" i="44" s="1"/>
  <c r="T74" i="41"/>
  <c r="AP30" i="51"/>
  <c r="E67" i="43"/>
  <c r="F69" i="33"/>
  <c r="F28" i="41"/>
  <c r="E57" i="43"/>
  <c r="F18" i="41"/>
  <c r="AM11" i="51"/>
  <c r="I12" i="33" s="1"/>
  <c r="AM33" i="51"/>
  <c r="I36" i="33" s="1"/>
  <c r="AQ32" i="51"/>
  <c r="O35" i="33" s="1"/>
  <c r="AR16" i="51"/>
  <c r="P17" i="33" s="1"/>
  <c r="AR34" i="51"/>
  <c r="P37" i="33" s="1"/>
  <c r="AT25" i="51"/>
  <c r="T28" i="33" s="1"/>
  <c r="AT37" i="51"/>
  <c r="T40" i="33" s="1"/>
  <c r="AK87" i="77"/>
  <c r="AK87" i="70" s="1"/>
  <c r="AP49" i="77"/>
  <c r="AK49" i="70"/>
  <c r="AN17" i="51"/>
  <c r="J18" i="33" s="1"/>
  <c r="AN15" i="51"/>
  <c r="J16" i="33" s="1"/>
  <c r="G79" i="33"/>
  <c r="F77" i="43"/>
  <c r="F630" i="44" s="1"/>
  <c r="G38" i="41"/>
  <c r="AL34" i="51"/>
  <c r="G37" i="33" s="1"/>
  <c r="AO10" i="51"/>
  <c r="K11" i="33" s="1"/>
  <c r="AO30" i="51"/>
  <c r="K33" i="33" s="1"/>
  <c r="P91" i="52"/>
  <c r="P70" i="52"/>
  <c r="P96" i="52"/>
  <c r="P75" i="52"/>
  <c r="P90" i="52"/>
  <c r="P95" i="52"/>
  <c r="P84" i="52"/>
  <c r="P83" i="52"/>
  <c r="P62" i="52"/>
  <c r="P88" i="52"/>
  <c r="P67" i="52"/>
  <c r="P93" i="52"/>
  <c r="P72" i="52"/>
  <c r="P89" i="52"/>
  <c r="P86" i="52"/>
  <c r="P68" i="52"/>
  <c r="P52" i="52"/>
  <c r="P32" i="52"/>
  <c r="Q31" i="65" s="1"/>
  <c r="P14" i="52"/>
  <c r="Q13" i="65" s="1"/>
  <c r="P63" i="52"/>
  <c r="P57" i="52"/>
  <c r="P37" i="52"/>
  <c r="Q36" i="65" s="1"/>
  <c r="P19" i="52"/>
  <c r="Q18" i="65" s="1"/>
  <c r="P69" i="52"/>
  <c r="P46" i="52"/>
  <c r="P26" i="52"/>
  <c r="Q25" i="65" s="1"/>
  <c r="P8" i="52"/>
  <c r="Q7" i="65" s="1"/>
  <c r="P64" i="52"/>
  <c r="P51" i="52"/>
  <c r="P31" i="52"/>
  <c r="Q30" i="65" s="1"/>
  <c r="P13" i="52"/>
  <c r="Q12" i="65" s="1"/>
  <c r="P87" i="52"/>
  <c r="P56" i="52"/>
  <c r="P36" i="52"/>
  <c r="Q35" i="65" s="1"/>
  <c r="P18" i="52"/>
  <c r="Q17" i="65" s="1"/>
  <c r="P98" i="52"/>
  <c r="P76" i="52"/>
  <c r="P73" i="52"/>
  <c r="P45" i="52"/>
  <c r="P25" i="52"/>
  <c r="Q24" i="65" s="1"/>
  <c r="P7" i="52"/>
  <c r="Q6" i="65" s="1"/>
  <c r="P50" i="52"/>
  <c r="P30" i="52"/>
  <c r="Q29" i="65" s="1"/>
  <c r="P12" i="52"/>
  <c r="Q11" i="65" s="1"/>
  <c r="P44" i="52"/>
  <c r="P24" i="52"/>
  <c r="Q23" i="65" s="1"/>
  <c r="P6" i="52"/>
  <c r="Q5" i="65" s="1"/>
  <c r="P77" i="52"/>
  <c r="P66" i="52"/>
  <c r="P49" i="52"/>
  <c r="P29" i="52"/>
  <c r="Q28" i="65" s="1"/>
  <c r="P11" i="52"/>
  <c r="Q10" i="65" s="1"/>
  <c r="P85" i="52"/>
  <c r="P74" i="52"/>
  <c r="P71" i="52"/>
  <c r="P54" i="52"/>
  <c r="P34" i="52"/>
  <c r="Q33" i="65" s="1"/>
  <c r="P16" i="52"/>
  <c r="Q15" i="65" s="1"/>
  <c r="P43" i="52"/>
  <c r="P23" i="52"/>
  <c r="P5" i="52"/>
  <c r="Q4" i="65" s="1"/>
  <c r="Q22" i="65" s="1"/>
  <c r="P48" i="52"/>
  <c r="P28" i="52"/>
  <c r="Q27" i="65" s="1"/>
  <c r="P10" i="52"/>
  <c r="Q9" i="65" s="1"/>
  <c r="P53" i="52"/>
  <c r="P33" i="52"/>
  <c r="Q32" i="65" s="1"/>
  <c r="P15" i="52"/>
  <c r="Q14" i="65" s="1"/>
  <c r="P97" i="52"/>
  <c r="P58" i="52"/>
  <c r="P38" i="52"/>
  <c r="Q37" i="65" s="1"/>
  <c r="P20" i="52"/>
  <c r="Q19" i="65" s="1"/>
  <c r="P94" i="52"/>
  <c r="P65" i="52"/>
  <c r="P9" i="52"/>
  <c r="Q8" i="65" s="1"/>
  <c r="P47" i="52"/>
  <c r="P92" i="52"/>
  <c r="P35" i="52"/>
  <c r="Q34" i="65" s="1"/>
  <c r="P27" i="52"/>
  <c r="Q26" i="65" s="1"/>
  <c r="P17" i="52"/>
  <c r="Q16" i="65" s="1"/>
  <c r="P55" i="52"/>
  <c r="AU28" i="51"/>
  <c r="U31" i="33" s="1"/>
  <c r="AS15" i="51"/>
  <c r="S16" i="33" s="1"/>
  <c r="Q8" i="51"/>
  <c r="AJ8" i="51"/>
  <c r="E9" i="33" s="1"/>
  <c r="AP35" i="51"/>
  <c r="N38" i="33" s="1"/>
  <c r="AK38" i="51"/>
  <c r="F41" i="33" s="1"/>
  <c r="E68" i="43"/>
  <c r="E546" i="44" s="1"/>
  <c r="F70" i="33"/>
  <c r="F29" i="41"/>
  <c r="AM18" i="51"/>
  <c r="I19" i="33" s="1"/>
  <c r="G69" i="43"/>
  <c r="G560" i="44" s="1"/>
  <c r="I71" i="33"/>
  <c r="I30" i="41"/>
  <c r="AQ16" i="51"/>
  <c r="O17" i="33" s="1"/>
  <c r="AQ35" i="51"/>
  <c r="O38" i="33" s="1"/>
  <c r="AR9" i="51"/>
  <c r="P10" i="33" s="1"/>
  <c r="AR28" i="51"/>
  <c r="P31" i="33" s="1"/>
  <c r="AT10" i="51"/>
  <c r="T11" i="33" s="1"/>
  <c r="AT18" i="51"/>
  <c r="T19" i="33" s="1"/>
  <c r="AN9" i="51"/>
  <c r="J10" i="33" s="1"/>
  <c r="L10" i="33" s="1"/>
  <c r="AN33" i="51"/>
  <c r="J36" i="33" s="1"/>
  <c r="F74" i="43"/>
  <c r="F609" i="44" s="1"/>
  <c r="G76" i="33"/>
  <c r="G35" i="41"/>
  <c r="F70" i="43"/>
  <c r="F574" i="44" s="1"/>
  <c r="G72" i="33"/>
  <c r="G31" i="41"/>
  <c r="AO38" i="51"/>
  <c r="K41" i="33" s="1"/>
  <c r="I79" i="43"/>
  <c r="I644" i="44" s="1"/>
  <c r="K81" i="33"/>
  <c r="K40" i="41"/>
  <c r="D95" i="52"/>
  <c r="D74" i="52"/>
  <c r="D84" i="52"/>
  <c r="D63" i="52"/>
  <c r="D94" i="52"/>
  <c r="D73" i="52"/>
  <c r="D88" i="52"/>
  <c r="D87" i="52"/>
  <c r="D66" i="52"/>
  <c r="D92" i="52"/>
  <c r="D71" i="52"/>
  <c r="D97" i="52"/>
  <c r="D76" i="52"/>
  <c r="D91" i="52"/>
  <c r="D56" i="52"/>
  <c r="D36" i="52"/>
  <c r="E35" i="65" s="1"/>
  <c r="D18" i="52"/>
  <c r="E17" i="65" s="1"/>
  <c r="D85" i="52"/>
  <c r="D77" i="52"/>
  <c r="D45" i="52"/>
  <c r="D25" i="52"/>
  <c r="E24" i="65" s="1"/>
  <c r="D7" i="52"/>
  <c r="E6" i="65" s="1"/>
  <c r="D50" i="52"/>
  <c r="D30" i="52"/>
  <c r="E29" i="65" s="1"/>
  <c r="D12" i="52"/>
  <c r="E11" i="65" s="1"/>
  <c r="D55" i="52"/>
  <c r="D35" i="52"/>
  <c r="E34" i="65" s="1"/>
  <c r="D17" i="52"/>
  <c r="E16" i="65" s="1"/>
  <c r="D93" i="52"/>
  <c r="D44" i="52"/>
  <c r="D24" i="52"/>
  <c r="E23" i="65" s="1"/>
  <c r="D86" i="52"/>
  <c r="D67" i="52"/>
  <c r="D49" i="52"/>
  <c r="D29" i="52"/>
  <c r="E28" i="65" s="1"/>
  <c r="D11" i="52"/>
  <c r="E10" i="65" s="1"/>
  <c r="D89" i="52"/>
  <c r="D83" i="52"/>
  <c r="D75" i="52"/>
  <c r="D72" i="52"/>
  <c r="D54" i="52"/>
  <c r="D34" i="52"/>
  <c r="E33" i="65" s="1"/>
  <c r="D16" i="52"/>
  <c r="E15" i="65" s="1"/>
  <c r="D48" i="52"/>
  <c r="D28" i="52"/>
  <c r="E27" i="65" s="1"/>
  <c r="D10" i="52"/>
  <c r="E9" i="65" s="1"/>
  <c r="D53" i="52"/>
  <c r="D33" i="52"/>
  <c r="E32" i="65" s="1"/>
  <c r="D15" i="52"/>
  <c r="E14" i="65" s="1"/>
  <c r="D58" i="52"/>
  <c r="D38" i="52"/>
  <c r="E37" i="65" s="1"/>
  <c r="D20" i="52"/>
  <c r="E19" i="65" s="1"/>
  <c r="D98" i="52"/>
  <c r="D96" i="52"/>
  <c r="D69" i="52"/>
  <c r="D47" i="52"/>
  <c r="D27" i="52"/>
  <c r="E26" i="65" s="1"/>
  <c r="D9" i="52"/>
  <c r="E8" i="65" s="1"/>
  <c r="D64" i="52"/>
  <c r="D52" i="52"/>
  <c r="D32" i="52"/>
  <c r="E31" i="65" s="1"/>
  <c r="D14" i="52"/>
  <c r="E13" i="65" s="1"/>
  <c r="D70" i="52"/>
  <c r="D57" i="52"/>
  <c r="D37" i="52"/>
  <c r="E36" i="65" s="1"/>
  <c r="D19" i="52"/>
  <c r="E18" i="65" s="1"/>
  <c r="D90" i="52"/>
  <c r="D65" i="52"/>
  <c r="D46" i="52"/>
  <c r="D26" i="52"/>
  <c r="E25" i="65" s="1"/>
  <c r="D6" i="52"/>
  <c r="E5" i="65" s="1"/>
  <c r="D23" i="52"/>
  <c r="D13" i="52"/>
  <c r="E12" i="65" s="1"/>
  <c r="D62" i="52"/>
  <c r="D8" i="52"/>
  <c r="E7" i="65" s="1"/>
  <c r="D5" i="52"/>
  <c r="E4" i="65" s="1"/>
  <c r="E22" i="65" s="1"/>
  <c r="D51" i="52"/>
  <c r="D68" i="52"/>
  <c r="D43" i="52"/>
  <c r="D31" i="52"/>
  <c r="E30" i="65" s="1"/>
  <c r="BR99" i="77"/>
  <c r="BR99" i="70" s="1"/>
  <c r="L98" i="52" s="1"/>
  <c r="BW99" i="77"/>
  <c r="BW99" i="70" s="1"/>
  <c r="Q98" i="52" s="1"/>
  <c r="BM99" i="70"/>
  <c r="G98" i="52" s="1"/>
  <c r="AU8" i="51"/>
  <c r="U9" i="33" s="1"/>
  <c r="AU36" i="51"/>
  <c r="U39" i="33" s="1"/>
  <c r="AS26" i="51"/>
  <c r="S29" i="33" s="1"/>
  <c r="BD86" i="77"/>
  <c r="BD86" i="70" s="1"/>
  <c r="BD48" i="70"/>
  <c r="Q16" i="51"/>
  <c r="AJ16" i="51"/>
  <c r="E17" i="33" s="1"/>
  <c r="AP12" i="51"/>
  <c r="N13" i="33" s="1"/>
  <c r="E58" i="43"/>
  <c r="F19" i="41"/>
  <c r="E59" i="43"/>
  <c r="F20" i="41"/>
  <c r="G52" i="43"/>
  <c r="I13" i="41"/>
  <c r="AM32" i="51"/>
  <c r="I35" i="33" s="1"/>
  <c r="AQ34" i="51"/>
  <c r="AQ29" i="51"/>
  <c r="O32" i="33" s="1"/>
  <c r="AR17" i="51"/>
  <c r="P18" i="33" s="1"/>
  <c r="AR36" i="51"/>
  <c r="P39" i="33" s="1"/>
  <c r="AT11" i="51"/>
  <c r="T12" i="33" s="1"/>
  <c r="AT31" i="51"/>
  <c r="T34" i="33" s="1"/>
  <c r="AN29" i="51"/>
  <c r="J32" i="33" s="1"/>
  <c r="AN8" i="51"/>
  <c r="J9" i="33" s="1"/>
  <c r="L9" i="33" s="1"/>
  <c r="AL14" i="51"/>
  <c r="G15" i="33" s="1"/>
  <c r="AL36" i="51"/>
  <c r="G39" i="33" s="1"/>
  <c r="AO11" i="51"/>
  <c r="K12" i="33" s="1"/>
  <c r="AO19" i="51"/>
  <c r="K20" i="33" s="1"/>
  <c r="E84" i="52"/>
  <c r="E63" i="52"/>
  <c r="E89" i="52"/>
  <c r="E68" i="52"/>
  <c r="E83" i="52"/>
  <c r="E93" i="52"/>
  <c r="E72" i="52"/>
  <c r="E92" i="52"/>
  <c r="E71" i="52"/>
  <c r="E97" i="52"/>
  <c r="E76" i="52"/>
  <c r="E86" i="52"/>
  <c r="E65" i="52"/>
  <c r="E96" i="52"/>
  <c r="E88" i="52"/>
  <c r="E85" i="52"/>
  <c r="E77" i="52"/>
  <c r="E45" i="52"/>
  <c r="E25" i="52"/>
  <c r="F24" i="65" s="1"/>
  <c r="E7" i="52"/>
  <c r="F6" i="65" s="1"/>
  <c r="E74" i="52"/>
  <c r="E50" i="52"/>
  <c r="E30" i="52"/>
  <c r="F29" i="65" s="1"/>
  <c r="E12" i="52"/>
  <c r="F11" i="65" s="1"/>
  <c r="E66" i="52"/>
  <c r="E55" i="52"/>
  <c r="E35" i="52"/>
  <c r="F34" i="65" s="1"/>
  <c r="E17" i="52"/>
  <c r="F16" i="65" s="1"/>
  <c r="E44" i="52"/>
  <c r="E24" i="52"/>
  <c r="F23" i="65" s="1"/>
  <c r="E6" i="52"/>
  <c r="F5" i="65" s="1"/>
  <c r="E95" i="52"/>
  <c r="E91" i="52"/>
  <c r="E67" i="52"/>
  <c r="E49" i="52"/>
  <c r="E29" i="52"/>
  <c r="F28" i="65" s="1"/>
  <c r="E11" i="52"/>
  <c r="F10" i="65" s="1"/>
  <c r="E75" i="52"/>
  <c r="E54" i="52"/>
  <c r="E34" i="52"/>
  <c r="F33" i="65" s="1"/>
  <c r="E16" i="52"/>
  <c r="F15" i="65" s="1"/>
  <c r="E62" i="52"/>
  <c r="E43" i="52"/>
  <c r="E23" i="52"/>
  <c r="E5" i="52"/>
  <c r="F4" i="65" s="1"/>
  <c r="F22" i="65" s="1"/>
  <c r="E53" i="52"/>
  <c r="E33" i="52"/>
  <c r="F32" i="65" s="1"/>
  <c r="E15" i="52"/>
  <c r="F14" i="65" s="1"/>
  <c r="E58" i="52"/>
  <c r="E38" i="52"/>
  <c r="F37" i="65" s="1"/>
  <c r="E20" i="52"/>
  <c r="F19" i="65" s="1"/>
  <c r="E98" i="52"/>
  <c r="E69" i="52"/>
  <c r="E47" i="52"/>
  <c r="E27" i="52"/>
  <c r="F26" i="65" s="1"/>
  <c r="E9" i="52"/>
  <c r="F8" i="65" s="1"/>
  <c r="E87" i="52"/>
  <c r="E73" i="52"/>
  <c r="E64" i="52"/>
  <c r="E52" i="52"/>
  <c r="E32" i="52"/>
  <c r="F31" i="65" s="1"/>
  <c r="E14" i="52"/>
  <c r="F13" i="65" s="1"/>
  <c r="E94" i="52"/>
  <c r="E70" i="52"/>
  <c r="E57" i="52"/>
  <c r="E37" i="52"/>
  <c r="F36" i="65" s="1"/>
  <c r="E19" i="52"/>
  <c r="F18" i="65" s="1"/>
  <c r="E90" i="52"/>
  <c r="E46" i="52"/>
  <c r="E26" i="52"/>
  <c r="F25" i="65" s="1"/>
  <c r="E8" i="52"/>
  <c r="F7" i="65" s="1"/>
  <c r="E51" i="52"/>
  <c r="E31" i="52"/>
  <c r="F30" i="65" s="1"/>
  <c r="E13" i="52"/>
  <c r="F12" i="65" s="1"/>
  <c r="E48" i="52"/>
  <c r="E36" i="52"/>
  <c r="F35" i="65" s="1"/>
  <c r="E28" i="52"/>
  <c r="F27" i="65" s="1"/>
  <c r="E18" i="52"/>
  <c r="F17" i="65" s="1"/>
  <c r="E56" i="52"/>
  <c r="E10" i="52"/>
  <c r="F9" i="65" s="1"/>
  <c r="AU16" i="51"/>
  <c r="U17" i="33" s="1"/>
  <c r="AU29" i="51"/>
  <c r="U32" i="33" s="1"/>
  <c r="AS29" i="51"/>
  <c r="S32" i="33" s="1"/>
  <c r="AS27" i="51"/>
  <c r="S30" i="33" s="1"/>
  <c r="BD80" i="77"/>
  <c r="BD80" i="70" s="1"/>
  <c r="BI66" i="77"/>
  <c r="BD66" i="70"/>
  <c r="Q9" i="51"/>
  <c r="AJ9" i="51"/>
  <c r="E10" i="33" s="1"/>
  <c r="AP31" i="51"/>
  <c r="N34" i="33" s="1"/>
  <c r="BD61" i="70"/>
  <c r="AK12" i="51"/>
  <c r="F13" i="33" s="1"/>
  <c r="AK10" i="51"/>
  <c r="F11" i="33" s="1"/>
  <c r="AM13" i="51"/>
  <c r="I14" i="33" s="1"/>
  <c r="AM35" i="51"/>
  <c r="I38" i="33" s="1"/>
  <c r="AQ9" i="51"/>
  <c r="O10" i="33" s="1"/>
  <c r="AQ30" i="51"/>
  <c r="AR25" i="51"/>
  <c r="P28" i="33" s="1"/>
  <c r="AR29" i="51"/>
  <c r="P32" i="33" s="1"/>
  <c r="AT12" i="51"/>
  <c r="T13" i="33" s="1"/>
  <c r="AT38" i="51"/>
  <c r="T41" i="33" s="1"/>
  <c r="AN19" i="51"/>
  <c r="J20" i="33" s="1"/>
  <c r="AN16" i="51"/>
  <c r="J17" i="33" s="1"/>
  <c r="L17" i="33" s="1"/>
  <c r="E98" i="15"/>
  <c r="W22" i="30"/>
  <c r="F47" i="43"/>
  <c r="G8" i="41"/>
  <c r="AL29" i="51"/>
  <c r="G32" i="33" s="1"/>
  <c r="I58" i="43"/>
  <c r="K19" i="41"/>
  <c r="I67" i="43"/>
  <c r="K69" i="33"/>
  <c r="K28" i="41"/>
  <c r="U84" i="52"/>
  <c r="U63" i="52"/>
  <c r="U89" i="52"/>
  <c r="U68" i="52"/>
  <c r="U83" i="52"/>
  <c r="U93" i="52"/>
  <c r="U72" i="52"/>
  <c r="U92" i="52"/>
  <c r="U71" i="52"/>
  <c r="U97" i="52"/>
  <c r="U76" i="52"/>
  <c r="U86" i="52"/>
  <c r="U65" i="52"/>
  <c r="U96" i="52"/>
  <c r="U64" i="52"/>
  <c r="U45" i="52"/>
  <c r="U25" i="52"/>
  <c r="U7" i="52"/>
  <c r="U70" i="52"/>
  <c r="U50" i="52"/>
  <c r="U30" i="52"/>
  <c r="U12" i="52"/>
  <c r="U87" i="52"/>
  <c r="U73" i="52"/>
  <c r="U55" i="52"/>
  <c r="U35" i="52"/>
  <c r="U17" i="52"/>
  <c r="U98" i="52"/>
  <c r="U44" i="52"/>
  <c r="U24" i="52"/>
  <c r="U6" i="52"/>
  <c r="U49" i="52"/>
  <c r="U29" i="52"/>
  <c r="U11" i="52"/>
  <c r="U94" i="52"/>
  <c r="U54" i="52"/>
  <c r="U34" i="52"/>
  <c r="U16" i="52"/>
  <c r="U90" i="52"/>
  <c r="U43" i="52"/>
  <c r="U23" i="52"/>
  <c r="U5" i="52"/>
  <c r="V4" i="65" s="1"/>
  <c r="V22" i="65" s="1"/>
  <c r="U74" i="52"/>
  <c r="U53" i="52"/>
  <c r="U33" i="52"/>
  <c r="U15" i="52"/>
  <c r="U67" i="52"/>
  <c r="U58" i="52"/>
  <c r="U38" i="52"/>
  <c r="V37" i="65" s="1"/>
  <c r="U20" i="52"/>
  <c r="V19" i="65" s="1"/>
  <c r="U62" i="52"/>
  <c r="U47" i="52"/>
  <c r="U27" i="52"/>
  <c r="U9" i="52"/>
  <c r="U52" i="52"/>
  <c r="U32" i="52"/>
  <c r="U14" i="52"/>
  <c r="U75" i="52"/>
  <c r="U57" i="52"/>
  <c r="U37" i="52"/>
  <c r="U19" i="52"/>
  <c r="U95" i="52"/>
  <c r="U91" i="52"/>
  <c r="U46" i="52"/>
  <c r="U26" i="52"/>
  <c r="U8" i="52"/>
  <c r="U51" i="52"/>
  <c r="U31" i="52"/>
  <c r="U13" i="52"/>
  <c r="U36" i="52"/>
  <c r="U28" i="52"/>
  <c r="U88" i="52"/>
  <c r="U18" i="52"/>
  <c r="U69" i="52"/>
  <c r="U85" i="52"/>
  <c r="U10" i="52"/>
  <c r="U56" i="52"/>
  <c r="U77" i="52"/>
  <c r="U66" i="52"/>
  <c r="U48" i="52"/>
  <c r="AU9" i="51"/>
  <c r="U10" i="33" s="1"/>
  <c r="AU30" i="51"/>
  <c r="U33" i="33" s="1"/>
  <c r="AS8" i="51"/>
  <c r="S9" i="33" s="1"/>
  <c r="AS32" i="51"/>
  <c r="S35" i="33" s="1"/>
  <c r="Q25" i="51"/>
  <c r="AJ25" i="51"/>
  <c r="E28" i="33" s="1"/>
  <c r="AJ17" i="51"/>
  <c r="E18" i="33" s="1"/>
  <c r="Q17" i="51"/>
  <c r="AP8" i="51"/>
  <c r="N9" i="33" s="1"/>
  <c r="AP32" i="51"/>
  <c r="N35" i="33" s="1"/>
  <c r="AY99" i="77"/>
  <c r="AY99" i="70" s="1"/>
  <c r="AK13" i="51"/>
  <c r="F14" i="33" s="1"/>
  <c r="E69" i="43"/>
  <c r="E560" i="44" s="1"/>
  <c r="F71" i="33"/>
  <c r="F30" i="41"/>
  <c r="G54" i="43"/>
  <c r="I15" i="41"/>
  <c r="AM28" i="51"/>
  <c r="I31" i="33" s="1"/>
  <c r="AQ17" i="51"/>
  <c r="O18" i="33" s="1"/>
  <c r="AQ37" i="51"/>
  <c r="O40" i="33" s="1"/>
  <c r="AR38" i="51"/>
  <c r="P41" i="33" s="1"/>
  <c r="AR30" i="51"/>
  <c r="P33" i="33" s="1"/>
  <c r="AT28" i="51"/>
  <c r="T31" i="33" s="1"/>
  <c r="AK91" i="77"/>
  <c r="AK91" i="70" s="1"/>
  <c r="AK53" i="70"/>
  <c r="AP53" i="77"/>
  <c r="AP95" i="77"/>
  <c r="AP95" i="70" s="1"/>
  <c r="AP57" i="70"/>
  <c r="AN37" i="51"/>
  <c r="J40" i="33" s="1"/>
  <c r="AN20" i="51"/>
  <c r="J21" i="33" s="1"/>
  <c r="L21" i="33" s="1"/>
  <c r="AL15" i="51"/>
  <c r="G16" i="33" s="1"/>
  <c r="AL30" i="51"/>
  <c r="G33" i="33" s="1"/>
  <c r="AO12" i="51"/>
  <c r="K13" i="33" s="1"/>
  <c r="I75" i="43"/>
  <c r="I616" i="44" s="1"/>
  <c r="K36" i="41"/>
  <c r="G94" i="52"/>
  <c r="G73" i="52"/>
  <c r="G83" i="52"/>
  <c r="G62" i="52"/>
  <c r="G93" i="52"/>
  <c r="G72" i="52"/>
  <c r="G87" i="52"/>
  <c r="G86" i="52"/>
  <c r="G65" i="52"/>
  <c r="G91" i="52"/>
  <c r="G70" i="52"/>
  <c r="G96" i="52"/>
  <c r="G75" i="52"/>
  <c r="G90" i="52"/>
  <c r="G66" i="52"/>
  <c r="G55" i="52"/>
  <c r="G35" i="52"/>
  <c r="H34" i="65" s="1"/>
  <c r="G17" i="52"/>
  <c r="H16" i="65" s="1"/>
  <c r="G44" i="52"/>
  <c r="G24" i="52"/>
  <c r="H23" i="65" s="1"/>
  <c r="G6" i="52"/>
  <c r="H5" i="65" s="1"/>
  <c r="G97" i="52"/>
  <c r="G95" i="52"/>
  <c r="G67" i="52"/>
  <c r="G49" i="52"/>
  <c r="G29" i="52"/>
  <c r="H28" i="65" s="1"/>
  <c r="G11" i="52"/>
  <c r="H10" i="65" s="1"/>
  <c r="G54" i="52"/>
  <c r="G34" i="52"/>
  <c r="H33" i="65" s="1"/>
  <c r="G16" i="52"/>
  <c r="H15" i="65" s="1"/>
  <c r="G43" i="52"/>
  <c r="G23" i="52"/>
  <c r="G89" i="52"/>
  <c r="G48" i="52"/>
  <c r="G28" i="52"/>
  <c r="H27" i="65" s="1"/>
  <c r="G10" i="52"/>
  <c r="H9" i="65" s="1"/>
  <c r="G68" i="52"/>
  <c r="G53" i="52"/>
  <c r="G33" i="52"/>
  <c r="H32" i="65" s="1"/>
  <c r="G15" i="52"/>
  <c r="H14" i="65" s="1"/>
  <c r="G69" i="52"/>
  <c r="G47" i="52"/>
  <c r="G27" i="52"/>
  <c r="H26" i="65" s="1"/>
  <c r="G9" i="52"/>
  <c r="H8" i="65" s="1"/>
  <c r="G64" i="52"/>
  <c r="G52" i="52"/>
  <c r="G32" i="52"/>
  <c r="H31" i="65" s="1"/>
  <c r="G14" i="52"/>
  <c r="H13" i="65" s="1"/>
  <c r="G84" i="52"/>
  <c r="G76" i="52"/>
  <c r="G57" i="52"/>
  <c r="G37" i="52"/>
  <c r="H36" i="65" s="1"/>
  <c r="G19" i="52"/>
  <c r="H18" i="65" s="1"/>
  <c r="G92" i="52"/>
  <c r="G46" i="52"/>
  <c r="G26" i="52"/>
  <c r="H25" i="65" s="1"/>
  <c r="G8" i="52"/>
  <c r="H7" i="65" s="1"/>
  <c r="G51" i="52"/>
  <c r="G31" i="52"/>
  <c r="H30" i="65" s="1"/>
  <c r="G13" i="52"/>
  <c r="H12" i="65" s="1"/>
  <c r="G56" i="52"/>
  <c r="G36" i="52"/>
  <c r="H35" i="65" s="1"/>
  <c r="G18" i="52"/>
  <c r="H17" i="65" s="1"/>
  <c r="G85" i="52"/>
  <c r="G45" i="52"/>
  <c r="G25" i="52"/>
  <c r="H24" i="65" s="1"/>
  <c r="G30" i="52"/>
  <c r="H29" i="65" s="1"/>
  <c r="G74" i="52"/>
  <c r="G63" i="52"/>
  <c r="G20" i="52"/>
  <c r="H19" i="65" s="1"/>
  <c r="G5" i="52"/>
  <c r="H4" i="65" s="1"/>
  <c r="H22" i="65" s="1"/>
  <c r="G88" i="52"/>
  <c r="G71" i="52"/>
  <c r="G12" i="52"/>
  <c r="H11" i="65" s="1"/>
  <c r="G58" i="52"/>
  <c r="G77" i="52"/>
  <c r="G50" i="52"/>
  <c r="G7" i="52"/>
  <c r="H6" i="65" s="1"/>
  <c r="G38" i="52"/>
  <c r="H37" i="65" s="1"/>
  <c r="BD85" i="77"/>
  <c r="BD85" i="70" s="1"/>
  <c r="BD47" i="70"/>
  <c r="AU17" i="51"/>
  <c r="U18" i="33" s="1"/>
  <c r="AU37" i="51"/>
  <c r="U40" i="33" s="1"/>
  <c r="AS16" i="51"/>
  <c r="S17" i="33" s="1"/>
  <c r="AJ37" i="51"/>
  <c r="E40" i="33" s="1"/>
  <c r="Q37" i="51"/>
  <c r="AJ26" i="51"/>
  <c r="E29" i="33" s="1"/>
  <c r="Q26" i="51"/>
  <c r="AP16" i="51"/>
  <c r="N17" i="33" s="1"/>
  <c r="AP13" i="51"/>
  <c r="N14" i="33" s="1"/>
  <c r="AK31" i="51"/>
  <c r="Q31" i="51"/>
  <c r="AK32" i="51"/>
  <c r="F35" i="33" s="1"/>
  <c r="AM7" i="51"/>
  <c r="I8" i="33" s="1"/>
  <c r="AM36" i="51"/>
  <c r="I39" i="33" s="1"/>
  <c r="AQ10" i="51"/>
  <c r="O11" i="33" s="1"/>
  <c r="AR10" i="51"/>
  <c r="P11" i="33" s="1"/>
  <c r="AR37" i="51"/>
  <c r="P40" i="33" s="1"/>
  <c r="AT13" i="51"/>
  <c r="T14" i="33" s="1"/>
  <c r="AN10" i="51"/>
  <c r="J11" i="33" s="1"/>
  <c r="AN26" i="51"/>
  <c r="J29" i="33" s="1"/>
  <c r="F60" i="43"/>
  <c r="G62" i="33"/>
  <c r="G21" i="41"/>
  <c r="F79" i="43"/>
  <c r="F644" i="44" s="1"/>
  <c r="G81" i="33"/>
  <c r="G40" i="41"/>
  <c r="I73" i="43"/>
  <c r="I602" i="44" s="1"/>
  <c r="K75" i="33"/>
  <c r="K34" i="41"/>
  <c r="K70" i="33"/>
  <c r="H83" i="52"/>
  <c r="H88" i="52"/>
  <c r="H67" i="52"/>
  <c r="H98" i="52"/>
  <c r="H77" i="52"/>
  <c r="H92" i="52"/>
  <c r="H71" i="52"/>
  <c r="H91" i="52"/>
  <c r="H70" i="52"/>
  <c r="H96" i="52"/>
  <c r="H75" i="52"/>
  <c r="H85" i="52"/>
  <c r="H64" i="52"/>
  <c r="H95" i="52"/>
  <c r="H44" i="52"/>
  <c r="H24" i="52"/>
  <c r="I23" i="65" s="1"/>
  <c r="H6" i="52"/>
  <c r="I5" i="65" s="1"/>
  <c r="H97" i="52"/>
  <c r="H49" i="52"/>
  <c r="H29" i="52"/>
  <c r="I28" i="65" s="1"/>
  <c r="H11" i="52"/>
  <c r="I10" i="65" s="1"/>
  <c r="H54" i="52"/>
  <c r="H34" i="52"/>
  <c r="I33" i="65" s="1"/>
  <c r="H16" i="52"/>
  <c r="I15" i="65" s="1"/>
  <c r="H93" i="52"/>
  <c r="H43" i="52"/>
  <c r="H23" i="52"/>
  <c r="H5" i="52"/>
  <c r="I4" i="65" s="1"/>
  <c r="I22" i="65" s="1"/>
  <c r="H89" i="52"/>
  <c r="H86" i="52"/>
  <c r="H72" i="52"/>
  <c r="H62" i="52"/>
  <c r="H48" i="52"/>
  <c r="H28" i="52"/>
  <c r="I27" i="65" s="1"/>
  <c r="H68" i="52"/>
  <c r="H53" i="52"/>
  <c r="H33" i="52"/>
  <c r="I32" i="65" s="1"/>
  <c r="H15" i="52"/>
  <c r="I14" i="65" s="1"/>
  <c r="H63" i="52"/>
  <c r="H58" i="52"/>
  <c r="H38" i="52"/>
  <c r="I37" i="65" s="1"/>
  <c r="H20" i="52"/>
  <c r="I19" i="65" s="1"/>
  <c r="H52" i="52"/>
  <c r="H32" i="52"/>
  <c r="I31" i="65" s="1"/>
  <c r="H14" i="52"/>
  <c r="I13" i="65" s="1"/>
  <c r="H87" i="52"/>
  <c r="H84" i="52"/>
  <c r="H76" i="52"/>
  <c r="H57" i="52"/>
  <c r="H37" i="52"/>
  <c r="I36" i="65" s="1"/>
  <c r="H19" i="52"/>
  <c r="I18" i="65" s="1"/>
  <c r="H73" i="52"/>
  <c r="H46" i="52"/>
  <c r="H26" i="52"/>
  <c r="I25" i="65" s="1"/>
  <c r="H8" i="52"/>
  <c r="I7" i="65" s="1"/>
  <c r="H94" i="52"/>
  <c r="H90" i="52"/>
  <c r="H51" i="52"/>
  <c r="H31" i="52"/>
  <c r="I30" i="65" s="1"/>
  <c r="H13" i="52"/>
  <c r="I12" i="65" s="1"/>
  <c r="H56" i="52"/>
  <c r="H36" i="52"/>
  <c r="I35" i="65" s="1"/>
  <c r="H18" i="52"/>
  <c r="I17" i="65" s="1"/>
  <c r="H65" i="52"/>
  <c r="H45" i="52"/>
  <c r="H25" i="52"/>
  <c r="I24" i="65" s="1"/>
  <c r="H7" i="52"/>
  <c r="I6" i="65" s="1"/>
  <c r="H74" i="52"/>
  <c r="H50" i="52"/>
  <c r="H30" i="52"/>
  <c r="I29" i="65" s="1"/>
  <c r="H12" i="52"/>
  <c r="I11" i="65" s="1"/>
  <c r="H47" i="52"/>
  <c r="H9" i="52"/>
  <c r="I8" i="65" s="1"/>
  <c r="H35" i="52"/>
  <c r="I34" i="65" s="1"/>
  <c r="H27" i="52"/>
  <c r="I26" i="65" s="1"/>
  <c r="H69" i="52"/>
  <c r="H17" i="52"/>
  <c r="I16" i="65" s="1"/>
  <c r="H66" i="52"/>
  <c r="H55" i="52"/>
  <c r="H10" i="52"/>
  <c r="I9" i="65" s="1"/>
  <c r="O58" i="43"/>
  <c r="U19" i="41"/>
  <c r="M76" i="43"/>
  <c r="M623" i="44" s="1"/>
  <c r="S78" i="33"/>
  <c r="S37" i="41"/>
  <c r="M70" i="43"/>
  <c r="M574" i="44" s="1"/>
  <c r="S72" i="33"/>
  <c r="S31" i="41"/>
  <c r="BD93" i="77"/>
  <c r="BD93" i="70" s="1"/>
  <c r="BD55" i="70"/>
  <c r="AJ11" i="51"/>
  <c r="E12" i="33" s="1"/>
  <c r="Q10" i="51"/>
  <c r="AJ10" i="51"/>
  <c r="E11" i="33" s="1"/>
  <c r="J54" i="43"/>
  <c r="Q15" i="33"/>
  <c r="N15" i="41"/>
  <c r="AP86" i="77"/>
  <c r="AP86" i="70" s="1"/>
  <c r="AP48" i="70"/>
  <c r="E54" i="43"/>
  <c r="F15" i="41"/>
  <c r="F79" i="33"/>
  <c r="E77" i="43"/>
  <c r="E630" i="44" s="1"/>
  <c r="F38" i="41"/>
  <c r="G55" i="43"/>
  <c r="I16" i="41"/>
  <c r="G71" i="43"/>
  <c r="G588" i="44" s="1"/>
  <c r="I73" i="33"/>
  <c r="I32" i="41"/>
  <c r="AQ11" i="51"/>
  <c r="O12" i="33" s="1"/>
  <c r="K73" i="43"/>
  <c r="K602" i="44" s="1"/>
  <c r="O75" i="33"/>
  <c r="O34" i="41"/>
  <c r="N75" i="43"/>
  <c r="N616" i="44" s="1"/>
  <c r="T77" i="33"/>
  <c r="T36" i="41"/>
  <c r="G27" i="64"/>
  <c r="G33" i="64"/>
  <c r="G31" i="64"/>
  <c r="G30" i="64"/>
  <c r="G10" i="64"/>
  <c r="BD89" i="77"/>
  <c r="BD89" i="70" s="1"/>
  <c r="BD51" i="70"/>
  <c r="AN38" i="51"/>
  <c r="J41" i="33" s="1"/>
  <c r="AN34" i="51"/>
  <c r="J37" i="33" s="1"/>
  <c r="E44" i="30"/>
  <c r="F75" i="43"/>
  <c r="F616" i="44" s="1"/>
  <c r="G36" i="41"/>
  <c r="I53" i="43"/>
  <c r="K14" i="41"/>
  <c r="I76" i="43"/>
  <c r="I623" i="44" s="1"/>
  <c r="K78" i="33"/>
  <c r="K37" i="41"/>
  <c r="Q96" i="52"/>
  <c r="Q75" i="52"/>
  <c r="Q85" i="52"/>
  <c r="Q64" i="52"/>
  <c r="Q95" i="52"/>
  <c r="Q74" i="52"/>
  <c r="Q89" i="52"/>
  <c r="Q88" i="52"/>
  <c r="Q67" i="52"/>
  <c r="Q93" i="52"/>
  <c r="Q72" i="52"/>
  <c r="Q77" i="52"/>
  <c r="Q92" i="52"/>
  <c r="Q91" i="52"/>
  <c r="Q63" i="52"/>
  <c r="Q57" i="52"/>
  <c r="Q37" i="52"/>
  <c r="R36" i="65" s="1"/>
  <c r="Q19" i="52"/>
  <c r="R18" i="65" s="1"/>
  <c r="Q69" i="52"/>
  <c r="Q46" i="52"/>
  <c r="Q26" i="52"/>
  <c r="R25" i="65" s="1"/>
  <c r="Q8" i="52"/>
  <c r="R7" i="65" s="1"/>
  <c r="Q51" i="52"/>
  <c r="Q31" i="52"/>
  <c r="R30" i="65" s="1"/>
  <c r="Q13" i="52"/>
  <c r="R12" i="65" s="1"/>
  <c r="Q87" i="52"/>
  <c r="Q56" i="52"/>
  <c r="Q36" i="52"/>
  <c r="R35" i="65" s="1"/>
  <c r="Q18" i="52"/>
  <c r="R17" i="65" s="1"/>
  <c r="Q84" i="52"/>
  <c r="Q76" i="52"/>
  <c r="Q73" i="52"/>
  <c r="Q45" i="52"/>
  <c r="Q25" i="52"/>
  <c r="R24" i="65" s="1"/>
  <c r="Q70" i="52"/>
  <c r="Q50" i="52"/>
  <c r="Q30" i="52"/>
  <c r="R29" i="65" s="1"/>
  <c r="Q12" i="52"/>
  <c r="R11" i="65" s="1"/>
  <c r="Q94" i="52"/>
  <c r="Q65" i="52"/>
  <c r="Q55" i="52"/>
  <c r="Q35" i="52"/>
  <c r="R34" i="65" s="1"/>
  <c r="Q17" i="52"/>
  <c r="R16" i="65" s="1"/>
  <c r="Q90" i="52"/>
  <c r="Q66" i="52"/>
  <c r="Q49" i="52"/>
  <c r="Q29" i="52"/>
  <c r="R28" i="65" s="1"/>
  <c r="Q11" i="52"/>
  <c r="R10" i="65" s="1"/>
  <c r="Q71" i="52"/>
  <c r="Q54" i="52"/>
  <c r="Q34" i="52"/>
  <c r="R33" i="65" s="1"/>
  <c r="Q16" i="52"/>
  <c r="R15" i="65" s="1"/>
  <c r="Q43" i="52"/>
  <c r="Q23" i="52"/>
  <c r="Q5" i="52"/>
  <c r="R4" i="65" s="1"/>
  <c r="R22" i="65" s="1"/>
  <c r="Q48" i="52"/>
  <c r="Q28" i="52"/>
  <c r="R27" i="65" s="1"/>
  <c r="Q10" i="52"/>
  <c r="R9" i="65" s="1"/>
  <c r="Q53" i="52"/>
  <c r="Q33" i="52"/>
  <c r="R32" i="65" s="1"/>
  <c r="Q15" i="52"/>
  <c r="R14" i="65" s="1"/>
  <c r="Q97" i="52"/>
  <c r="Q58" i="52"/>
  <c r="Q38" i="52"/>
  <c r="R37" i="65" s="1"/>
  <c r="Q20" i="52"/>
  <c r="R19" i="65" s="1"/>
  <c r="Q62" i="52"/>
  <c r="Q47" i="52"/>
  <c r="Q27" i="52"/>
  <c r="R26" i="65" s="1"/>
  <c r="Q14" i="52"/>
  <c r="R13" i="65" s="1"/>
  <c r="Q52" i="52"/>
  <c r="Q44" i="52"/>
  <c r="Q86" i="52"/>
  <c r="Q7" i="52"/>
  <c r="R6" i="65" s="1"/>
  <c r="Q68" i="52"/>
  <c r="Q32" i="52"/>
  <c r="R31" i="65" s="1"/>
  <c r="Q83" i="52"/>
  <c r="Q9" i="52"/>
  <c r="R8" i="65" s="1"/>
  <c r="Q24" i="52"/>
  <c r="R23" i="65" s="1"/>
  <c r="Q6" i="52"/>
  <c r="R5" i="65" s="1"/>
  <c r="AU10" i="51"/>
  <c r="U11" i="33" s="1"/>
  <c r="O73" i="43"/>
  <c r="O602" i="44" s="1"/>
  <c r="U75" i="33"/>
  <c r="U34" i="41"/>
  <c r="AS37" i="51"/>
  <c r="S40" i="33" s="1"/>
  <c r="AS36" i="51"/>
  <c r="S39" i="33" s="1"/>
  <c r="Q12" i="51"/>
  <c r="AJ12" i="51"/>
  <c r="E13" i="33" s="1"/>
  <c r="AJ29" i="51"/>
  <c r="E32" i="33" s="1"/>
  <c r="Q29" i="51"/>
  <c r="AP9" i="51"/>
  <c r="N10" i="33" s="1"/>
  <c r="AP7" i="51"/>
  <c r="N8" i="33" s="1"/>
  <c r="AK7" i="51"/>
  <c r="F8" i="33" s="1"/>
  <c r="E71" i="43"/>
  <c r="E588" i="44" s="1"/>
  <c r="F73" i="33"/>
  <c r="F32" i="41"/>
  <c r="G60" i="43"/>
  <c r="I62" i="33"/>
  <c r="I21" i="41"/>
  <c r="G72" i="43"/>
  <c r="G595" i="44" s="1"/>
  <c r="I74" i="33"/>
  <c r="I33" i="41"/>
  <c r="AQ12" i="51"/>
  <c r="O13" i="33" s="1"/>
  <c r="AQ38" i="51"/>
  <c r="O41" i="33" s="1"/>
  <c r="AR27" i="51"/>
  <c r="P30" i="33" s="1"/>
  <c r="AR20" i="51"/>
  <c r="P21" i="33" s="1"/>
  <c r="AT36" i="51"/>
  <c r="T39" i="33" s="1"/>
  <c r="AN25" i="51"/>
  <c r="J28" i="33" s="1"/>
  <c r="AN27" i="51"/>
  <c r="J30" i="33" s="1"/>
  <c r="L30" i="33" s="1"/>
  <c r="D44" i="51"/>
  <c r="D49" i="51"/>
  <c r="D54" i="51"/>
  <c r="D43" i="51"/>
  <c r="D48" i="51"/>
  <c r="D52" i="51"/>
  <c r="D46" i="51"/>
  <c r="D51" i="51"/>
  <c r="D50" i="51"/>
  <c r="D47" i="51"/>
  <c r="D45" i="51"/>
  <c r="D42" i="51"/>
  <c r="D55" i="51"/>
  <c r="D53" i="51"/>
  <c r="F48" i="43"/>
  <c r="G9" i="41"/>
  <c r="AO14" i="51"/>
  <c r="K15" i="33" s="1"/>
  <c r="L15" i="33" s="1"/>
  <c r="I69" i="43"/>
  <c r="I560" i="44" s="1"/>
  <c r="K71" i="33"/>
  <c r="K30" i="41"/>
  <c r="V89" i="52"/>
  <c r="V68" i="52"/>
  <c r="AG63" i="40" s="1"/>
  <c r="U29" i="42" s="1"/>
  <c r="V94" i="52"/>
  <c r="V73" i="52"/>
  <c r="AG68" i="40" s="1"/>
  <c r="U34" i="42" s="1"/>
  <c r="V88" i="52"/>
  <c r="V93" i="52"/>
  <c r="V98" i="52"/>
  <c r="V77" i="52"/>
  <c r="V97" i="52"/>
  <c r="V76" i="52"/>
  <c r="AG71" i="40" s="1"/>
  <c r="U37" i="42" s="1"/>
  <c r="V86" i="52"/>
  <c r="V65" i="52"/>
  <c r="AG60" i="40" s="1"/>
  <c r="U26" i="42" s="1"/>
  <c r="V91" i="52"/>
  <c r="V70" i="52"/>
  <c r="AG65" i="40" s="1"/>
  <c r="U31" i="42" s="1"/>
  <c r="V50" i="52"/>
  <c r="AG47" i="40" s="1"/>
  <c r="U13" i="42" s="1"/>
  <c r="V30" i="52"/>
  <c r="V12" i="52"/>
  <c r="V87" i="52"/>
  <c r="V55" i="52"/>
  <c r="AG52" i="40" s="1"/>
  <c r="U18" i="42" s="1"/>
  <c r="V35" i="52"/>
  <c r="V17" i="52"/>
  <c r="V84" i="52"/>
  <c r="V44" i="52"/>
  <c r="AG41" i="40" s="1"/>
  <c r="U7" i="42" s="1"/>
  <c r="V24" i="52"/>
  <c r="V6" i="52"/>
  <c r="V96" i="52"/>
  <c r="V49" i="52"/>
  <c r="AG46" i="40" s="1"/>
  <c r="U12" i="42" s="1"/>
  <c r="V29" i="52"/>
  <c r="V11" i="52"/>
  <c r="V54" i="52"/>
  <c r="AG51" i="40" s="1"/>
  <c r="U17" i="42" s="1"/>
  <c r="V34" i="52"/>
  <c r="V16" i="52"/>
  <c r="V92" i="52"/>
  <c r="V90" i="52"/>
  <c r="V43" i="52"/>
  <c r="V23" i="52"/>
  <c r="V5" i="52"/>
  <c r="W4" i="65" s="1"/>
  <c r="W22" i="65" s="1"/>
  <c r="V85" i="52"/>
  <c r="V66" i="52"/>
  <c r="AG61" i="40" s="1"/>
  <c r="U27" i="42" s="1"/>
  <c r="V48" i="52"/>
  <c r="AG45" i="40" s="1"/>
  <c r="U11" i="42" s="1"/>
  <c r="V28" i="52"/>
  <c r="V10" i="52"/>
  <c r="V67" i="52"/>
  <c r="AG62" i="40" s="1"/>
  <c r="U28" i="42" s="1"/>
  <c r="V58" i="52"/>
  <c r="V38" i="52"/>
  <c r="W37" i="65" s="1"/>
  <c r="V20" i="52"/>
  <c r="W19" i="65" s="1"/>
  <c r="V62" i="52"/>
  <c r="V47" i="52"/>
  <c r="AG44" i="40" s="1"/>
  <c r="U10" i="42" s="1"/>
  <c r="V27" i="52"/>
  <c r="V9" i="52"/>
  <c r="V52" i="52"/>
  <c r="AG49" i="40" s="1"/>
  <c r="U15" i="42" s="1"/>
  <c r="V32" i="52"/>
  <c r="V14" i="52"/>
  <c r="V75" i="52"/>
  <c r="AG70" i="40" s="1"/>
  <c r="U36" i="42" s="1"/>
  <c r="V57" i="52"/>
  <c r="AG54" i="40" s="1"/>
  <c r="U20" i="42" s="1"/>
  <c r="V37" i="52"/>
  <c r="V19" i="52"/>
  <c r="V95" i="52"/>
  <c r="V83" i="52"/>
  <c r="V72" i="52"/>
  <c r="AG67" i="40" s="1"/>
  <c r="U33" i="42" s="1"/>
  <c r="V46" i="52"/>
  <c r="AG43" i="40" s="1"/>
  <c r="U9" i="42" s="1"/>
  <c r="V26" i="52"/>
  <c r="V8" i="52"/>
  <c r="V63" i="52"/>
  <c r="AG58" i="40" s="1"/>
  <c r="U24" i="42" s="1"/>
  <c r="V51" i="52"/>
  <c r="AG48" i="40" s="1"/>
  <c r="U14" i="42" s="1"/>
  <c r="V31" i="52"/>
  <c r="V13" i="52"/>
  <c r="V69" i="52"/>
  <c r="AG64" i="40" s="1"/>
  <c r="U30" i="42" s="1"/>
  <c r="V56" i="52"/>
  <c r="AG53" i="40" s="1"/>
  <c r="U19" i="42" s="1"/>
  <c r="V36" i="52"/>
  <c r="V18" i="52"/>
  <c r="V64" i="52"/>
  <c r="AG59" i="40" s="1"/>
  <c r="U25" i="42" s="1"/>
  <c r="V74" i="52"/>
  <c r="AG69" i="40" s="1"/>
  <c r="U35" i="42" s="1"/>
  <c r="V53" i="52"/>
  <c r="AG50" i="40" s="1"/>
  <c r="U16" i="42" s="1"/>
  <c r="V45" i="52"/>
  <c r="AG42" i="40" s="1"/>
  <c r="U8" i="42" s="1"/>
  <c r="V71" i="52"/>
  <c r="AG66" i="40" s="1"/>
  <c r="U32" i="42" s="1"/>
  <c r="V33" i="52"/>
  <c r="V7" i="52"/>
  <c r="V25" i="52"/>
  <c r="V15" i="52"/>
  <c r="AU35" i="51"/>
  <c r="U38" i="33" s="1"/>
  <c r="AU38" i="51"/>
  <c r="U41" i="33" s="1"/>
  <c r="AS9" i="51"/>
  <c r="S10" i="33" s="1"/>
  <c r="AS18" i="51"/>
  <c r="S19" i="33" s="1"/>
  <c r="AJ13" i="51"/>
  <c r="E14" i="33" s="1"/>
  <c r="Q13" i="51"/>
  <c r="AJ34" i="51"/>
  <c r="E37" i="33" s="1"/>
  <c r="Q34" i="51"/>
  <c r="AK92" i="77"/>
  <c r="AK92" i="70" s="1"/>
  <c r="AK54" i="70"/>
  <c r="AP54" i="77"/>
  <c r="AP17" i="51"/>
  <c r="N18" i="33" s="1"/>
  <c r="AP15" i="51"/>
  <c r="N16" i="33" s="1"/>
  <c r="AP89" i="77"/>
  <c r="AP89" i="70" s="1"/>
  <c r="AP51" i="70"/>
  <c r="AK30" i="51"/>
  <c r="Q30" i="51"/>
  <c r="G48" i="43"/>
  <c r="I9" i="41"/>
  <c r="G79" i="43"/>
  <c r="G644" i="44" s="1"/>
  <c r="I81" i="33"/>
  <c r="I40" i="41"/>
  <c r="AQ13" i="51"/>
  <c r="O14" i="33" s="1"/>
  <c r="AR11" i="51"/>
  <c r="P12" i="33" s="1"/>
  <c r="AT14" i="51"/>
  <c r="T15" i="33" s="1"/>
  <c r="AT20" i="51"/>
  <c r="T21" i="33" s="1"/>
  <c r="AN11" i="51"/>
  <c r="J12" i="33" s="1"/>
  <c r="AN32" i="51"/>
  <c r="J35" i="33" s="1"/>
  <c r="BD92" i="77"/>
  <c r="BD92" i="70" s="1"/>
  <c r="BD54" i="70"/>
  <c r="T49" i="51"/>
  <c r="T54" i="51"/>
  <c r="T43" i="51"/>
  <c r="T48" i="51"/>
  <c r="T53" i="51"/>
  <c r="T46" i="51"/>
  <c r="T51" i="51"/>
  <c r="T45" i="51"/>
  <c r="T55" i="51"/>
  <c r="T52" i="51"/>
  <c r="T50" i="51"/>
  <c r="T47" i="51"/>
  <c r="T44" i="51"/>
  <c r="T42" i="51"/>
  <c r="AL16" i="51"/>
  <c r="G17" i="33" s="1"/>
  <c r="AO28" i="51"/>
  <c r="K31" i="33" s="1"/>
  <c r="F89" i="52"/>
  <c r="F68" i="52"/>
  <c r="F94" i="52"/>
  <c r="F73" i="52"/>
  <c r="F88" i="52"/>
  <c r="F93" i="52"/>
  <c r="F98" i="52"/>
  <c r="F77" i="52"/>
  <c r="F97" i="52"/>
  <c r="F76" i="52"/>
  <c r="F86" i="52"/>
  <c r="F65" i="52"/>
  <c r="F91" i="52"/>
  <c r="F70" i="52"/>
  <c r="F74" i="52"/>
  <c r="F71" i="52"/>
  <c r="F50" i="52"/>
  <c r="F30" i="52"/>
  <c r="G29" i="65" s="1"/>
  <c r="F12" i="52"/>
  <c r="G11" i="65" s="1"/>
  <c r="F66" i="52"/>
  <c r="F55" i="52"/>
  <c r="F35" i="52"/>
  <c r="G34" i="65" s="1"/>
  <c r="F17" i="52"/>
  <c r="G16" i="65" s="1"/>
  <c r="F44" i="52"/>
  <c r="F24" i="52"/>
  <c r="G23" i="65" s="1"/>
  <c r="F6" i="52"/>
  <c r="G5" i="65" s="1"/>
  <c r="F95" i="52"/>
  <c r="F67" i="52"/>
  <c r="F49" i="52"/>
  <c r="F29" i="52"/>
  <c r="G28" i="65" s="1"/>
  <c r="F11" i="52"/>
  <c r="G10" i="65" s="1"/>
  <c r="F75" i="52"/>
  <c r="F54" i="52"/>
  <c r="F34" i="52"/>
  <c r="G33" i="65" s="1"/>
  <c r="F16" i="52"/>
  <c r="G15" i="65" s="1"/>
  <c r="F83" i="52"/>
  <c r="F72" i="52"/>
  <c r="F62" i="52"/>
  <c r="F43" i="52"/>
  <c r="F23" i="52"/>
  <c r="F5" i="52"/>
  <c r="G4" i="65" s="1"/>
  <c r="G22" i="65" s="1"/>
  <c r="F48" i="52"/>
  <c r="F28" i="52"/>
  <c r="G27" i="65" s="1"/>
  <c r="F10" i="52"/>
  <c r="G9" i="65" s="1"/>
  <c r="F63" i="52"/>
  <c r="F58" i="52"/>
  <c r="F38" i="52"/>
  <c r="G37" i="65" s="1"/>
  <c r="F20" i="52"/>
  <c r="G19" i="65" s="1"/>
  <c r="F69" i="52"/>
  <c r="F47" i="52"/>
  <c r="F27" i="52"/>
  <c r="G26" i="65" s="1"/>
  <c r="F9" i="52"/>
  <c r="G8" i="65" s="1"/>
  <c r="F96" i="52"/>
  <c r="F87" i="52"/>
  <c r="F64" i="52"/>
  <c r="F52" i="52"/>
  <c r="F32" i="52"/>
  <c r="G31" i="65" s="1"/>
  <c r="F14" i="52"/>
  <c r="G13" i="65" s="1"/>
  <c r="F84" i="52"/>
  <c r="F57" i="52"/>
  <c r="F37" i="52"/>
  <c r="G36" i="65" s="1"/>
  <c r="F19" i="52"/>
  <c r="G18" i="65" s="1"/>
  <c r="F92" i="52"/>
  <c r="F90" i="52"/>
  <c r="F46" i="52"/>
  <c r="F26" i="52"/>
  <c r="G25" i="65" s="1"/>
  <c r="F8" i="52"/>
  <c r="G7" i="65" s="1"/>
  <c r="F51" i="52"/>
  <c r="F31" i="52"/>
  <c r="G30" i="65" s="1"/>
  <c r="F13" i="52"/>
  <c r="G12" i="65" s="1"/>
  <c r="F56" i="52"/>
  <c r="F36" i="52"/>
  <c r="G35" i="65" s="1"/>
  <c r="F18" i="52"/>
  <c r="G17" i="65" s="1"/>
  <c r="F15" i="52"/>
  <c r="G14" i="65" s="1"/>
  <c r="F53" i="52"/>
  <c r="F45" i="52"/>
  <c r="F33" i="52"/>
  <c r="G32" i="65" s="1"/>
  <c r="F85" i="52"/>
  <c r="F7" i="52"/>
  <c r="G6" i="65" s="1"/>
  <c r="F25" i="52"/>
  <c r="G24" i="65" s="1"/>
  <c r="AU32" i="51"/>
  <c r="U35" i="33" s="1"/>
  <c r="AS17" i="51"/>
  <c r="S18" i="33" s="1"/>
  <c r="AS31" i="51"/>
  <c r="S34" i="33" s="1"/>
  <c r="E36" i="64"/>
  <c r="F36" i="64" s="1"/>
  <c r="E28" i="64"/>
  <c r="F28" i="64" s="1"/>
  <c r="E16" i="64"/>
  <c r="F16" i="64" s="1"/>
  <c r="E8" i="64"/>
  <c r="F8" i="64" s="1"/>
  <c r="E35" i="64"/>
  <c r="F35" i="64" s="1"/>
  <c r="E27" i="64"/>
  <c r="F27" i="64" s="1"/>
  <c r="E15" i="64"/>
  <c r="F15" i="64" s="1"/>
  <c r="E34" i="64"/>
  <c r="F34" i="64" s="1"/>
  <c r="E22" i="64"/>
  <c r="E14" i="64"/>
  <c r="F14" i="64" s="1"/>
  <c r="E41" i="64"/>
  <c r="E33" i="64"/>
  <c r="F33" i="64" s="1"/>
  <c r="E21" i="64"/>
  <c r="F21" i="64" s="1"/>
  <c r="E13" i="64"/>
  <c r="F13" i="64" s="1"/>
  <c r="E39" i="64"/>
  <c r="F39" i="64" s="1"/>
  <c r="E31" i="64"/>
  <c r="F31" i="64" s="1"/>
  <c r="E19" i="64"/>
  <c r="F19" i="64" s="1"/>
  <c r="E11" i="64"/>
  <c r="F11" i="64" s="1"/>
  <c r="E38" i="64"/>
  <c r="F38" i="64" s="1"/>
  <c r="E30" i="64"/>
  <c r="F30" i="64" s="1"/>
  <c r="E18" i="64"/>
  <c r="F18" i="64" s="1"/>
  <c r="E10" i="64"/>
  <c r="F10" i="64" s="1"/>
  <c r="E37" i="64"/>
  <c r="F37" i="64" s="1"/>
  <c r="E29" i="64"/>
  <c r="F29" i="64" s="1"/>
  <c r="E17" i="64"/>
  <c r="F17" i="64" s="1"/>
  <c r="E9" i="64"/>
  <c r="F9" i="64" s="1"/>
  <c r="E40" i="64"/>
  <c r="F40" i="64" s="1"/>
  <c r="E32" i="64"/>
  <c r="F32" i="64" s="1"/>
  <c r="E20" i="64"/>
  <c r="F20" i="64" s="1"/>
  <c r="E12" i="64"/>
  <c r="F12" i="64" s="1"/>
  <c r="Q27" i="51"/>
  <c r="AJ27" i="51"/>
  <c r="E30" i="33" s="1"/>
  <c r="AJ18" i="51"/>
  <c r="E19" i="33" s="1"/>
  <c r="AP19" i="51"/>
  <c r="N20" i="33" s="1"/>
  <c r="AP28" i="51"/>
  <c r="N31" i="33" s="1"/>
  <c r="AK20" i="51"/>
  <c r="F21" i="33" s="1"/>
  <c r="E79" i="43"/>
  <c r="E644" i="44" s="1"/>
  <c r="F81" i="33"/>
  <c r="F40" i="41"/>
  <c r="G56" i="43"/>
  <c r="I17" i="41"/>
  <c r="AQ28" i="51"/>
  <c r="O31" i="33" s="1"/>
  <c r="AQ20" i="51"/>
  <c r="O21" i="33" s="1"/>
  <c r="AR35" i="51"/>
  <c r="P38" i="33" s="1"/>
  <c r="AT7" i="51"/>
  <c r="T8" i="33" s="1"/>
  <c r="AT26" i="51"/>
  <c r="T29" i="33" s="1"/>
  <c r="AN18" i="51"/>
  <c r="J19" i="33" s="1"/>
  <c r="AN35" i="51"/>
  <c r="J38" i="33" s="1"/>
  <c r="D44" i="30"/>
  <c r="BA54" i="51"/>
  <c r="BA43" i="51"/>
  <c r="BA48" i="51"/>
  <c r="BA53" i="51"/>
  <c r="BA42" i="51"/>
  <c r="BA46" i="51"/>
  <c r="BA51" i="51"/>
  <c r="BA45" i="51"/>
  <c r="BA50" i="51"/>
  <c r="BA44" i="51"/>
  <c r="BA49" i="51"/>
  <c r="BA47" i="51"/>
  <c r="BA55" i="51"/>
  <c r="BA52" i="51"/>
  <c r="G10" i="41"/>
  <c r="AO35" i="51"/>
  <c r="K38" i="33" s="1"/>
  <c r="AP93" i="77"/>
  <c r="AP93" i="70" s="1"/>
  <c r="AP55" i="70"/>
  <c r="I88" i="52"/>
  <c r="I67" i="52"/>
  <c r="I93" i="52"/>
  <c r="I72" i="52"/>
  <c r="I87" i="52"/>
  <c r="I92" i="52"/>
  <c r="I97" i="52"/>
  <c r="I76" i="52"/>
  <c r="I96" i="52"/>
  <c r="I75" i="52"/>
  <c r="I85" i="52"/>
  <c r="I64" i="52"/>
  <c r="I90" i="52"/>
  <c r="I69" i="52"/>
  <c r="I49" i="52"/>
  <c r="I29" i="52"/>
  <c r="J28" i="65" s="1"/>
  <c r="I11" i="52"/>
  <c r="J10" i="65" s="1"/>
  <c r="I95" i="52"/>
  <c r="I54" i="52"/>
  <c r="I34" i="52"/>
  <c r="J33" i="65" s="1"/>
  <c r="I16" i="52"/>
  <c r="J15" i="65" s="1"/>
  <c r="I43" i="52"/>
  <c r="I23" i="52"/>
  <c r="I5" i="52"/>
  <c r="J4" i="65" s="1"/>
  <c r="J22" i="65" s="1"/>
  <c r="I91" i="52"/>
  <c r="I89" i="52"/>
  <c r="I86" i="52"/>
  <c r="I62" i="52"/>
  <c r="I48" i="52"/>
  <c r="I28" i="52"/>
  <c r="J27" i="65" s="1"/>
  <c r="I10" i="52"/>
  <c r="J9" i="65" s="1"/>
  <c r="I83" i="52"/>
  <c r="I68" i="52"/>
  <c r="I53" i="52"/>
  <c r="I33" i="52"/>
  <c r="J32" i="65" s="1"/>
  <c r="I15" i="52"/>
  <c r="J14" i="65" s="1"/>
  <c r="I63" i="52"/>
  <c r="I58" i="52"/>
  <c r="I38" i="52"/>
  <c r="J37" i="65" s="1"/>
  <c r="I20" i="52"/>
  <c r="J19" i="65" s="1"/>
  <c r="I47" i="52"/>
  <c r="I27" i="52"/>
  <c r="J26" i="65" s="1"/>
  <c r="I9" i="52"/>
  <c r="J8" i="65" s="1"/>
  <c r="I84" i="52"/>
  <c r="I57" i="52"/>
  <c r="I37" i="52"/>
  <c r="J36" i="65" s="1"/>
  <c r="I19" i="52"/>
  <c r="J18" i="65" s="1"/>
  <c r="I98" i="52"/>
  <c r="I73" i="52"/>
  <c r="I46" i="52"/>
  <c r="I26" i="52"/>
  <c r="J25" i="65" s="1"/>
  <c r="I8" i="52"/>
  <c r="J7" i="65" s="1"/>
  <c r="I94" i="52"/>
  <c r="I51" i="52"/>
  <c r="I31" i="52"/>
  <c r="J30" i="65" s="1"/>
  <c r="I13" i="52"/>
  <c r="J12" i="65" s="1"/>
  <c r="I70" i="52"/>
  <c r="I56" i="52"/>
  <c r="I36" i="52"/>
  <c r="J35" i="65" s="1"/>
  <c r="I18" i="52"/>
  <c r="J17" i="65" s="1"/>
  <c r="I65" i="52"/>
  <c r="I45" i="52"/>
  <c r="I25" i="52"/>
  <c r="J24" i="65" s="1"/>
  <c r="I7" i="52"/>
  <c r="J6" i="65" s="1"/>
  <c r="I74" i="52"/>
  <c r="I50" i="52"/>
  <c r="I30" i="52"/>
  <c r="J29" i="65" s="1"/>
  <c r="I12" i="52"/>
  <c r="J11" i="65" s="1"/>
  <c r="I77" i="52"/>
  <c r="I71" i="52"/>
  <c r="I66" i="52"/>
  <c r="I55" i="52"/>
  <c r="I35" i="52"/>
  <c r="J34" i="65" s="1"/>
  <c r="I17" i="52"/>
  <c r="J16" i="65" s="1"/>
  <c r="I6" i="52"/>
  <c r="J5" i="65" s="1"/>
  <c r="I14" i="52"/>
  <c r="J13" i="65" s="1"/>
  <c r="I52" i="52"/>
  <c r="I44" i="52"/>
  <c r="I32" i="52"/>
  <c r="J31" i="65" s="1"/>
  <c r="I24" i="52"/>
  <c r="J23" i="65" s="1"/>
  <c r="S28" i="41"/>
  <c r="AJ35" i="51"/>
  <c r="E38" i="33" s="1"/>
  <c r="AJ38" i="51"/>
  <c r="E41" i="33" s="1"/>
  <c r="Q38" i="51"/>
  <c r="E70" i="43"/>
  <c r="E574" i="44" s="1"/>
  <c r="F72" i="33"/>
  <c r="F31" i="41"/>
  <c r="G68" i="43"/>
  <c r="G546" i="44" s="1"/>
  <c r="I70" i="33"/>
  <c r="I29" i="41"/>
  <c r="K54" i="43"/>
  <c r="O15" i="41"/>
  <c r="N55" i="43"/>
  <c r="T16" i="41"/>
  <c r="AT34" i="51"/>
  <c r="T37" i="33" s="1"/>
  <c r="V37" i="33" s="1"/>
  <c r="AN30" i="51"/>
  <c r="J33" i="33" s="1"/>
  <c r="AN28" i="51"/>
  <c r="J31" i="33" s="1"/>
  <c r="D98" i="15"/>
  <c r="F50" i="43"/>
  <c r="G11" i="41"/>
  <c r="F57" i="43"/>
  <c r="G18" i="41"/>
  <c r="I47" i="43"/>
  <c r="K8" i="41"/>
  <c r="R85" i="52"/>
  <c r="R64" i="52"/>
  <c r="R90" i="52"/>
  <c r="R69" i="52"/>
  <c r="R84" i="52"/>
  <c r="R89" i="52"/>
  <c r="R94" i="52"/>
  <c r="R73" i="52"/>
  <c r="R93" i="52"/>
  <c r="R72" i="52"/>
  <c r="R98" i="52"/>
  <c r="R77" i="52"/>
  <c r="R87" i="52"/>
  <c r="R66" i="52"/>
  <c r="R97" i="52"/>
  <c r="R46" i="52"/>
  <c r="R26" i="52"/>
  <c r="S25" i="65" s="1"/>
  <c r="R8" i="52"/>
  <c r="S7" i="65" s="1"/>
  <c r="R51" i="52"/>
  <c r="R31" i="52"/>
  <c r="S30" i="65" s="1"/>
  <c r="R13" i="52"/>
  <c r="S12" i="65" s="1"/>
  <c r="R56" i="52"/>
  <c r="R36" i="52"/>
  <c r="S35" i="65" s="1"/>
  <c r="R18" i="52"/>
  <c r="S17" i="65" s="1"/>
  <c r="R76" i="52"/>
  <c r="R45" i="52"/>
  <c r="R25" i="52"/>
  <c r="S24" i="65" s="1"/>
  <c r="R7" i="52"/>
  <c r="S6" i="65" s="1"/>
  <c r="R70" i="52"/>
  <c r="R50" i="52"/>
  <c r="R30" i="52"/>
  <c r="S29" i="65" s="1"/>
  <c r="R12" i="52"/>
  <c r="S11" i="65" s="1"/>
  <c r="R65" i="52"/>
  <c r="R55" i="52"/>
  <c r="R35" i="52"/>
  <c r="S34" i="65" s="1"/>
  <c r="R17" i="52"/>
  <c r="S16" i="65" s="1"/>
  <c r="R96" i="52"/>
  <c r="R92" i="52"/>
  <c r="R44" i="52"/>
  <c r="R24" i="52"/>
  <c r="S23" i="65" s="1"/>
  <c r="R6" i="52"/>
  <c r="S5" i="65" s="1"/>
  <c r="R71" i="52"/>
  <c r="R54" i="52"/>
  <c r="R34" i="52"/>
  <c r="S33" i="65" s="1"/>
  <c r="R16" i="52"/>
  <c r="S15" i="65" s="1"/>
  <c r="R88" i="52"/>
  <c r="R74" i="52"/>
  <c r="R43" i="52"/>
  <c r="R23" i="52"/>
  <c r="R5" i="52"/>
  <c r="S4" i="65" s="1"/>
  <c r="S22" i="65" s="1"/>
  <c r="R48" i="52"/>
  <c r="R28" i="52"/>
  <c r="S27" i="65" s="1"/>
  <c r="R10" i="52"/>
  <c r="S9" i="65" s="1"/>
  <c r="R53" i="52"/>
  <c r="R33" i="52"/>
  <c r="S32" i="65" s="1"/>
  <c r="R15" i="52"/>
  <c r="S14" i="65" s="1"/>
  <c r="R67" i="52"/>
  <c r="R58" i="52"/>
  <c r="R38" i="52"/>
  <c r="S37" i="65" s="1"/>
  <c r="R20" i="52"/>
  <c r="S19" i="65" s="1"/>
  <c r="R62" i="52"/>
  <c r="R47" i="52"/>
  <c r="R27" i="52"/>
  <c r="S26" i="65" s="1"/>
  <c r="R9" i="52"/>
  <c r="S8" i="65" s="1"/>
  <c r="R95" i="52"/>
  <c r="R86" i="52"/>
  <c r="R83" i="52"/>
  <c r="R68" i="52"/>
  <c r="R52" i="52"/>
  <c r="R32" i="52"/>
  <c r="S31" i="65" s="1"/>
  <c r="R14" i="52"/>
  <c r="S13" i="65" s="1"/>
  <c r="R75" i="52"/>
  <c r="R29" i="52"/>
  <c r="S28" i="65" s="1"/>
  <c r="R91" i="52"/>
  <c r="R63" i="52"/>
  <c r="R19" i="52"/>
  <c r="S18" i="65" s="1"/>
  <c r="R11" i="52"/>
  <c r="S10" i="65" s="1"/>
  <c r="R57" i="52"/>
  <c r="R49" i="52"/>
  <c r="R37" i="52"/>
  <c r="S36" i="65" s="1"/>
  <c r="J93" i="52"/>
  <c r="J72" i="52"/>
  <c r="J98" i="52"/>
  <c r="J77" i="52"/>
  <c r="J92" i="52"/>
  <c r="J71" i="52"/>
  <c r="J97" i="52"/>
  <c r="J86" i="52"/>
  <c r="J85" i="52"/>
  <c r="J64" i="52"/>
  <c r="J90" i="52"/>
  <c r="J69" i="52"/>
  <c r="J95" i="52"/>
  <c r="J74" i="52"/>
  <c r="J89" i="52"/>
  <c r="J54" i="52"/>
  <c r="J34" i="52"/>
  <c r="K33" i="65" s="1"/>
  <c r="J16" i="52"/>
  <c r="K15" i="65" s="1"/>
  <c r="J67" i="52"/>
  <c r="J43" i="52"/>
  <c r="J23" i="52"/>
  <c r="J5" i="52"/>
  <c r="K4" i="65" s="1"/>
  <c r="K22" i="65" s="1"/>
  <c r="J91" i="52"/>
  <c r="J62" i="52"/>
  <c r="J48" i="52"/>
  <c r="J28" i="52"/>
  <c r="K27" i="65" s="1"/>
  <c r="J10" i="52"/>
  <c r="K9" i="65" s="1"/>
  <c r="J83" i="52"/>
  <c r="J75" i="52"/>
  <c r="J68" i="52"/>
  <c r="J53" i="52"/>
  <c r="J33" i="52"/>
  <c r="K32" i="65" s="1"/>
  <c r="J15" i="52"/>
  <c r="K14" i="65" s="1"/>
  <c r="J63" i="52"/>
  <c r="J58" i="52"/>
  <c r="J38" i="52"/>
  <c r="K37" i="65" s="1"/>
  <c r="J20" i="52"/>
  <c r="K19" i="65" s="1"/>
  <c r="J47" i="52"/>
  <c r="J27" i="52"/>
  <c r="K26" i="65" s="1"/>
  <c r="J9" i="52"/>
  <c r="K8" i="65" s="1"/>
  <c r="J52" i="52"/>
  <c r="J32" i="52"/>
  <c r="K31" i="65" s="1"/>
  <c r="J14" i="52"/>
  <c r="K13" i="65" s="1"/>
  <c r="J87" i="52"/>
  <c r="J76" i="52"/>
  <c r="J73" i="52"/>
  <c r="J46" i="52"/>
  <c r="J26" i="52"/>
  <c r="K25" i="65" s="1"/>
  <c r="J8" i="52"/>
  <c r="K7" i="65" s="1"/>
  <c r="J96" i="52"/>
  <c r="J94" i="52"/>
  <c r="J51" i="52"/>
  <c r="J31" i="52"/>
  <c r="K30" i="65" s="1"/>
  <c r="J13" i="52"/>
  <c r="K12" i="65" s="1"/>
  <c r="J70" i="52"/>
  <c r="J56" i="52"/>
  <c r="J36" i="52"/>
  <c r="K35" i="65" s="1"/>
  <c r="J18" i="52"/>
  <c r="K17" i="65" s="1"/>
  <c r="J65" i="52"/>
  <c r="J45" i="52"/>
  <c r="J25" i="52"/>
  <c r="K24" i="65" s="1"/>
  <c r="J7" i="52"/>
  <c r="K6" i="65" s="1"/>
  <c r="J50" i="52"/>
  <c r="J30" i="52"/>
  <c r="K29" i="65" s="1"/>
  <c r="J12" i="52"/>
  <c r="K11" i="65" s="1"/>
  <c r="J66" i="52"/>
  <c r="J55" i="52"/>
  <c r="J35" i="52"/>
  <c r="K34" i="65" s="1"/>
  <c r="J17" i="52"/>
  <c r="K16" i="65" s="1"/>
  <c r="J88" i="52"/>
  <c r="J44" i="52"/>
  <c r="J24" i="52"/>
  <c r="K23" i="65" s="1"/>
  <c r="J37" i="52"/>
  <c r="K36" i="65" s="1"/>
  <c r="J29" i="52"/>
  <c r="K28" i="65" s="1"/>
  <c r="J19" i="52"/>
  <c r="K18" i="65" s="1"/>
  <c r="J11" i="52"/>
  <c r="K10" i="65" s="1"/>
  <c r="J57" i="52"/>
  <c r="J84" i="52"/>
  <c r="J6" i="52"/>
  <c r="K5" i="65" s="1"/>
  <c r="J49" i="52"/>
  <c r="AU12" i="51"/>
  <c r="U13" i="33" s="1"/>
  <c r="AS10" i="51"/>
  <c r="S11" i="33" s="1"/>
  <c r="AS19" i="51"/>
  <c r="S20" i="33" s="1"/>
  <c r="AJ14" i="51"/>
  <c r="E15" i="33" s="1"/>
  <c r="AJ19" i="51"/>
  <c r="E20" i="33" s="1"/>
  <c r="Q19" i="51"/>
  <c r="AP50" i="77"/>
  <c r="AK88" i="77"/>
  <c r="AK88" i="70" s="1"/>
  <c r="AK50" i="70"/>
  <c r="AP10" i="51"/>
  <c r="N11" i="33" s="1"/>
  <c r="AP20" i="51"/>
  <c r="N21" i="33" s="1"/>
  <c r="AK94" i="77"/>
  <c r="AK94" i="70" s="1"/>
  <c r="AK56" i="70"/>
  <c r="AP56" i="77"/>
  <c r="G49" i="43"/>
  <c r="I10" i="41"/>
  <c r="AQ36" i="51"/>
  <c r="AQ33" i="51"/>
  <c r="O36" i="33" s="1"/>
  <c r="AR32" i="51"/>
  <c r="P35" i="33" s="1"/>
  <c r="AT19" i="51"/>
  <c r="T20" i="33" s="1"/>
  <c r="AT27" i="51"/>
  <c r="T30" i="33" s="1"/>
  <c r="AN12" i="51"/>
  <c r="J13" i="33" s="1"/>
  <c r="AN36" i="51"/>
  <c r="J39" i="33" s="1"/>
  <c r="AL11" i="51"/>
  <c r="G12" i="33" s="1"/>
  <c r="AL19" i="51"/>
  <c r="G20" i="33" s="1"/>
  <c r="AO15" i="51"/>
  <c r="K16" i="33" s="1"/>
  <c r="S90" i="52"/>
  <c r="S69" i="52"/>
  <c r="S95" i="52"/>
  <c r="S74" i="52"/>
  <c r="S89" i="52"/>
  <c r="S94" i="52"/>
  <c r="S83" i="52"/>
  <c r="S98" i="52"/>
  <c r="S77" i="52"/>
  <c r="S87" i="52"/>
  <c r="S66" i="52"/>
  <c r="S92" i="52"/>
  <c r="S71" i="52"/>
  <c r="S51" i="52"/>
  <c r="S31" i="52"/>
  <c r="T30" i="65" s="1"/>
  <c r="S13" i="52"/>
  <c r="T12" i="65" s="1"/>
  <c r="S56" i="52"/>
  <c r="S36" i="52"/>
  <c r="T35" i="65" s="1"/>
  <c r="S18" i="52"/>
  <c r="T17" i="65" s="1"/>
  <c r="S76" i="52"/>
  <c r="S64" i="52"/>
  <c r="S45" i="52"/>
  <c r="S25" i="52"/>
  <c r="T24" i="65" s="1"/>
  <c r="S7" i="52"/>
  <c r="T6" i="65" s="1"/>
  <c r="S84" i="52"/>
  <c r="S73" i="52"/>
  <c r="S70" i="52"/>
  <c r="S50" i="52"/>
  <c r="S30" i="52"/>
  <c r="T29" i="65" s="1"/>
  <c r="S12" i="52"/>
  <c r="T11" i="65" s="1"/>
  <c r="S65" i="52"/>
  <c r="S55" i="52"/>
  <c r="S35" i="52"/>
  <c r="T34" i="65" s="1"/>
  <c r="S17" i="52"/>
  <c r="T16" i="65" s="1"/>
  <c r="S96" i="52"/>
  <c r="S44" i="52"/>
  <c r="S24" i="52"/>
  <c r="T23" i="65" s="1"/>
  <c r="S6" i="52"/>
  <c r="T5" i="65" s="1"/>
  <c r="S49" i="52"/>
  <c r="S29" i="52"/>
  <c r="T28" i="65" s="1"/>
  <c r="S11" i="52"/>
  <c r="T10" i="65" s="1"/>
  <c r="S88" i="52"/>
  <c r="S43" i="52"/>
  <c r="S23" i="52"/>
  <c r="S5" i="52"/>
  <c r="T4" i="65" s="1"/>
  <c r="T22" i="65" s="1"/>
  <c r="S85" i="52"/>
  <c r="S48" i="52"/>
  <c r="S28" i="52"/>
  <c r="T27" i="65" s="1"/>
  <c r="S10" i="52"/>
  <c r="T9" i="65" s="1"/>
  <c r="S53" i="52"/>
  <c r="S33" i="52"/>
  <c r="T32" i="65" s="1"/>
  <c r="S15" i="52"/>
  <c r="T14" i="65" s="1"/>
  <c r="S67" i="52"/>
  <c r="S58" i="52"/>
  <c r="S38" i="52"/>
  <c r="T37" i="65" s="1"/>
  <c r="S20" i="52"/>
  <c r="T19" i="65" s="1"/>
  <c r="S97" i="52"/>
  <c r="S62" i="52"/>
  <c r="S47" i="52"/>
  <c r="S27" i="52"/>
  <c r="T26" i="65" s="1"/>
  <c r="S9" i="52"/>
  <c r="T8" i="65" s="1"/>
  <c r="S86" i="52"/>
  <c r="S68" i="52"/>
  <c r="S52" i="52"/>
  <c r="S32" i="52"/>
  <c r="T31" i="65" s="1"/>
  <c r="S14" i="52"/>
  <c r="T13" i="65" s="1"/>
  <c r="S93" i="52"/>
  <c r="S91" i="52"/>
  <c r="S75" i="52"/>
  <c r="S72" i="52"/>
  <c r="S63" i="52"/>
  <c r="S57" i="52"/>
  <c r="S37" i="52"/>
  <c r="T36" i="65" s="1"/>
  <c r="S19" i="52"/>
  <c r="T18" i="65" s="1"/>
  <c r="S54" i="52"/>
  <c r="S46" i="52"/>
  <c r="S8" i="52"/>
  <c r="T7" i="65" s="1"/>
  <c r="S34" i="52"/>
  <c r="T33" i="65" s="1"/>
  <c r="S26" i="52"/>
  <c r="T25" i="65" s="1"/>
  <c r="S16" i="52"/>
  <c r="T15" i="65" s="1"/>
  <c r="K98" i="52"/>
  <c r="K77" i="52"/>
  <c r="K87" i="52"/>
  <c r="K66" i="52"/>
  <c r="K97" i="52"/>
  <c r="K76" i="52"/>
  <c r="K91" i="52"/>
  <c r="K90" i="52"/>
  <c r="K69" i="52"/>
  <c r="K95" i="52"/>
  <c r="K74" i="52"/>
  <c r="K84" i="52"/>
  <c r="K63" i="52"/>
  <c r="K94" i="52"/>
  <c r="K67" i="52"/>
  <c r="K43" i="52"/>
  <c r="K23" i="52"/>
  <c r="K5" i="52"/>
  <c r="L4" i="65" s="1"/>
  <c r="L22" i="65" s="1"/>
  <c r="K62" i="52"/>
  <c r="K48" i="52"/>
  <c r="K28" i="52"/>
  <c r="L27" i="65" s="1"/>
  <c r="K10" i="52"/>
  <c r="L9" i="65" s="1"/>
  <c r="K93" i="52"/>
  <c r="K89" i="52"/>
  <c r="AA89" i="52" s="1"/>
  <c r="K86" i="52"/>
  <c r="K83" i="52"/>
  <c r="K75" i="52"/>
  <c r="K68" i="52"/>
  <c r="AA68" i="52" s="1"/>
  <c r="Y29" i="42" s="1"/>
  <c r="K53" i="52"/>
  <c r="K33" i="52"/>
  <c r="L32" i="65" s="1"/>
  <c r="K15" i="52"/>
  <c r="L14" i="65" s="1"/>
  <c r="K72" i="52"/>
  <c r="K58" i="52"/>
  <c r="K38" i="52"/>
  <c r="L37" i="65" s="1"/>
  <c r="K20" i="52"/>
  <c r="L19" i="65" s="1"/>
  <c r="K47" i="52"/>
  <c r="AA47" i="52" s="1"/>
  <c r="Y10" i="42" s="1"/>
  <c r="K27" i="52"/>
  <c r="L26" i="65" s="1"/>
  <c r="K52" i="52"/>
  <c r="K32" i="52"/>
  <c r="L31" i="65" s="1"/>
  <c r="K14" i="52"/>
  <c r="L13" i="65" s="1"/>
  <c r="K57" i="52"/>
  <c r="K37" i="52"/>
  <c r="L36" i="65" s="1"/>
  <c r="K19" i="52"/>
  <c r="L18" i="65" s="1"/>
  <c r="K96" i="52"/>
  <c r="K64" i="52"/>
  <c r="K51" i="52"/>
  <c r="K31" i="52"/>
  <c r="L30" i="65" s="1"/>
  <c r="K13" i="52"/>
  <c r="L12" i="65" s="1"/>
  <c r="K70" i="52"/>
  <c r="K56" i="52"/>
  <c r="K36" i="52"/>
  <c r="L35" i="65" s="1"/>
  <c r="K18" i="52"/>
  <c r="L17" i="65" s="1"/>
  <c r="K92" i="52"/>
  <c r="K65" i="52"/>
  <c r="K45" i="52"/>
  <c r="AA45" i="52" s="1"/>
  <c r="Y8" i="42" s="1"/>
  <c r="K25" i="52"/>
  <c r="L24" i="65" s="1"/>
  <c r="K7" i="52"/>
  <c r="L6" i="65" s="1"/>
  <c r="K50" i="52"/>
  <c r="K30" i="52"/>
  <c r="L29" i="65" s="1"/>
  <c r="K12" i="52"/>
  <c r="L11" i="65" s="1"/>
  <c r="K55" i="52"/>
  <c r="K35" i="52"/>
  <c r="L34" i="65" s="1"/>
  <c r="K17" i="52"/>
  <c r="L16" i="65" s="1"/>
  <c r="K88" i="52"/>
  <c r="K85" i="52"/>
  <c r="K71" i="52"/>
  <c r="K44" i="52"/>
  <c r="K24" i="52"/>
  <c r="L23" i="65" s="1"/>
  <c r="K6" i="52"/>
  <c r="L5" i="65" s="1"/>
  <c r="K49" i="52"/>
  <c r="K29" i="52"/>
  <c r="L28" i="65" s="1"/>
  <c r="K11" i="52"/>
  <c r="L10" i="65" s="1"/>
  <c r="K54" i="52"/>
  <c r="K9" i="52"/>
  <c r="L8" i="65" s="1"/>
  <c r="K73" i="52"/>
  <c r="K46" i="52"/>
  <c r="K8" i="52"/>
  <c r="L7" i="65" s="1"/>
  <c r="K34" i="52"/>
  <c r="L33" i="65" s="1"/>
  <c r="K26" i="52"/>
  <c r="L25" i="65" s="1"/>
  <c r="K16" i="52"/>
  <c r="L15" i="65" s="1"/>
  <c r="AU13" i="51"/>
  <c r="U14" i="33" s="1"/>
  <c r="AS30" i="51"/>
  <c r="S33" i="33" s="1"/>
  <c r="U76" i="40"/>
  <c r="W75" i="40"/>
  <c r="Y75" i="40" s="1"/>
  <c r="Q32" i="51"/>
  <c r="AJ32" i="51"/>
  <c r="E35" i="33" s="1"/>
  <c r="Q28" i="51"/>
  <c r="AJ28" i="51"/>
  <c r="E31" i="33" s="1"/>
  <c r="AK98" i="77"/>
  <c r="AK98" i="70" s="1"/>
  <c r="AK60" i="70"/>
  <c r="AP60" i="77"/>
  <c r="AP38" i="51"/>
  <c r="N41" i="33" s="1"/>
  <c r="AP25" i="51"/>
  <c r="N28" i="33" s="1"/>
  <c r="AK8" i="51"/>
  <c r="F9" i="33" s="1"/>
  <c r="AM17" i="51"/>
  <c r="I18" i="33" s="1"/>
  <c r="AQ7" i="51"/>
  <c r="O8" i="33" s="1"/>
  <c r="AR7" i="51"/>
  <c r="P8" i="33" s="1"/>
  <c r="AR12" i="51"/>
  <c r="P13" i="33" s="1"/>
  <c r="AT8" i="51"/>
  <c r="T9" i="33" s="1"/>
  <c r="AT32" i="51"/>
  <c r="T35" i="33" s="1"/>
  <c r="AN31" i="51"/>
  <c r="J34" i="33" s="1"/>
  <c r="AX2" i="39"/>
  <c r="AX3" i="39" s="1"/>
  <c r="AE76" i="39"/>
  <c r="L76" i="39" s="1"/>
  <c r="L54" i="40" s="1"/>
  <c r="AD76" i="39"/>
  <c r="K76" i="39" s="1"/>
  <c r="K54" i="40" s="1"/>
  <c r="AA76" i="39"/>
  <c r="H76" i="39" s="1"/>
  <c r="H54" i="40" s="1"/>
  <c r="Z76" i="39"/>
  <c r="G76" i="39" s="1"/>
  <c r="G54" i="40" s="1"/>
  <c r="AM2" i="39"/>
  <c r="AM3" i="39" s="1"/>
  <c r="R11" i="37"/>
  <c r="AG11" i="37"/>
  <c r="Q36" i="37"/>
  <c r="I19" i="39" s="1"/>
  <c r="R21" i="37"/>
  <c r="Q66" i="37"/>
  <c r="O19" i="39" s="1"/>
  <c r="AG36" i="37"/>
  <c r="Q56" i="37"/>
  <c r="M19" i="39" s="1"/>
  <c r="AG66" i="37"/>
  <c r="Q16" i="37"/>
  <c r="E19" i="39" s="1"/>
  <c r="AG21" i="37"/>
  <c r="R31" i="37"/>
  <c r="AF51" i="37"/>
  <c r="L36" i="39" s="1"/>
  <c r="AF52" i="37"/>
  <c r="AF53" i="37" s="1"/>
  <c r="L71" i="39" s="1"/>
  <c r="I66" i="37"/>
  <c r="O6" i="39" s="1"/>
  <c r="M31" i="37"/>
  <c r="H15" i="39" s="1"/>
  <c r="K46" i="37"/>
  <c r="K16" i="39" s="1"/>
  <c r="J31" i="37"/>
  <c r="H7" i="39" s="1"/>
  <c r="Y56" i="37"/>
  <c r="M24" i="39" s="1"/>
  <c r="Y57" i="37"/>
  <c r="Y58" i="37" s="1"/>
  <c r="M59" i="39" s="1"/>
  <c r="H61" i="37"/>
  <c r="N8" i="39" s="1"/>
  <c r="AC22" i="37"/>
  <c r="AC23" i="37" s="1"/>
  <c r="F65" i="39" s="1"/>
  <c r="AC21" i="37"/>
  <c r="F30" i="39" s="1"/>
  <c r="AD27" i="37"/>
  <c r="AD28" i="37" s="1"/>
  <c r="G66" i="39" s="1"/>
  <c r="AD26" i="37"/>
  <c r="G31" i="39" s="1"/>
  <c r="V47" i="37"/>
  <c r="V48" i="37" s="1"/>
  <c r="K63" i="39" s="1"/>
  <c r="V46" i="37"/>
  <c r="K28" i="39" s="1"/>
  <c r="AA67" i="37"/>
  <c r="AA68" i="37" s="1"/>
  <c r="O69" i="39" s="1"/>
  <c r="AA66" i="37"/>
  <c r="O34" i="39" s="1"/>
  <c r="P51" i="37"/>
  <c r="L18" i="39" s="1"/>
  <c r="V12" i="37"/>
  <c r="V13" i="37" s="1"/>
  <c r="D63" i="39" s="1"/>
  <c r="V11" i="37"/>
  <c r="D28" i="39" s="1"/>
  <c r="W37" i="37"/>
  <c r="W38" i="37" s="1"/>
  <c r="I60" i="39" s="1"/>
  <c r="W36" i="37"/>
  <c r="I25" i="39" s="1"/>
  <c r="AD67" i="37"/>
  <c r="AD68" i="37" s="1"/>
  <c r="O66" i="39" s="1"/>
  <c r="AD66" i="37"/>
  <c r="O31" i="39" s="1"/>
  <c r="J36" i="37"/>
  <c r="I7" i="39" s="1"/>
  <c r="E21" i="37"/>
  <c r="F10" i="39" s="1"/>
  <c r="S42" i="37"/>
  <c r="S43" i="37" s="1"/>
  <c r="J61" i="39" s="1"/>
  <c r="S41" i="37"/>
  <c r="J26" i="39" s="1"/>
  <c r="E26" i="37"/>
  <c r="G10" i="39" s="1"/>
  <c r="M46" i="37"/>
  <c r="K15" i="39" s="1"/>
  <c r="X62" i="37"/>
  <c r="X63" i="37" s="1"/>
  <c r="N58" i="39" s="1"/>
  <c r="X61" i="37"/>
  <c r="N23" i="39" s="1"/>
  <c r="U21" i="37"/>
  <c r="F29" i="39" s="1"/>
  <c r="U22" i="37"/>
  <c r="U23" i="37" s="1"/>
  <c r="F64" i="39" s="1"/>
  <c r="L11" i="37"/>
  <c r="D17" i="39" s="1"/>
  <c r="L21" i="37"/>
  <c r="F17" i="39" s="1"/>
  <c r="P61" i="37"/>
  <c r="N18" i="39" s="1"/>
  <c r="AC11" i="37"/>
  <c r="D30" i="39" s="1"/>
  <c r="AC12" i="37"/>
  <c r="AC13" i="37" s="1"/>
  <c r="D65" i="39" s="1"/>
  <c r="X31" i="37"/>
  <c r="H23" i="39" s="1"/>
  <c r="X32" i="37"/>
  <c r="X33" i="37" s="1"/>
  <c r="H58" i="39" s="1"/>
  <c r="X51" i="37"/>
  <c r="L23" i="39" s="1"/>
  <c r="X52" i="37"/>
  <c r="X53" i="37" s="1"/>
  <c r="L58" i="39" s="1"/>
  <c r="AD12" i="37"/>
  <c r="AD13" i="37" s="1"/>
  <c r="D66" i="39" s="1"/>
  <c r="Y32" i="37"/>
  <c r="Y33" i="37" s="1"/>
  <c r="H59" i="39" s="1"/>
  <c r="X56" i="37"/>
  <c r="M23" i="39" s="1"/>
  <c r="X57" i="37"/>
  <c r="X58" i="37" s="1"/>
  <c r="M58" i="39" s="1"/>
  <c r="G61" i="37"/>
  <c r="N11" i="39" s="1"/>
  <c r="AB22" i="37"/>
  <c r="AB23" i="37" s="1"/>
  <c r="F67" i="39" s="1"/>
  <c r="AB21" i="37"/>
  <c r="F32" i="39" s="1"/>
  <c r="L26" i="37"/>
  <c r="G17" i="39" s="1"/>
  <c r="T47" i="37"/>
  <c r="T48" i="37" s="1"/>
  <c r="K62" i="39" s="1"/>
  <c r="T46" i="37"/>
  <c r="K27" i="39" s="1"/>
  <c r="Y67" i="37"/>
  <c r="Y68" i="37" s="1"/>
  <c r="O59" i="39" s="1"/>
  <c r="Y66" i="37"/>
  <c r="O24" i="39" s="1"/>
  <c r="O31" i="37"/>
  <c r="H14" i="39" s="1"/>
  <c r="O51" i="37"/>
  <c r="L14" i="39" s="1"/>
  <c r="N56" i="37"/>
  <c r="M13" i="39" s="1"/>
  <c r="R16" i="37"/>
  <c r="O41" i="37"/>
  <c r="J14" i="39" s="1"/>
  <c r="AC62" i="37"/>
  <c r="AC63" i="37" s="1"/>
  <c r="N65" i="39" s="1"/>
  <c r="AC61" i="37"/>
  <c r="N30" i="39" s="1"/>
  <c r="G11" i="37"/>
  <c r="D11" i="39" s="1"/>
  <c r="AG56" i="37"/>
  <c r="AF62" i="37"/>
  <c r="AF63" i="37" s="1"/>
  <c r="N71" i="39" s="1"/>
  <c r="AF61" i="37"/>
  <c r="N36" i="39" s="1"/>
  <c r="L46" i="37"/>
  <c r="K17" i="39" s="1"/>
  <c r="AF32" i="37"/>
  <c r="AF33" i="37" s="1"/>
  <c r="H71" i="39" s="1"/>
  <c r="AF31" i="37"/>
  <c r="H36" i="39" s="1"/>
  <c r="M61" i="37"/>
  <c r="N15" i="39" s="1"/>
  <c r="K16" i="37"/>
  <c r="E16" i="39" s="1"/>
  <c r="P36" i="37"/>
  <c r="I18" i="39" s="1"/>
  <c r="I41" i="37"/>
  <c r="J6" i="39" s="1"/>
  <c r="W62" i="37"/>
  <c r="W63" i="37" s="1"/>
  <c r="N60" i="39" s="1"/>
  <c r="W61" i="37"/>
  <c r="N25" i="39" s="1"/>
  <c r="H66" i="37"/>
  <c r="O8" i="39" s="1"/>
  <c r="AB26" i="37"/>
  <c r="G32" i="39" s="1"/>
  <c r="AB27" i="37"/>
  <c r="AB28" i="37" s="1"/>
  <c r="G67" i="39" s="1"/>
  <c r="AE32" i="37"/>
  <c r="AE33" i="37" s="1"/>
  <c r="H70" i="39" s="1"/>
  <c r="AE31" i="37"/>
  <c r="H35" i="39" s="1"/>
  <c r="AE51" i="37"/>
  <c r="L35" i="39" s="1"/>
  <c r="AE52" i="37"/>
  <c r="AE53" i="37" s="1"/>
  <c r="L70" i="39" s="1"/>
  <c r="U11" i="37"/>
  <c r="D29" i="39" s="1"/>
  <c r="U12" i="37"/>
  <c r="U13" i="37" s="1"/>
  <c r="D64" i="39" s="1"/>
  <c r="F36" i="37"/>
  <c r="I12" i="39" s="1"/>
  <c r="AD56" i="37"/>
  <c r="M31" i="39" s="1"/>
  <c r="AD57" i="37"/>
  <c r="AD58" i="37" s="1"/>
  <c r="M66" i="39" s="1"/>
  <c r="AE42" i="37"/>
  <c r="AE43" i="37" s="1"/>
  <c r="J70" i="39" s="1"/>
  <c r="AE41" i="37"/>
  <c r="J35" i="39" s="1"/>
  <c r="Q26" i="37"/>
  <c r="G19" i="39" s="1"/>
  <c r="X11" i="37"/>
  <c r="D23" i="39" s="1"/>
  <c r="X12" i="37"/>
  <c r="X13" i="37" s="1"/>
  <c r="D58" i="39" s="1"/>
  <c r="I36" i="37"/>
  <c r="I6" i="39" s="1"/>
  <c r="R41" i="37"/>
  <c r="AB47" i="37"/>
  <c r="AB48" i="37" s="1"/>
  <c r="K67" i="39" s="1"/>
  <c r="AB46" i="37"/>
  <c r="K32" i="39" s="1"/>
  <c r="F31" i="37"/>
  <c r="H12" i="39" s="1"/>
  <c r="F51" i="37"/>
  <c r="L12" i="39" s="1"/>
  <c r="AC47" i="37"/>
  <c r="AC48" i="37" s="1"/>
  <c r="K65" i="39" s="1"/>
  <c r="AC46" i="37"/>
  <c r="K30" i="39" s="1"/>
  <c r="G31" i="37"/>
  <c r="H11" i="39" s="1"/>
  <c r="G56" i="37"/>
  <c r="M11" i="39" s="1"/>
  <c r="AA17" i="37"/>
  <c r="AA18" i="37" s="1"/>
  <c r="E69" i="39" s="1"/>
  <c r="AA16" i="37"/>
  <c r="E34" i="39" s="1"/>
  <c r="AF37" i="37"/>
  <c r="AF38" i="37" s="1"/>
  <c r="I71" i="39" s="1"/>
  <c r="AF36" i="37"/>
  <c r="I36" i="39" s="1"/>
  <c r="K21" i="37"/>
  <c r="F16" i="39" s="1"/>
  <c r="Y42" i="37"/>
  <c r="Y43" i="37" s="1"/>
  <c r="J59" i="39" s="1"/>
  <c r="Y41" i="37"/>
  <c r="J24" i="39" s="1"/>
  <c r="S47" i="37"/>
  <c r="S48" i="37" s="1"/>
  <c r="K61" i="39" s="1"/>
  <c r="S46" i="37"/>
  <c r="K26" i="39" s="1"/>
  <c r="X67" i="37"/>
  <c r="X68" i="37" s="1"/>
  <c r="O58" i="39" s="1"/>
  <c r="X66" i="37"/>
  <c r="O23" i="39" s="1"/>
  <c r="N31" i="37"/>
  <c r="H13" i="39" s="1"/>
  <c r="N51" i="37"/>
  <c r="L13" i="39" s="1"/>
  <c r="T12" i="37"/>
  <c r="T13" i="37" s="1"/>
  <c r="D62" i="39" s="1"/>
  <c r="T11" i="37"/>
  <c r="D27" i="39" s="1"/>
  <c r="V37" i="37"/>
  <c r="V38" i="37" s="1"/>
  <c r="I63" i="39" s="1"/>
  <c r="V36" i="37"/>
  <c r="I28" i="39" s="1"/>
  <c r="AG26" i="37"/>
  <c r="R51" i="37"/>
  <c r="Y37" i="37"/>
  <c r="Y38" i="37" s="1"/>
  <c r="I59" i="39" s="1"/>
  <c r="Y36" i="37"/>
  <c r="I24" i="39" s="1"/>
  <c r="O61" i="37"/>
  <c r="N14" i="39" s="1"/>
  <c r="D21" i="37"/>
  <c r="F9" i="39" s="1"/>
  <c r="P66" i="37"/>
  <c r="O18" i="39" s="1"/>
  <c r="AA11" i="37"/>
  <c r="D34" i="39" s="1"/>
  <c r="AA12" i="37"/>
  <c r="AA13" i="37" s="1"/>
  <c r="D69" i="39" s="1"/>
  <c r="V52" i="37"/>
  <c r="V53" i="37" s="1"/>
  <c r="L63" i="39" s="1"/>
  <c r="V51" i="37"/>
  <c r="L28" i="39" s="1"/>
  <c r="E46" i="37"/>
  <c r="K10" i="39" s="1"/>
  <c r="S31" i="37"/>
  <c r="H26" i="39" s="1"/>
  <c r="S32" i="37"/>
  <c r="S33" i="37" s="1"/>
  <c r="H61" i="39" s="1"/>
  <c r="Y47" i="37"/>
  <c r="Y48" i="37" s="1"/>
  <c r="K59" i="39" s="1"/>
  <c r="Y46" i="37"/>
  <c r="K24" i="39" s="1"/>
  <c r="U16" i="37"/>
  <c r="E29" i="39" s="1"/>
  <c r="U17" i="37"/>
  <c r="U18" i="37" s="1"/>
  <c r="E64" i="39" s="1"/>
  <c r="K11" i="37"/>
  <c r="D16" i="39" s="1"/>
  <c r="I16" i="37"/>
  <c r="E6" i="39" s="1"/>
  <c r="N36" i="37"/>
  <c r="I13" i="39" s="1"/>
  <c r="F56" i="37"/>
  <c r="M12" i="39" s="1"/>
  <c r="J16" i="37"/>
  <c r="E7" i="39" s="1"/>
  <c r="O36" i="37"/>
  <c r="I14" i="39" s="1"/>
  <c r="W56" i="37"/>
  <c r="M25" i="39" s="1"/>
  <c r="W57" i="37"/>
  <c r="W58" i="37" s="1"/>
  <c r="M60" i="39" s="1"/>
  <c r="F61" i="37"/>
  <c r="N12" i="39" s="1"/>
  <c r="AA22" i="37"/>
  <c r="AA23" i="37" s="1"/>
  <c r="F69" i="39" s="1"/>
  <c r="AA21" i="37"/>
  <c r="F34" i="39" s="1"/>
  <c r="K26" i="37"/>
  <c r="G16" i="39" s="1"/>
  <c r="M51" i="37"/>
  <c r="L15" i="39" s="1"/>
  <c r="S12" i="37"/>
  <c r="S13" i="37" s="1"/>
  <c r="D61" i="39" s="1"/>
  <c r="S11" i="37"/>
  <c r="D26" i="39" s="1"/>
  <c r="AD32" i="37"/>
  <c r="AD33" i="37" s="1"/>
  <c r="H66" i="39" s="1"/>
  <c r="AD31" i="37"/>
  <c r="H31" i="39" s="1"/>
  <c r="AD51" i="37"/>
  <c r="L31" i="39" s="1"/>
  <c r="AD52" i="37"/>
  <c r="AD53" i="37" s="1"/>
  <c r="L66" i="39" s="1"/>
  <c r="Q21" i="37"/>
  <c r="F19" i="39" s="1"/>
  <c r="M66" i="37"/>
  <c r="O15" i="39" s="1"/>
  <c r="AE62" i="37"/>
  <c r="AE63" i="37" s="1"/>
  <c r="N70" i="39" s="1"/>
  <c r="AE61" i="37"/>
  <c r="N35" i="39" s="1"/>
  <c r="T22" i="37"/>
  <c r="T23" i="37" s="1"/>
  <c r="F62" i="39" s="1"/>
  <c r="T21" i="37"/>
  <c r="F27" i="39" s="1"/>
  <c r="AF67" i="37"/>
  <c r="AF68" i="37" s="1"/>
  <c r="O71" i="39" s="1"/>
  <c r="AF66" i="37"/>
  <c r="O36" i="39" s="1"/>
  <c r="H16" i="37"/>
  <c r="E8" i="39" s="1"/>
  <c r="M36" i="37"/>
  <c r="I15" i="39" s="1"/>
  <c r="E56" i="37"/>
  <c r="M10" i="39" s="1"/>
  <c r="U56" i="37"/>
  <c r="M29" i="39" s="1"/>
  <c r="U57" i="37"/>
  <c r="U58" i="37" s="1"/>
  <c r="M64" i="39" s="1"/>
  <c r="L16" i="37"/>
  <c r="E17" i="39" s="1"/>
  <c r="AE12" i="37"/>
  <c r="AE13" i="37" s="1"/>
  <c r="D70" i="39" s="1"/>
  <c r="AE11" i="37"/>
  <c r="D35" i="39" s="1"/>
  <c r="Z67" i="37"/>
  <c r="Z68" i="37" s="1"/>
  <c r="O68" i="39" s="1"/>
  <c r="Z66" i="37"/>
  <c r="O33" i="39" s="1"/>
  <c r="V56" i="37"/>
  <c r="M28" i="39" s="1"/>
  <c r="V57" i="37"/>
  <c r="V58" i="37" s="1"/>
  <c r="M63" i="39" s="1"/>
  <c r="G66" i="37"/>
  <c r="O11" i="39" s="1"/>
  <c r="AC66" i="37"/>
  <c r="O30" i="39" s="1"/>
  <c r="AC67" i="37"/>
  <c r="AC68" i="37" s="1"/>
  <c r="O65" i="39" s="1"/>
  <c r="AC36" i="37"/>
  <c r="I30" i="39" s="1"/>
  <c r="AC37" i="37"/>
  <c r="AC38" i="37" s="1"/>
  <c r="I65" i="39" s="1"/>
  <c r="J21" i="37"/>
  <c r="F7" i="39" s="1"/>
  <c r="X42" i="37"/>
  <c r="X43" i="37" s="1"/>
  <c r="J58" i="39" s="1"/>
  <c r="X41" i="37"/>
  <c r="J23" i="39" s="1"/>
  <c r="R46" i="37"/>
  <c r="W67" i="37"/>
  <c r="W68" i="37" s="1"/>
  <c r="O60" i="39" s="1"/>
  <c r="W66" i="37"/>
  <c r="O25" i="39" s="1"/>
  <c r="L51" i="37"/>
  <c r="L17" i="39" s="1"/>
  <c r="Q11" i="37"/>
  <c r="D19" i="39" s="1"/>
  <c r="AC32" i="37"/>
  <c r="AC33" i="37" s="1"/>
  <c r="H65" i="39" s="1"/>
  <c r="AC31" i="37"/>
  <c r="H30" i="39" s="1"/>
  <c r="P16" i="37"/>
  <c r="E18" i="39" s="1"/>
  <c r="U37" i="37"/>
  <c r="U38" i="37" s="1"/>
  <c r="I64" i="39" s="1"/>
  <c r="U36" i="37"/>
  <c r="I29" i="39" s="1"/>
  <c r="AC56" i="37"/>
  <c r="M30" i="39" s="1"/>
  <c r="AC57" i="37"/>
  <c r="AC58" i="37" s="1"/>
  <c r="M65" i="39" s="1"/>
  <c r="AG16" i="37"/>
  <c r="N41" i="37"/>
  <c r="J13" i="39" s="1"/>
  <c r="AB62" i="37"/>
  <c r="AB63" i="37" s="1"/>
  <c r="N67" i="39" s="1"/>
  <c r="AB61" i="37"/>
  <c r="N32" i="39" s="1"/>
  <c r="X47" i="37"/>
  <c r="X48" i="37" s="1"/>
  <c r="K58" i="39" s="1"/>
  <c r="X46" i="37"/>
  <c r="K23" i="39" s="1"/>
  <c r="P56" i="37"/>
  <c r="M18" i="39" s="1"/>
  <c r="T16" i="37"/>
  <c r="E27" i="39" s="1"/>
  <c r="T17" i="37"/>
  <c r="T18" i="37" s="1"/>
  <c r="E62" i="39" s="1"/>
  <c r="Q41" i="37"/>
  <c r="J19" i="39" s="1"/>
  <c r="AA47" i="37"/>
  <c r="AA48" i="37" s="1"/>
  <c r="K69" i="39" s="1"/>
  <c r="AA46" i="37"/>
  <c r="K34" i="39" s="1"/>
  <c r="I11" i="37"/>
  <c r="D6" i="39" s="1"/>
  <c r="E31" i="37"/>
  <c r="H10" i="39" s="1"/>
  <c r="U51" i="37"/>
  <c r="L29" i="39" s="1"/>
  <c r="U52" i="37"/>
  <c r="U53" i="37" s="1"/>
  <c r="L64" i="39" s="1"/>
  <c r="G16" i="37"/>
  <c r="E11" i="39" s="1"/>
  <c r="L36" i="37"/>
  <c r="I17" i="39" s="1"/>
  <c r="D56" i="37"/>
  <c r="M9" i="39" s="1"/>
  <c r="I31" i="37"/>
  <c r="H6" i="39" s="1"/>
  <c r="AD37" i="37"/>
  <c r="AD38" i="37" s="1"/>
  <c r="I66" i="39" s="1"/>
  <c r="AD36" i="37"/>
  <c r="I31" i="39" s="1"/>
  <c r="H46" i="37"/>
  <c r="K8" i="39" s="1"/>
  <c r="E61" i="37"/>
  <c r="N10" i="39" s="1"/>
  <c r="Z21" i="37"/>
  <c r="F33" i="39" s="1"/>
  <c r="Z22" i="37"/>
  <c r="Z23" i="37" s="1"/>
  <c r="F68" i="39" s="1"/>
  <c r="J26" i="37"/>
  <c r="G7" i="39" s="1"/>
  <c r="AB51" i="37"/>
  <c r="L32" i="39" s="1"/>
  <c r="AB52" i="37"/>
  <c r="AB53" i="37" s="1"/>
  <c r="L67" i="39" s="1"/>
  <c r="O16" i="37"/>
  <c r="E14" i="39" s="1"/>
  <c r="D36" i="37"/>
  <c r="I9" i="39" s="1"/>
  <c r="L56" i="37"/>
  <c r="M17" i="39" s="1"/>
  <c r="AF17" i="37"/>
  <c r="AF18" i="37" s="1"/>
  <c r="E71" i="39" s="1"/>
  <c r="AF16" i="37"/>
  <c r="E36" i="39" s="1"/>
  <c r="AD42" i="37"/>
  <c r="AD43" i="37" s="1"/>
  <c r="J66" i="39" s="1"/>
  <c r="AD41" i="37"/>
  <c r="J31" i="39" s="1"/>
  <c r="P26" i="37"/>
  <c r="G18" i="39" s="1"/>
  <c r="AF57" i="37"/>
  <c r="AF58" i="37" s="1"/>
  <c r="M71" i="39" s="1"/>
  <c r="AF56" i="37"/>
  <c r="M36" i="39" s="1"/>
  <c r="AG41" i="37"/>
  <c r="O66" i="37"/>
  <c r="O14" i="39" s="1"/>
  <c r="S27" i="37"/>
  <c r="S28" i="37" s="1"/>
  <c r="G61" i="39" s="1"/>
  <c r="S26" i="37"/>
  <c r="G26" i="39" s="1"/>
  <c r="Z11" i="37"/>
  <c r="D33" i="39" s="1"/>
  <c r="Z12" i="37"/>
  <c r="Z13" i="37" s="1"/>
  <c r="D68" i="39" s="1"/>
  <c r="U31" i="37"/>
  <c r="H29" i="39" s="1"/>
  <c r="U32" i="37"/>
  <c r="U33" i="37" s="1"/>
  <c r="H64" i="39" s="1"/>
  <c r="W17" i="37"/>
  <c r="W18" i="37" s="1"/>
  <c r="E60" i="39" s="1"/>
  <c r="W16" i="37"/>
  <c r="E25" i="39" s="1"/>
  <c r="AB37" i="37"/>
  <c r="AB38" i="37" s="1"/>
  <c r="I67" i="39" s="1"/>
  <c r="AB36" i="37"/>
  <c r="I32" i="39" s="1"/>
  <c r="T57" i="37"/>
  <c r="T58" i="37" s="1"/>
  <c r="M62" i="39" s="1"/>
  <c r="T56" i="37"/>
  <c r="M27" i="39" s="1"/>
  <c r="Z32" i="37"/>
  <c r="Z33" i="37" s="1"/>
  <c r="H68" i="39" s="1"/>
  <c r="Z31" i="37"/>
  <c r="H33" i="39" s="1"/>
  <c r="J66" i="37"/>
  <c r="O7" i="39" s="1"/>
  <c r="Z41" i="37"/>
  <c r="J33" i="39" s="1"/>
  <c r="Z42" i="37"/>
  <c r="Z43" i="37" s="1"/>
  <c r="J68" i="39" s="1"/>
  <c r="V62" i="37"/>
  <c r="V63" i="37" s="1"/>
  <c r="N63" i="39" s="1"/>
  <c r="V61" i="37"/>
  <c r="N28" i="39" s="1"/>
  <c r="H21" i="37"/>
  <c r="F8" i="39" s="1"/>
  <c r="F41" i="37"/>
  <c r="J12" i="39" s="1"/>
  <c r="D61" i="37"/>
  <c r="N9" i="39" s="1"/>
  <c r="I21" i="37"/>
  <c r="F6" i="39" s="1"/>
  <c r="G41" i="37"/>
  <c r="J11" i="39" s="1"/>
  <c r="U62" i="37"/>
  <c r="U63" i="37" s="1"/>
  <c r="N64" i="39" s="1"/>
  <c r="U61" i="37"/>
  <c r="N29" i="39" s="1"/>
  <c r="F66" i="37"/>
  <c r="O12" i="39" s="1"/>
  <c r="Z27" i="37"/>
  <c r="Z28" i="37" s="1"/>
  <c r="G68" i="39" s="1"/>
  <c r="Z26" i="37"/>
  <c r="G33" i="39" s="1"/>
  <c r="L31" i="37"/>
  <c r="H17" i="39" s="1"/>
  <c r="K56" i="37"/>
  <c r="M16" i="39" s="1"/>
  <c r="AE16" i="37"/>
  <c r="E35" i="39" s="1"/>
  <c r="AE17" i="37"/>
  <c r="AE18" i="37" s="1"/>
  <c r="E70" i="39" s="1"/>
  <c r="T37" i="37"/>
  <c r="T38" i="37" s="1"/>
  <c r="I62" i="39" s="1"/>
  <c r="T36" i="37"/>
  <c r="I27" i="39" s="1"/>
  <c r="AB56" i="37"/>
  <c r="M32" i="39" s="1"/>
  <c r="AB57" i="37"/>
  <c r="AB58" i="37" s="1"/>
  <c r="M67" i="39" s="1"/>
  <c r="P21" i="37"/>
  <c r="F18" i="39" s="1"/>
  <c r="AF27" i="37"/>
  <c r="AF28" i="37" s="1"/>
  <c r="G71" i="39" s="1"/>
  <c r="AF26" i="37"/>
  <c r="G36" i="39" s="1"/>
  <c r="F11" i="37"/>
  <c r="D12" i="39" s="1"/>
  <c r="H36" i="37"/>
  <c r="I8" i="39" s="1"/>
  <c r="AE67" i="37"/>
  <c r="AE68" i="37" s="1"/>
  <c r="O70" i="39" s="1"/>
  <c r="AE66" i="37"/>
  <c r="O35" i="39" s="1"/>
  <c r="G21" i="37"/>
  <c r="F11" i="39" s="1"/>
  <c r="E41" i="37"/>
  <c r="J10" i="39" s="1"/>
  <c r="S62" i="37"/>
  <c r="S63" i="37" s="1"/>
  <c r="N61" i="39" s="1"/>
  <c r="S61" i="37"/>
  <c r="N26" i="39" s="1"/>
  <c r="J41" i="37"/>
  <c r="J7" i="39" s="1"/>
  <c r="P31" i="37"/>
  <c r="H18" i="39" s="1"/>
  <c r="Z37" i="37"/>
  <c r="Z38" i="37" s="1"/>
  <c r="I68" i="39" s="1"/>
  <c r="Z36" i="37"/>
  <c r="I33" i="39" s="1"/>
  <c r="H51" i="37"/>
  <c r="L8" i="39" s="1"/>
  <c r="AC27" i="37"/>
  <c r="AC28" i="37" s="1"/>
  <c r="G65" i="39" s="1"/>
  <c r="AC26" i="37"/>
  <c r="G30" i="39" s="1"/>
  <c r="X17" i="37"/>
  <c r="X18" i="37" s="1"/>
  <c r="E58" i="39" s="1"/>
  <c r="X16" i="37"/>
  <c r="E23" i="39" s="1"/>
  <c r="X22" i="37"/>
  <c r="X23" i="37" s="1"/>
  <c r="F58" i="39" s="1"/>
  <c r="X21" i="37"/>
  <c r="F23" i="39" s="1"/>
  <c r="V42" i="37"/>
  <c r="V43" i="37" s="1"/>
  <c r="J63" i="39" s="1"/>
  <c r="V41" i="37"/>
  <c r="J28" i="39" s="1"/>
  <c r="T62" i="37"/>
  <c r="T63" i="37" s="1"/>
  <c r="N62" i="39" s="1"/>
  <c r="T61" i="37"/>
  <c r="N27" i="39" s="1"/>
  <c r="Y22" i="37"/>
  <c r="Y23" i="37" s="1"/>
  <c r="F59" i="39" s="1"/>
  <c r="Y21" i="37"/>
  <c r="F24" i="39" s="1"/>
  <c r="W42" i="37"/>
  <c r="W43" i="37" s="1"/>
  <c r="J60" i="39" s="1"/>
  <c r="W41" i="37"/>
  <c r="J25" i="39" s="1"/>
  <c r="Q46" i="37"/>
  <c r="K19" i="39" s="1"/>
  <c r="BI19" i="39" s="1"/>
  <c r="V67" i="37"/>
  <c r="V68" i="37" s="1"/>
  <c r="O63" i="39" s="1"/>
  <c r="V66" i="37"/>
  <c r="O28" i="39" s="1"/>
  <c r="K51" i="37"/>
  <c r="L16" i="39" s="1"/>
  <c r="P11" i="37"/>
  <c r="D18" i="39" s="1"/>
  <c r="AB32" i="37"/>
  <c r="AB33" i="37" s="1"/>
  <c r="H67" i="39" s="1"/>
  <c r="AB31" i="37"/>
  <c r="H32" i="39" s="1"/>
  <c r="N16" i="37"/>
  <c r="E13" i="39" s="1"/>
  <c r="S36" i="37"/>
  <c r="I26" i="39" s="1"/>
  <c r="S37" i="37"/>
  <c r="S38" i="37" s="1"/>
  <c r="I61" i="39" s="1"/>
  <c r="AA56" i="37"/>
  <c r="M34" i="39" s="1"/>
  <c r="AA57" i="37"/>
  <c r="AA58" i="37" s="1"/>
  <c r="M69" i="39" s="1"/>
  <c r="O21" i="37"/>
  <c r="F14" i="39" s="1"/>
  <c r="M41" i="37"/>
  <c r="J15" i="39" s="1"/>
  <c r="K61" i="37"/>
  <c r="N16" i="39" s="1"/>
  <c r="AF22" i="37"/>
  <c r="AF23" i="37" s="1"/>
  <c r="F71" i="39" s="1"/>
  <c r="AF21" i="37"/>
  <c r="F36" i="39" s="1"/>
  <c r="L66" i="37"/>
  <c r="O17" i="39" s="1"/>
  <c r="Q51" i="37"/>
  <c r="L19" i="39" s="1"/>
  <c r="BJ19" i="39" s="1"/>
  <c r="W11" i="37"/>
  <c r="D25" i="39" s="1"/>
  <c r="W12" i="37"/>
  <c r="W13" i="37" s="1"/>
  <c r="D60" i="39" s="1"/>
  <c r="X37" i="37"/>
  <c r="X38" i="37" s="1"/>
  <c r="I58" i="39" s="1"/>
  <c r="X36" i="37"/>
  <c r="I23" i="39" s="1"/>
  <c r="N61" i="37"/>
  <c r="N13" i="39" s="1"/>
  <c r="S22" i="37"/>
  <c r="S23" i="37" s="1"/>
  <c r="F61" i="39" s="1"/>
  <c r="S21" i="37"/>
  <c r="F26" i="39" s="1"/>
  <c r="J46" i="37"/>
  <c r="K7" i="39" s="1"/>
  <c r="D51" i="37"/>
  <c r="L9" i="39" s="1"/>
  <c r="S56" i="37"/>
  <c r="M26" i="39" s="1"/>
  <c r="S57" i="37"/>
  <c r="S58" i="37" s="1"/>
  <c r="M61" i="39" s="1"/>
  <c r="W22" i="37"/>
  <c r="W23" i="37" s="1"/>
  <c r="F60" i="39" s="1"/>
  <c r="W21" i="37"/>
  <c r="F25" i="39" s="1"/>
  <c r="U42" i="37"/>
  <c r="U43" i="37" s="1"/>
  <c r="J64" i="39" s="1"/>
  <c r="U41" i="37"/>
  <c r="J29" i="39" s="1"/>
  <c r="M26" i="37"/>
  <c r="G15" i="39" s="1"/>
  <c r="H56" i="37"/>
  <c r="M8" i="39" s="1"/>
  <c r="AE36" i="37"/>
  <c r="I35" i="39" s="1"/>
  <c r="AE37" i="37"/>
  <c r="AE38" i="37" s="1"/>
  <c r="I70" i="39" s="1"/>
  <c r="M56" i="37"/>
  <c r="M15" i="39" s="1"/>
  <c r="D16" i="37"/>
  <c r="E9" i="39" s="1"/>
  <c r="I26" i="37"/>
  <c r="G6" i="39" s="1"/>
  <c r="AG46" i="37"/>
  <c r="AA51" i="37"/>
  <c r="L34" i="39" s="1"/>
  <c r="AA52" i="37"/>
  <c r="AA53" i="37" s="1"/>
  <c r="L69" i="39" s="1"/>
  <c r="J56" i="37"/>
  <c r="M7" i="39" s="1"/>
  <c r="AD17" i="37"/>
  <c r="AD18" i="37" s="1"/>
  <c r="E66" i="39" s="1"/>
  <c r="AD16" i="37"/>
  <c r="E31" i="39" s="1"/>
  <c r="AE22" i="37"/>
  <c r="AE23" i="37" s="1"/>
  <c r="F70" i="39" s="1"/>
  <c r="AE21" i="37"/>
  <c r="F35" i="39" s="1"/>
  <c r="AC42" i="37"/>
  <c r="AC43" i="37" s="1"/>
  <c r="J65" i="39" s="1"/>
  <c r="AC41" i="37"/>
  <c r="J30" i="39" s="1"/>
  <c r="AA62" i="37"/>
  <c r="AA63" i="37" s="1"/>
  <c r="N69" i="39" s="1"/>
  <c r="AA61" i="37"/>
  <c r="N34" i="39" s="1"/>
  <c r="G46" i="37"/>
  <c r="K11" i="39" s="1"/>
  <c r="AB67" i="37"/>
  <c r="AB68" i="37" s="1"/>
  <c r="O67" i="39" s="1"/>
  <c r="AB66" i="37"/>
  <c r="O32" i="39" s="1"/>
  <c r="Q31" i="37"/>
  <c r="H19" i="39" s="1"/>
  <c r="AG51" i="37"/>
  <c r="AD62" i="37"/>
  <c r="AD63" i="37" s="1"/>
  <c r="N66" i="39" s="1"/>
  <c r="AD61" i="37"/>
  <c r="N31" i="39" s="1"/>
  <c r="Z47" i="37"/>
  <c r="Z48" i="37" s="1"/>
  <c r="K68" i="39" s="1"/>
  <c r="Z46" i="37"/>
  <c r="K33" i="39" s="1"/>
  <c r="D31" i="37"/>
  <c r="H9" i="39" s="1"/>
  <c r="T51" i="37"/>
  <c r="L27" i="39" s="1"/>
  <c r="T52" i="37"/>
  <c r="T53" i="37" s="1"/>
  <c r="L62" i="39" s="1"/>
  <c r="F16" i="37"/>
  <c r="E12" i="39" s="1"/>
  <c r="K36" i="37"/>
  <c r="I16" i="39" s="1"/>
  <c r="F21" i="37"/>
  <c r="F12" i="39" s="1"/>
  <c r="D41" i="37"/>
  <c r="J9" i="39" s="1"/>
  <c r="R61" i="37"/>
  <c r="Y51" i="37"/>
  <c r="L24" i="39" s="1"/>
  <c r="Y52" i="37"/>
  <c r="Y53" i="37" s="1"/>
  <c r="L59" i="39" s="1"/>
  <c r="D46" i="37"/>
  <c r="K9" i="39" s="1"/>
  <c r="Y17" i="37"/>
  <c r="Y18" i="37" s="1"/>
  <c r="E59" i="39" s="1"/>
  <c r="Y16" i="37"/>
  <c r="E24" i="39" s="1"/>
  <c r="E51" i="37"/>
  <c r="L10" i="39" s="1"/>
  <c r="E66" i="37"/>
  <c r="O10" i="39" s="1"/>
  <c r="Y27" i="37"/>
  <c r="Y28" i="37" s="1"/>
  <c r="G59" i="39" s="1"/>
  <c r="Y26" i="37"/>
  <c r="G24" i="39" s="1"/>
  <c r="K31" i="37"/>
  <c r="H16" i="39" s="1"/>
  <c r="Z56" i="37"/>
  <c r="M33" i="39" s="1"/>
  <c r="Z57" i="37"/>
  <c r="Z58" i="37" s="1"/>
  <c r="M68" i="39" s="1"/>
  <c r="N21" i="37"/>
  <c r="F13" i="39" s="1"/>
  <c r="L41" i="37"/>
  <c r="J17" i="39" s="1"/>
  <c r="J61" i="37"/>
  <c r="N7" i="39" s="1"/>
  <c r="O26" i="37"/>
  <c r="G14" i="39" s="1"/>
  <c r="W47" i="37"/>
  <c r="W48" i="37" s="1"/>
  <c r="K60" i="39" s="1"/>
  <c r="W46" i="37"/>
  <c r="K25" i="39" s="1"/>
  <c r="AG31" i="37"/>
  <c r="H11" i="37"/>
  <c r="D8" i="39" s="1"/>
  <c r="T32" i="37"/>
  <c r="T33" i="37" s="1"/>
  <c r="H62" i="39" s="1"/>
  <c r="T31" i="37"/>
  <c r="H27" i="39" s="1"/>
  <c r="V17" i="37"/>
  <c r="V18" i="37" s="1"/>
  <c r="E63" i="39" s="1"/>
  <c r="V16" i="37"/>
  <c r="E28" i="39" s="1"/>
  <c r="AA37" i="37"/>
  <c r="AA38" i="37" s="1"/>
  <c r="I69" i="39" s="1"/>
  <c r="AA36" i="37"/>
  <c r="I34" i="39" s="1"/>
  <c r="V21" i="37"/>
  <c r="F28" i="39" s="1"/>
  <c r="V22" i="37"/>
  <c r="V23" i="37" s="1"/>
  <c r="F63" i="39" s="1"/>
  <c r="T41" i="37"/>
  <c r="J27" i="39" s="1"/>
  <c r="T42" i="37"/>
  <c r="T43" i="37" s="1"/>
  <c r="J62" i="39" s="1"/>
  <c r="S67" i="37"/>
  <c r="S68" i="37" s="1"/>
  <c r="O61" i="39" s="1"/>
  <c r="S66" i="37"/>
  <c r="O26" i="39" s="1"/>
  <c r="E16" i="37"/>
  <c r="E10" i="39" s="1"/>
  <c r="M11" i="37"/>
  <c r="D15" i="39" s="1"/>
  <c r="U47" i="37"/>
  <c r="U48" i="37" s="1"/>
  <c r="K64" i="39" s="1"/>
  <c r="U46" i="37"/>
  <c r="K29" i="39" s="1"/>
  <c r="H41" i="37"/>
  <c r="J8" i="39" s="1"/>
  <c r="AC51" i="37"/>
  <c r="L30" i="39" s="1"/>
  <c r="AC52" i="37"/>
  <c r="AC53" i="37" s="1"/>
  <c r="L65" i="39" s="1"/>
  <c r="L61" i="37"/>
  <c r="N17" i="39" s="1"/>
  <c r="G26" i="37"/>
  <c r="G11" i="39" s="1"/>
  <c r="O46" i="37"/>
  <c r="K14" i="39" s="1"/>
  <c r="D66" i="37"/>
  <c r="O9" i="39" s="1"/>
  <c r="P46" i="37"/>
  <c r="K18" i="39" s="1"/>
  <c r="U67" i="37"/>
  <c r="U68" i="37" s="1"/>
  <c r="O64" i="39" s="1"/>
  <c r="U66" i="37"/>
  <c r="O29" i="39" s="1"/>
  <c r="J51" i="37"/>
  <c r="L7" i="39" s="1"/>
  <c r="AA32" i="37"/>
  <c r="AA33" i="37" s="1"/>
  <c r="H69" i="39" s="1"/>
  <c r="AA31" i="37"/>
  <c r="H34" i="39" s="1"/>
  <c r="M16" i="37"/>
  <c r="E15" i="39" s="1"/>
  <c r="R36" i="37"/>
  <c r="K41" i="37"/>
  <c r="J16" i="39" s="1"/>
  <c r="I61" i="37"/>
  <c r="N6" i="39" s="1"/>
  <c r="AD22" i="37"/>
  <c r="AD23" i="37" s="1"/>
  <c r="F66" i="39" s="1"/>
  <c r="AD21" i="37"/>
  <c r="F31" i="39" s="1"/>
  <c r="AB42" i="37"/>
  <c r="AB43" i="37" s="1"/>
  <c r="J67" i="39" s="1"/>
  <c r="AB41" i="37"/>
  <c r="J32" i="39" s="1"/>
  <c r="Z62" i="37"/>
  <c r="Z63" i="37" s="1"/>
  <c r="N68" i="39" s="1"/>
  <c r="Z61" i="37"/>
  <c r="N33" i="39" s="1"/>
  <c r="AE27" i="37"/>
  <c r="AE28" i="37" s="1"/>
  <c r="G70" i="39" s="1"/>
  <c r="AE26" i="37"/>
  <c r="G35" i="39" s="1"/>
  <c r="O56" i="37"/>
  <c r="M14" i="39" s="1"/>
  <c r="S17" i="37"/>
  <c r="S18" i="37" s="1"/>
  <c r="E61" i="39" s="1"/>
  <c r="S16" i="37"/>
  <c r="E26" i="39" s="1"/>
  <c r="P41" i="37"/>
  <c r="J18" i="39" s="1"/>
  <c r="R26" i="37"/>
  <c r="Y11" i="37"/>
  <c r="D24" i="39" s="1"/>
  <c r="Y12" i="37"/>
  <c r="Y13" i="37" s="1"/>
  <c r="D59" i="39" s="1"/>
  <c r="Q61" i="37"/>
  <c r="N19" i="39" s="1"/>
  <c r="I46" i="37"/>
  <c r="K6" i="39" s="1"/>
  <c r="AB17" i="37"/>
  <c r="AB18" i="37" s="1"/>
  <c r="E67" i="39" s="1"/>
  <c r="AB16" i="37"/>
  <c r="E32" i="39" s="1"/>
  <c r="Z16" i="37"/>
  <c r="E33" i="39" s="1"/>
  <c r="Z17" i="37"/>
  <c r="Z18" i="37" s="1"/>
  <c r="E68" i="39" s="1"/>
  <c r="AA27" i="37"/>
  <c r="AA28" i="37" s="1"/>
  <c r="G69" i="39" s="1"/>
  <c r="AA26" i="37"/>
  <c r="G34" i="39" s="1"/>
  <c r="E36" i="37"/>
  <c r="I10" i="39" s="1"/>
  <c r="W26" i="37"/>
  <c r="G25" i="39" s="1"/>
  <c r="W27" i="37"/>
  <c r="W28" i="37" s="1"/>
  <c r="G60" i="39" s="1"/>
  <c r="AE47" i="37"/>
  <c r="AE48" i="37" s="1"/>
  <c r="K70" i="39" s="1"/>
  <c r="AE46" i="37"/>
  <c r="K35" i="39" s="1"/>
  <c r="T67" i="37"/>
  <c r="T68" i="37" s="1"/>
  <c r="O62" i="39" s="1"/>
  <c r="T66" i="37"/>
  <c r="O27" i="39" s="1"/>
  <c r="X27" i="37"/>
  <c r="X28" i="37" s="1"/>
  <c r="G58" i="39" s="1"/>
  <c r="AF47" i="37"/>
  <c r="AF48" i="37" s="1"/>
  <c r="K71" i="39" s="1"/>
  <c r="AF46" i="37"/>
  <c r="K36" i="39" s="1"/>
  <c r="Z51" i="37"/>
  <c r="L33" i="39" s="1"/>
  <c r="Z52" i="37"/>
  <c r="Z53" i="37" s="1"/>
  <c r="L68" i="39" s="1"/>
  <c r="AF11" i="37"/>
  <c r="D36" i="39" s="1"/>
  <c r="AF12" i="37"/>
  <c r="AF13" i="37" s="1"/>
  <c r="D71" i="39" s="1"/>
  <c r="I56" i="37"/>
  <c r="M6" i="39" s="1"/>
  <c r="AC17" i="37"/>
  <c r="AC18" i="37" s="1"/>
  <c r="E65" i="39" s="1"/>
  <c r="AC16" i="37"/>
  <c r="E30" i="39" s="1"/>
  <c r="M21" i="37"/>
  <c r="F15" i="39" s="1"/>
  <c r="AA42" i="37"/>
  <c r="AA43" i="37" s="1"/>
  <c r="J69" i="39" s="1"/>
  <c r="AA41" i="37"/>
  <c r="J34" i="39" s="1"/>
  <c r="Y62" i="37"/>
  <c r="Y63" i="37" s="1"/>
  <c r="N59" i="39" s="1"/>
  <c r="Y61" i="37"/>
  <c r="N24" i="39" s="1"/>
  <c r="N26" i="37"/>
  <c r="G13" i="39" s="1"/>
  <c r="F46" i="37"/>
  <c r="K12" i="39" s="1"/>
  <c r="K66" i="37"/>
  <c r="O16" i="39" s="1"/>
  <c r="E11" i="37"/>
  <c r="D10" i="39" s="1"/>
  <c r="G36" i="37"/>
  <c r="I11" i="39" s="1"/>
  <c r="AE56" i="37"/>
  <c r="M35" i="39" s="1"/>
  <c r="AE57" i="37"/>
  <c r="AE58" i="37" s="1"/>
  <c r="M70" i="39" s="1"/>
  <c r="AF42" i="37"/>
  <c r="AF43" i="37" s="1"/>
  <c r="J71" i="39" s="1"/>
  <c r="AF41" i="37"/>
  <c r="J36" i="39" s="1"/>
  <c r="N66" i="37"/>
  <c r="O13" i="39" s="1"/>
  <c r="S51" i="37"/>
  <c r="L26" i="39" s="1"/>
  <c r="S52" i="37"/>
  <c r="S53" i="37" s="1"/>
  <c r="L61" i="39" s="1"/>
  <c r="R56" i="37"/>
  <c r="AG61" i="37"/>
  <c r="R66" i="37"/>
  <c r="D57" i="36"/>
  <c r="Z88" i="41" s="1"/>
  <c r="F59" i="36"/>
  <c r="H59" i="36" s="1"/>
  <c r="AC88" i="41" s="1"/>
  <c r="H40" i="88"/>
  <c r="M38" i="74"/>
  <c r="H22" i="88"/>
  <c r="AA81" i="40"/>
  <c r="C94" i="36"/>
  <c r="AA83" i="40"/>
  <c r="Z2" i="52"/>
  <c r="L84" i="40"/>
  <c r="K84" i="40"/>
  <c r="J84" i="40"/>
  <c r="I84" i="40"/>
  <c r="O84" i="40"/>
  <c r="N84" i="40"/>
  <c r="H95" i="36"/>
  <c r="F95" i="36"/>
  <c r="S93" i="41"/>
  <c r="U93" i="41"/>
  <c r="R93" i="41"/>
  <c r="L93" i="41"/>
  <c r="Q93" i="41"/>
  <c r="P93" i="41"/>
  <c r="O93" i="41"/>
  <c r="F93" i="41"/>
  <c r="E93" i="41"/>
  <c r="N93" i="41"/>
  <c r="M93" i="41"/>
  <c r="K93" i="41"/>
  <c r="J93" i="41"/>
  <c r="I93" i="41"/>
  <c r="H93" i="41"/>
  <c r="W93" i="41"/>
  <c r="G93" i="41"/>
  <c r="V93" i="41"/>
  <c r="T93" i="41"/>
  <c r="AA103" i="52"/>
  <c r="F94" i="36" s="1"/>
  <c r="AA7" i="52"/>
  <c r="W8" i="42" s="1"/>
  <c r="AA16" i="52"/>
  <c r="W17" i="42" s="1"/>
  <c r="N14" i="30"/>
  <c r="P128" i="15"/>
  <c r="L69" i="15"/>
  <c r="N36" i="30"/>
  <c r="U36" i="30"/>
  <c r="AD14" i="30"/>
  <c r="U90" i="15"/>
  <c r="M14" i="30"/>
  <c r="Q109" i="15"/>
  <c r="L128" i="15"/>
  <c r="AB14" i="30"/>
  <c r="P90" i="15"/>
  <c r="S36" i="30"/>
  <c r="L36" i="30"/>
  <c r="K90" i="15"/>
  <c r="L50" i="15"/>
  <c r="T14" i="30"/>
  <c r="Q50" i="31"/>
  <c r="F14" i="30"/>
  <c r="L12" i="15"/>
  <c r="Q12" i="31"/>
  <c r="Y14" i="30"/>
  <c r="G90" i="15"/>
  <c r="V30" i="31"/>
  <c r="Q30" i="15"/>
  <c r="H36" i="30"/>
  <c r="Q17" i="31"/>
  <c r="L17" i="15"/>
  <c r="F19" i="30"/>
  <c r="AA19" i="30"/>
  <c r="L95" i="15"/>
  <c r="L133" i="15"/>
  <c r="Q114" i="15"/>
  <c r="M19" i="30"/>
  <c r="K133" i="15"/>
  <c r="L19" i="30"/>
  <c r="T98" i="15"/>
  <c r="H41" i="30"/>
  <c r="V35" i="31"/>
  <c r="Q35" i="15"/>
  <c r="P133" i="15"/>
  <c r="N19" i="30"/>
  <c r="P95" i="15"/>
  <c r="AB19" i="30"/>
  <c r="T41" i="30"/>
  <c r="Q74" i="15"/>
  <c r="M41" i="30"/>
  <c r="V55" i="31"/>
  <c r="V19" i="30"/>
  <c r="Q55" i="15"/>
  <c r="M18" i="30"/>
  <c r="L132" i="15"/>
  <c r="Q113" i="15"/>
  <c r="T40" i="30"/>
  <c r="Q73" i="15"/>
  <c r="M40" i="30"/>
  <c r="P132" i="15"/>
  <c r="N18" i="30"/>
  <c r="AB18" i="30"/>
  <c r="P94" i="15"/>
  <c r="AD18" i="30"/>
  <c r="U94" i="15"/>
  <c r="L18" i="30"/>
  <c r="K132" i="15"/>
  <c r="U132" i="15"/>
  <c r="P18" i="30"/>
  <c r="F40" i="30"/>
  <c r="L34" i="15"/>
  <c r="Q34" i="31"/>
  <c r="U40" i="30"/>
  <c r="N40" i="30"/>
  <c r="Q16" i="15"/>
  <c r="V16" i="31"/>
  <c r="H18" i="30"/>
  <c r="K94" i="15"/>
  <c r="Z18" i="30"/>
  <c r="Q54" i="31"/>
  <c r="L54" i="15"/>
  <c r="T18" i="30"/>
  <c r="L39" i="30"/>
  <c r="S39" i="30"/>
  <c r="K93" i="15"/>
  <c r="V17" i="30"/>
  <c r="V53" i="31"/>
  <c r="Q53" i="15"/>
  <c r="U131" i="15"/>
  <c r="P17" i="30"/>
  <c r="K131" i="15"/>
  <c r="L17" i="30"/>
  <c r="P131" i="15"/>
  <c r="N17" i="30"/>
  <c r="Q72" i="15"/>
  <c r="M39" i="30"/>
  <c r="T39" i="30"/>
  <c r="V33" i="31"/>
  <c r="H39" i="30"/>
  <c r="Q33" i="15"/>
  <c r="K17" i="30"/>
  <c r="G131" i="15"/>
  <c r="L112" i="15"/>
  <c r="P58" i="15"/>
  <c r="P93" i="15"/>
  <c r="AB17" i="30"/>
  <c r="Q15" i="31"/>
  <c r="F17" i="30"/>
  <c r="L15" i="15"/>
  <c r="AA17" i="30"/>
  <c r="L93" i="15"/>
  <c r="G130" i="15"/>
  <c r="K16" i="30"/>
  <c r="L111" i="15"/>
  <c r="Q14" i="31"/>
  <c r="L14" i="15"/>
  <c r="F16" i="30"/>
  <c r="P16" i="30"/>
  <c r="U130" i="15"/>
  <c r="AA16" i="30"/>
  <c r="V52" i="31"/>
  <c r="Q52" i="15"/>
  <c r="V16" i="30"/>
  <c r="H38" i="30"/>
  <c r="V32" i="31"/>
  <c r="Q32" i="15"/>
  <c r="N16" i="30"/>
  <c r="P130" i="15"/>
  <c r="L71" i="15"/>
  <c r="K38" i="30"/>
  <c r="R38" i="30"/>
  <c r="Q70" i="15"/>
  <c r="M37" i="30"/>
  <c r="T37" i="30"/>
  <c r="AD15" i="30"/>
  <c r="U91" i="15"/>
  <c r="L110" i="15"/>
  <c r="K15" i="30"/>
  <c r="G129" i="15"/>
  <c r="Q51" i="15"/>
  <c r="V51" i="31"/>
  <c r="V15" i="30"/>
  <c r="L91" i="15"/>
  <c r="AA15" i="30"/>
  <c r="P15" i="30"/>
  <c r="U129" i="15"/>
  <c r="K129" i="15"/>
  <c r="L15" i="30"/>
  <c r="Q31" i="31"/>
  <c r="L31" i="15"/>
  <c r="F37" i="30"/>
  <c r="Q13" i="15"/>
  <c r="V13" i="31"/>
  <c r="H15" i="30"/>
  <c r="K20" i="30"/>
  <c r="G134" i="15"/>
  <c r="L115" i="15"/>
  <c r="U134" i="15"/>
  <c r="P20" i="30"/>
  <c r="Q36" i="31"/>
  <c r="L36" i="15"/>
  <c r="F42" i="30"/>
  <c r="V56" i="31"/>
  <c r="V20" i="30"/>
  <c r="Q56" i="15"/>
  <c r="AA20" i="30"/>
  <c r="L75" i="15"/>
  <c r="L96" i="15" s="1"/>
  <c r="R42" i="30"/>
  <c r="K42" i="30"/>
  <c r="G96" i="15"/>
  <c r="Q18" i="31"/>
  <c r="L18" i="15"/>
  <c r="F20" i="30"/>
  <c r="R98" i="15"/>
  <c r="Z20" i="30"/>
  <c r="K96" i="15"/>
  <c r="AA9" i="30"/>
  <c r="L85" i="15"/>
  <c r="L123" i="15"/>
  <c r="M9" i="30"/>
  <c r="Q104" i="15"/>
  <c r="U22" i="30"/>
  <c r="Q25" i="31"/>
  <c r="L25" i="15"/>
  <c r="F31" i="30"/>
  <c r="L7" i="15"/>
  <c r="Q7" i="31"/>
  <c r="F9" i="30"/>
  <c r="N31" i="30"/>
  <c r="U31" i="30"/>
  <c r="N9" i="30"/>
  <c r="P123" i="15"/>
  <c r="P85" i="15"/>
  <c r="AB9" i="30"/>
  <c r="Q64" i="15"/>
  <c r="M31" i="30"/>
  <c r="T31" i="30"/>
  <c r="V45" i="31"/>
  <c r="V9" i="30"/>
  <c r="Q45" i="15"/>
  <c r="L105" i="15"/>
  <c r="G124" i="15"/>
  <c r="K10" i="30"/>
  <c r="O136" i="15"/>
  <c r="G22" i="30"/>
  <c r="V8" i="31"/>
  <c r="H10" i="30"/>
  <c r="Q8" i="15"/>
  <c r="L26" i="15"/>
  <c r="Q26" i="31"/>
  <c r="F32" i="30"/>
  <c r="P10" i="30"/>
  <c r="U124" i="15"/>
  <c r="V46" i="31"/>
  <c r="Q46" i="15"/>
  <c r="V10" i="30"/>
  <c r="AA10" i="30"/>
  <c r="L86" i="15"/>
  <c r="U32" i="30"/>
  <c r="N32" i="30"/>
  <c r="P86" i="15"/>
  <c r="M32" i="30"/>
  <c r="T32" i="30"/>
  <c r="Q65" i="15"/>
  <c r="K124" i="15"/>
  <c r="L10" i="30"/>
  <c r="AA8" i="30"/>
  <c r="L84" i="15"/>
  <c r="L24" i="15"/>
  <c r="F30" i="30"/>
  <c r="Q24" i="31"/>
  <c r="V44" i="31"/>
  <c r="Q44" i="15"/>
  <c r="V8" i="30"/>
  <c r="L103" i="15"/>
  <c r="G122" i="15"/>
  <c r="K8" i="30"/>
  <c r="P84" i="15"/>
  <c r="AB8" i="30"/>
  <c r="U122" i="15"/>
  <c r="P8" i="30"/>
  <c r="V6" i="31"/>
  <c r="Q6" i="15"/>
  <c r="H8" i="30"/>
  <c r="E136" i="15"/>
  <c r="T30" i="30"/>
  <c r="Q63" i="15"/>
  <c r="M30" i="30"/>
  <c r="I22" i="30"/>
  <c r="N8" i="30"/>
  <c r="P122" i="15"/>
  <c r="I44" i="30"/>
  <c r="L19" i="15"/>
  <c r="F21" i="30"/>
  <c r="Q19" i="31"/>
  <c r="Q37" i="31"/>
  <c r="L37" i="15"/>
  <c r="F43" i="30"/>
  <c r="M43" i="30"/>
  <c r="Q76" i="15"/>
  <c r="T43" i="30"/>
  <c r="V57" i="31"/>
  <c r="V21" i="30"/>
  <c r="Q57" i="15"/>
  <c r="L43" i="30"/>
  <c r="S43" i="30"/>
  <c r="K97" i="15"/>
  <c r="L58" i="31"/>
  <c r="Q58" i="31" s="1"/>
  <c r="V58" i="31" s="1"/>
  <c r="N43" i="30"/>
  <c r="U43" i="30"/>
  <c r="P135" i="15"/>
  <c r="N21" i="30"/>
  <c r="U135" i="15"/>
  <c r="P21" i="30"/>
  <c r="M21" i="30"/>
  <c r="Q116" i="15"/>
  <c r="L135" i="15"/>
  <c r="L21" i="30"/>
  <c r="K135" i="15"/>
  <c r="H98" i="15"/>
  <c r="P127" i="15"/>
  <c r="N13" i="30"/>
  <c r="F13" i="30"/>
  <c r="Q11" i="31"/>
  <c r="L11" i="15"/>
  <c r="K89" i="15"/>
  <c r="Z13" i="30"/>
  <c r="T13" i="30"/>
  <c r="Q49" i="31"/>
  <c r="L49" i="15"/>
  <c r="P13" i="30"/>
  <c r="U127" i="15"/>
  <c r="L29" i="15"/>
  <c r="F35" i="30"/>
  <c r="Q29" i="31"/>
  <c r="K58" i="15"/>
  <c r="D22" i="30"/>
  <c r="U35" i="30"/>
  <c r="N35" i="30"/>
  <c r="G44" i="30"/>
  <c r="G127" i="15"/>
  <c r="K13" i="30"/>
  <c r="L108" i="15"/>
  <c r="E22" i="30"/>
  <c r="O98" i="15"/>
  <c r="Q68" i="15"/>
  <c r="T35" i="30"/>
  <c r="M35" i="30"/>
  <c r="P126" i="15"/>
  <c r="N12" i="30"/>
  <c r="F12" i="30"/>
  <c r="L10" i="15"/>
  <c r="Q10" i="31"/>
  <c r="P12" i="30"/>
  <c r="U126" i="15"/>
  <c r="M34" i="30"/>
  <c r="Q67" i="15"/>
  <c r="T34" i="30"/>
  <c r="Q28" i="31"/>
  <c r="F34" i="30"/>
  <c r="L28" i="15"/>
  <c r="L107" i="15"/>
  <c r="G126" i="15"/>
  <c r="K12" i="30"/>
  <c r="M98" i="15"/>
  <c r="Q48" i="15"/>
  <c r="V12" i="30"/>
  <c r="V48" i="31"/>
  <c r="L88" i="15"/>
  <c r="AA12" i="30"/>
  <c r="M33" i="30"/>
  <c r="Q66" i="15"/>
  <c r="T33" i="30"/>
  <c r="L11" i="30"/>
  <c r="K125" i="15"/>
  <c r="K117" i="15"/>
  <c r="U33" i="30"/>
  <c r="P77" i="15"/>
  <c r="P146" i="15" s="1"/>
  <c r="N33" i="30"/>
  <c r="D145" i="15"/>
  <c r="D136" i="15"/>
  <c r="L106" i="15"/>
  <c r="G125" i="15"/>
  <c r="G117" i="15"/>
  <c r="K11" i="30"/>
  <c r="P87" i="15"/>
  <c r="L27" i="15"/>
  <c r="L38" i="31"/>
  <c r="F33" i="30"/>
  <c r="Q27" i="31"/>
  <c r="T145" i="15"/>
  <c r="T136" i="15"/>
  <c r="H145" i="15"/>
  <c r="H136" i="15"/>
  <c r="F145" i="15"/>
  <c r="F136" i="15"/>
  <c r="N136" i="15"/>
  <c r="N145" i="15"/>
  <c r="U77" i="15"/>
  <c r="U146" i="15" s="1"/>
  <c r="W33" i="30"/>
  <c r="W44" i="30" s="1"/>
  <c r="F56" i="30" s="1"/>
  <c r="P33" i="30"/>
  <c r="P44" i="30" s="1"/>
  <c r="S136" i="15"/>
  <c r="S145" i="15"/>
  <c r="J145" i="15"/>
  <c r="J136" i="15"/>
  <c r="Y11" i="30"/>
  <c r="G87" i="15"/>
  <c r="G58" i="15"/>
  <c r="L20" i="31"/>
  <c r="F11" i="30"/>
  <c r="L9" i="15"/>
  <c r="Q9" i="31"/>
  <c r="Q47" i="31"/>
  <c r="T11" i="30"/>
  <c r="L47" i="15"/>
  <c r="M145" i="15"/>
  <c r="M136" i="15"/>
  <c r="R136" i="15"/>
  <c r="R145" i="15"/>
  <c r="P125" i="15"/>
  <c r="P117" i="15"/>
  <c r="N11" i="30"/>
  <c r="U58" i="15"/>
  <c r="U87" i="15"/>
  <c r="AD11" i="30"/>
  <c r="U125" i="15"/>
  <c r="U117" i="15"/>
  <c r="P11" i="30"/>
  <c r="AB75" i="40"/>
  <c r="AC75" i="40"/>
  <c r="AB11" i="37" l="1"/>
  <c r="D32" i="39" s="1"/>
  <c r="AA29" i="52"/>
  <c r="W29" i="42" s="1"/>
  <c r="L97" i="15"/>
  <c r="H84" i="40"/>
  <c r="U26" i="37"/>
  <c r="G29" i="39" s="1"/>
  <c r="BE29" i="39" s="1"/>
  <c r="V26" i="37"/>
  <c r="G28" i="39" s="1"/>
  <c r="G28" i="40" s="1"/>
  <c r="T26" i="37"/>
  <c r="G27" i="39" s="1"/>
  <c r="BE27" i="39" s="1"/>
  <c r="AS11" i="51"/>
  <c r="S12" i="33" s="1"/>
  <c r="M51" i="43" s="1"/>
  <c r="AA36" i="52"/>
  <c r="W36" i="42" s="1"/>
  <c r="G84" i="40"/>
  <c r="AA77" i="52"/>
  <c r="Y38" i="42" s="1"/>
  <c r="AA74" i="52"/>
  <c r="Y35" i="42" s="1"/>
  <c r="AA54" i="52"/>
  <c r="Y17" i="42" s="1"/>
  <c r="AA96" i="52"/>
  <c r="AA58" i="52"/>
  <c r="Y21" i="42" s="1"/>
  <c r="AA57" i="52"/>
  <c r="Y20" i="42" s="1"/>
  <c r="AA44" i="52"/>
  <c r="Y7" i="42" s="1"/>
  <c r="AA91" i="52"/>
  <c r="AA84" i="52"/>
  <c r="AA94" i="52"/>
  <c r="AA98" i="52"/>
  <c r="AA88" i="52"/>
  <c r="AA85" i="52"/>
  <c r="AA86" i="52"/>
  <c r="AA95" i="52"/>
  <c r="AA87" i="52"/>
  <c r="AA92" i="52"/>
  <c r="AA97" i="52"/>
  <c r="AA90" i="52"/>
  <c r="AA93" i="52"/>
  <c r="AA70" i="52"/>
  <c r="Y31" i="42" s="1"/>
  <c r="AA76" i="52"/>
  <c r="Y37" i="42" s="1"/>
  <c r="AA73" i="52"/>
  <c r="Y34" i="42" s="1"/>
  <c r="AA71" i="52"/>
  <c r="Y32" i="42" s="1"/>
  <c r="AA69" i="52"/>
  <c r="Y30" i="42" s="1"/>
  <c r="AA65" i="52"/>
  <c r="Y26" i="42" s="1"/>
  <c r="AA67" i="52"/>
  <c r="Y28" i="42" s="1"/>
  <c r="AA66" i="52"/>
  <c r="Y27" i="42" s="1"/>
  <c r="AA72" i="52"/>
  <c r="Y33" i="42" s="1"/>
  <c r="AA63" i="52"/>
  <c r="Y24" i="42" s="1"/>
  <c r="AA64" i="52"/>
  <c r="Y25" i="42" s="1"/>
  <c r="AA75" i="52"/>
  <c r="Y36" i="42" s="1"/>
  <c r="AA51" i="52"/>
  <c r="Y14" i="42" s="1"/>
  <c r="AA48" i="52"/>
  <c r="Y11" i="42" s="1"/>
  <c r="AA49" i="52"/>
  <c r="Y12" i="42" s="1"/>
  <c r="AA55" i="52"/>
  <c r="Y18" i="42" s="1"/>
  <c r="AA46" i="52"/>
  <c r="Y9" i="42" s="1"/>
  <c r="AA52" i="52"/>
  <c r="Y15" i="42" s="1"/>
  <c r="AA53" i="52"/>
  <c r="Y16" i="42" s="1"/>
  <c r="AA50" i="52"/>
  <c r="Y13" i="42" s="1"/>
  <c r="AA56" i="52"/>
  <c r="Y19" i="42" s="1"/>
  <c r="AP2" i="39"/>
  <c r="AP3" i="39" s="1"/>
  <c r="AT2" i="39"/>
  <c r="AT3" i="39" s="1"/>
  <c r="AF76" i="39"/>
  <c r="M76" i="39" s="1"/>
  <c r="M54" i="40" s="1"/>
  <c r="M525" i="44" s="1"/>
  <c r="X76" i="39"/>
  <c r="E76" i="39" s="1"/>
  <c r="E54" i="40" s="1"/>
  <c r="E57" i="53" s="1"/>
  <c r="AQ2" i="39"/>
  <c r="AQ3" i="39" s="1"/>
  <c r="AV2" i="39"/>
  <c r="AV3" i="39" s="1"/>
  <c r="AV15" i="39" s="1"/>
  <c r="W76" i="39"/>
  <c r="D76" i="39" s="1"/>
  <c r="D54" i="40" s="1"/>
  <c r="D57" i="53" s="1"/>
  <c r="AB76" i="39"/>
  <c r="I76" i="39" s="1"/>
  <c r="I54" i="40" s="1"/>
  <c r="S54" i="40" s="1"/>
  <c r="K57" i="53" s="1"/>
  <c r="AG76" i="39"/>
  <c r="N76" i="39" s="1"/>
  <c r="N54" i="40" s="1"/>
  <c r="AN2" i="39"/>
  <c r="AN3" i="39" s="1"/>
  <c r="AR2" i="39"/>
  <c r="AR3" i="39" s="1"/>
  <c r="AH76" i="39"/>
  <c r="O76" i="39" s="1"/>
  <c r="O54" i="40" s="1"/>
  <c r="Y76" i="39"/>
  <c r="F76" i="39" s="1"/>
  <c r="F54" i="40" s="1"/>
  <c r="AC76" i="39"/>
  <c r="J76" i="39" s="1"/>
  <c r="J54" i="40" s="1"/>
  <c r="J525" i="44" s="1"/>
  <c r="AU2" i="39"/>
  <c r="AU3" i="39" s="1"/>
  <c r="AU19" i="39" s="1"/>
  <c r="AO2" i="39"/>
  <c r="AO3" i="39" s="1"/>
  <c r="AS2" i="39"/>
  <c r="AS3" i="39" s="1"/>
  <c r="AS19" i="39" s="1"/>
  <c r="V31" i="33"/>
  <c r="Q18" i="51"/>
  <c r="Q14" i="51"/>
  <c r="K39" i="41"/>
  <c r="K80" i="33"/>
  <c r="AQ18" i="51"/>
  <c r="O19" i="33" s="1"/>
  <c r="U20" i="41"/>
  <c r="I82" i="33"/>
  <c r="N40" i="41"/>
  <c r="M63" i="40"/>
  <c r="R68" i="53" s="1"/>
  <c r="N81" i="33"/>
  <c r="W32" i="37"/>
  <c r="W33" i="37" s="1"/>
  <c r="H60" i="39" s="1"/>
  <c r="H60" i="40" s="1"/>
  <c r="I65" i="53" s="1"/>
  <c r="V31" i="37"/>
  <c r="H28" i="39" s="1"/>
  <c r="BF28" i="39" s="1"/>
  <c r="T32" i="41"/>
  <c r="G59" i="40"/>
  <c r="H64" i="53" s="1"/>
  <c r="N71" i="43"/>
  <c r="N588" i="44" s="1"/>
  <c r="G63" i="40"/>
  <c r="G596" i="44" s="1"/>
  <c r="J69" i="40"/>
  <c r="M74" i="53" s="1"/>
  <c r="Y22" i="30"/>
  <c r="E51" i="30" s="1"/>
  <c r="I11" i="41"/>
  <c r="N56" i="43"/>
  <c r="P14" i="41"/>
  <c r="F84" i="40"/>
  <c r="AC54" i="40"/>
  <c r="N20" i="42" s="1"/>
  <c r="G22" i="75" s="1"/>
  <c r="AA34" i="52"/>
  <c r="W34" i="42" s="1"/>
  <c r="AA19" i="52"/>
  <c r="W20" i="42" s="1"/>
  <c r="AA6" i="52"/>
  <c r="W7" i="42" s="1"/>
  <c r="K66" i="40"/>
  <c r="K617" i="44" s="1"/>
  <c r="AD46" i="37"/>
  <c r="K31" i="39" s="1"/>
  <c r="K31" i="40" s="1"/>
  <c r="W52" i="37"/>
  <c r="W53" i="37" s="1"/>
  <c r="L60" i="39" s="1"/>
  <c r="L60" i="40" s="1"/>
  <c r="O65" i="53" s="1"/>
  <c r="O67" i="43"/>
  <c r="T10" i="41"/>
  <c r="Q33" i="51"/>
  <c r="D8" i="38"/>
  <c r="E25" i="38" s="1"/>
  <c r="D4" i="37" s="1"/>
  <c r="D22" i="37" s="1"/>
  <c r="D23" i="37" s="1"/>
  <c r="F44" i="39" s="1"/>
  <c r="AA20" i="52"/>
  <c r="W21" i="42" s="1"/>
  <c r="G64" i="40"/>
  <c r="H69" i="53" s="1"/>
  <c r="U28" i="41"/>
  <c r="G67" i="40"/>
  <c r="G624" i="44" s="1"/>
  <c r="O66" i="40"/>
  <c r="O617" i="44" s="1"/>
  <c r="N64" i="40"/>
  <c r="N603" i="44" s="1"/>
  <c r="G65" i="40"/>
  <c r="H70" i="53" s="1"/>
  <c r="N68" i="40"/>
  <c r="S73" i="53" s="1"/>
  <c r="M68" i="40"/>
  <c r="R73" i="53" s="1"/>
  <c r="O63" i="40"/>
  <c r="T68" i="53" s="1"/>
  <c r="AP85" i="77"/>
  <c r="AP85" i="70" s="1"/>
  <c r="AP47" i="70"/>
  <c r="AA14" i="52"/>
  <c r="W15" i="42" s="1"/>
  <c r="AA15" i="52"/>
  <c r="W16" i="42" s="1"/>
  <c r="AA26" i="52"/>
  <c r="W26" i="42" s="1"/>
  <c r="N61" i="40"/>
  <c r="S66" i="53" s="1"/>
  <c r="O51" i="43"/>
  <c r="Q15" i="51"/>
  <c r="BI77" i="70"/>
  <c r="BI96" i="77"/>
  <c r="BI96" i="70" s="1"/>
  <c r="G98" i="15"/>
  <c r="M84" i="40"/>
  <c r="L32" i="33"/>
  <c r="L73" i="33" s="1"/>
  <c r="L73" i="41" s="1"/>
  <c r="D17" i="38"/>
  <c r="Q25" i="38" s="1"/>
  <c r="P4" i="37" s="1"/>
  <c r="P47" i="37" s="1"/>
  <c r="P48" i="37" s="1"/>
  <c r="K53" i="39" s="1"/>
  <c r="K53" i="40" s="1"/>
  <c r="N56" i="53" s="1"/>
  <c r="Z22" i="30"/>
  <c r="E52" i="30" s="1"/>
  <c r="AA10" i="52"/>
  <c r="W11" i="42" s="1"/>
  <c r="K64" i="40"/>
  <c r="N69" i="53" s="1"/>
  <c r="J64" i="40"/>
  <c r="M69" i="53" s="1"/>
  <c r="J63" i="40"/>
  <c r="M68" i="53" s="1"/>
  <c r="I41" i="41"/>
  <c r="D6" i="38"/>
  <c r="K25" i="38" s="1"/>
  <c r="J4" i="37" s="1"/>
  <c r="J32" i="37" s="1"/>
  <c r="J33" i="37" s="1"/>
  <c r="H42" i="39" s="1"/>
  <c r="H42" i="40" s="1"/>
  <c r="I45" i="53" s="1"/>
  <c r="J66" i="40"/>
  <c r="M71" i="53" s="1"/>
  <c r="AA24" i="52"/>
  <c r="W24" i="42" s="1"/>
  <c r="J71" i="40"/>
  <c r="M76" i="53" s="1"/>
  <c r="L33" i="33"/>
  <c r="L74" i="33" s="1"/>
  <c r="L74" i="41" s="1"/>
  <c r="AA37" i="52"/>
  <c r="W37" i="42" s="1"/>
  <c r="G70" i="40"/>
  <c r="G645" i="44" s="1"/>
  <c r="G71" i="40"/>
  <c r="G659" i="44" s="1"/>
  <c r="K62" i="40"/>
  <c r="K589" i="44" s="1"/>
  <c r="L16" i="33"/>
  <c r="F37" i="41"/>
  <c r="N32" i="41"/>
  <c r="F78" i="33"/>
  <c r="E35" i="43" s="1"/>
  <c r="E292" i="44" s="1"/>
  <c r="U15" i="41"/>
  <c r="D9" i="38"/>
  <c r="F25" i="38" s="1"/>
  <c r="E4" i="37" s="1"/>
  <c r="E47" i="37" s="1"/>
  <c r="E48" i="37" s="1"/>
  <c r="K45" i="39" s="1"/>
  <c r="K45" i="40" s="1"/>
  <c r="K399" i="44" s="1"/>
  <c r="I68" i="43"/>
  <c r="I546" i="44" s="1"/>
  <c r="AA17" i="52"/>
  <c r="W18" i="42" s="1"/>
  <c r="AA28" i="52"/>
  <c r="W28" i="42" s="1"/>
  <c r="AA30" i="52"/>
  <c r="W30" i="42" s="1"/>
  <c r="AA27" i="52"/>
  <c r="W27" i="42" s="1"/>
  <c r="O28" i="41"/>
  <c r="F16" i="41"/>
  <c r="J71" i="43"/>
  <c r="J588" i="44" s="1"/>
  <c r="F83" i="40"/>
  <c r="Q40" i="33"/>
  <c r="I28" i="41"/>
  <c r="S12" i="41"/>
  <c r="D18" i="38"/>
  <c r="R25" i="38" s="1"/>
  <c r="Q4" i="37" s="1"/>
  <c r="F36" i="41"/>
  <c r="O69" i="33"/>
  <c r="K26" i="43" s="1"/>
  <c r="K201" i="44" s="1"/>
  <c r="Q35" i="51"/>
  <c r="U30" i="41"/>
  <c r="I69" i="33"/>
  <c r="G26" i="43" s="1"/>
  <c r="G201" i="44" s="1"/>
  <c r="K44" i="30"/>
  <c r="F77" i="33"/>
  <c r="F77" i="41" s="1"/>
  <c r="D7" i="38"/>
  <c r="I25" i="38" s="1"/>
  <c r="H4" i="37" s="1"/>
  <c r="P20" i="41"/>
  <c r="U71" i="33"/>
  <c r="F42" i="33"/>
  <c r="F42" i="41" s="1"/>
  <c r="AA11" i="52"/>
  <c r="W12" i="42" s="1"/>
  <c r="AA12" i="52"/>
  <c r="W13" i="42" s="1"/>
  <c r="E65" i="40"/>
  <c r="E70" i="53" s="1"/>
  <c r="AN19" i="39"/>
  <c r="Q29" i="33"/>
  <c r="AA31" i="52"/>
  <c r="W31" i="42" s="1"/>
  <c r="AA25" i="52"/>
  <c r="W25" i="42" s="1"/>
  <c r="D14" i="38"/>
  <c r="N25" i="38" s="1"/>
  <c r="M4" i="37" s="1"/>
  <c r="M62" i="37" s="1"/>
  <c r="M63" i="37" s="1"/>
  <c r="N50" i="39" s="1"/>
  <c r="N50" i="40" s="1"/>
  <c r="N469" i="44" s="1"/>
  <c r="K76" i="33"/>
  <c r="K76" i="41" s="1"/>
  <c r="B11" i="51"/>
  <c r="B12" i="33" s="1"/>
  <c r="S53" i="33" s="1"/>
  <c r="M10" i="43" s="1"/>
  <c r="M60" i="44" s="1"/>
  <c r="O83" i="40"/>
  <c r="O85" i="40" s="1"/>
  <c r="M83" i="40"/>
  <c r="AP77" i="70"/>
  <c r="AP96" i="77"/>
  <c r="AP96" i="70" s="1"/>
  <c r="H62" i="40"/>
  <c r="I67" i="53" s="1"/>
  <c r="AA35" i="52"/>
  <c r="W35" i="42" s="1"/>
  <c r="N59" i="40"/>
  <c r="N547" i="44" s="1"/>
  <c r="G58" i="40"/>
  <c r="H63" i="53" s="1"/>
  <c r="H69" i="40"/>
  <c r="I74" i="53" s="1"/>
  <c r="L67" i="40"/>
  <c r="O72" i="53" s="1"/>
  <c r="L66" i="40"/>
  <c r="O71" i="53" s="1"/>
  <c r="H63" i="40"/>
  <c r="I68" i="53" s="1"/>
  <c r="K61" i="40"/>
  <c r="N66" i="53" s="1"/>
  <c r="H59" i="40"/>
  <c r="I64" i="53" s="1"/>
  <c r="I60" i="40"/>
  <c r="I561" i="44" s="1"/>
  <c r="K63" i="40"/>
  <c r="K596" i="44" s="1"/>
  <c r="K42" i="33"/>
  <c r="K42" i="41" s="1"/>
  <c r="U42" i="33"/>
  <c r="U42" i="41" s="1"/>
  <c r="D83" i="40"/>
  <c r="D15" i="38"/>
  <c r="L25" i="38" s="1"/>
  <c r="K4" i="37" s="1"/>
  <c r="D12" i="38"/>
  <c r="O25" i="38" s="1"/>
  <c r="N4" i="37" s="1"/>
  <c r="D11" i="38"/>
  <c r="G25" i="38" s="1"/>
  <c r="F4" i="37" s="1"/>
  <c r="AA38" i="52"/>
  <c r="W38" i="42" s="1"/>
  <c r="AA33" i="52"/>
  <c r="W33" i="42" s="1"/>
  <c r="G69" i="40"/>
  <c r="H74" i="53" s="1"/>
  <c r="L65" i="40"/>
  <c r="O70" i="53" s="1"/>
  <c r="L59" i="40"/>
  <c r="L547" i="44" s="1"/>
  <c r="K68" i="40"/>
  <c r="N73" i="53" s="1"/>
  <c r="H68" i="40"/>
  <c r="I73" i="53" s="1"/>
  <c r="J59" i="40"/>
  <c r="J547" i="44" s="1"/>
  <c r="N65" i="40"/>
  <c r="S70" i="53" s="1"/>
  <c r="G66" i="40"/>
  <c r="H71" i="53" s="1"/>
  <c r="B7" i="51"/>
  <c r="B8" i="33" s="1"/>
  <c r="G49" i="33" s="1"/>
  <c r="G49" i="41" s="1"/>
  <c r="Q12" i="33"/>
  <c r="E83" i="40"/>
  <c r="D13" i="38"/>
  <c r="P25" i="38" s="1"/>
  <c r="O4" i="37" s="1"/>
  <c r="D16" i="38"/>
  <c r="M25" i="38" s="1"/>
  <c r="L4" i="37" s="1"/>
  <c r="J68" i="43"/>
  <c r="J546" i="44" s="1"/>
  <c r="G83" i="40"/>
  <c r="N70" i="33"/>
  <c r="AP80" i="77"/>
  <c r="AP80" i="70" s="1"/>
  <c r="AK80" i="70"/>
  <c r="L68" i="40"/>
  <c r="O73" i="53" s="1"/>
  <c r="L71" i="40"/>
  <c r="L659" i="44" s="1"/>
  <c r="AA32" i="52"/>
  <c r="W32" i="42" s="1"/>
  <c r="AA8" i="52"/>
  <c r="W9" i="42" s="1"/>
  <c r="K70" i="40"/>
  <c r="N75" i="53" s="1"/>
  <c r="K60" i="40"/>
  <c r="N65" i="53" s="1"/>
  <c r="N66" i="40"/>
  <c r="S71" i="53" s="1"/>
  <c r="N69" i="40"/>
  <c r="N638" i="44" s="1"/>
  <c r="L69" i="40"/>
  <c r="O74" i="53" s="1"/>
  <c r="H67" i="40"/>
  <c r="I72" i="53" s="1"/>
  <c r="N63" i="40"/>
  <c r="S68" i="53" s="1"/>
  <c r="N70" i="40"/>
  <c r="S75" i="53" s="1"/>
  <c r="G62" i="40"/>
  <c r="L58" i="40"/>
  <c r="O63" i="53" s="1"/>
  <c r="L13" i="33"/>
  <c r="P34" i="41"/>
  <c r="V28" i="33"/>
  <c r="V69" i="33" s="1"/>
  <c r="B12" i="51"/>
  <c r="B13" i="33" s="1"/>
  <c r="G54" i="33" s="1"/>
  <c r="F11" i="43" s="1"/>
  <c r="F74" i="44" s="1"/>
  <c r="B14" i="51"/>
  <c r="B15" i="33" s="1"/>
  <c r="F56" i="33" s="1"/>
  <c r="E13" i="43" s="1"/>
  <c r="E102" i="44" s="1"/>
  <c r="H83" i="40"/>
  <c r="I83" i="40"/>
  <c r="I85" i="40" s="1"/>
  <c r="D10" i="38"/>
  <c r="H25" i="38" s="1"/>
  <c r="G4" i="37" s="1"/>
  <c r="L44" i="30"/>
  <c r="K85" i="40"/>
  <c r="L61" i="40"/>
  <c r="O66" i="53" s="1"/>
  <c r="G60" i="40"/>
  <c r="H65" i="53" s="1"/>
  <c r="L62" i="40"/>
  <c r="L589" i="44" s="1"/>
  <c r="G68" i="40"/>
  <c r="G631" i="44" s="1"/>
  <c r="K69" i="40"/>
  <c r="N74" i="53" s="1"/>
  <c r="D61" i="40"/>
  <c r="K67" i="40"/>
  <c r="N72" i="53" s="1"/>
  <c r="P75" i="33"/>
  <c r="P75" i="41" s="1"/>
  <c r="M67" i="43"/>
  <c r="M532" i="44" s="1"/>
  <c r="K35" i="41"/>
  <c r="P19" i="41"/>
  <c r="L83" i="40"/>
  <c r="L85" i="40" s="1"/>
  <c r="J83" i="40"/>
  <c r="J85" i="40" s="1"/>
  <c r="K18" i="41"/>
  <c r="BI72" i="70"/>
  <c r="BI91" i="77"/>
  <c r="BI91" i="70" s="1"/>
  <c r="BI67" i="70"/>
  <c r="BI86" i="77"/>
  <c r="BI86" i="70" s="1"/>
  <c r="K58" i="40"/>
  <c r="N63" i="53" s="1"/>
  <c r="L77" i="15"/>
  <c r="L146" i="15" s="1"/>
  <c r="AA18" i="52"/>
  <c r="W19" i="42" s="1"/>
  <c r="K71" i="40"/>
  <c r="N76" i="53" s="1"/>
  <c r="G61" i="40"/>
  <c r="H66" i="53" s="1"/>
  <c r="L64" i="40"/>
  <c r="O69" i="53" s="1"/>
  <c r="K59" i="40"/>
  <c r="N64" i="53" s="1"/>
  <c r="L63" i="40"/>
  <c r="L596" i="44" s="1"/>
  <c r="I63" i="40"/>
  <c r="K65" i="40"/>
  <c r="N70" i="53" s="1"/>
  <c r="H58" i="40"/>
  <c r="N83" i="40"/>
  <c r="N85" i="40" s="1"/>
  <c r="D5" i="38"/>
  <c r="J25" i="38" s="1"/>
  <c r="I4" i="37" s="1"/>
  <c r="E84" i="40"/>
  <c r="S53" i="41"/>
  <c r="V78" i="33"/>
  <c r="V78" i="41" s="1"/>
  <c r="V37" i="41"/>
  <c r="H19" i="64"/>
  <c r="I19" i="64"/>
  <c r="L15" i="41"/>
  <c r="L71" i="33"/>
  <c r="L71" i="41" s="1"/>
  <c r="L30" i="41"/>
  <c r="F384" i="44"/>
  <c r="F92" i="43"/>
  <c r="J73" i="43"/>
  <c r="J602" i="44" s="1"/>
  <c r="N75" i="33"/>
  <c r="Q34" i="33"/>
  <c r="N34" i="41"/>
  <c r="N30" i="43"/>
  <c r="N257" i="44" s="1"/>
  <c r="T73" i="41"/>
  <c r="G384" i="44"/>
  <c r="N468" i="44"/>
  <c r="M61" i="40"/>
  <c r="R66" i="53" s="1"/>
  <c r="M71" i="40"/>
  <c r="M659" i="44" s="1"/>
  <c r="D66" i="40"/>
  <c r="D71" i="53" s="1"/>
  <c r="N58" i="40"/>
  <c r="S63" i="53" s="1"/>
  <c r="H525" i="44"/>
  <c r="I57" i="53"/>
  <c r="D74" i="43"/>
  <c r="D609" i="44" s="1"/>
  <c r="E76" i="33"/>
  <c r="H35" i="33"/>
  <c r="E35" i="41"/>
  <c r="D77" i="43"/>
  <c r="D630" i="44" s="1"/>
  <c r="E79" i="33"/>
  <c r="H38" i="33"/>
  <c r="E38" i="41"/>
  <c r="N60" i="43"/>
  <c r="T62" i="33"/>
  <c r="T21" i="41"/>
  <c r="O77" i="43"/>
  <c r="O630" i="44" s="1"/>
  <c r="U79" i="33"/>
  <c r="U38" i="41"/>
  <c r="W26" i="65"/>
  <c r="AG26" i="40"/>
  <c r="R27" i="42" s="1"/>
  <c r="W11" i="65"/>
  <c r="AG12" i="40"/>
  <c r="R13" i="42" s="1"/>
  <c r="B17" i="51"/>
  <c r="B18" i="33" s="1"/>
  <c r="S59" i="33" s="1"/>
  <c r="M79" i="43"/>
  <c r="M644" i="44" s="1"/>
  <c r="V40" i="33"/>
  <c r="S81" i="33"/>
  <c r="S40" i="41"/>
  <c r="H76" i="43"/>
  <c r="H623" i="44" s="1"/>
  <c r="J78" i="33"/>
  <c r="J37" i="41"/>
  <c r="I10" i="64"/>
  <c r="H10" i="64"/>
  <c r="H27" i="64"/>
  <c r="I27" i="64"/>
  <c r="Q15" i="41"/>
  <c r="J53" i="43"/>
  <c r="Q14" i="33"/>
  <c r="N14" i="41"/>
  <c r="F72" i="43"/>
  <c r="F595" i="44" s="1"/>
  <c r="G74" i="33"/>
  <c r="H33" i="33"/>
  <c r="G33" i="41"/>
  <c r="M48" i="43"/>
  <c r="V9" i="33"/>
  <c r="S9" i="41"/>
  <c r="D49" i="43"/>
  <c r="H10" i="33"/>
  <c r="E10" i="41"/>
  <c r="N73" i="43"/>
  <c r="N602" i="44" s="1"/>
  <c r="T75" i="33"/>
  <c r="T34" i="41"/>
  <c r="E100" i="43"/>
  <c r="E496" i="44"/>
  <c r="I80" i="43"/>
  <c r="I658" i="44" s="1"/>
  <c r="K82" i="33"/>
  <c r="K41" i="41"/>
  <c r="L56" i="43"/>
  <c r="P17" i="41"/>
  <c r="F426" i="44"/>
  <c r="F95" i="43"/>
  <c r="G76" i="43"/>
  <c r="G623" i="44" s="1"/>
  <c r="I78" i="33"/>
  <c r="L37" i="33"/>
  <c r="I37" i="41"/>
  <c r="M53" i="43"/>
  <c r="V14" i="33"/>
  <c r="S14" i="41"/>
  <c r="E56" i="43"/>
  <c r="F17" i="41"/>
  <c r="O26" i="43"/>
  <c r="O201" i="44" s="1"/>
  <c r="U69" i="41"/>
  <c r="K75" i="43"/>
  <c r="K616" i="44" s="1"/>
  <c r="O77" i="33"/>
  <c r="O36" i="41"/>
  <c r="K532" i="44"/>
  <c r="I52" i="43"/>
  <c r="K13" i="41"/>
  <c r="H71" i="43"/>
  <c r="H588" i="44" s="1"/>
  <c r="J73" i="33"/>
  <c r="J32" i="41"/>
  <c r="K56" i="43"/>
  <c r="O17" i="41"/>
  <c r="L76" i="43"/>
  <c r="L623" i="44" s="1"/>
  <c r="Q37" i="33"/>
  <c r="P78" i="33"/>
  <c r="P37" i="41"/>
  <c r="D75" i="43"/>
  <c r="D616" i="44" s="1"/>
  <c r="E77" i="33"/>
  <c r="H36" i="33"/>
  <c r="E36" i="41"/>
  <c r="G532" i="44"/>
  <c r="M62" i="40"/>
  <c r="R67" i="53" s="1"/>
  <c r="H73" i="43"/>
  <c r="H602" i="44" s="1"/>
  <c r="J75" i="33"/>
  <c r="J34" i="41"/>
  <c r="D59" i="43"/>
  <c r="H20" i="33"/>
  <c r="E20" i="41"/>
  <c r="E60" i="43"/>
  <c r="F62" i="33"/>
  <c r="F21" i="41"/>
  <c r="AA21" i="41" s="1"/>
  <c r="F22" i="75" s="1"/>
  <c r="N54" i="43"/>
  <c r="T15" i="41"/>
  <c r="E454" i="44"/>
  <c r="E97" i="43"/>
  <c r="W14" i="65"/>
  <c r="AG15" i="40"/>
  <c r="R16" i="42" s="1"/>
  <c r="U38" i="42"/>
  <c r="W15" i="65"/>
  <c r="AG16" i="40"/>
  <c r="R17" i="42" s="1"/>
  <c r="W29" i="65"/>
  <c r="AG29" i="40"/>
  <c r="R30" i="42" s="1"/>
  <c r="B13" i="51"/>
  <c r="B14" i="33" s="1"/>
  <c r="S55" i="33" s="1"/>
  <c r="H80" i="43"/>
  <c r="H658" i="44" s="1"/>
  <c r="J82" i="33"/>
  <c r="J41" i="41"/>
  <c r="I18" i="64"/>
  <c r="H18" i="64"/>
  <c r="H35" i="64"/>
  <c r="I35" i="64"/>
  <c r="G30" i="43"/>
  <c r="G257" i="44" s="1"/>
  <c r="I73" i="41"/>
  <c r="J56" i="43"/>
  <c r="Q17" i="33"/>
  <c r="N17" i="41"/>
  <c r="F55" i="43"/>
  <c r="G16" i="41"/>
  <c r="AA16" i="41" s="1"/>
  <c r="G17" i="54" s="1"/>
  <c r="O72" i="43"/>
  <c r="O595" i="44" s="1"/>
  <c r="U74" i="33"/>
  <c r="U33" i="41"/>
  <c r="V7" i="65"/>
  <c r="V10" i="65"/>
  <c r="V6" i="65"/>
  <c r="H56" i="43"/>
  <c r="J17" i="41"/>
  <c r="N51" i="43"/>
  <c r="T53" i="33"/>
  <c r="T12" i="41"/>
  <c r="J52" i="43"/>
  <c r="Q13" i="33"/>
  <c r="N13" i="41"/>
  <c r="G28" i="43"/>
  <c r="G229" i="44" s="1"/>
  <c r="I71" i="41"/>
  <c r="O510" i="44"/>
  <c r="K74" i="43"/>
  <c r="K609" i="44" s="1"/>
  <c r="O76" i="33"/>
  <c r="O35" i="41"/>
  <c r="M60" i="43"/>
  <c r="S62" i="33"/>
  <c r="V21" i="33"/>
  <c r="S21" i="41"/>
  <c r="O68" i="43"/>
  <c r="O546" i="44" s="1"/>
  <c r="U70" i="33"/>
  <c r="U29" i="41"/>
  <c r="N370" i="44"/>
  <c r="E37" i="43"/>
  <c r="E306" i="44" s="1"/>
  <c r="F80" i="41"/>
  <c r="O440" i="44"/>
  <c r="N77" i="33"/>
  <c r="Q36" i="33"/>
  <c r="J75" i="43"/>
  <c r="J616" i="44" s="1"/>
  <c r="N36" i="41"/>
  <c r="O532" i="44"/>
  <c r="AB22" i="30"/>
  <c r="E54" i="30" s="1"/>
  <c r="E70" i="40"/>
  <c r="E75" i="53" s="1"/>
  <c r="L70" i="40"/>
  <c r="N71" i="40"/>
  <c r="S76" i="53" s="1"/>
  <c r="O59" i="40"/>
  <c r="I525" i="44"/>
  <c r="N74" i="43"/>
  <c r="N609" i="44" s="1"/>
  <c r="T76" i="33"/>
  <c r="T35" i="41"/>
  <c r="L10" i="41"/>
  <c r="K440" i="44"/>
  <c r="V41" i="33"/>
  <c r="S82" i="33"/>
  <c r="M80" i="43"/>
  <c r="M658" i="44" s="1"/>
  <c r="S41" i="41"/>
  <c r="F370" i="44"/>
  <c r="F91" i="43"/>
  <c r="J70" i="43"/>
  <c r="J574" i="44" s="1"/>
  <c r="N72" i="33"/>
  <c r="Q31" i="33"/>
  <c r="N31" i="41"/>
  <c r="L51" i="43"/>
  <c r="P53" i="33"/>
  <c r="P12" i="41"/>
  <c r="W24" i="65"/>
  <c r="AG24" i="40"/>
  <c r="R25" i="42" s="1"/>
  <c r="W7" i="65"/>
  <c r="AG8" i="40"/>
  <c r="R9" i="42" s="1"/>
  <c r="AG33" i="40"/>
  <c r="R34" i="42" s="1"/>
  <c r="W33" i="65"/>
  <c r="I28" i="43"/>
  <c r="I229" i="44" s="1"/>
  <c r="K71" i="41"/>
  <c r="B8" i="51"/>
  <c r="B9" i="33" s="1"/>
  <c r="F50" i="33" s="1"/>
  <c r="L62" i="33"/>
  <c r="L62" i="41" s="1"/>
  <c r="L21" i="41"/>
  <c r="O32" i="43"/>
  <c r="O271" i="44" s="1"/>
  <c r="U75" i="41"/>
  <c r="H30" i="64"/>
  <c r="I30" i="64"/>
  <c r="J440" i="44"/>
  <c r="F38" i="43"/>
  <c r="F313" i="44" s="1"/>
  <c r="G81" i="41"/>
  <c r="O49" i="43"/>
  <c r="U10" i="41"/>
  <c r="V25" i="65"/>
  <c r="V28" i="65"/>
  <c r="V24" i="65"/>
  <c r="H59" i="43"/>
  <c r="J20" i="41"/>
  <c r="L78" i="43"/>
  <c r="L637" i="44" s="1"/>
  <c r="P80" i="33"/>
  <c r="Q39" i="33"/>
  <c r="P39" i="41"/>
  <c r="D56" i="43"/>
  <c r="H17" i="33"/>
  <c r="E17" i="41"/>
  <c r="F29" i="43"/>
  <c r="F243" i="44" s="1"/>
  <c r="G72" i="41"/>
  <c r="I72" i="43"/>
  <c r="I595" i="44" s="1"/>
  <c r="K74" i="33"/>
  <c r="K33" i="41"/>
  <c r="K48" i="43"/>
  <c r="O9" i="41"/>
  <c r="M47" i="43"/>
  <c r="S22" i="33"/>
  <c r="S8" i="41"/>
  <c r="V8" i="33"/>
  <c r="H47" i="43"/>
  <c r="J22" i="33"/>
  <c r="J22" i="41" s="1"/>
  <c r="J8" i="41"/>
  <c r="O47" i="43"/>
  <c r="U22" i="33"/>
  <c r="U22" i="41" s="1"/>
  <c r="U8" i="41"/>
  <c r="AP88" i="77"/>
  <c r="AP88" i="70" s="1"/>
  <c r="AP50" i="70"/>
  <c r="N67" i="40"/>
  <c r="N624" i="44" s="1"/>
  <c r="N48" i="43"/>
  <c r="T9" i="41"/>
  <c r="D54" i="43"/>
  <c r="H15" i="33"/>
  <c r="E15" i="41"/>
  <c r="H70" i="43"/>
  <c r="H574" i="44" s="1"/>
  <c r="J72" i="33"/>
  <c r="J31" i="41"/>
  <c r="H77" i="43"/>
  <c r="H630" i="44" s="1"/>
  <c r="J79" i="33"/>
  <c r="J38" i="41"/>
  <c r="J59" i="43"/>
  <c r="Q20" i="33"/>
  <c r="N20" i="41"/>
  <c r="K59" i="43"/>
  <c r="O20" i="41"/>
  <c r="W6" i="65"/>
  <c r="AG7" i="40"/>
  <c r="R8" i="42" s="1"/>
  <c r="AG25" i="40"/>
  <c r="R26" i="42" s="1"/>
  <c r="W25" i="65"/>
  <c r="B19" i="51"/>
  <c r="B20" i="33" s="1"/>
  <c r="S61" i="33" s="1"/>
  <c r="G19" i="43"/>
  <c r="G193" i="44" s="1"/>
  <c r="I62" i="41"/>
  <c r="I38" i="64"/>
  <c r="H38" i="64"/>
  <c r="N34" i="43"/>
  <c r="N285" i="44" s="1"/>
  <c r="T77" i="41"/>
  <c r="M35" i="43"/>
  <c r="M292" i="44" s="1"/>
  <c r="S78" i="41"/>
  <c r="D68" i="43"/>
  <c r="D546" i="44" s="1"/>
  <c r="E70" i="33"/>
  <c r="H29" i="33"/>
  <c r="E29" i="41"/>
  <c r="H60" i="43"/>
  <c r="J62" i="33"/>
  <c r="J21" i="41"/>
  <c r="G440" i="44"/>
  <c r="T82" i="33"/>
  <c r="N80" i="43"/>
  <c r="N658" i="44" s="1"/>
  <c r="T41" i="41"/>
  <c r="BI80" i="77"/>
  <c r="BI80" i="70" s="1"/>
  <c r="BI66" i="70"/>
  <c r="BI85" i="77"/>
  <c r="L57" i="43"/>
  <c r="P18" i="41"/>
  <c r="I50" i="43"/>
  <c r="K11" i="41"/>
  <c r="G75" i="43"/>
  <c r="G616" i="44" s="1"/>
  <c r="I77" i="33"/>
  <c r="L36" i="33"/>
  <c r="I36" i="41"/>
  <c r="O76" i="43"/>
  <c r="O623" i="44" s="1"/>
  <c r="U78" i="33"/>
  <c r="U37" i="41"/>
  <c r="E49" i="43"/>
  <c r="F10" i="41"/>
  <c r="L75" i="43"/>
  <c r="L616" i="44" s="1"/>
  <c r="P77" i="33"/>
  <c r="P36" i="41"/>
  <c r="L426" i="44"/>
  <c r="L95" i="43"/>
  <c r="O19" i="43"/>
  <c r="O193" i="44" s="1"/>
  <c r="U62" i="41"/>
  <c r="O80" i="43"/>
  <c r="O658" i="44" s="1"/>
  <c r="U82" i="33"/>
  <c r="U41" i="41"/>
  <c r="L52" i="43"/>
  <c r="P13" i="41"/>
  <c r="W32" i="65"/>
  <c r="AG32" i="40"/>
  <c r="R33" i="42" s="1"/>
  <c r="W10" i="65"/>
  <c r="AG11" i="40"/>
  <c r="R12" i="42" s="1"/>
  <c r="G524" i="44"/>
  <c r="G102" i="43"/>
  <c r="O50" i="43"/>
  <c r="U11" i="41"/>
  <c r="I9" i="64"/>
  <c r="H9" i="64"/>
  <c r="H11" i="64"/>
  <c r="I11" i="64"/>
  <c r="L16" i="41"/>
  <c r="H68" i="43"/>
  <c r="H546" i="44" s="1"/>
  <c r="J70" i="33"/>
  <c r="J29" i="41"/>
  <c r="H79" i="43"/>
  <c r="H644" i="44" s="1"/>
  <c r="J81" i="33"/>
  <c r="J40" i="41"/>
  <c r="V5" i="65"/>
  <c r="N52" i="43"/>
  <c r="T13" i="41"/>
  <c r="K71" i="43"/>
  <c r="K588" i="44" s="1"/>
  <c r="O73" i="33"/>
  <c r="O32" i="41"/>
  <c r="G58" i="43"/>
  <c r="L19" i="33"/>
  <c r="I19" i="41"/>
  <c r="F76" i="43"/>
  <c r="F623" i="44" s="1"/>
  <c r="G78" i="33"/>
  <c r="G37" i="41"/>
  <c r="G51" i="43"/>
  <c r="I53" i="33"/>
  <c r="L12" i="33"/>
  <c r="I12" i="41"/>
  <c r="O55" i="43"/>
  <c r="U16" i="41"/>
  <c r="AK99" i="77"/>
  <c r="AK99" i="70" s="1"/>
  <c r="AK61" i="70"/>
  <c r="AP61" i="77"/>
  <c r="F78" i="41"/>
  <c r="L55" i="43"/>
  <c r="P16" i="41"/>
  <c r="O524" i="44"/>
  <c r="W30" i="65"/>
  <c r="AG30" i="40"/>
  <c r="R31" i="42" s="1"/>
  <c r="I32" i="43"/>
  <c r="I271" i="44" s="1"/>
  <c r="K75" i="41"/>
  <c r="S74" i="33"/>
  <c r="V33" i="33"/>
  <c r="M72" i="43"/>
  <c r="M595" i="44" s="1"/>
  <c r="S33" i="41"/>
  <c r="G370" i="44"/>
  <c r="G91" i="43"/>
  <c r="V20" i="33"/>
  <c r="M59" i="43"/>
  <c r="S20" i="41"/>
  <c r="H72" i="43"/>
  <c r="H595" i="44" s="1"/>
  <c r="J74" i="33"/>
  <c r="J33" i="41"/>
  <c r="G27" i="43"/>
  <c r="G215" i="44" s="1"/>
  <c r="I70" i="41"/>
  <c r="H58" i="43"/>
  <c r="J19" i="41"/>
  <c r="K53" i="43"/>
  <c r="O14" i="41"/>
  <c r="J55" i="43"/>
  <c r="Q16" i="33"/>
  <c r="N16" i="41"/>
  <c r="I54" i="43"/>
  <c r="K15" i="41"/>
  <c r="J62" i="40"/>
  <c r="M67" i="53" s="1"/>
  <c r="H70" i="40"/>
  <c r="H645" i="44" s="1"/>
  <c r="P49" i="33"/>
  <c r="L47" i="43"/>
  <c r="P22" i="33"/>
  <c r="P22" i="41" s="1"/>
  <c r="P8" i="41"/>
  <c r="O53" i="43"/>
  <c r="U14" i="41"/>
  <c r="M50" i="43"/>
  <c r="V11" i="33"/>
  <c r="S11" i="41"/>
  <c r="N76" i="43"/>
  <c r="N623" i="44" s="1"/>
  <c r="T78" i="33"/>
  <c r="T37" i="41"/>
  <c r="L29" i="33"/>
  <c r="N68" i="43"/>
  <c r="N546" i="44" s="1"/>
  <c r="T70" i="33"/>
  <c r="T29" i="41"/>
  <c r="D58" i="43"/>
  <c r="H19" i="33"/>
  <c r="E19" i="41"/>
  <c r="J57" i="43"/>
  <c r="Q18" i="33"/>
  <c r="N18" i="41"/>
  <c r="W28" i="65"/>
  <c r="AG28" i="40"/>
  <c r="R29" i="42" s="1"/>
  <c r="B9" i="51"/>
  <c r="B10" i="33" s="1"/>
  <c r="K51" i="33" s="1"/>
  <c r="H12" i="64"/>
  <c r="I12" i="64"/>
  <c r="Q32" i="33"/>
  <c r="F19" i="43"/>
  <c r="F193" i="44" s="1"/>
  <c r="G62" i="41"/>
  <c r="H50" i="43"/>
  <c r="J11" i="41"/>
  <c r="D79" i="43"/>
  <c r="D644" i="44" s="1"/>
  <c r="H40" i="33"/>
  <c r="E81" i="33"/>
  <c r="E40" i="41"/>
  <c r="E28" i="43"/>
  <c r="E229" i="44" s="1"/>
  <c r="F71" i="41"/>
  <c r="V14" i="65"/>
  <c r="V23" i="65"/>
  <c r="I26" i="43"/>
  <c r="I201" i="44" s="1"/>
  <c r="K69" i="41"/>
  <c r="L71" i="43"/>
  <c r="L588" i="44" s="1"/>
  <c r="P73" i="33"/>
  <c r="P32" i="41"/>
  <c r="M69" i="43"/>
  <c r="M560" i="44" s="1"/>
  <c r="V30" i="33"/>
  <c r="S71" i="33"/>
  <c r="S30" i="41"/>
  <c r="F33" i="43"/>
  <c r="F278" i="44" s="1"/>
  <c r="G76" i="41"/>
  <c r="I468" i="44"/>
  <c r="I98" i="43"/>
  <c r="L27" i="43"/>
  <c r="L215" i="44" s="1"/>
  <c r="P70" i="41"/>
  <c r="K55" i="43"/>
  <c r="O16" i="41"/>
  <c r="J398" i="44"/>
  <c r="J93" i="43"/>
  <c r="I37" i="43"/>
  <c r="I306" i="44" s="1"/>
  <c r="K80" i="41"/>
  <c r="J65" i="40"/>
  <c r="M70" i="53" s="1"/>
  <c r="H64" i="40"/>
  <c r="H603" i="44" s="1"/>
  <c r="J58" i="40"/>
  <c r="J61" i="40"/>
  <c r="M66" i="53" s="1"/>
  <c r="K525" i="44"/>
  <c r="N57" i="53"/>
  <c r="K47" i="43"/>
  <c r="O49" i="33"/>
  <c r="O22" i="33"/>
  <c r="O22" i="41" s="1"/>
  <c r="O8" i="41"/>
  <c r="I55" i="43"/>
  <c r="K16" i="41"/>
  <c r="E34" i="43"/>
  <c r="E285" i="44" s="1"/>
  <c r="O52" i="43"/>
  <c r="U13" i="41"/>
  <c r="S42" i="33"/>
  <c r="T22" i="33"/>
  <c r="T22" i="41" s="1"/>
  <c r="N47" i="43"/>
  <c r="T49" i="33"/>
  <c r="T8" i="41"/>
  <c r="D69" i="43"/>
  <c r="D560" i="44" s="1"/>
  <c r="E71" i="33"/>
  <c r="H30" i="33"/>
  <c r="E30" i="41"/>
  <c r="M73" i="43"/>
  <c r="M602" i="44" s="1"/>
  <c r="S75" i="33"/>
  <c r="V34" i="33"/>
  <c r="S34" i="41"/>
  <c r="G38" i="43"/>
  <c r="G313" i="44" s="1"/>
  <c r="I81" i="41"/>
  <c r="AP92" i="77"/>
  <c r="AP92" i="70" s="1"/>
  <c r="AP54" i="70"/>
  <c r="H69" i="43"/>
  <c r="H560" i="44" s="1"/>
  <c r="J71" i="33"/>
  <c r="J30" i="41"/>
  <c r="E30" i="43"/>
  <c r="E257" i="44" s="1"/>
  <c r="F73" i="41"/>
  <c r="I35" i="43"/>
  <c r="I292" i="44" s="1"/>
  <c r="K78" i="41"/>
  <c r="H16" i="64"/>
  <c r="I16" i="64"/>
  <c r="H31" i="64"/>
  <c r="I31" i="64"/>
  <c r="G454" i="44"/>
  <c r="J30" i="43"/>
  <c r="J257" i="44" s="1"/>
  <c r="N73" i="41"/>
  <c r="F524" i="44"/>
  <c r="N53" i="43"/>
  <c r="T14" i="41"/>
  <c r="M77" i="43"/>
  <c r="M630" i="44" s="1"/>
  <c r="S79" i="33"/>
  <c r="V38" i="33"/>
  <c r="S38" i="41"/>
  <c r="V18" i="65"/>
  <c r="V32" i="65"/>
  <c r="I532" i="44"/>
  <c r="P69" i="33"/>
  <c r="P42" i="33"/>
  <c r="P42" i="41" s="1"/>
  <c r="L67" i="43"/>
  <c r="P28" i="41"/>
  <c r="V32" i="33"/>
  <c r="S73" i="33"/>
  <c r="M71" i="43"/>
  <c r="M588" i="44" s="1"/>
  <c r="S32" i="41"/>
  <c r="G74" i="43"/>
  <c r="G609" i="44" s="1"/>
  <c r="L35" i="33"/>
  <c r="I76" i="33"/>
  <c r="I35" i="41"/>
  <c r="M75" i="43"/>
  <c r="M616" i="44" s="1"/>
  <c r="S77" i="33"/>
  <c r="V36" i="33"/>
  <c r="S36" i="41"/>
  <c r="E27" i="43"/>
  <c r="E215" i="44" s="1"/>
  <c r="F70" i="41"/>
  <c r="E398" i="44"/>
  <c r="E93" i="43"/>
  <c r="I49" i="43"/>
  <c r="K10" i="41"/>
  <c r="I356" i="44"/>
  <c r="D78" i="43"/>
  <c r="D637" i="44" s="1"/>
  <c r="E80" i="33"/>
  <c r="H39" i="33"/>
  <c r="E39" i="41"/>
  <c r="I19" i="43"/>
  <c r="I193" i="44" s="1"/>
  <c r="K62" i="41"/>
  <c r="P22" i="30"/>
  <c r="M65" i="40"/>
  <c r="J22" i="37"/>
  <c r="J23" i="37" s="1"/>
  <c r="F42" i="39" s="1"/>
  <c r="M64" i="40"/>
  <c r="M603" i="44" s="1"/>
  <c r="G57" i="43"/>
  <c r="L18" i="33"/>
  <c r="I18" i="41"/>
  <c r="F59" i="43"/>
  <c r="G20" i="41"/>
  <c r="AA20" i="41" s="1"/>
  <c r="F21" i="75" s="1"/>
  <c r="M26" i="43"/>
  <c r="M201" i="44" s="1"/>
  <c r="S69" i="41"/>
  <c r="L77" i="43"/>
  <c r="L630" i="44" s="1"/>
  <c r="P79" i="33"/>
  <c r="P38" i="41"/>
  <c r="M57" i="43"/>
  <c r="V18" i="33"/>
  <c r="S18" i="41"/>
  <c r="L40" i="33"/>
  <c r="W9" i="65"/>
  <c r="AG10" i="40"/>
  <c r="R11" i="42" s="1"/>
  <c r="F356" i="44"/>
  <c r="F90" i="43"/>
  <c r="H67" i="43"/>
  <c r="J69" i="33"/>
  <c r="J42" i="33"/>
  <c r="J42" i="41" s="1"/>
  <c r="J28" i="41"/>
  <c r="H17" i="64"/>
  <c r="I17" i="64"/>
  <c r="I39" i="64"/>
  <c r="H39" i="64"/>
  <c r="L510" i="44"/>
  <c r="D50" i="43"/>
  <c r="H11" i="33"/>
  <c r="E11" i="41"/>
  <c r="O496" i="44"/>
  <c r="P81" i="33"/>
  <c r="L79" i="43"/>
  <c r="L644" i="44" s="1"/>
  <c r="P40" i="41"/>
  <c r="M56" i="43"/>
  <c r="V17" i="33"/>
  <c r="S17" i="41"/>
  <c r="AP91" i="77"/>
  <c r="AP91" i="70" s="1"/>
  <c r="AP53" i="70"/>
  <c r="E53" i="43"/>
  <c r="F14" i="41"/>
  <c r="V9" i="65"/>
  <c r="V36" i="65"/>
  <c r="O71" i="43"/>
  <c r="O588" i="44" s="1"/>
  <c r="U73" i="33"/>
  <c r="U32" i="41"/>
  <c r="S70" i="33"/>
  <c r="V29" i="33"/>
  <c r="M68" i="43"/>
  <c r="M546" i="44" s="1"/>
  <c r="S29" i="41"/>
  <c r="F36" i="43"/>
  <c r="F299" i="44" s="1"/>
  <c r="G79" i="41"/>
  <c r="E482" i="44"/>
  <c r="E99" i="43"/>
  <c r="K73" i="33"/>
  <c r="I71" i="43"/>
  <c r="I588" i="44" s="1"/>
  <c r="K32" i="41"/>
  <c r="N57" i="43"/>
  <c r="T18" i="41"/>
  <c r="F80" i="43"/>
  <c r="F658" i="44" s="1"/>
  <c r="G82" i="33"/>
  <c r="G41" i="41"/>
  <c r="K68" i="43"/>
  <c r="K546" i="44" s="1"/>
  <c r="O70" i="33"/>
  <c r="O29" i="41"/>
  <c r="L34" i="33"/>
  <c r="I524" i="44"/>
  <c r="H51" i="43"/>
  <c r="J53" i="33"/>
  <c r="J12" i="41"/>
  <c r="W8" i="65"/>
  <c r="AG9" i="40"/>
  <c r="R10" i="42" s="1"/>
  <c r="M78" i="43"/>
  <c r="M637" i="44" s="1"/>
  <c r="S80" i="33"/>
  <c r="V39" i="33"/>
  <c r="S39" i="41"/>
  <c r="H8" i="64"/>
  <c r="I8" i="64"/>
  <c r="V72" i="33"/>
  <c r="V72" i="41" s="1"/>
  <c r="V31" i="41"/>
  <c r="R44" i="30"/>
  <c r="F51" i="30" s="1"/>
  <c r="H61" i="40"/>
  <c r="I66" i="53" s="1"/>
  <c r="H71" i="40"/>
  <c r="L525" i="44"/>
  <c r="O57" i="53"/>
  <c r="E48" i="43"/>
  <c r="F9" i="41"/>
  <c r="F51" i="43"/>
  <c r="G12" i="41"/>
  <c r="AP94" i="77"/>
  <c r="AP94" i="70" s="1"/>
  <c r="AP56" i="70"/>
  <c r="K49" i="33"/>
  <c r="N454" i="44"/>
  <c r="N97" i="43"/>
  <c r="E29" i="43"/>
  <c r="E243" i="44" s="1"/>
  <c r="F72" i="41"/>
  <c r="K60" i="43"/>
  <c r="O62" i="33"/>
  <c r="O21" i="41"/>
  <c r="O74" i="43"/>
  <c r="O609" i="44" s="1"/>
  <c r="U76" i="33"/>
  <c r="U35" i="41"/>
  <c r="W18" i="65"/>
  <c r="AG19" i="40"/>
  <c r="R20" i="42" s="1"/>
  <c r="W27" i="65"/>
  <c r="AG27" i="40"/>
  <c r="R28" i="42" s="1"/>
  <c r="W5" i="65"/>
  <c r="AG6" i="40"/>
  <c r="R7" i="42" s="1"/>
  <c r="B18" i="51"/>
  <c r="B19" i="33" s="1"/>
  <c r="I60" i="33" s="1"/>
  <c r="N78" i="43"/>
  <c r="N637" i="44" s="1"/>
  <c r="T80" i="33"/>
  <c r="T39" i="41"/>
  <c r="E47" i="43"/>
  <c r="F22" i="33"/>
  <c r="F22" i="41" s="1"/>
  <c r="F8" i="41"/>
  <c r="AA8" i="41" s="1"/>
  <c r="F9" i="75" s="1"/>
  <c r="H20" i="64"/>
  <c r="I20" i="64"/>
  <c r="I13" i="64"/>
  <c r="H13" i="64"/>
  <c r="L50" i="43"/>
  <c r="P11" i="41"/>
  <c r="O79" i="43"/>
  <c r="O644" i="44" s="1"/>
  <c r="U81" i="33"/>
  <c r="U40" i="41"/>
  <c r="V16" i="65"/>
  <c r="K49" i="43"/>
  <c r="O10" i="41"/>
  <c r="O56" i="43"/>
  <c r="U17" i="41"/>
  <c r="O78" i="43"/>
  <c r="O637" i="44" s="1"/>
  <c r="U80" i="33"/>
  <c r="U39" i="41"/>
  <c r="H75" i="43"/>
  <c r="H616" i="44" s="1"/>
  <c r="J77" i="33"/>
  <c r="J36" i="41"/>
  <c r="E80" i="43"/>
  <c r="E658" i="44" s="1"/>
  <c r="F82" i="33"/>
  <c r="F41" i="41"/>
  <c r="AA41" i="41" s="1"/>
  <c r="G42" i="54" s="1"/>
  <c r="H55" i="43"/>
  <c r="J16" i="41"/>
  <c r="L54" i="43"/>
  <c r="P15" i="41"/>
  <c r="J69" i="43"/>
  <c r="J560" i="44" s="1"/>
  <c r="N71" i="33"/>
  <c r="Q30" i="33"/>
  <c r="N30" i="41"/>
  <c r="J27" i="43"/>
  <c r="J215" i="44" s="1"/>
  <c r="N70" i="41"/>
  <c r="G32" i="43"/>
  <c r="G271" i="44" s="1"/>
  <c r="I75" i="41"/>
  <c r="Z75" i="41" s="1"/>
  <c r="F30" i="42" s="1"/>
  <c r="D35" i="54" s="1"/>
  <c r="E22" i="33"/>
  <c r="H8" i="33"/>
  <c r="D47" i="43"/>
  <c r="E49" i="33"/>
  <c r="E8" i="41"/>
  <c r="V30" i="65"/>
  <c r="M60" i="40"/>
  <c r="R65" i="53" s="1"/>
  <c r="AA13" i="52"/>
  <c r="W14" i="42" s="1"/>
  <c r="M70" i="40"/>
  <c r="R75" i="53" s="1"/>
  <c r="M69" i="40"/>
  <c r="M638" i="44" s="1"/>
  <c r="J60" i="40"/>
  <c r="Q28" i="33"/>
  <c r="N42" i="33"/>
  <c r="N69" i="33"/>
  <c r="J67" i="43"/>
  <c r="N28" i="41"/>
  <c r="K22" i="33"/>
  <c r="K22" i="41" s="1"/>
  <c r="K70" i="43"/>
  <c r="K574" i="44" s="1"/>
  <c r="O72" i="33"/>
  <c r="O31" i="41"/>
  <c r="W36" i="65"/>
  <c r="AG36" i="40"/>
  <c r="R37" i="42" s="1"/>
  <c r="W23" i="65"/>
  <c r="AG23" i="40"/>
  <c r="R24" i="42" s="1"/>
  <c r="L60" i="43"/>
  <c r="P62" i="33"/>
  <c r="P21" i="41"/>
  <c r="N49" i="33"/>
  <c r="J47" i="43"/>
  <c r="Q8" i="33"/>
  <c r="N22" i="33"/>
  <c r="N8" i="41"/>
  <c r="H28" i="64"/>
  <c r="I28" i="64"/>
  <c r="H21" i="64"/>
  <c r="I21" i="64"/>
  <c r="E36" i="43"/>
  <c r="E299" i="44" s="1"/>
  <c r="F79" i="41"/>
  <c r="D51" i="43"/>
  <c r="E53" i="33"/>
  <c r="H12" i="33"/>
  <c r="E12" i="41"/>
  <c r="O28" i="43"/>
  <c r="O229" i="44" s="1"/>
  <c r="U71" i="41"/>
  <c r="K58" i="43"/>
  <c r="O19" i="41"/>
  <c r="O57" i="43"/>
  <c r="U59" i="33"/>
  <c r="U18" i="41"/>
  <c r="N76" i="33"/>
  <c r="J74" i="43"/>
  <c r="J609" i="44" s="1"/>
  <c r="Q35" i="33"/>
  <c r="N35" i="41"/>
  <c r="V34" i="65"/>
  <c r="I496" i="44"/>
  <c r="I100" i="43"/>
  <c r="G77" i="43"/>
  <c r="G630" i="44" s="1"/>
  <c r="L38" i="33"/>
  <c r="I79" i="33"/>
  <c r="I38" i="41"/>
  <c r="AA38" i="41" s="1"/>
  <c r="G39" i="54" s="1"/>
  <c r="I59" i="43"/>
  <c r="K20" i="41"/>
  <c r="O48" i="43"/>
  <c r="U9" i="41"/>
  <c r="H49" i="43"/>
  <c r="J10" i="41"/>
  <c r="J77" i="43"/>
  <c r="J630" i="44" s="1"/>
  <c r="Q38" i="33"/>
  <c r="N79" i="33"/>
  <c r="N38" i="41"/>
  <c r="H57" i="43"/>
  <c r="J18" i="41"/>
  <c r="L48" i="43"/>
  <c r="P9" i="41"/>
  <c r="D60" i="43"/>
  <c r="H21" i="33"/>
  <c r="E62" i="33"/>
  <c r="E21" i="41"/>
  <c r="F28" i="43"/>
  <c r="F229" i="44" s="1"/>
  <c r="G71" i="41"/>
  <c r="L41" i="33"/>
  <c r="Q70" i="33"/>
  <c r="Q70" i="41" s="1"/>
  <c r="Q29" i="41"/>
  <c r="Q41" i="51"/>
  <c r="D80" i="43"/>
  <c r="D658" i="44" s="1"/>
  <c r="H41" i="33"/>
  <c r="E82" i="33"/>
  <c r="E41" i="41"/>
  <c r="E38" i="43"/>
  <c r="E313" i="44" s="1"/>
  <c r="F81" i="41"/>
  <c r="H15" i="64"/>
  <c r="I15" i="64"/>
  <c r="G70" i="43"/>
  <c r="G574" i="44" s="1"/>
  <c r="I72" i="33"/>
  <c r="L31" i="33"/>
  <c r="I31" i="41"/>
  <c r="J80" i="43"/>
  <c r="J658" i="44" s="1"/>
  <c r="N82" i="33"/>
  <c r="Q41" i="33"/>
  <c r="N41" i="41"/>
  <c r="I342" i="44"/>
  <c r="I89" i="43"/>
  <c r="L9" i="41"/>
  <c r="D76" i="43"/>
  <c r="D623" i="44" s="1"/>
  <c r="E78" i="33"/>
  <c r="H37" i="33"/>
  <c r="E37" i="41"/>
  <c r="W17" i="65"/>
  <c r="AG18" i="40"/>
  <c r="R19" i="42" s="1"/>
  <c r="U21" i="42"/>
  <c r="L69" i="43"/>
  <c r="L560" i="44" s="1"/>
  <c r="P71" i="33"/>
  <c r="P30" i="41"/>
  <c r="J49" i="43"/>
  <c r="Q10" i="33"/>
  <c r="N10" i="41"/>
  <c r="I426" i="44"/>
  <c r="I95" i="43"/>
  <c r="I29" i="64"/>
  <c r="H29" i="64"/>
  <c r="H33" i="64"/>
  <c r="I33" i="64"/>
  <c r="L496" i="44"/>
  <c r="K50" i="43"/>
  <c r="O11" i="41"/>
  <c r="N70" i="43"/>
  <c r="N574" i="44" s="1"/>
  <c r="T72" i="33"/>
  <c r="T31" i="41"/>
  <c r="J48" i="43"/>
  <c r="Q9" i="33"/>
  <c r="N9" i="41"/>
  <c r="V17" i="65"/>
  <c r="V13" i="65"/>
  <c r="G73" i="33"/>
  <c r="F71" i="43"/>
  <c r="F588" i="44" s="1"/>
  <c r="G32" i="41"/>
  <c r="G53" i="43"/>
  <c r="L14" i="33"/>
  <c r="I14" i="41"/>
  <c r="I51" i="43"/>
  <c r="K53" i="33"/>
  <c r="K12" i="41"/>
  <c r="G412" i="44"/>
  <c r="G94" i="43"/>
  <c r="N58" i="43"/>
  <c r="T19" i="41"/>
  <c r="D48" i="43"/>
  <c r="H9" i="33"/>
  <c r="E9" i="41"/>
  <c r="AA9" i="41" s="1"/>
  <c r="F10" i="75" s="1"/>
  <c r="E26" i="43"/>
  <c r="E201" i="44" s="1"/>
  <c r="F69" i="41"/>
  <c r="I482" i="44"/>
  <c r="K69" i="43"/>
  <c r="K560" i="44" s="1"/>
  <c r="O71" i="33"/>
  <c r="O30" i="41"/>
  <c r="G39" i="43"/>
  <c r="G327" i="44" s="1"/>
  <c r="I82" i="41"/>
  <c r="J58" i="43"/>
  <c r="Q19" i="33"/>
  <c r="N19" i="41"/>
  <c r="F412" i="44"/>
  <c r="F496" i="44"/>
  <c r="M74" i="43"/>
  <c r="M609" i="44" s="1"/>
  <c r="V35" i="33"/>
  <c r="S76" i="33"/>
  <c r="S35" i="41"/>
  <c r="J68" i="40"/>
  <c r="J631" i="44" s="1"/>
  <c r="S57" i="53"/>
  <c r="N525" i="44"/>
  <c r="J80" i="33"/>
  <c r="H78" i="43"/>
  <c r="H637" i="44" s="1"/>
  <c r="J39" i="41"/>
  <c r="L32" i="43"/>
  <c r="L271" i="44" s="1"/>
  <c r="O398" i="44"/>
  <c r="AA9" i="52"/>
  <c r="W10" i="42" s="1"/>
  <c r="J67" i="40"/>
  <c r="H66" i="40"/>
  <c r="J70" i="40"/>
  <c r="N60" i="40"/>
  <c r="N561" i="44" s="1"/>
  <c r="M58" i="40"/>
  <c r="R63" i="53" s="1"/>
  <c r="AP98" i="77"/>
  <c r="AP98" i="70" s="1"/>
  <c r="AP60" i="70"/>
  <c r="H52" i="43"/>
  <c r="J13" i="41"/>
  <c r="Q21" i="33"/>
  <c r="N62" i="33"/>
  <c r="J60" i="43"/>
  <c r="N21" i="41"/>
  <c r="Q81" i="33"/>
  <c r="Q81" i="41" s="1"/>
  <c r="Q40" i="41"/>
  <c r="I33" i="43"/>
  <c r="I278" i="44" s="1"/>
  <c r="W35" i="65"/>
  <c r="AG35" i="40"/>
  <c r="R36" i="42" s="1"/>
  <c r="B10" i="51"/>
  <c r="B11" i="33" s="1"/>
  <c r="F52" i="33" s="1"/>
  <c r="K80" i="43"/>
  <c r="K658" i="44" s="1"/>
  <c r="O82" i="33"/>
  <c r="O41" i="41"/>
  <c r="H32" i="64"/>
  <c r="I32" i="64"/>
  <c r="I41" i="64"/>
  <c r="E440" i="44"/>
  <c r="G78" i="43"/>
  <c r="G637" i="44" s="1"/>
  <c r="L39" i="33"/>
  <c r="I80" i="33"/>
  <c r="I39" i="41"/>
  <c r="L72" i="43"/>
  <c r="L595" i="44" s="1"/>
  <c r="P74" i="33"/>
  <c r="Q33" i="33"/>
  <c r="P33" i="41"/>
  <c r="V31" i="65"/>
  <c r="E50" i="43"/>
  <c r="F11" i="41"/>
  <c r="F78" i="43"/>
  <c r="F637" i="44" s="1"/>
  <c r="G80" i="33"/>
  <c r="G39" i="41"/>
  <c r="N50" i="43"/>
  <c r="T11" i="41"/>
  <c r="AP87" i="77"/>
  <c r="AP87" i="70" s="1"/>
  <c r="AP49" i="70"/>
  <c r="E532" i="44"/>
  <c r="D55" i="43"/>
  <c r="H16" i="33"/>
  <c r="E16" i="41"/>
  <c r="V12" i="33"/>
  <c r="M66" i="40"/>
  <c r="N69" i="43"/>
  <c r="N560" i="44" s="1"/>
  <c r="T71" i="33"/>
  <c r="T30" i="41"/>
  <c r="J50" i="43"/>
  <c r="Q11" i="33"/>
  <c r="N11" i="41"/>
  <c r="J38" i="43"/>
  <c r="J313" i="44" s="1"/>
  <c r="N81" i="41"/>
  <c r="L17" i="41"/>
  <c r="I70" i="43"/>
  <c r="I574" i="44" s="1"/>
  <c r="K72" i="33"/>
  <c r="K31" i="41"/>
  <c r="G356" i="44"/>
  <c r="G90" i="43"/>
  <c r="H14" i="33"/>
  <c r="D53" i="43"/>
  <c r="E14" i="41"/>
  <c r="W13" i="65"/>
  <c r="AG14" i="40"/>
  <c r="R15" i="42" s="1"/>
  <c r="W16" i="65"/>
  <c r="AG17" i="40"/>
  <c r="R18" i="42" s="1"/>
  <c r="K52" i="43"/>
  <c r="O54" i="33"/>
  <c r="O13" i="41"/>
  <c r="D71" i="43"/>
  <c r="D588" i="44" s="1"/>
  <c r="H32" i="33"/>
  <c r="E73" i="33"/>
  <c r="E32" i="41"/>
  <c r="H36" i="64"/>
  <c r="I36" i="64"/>
  <c r="H14" i="64"/>
  <c r="I14" i="64"/>
  <c r="K32" i="43"/>
  <c r="K271" i="44" s="1"/>
  <c r="O75" i="41"/>
  <c r="I27" i="43"/>
  <c r="I215" i="44" s="1"/>
  <c r="K70" i="41"/>
  <c r="G47" i="43"/>
  <c r="I49" i="33"/>
  <c r="I22" i="33"/>
  <c r="L8" i="33"/>
  <c r="I8" i="41"/>
  <c r="L80" i="43"/>
  <c r="L658" i="44" s="1"/>
  <c r="P82" i="33"/>
  <c r="P41" i="41"/>
  <c r="D57" i="43"/>
  <c r="H18" i="33"/>
  <c r="E18" i="41"/>
  <c r="AA18" i="41" s="1"/>
  <c r="G19" i="54" s="1"/>
  <c r="V27" i="65"/>
  <c r="G22" i="33"/>
  <c r="G22" i="41" s="1"/>
  <c r="E52" i="43"/>
  <c r="F54" i="33"/>
  <c r="F13" i="41"/>
  <c r="F54" i="43"/>
  <c r="G15" i="41"/>
  <c r="AA15" i="41" s="1"/>
  <c r="G16" i="54" s="1"/>
  <c r="L70" i="43"/>
  <c r="L574" i="44" s="1"/>
  <c r="P72" i="33"/>
  <c r="P31" i="41"/>
  <c r="M54" i="43"/>
  <c r="V15" i="33"/>
  <c r="S15" i="41"/>
  <c r="F27" i="43"/>
  <c r="F215" i="44" s="1"/>
  <c r="G70" i="41"/>
  <c r="L28" i="33"/>
  <c r="H54" i="43"/>
  <c r="J15" i="41"/>
  <c r="H53" i="43"/>
  <c r="J55" i="33"/>
  <c r="J14" i="41"/>
  <c r="L20" i="33"/>
  <c r="F26" i="43"/>
  <c r="F201" i="44" s="1"/>
  <c r="G69" i="41"/>
  <c r="L22" i="30"/>
  <c r="M59" i="40"/>
  <c r="R64" i="53" s="1"/>
  <c r="N59" i="43"/>
  <c r="T20" i="41"/>
  <c r="F482" i="44"/>
  <c r="F99" i="43"/>
  <c r="O42" i="33"/>
  <c r="O42" i="41" s="1"/>
  <c r="I77" i="43"/>
  <c r="I630" i="44" s="1"/>
  <c r="K79" i="33"/>
  <c r="K38" i="41"/>
  <c r="G468" i="44"/>
  <c r="F56" i="43"/>
  <c r="G17" i="41"/>
  <c r="M58" i="43"/>
  <c r="V19" i="33"/>
  <c r="S19" i="41"/>
  <c r="W31" i="65"/>
  <c r="AG31" i="40"/>
  <c r="R32" i="42" s="1"/>
  <c r="W34" i="65"/>
  <c r="AG34" i="40"/>
  <c r="R35" i="42" s="1"/>
  <c r="B15" i="51"/>
  <c r="B16" i="33" s="1"/>
  <c r="K57" i="33" s="1"/>
  <c r="D52" i="43"/>
  <c r="H13" i="33"/>
  <c r="E13" i="41"/>
  <c r="F34" i="43"/>
  <c r="F285" i="44" s="1"/>
  <c r="G77" i="41"/>
  <c r="H37" i="64"/>
  <c r="I37" i="64"/>
  <c r="I22" i="64"/>
  <c r="F76" i="33"/>
  <c r="E74" i="43"/>
  <c r="E609" i="44" s="1"/>
  <c r="F35" i="41"/>
  <c r="AA35" i="41" s="1"/>
  <c r="F34" i="75" s="1"/>
  <c r="K79" i="43"/>
  <c r="K644" i="44" s="1"/>
  <c r="O81" i="33"/>
  <c r="O40" i="41"/>
  <c r="D67" i="43"/>
  <c r="E69" i="33"/>
  <c r="E42" i="33"/>
  <c r="H28" i="33"/>
  <c r="E28" i="41"/>
  <c r="V35" i="65"/>
  <c r="V8" i="65"/>
  <c r="V15" i="65"/>
  <c r="V11" i="65"/>
  <c r="E510" i="44"/>
  <c r="E101" i="43"/>
  <c r="L49" i="43"/>
  <c r="P10" i="41"/>
  <c r="M55" i="43"/>
  <c r="V16" i="33"/>
  <c r="S16" i="41"/>
  <c r="N79" i="43"/>
  <c r="N644" i="44" s="1"/>
  <c r="T81" i="33"/>
  <c r="T40" i="41"/>
  <c r="L11" i="33"/>
  <c r="M52" i="43"/>
  <c r="V13" i="33"/>
  <c r="S13" i="41"/>
  <c r="T79" i="33"/>
  <c r="N77" i="43"/>
  <c r="N630" i="44" s="1"/>
  <c r="T38" i="41"/>
  <c r="G510" i="44"/>
  <c r="G101" i="43"/>
  <c r="M398" i="44"/>
  <c r="G42" i="33"/>
  <c r="G42" i="41" s="1"/>
  <c r="M67" i="40"/>
  <c r="M624" i="44" s="1"/>
  <c r="H65" i="40"/>
  <c r="H610" i="44" s="1"/>
  <c r="H57" i="53"/>
  <c r="G525" i="44"/>
  <c r="D70" i="43"/>
  <c r="D574" i="44" s="1"/>
  <c r="H31" i="33"/>
  <c r="E72" i="33"/>
  <c r="E31" i="41"/>
  <c r="AA31" i="41" s="1"/>
  <c r="G32" i="54" s="1"/>
  <c r="L74" i="43"/>
  <c r="L609" i="44" s="1"/>
  <c r="P76" i="33"/>
  <c r="P35" i="41"/>
  <c r="J76" i="33"/>
  <c r="H74" i="43"/>
  <c r="H609" i="44" s="1"/>
  <c r="J35" i="41"/>
  <c r="M49" i="43"/>
  <c r="V10" i="33"/>
  <c r="S10" i="41"/>
  <c r="W12" i="65"/>
  <c r="AG13" i="40"/>
  <c r="R14" i="42" s="1"/>
  <c r="B16" i="51"/>
  <c r="B17" i="33" s="1"/>
  <c r="F58" i="33" s="1"/>
  <c r="G31" i="43"/>
  <c r="G264" i="44" s="1"/>
  <c r="I74" i="41"/>
  <c r="H40" i="64"/>
  <c r="I40" i="64"/>
  <c r="I34" i="64"/>
  <c r="H34" i="64"/>
  <c r="K51" i="43"/>
  <c r="O53" i="33"/>
  <c r="O12" i="41"/>
  <c r="M29" i="43"/>
  <c r="M243" i="44" s="1"/>
  <c r="S72" i="41"/>
  <c r="I34" i="43"/>
  <c r="I285" i="44" s="1"/>
  <c r="K77" i="41"/>
  <c r="K57" i="43"/>
  <c r="O59" i="33"/>
  <c r="O18" i="41"/>
  <c r="V12" i="65"/>
  <c r="V26" i="65"/>
  <c r="V33" i="65"/>
  <c r="V29" i="65"/>
  <c r="F342" i="44"/>
  <c r="F89" i="43"/>
  <c r="BD99" i="77"/>
  <c r="BD99" i="70" s="1"/>
  <c r="H48" i="43"/>
  <c r="J9" i="41"/>
  <c r="I38" i="43"/>
  <c r="I313" i="44" s="1"/>
  <c r="K81" i="41"/>
  <c r="K77" i="43"/>
  <c r="K630" i="44" s="1"/>
  <c r="O79" i="33"/>
  <c r="O38" i="41"/>
  <c r="O70" i="43"/>
  <c r="O574" i="44" s="1"/>
  <c r="U72" i="33"/>
  <c r="U31" i="41"/>
  <c r="T69" i="33"/>
  <c r="T42" i="33"/>
  <c r="T42" i="41" s="1"/>
  <c r="N67" i="43"/>
  <c r="T28" i="41"/>
  <c r="I42" i="33"/>
  <c r="AP90" i="77"/>
  <c r="AP90" i="70" s="1"/>
  <c r="AP52" i="70"/>
  <c r="O75" i="43"/>
  <c r="O616" i="44" s="1"/>
  <c r="U77" i="33"/>
  <c r="U36" i="41"/>
  <c r="F532" i="44"/>
  <c r="D84" i="40"/>
  <c r="M89" i="41"/>
  <c r="M94" i="41" s="1"/>
  <c r="R89" i="41"/>
  <c r="R94" i="41" s="1"/>
  <c r="F89" i="41"/>
  <c r="F94" i="41" s="1"/>
  <c r="AQ19" i="39"/>
  <c r="H19" i="40"/>
  <c r="AB18" i="65" s="1"/>
  <c r="BF19" i="39"/>
  <c r="L89" i="41"/>
  <c r="L94" i="41" s="1"/>
  <c r="BH19" i="39"/>
  <c r="J19" i="40"/>
  <c r="M19" i="53" s="1"/>
  <c r="BC19" i="39"/>
  <c r="L19" i="40"/>
  <c r="O19" i="53" s="1"/>
  <c r="BB19" i="39"/>
  <c r="AA36" i="41"/>
  <c r="G37" i="54" s="1"/>
  <c r="N89" i="41"/>
  <c r="N94" i="41" s="1"/>
  <c r="AA30" i="41"/>
  <c r="G31" i="54" s="1"/>
  <c r="G89" i="41"/>
  <c r="G94" i="41" s="1"/>
  <c r="W89" i="41"/>
  <c r="W94" i="41" s="1"/>
  <c r="AA11" i="41"/>
  <c r="F12" i="75" s="1"/>
  <c r="P89" i="41"/>
  <c r="P94" i="41" s="1"/>
  <c r="AA40" i="41"/>
  <c r="F39" i="75" s="1"/>
  <c r="Q89" i="41"/>
  <c r="Q94" i="41" s="1"/>
  <c r="I89" i="41"/>
  <c r="I94" i="41" s="1"/>
  <c r="AA29" i="41"/>
  <c r="F28" i="75" s="1"/>
  <c r="J89" i="41"/>
  <c r="J94" i="41" s="1"/>
  <c r="AA13" i="41"/>
  <c r="F14" i="75" s="1"/>
  <c r="AA34" i="41"/>
  <c r="F33" i="75" s="1"/>
  <c r="AA10" i="41"/>
  <c r="F11" i="75" s="1"/>
  <c r="S89" i="41"/>
  <c r="S94" i="41" s="1"/>
  <c r="K89" i="41"/>
  <c r="K94" i="41" s="1"/>
  <c r="AA39" i="41"/>
  <c r="F38" i="75" s="1"/>
  <c r="V89" i="41"/>
  <c r="V94" i="41" s="1"/>
  <c r="T89" i="41"/>
  <c r="T94" i="41" s="1"/>
  <c r="AA28" i="41"/>
  <c r="F27" i="75" s="1"/>
  <c r="AA33" i="41"/>
  <c r="G34" i="54" s="1"/>
  <c r="E89" i="41"/>
  <c r="U89" i="41"/>
  <c r="U94" i="41" s="1"/>
  <c r="H89" i="41"/>
  <c r="H94" i="41" s="1"/>
  <c r="O89" i="41"/>
  <c r="AA17" i="41"/>
  <c r="F18" i="75" s="1"/>
  <c r="AA19" i="41"/>
  <c r="G20" i="54" s="1"/>
  <c r="K19" i="40"/>
  <c r="K194" i="44" s="1"/>
  <c r="M75" i="36"/>
  <c r="G4" i="56"/>
  <c r="F67" i="56" s="1"/>
  <c r="J191" i="36"/>
  <c r="J190" i="36"/>
  <c r="M76" i="36"/>
  <c r="I190" i="36"/>
  <c r="E95" i="36"/>
  <c r="H94" i="36"/>
  <c r="I191" i="36"/>
  <c r="M74" i="36"/>
  <c r="AT19" i="39"/>
  <c r="T105" i="52"/>
  <c r="T106" i="52" s="1"/>
  <c r="Z72" i="52"/>
  <c r="X33" i="42" s="1"/>
  <c r="Z64" i="52"/>
  <c r="X25" i="42" s="1"/>
  <c r="Z37" i="52"/>
  <c r="V37" i="42" s="1"/>
  <c r="Z9" i="52"/>
  <c r="V10" i="42" s="1"/>
  <c r="Z75" i="52"/>
  <c r="X36" i="42" s="1"/>
  <c r="Z31" i="52"/>
  <c r="V31" i="42" s="1"/>
  <c r="S105" i="52"/>
  <c r="S106" i="52" s="1"/>
  <c r="Z96" i="52"/>
  <c r="Z88" i="52"/>
  <c r="Z55" i="52"/>
  <c r="X18" i="42" s="1"/>
  <c r="Z47" i="52"/>
  <c r="X10" i="42" s="1"/>
  <c r="Z24" i="52"/>
  <c r="V24" i="42" s="1"/>
  <c r="Z12" i="52"/>
  <c r="V13" i="42" s="1"/>
  <c r="Z95" i="52"/>
  <c r="Z87" i="52"/>
  <c r="R105" i="52"/>
  <c r="R106" i="52" s="1"/>
  <c r="Z103" i="52"/>
  <c r="E94" i="36" s="1"/>
  <c r="Z77" i="52"/>
  <c r="X38" i="42" s="1"/>
  <c r="Z69" i="52"/>
  <c r="X30" i="42" s="1"/>
  <c r="Z27" i="52"/>
  <c r="V27" i="42" s="1"/>
  <c r="Z15" i="52"/>
  <c r="V16" i="42" s="1"/>
  <c r="M105" i="52"/>
  <c r="M106" i="52" s="1"/>
  <c r="Z46" i="52"/>
  <c r="X9" i="42" s="1"/>
  <c r="Z26" i="52"/>
  <c r="V26" i="42" s="1"/>
  <c r="Z14" i="52"/>
  <c r="V15" i="42" s="1"/>
  <c r="Q105" i="52"/>
  <c r="Q106" i="52" s="1"/>
  <c r="Z93" i="52"/>
  <c r="Z85" i="52"/>
  <c r="Z52" i="52"/>
  <c r="X15" i="42" s="1"/>
  <c r="Z44" i="52"/>
  <c r="X7" i="42" s="1"/>
  <c r="Z30" i="52"/>
  <c r="V30" i="42" s="1"/>
  <c r="Z18" i="52"/>
  <c r="V19" i="42" s="1"/>
  <c r="Z54" i="52"/>
  <c r="X17" i="42" s="1"/>
  <c r="F105" i="52"/>
  <c r="F106" i="52" s="1"/>
  <c r="P105" i="52"/>
  <c r="P106" i="52" s="1"/>
  <c r="Z74" i="52"/>
  <c r="X35" i="42" s="1"/>
  <c r="Z66" i="52"/>
  <c r="X27" i="42" s="1"/>
  <c r="Z33" i="52"/>
  <c r="V33" i="42" s="1"/>
  <c r="V105" i="52"/>
  <c r="V106" i="52" s="1"/>
  <c r="Z67" i="52"/>
  <c r="X28" i="42" s="1"/>
  <c r="Z19" i="52"/>
  <c r="V20" i="42" s="1"/>
  <c r="O105" i="52"/>
  <c r="O106" i="52" s="1"/>
  <c r="Z98" i="52"/>
  <c r="Z90" i="52"/>
  <c r="Z57" i="52"/>
  <c r="X20" i="42" s="1"/>
  <c r="Z49" i="52"/>
  <c r="X12" i="42" s="1"/>
  <c r="Z36" i="52"/>
  <c r="V36" i="42" s="1"/>
  <c r="Z8" i="52"/>
  <c r="V9" i="42" s="1"/>
  <c r="N105" i="52"/>
  <c r="N106" i="52" s="1"/>
  <c r="Z71" i="52"/>
  <c r="X32" i="42" s="1"/>
  <c r="Z63" i="52"/>
  <c r="X24" i="42" s="1"/>
  <c r="Z11" i="52"/>
  <c r="V12" i="42" s="1"/>
  <c r="Z16" i="52"/>
  <c r="V17" i="42" s="1"/>
  <c r="L105" i="52"/>
  <c r="L106" i="52" s="1"/>
  <c r="Z76" i="52"/>
  <c r="X37" i="42" s="1"/>
  <c r="Z68" i="52"/>
  <c r="X29" i="42" s="1"/>
  <c r="Z29" i="52"/>
  <c r="V29" i="42" s="1"/>
  <c r="Z17" i="52"/>
  <c r="V18" i="42" s="1"/>
  <c r="K105" i="52"/>
  <c r="K106" i="52" s="1"/>
  <c r="Z92" i="52"/>
  <c r="Z84" i="52"/>
  <c r="Z51" i="52"/>
  <c r="X14" i="42" s="1"/>
  <c r="Z32" i="52"/>
  <c r="V32" i="42" s="1"/>
  <c r="Z20" i="52"/>
  <c r="V21" i="42" s="1"/>
  <c r="J105" i="52"/>
  <c r="J106" i="52" s="1"/>
  <c r="Z73" i="52"/>
  <c r="X34" i="42" s="1"/>
  <c r="Z65" i="52"/>
  <c r="X26" i="42" s="1"/>
  <c r="Z35" i="52"/>
  <c r="V35" i="42" s="1"/>
  <c r="Z7" i="52"/>
  <c r="V8" i="42" s="1"/>
  <c r="I105" i="52"/>
  <c r="I106" i="52" s="1"/>
  <c r="Z97" i="52"/>
  <c r="Z89" i="52"/>
  <c r="Z56" i="52"/>
  <c r="X19" i="42" s="1"/>
  <c r="Z48" i="52"/>
  <c r="X11" i="42" s="1"/>
  <c r="Z38" i="52"/>
  <c r="V38" i="42" s="1"/>
  <c r="Z10" i="52"/>
  <c r="V11" i="42" s="1"/>
  <c r="H105" i="52"/>
  <c r="H106" i="52" s="1"/>
  <c r="Z70" i="52"/>
  <c r="X31" i="42" s="1"/>
  <c r="Z25" i="52"/>
  <c r="V25" i="42" s="1"/>
  <c r="Z13" i="52"/>
  <c r="V14" i="42" s="1"/>
  <c r="G105" i="52"/>
  <c r="G106" i="52" s="1"/>
  <c r="Z94" i="52"/>
  <c r="Z86" i="52"/>
  <c r="Z53" i="52"/>
  <c r="X16" i="42" s="1"/>
  <c r="Z45" i="52"/>
  <c r="X8" i="42" s="1"/>
  <c r="Z28" i="52"/>
  <c r="V28" i="42" s="1"/>
  <c r="U105" i="52"/>
  <c r="U106" i="52" s="1"/>
  <c r="E105" i="52"/>
  <c r="E106" i="52" s="1"/>
  <c r="Z91" i="52"/>
  <c r="Z58" i="52"/>
  <c r="X21" i="42" s="1"/>
  <c r="Z50" i="52"/>
  <c r="X13" i="42" s="1"/>
  <c r="Z34" i="52"/>
  <c r="V34" i="42" s="1"/>
  <c r="Z6" i="52"/>
  <c r="V7" i="42" s="1"/>
  <c r="D105" i="52"/>
  <c r="D106" i="52" s="1"/>
  <c r="AM19" i="39"/>
  <c r="K24" i="40"/>
  <c r="AT24" i="39"/>
  <c r="BI24" i="39"/>
  <c r="N25" i="40"/>
  <c r="AW25" i="39"/>
  <c r="BL25" i="39"/>
  <c r="G19" i="40"/>
  <c r="AP19" i="39"/>
  <c r="BE19" i="39"/>
  <c r="AR24" i="39"/>
  <c r="BG24" i="39"/>
  <c r="M35" i="40"/>
  <c r="BK35" i="39"/>
  <c r="N18" i="40"/>
  <c r="BL18" i="39"/>
  <c r="AW18" i="39"/>
  <c r="I11" i="40"/>
  <c r="AR11" i="39"/>
  <c r="BG11" i="39"/>
  <c r="AR8" i="39"/>
  <c r="BG8" i="39"/>
  <c r="AO30" i="39"/>
  <c r="BD30" i="39"/>
  <c r="H35" i="40"/>
  <c r="AQ35" i="39"/>
  <c r="BF35" i="39"/>
  <c r="M15" i="40"/>
  <c r="BK15" i="39"/>
  <c r="BB36" i="39"/>
  <c r="AM36" i="39"/>
  <c r="BC10" i="39"/>
  <c r="AN10" i="39"/>
  <c r="I32" i="40"/>
  <c r="AR32" i="39"/>
  <c r="BG32" i="39"/>
  <c r="N26" i="40"/>
  <c r="AW26" i="39"/>
  <c r="BL26" i="39"/>
  <c r="BB35" i="39"/>
  <c r="AM35" i="39"/>
  <c r="K14" i="40"/>
  <c r="BI14" i="39"/>
  <c r="AT14" i="39"/>
  <c r="AO18" i="39"/>
  <c r="BD18" i="39"/>
  <c r="AR33" i="39"/>
  <c r="BG33" i="39"/>
  <c r="L7" i="40"/>
  <c r="BJ7" i="39"/>
  <c r="AO6" i="39"/>
  <c r="BD6" i="39"/>
  <c r="J12" i="40"/>
  <c r="AS12" i="39"/>
  <c r="BH12" i="39"/>
  <c r="AR6" i="39"/>
  <c r="BG6" i="39"/>
  <c r="AM16" i="39"/>
  <c r="BB16" i="39"/>
  <c r="K18" i="40"/>
  <c r="BI18" i="39"/>
  <c r="AT18" i="39"/>
  <c r="BC9" i="39"/>
  <c r="AN9" i="39"/>
  <c r="AO36" i="39"/>
  <c r="BD36" i="39"/>
  <c r="M13" i="40"/>
  <c r="BK13" i="39"/>
  <c r="H36" i="40"/>
  <c r="AQ36" i="39"/>
  <c r="BF36" i="39"/>
  <c r="H14" i="40"/>
  <c r="AQ14" i="39"/>
  <c r="BF14" i="39"/>
  <c r="N24" i="40"/>
  <c r="AW24" i="39"/>
  <c r="BL24" i="39"/>
  <c r="H18" i="40"/>
  <c r="AQ18" i="39"/>
  <c r="BF18" i="39"/>
  <c r="AN17" i="39"/>
  <c r="BC17" i="39"/>
  <c r="M9" i="40"/>
  <c r="BK9" i="39"/>
  <c r="AV9" i="39"/>
  <c r="AR36" i="39"/>
  <c r="BG36" i="39"/>
  <c r="H15" i="40"/>
  <c r="AQ15" i="39"/>
  <c r="BF15" i="39"/>
  <c r="L16" i="40"/>
  <c r="BJ16" i="39"/>
  <c r="AM29" i="39"/>
  <c r="BB29" i="39"/>
  <c r="M12" i="40"/>
  <c r="BK12" i="39"/>
  <c r="AN32" i="39"/>
  <c r="BC32" i="39"/>
  <c r="M32" i="40"/>
  <c r="BK32" i="39"/>
  <c r="AW35" i="39"/>
  <c r="N35" i="40"/>
  <c r="BL35" i="39"/>
  <c r="J25" i="40"/>
  <c r="AS25" i="39"/>
  <c r="BH25" i="39"/>
  <c r="AR12" i="39"/>
  <c r="BG12" i="39"/>
  <c r="N14" i="40"/>
  <c r="BL14" i="39"/>
  <c r="AW14" i="39"/>
  <c r="AO16" i="39"/>
  <c r="BD16" i="39"/>
  <c r="N19" i="40"/>
  <c r="BL19" i="39"/>
  <c r="AW19" i="39"/>
  <c r="AM28" i="39"/>
  <c r="BB28" i="39"/>
  <c r="J18" i="40"/>
  <c r="AS18" i="39"/>
  <c r="BH18" i="39"/>
  <c r="N29" i="40"/>
  <c r="AW29" i="39"/>
  <c r="BL29" i="39"/>
  <c r="N36" i="40"/>
  <c r="AW36" i="39"/>
  <c r="BL36" i="39"/>
  <c r="M25" i="40"/>
  <c r="BK25" i="39"/>
  <c r="M14" i="40"/>
  <c r="BK14" i="39"/>
  <c r="J31" i="40"/>
  <c r="AS31" i="39"/>
  <c r="BH31" i="39"/>
  <c r="M31" i="40"/>
  <c r="BK31" i="39"/>
  <c r="I13" i="40"/>
  <c r="AR13" i="39"/>
  <c r="BG13" i="39"/>
  <c r="N13" i="40"/>
  <c r="BL13" i="39"/>
  <c r="AW13" i="39"/>
  <c r="J8" i="40"/>
  <c r="AS8" i="39"/>
  <c r="BH8" i="39"/>
  <c r="AO12" i="39"/>
  <c r="BD12" i="39"/>
  <c r="G31" i="40"/>
  <c r="AP31" i="39"/>
  <c r="BE31" i="39"/>
  <c r="AR9" i="39"/>
  <c r="BG9" i="39"/>
  <c r="N27" i="40"/>
  <c r="AW27" i="39"/>
  <c r="BL27" i="39"/>
  <c r="L12" i="40"/>
  <c r="BJ12" i="39"/>
  <c r="L18" i="40"/>
  <c r="BJ18" i="39"/>
  <c r="AU18" i="39"/>
  <c r="L30" i="40"/>
  <c r="BJ30" i="39"/>
  <c r="AM7" i="39"/>
  <c r="BB7" i="39"/>
  <c r="K27" i="40"/>
  <c r="AT27" i="39"/>
  <c r="BI27" i="39"/>
  <c r="J34" i="40"/>
  <c r="AS34" i="39"/>
  <c r="BH34" i="39"/>
  <c r="M33" i="40"/>
  <c r="AV33" i="39"/>
  <c r="BK33" i="39"/>
  <c r="I28" i="40"/>
  <c r="AR28" i="39"/>
  <c r="BG28" i="39"/>
  <c r="N31" i="40"/>
  <c r="AW31" i="39"/>
  <c r="BL31" i="39"/>
  <c r="AN14" i="39"/>
  <c r="BC14" i="39"/>
  <c r="AS29" i="39"/>
  <c r="J29" i="40"/>
  <c r="BH29" i="39"/>
  <c r="AR25" i="39"/>
  <c r="BG25" i="39"/>
  <c r="AR14" i="39"/>
  <c r="BG14" i="39"/>
  <c r="G9" i="40"/>
  <c r="AP9" i="39"/>
  <c r="BE9" i="39"/>
  <c r="AR31" i="39"/>
  <c r="BG31" i="39"/>
  <c r="M30" i="40"/>
  <c r="BK30" i="39"/>
  <c r="AM27" i="39"/>
  <c r="BB27" i="39"/>
  <c r="AO25" i="39"/>
  <c r="BD25" i="39"/>
  <c r="M29" i="40"/>
  <c r="BK29" i="39"/>
  <c r="AM18" i="39"/>
  <c r="BB18" i="39"/>
  <c r="O6" i="40"/>
  <c r="AX6" i="39"/>
  <c r="BM6" i="39"/>
  <c r="AQ16" i="39"/>
  <c r="H16" i="40"/>
  <c r="BF16" i="39"/>
  <c r="J27" i="40"/>
  <c r="AS27" i="39"/>
  <c r="BH27" i="39"/>
  <c r="H12" i="40"/>
  <c r="AQ12" i="39"/>
  <c r="BF12" i="39"/>
  <c r="BB34" i="39"/>
  <c r="AM34" i="39"/>
  <c r="BC6" i="39"/>
  <c r="AN6" i="39"/>
  <c r="H30" i="40"/>
  <c r="AQ30" i="39"/>
  <c r="BF30" i="39"/>
  <c r="AM24" i="39"/>
  <c r="BB24" i="39"/>
  <c r="AR34" i="39"/>
  <c r="BG34" i="39"/>
  <c r="G36" i="40"/>
  <c r="AP36" i="39"/>
  <c r="BE36" i="39"/>
  <c r="N10" i="40"/>
  <c r="BL10" i="39"/>
  <c r="AW10" i="39"/>
  <c r="AM15" i="39"/>
  <c r="BB15" i="39"/>
  <c r="N30" i="40"/>
  <c r="AW30" i="39"/>
  <c r="BL30" i="39"/>
  <c r="J15" i="40"/>
  <c r="AS15" i="39"/>
  <c r="BH15" i="39"/>
  <c r="O32" i="40"/>
  <c r="BM32" i="39"/>
  <c r="AX32" i="39"/>
  <c r="AN15" i="39"/>
  <c r="BC15" i="39"/>
  <c r="O31" i="40"/>
  <c r="BM31" i="39"/>
  <c r="AX31" i="39"/>
  <c r="M26" i="40"/>
  <c r="AV26" i="39"/>
  <c r="BK26" i="39"/>
  <c r="O34" i="40"/>
  <c r="BM34" i="39"/>
  <c r="AX34" i="39"/>
  <c r="AN33" i="39"/>
  <c r="BC33" i="39"/>
  <c r="K30" i="40"/>
  <c r="AT30" i="39"/>
  <c r="BI30" i="39"/>
  <c r="AR18" i="39"/>
  <c r="BG18" i="39"/>
  <c r="K6" i="40"/>
  <c r="BI6" i="39"/>
  <c r="AT6" i="39"/>
  <c r="O7" i="40"/>
  <c r="AX7" i="39"/>
  <c r="BM7" i="39"/>
  <c r="AN36" i="39"/>
  <c r="BC36" i="39"/>
  <c r="AO35" i="39"/>
  <c r="BD35" i="39"/>
  <c r="K15" i="40"/>
  <c r="BI15" i="39"/>
  <c r="AT15" i="39"/>
  <c r="AM8" i="39"/>
  <c r="BB8" i="39"/>
  <c r="AO14" i="39"/>
  <c r="BD14" i="39"/>
  <c r="L6" i="40"/>
  <c r="BJ6" i="39"/>
  <c r="J36" i="40"/>
  <c r="BH36" i="39"/>
  <c r="AS36" i="39"/>
  <c r="O10" i="40"/>
  <c r="AX10" i="39"/>
  <c r="BM10" i="39"/>
  <c r="AN16" i="39"/>
  <c r="BC16" i="39"/>
  <c r="G30" i="40"/>
  <c r="AP30" i="39"/>
  <c r="BE30" i="39"/>
  <c r="AO29" i="39"/>
  <c r="BD29" i="39"/>
  <c r="AO9" i="39"/>
  <c r="BD9" i="39"/>
  <c r="O28" i="40"/>
  <c r="BM28" i="39"/>
  <c r="AX28" i="39"/>
  <c r="G16" i="40"/>
  <c r="AP16" i="39"/>
  <c r="BE16" i="39"/>
  <c r="H13" i="40"/>
  <c r="AQ13" i="39"/>
  <c r="BF13" i="39"/>
  <c r="AR30" i="39"/>
  <c r="BG30" i="39"/>
  <c r="AO27" i="39"/>
  <c r="BD27" i="39"/>
  <c r="AR29" i="39"/>
  <c r="BG29" i="39"/>
  <c r="L11" i="40"/>
  <c r="BJ11" i="39"/>
  <c r="L13" i="40"/>
  <c r="BJ13" i="39"/>
  <c r="AM6" i="39"/>
  <c r="BB6" i="39"/>
  <c r="N33" i="40"/>
  <c r="AW33" i="39"/>
  <c r="BL33" i="39"/>
  <c r="L29" i="40"/>
  <c r="BJ29" i="39"/>
  <c r="G13" i="40"/>
  <c r="AP13" i="39"/>
  <c r="BE13" i="39"/>
  <c r="H6" i="40"/>
  <c r="AQ6" i="39"/>
  <c r="BF6" i="39"/>
  <c r="M17" i="40"/>
  <c r="BK17" i="39"/>
  <c r="L32" i="40"/>
  <c r="BJ32" i="39"/>
  <c r="O24" i="40"/>
  <c r="BM24" i="39"/>
  <c r="AX24" i="39"/>
  <c r="AM10" i="39"/>
  <c r="BB10" i="39"/>
  <c r="O23" i="40"/>
  <c r="BM23" i="39"/>
  <c r="AX23" i="39"/>
  <c r="M34" i="40"/>
  <c r="BK34" i="39"/>
  <c r="BG35" i="39"/>
  <c r="AR35" i="39"/>
  <c r="AR15" i="39"/>
  <c r="BG15" i="39"/>
  <c r="J35" i="40"/>
  <c r="BH35" i="39"/>
  <c r="AS35" i="39"/>
  <c r="L33" i="40"/>
  <c r="BJ33" i="39"/>
  <c r="AO34" i="39"/>
  <c r="BD34" i="39"/>
  <c r="AM23" i="39"/>
  <c r="BB23" i="39"/>
  <c r="O29" i="40"/>
  <c r="BM29" i="39"/>
  <c r="AX29" i="39"/>
  <c r="N28" i="40"/>
  <c r="AW28" i="39"/>
  <c r="BL28" i="39"/>
  <c r="AM30" i="39"/>
  <c r="BB30" i="39"/>
  <c r="J10" i="40"/>
  <c r="AS10" i="39"/>
  <c r="BH10" i="39"/>
  <c r="G10" i="40"/>
  <c r="AP10" i="39"/>
  <c r="BE10" i="39"/>
  <c r="J30" i="40"/>
  <c r="AS30" i="39"/>
  <c r="BH30" i="39"/>
  <c r="BL17" i="39"/>
  <c r="AW17" i="39"/>
  <c r="N17" i="40"/>
  <c r="K32" i="40"/>
  <c r="AT32" i="39"/>
  <c r="BI32" i="39"/>
  <c r="AM13" i="39"/>
  <c r="BB13" i="39"/>
  <c r="H23" i="40"/>
  <c r="AQ23" i="39"/>
  <c r="BF23" i="39"/>
  <c r="J33" i="40"/>
  <c r="AS33" i="39"/>
  <c r="BH33" i="39"/>
  <c r="AO26" i="39"/>
  <c r="BD26" i="39"/>
  <c r="J26" i="40"/>
  <c r="AS26" i="39"/>
  <c r="BH26" i="39"/>
  <c r="AN30" i="39"/>
  <c r="BC30" i="39"/>
  <c r="O35" i="40"/>
  <c r="AX35" i="39"/>
  <c r="BM35" i="39"/>
  <c r="G23" i="40"/>
  <c r="AP23" i="39"/>
  <c r="BE23" i="39"/>
  <c r="AO31" i="39"/>
  <c r="BD31" i="39"/>
  <c r="AN23" i="39"/>
  <c r="BC23" i="39"/>
  <c r="BC8" i="39"/>
  <c r="AN8" i="39"/>
  <c r="O12" i="40"/>
  <c r="AX12" i="39"/>
  <c r="BM12" i="39"/>
  <c r="N15" i="40"/>
  <c r="BL15" i="39"/>
  <c r="AW15" i="39"/>
  <c r="H17" i="40"/>
  <c r="AQ17" i="39"/>
  <c r="BF17" i="39"/>
  <c r="K23" i="40"/>
  <c r="AT23" i="39"/>
  <c r="BI23" i="39"/>
  <c r="J14" i="40"/>
  <c r="AS14" i="39"/>
  <c r="BH14" i="39"/>
  <c r="G15" i="40"/>
  <c r="AP15" i="39"/>
  <c r="BE15" i="39"/>
  <c r="K10" i="40"/>
  <c r="BI10" i="39"/>
  <c r="AT10" i="39"/>
  <c r="AM17" i="39"/>
  <c r="BB17" i="39"/>
  <c r="J16" i="40"/>
  <c r="AS16" i="39"/>
  <c r="BH16" i="39"/>
  <c r="L9" i="40"/>
  <c r="BJ9" i="39"/>
  <c r="N34" i="40"/>
  <c r="BL34" i="39"/>
  <c r="AW34" i="39"/>
  <c r="AM9" i="39"/>
  <c r="BB9" i="39"/>
  <c r="O17" i="40"/>
  <c r="AX17" i="39"/>
  <c r="BM17" i="39"/>
  <c r="G33" i="40"/>
  <c r="AP33" i="39"/>
  <c r="BE33" i="39"/>
  <c r="BC35" i="39"/>
  <c r="AN35" i="39"/>
  <c r="M27" i="40"/>
  <c r="BK27" i="39"/>
  <c r="H11" i="40"/>
  <c r="AQ11" i="39"/>
  <c r="BF11" i="39"/>
  <c r="G17" i="40"/>
  <c r="AP17" i="39"/>
  <c r="BE17" i="39"/>
  <c r="O13" i="40"/>
  <c r="AX13" i="39"/>
  <c r="BM13" i="39"/>
  <c r="N6" i="40"/>
  <c r="BL6" i="39"/>
  <c r="AW6" i="39"/>
  <c r="K33" i="40"/>
  <c r="AT33" i="39"/>
  <c r="BI33" i="39"/>
  <c r="H29" i="40"/>
  <c r="AQ29" i="39"/>
  <c r="BF29" i="39"/>
  <c r="AO24" i="39"/>
  <c r="BD24" i="39"/>
  <c r="O25" i="40"/>
  <c r="BM25" i="39"/>
  <c r="AX25" i="39"/>
  <c r="AO32" i="39"/>
  <c r="BD32" i="39"/>
  <c r="H32" i="40"/>
  <c r="AQ32" i="39"/>
  <c r="BF32" i="39"/>
  <c r="AO19" i="39"/>
  <c r="BD19" i="39"/>
  <c r="AM14" i="39"/>
  <c r="BB14" i="39"/>
  <c r="BI35" i="39"/>
  <c r="AT35" i="39"/>
  <c r="K35" i="40"/>
  <c r="AM12" i="39"/>
  <c r="BB12" i="39"/>
  <c r="L8" i="40"/>
  <c r="BJ8" i="39"/>
  <c r="AN25" i="39"/>
  <c r="BC25" i="39"/>
  <c r="BM33" i="39"/>
  <c r="O33" i="40"/>
  <c r="AX33" i="39"/>
  <c r="AO7" i="39"/>
  <c r="BD7" i="39"/>
  <c r="L23" i="40"/>
  <c r="BJ23" i="39"/>
  <c r="H31" i="40"/>
  <c r="AQ31" i="39"/>
  <c r="BF31" i="39"/>
  <c r="H7" i="40"/>
  <c r="AQ7" i="39"/>
  <c r="BF7" i="39"/>
  <c r="M16" i="40"/>
  <c r="BK16" i="39"/>
  <c r="AV16" i="39"/>
  <c r="K29" i="40"/>
  <c r="AT29" i="39"/>
  <c r="BI29" i="39"/>
  <c r="O9" i="40"/>
  <c r="AX9" i="39"/>
  <c r="BM9" i="39"/>
  <c r="L27" i="40"/>
  <c r="BJ27" i="39"/>
  <c r="J13" i="40"/>
  <c r="AS13" i="39"/>
  <c r="BH13" i="39"/>
  <c r="H9" i="40"/>
  <c r="AQ9" i="39"/>
  <c r="BF9" i="39"/>
  <c r="L17" i="40"/>
  <c r="BJ17" i="39"/>
  <c r="AN26" i="39"/>
  <c r="BC26" i="39"/>
  <c r="J24" i="40"/>
  <c r="AS24" i="39"/>
  <c r="BH24" i="39"/>
  <c r="K17" i="40"/>
  <c r="BI17" i="39"/>
  <c r="AT17" i="39"/>
  <c r="AM26" i="39"/>
  <c r="BB26" i="39"/>
  <c r="AR27" i="39"/>
  <c r="BG27" i="39"/>
  <c r="O16" i="40"/>
  <c r="AX16" i="39"/>
  <c r="BM16" i="39"/>
  <c r="AN12" i="39"/>
  <c r="BC12" i="39"/>
  <c r="K8" i="40"/>
  <c r="BI8" i="39"/>
  <c r="AT8" i="39"/>
  <c r="N9" i="40"/>
  <c r="BL9" i="39"/>
  <c r="AW9" i="39"/>
  <c r="AN11" i="39"/>
  <c r="BC11" i="39"/>
  <c r="K25" i="40"/>
  <c r="AT25" i="39"/>
  <c r="BI25" i="39"/>
  <c r="AN13" i="39"/>
  <c r="BC13" i="39"/>
  <c r="O11" i="40"/>
  <c r="AX11" i="39"/>
  <c r="BM11" i="39"/>
  <c r="G26" i="40"/>
  <c r="AP26" i="39"/>
  <c r="BE26" i="39"/>
  <c r="G8" i="40"/>
  <c r="AP8" i="39"/>
  <c r="BE8" i="39"/>
  <c r="M18" i="40"/>
  <c r="BK18" i="39"/>
  <c r="AV18" i="39"/>
  <c r="H8" i="40"/>
  <c r="AQ8" i="39"/>
  <c r="BF8" i="39"/>
  <c r="AM11" i="39"/>
  <c r="BB11" i="39"/>
  <c r="BC7" i="39"/>
  <c r="AN7" i="39"/>
  <c r="AN31" i="39"/>
  <c r="BC31" i="39"/>
  <c r="J28" i="40"/>
  <c r="AS28" i="39"/>
  <c r="BH28" i="39"/>
  <c r="AW32" i="39"/>
  <c r="BL32" i="39"/>
  <c r="N32" i="40"/>
  <c r="M6" i="40"/>
  <c r="BK6" i="39"/>
  <c r="J17" i="40"/>
  <c r="AS17" i="39"/>
  <c r="BH17" i="39"/>
  <c r="O27" i="40"/>
  <c r="BM27" i="39"/>
  <c r="AX27" i="39"/>
  <c r="BL11" i="39"/>
  <c r="N11" i="40"/>
  <c r="AW11" i="39"/>
  <c r="AM25" i="39"/>
  <c r="BB25" i="39"/>
  <c r="E29" i="40"/>
  <c r="AN29" i="39"/>
  <c r="BC29" i="39"/>
  <c r="G34" i="40"/>
  <c r="AP34" i="39"/>
  <c r="BE34" i="39"/>
  <c r="H24" i="40"/>
  <c r="AQ24" i="39"/>
  <c r="BF24" i="39"/>
  <c r="J32" i="40"/>
  <c r="AS32" i="39"/>
  <c r="BH32" i="39"/>
  <c r="I23" i="40"/>
  <c r="AR23" i="39"/>
  <c r="BG23" i="39"/>
  <c r="AR26" i="39"/>
  <c r="BG26" i="39"/>
  <c r="G12" i="40"/>
  <c r="AP12" i="39"/>
  <c r="BE12" i="39"/>
  <c r="H33" i="40"/>
  <c r="AQ33" i="39"/>
  <c r="BF33" i="39"/>
  <c r="J23" i="40"/>
  <c r="AS23" i="39"/>
  <c r="BH23" i="39"/>
  <c r="N23" i="40"/>
  <c r="AW23" i="39"/>
  <c r="BL23" i="39"/>
  <c r="G6" i="40"/>
  <c r="AP6" i="39"/>
  <c r="BE6" i="39"/>
  <c r="N7" i="40"/>
  <c r="BL7" i="39"/>
  <c r="AW7" i="39"/>
  <c r="G35" i="40"/>
  <c r="AP35" i="39"/>
  <c r="BE35" i="39"/>
  <c r="M19" i="40"/>
  <c r="BK19" i="39"/>
  <c r="O15" i="40"/>
  <c r="AX15" i="39"/>
  <c r="BM15" i="39"/>
  <c r="O8" i="40"/>
  <c r="AX8" i="39"/>
  <c r="BM8" i="39"/>
  <c r="AO10" i="39"/>
  <c r="BD10" i="39"/>
  <c r="G32" i="40"/>
  <c r="AP32" i="39"/>
  <c r="BE32" i="39"/>
  <c r="F13" i="40"/>
  <c r="AO13" i="39"/>
  <c r="BD13" i="39"/>
  <c r="K12" i="40"/>
  <c r="BI12" i="39"/>
  <c r="AT12" i="39"/>
  <c r="L34" i="40"/>
  <c r="BJ34" i="39"/>
  <c r="AM32" i="39"/>
  <c r="BB32" i="39"/>
  <c r="L26" i="40"/>
  <c r="BJ26" i="39"/>
  <c r="K34" i="40"/>
  <c r="AT34" i="39"/>
  <c r="BI34" i="39"/>
  <c r="O18" i="40"/>
  <c r="AX18" i="39"/>
  <c r="BM18" i="39"/>
  <c r="K16" i="40"/>
  <c r="BI16" i="39"/>
  <c r="AT16" i="39"/>
  <c r="L15" i="40"/>
  <c r="BJ15" i="39"/>
  <c r="H34" i="40"/>
  <c r="AQ34" i="39"/>
  <c r="BF34" i="39"/>
  <c r="G7" i="40"/>
  <c r="AP7" i="39"/>
  <c r="BE7" i="39"/>
  <c r="AN24" i="39"/>
  <c r="BC24" i="39"/>
  <c r="M10" i="40"/>
  <c r="BK10" i="39"/>
  <c r="AV10" i="39"/>
  <c r="AR19" i="39"/>
  <c r="BG19" i="39"/>
  <c r="AS9" i="39"/>
  <c r="J9" i="40"/>
  <c r="BH9" i="39"/>
  <c r="AO15" i="39"/>
  <c r="BD15" i="39"/>
  <c r="G25" i="40"/>
  <c r="AP25" i="39"/>
  <c r="BE25" i="39"/>
  <c r="L31" i="40"/>
  <c r="BJ31" i="39"/>
  <c r="K11" i="40"/>
  <c r="BI11" i="39"/>
  <c r="AT11" i="39"/>
  <c r="G14" i="40"/>
  <c r="AP14" i="39"/>
  <c r="BE14" i="39"/>
  <c r="AR16" i="39"/>
  <c r="BG16" i="39"/>
  <c r="J6" i="40"/>
  <c r="AS6" i="39"/>
  <c r="BH6" i="39"/>
  <c r="L24" i="40"/>
  <c r="BJ24" i="39"/>
  <c r="K9" i="40"/>
  <c r="BI9" i="39"/>
  <c r="AT9" i="39"/>
  <c r="H27" i="40"/>
  <c r="AQ27" i="39"/>
  <c r="BF27" i="39"/>
  <c r="G18" i="40"/>
  <c r="AP18" i="39"/>
  <c r="BE18" i="39"/>
  <c r="O19" i="40"/>
  <c r="AX19" i="39"/>
  <c r="BM19" i="39"/>
  <c r="O30" i="40"/>
  <c r="BM30" i="39"/>
  <c r="AX30" i="39"/>
  <c r="J11" i="40"/>
  <c r="AS11" i="39"/>
  <c r="BH11" i="39"/>
  <c r="M7" i="40"/>
  <c r="BK7" i="39"/>
  <c r="K28" i="40"/>
  <c r="AT28" i="39"/>
  <c r="BI28" i="39"/>
  <c r="N16" i="40"/>
  <c r="BL16" i="39"/>
  <c r="AW16" i="39"/>
  <c r="K26" i="40"/>
  <c r="AT26" i="39"/>
  <c r="BI26" i="39"/>
  <c r="AO28" i="39"/>
  <c r="BD28" i="39"/>
  <c r="I17" i="40"/>
  <c r="AR17" i="39"/>
  <c r="BG17" i="39"/>
  <c r="L25" i="40"/>
  <c r="BJ25" i="39"/>
  <c r="G24" i="40"/>
  <c r="AP24" i="39"/>
  <c r="BE24" i="39"/>
  <c r="AN18" i="39"/>
  <c r="BC18" i="39"/>
  <c r="L36" i="40"/>
  <c r="BJ36" i="39"/>
  <c r="L10" i="40"/>
  <c r="BJ10" i="39"/>
  <c r="M36" i="40"/>
  <c r="BK36" i="39"/>
  <c r="AO33" i="39"/>
  <c r="BD33" i="39"/>
  <c r="N12" i="40"/>
  <c r="BL12" i="39"/>
  <c r="AW12" i="39"/>
  <c r="AM31" i="39"/>
  <c r="BB31" i="39"/>
  <c r="O36" i="40"/>
  <c r="AX36" i="39"/>
  <c r="BM36" i="39"/>
  <c r="AO8" i="39"/>
  <c r="BD8" i="39"/>
  <c r="M8" i="40"/>
  <c r="BK8" i="39"/>
  <c r="BJ14" i="39"/>
  <c r="L14" i="40"/>
  <c r="AS7" i="39"/>
  <c r="BH7" i="39"/>
  <c r="J7" i="40"/>
  <c r="AN27" i="39"/>
  <c r="BC27" i="39"/>
  <c r="I10" i="40"/>
  <c r="AR10" i="39"/>
  <c r="BG10" i="39"/>
  <c r="BC34" i="39"/>
  <c r="AN34" i="39"/>
  <c r="N8" i="40"/>
  <c r="BL8" i="39"/>
  <c r="AW8" i="39"/>
  <c r="K7" i="40"/>
  <c r="BI7" i="39"/>
  <c r="AT7" i="39"/>
  <c r="AO11" i="39"/>
  <c r="BD11" i="39"/>
  <c r="M28" i="40"/>
  <c r="AV28" i="39"/>
  <c r="BK28" i="39"/>
  <c r="AM33" i="39"/>
  <c r="BB33" i="39"/>
  <c r="G11" i="40"/>
  <c r="AP11" i="39"/>
  <c r="BE11" i="39"/>
  <c r="O26" i="40"/>
  <c r="BM26" i="39"/>
  <c r="AX26" i="39"/>
  <c r="H26" i="40"/>
  <c r="AQ26" i="39"/>
  <c r="BF26" i="39"/>
  <c r="AN28" i="39"/>
  <c r="BC28" i="39"/>
  <c r="AR7" i="39"/>
  <c r="BG7" i="39"/>
  <c r="K36" i="40"/>
  <c r="BI36" i="39"/>
  <c r="AT36" i="39"/>
  <c r="M24" i="40"/>
  <c r="AV24" i="39"/>
  <c r="BK24" i="39"/>
  <c r="M11" i="40"/>
  <c r="BK11" i="39"/>
  <c r="K13" i="40"/>
  <c r="BI13" i="39"/>
  <c r="AT13" i="39"/>
  <c r="AO23" i="39"/>
  <c r="BD23" i="39"/>
  <c r="AO17" i="39"/>
  <c r="BD17" i="39"/>
  <c r="M23" i="40"/>
  <c r="BK23" i="39"/>
  <c r="L35" i="40"/>
  <c r="BJ35" i="39"/>
  <c r="H25" i="40"/>
  <c r="AQ25" i="39"/>
  <c r="BF25" i="39"/>
  <c r="L28" i="40"/>
  <c r="BJ28" i="39"/>
  <c r="AQ10" i="39"/>
  <c r="BF10" i="39"/>
  <c r="H10" i="40"/>
  <c r="O14" i="40"/>
  <c r="AX14" i="39"/>
  <c r="BM14" i="39"/>
  <c r="O14" i="30"/>
  <c r="V109" i="15"/>
  <c r="Q128" i="15"/>
  <c r="J36" i="30"/>
  <c r="V30" i="15"/>
  <c r="L90" i="15"/>
  <c r="AA14" i="30"/>
  <c r="H14" i="30"/>
  <c r="Q12" i="15"/>
  <c r="V12" i="31"/>
  <c r="K98" i="15"/>
  <c r="Q50" i="15"/>
  <c r="V50" i="31"/>
  <c r="V14" i="30"/>
  <c r="U98" i="15"/>
  <c r="Q69" i="15"/>
  <c r="M36" i="30"/>
  <c r="T36" i="30"/>
  <c r="S44" i="30"/>
  <c r="F52" i="30" s="1"/>
  <c r="G52" i="30" s="1"/>
  <c r="V17" i="31"/>
  <c r="H19" i="30"/>
  <c r="Q17" i="15"/>
  <c r="Q95" i="15"/>
  <c r="AC19" i="30"/>
  <c r="J41" i="30"/>
  <c r="V35" i="15"/>
  <c r="X19" i="30"/>
  <c r="V55" i="15"/>
  <c r="V74" i="15"/>
  <c r="V41" i="30"/>
  <c r="O41" i="30"/>
  <c r="O19" i="30"/>
  <c r="Q133" i="15"/>
  <c r="V114" i="15"/>
  <c r="L94" i="15"/>
  <c r="AA18" i="30"/>
  <c r="J18" i="30"/>
  <c r="V16" i="15"/>
  <c r="V34" i="31"/>
  <c r="Q34" i="15"/>
  <c r="H40" i="30"/>
  <c r="V40" i="30"/>
  <c r="V73" i="15"/>
  <c r="O40" i="30"/>
  <c r="V54" i="31"/>
  <c r="Q54" i="15"/>
  <c r="V18" i="30"/>
  <c r="Q132" i="15"/>
  <c r="O18" i="30"/>
  <c r="V113" i="15"/>
  <c r="V33" i="15"/>
  <c r="J39" i="30"/>
  <c r="O39" i="30"/>
  <c r="V72" i="15"/>
  <c r="V39" i="30"/>
  <c r="H17" i="30"/>
  <c r="Q15" i="15"/>
  <c r="V15" i="31"/>
  <c r="Q112" i="15"/>
  <c r="L131" i="15"/>
  <c r="M17" i="30"/>
  <c r="Q93" i="15"/>
  <c r="AC17" i="30"/>
  <c r="X17" i="30"/>
  <c r="V53" i="15"/>
  <c r="AC16" i="30"/>
  <c r="M38" i="30"/>
  <c r="T38" i="30"/>
  <c r="Q71" i="15"/>
  <c r="V52" i="15"/>
  <c r="X16" i="30"/>
  <c r="L92" i="15"/>
  <c r="V14" i="31"/>
  <c r="Q14" i="15"/>
  <c r="H16" i="30"/>
  <c r="L130" i="15"/>
  <c r="M16" i="30"/>
  <c r="Q111" i="15"/>
  <c r="J38" i="30"/>
  <c r="V32" i="15"/>
  <c r="AD22" i="30"/>
  <c r="E56" i="30" s="1"/>
  <c r="G56" i="30" s="1"/>
  <c r="K22" i="30"/>
  <c r="V70" i="15"/>
  <c r="O37" i="30"/>
  <c r="V37" i="30"/>
  <c r="X15" i="30"/>
  <c r="V51" i="15"/>
  <c r="Q91" i="15"/>
  <c r="AC15" i="30"/>
  <c r="J15" i="30"/>
  <c r="V13" i="15"/>
  <c r="L129" i="15"/>
  <c r="M15" i="30"/>
  <c r="Q110" i="15"/>
  <c r="Q31" i="15"/>
  <c r="H37" i="30"/>
  <c r="V31" i="31"/>
  <c r="Q36" i="15"/>
  <c r="H42" i="30"/>
  <c r="V36" i="31"/>
  <c r="AC20" i="30"/>
  <c r="X20" i="30"/>
  <c r="V56" i="15"/>
  <c r="V18" i="31"/>
  <c r="Q18" i="15"/>
  <c r="H20" i="30"/>
  <c r="T42" i="30"/>
  <c r="M42" i="30"/>
  <c r="Q75" i="15"/>
  <c r="L134" i="15"/>
  <c r="Q115" i="15"/>
  <c r="M20" i="30"/>
  <c r="O9" i="30"/>
  <c r="V104" i="15"/>
  <c r="Q123" i="15"/>
  <c r="AC9" i="30"/>
  <c r="Q85" i="15"/>
  <c r="V45" i="15"/>
  <c r="X9" i="30"/>
  <c r="H9" i="30"/>
  <c r="Q7" i="15"/>
  <c r="V7" i="31"/>
  <c r="O31" i="30"/>
  <c r="V31" i="30"/>
  <c r="V64" i="15"/>
  <c r="H31" i="30"/>
  <c r="V25" i="31"/>
  <c r="Q25" i="15"/>
  <c r="J10" i="30"/>
  <c r="V8" i="15"/>
  <c r="V46" i="15"/>
  <c r="X10" i="30"/>
  <c r="V65" i="15"/>
  <c r="V32" i="30"/>
  <c r="O32" i="30"/>
  <c r="V26" i="31"/>
  <c r="H32" i="30"/>
  <c r="Q26" i="15"/>
  <c r="AC10" i="30"/>
  <c r="Q86" i="15"/>
  <c r="L124" i="15"/>
  <c r="M10" i="30"/>
  <c r="Q105" i="15"/>
  <c r="M8" i="30"/>
  <c r="Q103" i="15"/>
  <c r="L122" i="15"/>
  <c r="AC8" i="30"/>
  <c r="Q84" i="15"/>
  <c r="V44" i="15"/>
  <c r="X8" i="30"/>
  <c r="J8" i="30"/>
  <c r="V6" i="15"/>
  <c r="Q24" i="15"/>
  <c r="H30" i="30"/>
  <c r="V24" i="31"/>
  <c r="P98" i="15"/>
  <c r="V30" i="30"/>
  <c r="V63" i="15"/>
  <c r="O30" i="30"/>
  <c r="N44" i="30"/>
  <c r="Q97" i="15"/>
  <c r="AC21" i="30"/>
  <c r="F44" i="30"/>
  <c r="F22" i="30"/>
  <c r="Q135" i="15"/>
  <c r="V116" i="15"/>
  <c r="O21" i="30"/>
  <c r="X21" i="30"/>
  <c r="V57" i="15"/>
  <c r="N22" i="30"/>
  <c r="V76" i="15"/>
  <c r="V43" i="30"/>
  <c r="O43" i="30"/>
  <c r="H43" i="30"/>
  <c r="V37" i="31"/>
  <c r="Q37" i="15"/>
  <c r="Q19" i="15"/>
  <c r="V19" i="31"/>
  <c r="H21" i="30"/>
  <c r="L89" i="15"/>
  <c r="AA13" i="30"/>
  <c r="V13" i="30"/>
  <c r="V49" i="31"/>
  <c r="Q49" i="15"/>
  <c r="V35" i="30"/>
  <c r="O35" i="30"/>
  <c r="V68" i="15"/>
  <c r="Q11" i="15"/>
  <c r="V11" i="31"/>
  <c r="H13" i="30"/>
  <c r="U44" i="30"/>
  <c r="F54" i="30" s="1"/>
  <c r="L127" i="15"/>
  <c r="Q108" i="15"/>
  <c r="M13" i="30"/>
  <c r="V29" i="31"/>
  <c r="H35" i="30"/>
  <c r="Q29" i="15"/>
  <c r="T22" i="30"/>
  <c r="H12" i="30"/>
  <c r="Q10" i="15"/>
  <c r="V10" i="31"/>
  <c r="L126" i="15"/>
  <c r="Q107" i="15"/>
  <c r="M12" i="30"/>
  <c r="X12" i="30"/>
  <c r="V48" i="15"/>
  <c r="O34" i="30"/>
  <c r="V67" i="15"/>
  <c r="V34" i="30"/>
  <c r="Q88" i="15"/>
  <c r="AC12" i="30"/>
  <c r="Q28" i="15"/>
  <c r="H34" i="30"/>
  <c r="V28" i="31"/>
  <c r="G145" i="15"/>
  <c r="G136" i="15"/>
  <c r="U145" i="15"/>
  <c r="U136" i="15"/>
  <c r="L125" i="15"/>
  <c r="L117" i="15"/>
  <c r="Q106" i="15"/>
  <c r="M11" i="30"/>
  <c r="P136" i="15"/>
  <c r="P145" i="15"/>
  <c r="L87" i="15"/>
  <c r="L58" i="15"/>
  <c r="AA11" i="30"/>
  <c r="V47" i="31"/>
  <c r="Q47" i="15"/>
  <c r="V11" i="30"/>
  <c r="K145" i="15"/>
  <c r="K136" i="15"/>
  <c r="H11" i="30"/>
  <c r="Q9" i="15"/>
  <c r="V9" i="31"/>
  <c r="Q20" i="31"/>
  <c r="H33" i="30"/>
  <c r="V27" i="31"/>
  <c r="Q27" i="15"/>
  <c r="Q38" i="31"/>
  <c r="V66" i="15"/>
  <c r="V33" i="30"/>
  <c r="O33" i="30"/>
  <c r="AP29" i="39" l="1"/>
  <c r="G29" i="40"/>
  <c r="BE28" i="39"/>
  <c r="R57" i="53"/>
  <c r="U54" i="40"/>
  <c r="U57" i="53" s="1"/>
  <c r="T57" i="53"/>
  <c r="O525" i="44"/>
  <c r="T54" i="40"/>
  <c r="D14" i="40"/>
  <c r="X13" i="65" s="1"/>
  <c r="D10" i="40"/>
  <c r="D61" i="44" s="1"/>
  <c r="D16" i="40"/>
  <c r="D145" i="44" s="1"/>
  <c r="D67" i="40"/>
  <c r="D624" i="44" s="1"/>
  <c r="D64" i="40"/>
  <c r="D69" i="53" s="1"/>
  <c r="AU35" i="39"/>
  <c r="D26" i="40"/>
  <c r="D27" i="53" s="1"/>
  <c r="D15" i="40"/>
  <c r="D131" i="44" s="1"/>
  <c r="D69" i="40"/>
  <c r="D74" i="53" s="1"/>
  <c r="D60" i="40"/>
  <c r="D561" i="44" s="1"/>
  <c r="D19" i="40"/>
  <c r="D19" i="53" s="1"/>
  <c r="AU17" i="39"/>
  <c r="D12" i="40"/>
  <c r="X11" i="65" s="1"/>
  <c r="D13" i="40"/>
  <c r="X12" i="65" s="1"/>
  <c r="D27" i="40"/>
  <c r="D258" i="44" s="1"/>
  <c r="D28" i="40"/>
  <c r="X28" i="65" s="1"/>
  <c r="D70" i="40"/>
  <c r="D75" i="53" s="1"/>
  <c r="D58" i="40"/>
  <c r="D533" i="44" s="1"/>
  <c r="AU28" i="39"/>
  <c r="D33" i="40"/>
  <c r="D25" i="40"/>
  <c r="D230" i="44" s="1"/>
  <c r="D11" i="40"/>
  <c r="D11" i="53" s="1"/>
  <c r="D9" i="40"/>
  <c r="X8" i="65" s="1"/>
  <c r="D18" i="40"/>
  <c r="D173" i="44" s="1"/>
  <c r="D35" i="40"/>
  <c r="D36" i="53" s="1"/>
  <c r="D59" i="40"/>
  <c r="D64" i="53" s="1"/>
  <c r="AP28" i="39"/>
  <c r="D31" i="40"/>
  <c r="D32" i="40"/>
  <c r="D293" i="44" s="1"/>
  <c r="AU27" i="39"/>
  <c r="D30" i="40"/>
  <c r="D279" i="44" s="1"/>
  <c r="D24" i="40"/>
  <c r="X24" i="65" s="1"/>
  <c r="D34" i="40"/>
  <c r="D307" i="44" s="1"/>
  <c r="D7" i="40"/>
  <c r="X6" i="65" s="1"/>
  <c r="D29" i="40"/>
  <c r="D30" i="53" s="1"/>
  <c r="D36" i="40"/>
  <c r="D68" i="40"/>
  <c r="D73" i="53" s="1"/>
  <c r="D65" i="40"/>
  <c r="D610" i="44" s="1"/>
  <c r="AU34" i="39"/>
  <c r="D23" i="40"/>
  <c r="X23" i="65" s="1"/>
  <c r="D6" i="40"/>
  <c r="X5" i="65" s="1"/>
  <c r="D63" i="40"/>
  <c r="D68" i="53" s="1"/>
  <c r="D71" i="40"/>
  <c r="D659" i="44" s="1"/>
  <c r="D17" i="40"/>
  <c r="D8" i="40"/>
  <c r="D8" i="53" s="1"/>
  <c r="D62" i="40"/>
  <c r="D589" i="44" s="1"/>
  <c r="AP27" i="39"/>
  <c r="G27" i="40"/>
  <c r="H28" i="53" s="1"/>
  <c r="H85" i="40"/>
  <c r="E24" i="40"/>
  <c r="E25" i="53" s="1"/>
  <c r="E12" i="40"/>
  <c r="Y11" i="65" s="1"/>
  <c r="E13" i="40"/>
  <c r="Y12" i="65" s="1"/>
  <c r="E26" i="40"/>
  <c r="E244" i="44" s="1"/>
  <c r="F7" i="40"/>
  <c r="F7" i="53" s="1"/>
  <c r="E16" i="40"/>
  <c r="E16" i="53" s="1"/>
  <c r="E15" i="40"/>
  <c r="Y14" i="65" s="1"/>
  <c r="E525" i="44"/>
  <c r="E71" i="40"/>
  <c r="E659" i="44" s="1"/>
  <c r="E30" i="40"/>
  <c r="Y30" i="65" s="1"/>
  <c r="E64" i="40"/>
  <c r="E69" i="53" s="1"/>
  <c r="F67" i="40"/>
  <c r="F72" i="53" s="1"/>
  <c r="U54" i="33"/>
  <c r="O11" i="43" s="1"/>
  <c r="O74" i="44" s="1"/>
  <c r="F61" i="40"/>
  <c r="F66" i="53" s="1"/>
  <c r="O68" i="40"/>
  <c r="O631" i="44" s="1"/>
  <c r="E8" i="40"/>
  <c r="E8" i="53" s="1"/>
  <c r="E60" i="40"/>
  <c r="E561" i="44" s="1"/>
  <c r="F16" i="40"/>
  <c r="AE16" i="40" s="1"/>
  <c r="P17" i="42" s="1"/>
  <c r="G21" i="61" s="1"/>
  <c r="E32" i="40"/>
  <c r="E33" i="53" s="1"/>
  <c r="E35" i="40"/>
  <c r="E314" i="44" s="1"/>
  <c r="E33" i="40"/>
  <c r="E34" i="53" s="1"/>
  <c r="E17" i="40"/>
  <c r="Y16" i="65" s="1"/>
  <c r="F36" i="40"/>
  <c r="Z36" i="65" s="1"/>
  <c r="E19" i="40"/>
  <c r="E194" i="44" s="1"/>
  <c r="S54" i="33"/>
  <c r="J52" i="37"/>
  <c r="J53" i="37" s="1"/>
  <c r="L42" i="39" s="1"/>
  <c r="L42" i="40" s="1"/>
  <c r="L357" i="44" s="1"/>
  <c r="O64" i="40"/>
  <c r="O603" i="44" s="1"/>
  <c r="E34" i="40"/>
  <c r="Y34" i="65" s="1"/>
  <c r="E11" i="40"/>
  <c r="E75" i="44" s="1"/>
  <c r="E25" i="40"/>
  <c r="Y25" i="65" s="1"/>
  <c r="G51" i="30"/>
  <c r="E62" i="40"/>
  <c r="E67" i="53" s="1"/>
  <c r="F25" i="40"/>
  <c r="AE25" i="40" s="1"/>
  <c r="P26" i="42" s="1"/>
  <c r="G33" i="61" s="1"/>
  <c r="S51" i="33"/>
  <c r="E54" i="33"/>
  <c r="E69" i="40"/>
  <c r="E638" i="44" s="1"/>
  <c r="E66" i="40"/>
  <c r="E71" i="53" s="1"/>
  <c r="O62" i="40"/>
  <c r="T67" i="53" s="1"/>
  <c r="O61" i="40"/>
  <c r="T66" i="53" s="1"/>
  <c r="E63" i="40"/>
  <c r="E68" i="53" s="1"/>
  <c r="E58" i="40"/>
  <c r="E533" i="44" s="1"/>
  <c r="E23" i="40"/>
  <c r="E202" i="44" s="1"/>
  <c r="E18" i="40"/>
  <c r="Y17" i="65" s="1"/>
  <c r="U53" i="33"/>
  <c r="N53" i="33"/>
  <c r="J10" i="43" s="1"/>
  <c r="J60" i="44" s="1"/>
  <c r="F69" i="40"/>
  <c r="F638" i="44" s="1"/>
  <c r="E61" i="40"/>
  <c r="E575" i="44" s="1"/>
  <c r="E68" i="40"/>
  <c r="E73" i="53" s="1"/>
  <c r="E59" i="40"/>
  <c r="E64" i="53" s="1"/>
  <c r="E36" i="40"/>
  <c r="Y36" i="65" s="1"/>
  <c r="E31" i="40"/>
  <c r="E32" i="53" s="1"/>
  <c r="F30" i="40"/>
  <c r="AE30" i="40" s="1"/>
  <c r="P31" i="42" s="1"/>
  <c r="G38" i="61" s="1"/>
  <c r="F29" i="40"/>
  <c r="E10" i="40"/>
  <c r="E10" i="53" s="1"/>
  <c r="E67" i="40"/>
  <c r="E72" i="53" s="1"/>
  <c r="F63" i="40"/>
  <c r="F68" i="53" s="1"/>
  <c r="O60" i="40"/>
  <c r="T65" i="53" s="1"/>
  <c r="O69" i="40"/>
  <c r="T74" i="53" s="1"/>
  <c r="E9" i="40"/>
  <c r="E9" i="53" s="1"/>
  <c r="E7" i="40"/>
  <c r="Y6" i="65" s="1"/>
  <c r="F14" i="40"/>
  <c r="F117" i="44" s="1"/>
  <c r="E14" i="40"/>
  <c r="E14" i="53" s="1"/>
  <c r="I54" i="33"/>
  <c r="G11" i="43" s="1"/>
  <c r="G74" i="44" s="1"/>
  <c r="AA12" i="41"/>
  <c r="F13" i="75" s="1"/>
  <c r="T54" i="33"/>
  <c r="F68" i="40"/>
  <c r="F73" i="53" s="1"/>
  <c r="O70" i="40"/>
  <c r="T75" i="53" s="1"/>
  <c r="F23" i="40"/>
  <c r="AE23" i="40" s="1"/>
  <c r="P24" i="42" s="1"/>
  <c r="G31" i="61" s="1"/>
  <c r="E28" i="40"/>
  <c r="E265" i="44" s="1"/>
  <c r="E27" i="40"/>
  <c r="E28" i="53" s="1"/>
  <c r="O69" i="41"/>
  <c r="G53" i="33"/>
  <c r="O58" i="40"/>
  <c r="T63" i="53" s="1"/>
  <c r="O71" i="40"/>
  <c r="T76" i="53" s="1"/>
  <c r="T97" i="53" s="1"/>
  <c r="E6" i="40"/>
  <c r="E8" i="44" s="1"/>
  <c r="F53" i="33"/>
  <c r="N62" i="40"/>
  <c r="N589" i="44" s="1"/>
  <c r="O65" i="40"/>
  <c r="T70" i="53" s="1"/>
  <c r="F44" i="40"/>
  <c r="F385" i="44" s="1"/>
  <c r="O67" i="40"/>
  <c r="T72" i="53" s="1"/>
  <c r="G85" i="40"/>
  <c r="M57" i="53"/>
  <c r="M97" i="53" s="1"/>
  <c r="D525" i="44"/>
  <c r="R54" i="40"/>
  <c r="AF54" i="40" s="1"/>
  <c r="T20" i="42" s="1"/>
  <c r="I7" i="40"/>
  <c r="AC6" i="65" s="1"/>
  <c r="AU14" i="39"/>
  <c r="F8" i="40"/>
  <c r="AE8" i="40" s="1"/>
  <c r="P9" i="42" s="1"/>
  <c r="G13" i="61" s="1"/>
  <c r="AU10" i="39"/>
  <c r="I19" i="40"/>
  <c r="AC18" i="65" s="1"/>
  <c r="F24" i="40"/>
  <c r="AE24" i="40" s="1"/>
  <c r="P25" i="42" s="1"/>
  <c r="G32" i="61" s="1"/>
  <c r="I35" i="40"/>
  <c r="AC35" i="65" s="1"/>
  <c r="AV17" i="39"/>
  <c r="I30" i="40"/>
  <c r="AC30" i="65" s="1"/>
  <c r="I14" i="40"/>
  <c r="I117" i="44" s="1"/>
  <c r="F12" i="40"/>
  <c r="AE12" i="40" s="1"/>
  <c r="P13" i="42" s="1"/>
  <c r="G17" i="61" s="1"/>
  <c r="AV14" i="39"/>
  <c r="AU16" i="39"/>
  <c r="I36" i="40"/>
  <c r="AC36" i="65" s="1"/>
  <c r="I33" i="40"/>
  <c r="AC33" i="65" s="1"/>
  <c r="I24" i="40"/>
  <c r="J25" i="53" s="1"/>
  <c r="F59" i="40"/>
  <c r="F64" i="53" s="1"/>
  <c r="J57" i="53"/>
  <c r="F71" i="40"/>
  <c r="F76" i="53" s="1"/>
  <c r="I71" i="40"/>
  <c r="J76" i="53" s="1"/>
  <c r="I70" i="40"/>
  <c r="J75" i="53" s="1"/>
  <c r="I59" i="40"/>
  <c r="J64" i="53" s="1"/>
  <c r="F64" i="40"/>
  <c r="F69" i="53" s="1"/>
  <c r="F66" i="40"/>
  <c r="F71" i="53" s="1"/>
  <c r="AV23" i="39"/>
  <c r="F15" i="40"/>
  <c r="AE15" i="40" s="1"/>
  <c r="P16" i="42" s="1"/>
  <c r="G20" i="61" s="1"/>
  <c r="AU26" i="39"/>
  <c r="AV6" i="39"/>
  <c r="I27" i="40"/>
  <c r="AC27" i="65" s="1"/>
  <c r="F32" i="40"/>
  <c r="AE32" i="40" s="1"/>
  <c r="P33" i="42" s="1"/>
  <c r="G40" i="61" s="1"/>
  <c r="AV34" i="39"/>
  <c r="AU29" i="39"/>
  <c r="AU13" i="39"/>
  <c r="I29" i="40"/>
  <c r="J30" i="53" s="1"/>
  <c r="F35" i="40"/>
  <c r="AE35" i="40" s="1"/>
  <c r="P36" i="42" s="1"/>
  <c r="G43" i="61" s="1"/>
  <c r="I31" i="40"/>
  <c r="J32" i="53" s="1"/>
  <c r="AU12" i="39"/>
  <c r="I9" i="40"/>
  <c r="AC8" i="65" s="1"/>
  <c r="AV12" i="39"/>
  <c r="F6" i="40"/>
  <c r="Z5" i="65" s="1"/>
  <c r="I62" i="40"/>
  <c r="J67" i="53" s="1"/>
  <c r="AV8" i="39"/>
  <c r="I16" i="40"/>
  <c r="AC15" i="65" s="1"/>
  <c r="AU31" i="39"/>
  <c r="AU23" i="39"/>
  <c r="I25" i="40"/>
  <c r="J26" i="53" s="1"/>
  <c r="AV31" i="39"/>
  <c r="AV13" i="39"/>
  <c r="AU7" i="39"/>
  <c r="F18" i="40"/>
  <c r="AE18" i="40" s="1"/>
  <c r="P19" i="42" s="1"/>
  <c r="G23" i="61" s="1"/>
  <c r="F525" i="44"/>
  <c r="F70" i="40"/>
  <c r="F645" i="44" s="1"/>
  <c r="I68" i="40"/>
  <c r="J73" i="53" s="1"/>
  <c r="AE54" i="40"/>
  <c r="S20" i="42" s="1"/>
  <c r="F24" i="61" s="1"/>
  <c r="I65" i="40"/>
  <c r="I610" i="44" s="1"/>
  <c r="I58" i="40"/>
  <c r="J63" i="53" s="1"/>
  <c r="AV19" i="39"/>
  <c r="F19" i="40"/>
  <c r="AE19" i="40" s="1"/>
  <c r="P20" i="42" s="1"/>
  <c r="G24" i="61" s="1"/>
  <c r="AV27" i="39"/>
  <c r="F34" i="40"/>
  <c r="AE34" i="40" s="1"/>
  <c r="P35" i="42" s="1"/>
  <c r="G42" i="61" s="1"/>
  <c r="F9" i="40"/>
  <c r="AE9" i="40" s="1"/>
  <c r="P10" i="42" s="1"/>
  <c r="G14" i="61" s="1"/>
  <c r="AU6" i="39"/>
  <c r="AV25" i="39"/>
  <c r="I6" i="40"/>
  <c r="I8" i="44" s="1"/>
  <c r="I8" i="40"/>
  <c r="I33" i="44" s="1"/>
  <c r="AV35" i="39"/>
  <c r="F57" i="53"/>
  <c r="F58" i="40"/>
  <c r="F63" i="53" s="1"/>
  <c r="I66" i="40"/>
  <c r="J71" i="53" s="1"/>
  <c r="I69" i="40"/>
  <c r="J74" i="53" s="1"/>
  <c r="F33" i="40"/>
  <c r="AE33" i="40" s="1"/>
  <c r="P34" i="42" s="1"/>
  <c r="G41" i="61" s="1"/>
  <c r="F28" i="40"/>
  <c r="Z28" i="65" s="1"/>
  <c r="AV11" i="39"/>
  <c r="F11" i="40"/>
  <c r="AE11" i="40" s="1"/>
  <c r="P12" i="42" s="1"/>
  <c r="G16" i="61" s="1"/>
  <c r="AU25" i="39"/>
  <c r="AU15" i="39"/>
  <c r="F10" i="40"/>
  <c r="AE10" i="40" s="1"/>
  <c r="P11" i="42" s="1"/>
  <c r="G15" i="61" s="1"/>
  <c r="AU9" i="39"/>
  <c r="F26" i="40"/>
  <c r="AE26" i="40" s="1"/>
  <c r="P27" i="42" s="1"/>
  <c r="G34" i="61" s="1"/>
  <c r="I15" i="40"/>
  <c r="AC14" i="65" s="1"/>
  <c r="AU11" i="39"/>
  <c r="F27" i="40"/>
  <c r="I34" i="40"/>
  <c r="I307" i="44" s="1"/>
  <c r="AV29" i="39"/>
  <c r="AU30" i="39"/>
  <c r="I12" i="40"/>
  <c r="I89" i="44" s="1"/>
  <c r="AV32" i="39"/>
  <c r="F65" i="40"/>
  <c r="F610" i="44" s="1"/>
  <c r="I64" i="40"/>
  <c r="J69" i="53" s="1"/>
  <c r="F60" i="40"/>
  <c r="F65" i="53" s="1"/>
  <c r="I61" i="40"/>
  <c r="J66" i="53" s="1"/>
  <c r="AU36" i="39"/>
  <c r="AU24" i="39"/>
  <c r="F17" i="40"/>
  <c r="AE17" i="40" s="1"/>
  <c r="P18" i="42" s="1"/>
  <c r="G22" i="61" s="1"/>
  <c r="AV36" i="39"/>
  <c r="AV7" i="39"/>
  <c r="I26" i="40"/>
  <c r="I244" i="44" s="1"/>
  <c r="AU8" i="39"/>
  <c r="F31" i="40"/>
  <c r="AE31" i="40" s="1"/>
  <c r="P32" i="42" s="1"/>
  <c r="G39" i="61" s="1"/>
  <c r="AU33" i="39"/>
  <c r="AU32" i="39"/>
  <c r="I18" i="40"/>
  <c r="AC17" i="65" s="1"/>
  <c r="AV30" i="39"/>
  <c r="F42" i="40"/>
  <c r="F357" i="44" s="1"/>
  <c r="F62" i="40"/>
  <c r="F67" i="53" s="1"/>
  <c r="I67" i="40"/>
  <c r="J72" i="53" s="1"/>
  <c r="M17" i="37"/>
  <c r="M18" i="37" s="1"/>
  <c r="E50" i="39" s="1"/>
  <c r="E50" i="40" s="1"/>
  <c r="E469" i="44" s="1"/>
  <c r="M47" i="37"/>
  <c r="M48" i="37" s="1"/>
  <c r="K50" i="39" s="1"/>
  <c r="K50" i="40" s="1"/>
  <c r="K469" i="44" s="1"/>
  <c r="D62" i="37"/>
  <c r="D63" i="37" s="1"/>
  <c r="N44" i="39" s="1"/>
  <c r="N44" i="40" s="1"/>
  <c r="N385" i="44" s="1"/>
  <c r="E59" i="33"/>
  <c r="J59" i="33"/>
  <c r="M596" i="44"/>
  <c r="H68" i="53"/>
  <c r="AQ28" i="39"/>
  <c r="H28" i="40"/>
  <c r="AB28" i="65" s="1"/>
  <c r="AA32" i="41"/>
  <c r="F31" i="75" s="1"/>
  <c r="G547" i="44"/>
  <c r="I59" i="33"/>
  <c r="L33" i="41"/>
  <c r="M22" i="37"/>
  <c r="M23" i="37" s="1"/>
  <c r="F50" i="39" s="1"/>
  <c r="F50" i="40" s="1"/>
  <c r="F53" i="53" s="1"/>
  <c r="F85" i="40"/>
  <c r="L32" i="41"/>
  <c r="I69" i="41"/>
  <c r="BI31" i="39"/>
  <c r="AT31" i="39"/>
  <c r="J638" i="44"/>
  <c r="I24" i="61"/>
  <c r="H22" i="54"/>
  <c r="G54" i="41"/>
  <c r="AA37" i="41"/>
  <c r="F36" i="75" s="1"/>
  <c r="N631" i="44"/>
  <c r="H75" i="53"/>
  <c r="H638" i="44"/>
  <c r="S69" i="53"/>
  <c r="N71" i="53"/>
  <c r="AE13" i="40"/>
  <c r="P14" i="42" s="1"/>
  <c r="G18" i="61" s="1"/>
  <c r="AC71" i="40"/>
  <c r="N37" i="42" s="1"/>
  <c r="G40" i="75" s="1"/>
  <c r="G603" i="44"/>
  <c r="P17" i="37"/>
  <c r="P18" i="37" s="1"/>
  <c r="E53" i="39" s="1"/>
  <c r="E53" i="40" s="1"/>
  <c r="E56" i="53" s="1"/>
  <c r="E96" i="53" s="1"/>
  <c r="J17" i="37"/>
  <c r="J18" i="37" s="1"/>
  <c r="E42" i="39" s="1"/>
  <c r="E42" i="40" s="1"/>
  <c r="E357" i="44" s="1"/>
  <c r="J62" i="37"/>
  <c r="J63" i="37" s="1"/>
  <c r="N42" i="39" s="1"/>
  <c r="N42" i="40" s="1"/>
  <c r="S45" i="53" s="1"/>
  <c r="J57" i="37"/>
  <c r="J58" i="37" s="1"/>
  <c r="M42" i="39" s="1"/>
  <c r="M42" i="40" s="1"/>
  <c r="M357" i="44" s="1"/>
  <c r="J37" i="37"/>
  <c r="J38" i="37" s="1"/>
  <c r="I42" i="39" s="1"/>
  <c r="I42" i="40" s="1"/>
  <c r="I357" i="44" s="1"/>
  <c r="P67" i="37"/>
  <c r="P68" i="37" s="1"/>
  <c r="O53" i="39" s="1"/>
  <c r="O53" i="40" s="1"/>
  <c r="O511" i="44" s="1"/>
  <c r="J47" i="37"/>
  <c r="J48" i="37" s="1"/>
  <c r="K42" i="39" s="1"/>
  <c r="K42" i="40" s="1"/>
  <c r="N45" i="53" s="1"/>
  <c r="N85" i="53" s="1"/>
  <c r="P57" i="37"/>
  <c r="P58" i="37" s="1"/>
  <c r="M53" i="39" s="1"/>
  <c r="M53" i="40" s="1"/>
  <c r="R56" i="53" s="1"/>
  <c r="R96" i="53" s="1"/>
  <c r="P22" i="37"/>
  <c r="P23" i="37" s="1"/>
  <c r="F53" i="39" s="1"/>
  <c r="F53" i="40" s="1"/>
  <c r="F511" i="44" s="1"/>
  <c r="M52" i="37"/>
  <c r="M53" i="37" s="1"/>
  <c r="L50" i="39" s="1"/>
  <c r="L50" i="40" s="1"/>
  <c r="L469" i="44" s="1"/>
  <c r="D12" i="37"/>
  <c r="D13" i="37" s="1"/>
  <c r="D44" i="39" s="1"/>
  <c r="D44" i="40" s="1"/>
  <c r="D385" i="44" s="1"/>
  <c r="D42" i="37"/>
  <c r="D43" i="37" s="1"/>
  <c r="J44" i="39" s="1"/>
  <c r="J44" i="40" s="1"/>
  <c r="M47" i="53" s="1"/>
  <c r="M87" i="53" s="1"/>
  <c r="D47" i="37"/>
  <c r="D48" i="37" s="1"/>
  <c r="K44" i="39" s="1"/>
  <c r="K44" i="40" s="1"/>
  <c r="K385" i="44" s="1"/>
  <c r="D52" i="37"/>
  <c r="D53" i="37" s="1"/>
  <c r="L44" i="39" s="1"/>
  <c r="L44" i="40" s="1"/>
  <c r="O47" i="53" s="1"/>
  <c r="O87" i="53" s="1"/>
  <c r="D37" i="37"/>
  <c r="D38" i="37" s="1"/>
  <c r="I44" i="39" s="1"/>
  <c r="I44" i="40" s="1"/>
  <c r="I385" i="44" s="1"/>
  <c r="D17" i="37"/>
  <c r="D18" i="37" s="1"/>
  <c r="E44" i="39" s="1"/>
  <c r="E44" i="40" s="1"/>
  <c r="D67" i="37"/>
  <c r="D68" i="37" s="1"/>
  <c r="O44" i="39" s="1"/>
  <c r="O44" i="40" s="1"/>
  <c r="T47" i="53" s="1"/>
  <c r="D27" i="37"/>
  <c r="D28" i="37" s="1"/>
  <c r="G44" i="39" s="1"/>
  <c r="G44" i="40" s="1"/>
  <c r="G385" i="44" s="1"/>
  <c r="D57" i="37"/>
  <c r="D58" i="37" s="1"/>
  <c r="M44" i="39" s="1"/>
  <c r="M44" i="40" s="1"/>
  <c r="R47" i="53" s="1"/>
  <c r="R87" i="53" s="1"/>
  <c r="D32" i="37"/>
  <c r="D33" i="37" s="1"/>
  <c r="H44" i="39" s="1"/>
  <c r="H44" i="40" s="1"/>
  <c r="H385" i="44" s="1"/>
  <c r="M57" i="37"/>
  <c r="M58" i="37" s="1"/>
  <c r="M50" i="39" s="1"/>
  <c r="M50" i="40" s="1"/>
  <c r="M469" i="44" s="1"/>
  <c r="N52" i="33"/>
  <c r="J9" i="43" s="1"/>
  <c r="J46" i="44" s="1"/>
  <c r="J54" i="33"/>
  <c r="F94" i="43"/>
  <c r="F49" i="33"/>
  <c r="N54" i="33"/>
  <c r="P56" i="33"/>
  <c r="Q53" i="33"/>
  <c r="Q53" i="41" s="1"/>
  <c r="P54" i="33"/>
  <c r="L11" i="43" s="1"/>
  <c r="L74" i="44" s="1"/>
  <c r="F6" i="43"/>
  <c r="F7" i="44" s="1"/>
  <c r="L54" i="33"/>
  <c r="L54" i="41" s="1"/>
  <c r="J49" i="33"/>
  <c r="J49" i="41" s="1"/>
  <c r="O596" i="44"/>
  <c r="H76" i="53"/>
  <c r="H97" i="53" s="1"/>
  <c r="J596" i="44"/>
  <c r="M631" i="44"/>
  <c r="O645" i="44"/>
  <c r="M85" i="40"/>
  <c r="U85" i="40" s="1"/>
  <c r="U25" i="40" s="1"/>
  <c r="N575" i="44"/>
  <c r="T71" i="53"/>
  <c r="H72" i="53"/>
  <c r="J659" i="44"/>
  <c r="I55" i="33"/>
  <c r="U49" i="33"/>
  <c r="O6" i="43" s="1"/>
  <c r="O7" i="44" s="1"/>
  <c r="L13" i="41"/>
  <c r="M67" i="37"/>
  <c r="M68" i="37" s="1"/>
  <c r="O50" i="39" s="1"/>
  <c r="O50" i="40" s="1"/>
  <c r="O469" i="44" s="1"/>
  <c r="P32" i="37"/>
  <c r="P33" i="37" s="1"/>
  <c r="H53" i="39" s="1"/>
  <c r="H53" i="40" s="1"/>
  <c r="H511" i="44" s="1"/>
  <c r="P52" i="37"/>
  <c r="P53" i="37" s="1"/>
  <c r="L53" i="39" s="1"/>
  <c r="L53" i="40" s="1"/>
  <c r="O56" i="53" s="1"/>
  <c r="P27" i="37"/>
  <c r="P28" i="37" s="1"/>
  <c r="G53" i="39" s="1"/>
  <c r="G53" i="40" s="1"/>
  <c r="H56" i="53" s="1"/>
  <c r="E85" i="40"/>
  <c r="F102" i="43"/>
  <c r="S49" i="33"/>
  <c r="M6" i="43" s="1"/>
  <c r="M7" i="44" s="1"/>
  <c r="P59" i="33"/>
  <c r="G610" i="44"/>
  <c r="N67" i="53"/>
  <c r="E37" i="37"/>
  <c r="E38" i="37" s="1"/>
  <c r="I45" i="39" s="1"/>
  <c r="I45" i="40" s="1"/>
  <c r="I399" i="44" s="1"/>
  <c r="E32" i="37"/>
  <c r="E33" i="37" s="1"/>
  <c r="H45" i="39" s="1"/>
  <c r="H45" i="40" s="1"/>
  <c r="H399" i="44" s="1"/>
  <c r="G56" i="33"/>
  <c r="F13" i="43" s="1"/>
  <c r="F102" i="44" s="1"/>
  <c r="O60" i="33"/>
  <c r="E17" i="37"/>
  <c r="E18" i="37" s="1"/>
  <c r="E45" i="39" s="1"/>
  <c r="E45" i="40" s="1"/>
  <c r="E399" i="44" s="1"/>
  <c r="L50" i="33"/>
  <c r="L50" i="41" s="1"/>
  <c r="P50" i="33"/>
  <c r="E67" i="37"/>
  <c r="E68" i="37" s="1"/>
  <c r="O45" i="39" s="1"/>
  <c r="O45" i="40" s="1"/>
  <c r="O399" i="44" s="1"/>
  <c r="E57" i="37"/>
  <c r="E58" i="37" s="1"/>
  <c r="M45" i="39" s="1"/>
  <c r="M45" i="40" s="1"/>
  <c r="M399" i="44" s="1"/>
  <c r="J56" i="33"/>
  <c r="H13" i="43" s="1"/>
  <c r="H102" i="44" s="1"/>
  <c r="E22" i="37"/>
  <c r="E23" i="37" s="1"/>
  <c r="F45" i="39" s="1"/>
  <c r="F45" i="40" s="1"/>
  <c r="F399" i="44" s="1"/>
  <c r="J67" i="37"/>
  <c r="J68" i="37" s="1"/>
  <c r="O42" i="39" s="1"/>
  <c r="O42" i="40" s="1"/>
  <c r="T45" i="53" s="1"/>
  <c r="E52" i="37"/>
  <c r="E53" i="37" s="1"/>
  <c r="L45" i="39" s="1"/>
  <c r="L45" i="40" s="1"/>
  <c r="O48" i="53" s="1"/>
  <c r="J27" i="37"/>
  <c r="J28" i="37" s="1"/>
  <c r="G42" i="39" s="1"/>
  <c r="G42" i="40" s="1"/>
  <c r="H45" i="53" s="1"/>
  <c r="H85" i="53" s="1"/>
  <c r="M37" i="37"/>
  <c r="M38" i="37" s="1"/>
  <c r="I50" i="39" s="1"/>
  <c r="I50" i="40" s="1"/>
  <c r="J53" i="53" s="1"/>
  <c r="E27" i="37"/>
  <c r="E28" i="37" s="1"/>
  <c r="G45" i="39" s="1"/>
  <c r="G45" i="40" s="1"/>
  <c r="G399" i="44" s="1"/>
  <c r="J12" i="37"/>
  <c r="J13" i="37" s="1"/>
  <c r="D42" i="39" s="1"/>
  <c r="D42" i="40" s="1"/>
  <c r="M42" i="37"/>
  <c r="M43" i="37" s="1"/>
  <c r="J50" i="39" s="1"/>
  <c r="J50" i="40" s="1"/>
  <c r="J469" i="44" s="1"/>
  <c r="P12" i="37"/>
  <c r="P13" i="37" s="1"/>
  <c r="D53" i="39" s="1"/>
  <c r="D53" i="40" s="1"/>
  <c r="S57" i="33"/>
  <c r="S56" i="33"/>
  <c r="S56" i="41" s="1"/>
  <c r="Q12" i="41"/>
  <c r="P62" i="37"/>
  <c r="P63" i="37" s="1"/>
  <c r="N53" i="39" s="1"/>
  <c r="N53" i="40" s="1"/>
  <c r="S56" i="53" s="1"/>
  <c r="S96" i="53" s="1"/>
  <c r="P42" i="37"/>
  <c r="P43" i="37" s="1"/>
  <c r="J53" i="39" s="1"/>
  <c r="J53" i="40" s="1"/>
  <c r="M56" i="53" s="1"/>
  <c r="I90" i="43"/>
  <c r="AC58" i="40"/>
  <c r="N24" i="42" s="1"/>
  <c r="H29" i="54" s="1"/>
  <c r="N617" i="44"/>
  <c r="K603" i="44"/>
  <c r="J617" i="44"/>
  <c r="L631" i="44"/>
  <c r="J603" i="44"/>
  <c r="N60" i="33"/>
  <c r="T56" i="33"/>
  <c r="E57" i="33"/>
  <c r="D14" i="43" s="1"/>
  <c r="D116" i="44" s="1"/>
  <c r="K56" i="33"/>
  <c r="I13" i="43" s="1"/>
  <c r="I102" i="44" s="1"/>
  <c r="O56" i="33"/>
  <c r="K13" i="43" s="1"/>
  <c r="K102" i="44" s="1"/>
  <c r="K54" i="33"/>
  <c r="I11" i="43" s="1"/>
  <c r="I74" i="44" s="1"/>
  <c r="E62" i="37"/>
  <c r="E63" i="37" s="1"/>
  <c r="N45" i="39" s="1"/>
  <c r="N45" i="40" s="1"/>
  <c r="S48" i="53" s="1"/>
  <c r="E42" i="37"/>
  <c r="E43" i="37" s="1"/>
  <c r="J45" i="39" s="1"/>
  <c r="J45" i="40" s="1"/>
  <c r="J399" i="44" s="1"/>
  <c r="J42" i="37"/>
  <c r="J43" i="37" s="1"/>
  <c r="J42" i="39" s="1"/>
  <c r="J42" i="40" s="1"/>
  <c r="M45" i="53" s="1"/>
  <c r="P37" i="37"/>
  <c r="P38" i="37" s="1"/>
  <c r="I53" i="39" s="1"/>
  <c r="I53" i="40" s="1"/>
  <c r="J56" i="53" s="1"/>
  <c r="E12" i="37"/>
  <c r="E13" i="37" s="1"/>
  <c r="D45" i="39" s="1"/>
  <c r="D45" i="40" s="1"/>
  <c r="N68" i="53"/>
  <c r="AC61" i="40"/>
  <c r="N27" i="42" s="1"/>
  <c r="H32" i="54" s="1"/>
  <c r="E610" i="44"/>
  <c r="H73" i="53"/>
  <c r="G638" i="44"/>
  <c r="T66" i="40"/>
  <c r="L617" i="44"/>
  <c r="K533" i="44"/>
  <c r="K511" i="44"/>
  <c r="D66" i="53"/>
  <c r="D575" i="44"/>
  <c r="N645" i="44"/>
  <c r="L638" i="44"/>
  <c r="G561" i="44"/>
  <c r="K624" i="44"/>
  <c r="G533" i="44"/>
  <c r="H357" i="44"/>
  <c r="N48" i="53"/>
  <c r="G54" i="30"/>
  <c r="T61" i="33"/>
  <c r="T61" i="41" s="1"/>
  <c r="L100" i="43"/>
  <c r="K61" i="33"/>
  <c r="I18" i="43" s="1"/>
  <c r="I172" i="44" s="1"/>
  <c r="F55" i="33"/>
  <c r="E12" i="43" s="1"/>
  <c r="E88" i="44" s="1"/>
  <c r="T55" i="33"/>
  <c r="N12" i="43" s="1"/>
  <c r="N88" i="44" s="1"/>
  <c r="O55" i="33"/>
  <c r="O61" i="33"/>
  <c r="K18" i="43" s="1"/>
  <c r="K172" i="44" s="1"/>
  <c r="H62" i="37"/>
  <c r="H63" i="37" s="1"/>
  <c r="N43" i="39" s="1"/>
  <c r="N43" i="40" s="1"/>
  <c r="S46" i="53" s="1"/>
  <c r="H57" i="37"/>
  <c r="H58" i="37" s="1"/>
  <c r="M43" i="39" s="1"/>
  <c r="M43" i="40" s="1"/>
  <c r="M371" i="44" s="1"/>
  <c r="H67" i="37"/>
  <c r="H68" i="37" s="1"/>
  <c r="O43" i="39" s="1"/>
  <c r="O43" i="40" s="1"/>
  <c r="H17" i="37"/>
  <c r="H18" i="37" s="1"/>
  <c r="E43" i="39" s="1"/>
  <c r="E43" i="40" s="1"/>
  <c r="H42" i="37"/>
  <c r="H43" i="37" s="1"/>
  <c r="J43" i="39" s="1"/>
  <c r="J43" i="40" s="1"/>
  <c r="J371" i="44" s="1"/>
  <c r="H27" i="37"/>
  <c r="H28" i="37" s="1"/>
  <c r="G43" i="39" s="1"/>
  <c r="G43" i="40" s="1"/>
  <c r="H47" i="37"/>
  <c r="H48" i="37" s="1"/>
  <c r="K43" i="39" s="1"/>
  <c r="K43" i="40" s="1"/>
  <c r="N46" i="53" s="1"/>
  <c r="N86" i="53" s="1"/>
  <c r="H52" i="37"/>
  <c r="H53" i="37" s="1"/>
  <c r="L43" i="39" s="1"/>
  <c r="L43" i="40" s="1"/>
  <c r="O46" i="53" s="1"/>
  <c r="O86" i="53" s="1"/>
  <c r="H32" i="37"/>
  <c r="H33" i="37" s="1"/>
  <c r="H43" i="39" s="1"/>
  <c r="H43" i="40" s="1"/>
  <c r="H37" i="37"/>
  <c r="H38" i="37" s="1"/>
  <c r="I43" i="39" s="1"/>
  <c r="I43" i="40" s="1"/>
  <c r="J46" i="53" s="1"/>
  <c r="H22" i="37"/>
  <c r="H23" i="37" s="1"/>
  <c r="F43" i="39" s="1"/>
  <c r="F43" i="40" s="1"/>
  <c r="H12" i="37"/>
  <c r="H13" i="37" s="1"/>
  <c r="D43" i="39" s="1"/>
  <c r="D43" i="40" s="1"/>
  <c r="D371" i="44" s="1"/>
  <c r="S60" i="33"/>
  <c r="M17" i="43" s="1"/>
  <c r="M158" i="44" s="1"/>
  <c r="K83" i="33"/>
  <c r="I40" i="43" s="1"/>
  <c r="E55" i="33"/>
  <c r="F100" i="43"/>
  <c r="J51" i="33"/>
  <c r="H8" i="43" s="1"/>
  <c r="H32" i="44" s="1"/>
  <c r="I61" i="43"/>
  <c r="I676" i="44" s="1"/>
  <c r="N51" i="33"/>
  <c r="N51" i="41" s="1"/>
  <c r="P51" i="33"/>
  <c r="L8" i="43" s="1"/>
  <c r="L32" i="44" s="1"/>
  <c r="E50" i="33"/>
  <c r="U56" i="33"/>
  <c r="U50" i="33"/>
  <c r="T59" i="33"/>
  <c r="N59" i="33"/>
  <c r="J16" i="43" s="1"/>
  <c r="J144" i="44" s="1"/>
  <c r="N57" i="33"/>
  <c r="J14" i="43" s="1"/>
  <c r="J116" i="44" s="1"/>
  <c r="V28" i="41"/>
  <c r="N61" i="33"/>
  <c r="N61" i="41" s="1"/>
  <c r="M32" i="37"/>
  <c r="M33" i="37" s="1"/>
  <c r="H50" i="39" s="1"/>
  <c r="H50" i="40" s="1"/>
  <c r="M12" i="37"/>
  <c r="M13" i="37" s="1"/>
  <c r="D50" i="39" s="1"/>
  <c r="D50" i="40" s="1"/>
  <c r="M27" i="37"/>
  <c r="M28" i="37" s="1"/>
  <c r="G50" i="39" s="1"/>
  <c r="G50" i="40" s="1"/>
  <c r="J50" i="33"/>
  <c r="M93" i="43"/>
  <c r="U55" i="33"/>
  <c r="O12" i="43" s="1"/>
  <c r="O88" i="44" s="1"/>
  <c r="I56" i="33"/>
  <c r="G13" i="43" s="1"/>
  <c r="G102" i="44" s="1"/>
  <c r="N56" i="33"/>
  <c r="Q56" i="33"/>
  <c r="Q56" i="41" s="1"/>
  <c r="N97" i="53"/>
  <c r="G98" i="43"/>
  <c r="AA14" i="41"/>
  <c r="F15" i="75" s="1"/>
  <c r="S83" i="33"/>
  <c r="M40" i="43" s="1"/>
  <c r="T60" i="33"/>
  <c r="N17" i="43" s="1"/>
  <c r="N158" i="44" s="1"/>
  <c r="G61" i="33"/>
  <c r="F18" i="43" s="1"/>
  <c r="F172" i="44" s="1"/>
  <c r="E56" i="33"/>
  <c r="E56" i="41" s="1"/>
  <c r="G575" i="44"/>
  <c r="K645" i="44"/>
  <c r="L533" i="44"/>
  <c r="O64" i="53"/>
  <c r="K610" i="44"/>
  <c r="H596" i="44"/>
  <c r="K659" i="44"/>
  <c r="T85" i="40"/>
  <c r="T27" i="40" s="1"/>
  <c r="AC60" i="40"/>
  <c r="N26" i="42" s="1"/>
  <c r="H31" i="54" s="1"/>
  <c r="L561" i="44"/>
  <c r="T63" i="40"/>
  <c r="N596" i="44"/>
  <c r="O68" i="53"/>
  <c r="U63" i="40"/>
  <c r="U68" i="53" s="1"/>
  <c r="L610" i="44"/>
  <c r="K631" i="44"/>
  <c r="K547" i="44"/>
  <c r="H547" i="44"/>
  <c r="T59" i="40"/>
  <c r="M64" i="53"/>
  <c r="S63" i="40"/>
  <c r="K68" i="53" s="1"/>
  <c r="U66" i="40"/>
  <c r="U71" i="53" s="1"/>
  <c r="T60" i="40"/>
  <c r="K561" i="44"/>
  <c r="T67" i="40"/>
  <c r="L624" i="44"/>
  <c r="T58" i="40"/>
  <c r="S74" i="53"/>
  <c r="S64" i="53"/>
  <c r="N610" i="44"/>
  <c r="K638" i="44"/>
  <c r="J65" i="53"/>
  <c r="T69" i="40"/>
  <c r="I596" i="44"/>
  <c r="J68" i="53"/>
  <c r="L575" i="44"/>
  <c r="O76" i="53"/>
  <c r="O97" i="53" s="1"/>
  <c r="T71" i="40"/>
  <c r="H561" i="44"/>
  <c r="H67" i="53"/>
  <c r="S60" i="40"/>
  <c r="K65" i="53" s="1"/>
  <c r="O67" i="53"/>
  <c r="H533" i="44"/>
  <c r="AC70" i="40"/>
  <c r="N36" i="42" s="1"/>
  <c r="I43" i="61" s="1"/>
  <c r="L101" i="43"/>
  <c r="F56" i="41"/>
  <c r="G52" i="37"/>
  <c r="G53" i="37" s="1"/>
  <c r="L46" i="39" s="1"/>
  <c r="L46" i="40" s="1"/>
  <c r="G22" i="37"/>
  <c r="G23" i="37" s="1"/>
  <c r="F46" i="39" s="1"/>
  <c r="F46" i="40" s="1"/>
  <c r="F413" i="44" s="1"/>
  <c r="G27" i="37"/>
  <c r="G28" i="37" s="1"/>
  <c r="G46" i="39" s="1"/>
  <c r="G46" i="40" s="1"/>
  <c r="G47" i="37"/>
  <c r="G48" i="37" s="1"/>
  <c r="K46" i="39" s="1"/>
  <c r="K46" i="40" s="1"/>
  <c r="G67" i="37"/>
  <c r="G68" i="37" s="1"/>
  <c r="O46" i="39" s="1"/>
  <c r="O46" i="40" s="1"/>
  <c r="G37" i="37"/>
  <c r="G38" i="37" s="1"/>
  <c r="I46" i="39" s="1"/>
  <c r="I46" i="40" s="1"/>
  <c r="G57" i="37"/>
  <c r="G58" i="37" s="1"/>
  <c r="M46" i="39" s="1"/>
  <c r="M46" i="40" s="1"/>
  <c r="R49" i="53" s="1"/>
  <c r="R89" i="53" s="1"/>
  <c r="G62" i="37"/>
  <c r="G63" i="37" s="1"/>
  <c r="N46" i="39" s="1"/>
  <c r="N46" i="40" s="1"/>
  <c r="S49" i="53" s="1"/>
  <c r="S89" i="53" s="1"/>
  <c r="G17" i="37"/>
  <c r="G18" i="37" s="1"/>
  <c r="E46" i="39" s="1"/>
  <c r="E46" i="40" s="1"/>
  <c r="G32" i="37"/>
  <c r="G33" i="37" s="1"/>
  <c r="H46" i="39" s="1"/>
  <c r="H46" i="40" s="1"/>
  <c r="G42" i="37"/>
  <c r="G43" i="37" s="1"/>
  <c r="J46" i="39" s="1"/>
  <c r="J46" i="40" s="1"/>
  <c r="M49" i="53" s="1"/>
  <c r="M89" i="53" s="1"/>
  <c r="G12" i="37"/>
  <c r="G13" i="37" s="1"/>
  <c r="D46" i="39" s="1"/>
  <c r="D46" i="40" s="1"/>
  <c r="N42" i="37"/>
  <c r="N43" i="37" s="1"/>
  <c r="J48" i="39" s="1"/>
  <c r="J48" i="40" s="1"/>
  <c r="N27" i="37"/>
  <c r="N28" i="37" s="1"/>
  <c r="G48" i="39" s="1"/>
  <c r="G48" i="40" s="1"/>
  <c r="N37" i="37"/>
  <c r="N38" i="37" s="1"/>
  <c r="I48" i="39" s="1"/>
  <c r="I48" i="40" s="1"/>
  <c r="N62" i="37"/>
  <c r="N63" i="37" s="1"/>
  <c r="N48" i="39" s="1"/>
  <c r="N48" i="40" s="1"/>
  <c r="N12" i="37"/>
  <c r="N13" i="37" s="1"/>
  <c r="D48" i="39" s="1"/>
  <c r="D48" i="40" s="1"/>
  <c r="N47" i="37"/>
  <c r="N48" i="37" s="1"/>
  <c r="K48" i="39" s="1"/>
  <c r="K48" i="40" s="1"/>
  <c r="N32" i="37"/>
  <c r="N33" i="37" s="1"/>
  <c r="H48" i="39" s="1"/>
  <c r="H48" i="40" s="1"/>
  <c r="N22" i="37"/>
  <c r="N23" i="37" s="1"/>
  <c r="F48" i="39" s="1"/>
  <c r="F48" i="40" s="1"/>
  <c r="F51" i="53" s="1"/>
  <c r="N52" i="37"/>
  <c r="N53" i="37" s="1"/>
  <c r="L48" i="39" s="1"/>
  <c r="L48" i="40" s="1"/>
  <c r="O51" i="53" s="1"/>
  <c r="O91" i="53" s="1"/>
  <c r="N17" i="37"/>
  <c r="N18" i="37" s="1"/>
  <c r="E48" i="39" s="1"/>
  <c r="E48" i="40" s="1"/>
  <c r="E441" i="44" s="1"/>
  <c r="N67" i="37"/>
  <c r="N68" i="37" s="1"/>
  <c r="O48" i="39" s="1"/>
  <c r="O48" i="40" s="1"/>
  <c r="N57" i="37"/>
  <c r="N58" i="37" s="1"/>
  <c r="M48" i="39" s="1"/>
  <c r="M48" i="40" s="1"/>
  <c r="R38" i="42"/>
  <c r="I63" i="53"/>
  <c r="F83" i="33"/>
  <c r="E40" i="43" s="1"/>
  <c r="E96" i="43"/>
  <c r="O93" i="43"/>
  <c r="J60" i="33"/>
  <c r="J60" i="41" s="1"/>
  <c r="N98" i="43"/>
  <c r="K32" i="37"/>
  <c r="K33" i="37" s="1"/>
  <c r="H51" i="39" s="1"/>
  <c r="H51" i="40" s="1"/>
  <c r="K37" i="37"/>
  <c r="K38" i="37" s="1"/>
  <c r="I51" i="39" s="1"/>
  <c r="I51" i="40" s="1"/>
  <c r="K47" i="37"/>
  <c r="K48" i="37" s="1"/>
  <c r="K51" i="39" s="1"/>
  <c r="K51" i="40" s="1"/>
  <c r="K22" i="37"/>
  <c r="K23" i="37" s="1"/>
  <c r="F51" i="39" s="1"/>
  <c r="F51" i="40" s="1"/>
  <c r="F54" i="53" s="1"/>
  <c r="K67" i="37"/>
  <c r="K68" i="37" s="1"/>
  <c r="O51" i="39" s="1"/>
  <c r="O51" i="40" s="1"/>
  <c r="K17" i="37"/>
  <c r="K18" i="37" s="1"/>
  <c r="E51" i="39" s="1"/>
  <c r="E51" i="40" s="1"/>
  <c r="K42" i="37"/>
  <c r="K43" i="37" s="1"/>
  <c r="J51" i="39" s="1"/>
  <c r="J51" i="40" s="1"/>
  <c r="K12" i="37"/>
  <c r="K13" i="37" s="1"/>
  <c r="D51" i="39" s="1"/>
  <c r="D51" i="40" s="1"/>
  <c r="D54" i="53" s="1"/>
  <c r="K27" i="37"/>
  <c r="K28" i="37" s="1"/>
  <c r="G51" i="39" s="1"/>
  <c r="G51" i="40" s="1"/>
  <c r="K57" i="37"/>
  <c r="K58" i="37" s="1"/>
  <c r="M51" i="39" s="1"/>
  <c r="M51" i="40" s="1"/>
  <c r="R54" i="53" s="1"/>
  <c r="R94" i="53" s="1"/>
  <c r="K52" i="37"/>
  <c r="K53" i="37" s="1"/>
  <c r="L51" i="39" s="1"/>
  <c r="L51" i="40" s="1"/>
  <c r="K62" i="37"/>
  <c r="K63" i="37" s="1"/>
  <c r="N51" i="39" s="1"/>
  <c r="N51" i="40" s="1"/>
  <c r="G72" i="40"/>
  <c r="G685" i="44" s="1"/>
  <c r="D85" i="40"/>
  <c r="I102" i="43"/>
  <c r="F51" i="33"/>
  <c r="E8" i="43" s="1"/>
  <c r="E32" i="44" s="1"/>
  <c r="H589" i="44"/>
  <c r="E645" i="44"/>
  <c r="G617" i="44"/>
  <c r="E81" i="43"/>
  <c r="E684" i="44" s="1"/>
  <c r="L72" i="40"/>
  <c r="L685" i="44" s="1"/>
  <c r="N55" i="33"/>
  <c r="J12" i="43" s="1"/>
  <c r="J88" i="44" s="1"/>
  <c r="L42" i="37"/>
  <c r="L43" i="37" s="1"/>
  <c r="J52" i="39" s="1"/>
  <c r="J52" i="40" s="1"/>
  <c r="J497" i="44" s="1"/>
  <c r="L17" i="37"/>
  <c r="L18" i="37" s="1"/>
  <c r="E52" i="39" s="1"/>
  <c r="E52" i="40" s="1"/>
  <c r="L37" i="37"/>
  <c r="L38" i="37" s="1"/>
  <c r="I52" i="39" s="1"/>
  <c r="I52" i="40" s="1"/>
  <c r="L32" i="37"/>
  <c r="L33" i="37" s="1"/>
  <c r="H52" i="39" s="1"/>
  <c r="H52" i="40" s="1"/>
  <c r="L22" i="37"/>
  <c r="L23" i="37" s="1"/>
  <c r="F52" i="39" s="1"/>
  <c r="F52" i="40" s="1"/>
  <c r="F497" i="44" s="1"/>
  <c r="L67" i="37"/>
  <c r="L68" i="37" s="1"/>
  <c r="O52" i="39" s="1"/>
  <c r="O52" i="40" s="1"/>
  <c r="L47" i="37"/>
  <c r="L48" i="37" s="1"/>
  <c r="K52" i="39" s="1"/>
  <c r="K52" i="40" s="1"/>
  <c r="L57" i="37"/>
  <c r="L58" i="37" s="1"/>
  <c r="M52" i="39" s="1"/>
  <c r="M52" i="40" s="1"/>
  <c r="R55" i="53" s="1"/>
  <c r="L27" i="37"/>
  <c r="L28" i="37" s="1"/>
  <c r="G52" i="39" s="1"/>
  <c r="G52" i="40" s="1"/>
  <c r="L62" i="37"/>
  <c r="L63" i="37" s="1"/>
  <c r="N52" i="39" s="1"/>
  <c r="N52" i="40" s="1"/>
  <c r="L12" i="37"/>
  <c r="L13" i="37" s="1"/>
  <c r="D52" i="39" s="1"/>
  <c r="D52" i="40" s="1"/>
  <c r="L52" i="37"/>
  <c r="L53" i="37" s="1"/>
  <c r="L52" i="39" s="1"/>
  <c r="L52" i="40" s="1"/>
  <c r="K575" i="44"/>
  <c r="H624" i="44"/>
  <c r="L603" i="44"/>
  <c r="K72" i="40"/>
  <c r="K685" i="44" s="1"/>
  <c r="O83" i="33"/>
  <c r="K40" i="43" s="1"/>
  <c r="O51" i="33"/>
  <c r="O51" i="41" s="1"/>
  <c r="G97" i="43"/>
  <c r="O102" i="43"/>
  <c r="T50" i="33"/>
  <c r="N7" i="43" s="1"/>
  <c r="N18" i="44" s="1"/>
  <c r="O17" i="37"/>
  <c r="O18" i="37" s="1"/>
  <c r="E49" i="39" s="1"/>
  <c r="E49" i="40" s="1"/>
  <c r="E52" i="53" s="1"/>
  <c r="O27" i="37"/>
  <c r="O28" i="37" s="1"/>
  <c r="G49" i="39" s="1"/>
  <c r="G49" i="40" s="1"/>
  <c r="O42" i="37"/>
  <c r="O43" i="37" s="1"/>
  <c r="J49" i="39" s="1"/>
  <c r="J49" i="40" s="1"/>
  <c r="M52" i="53" s="1"/>
  <c r="M92" i="53" s="1"/>
  <c r="O47" i="37"/>
  <c r="O48" i="37" s="1"/>
  <c r="K49" i="39" s="1"/>
  <c r="K49" i="40" s="1"/>
  <c r="O37" i="37"/>
  <c r="O38" i="37" s="1"/>
  <c r="I49" i="39" s="1"/>
  <c r="I49" i="40" s="1"/>
  <c r="O22" i="37"/>
  <c r="O23" i="37" s="1"/>
  <c r="F49" i="39" s="1"/>
  <c r="F49" i="40" s="1"/>
  <c r="O32" i="37"/>
  <c r="O33" i="37" s="1"/>
  <c r="H49" i="39" s="1"/>
  <c r="H49" i="40" s="1"/>
  <c r="O12" i="37"/>
  <c r="O13" i="37" s="1"/>
  <c r="D49" i="39" s="1"/>
  <c r="D49" i="40" s="1"/>
  <c r="O52" i="37"/>
  <c r="O53" i="37" s="1"/>
  <c r="L49" i="39" s="1"/>
  <c r="L49" i="40" s="1"/>
  <c r="O52" i="53" s="1"/>
  <c r="O92" i="53" s="1"/>
  <c r="O62" i="37"/>
  <c r="O63" i="37" s="1"/>
  <c r="N49" i="39" s="1"/>
  <c r="N49" i="40" s="1"/>
  <c r="S52" i="53" s="1"/>
  <c r="S92" i="53" s="1"/>
  <c r="O67" i="37"/>
  <c r="O68" i="37" s="1"/>
  <c r="O49" i="39" s="1"/>
  <c r="O49" i="40" s="1"/>
  <c r="O57" i="37"/>
  <c r="O58" i="37" s="1"/>
  <c r="M49" i="39" s="1"/>
  <c r="M49" i="40" s="1"/>
  <c r="M455" i="44" s="1"/>
  <c r="G589" i="44"/>
  <c r="H631" i="44"/>
  <c r="T64" i="40"/>
  <c r="I83" i="33"/>
  <c r="G40" i="43" s="1"/>
  <c r="U52" i="33"/>
  <c r="O9" i="43" s="1"/>
  <c r="O46" i="44" s="1"/>
  <c r="L56" i="33"/>
  <c r="L56" i="41" s="1"/>
  <c r="I32" i="37"/>
  <c r="I33" i="37" s="1"/>
  <c r="H41" i="39" s="1"/>
  <c r="H41" i="40" s="1"/>
  <c r="I22" i="37"/>
  <c r="I23" i="37" s="1"/>
  <c r="F41" i="39" s="1"/>
  <c r="F41" i="40" s="1"/>
  <c r="F343" i="44" s="1"/>
  <c r="I12" i="37"/>
  <c r="I13" i="37" s="1"/>
  <c r="D41" i="39" s="1"/>
  <c r="D41" i="40" s="1"/>
  <c r="I37" i="37"/>
  <c r="I38" i="37" s="1"/>
  <c r="I41" i="39" s="1"/>
  <c r="I41" i="40" s="1"/>
  <c r="I62" i="37"/>
  <c r="I63" i="37" s="1"/>
  <c r="N41" i="39" s="1"/>
  <c r="N41" i="40" s="1"/>
  <c r="S44" i="53" s="1"/>
  <c r="S84" i="53" s="1"/>
  <c r="I67" i="37"/>
  <c r="I68" i="37" s="1"/>
  <c r="O41" i="39" s="1"/>
  <c r="O41" i="40" s="1"/>
  <c r="T44" i="53" s="1"/>
  <c r="I17" i="37"/>
  <c r="I18" i="37" s="1"/>
  <c r="E41" i="39" s="1"/>
  <c r="E41" i="40" s="1"/>
  <c r="I57" i="37"/>
  <c r="I58" i="37" s="1"/>
  <c r="M41" i="39" s="1"/>
  <c r="M41" i="40" s="1"/>
  <c r="I42" i="37"/>
  <c r="I43" i="37" s="1"/>
  <c r="J41" i="39" s="1"/>
  <c r="J41" i="40" s="1"/>
  <c r="I27" i="37"/>
  <c r="I28" i="37" s="1"/>
  <c r="G41" i="39" s="1"/>
  <c r="G41" i="40" s="1"/>
  <c r="I47" i="37"/>
  <c r="I48" i="37" s="1"/>
  <c r="K41" i="39" s="1"/>
  <c r="K41" i="40" s="1"/>
  <c r="I52" i="37"/>
  <c r="I53" i="37" s="1"/>
  <c r="L41" i="39" s="1"/>
  <c r="L41" i="40" s="1"/>
  <c r="F67" i="37"/>
  <c r="F68" i="37" s="1"/>
  <c r="O47" i="39" s="1"/>
  <c r="O47" i="40" s="1"/>
  <c r="F27" i="37"/>
  <c r="F28" i="37" s="1"/>
  <c r="G47" i="39" s="1"/>
  <c r="G47" i="40" s="1"/>
  <c r="F17" i="37"/>
  <c r="F18" i="37" s="1"/>
  <c r="E47" i="39" s="1"/>
  <c r="E47" i="40" s="1"/>
  <c r="F47" i="37"/>
  <c r="F48" i="37" s="1"/>
  <c r="K47" i="39" s="1"/>
  <c r="K47" i="40" s="1"/>
  <c r="F62" i="37"/>
  <c r="F63" i="37" s="1"/>
  <c r="N47" i="39" s="1"/>
  <c r="N47" i="40" s="1"/>
  <c r="F12" i="37"/>
  <c r="F13" i="37" s="1"/>
  <c r="D47" i="39" s="1"/>
  <c r="D47" i="40" s="1"/>
  <c r="D427" i="44" s="1"/>
  <c r="F57" i="37"/>
  <c r="F58" i="37" s="1"/>
  <c r="M47" i="39" s="1"/>
  <c r="M47" i="40" s="1"/>
  <c r="F32" i="37"/>
  <c r="F33" i="37" s="1"/>
  <c r="H47" i="39" s="1"/>
  <c r="H47" i="40" s="1"/>
  <c r="F42" i="37"/>
  <c r="F43" i="37" s="1"/>
  <c r="J47" i="39" s="1"/>
  <c r="J47" i="40" s="1"/>
  <c r="F52" i="37"/>
  <c r="F53" i="37" s="1"/>
  <c r="L47" i="39" s="1"/>
  <c r="L47" i="40" s="1"/>
  <c r="F22" i="37"/>
  <c r="F23" i="37" s="1"/>
  <c r="F47" i="39" s="1"/>
  <c r="F47" i="40" s="1"/>
  <c r="F37" i="37"/>
  <c r="F38" i="37" s="1"/>
  <c r="I47" i="39" s="1"/>
  <c r="I47" i="40" s="1"/>
  <c r="AC19" i="40"/>
  <c r="K20" i="42" s="1"/>
  <c r="F22" i="54" s="1"/>
  <c r="L645" i="44"/>
  <c r="O75" i="53"/>
  <c r="M575" i="44"/>
  <c r="AE68" i="40"/>
  <c r="S34" i="42" s="1"/>
  <c r="F41" i="61" s="1"/>
  <c r="D617" i="44"/>
  <c r="AC69" i="40"/>
  <c r="N35" i="42" s="1"/>
  <c r="G38" i="75" s="1"/>
  <c r="H38" i="75" s="1"/>
  <c r="M533" i="44"/>
  <c r="N533" i="44"/>
  <c r="O547" i="44"/>
  <c r="T64" i="53"/>
  <c r="D72" i="53"/>
  <c r="M63" i="53"/>
  <c r="Q56" i="40"/>
  <c r="AC66" i="40"/>
  <c r="N32" i="42" s="1"/>
  <c r="I39" i="61" s="1"/>
  <c r="AC63" i="40"/>
  <c r="N29" i="42" s="1"/>
  <c r="I36" i="61" s="1"/>
  <c r="AC68" i="40"/>
  <c r="N34" i="42" s="1"/>
  <c r="I41" i="61" s="1"/>
  <c r="J575" i="44"/>
  <c r="S72" i="53"/>
  <c r="R69" i="53"/>
  <c r="T70" i="40"/>
  <c r="J589" i="44"/>
  <c r="T62" i="40"/>
  <c r="G12" i="54"/>
  <c r="D53" i="54" s="1"/>
  <c r="R70" i="53"/>
  <c r="AC59" i="40"/>
  <c r="N25" i="42" s="1"/>
  <c r="H30" i="54" s="1"/>
  <c r="R74" i="53"/>
  <c r="J610" i="44"/>
  <c r="R76" i="53"/>
  <c r="R97" i="53" s="1"/>
  <c r="T65" i="40"/>
  <c r="H617" i="44"/>
  <c r="G36" i="54"/>
  <c r="D57" i="54" s="1"/>
  <c r="AC64" i="40"/>
  <c r="N30" i="42" s="1"/>
  <c r="H35" i="54" s="1"/>
  <c r="I69" i="53"/>
  <c r="AC62" i="40"/>
  <c r="N28" i="42" s="1"/>
  <c r="H33" i="54" s="1"/>
  <c r="AC67" i="40"/>
  <c r="N33" i="42" s="1"/>
  <c r="H38" i="54" s="1"/>
  <c r="J533" i="44"/>
  <c r="M589" i="44"/>
  <c r="I75" i="53"/>
  <c r="T61" i="40"/>
  <c r="I71" i="53"/>
  <c r="M547" i="44"/>
  <c r="M561" i="44"/>
  <c r="M610" i="44"/>
  <c r="M65" i="53"/>
  <c r="H659" i="44"/>
  <c r="M72" i="53"/>
  <c r="I76" i="53"/>
  <c r="I97" i="53" s="1"/>
  <c r="U59" i="40"/>
  <c r="U64" i="53" s="1"/>
  <c r="J561" i="44"/>
  <c r="N659" i="44"/>
  <c r="I70" i="53"/>
  <c r="M645" i="44"/>
  <c r="H575" i="44"/>
  <c r="M75" i="53"/>
  <c r="R72" i="53"/>
  <c r="H72" i="40"/>
  <c r="H685" i="44" s="1"/>
  <c r="D70" i="53"/>
  <c r="J624" i="44"/>
  <c r="S53" i="53"/>
  <c r="M72" i="40"/>
  <c r="M685" i="44" s="1"/>
  <c r="AC65" i="40"/>
  <c r="N31" i="42" s="1"/>
  <c r="G34" i="75" s="1"/>
  <c r="H34" i="75" s="1"/>
  <c r="AD18" i="65"/>
  <c r="M617" i="44"/>
  <c r="S65" i="53"/>
  <c r="R71" i="53"/>
  <c r="E15" i="43"/>
  <c r="E130" i="44" s="1"/>
  <c r="F58" i="41"/>
  <c r="E9" i="43"/>
  <c r="E46" i="44" s="1"/>
  <c r="F52" i="41"/>
  <c r="G17" i="43"/>
  <c r="G158" i="44" s="1"/>
  <c r="I60" i="41"/>
  <c r="E7" i="43"/>
  <c r="E18" i="44" s="1"/>
  <c r="F50" i="41"/>
  <c r="D412" i="44"/>
  <c r="D94" i="43"/>
  <c r="V53" i="33"/>
  <c r="V53" i="41" s="1"/>
  <c r="V12" i="41"/>
  <c r="O16" i="43"/>
  <c r="O144" i="44" s="1"/>
  <c r="U59" i="41"/>
  <c r="Q73" i="33"/>
  <c r="Q73" i="41" s="1"/>
  <c r="Q32" i="41"/>
  <c r="N26" i="43"/>
  <c r="N201" i="44" s="1"/>
  <c r="T83" i="33"/>
  <c r="N40" i="43" s="1"/>
  <c r="T69" i="41"/>
  <c r="K10" i="43"/>
  <c r="K60" i="44" s="1"/>
  <c r="O53" i="41"/>
  <c r="D532" i="44"/>
  <c r="D81" i="43"/>
  <c r="D684" i="44" s="1"/>
  <c r="T57" i="33"/>
  <c r="I57" i="33"/>
  <c r="F57" i="33"/>
  <c r="H12" i="43"/>
  <c r="H88" i="44" s="1"/>
  <c r="J55" i="41"/>
  <c r="F440" i="44"/>
  <c r="F96" i="43"/>
  <c r="L49" i="33"/>
  <c r="L8" i="41"/>
  <c r="H412" i="44"/>
  <c r="H94" i="43"/>
  <c r="I10" i="43"/>
  <c r="I60" i="44" s="1"/>
  <c r="K53" i="41"/>
  <c r="N50" i="33"/>
  <c r="Q51" i="33"/>
  <c r="Q51" i="41" s="1"/>
  <c r="Q10" i="41"/>
  <c r="L356" i="44"/>
  <c r="L90" i="43"/>
  <c r="O482" i="44"/>
  <c r="O99" i="43"/>
  <c r="J28" i="43"/>
  <c r="J229" i="44" s="1"/>
  <c r="N71" i="41"/>
  <c r="M34" i="33"/>
  <c r="L34" i="41"/>
  <c r="L75" i="33"/>
  <c r="L75" i="41" s="1"/>
  <c r="AA75" i="41" s="1"/>
  <c r="G30" i="42" s="1"/>
  <c r="D35" i="56" s="1"/>
  <c r="M482" i="44"/>
  <c r="M99" i="43"/>
  <c r="V42" i="33"/>
  <c r="V42" i="41" s="1"/>
  <c r="S42" i="41"/>
  <c r="M81" i="43"/>
  <c r="M684" i="44" s="1"/>
  <c r="L6" i="43"/>
  <c r="L7" i="44" s="1"/>
  <c r="P49" i="41"/>
  <c r="Q57" i="33"/>
  <c r="Q57" i="41" s="1"/>
  <c r="Q16" i="41"/>
  <c r="M510" i="44"/>
  <c r="M101" i="43"/>
  <c r="L53" i="33"/>
  <c r="L53" i="41" s="1"/>
  <c r="L12" i="41"/>
  <c r="O92" i="43"/>
  <c r="O384" i="44"/>
  <c r="O39" i="43"/>
  <c r="O327" i="44" s="1"/>
  <c r="U82" i="41"/>
  <c r="G96" i="43"/>
  <c r="O27" i="43"/>
  <c r="O215" i="44" s="1"/>
  <c r="U70" i="41"/>
  <c r="J412" i="44"/>
  <c r="J94" i="43"/>
  <c r="E524" i="44"/>
  <c r="E102" i="43"/>
  <c r="K81" i="43"/>
  <c r="K684" i="44" s="1"/>
  <c r="J426" i="44"/>
  <c r="J95" i="43"/>
  <c r="M426" i="44"/>
  <c r="M95" i="43"/>
  <c r="N32" i="43"/>
  <c r="N271" i="44" s="1"/>
  <c r="T75" i="41"/>
  <c r="J645" i="44"/>
  <c r="K398" i="44"/>
  <c r="K93" i="43"/>
  <c r="H33" i="43"/>
  <c r="H278" i="44" s="1"/>
  <c r="J76" i="41"/>
  <c r="V54" i="33"/>
  <c r="V54" i="41" s="1"/>
  <c r="V13" i="41"/>
  <c r="L370" i="44"/>
  <c r="L91" i="43"/>
  <c r="H426" i="44"/>
  <c r="H95" i="43"/>
  <c r="L22" i="33"/>
  <c r="L22" i="41" s="1"/>
  <c r="I22" i="41"/>
  <c r="K11" i="43"/>
  <c r="K74" i="44" s="1"/>
  <c r="O54" i="41"/>
  <c r="L58" i="33"/>
  <c r="L58" i="41" s="1"/>
  <c r="H57" i="33"/>
  <c r="H57" i="41" s="1"/>
  <c r="M16" i="33"/>
  <c r="H16" i="41"/>
  <c r="K39" i="43"/>
  <c r="K327" i="44" s="1"/>
  <c r="O82" i="41"/>
  <c r="M33" i="43"/>
  <c r="M278" i="44" s="1"/>
  <c r="S76" i="41"/>
  <c r="I99" i="43"/>
  <c r="I398" i="44"/>
  <c r="I93" i="43"/>
  <c r="D39" i="43"/>
  <c r="D327" i="44" s="1"/>
  <c r="E82" i="41"/>
  <c r="I510" i="44"/>
  <c r="I101" i="43"/>
  <c r="Q22" i="33"/>
  <c r="Q22" i="41" s="1"/>
  <c r="N22" i="41"/>
  <c r="U58" i="33"/>
  <c r="O33" i="43"/>
  <c r="O278" i="44" s="1"/>
  <c r="U76" i="41"/>
  <c r="L26" i="43"/>
  <c r="L201" i="44" s="1"/>
  <c r="P83" i="33"/>
  <c r="L40" i="43" s="1"/>
  <c r="P69" i="41"/>
  <c r="J454" i="44"/>
  <c r="J97" i="43"/>
  <c r="V61" i="33"/>
  <c r="V61" i="41" s="1"/>
  <c r="V20" i="41"/>
  <c r="G10" i="43"/>
  <c r="G60" i="44" s="1"/>
  <c r="I53" i="41"/>
  <c r="L77" i="33"/>
  <c r="L77" i="41" s="1"/>
  <c r="L36" i="41"/>
  <c r="F61" i="33"/>
  <c r="I61" i="33"/>
  <c r="P61" i="33"/>
  <c r="U61" i="33"/>
  <c r="H29" i="43"/>
  <c r="H243" i="44" s="1"/>
  <c r="J72" i="41"/>
  <c r="I31" i="43"/>
  <c r="I264" i="44" s="1"/>
  <c r="K74" i="41"/>
  <c r="Q72" i="33"/>
  <c r="Q72" i="41" s="1"/>
  <c r="Q31" i="41"/>
  <c r="F454" i="44"/>
  <c r="F97" i="43"/>
  <c r="K55" i="33"/>
  <c r="P55" i="33"/>
  <c r="G55" i="33"/>
  <c r="L78" i="33"/>
  <c r="L78" i="41" s="1"/>
  <c r="L37" i="41"/>
  <c r="N36" i="43"/>
  <c r="N299" i="44" s="1"/>
  <c r="T79" i="41"/>
  <c r="L342" i="44"/>
  <c r="L61" i="43"/>
  <c r="L676" i="44" s="1"/>
  <c r="L89" i="43"/>
  <c r="N412" i="44"/>
  <c r="N94" i="43"/>
  <c r="U52" i="41"/>
  <c r="N39" i="43"/>
  <c r="N327" i="44" s="1"/>
  <c r="T82" i="41"/>
  <c r="K356" i="44"/>
  <c r="K90" i="43"/>
  <c r="H510" i="44"/>
  <c r="H101" i="43"/>
  <c r="L398" i="44"/>
  <c r="L93" i="43"/>
  <c r="N33" i="43"/>
  <c r="N278" i="44" s="1"/>
  <c r="T76" i="41"/>
  <c r="J11" i="43"/>
  <c r="J74" i="44" s="1"/>
  <c r="N54" i="41"/>
  <c r="H39" i="43"/>
  <c r="H327" i="44" s="1"/>
  <c r="J82" i="41"/>
  <c r="E19" i="43"/>
  <c r="E193" i="44" s="1"/>
  <c r="F62" i="41"/>
  <c r="D34" i="43"/>
  <c r="D285" i="44" s="1"/>
  <c r="E77" i="41"/>
  <c r="Z77" i="41" s="1"/>
  <c r="F32" i="42" s="1"/>
  <c r="D37" i="54" s="1"/>
  <c r="D33" i="43"/>
  <c r="D278" i="44" s="1"/>
  <c r="E76" i="41"/>
  <c r="AA22" i="30"/>
  <c r="E53" i="30" s="1"/>
  <c r="O29" i="43"/>
  <c r="O243" i="44" s="1"/>
  <c r="U72" i="41"/>
  <c r="M11" i="43"/>
  <c r="M74" i="44" s="1"/>
  <c r="S54" i="41"/>
  <c r="K38" i="43"/>
  <c r="K313" i="44" s="1"/>
  <c r="O81" i="41"/>
  <c r="G6" i="43"/>
  <c r="G7" i="44" s="1"/>
  <c r="I49" i="41"/>
  <c r="K412" i="44"/>
  <c r="K94" i="43"/>
  <c r="V76" i="33"/>
  <c r="V76" i="41" s="1"/>
  <c r="V35" i="41"/>
  <c r="N29" i="43"/>
  <c r="N243" i="44" s="1"/>
  <c r="T72" i="41"/>
  <c r="J370" i="44"/>
  <c r="J91" i="43"/>
  <c r="H82" i="33"/>
  <c r="H82" i="41" s="1"/>
  <c r="M41" i="33"/>
  <c r="H41" i="41"/>
  <c r="H16" i="43"/>
  <c r="H144" i="44" s="1"/>
  <c r="J59" i="41"/>
  <c r="K17" i="43"/>
  <c r="K158" i="44" s="1"/>
  <c r="O60" i="41"/>
  <c r="Q49" i="33"/>
  <c r="Q8" i="41"/>
  <c r="J532" i="44"/>
  <c r="J81" i="43"/>
  <c r="J684" i="44" s="1"/>
  <c r="O468" i="44"/>
  <c r="O98" i="43"/>
  <c r="E356" i="44"/>
  <c r="E90" i="43"/>
  <c r="K27" i="43"/>
  <c r="K215" i="44" s="1"/>
  <c r="O70" i="41"/>
  <c r="V58" i="33"/>
  <c r="V58" i="41" s="1"/>
  <c r="V17" i="41"/>
  <c r="L36" i="43"/>
  <c r="L299" i="44" s="1"/>
  <c r="P79" i="41"/>
  <c r="I81" i="43"/>
  <c r="I684" i="44" s="1"/>
  <c r="G51" i="33"/>
  <c r="I51" i="33"/>
  <c r="T51" i="33"/>
  <c r="L70" i="33"/>
  <c r="L70" i="41" s="1"/>
  <c r="L29" i="41"/>
  <c r="M18" i="43"/>
  <c r="M172" i="44" s="1"/>
  <c r="S61" i="41"/>
  <c r="G93" i="43"/>
  <c r="G398" i="44"/>
  <c r="G34" i="43"/>
  <c r="G285" i="44" s="1"/>
  <c r="I77" i="41"/>
  <c r="J29" i="43"/>
  <c r="J243" i="44" s="1"/>
  <c r="N72" i="41"/>
  <c r="N10" i="43"/>
  <c r="N60" i="44" s="1"/>
  <c r="T53" i="41"/>
  <c r="G57" i="33"/>
  <c r="L35" i="43"/>
  <c r="L292" i="44" s="1"/>
  <c r="P78" i="41"/>
  <c r="G35" i="43"/>
  <c r="G292" i="44" s="1"/>
  <c r="I78" i="41"/>
  <c r="E51" i="33"/>
  <c r="O10" i="43"/>
  <c r="O60" i="44" s="1"/>
  <c r="U53" i="41"/>
  <c r="Q71" i="33"/>
  <c r="Q71" i="41" s="1"/>
  <c r="Q30" i="41"/>
  <c r="F398" i="44"/>
  <c r="F93" i="43"/>
  <c r="M412" i="44"/>
  <c r="M94" i="43"/>
  <c r="H440" i="44"/>
  <c r="H96" i="43"/>
  <c r="E11" i="43"/>
  <c r="E74" i="44" s="1"/>
  <c r="F54" i="41"/>
  <c r="G342" i="44"/>
  <c r="G89" i="43"/>
  <c r="G61" i="43"/>
  <c r="G676" i="44" s="1"/>
  <c r="D454" i="44"/>
  <c r="D97" i="43"/>
  <c r="I52" i="33"/>
  <c r="G52" i="33"/>
  <c r="L55" i="33"/>
  <c r="L55" i="41" s="1"/>
  <c r="L14" i="41"/>
  <c r="Q82" i="33"/>
  <c r="Q82" i="41" s="1"/>
  <c r="Q41" i="41"/>
  <c r="H482" i="44"/>
  <c r="H99" i="43"/>
  <c r="G36" i="43"/>
  <c r="G299" i="44" s="1"/>
  <c r="I79" i="41"/>
  <c r="K496" i="44"/>
  <c r="K100" i="43"/>
  <c r="J342" i="44"/>
  <c r="J61" i="43"/>
  <c r="J676" i="44" s="1"/>
  <c r="J89" i="43"/>
  <c r="J26" i="43"/>
  <c r="J201" i="44" s="1"/>
  <c r="N83" i="33"/>
  <c r="J40" i="43" s="1"/>
  <c r="N69" i="41"/>
  <c r="L13" i="43"/>
  <c r="L102" i="44" s="1"/>
  <c r="P56" i="41"/>
  <c r="E6" i="43"/>
  <c r="E7" i="44" s="1"/>
  <c r="F49" i="41"/>
  <c r="V70" i="33"/>
  <c r="V70" i="41" s="1"/>
  <c r="V29" i="41"/>
  <c r="M468" i="44"/>
  <c r="M98" i="43"/>
  <c r="V77" i="33"/>
  <c r="V77" i="41" s="1"/>
  <c r="V36" i="41"/>
  <c r="O412" i="44"/>
  <c r="O94" i="43"/>
  <c r="E10" i="43"/>
  <c r="E60" i="44" s="1"/>
  <c r="F53" i="41"/>
  <c r="K12" i="43"/>
  <c r="K88" i="44" s="1"/>
  <c r="O55" i="41"/>
  <c r="H38" i="43"/>
  <c r="H313" i="44" s="1"/>
  <c r="J81" i="41"/>
  <c r="H19" i="43"/>
  <c r="H193" i="44" s="1"/>
  <c r="J62" i="41"/>
  <c r="O342" i="44"/>
  <c r="O61" i="43"/>
  <c r="O676" i="44" s="1"/>
  <c r="O89" i="43"/>
  <c r="O81" i="43"/>
  <c r="O684" i="44" s="1"/>
  <c r="V62" i="33"/>
  <c r="V62" i="41" s="1"/>
  <c r="V21" i="41"/>
  <c r="N398" i="44"/>
  <c r="N93" i="43"/>
  <c r="E61" i="33"/>
  <c r="Q78" i="33"/>
  <c r="Q78" i="41" s="1"/>
  <c r="Q37" i="41"/>
  <c r="K34" i="43"/>
  <c r="K285" i="44" s="1"/>
  <c r="O77" i="41"/>
  <c r="H51" i="33"/>
  <c r="H51" i="41" s="1"/>
  <c r="M10" i="33"/>
  <c r="H10" i="41"/>
  <c r="Q75" i="33"/>
  <c r="Q75" i="41" s="1"/>
  <c r="Q34" i="41"/>
  <c r="J356" i="44"/>
  <c r="J90" i="43"/>
  <c r="L52" i="33"/>
  <c r="L52" i="41" s="1"/>
  <c r="L11" i="41"/>
  <c r="E412" i="44"/>
  <c r="E94" i="43"/>
  <c r="Q74" i="33"/>
  <c r="Q74" i="41" s="1"/>
  <c r="Q33" i="41"/>
  <c r="G12" i="43"/>
  <c r="G88" i="44" s="1"/>
  <c r="I55" i="41"/>
  <c r="L28" i="43"/>
  <c r="L229" i="44" s="1"/>
  <c r="P71" i="41"/>
  <c r="J39" i="43"/>
  <c r="J327" i="44" s="1"/>
  <c r="N82" i="41"/>
  <c r="L79" i="33"/>
  <c r="L79" i="41" s="1"/>
  <c r="L38" i="41"/>
  <c r="J6" i="43"/>
  <c r="J7" i="44" s="1"/>
  <c r="N49" i="41"/>
  <c r="Q42" i="33"/>
  <c r="Q42" i="41" s="1"/>
  <c r="N42" i="41"/>
  <c r="L440" i="44"/>
  <c r="L96" i="43"/>
  <c r="K19" i="43"/>
  <c r="K193" i="44" s="1"/>
  <c r="O62" i="41"/>
  <c r="M27" i="43"/>
  <c r="M215" i="44" s="1"/>
  <c r="S70" i="41"/>
  <c r="S58" i="33"/>
  <c r="M34" i="43"/>
  <c r="M285" i="44" s="1"/>
  <c r="S77" i="41"/>
  <c r="N35" i="43"/>
  <c r="N292" i="44" s="1"/>
  <c r="T78" i="41"/>
  <c r="K426" i="44"/>
  <c r="K95" i="43"/>
  <c r="F35" i="43"/>
  <c r="F292" i="44" s="1"/>
  <c r="G78" i="41"/>
  <c r="N53" i="41"/>
  <c r="H524" i="44"/>
  <c r="H102" i="43"/>
  <c r="H56" i="33"/>
  <c r="H56" i="41" s="1"/>
  <c r="AA56" i="41" s="1"/>
  <c r="G14" i="42" s="1"/>
  <c r="D16" i="56" s="1"/>
  <c r="M15" i="33"/>
  <c r="H15" i="41"/>
  <c r="I50" i="33"/>
  <c r="G50" i="33"/>
  <c r="K50" i="33"/>
  <c r="M19" i="43"/>
  <c r="M193" i="44" s="1"/>
  <c r="S62" i="41"/>
  <c r="Q58" i="33"/>
  <c r="Q58" i="41" s="1"/>
  <c r="Q17" i="41"/>
  <c r="H61" i="33"/>
  <c r="H61" i="41" s="1"/>
  <c r="M20" i="33"/>
  <c r="H20" i="41"/>
  <c r="D370" i="44"/>
  <c r="D91" i="43"/>
  <c r="O36" i="43"/>
  <c r="O299" i="44" s="1"/>
  <c r="U79" i="41"/>
  <c r="J32" i="43"/>
  <c r="J271" i="44" s="1"/>
  <c r="N75" i="41"/>
  <c r="S97" i="53"/>
  <c r="F81" i="43"/>
  <c r="F684" i="44" s="1"/>
  <c r="K36" i="43"/>
  <c r="K299" i="44" s="1"/>
  <c r="O79" i="41"/>
  <c r="N510" i="44"/>
  <c r="N101" i="43"/>
  <c r="L69" i="33"/>
  <c r="L28" i="41"/>
  <c r="Q52" i="33"/>
  <c r="Q52" i="41" s="1"/>
  <c r="Q11" i="41"/>
  <c r="L31" i="43"/>
  <c r="L264" i="44" s="1"/>
  <c r="P74" i="41"/>
  <c r="G426" i="44"/>
  <c r="G95" i="43"/>
  <c r="O52" i="33"/>
  <c r="J36" i="43"/>
  <c r="J299" i="44" s="1"/>
  <c r="N79" i="41"/>
  <c r="Q69" i="33"/>
  <c r="Q28" i="41"/>
  <c r="K370" i="44"/>
  <c r="K91" i="43"/>
  <c r="E342" i="44"/>
  <c r="E89" i="43"/>
  <c r="E61" i="43"/>
  <c r="E676" i="44" s="1"/>
  <c r="K524" i="44"/>
  <c r="K102" i="43"/>
  <c r="F39" i="43"/>
  <c r="F327" i="44" s="1"/>
  <c r="G82" i="41"/>
  <c r="V75" i="33"/>
  <c r="V75" i="41" s="1"/>
  <c r="V34" i="41"/>
  <c r="P57" i="33"/>
  <c r="K52" i="33"/>
  <c r="D13" i="43"/>
  <c r="D102" i="44" s="1"/>
  <c r="M524" i="44"/>
  <c r="M102" i="43"/>
  <c r="J58" i="33"/>
  <c r="N58" i="33"/>
  <c r="D510" i="44"/>
  <c r="D101" i="43"/>
  <c r="M16" i="43"/>
  <c r="M144" i="44" s="1"/>
  <c r="S59" i="41"/>
  <c r="L33" i="43"/>
  <c r="L278" i="44" s="1"/>
  <c r="P76" i="41"/>
  <c r="E33" i="43"/>
  <c r="E278" i="44" s="1"/>
  <c r="F76" i="41"/>
  <c r="K384" i="44"/>
  <c r="K92" i="43"/>
  <c r="Q79" i="33"/>
  <c r="Q79" i="41" s="1"/>
  <c r="Q38" i="41"/>
  <c r="L19" i="43"/>
  <c r="L193" i="44" s="1"/>
  <c r="P62" i="41"/>
  <c r="D6" i="43"/>
  <c r="D7" i="44" s="1"/>
  <c r="E49" i="41"/>
  <c r="H97" i="43"/>
  <c r="H454" i="44"/>
  <c r="V80" i="33"/>
  <c r="V80" i="41" s="1"/>
  <c r="V39" i="41"/>
  <c r="O30" i="43"/>
  <c r="O257" i="44" s="1"/>
  <c r="U73" i="41"/>
  <c r="H26" i="43"/>
  <c r="H201" i="44" s="1"/>
  <c r="J83" i="33"/>
  <c r="H40" i="43" s="1"/>
  <c r="J69" i="41"/>
  <c r="M39" i="33"/>
  <c r="H80" i="33"/>
  <c r="H80" i="41" s="1"/>
  <c r="AA80" i="41" s="1"/>
  <c r="G35" i="42" s="1"/>
  <c r="D40" i="56" s="1"/>
  <c r="H39" i="41"/>
  <c r="M32" i="43"/>
  <c r="M271" i="44" s="1"/>
  <c r="S75" i="41"/>
  <c r="Q59" i="33"/>
  <c r="Q59" i="41" s="1"/>
  <c r="Q18" i="41"/>
  <c r="L454" i="44"/>
  <c r="L97" i="43"/>
  <c r="H27" i="43"/>
  <c r="H215" i="44" s="1"/>
  <c r="J70" i="41"/>
  <c r="I384" i="44"/>
  <c r="I92" i="43"/>
  <c r="H70" i="33"/>
  <c r="H70" i="41" s="1"/>
  <c r="AA70" i="41" s="1"/>
  <c r="G25" i="42" s="1"/>
  <c r="D30" i="56" s="1"/>
  <c r="M29" i="33"/>
  <c r="H29" i="41"/>
  <c r="D96" i="43"/>
  <c r="D440" i="44"/>
  <c r="H6" i="43"/>
  <c r="H7" i="44" s="1"/>
  <c r="H58" i="33"/>
  <c r="H58" i="41" s="1"/>
  <c r="AA58" i="41" s="1"/>
  <c r="G16" i="42" s="1"/>
  <c r="D18" i="56" s="1"/>
  <c r="M17" i="33"/>
  <c r="H17" i="41"/>
  <c r="H468" i="44"/>
  <c r="H98" i="43"/>
  <c r="J468" i="44"/>
  <c r="J98" i="43"/>
  <c r="O58" i="33"/>
  <c r="U83" i="33"/>
  <c r="O40" i="43" s="1"/>
  <c r="V50" i="33"/>
  <c r="V50" i="41" s="1"/>
  <c r="V9" i="41"/>
  <c r="T68" i="40"/>
  <c r="V60" i="33"/>
  <c r="V60" i="41" s="1"/>
  <c r="V19" i="41"/>
  <c r="J384" i="44"/>
  <c r="J92" i="43"/>
  <c r="H50" i="33"/>
  <c r="H50" i="41" s="1"/>
  <c r="AA50" i="41" s="1"/>
  <c r="G8" i="42" s="1"/>
  <c r="D10" i="56" s="1"/>
  <c r="M9" i="33"/>
  <c r="H9" i="41"/>
  <c r="L82" i="33"/>
  <c r="L82" i="41" s="1"/>
  <c r="L41" i="41"/>
  <c r="H53" i="33"/>
  <c r="H53" i="41" s="1"/>
  <c r="M12" i="33"/>
  <c r="H12" i="41"/>
  <c r="L524" i="44"/>
  <c r="L102" i="43"/>
  <c r="D342" i="44"/>
  <c r="D89" i="43"/>
  <c r="D61" i="43"/>
  <c r="D676" i="44" s="1"/>
  <c r="N37" i="43"/>
  <c r="N306" i="44" s="1"/>
  <c r="T80" i="41"/>
  <c r="M37" i="43"/>
  <c r="M306" i="44" s="1"/>
  <c r="S80" i="41"/>
  <c r="L38" i="43"/>
  <c r="L313" i="44" s="1"/>
  <c r="P81" i="41"/>
  <c r="H532" i="44"/>
  <c r="H81" i="43"/>
  <c r="H684" i="44" s="1"/>
  <c r="D37" i="43"/>
  <c r="D306" i="44" s="1"/>
  <c r="E80" i="41"/>
  <c r="G33" i="43"/>
  <c r="G278" i="44" s="1"/>
  <c r="I76" i="41"/>
  <c r="I454" i="44"/>
  <c r="I97" i="43"/>
  <c r="M28" i="43"/>
  <c r="M229" i="44" s="1"/>
  <c r="S71" i="41"/>
  <c r="D38" i="43"/>
  <c r="D313" i="44" s="1"/>
  <c r="E81" i="41"/>
  <c r="Z81" i="41" s="1"/>
  <c r="F36" i="42" s="1"/>
  <c r="D41" i="54" s="1"/>
  <c r="N59" i="41"/>
  <c r="V52" i="33"/>
  <c r="V52" i="41" s="1"/>
  <c r="V11" i="41"/>
  <c r="H496" i="44"/>
  <c r="H100" i="43"/>
  <c r="V74" i="33"/>
  <c r="V74" i="41" s="1"/>
  <c r="V33" i="41"/>
  <c r="D27" i="43"/>
  <c r="D215" i="44" s="1"/>
  <c r="E70" i="41"/>
  <c r="Z70" i="41" s="1"/>
  <c r="F25" i="42" s="1"/>
  <c r="D30" i="54" s="1"/>
  <c r="O61" i="41"/>
  <c r="H342" i="44"/>
  <c r="H89" i="43"/>
  <c r="H61" i="43"/>
  <c r="H676" i="44" s="1"/>
  <c r="E58" i="33"/>
  <c r="U51" i="33"/>
  <c r="Q77" i="33"/>
  <c r="Q77" i="41" s="1"/>
  <c r="Q36" i="41"/>
  <c r="K33" i="43"/>
  <c r="K278" i="44" s="1"/>
  <c r="O76" i="41"/>
  <c r="J13" i="43"/>
  <c r="J102" i="44" s="1"/>
  <c r="N56" i="41"/>
  <c r="H32" i="43"/>
  <c r="H271" i="44" s="1"/>
  <c r="J75" i="41"/>
  <c r="K468" i="44"/>
  <c r="K98" i="43"/>
  <c r="P58" i="33"/>
  <c r="S50" i="33"/>
  <c r="N19" i="43"/>
  <c r="N193" i="44" s="1"/>
  <c r="T62" i="41"/>
  <c r="D26" i="43"/>
  <c r="D201" i="44" s="1"/>
  <c r="E83" i="33"/>
  <c r="D40" i="43" s="1"/>
  <c r="E69" i="41"/>
  <c r="L532" i="44"/>
  <c r="L81" i="43"/>
  <c r="L684" i="44" s="1"/>
  <c r="J72" i="40"/>
  <c r="J685" i="44" s="1"/>
  <c r="H49" i="33"/>
  <c r="M8" i="33"/>
  <c r="H8" i="41"/>
  <c r="N482" i="44"/>
  <c r="N99" i="43"/>
  <c r="O100" i="43"/>
  <c r="L76" i="33"/>
  <c r="L76" i="41" s="1"/>
  <c r="L35" i="41"/>
  <c r="I14" i="43"/>
  <c r="I116" i="44" s="1"/>
  <c r="K57" i="41"/>
  <c r="V71" i="33"/>
  <c r="V71" i="41" s="1"/>
  <c r="V30" i="41"/>
  <c r="M40" i="33"/>
  <c r="H81" i="33"/>
  <c r="H81" i="41" s="1"/>
  <c r="H40" i="41"/>
  <c r="J482" i="44"/>
  <c r="J99" i="43"/>
  <c r="S52" i="33"/>
  <c r="M31" i="43"/>
  <c r="M264" i="44" s="1"/>
  <c r="S74" i="41"/>
  <c r="L60" i="33"/>
  <c r="L60" i="41" s="1"/>
  <c r="L19" i="41"/>
  <c r="P54" i="41"/>
  <c r="L34" i="43"/>
  <c r="L285" i="44" s="1"/>
  <c r="P77" i="41"/>
  <c r="L16" i="43"/>
  <c r="L144" i="44" s="1"/>
  <c r="P59" i="41"/>
  <c r="K510" i="44"/>
  <c r="K101" i="43"/>
  <c r="V49" i="33"/>
  <c r="V8" i="41"/>
  <c r="D468" i="44"/>
  <c r="D98" i="43"/>
  <c r="O370" i="44"/>
  <c r="O91" i="43"/>
  <c r="M39" i="43"/>
  <c r="M327" i="44" s="1"/>
  <c r="S82" i="41"/>
  <c r="J34" i="43"/>
  <c r="J285" i="44" s="1"/>
  <c r="N77" i="41"/>
  <c r="L468" i="44"/>
  <c r="L98" i="43"/>
  <c r="M356" i="44"/>
  <c r="M90" i="43"/>
  <c r="H35" i="43"/>
  <c r="H292" i="44" s="1"/>
  <c r="J78" i="41"/>
  <c r="N524" i="44"/>
  <c r="N102" i="43"/>
  <c r="M73" i="53"/>
  <c r="G37" i="43"/>
  <c r="G306" i="44" s="1"/>
  <c r="I80" i="41"/>
  <c r="D7" i="43"/>
  <c r="D18" i="44" s="1"/>
  <c r="E50" i="41"/>
  <c r="D10" i="43"/>
  <c r="D60" i="44" s="1"/>
  <c r="E53" i="41"/>
  <c r="E39" i="43"/>
  <c r="E327" i="44" s="1"/>
  <c r="F82" i="41"/>
  <c r="K16" i="43"/>
  <c r="K144" i="44" s="1"/>
  <c r="O59" i="41"/>
  <c r="D29" i="43"/>
  <c r="D243" i="44" s="1"/>
  <c r="E72" i="41"/>
  <c r="Z72" i="41" s="1"/>
  <c r="F27" i="42" s="1"/>
  <c r="D32" i="54" s="1"/>
  <c r="N38" i="43"/>
  <c r="N313" i="44" s="1"/>
  <c r="T81" i="41"/>
  <c r="M13" i="43"/>
  <c r="M102" i="44" s="1"/>
  <c r="H59" i="33"/>
  <c r="H59" i="41" s="1"/>
  <c r="AA59" i="41" s="1"/>
  <c r="G17" i="42" s="1"/>
  <c r="D19" i="56" s="1"/>
  <c r="M18" i="33"/>
  <c r="H18" i="41"/>
  <c r="H55" i="33"/>
  <c r="H55" i="41" s="1"/>
  <c r="AA55" i="41" s="1"/>
  <c r="G13" i="42" s="1"/>
  <c r="D15" i="56" s="1"/>
  <c r="M14" i="33"/>
  <c r="H14" i="41"/>
  <c r="N28" i="43"/>
  <c r="N229" i="44" s="1"/>
  <c r="T71" i="41"/>
  <c r="T52" i="33"/>
  <c r="L80" i="33"/>
  <c r="L80" i="41" s="1"/>
  <c r="L39" i="41"/>
  <c r="H37" i="43"/>
  <c r="H306" i="44" s="1"/>
  <c r="J80" i="41"/>
  <c r="Q60" i="33"/>
  <c r="Q60" i="41" s="1"/>
  <c r="Q19" i="41"/>
  <c r="D356" i="44"/>
  <c r="D90" i="43"/>
  <c r="L72" i="33"/>
  <c r="L72" i="41" s="1"/>
  <c r="L31" i="41"/>
  <c r="D398" i="44"/>
  <c r="D93" i="43"/>
  <c r="H22" i="33"/>
  <c r="E22" i="41"/>
  <c r="O38" i="43"/>
  <c r="O313" i="44" s="1"/>
  <c r="U81" i="41"/>
  <c r="G60" i="33"/>
  <c r="P60" i="33"/>
  <c r="K60" i="33"/>
  <c r="U60" i="33"/>
  <c r="F60" i="33"/>
  <c r="N16" i="43"/>
  <c r="N144" i="44" s="1"/>
  <c r="T59" i="41"/>
  <c r="F510" i="44"/>
  <c r="F101" i="43"/>
  <c r="V79" i="33"/>
  <c r="V79" i="41" s="1"/>
  <c r="V38" i="41"/>
  <c r="M30" i="33"/>
  <c r="H71" i="33"/>
  <c r="H71" i="41" s="1"/>
  <c r="AA71" i="41" s="1"/>
  <c r="G26" i="42" s="1"/>
  <c r="D31" i="56" s="1"/>
  <c r="H30" i="41"/>
  <c r="M384" i="44"/>
  <c r="M92" i="43"/>
  <c r="V69" i="41"/>
  <c r="AP99" i="77"/>
  <c r="AP99" i="70" s="1"/>
  <c r="AP61" i="70"/>
  <c r="G496" i="44"/>
  <c r="G100" i="43"/>
  <c r="L57" i="33"/>
  <c r="L57" i="41" s="1"/>
  <c r="L94" i="43"/>
  <c r="L412" i="44"/>
  <c r="L482" i="44"/>
  <c r="L99" i="43"/>
  <c r="N356" i="44"/>
  <c r="N90" i="43"/>
  <c r="V82" i="33"/>
  <c r="V82" i="41" s="1"/>
  <c r="V41" i="41"/>
  <c r="O96" i="43"/>
  <c r="O101" i="43"/>
  <c r="H30" i="43"/>
  <c r="H257" i="44" s="1"/>
  <c r="J73" i="41"/>
  <c r="K28" i="43"/>
  <c r="K229" i="44" s="1"/>
  <c r="O71" i="41"/>
  <c r="L7" i="43"/>
  <c r="L18" i="44" s="1"/>
  <c r="P50" i="41"/>
  <c r="O34" i="43"/>
  <c r="O285" i="44" s="1"/>
  <c r="U77" i="41"/>
  <c r="I58" i="33"/>
  <c r="K58" i="33"/>
  <c r="T58" i="33"/>
  <c r="M496" i="44"/>
  <c r="M100" i="43"/>
  <c r="D426" i="44"/>
  <c r="D95" i="43"/>
  <c r="F30" i="43"/>
  <c r="F257" i="44" s="1"/>
  <c r="G73" i="41"/>
  <c r="M44" i="30"/>
  <c r="H7" i="43"/>
  <c r="H18" i="44" s="1"/>
  <c r="J50" i="41"/>
  <c r="K482" i="44"/>
  <c r="K99" i="43"/>
  <c r="H72" i="33"/>
  <c r="H72" i="41" s="1"/>
  <c r="AA72" i="41" s="1"/>
  <c r="G27" i="42" s="1"/>
  <c r="D32" i="56" s="1"/>
  <c r="M31" i="33"/>
  <c r="H31" i="41"/>
  <c r="G58" i="33"/>
  <c r="V56" i="33"/>
  <c r="V56" i="41" s="1"/>
  <c r="V15" i="41"/>
  <c r="D482" i="44"/>
  <c r="D99" i="43"/>
  <c r="D12" i="43"/>
  <c r="D88" i="44" s="1"/>
  <c r="E55" i="41"/>
  <c r="N384" i="44"/>
  <c r="N92" i="43"/>
  <c r="J17" i="43"/>
  <c r="J158" i="44" s="1"/>
  <c r="N60" i="41"/>
  <c r="H78" i="33"/>
  <c r="H78" i="41" s="1"/>
  <c r="M37" i="33"/>
  <c r="H37" i="41"/>
  <c r="G29" i="43"/>
  <c r="G243" i="44" s="1"/>
  <c r="I72" i="41"/>
  <c r="H370" i="44"/>
  <c r="H91" i="43"/>
  <c r="R21" i="42"/>
  <c r="I6" i="43"/>
  <c r="I7" i="44" s="1"/>
  <c r="K49" i="41"/>
  <c r="M36" i="43"/>
  <c r="M299" i="44" s="1"/>
  <c r="S79" i="41"/>
  <c r="D28" i="43"/>
  <c r="D229" i="44" s="1"/>
  <c r="E71" i="41"/>
  <c r="Z71" i="41" s="1"/>
  <c r="F26" i="42" s="1"/>
  <c r="D31" i="54" s="1"/>
  <c r="E60" i="33"/>
  <c r="BI99" i="77"/>
  <c r="BI99" i="70" s="1"/>
  <c r="BI85" i="70"/>
  <c r="Q61" i="33"/>
  <c r="Q61" i="41" s="1"/>
  <c r="Q20" i="41"/>
  <c r="S49" i="41"/>
  <c r="Q80" i="33"/>
  <c r="Q80" i="41" s="1"/>
  <c r="Q39" i="41"/>
  <c r="K96" i="43"/>
  <c r="E468" i="44"/>
  <c r="E98" i="43"/>
  <c r="I39" i="43"/>
  <c r="I327" i="44" s="1"/>
  <c r="K82" i="41"/>
  <c r="H74" i="33"/>
  <c r="H74" i="41" s="1"/>
  <c r="AA74" i="41" s="1"/>
  <c r="G29" i="42" s="1"/>
  <c r="D34" i="56" s="1"/>
  <c r="M33" i="33"/>
  <c r="H33" i="41"/>
  <c r="H79" i="33"/>
  <c r="H79" i="41" s="1"/>
  <c r="M38" i="33"/>
  <c r="H38" i="41"/>
  <c r="I36" i="43"/>
  <c r="I299" i="44" s="1"/>
  <c r="K79" i="41"/>
  <c r="H90" i="43"/>
  <c r="H356" i="44"/>
  <c r="F468" i="44"/>
  <c r="F98" i="43"/>
  <c r="M440" i="44"/>
  <c r="M96" i="43"/>
  <c r="D16" i="43"/>
  <c r="D144" i="44" s="1"/>
  <c r="E59" i="41"/>
  <c r="J524" i="44"/>
  <c r="J102" i="43"/>
  <c r="J496" i="44"/>
  <c r="J100" i="43"/>
  <c r="D35" i="43"/>
  <c r="D292" i="44" s="1"/>
  <c r="E78" i="41"/>
  <c r="D19" i="43"/>
  <c r="D193" i="44" s="1"/>
  <c r="E62" i="41"/>
  <c r="Z62" i="41" s="1"/>
  <c r="F20" i="42" s="1"/>
  <c r="D22" i="54" s="1"/>
  <c r="Q76" i="33"/>
  <c r="Q76" i="41" s="1"/>
  <c r="Q35" i="41"/>
  <c r="H34" i="43"/>
  <c r="H285" i="44" s="1"/>
  <c r="J77" i="41"/>
  <c r="H52" i="33"/>
  <c r="H52" i="41" s="1"/>
  <c r="M11" i="33"/>
  <c r="H11" i="41"/>
  <c r="L59" i="33"/>
  <c r="L59" i="41" s="1"/>
  <c r="L18" i="41"/>
  <c r="K6" i="43"/>
  <c r="K7" i="44" s="1"/>
  <c r="O49" i="41"/>
  <c r="L30" i="43"/>
  <c r="L257" i="44" s="1"/>
  <c r="P73" i="41"/>
  <c r="H384" i="44"/>
  <c r="H92" i="43"/>
  <c r="M19" i="33"/>
  <c r="H60" i="33"/>
  <c r="H60" i="41" s="1"/>
  <c r="H19" i="41"/>
  <c r="K30" i="43"/>
  <c r="K257" i="44" s="1"/>
  <c r="O73" i="41"/>
  <c r="E370" i="44"/>
  <c r="E91" i="43"/>
  <c r="V22" i="33"/>
  <c r="V22" i="41" s="1"/>
  <c r="S22" i="41"/>
  <c r="L37" i="43"/>
  <c r="L306" i="44" s="1"/>
  <c r="P80" i="41"/>
  <c r="G81" i="43"/>
  <c r="G684" i="44" s="1"/>
  <c r="O13" i="43"/>
  <c r="O102" i="44" s="1"/>
  <c r="U56" i="41"/>
  <c r="F31" i="43"/>
  <c r="F264" i="44" s="1"/>
  <c r="G74" i="41"/>
  <c r="Z74" i="41" s="1"/>
  <c r="F29" i="42" s="1"/>
  <c r="D34" i="54" s="1"/>
  <c r="M38" i="43"/>
  <c r="M313" i="44" s="1"/>
  <c r="S81" i="41"/>
  <c r="D36" i="43"/>
  <c r="D299" i="44" s="1"/>
  <c r="E79" i="41"/>
  <c r="Z79" i="41" s="1"/>
  <c r="F34" i="42" s="1"/>
  <c r="D39" i="54" s="1"/>
  <c r="L42" i="33"/>
  <c r="L42" i="41" s="1"/>
  <c r="I42" i="41"/>
  <c r="V51" i="33"/>
  <c r="V51" i="41" s="1"/>
  <c r="V10" i="41"/>
  <c r="V57" i="33"/>
  <c r="V57" i="41" s="1"/>
  <c r="V16" i="41"/>
  <c r="G83" i="33"/>
  <c r="F40" i="43" s="1"/>
  <c r="F37" i="43"/>
  <c r="F306" i="44" s="1"/>
  <c r="G80" i="41"/>
  <c r="J19" i="43"/>
  <c r="J193" i="44" s="1"/>
  <c r="N62" i="41"/>
  <c r="N496" i="44"/>
  <c r="N100" i="43"/>
  <c r="H62" i="33"/>
  <c r="H62" i="41" s="1"/>
  <c r="AA62" i="41" s="1"/>
  <c r="G20" i="42" s="1"/>
  <c r="D22" i="56" s="1"/>
  <c r="M21" i="33"/>
  <c r="H21" i="41"/>
  <c r="O7" i="43"/>
  <c r="O18" i="44" s="1"/>
  <c r="U50" i="41"/>
  <c r="P52" i="33"/>
  <c r="H10" i="43"/>
  <c r="H60" i="44" s="1"/>
  <c r="J53" i="41"/>
  <c r="I30" i="43"/>
  <c r="I257" i="44" s="1"/>
  <c r="K73" i="41"/>
  <c r="E52" i="33"/>
  <c r="L81" i="33"/>
  <c r="L81" i="41" s="1"/>
  <c r="L40" i="41"/>
  <c r="G16" i="43"/>
  <c r="G144" i="44" s="1"/>
  <c r="I59" i="41"/>
  <c r="I8" i="43"/>
  <c r="I32" i="44" s="1"/>
  <c r="K51" i="41"/>
  <c r="M30" i="43"/>
  <c r="M257" i="44" s="1"/>
  <c r="S73" i="41"/>
  <c r="K342" i="44"/>
  <c r="K89" i="43"/>
  <c r="K61" i="43"/>
  <c r="K676" i="44" s="1"/>
  <c r="J52" i="33"/>
  <c r="D496" i="44"/>
  <c r="D100" i="43"/>
  <c r="O426" i="44"/>
  <c r="O95" i="43"/>
  <c r="I440" i="44"/>
  <c r="I96" i="43"/>
  <c r="W54" i="40"/>
  <c r="M21" i="88" s="1"/>
  <c r="P21" i="88" s="1"/>
  <c r="P57" i="53"/>
  <c r="J510" i="44"/>
  <c r="J101" i="43"/>
  <c r="M342" i="44"/>
  <c r="M61" i="43"/>
  <c r="M676" i="44" s="1"/>
  <c r="M89" i="43"/>
  <c r="J96" i="43"/>
  <c r="N13" i="43"/>
  <c r="N102" i="44" s="1"/>
  <c r="T56" i="41"/>
  <c r="V81" i="33"/>
  <c r="V81" i="41" s="1"/>
  <c r="V40" i="41"/>
  <c r="E384" i="44"/>
  <c r="E92" i="43"/>
  <c r="H11" i="43"/>
  <c r="H74" i="44" s="1"/>
  <c r="J54" i="41"/>
  <c r="F61" i="43"/>
  <c r="F676" i="44" s="1"/>
  <c r="M8" i="43"/>
  <c r="M32" i="44" s="1"/>
  <c r="S51" i="41"/>
  <c r="M14" i="43"/>
  <c r="M116" i="44" s="1"/>
  <c r="S57" i="41"/>
  <c r="H69" i="33"/>
  <c r="M28" i="33"/>
  <c r="H28" i="41"/>
  <c r="H54" i="33"/>
  <c r="H54" i="41" s="1"/>
  <c r="AA54" i="41" s="1"/>
  <c r="G12" i="42" s="1"/>
  <c r="D14" i="56" s="1"/>
  <c r="M13" i="33"/>
  <c r="H13" i="41"/>
  <c r="L29" i="43"/>
  <c r="L243" i="44" s="1"/>
  <c r="P72" i="41"/>
  <c r="L39" i="43"/>
  <c r="L327" i="44" s="1"/>
  <c r="P82" i="41"/>
  <c r="D30" i="43"/>
  <c r="D257" i="44" s="1"/>
  <c r="E73" i="41"/>
  <c r="Q62" i="33"/>
  <c r="Q62" i="41" s="1"/>
  <c r="Q21" i="41"/>
  <c r="AB54" i="40"/>
  <c r="M20" i="42" s="1"/>
  <c r="H22" i="56" s="1"/>
  <c r="D524" i="44"/>
  <c r="D102" i="43"/>
  <c r="O356" i="44"/>
  <c r="O90" i="43"/>
  <c r="J33" i="43"/>
  <c r="J278" i="44" s="1"/>
  <c r="N76" i="41"/>
  <c r="K29" i="43"/>
  <c r="K243" i="44" s="1"/>
  <c r="O72" i="41"/>
  <c r="L384" i="44"/>
  <c r="L92" i="43"/>
  <c r="H398" i="44"/>
  <c r="H93" i="43"/>
  <c r="D384" i="44"/>
  <c r="D92" i="43"/>
  <c r="G482" i="44"/>
  <c r="G99" i="43"/>
  <c r="I91" i="43"/>
  <c r="I370" i="44"/>
  <c r="V73" i="33"/>
  <c r="V73" i="41" s="1"/>
  <c r="V32" i="41"/>
  <c r="T55" i="41"/>
  <c r="N6" i="43"/>
  <c r="N7" i="44" s="1"/>
  <c r="T49" i="41"/>
  <c r="O57" i="33"/>
  <c r="H31" i="43"/>
  <c r="H264" i="44" s="1"/>
  <c r="J74" i="41"/>
  <c r="U57" i="33"/>
  <c r="L51" i="33"/>
  <c r="L51" i="41" s="1"/>
  <c r="N91" i="43"/>
  <c r="N440" i="44"/>
  <c r="N96" i="43"/>
  <c r="I412" i="44"/>
  <c r="I94" i="43"/>
  <c r="M12" i="43"/>
  <c r="M88" i="44" s="1"/>
  <c r="S55" i="41"/>
  <c r="N532" i="44"/>
  <c r="N81" i="43"/>
  <c r="N684" i="44" s="1"/>
  <c r="M91" i="43"/>
  <c r="M370" i="44"/>
  <c r="M454" i="44"/>
  <c r="M97" i="43"/>
  <c r="H42" i="33"/>
  <c r="E42" i="41"/>
  <c r="D11" i="43"/>
  <c r="D74" i="44" s="1"/>
  <c r="E54" i="41"/>
  <c r="L61" i="33"/>
  <c r="L61" i="41" s="1"/>
  <c r="L20" i="41"/>
  <c r="H73" i="33"/>
  <c r="H73" i="41" s="1"/>
  <c r="AA73" i="41" s="1"/>
  <c r="G28" i="42" s="1"/>
  <c r="D33" i="56" s="1"/>
  <c r="M32" i="33"/>
  <c r="H32" i="41"/>
  <c r="I29" i="43"/>
  <c r="I243" i="44" s="1"/>
  <c r="K72" i="41"/>
  <c r="Q50" i="33"/>
  <c r="Q50" i="41" s="1"/>
  <c r="Q9" i="41"/>
  <c r="O37" i="43"/>
  <c r="O306" i="44" s="1"/>
  <c r="U80" i="41"/>
  <c r="F10" i="43"/>
  <c r="F60" i="44" s="1"/>
  <c r="G53" i="41"/>
  <c r="E426" i="44"/>
  <c r="E95" i="43"/>
  <c r="V59" i="33"/>
  <c r="V59" i="41" s="1"/>
  <c r="V18" i="41"/>
  <c r="N426" i="44"/>
  <c r="N95" i="43"/>
  <c r="H28" i="43"/>
  <c r="H229" i="44" s="1"/>
  <c r="J71" i="41"/>
  <c r="N342" i="44"/>
  <c r="N89" i="43"/>
  <c r="N61" i="43"/>
  <c r="N676" i="44" s="1"/>
  <c r="K454" i="44"/>
  <c r="K97" i="43"/>
  <c r="N27" i="43"/>
  <c r="N215" i="44" s="1"/>
  <c r="T70" i="41"/>
  <c r="O454" i="44"/>
  <c r="O97" i="43"/>
  <c r="N11" i="43"/>
  <c r="N74" i="44" s="1"/>
  <c r="T54" i="41"/>
  <c r="O35" i="43"/>
  <c r="O292" i="44" s="1"/>
  <c r="U78" i="41"/>
  <c r="H36" i="43"/>
  <c r="H299" i="44" s="1"/>
  <c r="J79" i="41"/>
  <c r="O50" i="33"/>
  <c r="J61" i="33"/>
  <c r="L10" i="43"/>
  <c r="L60" i="44" s="1"/>
  <c r="P53" i="41"/>
  <c r="Q54" i="33"/>
  <c r="Q54" i="41" s="1"/>
  <c r="Q13" i="41"/>
  <c r="O31" i="43"/>
  <c r="O264" i="44" s="1"/>
  <c r="U74" i="41"/>
  <c r="H77" i="33"/>
  <c r="H77" i="41" s="1"/>
  <c r="AA77" i="41" s="1"/>
  <c r="G32" i="42" s="1"/>
  <c r="D37" i="56" s="1"/>
  <c r="M36" i="33"/>
  <c r="H36" i="41"/>
  <c r="V55" i="33"/>
  <c r="V55" i="41" s="1"/>
  <c r="V14" i="41"/>
  <c r="Q55" i="33"/>
  <c r="Q55" i="41" s="1"/>
  <c r="Q14" i="41"/>
  <c r="G59" i="33"/>
  <c r="K59" i="33"/>
  <c r="F59" i="33"/>
  <c r="H76" i="33"/>
  <c r="H76" i="41" s="1"/>
  <c r="AA76" i="41" s="1"/>
  <c r="G31" i="42" s="1"/>
  <c r="D36" i="56" s="1"/>
  <c r="M35" i="33"/>
  <c r="H35" i="41"/>
  <c r="G92" i="43"/>
  <c r="H194" i="44"/>
  <c r="I19" i="53"/>
  <c r="J194" i="44"/>
  <c r="AF18" i="65"/>
  <c r="F29" i="75"/>
  <c r="F40" i="75"/>
  <c r="F17" i="75"/>
  <c r="F35" i="75"/>
  <c r="F19" i="75"/>
  <c r="G30" i="54"/>
  <c r="G40" i="54"/>
  <c r="D61" i="54" s="1"/>
  <c r="G9" i="54"/>
  <c r="L194" i="44"/>
  <c r="G18" i="54"/>
  <c r="G21" i="54"/>
  <c r="G10" i="54"/>
  <c r="G41" i="54"/>
  <c r="F32" i="75"/>
  <c r="F20" i="75"/>
  <c r="G29" i="54"/>
  <c r="Z19" i="41"/>
  <c r="AB19" i="41" s="1"/>
  <c r="E18" i="49" s="1"/>
  <c r="F16" i="75"/>
  <c r="G22" i="54"/>
  <c r="D63" i="54" s="1"/>
  <c r="Z16" i="41"/>
  <c r="AB16" i="41" s="1"/>
  <c r="E15" i="42" s="1"/>
  <c r="G35" i="54"/>
  <c r="F30" i="75"/>
  <c r="E94" i="41"/>
  <c r="G14" i="54"/>
  <c r="D55" i="54" s="1"/>
  <c r="Z40" i="41"/>
  <c r="AB40" i="41" s="1"/>
  <c r="E37" i="49" s="1"/>
  <c r="Z30" i="41"/>
  <c r="AB30" i="41" s="1"/>
  <c r="E27" i="49" s="1"/>
  <c r="G11" i="54"/>
  <c r="D52" i="54" s="1"/>
  <c r="Z38" i="41"/>
  <c r="AB38" i="41" s="1"/>
  <c r="E35" i="49" s="1"/>
  <c r="Z11" i="41"/>
  <c r="AB11" i="41" s="1"/>
  <c r="E10" i="49" s="1"/>
  <c r="Z18" i="41"/>
  <c r="AB18" i="41" s="1"/>
  <c r="E17" i="42" s="1"/>
  <c r="Z33" i="41"/>
  <c r="AB33" i="41" s="1"/>
  <c r="E29" i="42" s="1"/>
  <c r="Z12" i="41"/>
  <c r="Z39" i="41"/>
  <c r="AB39" i="41" s="1"/>
  <c r="E36" i="49" s="1"/>
  <c r="Z21" i="41"/>
  <c r="AB21" i="41" s="1"/>
  <c r="E20" i="49" s="1"/>
  <c r="Z20" i="41"/>
  <c r="AB20" i="41" s="1"/>
  <c r="E19" i="49" s="1"/>
  <c r="Z31" i="41"/>
  <c r="AB31" i="41" s="1"/>
  <c r="E28" i="49" s="1"/>
  <c r="Z41" i="41"/>
  <c r="AB41" i="41" s="1"/>
  <c r="E37" i="42" s="1"/>
  <c r="Z14" i="41"/>
  <c r="O94" i="41"/>
  <c r="Z13" i="41"/>
  <c r="AB13" i="41" s="1"/>
  <c r="E12" i="42" s="1"/>
  <c r="Z35" i="41"/>
  <c r="AB35" i="41" s="1"/>
  <c r="E31" i="42" s="1"/>
  <c r="F37" i="75"/>
  <c r="Z34" i="41"/>
  <c r="AB34" i="41" s="1"/>
  <c r="E31" i="49" s="1"/>
  <c r="Z28" i="41"/>
  <c r="AB28" i="41" s="1"/>
  <c r="Z10" i="41"/>
  <c r="AB10" i="41" s="1"/>
  <c r="E9" i="49" s="1"/>
  <c r="Z15" i="41"/>
  <c r="AB15" i="41" s="1"/>
  <c r="E14" i="49" s="1"/>
  <c r="Z36" i="41"/>
  <c r="AB36" i="41" s="1"/>
  <c r="E33" i="49" s="1"/>
  <c r="Z37" i="41"/>
  <c r="Z8" i="41"/>
  <c r="AB8" i="41" s="1"/>
  <c r="Z32" i="41"/>
  <c r="Z29" i="41"/>
  <c r="AB29" i="41" s="1"/>
  <c r="E26" i="49" s="1"/>
  <c r="Z9" i="41"/>
  <c r="AB9" i="41" s="1"/>
  <c r="E8" i="42" s="1"/>
  <c r="Z17" i="41"/>
  <c r="AB17" i="41" s="1"/>
  <c r="E16" i="49" s="1"/>
  <c r="AE18" i="65"/>
  <c r="N19" i="53"/>
  <c r="N96" i="53"/>
  <c r="D58" i="54"/>
  <c r="E7" i="78"/>
  <c r="I189" i="36"/>
  <c r="L74" i="36"/>
  <c r="E88" i="36"/>
  <c r="D88" i="36"/>
  <c r="AC77" i="52"/>
  <c r="Z38" i="42" s="1"/>
  <c r="E43" i="78" s="1"/>
  <c r="AC69" i="52"/>
  <c r="Z30" i="42" s="1"/>
  <c r="E35" i="78" s="1"/>
  <c r="AC72" i="52"/>
  <c r="Z33" i="42" s="1"/>
  <c r="E38" i="78" s="1"/>
  <c r="AC64" i="52"/>
  <c r="Z25" i="42" s="1"/>
  <c r="E30" i="78" s="1"/>
  <c r="AC93" i="52"/>
  <c r="AC85" i="52"/>
  <c r="AC52" i="52"/>
  <c r="Z15" i="42" s="1"/>
  <c r="E17" i="78" s="1"/>
  <c r="AC44" i="52"/>
  <c r="Z7" i="42" s="1"/>
  <c r="E9" i="78" s="1"/>
  <c r="AC74" i="52"/>
  <c r="Z35" i="42" s="1"/>
  <c r="E40" i="78" s="1"/>
  <c r="AC66" i="52"/>
  <c r="Z27" i="42" s="1"/>
  <c r="E32" i="78" s="1"/>
  <c r="AC98" i="52"/>
  <c r="AC90" i="52"/>
  <c r="AC57" i="52"/>
  <c r="Z20" i="42" s="1"/>
  <c r="E22" i="78" s="1"/>
  <c r="AC49" i="52"/>
  <c r="Z12" i="42" s="1"/>
  <c r="E14" i="78" s="1"/>
  <c r="AC92" i="52"/>
  <c r="AC71" i="52"/>
  <c r="Z32" i="42" s="1"/>
  <c r="E37" i="78" s="1"/>
  <c r="AC63" i="52"/>
  <c r="Z24" i="42" s="1"/>
  <c r="E29" i="78" s="1"/>
  <c r="AC84" i="52"/>
  <c r="AC51" i="52"/>
  <c r="Z14" i="42" s="1"/>
  <c r="E16" i="78" s="1"/>
  <c r="AC95" i="52"/>
  <c r="AC87" i="52"/>
  <c r="AC54" i="52"/>
  <c r="Z17" i="42" s="1"/>
  <c r="E19" i="78" s="1"/>
  <c r="AC46" i="52"/>
  <c r="Z9" i="42" s="1"/>
  <c r="E11" i="78" s="1"/>
  <c r="AC76" i="52"/>
  <c r="Z37" i="42" s="1"/>
  <c r="E42" i="78" s="1"/>
  <c r="AC68" i="52"/>
  <c r="Z29" i="42" s="1"/>
  <c r="E34" i="78" s="1"/>
  <c r="AC73" i="52"/>
  <c r="Z34" i="42" s="1"/>
  <c r="E39" i="78" s="1"/>
  <c r="AC65" i="52"/>
  <c r="Z26" i="42" s="1"/>
  <c r="E31" i="78" s="1"/>
  <c r="AC97" i="52"/>
  <c r="AC89" i="52"/>
  <c r="AC56" i="52"/>
  <c r="Z19" i="42" s="1"/>
  <c r="E21" i="78" s="1"/>
  <c r="AC48" i="52"/>
  <c r="Z11" i="42" s="1"/>
  <c r="E13" i="78" s="1"/>
  <c r="AC70" i="52"/>
  <c r="Z31" i="42" s="1"/>
  <c r="E36" i="78" s="1"/>
  <c r="AC94" i="52"/>
  <c r="AC86" i="52"/>
  <c r="AC53" i="52"/>
  <c r="Z16" i="42" s="1"/>
  <c r="E18" i="78" s="1"/>
  <c r="AC45" i="52"/>
  <c r="Z8" i="42" s="1"/>
  <c r="E10" i="78" s="1"/>
  <c r="AC75" i="52"/>
  <c r="Z36" i="42" s="1"/>
  <c r="E41" i="78" s="1"/>
  <c r="AC67" i="52"/>
  <c r="Z28" i="42" s="1"/>
  <c r="E33" i="78" s="1"/>
  <c r="AC91" i="52"/>
  <c r="AC58" i="52"/>
  <c r="Z21" i="42" s="1"/>
  <c r="E23" i="78" s="1"/>
  <c r="AC50" i="52"/>
  <c r="Z13" i="42" s="1"/>
  <c r="E15" i="78" s="1"/>
  <c r="AC96" i="52"/>
  <c r="AC88" i="52"/>
  <c r="AC55" i="52"/>
  <c r="Z18" i="42" s="1"/>
  <c r="E20" i="78" s="1"/>
  <c r="AC47" i="52"/>
  <c r="Z10" i="42" s="1"/>
  <c r="E12" i="78" s="1"/>
  <c r="E85" i="36"/>
  <c r="D85" i="36"/>
  <c r="D60" i="54"/>
  <c r="H22" i="75"/>
  <c r="I188" i="36"/>
  <c r="I186" i="36" s="1"/>
  <c r="F8" i="61" s="1"/>
  <c r="L76" i="36"/>
  <c r="J188" i="36"/>
  <c r="J186" i="36" s="1"/>
  <c r="H8" i="61" s="1"/>
  <c r="F7" i="78"/>
  <c r="G5" i="75"/>
  <c r="L75" i="36"/>
  <c r="G4" i="54"/>
  <c r="F67" i="54" s="1"/>
  <c r="J189" i="36"/>
  <c r="E82" i="36"/>
  <c r="D82" i="36"/>
  <c r="E79" i="36"/>
  <c r="D79" i="36"/>
  <c r="I85" i="53"/>
  <c r="AA35" i="65"/>
  <c r="H36" i="53"/>
  <c r="G314" i="44"/>
  <c r="AI11" i="65"/>
  <c r="T12" i="53"/>
  <c r="O89" i="44"/>
  <c r="AD35" i="65"/>
  <c r="M36" i="53"/>
  <c r="J314" i="44"/>
  <c r="AA15" i="65"/>
  <c r="H16" i="53"/>
  <c r="G145" i="44"/>
  <c r="AD36" i="65"/>
  <c r="M37" i="53"/>
  <c r="J328" i="44"/>
  <c r="AD25" i="65"/>
  <c r="M26" i="53"/>
  <c r="J230" i="44"/>
  <c r="AF6" i="65"/>
  <c r="O7" i="53"/>
  <c r="L19" i="44"/>
  <c r="AC35" i="40"/>
  <c r="K36" i="42" s="1"/>
  <c r="AE36" i="65"/>
  <c r="N37" i="53"/>
  <c r="K328" i="44"/>
  <c r="N29" i="53"/>
  <c r="AE28" i="65"/>
  <c r="K265" i="44"/>
  <c r="AF31" i="65"/>
  <c r="O32" i="53"/>
  <c r="L286" i="44"/>
  <c r="AF34" i="65"/>
  <c r="O35" i="53"/>
  <c r="L307" i="44"/>
  <c r="AD23" i="65"/>
  <c r="M24" i="53"/>
  <c r="J202" i="44"/>
  <c r="AG17" i="65"/>
  <c r="R18" i="53"/>
  <c r="M173" i="44"/>
  <c r="AC26" i="40"/>
  <c r="K27" i="42" s="1"/>
  <c r="AB6" i="65"/>
  <c r="I7" i="53"/>
  <c r="H19" i="44"/>
  <c r="AF7" i="65"/>
  <c r="O8" i="53"/>
  <c r="L33" i="44"/>
  <c r="AB29" i="65"/>
  <c r="I30" i="53"/>
  <c r="H272" i="44"/>
  <c r="AA29" i="65"/>
  <c r="H30" i="53"/>
  <c r="G272" i="44"/>
  <c r="AE32" i="65"/>
  <c r="N33" i="53"/>
  <c r="K293" i="44"/>
  <c r="AD9" i="65"/>
  <c r="M10" i="53"/>
  <c r="J61" i="44"/>
  <c r="AB11" i="65"/>
  <c r="I12" i="53"/>
  <c r="H89" i="44"/>
  <c r="AH31" i="65"/>
  <c r="S32" i="53"/>
  <c r="N286" i="44"/>
  <c r="AH17" i="65"/>
  <c r="S18" i="53"/>
  <c r="N173" i="44"/>
  <c r="AA18" i="65"/>
  <c r="H19" i="53"/>
  <c r="G194" i="44"/>
  <c r="AA23" i="65"/>
  <c r="H24" i="53"/>
  <c r="G202" i="44"/>
  <c r="AB30" i="65"/>
  <c r="I31" i="53"/>
  <c r="H279" i="44"/>
  <c r="AE27" i="65"/>
  <c r="N28" i="53"/>
  <c r="K258" i="44"/>
  <c r="R26" i="53"/>
  <c r="AG25" i="65"/>
  <c r="M230" i="44"/>
  <c r="AF35" i="65"/>
  <c r="O36" i="53"/>
  <c r="L314" i="44"/>
  <c r="X31" i="65"/>
  <c r="D32" i="53"/>
  <c r="AC31" i="40"/>
  <c r="K32" i="42" s="1"/>
  <c r="D286" i="44"/>
  <c r="AE8" i="65"/>
  <c r="N9" i="53"/>
  <c r="K47" i="44"/>
  <c r="AF14" i="65"/>
  <c r="O15" i="53"/>
  <c r="L131" i="44"/>
  <c r="AH23" i="65"/>
  <c r="S24" i="53"/>
  <c r="N202" i="44"/>
  <c r="Y29" i="65"/>
  <c r="E30" i="53"/>
  <c r="E272" i="44"/>
  <c r="AI8" i="65"/>
  <c r="T9" i="53"/>
  <c r="O47" i="44"/>
  <c r="AB10" i="65"/>
  <c r="I11" i="53"/>
  <c r="H75" i="44"/>
  <c r="AF8" i="65"/>
  <c r="O9" i="53"/>
  <c r="L47" i="44"/>
  <c r="AH16" i="65"/>
  <c r="S17" i="53"/>
  <c r="N159" i="44"/>
  <c r="AG16" i="65"/>
  <c r="R17" i="53"/>
  <c r="M159" i="44"/>
  <c r="AI34" i="65"/>
  <c r="T35" i="53"/>
  <c r="O307" i="44"/>
  <c r="AC15" i="40"/>
  <c r="K16" i="42" s="1"/>
  <c r="AG30" i="65"/>
  <c r="R31" i="53"/>
  <c r="M279" i="44"/>
  <c r="AD29" i="65"/>
  <c r="M30" i="53"/>
  <c r="J272" i="44"/>
  <c r="AA31" i="65"/>
  <c r="H32" i="53"/>
  <c r="G286" i="44"/>
  <c r="S36" i="53"/>
  <c r="AH35" i="65"/>
  <c r="N314" i="44"/>
  <c r="AC16" i="40"/>
  <c r="K17" i="42" s="1"/>
  <c r="AG14" i="65"/>
  <c r="R15" i="53"/>
  <c r="M131" i="44"/>
  <c r="AE25" i="65"/>
  <c r="N26" i="53"/>
  <c r="K230" i="44"/>
  <c r="AI33" i="65"/>
  <c r="T34" i="53"/>
  <c r="O300" i="44"/>
  <c r="AE23" i="65"/>
  <c r="N24" i="53"/>
  <c r="K202" i="44"/>
  <c r="T36" i="53"/>
  <c r="AI35" i="65"/>
  <c r="O314" i="44"/>
  <c r="AG34" i="65"/>
  <c r="R35" i="53"/>
  <c r="M307" i="44"/>
  <c r="O6" i="53"/>
  <c r="AF5" i="65"/>
  <c r="L8" i="44"/>
  <c r="AA36" i="65"/>
  <c r="H37" i="53"/>
  <c r="G328" i="44"/>
  <c r="AC7" i="40"/>
  <c r="K8" i="42" s="1"/>
  <c r="AF17" i="65"/>
  <c r="O18" i="53"/>
  <c r="L173" i="44"/>
  <c r="AH36" i="65"/>
  <c r="S37" i="53"/>
  <c r="N328" i="44"/>
  <c r="AF15" i="65"/>
  <c r="O16" i="53"/>
  <c r="L145" i="44"/>
  <c r="AH26" i="65"/>
  <c r="S27" i="53"/>
  <c r="N244" i="44"/>
  <c r="AE34" i="65"/>
  <c r="N35" i="53"/>
  <c r="K307" i="44"/>
  <c r="AB33" i="65"/>
  <c r="I34" i="53"/>
  <c r="H300" i="44"/>
  <c r="AA7" i="65"/>
  <c r="H8" i="53"/>
  <c r="G33" i="44"/>
  <c r="AI16" i="65"/>
  <c r="T17" i="53"/>
  <c r="O159" i="44"/>
  <c r="AD33" i="65"/>
  <c r="M34" i="53"/>
  <c r="J300" i="44"/>
  <c r="AI29" i="65"/>
  <c r="T30" i="53"/>
  <c r="O272" i="44"/>
  <c r="AI32" i="65"/>
  <c r="T33" i="53"/>
  <c r="O293" i="44"/>
  <c r="AG29" i="65"/>
  <c r="R30" i="53"/>
  <c r="M272" i="44"/>
  <c r="AC28" i="65"/>
  <c r="J29" i="53"/>
  <c r="I265" i="44"/>
  <c r="AD31" i="65"/>
  <c r="M32" i="53"/>
  <c r="J286" i="44"/>
  <c r="AH18" i="65"/>
  <c r="S19" i="53"/>
  <c r="N194" i="44"/>
  <c r="I18" i="53"/>
  <c r="AB17" i="65"/>
  <c r="H173" i="44"/>
  <c r="AG35" i="65"/>
  <c r="R36" i="53"/>
  <c r="M314" i="44"/>
  <c r="AH10" i="65"/>
  <c r="S11" i="53"/>
  <c r="N75" i="44"/>
  <c r="AG23" i="65"/>
  <c r="R24" i="53"/>
  <c r="M202" i="44"/>
  <c r="AA10" i="65"/>
  <c r="H11" i="53"/>
  <c r="G75" i="44"/>
  <c r="AD6" i="65"/>
  <c r="M7" i="53"/>
  <c r="J19" i="44"/>
  <c r="AH11" i="65"/>
  <c r="S12" i="53"/>
  <c r="N89" i="44"/>
  <c r="AF36" i="65"/>
  <c r="O37" i="53"/>
  <c r="L328" i="44"/>
  <c r="AE7" i="65"/>
  <c r="N8" i="53"/>
  <c r="K33" i="44"/>
  <c r="AG27" i="65"/>
  <c r="R28" i="53"/>
  <c r="M258" i="44"/>
  <c r="AD15" i="65"/>
  <c r="M16" i="53"/>
  <c r="J145" i="44"/>
  <c r="AA30" i="65"/>
  <c r="H31" i="53"/>
  <c r="G279" i="44"/>
  <c r="AG26" i="65"/>
  <c r="R27" i="53"/>
  <c r="M244" i="44"/>
  <c r="AH9" i="65"/>
  <c r="S10" i="53"/>
  <c r="N61" i="44"/>
  <c r="AB35" i="65"/>
  <c r="I36" i="53"/>
  <c r="H314" i="44"/>
  <c r="AE12" i="65"/>
  <c r="N13" i="53"/>
  <c r="K103" i="44"/>
  <c r="AH7" i="65"/>
  <c r="S8" i="53"/>
  <c r="N33" i="44"/>
  <c r="AA25" i="65"/>
  <c r="H26" i="53"/>
  <c r="G230" i="44"/>
  <c r="AG9" i="65"/>
  <c r="R10" i="53"/>
  <c r="M61" i="44"/>
  <c r="AE11" i="65"/>
  <c r="N12" i="53"/>
  <c r="K89" i="44"/>
  <c r="AC23" i="65"/>
  <c r="J24" i="53"/>
  <c r="I202" i="44"/>
  <c r="AF16" i="65"/>
  <c r="O17" i="53"/>
  <c r="L159" i="44"/>
  <c r="AB31" i="65"/>
  <c r="I32" i="53"/>
  <c r="H286" i="44"/>
  <c r="AC12" i="40"/>
  <c r="K13" i="42" s="1"/>
  <c r="AE35" i="65"/>
  <c r="N36" i="53"/>
  <c r="K314" i="44"/>
  <c r="AE33" i="65"/>
  <c r="N34" i="53"/>
  <c r="K300" i="44"/>
  <c r="D31" i="53"/>
  <c r="AC30" i="40"/>
  <c r="K31" i="42" s="1"/>
  <c r="AI23" i="65"/>
  <c r="T24" i="53"/>
  <c r="O202" i="44"/>
  <c r="AH33" i="65"/>
  <c r="S34" i="53"/>
  <c r="N300" i="44"/>
  <c r="AI6" i="65"/>
  <c r="T7" i="53"/>
  <c r="O19" i="44"/>
  <c r="AD27" i="65"/>
  <c r="M28" i="53"/>
  <c r="J258" i="44"/>
  <c r="AF11" i="65"/>
  <c r="O12" i="53"/>
  <c r="L89" i="44"/>
  <c r="AH29" i="65"/>
  <c r="S30" i="53"/>
  <c r="N272" i="44"/>
  <c r="AG32" i="65"/>
  <c r="R33" i="53"/>
  <c r="M293" i="44"/>
  <c r="I15" i="53"/>
  <c r="AB14" i="65"/>
  <c r="H131" i="44"/>
  <c r="AC32" i="65"/>
  <c r="J33" i="53"/>
  <c r="I293" i="44"/>
  <c r="AE26" i="65"/>
  <c r="N27" i="53"/>
  <c r="K244" i="44"/>
  <c r="AA26" i="65"/>
  <c r="H27" i="53"/>
  <c r="G244" i="44"/>
  <c r="AC23" i="40"/>
  <c r="K24" i="42" s="1"/>
  <c r="AB5" i="65"/>
  <c r="I6" i="53"/>
  <c r="H8" i="44"/>
  <c r="AD14" i="65"/>
  <c r="M15" i="53"/>
  <c r="J131" i="44"/>
  <c r="AG13" i="65"/>
  <c r="R14" i="53"/>
  <c r="M117" i="44"/>
  <c r="AH24" i="65"/>
  <c r="S25" i="53"/>
  <c r="N216" i="44"/>
  <c r="AI27" i="65"/>
  <c r="T28" i="53"/>
  <c r="O258" i="44"/>
  <c r="AD16" i="65"/>
  <c r="M17" i="53"/>
  <c r="J159" i="44"/>
  <c r="X16" i="65"/>
  <c r="D17" i="53"/>
  <c r="D159" i="44"/>
  <c r="AC17" i="40"/>
  <c r="K18" i="42" s="1"/>
  <c r="AB15" i="65"/>
  <c r="I16" i="53"/>
  <c r="H145" i="44"/>
  <c r="AF30" i="65"/>
  <c r="O31" i="53"/>
  <c r="L279" i="44"/>
  <c r="AD7" i="65"/>
  <c r="M8" i="53"/>
  <c r="J33" i="44"/>
  <c r="AC12" i="65"/>
  <c r="J13" i="53"/>
  <c r="I103" i="44"/>
  <c r="AG12" i="65"/>
  <c r="R13" i="53"/>
  <c r="M103" i="44"/>
  <c r="AE17" i="65"/>
  <c r="N18" i="53"/>
  <c r="K173" i="44"/>
  <c r="AD11" i="65"/>
  <c r="M12" i="53"/>
  <c r="J89" i="44"/>
  <c r="AA28" i="65"/>
  <c r="H29" i="53"/>
  <c r="G265" i="44"/>
  <c r="AH25" i="65"/>
  <c r="S26" i="53"/>
  <c r="N230" i="44"/>
  <c r="AB9" i="65"/>
  <c r="I10" i="53"/>
  <c r="H61" i="44"/>
  <c r="AH5" i="65"/>
  <c r="S6" i="53"/>
  <c r="N8" i="44"/>
  <c r="AC10" i="40"/>
  <c r="K11" i="42" s="1"/>
  <c r="AC6" i="40"/>
  <c r="K7" i="42" s="1"/>
  <c r="X7" i="65"/>
  <c r="AC8" i="40"/>
  <c r="K9" i="42" s="1"/>
  <c r="AE6" i="65"/>
  <c r="N7" i="53"/>
  <c r="K19" i="44"/>
  <c r="AD28" i="65"/>
  <c r="M29" i="53"/>
  <c r="J265" i="44"/>
  <c r="AG6" i="65"/>
  <c r="R7" i="53"/>
  <c r="M19" i="44"/>
  <c r="O26" i="53"/>
  <c r="AF25" i="65"/>
  <c r="L230" i="44"/>
  <c r="AF24" i="65"/>
  <c r="O25" i="53"/>
  <c r="L216" i="44"/>
  <c r="AC25" i="40"/>
  <c r="K26" i="42" s="1"/>
  <c r="AI10" i="65"/>
  <c r="T11" i="53"/>
  <c r="O75" i="44"/>
  <c r="AE16" i="65"/>
  <c r="N17" i="53"/>
  <c r="K159" i="44"/>
  <c r="AB16" i="65"/>
  <c r="I17" i="53"/>
  <c r="H159" i="44"/>
  <c r="AA12" i="65"/>
  <c r="H13" i="53"/>
  <c r="G103" i="44"/>
  <c r="AG33" i="65"/>
  <c r="R34" i="53"/>
  <c r="M300" i="44"/>
  <c r="AH13" i="65"/>
  <c r="S14" i="53"/>
  <c r="N117" i="44"/>
  <c r="AB13" i="65"/>
  <c r="I14" i="53"/>
  <c r="H117" i="44"/>
  <c r="AI13" i="65"/>
  <c r="T14" i="53"/>
  <c r="O117" i="44"/>
  <c r="D34" i="53"/>
  <c r="X33" i="65"/>
  <c r="AC33" i="40"/>
  <c r="K34" i="42" s="1"/>
  <c r="D300" i="44"/>
  <c r="H18" i="53"/>
  <c r="AA17" i="65"/>
  <c r="G173" i="44"/>
  <c r="AB26" i="65"/>
  <c r="I27" i="53"/>
  <c r="H244" i="44"/>
  <c r="AF26" i="65"/>
  <c r="O27" i="53"/>
  <c r="L244" i="44"/>
  <c r="AB8" i="65"/>
  <c r="I9" i="53"/>
  <c r="H47" i="44"/>
  <c r="AE29" i="65"/>
  <c r="N30" i="53"/>
  <c r="K272" i="44"/>
  <c r="AC14" i="40"/>
  <c r="K15" i="42" s="1"/>
  <c r="AG10" i="65"/>
  <c r="R11" i="53"/>
  <c r="M75" i="44"/>
  <c r="AD8" i="65"/>
  <c r="M9" i="53"/>
  <c r="J47" i="44"/>
  <c r="AI7" i="65"/>
  <c r="T8" i="53"/>
  <c r="O33" i="44"/>
  <c r="AA11" i="65"/>
  <c r="H12" i="53"/>
  <c r="G89" i="44"/>
  <c r="AE31" i="65"/>
  <c r="N32" i="53"/>
  <c r="K286" i="44"/>
  <c r="AG5" i="65"/>
  <c r="R6" i="53"/>
  <c r="M8" i="44"/>
  <c r="AC11" i="40"/>
  <c r="K12" i="42" s="1"/>
  <c r="AI15" i="65"/>
  <c r="T16" i="53"/>
  <c r="O145" i="44"/>
  <c r="AF23" i="65"/>
  <c r="O24" i="53"/>
  <c r="L202" i="44"/>
  <c r="AI25" i="65"/>
  <c r="T26" i="53"/>
  <c r="O230" i="44"/>
  <c r="AA33" i="65"/>
  <c r="H34" i="53"/>
  <c r="G300" i="44"/>
  <c r="AH34" i="65"/>
  <c r="S35" i="53"/>
  <c r="N307" i="44"/>
  <c r="AB23" i="65"/>
  <c r="I24" i="53"/>
  <c r="H202" i="44"/>
  <c r="AD30" i="65"/>
  <c r="M31" i="53"/>
  <c r="J279" i="44"/>
  <c r="AC24" i="40"/>
  <c r="K25" i="42" s="1"/>
  <c r="AC34" i="40"/>
  <c r="K35" i="42" s="1"/>
  <c r="AH12" i="65"/>
  <c r="S13" i="53"/>
  <c r="N103" i="44"/>
  <c r="AG11" i="65"/>
  <c r="R12" i="53"/>
  <c r="M89" i="44"/>
  <c r="AE13" i="65"/>
  <c r="N14" i="53"/>
  <c r="K117" i="44"/>
  <c r="AI30" i="65"/>
  <c r="T31" i="53"/>
  <c r="O279" i="44"/>
  <c r="AD32" i="65"/>
  <c r="M33" i="53"/>
  <c r="J293" i="44"/>
  <c r="AH8" i="65"/>
  <c r="S9" i="53"/>
  <c r="N47" i="44"/>
  <c r="AI26" i="65"/>
  <c r="T27" i="53"/>
  <c r="O244" i="44"/>
  <c r="AI18" i="65"/>
  <c r="T19" i="53"/>
  <c r="O194" i="44"/>
  <c r="AA6" i="65"/>
  <c r="H7" i="53"/>
  <c r="G19" i="44"/>
  <c r="AE15" i="65"/>
  <c r="N16" i="53"/>
  <c r="K145" i="44"/>
  <c r="AC32" i="40"/>
  <c r="K33" i="42" s="1"/>
  <c r="AA32" i="65"/>
  <c r="H33" i="53"/>
  <c r="G293" i="44"/>
  <c r="AH6" i="65"/>
  <c r="S7" i="53"/>
  <c r="N19" i="44"/>
  <c r="AB24" i="65"/>
  <c r="I25" i="53"/>
  <c r="H216" i="44"/>
  <c r="AH32" i="65"/>
  <c r="S33" i="53"/>
  <c r="N293" i="44"/>
  <c r="AD12" i="65"/>
  <c r="M13" i="53"/>
  <c r="J103" i="44"/>
  <c r="AI12" i="65"/>
  <c r="T13" i="53"/>
  <c r="O103" i="44"/>
  <c r="AD13" i="65"/>
  <c r="M14" i="53"/>
  <c r="J117" i="44"/>
  <c r="AI24" i="65"/>
  <c r="T25" i="53"/>
  <c r="O216" i="44"/>
  <c r="AF12" i="65"/>
  <c r="O13" i="53"/>
  <c r="L103" i="44"/>
  <c r="AI28" i="65"/>
  <c r="T29" i="53"/>
  <c r="O265" i="44"/>
  <c r="AE14" i="65"/>
  <c r="N15" i="53"/>
  <c r="K131" i="44"/>
  <c r="AE30" i="65"/>
  <c r="N31" i="53"/>
  <c r="K279" i="44"/>
  <c r="AI5" i="65"/>
  <c r="T6" i="53"/>
  <c r="O8" i="44"/>
  <c r="AH27" i="65"/>
  <c r="S28" i="53"/>
  <c r="N258" i="44"/>
  <c r="AD17" i="65"/>
  <c r="M18" i="53"/>
  <c r="J173" i="44"/>
  <c r="AA13" i="65"/>
  <c r="H14" i="53"/>
  <c r="G117" i="44"/>
  <c r="AF13" i="65"/>
  <c r="O14" i="53"/>
  <c r="L117" i="44"/>
  <c r="AF9" i="65"/>
  <c r="O10" i="53"/>
  <c r="L61" i="44"/>
  <c r="Z12" i="65"/>
  <c r="F13" i="53"/>
  <c r="F103" i="44"/>
  <c r="AG18" i="65"/>
  <c r="R19" i="53"/>
  <c r="M194" i="44"/>
  <c r="AG28" i="65"/>
  <c r="R29" i="53"/>
  <c r="M265" i="44"/>
  <c r="AG7" i="65"/>
  <c r="R8" i="53"/>
  <c r="M33" i="44"/>
  <c r="AI36" i="65"/>
  <c r="T37" i="53"/>
  <c r="O328" i="44"/>
  <c r="AC16" i="65"/>
  <c r="J17" i="53"/>
  <c r="I159" i="44"/>
  <c r="AD24" i="65"/>
  <c r="M25" i="53"/>
  <c r="J216" i="44"/>
  <c r="AH14" i="65"/>
  <c r="S15" i="53"/>
  <c r="N131" i="44"/>
  <c r="AF33" i="65"/>
  <c r="O34" i="53"/>
  <c r="L300" i="44"/>
  <c r="AF29" i="65"/>
  <c r="O30" i="53"/>
  <c r="L272" i="44"/>
  <c r="AB12" i="65"/>
  <c r="I13" i="53"/>
  <c r="H103" i="44"/>
  <c r="T10" i="53"/>
  <c r="AI9" i="65"/>
  <c r="O61" i="44"/>
  <c r="AD34" i="65"/>
  <c r="M35" i="53"/>
  <c r="J307" i="44"/>
  <c r="AB36" i="65"/>
  <c r="I37" i="53"/>
  <c r="H328" i="44"/>
  <c r="X36" i="65"/>
  <c r="D37" i="53"/>
  <c r="AC36" i="40"/>
  <c r="K37" i="42" s="1"/>
  <c r="D328" i="44"/>
  <c r="AE24" i="65"/>
  <c r="N25" i="53"/>
  <c r="K216" i="44"/>
  <c r="AG24" i="65"/>
  <c r="R25" i="53"/>
  <c r="M216" i="44"/>
  <c r="AC9" i="65"/>
  <c r="J10" i="53"/>
  <c r="I61" i="44"/>
  <c r="S16" i="53"/>
  <c r="AH15" i="65"/>
  <c r="N145" i="44"/>
  <c r="AE10" i="65"/>
  <c r="N11" i="53"/>
  <c r="K75" i="44"/>
  <c r="AI14" i="65"/>
  <c r="T15" i="53"/>
  <c r="O131" i="44"/>
  <c r="AB7" i="65"/>
  <c r="I8" i="53"/>
  <c r="H33" i="44"/>
  <c r="R16" i="53"/>
  <c r="AG15" i="65"/>
  <c r="M145" i="44"/>
  <c r="AC9" i="40"/>
  <c r="K10" i="42" s="1"/>
  <c r="AE9" i="65"/>
  <c r="N10" i="53"/>
  <c r="K61" i="44"/>
  <c r="AA14" i="65"/>
  <c r="H15" i="53"/>
  <c r="G131" i="44"/>
  <c r="AC13" i="40"/>
  <c r="K14" i="42" s="1"/>
  <c r="AA9" i="65"/>
  <c r="H10" i="53"/>
  <c r="G61" i="44"/>
  <c r="AH28" i="65"/>
  <c r="S29" i="53"/>
  <c r="N265" i="44"/>
  <c r="N6" i="53"/>
  <c r="AE5" i="65"/>
  <c r="K8" i="44"/>
  <c r="AI31" i="65"/>
  <c r="T32" i="53"/>
  <c r="O286" i="44"/>
  <c r="AC29" i="40"/>
  <c r="K30" i="42" s="1"/>
  <c r="AG8" i="65"/>
  <c r="R9" i="53"/>
  <c r="M47" i="44"/>
  <c r="AC10" i="65"/>
  <c r="J11" i="53"/>
  <c r="I75" i="44"/>
  <c r="AF28" i="65"/>
  <c r="O29" i="53"/>
  <c r="L265" i="44"/>
  <c r="AB25" i="65"/>
  <c r="I26" i="53"/>
  <c r="H230" i="44"/>
  <c r="AG36" i="65"/>
  <c r="R37" i="53"/>
  <c r="M328" i="44"/>
  <c r="AA24" i="65"/>
  <c r="H25" i="53"/>
  <c r="G216" i="44"/>
  <c r="AD10" i="65"/>
  <c r="M11" i="53"/>
  <c r="J75" i="44"/>
  <c r="AB27" i="65"/>
  <c r="I28" i="53"/>
  <c r="H258" i="44"/>
  <c r="AD5" i="65"/>
  <c r="M6" i="53"/>
  <c r="J8" i="44"/>
  <c r="AB34" i="65"/>
  <c r="I35" i="53"/>
  <c r="H307" i="44"/>
  <c r="AI17" i="65"/>
  <c r="T18" i="53"/>
  <c r="O173" i="44"/>
  <c r="AA5" i="65"/>
  <c r="H6" i="53"/>
  <c r="G8" i="44"/>
  <c r="AA34" i="65"/>
  <c r="H35" i="53"/>
  <c r="G307" i="44"/>
  <c r="AF27" i="65"/>
  <c r="O28" i="53"/>
  <c r="L258" i="44"/>
  <c r="AB32" i="65"/>
  <c r="I33" i="53"/>
  <c r="H293" i="44"/>
  <c r="AA16" i="65"/>
  <c r="H17" i="53"/>
  <c r="G159" i="44"/>
  <c r="AD26" i="65"/>
  <c r="M27" i="53"/>
  <c r="J244" i="44"/>
  <c r="AF32" i="65"/>
  <c r="O33" i="53"/>
  <c r="L293" i="44"/>
  <c r="AF10" i="65"/>
  <c r="O11" i="53"/>
  <c r="L75" i="44"/>
  <c r="AH30" i="65"/>
  <c r="S31" i="53"/>
  <c r="N279" i="44"/>
  <c r="AC18" i="40"/>
  <c r="K19" i="42" s="1"/>
  <c r="AC27" i="40"/>
  <c r="K28" i="42" s="1"/>
  <c r="AA8" i="65"/>
  <c r="H9" i="53"/>
  <c r="G47" i="44"/>
  <c r="AG31" i="65"/>
  <c r="R32" i="53"/>
  <c r="M286" i="44"/>
  <c r="Q14" i="30"/>
  <c r="H13" i="74"/>
  <c r="M13" i="74" s="1"/>
  <c r="V50" i="15"/>
  <c r="X14" i="30"/>
  <c r="AC14" i="30"/>
  <c r="Q90" i="15"/>
  <c r="V12" i="15"/>
  <c r="J14" i="30"/>
  <c r="V69" i="15"/>
  <c r="O36" i="30"/>
  <c r="V36" i="30"/>
  <c r="J19" i="30"/>
  <c r="V17" i="15"/>
  <c r="X41" i="30"/>
  <c r="Q41" i="30"/>
  <c r="AE19" i="30"/>
  <c r="V95" i="15"/>
  <c r="H18" i="74"/>
  <c r="M18" i="74" s="1"/>
  <c r="Q19" i="30"/>
  <c r="V34" i="15"/>
  <c r="J40" i="30"/>
  <c r="Q40" i="30"/>
  <c r="X40" i="30"/>
  <c r="Q18" i="30"/>
  <c r="H17" i="74"/>
  <c r="M17" i="74" s="1"/>
  <c r="V22" i="30"/>
  <c r="AC18" i="30"/>
  <c r="Q94" i="15"/>
  <c r="V54" i="15"/>
  <c r="X18" i="30"/>
  <c r="Q131" i="15"/>
  <c r="V112" i="15"/>
  <c r="O17" i="30"/>
  <c r="J17" i="30"/>
  <c r="V15" i="15"/>
  <c r="AE17" i="30"/>
  <c r="V93" i="15"/>
  <c r="Q39" i="30"/>
  <c r="X39" i="30"/>
  <c r="V71" i="15"/>
  <c r="V92" i="15" s="1"/>
  <c r="V38" i="30"/>
  <c r="O38" i="30"/>
  <c r="V14" i="15"/>
  <c r="J16" i="30"/>
  <c r="T44" i="30"/>
  <c r="F53" i="30" s="1"/>
  <c r="V111" i="15"/>
  <c r="O16" i="30"/>
  <c r="Q130" i="15"/>
  <c r="AE16" i="30"/>
  <c r="Q92" i="15"/>
  <c r="L98" i="15"/>
  <c r="Q37" i="30"/>
  <c r="X37" i="30"/>
  <c r="Q129" i="15"/>
  <c r="O15" i="30"/>
  <c r="V110" i="15"/>
  <c r="AE15" i="30"/>
  <c r="V91" i="15"/>
  <c r="V31" i="15"/>
  <c r="J37" i="30"/>
  <c r="O42" i="30"/>
  <c r="V75" i="15"/>
  <c r="V96" i="15" s="1"/>
  <c r="V42" i="30"/>
  <c r="Q77" i="15"/>
  <c r="Q146" i="15" s="1"/>
  <c r="O20" i="30"/>
  <c r="Q134" i="15"/>
  <c r="V115" i="15"/>
  <c r="J20" i="30"/>
  <c r="V18" i="15"/>
  <c r="AE20" i="30"/>
  <c r="Q96" i="15"/>
  <c r="V36" i="15"/>
  <c r="J42" i="30"/>
  <c r="M22" i="30"/>
  <c r="V7" i="15"/>
  <c r="J9" i="30"/>
  <c r="J31" i="30"/>
  <c r="V25" i="15"/>
  <c r="Q31" i="30"/>
  <c r="X31" i="30"/>
  <c r="AE9" i="30"/>
  <c r="V85" i="15"/>
  <c r="Q9" i="30"/>
  <c r="H8" i="74"/>
  <c r="M8" i="74" s="1"/>
  <c r="J32" i="30"/>
  <c r="V26" i="15"/>
  <c r="O10" i="30"/>
  <c r="V105" i="15"/>
  <c r="Q124" i="15"/>
  <c r="X32" i="30"/>
  <c r="Q32" i="30"/>
  <c r="AE10" i="30"/>
  <c r="V86" i="15"/>
  <c r="O8" i="30"/>
  <c r="V103" i="15"/>
  <c r="Q122" i="15"/>
  <c r="X30" i="30"/>
  <c r="Q30" i="30"/>
  <c r="V84" i="15"/>
  <c r="AE8" i="30"/>
  <c r="J30" i="30"/>
  <c r="V24" i="15"/>
  <c r="J21" i="30"/>
  <c r="V19" i="15"/>
  <c r="J43" i="30"/>
  <c r="V37" i="15"/>
  <c r="Q21" i="30"/>
  <c r="H20" i="74"/>
  <c r="X43" i="30"/>
  <c r="Q43" i="30"/>
  <c r="V97" i="15"/>
  <c r="AE21" i="30"/>
  <c r="X35" i="30"/>
  <c r="Q35" i="30"/>
  <c r="V49" i="15"/>
  <c r="X13" i="30"/>
  <c r="J35" i="30"/>
  <c r="V29" i="15"/>
  <c r="AC13" i="30"/>
  <c r="Q89" i="15"/>
  <c r="V11" i="15"/>
  <c r="J13" i="30"/>
  <c r="V108" i="15"/>
  <c r="O13" i="30"/>
  <c r="Q127" i="15"/>
  <c r="H22" i="30"/>
  <c r="Q34" i="30"/>
  <c r="X34" i="30"/>
  <c r="AE12" i="30"/>
  <c r="V88" i="15"/>
  <c r="V28" i="15"/>
  <c r="J34" i="30"/>
  <c r="Q126" i="15"/>
  <c r="V107" i="15"/>
  <c r="O12" i="30"/>
  <c r="H44" i="30"/>
  <c r="J12" i="30"/>
  <c r="V10" i="15"/>
  <c r="V106" i="15"/>
  <c r="Q125" i="15"/>
  <c r="Q117" i="15"/>
  <c r="O11" i="30"/>
  <c r="Q58" i="15"/>
  <c r="Q87" i="15"/>
  <c r="AC11" i="30"/>
  <c r="V9" i="15"/>
  <c r="V20" i="31"/>
  <c r="J11" i="30"/>
  <c r="V47" i="15"/>
  <c r="X11" i="30"/>
  <c r="L145" i="15"/>
  <c r="L136" i="15"/>
  <c r="X33" i="30"/>
  <c r="Q33" i="30"/>
  <c r="J33" i="30"/>
  <c r="V27" i="15"/>
  <c r="V38" i="31"/>
  <c r="AE29" i="40" l="1"/>
  <c r="P30" i="42" s="1"/>
  <c r="G37" i="61" s="1"/>
  <c r="D47" i="44"/>
  <c r="D28" i="53"/>
  <c r="D26" i="53"/>
  <c r="D89" i="44"/>
  <c r="X32" i="65"/>
  <c r="X25" i="65"/>
  <c r="D33" i="44"/>
  <c r="D33" i="53"/>
  <c r="D12" i="53"/>
  <c r="X30" i="65"/>
  <c r="D638" i="44"/>
  <c r="D265" i="44"/>
  <c r="D10" i="53"/>
  <c r="D9" i="53"/>
  <c r="D6" i="53"/>
  <c r="D117" i="44"/>
  <c r="D14" i="53"/>
  <c r="D8" i="44"/>
  <c r="X9" i="65"/>
  <c r="D272" i="44"/>
  <c r="F230" i="44"/>
  <c r="F26" i="53"/>
  <c r="Z25" i="65"/>
  <c r="X29" i="65"/>
  <c r="AC25" i="65"/>
  <c r="D16" i="53"/>
  <c r="D19" i="44"/>
  <c r="D7" i="53"/>
  <c r="E328" i="44"/>
  <c r="J37" i="53"/>
  <c r="X26" i="65"/>
  <c r="D35" i="53"/>
  <c r="X35" i="65"/>
  <c r="X34" i="65"/>
  <c r="D314" i="44"/>
  <c r="X15" i="65"/>
  <c r="X18" i="65"/>
  <c r="F145" i="44"/>
  <c r="Z16" i="65"/>
  <c r="D194" i="44"/>
  <c r="D65" i="53"/>
  <c r="D596" i="44"/>
  <c r="D63" i="53"/>
  <c r="D72" i="40"/>
  <c r="D685" i="44" s="1"/>
  <c r="D94" i="53"/>
  <c r="D645" i="44"/>
  <c r="E76" i="53"/>
  <c r="E97" i="53" s="1"/>
  <c r="D631" i="44"/>
  <c r="V54" i="40"/>
  <c r="Y54" i="40" s="1"/>
  <c r="E65" i="53"/>
  <c r="D603" i="44"/>
  <c r="G57" i="53"/>
  <c r="D547" i="44"/>
  <c r="D76" i="53"/>
  <c r="D97" i="53" s="1"/>
  <c r="D67" i="53"/>
  <c r="D29" i="53"/>
  <c r="AE27" i="40"/>
  <c r="P28" i="42" s="1"/>
  <c r="G35" i="61" s="1"/>
  <c r="D202" i="44"/>
  <c r="D25" i="53"/>
  <c r="D24" i="53"/>
  <c r="D216" i="44"/>
  <c r="G258" i="44"/>
  <c r="AA27" i="65"/>
  <c r="AA37" i="65" s="1"/>
  <c r="X27" i="65"/>
  <c r="D244" i="44"/>
  <c r="D18" i="53"/>
  <c r="D15" i="53"/>
  <c r="X17" i="65"/>
  <c r="D103" i="44"/>
  <c r="X14" i="65"/>
  <c r="D13" i="53"/>
  <c r="D75" i="44"/>
  <c r="X10" i="65"/>
  <c r="E31" i="53"/>
  <c r="F216" i="44"/>
  <c r="U60" i="40"/>
  <c r="U65" i="53" s="1"/>
  <c r="F33" i="53"/>
  <c r="Y24" i="65"/>
  <c r="F25" i="53"/>
  <c r="E37" i="53"/>
  <c r="F16" i="53"/>
  <c r="Z24" i="65"/>
  <c r="J12" i="53"/>
  <c r="I328" i="44"/>
  <c r="F293" i="44"/>
  <c r="U69" i="40"/>
  <c r="U74" i="53" s="1"/>
  <c r="Z32" i="65"/>
  <c r="I230" i="44"/>
  <c r="E279" i="44"/>
  <c r="E89" i="44"/>
  <c r="I47" i="44"/>
  <c r="E36" i="53"/>
  <c r="Y35" i="65"/>
  <c r="F94" i="53"/>
  <c r="Z23" i="65"/>
  <c r="F93" i="53"/>
  <c r="E27" i="53"/>
  <c r="Y26" i="65"/>
  <c r="E74" i="53"/>
  <c r="O45" i="53"/>
  <c r="O85" i="53" s="1"/>
  <c r="Z15" i="65"/>
  <c r="AC26" i="65"/>
  <c r="Y8" i="65"/>
  <c r="Y32" i="65"/>
  <c r="E293" i="44"/>
  <c r="E103" i="44"/>
  <c r="E173" i="44"/>
  <c r="E13" i="53"/>
  <c r="E18" i="53"/>
  <c r="Y31" i="65"/>
  <c r="U70" i="40"/>
  <c r="U75" i="53" s="1"/>
  <c r="E6" i="53"/>
  <c r="Y5" i="65"/>
  <c r="E216" i="44"/>
  <c r="E47" i="44"/>
  <c r="E300" i="44"/>
  <c r="Z30" i="65"/>
  <c r="E286" i="44"/>
  <c r="E24" i="53"/>
  <c r="Y23" i="65"/>
  <c r="Y33" i="65"/>
  <c r="AC7" i="65"/>
  <c r="AC28" i="40"/>
  <c r="K29" i="42" s="1"/>
  <c r="F34" i="54" s="1"/>
  <c r="J27" i="53"/>
  <c r="S85" i="40"/>
  <c r="S32" i="40" s="1"/>
  <c r="K33" i="53" s="1"/>
  <c r="I19" i="44"/>
  <c r="Z6" i="65"/>
  <c r="J7" i="53"/>
  <c r="F279" i="44"/>
  <c r="F31" i="53"/>
  <c r="J8" i="53"/>
  <c r="J9" i="53"/>
  <c r="E12" i="53"/>
  <c r="E159" i="44"/>
  <c r="AC11" i="65"/>
  <c r="E17" i="53"/>
  <c r="Y15" i="65"/>
  <c r="E29" i="53"/>
  <c r="Y28" i="65"/>
  <c r="F272" i="44"/>
  <c r="F30" i="53"/>
  <c r="Z29" i="65"/>
  <c r="Y9" i="65"/>
  <c r="U61" i="40"/>
  <c r="U66" i="53" s="1"/>
  <c r="E145" i="44"/>
  <c r="E258" i="44"/>
  <c r="Y27" i="65"/>
  <c r="E61" i="44"/>
  <c r="F547" i="44"/>
  <c r="R59" i="40"/>
  <c r="G64" i="53" s="1"/>
  <c r="AE59" i="40"/>
  <c r="S25" i="42" s="1"/>
  <c r="F32" i="61" s="1"/>
  <c r="AE7" i="40"/>
  <c r="P8" i="42" s="1"/>
  <c r="G12" i="61" s="1"/>
  <c r="F19" i="44"/>
  <c r="E131" i="44"/>
  <c r="F202" i="44"/>
  <c r="F24" i="53"/>
  <c r="E15" i="53"/>
  <c r="AE36" i="40"/>
  <c r="P37" i="42" s="1"/>
  <c r="G44" i="61" s="1"/>
  <c r="F328" i="44"/>
  <c r="F37" i="53"/>
  <c r="Y18" i="65"/>
  <c r="E19" i="53"/>
  <c r="I194" i="44"/>
  <c r="J19" i="53"/>
  <c r="O575" i="44"/>
  <c r="E19" i="44"/>
  <c r="E7" i="53"/>
  <c r="U71" i="40"/>
  <c r="U76" i="53" s="1"/>
  <c r="U97" i="53" s="1"/>
  <c r="T84" i="53"/>
  <c r="O589" i="44"/>
  <c r="AE63" i="40"/>
  <c r="S29" i="42" s="1"/>
  <c r="F36" i="61" s="1"/>
  <c r="F159" i="44"/>
  <c r="F17" i="53"/>
  <c r="F624" i="44"/>
  <c r="R67" i="40"/>
  <c r="G72" i="53" s="1"/>
  <c r="G13" i="54"/>
  <c r="R63" i="40"/>
  <c r="G68" i="53" s="1"/>
  <c r="AE67" i="40"/>
  <c r="S33" i="42" s="1"/>
  <c r="F40" i="61" s="1"/>
  <c r="I173" i="44"/>
  <c r="U64" i="40"/>
  <c r="U69" i="53" s="1"/>
  <c r="T69" i="53"/>
  <c r="E547" i="44"/>
  <c r="E617" i="44"/>
  <c r="E92" i="53"/>
  <c r="E35" i="53"/>
  <c r="E307" i="44"/>
  <c r="O610" i="44"/>
  <c r="E596" i="44"/>
  <c r="E624" i="44"/>
  <c r="U58" i="40"/>
  <c r="U63" i="53" s="1"/>
  <c r="T87" i="53"/>
  <c r="E117" i="44"/>
  <c r="Y10" i="65"/>
  <c r="E11" i="53"/>
  <c r="Z13" i="65"/>
  <c r="E603" i="44"/>
  <c r="E63" i="53"/>
  <c r="E589" i="44"/>
  <c r="U67" i="40"/>
  <c r="U72" i="53" s="1"/>
  <c r="AB12" i="41"/>
  <c r="E11" i="49" s="1"/>
  <c r="AE69" i="40"/>
  <c r="S35" i="42" s="1"/>
  <c r="F42" i="61" s="1"/>
  <c r="E33" i="44"/>
  <c r="F596" i="44"/>
  <c r="E631" i="44"/>
  <c r="R68" i="40"/>
  <c r="AF68" i="40" s="1"/>
  <c r="T34" i="42" s="1"/>
  <c r="O659" i="44"/>
  <c r="O533" i="44"/>
  <c r="F14" i="53"/>
  <c r="Y7" i="65"/>
  <c r="Y13" i="65"/>
  <c r="AE61" i="40"/>
  <c r="S27" i="42" s="1"/>
  <c r="F34" i="61" s="1"/>
  <c r="U65" i="40"/>
  <c r="U70" i="53" s="1"/>
  <c r="E230" i="44"/>
  <c r="F575" i="44"/>
  <c r="E26" i="53"/>
  <c r="S67" i="53"/>
  <c r="S88" i="53" s="1"/>
  <c r="R69" i="40"/>
  <c r="G74" i="53" s="1"/>
  <c r="AE14" i="40"/>
  <c r="P15" i="42" s="1"/>
  <c r="G19" i="61" s="1"/>
  <c r="U62" i="40"/>
  <c r="U67" i="53" s="1"/>
  <c r="O561" i="44"/>
  <c r="O638" i="44"/>
  <c r="F74" i="53"/>
  <c r="E66" i="53"/>
  <c r="AA52" i="41"/>
  <c r="G10" i="42" s="1"/>
  <c r="D12" i="56" s="1"/>
  <c r="AA53" i="41"/>
  <c r="G11" i="42" s="1"/>
  <c r="D13" i="56" s="1"/>
  <c r="G56" i="41"/>
  <c r="O72" i="40"/>
  <c r="O685" i="44" s="1"/>
  <c r="H17" i="43"/>
  <c r="H158" i="44" s="1"/>
  <c r="AA61" i="41"/>
  <c r="G19" i="42" s="1"/>
  <c r="D21" i="56" s="1"/>
  <c r="U54" i="41"/>
  <c r="U68" i="40"/>
  <c r="U73" i="53" s="1"/>
  <c r="AA60" i="41"/>
  <c r="G18" i="42" s="1"/>
  <c r="D20" i="56" s="1"/>
  <c r="U49" i="41"/>
  <c r="F631" i="44"/>
  <c r="I54" i="41"/>
  <c r="K56" i="41"/>
  <c r="AA81" i="41"/>
  <c r="G36" i="42" s="1"/>
  <c r="D41" i="56" s="1"/>
  <c r="N72" i="40"/>
  <c r="N685" i="44" s="1"/>
  <c r="AA78" i="41"/>
  <c r="G33" i="42" s="1"/>
  <c r="D38" i="56" s="1"/>
  <c r="Z69" i="41"/>
  <c r="F24" i="42" s="1"/>
  <c r="D29" i="54" s="1"/>
  <c r="T73" i="53"/>
  <c r="AA51" i="41"/>
  <c r="G9" i="42" s="1"/>
  <c r="D11" i="56" s="1"/>
  <c r="AA79" i="41"/>
  <c r="G34" i="42" s="1"/>
  <c r="D39" i="56" s="1"/>
  <c r="AA82" i="41"/>
  <c r="G37" i="42" s="1"/>
  <c r="D42" i="56" s="1"/>
  <c r="O624" i="44"/>
  <c r="AA57" i="41"/>
  <c r="G15" i="42" s="1"/>
  <c r="D17" i="56" s="1"/>
  <c r="N52" i="41"/>
  <c r="E72" i="40"/>
  <c r="E685" i="44" s="1"/>
  <c r="K54" i="41"/>
  <c r="R61" i="40"/>
  <c r="G66" i="53" s="1"/>
  <c r="F47" i="53"/>
  <c r="F87" i="53" s="1"/>
  <c r="S65" i="40"/>
  <c r="K70" i="53" s="1"/>
  <c r="AC29" i="65"/>
  <c r="AC31" i="65"/>
  <c r="AB32" i="41"/>
  <c r="E29" i="49" s="1"/>
  <c r="AA42" i="41"/>
  <c r="G43" i="54" s="1"/>
  <c r="AB37" i="41"/>
  <c r="E34" i="49" s="1"/>
  <c r="L23" i="49" s="1"/>
  <c r="G38" i="54"/>
  <c r="I38" i="54" s="1"/>
  <c r="G33" i="54"/>
  <c r="I33" i="54" s="1"/>
  <c r="F18" i="53"/>
  <c r="I286" i="44"/>
  <c r="F173" i="44"/>
  <c r="I272" i="44"/>
  <c r="Z17" i="65"/>
  <c r="F314" i="44"/>
  <c r="F33" i="44"/>
  <c r="J35" i="53"/>
  <c r="F36" i="53"/>
  <c r="F8" i="53"/>
  <c r="AC34" i="65"/>
  <c r="Z7" i="65"/>
  <c r="F307" i="44"/>
  <c r="F35" i="53"/>
  <c r="Z34" i="65"/>
  <c r="F286" i="44"/>
  <c r="Z35" i="65"/>
  <c r="F32" i="53"/>
  <c r="Z31" i="65"/>
  <c r="J18" i="53"/>
  <c r="Z14" i="65"/>
  <c r="Z27" i="65"/>
  <c r="F28" i="53"/>
  <c r="F258" i="44"/>
  <c r="F15" i="53"/>
  <c r="AC13" i="65"/>
  <c r="Z10" i="65"/>
  <c r="J31" i="53"/>
  <c r="AE66" i="40"/>
  <c r="S32" i="42" s="1"/>
  <c r="F39" i="61" s="1"/>
  <c r="I279" i="44"/>
  <c r="AE60" i="40"/>
  <c r="S26" i="42" s="1"/>
  <c r="F33" i="61" s="1"/>
  <c r="F131" i="44"/>
  <c r="F194" i="44"/>
  <c r="F11" i="53"/>
  <c r="J14" i="53"/>
  <c r="Z18" i="65"/>
  <c r="F19" i="53"/>
  <c r="I258" i="44"/>
  <c r="J28" i="53"/>
  <c r="S62" i="40"/>
  <c r="K67" i="53" s="1"/>
  <c r="F10" i="53"/>
  <c r="F9" i="53"/>
  <c r="F75" i="44"/>
  <c r="Z8" i="65"/>
  <c r="I603" i="44"/>
  <c r="F589" i="44"/>
  <c r="I589" i="44"/>
  <c r="R62" i="40"/>
  <c r="AF62" i="40" s="1"/>
  <c r="T28" i="42" s="1"/>
  <c r="S64" i="40"/>
  <c r="K69" i="53" s="1"/>
  <c r="AE62" i="40"/>
  <c r="S28" i="42" s="1"/>
  <c r="F35" i="61" s="1"/>
  <c r="F561" i="44"/>
  <c r="N53" i="53"/>
  <c r="N93" i="53" s="1"/>
  <c r="F61" i="44"/>
  <c r="F47" i="44"/>
  <c r="Z9" i="65"/>
  <c r="S67" i="40"/>
  <c r="K72" i="53" s="1"/>
  <c r="F89" i="44"/>
  <c r="F12" i="53"/>
  <c r="Z11" i="65"/>
  <c r="I145" i="44"/>
  <c r="J16" i="53"/>
  <c r="I547" i="44"/>
  <c r="I624" i="44"/>
  <c r="R60" i="40"/>
  <c r="G65" i="53" s="1"/>
  <c r="S66" i="40"/>
  <c r="K71" i="53" s="1"/>
  <c r="F659" i="44"/>
  <c r="F97" i="53"/>
  <c r="S61" i="40"/>
  <c r="K66" i="53" s="1"/>
  <c r="R71" i="40"/>
  <c r="G76" i="53" s="1"/>
  <c r="AE71" i="40"/>
  <c r="S37" i="42" s="1"/>
  <c r="F44" i="61" s="1"/>
  <c r="M24" i="61" s="1"/>
  <c r="I575" i="44"/>
  <c r="I631" i="44"/>
  <c r="I645" i="44"/>
  <c r="S68" i="40"/>
  <c r="K73" i="53" s="1"/>
  <c r="J96" i="53"/>
  <c r="S70" i="40"/>
  <c r="K75" i="53" s="1"/>
  <c r="I617" i="44"/>
  <c r="J97" i="53"/>
  <c r="E53" i="53"/>
  <c r="E93" i="53" s="1"/>
  <c r="I533" i="44"/>
  <c r="I638" i="44"/>
  <c r="R70" i="40"/>
  <c r="G75" i="53" s="1"/>
  <c r="AE70" i="40"/>
  <c r="S36" i="42" s="1"/>
  <c r="F43" i="61" s="1"/>
  <c r="S59" i="40"/>
  <c r="K64" i="53" s="1"/>
  <c r="S71" i="40"/>
  <c r="K76" i="53" s="1"/>
  <c r="K97" i="53" s="1"/>
  <c r="I659" i="44"/>
  <c r="AE58" i="40"/>
  <c r="S24" i="42" s="1"/>
  <c r="F31" i="61" s="1"/>
  <c r="F75" i="53"/>
  <c r="R58" i="40"/>
  <c r="G63" i="53" s="1"/>
  <c r="S69" i="40"/>
  <c r="K74" i="53" s="1"/>
  <c r="F533" i="44"/>
  <c r="S47" i="53"/>
  <c r="S87" i="53" s="1"/>
  <c r="J36" i="53"/>
  <c r="F300" i="44"/>
  <c r="F244" i="44"/>
  <c r="F34" i="53"/>
  <c r="F27" i="53"/>
  <c r="AC24" i="65"/>
  <c r="J15" i="53"/>
  <c r="J6" i="53"/>
  <c r="Z33" i="65"/>
  <c r="F8" i="44"/>
  <c r="Z26" i="65"/>
  <c r="AE6" i="40"/>
  <c r="P7" i="42" s="1"/>
  <c r="G11" i="61" s="1"/>
  <c r="F6" i="53"/>
  <c r="R64" i="40"/>
  <c r="G69" i="53" s="1"/>
  <c r="I72" i="40"/>
  <c r="I685" i="44" s="1"/>
  <c r="I300" i="44"/>
  <c r="F70" i="53"/>
  <c r="F91" i="53" s="1"/>
  <c r="AE64" i="40"/>
  <c r="S30" i="42" s="1"/>
  <c r="F37" i="61" s="1"/>
  <c r="F603" i="44"/>
  <c r="AE28" i="40"/>
  <c r="P29" i="42" s="1"/>
  <c r="G36" i="61" s="1"/>
  <c r="AE65" i="40"/>
  <c r="S31" i="42" s="1"/>
  <c r="F38" i="61" s="1"/>
  <c r="I314" i="44"/>
  <c r="J34" i="53"/>
  <c r="F265" i="44"/>
  <c r="S58" i="40"/>
  <c r="K63" i="53" s="1"/>
  <c r="I216" i="44"/>
  <c r="I131" i="44"/>
  <c r="F29" i="53"/>
  <c r="R65" i="40"/>
  <c r="AF65" i="40" s="1"/>
  <c r="T31" i="42" s="1"/>
  <c r="F72" i="40"/>
  <c r="F685" i="44" s="1"/>
  <c r="F617" i="44"/>
  <c r="AC5" i="65"/>
  <c r="F45" i="53"/>
  <c r="F85" i="53" s="1"/>
  <c r="R66" i="40"/>
  <c r="G71" i="53" s="1"/>
  <c r="J70" i="53"/>
  <c r="J77" i="53" s="1"/>
  <c r="AC44" i="40"/>
  <c r="N10" i="42" s="1"/>
  <c r="I14" i="61" s="1"/>
  <c r="J18" i="43"/>
  <c r="J172" i="44" s="1"/>
  <c r="K61" i="41"/>
  <c r="F469" i="44"/>
  <c r="T56" i="53"/>
  <c r="T96" i="53" s="1"/>
  <c r="I29" i="53"/>
  <c r="I38" i="53" s="1"/>
  <c r="H265" i="44"/>
  <c r="AC50" i="40"/>
  <c r="N16" i="42" s="1"/>
  <c r="I20" i="61" s="1"/>
  <c r="N18" i="43"/>
  <c r="N172" i="44" s="1"/>
  <c r="N55" i="41"/>
  <c r="Z73" i="41"/>
  <c r="F28" i="42" s="1"/>
  <c r="D33" i="54" s="1"/>
  <c r="H96" i="53"/>
  <c r="Z78" i="41"/>
  <c r="F33" i="42" s="1"/>
  <c r="D38" i="54" s="1"/>
  <c r="F51" i="41"/>
  <c r="Z80" i="41"/>
  <c r="F35" i="42" s="1"/>
  <c r="D40" i="54" s="1"/>
  <c r="O56" i="41"/>
  <c r="L385" i="44"/>
  <c r="H42" i="54"/>
  <c r="J42" i="54" s="1"/>
  <c r="I44" i="61"/>
  <c r="N24" i="61" s="1"/>
  <c r="J45" i="53"/>
  <c r="J85" i="53" s="1"/>
  <c r="AE45" i="40"/>
  <c r="S11" i="42" s="1"/>
  <c r="F15" i="61" s="1"/>
  <c r="AE49" i="40"/>
  <c r="S15" i="42" s="1"/>
  <c r="F19" i="61" s="1"/>
  <c r="AE53" i="40"/>
  <c r="S19" i="42" s="1"/>
  <c r="F23" i="61" s="1"/>
  <c r="AE42" i="40"/>
  <c r="S8" i="42" s="1"/>
  <c r="F12" i="61" s="1"/>
  <c r="AC47" i="40"/>
  <c r="N13" i="42" s="1"/>
  <c r="G15" i="75" s="1"/>
  <c r="H15" i="75" s="1"/>
  <c r="E511" i="44"/>
  <c r="R41" i="40"/>
  <c r="AC42" i="40"/>
  <c r="N8" i="42" s="1"/>
  <c r="G10" i="75" s="1"/>
  <c r="H10" i="75" s="1"/>
  <c r="E45" i="53"/>
  <c r="E85" i="53" s="1"/>
  <c r="O385" i="44"/>
  <c r="F56" i="53"/>
  <c r="AC53" i="40"/>
  <c r="N19" i="42" s="1"/>
  <c r="I23" i="61" s="1"/>
  <c r="N23" i="61" s="1"/>
  <c r="U44" i="40"/>
  <c r="U47" i="53" s="1"/>
  <c r="R45" i="53"/>
  <c r="R85" i="53" s="1"/>
  <c r="Q38" i="40"/>
  <c r="O96" i="53"/>
  <c r="O53" i="53"/>
  <c r="O93" i="53" s="1"/>
  <c r="N357" i="44"/>
  <c r="D47" i="53"/>
  <c r="D87" i="53" s="1"/>
  <c r="S85" i="53"/>
  <c r="AE44" i="40"/>
  <c r="S10" i="42" s="1"/>
  <c r="F14" i="61" s="1"/>
  <c r="M385" i="44"/>
  <c r="I48" i="53"/>
  <c r="I88" i="53" s="1"/>
  <c r="N47" i="53"/>
  <c r="N87" i="53" s="1"/>
  <c r="T44" i="40"/>
  <c r="P47" i="53" s="1"/>
  <c r="E385" i="44"/>
  <c r="M511" i="44"/>
  <c r="R44" i="40"/>
  <c r="G47" i="53" s="1"/>
  <c r="E47" i="53"/>
  <c r="K357" i="44"/>
  <c r="J47" i="53"/>
  <c r="J87" i="53" s="1"/>
  <c r="I47" i="53"/>
  <c r="I87" i="53" s="1"/>
  <c r="J385" i="44"/>
  <c r="S44" i="40"/>
  <c r="K47" i="53" s="1"/>
  <c r="H47" i="53"/>
  <c r="H87" i="53" s="1"/>
  <c r="R53" i="53"/>
  <c r="R93" i="53" s="1"/>
  <c r="R42" i="40"/>
  <c r="R53" i="40"/>
  <c r="D56" i="53"/>
  <c r="D96" i="53" s="1"/>
  <c r="K8" i="43"/>
  <c r="K32" i="44" s="1"/>
  <c r="AB14" i="41"/>
  <c r="E13" i="49" s="1"/>
  <c r="L20" i="49" s="1"/>
  <c r="AA22" i="41"/>
  <c r="G23" i="54" s="1"/>
  <c r="T53" i="53"/>
  <c r="T93" i="53" s="1"/>
  <c r="R85" i="40"/>
  <c r="R28" i="40" s="1"/>
  <c r="U50" i="40"/>
  <c r="U53" i="53" s="1"/>
  <c r="I56" i="53"/>
  <c r="I96" i="53" s="1"/>
  <c r="F48" i="53"/>
  <c r="F88" i="53" s="1"/>
  <c r="N77" i="53"/>
  <c r="D511" i="44"/>
  <c r="G511" i="44"/>
  <c r="L511" i="44"/>
  <c r="J56" i="41"/>
  <c r="J51" i="41"/>
  <c r="G27" i="75"/>
  <c r="H27" i="75" s="1"/>
  <c r="I31" i="61"/>
  <c r="E48" i="53"/>
  <c r="E88" i="53" s="1"/>
  <c r="AC45" i="40"/>
  <c r="N11" i="42" s="1"/>
  <c r="I15" i="61" s="1"/>
  <c r="N88" i="53"/>
  <c r="D357" i="44"/>
  <c r="D45" i="53"/>
  <c r="D85" i="53" s="1"/>
  <c r="R48" i="53"/>
  <c r="R88" i="53" s="1"/>
  <c r="J48" i="53"/>
  <c r="J88" i="53" s="1"/>
  <c r="T50" i="40"/>
  <c r="P53" i="53" s="1"/>
  <c r="M53" i="53"/>
  <c r="M93" i="53" s="1"/>
  <c r="S45" i="40"/>
  <c r="K48" i="53" s="1"/>
  <c r="T48" i="53"/>
  <c r="T88" i="53" s="1"/>
  <c r="U42" i="40"/>
  <c r="U45" i="53" s="1"/>
  <c r="U85" i="53" s="1"/>
  <c r="U45" i="40"/>
  <c r="U48" i="53" s="1"/>
  <c r="U53" i="40"/>
  <c r="U56" i="53" s="1"/>
  <c r="O357" i="44"/>
  <c r="H48" i="53"/>
  <c r="H88" i="53" s="1"/>
  <c r="M96" i="53"/>
  <c r="T53" i="40"/>
  <c r="P56" i="53" s="1"/>
  <c r="L399" i="44"/>
  <c r="O88" i="53"/>
  <c r="J511" i="44"/>
  <c r="E57" i="41"/>
  <c r="J93" i="53"/>
  <c r="P51" i="41"/>
  <c r="I469" i="44"/>
  <c r="S42" i="40"/>
  <c r="K45" i="53" s="1"/>
  <c r="J8" i="43"/>
  <c r="J32" i="44" s="1"/>
  <c r="N511" i="44"/>
  <c r="G357" i="44"/>
  <c r="N399" i="44"/>
  <c r="P76" i="53"/>
  <c r="P97" i="53" s="1"/>
  <c r="P72" i="53"/>
  <c r="P63" i="53"/>
  <c r="T45" i="40"/>
  <c r="P69" i="53"/>
  <c r="P71" i="53"/>
  <c r="P64" i="53"/>
  <c r="P66" i="53"/>
  <c r="P65" i="53"/>
  <c r="P75" i="53"/>
  <c r="P73" i="53"/>
  <c r="P70" i="53"/>
  <c r="P67" i="53"/>
  <c r="P74" i="53"/>
  <c r="P68" i="53"/>
  <c r="M85" i="53"/>
  <c r="T42" i="40"/>
  <c r="M48" i="53"/>
  <c r="M88" i="53" s="1"/>
  <c r="I511" i="44"/>
  <c r="S53" i="40"/>
  <c r="K56" i="53" s="1"/>
  <c r="D48" i="53"/>
  <c r="R45" i="40"/>
  <c r="J357" i="44"/>
  <c r="G30" i="75"/>
  <c r="H30" i="75" s="1"/>
  <c r="I34" i="61"/>
  <c r="D399" i="44"/>
  <c r="Z53" i="41"/>
  <c r="F11" i="42" s="1"/>
  <c r="D13" i="54" s="1"/>
  <c r="Z76" i="41"/>
  <c r="F31" i="42" s="1"/>
  <c r="D36" i="54" s="1"/>
  <c r="Z49" i="41"/>
  <c r="F7" i="42" s="1"/>
  <c r="D9" i="54" s="1"/>
  <c r="Q3" i="40"/>
  <c r="T33" i="40"/>
  <c r="T16" i="40"/>
  <c r="Q21" i="40"/>
  <c r="S86" i="53"/>
  <c r="T11" i="40"/>
  <c r="T30" i="40"/>
  <c r="T9" i="40"/>
  <c r="T12" i="40"/>
  <c r="T10" i="40"/>
  <c r="T25" i="40"/>
  <c r="T6" i="40"/>
  <c r="T18" i="40"/>
  <c r="T14" i="40"/>
  <c r="T26" i="40"/>
  <c r="T31" i="40"/>
  <c r="T23" i="40"/>
  <c r="P24" i="53" s="1"/>
  <c r="T34" i="40"/>
  <c r="T8" i="40"/>
  <c r="T7" i="40"/>
  <c r="T35" i="40"/>
  <c r="T24" i="40"/>
  <c r="T32" i="40"/>
  <c r="T15" i="40"/>
  <c r="T36" i="40"/>
  <c r="T19" i="40"/>
  <c r="T13" i="40"/>
  <c r="T28" i="40"/>
  <c r="T17" i="40"/>
  <c r="T29" i="40"/>
  <c r="R46" i="53"/>
  <c r="R86" i="53" s="1"/>
  <c r="L371" i="44"/>
  <c r="U43" i="40"/>
  <c r="U46" i="53" s="1"/>
  <c r="U86" i="53" s="1"/>
  <c r="J86" i="53"/>
  <c r="R43" i="40"/>
  <c r="AE43" i="40"/>
  <c r="S9" i="42" s="1"/>
  <c r="F13" i="61" s="1"/>
  <c r="G15" i="54"/>
  <c r="D56" i="54" s="1"/>
  <c r="K371" i="44"/>
  <c r="I371" i="44"/>
  <c r="N371" i="44"/>
  <c r="D46" i="53"/>
  <c r="D86" i="53" s="1"/>
  <c r="T43" i="40"/>
  <c r="F55" i="41"/>
  <c r="T60" i="41"/>
  <c r="T50" i="41"/>
  <c r="N57" i="41"/>
  <c r="AC43" i="40"/>
  <c r="N9" i="42" s="1"/>
  <c r="E371" i="44"/>
  <c r="E46" i="53"/>
  <c r="J63" i="33"/>
  <c r="H20" i="43" s="1"/>
  <c r="U55" i="41"/>
  <c r="K63" i="33"/>
  <c r="I20" i="43" s="1"/>
  <c r="F46" i="53"/>
  <c r="F86" i="53" s="1"/>
  <c r="F371" i="44"/>
  <c r="O371" i="44"/>
  <c r="T46" i="53"/>
  <c r="T86" i="53" s="1"/>
  <c r="S43" i="40"/>
  <c r="K46" i="53" s="1"/>
  <c r="K86" i="53" s="1"/>
  <c r="H46" i="53"/>
  <c r="H86" i="53" s="1"/>
  <c r="G371" i="44"/>
  <c r="G61" i="41"/>
  <c r="M46" i="53"/>
  <c r="M86" i="53" s="1"/>
  <c r="S50" i="40"/>
  <c r="K53" i="53" s="1"/>
  <c r="H53" i="53"/>
  <c r="H93" i="53" s="1"/>
  <c r="G469" i="44"/>
  <c r="S60" i="41"/>
  <c r="D469" i="44"/>
  <c r="AE50" i="40"/>
  <c r="S16" i="42" s="1"/>
  <c r="F20" i="61" s="1"/>
  <c r="D53" i="53"/>
  <c r="D93" i="53" s="1"/>
  <c r="I46" i="53"/>
  <c r="I86" i="53" s="1"/>
  <c r="H371" i="44"/>
  <c r="F63" i="33"/>
  <c r="E20" i="43" s="1"/>
  <c r="I56" i="41"/>
  <c r="Z56" i="41" s="1"/>
  <c r="F14" i="42" s="1"/>
  <c r="D16" i="54" s="1"/>
  <c r="T63" i="33"/>
  <c r="N20" i="43" s="1"/>
  <c r="I53" i="53"/>
  <c r="I93" i="53" s="1"/>
  <c r="H469" i="44"/>
  <c r="R50" i="40"/>
  <c r="I33" i="61"/>
  <c r="G29" i="75"/>
  <c r="H29" i="75" s="1"/>
  <c r="W66" i="40"/>
  <c r="M34" i="88" s="1"/>
  <c r="P34" i="88" s="1"/>
  <c r="H77" i="53"/>
  <c r="AC49" i="40"/>
  <c r="N15" i="42" s="1"/>
  <c r="H17" i="54" s="1"/>
  <c r="E51" i="53"/>
  <c r="E91" i="53" s="1"/>
  <c r="H24" i="61"/>
  <c r="J24" i="61" s="1"/>
  <c r="M483" i="44"/>
  <c r="H41" i="54"/>
  <c r="J41" i="54" s="1"/>
  <c r="W63" i="40"/>
  <c r="M31" i="88" s="1"/>
  <c r="P31" i="88" s="1"/>
  <c r="O77" i="53"/>
  <c r="G39" i="75"/>
  <c r="H39" i="75" s="1"/>
  <c r="U14" i="40"/>
  <c r="U14" i="53" s="1"/>
  <c r="U36" i="40"/>
  <c r="U9" i="40"/>
  <c r="U24" i="40"/>
  <c r="AM24" i="65" s="1"/>
  <c r="U28" i="40"/>
  <c r="AM28" i="65" s="1"/>
  <c r="U11" i="40"/>
  <c r="AM10" i="65" s="1"/>
  <c r="U13" i="40"/>
  <c r="AM12" i="65" s="1"/>
  <c r="U34" i="40"/>
  <c r="U35" i="53" s="1"/>
  <c r="M413" i="44"/>
  <c r="U31" i="40"/>
  <c r="U32" i="53" s="1"/>
  <c r="U35" i="40"/>
  <c r="U10" i="40"/>
  <c r="AM9" i="65" s="1"/>
  <c r="U27" i="40"/>
  <c r="AM27" i="65" s="1"/>
  <c r="U23" i="40"/>
  <c r="AC48" i="40"/>
  <c r="N14" i="42" s="1"/>
  <c r="H16" i="54" s="1"/>
  <c r="J16" i="54" s="1"/>
  <c r="U32" i="40"/>
  <c r="AM32" i="65" s="1"/>
  <c r="U33" i="40"/>
  <c r="U8" i="40"/>
  <c r="U26" i="40"/>
  <c r="AM26" i="65" s="1"/>
  <c r="U29" i="40"/>
  <c r="AM29" i="65" s="1"/>
  <c r="U30" i="40"/>
  <c r="F44" i="53"/>
  <c r="F84" i="53" s="1"/>
  <c r="U16" i="40"/>
  <c r="U16" i="53" s="1"/>
  <c r="U19" i="40"/>
  <c r="U19" i="53" s="1"/>
  <c r="U12" i="40"/>
  <c r="U6" i="40"/>
  <c r="AM5" i="65" s="1"/>
  <c r="AB60" i="40"/>
  <c r="M26" i="42" s="1"/>
  <c r="H31" i="56" s="1"/>
  <c r="U7" i="40"/>
  <c r="U17" i="40"/>
  <c r="U18" i="40"/>
  <c r="AM17" i="65" s="1"/>
  <c r="W85" i="40"/>
  <c r="U15" i="40"/>
  <c r="AM14" i="65" s="1"/>
  <c r="J413" i="44"/>
  <c r="L441" i="44"/>
  <c r="T48" i="40"/>
  <c r="D50" i="53"/>
  <c r="D90" i="53" s="1"/>
  <c r="M497" i="44"/>
  <c r="D52" i="53"/>
  <c r="D92" i="53" s="1"/>
  <c r="J55" i="40"/>
  <c r="J677" i="44" s="1"/>
  <c r="J692" i="44" s="1"/>
  <c r="J700" i="44" s="1"/>
  <c r="U48" i="40"/>
  <c r="U51" i="53" s="1"/>
  <c r="D455" i="44"/>
  <c r="O343" i="44"/>
  <c r="F49" i="53"/>
  <c r="F89" i="53" s="1"/>
  <c r="O55" i="40"/>
  <c r="O677" i="44" s="1"/>
  <c r="E455" i="44"/>
  <c r="AE51" i="40"/>
  <c r="S17" i="42" s="1"/>
  <c r="F21" i="61" s="1"/>
  <c r="M21" i="61" s="1"/>
  <c r="J455" i="44"/>
  <c r="U46" i="40"/>
  <c r="U49" i="53" s="1"/>
  <c r="U89" i="53" s="1"/>
  <c r="D483" i="44"/>
  <c r="N413" i="44"/>
  <c r="I55" i="40"/>
  <c r="I677" i="44" s="1"/>
  <c r="U41" i="40"/>
  <c r="U44" i="53" s="1"/>
  <c r="T52" i="40"/>
  <c r="R49" i="40"/>
  <c r="G52" i="53" s="1"/>
  <c r="L455" i="44"/>
  <c r="N455" i="44"/>
  <c r="F55" i="53"/>
  <c r="N55" i="40"/>
  <c r="N677" i="44" s="1"/>
  <c r="F55" i="40"/>
  <c r="F677" i="44" s="1"/>
  <c r="M55" i="53"/>
  <c r="M95" i="53" s="1"/>
  <c r="N343" i="44"/>
  <c r="R46" i="40"/>
  <c r="G49" i="53" s="1"/>
  <c r="K55" i="40"/>
  <c r="K677" i="44" s="1"/>
  <c r="K692" i="44" s="1"/>
  <c r="K700" i="44" s="1"/>
  <c r="T49" i="40"/>
  <c r="F441" i="44"/>
  <c r="H103" i="43"/>
  <c r="H691" i="44" s="1"/>
  <c r="N427" i="44"/>
  <c r="S50" i="53"/>
  <c r="S90" i="53" s="1"/>
  <c r="T41" i="40"/>
  <c r="J343" i="44"/>
  <c r="M44" i="53"/>
  <c r="M84" i="53" s="1"/>
  <c r="I44" i="53"/>
  <c r="I84" i="53" s="1"/>
  <c r="H343" i="44"/>
  <c r="F455" i="44"/>
  <c r="F52" i="53"/>
  <c r="F92" i="53" s="1"/>
  <c r="O497" i="44"/>
  <c r="T55" i="53"/>
  <c r="T95" i="53" s="1"/>
  <c r="E483" i="44"/>
  <c r="E54" i="53"/>
  <c r="E94" i="53" s="1"/>
  <c r="H51" i="53"/>
  <c r="H91" i="53" s="1"/>
  <c r="G441" i="44"/>
  <c r="S48" i="40"/>
  <c r="K51" i="53" s="1"/>
  <c r="J49" i="53"/>
  <c r="J89" i="53" s="1"/>
  <c r="I413" i="44"/>
  <c r="D55" i="40"/>
  <c r="D677" i="44" s="1"/>
  <c r="R48" i="40"/>
  <c r="F103" i="43"/>
  <c r="F691" i="44" s="1"/>
  <c r="Z82" i="41"/>
  <c r="F37" i="42" s="1"/>
  <c r="D42" i="54" s="1"/>
  <c r="R47" i="40"/>
  <c r="G50" i="53" s="1"/>
  <c r="J50" i="53"/>
  <c r="J90" i="53" s="1"/>
  <c r="I427" i="44"/>
  <c r="K427" i="44"/>
  <c r="N50" i="53"/>
  <c r="N90" i="53" s="1"/>
  <c r="R44" i="53"/>
  <c r="R84" i="53" s="1"/>
  <c r="M343" i="44"/>
  <c r="J52" i="53"/>
  <c r="J92" i="53" s="1"/>
  <c r="I455" i="44"/>
  <c r="R52" i="40"/>
  <c r="T54" i="53"/>
  <c r="O483" i="44"/>
  <c r="M51" i="53"/>
  <c r="M91" i="53" s="1"/>
  <c r="J441" i="44"/>
  <c r="O413" i="44"/>
  <c r="T49" i="53"/>
  <c r="T89" i="53" s="1"/>
  <c r="E343" i="44"/>
  <c r="AC41" i="40"/>
  <c r="N7" i="42" s="1"/>
  <c r="E44" i="53"/>
  <c r="L497" i="44"/>
  <c r="O55" i="53"/>
  <c r="O95" i="53" s="1"/>
  <c r="S54" i="53"/>
  <c r="S94" i="53" s="1"/>
  <c r="N483" i="44"/>
  <c r="L55" i="40"/>
  <c r="L677" i="44" s="1"/>
  <c r="L692" i="44" s="1"/>
  <c r="L700" i="44" s="1"/>
  <c r="L427" i="44"/>
  <c r="O50" i="53"/>
  <c r="O90" i="53" s="1"/>
  <c r="G427" i="44"/>
  <c r="S47" i="40"/>
  <c r="K50" i="53" s="1"/>
  <c r="H50" i="53"/>
  <c r="H90" i="53" s="1"/>
  <c r="O455" i="44"/>
  <c r="T52" i="53"/>
  <c r="T92" i="53" s="1"/>
  <c r="AE52" i="40"/>
  <c r="S18" i="42" s="1"/>
  <c r="F22" i="61" s="1"/>
  <c r="D497" i="44"/>
  <c r="D55" i="53"/>
  <c r="D95" i="53" s="1"/>
  <c r="J55" i="53"/>
  <c r="J95" i="53" s="1"/>
  <c r="I497" i="44"/>
  <c r="L483" i="44"/>
  <c r="O54" i="53"/>
  <c r="O94" i="53" s="1"/>
  <c r="K483" i="44"/>
  <c r="N54" i="53"/>
  <c r="N94" i="53" s="1"/>
  <c r="H441" i="44"/>
  <c r="I51" i="53"/>
  <c r="I91" i="53" s="1"/>
  <c r="G413" i="44"/>
  <c r="S46" i="40"/>
  <c r="K49" i="53" s="1"/>
  <c r="K89" i="53" s="1"/>
  <c r="H49" i="53"/>
  <c r="H89" i="53" s="1"/>
  <c r="F50" i="53"/>
  <c r="F90" i="53" s="1"/>
  <c r="F427" i="44"/>
  <c r="I55" i="53"/>
  <c r="I95" i="53" s="1"/>
  <c r="H497" i="44"/>
  <c r="N49" i="53"/>
  <c r="N89" i="53" s="1"/>
  <c r="K413" i="44"/>
  <c r="I63" i="33"/>
  <c r="G20" i="43" s="1"/>
  <c r="R52" i="53"/>
  <c r="R92" i="53" s="1"/>
  <c r="F483" i="44"/>
  <c r="E55" i="40"/>
  <c r="E677" i="44" s="1"/>
  <c r="R51" i="40"/>
  <c r="AE47" i="40"/>
  <c r="S13" i="42" s="1"/>
  <c r="F17" i="61" s="1"/>
  <c r="M50" i="53"/>
  <c r="M90" i="53" s="1"/>
  <c r="J427" i="44"/>
  <c r="T47" i="40"/>
  <c r="T50" i="53"/>
  <c r="O427" i="44"/>
  <c r="S49" i="40"/>
  <c r="K52" i="53" s="1"/>
  <c r="G455" i="44"/>
  <c r="H52" i="53"/>
  <c r="H92" i="53" s="1"/>
  <c r="N497" i="44"/>
  <c r="S55" i="53"/>
  <c r="S95" i="53" s="1"/>
  <c r="E55" i="53"/>
  <c r="E497" i="44"/>
  <c r="AC52" i="40"/>
  <c r="N18" i="42" s="1"/>
  <c r="U51" i="40"/>
  <c r="U54" i="53" s="1"/>
  <c r="J54" i="53"/>
  <c r="J94" i="53" s="1"/>
  <c r="I483" i="44"/>
  <c r="K441" i="44"/>
  <c r="N51" i="53"/>
  <c r="N91" i="53" s="1"/>
  <c r="H413" i="44"/>
  <c r="I49" i="53"/>
  <c r="I89" i="53" s="1"/>
  <c r="E427" i="44"/>
  <c r="E50" i="53"/>
  <c r="E90" i="53" s="1"/>
  <c r="K455" i="44"/>
  <c r="N52" i="53"/>
  <c r="N92" i="53" s="1"/>
  <c r="D49" i="53"/>
  <c r="D89" i="53" s="1"/>
  <c r="AE46" i="40"/>
  <c r="S12" i="42" s="1"/>
  <c r="F16" i="61" s="1"/>
  <c r="D413" i="44"/>
  <c r="G53" i="30"/>
  <c r="P63" i="33"/>
  <c r="L20" i="43" s="1"/>
  <c r="I50" i="53"/>
  <c r="I90" i="53" s="1"/>
  <c r="H427" i="44"/>
  <c r="O44" i="53"/>
  <c r="O84" i="53" s="1"/>
  <c r="L343" i="44"/>
  <c r="I343" i="44"/>
  <c r="J44" i="53"/>
  <c r="J84" i="53" s="1"/>
  <c r="H55" i="53"/>
  <c r="H95" i="53" s="1"/>
  <c r="S52" i="40"/>
  <c r="K55" i="53" s="1"/>
  <c r="G497" i="44"/>
  <c r="G483" i="44"/>
  <c r="H54" i="53"/>
  <c r="H94" i="53" s="1"/>
  <c r="S51" i="40"/>
  <c r="K54" i="53" s="1"/>
  <c r="H483" i="44"/>
  <c r="I54" i="53"/>
  <c r="I94" i="53" s="1"/>
  <c r="AE48" i="40"/>
  <c r="S14" i="42" s="1"/>
  <c r="F18" i="61" s="1"/>
  <c r="D441" i="44"/>
  <c r="D51" i="53"/>
  <c r="D91" i="53" s="1"/>
  <c r="E49" i="53"/>
  <c r="E89" i="53" s="1"/>
  <c r="E413" i="44"/>
  <c r="AC46" i="40"/>
  <c r="N12" i="42" s="1"/>
  <c r="L413" i="44"/>
  <c r="O49" i="53"/>
  <c r="O89" i="53" s="1"/>
  <c r="E63" i="33"/>
  <c r="D20" i="43" s="1"/>
  <c r="M55" i="40"/>
  <c r="M677" i="44" s="1"/>
  <c r="M692" i="44" s="1"/>
  <c r="M700" i="44" s="1"/>
  <c r="T46" i="40"/>
  <c r="U47" i="40"/>
  <c r="U50" i="53" s="1"/>
  <c r="M427" i="44"/>
  <c r="R50" i="53"/>
  <c r="R90" i="53" s="1"/>
  <c r="K343" i="44"/>
  <c r="N44" i="53"/>
  <c r="N84" i="53" s="1"/>
  <c r="AE41" i="40"/>
  <c r="S7" i="42" s="1"/>
  <c r="F11" i="61" s="1"/>
  <c r="D44" i="53"/>
  <c r="D343" i="44"/>
  <c r="U52" i="40"/>
  <c r="U55" i="53" s="1"/>
  <c r="AC51" i="40"/>
  <c r="N17" i="42" s="1"/>
  <c r="M441" i="44"/>
  <c r="R51" i="53"/>
  <c r="R91" i="53" s="1"/>
  <c r="S51" i="53"/>
  <c r="S91" i="53" s="1"/>
  <c r="N441" i="44"/>
  <c r="Z54" i="41"/>
  <c r="F12" i="42" s="1"/>
  <c r="D14" i="54" s="1"/>
  <c r="I103" i="43"/>
  <c r="I691" i="44" s="1"/>
  <c r="U49" i="40"/>
  <c r="U52" i="53" s="1"/>
  <c r="U92" i="53" s="1"/>
  <c r="G55" i="40"/>
  <c r="G677" i="44" s="1"/>
  <c r="G692" i="44" s="1"/>
  <c r="H55" i="40"/>
  <c r="H677" i="44" s="1"/>
  <c r="H692" i="44" s="1"/>
  <c r="S41" i="40"/>
  <c r="K44" i="53" s="1"/>
  <c r="G343" i="44"/>
  <c r="H44" i="53"/>
  <c r="H84" i="53" s="1"/>
  <c r="I52" i="53"/>
  <c r="I92" i="53" s="1"/>
  <c r="H455" i="44"/>
  <c r="K497" i="44"/>
  <c r="N55" i="53"/>
  <c r="N95" i="53" s="1"/>
  <c r="M54" i="53"/>
  <c r="M94" i="53" s="1"/>
  <c r="J483" i="44"/>
  <c r="T51" i="40"/>
  <c r="O441" i="44"/>
  <c r="T51" i="53"/>
  <c r="T91" i="53" s="1"/>
  <c r="J51" i="53"/>
  <c r="I441" i="44"/>
  <c r="H40" i="54"/>
  <c r="J40" i="54" s="1"/>
  <c r="I42" i="61"/>
  <c r="T85" i="53"/>
  <c r="AB63" i="40"/>
  <c r="M29" i="42" s="1"/>
  <c r="H34" i="56" s="1"/>
  <c r="G37" i="75"/>
  <c r="H37" i="75" s="1"/>
  <c r="G35" i="75"/>
  <c r="H35" i="75" s="1"/>
  <c r="H37" i="54"/>
  <c r="J37" i="54" s="1"/>
  <c r="S93" i="53"/>
  <c r="G32" i="75"/>
  <c r="H32" i="75" s="1"/>
  <c r="H34" i="54"/>
  <c r="I34" i="54" s="1"/>
  <c r="H39" i="54"/>
  <c r="I39" i="54" s="1"/>
  <c r="G28" i="75"/>
  <c r="H28" i="75" s="1"/>
  <c r="I32" i="61"/>
  <c r="H36" i="54"/>
  <c r="I38" i="61"/>
  <c r="G36" i="75"/>
  <c r="H36" i="75" s="1"/>
  <c r="W59" i="40"/>
  <c r="I40" i="61"/>
  <c r="R95" i="53"/>
  <c r="G31" i="75"/>
  <c r="H31" i="75" s="1"/>
  <c r="I35" i="61"/>
  <c r="N38" i="42"/>
  <c r="I45" i="61" s="1"/>
  <c r="G33" i="75"/>
  <c r="H33" i="75" s="1"/>
  <c r="I37" i="61"/>
  <c r="E15" i="49"/>
  <c r="L22" i="49" s="1"/>
  <c r="I77" i="53"/>
  <c r="M77" i="53"/>
  <c r="R77" i="53"/>
  <c r="W60" i="40"/>
  <c r="M28" i="88" s="1"/>
  <c r="P28" i="88" s="1"/>
  <c r="O18" i="43"/>
  <c r="O172" i="44" s="1"/>
  <c r="U61" i="41"/>
  <c r="M52" i="33"/>
  <c r="M52" i="41" s="1"/>
  <c r="R11" i="33"/>
  <c r="M11" i="41"/>
  <c r="M59" i="33"/>
  <c r="M59" i="41" s="1"/>
  <c r="R18" i="33"/>
  <c r="M18" i="41"/>
  <c r="M7" i="43"/>
  <c r="M18" i="44" s="1"/>
  <c r="S50" i="41"/>
  <c r="D103" i="43"/>
  <c r="D691" i="44" s="1"/>
  <c r="D699" i="44" s="1"/>
  <c r="L18" i="43"/>
  <c r="L172" i="44" s="1"/>
  <c r="P61" i="41"/>
  <c r="O15" i="43"/>
  <c r="O130" i="44" s="1"/>
  <c r="U58" i="41"/>
  <c r="L15" i="43"/>
  <c r="L130" i="44" s="1"/>
  <c r="P58" i="41"/>
  <c r="M51" i="33"/>
  <c r="M51" i="41" s="1"/>
  <c r="R10" i="33"/>
  <c r="M10" i="41"/>
  <c r="F12" i="43"/>
  <c r="F88" i="44" s="1"/>
  <c r="G55" i="41"/>
  <c r="Z55" i="41" s="1"/>
  <c r="F13" i="42" s="1"/>
  <c r="D15" i="54" s="1"/>
  <c r="G18" i="43"/>
  <c r="G172" i="44" s="1"/>
  <c r="I61" i="41"/>
  <c r="R16" i="33"/>
  <c r="M57" i="33"/>
  <c r="M57" i="41" s="1"/>
  <c r="M16" i="41"/>
  <c r="M77" i="33"/>
  <c r="M77" i="41" s="1"/>
  <c r="R36" i="33"/>
  <c r="M36" i="41"/>
  <c r="M54" i="33"/>
  <c r="M54" i="41" s="1"/>
  <c r="R13" i="33"/>
  <c r="M13" i="41"/>
  <c r="E17" i="43"/>
  <c r="E158" i="44" s="1"/>
  <c r="F60" i="41"/>
  <c r="L12" i="43"/>
  <c r="L88" i="44" s="1"/>
  <c r="P55" i="41"/>
  <c r="E18" i="43"/>
  <c r="E172" i="44" s="1"/>
  <c r="F61" i="41"/>
  <c r="E14" i="43"/>
  <c r="E116" i="44" s="1"/>
  <c r="F57" i="41"/>
  <c r="Z57" i="41" s="1"/>
  <c r="F15" i="42" s="1"/>
  <c r="D17" i="54" s="1"/>
  <c r="M82" i="33"/>
  <c r="M82" i="41" s="1"/>
  <c r="R41" i="33"/>
  <c r="M41" i="41"/>
  <c r="I12" i="43"/>
  <c r="I88" i="44" s="1"/>
  <c r="K55" i="41"/>
  <c r="G14" i="43"/>
  <c r="G116" i="44" s="1"/>
  <c r="I57" i="41"/>
  <c r="D9" i="43"/>
  <c r="D46" i="44" s="1"/>
  <c r="E52" i="41"/>
  <c r="I17" i="43"/>
  <c r="I158" i="44" s="1"/>
  <c r="K60" i="41"/>
  <c r="V63" i="33"/>
  <c r="V49" i="41"/>
  <c r="M70" i="33"/>
  <c r="M70" i="41" s="1"/>
  <c r="R29" i="33"/>
  <c r="M29" i="41"/>
  <c r="M80" i="33"/>
  <c r="M80" i="41" s="1"/>
  <c r="R39" i="33"/>
  <c r="M39" i="41"/>
  <c r="E103" i="43"/>
  <c r="E691" i="44" s="1"/>
  <c r="L83" i="33"/>
  <c r="L69" i="41"/>
  <c r="M61" i="33"/>
  <c r="M61" i="41" s="1"/>
  <c r="R20" i="33"/>
  <c r="M20" i="41"/>
  <c r="N14" i="43"/>
  <c r="N116" i="44" s="1"/>
  <c r="T57" i="41"/>
  <c r="M9" i="43"/>
  <c r="M46" i="44" s="1"/>
  <c r="S52" i="41"/>
  <c r="M42" i="33"/>
  <c r="H42" i="41"/>
  <c r="O14" i="43"/>
  <c r="O116" i="44" s="1"/>
  <c r="U57" i="41"/>
  <c r="R28" i="33"/>
  <c r="M69" i="33"/>
  <c r="M28" i="41"/>
  <c r="M60" i="33"/>
  <c r="M60" i="41" s="1"/>
  <c r="R19" i="33"/>
  <c r="M19" i="41"/>
  <c r="L17" i="43"/>
  <c r="L158" i="44" s="1"/>
  <c r="P60" i="41"/>
  <c r="M49" i="33"/>
  <c r="R8" i="33"/>
  <c r="M8" i="41"/>
  <c r="R12" i="33"/>
  <c r="M53" i="33"/>
  <c r="M53" i="41" s="1"/>
  <c r="M12" i="41"/>
  <c r="J15" i="43"/>
  <c r="J130" i="44" s="1"/>
  <c r="N58" i="41"/>
  <c r="F9" i="43"/>
  <c r="F46" i="44" s="1"/>
  <c r="G52" i="41"/>
  <c r="V77" i="15"/>
  <c r="V146" i="15" s="1"/>
  <c r="O44" i="30"/>
  <c r="H83" i="33"/>
  <c r="H69" i="41"/>
  <c r="AA69" i="41" s="1"/>
  <c r="G24" i="42" s="1"/>
  <c r="V83" i="33"/>
  <c r="F17" i="43"/>
  <c r="F158" i="44" s="1"/>
  <c r="G60" i="41"/>
  <c r="H63" i="33"/>
  <c r="H49" i="41"/>
  <c r="AA49" i="41" s="1"/>
  <c r="G7" i="42" s="1"/>
  <c r="K15" i="43"/>
  <c r="K130" i="44" s="1"/>
  <c r="O58" i="41"/>
  <c r="H15" i="43"/>
  <c r="H130" i="44" s="1"/>
  <c r="J58" i="41"/>
  <c r="G9" i="43"/>
  <c r="G46" i="44" s="1"/>
  <c r="I52" i="41"/>
  <c r="O17" i="43"/>
  <c r="O158" i="44" s="1"/>
  <c r="U60" i="41"/>
  <c r="V44" i="30"/>
  <c r="F55" i="30" s="1"/>
  <c r="D18" i="43"/>
  <c r="D172" i="44" s="1"/>
  <c r="E61" i="41"/>
  <c r="J7" i="43"/>
  <c r="J18" i="44" s="1"/>
  <c r="N50" i="41"/>
  <c r="H9" i="43"/>
  <c r="H46" i="44" s="1"/>
  <c r="J52" i="41"/>
  <c r="S63" i="33"/>
  <c r="M20" i="43" s="1"/>
  <c r="F15" i="43"/>
  <c r="F130" i="44" s="1"/>
  <c r="G58" i="41"/>
  <c r="M81" i="33"/>
  <c r="M81" i="41" s="1"/>
  <c r="R40" i="33"/>
  <c r="M40" i="41"/>
  <c r="N63" i="33"/>
  <c r="J20" i="43" s="1"/>
  <c r="J103" i="43"/>
  <c r="J691" i="44" s="1"/>
  <c r="D8" i="43"/>
  <c r="D32" i="44" s="1"/>
  <c r="E51" i="41"/>
  <c r="L103" i="43"/>
  <c r="L691" i="44" s="1"/>
  <c r="M76" i="33"/>
  <c r="M76" i="41" s="1"/>
  <c r="R35" i="33"/>
  <c r="M35" i="41"/>
  <c r="N103" i="43"/>
  <c r="N691" i="44" s="1"/>
  <c r="M103" i="43"/>
  <c r="M691" i="44" s="1"/>
  <c r="L9" i="43"/>
  <c r="L46" i="44" s="1"/>
  <c r="P52" i="41"/>
  <c r="N15" i="43"/>
  <c r="N130" i="44" s="1"/>
  <c r="T58" i="41"/>
  <c r="N9" i="43"/>
  <c r="N46" i="44" s="1"/>
  <c r="T52" i="41"/>
  <c r="Q83" i="33"/>
  <c r="Q69" i="41"/>
  <c r="X22" i="30"/>
  <c r="E16" i="43"/>
  <c r="E144" i="44" s="1"/>
  <c r="F59" i="41"/>
  <c r="H18" i="43"/>
  <c r="H172" i="44" s="1"/>
  <c r="J61" i="41"/>
  <c r="K14" i="43"/>
  <c r="K116" i="44" s="1"/>
  <c r="O57" i="41"/>
  <c r="K103" i="43"/>
  <c r="K691" i="44" s="1"/>
  <c r="M72" i="33"/>
  <c r="M72" i="41" s="1"/>
  <c r="R31" i="33"/>
  <c r="M31" i="41"/>
  <c r="I15" i="43"/>
  <c r="I130" i="44" s="1"/>
  <c r="K58" i="41"/>
  <c r="M22" i="33"/>
  <c r="H22" i="41"/>
  <c r="M50" i="33"/>
  <c r="M50" i="41" s="1"/>
  <c r="R9" i="33"/>
  <c r="M9" i="41"/>
  <c r="I7" i="43"/>
  <c r="I18" i="44" s="1"/>
  <c r="K50" i="41"/>
  <c r="G103" i="43"/>
  <c r="G691" i="44" s="1"/>
  <c r="N8" i="43"/>
  <c r="N32" i="44" s="1"/>
  <c r="T51" i="41"/>
  <c r="I16" i="43"/>
  <c r="I144" i="44" s="1"/>
  <c r="K59" i="41"/>
  <c r="K7" i="43"/>
  <c r="K18" i="44" s="1"/>
  <c r="O50" i="41"/>
  <c r="O63" i="33"/>
  <c r="K20" i="43" s="1"/>
  <c r="M79" i="33"/>
  <c r="M79" i="41" s="1"/>
  <c r="R38" i="33"/>
  <c r="M38" i="41"/>
  <c r="G15" i="43"/>
  <c r="G130" i="44" s="1"/>
  <c r="I58" i="41"/>
  <c r="M71" i="33"/>
  <c r="M71" i="41" s="1"/>
  <c r="R30" i="33"/>
  <c r="M30" i="41"/>
  <c r="I9" i="43"/>
  <c r="I46" i="44" s="1"/>
  <c r="K52" i="41"/>
  <c r="F7" i="43"/>
  <c r="F18" i="44" s="1"/>
  <c r="G50" i="41"/>
  <c r="G63" i="33"/>
  <c r="F20" i="43" s="1"/>
  <c r="G8" i="43"/>
  <c r="G32" i="44" s="1"/>
  <c r="I51" i="41"/>
  <c r="M75" i="33"/>
  <c r="M75" i="41" s="1"/>
  <c r="R34" i="33"/>
  <c r="M34" i="41"/>
  <c r="F16" i="43"/>
  <c r="F144" i="44" s="1"/>
  <c r="G59" i="41"/>
  <c r="R37" i="33"/>
  <c r="M78" i="33"/>
  <c r="M78" i="41" s="1"/>
  <c r="M37" i="41"/>
  <c r="O8" i="43"/>
  <c r="O32" i="44" s="1"/>
  <c r="U51" i="41"/>
  <c r="M58" i="33"/>
  <c r="M58" i="41" s="1"/>
  <c r="R17" i="33"/>
  <c r="M17" i="41"/>
  <c r="L14" i="43"/>
  <c r="L116" i="44" s="1"/>
  <c r="P57" i="41"/>
  <c r="K9" i="43"/>
  <c r="K46" i="44" s="1"/>
  <c r="O52" i="41"/>
  <c r="G7" i="43"/>
  <c r="G18" i="44" s="1"/>
  <c r="I50" i="41"/>
  <c r="M15" i="43"/>
  <c r="M130" i="44" s="1"/>
  <c r="S58" i="41"/>
  <c r="F8" i="43"/>
  <c r="F32" i="44" s="1"/>
  <c r="G51" i="41"/>
  <c r="U63" i="33"/>
  <c r="O20" i="43" s="1"/>
  <c r="R21" i="33"/>
  <c r="M62" i="33"/>
  <c r="M62" i="41" s="1"/>
  <c r="M21" i="41"/>
  <c r="M55" i="33"/>
  <c r="M55" i="41" s="1"/>
  <c r="R14" i="33"/>
  <c r="M14" i="41"/>
  <c r="D15" i="43"/>
  <c r="D130" i="44" s="1"/>
  <c r="E58" i="41"/>
  <c r="O103" i="43"/>
  <c r="O691" i="44" s="1"/>
  <c r="F14" i="43"/>
  <c r="F116" i="44" s="1"/>
  <c r="G57" i="41"/>
  <c r="Q63" i="33"/>
  <c r="Q49" i="41"/>
  <c r="L63" i="33"/>
  <c r="L49" i="41"/>
  <c r="R32" i="33"/>
  <c r="M73" i="33"/>
  <c r="M73" i="41" s="1"/>
  <c r="M32" i="41"/>
  <c r="R33" i="33"/>
  <c r="M74" i="33"/>
  <c r="M74" i="41" s="1"/>
  <c r="M33" i="41"/>
  <c r="D17" i="43"/>
  <c r="D158" i="44" s="1"/>
  <c r="E60" i="41"/>
  <c r="M56" i="33"/>
  <c r="M56" i="41" s="1"/>
  <c r="R15" i="33"/>
  <c r="M15" i="41"/>
  <c r="H40" i="75"/>
  <c r="D51" i="54"/>
  <c r="F23" i="75"/>
  <c r="D62" i="54"/>
  <c r="E8" i="49"/>
  <c r="L15" i="49" s="1"/>
  <c r="E38" i="49"/>
  <c r="L27" i="49" s="1"/>
  <c r="E18" i="42"/>
  <c r="I20" i="75" s="1"/>
  <c r="D50" i="54"/>
  <c r="E27" i="42"/>
  <c r="I30" i="75" s="1"/>
  <c r="E32" i="42"/>
  <c r="H37" i="59" s="1"/>
  <c r="AF17" i="41"/>
  <c r="AG17" i="41" s="1"/>
  <c r="G18" i="56" s="1"/>
  <c r="I22" i="54"/>
  <c r="J22" i="54"/>
  <c r="E34" i="42"/>
  <c r="H39" i="59" s="1"/>
  <c r="AF9" i="41"/>
  <c r="AG9" i="41" s="1"/>
  <c r="G10" i="56" s="1"/>
  <c r="AF30" i="41"/>
  <c r="AG30" i="41" s="1"/>
  <c r="G31" i="56" s="1"/>
  <c r="E17" i="49"/>
  <c r="L24" i="49" s="1"/>
  <c r="E14" i="42"/>
  <c r="H16" i="59" s="1"/>
  <c r="E25" i="42"/>
  <c r="I28" i="75" s="1"/>
  <c r="E30" i="49"/>
  <c r="AF11" i="41"/>
  <c r="AG11" i="41" s="1"/>
  <c r="G12" i="56" s="1"/>
  <c r="AF38" i="41"/>
  <c r="AG38" i="41" s="1"/>
  <c r="G39" i="56" s="1"/>
  <c r="AF10" i="41"/>
  <c r="AG10" i="41" s="1"/>
  <c r="G11" i="56" s="1"/>
  <c r="AF40" i="41"/>
  <c r="AG40" i="41" s="1"/>
  <c r="G41" i="56" s="1"/>
  <c r="E35" i="42"/>
  <c r="H40" i="59" s="1"/>
  <c r="AF18" i="41"/>
  <c r="AG18" i="41" s="1"/>
  <c r="G19" i="56" s="1"/>
  <c r="AF31" i="41"/>
  <c r="AG31" i="41" s="1"/>
  <c r="G32" i="56" s="1"/>
  <c r="AF39" i="41"/>
  <c r="AG39" i="41" s="1"/>
  <c r="G40" i="56" s="1"/>
  <c r="AF19" i="41"/>
  <c r="AG19" i="41" s="1"/>
  <c r="G20" i="56" s="1"/>
  <c r="AF32" i="41"/>
  <c r="AG32" i="41" s="1"/>
  <c r="G33" i="56" s="1"/>
  <c r="AF12" i="41"/>
  <c r="AG12" i="41" s="1"/>
  <c r="G13" i="56" s="1"/>
  <c r="AF20" i="41"/>
  <c r="AG20" i="41" s="1"/>
  <c r="G21" i="56" s="1"/>
  <c r="AF33" i="41"/>
  <c r="AG33" i="41" s="1"/>
  <c r="G34" i="56" s="1"/>
  <c r="AF41" i="41"/>
  <c r="AG41" i="41" s="1"/>
  <c r="G42" i="56" s="1"/>
  <c r="AF21" i="41"/>
  <c r="AG21" i="41" s="1"/>
  <c r="G22" i="56" s="1"/>
  <c r="J22" i="56" s="1"/>
  <c r="AF13" i="41"/>
  <c r="AG13" i="41" s="1"/>
  <c r="G14" i="56" s="1"/>
  <c r="E20" i="42"/>
  <c r="I22" i="75" s="1"/>
  <c r="E36" i="42"/>
  <c r="I39" i="75" s="1"/>
  <c r="AF34" i="41"/>
  <c r="AG34" i="41" s="1"/>
  <c r="G35" i="56" s="1"/>
  <c r="AF15" i="41"/>
  <c r="AG15" i="41" s="1"/>
  <c r="G16" i="56" s="1"/>
  <c r="AF36" i="41"/>
  <c r="AG36" i="41" s="1"/>
  <c r="G37" i="56" s="1"/>
  <c r="AF14" i="41"/>
  <c r="AG14" i="41" s="1"/>
  <c r="G15" i="56" s="1"/>
  <c r="AF8" i="41"/>
  <c r="AG8" i="41" s="1"/>
  <c r="AF35" i="41"/>
  <c r="AG35" i="41" s="1"/>
  <c r="G36" i="56" s="1"/>
  <c r="AF29" i="41"/>
  <c r="AG29" i="41" s="1"/>
  <c r="G30" i="56" s="1"/>
  <c r="AF16" i="41"/>
  <c r="AG16" i="41" s="1"/>
  <c r="G17" i="56" s="1"/>
  <c r="AF28" i="41"/>
  <c r="AG28" i="41" s="1"/>
  <c r="AF37" i="41"/>
  <c r="AG37" i="41" s="1"/>
  <c r="G38" i="56" s="1"/>
  <c r="F41" i="75"/>
  <c r="E30" i="42"/>
  <c r="H35" i="59" s="1"/>
  <c r="E26" i="42"/>
  <c r="H31" i="59" s="1"/>
  <c r="E12" i="49"/>
  <c r="Z22" i="41"/>
  <c r="Z42" i="41"/>
  <c r="E9" i="42"/>
  <c r="I11" i="75" s="1"/>
  <c r="E19" i="42"/>
  <c r="H21" i="59" s="1"/>
  <c r="E16" i="42"/>
  <c r="I18" i="75" s="1"/>
  <c r="E10" i="42"/>
  <c r="H12" i="59" s="1"/>
  <c r="E32" i="49"/>
  <c r="L21" i="49" s="1"/>
  <c r="E58" i="78"/>
  <c r="L16" i="49"/>
  <c r="E63" i="78"/>
  <c r="E57" i="78"/>
  <c r="L25" i="49"/>
  <c r="E56" i="78"/>
  <c r="E50" i="78"/>
  <c r="L26" i="49"/>
  <c r="E53" i="78"/>
  <c r="E61" i="78"/>
  <c r="E60" i="78"/>
  <c r="E55" i="78"/>
  <c r="E49" i="78"/>
  <c r="F47" i="78"/>
  <c r="F27" i="78"/>
  <c r="L17" i="49"/>
  <c r="E52" i="78"/>
  <c r="E62" i="78"/>
  <c r="N8" i="61"/>
  <c r="H28" i="61"/>
  <c r="I10" i="75"/>
  <c r="H10" i="59"/>
  <c r="H17" i="59"/>
  <c r="I17" i="75"/>
  <c r="I34" i="75"/>
  <c r="H36" i="59"/>
  <c r="I14" i="75"/>
  <c r="H14" i="59"/>
  <c r="E84" i="36"/>
  <c r="D84" i="36"/>
  <c r="E51" i="78"/>
  <c r="M8" i="61"/>
  <c r="F28" i="61"/>
  <c r="E59" i="78"/>
  <c r="H42" i="59"/>
  <c r="I40" i="75"/>
  <c r="I32" i="75"/>
  <c r="H34" i="59"/>
  <c r="E7" i="49"/>
  <c r="E7" i="42"/>
  <c r="E25" i="49"/>
  <c r="E24" i="42"/>
  <c r="H19" i="59"/>
  <c r="I19" i="75"/>
  <c r="E87" i="36"/>
  <c r="D87" i="36"/>
  <c r="E78" i="36"/>
  <c r="D78" i="36"/>
  <c r="E81" i="36"/>
  <c r="D81" i="36"/>
  <c r="E27" i="78"/>
  <c r="E47" i="78"/>
  <c r="E54" i="78"/>
  <c r="AE19" i="65"/>
  <c r="N20" i="53"/>
  <c r="T20" i="53"/>
  <c r="H19" i="61"/>
  <c r="F17" i="54"/>
  <c r="H41" i="61"/>
  <c r="J41" i="61" s="1"/>
  <c r="F39" i="54"/>
  <c r="AI19" i="65"/>
  <c r="J29" i="54"/>
  <c r="I29" i="54"/>
  <c r="J30" i="54"/>
  <c r="I30" i="54"/>
  <c r="F21" i="54"/>
  <c r="H23" i="61"/>
  <c r="J23" i="61" s="1"/>
  <c r="H42" i="61"/>
  <c r="J42" i="61" s="1"/>
  <c r="F40" i="54"/>
  <c r="O38" i="53"/>
  <c r="R20" i="53"/>
  <c r="AL27" i="65"/>
  <c r="P28" i="53"/>
  <c r="H12" i="61"/>
  <c r="F10" i="54"/>
  <c r="F32" i="54"/>
  <c r="H34" i="61"/>
  <c r="J34" i="61" s="1"/>
  <c r="AF37" i="65"/>
  <c r="AG19" i="65"/>
  <c r="T38" i="53"/>
  <c r="AB37" i="65"/>
  <c r="H11" i="61"/>
  <c r="F9" i="54"/>
  <c r="K21" i="42"/>
  <c r="S20" i="53"/>
  <c r="AI37" i="65"/>
  <c r="M38" i="53"/>
  <c r="AH19" i="65"/>
  <c r="I20" i="53"/>
  <c r="H20" i="61"/>
  <c r="J20" i="61" s="1"/>
  <c r="F18" i="54"/>
  <c r="AD37" i="65"/>
  <c r="J31" i="54"/>
  <c r="I31" i="54"/>
  <c r="AB19" i="65"/>
  <c r="H44" i="61"/>
  <c r="F42" i="54"/>
  <c r="F38" i="54"/>
  <c r="H40" i="61"/>
  <c r="J40" i="61" s="1"/>
  <c r="H33" i="61"/>
  <c r="J33" i="61" s="1"/>
  <c r="F31" i="54"/>
  <c r="H18" i="61"/>
  <c r="J18" i="61" s="1"/>
  <c r="F16" i="54"/>
  <c r="J35" i="54"/>
  <c r="I35" i="54"/>
  <c r="F36" i="54"/>
  <c r="H38" i="61"/>
  <c r="J38" i="61" s="1"/>
  <c r="AF19" i="65"/>
  <c r="H20" i="53"/>
  <c r="F30" i="54"/>
  <c r="H32" i="61"/>
  <c r="J32" i="61" s="1"/>
  <c r="R38" i="53"/>
  <c r="O20" i="53"/>
  <c r="H39" i="61"/>
  <c r="J39" i="61" s="1"/>
  <c r="F37" i="54"/>
  <c r="M20" i="53"/>
  <c r="AA19" i="65"/>
  <c r="AD19" i="65"/>
  <c r="H16" i="61"/>
  <c r="J16" i="61" s="1"/>
  <c r="F14" i="54"/>
  <c r="AG37" i="65"/>
  <c r="S38" i="53"/>
  <c r="F41" i="54"/>
  <c r="H43" i="61"/>
  <c r="J43" i="61" s="1"/>
  <c r="F33" i="54"/>
  <c r="H35" i="61"/>
  <c r="F12" i="54"/>
  <c r="H14" i="61"/>
  <c r="J14" i="61" s="1"/>
  <c r="F13" i="54"/>
  <c r="H15" i="61"/>
  <c r="J15" i="61" s="1"/>
  <c r="F29" i="54"/>
  <c r="H31" i="61"/>
  <c r="J31" i="61" s="1"/>
  <c r="H17" i="61"/>
  <c r="J17" i="61" s="1"/>
  <c r="F15" i="54"/>
  <c r="N38" i="53"/>
  <c r="AH37" i="65"/>
  <c r="AM25" i="65"/>
  <c r="U26" i="53"/>
  <c r="F35" i="54"/>
  <c r="H37" i="61"/>
  <c r="J37" i="61" s="1"/>
  <c r="AE37" i="65"/>
  <c r="F11" i="54"/>
  <c r="H13" i="61"/>
  <c r="J13" i="61" s="1"/>
  <c r="H38" i="53"/>
  <c r="F20" i="54"/>
  <c r="H22" i="61"/>
  <c r="J22" i="61" s="1"/>
  <c r="H21" i="61"/>
  <c r="J21" i="61" s="1"/>
  <c r="F19" i="54"/>
  <c r="J32" i="54"/>
  <c r="I32" i="54"/>
  <c r="AC22" i="30"/>
  <c r="E55" i="30" s="1"/>
  <c r="Q36" i="30"/>
  <c r="X36" i="30"/>
  <c r="AE14" i="30"/>
  <c r="V90" i="15"/>
  <c r="AE18" i="30"/>
  <c r="V94" i="15"/>
  <c r="H16" i="74"/>
  <c r="M16" i="74" s="1"/>
  <c r="Q17" i="30"/>
  <c r="Q16" i="30"/>
  <c r="H15" i="74"/>
  <c r="M15" i="74" s="1"/>
  <c r="X38" i="30"/>
  <c r="Q38" i="30"/>
  <c r="Q98" i="15"/>
  <c r="Q15" i="30"/>
  <c r="H14" i="74"/>
  <c r="M14" i="74" s="1"/>
  <c r="H19" i="74"/>
  <c r="M19" i="74" s="1"/>
  <c r="Q20" i="30"/>
  <c r="Q42" i="30"/>
  <c r="X42" i="30"/>
  <c r="Q10" i="30"/>
  <c r="H9" i="74"/>
  <c r="M9" i="74" s="1"/>
  <c r="M7" i="74"/>
  <c r="Q8" i="30"/>
  <c r="M20" i="74"/>
  <c r="Q13" i="30"/>
  <c r="H12" i="74"/>
  <c r="M12" i="74" s="1"/>
  <c r="AE13" i="30"/>
  <c r="V89" i="15"/>
  <c r="J22" i="30"/>
  <c r="Q12" i="30"/>
  <c r="H11" i="74"/>
  <c r="M11" i="74" s="1"/>
  <c r="J44" i="30"/>
  <c r="O22" i="30"/>
  <c r="V87" i="15"/>
  <c r="AE11" i="30"/>
  <c r="V58" i="15"/>
  <c r="Q136" i="15"/>
  <c r="Q145" i="15"/>
  <c r="H10" i="74"/>
  <c r="M10" i="74" s="1"/>
  <c r="V117" i="15"/>
  <c r="Q11" i="30"/>
  <c r="D38" i="53" l="1"/>
  <c r="D84" i="53"/>
  <c r="X19" i="65"/>
  <c r="X37" i="65"/>
  <c r="J35" i="61"/>
  <c r="D692" i="44"/>
  <c r="D700" i="44" s="1"/>
  <c r="D88" i="53"/>
  <c r="D20" i="53"/>
  <c r="L57" i="53"/>
  <c r="X54" i="40"/>
  <c r="Q57" i="53" s="1"/>
  <c r="E86" i="53"/>
  <c r="G97" i="53"/>
  <c r="D77" i="53"/>
  <c r="W69" i="40"/>
  <c r="M37" i="88" s="1"/>
  <c r="P37" i="88" s="1"/>
  <c r="W70" i="40"/>
  <c r="M38" i="88" s="1"/>
  <c r="P38" i="88" s="1"/>
  <c r="U96" i="53"/>
  <c r="AF67" i="40"/>
  <c r="T33" i="42" s="1"/>
  <c r="U95" i="53"/>
  <c r="J33" i="54"/>
  <c r="E95" i="53"/>
  <c r="H36" i="61"/>
  <c r="J36" i="61" s="1"/>
  <c r="K38" i="42"/>
  <c r="H45" i="61" s="1"/>
  <c r="S15" i="40"/>
  <c r="AK14" i="65" s="1"/>
  <c r="S24" i="40"/>
  <c r="AK24" i="65" s="1"/>
  <c r="S33" i="40"/>
  <c r="AK33" i="65" s="1"/>
  <c r="S34" i="40"/>
  <c r="AK34" i="65" s="1"/>
  <c r="S7" i="40"/>
  <c r="AK6" i="65" s="1"/>
  <c r="S29" i="40"/>
  <c r="AK29" i="65" s="1"/>
  <c r="S23" i="40"/>
  <c r="AK23" i="65" s="1"/>
  <c r="S30" i="40"/>
  <c r="AK30" i="65" s="1"/>
  <c r="S8" i="40"/>
  <c r="AK7" i="65" s="1"/>
  <c r="S18" i="40"/>
  <c r="AK17" i="65" s="1"/>
  <c r="S9" i="40"/>
  <c r="K9" i="53" s="1"/>
  <c r="E33" i="42"/>
  <c r="I36" i="75" s="1"/>
  <c r="J38" i="54"/>
  <c r="D59" i="54"/>
  <c r="R56" i="40"/>
  <c r="S11" i="40"/>
  <c r="K11" i="53" s="1"/>
  <c r="S36" i="40"/>
  <c r="K37" i="53" s="1"/>
  <c r="S12" i="40"/>
  <c r="K12" i="53" s="1"/>
  <c r="S26" i="40"/>
  <c r="AK26" i="65" s="1"/>
  <c r="S16" i="40"/>
  <c r="K16" i="53" s="1"/>
  <c r="S28" i="40"/>
  <c r="K29" i="53" s="1"/>
  <c r="S19" i="40"/>
  <c r="K19" i="53" s="1"/>
  <c r="S27" i="40"/>
  <c r="AK27" i="65" s="1"/>
  <c r="S13" i="40"/>
  <c r="AK12" i="65" s="1"/>
  <c r="S25" i="40"/>
  <c r="AK25" i="65" s="1"/>
  <c r="S6" i="40"/>
  <c r="AK5" i="65" s="1"/>
  <c r="S10" i="40"/>
  <c r="K10" i="53" s="1"/>
  <c r="S17" i="40"/>
  <c r="K17" i="53" s="1"/>
  <c r="S31" i="40"/>
  <c r="K32" i="53" s="1"/>
  <c r="S35" i="40"/>
  <c r="AK35" i="65" s="1"/>
  <c r="S14" i="40"/>
  <c r="K14" i="53" s="1"/>
  <c r="L18" i="49"/>
  <c r="Y37" i="65"/>
  <c r="AF59" i="40"/>
  <c r="T25" i="42" s="1"/>
  <c r="W61" i="40"/>
  <c r="M29" i="88" s="1"/>
  <c r="P29" i="88" s="1"/>
  <c r="U87" i="53"/>
  <c r="W71" i="40"/>
  <c r="M39" i="88" s="1"/>
  <c r="P39" i="88" s="1"/>
  <c r="M16" i="61"/>
  <c r="E11" i="42"/>
  <c r="I13" i="75" s="1"/>
  <c r="S77" i="53"/>
  <c r="U84" i="53"/>
  <c r="J12" i="61"/>
  <c r="J44" i="61"/>
  <c r="V63" i="40"/>
  <c r="X63" i="40" s="1"/>
  <c r="Q68" i="53" s="1"/>
  <c r="W64" i="40"/>
  <c r="M32" i="88" s="1"/>
  <c r="P32" i="88" s="1"/>
  <c r="E20" i="53"/>
  <c r="U90" i="53"/>
  <c r="AF63" i="40"/>
  <c r="T29" i="42" s="1"/>
  <c r="G89" i="53"/>
  <c r="W65" i="40"/>
  <c r="M33" i="88" s="1"/>
  <c r="P33" i="88" s="1"/>
  <c r="U91" i="53"/>
  <c r="M20" i="61"/>
  <c r="T90" i="53"/>
  <c r="E38" i="53"/>
  <c r="AB42" i="41"/>
  <c r="E28" i="42"/>
  <c r="I31" i="75" s="1"/>
  <c r="D64" i="54"/>
  <c r="T77" i="53"/>
  <c r="Y19" i="65"/>
  <c r="G73" i="53"/>
  <c r="T94" i="53"/>
  <c r="W62" i="40"/>
  <c r="M30" i="88" s="1"/>
  <c r="P30" i="88" s="1"/>
  <c r="W58" i="40"/>
  <c r="M26" i="88" s="1"/>
  <c r="P26" i="88" s="1"/>
  <c r="E84" i="53"/>
  <c r="W67" i="40"/>
  <c r="M35" i="88" s="1"/>
  <c r="P35" i="88" s="1"/>
  <c r="M22" i="61"/>
  <c r="U94" i="53"/>
  <c r="U93" i="53"/>
  <c r="W68" i="40"/>
  <c r="M36" i="88" s="1"/>
  <c r="P36" i="88" s="1"/>
  <c r="E77" i="53"/>
  <c r="U77" i="53"/>
  <c r="U88" i="53"/>
  <c r="E87" i="53"/>
  <c r="M14" i="61"/>
  <c r="E692" i="44"/>
  <c r="J19" i="61"/>
  <c r="G87" i="53"/>
  <c r="AF69" i="40"/>
  <c r="T35" i="42" s="1"/>
  <c r="V60" i="40"/>
  <c r="L65" i="53" s="1"/>
  <c r="O692" i="44"/>
  <c r="O700" i="44" s="1"/>
  <c r="AF61" i="40"/>
  <c r="T27" i="42" s="1"/>
  <c r="Z58" i="41"/>
  <c r="F16" i="42" s="1"/>
  <c r="D18" i="54" s="1"/>
  <c r="N692" i="44"/>
  <c r="N700" i="44" s="1"/>
  <c r="Z50" i="41"/>
  <c r="F8" i="42" s="1"/>
  <c r="D10" i="54" s="1"/>
  <c r="K91" i="53"/>
  <c r="AB65" i="40"/>
  <c r="M31" i="42" s="1"/>
  <c r="H36" i="56" s="1"/>
  <c r="I36" i="56" s="1"/>
  <c r="D54" i="54"/>
  <c r="AC37" i="65"/>
  <c r="AF53" i="40"/>
  <c r="T19" i="42" s="1"/>
  <c r="AC19" i="65"/>
  <c r="G67" i="53"/>
  <c r="AF60" i="40"/>
  <c r="T26" i="42" s="1"/>
  <c r="P38" i="42"/>
  <c r="G45" i="61" s="1"/>
  <c r="M13" i="61"/>
  <c r="AB64" i="40"/>
  <c r="M30" i="42" s="1"/>
  <c r="H35" i="56" s="1"/>
  <c r="J35" i="56" s="1"/>
  <c r="AB66" i="40"/>
  <c r="M32" i="42" s="1"/>
  <c r="H37" i="56" s="1"/>
  <c r="J37" i="56" s="1"/>
  <c r="K90" i="53"/>
  <c r="K92" i="53"/>
  <c r="M19" i="61"/>
  <c r="J38" i="53"/>
  <c r="AB62" i="40"/>
  <c r="M28" i="42" s="1"/>
  <c r="H33" i="56" s="1"/>
  <c r="I33" i="56" s="1"/>
  <c r="V62" i="40"/>
  <c r="L67" i="53" s="1"/>
  <c r="K88" i="53"/>
  <c r="Z37" i="65"/>
  <c r="F38" i="53"/>
  <c r="M15" i="61"/>
  <c r="Z19" i="65"/>
  <c r="J11" i="61"/>
  <c r="V67" i="40"/>
  <c r="X67" i="40" s="1"/>
  <c r="Q72" i="53" s="1"/>
  <c r="K93" i="53"/>
  <c r="AB67" i="40"/>
  <c r="M33" i="42" s="1"/>
  <c r="H38" i="56" s="1"/>
  <c r="J38" i="56" s="1"/>
  <c r="P21" i="42"/>
  <c r="G25" i="61" s="1"/>
  <c r="J20" i="53"/>
  <c r="F20" i="53"/>
  <c r="V65" i="40"/>
  <c r="L70" i="53" s="1"/>
  <c r="K94" i="53"/>
  <c r="V69" i="40"/>
  <c r="L74" i="53" s="1"/>
  <c r="AB69" i="40"/>
  <c r="M35" i="42" s="1"/>
  <c r="H40" i="56" s="1"/>
  <c r="J40" i="56" s="1"/>
  <c r="AB68" i="40"/>
  <c r="M34" i="42" s="1"/>
  <c r="H39" i="56" s="1"/>
  <c r="I39" i="56" s="1"/>
  <c r="K95" i="53"/>
  <c r="V68" i="40"/>
  <c r="L73" i="53" s="1"/>
  <c r="V64" i="40"/>
  <c r="X64" i="40" s="1"/>
  <c r="Q69" i="53" s="1"/>
  <c r="AF70" i="40"/>
  <c r="T36" i="42" s="1"/>
  <c r="F692" i="44"/>
  <c r="I692" i="44"/>
  <c r="AB71" i="40"/>
  <c r="M37" i="42" s="1"/>
  <c r="H42" i="56" s="1"/>
  <c r="E63" i="56" s="1"/>
  <c r="V71" i="40"/>
  <c r="X71" i="40" s="1"/>
  <c r="Q76" i="53" s="1"/>
  <c r="AF71" i="40"/>
  <c r="T37" i="42" s="1"/>
  <c r="AB59" i="40"/>
  <c r="M25" i="42" s="1"/>
  <c r="H30" i="56" s="1"/>
  <c r="I30" i="56" s="1"/>
  <c r="V61" i="40"/>
  <c r="X61" i="40" s="1"/>
  <c r="Q66" i="53" s="1"/>
  <c r="AB70" i="40"/>
  <c r="M36" i="42" s="1"/>
  <c r="H41" i="56" s="1"/>
  <c r="J41" i="56" s="1"/>
  <c r="K77" i="53"/>
  <c r="V70" i="40"/>
  <c r="L75" i="53" s="1"/>
  <c r="V59" i="40"/>
  <c r="L64" i="53" s="1"/>
  <c r="K96" i="53"/>
  <c r="K87" i="53"/>
  <c r="AB61" i="40"/>
  <c r="M27" i="42" s="1"/>
  <c r="H32" i="56" s="1"/>
  <c r="J32" i="56" s="1"/>
  <c r="K85" i="53"/>
  <c r="AF58" i="40"/>
  <c r="T24" i="42" s="1"/>
  <c r="J91" i="53"/>
  <c r="F77" i="53"/>
  <c r="M11" i="61"/>
  <c r="M17" i="61"/>
  <c r="G92" i="53"/>
  <c r="K84" i="53"/>
  <c r="AB58" i="40"/>
  <c r="M24" i="42" s="1"/>
  <c r="H29" i="56" s="1"/>
  <c r="AF66" i="40"/>
  <c r="T32" i="42" s="1"/>
  <c r="F96" i="53"/>
  <c r="M23" i="61"/>
  <c r="V66" i="40"/>
  <c r="L71" i="53" s="1"/>
  <c r="V58" i="40"/>
  <c r="L63" i="53" s="1"/>
  <c r="H12" i="54"/>
  <c r="J12" i="54" s="1"/>
  <c r="M18" i="61"/>
  <c r="G70" i="53"/>
  <c r="S38" i="42"/>
  <c r="F45" i="61" s="1"/>
  <c r="AF64" i="40"/>
  <c r="T30" i="42" s="1"/>
  <c r="G90" i="53"/>
  <c r="G12" i="75"/>
  <c r="H12" i="75" s="1"/>
  <c r="N14" i="61"/>
  <c r="AB50" i="40"/>
  <c r="M16" i="42" s="1"/>
  <c r="H18" i="56" s="1"/>
  <c r="J18" i="56" s="1"/>
  <c r="AF51" i="40"/>
  <c r="T17" i="42" s="1"/>
  <c r="AF47" i="40"/>
  <c r="T13" i="42" s="1"/>
  <c r="AB53" i="40"/>
  <c r="M19" i="42" s="1"/>
  <c r="H21" i="56" s="1"/>
  <c r="AB42" i="40"/>
  <c r="M8" i="42" s="1"/>
  <c r="H10" i="56" s="1"/>
  <c r="I10" i="56" s="1"/>
  <c r="AF50" i="40"/>
  <c r="T16" i="42" s="1"/>
  <c r="AB51" i="40"/>
  <c r="M17" i="42" s="1"/>
  <c r="H19" i="56" s="1"/>
  <c r="AB45" i="40"/>
  <c r="M11" i="42" s="1"/>
  <c r="H13" i="56" s="1"/>
  <c r="J13" i="56" s="1"/>
  <c r="AF44" i="40"/>
  <c r="T10" i="42" s="1"/>
  <c r="AB48" i="40"/>
  <c r="M14" i="42" s="1"/>
  <c r="H16" i="56" s="1"/>
  <c r="AB43" i="40"/>
  <c r="M9" i="42" s="1"/>
  <c r="H11" i="56" s="1"/>
  <c r="E52" i="56" s="1"/>
  <c r="N20" i="61"/>
  <c r="H18" i="54"/>
  <c r="E59" i="54" s="1"/>
  <c r="G59" i="54" s="1"/>
  <c r="G18" i="75"/>
  <c r="H18" i="75" s="1"/>
  <c r="E63" i="54"/>
  <c r="G63" i="54" s="1"/>
  <c r="I42" i="54"/>
  <c r="Z59" i="41"/>
  <c r="F17" i="42" s="1"/>
  <c r="D19" i="54" s="1"/>
  <c r="Z52" i="41"/>
  <c r="F10" i="42" s="1"/>
  <c r="D12" i="54" s="1"/>
  <c r="Z51" i="41"/>
  <c r="F9" i="42" s="1"/>
  <c r="D11" i="54" s="1"/>
  <c r="R27" i="40"/>
  <c r="R23" i="40"/>
  <c r="G24" i="53" s="1"/>
  <c r="R12" i="40"/>
  <c r="G12" i="53" s="1"/>
  <c r="R31" i="40"/>
  <c r="AJ31" i="65" s="1"/>
  <c r="R13" i="40"/>
  <c r="G13" i="53" s="1"/>
  <c r="R18" i="40"/>
  <c r="AJ17" i="65" s="1"/>
  <c r="R7" i="40"/>
  <c r="AJ6" i="65" s="1"/>
  <c r="R36" i="40"/>
  <c r="R14" i="40"/>
  <c r="G14" i="53" s="1"/>
  <c r="R16" i="40"/>
  <c r="G16" i="53" s="1"/>
  <c r="R10" i="40"/>
  <c r="AJ9" i="65" s="1"/>
  <c r="R17" i="40"/>
  <c r="R34" i="40"/>
  <c r="AJ34" i="65" s="1"/>
  <c r="R6" i="40"/>
  <c r="G6" i="53" s="1"/>
  <c r="R19" i="40"/>
  <c r="R25" i="40"/>
  <c r="AJ25" i="65" s="1"/>
  <c r="R32" i="40"/>
  <c r="AJ32" i="65" s="1"/>
  <c r="R11" i="40"/>
  <c r="G11" i="53" s="1"/>
  <c r="R9" i="40"/>
  <c r="AJ8" i="65" s="1"/>
  <c r="R24" i="40"/>
  <c r="G25" i="53" s="1"/>
  <c r="R35" i="40"/>
  <c r="AJ35" i="65" s="1"/>
  <c r="R33" i="40"/>
  <c r="AJ33" i="65" s="1"/>
  <c r="R30" i="40"/>
  <c r="AJ30" i="65" s="1"/>
  <c r="V85" i="40"/>
  <c r="X85" i="40" s="1"/>
  <c r="R26" i="40"/>
  <c r="R15" i="40"/>
  <c r="AJ14" i="65" s="1"/>
  <c r="R8" i="40"/>
  <c r="G8" i="53" s="1"/>
  <c r="R29" i="40"/>
  <c r="G30" i="53" s="1"/>
  <c r="AB22" i="41"/>
  <c r="E13" i="42"/>
  <c r="H15" i="59" s="1"/>
  <c r="E57" i="59" s="1"/>
  <c r="M12" i="61"/>
  <c r="I17" i="61"/>
  <c r="N17" i="61" s="1"/>
  <c r="G29" i="53"/>
  <c r="I12" i="61"/>
  <c r="N12" i="61" s="1"/>
  <c r="H15" i="54"/>
  <c r="E56" i="54" s="1"/>
  <c r="G56" i="54" s="1"/>
  <c r="V41" i="40"/>
  <c r="AJ28" i="65"/>
  <c r="H21" i="54"/>
  <c r="I21" i="54" s="1"/>
  <c r="G21" i="75"/>
  <c r="H21" i="75" s="1"/>
  <c r="H10" i="54"/>
  <c r="J10" i="54" s="1"/>
  <c r="G45" i="53"/>
  <c r="G85" i="53" s="1"/>
  <c r="V44" i="40"/>
  <c r="L47" i="53" s="1"/>
  <c r="AB44" i="40"/>
  <c r="M10" i="42" s="1"/>
  <c r="H12" i="56" s="1"/>
  <c r="W44" i="40"/>
  <c r="M11" i="88" s="1"/>
  <c r="P11" i="88" s="1"/>
  <c r="G56" i="53"/>
  <c r="G96" i="53" s="1"/>
  <c r="G55" i="30"/>
  <c r="W50" i="40"/>
  <c r="M17" i="88" s="1"/>
  <c r="P17" i="88" s="1"/>
  <c r="H13" i="54"/>
  <c r="E54" i="54" s="1"/>
  <c r="G13" i="75"/>
  <c r="H13" i="75" s="1"/>
  <c r="W53" i="40"/>
  <c r="M20" i="88" s="1"/>
  <c r="P20" i="88" s="1"/>
  <c r="N15" i="61"/>
  <c r="V42" i="40"/>
  <c r="X42" i="40" s="1"/>
  <c r="Q45" i="53" s="1"/>
  <c r="W42" i="40"/>
  <c r="M9" i="88" s="1"/>
  <c r="P9" i="88" s="1"/>
  <c r="W45" i="40"/>
  <c r="M12" i="88" s="1"/>
  <c r="P12" i="88" s="1"/>
  <c r="P93" i="53"/>
  <c r="P96" i="53"/>
  <c r="P77" i="53"/>
  <c r="P87" i="53"/>
  <c r="Z61" i="41"/>
  <c r="F19" i="42" s="1"/>
  <c r="D21" i="54" s="1"/>
  <c r="AL32" i="65"/>
  <c r="P27" i="53"/>
  <c r="AL30" i="65"/>
  <c r="P45" i="53"/>
  <c r="P85" i="53" s="1"/>
  <c r="AF42" i="40"/>
  <c r="T8" i="42" s="1"/>
  <c r="P55" i="53"/>
  <c r="P95" i="53" s="1"/>
  <c r="AF52" i="40"/>
  <c r="T18" i="42" s="1"/>
  <c r="P46" i="53"/>
  <c r="P86" i="53" s="1"/>
  <c r="AF43" i="40"/>
  <c r="T9" i="42" s="1"/>
  <c r="AL29" i="65"/>
  <c r="AL24" i="65"/>
  <c r="AL13" i="65"/>
  <c r="AL10" i="65"/>
  <c r="AL16" i="65"/>
  <c r="AL35" i="65"/>
  <c r="P18" i="53"/>
  <c r="P44" i="53"/>
  <c r="P84" i="53" s="1"/>
  <c r="AF41" i="40"/>
  <c r="T7" i="42" s="1"/>
  <c r="P51" i="53"/>
  <c r="P91" i="53" s="1"/>
  <c r="AF48" i="40"/>
  <c r="T14" i="42" s="1"/>
  <c r="AL28" i="65"/>
  <c r="AF28" i="40"/>
  <c r="Q29" i="42" s="1"/>
  <c r="AL6" i="65"/>
  <c r="AL5" i="65"/>
  <c r="P49" i="53"/>
  <c r="P89" i="53" s="1"/>
  <c r="AF46" i="40"/>
  <c r="T12" i="42" s="1"/>
  <c r="AL12" i="65"/>
  <c r="AL7" i="65"/>
  <c r="AL25" i="65"/>
  <c r="AL18" i="65"/>
  <c r="P35" i="53"/>
  <c r="AL9" i="65"/>
  <c r="P48" i="53"/>
  <c r="P88" i="53" s="1"/>
  <c r="AF45" i="40"/>
  <c r="T11" i="42" s="1"/>
  <c r="P52" i="53"/>
  <c r="P92" i="53" s="1"/>
  <c r="AF49" i="40"/>
  <c r="T15" i="42" s="1"/>
  <c r="AL36" i="65"/>
  <c r="AL23" i="65"/>
  <c r="P12" i="53"/>
  <c r="P16" i="53"/>
  <c r="AL14" i="65"/>
  <c r="P32" i="53"/>
  <c r="AL8" i="65"/>
  <c r="P34" i="53"/>
  <c r="V53" i="40"/>
  <c r="L56" i="53" s="1"/>
  <c r="V45" i="40"/>
  <c r="G48" i="53"/>
  <c r="AL15" i="65"/>
  <c r="P15" i="53"/>
  <c r="AL33" i="65"/>
  <c r="P37" i="53"/>
  <c r="AL34" i="65"/>
  <c r="AK32" i="65"/>
  <c r="P26" i="53"/>
  <c r="P13" i="53"/>
  <c r="P17" i="53"/>
  <c r="P14" i="53"/>
  <c r="P11" i="53"/>
  <c r="P36" i="53"/>
  <c r="AL31" i="65"/>
  <c r="P9" i="53"/>
  <c r="P33" i="53"/>
  <c r="AL11" i="65"/>
  <c r="P19" i="53"/>
  <c r="P25" i="53"/>
  <c r="P31" i="53"/>
  <c r="P30" i="53"/>
  <c r="AL26" i="65"/>
  <c r="P6" i="53"/>
  <c r="P8" i="53"/>
  <c r="W25" i="40"/>
  <c r="AO25" i="65" s="1"/>
  <c r="AL17" i="65"/>
  <c r="P10" i="53"/>
  <c r="R38" i="40"/>
  <c r="P29" i="53"/>
  <c r="P7" i="53"/>
  <c r="W43" i="40"/>
  <c r="M10" i="88" s="1"/>
  <c r="P10" i="88" s="1"/>
  <c r="G46" i="53"/>
  <c r="G86" i="53" s="1"/>
  <c r="F38" i="42"/>
  <c r="D43" i="54" s="1"/>
  <c r="I19" i="61"/>
  <c r="N19" i="61" s="1"/>
  <c r="V50" i="40"/>
  <c r="G53" i="53"/>
  <c r="G93" i="53" s="1"/>
  <c r="H11" i="54"/>
  <c r="G11" i="75"/>
  <c r="H11" i="75" s="1"/>
  <c r="I13" i="61"/>
  <c r="N13" i="61" s="1"/>
  <c r="Q44" i="30"/>
  <c r="E699" i="44"/>
  <c r="F699" i="44" s="1"/>
  <c r="G699" i="44" s="1"/>
  <c r="H699" i="44" s="1"/>
  <c r="I699" i="44" s="1"/>
  <c r="J699" i="44" s="1"/>
  <c r="K699" i="44" s="1"/>
  <c r="L699" i="44" s="1"/>
  <c r="M699" i="44" s="1"/>
  <c r="N699" i="44" s="1"/>
  <c r="O699" i="44" s="1"/>
  <c r="V43" i="40"/>
  <c r="L46" i="53" s="1"/>
  <c r="G17" i="75"/>
  <c r="H17" i="75" s="1"/>
  <c r="W12" i="40"/>
  <c r="L14" i="88" s="1"/>
  <c r="W8" i="40"/>
  <c r="L10" i="88" s="1"/>
  <c r="W35" i="40"/>
  <c r="L38" i="88" s="1"/>
  <c r="W33" i="40"/>
  <c r="L36" i="88" s="1"/>
  <c r="W36" i="40"/>
  <c r="AO36" i="65" s="1"/>
  <c r="W17" i="40"/>
  <c r="AO16" i="65" s="1"/>
  <c r="W30" i="40"/>
  <c r="AO30" i="65" s="1"/>
  <c r="I40" i="54"/>
  <c r="U31" i="53"/>
  <c r="AM31" i="65"/>
  <c r="AM18" i="65"/>
  <c r="U18" i="53"/>
  <c r="W19" i="40"/>
  <c r="AO18" i="65" s="1"/>
  <c r="U15" i="53"/>
  <c r="U34" i="53"/>
  <c r="AM33" i="65"/>
  <c r="W31" i="40"/>
  <c r="L34" i="88" s="1"/>
  <c r="U13" i="53"/>
  <c r="W29" i="40"/>
  <c r="AO29" i="65" s="1"/>
  <c r="W26" i="40"/>
  <c r="AO26" i="65" s="1"/>
  <c r="U8" i="53"/>
  <c r="U12" i="53"/>
  <c r="U36" i="53"/>
  <c r="AM7" i="65"/>
  <c r="AM11" i="65"/>
  <c r="U25" i="53"/>
  <c r="AM35" i="65"/>
  <c r="W24" i="40"/>
  <c r="AO24" i="65" s="1"/>
  <c r="AM13" i="65"/>
  <c r="W14" i="40"/>
  <c r="AO13" i="65" s="1"/>
  <c r="I41" i="54"/>
  <c r="U37" i="53"/>
  <c r="AM36" i="65"/>
  <c r="W23" i="40"/>
  <c r="L26" i="88" s="1"/>
  <c r="R3" i="40"/>
  <c r="L11" i="88" s="1"/>
  <c r="W10" i="40"/>
  <c r="AO9" i="65" s="1"/>
  <c r="U29" i="53"/>
  <c r="U6" i="53"/>
  <c r="U10" i="53"/>
  <c r="U28" i="53"/>
  <c r="W27" i="40"/>
  <c r="AO27" i="65" s="1"/>
  <c r="U30" i="53"/>
  <c r="U9" i="53"/>
  <c r="AM15" i="65"/>
  <c r="W15" i="40"/>
  <c r="AO14" i="65" s="1"/>
  <c r="W6" i="40"/>
  <c r="AO5" i="65" s="1"/>
  <c r="W16" i="40"/>
  <c r="L18" i="88" s="1"/>
  <c r="W28" i="40"/>
  <c r="L31" i="88" s="1"/>
  <c r="W13" i="40"/>
  <c r="AO12" i="65" s="1"/>
  <c r="AM8" i="65"/>
  <c r="W7" i="40"/>
  <c r="AO6" i="65" s="1"/>
  <c r="AM34" i="65"/>
  <c r="U33" i="53"/>
  <c r="W32" i="40"/>
  <c r="AO32" i="65" s="1"/>
  <c r="AM16" i="65"/>
  <c r="W18" i="40"/>
  <c r="AO17" i="65" s="1"/>
  <c r="AM23" i="65"/>
  <c r="W9" i="40"/>
  <c r="AO8" i="65" s="1"/>
  <c r="U7" i="53"/>
  <c r="AM6" i="65"/>
  <c r="W11" i="40"/>
  <c r="AO10" i="65" s="1"/>
  <c r="U17" i="53"/>
  <c r="W41" i="40"/>
  <c r="M8" i="88" s="1"/>
  <c r="P8" i="88" s="1"/>
  <c r="U24" i="53"/>
  <c r="AM30" i="65"/>
  <c r="U27" i="53"/>
  <c r="R21" i="40"/>
  <c r="L29" i="88" s="1"/>
  <c r="J31" i="56"/>
  <c r="U11" i="53"/>
  <c r="W34" i="40"/>
  <c r="AO34" i="65" s="1"/>
  <c r="I18" i="61"/>
  <c r="N18" i="61" s="1"/>
  <c r="G16" i="75"/>
  <c r="H16" i="75" s="1"/>
  <c r="E57" i="54"/>
  <c r="G57" i="54" s="1"/>
  <c r="M58" i="53"/>
  <c r="M98" i="53" s="1"/>
  <c r="V46" i="40"/>
  <c r="X46" i="40" s="1"/>
  <c r="Q49" i="53" s="1"/>
  <c r="AB46" i="40"/>
  <c r="M12" i="42" s="1"/>
  <c r="H14" i="56" s="1"/>
  <c r="E55" i="56" s="1"/>
  <c r="AB47" i="40"/>
  <c r="M13" i="42" s="1"/>
  <c r="H15" i="56" s="1"/>
  <c r="I15" i="56" s="1"/>
  <c r="AB49" i="40"/>
  <c r="M15" i="42" s="1"/>
  <c r="H17" i="56" s="1"/>
  <c r="R58" i="53"/>
  <c r="R98" i="53" s="1"/>
  <c r="I16" i="54"/>
  <c r="G51" i="53"/>
  <c r="W48" i="40"/>
  <c r="M15" i="88" s="1"/>
  <c r="P15" i="88" s="1"/>
  <c r="N21" i="42"/>
  <c r="H23" i="54" s="1"/>
  <c r="J23" i="54" s="1"/>
  <c r="F58" i="53"/>
  <c r="V48" i="40"/>
  <c r="L51" i="53" s="1"/>
  <c r="F95" i="53"/>
  <c r="E58" i="53"/>
  <c r="S58" i="53"/>
  <c r="W46" i="40"/>
  <c r="M13" i="88" s="1"/>
  <c r="P13" i="88" s="1"/>
  <c r="J58" i="53"/>
  <c r="J98" i="53" s="1"/>
  <c r="S21" i="42"/>
  <c r="F25" i="61" s="1"/>
  <c r="V51" i="40"/>
  <c r="W49" i="40"/>
  <c r="M16" i="88" s="1"/>
  <c r="P16" i="88" s="1"/>
  <c r="D58" i="53"/>
  <c r="K58" i="53"/>
  <c r="AB41" i="40"/>
  <c r="M7" i="42" s="1"/>
  <c r="H9" i="56" s="1"/>
  <c r="G44" i="53"/>
  <c r="G84" i="53" s="1"/>
  <c r="T58" i="53"/>
  <c r="G54" i="53"/>
  <c r="N58" i="53"/>
  <c r="N98" i="53" s="1"/>
  <c r="P54" i="53"/>
  <c r="P94" i="53" s="1"/>
  <c r="W51" i="40"/>
  <c r="M18" i="88" s="1"/>
  <c r="P18" i="88" s="1"/>
  <c r="G14" i="75"/>
  <c r="H14" i="75" s="1"/>
  <c r="I16" i="61"/>
  <c r="N16" i="61" s="1"/>
  <c r="H14" i="54"/>
  <c r="E55" i="54" s="1"/>
  <c r="G55" i="54" s="1"/>
  <c r="V49" i="40"/>
  <c r="L52" i="53" s="1"/>
  <c r="U58" i="53"/>
  <c r="O58" i="53"/>
  <c r="O98" i="53" s="1"/>
  <c r="H20" i="54"/>
  <c r="G20" i="75"/>
  <c r="H20" i="75" s="1"/>
  <c r="I22" i="61"/>
  <c r="N22" i="61" s="1"/>
  <c r="AB52" i="40"/>
  <c r="M18" i="42" s="1"/>
  <c r="H20" i="56" s="1"/>
  <c r="V52" i="40"/>
  <c r="G55" i="53"/>
  <c r="G95" i="53" s="1"/>
  <c r="W52" i="40"/>
  <c r="M19" i="88" s="1"/>
  <c r="P19" i="88" s="1"/>
  <c r="W47" i="40"/>
  <c r="M14" i="88" s="1"/>
  <c r="P14" i="88" s="1"/>
  <c r="P50" i="53"/>
  <c r="P90" i="53" s="1"/>
  <c r="I11" i="61"/>
  <c r="N11" i="61" s="1"/>
  <c r="H9" i="54"/>
  <c r="G9" i="75"/>
  <c r="H9" i="75" s="1"/>
  <c r="Z60" i="41"/>
  <c r="F18" i="42" s="1"/>
  <c r="D20" i="54" s="1"/>
  <c r="H58" i="53"/>
  <c r="H98" i="53" s="1"/>
  <c r="V47" i="40"/>
  <c r="X44" i="30"/>
  <c r="F57" i="30" s="1"/>
  <c r="G19" i="75"/>
  <c r="H19" i="75" s="1"/>
  <c r="I21" i="61"/>
  <c r="N21" i="61" s="1"/>
  <c r="H19" i="54"/>
  <c r="E60" i="54" s="1"/>
  <c r="G60" i="54" s="1"/>
  <c r="I58" i="53"/>
  <c r="I98" i="53" s="1"/>
  <c r="I37" i="54"/>
  <c r="J34" i="56"/>
  <c r="J36" i="54"/>
  <c r="J39" i="54"/>
  <c r="E58" i="54"/>
  <c r="G58" i="54" s="1"/>
  <c r="H41" i="59"/>
  <c r="E63" i="59" s="1"/>
  <c r="J34" i="54"/>
  <c r="I36" i="54"/>
  <c r="M27" i="88"/>
  <c r="P27" i="88" s="1"/>
  <c r="H32" i="59"/>
  <c r="E54" i="59" s="1"/>
  <c r="H43" i="54"/>
  <c r="J43" i="54" s="1"/>
  <c r="G41" i="75"/>
  <c r="H41" i="75" s="1"/>
  <c r="I17" i="54"/>
  <c r="J17" i="54"/>
  <c r="R69" i="33"/>
  <c r="W28" i="33"/>
  <c r="R28" i="41"/>
  <c r="R80" i="33"/>
  <c r="R80" i="41" s="1"/>
  <c r="W39" i="33"/>
  <c r="R39" i="41"/>
  <c r="W41" i="33"/>
  <c r="R82" i="33"/>
  <c r="R82" i="41" s="1"/>
  <c r="R41" i="41"/>
  <c r="W31" i="33"/>
  <c r="R72" i="33"/>
  <c r="R72" i="41" s="1"/>
  <c r="R31" i="41"/>
  <c r="R77" i="33"/>
  <c r="R77" i="41" s="1"/>
  <c r="W36" i="33"/>
  <c r="R36" i="41"/>
  <c r="R57" i="33"/>
  <c r="R57" i="41" s="1"/>
  <c r="W16" i="33"/>
  <c r="R16" i="41"/>
  <c r="W14" i="33"/>
  <c r="R55" i="33"/>
  <c r="R55" i="41" s="1"/>
  <c r="R14" i="41"/>
  <c r="G21" i="42"/>
  <c r="D23" i="56" s="1"/>
  <c r="D9" i="56"/>
  <c r="R70" i="33"/>
  <c r="R70" i="41" s="1"/>
  <c r="W29" i="33"/>
  <c r="R29" i="41"/>
  <c r="R56" i="33"/>
  <c r="R56" i="41" s="1"/>
  <c r="W15" i="33"/>
  <c r="R15" i="41"/>
  <c r="R58" i="33"/>
  <c r="R58" i="41" s="1"/>
  <c r="W17" i="33"/>
  <c r="R17" i="41"/>
  <c r="R42" i="33"/>
  <c r="M42" i="41"/>
  <c r="R59" i="33"/>
  <c r="R59" i="41" s="1"/>
  <c r="W18" i="33"/>
  <c r="R18" i="41"/>
  <c r="R75" i="33"/>
  <c r="R75" i="41" s="1"/>
  <c r="W34" i="33"/>
  <c r="R34" i="41"/>
  <c r="W33" i="33"/>
  <c r="R74" i="33"/>
  <c r="R74" i="41" s="1"/>
  <c r="R33" i="41"/>
  <c r="R53" i="33"/>
  <c r="R53" i="41" s="1"/>
  <c r="W12" i="33"/>
  <c r="R12" i="41"/>
  <c r="F43" i="75"/>
  <c r="W35" i="33"/>
  <c r="R76" i="33"/>
  <c r="R76" i="41" s="1"/>
  <c r="R35" i="41"/>
  <c r="W21" i="33"/>
  <c r="R62" i="33"/>
  <c r="R62" i="41" s="1"/>
  <c r="R21" i="41"/>
  <c r="R49" i="33"/>
  <c r="W8" i="33"/>
  <c r="R8" i="41"/>
  <c r="W11" i="33"/>
  <c r="R52" i="33"/>
  <c r="R52" i="41" s="1"/>
  <c r="R11" i="41"/>
  <c r="M83" i="33"/>
  <c r="M69" i="41"/>
  <c r="W32" i="33"/>
  <c r="R73" i="33"/>
  <c r="R73" i="41" s="1"/>
  <c r="R32" i="41"/>
  <c r="W30" i="33"/>
  <c r="R71" i="33"/>
  <c r="R71" i="41" s="1"/>
  <c r="R30" i="41"/>
  <c r="G38" i="42"/>
  <c r="D43" i="56" s="1"/>
  <c r="D29" i="56"/>
  <c r="M63" i="33"/>
  <c r="M49" i="41"/>
  <c r="W10" i="33"/>
  <c r="R51" i="33"/>
  <c r="R51" i="41" s="1"/>
  <c r="R10" i="41"/>
  <c r="R78" i="33"/>
  <c r="R78" i="41" s="1"/>
  <c r="W37" i="33"/>
  <c r="R37" i="41"/>
  <c r="W9" i="33"/>
  <c r="R50" i="33"/>
  <c r="R50" i="41" s="1"/>
  <c r="R9" i="41"/>
  <c r="W20" i="33"/>
  <c r="R61" i="33"/>
  <c r="R61" i="41" s="1"/>
  <c r="R20" i="41"/>
  <c r="R54" i="33"/>
  <c r="R54" i="41" s="1"/>
  <c r="W13" i="33"/>
  <c r="R13" i="41"/>
  <c r="R81" i="33"/>
  <c r="R81" i="41" s="1"/>
  <c r="W40" i="33"/>
  <c r="R40" i="41"/>
  <c r="AA54" i="40"/>
  <c r="V57" i="53"/>
  <c r="R60" i="33"/>
  <c r="R60" i="41" s="1"/>
  <c r="W19" i="33"/>
  <c r="R19" i="41"/>
  <c r="R79" i="33"/>
  <c r="R79" i="41" s="1"/>
  <c r="W38" i="33"/>
  <c r="R38" i="41"/>
  <c r="R22" i="33"/>
  <c r="M22" i="41"/>
  <c r="I22" i="56"/>
  <c r="H20" i="59"/>
  <c r="E62" i="59" s="1"/>
  <c r="I31" i="56"/>
  <c r="I16" i="75"/>
  <c r="H18" i="59"/>
  <c r="H30" i="59"/>
  <c r="E52" i="59" s="1"/>
  <c r="L19" i="49"/>
  <c r="I34" i="56"/>
  <c r="D60" i="56"/>
  <c r="D63" i="56"/>
  <c r="D59" i="56"/>
  <c r="I35" i="75"/>
  <c r="D56" i="56"/>
  <c r="I37" i="75"/>
  <c r="H11" i="59"/>
  <c r="E53" i="59" s="1"/>
  <c r="I21" i="75"/>
  <c r="D54" i="56"/>
  <c r="H22" i="59"/>
  <c r="D57" i="56"/>
  <c r="I38" i="75"/>
  <c r="D52" i="56"/>
  <c r="D62" i="56"/>
  <c r="D51" i="56"/>
  <c r="D61" i="56"/>
  <c r="D55" i="56"/>
  <c r="D58" i="56"/>
  <c r="D53" i="56"/>
  <c r="E39" i="49"/>
  <c r="AF22" i="41"/>
  <c r="AF42" i="41"/>
  <c r="I33" i="75"/>
  <c r="I29" i="75"/>
  <c r="I12" i="75"/>
  <c r="E58" i="59"/>
  <c r="E56" i="59"/>
  <c r="E59" i="59"/>
  <c r="G29" i="56"/>
  <c r="AG42" i="41"/>
  <c r="G43" i="56" s="1"/>
  <c r="G9" i="56"/>
  <c r="AG22" i="41"/>
  <c r="G23" i="56" s="1"/>
  <c r="L14" i="49"/>
  <c r="E21" i="49"/>
  <c r="E61" i="59"/>
  <c r="I27" i="75"/>
  <c r="H29" i="59"/>
  <c r="I9" i="75"/>
  <c r="H9" i="59"/>
  <c r="H25" i="61"/>
  <c r="F23" i="54"/>
  <c r="AE22" i="30"/>
  <c r="E57" i="30" s="1"/>
  <c r="V98" i="15"/>
  <c r="Q22" i="30"/>
  <c r="M21" i="74"/>
  <c r="M42" i="74" s="1"/>
  <c r="G57" i="74" s="1"/>
  <c r="J25" i="35" s="1"/>
  <c r="V145" i="15"/>
  <c r="E700" i="44" l="1"/>
  <c r="F700" i="44" s="1"/>
  <c r="G700" i="44" s="1"/>
  <c r="H700" i="44" s="1"/>
  <c r="I700" i="44" s="1"/>
  <c r="H38" i="59"/>
  <c r="D98" i="53"/>
  <c r="Q97" i="53"/>
  <c r="F43" i="54"/>
  <c r="Q89" i="53"/>
  <c r="Y63" i="40"/>
  <c r="AA63" i="40" s="1"/>
  <c r="L29" i="42" s="1"/>
  <c r="K34" i="53"/>
  <c r="K25" i="53"/>
  <c r="AK8" i="65"/>
  <c r="K35" i="53"/>
  <c r="K7" i="53"/>
  <c r="K8" i="53"/>
  <c r="K15" i="53"/>
  <c r="K18" i="53"/>
  <c r="K24" i="53"/>
  <c r="K30" i="53"/>
  <c r="K31" i="53"/>
  <c r="AK11" i="65"/>
  <c r="K6" i="53"/>
  <c r="AB36" i="40"/>
  <c r="J37" i="42" s="1"/>
  <c r="F42" i="56" s="1"/>
  <c r="AK10" i="65"/>
  <c r="K27" i="53"/>
  <c r="K26" i="53"/>
  <c r="AB26" i="40"/>
  <c r="J27" i="42" s="1"/>
  <c r="F32" i="56" s="1"/>
  <c r="AK9" i="65"/>
  <c r="AK15" i="65"/>
  <c r="K13" i="53"/>
  <c r="AK18" i="65"/>
  <c r="AK13" i="65"/>
  <c r="K28" i="53"/>
  <c r="AB19" i="40"/>
  <c r="J20" i="42" s="1"/>
  <c r="F22" i="56" s="1"/>
  <c r="AK28" i="65"/>
  <c r="AK16" i="65"/>
  <c r="AB28" i="40"/>
  <c r="J29" i="42" s="1"/>
  <c r="F34" i="56" s="1"/>
  <c r="AK36" i="65"/>
  <c r="AK31" i="65"/>
  <c r="AB17" i="40"/>
  <c r="J18" i="42" s="1"/>
  <c r="F20" i="56" s="1"/>
  <c r="K36" i="53"/>
  <c r="F54" i="54"/>
  <c r="H13" i="59"/>
  <c r="S98" i="53"/>
  <c r="H33" i="59"/>
  <c r="E38" i="42"/>
  <c r="H43" i="59" s="1"/>
  <c r="L68" i="53"/>
  <c r="T98" i="53"/>
  <c r="G94" i="53"/>
  <c r="X60" i="40"/>
  <c r="Q65" i="53" s="1"/>
  <c r="U98" i="53"/>
  <c r="L86" i="53"/>
  <c r="Y60" i="40"/>
  <c r="V65" i="53" s="1"/>
  <c r="E98" i="53"/>
  <c r="J33" i="56"/>
  <c r="J36" i="56"/>
  <c r="E57" i="56"/>
  <c r="G57" i="56" s="1"/>
  <c r="G88" i="53"/>
  <c r="I35" i="56"/>
  <c r="I37" i="56"/>
  <c r="G77" i="53"/>
  <c r="J45" i="61"/>
  <c r="Y62" i="40"/>
  <c r="V67" i="53" s="1"/>
  <c r="E58" i="56"/>
  <c r="G58" i="56" s="1"/>
  <c r="X62" i="40"/>
  <c r="Q67" i="53" s="1"/>
  <c r="L69" i="53"/>
  <c r="Y67" i="40"/>
  <c r="V72" i="53" s="1"/>
  <c r="X69" i="40"/>
  <c r="Q74" i="53" s="1"/>
  <c r="Y69" i="40"/>
  <c r="V74" i="53" s="1"/>
  <c r="I38" i="56"/>
  <c r="K98" i="53"/>
  <c r="L72" i="53"/>
  <c r="Y64" i="40"/>
  <c r="V69" i="53" s="1"/>
  <c r="J25" i="61"/>
  <c r="E61" i="56"/>
  <c r="G61" i="56" s="1"/>
  <c r="I40" i="56"/>
  <c r="L91" i="53"/>
  <c r="X65" i="40"/>
  <c r="Q70" i="53" s="1"/>
  <c r="Y65" i="40"/>
  <c r="AA65" i="40" s="1"/>
  <c r="L31" i="42" s="1"/>
  <c r="J42" i="56"/>
  <c r="I42" i="56"/>
  <c r="F63" i="56"/>
  <c r="E53" i="54"/>
  <c r="F53" i="54" s="1"/>
  <c r="L92" i="53"/>
  <c r="Y68" i="40"/>
  <c r="AA68" i="40" s="1"/>
  <c r="F35" i="49" s="1"/>
  <c r="G35" i="49" s="1"/>
  <c r="X68" i="40"/>
  <c r="Q73" i="53" s="1"/>
  <c r="J39" i="56"/>
  <c r="Y71" i="40"/>
  <c r="V76" i="53" s="1"/>
  <c r="V97" i="53" s="1"/>
  <c r="L76" i="53"/>
  <c r="L97" i="53" s="1"/>
  <c r="E60" i="56"/>
  <c r="F60" i="56" s="1"/>
  <c r="X58" i="40"/>
  <c r="Q63" i="53" s="1"/>
  <c r="E62" i="56"/>
  <c r="G62" i="56" s="1"/>
  <c r="Y61" i="40"/>
  <c r="AA61" i="40" s="1"/>
  <c r="F28" i="49" s="1"/>
  <c r="G28" i="49" s="1"/>
  <c r="S56" i="40"/>
  <c r="T56" i="40" s="1"/>
  <c r="I41" i="56"/>
  <c r="U56" i="40"/>
  <c r="L66" i="53"/>
  <c r="J30" i="56"/>
  <c r="Y70" i="40"/>
  <c r="V75" i="53" s="1"/>
  <c r="X70" i="40"/>
  <c r="Q75" i="53" s="1"/>
  <c r="L96" i="53"/>
  <c r="F98" i="53"/>
  <c r="I29" i="56"/>
  <c r="Y66" i="40"/>
  <c r="V71" i="53" s="1"/>
  <c r="X59" i="40"/>
  <c r="Q64" i="53" s="1"/>
  <c r="Q85" i="53" s="1"/>
  <c r="X66" i="40"/>
  <c r="Q71" i="53" s="1"/>
  <c r="Y59" i="40"/>
  <c r="V64" i="53" s="1"/>
  <c r="I32" i="56"/>
  <c r="E53" i="56"/>
  <c r="G53" i="56" s="1"/>
  <c r="M38" i="42"/>
  <c r="H43" i="56" s="1"/>
  <c r="I43" i="56" s="1"/>
  <c r="G91" i="53"/>
  <c r="E50" i="56"/>
  <c r="Y58" i="40"/>
  <c r="V63" i="53" s="1"/>
  <c r="I12" i="54"/>
  <c r="T38" i="42"/>
  <c r="M25" i="61"/>
  <c r="E21" i="42"/>
  <c r="H23" i="59" s="1"/>
  <c r="E65" i="59" s="1"/>
  <c r="E51" i="56"/>
  <c r="F51" i="56" s="1"/>
  <c r="I21" i="56"/>
  <c r="J21" i="56"/>
  <c r="E59" i="56"/>
  <c r="F59" i="56" s="1"/>
  <c r="I18" i="56"/>
  <c r="AF7" i="40"/>
  <c r="Q8" i="42" s="1"/>
  <c r="AF36" i="40"/>
  <c r="Q37" i="42" s="1"/>
  <c r="AF24" i="40"/>
  <c r="Q25" i="42" s="1"/>
  <c r="I13" i="56"/>
  <c r="J10" i="56"/>
  <c r="I11" i="56"/>
  <c r="J11" i="56"/>
  <c r="J16" i="56"/>
  <c r="I16" i="56"/>
  <c r="I19" i="56"/>
  <c r="J19" i="56"/>
  <c r="AF34" i="40"/>
  <c r="Q35" i="42" s="1"/>
  <c r="AF9" i="40"/>
  <c r="Q10" i="42" s="1"/>
  <c r="AF33" i="40"/>
  <c r="Q34" i="42" s="1"/>
  <c r="AF18" i="40"/>
  <c r="Q19" i="42" s="1"/>
  <c r="AF31" i="40"/>
  <c r="Q32" i="42" s="1"/>
  <c r="AF25" i="40"/>
  <c r="Q26" i="42" s="1"/>
  <c r="AF26" i="40"/>
  <c r="Q27" i="42" s="1"/>
  <c r="AF35" i="40"/>
  <c r="Q36" i="42" s="1"/>
  <c r="AF17" i="40"/>
  <c r="Q18" i="42" s="1"/>
  <c r="AF15" i="40"/>
  <c r="Q16" i="42" s="1"/>
  <c r="AF16" i="40"/>
  <c r="Q17" i="42" s="1"/>
  <c r="E54" i="56"/>
  <c r="G54" i="56" s="1"/>
  <c r="AF12" i="40"/>
  <c r="Q13" i="42" s="1"/>
  <c r="AF13" i="40"/>
  <c r="Q14" i="42" s="1"/>
  <c r="AF10" i="40"/>
  <c r="Q11" i="42" s="1"/>
  <c r="AF8" i="40"/>
  <c r="Q9" i="42" s="1"/>
  <c r="AF23" i="40"/>
  <c r="Q24" i="42" s="1"/>
  <c r="AF11" i="40"/>
  <c r="Q12" i="42" s="1"/>
  <c r="AF32" i="40"/>
  <c r="Q33" i="42" s="1"/>
  <c r="AF14" i="40"/>
  <c r="Q15" i="42" s="1"/>
  <c r="AF29" i="40"/>
  <c r="Q30" i="42" s="1"/>
  <c r="AF19" i="40"/>
  <c r="Q20" i="42" s="1"/>
  <c r="AF30" i="40"/>
  <c r="Q31" i="42" s="1"/>
  <c r="AF6" i="40"/>
  <c r="Q7" i="42" s="1"/>
  <c r="AB27" i="40"/>
  <c r="J28" i="42" s="1"/>
  <c r="F33" i="56" s="1"/>
  <c r="AF27" i="40"/>
  <c r="Q28" i="42" s="1"/>
  <c r="F59" i="54"/>
  <c r="F63" i="54"/>
  <c r="J18" i="54"/>
  <c r="I18" i="54"/>
  <c r="AB31" i="40"/>
  <c r="J32" i="42" s="1"/>
  <c r="F37" i="56" s="1"/>
  <c r="AJ11" i="65"/>
  <c r="AB9" i="40"/>
  <c r="J10" i="42" s="1"/>
  <c r="F12" i="56" s="1"/>
  <c r="AB12" i="40"/>
  <c r="J13" i="42" s="1"/>
  <c r="F15" i="56" s="1"/>
  <c r="I15" i="75"/>
  <c r="I23" i="75" s="1"/>
  <c r="G32" i="53"/>
  <c r="AB23" i="40"/>
  <c r="J24" i="42" s="1"/>
  <c r="F29" i="56" s="1"/>
  <c r="Y85" i="40"/>
  <c r="V12" i="40"/>
  <c r="L12" i="53" s="1"/>
  <c r="V31" i="40"/>
  <c r="L32" i="53" s="1"/>
  <c r="V28" i="40"/>
  <c r="X28" i="40" s="1"/>
  <c r="AP28" i="65" s="1"/>
  <c r="AB33" i="40"/>
  <c r="J34" i="42" s="1"/>
  <c r="F39" i="56" s="1"/>
  <c r="AB7" i="40"/>
  <c r="J8" i="42" s="1"/>
  <c r="F10" i="56" s="1"/>
  <c r="V14" i="40"/>
  <c r="X14" i="40" s="1"/>
  <c r="Q14" i="53" s="1"/>
  <c r="AB6" i="40"/>
  <c r="J7" i="42" s="1"/>
  <c r="F9" i="56" s="1"/>
  <c r="V6" i="40"/>
  <c r="X6" i="40" s="1"/>
  <c r="AP5" i="65" s="1"/>
  <c r="G7" i="53"/>
  <c r="AJ16" i="65"/>
  <c r="AJ7" i="65"/>
  <c r="V10" i="40"/>
  <c r="X10" i="40" s="1"/>
  <c r="AP9" i="65" s="1"/>
  <c r="G37" i="53"/>
  <c r="AJ12" i="65"/>
  <c r="V13" i="40"/>
  <c r="X13" i="40" s="1"/>
  <c r="AP12" i="65" s="1"/>
  <c r="G19" i="53"/>
  <c r="AB13" i="40"/>
  <c r="J14" i="42" s="1"/>
  <c r="F16" i="56" s="1"/>
  <c r="AB35" i="40"/>
  <c r="J36" i="42" s="1"/>
  <c r="F41" i="56" s="1"/>
  <c r="AJ23" i="65"/>
  <c r="V23" i="40"/>
  <c r="AN23" i="65" s="1"/>
  <c r="V33" i="40"/>
  <c r="X33" i="40" s="1"/>
  <c r="AP33" i="65" s="1"/>
  <c r="G33" i="53"/>
  <c r="V19" i="40"/>
  <c r="AN18" i="65" s="1"/>
  <c r="AJ13" i="65"/>
  <c r="AB14" i="40"/>
  <c r="J15" i="42" s="1"/>
  <c r="F17" i="56" s="1"/>
  <c r="V17" i="40"/>
  <c r="X17" i="40" s="1"/>
  <c r="AP16" i="65" s="1"/>
  <c r="V36" i="40"/>
  <c r="X36" i="40" s="1"/>
  <c r="AP36" i="65" s="1"/>
  <c r="AJ36" i="65"/>
  <c r="V34" i="40"/>
  <c r="AN34" i="65" s="1"/>
  <c r="AB25" i="40"/>
  <c r="J26" i="42" s="1"/>
  <c r="F31" i="56" s="1"/>
  <c r="G26" i="53"/>
  <c r="AB8" i="40"/>
  <c r="J9" i="42" s="1"/>
  <c r="F11" i="56" s="1"/>
  <c r="V27" i="40"/>
  <c r="X27" i="40" s="1"/>
  <c r="AP27" i="65" s="1"/>
  <c r="G28" i="53"/>
  <c r="AJ27" i="65"/>
  <c r="V18" i="40"/>
  <c r="AN17" i="65" s="1"/>
  <c r="G18" i="53"/>
  <c r="G34" i="53"/>
  <c r="AB18" i="40"/>
  <c r="J19" i="42" s="1"/>
  <c r="F21" i="56" s="1"/>
  <c r="AJ15" i="65"/>
  <c r="G9" i="53"/>
  <c r="V8" i="40"/>
  <c r="X8" i="40" s="1"/>
  <c r="AP7" i="65" s="1"/>
  <c r="AB16" i="40"/>
  <c r="J17" i="42" s="1"/>
  <c r="F19" i="56" s="1"/>
  <c r="V16" i="40"/>
  <c r="X16" i="40" s="1"/>
  <c r="AP15" i="65" s="1"/>
  <c r="AJ5" i="65"/>
  <c r="G17" i="53"/>
  <c r="AB34" i="40"/>
  <c r="J35" i="42" s="1"/>
  <c r="F40" i="56" s="1"/>
  <c r="V7" i="40"/>
  <c r="X7" i="40" s="1"/>
  <c r="AP6" i="65" s="1"/>
  <c r="AJ18" i="65"/>
  <c r="G35" i="53"/>
  <c r="AJ10" i="65"/>
  <c r="V25" i="40"/>
  <c r="X25" i="40" s="1"/>
  <c r="AP25" i="65" s="1"/>
  <c r="V32" i="40"/>
  <c r="X32" i="40" s="1"/>
  <c r="Q33" i="53" s="1"/>
  <c r="AB30" i="40"/>
  <c r="J31" i="42" s="1"/>
  <c r="F36" i="56" s="1"/>
  <c r="V30" i="40"/>
  <c r="X30" i="40" s="1"/>
  <c r="Q31" i="53" s="1"/>
  <c r="G31" i="53"/>
  <c r="AB11" i="40"/>
  <c r="J12" i="42" s="1"/>
  <c r="F14" i="56" s="1"/>
  <c r="V11" i="40"/>
  <c r="X11" i="40" s="1"/>
  <c r="AP10" i="65" s="1"/>
  <c r="AB10" i="40"/>
  <c r="J11" i="42" s="1"/>
  <c r="F13" i="56" s="1"/>
  <c r="V35" i="40"/>
  <c r="X35" i="40" s="1"/>
  <c r="Q36" i="53" s="1"/>
  <c r="G36" i="53"/>
  <c r="AJ24" i="65"/>
  <c r="V15" i="40"/>
  <c r="X15" i="40" s="1"/>
  <c r="AP14" i="65" s="1"/>
  <c r="V24" i="40"/>
  <c r="X24" i="40" s="1"/>
  <c r="AP24" i="65" s="1"/>
  <c r="G15" i="53"/>
  <c r="AB24" i="40"/>
  <c r="J25" i="42" s="1"/>
  <c r="F30" i="56" s="1"/>
  <c r="AB15" i="40"/>
  <c r="J16" i="42" s="1"/>
  <c r="F18" i="56" s="1"/>
  <c r="AB32" i="40"/>
  <c r="J33" i="42" s="1"/>
  <c r="F38" i="56" s="1"/>
  <c r="V9" i="40"/>
  <c r="X9" i="40" s="1"/>
  <c r="AP8" i="65" s="1"/>
  <c r="V26" i="40"/>
  <c r="U21" i="40" s="1"/>
  <c r="G10" i="53"/>
  <c r="G27" i="53"/>
  <c r="AJ26" i="65"/>
  <c r="V29" i="40"/>
  <c r="X29" i="40" s="1"/>
  <c r="Q30" i="53" s="1"/>
  <c r="AJ29" i="65"/>
  <c r="AB29" i="40"/>
  <c r="J30" i="42" s="1"/>
  <c r="F35" i="56" s="1"/>
  <c r="I10" i="54"/>
  <c r="X44" i="40"/>
  <c r="Q47" i="53" s="1"/>
  <c r="Q87" i="53" s="1"/>
  <c r="E51" i="54"/>
  <c r="F51" i="54" s="1"/>
  <c r="F56" i="54"/>
  <c r="U38" i="40"/>
  <c r="Y44" i="40"/>
  <c r="V47" i="53" s="1"/>
  <c r="E62" i="54"/>
  <c r="G62" i="54" s="1"/>
  <c r="J15" i="54"/>
  <c r="I15" i="54"/>
  <c r="J21" i="54"/>
  <c r="Y41" i="40"/>
  <c r="AA41" i="40" s="1"/>
  <c r="L7" i="42" s="1"/>
  <c r="I12" i="56"/>
  <c r="J12" i="56"/>
  <c r="S38" i="40"/>
  <c r="T38" i="40" s="1"/>
  <c r="J13" i="54"/>
  <c r="L45" i="53"/>
  <c r="L85" i="53" s="1"/>
  <c r="Y50" i="40"/>
  <c r="AA50" i="40" s="1"/>
  <c r="F16" i="49" s="1"/>
  <c r="I13" i="54"/>
  <c r="Y42" i="40"/>
  <c r="AA42" i="40" s="1"/>
  <c r="F8" i="49" s="1"/>
  <c r="G54" i="54"/>
  <c r="Y53" i="40"/>
  <c r="V56" i="53" s="1"/>
  <c r="Y45" i="40"/>
  <c r="AA45" i="40" s="1"/>
  <c r="F11" i="49" s="1"/>
  <c r="X53" i="40"/>
  <c r="Q56" i="53" s="1"/>
  <c r="T21" i="42"/>
  <c r="L48" i="53"/>
  <c r="L88" i="53" s="1"/>
  <c r="X45" i="40"/>
  <c r="Q48" i="53" s="1"/>
  <c r="G52" i="56"/>
  <c r="AO35" i="65"/>
  <c r="AL37" i="65"/>
  <c r="AL19" i="65"/>
  <c r="F21" i="42"/>
  <c r="D23" i="54" s="1"/>
  <c r="P38" i="53"/>
  <c r="L28" i="88"/>
  <c r="P20" i="53"/>
  <c r="AO11" i="65"/>
  <c r="X50" i="40"/>
  <c r="Q53" i="53" s="1"/>
  <c r="Q93" i="53" s="1"/>
  <c r="L53" i="53"/>
  <c r="Y43" i="40"/>
  <c r="AA43" i="40" s="1"/>
  <c r="F9" i="49" s="1"/>
  <c r="G57" i="30"/>
  <c r="X43" i="40"/>
  <c r="Q46" i="53" s="1"/>
  <c r="E52" i="54"/>
  <c r="J11" i="54"/>
  <c r="I11" i="54"/>
  <c r="AO33" i="65"/>
  <c r="AO7" i="65"/>
  <c r="L39" i="88"/>
  <c r="L33" i="88"/>
  <c r="L19" i="88"/>
  <c r="AO31" i="65"/>
  <c r="L32" i="88"/>
  <c r="L27" i="88"/>
  <c r="AO28" i="65"/>
  <c r="L35" i="88"/>
  <c r="L21" i="88"/>
  <c r="AO15" i="65"/>
  <c r="L30" i="88"/>
  <c r="L15" i="88"/>
  <c r="L13" i="88"/>
  <c r="L20" i="88"/>
  <c r="L16" i="88"/>
  <c r="AO23" i="65"/>
  <c r="L17" i="88"/>
  <c r="L12" i="88"/>
  <c r="L37" i="88"/>
  <c r="L9" i="88"/>
  <c r="AM37" i="65"/>
  <c r="L8" i="88"/>
  <c r="J14" i="56"/>
  <c r="U38" i="53"/>
  <c r="AM19" i="65"/>
  <c r="F57" i="54"/>
  <c r="I14" i="56"/>
  <c r="U20" i="53"/>
  <c r="L49" i="53"/>
  <c r="Y48" i="40"/>
  <c r="AA48" i="40" s="1"/>
  <c r="L14" i="42" s="1"/>
  <c r="X48" i="40"/>
  <c r="Q51" i="53" s="1"/>
  <c r="J15" i="56"/>
  <c r="E56" i="56"/>
  <c r="G56" i="56" s="1"/>
  <c r="Y46" i="40"/>
  <c r="V49" i="53" s="1"/>
  <c r="I17" i="56"/>
  <c r="X49" i="40"/>
  <c r="Q52" i="53" s="1"/>
  <c r="J17" i="56"/>
  <c r="I23" i="54"/>
  <c r="I25" i="61"/>
  <c r="N25" i="61" s="1"/>
  <c r="I20" i="56"/>
  <c r="P58" i="53"/>
  <c r="P98" i="53" s="1"/>
  <c r="X51" i="40"/>
  <c r="Q54" i="53" s="1"/>
  <c r="L54" i="53"/>
  <c r="L94" i="53" s="1"/>
  <c r="Y49" i="40"/>
  <c r="AA49" i="40" s="1"/>
  <c r="F15" i="49" s="1"/>
  <c r="L50" i="53"/>
  <c r="X47" i="40"/>
  <c r="Q50" i="53" s="1"/>
  <c r="Q90" i="53" s="1"/>
  <c r="Y47" i="40"/>
  <c r="I9" i="54"/>
  <c r="E50" i="54"/>
  <c r="J9" i="54"/>
  <c r="Y51" i="40"/>
  <c r="J9" i="56"/>
  <c r="G58" i="53"/>
  <c r="J14" i="54"/>
  <c r="I14" i="54"/>
  <c r="M21" i="42"/>
  <c r="H23" i="56" s="1"/>
  <c r="I23" i="56" s="1"/>
  <c r="I19" i="54"/>
  <c r="J19" i="54"/>
  <c r="J20" i="56"/>
  <c r="I20" i="54"/>
  <c r="E61" i="54"/>
  <c r="J20" i="54"/>
  <c r="G23" i="75"/>
  <c r="G43" i="75" s="1"/>
  <c r="H43" i="75" s="1"/>
  <c r="Y52" i="40"/>
  <c r="X52" i="40"/>
  <c r="Q55" i="53" s="1"/>
  <c r="L55" i="53"/>
  <c r="L95" i="53" s="1"/>
  <c r="L44" i="53"/>
  <c r="L84" i="53" s="1"/>
  <c r="X41" i="40"/>
  <c r="Q44" i="53" s="1"/>
  <c r="F55" i="56"/>
  <c r="F60" i="54"/>
  <c r="F58" i="54"/>
  <c r="F55" i="54"/>
  <c r="M22" i="88"/>
  <c r="P22" i="88" s="1"/>
  <c r="E64" i="54"/>
  <c r="F64" i="54" s="1"/>
  <c r="I43" i="54"/>
  <c r="M40" i="88"/>
  <c r="W49" i="33"/>
  <c r="W8" i="41"/>
  <c r="AC8" i="41" s="1"/>
  <c r="W74" i="33"/>
  <c r="W74" i="41" s="1"/>
  <c r="AB74" i="41" s="1"/>
  <c r="H29" i="42" s="1"/>
  <c r="W33" i="41"/>
  <c r="AC33" i="41" s="1"/>
  <c r="W77" i="33"/>
  <c r="W77" i="41" s="1"/>
  <c r="AB77" i="41" s="1"/>
  <c r="H32" i="42" s="1"/>
  <c r="W36" i="41"/>
  <c r="AC36" i="41" s="1"/>
  <c r="W22" i="33"/>
  <c r="R22" i="41"/>
  <c r="R63" i="33"/>
  <c r="R49" i="41"/>
  <c r="W70" i="33"/>
  <c r="W70" i="41" s="1"/>
  <c r="AB70" i="41" s="1"/>
  <c r="H25" i="42" s="1"/>
  <c r="W29" i="41"/>
  <c r="AC29" i="41" s="1"/>
  <c r="W75" i="33"/>
  <c r="W75" i="41" s="1"/>
  <c r="AB75" i="41" s="1"/>
  <c r="H30" i="42" s="1"/>
  <c r="W34" i="41"/>
  <c r="AC34" i="41" s="1"/>
  <c r="W54" i="33"/>
  <c r="W54" i="41" s="1"/>
  <c r="AB54" i="41" s="1"/>
  <c r="H12" i="42" s="1"/>
  <c r="W13" i="41"/>
  <c r="AC13" i="41" s="1"/>
  <c r="W79" i="33"/>
  <c r="W79" i="41" s="1"/>
  <c r="AB79" i="41" s="1"/>
  <c r="H34" i="42" s="1"/>
  <c r="W38" i="41"/>
  <c r="AC38" i="41" s="1"/>
  <c r="W61" i="33"/>
  <c r="W61" i="41" s="1"/>
  <c r="AB61" i="41" s="1"/>
  <c r="H19" i="42" s="1"/>
  <c r="W20" i="41"/>
  <c r="AC20" i="41" s="1"/>
  <c r="W62" i="33"/>
  <c r="W62" i="41" s="1"/>
  <c r="AB62" i="41" s="1"/>
  <c r="H20" i="42" s="1"/>
  <c r="W21" i="41"/>
  <c r="AC21" i="41" s="1"/>
  <c r="W72" i="33"/>
  <c r="W72" i="41" s="1"/>
  <c r="AB72" i="41" s="1"/>
  <c r="H27" i="42" s="1"/>
  <c r="W31" i="41"/>
  <c r="AC31" i="41" s="1"/>
  <c r="W59" i="33"/>
  <c r="W59" i="41" s="1"/>
  <c r="AB59" i="41" s="1"/>
  <c r="H17" i="42" s="1"/>
  <c r="W18" i="41"/>
  <c r="AC18" i="41" s="1"/>
  <c r="W60" i="33"/>
  <c r="W60" i="41" s="1"/>
  <c r="AB60" i="41" s="1"/>
  <c r="H18" i="42" s="1"/>
  <c r="W19" i="41"/>
  <c r="AC19" i="41" s="1"/>
  <c r="W50" i="33"/>
  <c r="W50" i="41" s="1"/>
  <c r="AB50" i="41" s="1"/>
  <c r="H8" i="42" s="1"/>
  <c r="W9" i="41"/>
  <c r="AC9" i="41" s="1"/>
  <c r="W71" i="33"/>
  <c r="W71" i="41" s="1"/>
  <c r="AB71" i="41" s="1"/>
  <c r="H26" i="42" s="1"/>
  <c r="W30" i="41"/>
  <c r="AC30" i="41" s="1"/>
  <c r="W76" i="33"/>
  <c r="W76" i="41" s="1"/>
  <c r="AB76" i="41" s="1"/>
  <c r="H31" i="42" s="1"/>
  <c r="W35" i="41"/>
  <c r="AC35" i="41" s="1"/>
  <c r="W82" i="33"/>
  <c r="W82" i="41" s="1"/>
  <c r="AB82" i="41" s="1"/>
  <c r="H37" i="42" s="1"/>
  <c r="W41" i="41"/>
  <c r="AC41" i="41" s="1"/>
  <c r="W51" i="33"/>
  <c r="W51" i="41" s="1"/>
  <c r="AB51" i="41" s="1"/>
  <c r="H9" i="42" s="1"/>
  <c r="W10" i="41"/>
  <c r="AC10" i="41" s="1"/>
  <c r="W78" i="33"/>
  <c r="W78" i="41" s="1"/>
  <c r="AB78" i="41" s="1"/>
  <c r="H33" i="42" s="1"/>
  <c r="W37" i="41"/>
  <c r="AC37" i="41" s="1"/>
  <c r="W42" i="33"/>
  <c r="W42" i="41" s="1"/>
  <c r="R42" i="41"/>
  <c r="L20" i="42"/>
  <c r="F20" i="49"/>
  <c r="G20" i="49" s="1"/>
  <c r="W73" i="33"/>
  <c r="W73" i="41" s="1"/>
  <c r="AB73" i="41" s="1"/>
  <c r="H28" i="42" s="1"/>
  <c r="W32" i="41"/>
  <c r="AC32" i="41" s="1"/>
  <c r="W55" i="33"/>
  <c r="W55" i="41" s="1"/>
  <c r="AB55" i="41" s="1"/>
  <c r="H13" i="42" s="1"/>
  <c r="W14" i="41"/>
  <c r="AC14" i="41" s="1"/>
  <c r="W80" i="33"/>
  <c r="W80" i="41" s="1"/>
  <c r="AB80" i="41" s="1"/>
  <c r="H35" i="42" s="1"/>
  <c r="W39" i="41"/>
  <c r="AC39" i="41" s="1"/>
  <c r="W52" i="33"/>
  <c r="W52" i="41" s="1"/>
  <c r="AB52" i="41" s="1"/>
  <c r="H10" i="42" s="1"/>
  <c r="W11" i="41"/>
  <c r="AC11" i="41" s="1"/>
  <c r="W56" i="33"/>
  <c r="W56" i="41" s="1"/>
  <c r="AB56" i="41" s="1"/>
  <c r="H14" i="42" s="1"/>
  <c r="W15" i="41"/>
  <c r="AC15" i="41" s="1"/>
  <c r="W58" i="33"/>
  <c r="W58" i="41" s="1"/>
  <c r="AB58" i="41" s="1"/>
  <c r="H16" i="42" s="1"/>
  <c r="W17" i="41"/>
  <c r="AC17" i="41" s="1"/>
  <c r="W81" i="33"/>
  <c r="W81" i="41" s="1"/>
  <c r="AB81" i="41" s="1"/>
  <c r="H36" i="42" s="1"/>
  <c r="W40" i="41"/>
  <c r="AC40" i="41" s="1"/>
  <c r="W53" i="33"/>
  <c r="W53" i="41" s="1"/>
  <c r="AB53" i="41" s="1"/>
  <c r="H11" i="42" s="1"/>
  <c r="W12" i="41"/>
  <c r="AC12" i="41" s="1"/>
  <c r="W69" i="33"/>
  <c r="W28" i="41"/>
  <c r="AC28" i="41" s="1"/>
  <c r="W57" i="33"/>
  <c r="W57" i="41" s="1"/>
  <c r="AB57" i="41" s="1"/>
  <c r="H15" i="42" s="1"/>
  <c r="W16" i="41"/>
  <c r="AC16" i="41" s="1"/>
  <c r="R83" i="33"/>
  <c r="R69" i="41"/>
  <c r="E60" i="59"/>
  <c r="G63" i="56"/>
  <c r="F52" i="56"/>
  <c r="L28" i="49"/>
  <c r="G55" i="56"/>
  <c r="E64" i="59"/>
  <c r="I41" i="75"/>
  <c r="I9" i="56"/>
  <c r="J29" i="56"/>
  <c r="D64" i="56"/>
  <c r="D50" i="56"/>
  <c r="E51" i="59"/>
  <c r="P40" i="88"/>
  <c r="L41" i="88" s="1"/>
  <c r="P42" i="88"/>
  <c r="L42" i="88" s="1"/>
  <c r="G55" i="74"/>
  <c r="J23" i="35" s="1"/>
  <c r="F30" i="49" l="1"/>
  <c r="G30" i="49" s="1"/>
  <c r="V68" i="53"/>
  <c r="E55" i="59"/>
  <c r="L89" i="53"/>
  <c r="K20" i="53"/>
  <c r="AK19" i="65"/>
  <c r="K38" i="53"/>
  <c r="AK37" i="65"/>
  <c r="Q86" i="53"/>
  <c r="AA62" i="40"/>
  <c r="F29" i="49" s="1"/>
  <c r="G29" i="49" s="1"/>
  <c r="AA60" i="40"/>
  <c r="F27" i="49" s="1"/>
  <c r="G27" i="49" s="1"/>
  <c r="F57" i="56"/>
  <c r="AA67" i="40"/>
  <c r="F34" i="49" s="1"/>
  <c r="G34" i="49" s="1"/>
  <c r="F58" i="56"/>
  <c r="AA69" i="40"/>
  <c r="F36" i="49" s="1"/>
  <c r="G36" i="49" s="1"/>
  <c r="G98" i="53"/>
  <c r="Q88" i="53"/>
  <c r="L93" i="53"/>
  <c r="F61" i="56"/>
  <c r="Q95" i="53"/>
  <c r="G53" i="54"/>
  <c r="V70" i="53"/>
  <c r="F32" i="49"/>
  <c r="G32" i="49" s="1"/>
  <c r="AA64" i="40"/>
  <c r="L30" i="42" s="1"/>
  <c r="F30" i="74" s="1"/>
  <c r="Q91" i="53"/>
  <c r="L34" i="42"/>
  <c r="I39" i="59" s="1"/>
  <c r="Q94" i="53"/>
  <c r="AA71" i="40"/>
  <c r="L37" i="42" s="1"/>
  <c r="F42" i="78" s="1"/>
  <c r="L27" i="42"/>
  <c r="I32" i="59" s="1"/>
  <c r="V66" i="53"/>
  <c r="V87" i="53" s="1"/>
  <c r="V73" i="53"/>
  <c r="F53" i="56"/>
  <c r="Q84" i="53"/>
  <c r="G59" i="56"/>
  <c r="L77" i="53"/>
  <c r="L87" i="53"/>
  <c r="G60" i="56"/>
  <c r="F62" i="56"/>
  <c r="AA58" i="40"/>
  <c r="F25" i="49" s="1"/>
  <c r="G25" i="49" s="1"/>
  <c r="AA70" i="40"/>
  <c r="F37" i="49" s="1"/>
  <c r="G37" i="49" s="1"/>
  <c r="Q92" i="53"/>
  <c r="Q77" i="53"/>
  <c r="AA66" i="40"/>
  <c r="L32" i="42" s="1"/>
  <c r="I37" i="59" s="1"/>
  <c r="V96" i="53"/>
  <c r="Q96" i="53"/>
  <c r="AA59" i="40"/>
  <c r="L25" i="42" s="1"/>
  <c r="F30" i="78" s="1"/>
  <c r="J43" i="56"/>
  <c r="F50" i="56"/>
  <c r="G51" i="56"/>
  <c r="F54" i="56"/>
  <c r="Q38" i="42"/>
  <c r="Q21" i="42"/>
  <c r="L6" i="53"/>
  <c r="X12" i="40"/>
  <c r="AP11" i="65" s="1"/>
  <c r="AN11" i="65"/>
  <c r="AN13" i="65"/>
  <c r="X31" i="40"/>
  <c r="AP31" i="65" s="1"/>
  <c r="AN31" i="65"/>
  <c r="Q29" i="53"/>
  <c r="Y31" i="40"/>
  <c r="AQ31" i="65" s="1"/>
  <c r="AN28" i="65"/>
  <c r="L29" i="53"/>
  <c r="Y28" i="40"/>
  <c r="AQ28" i="65" s="1"/>
  <c r="Y12" i="40"/>
  <c r="AA12" i="40" s="1"/>
  <c r="I13" i="42" s="1"/>
  <c r="I14" i="88" s="1"/>
  <c r="L14" i="53"/>
  <c r="Y14" i="40"/>
  <c r="AQ13" i="65" s="1"/>
  <c r="AP13" i="65"/>
  <c r="Y13" i="40"/>
  <c r="V13" i="53" s="1"/>
  <c r="Q13" i="53"/>
  <c r="Y6" i="40"/>
  <c r="V6" i="53" s="1"/>
  <c r="Q6" i="53"/>
  <c r="AN5" i="65"/>
  <c r="L10" i="53"/>
  <c r="Y10" i="40"/>
  <c r="AA10" i="40" s="1"/>
  <c r="I11" i="42" s="1"/>
  <c r="I12" i="88" s="1"/>
  <c r="Q10" i="53"/>
  <c r="AN36" i="65"/>
  <c r="AN9" i="65"/>
  <c r="Y23" i="40"/>
  <c r="AQ23" i="65" s="1"/>
  <c r="L24" i="53"/>
  <c r="AN12" i="65"/>
  <c r="L13" i="53"/>
  <c r="L11" i="53"/>
  <c r="X23" i="40"/>
  <c r="AP23" i="65" s="1"/>
  <c r="L37" i="53"/>
  <c r="L34" i="53"/>
  <c r="Y19" i="40"/>
  <c r="AQ18" i="65" s="1"/>
  <c r="Q15" i="53"/>
  <c r="X34" i="40"/>
  <c r="Q35" i="53" s="1"/>
  <c r="X19" i="40"/>
  <c r="AP18" i="65" s="1"/>
  <c r="Y17" i="40"/>
  <c r="AA17" i="40" s="1"/>
  <c r="I18" i="42" s="1"/>
  <c r="F20" i="59" s="1"/>
  <c r="L16" i="53"/>
  <c r="AN15" i="65"/>
  <c r="Q8" i="53"/>
  <c r="AN16" i="65"/>
  <c r="Y16" i="40"/>
  <c r="AA16" i="40" s="1"/>
  <c r="I17" i="42" s="1"/>
  <c r="I18" i="88" s="1"/>
  <c r="Q16" i="53"/>
  <c r="L8" i="53"/>
  <c r="L15" i="53"/>
  <c r="AN14" i="65"/>
  <c r="Q34" i="53"/>
  <c r="AN27" i="65"/>
  <c r="L18" i="53"/>
  <c r="X18" i="40"/>
  <c r="Q18" i="53" s="1"/>
  <c r="Y9" i="40"/>
  <c r="AQ8" i="65" s="1"/>
  <c r="AN33" i="65"/>
  <c r="AN25" i="65"/>
  <c r="L26" i="53"/>
  <c r="Y33" i="40"/>
  <c r="V34" i="53" s="1"/>
  <c r="Y15" i="40"/>
  <c r="AQ14" i="65" s="1"/>
  <c r="L19" i="53"/>
  <c r="L17" i="53"/>
  <c r="Q17" i="53"/>
  <c r="L35" i="53"/>
  <c r="Q26" i="53"/>
  <c r="Y18" i="40"/>
  <c r="V18" i="53" s="1"/>
  <c r="Q9" i="53"/>
  <c r="Y30" i="40"/>
  <c r="AQ30" i="65" s="1"/>
  <c r="Q37" i="53"/>
  <c r="U3" i="40"/>
  <c r="Y36" i="40"/>
  <c r="V37" i="53" s="1"/>
  <c r="Y34" i="40"/>
  <c r="V35" i="53" s="1"/>
  <c r="Y25" i="40"/>
  <c r="AA25" i="40" s="1"/>
  <c r="I26" i="42" s="1"/>
  <c r="F31" i="59" s="1"/>
  <c r="Y8" i="40"/>
  <c r="AQ7" i="65" s="1"/>
  <c r="AN7" i="65"/>
  <c r="L28" i="53"/>
  <c r="Y27" i="40"/>
  <c r="AQ27" i="65" s="1"/>
  <c r="Y35" i="40"/>
  <c r="V36" i="53" s="1"/>
  <c r="AN30" i="65"/>
  <c r="L31" i="53"/>
  <c r="L25" i="53"/>
  <c r="AP32" i="65"/>
  <c r="AJ19" i="65"/>
  <c r="AN24" i="65"/>
  <c r="L33" i="53"/>
  <c r="Q25" i="53"/>
  <c r="Y24" i="40"/>
  <c r="V25" i="53" s="1"/>
  <c r="AN32" i="65"/>
  <c r="Y32" i="40"/>
  <c r="AQ32" i="65" s="1"/>
  <c r="G20" i="53"/>
  <c r="AN6" i="65"/>
  <c r="L7" i="53"/>
  <c r="Q7" i="53"/>
  <c r="Y7" i="40"/>
  <c r="AQ6" i="65" s="1"/>
  <c r="AP35" i="65"/>
  <c r="L36" i="53"/>
  <c r="AN35" i="65"/>
  <c r="AP30" i="65"/>
  <c r="Q11" i="53"/>
  <c r="AN10" i="65"/>
  <c r="Y11" i="40"/>
  <c r="AQ10" i="65" s="1"/>
  <c r="G38" i="53"/>
  <c r="L9" i="53"/>
  <c r="S3" i="40"/>
  <c r="T3" i="40" s="1"/>
  <c r="J21" i="42"/>
  <c r="F23" i="56" s="1"/>
  <c r="L27" i="53"/>
  <c r="AN8" i="65"/>
  <c r="Y26" i="40"/>
  <c r="AA26" i="40" s="1"/>
  <c r="I27" i="42" s="1"/>
  <c r="F32" i="59" s="1"/>
  <c r="S21" i="40"/>
  <c r="T21" i="40" s="1"/>
  <c r="AN26" i="65"/>
  <c r="X26" i="40"/>
  <c r="AP26" i="65" s="1"/>
  <c r="AJ37" i="65"/>
  <c r="AP29" i="65"/>
  <c r="AN29" i="65"/>
  <c r="J38" i="42"/>
  <c r="F43" i="56" s="1"/>
  <c r="Y29" i="40"/>
  <c r="AA29" i="40" s="1"/>
  <c r="I30" i="42" s="1"/>
  <c r="F35" i="59" s="1"/>
  <c r="L30" i="53"/>
  <c r="G51" i="54"/>
  <c r="AA44" i="40"/>
  <c r="F10" i="49" s="1"/>
  <c r="M17" i="49" s="1"/>
  <c r="N17" i="49" s="1"/>
  <c r="F62" i="54"/>
  <c r="V44" i="53"/>
  <c r="V84" i="53" s="1"/>
  <c r="L8" i="42"/>
  <c r="F10" i="78" s="1"/>
  <c r="L11" i="42"/>
  <c r="F11" i="74" s="1"/>
  <c r="V45" i="53"/>
  <c r="V85" i="53" s="1"/>
  <c r="L16" i="42"/>
  <c r="F16" i="74" s="1"/>
  <c r="V53" i="53"/>
  <c r="V93" i="53" s="1"/>
  <c r="AA53" i="40"/>
  <c r="F19" i="49" s="1"/>
  <c r="V48" i="53"/>
  <c r="V88" i="53" s="1"/>
  <c r="L9" i="42"/>
  <c r="F9" i="74" s="1"/>
  <c r="V46" i="53"/>
  <c r="V86" i="53" s="1"/>
  <c r="F52" i="54"/>
  <c r="G52" i="54"/>
  <c r="AO19" i="65"/>
  <c r="AO37" i="65"/>
  <c r="L40" i="88"/>
  <c r="L22" i="88"/>
  <c r="AA46" i="40"/>
  <c r="F12" i="49" s="1"/>
  <c r="N8" i="88"/>
  <c r="O8" i="88" s="1"/>
  <c r="L15" i="42"/>
  <c r="F17" i="78" s="1"/>
  <c r="V52" i="53"/>
  <c r="V92" i="53" s="1"/>
  <c r="V51" i="53"/>
  <c r="F14" i="49"/>
  <c r="F56" i="56"/>
  <c r="L58" i="53"/>
  <c r="V89" i="53"/>
  <c r="L90" i="53"/>
  <c r="E64" i="56"/>
  <c r="F64" i="56" s="1"/>
  <c r="H23" i="75"/>
  <c r="Q58" i="53"/>
  <c r="J23" i="56"/>
  <c r="AA51" i="40"/>
  <c r="V54" i="53"/>
  <c r="G50" i="54"/>
  <c r="F50" i="54"/>
  <c r="AA52" i="40"/>
  <c r="V55" i="53"/>
  <c r="V95" i="53" s="1"/>
  <c r="V50" i="53"/>
  <c r="V90" i="53" s="1"/>
  <c r="AA47" i="40"/>
  <c r="F61" i="54"/>
  <c r="G61" i="54"/>
  <c r="Q28" i="53"/>
  <c r="L26" i="42"/>
  <c r="N28" i="88" s="1"/>
  <c r="O28" i="88" s="1"/>
  <c r="P24" i="88"/>
  <c r="P46" i="88" s="1"/>
  <c r="L44" i="88" s="1"/>
  <c r="G64" i="54"/>
  <c r="W83" i="33"/>
  <c r="W69" i="41"/>
  <c r="AB69" i="41" s="1"/>
  <c r="H24" i="42" s="1"/>
  <c r="D29" i="49"/>
  <c r="D28" i="42"/>
  <c r="D14" i="59"/>
  <c r="E13" i="57"/>
  <c r="F14" i="35"/>
  <c r="D31" i="59"/>
  <c r="F10" i="35"/>
  <c r="E29" i="57"/>
  <c r="D11" i="49"/>
  <c r="D11" i="42"/>
  <c r="D33" i="59"/>
  <c r="E31" i="57"/>
  <c r="D8" i="49"/>
  <c r="D8" i="42"/>
  <c r="D31" i="49"/>
  <c r="D30" i="42"/>
  <c r="D13" i="59"/>
  <c r="F18" i="35"/>
  <c r="E12" i="57"/>
  <c r="D10" i="59"/>
  <c r="F11" i="35"/>
  <c r="E9" i="57"/>
  <c r="D35" i="59"/>
  <c r="E33" i="57"/>
  <c r="D26" i="49"/>
  <c r="D25" i="42"/>
  <c r="N21" i="88"/>
  <c r="O21" i="88" s="1"/>
  <c r="F20" i="74"/>
  <c r="J22" i="75"/>
  <c r="K22" i="75" s="1"/>
  <c r="F22" i="78"/>
  <c r="I22" i="59"/>
  <c r="D18" i="49"/>
  <c r="D18" i="42"/>
  <c r="D37" i="49"/>
  <c r="D36" i="42"/>
  <c r="D20" i="59"/>
  <c r="F26" i="35"/>
  <c r="E19" i="57"/>
  <c r="D30" i="59"/>
  <c r="E28" i="57"/>
  <c r="F12" i="35"/>
  <c r="D41" i="59"/>
  <c r="E39" i="57"/>
  <c r="F21" i="35"/>
  <c r="D17" i="49"/>
  <c r="D17" i="42"/>
  <c r="D16" i="49"/>
  <c r="D16" i="42"/>
  <c r="D19" i="59"/>
  <c r="F25" i="35"/>
  <c r="E18" i="57"/>
  <c r="D18" i="59"/>
  <c r="F27" i="35"/>
  <c r="E17" i="57"/>
  <c r="D34" i="49"/>
  <c r="D33" i="42"/>
  <c r="D28" i="49"/>
  <c r="D27" i="42"/>
  <c r="D14" i="49"/>
  <c r="D14" i="42"/>
  <c r="D38" i="59"/>
  <c r="E36" i="57"/>
  <c r="D32" i="59"/>
  <c r="E30" i="57"/>
  <c r="F24" i="35"/>
  <c r="W44" i="33"/>
  <c r="W22" i="41"/>
  <c r="W44" i="41" s="1"/>
  <c r="D33" i="49"/>
  <c r="D32" i="42"/>
  <c r="D16" i="59"/>
  <c r="F17" i="35"/>
  <c r="E15" i="57"/>
  <c r="D9" i="49"/>
  <c r="D9" i="42"/>
  <c r="D20" i="49"/>
  <c r="D20" i="42"/>
  <c r="D10" i="49"/>
  <c r="D10" i="42"/>
  <c r="D11" i="59"/>
  <c r="F9" i="35"/>
  <c r="E10" i="57"/>
  <c r="D22" i="59"/>
  <c r="E21" i="57"/>
  <c r="D37" i="59"/>
  <c r="E35" i="57"/>
  <c r="D12" i="59"/>
  <c r="F23" i="35"/>
  <c r="E11" i="57"/>
  <c r="D38" i="49"/>
  <c r="D37" i="42"/>
  <c r="D19" i="49"/>
  <c r="D19" i="42"/>
  <c r="D30" i="49"/>
  <c r="D29" i="42"/>
  <c r="D36" i="49"/>
  <c r="D35" i="42"/>
  <c r="D42" i="59"/>
  <c r="F20" i="35"/>
  <c r="E40" i="57"/>
  <c r="D21" i="59"/>
  <c r="E20" i="57"/>
  <c r="D34" i="59"/>
  <c r="E32" i="57"/>
  <c r="D15" i="49"/>
  <c r="D15" i="42"/>
  <c r="D40" i="59"/>
  <c r="E38" i="57"/>
  <c r="D32" i="49"/>
  <c r="D31" i="42"/>
  <c r="D35" i="49"/>
  <c r="D34" i="42"/>
  <c r="D7" i="49"/>
  <c r="AC22" i="41"/>
  <c r="D7" i="42"/>
  <c r="D17" i="59"/>
  <c r="E16" i="57"/>
  <c r="F16" i="35"/>
  <c r="D13" i="49"/>
  <c r="D13" i="42"/>
  <c r="D36" i="59"/>
  <c r="E34" i="57"/>
  <c r="D39" i="59"/>
  <c r="E37" i="57"/>
  <c r="W63" i="33"/>
  <c r="W49" i="41"/>
  <c r="AB49" i="41" s="1"/>
  <c r="H7" i="42" s="1"/>
  <c r="D25" i="49"/>
  <c r="D24" i="42"/>
  <c r="AC42" i="41"/>
  <c r="D15" i="59"/>
  <c r="E14" i="57"/>
  <c r="F15" i="35"/>
  <c r="D27" i="49"/>
  <c r="D26" i="42"/>
  <c r="D12" i="49"/>
  <c r="D12" i="42"/>
  <c r="G50" i="56"/>
  <c r="I43" i="75"/>
  <c r="F36" i="78"/>
  <c r="I36" i="59"/>
  <c r="N33" i="88"/>
  <c r="O33" i="88" s="1"/>
  <c r="J34" i="75"/>
  <c r="K34" i="75" s="1"/>
  <c r="F31" i="74"/>
  <c r="G9" i="49"/>
  <c r="G16" i="49"/>
  <c r="L23" i="88"/>
  <c r="P43" i="88"/>
  <c r="L43" i="88" s="1"/>
  <c r="G11" i="49"/>
  <c r="G8" i="49"/>
  <c r="I34" i="59"/>
  <c r="F34" i="78"/>
  <c r="N31" i="88"/>
  <c r="O31" i="88" s="1"/>
  <c r="J32" i="75"/>
  <c r="K32" i="75" s="1"/>
  <c r="F29" i="74"/>
  <c r="F14" i="74"/>
  <c r="F16" i="78"/>
  <c r="N15" i="88"/>
  <c r="O15" i="88" s="1"/>
  <c r="J16" i="75"/>
  <c r="K16" i="75" s="1"/>
  <c r="I16" i="59"/>
  <c r="G15" i="49"/>
  <c r="M19" i="49" l="1"/>
  <c r="N19" i="49" s="1"/>
  <c r="M16" i="49"/>
  <c r="N16" i="49" s="1"/>
  <c r="L33" i="42"/>
  <c r="N35" i="88" s="1"/>
  <c r="O35" i="88" s="1"/>
  <c r="L28" i="42"/>
  <c r="J31" i="75" s="1"/>
  <c r="K31" i="75" s="1"/>
  <c r="M18" i="49"/>
  <c r="N18" i="49" s="1"/>
  <c r="M23" i="49"/>
  <c r="N23" i="49" s="1"/>
  <c r="L35" i="42"/>
  <c r="J38" i="75" s="1"/>
  <c r="K38" i="75" s="1"/>
  <c r="V91" i="53"/>
  <c r="N29" i="88"/>
  <c r="O29" i="88" s="1"/>
  <c r="J30" i="75"/>
  <c r="K30" i="75" s="1"/>
  <c r="F27" i="74"/>
  <c r="J29" i="88" s="1"/>
  <c r="F32" i="78"/>
  <c r="G32" i="78" s="1"/>
  <c r="V77" i="53"/>
  <c r="F34" i="74"/>
  <c r="J37" i="75"/>
  <c r="K37" i="75" s="1"/>
  <c r="N36" i="88"/>
  <c r="O36" i="88" s="1"/>
  <c r="F39" i="78"/>
  <c r="H39" i="78" s="1"/>
  <c r="J33" i="75"/>
  <c r="K33" i="75" s="1"/>
  <c r="N32" i="88"/>
  <c r="O32" i="88" s="1"/>
  <c r="F35" i="78"/>
  <c r="G35" i="78" s="1"/>
  <c r="F31" i="49"/>
  <c r="G31" i="49" s="1"/>
  <c r="I35" i="59"/>
  <c r="J35" i="59" s="1"/>
  <c r="M21" i="49"/>
  <c r="N21" i="49" s="1"/>
  <c r="L36" i="42"/>
  <c r="F41" i="78" s="1"/>
  <c r="H41" i="78" s="1"/>
  <c r="F37" i="74"/>
  <c r="J39" i="88" s="1"/>
  <c r="N39" i="88"/>
  <c r="O39" i="88" s="1"/>
  <c r="I42" i="59"/>
  <c r="J42" i="59" s="1"/>
  <c r="J40" i="75"/>
  <c r="K40" i="75" s="1"/>
  <c r="F38" i="49"/>
  <c r="G38" i="49" s="1"/>
  <c r="L98" i="53"/>
  <c r="V94" i="53"/>
  <c r="Q98" i="53"/>
  <c r="F37" i="78"/>
  <c r="F57" i="78" s="1"/>
  <c r="M26" i="49"/>
  <c r="N26" i="49" s="1"/>
  <c r="L24" i="42"/>
  <c r="F24" i="74" s="1"/>
  <c r="J26" i="88" s="1"/>
  <c r="F33" i="49"/>
  <c r="G33" i="49" s="1"/>
  <c r="F32" i="74"/>
  <c r="J34" i="88" s="1"/>
  <c r="J35" i="75"/>
  <c r="K35" i="75" s="1"/>
  <c r="N34" i="88"/>
  <c r="O34" i="88" s="1"/>
  <c r="N27" i="88"/>
  <c r="O27" i="88" s="1"/>
  <c r="I30" i="59"/>
  <c r="J30" i="59" s="1"/>
  <c r="F26" i="49"/>
  <c r="G26" i="49" s="1"/>
  <c r="J28" i="75"/>
  <c r="K28" i="75" s="1"/>
  <c r="F25" i="74"/>
  <c r="J27" i="88" s="1"/>
  <c r="Q12" i="53"/>
  <c r="F15" i="59"/>
  <c r="V12" i="53"/>
  <c r="V32" i="53"/>
  <c r="Q32" i="53"/>
  <c r="AA31" i="40"/>
  <c r="I32" i="42" s="1"/>
  <c r="I34" i="88" s="1"/>
  <c r="AA28" i="40"/>
  <c r="I29" i="42" s="1"/>
  <c r="F34" i="59" s="1"/>
  <c r="AQ11" i="65"/>
  <c r="I19" i="88"/>
  <c r="V29" i="53"/>
  <c r="V14" i="53"/>
  <c r="V10" i="53"/>
  <c r="AA14" i="40"/>
  <c r="I15" i="42" s="1"/>
  <c r="I16" i="88" s="1"/>
  <c r="F13" i="59"/>
  <c r="AQ12" i="65"/>
  <c r="AA13" i="40"/>
  <c r="I14" i="42" s="1"/>
  <c r="F16" i="59" s="1"/>
  <c r="AQ5" i="65"/>
  <c r="AA6" i="40"/>
  <c r="I7" i="42" s="1"/>
  <c r="F9" i="59" s="1"/>
  <c r="AA23" i="40"/>
  <c r="I24" i="42" s="1"/>
  <c r="F29" i="59" s="1"/>
  <c r="Q24" i="53"/>
  <c r="V24" i="53"/>
  <c r="AQ9" i="65"/>
  <c r="F19" i="59"/>
  <c r="Q19" i="53"/>
  <c r="AQ16" i="65"/>
  <c r="V19" i="53"/>
  <c r="AA19" i="40"/>
  <c r="I20" i="42" s="1"/>
  <c r="F22" i="59" s="1"/>
  <c r="AA30" i="40"/>
  <c r="I31" i="42" s="1"/>
  <c r="F36" i="59" s="1"/>
  <c r="AP34" i="65"/>
  <c r="AP37" i="65" s="1"/>
  <c r="AQ17" i="65"/>
  <c r="V17" i="53"/>
  <c r="V31" i="53"/>
  <c r="AQ33" i="65"/>
  <c r="AA9" i="40"/>
  <c r="I10" i="42" s="1"/>
  <c r="F12" i="59" s="1"/>
  <c r="AA8" i="40"/>
  <c r="I9" i="42" s="1"/>
  <c r="I10" i="88" s="1"/>
  <c r="AQ15" i="65"/>
  <c r="V16" i="53"/>
  <c r="V9" i="53"/>
  <c r="AA24" i="40"/>
  <c r="I25" i="42" s="1"/>
  <c r="I27" i="88" s="1"/>
  <c r="AP17" i="65"/>
  <c r="AP19" i="65" s="1"/>
  <c r="AA18" i="40"/>
  <c r="I19" i="42" s="1"/>
  <c r="F21" i="59" s="1"/>
  <c r="V15" i="53"/>
  <c r="AA36" i="40"/>
  <c r="I37" i="42" s="1"/>
  <c r="I39" i="88" s="1"/>
  <c r="V8" i="53"/>
  <c r="AA33" i="40"/>
  <c r="I34" i="42" s="1"/>
  <c r="F39" i="59" s="1"/>
  <c r="AA15" i="40"/>
  <c r="I16" i="42" s="1"/>
  <c r="F18" i="59" s="1"/>
  <c r="AQ36" i="65"/>
  <c r="AA27" i="40"/>
  <c r="I28" i="42" s="1"/>
  <c r="F33" i="59" s="1"/>
  <c r="AA35" i="40"/>
  <c r="I36" i="42" s="1"/>
  <c r="F41" i="59" s="1"/>
  <c r="AA7" i="40"/>
  <c r="I8" i="42" s="1"/>
  <c r="F10" i="59" s="1"/>
  <c r="V7" i="53"/>
  <c r="AQ35" i="65"/>
  <c r="V28" i="53"/>
  <c r="AA34" i="40"/>
  <c r="I35" i="42" s="1"/>
  <c r="F40" i="59" s="1"/>
  <c r="AQ34" i="65"/>
  <c r="AQ24" i="65"/>
  <c r="V33" i="53"/>
  <c r="AQ25" i="65"/>
  <c r="V26" i="53"/>
  <c r="I28" i="88"/>
  <c r="AA32" i="40"/>
  <c r="I33" i="42" s="1"/>
  <c r="F38" i="59" s="1"/>
  <c r="L20" i="53"/>
  <c r="AN19" i="65"/>
  <c r="AA11" i="40"/>
  <c r="I12" i="42" s="1"/>
  <c r="I13" i="88" s="1"/>
  <c r="I29" i="88"/>
  <c r="L38" i="53"/>
  <c r="Q27" i="53"/>
  <c r="V11" i="53"/>
  <c r="AQ26" i="65"/>
  <c r="V27" i="53"/>
  <c r="AN37" i="65"/>
  <c r="I32" i="88"/>
  <c r="AQ29" i="65"/>
  <c r="V30" i="53"/>
  <c r="J18" i="75"/>
  <c r="K18" i="75" s="1"/>
  <c r="N9" i="88"/>
  <c r="O9" i="88" s="1"/>
  <c r="J10" i="75"/>
  <c r="K10" i="75" s="1"/>
  <c r="G10" i="49"/>
  <c r="I10" i="59"/>
  <c r="F18" i="78"/>
  <c r="G18" i="78" s="1"/>
  <c r="F8" i="74"/>
  <c r="J9" i="88" s="1"/>
  <c r="L10" i="42"/>
  <c r="F12" i="78" s="1"/>
  <c r="G19" i="49"/>
  <c r="N12" i="88"/>
  <c r="O12" i="88" s="1"/>
  <c r="F13" i="78"/>
  <c r="G13" i="78" s="1"/>
  <c r="J13" i="75"/>
  <c r="K13" i="75" s="1"/>
  <c r="I13" i="59"/>
  <c r="J13" i="59" s="1"/>
  <c r="N10" i="88"/>
  <c r="O10" i="88" s="1"/>
  <c r="I18" i="59"/>
  <c r="K18" i="59" s="1"/>
  <c r="N17" i="88"/>
  <c r="O17" i="88" s="1"/>
  <c r="J11" i="75"/>
  <c r="K11" i="75" s="1"/>
  <c r="L19" i="42"/>
  <c r="J21" i="75" s="1"/>
  <c r="K21" i="75" s="1"/>
  <c r="F11" i="78"/>
  <c r="H11" i="78" s="1"/>
  <c r="K18" i="49"/>
  <c r="K26" i="49"/>
  <c r="I11" i="59"/>
  <c r="K11" i="59" s="1"/>
  <c r="G14" i="49"/>
  <c r="F9" i="78"/>
  <c r="L12" i="42"/>
  <c r="F12" i="74" s="1"/>
  <c r="J13" i="88" s="1"/>
  <c r="J17" i="75"/>
  <c r="K17" i="75" s="1"/>
  <c r="F15" i="74"/>
  <c r="J16" i="88" s="1"/>
  <c r="N16" i="88"/>
  <c r="O16" i="88" s="1"/>
  <c r="J9" i="75"/>
  <c r="K9" i="75" s="1"/>
  <c r="I17" i="59"/>
  <c r="J17" i="59" s="1"/>
  <c r="I9" i="59"/>
  <c r="J9" i="59" s="1"/>
  <c r="G12" i="49"/>
  <c r="F7" i="74"/>
  <c r="J8" i="88" s="1"/>
  <c r="F7" i="49"/>
  <c r="G7" i="49" s="1"/>
  <c r="G64" i="56"/>
  <c r="V58" i="53"/>
  <c r="F13" i="49"/>
  <c r="G13" i="49" s="1"/>
  <c r="L13" i="42"/>
  <c r="K23" i="49"/>
  <c r="F18" i="49"/>
  <c r="L18" i="42"/>
  <c r="F17" i="49"/>
  <c r="L17" i="42"/>
  <c r="J29" i="75"/>
  <c r="K29" i="75" s="1"/>
  <c r="I31" i="59"/>
  <c r="F31" i="78"/>
  <c r="H31" i="78" s="1"/>
  <c r="F26" i="74"/>
  <c r="J28" i="88" s="1"/>
  <c r="L24" i="88"/>
  <c r="G34" i="59"/>
  <c r="E29" i="74"/>
  <c r="G12" i="59"/>
  <c r="E10" i="74"/>
  <c r="F36" i="57"/>
  <c r="I36" i="57"/>
  <c r="E17" i="74"/>
  <c r="G19" i="59"/>
  <c r="G22" i="78"/>
  <c r="H22" i="78"/>
  <c r="G10" i="59"/>
  <c r="E8" i="74"/>
  <c r="D39" i="49"/>
  <c r="D9" i="59"/>
  <c r="H21" i="42"/>
  <c r="E8" i="57"/>
  <c r="F7" i="35"/>
  <c r="E31" i="74"/>
  <c r="G31" i="74" s="1"/>
  <c r="I31" i="74" s="1"/>
  <c r="J31" i="74" s="1"/>
  <c r="G36" i="59"/>
  <c r="K17" i="49"/>
  <c r="K24" i="49"/>
  <c r="K15" i="49"/>
  <c r="G21" i="59"/>
  <c r="E19" i="74"/>
  <c r="G22" i="59"/>
  <c r="E20" i="74"/>
  <c r="G20" i="74" s="1"/>
  <c r="I20" i="74" s="1"/>
  <c r="J20" i="74" s="1"/>
  <c r="E14" i="74"/>
  <c r="G14" i="74" s="1"/>
  <c r="I14" i="74" s="1"/>
  <c r="J14" i="74" s="1"/>
  <c r="G16" i="59"/>
  <c r="F31" i="57"/>
  <c r="I31" i="57"/>
  <c r="F37" i="57"/>
  <c r="I37" i="57"/>
  <c r="F38" i="57"/>
  <c r="I38" i="57"/>
  <c r="K27" i="49"/>
  <c r="K21" i="49"/>
  <c r="F39" i="57"/>
  <c r="I39" i="57"/>
  <c r="G42" i="59"/>
  <c r="E37" i="74"/>
  <c r="G11" i="59"/>
  <c r="E9" i="74"/>
  <c r="G9" i="74" s="1"/>
  <c r="I9" i="74" s="1"/>
  <c r="J9" i="74" s="1"/>
  <c r="G32" i="59"/>
  <c r="E27" i="74"/>
  <c r="G30" i="59"/>
  <c r="E25" i="74"/>
  <c r="G13" i="59"/>
  <c r="E11" i="74"/>
  <c r="G11" i="74" s="1"/>
  <c r="I11" i="74" s="1"/>
  <c r="J11" i="74" s="1"/>
  <c r="E15" i="74"/>
  <c r="G17" i="59"/>
  <c r="K16" i="49"/>
  <c r="K22" i="49"/>
  <c r="F11" i="57"/>
  <c r="I11" i="57"/>
  <c r="F15" i="57"/>
  <c r="I15" i="57"/>
  <c r="G38" i="59"/>
  <c r="E33" i="74"/>
  <c r="F28" i="57"/>
  <c r="I28" i="57"/>
  <c r="F33" i="57"/>
  <c r="I33" i="57"/>
  <c r="F29" i="57"/>
  <c r="I29" i="57"/>
  <c r="G14" i="59"/>
  <c r="D56" i="59" s="1"/>
  <c r="E12" i="74"/>
  <c r="E13" i="74"/>
  <c r="G15" i="59"/>
  <c r="F32" i="57"/>
  <c r="I32" i="57"/>
  <c r="F34" i="57"/>
  <c r="I34" i="57"/>
  <c r="K19" i="49"/>
  <c r="K20" i="49"/>
  <c r="F17" i="57"/>
  <c r="I17" i="57"/>
  <c r="F19" i="57"/>
  <c r="I19" i="57"/>
  <c r="F9" i="57"/>
  <c r="I9" i="57"/>
  <c r="G31" i="59"/>
  <c r="E26" i="74"/>
  <c r="F20" i="57"/>
  <c r="I20" i="57"/>
  <c r="F35" i="57"/>
  <c r="I35" i="57"/>
  <c r="E32" i="74"/>
  <c r="G37" i="59"/>
  <c r="F16" i="57"/>
  <c r="I16" i="57"/>
  <c r="F13" i="57"/>
  <c r="I13" i="57"/>
  <c r="F40" i="57"/>
  <c r="I40" i="57"/>
  <c r="F21" i="57"/>
  <c r="I21" i="57"/>
  <c r="F18" i="57"/>
  <c r="I18" i="57"/>
  <c r="G41" i="59"/>
  <c r="E36" i="74"/>
  <c r="F12" i="57"/>
  <c r="I12" i="57"/>
  <c r="F14" i="57"/>
  <c r="I14" i="57"/>
  <c r="G9" i="59"/>
  <c r="E7" i="74"/>
  <c r="D21" i="42"/>
  <c r="G23" i="59" s="1"/>
  <c r="G33" i="59"/>
  <c r="E28" i="74"/>
  <c r="F10" i="57"/>
  <c r="I10" i="57"/>
  <c r="G20" i="59"/>
  <c r="E18" i="74"/>
  <c r="K14" i="49"/>
  <c r="D21" i="49"/>
  <c r="G40" i="59"/>
  <c r="E35" i="74"/>
  <c r="F30" i="57"/>
  <c r="I30" i="57"/>
  <c r="G18" i="59"/>
  <c r="E16" i="74"/>
  <c r="G16" i="74" s="1"/>
  <c r="I16" i="74" s="1"/>
  <c r="J16" i="74" s="1"/>
  <c r="K25" i="49"/>
  <c r="E30" i="74"/>
  <c r="G30" i="74" s="1"/>
  <c r="I30" i="74" s="1"/>
  <c r="J30" i="74" s="1"/>
  <c r="G35" i="59"/>
  <c r="D29" i="59"/>
  <c r="H38" i="42"/>
  <c r="E27" i="57"/>
  <c r="F8" i="35"/>
  <c r="G29" i="59"/>
  <c r="E24" i="74"/>
  <c r="D38" i="42"/>
  <c r="G43" i="59" s="1"/>
  <c r="E34" i="74"/>
  <c r="G39" i="59"/>
  <c r="J22" i="59"/>
  <c r="K22" i="59"/>
  <c r="F56" i="78"/>
  <c r="H16" i="78"/>
  <c r="G16" i="78"/>
  <c r="K34" i="59"/>
  <c r="J34" i="59"/>
  <c r="K37" i="59"/>
  <c r="J37" i="59"/>
  <c r="J15" i="88"/>
  <c r="K36" i="59"/>
  <c r="J36" i="59"/>
  <c r="H17" i="78"/>
  <c r="G17" i="78"/>
  <c r="H34" i="78"/>
  <c r="G34" i="78"/>
  <c r="H36" i="78"/>
  <c r="G36" i="78"/>
  <c r="J17" i="88"/>
  <c r="H30" i="78"/>
  <c r="G30" i="78"/>
  <c r="H10" i="78"/>
  <c r="G10" i="78"/>
  <c r="F50" i="78"/>
  <c r="K39" i="59"/>
  <c r="J39" i="59"/>
  <c r="J12" i="88"/>
  <c r="J31" i="88"/>
  <c r="G29" i="74"/>
  <c r="I29" i="74" s="1"/>
  <c r="J29" i="74" s="1"/>
  <c r="K16" i="59"/>
  <c r="J16" i="59"/>
  <c r="F58" i="59"/>
  <c r="J33" i="88"/>
  <c r="J10" i="88"/>
  <c r="K32" i="59"/>
  <c r="J32" i="59"/>
  <c r="F62" i="78"/>
  <c r="H42" i="78"/>
  <c r="G42" i="78"/>
  <c r="J32" i="88"/>
  <c r="J36" i="75" l="1"/>
  <c r="K36" i="75" s="1"/>
  <c r="F38" i="78"/>
  <c r="G38" i="78" s="1"/>
  <c r="I38" i="59"/>
  <c r="K38" i="59" s="1"/>
  <c r="F33" i="74"/>
  <c r="G33" i="74" s="1"/>
  <c r="I33" i="74" s="1"/>
  <c r="J33" i="74" s="1"/>
  <c r="F33" i="78"/>
  <c r="H33" i="78" s="1"/>
  <c r="N30" i="88"/>
  <c r="O30" i="88" s="1"/>
  <c r="I33" i="59"/>
  <c r="K33" i="59" s="1"/>
  <c r="F28" i="74"/>
  <c r="J30" i="88" s="1"/>
  <c r="F35" i="74"/>
  <c r="G35" i="74" s="1"/>
  <c r="I35" i="74" s="1"/>
  <c r="J35" i="74" s="1"/>
  <c r="I40" i="59"/>
  <c r="K40" i="59" s="1"/>
  <c r="F40" i="78"/>
  <c r="H40" i="78" s="1"/>
  <c r="H32" i="78"/>
  <c r="N37" i="88"/>
  <c r="O37" i="88" s="1"/>
  <c r="G27" i="74"/>
  <c r="I27" i="74" s="1"/>
  <c r="J27" i="74" s="1"/>
  <c r="G29" i="88" s="1"/>
  <c r="V98" i="53"/>
  <c r="F52" i="78"/>
  <c r="G52" i="78" s="1"/>
  <c r="G41" i="78"/>
  <c r="G39" i="78"/>
  <c r="G34" i="74"/>
  <c r="I34" i="74" s="1"/>
  <c r="J34" i="74" s="1"/>
  <c r="F64" i="59"/>
  <c r="H64" i="59" s="1"/>
  <c r="H37" i="78"/>
  <c r="K35" i="59"/>
  <c r="H35" i="78"/>
  <c r="G37" i="78"/>
  <c r="K42" i="59"/>
  <c r="K30" i="59"/>
  <c r="G37" i="74"/>
  <c r="I37" i="74" s="1"/>
  <c r="J37" i="74" s="1"/>
  <c r="G39" i="88" s="1"/>
  <c r="M27" i="49"/>
  <c r="N27" i="49" s="1"/>
  <c r="I41" i="59"/>
  <c r="K41" i="59" s="1"/>
  <c r="F36" i="74"/>
  <c r="J38" i="88" s="1"/>
  <c r="J39" i="75"/>
  <c r="K39" i="75" s="1"/>
  <c r="N38" i="88"/>
  <c r="O38" i="88" s="1"/>
  <c r="G24" i="74"/>
  <c r="I24" i="74" s="1"/>
  <c r="J24" i="74" s="1"/>
  <c r="L38" i="42"/>
  <c r="N40" i="88" s="1"/>
  <c r="G25" i="74"/>
  <c r="I25" i="74" s="1"/>
  <c r="J25" i="74" s="1"/>
  <c r="G27" i="88" s="1"/>
  <c r="M22" i="49"/>
  <c r="N22" i="49" s="1"/>
  <c r="F29" i="78"/>
  <c r="G29" i="78" s="1"/>
  <c r="N26" i="88"/>
  <c r="O26" i="88" s="1"/>
  <c r="G32" i="74"/>
  <c r="I32" i="74" s="1"/>
  <c r="J32" i="74" s="1"/>
  <c r="G34" i="88" s="1"/>
  <c r="I29" i="59"/>
  <c r="J29" i="59" s="1"/>
  <c r="J27" i="75"/>
  <c r="K27" i="75" s="1"/>
  <c r="F52" i="59"/>
  <c r="H52" i="59" s="1"/>
  <c r="M15" i="49"/>
  <c r="N15" i="49" s="1"/>
  <c r="F39" i="49"/>
  <c r="G39" i="49" s="1"/>
  <c r="Q20" i="53"/>
  <c r="F37" i="59"/>
  <c r="I31" i="88"/>
  <c r="F17" i="59"/>
  <c r="I15" i="88"/>
  <c r="I26" i="88"/>
  <c r="I8" i="88"/>
  <c r="Q38" i="53"/>
  <c r="AQ19" i="65"/>
  <c r="I11" i="88"/>
  <c r="I33" i="88"/>
  <c r="F30" i="59"/>
  <c r="F11" i="59"/>
  <c r="I17" i="88"/>
  <c r="I20" i="88"/>
  <c r="I38" i="88"/>
  <c r="I30" i="88"/>
  <c r="F42" i="59"/>
  <c r="I9" i="88"/>
  <c r="V20" i="53"/>
  <c r="I21" i="42"/>
  <c r="F23" i="59" s="1"/>
  <c r="I38" i="42"/>
  <c r="I40" i="88" s="1"/>
  <c r="F14" i="59"/>
  <c r="V38" i="53"/>
  <c r="AQ37" i="65"/>
  <c r="J10" i="59"/>
  <c r="K10" i="59"/>
  <c r="H18" i="78"/>
  <c r="G8" i="74"/>
  <c r="I8" i="74" s="1"/>
  <c r="J8" i="74" s="1"/>
  <c r="G9" i="88" s="1"/>
  <c r="J12" i="75"/>
  <c r="K12" i="75" s="1"/>
  <c r="G12" i="78"/>
  <c r="I12" i="59"/>
  <c r="J12" i="59" s="1"/>
  <c r="H12" i="78"/>
  <c r="F10" i="74"/>
  <c r="J11" i="88" s="1"/>
  <c r="N11" i="88"/>
  <c r="O11" i="88" s="1"/>
  <c r="K13" i="59"/>
  <c r="G11" i="78"/>
  <c r="H13" i="78"/>
  <c r="J18" i="59"/>
  <c r="F19" i="74"/>
  <c r="J20" i="88" s="1"/>
  <c r="I21" i="59"/>
  <c r="J21" i="59" s="1"/>
  <c r="F21" i="78"/>
  <c r="H21" i="78" s="1"/>
  <c r="N20" i="88"/>
  <c r="O20" i="88" s="1"/>
  <c r="J11" i="59"/>
  <c r="F53" i="59"/>
  <c r="H53" i="59" s="1"/>
  <c r="D60" i="59"/>
  <c r="D54" i="59"/>
  <c r="D57" i="59"/>
  <c r="D59" i="59"/>
  <c r="D52" i="59"/>
  <c r="D62" i="59"/>
  <c r="G9" i="78"/>
  <c r="H9" i="78"/>
  <c r="J14" i="75"/>
  <c r="K14" i="75" s="1"/>
  <c r="G12" i="74"/>
  <c r="I12" i="74" s="1"/>
  <c r="J12" i="74" s="1"/>
  <c r="G13" i="88" s="1"/>
  <c r="G7" i="74"/>
  <c r="I7" i="74" s="1"/>
  <c r="J7" i="74" s="1"/>
  <c r="F14" i="78"/>
  <c r="G14" i="78" s="1"/>
  <c r="N13" i="88"/>
  <c r="O13" i="88" s="1"/>
  <c r="I14" i="59"/>
  <c r="K14" i="59" s="1"/>
  <c r="G15" i="74"/>
  <c r="I15" i="74" s="1"/>
  <c r="J15" i="74" s="1"/>
  <c r="G16" i="88" s="1"/>
  <c r="K17" i="59"/>
  <c r="K9" i="59"/>
  <c r="F59" i="59"/>
  <c r="H59" i="59" s="1"/>
  <c r="M14" i="49"/>
  <c r="N14" i="49" s="1"/>
  <c r="L21" i="42"/>
  <c r="F23" i="78" s="1"/>
  <c r="H23" i="78" s="1"/>
  <c r="I19" i="59"/>
  <c r="F19" i="78"/>
  <c r="J19" i="75"/>
  <c r="K19" i="75" s="1"/>
  <c r="N18" i="88"/>
  <c r="O18" i="88" s="1"/>
  <c r="F17" i="74"/>
  <c r="D65" i="59"/>
  <c r="G17" i="49"/>
  <c r="M24" i="49"/>
  <c r="N24" i="49" s="1"/>
  <c r="J20" i="75"/>
  <c r="K20" i="75" s="1"/>
  <c r="I20" i="59"/>
  <c r="N19" i="88"/>
  <c r="O19" i="88" s="1"/>
  <c r="F20" i="78"/>
  <c r="F18" i="74"/>
  <c r="J19" i="88" s="1"/>
  <c r="D51" i="59"/>
  <c r="G18" i="49"/>
  <c r="M25" i="49"/>
  <c r="N25" i="49" s="1"/>
  <c r="M20" i="49"/>
  <c r="N20" i="49" s="1"/>
  <c r="F21" i="49"/>
  <c r="G21" i="49" s="1"/>
  <c r="D64" i="59"/>
  <c r="F15" i="78"/>
  <c r="F13" i="74"/>
  <c r="J15" i="75"/>
  <c r="N14" i="88"/>
  <c r="O14" i="88" s="1"/>
  <c r="I15" i="59"/>
  <c r="J31" i="59"/>
  <c r="K31" i="59"/>
  <c r="G26" i="74"/>
  <c r="I26" i="74" s="1"/>
  <c r="J26" i="74" s="1"/>
  <c r="G28" i="88" s="1"/>
  <c r="F51" i="78"/>
  <c r="H51" i="78" s="1"/>
  <c r="G31" i="78"/>
  <c r="J38" i="59"/>
  <c r="F27" i="57"/>
  <c r="I27" i="57"/>
  <c r="D55" i="59"/>
  <c r="F8" i="57"/>
  <c r="I8" i="57"/>
  <c r="D23" i="59"/>
  <c r="E22" i="57"/>
  <c r="I22" i="57" s="1"/>
  <c r="D58" i="59"/>
  <c r="D53" i="59"/>
  <c r="E21" i="74"/>
  <c r="D61" i="59"/>
  <c r="D63" i="59"/>
  <c r="E38" i="74"/>
  <c r="E45" i="74" s="1"/>
  <c r="K28" i="49"/>
  <c r="D43" i="59"/>
  <c r="E41" i="57"/>
  <c r="I41" i="57" s="1"/>
  <c r="G56" i="78"/>
  <c r="H56" i="78"/>
  <c r="G17" i="88"/>
  <c r="G15" i="88"/>
  <c r="H57" i="78"/>
  <c r="G57" i="78"/>
  <c r="G10" i="88"/>
  <c r="G31" i="88"/>
  <c r="G50" i="78"/>
  <c r="H50" i="78"/>
  <c r="H58" i="59"/>
  <c r="G58" i="59"/>
  <c r="G32" i="88"/>
  <c r="H62" i="78"/>
  <c r="G62" i="78"/>
  <c r="G12" i="88"/>
  <c r="G33" i="88"/>
  <c r="F58" i="78" l="1"/>
  <c r="H58" i="78" s="1"/>
  <c r="H38" i="78"/>
  <c r="F60" i="59"/>
  <c r="H60" i="59" s="1"/>
  <c r="G28" i="74"/>
  <c r="I28" i="74" s="1"/>
  <c r="J28" i="74" s="1"/>
  <c r="G30" i="88" s="1"/>
  <c r="J33" i="59"/>
  <c r="J40" i="59"/>
  <c r="F53" i="78"/>
  <c r="H53" i="78" s="1"/>
  <c r="G33" i="78"/>
  <c r="F55" i="59"/>
  <c r="H55" i="59" s="1"/>
  <c r="G40" i="78"/>
  <c r="F62" i="59"/>
  <c r="H62" i="59" s="1"/>
  <c r="F60" i="78"/>
  <c r="H60" i="78" s="1"/>
  <c r="H52" i="78"/>
  <c r="G64" i="59"/>
  <c r="J41" i="59"/>
  <c r="F49" i="78"/>
  <c r="H49" i="78" s="1"/>
  <c r="J41" i="75"/>
  <c r="K41" i="75" s="1"/>
  <c r="G36" i="74"/>
  <c r="I36" i="74" s="1"/>
  <c r="J36" i="74" s="1"/>
  <c r="G38" i="88" s="1"/>
  <c r="O42" i="88"/>
  <c r="I42" i="88" s="1"/>
  <c r="F38" i="74"/>
  <c r="J41" i="88" s="1"/>
  <c r="H29" i="78"/>
  <c r="F43" i="78"/>
  <c r="G43" i="78" s="1"/>
  <c r="I43" i="59"/>
  <c r="J43" i="59" s="1"/>
  <c r="O40" i="88"/>
  <c r="I41" i="88" s="1"/>
  <c r="K29" i="59"/>
  <c r="G52" i="59"/>
  <c r="F51" i="59"/>
  <c r="H51" i="59" s="1"/>
  <c r="I22" i="88"/>
  <c r="F43" i="59"/>
  <c r="G10" i="74"/>
  <c r="I10" i="74" s="1"/>
  <c r="J10" i="74" s="1"/>
  <c r="G11" i="88" s="1"/>
  <c r="F54" i="59"/>
  <c r="G54" i="59" s="1"/>
  <c r="K12" i="59"/>
  <c r="O22" i="88"/>
  <c r="G19" i="74"/>
  <c r="F63" i="59"/>
  <c r="H63" i="59" s="1"/>
  <c r="K21" i="59"/>
  <c r="G21" i="78"/>
  <c r="F61" i="78"/>
  <c r="G61" i="78" s="1"/>
  <c r="G53" i="59"/>
  <c r="G59" i="59"/>
  <c r="F56" i="59"/>
  <c r="H56" i="59" s="1"/>
  <c r="H14" i="78"/>
  <c r="J14" i="59"/>
  <c r="F54" i="78"/>
  <c r="H54" i="78" s="1"/>
  <c r="G23" i="78"/>
  <c r="N22" i="88"/>
  <c r="I23" i="59"/>
  <c r="J23" i="59" s="1"/>
  <c r="M28" i="49"/>
  <c r="N28" i="49" s="1"/>
  <c r="G18" i="74"/>
  <c r="I18" i="74" s="1"/>
  <c r="J18" i="74" s="1"/>
  <c r="G19" i="88" s="1"/>
  <c r="H15" i="78"/>
  <c r="F55" i="78"/>
  <c r="G15" i="78"/>
  <c r="J18" i="88"/>
  <c r="G17" i="74"/>
  <c r="I17" i="74" s="1"/>
  <c r="J17" i="74" s="1"/>
  <c r="G18" i="88" s="1"/>
  <c r="K15" i="59"/>
  <c r="J15" i="59"/>
  <c r="F57" i="59"/>
  <c r="J20" i="59"/>
  <c r="K20" i="59"/>
  <c r="F59" i="78"/>
  <c r="H19" i="78"/>
  <c r="G19" i="78"/>
  <c r="H20" i="78"/>
  <c r="G20" i="78"/>
  <c r="O24" i="88"/>
  <c r="I24" i="88" s="1"/>
  <c r="F61" i="59"/>
  <c r="J19" i="59"/>
  <c r="K19" i="59"/>
  <c r="K15" i="75"/>
  <c r="J23" i="75"/>
  <c r="K23" i="75" s="1"/>
  <c r="F21" i="74"/>
  <c r="G21" i="74" s="1"/>
  <c r="G44" i="74" s="1"/>
  <c r="J14" i="88"/>
  <c r="G13" i="74"/>
  <c r="I13" i="74" s="1"/>
  <c r="G51" i="78"/>
  <c r="G60" i="59"/>
  <c r="E44" i="74"/>
  <c r="E47" i="74" s="1"/>
  <c r="E42" i="74"/>
  <c r="G8" i="88"/>
  <c r="G26" i="88"/>
  <c r="G58" i="78" l="1"/>
  <c r="G53" i="78"/>
  <c r="G55" i="59"/>
  <c r="G62" i="59"/>
  <c r="G60" i="78"/>
  <c r="G38" i="74"/>
  <c r="G45" i="74" s="1"/>
  <c r="G47" i="74" s="1"/>
  <c r="J38" i="74"/>
  <c r="I38" i="74"/>
  <c r="I56" i="74" s="1"/>
  <c r="M24" i="35" s="1"/>
  <c r="G49" i="78"/>
  <c r="G40" i="88"/>
  <c r="F45" i="74"/>
  <c r="F63" i="78"/>
  <c r="G63" i="78" s="1"/>
  <c r="H43" i="78"/>
  <c r="O43" i="88"/>
  <c r="I43" i="88" s="1"/>
  <c r="K43" i="59"/>
  <c r="G51" i="59"/>
  <c r="H54" i="59"/>
  <c r="I23" i="88"/>
  <c r="G63" i="59"/>
  <c r="H61" i="78"/>
  <c r="G56" i="59"/>
  <c r="G54" i="78"/>
  <c r="K23" i="59"/>
  <c r="F65" i="59"/>
  <c r="G65" i="59" s="1"/>
  <c r="J43" i="75"/>
  <c r="K43" i="75" s="1"/>
  <c r="G57" i="59"/>
  <c r="H57" i="59"/>
  <c r="F44" i="74"/>
  <c r="J23" i="88"/>
  <c r="J43" i="88" s="1"/>
  <c r="F42" i="74"/>
  <c r="O46" i="88"/>
  <c r="J44" i="88" s="1"/>
  <c r="H59" i="78"/>
  <c r="G59" i="78"/>
  <c r="H61" i="59"/>
  <c r="G61" i="59"/>
  <c r="H55" i="78"/>
  <c r="G55" i="78"/>
  <c r="J13" i="74"/>
  <c r="I21" i="74"/>
  <c r="I54" i="74" s="1"/>
  <c r="M22" i="35" s="1"/>
  <c r="I55" i="74"/>
  <c r="G42" i="74" l="1"/>
  <c r="F47" i="74"/>
  <c r="H63" i="78"/>
  <c r="H65" i="59"/>
  <c r="G14" i="88"/>
  <c r="G22" i="88" s="1"/>
  <c r="J21" i="74"/>
  <c r="I57" i="74"/>
  <c r="M25" i="35" s="1"/>
  <c r="M23" i="35"/>
</calcChain>
</file>

<file path=xl/comments1.xml><?xml version="1.0" encoding="utf-8"?>
<comments xmlns="http://schemas.openxmlformats.org/spreadsheetml/2006/main">
  <authors>
    <author>tc={BAE7A809-1376-432D-89B1-36FBF6EA7E0D}</author>
    <author>tc={78F40B4D-E1A5-4D26-836A-467E8D39F2E6}</author>
  </authors>
  <commentList>
    <comment ref="N47"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0.195496639048121 MMT arrears since Jan’24 added</t>
        </r>
      </text>
    </comment>
    <comment ref="N66" authorId="1"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0.0393485327513369 BCM arrears since Jan’24 added</t>
        </r>
      </text>
    </comment>
  </commentList>
</comments>
</file>

<file path=xl/comments2.xml><?xml version="1.0" encoding="utf-8"?>
<comments xmlns="http://schemas.openxmlformats.org/spreadsheetml/2006/main">
  <authors>
    <author>MTC Assistance</author>
  </authors>
  <commentList>
    <comment ref="N47" authorId="0" shapeId="0">
      <text>
        <r>
          <rPr>
            <b/>
            <sz val="9"/>
            <color indexed="81"/>
            <rFont val="Tahoma"/>
            <family val="2"/>
          </rPr>
          <t>MTC Assistance:</t>
        </r>
        <r>
          <rPr>
            <sz val="9"/>
            <color indexed="81"/>
            <rFont val="Tahoma"/>
            <family val="2"/>
          </rPr>
          <t xml:space="preserve">
0.195496639048121 MMT arrears since Jan’24 added</t>
        </r>
      </text>
    </comment>
    <comment ref="N66" authorId="0" shapeId="0">
      <text>
        <r>
          <rPr>
            <b/>
            <sz val="9"/>
            <color indexed="81"/>
            <rFont val="Tahoma"/>
            <family val="2"/>
          </rPr>
          <t>MTC Assistance:</t>
        </r>
        <r>
          <rPr>
            <sz val="9"/>
            <color indexed="81"/>
            <rFont val="Tahoma"/>
            <family val="2"/>
          </rPr>
          <t xml:space="preserve">
0.0393485327513369 BCM arrears since Jan’24 added</t>
        </r>
      </text>
    </comment>
  </commentList>
</comments>
</file>

<file path=xl/sharedStrings.xml><?xml version="1.0" encoding="utf-8"?>
<sst xmlns="http://schemas.openxmlformats.org/spreadsheetml/2006/main" count="8972" uniqueCount="2424">
  <si>
    <t>Report Month</t>
  </si>
  <si>
    <t>Oil Production</t>
  </si>
  <si>
    <t>Gas Production</t>
  </si>
  <si>
    <t>O+OEG</t>
  </si>
  <si>
    <t>Drilling</t>
  </si>
  <si>
    <t>Survey</t>
  </si>
  <si>
    <t xml:space="preserve">Average water cut </t>
  </si>
  <si>
    <t>Water Injection rate 
(BOPD)</t>
  </si>
  <si>
    <t>Name of the sand &amp; 
field of water injection</t>
  </si>
  <si>
    <t>Remarks</t>
  </si>
  <si>
    <t>Wells details (Name, completion date etc.)</t>
  </si>
  <si>
    <t>No. of Days</t>
  </si>
  <si>
    <t xml:space="preserve">Conversion factor </t>
  </si>
  <si>
    <t>Total Barrels-JV</t>
  </si>
  <si>
    <t>Average mBOPD-JV</t>
  </si>
  <si>
    <t>OVL Share (Barrels)</t>
  </si>
  <si>
    <t>OVL Share (Tonnes)</t>
  </si>
  <si>
    <t>Total -JV MMSCM</t>
  </si>
  <si>
    <t>MMSCMD-JV</t>
  </si>
  <si>
    <t>OVL Share (MMSCM)</t>
  </si>
  <si>
    <t>Total OVL Production (MMTOE)</t>
  </si>
  <si>
    <t>Development Well</t>
  </si>
  <si>
    <t>Exploratory Wells</t>
  </si>
  <si>
    <t>Other wells</t>
  </si>
  <si>
    <t>2D (LKM)</t>
  </si>
  <si>
    <t>3D (SKM)</t>
  </si>
  <si>
    <t>4D (SKM)</t>
  </si>
  <si>
    <t>%</t>
  </si>
  <si>
    <t>Planned</t>
  </si>
  <si>
    <t>Actual</t>
  </si>
  <si>
    <t>April</t>
  </si>
  <si>
    <t>Bal X &amp; VIII and Peririv BCD.</t>
  </si>
  <si>
    <t xml:space="preserve">May </t>
  </si>
  <si>
    <t xml:space="preserve">June </t>
  </si>
  <si>
    <t>Total Q-1</t>
  </si>
  <si>
    <t xml:space="preserve">July </t>
  </si>
  <si>
    <t xml:space="preserve">August </t>
  </si>
  <si>
    <t>Sept</t>
  </si>
  <si>
    <t>Total Q-2</t>
  </si>
  <si>
    <t>H1</t>
  </si>
  <si>
    <t xml:space="preserve">Oct </t>
  </si>
  <si>
    <t xml:space="preserve">Nov </t>
  </si>
  <si>
    <t>Dec</t>
  </si>
  <si>
    <t>Total Q-3</t>
  </si>
  <si>
    <t xml:space="preserve">Jan </t>
  </si>
  <si>
    <t xml:space="preserve">Feb </t>
  </si>
  <si>
    <t xml:space="preserve">March </t>
  </si>
  <si>
    <t>Total Q-4</t>
  </si>
  <si>
    <t>H2</t>
  </si>
  <si>
    <t>Name of the sand &amp; field of water injection</t>
  </si>
  <si>
    <t>Immature, unconsolidated turbidite sediments of Eocene age. Arg ON</t>
  </si>
  <si>
    <t xml:space="preserve">Avg water cut </t>
  </si>
  <si>
    <t>Onshore/Offshore well details</t>
  </si>
  <si>
    <t>Please also provide details highlighted in yellow color</t>
  </si>
  <si>
    <t>Yak III-VII, Nkh-I, Nkh III-IV</t>
  </si>
  <si>
    <t>Gas Wells</t>
  </si>
  <si>
    <t>-</t>
  </si>
  <si>
    <t>ACG</t>
  </si>
  <si>
    <t>BC-10</t>
  </si>
  <si>
    <t>MECL</t>
  </si>
  <si>
    <t>Sakhalin</t>
  </si>
  <si>
    <t>Vankor</t>
  </si>
  <si>
    <t>Imperial</t>
  </si>
  <si>
    <t>CPO-5</t>
  </si>
  <si>
    <t>Carabobo</t>
  </si>
  <si>
    <t>Sancristobal</t>
  </si>
  <si>
    <t>LZC</t>
  </si>
  <si>
    <t>GPOC</t>
  </si>
  <si>
    <t>SPOC</t>
  </si>
  <si>
    <t>B-06.1</t>
  </si>
  <si>
    <t>A1,A3</t>
  </si>
  <si>
    <t>May</t>
  </si>
  <si>
    <t>June</t>
  </si>
  <si>
    <t>July</t>
  </si>
  <si>
    <t>August</t>
  </si>
  <si>
    <t>September</t>
  </si>
  <si>
    <t>October</t>
  </si>
  <si>
    <t>November</t>
  </si>
  <si>
    <t>December</t>
  </si>
  <si>
    <t>January</t>
  </si>
  <si>
    <t>February</t>
  </si>
  <si>
    <t>March</t>
  </si>
  <si>
    <t>Q1</t>
  </si>
  <si>
    <t>Q2</t>
  </si>
  <si>
    <t>Q3</t>
  </si>
  <si>
    <t>9M</t>
  </si>
  <si>
    <t>Q4</t>
  </si>
  <si>
    <t>Annual</t>
  </si>
  <si>
    <t>Oil JV BOPD</t>
  </si>
  <si>
    <t>Gas JV MMSCMD</t>
  </si>
  <si>
    <t>Oil OVL MMT</t>
  </si>
  <si>
    <t>Gas OVL BCM</t>
  </si>
  <si>
    <t>Total</t>
  </si>
  <si>
    <t>Conversion factor</t>
  </si>
  <si>
    <t>Asset</t>
  </si>
  <si>
    <t>JV Oil Production in Barrels</t>
  </si>
  <si>
    <t>OVL Share of Oil Production in Barrels</t>
  </si>
  <si>
    <t>OVL Share of Oil Production in Tonnes</t>
  </si>
  <si>
    <t>OVL Share of Oil Production in MMT</t>
  </si>
  <si>
    <t>JV Gas Production in MMSCM</t>
  </si>
  <si>
    <t>OVL Share of Gas Production in MMSCM</t>
  </si>
  <si>
    <t>OVL Share of Gas Production in BCM</t>
  </si>
  <si>
    <t>Assets</t>
  </si>
  <si>
    <t>Oil OVL share bbl</t>
  </si>
  <si>
    <t>Oil</t>
  </si>
  <si>
    <t>Gas</t>
  </si>
  <si>
    <t>Avg CF OVL</t>
  </si>
  <si>
    <t>OVL Avg PI</t>
  </si>
  <si>
    <t>Total MMToE</t>
  </si>
  <si>
    <t>Total 
Production</t>
  </si>
  <si>
    <t>Approval format-Automatically filled</t>
  </si>
  <si>
    <t>JV total barrels-From CP production sheet</t>
  </si>
  <si>
    <t>JV total MMSCM-from CP production sheet</t>
  </si>
  <si>
    <t>Oil OVL Tonnes-From CP production sheet</t>
  </si>
  <si>
    <t>Reconciled production data for reference-Auto calculated and filled</t>
  </si>
  <si>
    <t>Reconciled production data extracted from assetwise CP sheets(only that data, which BU provides to CP, is extracted)</t>
  </si>
  <si>
    <t>Date</t>
  </si>
  <si>
    <t>Month</t>
  </si>
  <si>
    <t>Sakhalin-1</t>
  </si>
  <si>
    <t>Azerbaijan</t>
  </si>
  <si>
    <t>Brazil</t>
  </si>
  <si>
    <t>Colombia</t>
  </si>
  <si>
    <t>Russia</t>
  </si>
  <si>
    <t>S Sudan</t>
  </si>
  <si>
    <t>UAE</t>
  </si>
  <si>
    <t>Venezuela</t>
  </si>
  <si>
    <t>Vietnam</t>
  </si>
  <si>
    <t>Myanmar</t>
  </si>
  <si>
    <t>BU-Russia</t>
  </si>
  <si>
    <t>BOPD</t>
  </si>
  <si>
    <t>MMSCMD</t>
  </si>
  <si>
    <t>BU-Asia Pacific</t>
  </si>
  <si>
    <t>BU-MENA CIS</t>
  </si>
  <si>
    <t>Total-OVL share</t>
  </si>
  <si>
    <t>--</t>
  </si>
  <si>
    <t xml:space="preserve"> </t>
  </si>
  <si>
    <t>Days</t>
  </si>
  <si>
    <t>Avg</t>
  </si>
  <si>
    <t>Reconciled upto</t>
  </si>
  <si>
    <t>arranging</t>
  </si>
  <si>
    <t>Aug</t>
  </si>
  <si>
    <t>Sep</t>
  </si>
  <si>
    <t>Oct</t>
  </si>
  <si>
    <t>Nov</t>
  </si>
  <si>
    <t>Oil JV bopd</t>
  </si>
  <si>
    <t>GAS JV mmscmd</t>
  </si>
  <si>
    <t>OIL OVL MMT</t>
  </si>
  <si>
    <t>GAS ovl bcm</t>
  </si>
  <si>
    <t>bbl/mmscm total</t>
  </si>
  <si>
    <t>ovl tonnes/mmscm</t>
  </si>
  <si>
    <t>MMT/BCM</t>
  </si>
  <si>
    <t>Non reconciled</t>
  </si>
  <si>
    <t>OIL JV BOPD</t>
  </si>
  <si>
    <t>Reconciled till</t>
  </si>
  <si>
    <t>Production compiled</t>
  </si>
  <si>
    <t xml:space="preserve">Reconciled till </t>
  </si>
  <si>
    <t>DPR till</t>
  </si>
  <si>
    <t>YTD</t>
  </si>
  <si>
    <t>MTD</t>
  </si>
  <si>
    <t>QTD</t>
  </si>
  <si>
    <t>days</t>
  </si>
  <si>
    <t>cumu</t>
  </si>
  <si>
    <t>diff wid dprdt</t>
  </si>
  <si>
    <t>CY month</t>
  </si>
  <si>
    <t>FY month</t>
  </si>
  <si>
    <t>FY quarter</t>
  </si>
  <si>
    <t>FYM</t>
  </si>
  <si>
    <t>FYQ</t>
  </si>
  <si>
    <t>DPR</t>
  </si>
  <si>
    <t>dpr</t>
  </si>
  <si>
    <t>max</t>
  </si>
  <si>
    <t>date</t>
  </si>
  <si>
    <t>ong mnth</t>
  </si>
  <si>
    <t>ong quart</t>
  </si>
  <si>
    <t>monthly target</t>
  </si>
  <si>
    <t>Quarterly target</t>
  </si>
  <si>
    <t>YTD target</t>
  </si>
  <si>
    <t>month day</t>
  </si>
  <si>
    <t>till prev mnth</t>
  </si>
  <si>
    <t>crnt mnth</t>
  </si>
  <si>
    <t>fraction</t>
  </si>
  <si>
    <t>ytd totaL</t>
  </si>
  <si>
    <t>YTD TOTAL</t>
  </si>
  <si>
    <t>ANNUAL</t>
  </si>
  <si>
    <t>ANNUAL TARGET</t>
  </si>
  <si>
    <t>BE annual target-OVL BCM</t>
  </si>
  <si>
    <t>BE YTD target-OVL BCM</t>
  </si>
  <si>
    <t>BE Monthly target-JV MMSCMD</t>
  </si>
  <si>
    <t>BE Quarterly target-JV MMSCMD</t>
  </si>
  <si>
    <t>BE Annual target-JV MMSCMD</t>
  </si>
  <si>
    <t>BE</t>
  </si>
  <si>
    <t>YTD-JV BOPD</t>
  </si>
  <si>
    <t>QTD-JV BOPD</t>
  </si>
  <si>
    <t>MTD-JV BOPD</t>
  </si>
  <si>
    <t>YTD-OVL MMT</t>
  </si>
  <si>
    <t>QTD-OVL MMT</t>
  </si>
  <si>
    <t>MTD-OVL MMT</t>
  </si>
  <si>
    <t>ACT. YTD-JV MMSCMD</t>
  </si>
  <si>
    <t>ACT. YTD-OVL BCM</t>
  </si>
  <si>
    <t>ACT. MTD-JV MMSCMD</t>
  </si>
  <si>
    <t>ACT. QTD-JV MMSCMD</t>
  </si>
  <si>
    <t>ACT. QTD-OVL BCM</t>
  </si>
  <si>
    <t>ACT. MTD-OVL BCM</t>
  </si>
  <si>
    <t>asst</t>
  </si>
  <si>
    <t>no</t>
  </si>
  <si>
    <t>asset no</t>
  </si>
  <si>
    <t>(Nothing to be written in yellow portion)</t>
  </si>
  <si>
    <t>Comparison With(Dropdown selection)</t>
  </si>
  <si>
    <t>Monthwise Graphs</t>
  </si>
  <si>
    <t>Comparison With(Dropdown selection above)</t>
  </si>
  <si>
    <t>jv mmscmd</t>
  </si>
  <si>
    <t>ovl mmt</t>
  </si>
  <si>
    <t>ovl bcm</t>
  </si>
  <si>
    <t>Sakhalin-Gas JV MMSCMD</t>
  </si>
  <si>
    <t>Vankor-Gas JV MMSCMD</t>
  </si>
  <si>
    <t>Imperial-Gas JV MMSCMD</t>
  </si>
  <si>
    <t>ACG-Gas JV MMSCMD</t>
  </si>
  <si>
    <t>BC-10 -Gas JV MMSCMD</t>
  </si>
  <si>
    <t>MECL-Gas JV MMSCMD</t>
  </si>
  <si>
    <t>CPO-5-Gas JV MMSCMD</t>
  </si>
  <si>
    <t>Carabobo-Gas JV MMSCMD</t>
  </si>
  <si>
    <t>Sancristobal-Gas JV MMSCMD</t>
  </si>
  <si>
    <t>LZC-Gas JV MMSCMD</t>
  </si>
  <si>
    <t>GPOC-Gas JV MMSCMD</t>
  </si>
  <si>
    <t>SPOC-Gas JV MMSCMD</t>
  </si>
  <si>
    <t>B-06.1-Gas JV MMSCMD</t>
  </si>
  <si>
    <t>A1,A3-Gas JV MMSCMD</t>
  </si>
  <si>
    <t>Sakhalin-Oil-OVL MMT</t>
  </si>
  <si>
    <t>Vankor-Oil-OVL MMT</t>
  </si>
  <si>
    <t>Imperial-Oil-OVL MMT</t>
  </si>
  <si>
    <t>ACG-Oil-OVL MMT</t>
  </si>
  <si>
    <t>BC-10-Oil-OVL MMT</t>
  </si>
  <si>
    <t>MECL-Oil-OVL MMT</t>
  </si>
  <si>
    <t>CPO-5-Oil-OVL MMT</t>
  </si>
  <si>
    <t>Carabobo-Oil-OVL MMT</t>
  </si>
  <si>
    <t>Sancristobal-Oil-OVL MMT</t>
  </si>
  <si>
    <t>LZC-Oil-OVL MMT</t>
  </si>
  <si>
    <t>GPOC-Oil-OVL MMT</t>
  </si>
  <si>
    <t>SPOC-Oil-OVL MMT</t>
  </si>
  <si>
    <t>B-06.1-Oil-OVL MMT</t>
  </si>
  <si>
    <t>A1,A3-Oil-OVL MMT</t>
  </si>
  <si>
    <t>Sakhalin-Gas OVL BCM</t>
  </si>
  <si>
    <t>Vankor-Gas OVL BCM</t>
  </si>
  <si>
    <t>Imperial-Gas OVL BCM</t>
  </si>
  <si>
    <t>ACG-Gas OVL BCM</t>
  </si>
  <si>
    <t>BC-10-Gas OVL BCM</t>
  </si>
  <si>
    <t>MECL-Gas OVL BCM</t>
  </si>
  <si>
    <t>CPO-5-Gas OVL BCM</t>
  </si>
  <si>
    <t>Carabobo-Gas OVL BCM</t>
  </si>
  <si>
    <t>Sancristobal-Gas OVL BCM</t>
  </si>
  <si>
    <t>LZC-Gas OVL BCM</t>
  </si>
  <si>
    <t>GPOC-Gas OVL BCM</t>
  </si>
  <si>
    <t>SPOC-Gas OVL BCM</t>
  </si>
  <si>
    <t>B-06.1-Gas OVL BCM</t>
  </si>
  <si>
    <t>A1,A3-Gas OVL BCM</t>
  </si>
  <si>
    <t>JV kBOPD</t>
  </si>
  <si>
    <t>Sakhalin-Oil-JV kBOPD</t>
  </si>
  <si>
    <t>Vankor-Oil-JV kBOPD</t>
  </si>
  <si>
    <t>Imperial-Oil-JV kBOPD</t>
  </si>
  <si>
    <t>ACG-Oil-JV kBOPD</t>
  </si>
  <si>
    <t>BC-10 Oil-JV kBOPD</t>
  </si>
  <si>
    <t>MECL-Oil-JV kBOPD</t>
  </si>
  <si>
    <t>CPO-5 Oil-JV kBOPD</t>
  </si>
  <si>
    <t>Carabobo -Oil-JV kBOPD</t>
  </si>
  <si>
    <t>Sancristobal -Oil-JV kBOPD</t>
  </si>
  <si>
    <t>LZC-Oil-JV kBOPD</t>
  </si>
  <si>
    <t>GPOC-Oil-JV kBOPD</t>
  </si>
  <si>
    <t>SPOC-Oil-JV kBOPD</t>
  </si>
  <si>
    <t>B-06.1 Oil-JV kBOPD</t>
  </si>
  <si>
    <t>A1,A3 -Oil-JV kBOPD</t>
  </si>
  <si>
    <t>only relevant tables kept unhidden</t>
  </si>
  <si>
    <t>BU-LAC &amp; Colombia</t>
  </si>
  <si>
    <t>Annual target</t>
  </si>
  <si>
    <t>YTD actual</t>
  </si>
  <si>
    <t>% achievement</t>
  </si>
  <si>
    <t>Oil-MMT</t>
  </si>
  <si>
    <t>Gas-BCM</t>
  </si>
  <si>
    <t>O+OEG(MMToE)</t>
  </si>
  <si>
    <t>Gas(BCM)</t>
  </si>
  <si>
    <t>OVL total</t>
  </si>
  <si>
    <t>total</t>
  </si>
  <si>
    <t>OVL total MMT</t>
  </si>
  <si>
    <t>Actual YTD</t>
  </si>
  <si>
    <t>OVL total BCM</t>
  </si>
  <si>
    <t>OVL total MMToE</t>
  </si>
  <si>
    <t>Actual YTD Cumulative</t>
  </si>
  <si>
    <t>OVL share production-Monthwise-YTD</t>
  </si>
  <si>
    <t>PASS:abc</t>
  </si>
  <si>
    <t>Till Date</t>
  </si>
  <si>
    <t>Oil(JV-BOPD)</t>
  </si>
  <si>
    <t>Gas(JV-mmscmd)</t>
  </si>
  <si>
    <t>(all calc based on this date FOR BE/RE YTD in this subsheet)</t>
  </si>
  <si>
    <t>OVL bcm</t>
  </si>
  <si>
    <t>OVL mmt</t>
  </si>
  <si>
    <t>RE</t>
  </si>
  <si>
    <t>Chosen target</t>
  </si>
  <si>
    <t>be factor</t>
  </si>
  <si>
    <t>re factor</t>
  </si>
  <si>
    <t xml:space="preserve"> targets)</t>
  </si>
  <si>
    <t xml:space="preserve">YTD achievements(W.r.t. </t>
  </si>
  <si>
    <t>(kBOPD)</t>
  </si>
  <si>
    <t>(mmscmd)</t>
  </si>
  <si>
    <t>(MMT)</t>
  </si>
  <si>
    <t>(BCM)</t>
  </si>
  <si>
    <t>(MMToE)</t>
  </si>
  <si>
    <t xml:space="preserve"> cumulative</t>
  </si>
  <si>
    <t>Nil</t>
  </si>
  <si>
    <t>(issue will arise if in any month , production from a project is absolute zero.)</t>
  </si>
  <si>
    <t>Apr'22</t>
  </si>
  <si>
    <t>May'22</t>
  </si>
  <si>
    <t>June'22</t>
  </si>
  <si>
    <t>July'22</t>
  </si>
  <si>
    <t>Aug'22</t>
  </si>
  <si>
    <t>Sep'22</t>
  </si>
  <si>
    <t>Oct'22</t>
  </si>
  <si>
    <t>Nov'22</t>
  </si>
  <si>
    <t>Dec'22</t>
  </si>
  <si>
    <t>Jan'23</t>
  </si>
  <si>
    <t>Feb'23</t>
  </si>
  <si>
    <t>Mar'23</t>
  </si>
  <si>
    <t>(If full year reconcile data is available(selected in dropdown) then it will show only reconcile prod here irrespective of dpr date selected</t>
  </si>
  <si>
    <t>recoN</t>
  </si>
  <si>
    <t>total days in current Q</t>
  </si>
  <si>
    <t>total days in current m</t>
  </si>
  <si>
    <t>(all data below is QTD/HTD/YTD type)</t>
  </si>
  <si>
    <t>MoU</t>
  </si>
  <si>
    <t>cf</t>
  </si>
  <si>
    <t>pi</t>
  </si>
  <si>
    <t>mou factor</t>
  </si>
  <si>
    <t>BE/RE/MOU</t>
  </si>
  <si>
    <t>annual target-OVL MMT</t>
  </si>
  <si>
    <t>YTD target-OVL MMT</t>
  </si>
  <si>
    <t>Monthly target-JV BOPD</t>
  </si>
  <si>
    <t>Quarterly target-JV BOPD</t>
  </si>
  <si>
    <t>Annual target-JV BOPD</t>
  </si>
  <si>
    <t>No selection case</t>
  </si>
  <si>
    <t>target is BE or RE or mou depending on selection in the dashboard</t>
  </si>
  <si>
    <t>Previous month</t>
  </si>
  <si>
    <t>(previous month)</t>
  </si>
  <si>
    <t>Jan</t>
  </si>
  <si>
    <t>Feb</t>
  </si>
  <si>
    <t>Mar</t>
  </si>
  <si>
    <t>(previous quarter)</t>
  </si>
  <si>
    <t>Previous quarter</t>
  </si>
  <si>
    <t>Preious year</t>
  </si>
  <si>
    <t>Previous month JV BOPD</t>
  </si>
  <si>
    <t>Previous month jv mmscmd</t>
  </si>
  <si>
    <t>Previous quarter JV BOPD</t>
  </si>
  <si>
    <t>Previous quarter jv mmscmd</t>
  </si>
  <si>
    <t>Previous month ovl mmt</t>
  </si>
  <si>
    <t>Previous quarter ovl mmt</t>
  </si>
  <si>
    <t>Previous month ovl bcm</t>
  </si>
  <si>
    <t>Previous quarter ovl bcm</t>
  </si>
  <si>
    <t>oil jv bopd</t>
  </si>
  <si>
    <t>Previous year JV bopd</t>
  </si>
  <si>
    <t>Previous year jv mmscmd</t>
  </si>
  <si>
    <t>Previous year ovl mmt</t>
  </si>
  <si>
    <t>Previous year ovl bcm</t>
  </si>
  <si>
    <t>AVERAGE</t>
  </si>
  <si>
    <t>Same month previous year</t>
  </si>
  <si>
    <t>Same quarter previous year</t>
  </si>
  <si>
    <t>ongoing q(FY )</t>
  </si>
  <si>
    <t>ongoing month(FY)</t>
  </si>
  <si>
    <t>same month previous year jv bopd</t>
  </si>
  <si>
    <t>same quarter previous year jv bopd</t>
  </si>
  <si>
    <t>Same month previous year jv mmscmd</t>
  </si>
  <si>
    <t>Same quarter previous year jv mmscmd</t>
  </si>
  <si>
    <t>Same month previous year ovl mmt</t>
  </si>
  <si>
    <t>Same quarter previous year OVL mmt</t>
  </si>
  <si>
    <t>Same month previous year ovl bcm</t>
  </si>
  <si>
    <t>Same quarter previous year OVL bcm</t>
  </si>
  <si>
    <t xml:space="preserve"> Monthly target</t>
  </si>
  <si>
    <t>BOPD (</t>
  </si>
  <si>
    <t>previous yr &amp; this yr month and q name</t>
  </si>
  <si>
    <t xml:space="preserve"> target for </t>
  </si>
  <si>
    <t>)</t>
  </si>
  <si>
    <t>MMSCMD (</t>
  </si>
  <si>
    <t xml:space="preserve"> Quarterly target</t>
  </si>
  <si>
    <t xml:space="preserve"> Annual target</t>
  </si>
  <si>
    <t>MMSCMD(</t>
  </si>
  <si>
    <t>MTD actual</t>
  </si>
  <si>
    <t>QTD actual</t>
  </si>
  <si>
    <t>prev m-&gt;</t>
  </si>
  <si>
    <t>prev q-&gt;</t>
  </si>
  <si>
    <t>m names(prev yr and this yr)</t>
  </si>
  <si>
    <t>Previous month avg</t>
  </si>
  <si>
    <t>Previous quarter avg</t>
  </si>
  <si>
    <t>Previous year avg</t>
  </si>
  <si>
    <t xml:space="preserve">Daily production rate </t>
  </si>
  <si>
    <t>(carry forward cf-mar22)</t>
  </si>
  <si>
    <t>AVG OVL</t>
  </si>
  <si>
    <t>reconciled till</t>
  </si>
  <si>
    <t>Q1 22-23</t>
  </si>
  <si>
    <t>Q2 22-23</t>
  </si>
  <si>
    <t>Q3 22-23</t>
  </si>
  <si>
    <t>Q4 22-23</t>
  </si>
  <si>
    <t xml:space="preserve">BOPD(Act. MTD for </t>
  </si>
  <si>
    <t xml:space="preserve">MMSCMD(Act. MTD for </t>
  </si>
  <si>
    <t xml:space="preserve">BOPD(Act. QTD for </t>
  </si>
  <si>
    <t xml:space="preserve">MMSCMD(Act. QTD for </t>
  </si>
  <si>
    <t xml:space="preserve">BOPD(Act. YTD for </t>
  </si>
  <si>
    <t xml:space="preserve">MMSCMD(Act. YTD for </t>
  </si>
  <si>
    <t xml:space="preserve">BOPD(Act. avg prod'n for </t>
  </si>
  <si>
    <t xml:space="preserve">MMSCMD(Act. avg prod'n for </t>
  </si>
  <si>
    <t xml:space="preserve">Compare
with </t>
  </si>
  <si>
    <t>E38Z Started Production on 10.04.2022, D01X Started Production on 13.04.2022 &amp; J30 Started Production on 17.04.2022</t>
  </si>
  <si>
    <t>Controlled shutdown of FPSO started from 8th Apr 2022 due to ANP ordered interdiction</t>
  </si>
  <si>
    <t>Snezhnoye, Dvoinoye, Maiskoye &amp; South-Maiskoye</t>
  </si>
  <si>
    <t>April 2022 Production is Provisional.</t>
  </si>
  <si>
    <t>April 2022 Production is Provisional.
Actual Reconciled production for March 2022 has been received recently and is adjusted in April 2022 Production.
Mar 2022: Actual Reconciled (Oil: 59969 BBLS &amp; Gas: 0.981098 MMSCM); Provisional Reconciled (Oil: 59971 BBLS &amp; Gas: 1.094919 MMSCM)
Adjustment made in April 2022: Oil: (2) BBLS &amp; Gas: (0.113821) MMSCM</t>
  </si>
  <si>
    <t>reconciled vs non reconciled variation(recon/non recon -1)</t>
  </si>
  <si>
    <t>reconciled available till</t>
  </si>
  <si>
    <t>OIL</t>
  </si>
  <si>
    <t>BOPD(JV level)</t>
  </si>
  <si>
    <t>MMT OVL level</t>
  </si>
  <si>
    <t>Remarks:Production upsides/declines</t>
  </si>
  <si>
    <t>Avg/Total</t>
  </si>
  <si>
    <t>GAS</t>
  </si>
  <si>
    <t>MMSCMD(JV level)</t>
  </si>
  <si>
    <t>BCM OVL level</t>
  </si>
  <si>
    <t>Target for the Month</t>
  </si>
  <si>
    <t>Target  for the month</t>
  </si>
  <si>
    <t>Production analysis</t>
  </si>
  <si>
    <t>for userform1</t>
  </si>
  <si>
    <t>(for full month -select last date in dashboard.Otherwise results are mtd)</t>
  </si>
  <si>
    <t xml:space="preserve">Total </t>
  </si>
  <si>
    <t>Major Activities during</t>
  </si>
  <si>
    <t>for userform 2</t>
  </si>
  <si>
    <t>Current Month against Previous Month</t>
  </si>
  <si>
    <t>Current Month against Same month previous year</t>
  </si>
  <si>
    <t>Current Qtr against Previous Qtr</t>
  </si>
  <si>
    <t>Current Qtr against Same Qtr Previous Yr</t>
  </si>
  <si>
    <t>Current Year against Previous Year</t>
  </si>
  <si>
    <t>q</t>
  </si>
  <si>
    <t>q till prev mnth</t>
  </si>
  <si>
    <t>QTD target</t>
  </si>
  <si>
    <t>(mtd)
Target for the month</t>
  </si>
  <si>
    <t>MMTOE OVL level(mtd)</t>
  </si>
  <si>
    <t>Target for the Qtr</t>
  </si>
  <si>
    <t>(qtd)
Target for the Qtr</t>
  </si>
  <si>
    <t>Target  for the Qtr</t>
  </si>
  <si>
    <t>MMTOE OVL level(qtd)</t>
  </si>
  <si>
    <t>(for full qtr -select last date in dashboard.Otherwise results are qtd)</t>
  </si>
  <si>
    <t>C29Y Started Production on 27.05.2022</t>
  </si>
  <si>
    <t>NA%</t>
  </si>
  <si>
    <t>BC-10 shutdown due to interdiction by ANP on conducting FPSO SGSO audit</t>
  </si>
  <si>
    <t>May 2022 Production is Provisional.</t>
  </si>
  <si>
    <t>May 2022 Production is Provisional.
Actual Reconciled production for April 2022 has been received recently and is adjusted in May 2022 Production.
Apr 2022: Actual Reconciled (Oil: 73105 BBLS &amp; Gas: 1.196958 MMSCM); Provisional Reconciled (Oil: 73292 BBLS &amp; Gas: 1.069279 MMSCM)
Adjustment made in May 2022: Oil: (187) BBLS &amp; Gas: 0.127679 MMSCM</t>
  </si>
  <si>
    <t>DPR date</t>
  </si>
  <si>
    <t>Variation as per OVL PI</t>
  </si>
  <si>
    <t>PI</t>
  </si>
  <si>
    <t>OIL BOPD</t>
  </si>
  <si>
    <t>GAS MMSCMD</t>
  </si>
  <si>
    <t>Gap Analysis</t>
  </si>
  <si>
    <t>Reference:-</t>
  </si>
  <si>
    <t>(JV/Consortium)</t>
  </si>
  <si>
    <t>OVL share</t>
  </si>
  <si>
    <t>Act-
OVL share</t>
  </si>
  <si>
    <t>Actual-
JV</t>
  </si>
  <si>
    <t xml:space="preserve">Operators target </t>
  </si>
  <si>
    <t>Diff.</t>
  </si>
  <si>
    <t>Operators Target</t>
  </si>
  <si>
    <t>Diff</t>
  </si>
  <si>
    <t>2022-23</t>
  </si>
  <si>
    <t>Target for the Year</t>
  </si>
  <si>
    <t>Annual
Target for the Year</t>
  </si>
  <si>
    <t>YTD target for the year</t>
  </si>
  <si>
    <t>MMTOE OVL level</t>
  </si>
  <si>
    <t>Date1</t>
  </si>
  <si>
    <t>Date2</t>
  </si>
  <si>
    <t xml:space="preserve">and </t>
  </si>
  <si>
    <t xml:space="preserve">Material Balance between </t>
  </si>
  <si>
    <t>two dates</t>
  </si>
  <si>
    <t>Material Balance</t>
  </si>
  <si>
    <t>Between</t>
  </si>
  <si>
    <t>Total OVL share</t>
  </si>
  <si>
    <t>JV level</t>
  </si>
  <si>
    <t>Difference OVL share</t>
  </si>
  <si>
    <t>OIL in BOPD</t>
  </si>
  <si>
    <t>GAS in MMSCMD</t>
  </si>
  <si>
    <t>(Pls choose date from the dropdown)</t>
  </si>
  <si>
    <t>Total/Avg</t>
  </si>
  <si>
    <t>1st col previous comp</t>
  </si>
  <si>
    <t>2nd col</t>
  </si>
  <si>
    <t>3rd</t>
  </si>
  <si>
    <t>4th</t>
  </si>
  <si>
    <t>q names(prev yr and this yr)</t>
  </si>
  <si>
    <t>period1</t>
  </si>
  <si>
    <t>period2</t>
  </si>
  <si>
    <t>filler</t>
  </si>
  <si>
    <t>filler2</t>
  </si>
  <si>
    <t>Full Month</t>
  </si>
  <si>
    <t>Full Qtr</t>
  </si>
  <si>
    <t>Full Year</t>
  </si>
  <si>
    <t>OVL MMT</t>
  </si>
  <si>
    <t>JV MMSCMD</t>
  </si>
  <si>
    <t>Comparison</t>
  </si>
  <si>
    <t>OVL 
BCM</t>
  </si>
  <si>
    <t>OVL 
MMT</t>
  </si>
  <si>
    <t>JV 
BOPD</t>
  </si>
  <si>
    <t>O+OEG
(MMToE)</t>
  </si>
  <si>
    <t>% change in per day rates</t>
  </si>
  <si>
    <t>hidden</t>
  </si>
  <si>
    <t>hidden-&gt;</t>
  </si>
  <si>
    <t>FY 2022-23</t>
  </si>
  <si>
    <t>Exception Reports(Remarks Compiled)</t>
  </si>
  <si>
    <t>1. East Azeri TAR 15 days (from 13.06.2022 to 27.06.2022).
2. Less Water injection due to Out of zone Injection/MBE issues. 
3. Less production due to East Azeri TAR &amp; ACE Gas Tie in.</t>
  </si>
  <si>
    <t>E10W Started Production on 25.06.2022</t>
  </si>
  <si>
    <t>BC-10 shutdown till 15th June 2022 due to interdiction by ANP on conducting FPSO SGSO audit. Production resumed from 16th June 2022</t>
  </si>
  <si>
    <t xml:space="preserve">Against 2022-23 Q1 (350 SKM) +Q2 (100 SKM) plan of 450 SKM, 3D survey have been completed between Jan’22 -April’22. In Apr’22 142 SKM 3D survey. </t>
  </si>
  <si>
    <t>June 2022 Production is Provisional.</t>
  </si>
  <si>
    <t>June 2022 Production is Provisional.
Actual Reconciled production for May 2022 has been received recently and is adjusted in June 2022 Production.</t>
  </si>
  <si>
    <t>East Azeri TAR</t>
  </si>
  <si>
    <t>ANP interdiction</t>
  </si>
  <si>
    <t>FPSO hose leak</t>
  </si>
  <si>
    <t>Central Azeri Breakdown</t>
  </si>
  <si>
    <t>Pre Tar Activities at East Azeri</t>
  </si>
  <si>
    <t>5 producers shut due to ACE gas tie-in project</t>
  </si>
  <si>
    <t>FPSE Hose leak</t>
  </si>
  <si>
    <t>PBU in indico-5</t>
  </si>
  <si>
    <t>Community Blockade</t>
  </si>
  <si>
    <t>PBU in indico-4</t>
  </si>
  <si>
    <t>Urraca well added</t>
  </si>
  <si>
    <t>PBU in indico-4 &amp; Urraca</t>
  </si>
  <si>
    <t>Toma South s/d due to oilly water spillage control</t>
  </si>
  <si>
    <t>BW&amp;W issue</t>
  </si>
  <si>
    <t>Simulataneous pumping starts from CPF tharjath</t>
  </si>
  <si>
    <t>Pump issue at CPF Tharjath</t>
  </si>
  <si>
    <t>Gas processing plant S/d.</t>
  </si>
  <si>
    <t>APG plant maintenance(16-22 may)</t>
  </si>
  <si>
    <t>APG plant s/d for 12+ hrs</t>
  </si>
  <si>
    <t>Low demand</t>
  </si>
  <si>
    <t>Low nomination</t>
  </si>
  <si>
    <t>SH platform Emergency s/d</t>
  </si>
  <si>
    <t>3 wells from ph-2 added</t>
  </si>
  <si>
    <t>FM</t>
  </si>
  <si>
    <t>Force Majeure</t>
  </si>
  <si>
    <t>SHWE subsea flowline maintenance</t>
  </si>
  <si>
    <t>WOJ at Mariposa</t>
  </si>
  <si>
    <t>Export halted (MCC request)</t>
  </si>
  <si>
    <t>DCS control default</t>
  </si>
  <si>
    <t>tie-in of shutoff valves of mobile FWKF</t>
  </si>
  <si>
    <t>CA compressor trip</t>
  </si>
  <si>
    <t>PSD for 2.5 hrs</t>
  </si>
  <si>
    <t>Flow line changes at Indico pad wells.</t>
  </si>
  <si>
    <t>7 hrs s/d due to gas leak.</t>
  </si>
  <si>
    <t>Mariposa restart afer WOJ.</t>
  </si>
  <si>
    <t>Heater problem at NCPF</t>
  </si>
  <si>
    <t>Shwe phyu ph-2 add</t>
  </si>
  <si>
    <t>PSD for 2 hrs</t>
  </si>
  <si>
    <t>APG plant partial shutdown</t>
  </si>
  <si>
    <t>ESD</t>
  </si>
  <si>
    <t>Flamenco added</t>
  </si>
  <si>
    <t>S/d</t>
  </si>
  <si>
    <t>El Nar power failure</t>
  </si>
  <si>
    <t>Das island planned maintenance</t>
  </si>
  <si>
    <t>export stopped-low COBT level</t>
  </si>
  <si>
    <t>TAR</t>
  </si>
  <si>
    <t>Low COBT</t>
  </si>
  <si>
    <t>PBU in flamenco</t>
  </si>
  <si>
    <t>Tank top concerns</t>
  </si>
  <si>
    <t>Offloading delayed due to weather</t>
  </si>
  <si>
    <t>Feeder 2 down</t>
  </si>
  <si>
    <t>Diluent shortage</t>
  </si>
  <si>
    <t>PSD @ West chirag</t>
  </si>
  <si>
    <t>Power failure @Unity</t>
  </si>
  <si>
    <t>Blockade by contractor</t>
  </si>
  <si>
    <t>APG plant s/d(sch. Maint.)</t>
  </si>
  <si>
    <t>Desalter issue</t>
  </si>
  <si>
    <t>equipment transition@Mariposa</t>
  </si>
  <si>
    <t>SM#314 s/d (ESP problem)</t>
  </si>
  <si>
    <t>Mariposa-1 closed(Contractor change)</t>
  </si>
  <si>
    <t>Increase in flood level</t>
  </si>
  <si>
    <t>Flooding in Unity</t>
  </si>
  <si>
    <t>S/d due to high inventory</t>
  </si>
  <si>
    <t>MOBO-10 tripped(gas lock)</t>
  </si>
  <si>
    <t>SM#6 ESP change</t>
  </si>
  <si>
    <t>MBT at Indico-5</t>
  </si>
  <si>
    <t>Flooding in unity</t>
  </si>
  <si>
    <t>PBU @ indico-5</t>
  </si>
  <si>
    <t>Low COBT level</t>
  </si>
  <si>
    <t>PBU at Indico-4</t>
  </si>
  <si>
    <t>Transportation constraints</t>
  </si>
  <si>
    <t>s/d for 50 min</t>
  </si>
  <si>
    <t>planned s/d</t>
  </si>
  <si>
    <t>rampdown for s/d</t>
  </si>
  <si>
    <t>external electrical failure</t>
  </si>
  <si>
    <t>platform s/d for 2.5 hrs</t>
  </si>
  <si>
    <t>s/d extended</t>
  </si>
  <si>
    <t>LD-3P shutin</t>
  </si>
  <si>
    <t>Quota curtailement(Nov)</t>
  </si>
  <si>
    <t>BS&amp;W issue</t>
  </si>
  <si>
    <t>OGT process s/d(2.5 hrs)</t>
  </si>
  <si>
    <t>Drivers strike</t>
  </si>
  <si>
    <t>Visocity Issue</t>
  </si>
  <si>
    <t>Pump failure @ COMOR</t>
  </si>
  <si>
    <t>BC-10:Ramp up ongoing.</t>
  </si>
  <si>
    <t>S/d due to software issues in control system</t>
  </si>
  <si>
    <t>LD-3P kept shut due to low demand</t>
  </si>
  <si>
    <t>Indico-6 closed(facility approval awaited)</t>
  </si>
  <si>
    <t>export closed due to high discharge pressure</t>
  </si>
  <si>
    <t>viscocity/pour pt issue</t>
  </si>
  <si>
    <t>SHD-G shut-in(Sand issue)</t>
  </si>
  <si>
    <t>PSD for 8 hrs</t>
  </si>
  <si>
    <t>Local Agitation</t>
  </si>
  <si>
    <t>Indico-7 added.</t>
  </si>
  <si>
    <t>OPEC quota restrictions(month end)</t>
  </si>
  <si>
    <t>Storage issue(due to new year)</t>
  </si>
  <si>
    <t>Fs#261 WOR</t>
  </si>
  <si>
    <t>Viscosity issue</t>
  </si>
  <si>
    <t>El nar  &amp; El toor power s/d</t>
  </si>
  <si>
    <t>Gas turbine trip</t>
  </si>
  <si>
    <t>awaiting ANH approval(ind-6&amp;7)</t>
  </si>
  <si>
    <t>Low demand(2 wells closed)</t>
  </si>
  <si>
    <t>Viscocity issue</t>
  </si>
  <si>
    <t>Standardised rates</t>
  </si>
  <si>
    <t>April'22</t>
  </si>
  <si>
    <t>August'22</t>
  </si>
  <si>
    <t>September'22</t>
  </si>
  <si>
    <t>October'22</t>
  </si>
  <si>
    <t>November'22</t>
  </si>
  <si>
    <t>December'22</t>
  </si>
  <si>
    <t>H1 22-23</t>
  </si>
  <si>
    <t>H2 22-23</t>
  </si>
  <si>
    <t>9M 22-23</t>
  </si>
  <si>
    <t>Annual 22-23</t>
  </si>
  <si>
    <t>2021-22 Avg</t>
  </si>
  <si>
    <t>JV BOPD</t>
  </si>
  <si>
    <t>JV mmscmd</t>
  </si>
  <si>
    <t>Set standardized rate references</t>
  </si>
  <si>
    <t>For comparison with reference points table</t>
  </si>
  <si>
    <t>January'23</t>
  </si>
  <si>
    <t>February'23</t>
  </si>
  <si>
    <t>March'23</t>
  </si>
  <si>
    <t>reference1</t>
  </si>
  <si>
    <t>reference2</t>
  </si>
  <si>
    <t>Reference2</t>
  </si>
  <si>
    <t>Any other date1</t>
  </si>
  <si>
    <t>Any other date2</t>
  </si>
  <si>
    <t>table heading</t>
  </si>
  <si>
    <t>Comparison between reference points</t>
  </si>
  <si>
    <t>Reference-1</t>
  </si>
  <si>
    <t>Reference-2:</t>
  </si>
  <si>
    <t>Change dates(if date to date comparison)</t>
  </si>
  <si>
    <t>Change Reference points</t>
  </si>
  <si>
    <t>Reference1</t>
  </si>
  <si>
    <t>Export from Unity started</t>
  </si>
  <si>
    <t>ADNOC Gas OAG trains S/D 6th Feb to 10th March</t>
  </si>
  <si>
    <t>diluent shortage</t>
  </si>
  <si>
    <t xml:space="preserve">_x000D_
</t>
  </si>
  <si>
    <t>s/d due to F&amp;G logic</t>
  </si>
  <si>
    <t>leakage in ALM</t>
  </si>
  <si>
    <t>Failure of Crude oil heater</t>
  </si>
  <si>
    <t>EGC s/d</t>
  </si>
  <si>
    <t>PSD</t>
  </si>
  <si>
    <t>Main gas line repair.</t>
  </si>
  <si>
    <t>Gas compressor trip during ramp up</t>
  </si>
  <si>
    <t>BONO heater trip at Tharjath</t>
  </si>
  <si>
    <t>FY</t>
  </si>
  <si>
    <t>Feb days</t>
  </si>
  <si>
    <t>Year1</t>
  </si>
  <si>
    <t>Year2</t>
  </si>
  <si>
    <t>Previous FY</t>
  </si>
  <si>
    <t>Dashboard name</t>
  </si>
  <si>
    <t>month1</t>
  </si>
  <si>
    <t>month2</t>
  </si>
  <si>
    <t>month3</t>
  </si>
  <si>
    <t>month4</t>
  </si>
  <si>
    <t>month5</t>
  </si>
  <si>
    <t>month6</t>
  </si>
  <si>
    <t>month7</t>
  </si>
  <si>
    <t>month8</t>
  </si>
  <si>
    <t>month9</t>
  </si>
  <si>
    <t>month10</t>
  </si>
  <si>
    <t>month11</t>
  </si>
  <si>
    <t>month12</t>
  </si>
  <si>
    <t>prev-month1</t>
  </si>
  <si>
    <t>prev-month2</t>
  </si>
  <si>
    <t>prev-month3</t>
  </si>
  <si>
    <t>prev-month4</t>
  </si>
  <si>
    <t>prev-month5</t>
  </si>
  <si>
    <t>prev-month6</t>
  </si>
  <si>
    <t>prev-month7</t>
  </si>
  <si>
    <t>prev-month8</t>
  </si>
  <si>
    <t>prev-month9</t>
  </si>
  <si>
    <t>prev-month10</t>
  </si>
  <si>
    <t>prev-month11</t>
  </si>
  <si>
    <t>prev-month12</t>
  </si>
  <si>
    <t>prev-Q1</t>
  </si>
  <si>
    <t>prev-Q2</t>
  </si>
  <si>
    <t>prev-Q3</t>
  </si>
  <si>
    <t>prev-Q4</t>
  </si>
  <si>
    <t>same month1 prev yr</t>
  </si>
  <si>
    <t>same month2 prev yr</t>
  </si>
  <si>
    <t>same month3 prev yr</t>
  </si>
  <si>
    <t>same month4 prev yr</t>
  </si>
  <si>
    <t>same month5 prev yr</t>
  </si>
  <si>
    <t>same month6 prev yr</t>
  </si>
  <si>
    <t>same month7 prev yr</t>
  </si>
  <si>
    <t>same month8 prev yr</t>
  </si>
  <si>
    <t>same month9 prev yr</t>
  </si>
  <si>
    <t>same month10 prev yr</t>
  </si>
  <si>
    <t>same month11 prev yr</t>
  </si>
  <si>
    <t>same month12 prev yr</t>
  </si>
  <si>
    <t>same Q1 prev yr</t>
  </si>
  <si>
    <t>same Q2 prev yr</t>
  </si>
  <si>
    <t>same Q3 prev yr</t>
  </si>
  <si>
    <t>same Q4 prev yr</t>
  </si>
  <si>
    <t>same H1 prev yr</t>
  </si>
  <si>
    <t>same H2 prev yr</t>
  </si>
  <si>
    <t>same 9M prev yr</t>
  </si>
  <si>
    <t>prev H1</t>
  </si>
  <si>
    <t>prev H2</t>
  </si>
  <si>
    <t>last date Q1</t>
  </si>
  <si>
    <t>last date Q2</t>
  </si>
  <si>
    <t>last date Q3</t>
  </si>
  <si>
    <t>last date Q4</t>
  </si>
  <si>
    <t>FY name</t>
  </si>
  <si>
    <t>last date prev yr</t>
  </si>
  <si>
    <t>2023-24</t>
  </si>
  <si>
    <t>2024-25</t>
  </si>
  <si>
    <t>2025-26</t>
  </si>
  <si>
    <t>prev FY name</t>
  </si>
  <si>
    <t>Production Dashboard
 2023-24</t>
  </si>
  <si>
    <t>Production Dashboard
 2024-25</t>
  </si>
  <si>
    <t>Production Dashboard
 2025-26</t>
  </si>
  <si>
    <t>Apr'23</t>
  </si>
  <si>
    <t>May'23</t>
  </si>
  <si>
    <t>June'23</t>
  </si>
  <si>
    <t>July'23</t>
  </si>
  <si>
    <t>Aug'23</t>
  </si>
  <si>
    <t>Sep'23</t>
  </si>
  <si>
    <t>Oct'23</t>
  </si>
  <si>
    <t>Nov'23</t>
  </si>
  <si>
    <t>Dec'23</t>
  </si>
  <si>
    <t>Jan'24</t>
  </si>
  <si>
    <t>Feb'24</t>
  </si>
  <si>
    <t>Mar'24</t>
  </si>
  <si>
    <t>Apr'24</t>
  </si>
  <si>
    <t>Apr'25</t>
  </si>
  <si>
    <t>May'24</t>
  </si>
  <si>
    <t>June'24</t>
  </si>
  <si>
    <t>July'24</t>
  </si>
  <si>
    <t>Aug'24</t>
  </si>
  <si>
    <t>Sep'24</t>
  </si>
  <si>
    <t>Oct'24</t>
  </si>
  <si>
    <t>Nov'24</t>
  </si>
  <si>
    <t>Dec'24</t>
  </si>
  <si>
    <t>Jan'25</t>
  </si>
  <si>
    <t>Feb'25</t>
  </si>
  <si>
    <t>Mar'25</t>
  </si>
  <si>
    <t>May'25</t>
  </si>
  <si>
    <t>June'25</t>
  </si>
  <si>
    <t>July'25</t>
  </si>
  <si>
    <t>Aug'25</t>
  </si>
  <si>
    <t>Sep'25</t>
  </si>
  <si>
    <t>Oct'25</t>
  </si>
  <si>
    <t>Nov'25</t>
  </si>
  <si>
    <t>Dec'25</t>
  </si>
  <si>
    <t>Jan'26</t>
  </si>
  <si>
    <t>Feb'26</t>
  </si>
  <si>
    <t>Mar'26</t>
  </si>
  <si>
    <t>Q1 23-24</t>
  </si>
  <si>
    <t>Q1 24-25</t>
  </si>
  <si>
    <t>Q1 25-26</t>
  </si>
  <si>
    <t>Q2 23-24</t>
  </si>
  <si>
    <t>Q2 24-25</t>
  </si>
  <si>
    <t>Q2 25-26</t>
  </si>
  <si>
    <t>Q3 23-24</t>
  </si>
  <si>
    <t>Q3 24-25</t>
  </si>
  <si>
    <t>Q3 25-26</t>
  </si>
  <si>
    <t>Q4 23-24</t>
  </si>
  <si>
    <t>Q4 24-25</t>
  </si>
  <si>
    <t>Q4 25-26</t>
  </si>
  <si>
    <t>H1 23-24</t>
  </si>
  <si>
    <t>H1 24-25</t>
  </si>
  <si>
    <t>H1 25-26</t>
  </si>
  <si>
    <t>H2 23-24</t>
  </si>
  <si>
    <t>H2 24-25</t>
  </si>
  <si>
    <t>H2 25-26</t>
  </si>
  <si>
    <t>9M 23-24</t>
  </si>
  <si>
    <t>9M 24-25</t>
  </si>
  <si>
    <t>9M 25-26</t>
  </si>
  <si>
    <t>FY 2023-24</t>
  </si>
  <si>
    <t>FY 2024-25</t>
  </si>
  <si>
    <t>FY 2025-26</t>
  </si>
  <si>
    <t>Values saved both horizontally and vertically,for ease of use of use in both orientations.</t>
  </si>
  <si>
    <t>The vertical one used preferentially</t>
  </si>
  <si>
    <t xml:space="preserve">CF carry forward to </t>
  </si>
  <si>
    <t>year</t>
  </si>
  <si>
    <t>source</t>
  </si>
  <si>
    <t>number code</t>
  </si>
  <si>
    <t>(preferabbly Mar'23 CF or else)</t>
  </si>
  <si>
    <t>(preferabbly Mar'24 CF or else)</t>
  </si>
  <si>
    <t>(preferabbly Mar'25 CF or else)</t>
  </si>
  <si>
    <t>9m 2022-23 cf used above</t>
  </si>
  <si>
    <t>selected FY</t>
  </si>
  <si>
    <t>data is only extracted from the rows D,G and H.</t>
  </si>
  <si>
    <t>(from all cp sheets)</t>
  </si>
  <si>
    <t>Imperial Energy</t>
  </si>
  <si>
    <t>B-06.1 Vietnam</t>
  </si>
  <si>
    <t>Carabobo-1</t>
  </si>
  <si>
    <t>LZC UAE</t>
  </si>
  <si>
    <t>for deciding row visibitliy in dpr sheet</t>
  </si>
  <si>
    <t>dpr date</t>
  </si>
  <si>
    <t>total rows=8+365+366+365+365(till 2025-26)</t>
  </si>
  <si>
    <t>1st date of current month</t>
  </si>
  <si>
    <t>last 30 days starting from</t>
  </si>
  <si>
    <t>1st date of current CY</t>
  </si>
  <si>
    <t>1st date of current FY</t>
  </si>
  <si>
    <t>Last 365 day start</t>
  </si>
  <si>
    <t>Full range start</t>
  </si>
  <si>
    <t>current month</t>
  </si>
  <si>
    <t>last 30 days</t>
  </si>
  <si>
    <t>full range</t>
  </si>
  <si>
    <t>Current CY</t>
  </si>
  <si>
    <t>Current FY</t>
  </si>
  <si>
    <t>Last 365 days</t>
  </si>
  <si>
    <t>date1-date 2</t>
  </si>
  <si>
    <t>used for reconciled prodn(upto month)</t>
  </si>
  <si>
    <t>Targets ytd calc</t>
  </si>
  <si>
    <t>prev yr months</t>
  </si>
  <si>
    <t>this yr months</t>
  </si>
  <si>
    <t>prev month</t>
  </si>
  <si>
    <t>prev yr q</t>
  </si>
  <si>
    <t>this yr q</t>
  </si>
  <si>
    <t>prev q</t>
  </si>
  <si>
    <t>Avg OVL</t>
  </si>
  <si>
    <t>OVL Total</t>
  </si>
  <si>
    <t>Jun'22</t>
  </si>
  <si>
    <t>Jul'22</t>
  </si>
  <si>
    <t>22-23</t>
  </si>
  <si>
    <t>Jun'23</t>
  </si>
  <si>
    <t>Jul'23</t>
  </si>
  <si>
    <t>23-24</t>
  </si>
  <si>
    <t>Jun'24</t>
  </si>
  <si>
    <t>Jul'24</t>
  </si>
  <si>
    <t>24-25</t>
  </si>
  <si>
    <t>Jun'25</t>
  </si>
  <si>
    <t>Jul'25</t>
  </si>
  <si>
    <t>25-26</t>
  </si>
  <si>
    <t>OVL BCM</t>
  </si>
  <si>
    <t>OVL mmtoe</t>
  </si>
  <si>
    <t>active reconciled data year</t>
  </si>
  <si>
    <t>1st column no in storage_reconciled_prod sheet</t>
  </si>
  <si>
    <t>FY(master FY-dynamic)</t>
  </si>
  <si>
    <t>A</t>
  </si>
  <si>
    <t>B</t>
  </si>
  <si>
    <t>Previous year production data</t>
  </si>
  <si>
    <t>For interFY transition</t>
  </si>
  <si>
    <t>reconciled availabel till</t>
  </si>
  <si>
    <t>(for intrFY transition sheet</t>
  </si>
  <si>
    <t>(usage of reconciled)</t>
  </si>
  <si>
    <t>active reconciled</t>
  </si>
  <si>
    <t>dynamic FY</t>
  </si>
  <si>
    <t>to determine ,till what period reconciled figures are to be used in the dynamic year, for calculating produciton compiled</t>
  </si>
  <si>
    <t>reconciled data to be used in dynamic year</t>
  </si>
  <si>
    <t>Reconciled available upto/used upto</t>
  </si>
  <si>
    <t>reconciled data to be used in dynamic year till</t>
  </si>
  <si>
    <t>it is assumed that all data from cp reconciled sheets are immediately sent to storage.</t>
  </si>
  <si>
    <t>(code available for sending)</t>
  </si>
  <si>
    <t>(SHEET TO BE PROPERLY FORMATTED/DECORATED)</t>
  </si>
  <si>
    <t>DY</t>
  </si>
  <si>
    <t>dynamic yr</t>
  </si>
  <si>
    <t>RY</t>
  </si>
  <si>
    <t>reconciled yr</t>
  </si>
  <si>
    <t>(auto calc)</t>
  </si>
  <si>
    <t>(DY)</t>
  </si>
  <si>
    <t>cf considered</t>
  </si>
  <si>
    <t>(CF_for the chosen target)</t>
  </si>
  <si>
    <t>CF</t>
  </si>
  <si>
    <t>oil mmt</t>
  </si>
  <si>
    <t>gas bcm</t>
  </si>
  <si>
    <t>Target selected and year</t>
  </si>
  <si>
    <t>selected target and year</t>
  </si>
  <si>
    <t>Selected target and year</t>
  </si>
  <si>
    <t>Daily targets</t>
  </si>
  <si>
    <t>(can be stretched till 2025-26 end.</t>
  </si>
  <si>
    <t>OVL Avg</t>
  </si>
  <si>
    <t>can be simply dragged down till 31-3-26</t>
  </si>
  <si>
    <t>In the DTR sheet,(the sheet used for source data of targets on daily basis, for the graphs),only till 31-3-24 have been filled. This is done to reduce the processing time in the excel sheet. However,when needed, the sheet rows can be easily and simply dragged till 31-3-26,to allow for full graphs.</t>
  </si>
  <si>
    <t>BU-LAC &amp; BU-Colombia</t>
  </si>
  <si>
    <t>April'22 onwards</t>
  </si>
  <si>
    <t>Production</t>
  </si>
  <si>
    <t>do not delete/insert rows or columns in this sheet</t>
  </si>
  <si>
    <t>col no</t>
  </si>
  <si>
    <t>heading</t>
  </si>
  <si>
    <t>database will need major modification if PI of any asset changes, or if a new producing asset is acquired.</t>
  </si>
  <si>
    <t>&lt;------------------------------------------------------------------------------------------------------------------------------------------from prod compiled sheet for the present year---------------------------------------------------------------------------------------------------------------------------&gt;</t>
  </si>
  <si>
    <t>the ovl avg is caculated here.</t>
  </si>
  <si>
    <t>&lt;---------------------------------------------------------------------------from previous year table.ultimately from storage reconciled sheet. Ovl avg directed imported-----------------------------------------------------------------------------------------------------------&gt;</t>
  </si>
  <si>
    <t>from dpr sheet and standardised sheet as required.ovl avg calculated here</t>
  </si>
  <si>
    <t>reference 1</t>
  </si>
  <si>
    <t>reference 2</t>
  </si>
  <si>
    <t>reference points sheet redesigned</t>
  </si>
  <si>
    <t>(RY)</t>
  </si>
  <si>
    <t>RY feb days</t>
  </si>
  <si>
    <t>(RY feb days)</t>
  </si>
  <si>
    <t>(dy based)</t>
  </si>
  <si>
    <t>(DY-1)</t>
  </si>
  <si>
    <t>(Select type of target and year from the dashboard)</t>
  </si>
  <si>
    <t>when the year changes, the appropriate colummn in the carryforward cf sheet needs to be updated.</t>
  </si>
  <si>
    <t>to be entered</t>
  </si>
  <si>
    <t>daily production on daily basis</t>
  </si>
  <si>
    <t>reconciled production on monthly basis</t>
  </si>
  <si>
    <t>targets as and when they are available.</t>
  </si>
  <si>
    <t>carry forward cf in the carry forward sheet cf sheet when the fy changes</t>
  </si>
  <si>
    <t>dy is designed to be automatically updated with the date in dashboard.</t>
  </si>
  <si>
    <t>dy</t>
  </si>
  <si>
    <t>the sequence in which assets are arranged in tables is same throughout the database.this is a very important basis of the functioning and processing the data.</t>
  </si>
  <si>
    <t>(if the date in the dashboard changes such that the FY chnages, then in some cases this sheet might give error message.In that case , just reselect the reference points from the available options in the updated dropdown list</t>
  </si>
  <si>
    <t xml:space="preserve">the dropdown lists updates with change in FY </t>
  </si>
  <si>
    <t>in DY</t>
  </si>
  <si>
    <t>redundant-this block (greyed) not used anymore</t>
  </si>
  <si>
    <t>months of active reconc. Yr(RY)</t>
  </si>
  <si>
    <t>(number code of the year)</t>
  </si>
  <si>
    <t>month</t>
  </si>
  <si>
    <t>dpr date+1</t>
  </si>
  <si>
    <t>by default month</t>
  </si>
  <si>
    <t>by default year</t>
  </si>
  <si>
    <t>month in text format</t>
  </si>
  <si>
    <t>for userform1 for data entry, the by default month and year,when the userform starts</t>
  </si>
  <si>
    <t>arriving at FY value(DY-dyanamic value from dpr date)</t>
  </si>
  <si>
    <t>year1</t>
  </si>
  <si>
    <t>year2</t>
  </si>
  <si>
    <t>FY(DY)</t>
  </si>
  <si>
    <t>(reconciled available till)</t>
  </si>
  <si>
    <t>DY(autocalc)</t>
  </si>
  <si>
    <t>DY automatically calculated from DPR date</t>
  </si>
  <si>
    <t>manually entered</t>
  </si>
  <si>
    <t>S-1 figures are provisional,based on monthly &amp; weekly reports with assumptions.</t>
  </si>
  <si>
    <t>Based on monthly reports(flat rate assumed)</t>
  </si>
  <si>
    <t>Based on weekly reports(flat rate assumed)</t>
  </si>
  <si>
    <t>S-1 figures are provisional,based on last monthly &amp; weekly reports with assumptions.Previous day data for ACG,BC-10,CPO-5,GPOC,SPOC,A1-A3.</t>
  </si>
  <si>
    <t>S-1 figures based on last monthly &amp; weekly reports with assumptions.Previous day data for ACG,BC-10,CPO-5,MECL,GPOC,SPOC</t>
  </si>
  <si>
    <t>_x000D_
BC-10: MOBO 5 Tripping</t>
  </si>
  <si>
    <t>S-1 figures based on last monthly &amp; weekly reports with assumptions.Previous day data for ACG,BC-10,CPO-5,MECL,Vankor,SPOC,SCB</t>
  </si>
  <si>
    <t xml:space="preserve">
A1&amp;A3: Commenced SHP Planned shutdown @ 06:30hrs for Phase 3 brownfield work from 18th to 27th Apr 2023.
BC-10: MOBO-5 Tripped_x000D_
ACG: EA -Plant startupp after shutdown</t>
  </si>
  <si>
    <t>S-1 figures based on last monthly &amp; weekly reports with assumptions.Previous day data for ACG,BC-10,CPO-5,MECL,SPOC,SCB,LZC</t>
  </si>
  <si>
    <t>S-1 figures based on last monthly &amp; weekly reports with assumptions.Previous day data for ACG,BC-10,CPO-5,MECL,GPOC, SPOC,SCB,LZC</t>
  </si>
  <si>
    <t xml:space="preserve">
A1&amp;A3: Planned shutdown ongoing
GPOC: Production from 6 Munga Wells Started. Export started from Munga COST &amp; 6 wells
ACG: EA -Plant startup after shutdown_x000D_
BC-10: Production reduced as per intervention plan</t>
  </si>
  <si>
    <t xml:space="preserve">
A1&amp;A3: Planned S/D for Ph-3 tie-in &amp; maintainence job on existing facilties
GPOC: Production from 6 Munga Wells Started. Export started from Munga COST &amp; 6 wells
ACG: EA -Plant startup after shutdown_x000D_
ACG: EA Well startup after PSD</t>
  </si>
  <si>
    <t>S-1 figures based on last monthly &amp; weekly reports with assumptions.Previous day data for ACG,CPO-5,MECL,GPOC, SPOC,SCB</t>
  </si>
  <si>
    <t xml:space="preserve">
SPOC: Export to PS#1 stopped due to leak inj SCOTS line b/w PS#4 to PS#5 area</t>
  </si>
  <si>
    <t>SPOC: Export to PS#1 stopped due to leak inj SCOTS line b/w PS#4 to PS#5 area
A1&amp;A3: Planned shutdown ongoing</t>
  </si>
  <si>
    <t>S-1 figures based on last monthly &amp; weekly reports with assumptions.Previous day data for ACG,CPO-5,BC-10,MECL,GPOC, SPOC</t>
  </si>
  <si>
    <t>SPOC: Export to PS#1 stopped due to leak in SCOTS line b/w PS#4 to PS#5 area
A1&amp;A3: Planned shutdown ongoing</t>
  </si>
  <si>
    <t>S-1 figures based on last monthly &amp; weekly reports with assumptions.Previous day data for ACG,CPO-5,GPOC</t>
  </si>
  <si>
    <t xml:space="preserve">
SPOC: Leak fixed by Installing &amp; Welding clamp . Inspection and testing ongoing
A1&amp;A3: Planned shutdown ongoing</t>
  </si>
  <si>
    <t>S-1 figures based on last monthly &amp; weekly reports with assumptions.Previous day data for ACG,BC-10,CPO-5,MECL,Vankor,GPOC,SPOC,SCB</t>
  </si>
  <si>
    <t>A1 &amp; A3: Shutdown activities completed &amp; resumed exporting gas@0200hrs
SPOC: Resumed export on 26th at 0905hrs to PS#1 after completion of pressure testing (Post leakage rectification)</t>
  </si>
  <si>
    <t>_x000D_
ACG: CA gas outage</t>
  </si>
  <si>
    <t xml:space="preserve">
B06.1: Production curtailed owing to Low gas demand(compressor maintainence also ongoing)
LZC: OPEC+ Quota for May is 350mbd
A1 &amp; A3: Shutdown activities completed &amp; resumed exporting gas
BC-10: Mobo intervention campaign ongoing
SCB: intermittent Pumping</t>
  </si>
  <si>
    <t>S-1 figures based on last monthly &amp; weekly reports with assumptions.Previous day data for ACG,BC-10,CPO-5,MECL,Vankor,SPOC,SCB,A1&amp;A3</t>
  </si>
  <si>
    <t>_x000D_
BC-10: Mobo intervention campaign ongoing_x000D_
ACG: CA Gas Outage(All GIC's are offline)</t>
  </si>
  <si>
    <t>S-1 figures based on last monthly &amp; weekly reports with assumptions.Previous day data for ACG,BC-10,CPO-5,MECL,SPOC,SCB,A1&amp;A3</t>
  </si>
  <si>
    <t>LZC: OPEC+ Quota for May is 350mbd
A1 &amp; A3: Shutdown activities completed &amp; resumed exporting gas
BC-10: Mobo intervention campaign ongoing
ACG: In Central Azeri, Gas Injection Compressors (GIC) Train: 2/3/4 are online, GIC Train:1 is under maintenance. Oil Production ramped up to 334 kbd
SCB: intermittent Pumping</t>
  </si>
  <si>
    <t>ACG:In Central Azeri, Gas Injection Compressors (GIC) Train 2/3/4 are online, GIC Train 1 is under maintenance. Oil Production ramped up to 369 kbd
LZC: OPEC+ Quota for May is 350kbd</t>
  </si>
  <si>
    <t>Planned s/d</t>
  </si>
  <si>
    <t>Leak in SCOTS line</t>
  </si>
  <si>
    <t>CA gas outage</t>
  </si>
  <si>
    <t>EA plant s/d</t>
  </si>
  <si>
    <t>MOBO campaign</t>
  </si>
  <si>
    <t>Prod'n from 6 munga wells start</t>
  </si>
  <si>
    <t>MOBO-5 trip</t>
  </si>
  <si>
    <t>Planned s/d commence</t>
  </si>
  <si>
    <t>S-1 figures based on last monthly &amp; weekly reports with assumptions.Previous day data for ACG,CPO-5,GPOC,SPOC</t>
  </si>
  <si>
    <t>ACG:WA Wells startup post CA gas outage
LZC: OPEC+ Quota for May is 350kbd</t>
  </si>
  <si>
    <t>S-1 figures based on last monthly &amp; weekly reports with assumptions.Previous day data for CPO-5,I.E.,Vankor,SCB</t>
  </si>
  <si>
    <t>S-1 figures based on last monthly &amp; weekly reports with assumptions.Previous day data for ACG,BC-10,CPO-5,Vankor</t>
  </si>
  <si>
    <t xml:space="preserve">
BC-10:deferment due to MOBO campaign</t>
  </si>
  <si>
    <t>BC-10:deferment due to MOBO campaign</t>
  </si>
  <si>
    <t>S-1 figures based on last monthly &amp; weekly reports with assumptions.Previous day data for ACG,BC-10,CPO-5,Vankor,MECL,SPOC,SCB</t>
  </si>
  <si>
    <t>CPO-5:Indico-5 choke changes from 42 to 46/64.</t>
  </si>
  <si>
    <t>S-1 figures based on last monthly &amp; weekly reports with assumptions.Previous day data for ACG,CPO-5.</t>
  </si>
  <si>
    <t>Indico-5 choke change(42 to 46/64)</t>
  </si>
  <si>
    <t>S/d due to Cyclone(FM decl.)</t>
  </si>
  <si>
    <t>MOBO campaign.</t>
  </si>
  <si>
    <t xml:space="preserve">
CPO-5:Indico-5 choke changed from 42 to 46/64.
A1-A3:s/d due to cyclone.FM declared.
BC-10:Deferment due to MOBO campaign</t>
  </si>
  <si>
    <t xml:space="preserve">
A1-A3: S/d due to cyclone.FM declared.
BC-10: Deferment due to MOBO campaign
CPO-5:Indico-5 choke changed from 42 to 46/64.
Sakh-1:Prodcution updated based on latest weekly report.Production curtailment due to ongoing work of exhaust header on GIC #1 turbine at Odoptu and the activity to be completed by this week</t>
  </si>
  <si>
    <t>S-1 figures based on last monthly &amp; weekly reports with assumptions.Previous day data for ACG,BC-10,CPO-5,SPOC</t>
  </si>
  <si>
    <t>S-1 figures based on last monthly &amp; weekly reports with assumptions.Previous day data for ACG,CPO-5,MECL,SPOC.</t>
  </si>
  <si>
    <t xml:space="preserve">
A1-A3: S/d due to cyclone.FM declared.
BC-10: Deferment due to MOBO campaign
Sakh-1:Production curtailment due to ongoing work of exhaust header on GIC #1 turbine at Odoptu and the activity to be completed by this week
IEC: S/D of APG plant for planned maintenance.
SCB:Intermittent pumping</t>
  </si>
  <si>
    <t>JV  mmscmd</t>
  </si>
  <si>
    <t>Gas BCM</t>
  </si>
  <si>
    <t>Internal Comparison of YTD performance</t>
  </si>
  <si>
    <t>A1-A3: S/d due to cyclone.FM declared.
BC-10: Deferment due to MOBO campaign
Sakh-1:Production curtailment due to ongoing work on GIC
Imperial: S/D of APG plant for planned maintenance.
SCB:Intermittent pumping
LZC:Quota for may is 350k bopd.</t>
  </si>
  <si>
    <t>S-1 figures based on last monthly &amp; weekly reports with assumptions.Previous day data for ACG,BC-10,CPO-5,Vankor,SPOC,SCB,A1&amp;A3</t>
  </si>
  <si>
    <t>YTD Actual Avg</t>
  </si>
  <si>
    <t>S-1 figures based on last monthly &amp; weekly reports with assumptions.Previous day data for ACG,CPO-5,Vankor,SPOC,SCB</t>
  </si>
  <si>
    <t>A1-A3: Reactivation started.Export started on 18-05.
BC-10: Deferment due to MOBO campaign
Sakh-1:Production curtailment due to ongoing work on GIC
Imperial: S/D of APG plant for planned maintenance.
SCB:Intermittent pumping
LZC:Quota for may is 350k bopd.
CPO-5:Flash fire incident around flare.ESP closed to control the situation.</t>
  </si>
  <si>
    <t>Mariposa ESP closed temporarily</t>
  </si>
  <si>
    <t>APG plant s/d</t>
  </si>
  <si>
    <t xml:space="preserve">
IEC:Well 6r (South maiskoye) due to ESP jam. WOR being mobilised.
CPO-5:Restricted availability of tankers due to USO workers union strike.Wells operations being managed to optimize production while managing the ullage in storage tanks.</t>
  </si>
  <si>
    <t>S-1 figures based on last monthly &amp; weekly reports with assumptions.Previous day data for ACG,BC-10,CPO-5,MECL,Vankor,SPOC</t>
  </si>
  <si>
    <t>BC-10:Deferment due to MOBO campaign. Full ramp expected by 01 June.
IEC:Well 6r (South maiskoye) due to ESP jam. WOR being mobilised.
CPO-5:Restricted availability of tankers due to USO workers union strike.Wells operations being managed to optimize production while managing the ullage in storage tanks.</t>
  </si>
  <si>
    <t>Tanker availability (USO strike)</t>
  </si>
  <si>
    <t>ESP jam in #6r(SM)</t>
  </si>
  <si>
    <t>S-1 figures based on last monthly &amp; weekly reports with assumptions.Previous day data for ACG,CPO-5,GPOC,SPOC,SCB.</t>
  </si>
  <si>
    <t xml:space="preserve">
BC-10:Deferment due to MOBO campaign. Full ramp up expected by 01 June.
IEC:Well 6r (South maiskoye) closed due to ESP jam. WOR being mobilised.
CPO-5:Restricted availability of tankers due to USO workers union strike.Wells operations being managed to optimize production while managing the ullage in storage tanks.</t>
  </si>
  <si>
    <t>S-1 figures based on last monthly/weekly report.Previous day data for BC-10,GPOC(DPR not recvd from field),SPOC(DPR not recvd from Heglig)</t>
  </si>
  <si>
    <t xml:space="preserve">
BC-10:Deferment due to MOBO campaign. Full ramp up expected by 01 June
CPO-5:Production being revamped after lifting of strike.</t>
  </si>
  <si>
    <t xml:space="preserve">
BC-10:Deferment due to MOBO campaign. Full ramp up expected by 01 June
LZC:Curtailment  to meet May quota(350 kbopd)</t>
  </si>
  <si>
    <t>S-1 figures based on last monthly/weekly rep.Previous day data for BC-10,CPO-5,GPOC(DPR not recvd from field),ACG(not uploaded by operator on sharepoint)</t>
  </si>
  <si>
    <t>S-1 figures based on last monthly/weekly rep.Previous day data for BC-10,CPO-5,GPOC(delay from NCPF heglig),ACG(not uploaded by operator on sharepoint)</t>
  </si>
  <si>
    <t>S-1 figures based on last monthly/weekly rep.Previous day data for ACG,BC-10,CPO-5,MECL,GPOC(delay from NCPF heglig),ACG(not uploaded by operator)</t>
  </si>
  <si>
    <t xml:space="preserve">
BC-10:Deferment due to MOBO campaign.
LZC:Curtailment  to meet May quota(350 kbopd)</t>
  </si>
  <si>
    <t>Previous day data for BC-10,CPO-5,MECL,GPOC (not recvd from ncpf heglig since 28th may),Vankor(not recvd from operator).    S-1 data based on weekly/monthly.</t>
  </si>
  <si>
    <t>PCB:General shutdown reported on 02.06.2023 (18:00) due to failure in the National Electrical grid affecting Process equipment and 25 wells</t>
  </si>
  <si>
    <t>National Electric grid power s/d</t>
  </si>
  <si>
    <t>Previous day data for BC-10,CPO-5,GPOC,SCB. Sakh based on last weekly/monthly.</t>
  </si>
  <si>
    <t>BC-10:Ramp up ongoing.
LZC:Quota for June'23 is 350k BOPD.
GPOC:Pigging operation has been started in EL Toor field from 31st May 2023. Accordingly, some amount of crude is being diverted to COST at El-Toor FPF.(Crude diverted : 4.3k bbls)</t>
  </si>
  <si>
    <t>Previous day data for BC-10,CPO-5. Sakh based on last weekly/monthly.</t>
  </si>
  <si>
    <t xml:space="preserve">
BC-10:Ramp up ongoing.
LZC:Quota for June'23 is 350k BOPD.</t>
  </si>
  <si>
    <t>Previous day data for BC-10,CPO-5,MECL,GPOC,SPOC,Vankor,SCB. Sakh based on last weekly/monthly.</t>
  </si>
  <si>
    <t>S-1:Production curtailment due to planned activities on LP Compressor No.2 at Berkut platform, during which it was shut down, and the work has been completed.</t>
  </si>
  <si>
    <t xml:space="preserve">
BC-10:Ramp up ongoing.
LZC:Quota for June'23 is 350k BOPD.
CPO-5:Well Mariposa closed for about 5 hrs during the day for electrical board generation system installation.</t>
  </si>
  <si>
    <t>Last day data for BC-10,CPO-5,SCB,Vankor(OTP not recvd for DPR access). 
LZC:Quota for June'23 is 350k BOPD.</t>
  </si>
  <si>
    <t>Target displayed:</t>
  </si>
  <si>
    <t>Last day data for BC-10,CPO-5,MECL,SCB.</t>
  </si>
  <si>
    <t>Sakh-1:Figure based on latest prod'n report( for last week,Prod'n was curtailed due to planned activities on LP Compressor No.2 at Berkut platform)
LZC:Quota for the month is 350k bopd.</t>
  </si>
  <si>
    <t xml:space="preserve">LZC:Quota for the month is 350k bopd.
SPOC: Export to PS#1 stopped at 0811 hours on MCC PETCO instruction to manage SCOTS pipeline high viscosity issue due to 2BOPCO low export </t>
  </si>
  <si>
    <t>Sakh-1:Figure based on latest prod'n report( for last week,Prod'n was curtailed due to planned activities on LP Compressor No.2 at Berkut platform)
IEC:Well SM#6r put back on prod'n after WOR
CPO-5:Well Mariposa closed for 5 hrs on 6-june for electrical board generation system installation.
PCB:Electrical flickering reported on 06.06.2023 affecting production.
GPOC:Out of 48kbopd, about 1.6 kbopd is from FPF stock tank.</t>
  </si>
  <si>
    <t>Last day data used for ACG,BC-10,CPO-5,MECL,Vankor,GPOC,SPOC.</t>
  </si>
  <si>
    <t>Sakh-1:Figure based on latest prod'n report( for last week,Prod'n was curtailed due to planned activities on LP Compressor No.2 at Berkut platform)
LZC:Quota for the month is 350k bopd._x000D_
BC-10:ALM1(Mobo-1 and 3) rampdown due to intervention plan.</t>
  </si>
  <si>
    <t>Prev day data for BC-10,CPO-5,SCB,GPOC</t>
  </si>
  <si>
    <t xml:space="preserve">
Sakh-1:Figure based on latest prod'n report( for last week,Prod'n was curtailed due to planned activities on LP Compressor No.2 at Berkut platform)
LZC:Quota for the month is 350k bopd.
BC-10:ALM1(Mobo-1 and 3) rampdown due to intervention (for repair for subset hydraulic line of ALM-1).</t>
  </si>
  <si>
    <t>Export curtailed due to s/d at 2B-opco</t>
  </si>
  <si>
    <t xml:space="preserve">
SPOC:Export stopped at 1800 hrs due to 2B-OPCO flow below threshhold limit.
Sakh-1:Production curtailment due to COST Tank#1 cleaning at Chayvo.Figure based on latest prod'n report for last week.
LZC:Quota for the month is 350k bopd.
BC-10:ALM1(Mobo-1 and 3) rampdown due to intervention (for repair for subset hydraulic line of ALM-1).</t>
  </si>
  <si>
    <t>Prev day data for CPO-5,MECL,GPOC(delay from Heglig,not recvd for 12th and 13th)</t>
  </si>
  <si>
    <t>SPOC:Export resumed at 1145 hrs
B-06.1:Well LD-3P shut in for pressure buildup monitoring.
Sakh-1:Figure based on latest prod'n report( for last week,Prod'n was curtailed due to planned activities on LP Compressor No.2 at Berkut platform)
LZC:Quota for the month is 350k bopd.
BC-10:ALM1(Mobo-1 and 3) rampdown due to intervention (for repair for subset hydraulic line of ALM-1).</t>
  </si>
  <si>
    <t>Prev day data for CPO-5,GPOC.Interim DPR for ACG.GPOC report not recvd(12-14th) due to network issue at Heglig.</t>
  </si>
  <si>
    <t>Prev day data for ACG,CPO-5,SCB,GPOC(delay due to network issue at Heglig.)</t>
  </si>
  <si>
    <t>B-06.1:Well LD-3P shut in for pressure buildup monitoring.
Sakh-1:Figure based on latest prod'n report( for last week,Prod'n was curtailed due to planned activities on LP Compressor No.2 at Berkut platform)
LZC:Quota for the month is 350k bopd.
BC-10:ALM1(Mobo-1 and 3) rampdown due to intervention (for repair for subset hydraulic line of ALM-1).</t>
  </si>
  <si>
    <t>_x000D_
B-06.1:Gas compressor trip during the day</t>
  </si>
  <si>
    <t xml:space="preserve">
A1-A3:Reduced production due to China pipeline gas leakage and troubleshooting ongoing.
SPOC:Export stopped due to 2B-OPCO flow below threshhold limit.(restarted today morning)
BC-10:ALM1(Mobo-1 and 3) rampdown due to intervention (for repair for subset hydraulic line of ALM-1).</t>
  </si>
  <si>
    <t>Intermi data for Acg</t>
  </si>
  <si>
    <t>Previous day data for BC-10,CPO-5.S-1 based on last weekly report.Interim data for Acg</t>
  </si>
  <si>
    <t>Previous day data for ACG,CPO-5</t>
  </si>
  <si>
    <t>BC-10:ALM1(Mobo-1 and 3) rampdown due to intervention (for repair for subset hydraulic line of ALM-1).
A1-A3: Deferment due to leakage(china side). Pipechina completed troubleshoot in this morning, wells being restarted today.
B-06.1:Well LD-3P closed for pressure build up study.</t>
  </si>
  <si>
    <t>Previous day data for BC-10,CPO-5,MECL,SCB,SPOC (network issue)</t>
  </si>
  <si>
    <t>BC-10:ALM1(Mobo-1 and 3) rampdown due to intervention (for repair for subset hydraulic line of ALM-1).
A1-A3: Ramp-up ongoing
B-06.1:Well LD-3P closed for pressure build up study.
LZC:Quota for the month is 350k bopd.</t>
  </si>
  <si>
    <t>Prev day data for CPO-5</t>
  </si>
  <si>
    <t>BC-10:ALM1(Mobo-1 and 3) rampdown due to intervention (for repair for subset hydraulic line of ALM-1).
B-06.1:Well LD-3P reopened during the day with 1% choke for performance testing
LZC:Quota for the month is 350k bopd.
SPOC: Provisional figure (DPR awaited)</t>
  </si>
  <si>
    <t>Prev day data for Vankor,GPOC,SPOC</t>
  </si>
  <si>
    <t xml:space="preserve">
BC-10:ALM1(Mobo-1 and 3) rampdown due to intervention (for repair for subset hydraulic line of ALM-1).
SCB: Intermittent pumping. Field prod 3.5k bopd
LZC:Quota for the month is 350k bopd.</t>
  </si>
  <si>
    <t>Vankor:Replacement of defective sections of the infield piping at the C-1 slug catcher and shut-off and control valves at FWKF-South</t>
  </si>
  <si>
    <t xml:space="preserve">
SCB:field prod 3.5 k bopd</t>
  </si>
  <si>
    <t>GPOC:Power trip in EL Nar FPF.
SCB:Intermittent pumping,field prod 3.5k.
B-06.1:Gas turbine trip(wells closed for about 1.5 hrs)
BC-10:Details sought from the operator, about reason for delay and timeline for normal production resumption.</t>
  </si>
  <si>
    <t>Prev day data for ACG,BC-10,SPOC,SCB,Myanmar</t>
  </si>
  <si>
    <t>In this situation, only reconciled data is used for production compiled. However, in non reconciled prod, since the CF is picked from processed reconciled sheet, which is not storage based sheet, and will reflect only the sheet pertaining to RY, where, many months will still have unfilled /zero values, therefore, a situation can arrive when a CF of zero is picked up, and thus leading to infinite values for some non reconciled values, which leads to error for production compiled values(even though non recon values are not be used and to be zeroed down in the formul but infinite multiplied by zero gives error)</t>
  </si>
  <si>
    <t>if DY&lt;RY</t>
  </si>
  <si>
    <t>normally DY is either higher or equal to RY.However, if a backdate is selected in dashboard, then a sitation can arrive when RY&gt;DY.</t>
  </si>
  <si>
    <t>x-factor</t>
  </si>
  <si>
    <t>most of the times these values will be zero and have no impact. Only when RY&gt;DY, these values will  be used, just to ensure a non zero cf and avoid infinite values in non reconciled production, which leds to error in calcuation in production complied values. When RY is greater than DY, only reconciled values are reflected in production compiled, and non reconciled valeus are zeroed down.</t>
  </si>
  <si>
    <t>these values will have zero impact in calcuation on prodcution compiled.</t>
  </si>
  <si>
    <t>for cases when RY&gt;DY, just to avoid error in calculation of prodcution compiled, due to zero cf being picked up. Used in Cf lat sheet</t>
  </si>
  <si>
    <t xml:space="preserve">
SCB:Intermittent pumping.Field prod 3.6 kbopd
S-1:Based on last weekly/monthly.Production curtailment due to COST Tank#1 cleaning at Chayvo and also due to ongoing maintenance activities at Berkut Platform</t>
  </si>
  <si>
    <t>Prev day data for ACG,SPOC,LZC</t>
  </si>
  <si>
    <t>^-this column manually entered</t>
  </si>
  <si>
    <t>Prev day data for BC-10,MECL,IEC,SPOC,SCB,LZC</t>
  </si>
  <si>
    <t xml:space="preserve">
SCB:Intermittent pumping.Field prod 3.6 kbopd
S-1:Based on last weekly/monthly.Production curtailment due to COST Tank#1 cleaning at Chayvo and also due to ongoing maintenance activities at Berkut Platform
</t>
  </si>
  <si>
    <t>MECL:Deferment due to power failure due to electrical storm</t>
  </si>
  <si>
    <t xml:space="preserve">
Vankor:Deferment due to Installation of the mainline block valve at the pump station  and replacement of shut-off &amp; control valve  ( FWKF-South facility)
SCB:Intermittent pumping.Field prod 3.6k.</t>
  </si>
  <si>
    <t>Power failure</t>
  </si>
  <si>
    <t>block valve installation at FWKF-S</t>
  </si>
  <si>
    <t>COST cleaning at Chavyo</t>
  </si>
  <si>
    <t>infield piping repalcement at FWKF-S</t>
  </si>
  <si>
    <t>LD-3P well closed</t>
  </si>
  <si>
    <t>China gas pipe leakage</t>
  </si>
  <si>
    <t>Gas compressor trip</t>
  </si>
  <si>
    <t>export curtailement</t>
  </si>
  <si>
    <t>Prev day data for Myanmar.</t>
  </si>
  <si>
    <t>Power failure-Toma s and El toor</t>
  </si>
  <si>
    <t>Prev day data for SPOC.</t>
  </si>
  <si>
    <t xml:space="preserve">
Vankor:Deferment due to ongoing installation of block valve and replacement of shutoff and control valve at FWKF-South(48 hrs). Production expected to ramp up tomorrow onwards.
GPOC:Production disruption during the day in Eltoor FPF due to transimission line problem.
</t>
  </si>
  <si>
    <t>Prev day data for BC-10</t>
  </si>
  <si>
    <t xml:space="preserve">
SCB:Intermittent pumping. Field prod 3.5k bopd
Vankor:Ramp up ongoing.
LZC:Quota for the month is 355k.
GPOC:Power disturbance in EL toor, also 3 wells closed due to bioremediation limitation</t>
  </si>
  <si>
    <t>Prev day data for ACG,SPOC</t>
  </si>
  <si>
    <t xml:space="preserve">
SCB: Intermittent pumping. Field prod 2.6 kbopd. Disruption due to power failure.
IEC:Servicing of 1st stage seperator at Maiskoye and re-filling it.
CPO-5:Mariposa well closed for PBU.
LZC:Quota for the month is 355k.</t>
  </si>
  <si>
    <t>Prev day data for SPOC,SCB.</t>
  </si>
  <si>
    <t>LZC:Quota for the month is 355k. 
SCB:Intermittent pumping-field prod 3.5 kbopd</t>
  </si>
  <si>
    <t>DPR date prod</t>
  </si>
  <si>
    <t>ALM1 s/d due to hydraulic line repair</t>
  </si>
  <si>
    <t>yellow line need to be manually updated after the end of the year</t>
  </si>
  <si>
    <t>IEC:Sn#506 closed during the day for valve repair. Reopened.
SCB:Intermittent pumping. Field prod 3.6k.</t>
  </si>
  <si>
    <t>Prev day data for SPOC</t>
  </si>
  <si>
    <t>Carabobo-1:Production deferment due to electrical flickering._x000D_
SCB:Intermittent pumping. Field prod 3.6k.</t>
  </si>
  <si>
    <t>Prev day data for ACG,BC-10,MECL,SPOC</t>
  </si>
  <si>
    <t>LZC:Quota for the month is 355 k bopd.
SCB:Intermittent pumping. field prod 3.6k bopd</t>
  </si>
  <si>
    <t xml:space="preserve">
GPOC: Production deferment due to power failure(overcurrent) in the evening in Toma south,El nar and El Toor (North fields)
SCB:Intermittent pumping. Field prod 3.2k bopd. Deferment due to power failiure.
</t>
  </si>
  <si>
    <t>Power failure in north fields</t>
  </si>
  <si>
    <t xml:space="preserve">
SCB:Intermittent pumping. Field prod 3.3 kbopd.</t>
  </si>
  <si>
    <t>Prev day data for ACG,BC-10.</t>
  </si>
  <si>
    <t xml:space="preserve">
S-1:Gas prod'n figure updated based on latest report for June'23. Gas prod'n low due to summers.
LZC:Quota for the month is 355k bopd.
SCB:Intermittent pumping. Field prod 3.5 kbopd</t>
  </si>
  <si>
    <t xml:space="preserve">
S-1:Gas prod'n figure updated based on latest report for June'23. Gas prod'n low due to summers.
LZC:Quota for the month is 355k bopd.
SCB:Intermittent pumping. Field prod 3.5 kbopd
MECL:Prod'n increase due to addition of prod'n from well services activities and WOR well.</t>
  </si>
  <si>
    <t>Prev day data for ACG,BC-10,Myanmar.</t>
  </si>
  <si>
    <t>SPOC:Less dispatch from WHCC due to low 2BOPCO production(Pumping from TJ CPF to WHCC :8435 BBLs )
SCB:Intermittent pumping. Field prod 3.5k bopd.</t>
  </si>
  <si>
    <t>GPOC:Deferment due to transmission line problem in EL toor.
LZC:Quota for the month is 355k bopd.</t>
  </si>
  <si>
    <t>Prev day data for BC-10,SCB</t>
  </si>
  <si>
    <t>Prev day data for ACG,LZC</t>
  </si>
  <si>
    <t>SCB:Intermittent pumping. Field prod 3.5 kbopd
LZC: Quota for the month is 355k bopd</t>
  </si>
  <si>
    <t>Prev day data for ACG</t>
  </si>
  <si>
    <t>GPOC:Power trip in El toor during the day.
SCB:Intermittent pumping. Field prod 3.5 kbopd.</t>
  </si>
  <si>
    <t>Prev day data for ACG,SCB.</t>
  </si>
  <si>
    <t xml:space="preserve">
GPOC:Production differment due to Feeder trip due to electrocution of snake at H-Pole in Unity.It caused power fluctuation in other fields also.
Vankor: Maintenance with equipment  shutdown at high-pressure gas compressor station (3rd stage) and at the gas processing facility (2nd stage).(expected to continue for 4-5 days)
SCG:Intermittent pumping. Field prod 3.5 k bopd.</t>
  </si>
  <si>
    <t>Prev day data for ACG,GPOC,SPOC(due to connectivity issues)</t>
  </si>
  <si>
    <t>SCB: Intermittent pumping. Field prod 3.2 kbopd. (production from 9 wells disturbed due to voltage failure)
Vankor: Maintenance with equipment  shutdown at high-pressure gas compressor station (3rd stage) and at the gas processing facility (2nd stage).(expected to continue for 4-5 days)</t>
  </si>
  <si>
    <t>SCB:Intermittent pumping. Field prod 3.5 kbopd.
Vankor: Maintenance with equipment  shutdown at high-pressure gas compressor station (3rd stage) and at the gas processing facility (2nd stage).(expected to continue for 4-5 days)</t>
  </si>
  <si>
    <t>Prev day data for ACG,GPOC,SCB.</t>
  </si>
  <si>
    <t xml:space="preserve">
Vankor: Maintenance with equipment  shutdown at high-pressure gas compressor station (3rd stage) and at the gas processing facility (2nd stage).(expected to continue for 4-5 days)
SCB:Intermittent pumping. Field prod 3.5 kbopd.</t>
  </si>
  <si>
    <t>MECL:8 wells stopped due to line leakage.
SCB:Intermittent pumping. Field prod 3.4 k bopd.
Vankor:Deferment in gas prod'n due to s/d.</t>
  </si>
  <si>
    <t>Prev day data for ACG,BC-10,Vankor,Myanmar.</t>
  </si>
  <si>
    <t xml:space="preserve">
SCB:Intermittent pumping. Field prod 3.4 kbopd.One well down due to VFD failure
</t>
  </si>
  <si>
    <t xml:space="preserve">
SCB:Intermittent pumping. Field prod 3.4 kbopd.One well down due to VFD failure
Vankor:Gas production normalised.</t>
  </si>
  <si>
    <t xml:space="preserve">
BC-10: Abalone well has been opened.
SCB: Intermittent pumping. Field prod 3.4k bopd
MECL: Deferment due to tubing leak in one well.Well service rig mobilised. 
BC-10:MOBO 10 tripped in the morning due to VFD cell temp fault. 3 wells s/d.</t>
  </si>
  <si>
    <t>Prev day data for ACG,GPOC</t>
  </si>
  <si>
    <t>SCB: Intermittent pumping. Field prod 3.4k bopd
MECL: Deferment due to tubing leak in one well.Well service rig mobilised. 
BC-10:MOBO 10 tripped due to VFD cell temp fault. 3 wells s/d.VFD fan replacement ongoing.</t>
  </si>
  <si>
    <t>Prev day data for ACG,Vankor</t>
  </si>
  <si>
    <t xml:space="preserve">
LZC:Production loss due to ADNOC gas train trip.Production being resumed back gradually
SCB:Intermittent pumping. Field prod 3.4 k bopd
MECL:Vel-347 added. (Crude oil used as completion fluid currently flowing back)
B-06.1:Reasons sought from operator for low prod'n</t>
  </si>
  <si>
    <t>Prev day data for ACG,BC-10</t>
  </si>
  <si>
    <t>Abalone well open</t>
  </si>
  <si>
    <t>VFD cell temp fault</t>
  </si>
  <si>
    <t>completion fluid of new well</t>
  </si>
  <si>
    <t>Export closed due to back pressure</t>
  </si>
  <si>
    <t>ADNOC LNG gas trip</t>
  </si>
  <si>
    <t>Prev day data for ACG,BC-10,MECL,SCB</t>
  </si>
  <si>
    <t xml:space="preserve">
B-06.1:Low demand due to rainy season
SCB:Intermittent pumping. Field prod around 3.4k.
SPOC:Export to PS#1 stopped during the day due to back pressure at PS#1. Flow from Tharjath to heglig is 7.8k bopd
LZC:Production being resumed back after ADNOC gas trip.Quota for the month is 346k.
BC-10: MOBO 7 trip due to VFD transformed temperature.</t>
  </si>
  <si>
    <t>SPOC:Export to PS#1 stopped due to back pressure. Flow from Tharjath to heglig is 7.8k bopd
GPOC: Deferment due to power trip at EL toor (3 times) during the day.
LZC:Production being resumed back after ADNOC gas trip.Quota for the month is 346k.
BC-10: MOBO 7 trip due to VFD transformed temperature.
SCB:Intermittent pumping. Field prod around 3.4k.</t>
  </si>
  <si>
    <t>Prev day data for ACG,MECL.</t>
  </si>
  <si>
    <t>SPOC:Export to PS#1 stopped due to back pressure. Flow from Tharjath to heglig is 7.4k bopd
LZC:Quota for the month is 346k.
SCB:Intermittent pumping. Field prod around 3.4k.</t>
  </si>
  <si>
    <t>SPOC:Export to PS#1 stopped due to back pressure. Flow from Tharjath to heglig is 7.2k bopd
LZC:Quota for the month is 346k.
SCB:Intermittent pumping. Field prod around 3.43k.</t>
  </si>
  <si>
    <t>Prev day data for ACG,MECL.
SCB:Intermittent pumping.Field prod 3460 bopd.</t>
  </si>
  <si>
    <t>BC-10:ALM 3 ramp down to avoid Tank top due to offloading issues. More details sought from the operator.
GPOC:Transmission line problem caused downtime (of about 8 hrs) in 9 wells of El nar and 2 wells of El toor.Total deferment of 2200 bopd.
SPOC: Export to PS#1 stopped since 7-Aug-23 due to high viscosity issue in SCOTS pipeline. PETCO waiting on laptop with loaded software and technician for start up of PS-2
SCB:Intermittent pumping.Field prod 3460 bopd.</t>
  </si>
  <si>
    <t xml:space="preserve">BC-10:Production deferment as ALM 3 shutdown to avoid tank top due to offloading issues.
SPOC: Export to PS#1 stopped since 7-Aug-23 due to high viscosity issue in SCOTS pipeline. Efforts ongoing for PS#2 system reboot.
GPOC: Production from Toma South, El nar and Unity partially diverted to FPF storage. (Crude diverted to FPF storage about 9000 bbls) 
</t>
  </si>
  <si>
    <t>S-1:Production curtailed to avoid tank top due handicap in Ship to Ship transfer at South Korea Yusu port, due to unfavourable weather situation (Typhoon khanun)
SPOC:Export to PS#1 stopped due to back pressure. Flow from Tharjath to heglig is 7.3k bopd
LZC:Quota for the month is 346k.
SCB:Intermittent pumping. Field prod around 3.4k.</t>
  </si>
  <si>
    <t>Sakh-1: Updated based on weekly recvd for previous week. Prod'n curtailed in prev week to avoid tank top due to handicap in Ship to Ship transfer at South Korea Yusu port, due to unfavourable weather situation (Typhoon khanun)
GPOC:EL nar fluid partially diverted to cost. Also, All wells of Toma South and Munga were interrrupted during the day due to power trip.
BC-10:ALM3 s/d due to avoid tank top due to offloading issues. Delays due to towing vessel readiness, then tanker manifold leaking during leak test.
SPOC:PS#2 operation started at 0700 hours.
PCB:Power disruption due to adverse weather condition.</t>
  </si>
  <si>
    <t>Prev day data for SCB.  PCB:Power disruption due to adverse weather.
SPOC:PS#2 operation started at 0700 hours.</t>
  </si>
  <si>
    <t>rampdown due to leak in offloading line</t>
  </si>
  <si>
    <t>crude diverted to FPF cost</t>
  </si>
  <si>
    <t>export s/d due to backpressure</t>
  </si>
  <si>
    <t>power trip due to weather</t>
  </si>
  <si>
    <t>S-1:Gas figures from 1st July'23 onwards updated based on July report by operator.Oil figures down based on last weekly report( Prod'n curtailed in prev week to avoid tank top due to handicap in Ship to Ship transfer at South Korea Yusu port, due to unfavourable weather situation (Typhoon khanun)
SPOC:PS#2 in operation to stabilize and decrease SCOTS pipeline pressure prior resuming export from WHCC - PS#1.WHCC COBT reheating in progress.
SCB:Intermittent pumping.Field prod 3.43k bopd.</t>
  </si>
  <si>
    <t>Prev day data for GPOC</t>
  </si>
  <si>
    <t xml:space="preserve">
BC-10:MOBO-6 tripped due to instability in MOBO. MOBO-5 stopped for gas cap release.
SCB:Intermittent pumping. Field prod 3.44k bopd
SPOC:WHCC COBT reheating in progress prior export resumption to PS#1.</t>
  </si>
  <si>
    <t>Prev day data for ACG,GPOC,MECL.</t>
  </si>
  <si>
    <t>SPOC:Export to PS#1 restarted.
BC-10:MOBO 5 &amp; 6 restarted. Rampup in progress.
MECL: Deferment as 7 wells stopped for the connection of production line of well V-347 (1st infill well) to the north connection line of battery 2.
CPO-5:Choke size  for Indico-2 changed from 60/64" to 64/64
B-06.1: Wells closed for abt 3 hrs during the day (failure of solenoid of pneumatic pilot valve, which closed the export valve)</t>
  </si>
  <si>
    <t>Indico-2 choke increase</t>
  </si>
  <si>
    <t>pneumatic valve failure</t>
  </si>
  <si>
    <t>Prev day data for SCB and GPOC(reports not being recvd from heglig due to network issues)</t>
  </si>
  <si>
    <t>Prev day data for ACG,MECL,SCB</t>
  </si>
  <si>
    <t>MECL: Deferment as 7 wells stopped for the connection of production line of well V-347 (1st infill well) to the north connection line of battery 2.
BC-10: ALM2 rampup in progress</t>
  </si>
  <si>
    <t>MECL : Deferment as V-347 was closed for connection to flow line(battery 2). Connection to flow line done and well reopened.Also differment in V#226&amp;342 due to broken rod.V#342 prod'n restarted after well service rig job. V#226 under well service job.
SCB:Intermittent pumping.Field prod 3.32k bopd</t>
  </si>
  <si>
    <t>Prev day data for ACG,MECL,GPOC,PCB</t>
  </si>
  <si>
    <t>LZC : Quota for the month revised to 354k from 346k. 
SCB:Intermittent pumping. Field prod 3040 bopd. Differment as 3 wells clsoed due to electrical failure.</t>
  </si>
  <si>
    <t>Prev day data for ACG,BC-10,MECL.</t>
  </si>
  <si>
    <t xml:space="preserve">PCB:Deferment due to electrical failure(46 wells affected)
LZC : Quota for the month revised to 354k from 346k. 
</t>
  </si>
  <si>
    <t>Prev day data for  ACG,IEC,Vankor,Myanmar</t>
  </si>
  <si>
    <t>SPOC:Export to PS#1 stopped at 2248 hours, 30th August 2023 due to 2BOPCO low production. Waiting on build up the tank level at nCPF Heiglig and PETCO instruction for resuming export to SCOTS.
GPOC:Power trip in El toor during the day.
IEC:Well Sn#520(135 bopd) stopped flowing due to ESP problem.Awaiting WO.</t>
  </si>
  <si>
    <t>SCB:Intermittent pumping. Field prod 3370 bopd.
SPOC:Export resumed at 1500 hrs.
IEC:Well Sn#520(135 bopd) stopped flowing due to ESP problem.Awaiting WO.</t>
  </si>
  <si>
    <t>_x000D_
B-06.1:Gas compressor train-2 tipped during the day</t>
  </si>
  <si>
    <t>Prev day data for ACG,MECL</t>
  </si>
  <si>
    <t>SPOC:Export to PS#1 stopped by PETCO at 0240 hours and resumed back at 1555 hours
SCB:Intermittent pumping.Field prod 3.4 kbopd
MECL:Deferment due to low rod torque in V 341 and V 311. Well services rig being deployed.</t>
  </si>
  <si>
    <t xml:space="preserve">
SCB:Intermittent pumping. Field prod 3.4 k bopd
MECL:Deferment due to low rod torque in V 341 and V 311. Well services rig being deployed.</t>
  </si>
  <si>
    <t>SCB:Intermittent pumping. Field prod 3.4k bopd
LZC:Quota for the month is 360k bopd</t>
  </si>
  <si>
    <t>Prev day data for ACG,MECL,Vankor</t>
  </si>
  <si>
    <t>Prev day data for ACG,IEC,Vankor,LZC.</t>
  </si>
  <si>
    <t>SCB:Intermittent pumping. Field prod 3.4k bopd
MECL:3 wells stopped ( 2 wells due to broken rod and one well due to pump failure)
SPOC:Export stopped during the day.Restarted.
LZC:Quota for the month is 360k bopd.</t>
  </si>
  <si>
    <t>low rod torque in V 341 and V 311</t>
  </si>
  <si>
    <t xml:space="preserve">
MECL:Community blockade</t>
  </si>
  <si>
    <t>Community blockade</t>
  </si>
  <si>
    <t>3 wells stopped ( 2 wells due to broken rod and one well due to pump failure)</t>
  </si>
  <si>
    <t>Prev day data for ACG.</t>
  </si>
  <si>
    <t>S-1:Updated based on latest weekly report. Deferment during the previous week due to Maintenance activities at Crude Storage Tank (COST-1), Chayvo and planned maintenance activities – cleaning of inlet separator and maintenance of the Gas Turbine Compressors at Odoptu
LZC:Quota for the month is 360k bopd.
SCB:Intermittent pumping. Field prod 3.4k bopd.</t>
  </si>
  <si>
    <t xml:space="preserve">
SCB:Intermittent prod'n. Field prod 3420 bopd
LZC:Quota for the month is 360k bopd.
S-1:Based on latest weekly report. Deferment during the previous week due to Maintenance activities at Crude Storage Tank (COST-1), Chayvo and planned maintenance activities – cleaning of inlet separator and maintenance of the Gas Turbine Compressors at Odoptu</t>
  </si>
  <si>
    <t>Prev day data for ACG,Vankor.</t>
  </si>
  <si>
    <t>SCB:Intermittent prod'n. Field prod 3420 bopd
LZC:Quota for the month is 360k bopd.
MECL:Ongoing deferment due to rod failures, tubing leakage, low pump efficiency etc. Production expected to recovered back to 3100 levels by sep end.</t>
  </si>
  <si>
    <t xml:space="preserve">
SCB:Intermittent pumping. Field prod 3.4k bopd
LZC:Quota for the month is 360k bopd.
MECL:Ongoing deferment due to rod failures, tubing leakage, low pump efficiency etc. Production expected to recovered back to 3100 levels by sep end.</t>
  </si>
  <si>
    <t>YTD Actual mmt</t>
  </si>
  <si>
    <t>Remaining</t>
  </si>
  <si>
    <t>YTD actual bcm</t>
  </si>
  <si>
    <t>Annual Target mmt</t>
  </si>
  <si>
    <t>annual target bcm</t>
  </si>
  <si>
    <t>Temporary sheet</t>
  </si>
  <si>
    <t>Avg Cf till now</t>
  </si>
  <si>
    <t>Asking OVL bopd</t>
  </si>
  <si>
    <t>Asking JV BOPD</t>
  </si>
  <si>
    <t>Asking Ovl mmscmd</t>
  </si>
  <si>
    <t>Asking JV mmscmd</t>
  </si>
  <si>
    <t>mmtoe</t>
  </si>
  <si>
    <t>toe per day oil</t>
  </si>
  <si>
    <t>toe per day gas</t>
  </si>
  <si>
    <t>toe per day total</t>
  </si>
  <si>
    <t>dpr date prod</t>
  </si>
  <si>
    <t>bopd jv</t>
  </si>
  <si>
    <t>ovl tonnes</t>
  </si>
  <si>
    <t>ovl toe</t>
  </si>
  <si>
    <t>target</t>
  </si>
  <si>
    <t>actual ytd</t>
  </si>
  <si>
    <t>remaining asking</t>
  </si>
  <si>
    <t>toe on dpr date</t>
  </si>
  <si>
    <t>Asking Rate Summary</t>
  </si>
  <si>
    <t>bopd</t>
  </si>
  <si>
    <t>mmscmd</t>
  </si>
  <si>
    <t>tonnes per day</t>
  </si>
  <si>
    <t>Actual production on DPR date</t>
  </si>
  <si>
    <t>Asking rate to achieve</t>
  </si>
  <si>
    <t>MMT</t>
  </si>
  <si>
    <t>BCM</t>
  </si>
  <si>
    <t>MMTOE</t>
  </si>
  <si>
    <t>Prev day data for ACG,BC-10,GPOC</t>
  </si>
  <si>
    <t>MECL: Wells V-287 and V-301 started prod'n on 14-sep but external electrical failure cause stoppage wells for 5-7 hrs
SCB:Intermittent pumping. Field prod 3.4k bopd
LZC:Quota for the month is 360k bopd.
A1-A3:Prod'n low due to low nomination/low demand from CNUOC.</t>
  </si>
  <si>
    <t>ToE per day</t>
  </si>
  <si>
    <t>Prev day data for ACG,GPOC and Vankor(delay due to VDR issues)</t>
  </si>
  <si>
    <t>CPO-5: Strike at Indico pad by SAR staff
IEC:APG plant planned s/d(16-20 Sep)</t>
  </si>
  <si>
    <t>APG plant s/d(16-20 sep)</t>
  </si>
  <si>
    <t>SAR staff strike</t>
  </si>
  <si>
    <t xml:space="preserve">
CPO-5: Prod'n being ramped up after resultion of strike by SAR staff 
IEC:APG plant planned s/d(16-20 Sep)
SCB:Intermittent pumping. Field prod 3350 bopd
A1-A3:Prod'n low due to low nomination/low demand from CNUOC.</t>
  </si>
  <si>
    <t>Prev day data for ACG,BC-10,SPOC</t>
  </si>
  <si>
    <t>IEC:APG plant planned s/d(16-20 Sep)
SCB:Intermittent pumping. Field prod 3.4k bopd
A1-A3:Prod'n low due to low nomination/low demand from CNUOC.</t>
  </si>
  <si>
    <t>Prev day data for Vankor</t>
  </si>
  <si>
    <t>BC-10:Rampdown for flotal campaign started.
SPOC: BONO-C heater shutdown due to drop in efficiency for heat transfer between burner and coil tube, high-high flue gas temperature and bad combustion.BONO -C under maintenance (internal cleaning and process tune up by field team) , All wells Shut in for the maintenance activity. Exports continued due to existing tank levels.
S-1:Gas updated since 1-Aug-23 based on latest monthly.
IEC:APG plant planned s/d(16-20 Sep)</t>
  </si>
  <si>
    <t>SCB:Intermittent pumping. Field prod 2.8k bopd. 27 wells affected during the day due to power failure
BC-10:Rampdown for flotal campaign started.
SPOC: BONO -C under maintenance (internal cleaning and process tune up by field team) , All wells Shut in for the maintenance activity. Exports continued due to existing tank levels.
IEC:APG plant planned s/d(16-20 Sep)</t>
  </si>
  <si>
    <t>Repair of oil gathering pipeline</t>
  </si>
  <si>
    <t>Prev day data for ACG,BC-10,GPOC,SCB</t>
  </si>
  <si>
    <t>BC-10:Rampdown for flotal campaign started.
SPOC: BONO -C under maintenance., All wells Shut in for the maintenance activity. Exports continued due to existing tank levels.
Myanamar &amp; Vietnam: Low nomination.
CPO-5:ANH has communicated approval to open Indico 6 and Indico 7 wells. CO team is working on ways to start the wells at the earliest.</t>
  </si>
  <si>
    <t>_x000D_
B-06.1:S/d due to TAR 2023 campaign</t>
  </si>
  <si>
    <t>TAR 2023 campaign</t>
  </si>
  <si>
    <t>BC-10:Rampdown due to flotal campaign.
B-06.1:Restarted after TAR 2023 campaign
PCB:Mesa diluent received with high water cut (~28%) causing high discharge pressure in Macolla 1 and 5 wells.  
SCB:Intermittent pumping. Field prod 2.8k bopd.Deferment due to closure of 3 wells. (Details sought)
SPOC:All wells Shut in for the maintenance of BONO heater. Exports continued.</t>
  </si>
  <si>
    <t>BC-10:Flotal campaign ongoing.
PCB:General well shutdown reported on 25.09.2023 (04:20) due to stoppage of Mesa 30 pumps in EPJ2 station. Wells restarted at 12:00.
SCB:Intermittent pumping. Field prod'n 3.1k bopd. Curtailemnt due to pipeline leakage.</t>
  </si>
  <si>
    <t>MESA-30 diluent issue.</t>
  </si>
  <si>
    <t>Prev day data for ACG,BC-10,LZC</t>
  </si>
  <si>
    <t>CPO-5:Indico-7 opened on 26th Sep.Choke size being increased gradually.Contribution 1134 bopd (with choke 16/64 for 21 hrs and 20/64 for 3 hrs)
SPOC:All TJ and Mala wells shut in from 16th Sept. due to BONO-C major maintenance activity
SCB:Intermittent pumping. field prod 2.63k bopd. Deferment due to power s/d.
BC-10:Flotal campaign</t>
  </si>
  <si>
    <t>Prev day data for ACG,BC-10,Vankor</t>
  </si>
  <si>
    <t>CPO-5:Indico-7 flowing with choke of 26/64(2565 bopd).Indico 6 opened on 1st Oct (9 PM) with 10/64.
LZC:Quota for Oct'23 is 382k bopd
BC-10:Flotal campaign.
A1-A3:Prod'n deferment due to low demand.</t>
  </si>
  <si>
    <t>Prev day data for ACG,BC-10,MECL</t>
  </si>
  <si>
    <t xml:space="preserve">CPO-5: Indico 6: Contribution 375 bopd at 10/64" choke. 
                Indico 7:Contribution 2789 bopd(  26/64" for 18 hrs and 30/64" for 6 hrs)
SPOC:Export  stopped at 23.48 hrs on 1st October 23 by WHCC . BONO -C under maintenance - troubleshooting ongoing.
SCB:Intermittent pumping.field prod 3040 bopd.Deferment due to power trip issues.
BC-10:Flotal campaign.        LZC:Quota for the month is 382k bopd.
A1-A3:Prod'n deferment due to low demand.
</t>
  </si>
  <si>
    <t>Target</t>
  </si>
  <si>
    <t>mtd target</t>
  </si>
  <si>
    <t>mtd actual</t>
  </si>
  <si>
    <t>ytd target</t>
  </si>
  <si>
    <t>ytd actual</t>
  </si>
  <si>
    <t>Vs</t>
  </si>
  <si>
    <t>(MTD and YTD)</t>
  </si>
  <si>
    <t>CPO-5: Indico 6: Contribution 376 bopd at 10/64" choke. 
                Indico 7: Contribution 3484 bopd at 30/64" choke.
MECL: V-364(2nd infill well) added.Test rate 178 bopd pure oil at well site. MECL achieved highest prod'n in CY 2023 on 2nd oct(3195 bopd)
SPOC:Export  stopped on 1st October 23 by WHCC .
BC-10:Flotal campaign. ----------LZC:Quota for the month is 382k bopd.
A1-A3:Prod'n deferment due to low demand.</t>
  </si>
  <si>
    <t>CPO-5: Indico 6: Contribution 382 bopd at 10/64" choke. 
                Indico 7: Contribution 3724 bopd (30/64" choke for 11.5 hrs and 34/64 for 12.5 hrs)
MECL:Prod'n crosses 3200 bopd(due to contribution from 2nd infill well V 364)
SPOC:Export  stopped on 1st October 23 by WHCC .
BC-10:Flotal campaign. ----------LZC:Quota for the month is 382k bopd.
A1-A3:Prod'n deferment due to low demand.</t>
  </si>
  <si>
    <t>Prev day data for ACG,BC-10,SCB</t>
  </si>
  <si>
    <t xml:space="preserve">SPOC:BONO-C unit started at 11.30 hrs . Ramping up of hot oil temperature in progress
CPO-5:  Indico-6: 385 bopd @ 10/64"
                Indico-7: 3971 bopd @ 34/64"
Myanmar:Deferment due to low demand.
</t>
  </si>
  <si>
    <t>Prev day data for BC-10,SCB.</t>
  </si>
  <si>
    <t>Asset Selection(Select the cell)</t>
  </si>
  <si>
    <t>Area-1 Mozambique</t>
  </si>
  <si>
    <t>2FY chart</t>
  </si>
  <si>
    <t>D</t>
  </si>
  <si>
    <t>E</t>
  </si>
  <si>
    <t>F</t>
  </si>
  <si>
    <t>G</t>
  </si>
  <si>
    <t>H</t>
  </si>
  <si>
    <t>I</t>
  </si>
  <si>
    <t>J</t>
  </si>
  <si>
    <t>K</t>
  </si>
  <si>
    <t>L</t>
  </si>
  <si>
    <t>M</t>
  </si>
  <si>
    <t>N</t>
  </si>
  <si>
    <t>O</t>
  </si>
  <si>
    <t>P</t>
  </si>
  <si>
    <t>Q</t>
  </si>
  <si>
    <t>OVL TOTAL</t>
  </si>
  <si>
    <t>R</t>
  </si>
  <si>
    <t>S</t>
  </si>
  <si>
    <t>V</t>
  </si>
  <si>
    <t>T</t>
  </si>
  <si>
    <t>U</t>
  </si>
  <si>
    <t>W</t>
  </si>
  <si>
    <t>X</t>
  </si>
  <si>
    <t>Y</t>
  </si>
  <si>
    <t>Z</t>
  </si>
  <si>
    <t>AA</t>
  </si>
  <si>
    <t>AB</t>
  </si>
  <si>
    <t>AC</t>
  </si>
  <si>
    <t>AD</t>
  </si>
  <si>
    <t>AE</t>
  </si>
  <si>
    <t>AF</t>
  </si>
  <si>
    <t>AG</t>
  </si>
  <si>
    <t>d min</t>
  </si>
  <si>
    <t>Oil or Gas</t>
  </si>
  <si>
    <t>Chart period Selection</t>
  </si>
  <si>
    <t>(Period1)</t>
  </si>
  <si>
    <r>
      <rPr>
        <b/>
        <sz val="11"/>
        <color rgb="FFFF0000"/>
        <rFont val="Calibri"/>
        <family val="2"/>
        <scheme val="minor"/>
      </rPr>
      <t>(Period1)</t>
    </r>
    <r>
      <rPr>
        <b/>
        <sz val="11"/>
        <color theme="1"/>
        <rFont val="Calibri"/>
        <family val="2"/>
        <scheme val="minor"/>
      </rPr>
      <t xml:space="preserve"> Chart upto</t>
    </r>
  </si>
  <si>
    <r>
      <t>Compare with</t>
    </r>
    <r>
      <rPr>
        <b/>
        <sz val="11"/>
        <color rgb="FFFF0000"/>
        <rFont val="Calibri"/>
        <family val="2"/>
        <scheme val="minor"/>
      </rPr>
      <t>(Period2)</t>
    </r>
  </si>
  <si>
    <r>
      <t>For customised previous period</t>
    </r>
    <r>
      <rPr>
        <b/>
        <sz val="11"/>
        <color rgb="FFFF0000"/>
        <rFont val="Calibri"/>
        <family val="2"/>
        <scheme val="minor"/>
      </rPr>
      <t>(period2)</t>
    </r>
    <r>
      <rPr>
        <b/>
        <sz val="11"/>
        <color theme="1"/>
        <rFont val="Calibri"/>
        <family val="2"/>
        <scheme val="minor"/>
      </rPr>
      <t>, choose end date of the previous period</t>
    </r>
  </si>
  <si>
    <t>CPO-5:Indico-6 flowing with 24/64(2356 bopd) .Indico-7 with 34/64 (3939 bopd)
SPOC:Wells restarted on 7th Oct.
LZC:S/d due to compressor maintenance activity.More details sought.</t>
  </si>
  <si>
    <t>Prev day data for ACG,BC-10,SCB.</t>
  </si>
  <si>
    <t>Prev day data for ACG and SCB.(SCB DPR not being recvd due to network issues)</t>
  </si>
  <si>
    <t>CPO-5: Indico 6- 2718 bopd(24/64 for 10.5 hrs, 28/64 for 13.5 hrs) .
               Indico-7 with 34/64 (3936 bopd)
SPOC:Wells restarted on 7th Oct.Heating ongoing before starting export. Total tank dev during the day (at TJ and Heglig) is 10700 bbl.
LZC:S/d due to compressor maintenance activity.
GPOC:Prod'n deferment due to transmission line problem(feeder trip) in Unity, also in El nar,El toor and Munga.</t>
  </si>
  <si>
    <t>SPOC:Export not yet started. 28 wells flowing. Total stock dev at TJ and WHCC 11591 bbl.
Cpo-5: Ind 6- -3460 bopd(28/64 for 5hrs and 30/64 for 19 hrs), Ind 7 --3938 bopd with 34/64.</t>
  </si>
  <si>
    <t>Prev day data for ACG,BC-10 and SCB.(SCB DPR not being recvd due to network issues)</t>
  </si>
  <si>
    <t xml:space="preserve">Vankor:Deferment due to preparation of the oil gathering pipeline section to tie up in the junction point of the FWKF-Center for the construction and installation of the junction point.(likely to last 3 days)
SCB:Intermittent pumping. field prod 3350.
CPO-5:Indico 6 rate 3551 bopd(30/64), Ind 7 rate: 3934 bopd (34/64)
</t>
  </si>
  <si>
    <t>Prev day data for Acg,BC-10,SPOC</t>
  </si>
  <si>
    <t>CPO-5:Ind-6 flowing 3500 bopd(30/64).Ind 7 flowing with 3925 bopd(34/64)
GPOC:Deferment due to transmission line problem in Unity.
SPOC:Export from WHCC started. Dev in total stock at TJ and WHCC 8824 bopd. 29 wells flowing_x000D_
Vankor:Deferment due to preparation of the oil gathering pipeline section to tie up in the junction point of the FWKF-Center for the construction and installation of the junction point.</t>
  </si>
  <si>
    <t>Prev day data for Acg,BC-10,MECL,SCB,PCB</t>
  </si>
  <si>
    <t>Prev day data for BC-10,MECL,SCB.</t>
  </si>
  <si>
    <t>SPOC:Total stock dev at TJ and WHCC:5203 bbls
A1-A3:Reduced production due to pipeline maintenance job in China side. (Period 17th Oct to 21st Oct 2023 tentatively)
SCB:Intermittent pumping. Field prod 3.4k bopd</t>
  </si>
  <si>
    <t>Flotal campaign</t>
  </si>
  <si>
    <t>Indico-7 started</t>
  </si>
  <si>
    <t>Indico-6 started</t>
  </si>
  <si>
    <t>Feeder trip</t>
  </si>
  <si>
    <t>Wells stopped(BONO heater issue)</t>
  </si>
  <si>
    <t>Export stopped(low tank level-BONO issue)</t>
  </si>
  <si>
    <t>Compressor s/d</t>
  </si>
  <si>
    <t>Preperation for FWKF-C lineup</t>
  </si>
  <si>
    <t>China pipeline maintenance</t>
  </si>
  <si>
    <t>Typhoon Khanun</t>
  </si>
  <si>
    <t>A1-A3:Reduced production due to pipeline maintenance job in China side. (Period 17th Oct to 21st Oct 2023 tentatively)
SPOC:Total stock dev at TJ and WHCC:2676 bbls
SCB:Intermittent pumping. Field prod 3.46k bopd</t>
  </si>
  <si>
    <t>Prev day data for Acg,BC-10</t>
  </si>
  <si>
    <t>Prev day data for BC-10,SPOC</t>
  </si>
  <si>
    <t>PCB:General shutdown of the plant and wells, due to failure in the supply of diluent to Petrocarabobo.
SCB: Intermittent pumping. Field prod 3.5 k bopd.
A1-A3:Reduced production due to pipeline maintenance job in China side. (Period 17th Oct to 21st Oct 2023 tentatively)</t>
  </si>
  <si>
    <t xml:space="preserve">SCB: Intermittent pumping. Field prod 3.5 k bopd.
A1-A3:Reduced production due to pipeline maintenance job in China side. (Period 17th Oct to 21st Oct 2023 tentatively)
SPOC:Pumping  reduced  to 50 m3/hr at 08.45 hrs , PETCO citing pour point increase to 36 in export line  </t>
  </si>
  <si>
    <t>Prev day data for BC-10,MECL</t>
  </si>
  <si>
    <t>SCB: Intermittent pumping. Field prod 3.5 k bopd.
A1-A3:Reduced production due to pipeline maintenance job in China side. (Period 17th Oct to 21st Oct 2023 tentatively)
SPOC:Pumping speed varied during the day by PETCO to monitor export line parameters</t>
  </si>
  <si>
    <t>_x000D_
CPO-5: Indico-6 choke size change from 30 to 34/64 inch</t>
  </si>
  <si>
    <t>Prev day data for ACG,BC-10,SPOC, SCB.</t>
  </si>
  <si>
    <t xml:space="preserve">PCB:Diluent issue
</t>
  </si>
  <si>
    <t xml:space="preserve">PCB:Deferment due to electrical flickering
</t>
  </si>
  <si>
    <t xml:space="preserve">ACG:Deferment due to west azeri s/d on 21st oct.(ramp up ongoing)
MECL:Deferment due to sand problem in 2 wells, and gas lock in 2 wells.
SPOC: Export rate clamped around 50 m3/hr by PETCO.Delegation from SPOC to visit port sudan for meeting with PETCO.
SCB:Field prod 3.5k bopd.
</t>
  </si>
  <si>
    <t>WA s/d</t>
  </si>
  <si>
    <t>Ind-6 choke increase</t>
  </si>
  <si>
    <t>Electrical flickering</t>
  </si>
  <si>
    <t>Gas lock in 2 wells</t>
  </si>
  <si>
    <t>Diluent issue</t>
  </si>
  <si>
    <t>SPOC:PETCO stopped oil export from 09.00 hrs to 16.00 hrs citing high export line pour point.Approx field oil prod'n 11269 bbl.
PCB:Macolla 3 &amp; 5 wells shutdown due to reduction in the diluent flowrate to PCB reported on 24.10.2023 . Restarted after diluent supply reestablished.</t>
  </si>
  <si>
    <t>Prev day data for ACG,BC-10,MECL,Vankor</t>
  </si>
  <si>
    <t>SPOC:PETCO  stopped oil export from 08.50 hrs to 18.26 hrs citing high export line pour point. Approx feld prod'n from wells:11k bopd.
SCB: Field prod'n 2.6k bopd. Deferment due to power trip.</t>
  </si>
  <si>
    <t>Prev day data for ACG,BC-10,Myanamar</t>
  </si>
  <si>
    <t>BC-10:Details sough from operator about flotal campaign status.
SPOC:Field prod'n about 11k bopd.</t>
  </si>
  <si>
    <t>BC-10:Prod'n reading from fiscal meters due to hot oil circulation. Wells remained closed.
SPOC:Field prod'n about 11k bopd.
SCB:Intermittent pumping. Field prod'n 3.3k bopd.</t>
  </si>
  <si>
    <t>Prev day data for BC-10.</t>
  </si>
  <si>
    <t>SPOC: Export clamped on 50 m3/hr by PETCO. Field prod'n around 11200 bopd.</t>
  </si>
  <si>
    <t>Prev day data for ACG,CPo-5,MECL,Vankor, Myanamar</t>
  </si>
  <si>
    <t>LZC:Quota for the month is 385k bopd.
SPOC: Export temporarily stopped for about 8.5 hrs during the day.Field prod'n about 10900 bopd.</t>
  </si>
  <si>
    <t>SCB:Intermittent pumping. Field prod'n 3.3k bopd
LZC:Quota for the month is 385k bopd.
A1-A3:Low nomination from China side
B-06.1: Prod'n gradually reduced by operator ( adjusting choke in one well-LD-P1). Plan for Nov 1.77 mmscmd.(Plan considered in RE also similar)</t>
  </si>
  <si>
    <t xml:space="preserve">SPOC: Export closed for 12 hrs during the day. </t>
  </si>
  <si>
    <t>_x000D_
BC-10:Ramp up started after flotal campaign(with ALM3)</t>
  </si>
  <si>
    <t>BC-10:Ramp up started on 3rd Nov'23 after flotal campaign.
PCB:Production loss due to high % of BS&amp;W in the Mesa 30 diluent received.
LZC:Quota for the month is 385k bopd._x000D_
SCB:Intermittent pumping. Field prod'n 3360 bopd</t>
  </si>
  <si>
    <t>Rounded off production(from CP)_monthwise (3 digits after decimal only)</t>
  </si>
  <si>
    <t>GPOC: 9 wells of El Har closed due to flowline rupture(Deferment 3.8k bopd). Also 2 El toor wells closed(800 bbl) , need flowline flushing and electrical cable replacement. 
BC-10:Ramp up affected by gas leak in flash gas vessel in the Gas Dehydration and tripping of MOBO-9. Given the high flaring conditions a decision was taken to keep the full field shutdown to perform the repair.  
PCB:Deferment due to diluent issue.</t>
  </si>
  <si>
    <t>Prev day data for ACGGPOC,Myanamar</t>
  </si>
  <si>
    <t>GPOC: Repair of El har pipeline rupture ongoing.
BC-10:Ramp down due to gas leak in flash gas vessel in the Gas Dehydration and tripping of MOBO-9. Repair ongoing.Expected timeline of restart not yet conveyed by operator.
SCB:Intermittent pumping.field prod'n 3.5k bopd:::    PCB:Diluent issue
SPOC: Export closed for 14 hrs during the day due to low 2B-OPCO production.Field prod'n from SPOC about 8.8k bopd.</t>
  </si>
  <si>
    <t>GPOC:Pipeline leakage rectified. Wells opened late evening.
SCB:Intermittent pumping. Field prod 3.35 bopd</t>
  </si>
  <si>
    <t>Same period previous year(from year begin till respective month end</t>
  </si>
  <si>
    <t>Same period previous year(till month end)OVL mmt</t>
  </si>
  <si>
    <t>Same period previous year(till month end)OVL bcm</t>
  </si>
  <si>
    <t>1st month prev yr and this yr</t>
  </si>
  <si>
    <t>Year on Year Comparison</t>
  </si>
  <si>
    <t>% change</t>
  </si>
  <si>
    <t>Will give correct comparison only if last day of month is selected in db. (as previous year data includes full month production)</t>
  </si>
  <si>
    <t>Batching trail</t>
  </si>
  <si>
    <t>SPOC:Export from WHCC to #PS1 increased to 220m3/hr at 0920 hrs for flow ratio optimization field trail (Batching)
A1-A3:SHP process shutdown @ 08:28 hr due to fuel gas heater element high temperature.Resumed export at 12:08 hrs 
SCB:Intermittent pumping. Field prod'n 3.5k bopd</t>
  </si>
  <si>
    <t xml:space="preserve">BC-10:ALM 1 / Train C  MOBO 3 started Nov 9th 20:18 hours </t>
  </si>
  <si>
    <t xml:space="preserve">
BC-10:Ramp up started with ALM1 (on 9th Nov night). ALM3 and ALM2 still shut in
SPOC:Export from WHCC to #PS1 stopped at 0920 hrs w.e.f 10/11/23 for flow ratio optimization field trail by PETCO(Batching process). Field prod 10k bopd.
SCB:Intermittent pumping. Field prod 3.5k bopd
ACG gas:GEC Tr 1 is stopped/isolated for maintenance
</t>
  </si>
  <si>
    <t xml:space="preserve">BC-10: ramp up ongoing.(ALM1 and ALM 3 started)
SPOC:Export from WHCC to #PS1 restared at 0915 hrs w.e.f 13/11/23 @50m3/hr by PETCO
ACG gas:West Chirag Gas export compressor (GEC) Tr 1 is stopped/isolated for maintenance
</t>
  </si>
  <si>
    <t>SPOC:Export from WHCC to #PS1 stopped at 11.48 hrs by PETCO due to low 2BOPCO tank levels (2BOPCO low production)
BC-10:Ramp up ongoing. ALM1 and ALM3 online.
ACG gas:West Chirag Gas export compressor (GEC) Tr 1 is stopped/isolated for maintenance</t>
  </si>
  <si>
    <t>CPO-5:Since 7:00 a.m. on 15/11/2023, Indico wells were closed due to community blockade.Efforts to lift the blockade ongoing.
SCB:intermittent pumping. Field prod'n 3560 bopd.
BC-10:Ramp up ongoing with ALM1 and 3 online. ALM 2 yet to be started</t>
  </si>
  <si>
    <t>Community blockade at Indico pad</t>
  </si>
  <si>
    <t>Prev day data for GPOC,SCB</t>
  </si>
  <si>
    <t>CPO-5:Indico wells opened on 16-11-23 late evening.
BC-10:Ramp up ongoing with ALM1 and 3 online. 
SPOC:Export from WHCC to #PS1 stopped at 1424 hrs by PETCO citing high pour point of GPOC crude</t>
  </si>
  <si>
    <t>Prev day data dor ACG,MECL,IEC,Vankor,Myanmar</t>
  </si>
  <si>
    <t>BC-10: ALM2 to be  started.
SPOC:Export stopped by PETCO citing high pour point</t>
  </si>
  <si>
    <t xml:space="preserve">SPOC:All wells closed due to high stock level(Total current stock 265043 bbl at Tharjath and Heglig) .Export stopped by PETCO citing high pour point of GPOC crude. GPOC to conduct PPD injection optimization in presence of PETCO representative in order to reduce its export crude pour point .
ACG gas:GEC Tr 1 is stopped/isolated for maintenance.
</t>
  </si>
  <si>
    <t>SPOC:Export from WHCC to PS-1 restarted on 20/11/23 at 05.10 hrs, rate @ 355 m3/hr, reduced to 245 m3/hr at 23.05 hrs .Pumping ratio SPOC: 2BOPCO : GPOC (51.5:23.1:25.4)
BC-10:Offloading commneced in the evening. All 3 ALMs online.Production ramp up ongoing.</t>
  </si>
  <si>
    <t xml:space="preserve">
SPOC:Export stopped in the morning(10:50 am)
PCB:Prod'n deferment due to start-up of Dehydrator V-1103 after repairing electrostatic cells and sediment cleaning. </t>
  </si>
  <si>
    <t>SPOC:As per PETCO on 22/11/23 ,next export from SPOC will be determined on basis of crude column parameters pumped on 20/11/23 to
21/11/23 as it reaches PS-2 /PS-3._x000D_
SCB:Intermittent pumping. Field prod'n 3.6k bopd</t>
  </si>
  <si>
    <t>Prev day data for ACG,BC-10,MECL,Vankor,Myanmar</t>
  </si>
  <si>
    <t>SPOC:Export shut by PETCO( As per PETCO  ,next export from SPOC will be determined on basis of crude column parameters pumped on 20/11/23 to 21/11/23 as it reaches PS-2 /PS-3 ). All wells remain shutin  as no clearence from PETCO to start TJ to WHCC export. Stock level 97.9 % at Tj and 41.3% at Heglig.
SCB:Intermittent pumping. Field prod 3.55kbopd</t>
  </si>
  <si>
    <t>Prev day data for ACG,IEC</t>
  </si>
  <si>
    <t>SCB:Intermittent pumping. Field prod'n 3600 bopd</t>
  </si>
  <si>
    <t>GPOC:West feeder trip in Unity due to overcurrent
SPOC:Pumping from Tharjath to Heglig resumed on 28/11/23 @1325 hrs after getting PETCO approval_x000D_
SCB:Intermittent pumping.Field prod'n 3k bopd. Deferment due to electrical circuit issue.</t>
  </si>
  <si>
    <t>SPOC:Pumping from Tharjath to Heglig ongoing. MALA (5 wells) opened.</t>
  </si>
  <si>
    <t>Prev day data for Vankor,GPOC.</t>
  </si>
  <si>
    <t>S-1 gas updated based on Oct'23 report
SPOC:Pumping from Tharjath to Heglig ongoing. MALA (5 wells) flowing</t>
  </si>
  <si>
    <t>GPOC:Deferment due to transmission line problem in El nar and El toor.
CPO-5:Well indico-2 closed from 14:10 - 18:20 hrs due to transition from hammer union to welded flowlines;</t>
  </si>
  <si>
    <t>SPOC:Export from WHCC to PS-1 restarted on 02/12/23 at 23.42 hrs, rate 358 m3/hr .Pumping ratio SPOC: 2BOPCO : GPOC (51.5 23.1:25.4)
GPOC:Deferment due to transmission line problem in El nar and El toor.</t>
  </si>
  <si>
    <t>Prev day data for ACG,GPOC,LZC</t>
  </si>
  <si>
    <t>LZC:Quota for the month is 388k bopd</t>
  </si>
  <si>
    <t>Prev day data for ACG,GPOC,SPOC</t>
  </si>
  <si>
    <t xml:space="preserve">GPOC:Deferment due to power trip in Toma south
SPOC:Export stopped on 05-Dec (0120 hrs).Stock level 36%. </t>
  </si>
  <si>
    <t>Prev day data for ACG,SCB,Myanamr</t>
  </si>
  <si>
    <t>Prev day data for ACG,MECL,GPOC</t>
  </si>
  <si>
    <t>ACG gas:Central Azeri GIC maintenance activities ongoing
LZC:Quota for the month is 388k bopd
GPOC: Flow diverted to cost(about 13000) due to pipeline rupture.Also deferment due to power outage in Toma south</t>
  </si>
  <si>
    <t>Flow divert to COST due to pipeline rupture</t>
  </si>
  <si>
    <t>ACG gas:Central Azeri GIC maintenance activities ongoing
LZC:Quota for the month is 388k bopd
SPOC:Export stopped by Petco. 15 wells flowing.(field prod approx 7k bopd).Tharjath wells gradually opened to build up COST tank level and optimize viscosities.</t>
  </si>
  <si>
    <t>CPO-5:Indico wells closed since 8AM yesterday(11 Dec) due to community blockade.
ACG gas:Gas injection low due to Central Azeri GIC compressor issue.
LZC:Quota for the month is 388k bopd</t>
  </si>
  <si>
    <t>only the monthwise figures picked from D,G,H rows. Totalling quarterwise annual etc done automatically after picking up and quarter/annual etc figures not picked from here.</t>
  </si>
  <si>
    <t>SUMIF('Processed_Reconciled Prod'!D$159:W$159,1,'Processed_Reconciled Prod'!D126:W126)+T9</t>
  </si>
  <si>
    <t>manually eneterd as oct'23 prod was zero</t>
  </si>
  <si>
    <t xml:space="preserve">
A1-A3:Productiuon deferment due to phase-3 project bridge installation job
LZC:Quota for the month is 388k bopd</t>
  </si>
  <si>
    <t>SPOC: Export currently stopped.28 wells flowing. Total stock at Tharjath and Heglig 165k bbl(out of 300k capacity)</t>
  </si>
  <si>
    <t>SPOC:Export stopped currently.28 wells flowing.Stock level at Tharjath and Heglig about 193k bbl(out of 300k)
LZC:Quota for the month is 388k bopd</t>
  </si>
  <si>
    <t>Vankor: Reasons for production deferment sought from the operator.
LZC:Quota for the month is 388k bopd.
SPOC:Export stopped currently.28 wells flowing.Stock level at Tharjath and Heglig about 204k bbl(out of 300k)</t>
  </si>
  <si>
    <t>Prev day data for ACG,BC-10,SCB,PCB</t>
  </si>
  <si>
    <t>Vankor: Reasons for production deferment still awaited from operator.
LZC:Quota for the month is 388k bopd.
SPOC:Export stopped currently.27 wells flowing.Stock level at Tharjath and Heglig about 213.7k bbl(out of 300k)</t>
  </si>
  <si>
    <t>SPOC:Export stopped currently.24 wells flowing.Stock level at Tharjath and Heglig about 223.5k bbl(out of 300k)
LZC:Quota for the month is 388k bopd
Vankor: Reason for deferment: Shutdown  of 7 wells due to safety reasons to avoid  possible consequences related to drilling and collision of wellbores. 2. Shutdown of  5 wells of base well stock;</t>
  </si>
  <si>
    <t>Prev day data for ACG,GPOC,SPOC,PCB</t>
  </si>
  <si>
    <t>Vankor:Reason for deferment in previous days: Shutdown  of 7 wells due to safety reasons to avoid  possible consequences related to drilling and collision of wellbores and Shutdown of  5 wells of base well stock;
SCB:Intermittent pumping. Field prod'n 3.32k bopd.</t>
  </si>
  <si>
    <t>SPOC:Export stopped by petco.All wells closed since 22nd Dec. Stock level at Tj and Heglig 223.7k out of 300k.
PCB:Macollas 1 &amp; 3 shutdown due to high level in tanks T-1201 caused by cavitation in feed pumps and exporting pumps P-1202 and  P-1203.</t>
  </si>
  <si>
    <t>Sakh-1 gas figure updated based on Nov report by operator</t>
  </si>
  <si>
    <t>SPOC:Export stopped by petco. 5 wells flowing.Stock level 224k out of 300k.</t>
  </si>
  <si>
    <t>PCB:Full plant  and wells s/d due to high level in COMOR tank T-55001 and T-1201.(due to hgi WC in T 55001)</t>
  </si>
  <si>
    <t xml:space="preserve">
CPO-5:Blockade by local community</t>
  </si>
  <si>
    <t>SPOC:Export stopped by petco. 5 wells flowing.Stock level 224k out of 300k.
CPO-5: Ramp up ongoing after deferment due to Blockade by local community.
BC-10:Deferment due to Emergency shutdown (due to false alarm) in  the morning(31st Dec). Restart and rampup in progress.</t>
  </si>
  <si>
    <t>BC-10:Ramp up ongoing after ESD.
CPO-5:Production curtailment due to shortage of tankers due to holiday. Expected to be normalised today.</t>
  </si>
  <si>
    <t xml:space="preserve">MECL:Deferment due to electrical tripping, further leading to elastomer damage in some wells.WS rig job needed.
B-06.1:Choke increase in LD-p1 leading to prod'n increase.
SCB:Intermittent pumping. Field prod'n 3.4k bopd
SPOC:No export. Stock 244k out of 300k.
LZC:Quota for the month is 399k bopd.
</t>
  </si>
  <si>
    <t xml:space="preserve">
CPO-5:Wells flowing with reduced chokes due to non availibility of sufficient no. of tankers.</t>
  </si>
  <si>
    <t>CPO-5:Wells(Indico-2&amp;6) flowing with reduced chokes due to non availibility of sufficient no. of tankers due to community bloackade at Cusiana
SPOC:SPOC:No export. 5 wells flowing. Stock 250k out of 300k.
BC-10: MOBO -6 not yet ramped up, as low insulation resistance reported.Being investigated.</t>
  </si>
  <si>
    <t xml:space="preserve">
SPOC:No export. 5 wells flowing. Stock around 252k out of 300k.
CPO-5:Wells(Indico-2&amp;6) flowing with reduced chokes due to non availibility of sufficient no. of tankers due to community bloackade at Cusiana</t>
  </si>
  <si>
    <t xml:space="preserve">
SPOC:No export. 5 wells flowing. Stock around 255k out of 300k.
CPO-5:Wells(Indico-2,5&amp;6) flowing with reduced chokes due to non availibility of sufficient no. of tankers due to community bloackade at Cusiana
BC-10:Megger test planned for MOBO-6 (to verify the condition of electrical insulation)</t>
  </si>
  <si>
    <t xml:space="preserve">
SPOC:No export. 5 wells flowing. Stock around 254k out of 300k.
CPO-5:Perico-1x production started. </t>
  </si>
  <si>
    <t>CPO-5:Indico Wells closed since 7 am due to community  strike.Perico-1X rate about 308 bopd, WC 39%. Under stabilization.
SPOC:No export. 5 wells flowing. Stock around 254.7k out of 300k.</t>
  </si>
  <si>
    <t>ACG:s/d in west chirag</t>
  </si>
  <si>
    <t>ACG:s/d in west chirag
CPO-5:The blockade at Indico pad was lifted at 14:30 hrs on 14.01.2024.Wells opening on 15th. Perico well flowing @ about 600 bopd,9% WC)
SPOC:No export.5 MALA wells flowing. Stock 260k out 300k bbl.</t>
  </si>
  <si>
    <t>SPOC:No export. All wells closed to avoid tank top. Stock around 261k out of 300k.
CPO-5:Indico wells progressively opened. Multi rate test going on in perico-1x.
S-1 gas updated based on Dec-23 report.</t>
  </si>
  <si>
    <t xml:space="preserve">
CPO-5:Blockade at Indico wells. All wells closed at 7 am morning
SPOC:No export. All wells closed to avoid tank top. Stock around 261k out of 300k.</t>
  </si>
  <si>
    <t xml:space="preserve">
CPO-5:Blockade at Indico wells lifted on 18th evening.Wells to be opened.Perico well closed for PBU
SPOC:No export. All wells closed to avoid tank top. Stock around 262k out of 300k.
A1-A3: Production deferment due to reinstatement trial of well MND-D.Well MND-d closed again due to insufficient flow.</t>
  </si>
  <si>
    <t>CPO-5:PBU completed at Perico. Well to be opened.
SPOC: Viscocity reducer trial conducted at WHCC(for 8 hrs).Currently all wells closed. Stock level 258.5 kbbl out of 300k.
GPOC: Crude diverted to COST in Eltoor(3k bbl approx) and Toma south(3000 bbl approx) FPF.</t>
  </si>
  <si>
    <t>CPO-5: Well closed as crude dispatch could not commence owing to BS&amp;W not being within limits(0.5%) .Attempts being made to bring down BS&amp;W to the desired level by blending the crude with well fluid from other wells. Chemical expert team from Baker Hughes is at site to formulate proper dosage of chemical for the crude, once the well starts producing ;Commissioning of boiler also done.
SPOC: Viscocity reducer trial continued (export done for 7 hrs while injecting VR at 30 LPH,400 ppm).Stock 253k bbl out of 300 bbl. All wells closed.
LZC:Deferment due to ullage issue because of weather</t>
  </si>
  <si>
    <t>This sheet saves raw reconciled production .Prior to rounding off</t>
  </si>
  <si>
    <t>All the data in this workbook (from storage) flows from this sheet only. Not from the other 2 sheets(Storage_Reconciled_prod   and Storage_rounded_off_prod)</t>
  </si>
  <si>
    <t>Chosen prod only is for ovl mmt, ovl bcm and ovl mmtoe. For jv bopd and jv mmscmd, only the raw reconciled prod(from Storage_Reconciled_prod) sheet is used.</t>
  </si>
  <si>
    <t>(Decides whether data from this sheet is picked up)</t>
  </si>
  <si>
    <t>(Decides whether data-ovl mmt,bcm,mmtoe from this sheet is picked up)</t>
  </si>
  <si>
    <t>to decide which reconciled data is picked up</t>
  </si>
  <si>
    <t>raw reconciled production is in sheet Storage_Reconciled_prod</t>
  </si>
  <si>
    <t>rounded off reconciled production is in sheet Storage_rounded_off_prod</t>
  </si>
  <si>
    <t>rounded off production available till</t>
  </si>
  <si>
    <t>Year</t>
  </si>
  <si>
    <t>working for rounded off production storage sheet</t>
  </si>
  <si>
    <t>(rounded)</t>
  </si>
  <si>
    <t>(Or.)</t>
  </si>
  <si>
    <t>Rounded Off</t>
  </si>
  <si>
    <t>Original-Raw</t>
  </si>
  <si>
    <t>rounded off prod will be only allowed to be chosen when it has been fully entered, till the raw reconciled prod'n otherwise it will give wrong results.It is also assumed that the raw reconciled production update will always be before the rounded off production.</t>
  </si>
  <si>
    <t>Currently selected</t>
  </si>
  <si>
    <t>Figures in this sheet not picked from Storage sheet</t>
  </si>
  <si>
    <t>Figures in this sheet not picked from storage sheets</t>
  </si>
  <si>
    <t>original-raw reconciled data</t>
  </si>
  <si>
    <t>Original-raw reconciled</t>
  </si>
  <si>
    <t>(auto updation through code)</t>
  </si>
  <si>
    <t>(to be manually updated)</t>
  </si>
  <si>
    <r>
      <t>for temporary remark display in dashboard and all graphs sheet. (</t>
    </r>
    <r>
      <rPr>
        <sz val="11"/>
        <color rgb="FFFF0000"/>
        <rFont val="Calibri"/>
        <family val="2"/>
        <scheme val="minor"/>
      </rPr>
      <t>not needed anymore-Dec'23</t>
    </r>
    <r>
      <rPr>
        <sz val="11"/>
        <color theme="1"/>
        <rFont val="Calibri"/>
        <family val="2"/>
        <scheme val="minor"/>
      </rPr>
      <t>)</t>
    </r>
  </si>
  <si>
    <t xml:space="preserve">  </t>
  </si>
  <si>
    <t>&lt;---(remark here)</t>
  </si>
  <si>
    <t>IEC: Production deferment due to pipeline leakage in South Maiskoye. Wells restarted. 
CPO-5:Perico well to be opened on 24th morning(Colombia time)
GPOC: About 4.5k bopd crude transferred to COST in Toma south, El toor and El nar.
SPOC:No export. Tank level 258.5 kbbl out of 300k bbl.
SCB:Field production around 3.5k bopd.</t>
  </si>
  <si>
    <t>s/d in west chirag</t>
  </si>
  <si>
    <t>Ramp up with ALM1&amp;3</t>
  </si>
  <si>
    <t>Blockade at Indico</t>
  </si>
  <si>
    <t>Community strike</t>
  </si>
  <si>
    <t>Perico Prod'n start</t>
  </si>
  <si>
    <t>Low tanker availibility</t>
  </si>
  <si>
    <t>Batching trial</t>
  </si>
  <si>
    <t>VR trial</t>
  </si>
  <si>
    <t>Ullage issue due to weather</t>
  </si>
  <si>
    <t>Electrical trip-Elastomer damage in wells</t>
  </si>
  <si>
    <t>Pipeline leak at S Maiskoye</t>
  </si>
  <si>
    <t>El Nar/El toor transmission line problem</t>
  </si>
  <si>
    <t>Power trip(Toma south)</t>
  </si>
  <si>
    <t>Flowline rupture(El har)</t>
  </si>
  <si>
    <t xml:space="preserve">partially divert to COST in North File </t>
  </si>
  <si>
    <t>West feeder trip</t>
  </si>
  <si>
    <t>S/d of 7 wells due to safety reasons</t>
  </si>
  <si>
    <t>Macolla 1&amp;3 s/d due to export pump issue</t>
  </si>
  <si>
    <t>S/d due to high tank level</t>
  </si>
  <si>
    <t>Choke size in LD-2p increased</t>
  </si>
  <si>
    <t>Ph-3 bridge installation job</t>
  </si>
  <si>
    <t>MND-D revival attempt</t>
  </si>
  <si>
    <t>Maintenance activities</t>
  </si>
  <si>
    <t>ESD due to false alarm</t>
  </si>
  <si>
    <t>SPOC: Exort for about 7 hrs for VR trial</t>
  </si>
  <si>
    <t>CPO-5:Well Perico-1X opened on 27-Jan.
SCB:Field prod'n 3.5k bopd.
SPOC: No export. All wells closed. Stock 248k bbl out of 300k.</t>
  </si>
  <si>
    <t>SPOC: No export. All wells closed. Stock 248k bbl out of 300k.</t>
  </si>
  <si>
    <t>SPOC: No export. All wells closed. Stock 248k bbl out of 300k.
LZC: Revised Quota for Q1 of CY 2024 received from operator. New Quota is as under: 
          Jan'24-399k(same as earlier) , 
          Feb'24: 397k (earlier 402k), 
          Mar'24: 405k (Earlier 415k). 
          No update received for Apr'24 quota which was 401k.</t>
  </si>
  <si>
    <t>_x000D_
SPOC: No export. All wells closed. Stock 248k bbl out of 300k.</t>
  </si>
  <si>
    <t>LZC: Production deferment due to Ullage issue due to weather
SPOC: No export. All wells closed. Stock around 248k out of 300k</t>
  </si>
  <si>
    <t>SPOC:No export. 5 wells flowing. Stock 243k bbl out of 300k.</t>
  </si>
  <si>
    <t>GPOC:Transmission line problem in El nar and El toor. Deferment about 3k.
LZC:Quota for the month is 399k bopd.
SCB:Intermittent pumping. Field prod'n 3.4k bopd
BC-10:Ramp up ongoing.
MECL:Deferment due to electrical circuit issues.
PCB:Speed reduction to Macolla 1, 2 &amp; 3 wells due to high level in Comor Tank T-55001 caused by high water content_x000D_
SPOC:No export. 5 wells flowing. Stock 243k bbl out of 300k.</t>
  </si>
  <si>
    <t>Provisional figure for CPO-5 (Assumed mariposa prod as 600 bopd as report not recvd)</t>
  </si>
  <si>
    <t>LZC:Deferment due to ullage issue because of weather</t>
  </si>
  <si>
    <t xml:space="preserve">
LZC: Production deferment due to Ullage issue due to weather
</t>
  </si>
  <si>
    <t xml:space="preserve">
SPOC:No export. Stock level around 249k out of 300k bbl.
LZC: Production deferment due to Ullage issue due to weather_x000D_
BC-10: Deferment due to Mobo-5 shutdown due to instability issues(Hot oiling long loop)</t>
  </si>
  <si>
    <t>Mobo-5 s/d due to instability issues</t>
  </si>
  <si>
    <t xml:space="preserve">
SPOC:No export. Stock level around 249k out of 300k bbl.
CPO-5:Well halcon-1X opened under LTT. Production added 7th Feb onwards. .Current rate around 70 bopd, WC around 60%.Currently under stabilization
BC-10: Deferment due to Mobo-5 shutdown due to instability issues(Hot oiling long loop)</t>
  </si>
  <si>
    <t>_x000D_
SPOC:No export. Stock level around 249k out of 300k bbl.</t>
  </si>
  <si>
    <t xml:space="preserve">_x000D_
SPOC:No export. Stock level around 249k out of 300k bbl._x000D_
</t>
  </si>
  <si>
    <t>SCB:Intermittent pumping. Field prod'n 3.6k bopd
SPOC:No export. Stock level around 249k out of 300k bbl.</t>
  </si>
  <si>
    <t>SCB: Intermittent pumping. Field prod'n 3.55k bopd.
Vankor:Deferment due to electrical shutdown</t>
  </si>
  <si>
    <t>B-06.1:Pressure buildup test of well Ld-1P</t>
  </si>
  <si>
    <t>Pressure build up test of LD 1p well.</t>
  </si>
  <si>
    <t>Electrical shutdown</t>
  </si>
  <si>
    <t>Indico wells blockade</t>
  </si>
  <si>
    <t xml:space="preserve">
CPO-5:Indico site and Indico 3 were under blockade from 05:00 AM to 02:00 hrs. Blockade lifted after agreement on community demands
SPOC:No export. Stock level around 249k out of 300k bbl.
SCB:Intermittent pumping. Field prod'n 3.55k bopd</t>
  </si>
  <si>
    <t xml:space="preserve">
SPOC:No export. Stock level around 249k out of 300k bbl.
SCB: Intermittent pumping. Field prod'n 3.55k bopd</t>
  </si>
  <si>
    <t xml:space="preserve">
SPOC:No export. Stock level around 249k out of 300k bbl.
IEC:Deferment due to s/d of two wells. Details sought.</t>
  </si>
  <si>
    <t xml:space="preserve">
IEC:Decline in production from new tech wells and shutin of two wells in Snezhnoye field due to low influx.</t>
  </si>
  <si>
    <t>Previous day data for SPOC</t>
  </si>
  <si>
    <t>CPO-5:Blockade at Indico pad during the day. Wells reopened in evening.</t>
  </si>
  <si>
    <t>SCB:Intermittent pumping. Field prod'n 3.4k bopd(deferment of 170 bopd due to electrical problem in a well)</t>
  </si>
  <si>
    <t>SCB:Intermittent pumping. Field prod'n 3.6k bopd.</t>
  </si>
  <si>
    <t>SCB:Intermittent pumping. Field prod'n 3.6k bopd.
GPOC: Production diverted to FPF Cost tank due tocomplete blackout at Heglig on Monday morning.Resumed export in the evening. Diverted volume approximately 24k.</t>
  </si>
  <si>
    <t xml:space="preserve">GPOC: Production diverted to FPF Cost tank due to complete blackout at Heglig on Monday morning.Resumed export in the evening. Diverted volume approximately 24k.
CPO-5: Blockade at Indico pad. </t>
  </si>
  <si>
    <t>CPO-5:Indico wells progressively opened.
GPOC: Crude from FPF stock, which was diverted on Monday, also being pumped (about 5.5k bbl)</t>
  </si>
  <si>
    <t>MECL:Electrical shutdown taken for preventive maintenance (due to identification of hotspots in main line)
SCB:Intermittent pumping. Field prod'n 3640 bopd.</t>
  </si>
  <si>
    <t>Blackout at NCPF Heglig.</t>
  </si>
  <si>
    <t>Indico blockade</t>
  </si>
  <si>
    <t>Electrical s/d (due to hotspots)</t>
  </si>
  <si>
    <t>S-1 (Week 18-24 Feb report received): Production curtailed due to bad weather affecting tanker movement. Slowdown opportunity used for some planned
maintenance work for optimization purposes.Report for 25 onwards not yet received yet. Production assumed 170k bopd.</t>
  </si>
  <si>
    <t xml:space="preserve">SPOC: Export started on 5th march morning.(Batching). 17 wells opened. Producton to be reflected in tomorrow's report.
LZC:Quota information received from operator for June'24(417 kbopd).
</t>
  </si>
  <si>
    <t>SPOC:Export started on 5th March morning. 17 wells opened.
BC-10:MOBO-5 tripped in the morning. Under investigation.
Sakhalin-1:Updated as per latest weekly received.</t>
  </si>
  <si>
    <t>Provisional figure for SPOC.</t>
  </si>
  <si>
    <t xml:space="preserve">SPOC:Batching process ongoing.
BC-10:Production deferment due to MOBO 5 trip. Matter being taken up with operator.
</t>
  </si>
  <si>
    <t>Provisional and approximate figure for SPOC, as firm figure not received yet.</t>
  </si>
  <si>
    <t>Batching</t>
  </si>
  <si>
    <t xml:space="preserve">
SPOC:Export stopped on 8th March. Total export in this batch(5-8 march) is 140k bbl.At present well produciton about 14k bopd. Export from Tharjath to heglig about 18k bopd.Total stock around 163 bbl(78k at Tharjath, 85k at Heglig.)
BC-10:ALM-2 out of operation causing production deferement (MOBO-5).</t>
  </si>
  <si>
    <t>CPO-5: Choke increase in Indico-6 from 36 to 38/64. Plan in Indico-5 for multibean test and PBU to meet the compliance requirement.(bean to be increased in phases from current 46/64 to 58/64". After that 24 hr shut-in to be taken). Well was shutin for 4 hrs during the day for run-in of assembly.(Normal production of Indico-5 at 46/64 is about 3k bopd.</t>
  </si>
  <si>
    <t>SPOC:Export restarted on 11th night(details not recvd yet)
CPO-5:Multi bean test ongoing on well Indico-5
Sakh-1 gas for March month assumed as 12 mmscmd based on previous year trend</t>
  </si>
  <si>
    <t>SPOC: Export ongoing under batching . 33 wells flowing.Field prod'n 12.9k bopd.Pumping from TJ to Heglig ongoing at a rate of 18k bopd. Stock 145k (58k at TJ, 87k at Heglig)
SCB:Intermittent pumping. Field production 3.7k bopd.</t>
  </si>
  <si>
    <t>SPOC:Export ongoing under batcing.33 wells flowing.Field prod'n 12.2 k bopd.Export from TJ to Heglig ongoing at 19.2 k bopd.Stock 109 bbl(50k at Tj, 59k at Heglig)
BC-10:More deferment due to MOBO-1 trip. Investigation ongoing.
CPO-5:Indico-5 closed for PBU.</t>
  </si>
  <si>
    <t>PBU at Indico-5</t>
  </si>
  <si>
    <t>CPO-5:Blockade at Indico pad.
Vankor(gas):Deferment in gas production due to shutdown.
SPOC:Export stopped at 5:30 hrs 14-March. 33 wells flowing. Field prod'n about 12.2k bopd. Pumping from TJ to Heglig at 12k bopd.Stock 111 k bbl(51k at TJ and 60k at Heglig)
BC-10:Mobo-1 trip under investigation. At present only 3 MOBO running.</t>
  </si>
  <si>
    <t xml:space="preserve">
BC-10:Mobo-1 troubleshooting completed. Restarted in the evening.
SPOC:No export. 33 wells flowing. Field production 13k bopd.Pumping from Tj to Heglig ongoing at 11.4k bopd.Stock 146k bbl(51k at Tj, 95k at Heglig)
CPO-5:Blockade ongoing at Indico pad.
Vankor:Gas production deferment due to preventive maintenance of the equipment at high-pressure gas compressor station </t>
  </si>
  <si>
    <t>SPOC:No export. 33 wells flowing. Field production about 13k bopd. Pumping from Tj to Heglig ongoing at 11.4k bopd.Stock 159k bbl(52k at Tj, 107k at Heglig)
CPO-5:Blockade ongoing at Indico pad.</t>
  </si>
  <si>
    <t>SPOC: No export. 34 wells flowing. Field prod 12.3k bopd. Pumping from TJ to Heglig at 11.3 k bopd.Stock 171k bbl (53k at TJ and 118k at Heglig)</t>
  </si>
  <si>
    <t>SPOC: Export resumed at 0105 hrs on 21.03.24(to be reflected in tomorrow's report). 34 wells flowing. Field prod 12.8k bopd. Pumping from TJ to Heglig at 11.5 k bopd.Stock 183k bbl (53k at TJ and 130k at Heglig).
A1-A3:Planned s/d of 10 days.</t>
  </si>
  <si>
    <t>SPOC:Export ongoing.Stock 96k at Heglig, 54k at TJ.
GPOC:Production deferment in north fields and Munga due to power trip 
CPO-5:Blockade at Indico pad.
Myanmar:Shutdown ongoing for major works.</t>
  </si>
  <si>
    <t>CPO-5:Indico wells opened on 25-3-24.
SPOC:No export. 34 wells flowing.Field production rate 13k bopd.Pumping from Tj to Heglig at 12k bopd.Stock 140k bbl (59k at TJ,81k at Heglig)</t>
  </si>
  <si>
    <t>_x000D_
CPO-5:Bean up in Indico 2,6,7. Halcon well closed due to generator problem.</t>
  </si>
  <si>
    <t>Bean up in Indico 2,6,7</t>
  </si>
  <si>
    <t>MOBO 1 trip</t>
  </si>
  <si>
    <t>SPOC:Export started on 28th morning(1 am).</t>
  </si>
  <si>
    <t>SPOC:Batching ongoing. 34 wells flowing. Field prod' 14k bopd. Pumping from Tj to Heglig at 12.7k bopd. Stock 125k bbl 57k at TJ and 68k at Heglig. SPOC export  from WHCC stopped  on  29/3/24 @13:13hrs, on low COBT  level</t>
  </si>
  <si>
    <t>SPOC:Export stopped during the day due to low COBT. Total export during March is  419k bbl.</t>
  </si>
  <si>
    <t>SPOC:Export stopped on 29th due to low COBT.Export during the batch was 69k bbl. Total export during March is  419k bbl.
A1-A3:Information about restart after s/d awaited from operator.</t>
  </si>
  <si>
    <t>A1-A3:Information about restart after s/d awaited from operator.</t>
  </si>
  <si>
    <t>PCB:Prod'n deferment due to pipeline leak.</t>
  </si>
  <si>
    <t>the reconciled available upto entry to be made after entering the data.</t>
  </si>
  <si>
    <t>Prov data for CPO-5</t>
  </si>
  <si>
    <t>PCB:Prod'n deferment due to pipeline leak and electrical flickering.
LZC:Quota for the month is 401k bopd.</t>
  </si>
  <si>
    <t xml:space="preserve">
LZC:Quota for the month is 401k bopd.</t>
  </si>
  <si>
    <t>SPOC: WHCC resumed injection to PS#1 @0224 hrs @04/04/2024 (312 m3/hr) .Stock 155k bbl (54k at TJ,101k at Heglig)</t>
  </si>
  <si>
    <t>BC-10:Production deferment due to turbine trip.
SPOC: Export ongoing.Stock 122k bbl (53k at TJ,69k at Heglig)</t>
  </si>
  <si>
    <t>Turbine trip</t>
  </si>
  <si>
    <t>BC-10:Production deferment due to turbine trip.
SPOC: WHCC stopped export to PS#1 on 08/04/2024 @ 1408hrs due to low COBT level.</t>
  </si>
  <si>
    <t>BC-10:Production deferment due to turbine trip.
CPO-5: Due to on-going social issues and blockade on the roads as well as Ocensa pipeline maintenance works, M/s Vitol is not able to fulfil the daily tanker requirements. Production curtailed to manage the storage capacity.</t>
  </si>
  <si>
    <t>_x000D_
CPO-5:Well Indico-3 added. Contribution750 bbl in 8 hrs.Well under stabilization. Also, the wells Indico-4&amp;5 reopened at 12 noon (as the maintenance in Ocensa pipeline has been completed)</t>
  </si>
  <si>
    <t>BC-10:During ramp up after resoving the issuing of turbine trip, a a flame-out event was detected at the flaring system, which led to a full-field ESD.Ramp up planning ongoing after troubleshooting.
SPOC:Batching done on 12th and 13th April (total export 64k.). Present stock 125k (50k at Tj and 75k at Heglig)</t>
  </si>
  <si>
    <t>BC-10:Ramp up ongoing.
SPOC: Export resumed under batching in 17th April evening.
Imperial:Production increase during last few days due to addition of well in South Maiskoye after WOJ.
MECL: Prod'n touched 4k bopd on 16th April.</t>
  </si>
  <si>
    <t xml:space="preserve">
CPO-5:Multi rate test ongoing in Indico-3 ( prod'n figure touching 30K+)
BC-10:Ramp up ongoing.
SPOC: Export resumed under batching in 17th April evening.</t>
  </si>
  <si>
    <t>Vankor:Reasons sought for prod'n deferment.</t>
  </si>
  <si>
    <t xml:space="preserve">Vankor:Production deferment as some wells were shut down due to safety reasons due to drilling. </t>
  </si>
  <si>
    <t>BC-10:Deferment due to turbine trip on 23rd</t>
  </si>
  <si>
    <t xml:space="preserve">
ACG:Planned TAR(turnaround ) at DWG platform. K01 well(at ACE platform)  producing @ approximate rate 8.1 mbd oil with 4.2 mmscfd gas
BC-10:Deferment due to turbine trip on 23rd</t>
  </si>
  <si>
    <t>ACG:Planned TAR of DWG.
A1-A3: Low nomination
PCB:Deferment due to theft of power cables at Macolla-1</t>
  </si>
  <si>
    <t xml:space="preserve">
GPOC:Less production due to power trip in Toma South.
ACG:Planned TAR of DWG.
A1-A3: Low nomination</t>
  </si>
  <si>
    <t>ACG:Planned TAR ongoing at DWG.
LZC:Quota for the month is 225k bopd.</t>
  </si>
  <si>
    <t>ACG:Planned TAR ongoing at DWG(15 days).
LZC:Quota for the month is 225k bopd.</t>
  </si>
  <si>
    <t>ACG:Planned TAR ongoing at DWG(15 days).
LZC:Quota for the month is 225k bopd.(due to ongoing NMGL related works)</t>
  </si>
  <si>
    <t xml:space="preserve">LZC:Quota for the month is 225k bopd.
BC-10:Mobo-7 and 10 tripped during the day.Restarted.
SPOC: Batching ongoing, along with viscocity reducer injection.
ACG:Planned TAR ongoing at DWG(15 days)_x000D_
</t>
  </si>
  <si>
    <t>IEC:Production deferment due to APG plant shutdown.
ACG:Production deferment due to DWG TAR and s/d at central Azeri due to false alarm</t>
  </si>
  <si>
    <t>CPO-5:Production Deferment due to a community strike at indico pad.
IEC:Production deferment due to APG plant shutdown.
ACG:Production deferment due to DWG TAR and s/d at central Azeri due to false alarm
LZC:Quota for the month is 225k bopd.(due to ongoing NMGL related works)</t>
  </si>
  <si>
    <t>_x000D_
MECL:Prod'n deferment due to electrical issue.</t>
  </si>
  <si>
    <t>IEC:Production deferment due to APG plant shutdown._x000D_
MECL:Prod'n deferment due to electrical issue._x000D_
CPO-5:Production Deferment due to a community strike at indico pad.</t>
  </si>
  <si>
    <t>IEC:Production deferment due to APG plant shutdown.
CPO-5:community blocked at indico pad.
LZC- Quota for the month is 225k due to NMGL related works._x000D_</t>
  </si>
  <si>
    <t>CPO-5:community blocked at Indico Pad.</t>
  </si>
  <si>
    <t>pipeline leak.</t>
  </si>
  <si>
    <t>pipeline leak and electrical flickering.</t>
  </si>
  <si>
    <t>Indico-3 added.</t>
  </si>
  <si>
    <t>Ramp up ongoing.</t>
  </si>
  <si>
    <t>addition of well in South Maiskoye after WOJ.</t>
  </si>
  <si>
    <t>Multi rate test ongoing in Indico-3.</t>
  </si>
  <si>
    <t>Reasons sought for prod'n deferment.</t>
  </si>
  <si>
    <t>shut down due to safety reasons due to drilling.</t>
  </si>
  <si>
    <t>turbine trip on 23rd.</t>
  </si>
  <si>
    <t>Low nomination.</t>
  </si>
  <si>
    <t>theft of power cables at Macolla-1.</t>
  </si>
  <si>
    <t>Mobo-7 and 10 tripped.</t>
  </si>
  <si>
    <t>DWG TAR and s/d at central Azeri due to false alarm</t>
  </si>
  <si>
    <t>community blockade.</t>
  </si>
  <si>
    <t>electrical issue.</t>
  </si>
  <si>
    <t>power trip in Toma South.</t>
  </si>
  <si>
    <t>LZC:Quota for the month is 225k bopd.(due to ongoing NMGL related works)</t>
  </si>
  <si>
    <t>CPO-5:Indico wells progressively opened.</t>
  </si>
  <si>
    <t>LZC:Quota for the month is 225k due to NMGL related works.</t>
  </si>
  <si>
    <t>BC-10:Production Deferment due to mobo 6 trip.</t>
  </si>
  <si>
    <t>A1-A3: s/d due to HP/LP mode switching of compressor.</t>
  </si>
  <si>
    <t>LZC:LZGPF under s/d and LTDP project activities planned for 28 days from 1st May 24.</t>
  </si>
  <si>
    <t>BC-10:Production Deferment due to mobo 6 trip and module fault._x000D_
LZC:Quota for the month is 225k due to NMGL related works.
Sakhalin-1:Less production due to ongoing maintenance work of GTC1 &amp; GIC1 in Train 1 of Odoptu.</t>
  </si>
  <si>
    <t>IEC:Production deferment due to APG plant s/d.
Sakhalin-1:Less production due to ongoing maintenance work of GTC1 &amp; GIC1 in Train 1 of Odoptu.
B-06.1:Lower Prod'n  due to well testing of well LD P2(under s/d).
LZC:Prod'n being restored after planned s/d(LTDP project activities) of 28 days from 1st May.</t>
  </si>
  <si>
    <t>IEC:APG plant s/d due to non evacuation of LPG (through tankers) from plant.
B-06.1:Lower Prod'n  due to well testing of well LD P2(under s/d).
LZC: LZ GPF under s/d and LTDP project activities planned for 28 days from 1st May 24.</t>
  </si>
  <si>
    <t>_x000D_IEC:APG plant s/d due to non evacuation of LPG (through tankers) from plant.
B-06.1:Lower Prod'n  due to well testing of well LD P2(under s/d).
LZC: LZ GPF under s/d and LTDP project activities planned for 28 days from 1st May 24.</t>
  </si>
  <si>
    <t>Sakhalin-1:Less production due to ongoing maintenance work of GTC1 &amp; GIC1 in Train 1 of Odoptu.
LZC:Prod'n being restored after planned s/d(LTDP project activities) of 28 days from 1st May.
IEC:Production deferment due to APG plant s/d.</t>
  </si>
  <si>
    <t>IEC:APG plant s/d due to non evacuation of LPG (through tankers) from plant.
LZC:Prod'n being restored after planned s/d(LTDP project activities) of 28 days from 1st May.</t>
  </si>
  <si>
    <t>LZC:Prod'n being restored after planned s/d(LTDP project activities) of 28 days from 1st May. Quota for the June month is 417K bopd.
IEC:APG plant s/d due to non evacuation of LPG (through tankers) from plant.</t>
  </si>
  <si>
    <t>IEC:APG plant s/d due to non evacuation of LPG (through tankers) from plant.
LZC:Prod'n being restored after planned s/d(LTDP project activities) of 28 days from 1st May. Quota for the June month is 417k bopd.</t>
  </si>
  <si>
    <t>A1&amp;A3: Prod'n deferment due to Buyer's Nomination.
IEC:APG plant s/d due to non evacuation of LPG (through tankers) from plant.
LZC:Prod'n being restored after planned s/d(LTDP project activities) of 28 days from 1st May. Quota for the June month is 417K bopd.</t>
  </si>
  <si>
    <t>A1&amp;A3: Prod'n deferment due to Buyer's Nomination.
IEC:Prod'n deferment due to APG plant s/d.
LZC:Prod'n being restored after planned s/d(LTDP project activities) of 28 days from 1st May.</t>
  </si>
  <si>
    <t>Sakhalin-1: Less prod'n due to Turbine replacement works of GTC1 in Train 1 of Odoptu.
IEC:APG plant s/d due to non evacuation of LPG (through tankers) from plant.
A1&amp;A3: Prod'n deferment due to Buyer's Nomination.
LZC:Prod'n being restored after planned s/d(LTDP project activities) of 28 days from 1st May.</t>
  </si>
  <si>
    <t>A1&amp;A3: Prod'n deferment due to Buyer's Nomination(CNUOC- 322 MMscf, MOGE - 125 MMscf).
LZC:Prod'n being restored after planned s/d(LTDP project activities) of 28 days from 1st May.
IEC:APG plant s/d due to non evacuation of LPG (through tankers) from plant.</t>
  </si>
  <si>
    <t>A1-A3:Prod'n low due to low nomination.
LZC:Prod'n being restored after planned s/d(LTDP project activities) of 28 days from 1st May.
IEC:APG plant s/d due to non evacuation of LPG (through tankers) from plant.</t>
  </si>
  <si>
    <t>A1&amp;A3: Prod'n deferment due to Buyer's Nomination
LZC:Prod'n being restored after planned s/d(LTDP project activities) of 28 days from 1st May.
IEC:Prod'n Deferment due to APG Plant s/d.</t>
  </si>
  <si>
    <t>PCB: Prod'n Deferment due to s/d at Electrical substation.
A1&amp;A3: Prod'n deferment due to Buyer's Nomination.
LZC:Prod'n being restored after planned s/d(LTDP project activities) of 28 days from 1st May.
IEC:APG plant s/d due to non evacuation of LPG (through tankers) from plant.</t>
  </si>
  <si>
    <t xml:space="preserve">A1-A3: Prod'n deferment due to Buyer's Nomination.
LZC:Prod'n being restored after planned s/d(LTDP project activities) of 28 days from 1st May.
IEC:Prod'n Deferment due to APG Plant s/d.
Sakhalin-1: Fresh Prod'n figures for June'24 received from the operator. </t>
  </si>
  <si>
    <t>SCB:Prod'n deferment due to Fluctuation in Power Grid resulting in tripping of PCPs.
IEC:Prod'n Deferment due to APG Plant s/d.
LZC: Lower Prod'n due to Barge Movement For Rigless Jobs.
A1-A3:Opertor informed major corrective maintenance job on 12th &amp; 13th June'24.</t>
  </si>
  <si>
    <t>A1-A3: Prod'n deferment due to Buyer's Nomination.
IEC:APG plant s/d due to non evacuation of LPG (through tankers) from plant.
LZC: Lower Prod'n due to Barge Movement For Rigless Jobs.</t>
  </si>
  <si>
    <t xml:space="preserve">A1-A3: Prod'n deferment due to Buyer's Nomination.
IEC:APG plant s/d due to non evacuation of LPG (through tankers) from plant.
LZC: Lower Prod'n due to Barge Movement For Rigless Jobs.
BC-10: Operator informed s/d from 17th Jun'24 to meet NR 13 compliance.Ramp down activities started from 14th June and s/d duration approx 6 days. </t>
  </si>
  <si>
    <t>A1-A3: Prod'n deferment due to Buyer's Nomination.
IEC:APG plant s/d due to non evacuation of LPG (through tankers) from plant.
BC-10: Operator informed s/d from 17th Jun'24 to meet NR 13 compliance.Ramp down activities started from 14th June and s/d duration approx 6 days. 
LZC: Lower Prod'n due to Oil pipeline (ZK-22 to ZK-39)pigging operation carried out.</t>
  </si>
  <si>
    <t xml:space="preserve">IEC:APG plant s/d due to non evacuation of LPG (through tankers) from plant.
A1-A3: Prod'n deferment due to Buyer's Nomination.
BC-10: Operator informed s/d from 17th Jun'24 to meet NR 13 compliance.Ramp down activities started from 14th June and s/d duration approx 6 days. </t>
  </si>
  <si>
    <t>IEC:APG plant s/d due to non evacuation of LPG (through tankers) from plant.
A1-A3: Prod'n deferment due to Buyer's Nomination.
BC-10: Operator informed s/d from 17th Jun'24 to meet NR 13 compliance.Ramp down activities started from 14th June and s/d duration approx 6 days.
GPOC:Less production due to power trip in Toma South,El Nar &amp; El Toor.</t>
  </si>
  <si>
    <t>IEC:APG plant s/d due to non evacuation of LPG (through tankers) from plant.
A1-A3: Prod'n deferment due to Buyer's Nomination.
BC-10: Operator informed s/d from 17th Jun'24 to meet NR 13 compliance.Ramp down activities started from 14th June and s/d duration approx 6 days.</t>
  </si>
  <si>
    <t>LZC:Prod'n being restored after planned s/d(LTDP project activities) of 28 days from 1st May.
IEC:Prod'n Deferment due to APG Plant s/d.
A1-A3: Prod'n deferment due to Buyer's Nomination.
Sakhalin-1: Less production is due to Odoptu plant shutdown on 10th June due to activation of fire detector. No fire was detected and production was reinstated within two hours.</t>
  </si>
  <si>
    <t>IEC:APG plant s/d due to non evacuation of LPG (through tankers) from plant.
BC-10: Operator informed s/d from 17th Jun'24 to meet NR 13 compliance.Ramp down activities started from 14th June and s/d duration approx 6 days.
A1-A3: Prod'n deferment due to Buyer's Nomination.</t>
  </si>
  <si>
    <t>A1-A3: Prod'n deferment due to Buyer's Nomination.
IEC:APG plant s/d due to non evacuation of LPG (through tankers) from plant.
BC-10: Operator informed s/d from 17th Jun'24 to meet NR 13 compliance.Ramp down activities started from 14th June and s/d duration approx 6 days.</t>
  </si>
  <si>
    <t>A1-A3: Prod'n deferment due to Buyer's Nomination.
IEC:APG plant s/d due to non evacuation of LPG (through tankers) from plant.
BC-10: Prod'n Ramp up has started. MOBO-6 &amp; MOBO-7 startup pending.</t>
  </si>
  <si>
    <t xml:space="preserve">A1-A3: Prod'n deferment due to Buyer's Nomination.
SCB:Prod'n deferment due to Heating system out of service due to internal plugging.
IEC:APG plant s/d due to non evacuation of LPG (through tankers) from plant.
BC-10: Prod'n Ramp up has started. MOBO-6 &amp; MOBO-7 startup pending._x000D_
</t>
  </si>
  <si>
    <t>A1-A3: Prod'n deferment due to Buyer's Nomination.
IEC:APG plant s/d due to non evacuation of LPG (through tankers) from plant.
BC-10: Prod'n Ramp up has started. MOBO-6 &amp; MOBO-7 startup pending.
GPOC: Due to internal civil disturbance, North field was evacuated.</t>
  </si>
  <si>
    <t>A1-A3: Prod'n deferment due to Buyer's Nomination.
IEC:APG plant s/d due to non evacuation of LPG (through tankers) from plant.
BC-10: Prod'n Ramp up has started. MOBO-6 &amp; MOBO-7 startup pending.
GPOC: Prodn ramp up of all fields except El-Nar completed.</t>
  </si>
  <si>
    <t>A1-A3: Prod'n deferment due to Buyer's Nomination.
IEC:APG plant s/d due to non evacuation of LPG (through tankers) from plant.
BC-10: Prod'n Ramp up has started.
GPOC: Prod'n ramp up of all fields except El-Nar completed.</t>
  </si>
  <si>
    <t>IEC:APG plant s/d due to non evacuation of LPG (through tankers) from plant.
A1-A3: Prod'n deferment due to Buyer's Nomination.
Sakhalin-1:New daily Prod'n data received from the Operator.
GPOC: Prod'n ramp up of all fields except El-Nar completed.</t>
  </si>
  <si>
    <t>IEC:APG plant s/d due to non evacuation of LPG (through tankers) from plant.
A1-A3: Prod'n deferment due to Buyer's Nomination.
GPOC:After the s/d of EL Nar FPF, the production ramp-up has started.</t>
  </si>
  <si>
    <t>IEC:APG plant s/d due to non evacuation of LPG (through tankers) from plant.
A1-A3: Prod'n deferment due to Buyer's Nomination.
GPOC:Prod'n Low due to EL Nar FPF was shutdown due to security reason and vandalism.,restarted on 28.06.24.
Sakhalin-1:New Gas Prod'n data received from the Operator.</t>
  </si>
  <si>
    <t>IEC:APG plant s/d due to non evacuation of LPG (through tankers) from plant.
GPOC:Due to leakage at OGM at EL Nar, 19 wells are being shut down, resulting in low production.
ACG:Production is low due to the Gas Compressor being offline due to maintenance.
LZC:Quota for the month is 415k BOPD.</t>
  </si>
  <si>
    <t>IEC:APG plant s/d due to non evacuation of LPG (through tankers) from plant.
A1-A3: Prod'n deferment due to Buyer's Nomination.
GPOC:Due to leakage at OGM at EL Nar, 19 wells are being shut down, resulting in low production.
ACG:Production is low due to the Gas Compressor being offline due to maintenance.</t>
  </si>
  <si>
    <t>IEC:APG plant started on load at 11:30 hrs on 2nd Jul-24 after starting the evacuations of LPG through alternative option (Barge).
GPOC:Due to leakage at OGM at EL Nar, 9 wells are being s/d, resulting in low prod'n.
LZC:Prod'n deferment due to AGI EPS-1: ZK-401 s/d for facility capacity test of Upper Zakum.
ACG:Production is low due to the Gas Compressor being offline due to maintenance.</t>
  </si>
  <si>
    <t>LZC:Prod'n deferment due to DAS Port closure due to adverse weather condition and
Capacity testing at Upper Zakum leading to closure EPS-1 wells.
ACG:Production is low due to the Gas Compressor being offline due to maintenance.
GPOC:Due to leakage at OGM at EL Nar, 9 wells are being s/d, resulting in low prod'n.</t>
  </si>
  <si>
    <t>LZC:Prod'n reduced due to GPF TRAIN-1 trip &amp; Capacity testing at Upper Zakum leading to closure EPS-1 wells.
GPOC:After the leakage at OGM at El Nar was resolved, production ramp up has begun.
Sakhalin-1:New Oil &amp; Gas Prod'n data received from the Operator.</t>
  </si>
  <si>
    <t>_x000D_SCB:The heating system being out of service due to internal plugging is causing prod'n deferment.
GPOC:Prod'n deferment due to power trip in EL Nar.</t>
  </si>
  <si>
    <t>GPOC:Prod'n deferment due to power trip in EL Nar.</t>
  </si>
  <si>
    <t>SCB:The heating system being out of service due to internal plugging is causing prod'n deferment.
GPOC:Prod'n deferment due to power trip in Toma South.</t>
  </si>
  <si>
    <t>SCB:The heating system being out of service due to internal plugging is causing prod'n deferment.</t>
  </si>
  <si>
    <t>LZC:Prod'n deferred due to heavy barge movement.
GPOC:Prod'n deferred due to power trip in EL Nar.</t>
  </si>
  <si>
    <t>A1A3: Prod'n deferred due to PSD activated by main power loss at SHP and followed by SHK ESD due to instrument air receiver PSLL.</t>
  </si>
  <si>
    <t>Sakhalin-1:New Oil Prod'n data received from the Operator.</t>
  </si>
  <si>
    <r>
      <rPr>
        <b/>
        <sz val="16"/>
        <color theme="1"/>
        <rFont val="Calibri"/>
        <family val="2"/>
        <scheme val="minor"/>
      </rPr>
      <t>Oil</t>
    </r>
    <r>
      <rPr>
        <b/>
        <sz val="15"/>
        <color theme="1"/>
        <rFont val="Calibri"/>
        <family val="2"/>
        <scheme val="minor"/>
      </rPr>
      <t>(JV-BOPD)</t>
    </r>
  </si>
  <si>
    <t>LZC:Prod'n deferred due to One COS tanks (capacity approx. 533 MB) out of operation, due to integrity issues.</t>
  </si>
  <si>
    <t xml:space="preserve">BC-10: prod'n deffered due to leakage was detected in offloading hose section,normal prod'n resume expected by 23rd Jul'24. </t>
  </si>
  <si>
    <t xml:space="preserve">LZC:Production deffered due to GPF train 2 maintenance activity.
GPOC:Prod'n deffered due to EL Nar FPF shutdown due to security reason.
BC-10: prod'n deffered due to leakage was detected in offloading hose section,normal prod'n resume expected by 23rd Jul'24. </t>
  </si>
  <si>
    <t xml:space="preserve">SCB:The heating system being out of service due to internal plugging is causing prod'n deferment.
BC-10: prod'n deffered due to leakage was detected in offloading hose section,normal prod'n resume expected by 23rd Jul'24. </t>
  </si>
  <si>
    <t xml:space="preserve">CPO-5:Prod'n defferd due to community blocked at CPH field.
BC-10: prod'n deffered due to leakage was detected in offloading hose section,normal prod'n resume expected by 23rd Jul'24. </t>
  </si>
  <si>
    <t>Prev. day data for BC-10.</t>
  </si>
  <si>
    <t>BC-10: Prod'n is being restored after resolving the leakage issue.
CPO-5:Prod'n defferd due to community blocked at CPH field.
SCB:The heating system being out of service due to internal plugging is causing prod'n deferment.</t>
  </si>
  <si>
    <t>Vankor:Less gas prduction  due to the annual scheduled preventive maintenance of gas treatment and transfer facilities (for gas delivery in Gazprom header ) from 23.07.2024 to 30.07.2024.
BC-10: Prod'n is being restored after resolving the leakage issue.</t>
  </si>
  <si>
    <t>BC-10: Prod'n is being restored after resolving the leakage issue.
Sakhalin-1:Prod'n figures revised by the Operator.
Vankor:Less gas prduction  due to the annual scheduled preventive maintenance of gas treatment and transfer facilities (for gas delivery in Gazprom header ) from 23.07.2024 to 30.07.2024.</t>
  </si>
  <si>
    <t>Vankor:Less gas prod'n due to the annual scheduled preventive maintenance of gas treatment and transfer facilities (for gas delivery in Gazprom header ) from 23rd Jul'24 to 30th Jul'24.</t>
  </si>
  <si>
    <t>Vankor:Less gas prod'n due to the annual scheduled preventive maintenance of gas treatment and transfer facilities (for gas delivery in Gazprom header ) from 23rd Jul'24 to 30th Jul'24.
BC-10:Reason awaited from the operator regarding prod'n deferment.</t>
  </si>
  <si>
    <t>Vankor:Less gas prod'n due to the annual scheduled preventive maintenance of gas treatment and transfer facilities (for gas delivery in Gazprom header ) from 23rd Jul'24 to 30th Jul'24.
PCB:PCB:Prod'n deferred due to electrical failure leading to minor shatdowns.</t>
  </si>
  <si>
    <t>A1&amp;A3:Prod'n deferred due issue in digital controller.</t>
  </si>
  <si>
    <t>LZC:Quota for the month is 422k BOPD.</t>
  </si>
  <si>
    <t>Sakhalin-1:New Oil Prod'n data received from the Operator.
LZC:Quota for the month is 422k BOPD.
ACG:Due to HP Separator, Test Separator and Train-1,2 being offline, prod'n has been deferred.</t>
  </si>
  <si>
    <t>SPOC:Prod'n deferred due to TJ-3 still shut-in due to VSD issue.
LZC:Quota for the month is 422k BOPD &amp; 
As per ADNOC Offshore(ADOF), Al-Ghallan Island's prod'n s/d due to SD activities in AGI. Production is expected to resume in next two days.
B-06.1: Prod'n deferred due to P2 well being shut-in.
ACG:Due to HP Separator, Test Separator and Train-1,2 being offline, prod'n has been deferred.</t>
  </si>
  <si>
    <t>ACG:Due to HP Separator, Test Separator and Train-1,2 being offline, prod'n has been deferred.
SPOC: TJ CPF stopped export for maintenance on Transformers at CPP.(Oil Produced 13,565 bbl.)</t>
  </si>
  <si>
    <t>LZC:As per ADNOC Offshore(ADOF), Al-Ghallan Island's prod'n s/d due to SD activities in AGI. Production is expected to resume in next two days.
SPOC: TJ CPF stopped export for maintenance on Transformers at CPP.(Oil Produced 12,027 bbl.)
ACG:Due to HP Separator, Test Separator and Train-1,2 being offline, prod'n has been deferred.
GPOC:Prod'n deferred due to Power trip in Unity,Munga &amp; EL-Toor.</t>
  </si>
  <si>
    <t>ACG:Due to HP Separator, Test Separator and Train-1,2 being offline, prod'n has been deferred.
SPOC: TJ CPF stopped export for maintenance on Transformers at CPP.(Oil Produced 12,588 bbl.)</t>
  </si>
  <si>
    <t>Asking Rate for FY 2024-25</t>
  </si>
  <si>
    <t xml:space="preserve">only valid for FY 2024-25. </t>
  </si>
  <si>
    <t>Sakhalin-1:New Oil Prod'n data received from the Operator.
SPOC:WHCC restarted export to PS1.
ACG:Due to HP Separator, Test Separator and Train-1,2 being offline, prod'n has been deferred.</t>
  </si>
  <si>
    <t>LZC:Reason awaited from the operator.
B-06.1:Prod'n deferred due to the tripping of gas compression train 2.
ACG:Due to HP Separator and Train-2 being offline, prod'n has been deferred.</t>
  </si>
  <si>
    <t xml:space="preserve">SCB:The heating system being out of service due to internal plugging is causing prod'n deferment
</t>
  </si>
  <si>
    <t>GPOC:Prod'n deferred due to Power trip in Unity &amp; El-toor.
CPO-5:Prod'n deferred due to community strike at Indico field.
SPOC:WHCC stopped export to PS1 as per Motor Control Center (MCC) requested.</t>
  </si>
  <si>
    <t>A1&amp;A3:Due to SHP EGC-B &amp; Separator-B tripped, prod'n has been deferred.
CPO-5:Indico wells are progressively being opened after Community Strike.
LZC:Reason awaited from the operator.
SPOC:WHCC stopped export to PS1 as per Motor Control Center (MCC) requested.
GPOC:Prod'n deferred due to Power trip in Unity.</t>
  </si>
  <si>
    <t>GPOC:Prod'n deferred due to Power trip in Unity.
A1&amp;A3:Prod'n deferred due to buyer's nomination.
SPOC:WHCC stopped export to PS1 as per Motor Control Center (MCC) requested.
LZC:Reason awaited from the operator.</t>
  </si>
  <si>
    <t>PCB:Prod'n deferred due to electrical flickering in the circuit associated with Petrocarabobo, affecting process equipment and 12 wells.
A1&amp;A3:Prod'n deferred due to buyer's nomination.
Sakhalin-1:New Oil Prod'n data received from the Operator. Slowdown activities were being carried out for regular summer maintenance. (Slowdown period 2nd Aug to 8th Aug). From 7th August prod'n has returned to previous level.</t>
  </si>
  <si>
    <t>A1&amp;A3:Prod'n deferred due to buyer's nomination.</t>
  </si>
  <si>
    <t>SPOC:WHCC restarted export to PS1.
A1&amp;A3:Prod'n deferred due to buyer's nomination.
Sakhalin-1:New Gas Prod'n data received from the Operator.</t>
  </si>
  <si>
    <t>SPOC:WHCC stopped export to PS1 as per Motor Control Center (MCC) requested.
A1&amp;A3:Prod'n deferred due to buyer's nomination.</t>
  </si>
  <si>
    <t>PCB:Prod'n deferred due to malfunction in Crude Oil Heater.
A1&amp;A3:Prod'n deferred due to buyer's nomination.</t>
  </si>
  <si>
    <t>A1&amp;A3:Prod'n deferred due to buyer's nomination.
Sakhalin-1:New Oil Prod'n data received from the Operator and Prod'n deferred because planned maintenance on GTC 2 and GTC 1 at Chayvo OPF has begun.</t>
  </si>
  <si>
    <t>A1&amp;A3:Prod'n deferred due to buyer's nomination.
PCB:Prod'n deferred due to PCP Issue.</t>
  </si>
  <si>
    <t>A1&amp;A3:Prod'n deferred due to buyer's nomination.
SPOC:WHCC restarted export to PS1.</t>
  </si>
  <si>
    <t>A1&amp;A3:Prod'n deferred due to buyer's nomination.
SPOC:WHCC restarted export to PS1.
GPOC:Prod'n Deferred due to Power tripped at El Nar &amp; El Toor.</t>
  </si>
  <si>
    <t>GPOC:Prod'n Deferred due to Power tripped at Toma South,El Nar,Unity,El Toor &amp; Munga.
A1&amp;A3:Prod'n deferred due to buyer's nomination.
SCB:The heating system being out of service due to internal plugging is causing prod'n deferment.</t>
  </si>
  <si>
    <t>GPOC:Prod'n Deferred due to Power tripped at Toma South,El Nar,Unity,El Toor &amp; Munga.
A1&amp;A3:Prod'n deferred due to buyer's nomination.
SPOC:TJ CPF stopped export to WHCC.(Field Prod'n:-12.7k bopd)</t>
  </si>
  <si>
    <t>PCB:Prod'n deferred due to electrical failure leading to minor shatdowns.
GPOC:Prod'n Deferred due to a transmission line issue at Munga, a power outage at Toma South, and El Nar.
A1&amp;A3:Prod'n deferred due to buyer's nomination.
SPOC: TJ CPF stopped export to WHCC.(Field Prod'n:-11.3k bopd)</t>
  </si>
  <si>
    <t>GPOC:Prod'n Deferred due to a transmission line issue at Munga and power outage at Toma South.
A1&amp;A3:Prod'n deferred due to buyer's nomination.
SPOC:TJ CPF stopped export to WHCC.(Field Prod'n:-10.2k bopd)
BC-10:Reason awaited from the operator regarding prod'n deferment.</t>
  </si>
  <si>
    <t>IEC:Prod'n deferred due to a sudden increase in water cut from 5% to 13% at well no. 133 in the Snezhnoye field.
SPOC:TJ CPF stopped export to WHCC.(Field Prod'n:-12.7k bopd)
A1&amp;A3:buyer's nomination.
BC-10:Reason awaited from the operator regarding prod'n deferment.
GPOC:Prod'n deferred due to power tripped at Field.</t>
  </si>
  <si>
    <t>SPOC:TJ CPF stopped export to WHCC.(Field Prod'n:-11.6k bopd)
A1&amp;A3:buyer's nomination.
GPOC:Prod'n deferred due to power tripped at Field.</t>
  </si>
  <si>
    <t>SPOC:Export from WHCC to PS#1 stopped due to low COBT level.(Field Prod'n:-13.3k bopd)
A1&amp;A3:buyer's nomination.
GPOC:Prod'n deferred due to power tripped at Field.</t>
  </si>
  <si>
    <t>SPOC:WHCC resumed export to PS#1.
GPOC:Prod'n deferred due to biorem limitations and downhole complications  that stopped several wells at Toma South, Unity, El Toor, and Munga.
A1-A3:Mya-North wells shut in due to subsea communication loss &amp; SHP full production s/d due to produced water degassing.
PCB:Prod'n deferred due to power blackout in Venezuela.</t>
  </si>
  <si>
    <t>LZC:Quota for the month is 421k BOPD.
GPOC:Prod'n deferred due to biorem limitations and downhole complications  that stopped several wells at Toma South, Unity, El Toor, and Munga.
A1&amp;A3:buyer's nomination.</t>
  </si>
  <si>
    <t>A1&amp;A3:buyer's nomination.
SPOC:WHCC resumed export to PS#1.
GPOC:Prod'n deferred due to biorem limitations and downhole complications  that stopped several wells at Toma South, Unity, El Toor, and Munga.
PCB:Prod'n deferred due to power blackout in Venezuela.
SCB:Prod'n deferred due to power blackout in Venezuela.</t>
  </si>
  <si>
    <t>Sakhalin-1:New Prod'n data received from Operator. Prod'n deferred due to s/d of the booster gas comp. at Chayvo in week of 23–29 Aug'24.
A1&amp;A3:Prod'n deferred due to buyer's nomination.
SPOC:TJ stopped export due to EOT issues.
LZC: The shortfall in prod'n is due to barge movement and planned activities, to be rectified in 2 days.
GPOC:Prod'n deferred due to biorem limitations and downhole complications.</t>
  </si>
  <si>
    <t>ACG:Prod'n deferred as fire broke on scaffolding of GIC Train-4, Central Azeri.
A1-A3:Prod'n deferred due to buyer's nomination.
SPOC:TJ stopped export due to EOT issues.
GPOC:Prod'n deferred due to biorem limitations and downhole complications.
LZC: The shortfall in prod'n is due to barge movement and planned activities, to be rectified in 2 days.</t>
  </si>
  <si>
    <t>ACG:Prod'n deferred as fire broke on scaffolding of GIC Train-4, Central Azeri.
A1-A3:Prod'n deferred due to buyer's nomination.
SPOC:TJ stopped export due to EOT issues (Prod'n:-10.7k bopd).
GPOC:Prod'n deferred due to biorem limitations and downhole complications.</t>
  </si>
  <si>
    <t>ACG:Prod'n ramped up after s/d, Central Azeri.
A1-A3:Prod'n deferred due to buyer's nomination.
SPOC:TJ stopped export due to EOT &amp; BONO heater issues (Prod'n:-7.2k bopd).
GPOC:Prod'n deferred due to biorem limitations and downhole complications.</t>
  </si>
  <si>
    <t>A1-A3:Prod'n deferred due to buyer's nomination &amp; pipeline maintenance in China.
SPOC:Export not yet started. 15 wells flowing (TJ-6 Mala-9 Prod'n-803.2 bopd) Prod'n deferred due to Oil Treater &amp; BONO heater issues.
GPOC:Prod'n deferred due to biorem limitations and downhole complications.</t>
  </si>
  <si>
    <t>A1-A3:Prod'n deferred due to buyer's nomination &amp; pipeline maintenance in China.
SPOC:Export not yet started. 15 wells flowing (TJ-6 Mala-9 Prod'n-2.3k bopd) Prod'n deferred due to Oil Treater &amp; BONO heater issues.
GPOC:Prod'n deferred due to biorem limitations and downhole complications.</t>
  </si>
  <si>
    <t>CPO-5:Cante Flamenco-2 prod'n:946.27 bopd &amp; Chk change from 28/64 to 24/64.
Vankor:Prod'n deferred due to Replacement of faulty sections in the oil gathering pipeline.
A1-A3:Prod'n deferred due to buyer's nomination.
GPOC:Prod'n deferred due to biorem limitations and downhole complications.
BC-10:Prod'n reduced to keep GE header pressure down.
LZC:Reason awaited from the operator regarding prod'n deferment.</t>
  </si>
  <si>
    <t>A1-A3:Prod'n deferred due to buyer's nomination.
CPO-5:CF-2 prod'n:0.67 bopd &amp;  slickline operations (multirate and PBU tests) ongoing.
GPOC:Prod'n deferred due to biorem limitations and downhole complications.
BC-10:Prod'n less as some of produced oil is used to fill hot oil tank.
LZC:Reason awaited from the operator regarding prod'n deferment.</t>
  </si>
  <si>
    <t>IEC:Prod'n deferred due to APG Plant s/d.
A1-A3:Prod'n deferred due to buyer's nomination.
CPO-5:CF-2 Well closed for PBU test.
GPOC:Prod'n deferred due to biorem limitations and downhole complications.
BC-10:Prod'n less as some of produced oil is used to fill hot oil tank.</t>
  </si>
  <si>
    <t>IEC:Prod'n deferred due to APG Plant s/d.
A1-A3:Prod'n deferred due to buyer's nomination.
CPO-5:CF-2 Well closed for PBU test.
GPOC:Prod'n deferred due to biorem limitations and downhole complications.
BC-10:Prod'n less as some of produced oil is used to fill hot oil tank.
B-06.1:prod'n deferred due to LD1P &amp; LD2P  Both wells were closed due to GT-B tripped.</t>
  </si>
  <si>
    <t>Sakhalin-1:New Oil Prod'n data received from Operator &amp; less production at Odoptu, completed 8K maintenance of GT engines on gas compression line #2.
IEC:Prod'n deferred due to APG Plant s/d from 23 to 29 Sep'24. 
A1-A3:Prod'n deferred due to buyer's nomination.
CPO-5:CF-2 Well, closed temporarily.
GPOC:Prod'n deferred due to biorem limitations and downhole complications.
BC-10:Prod'n less as some of produced oil is used to fill hot oil tank.</t>
  </si>
  <si>
    <t>SPOC:6 wells flowing &amp; Prod'n deferred due to Oil Treater &amp; BONO heater issues.
A1-A3:Prod'n deferred due to buyer's nomination.
GPOC:Prod'n deferred due to biorem limitations and downhole complications.
BC-10:Prod'n reduced to keep GE header pressure down.</t>
  </si>
  <si>
    <t>A1-A3:Prod'n deferred due to buyer's nomination.
SPOC:15 wells flowing &amp; Prod'n deferred due to Oil Treater &amp; BONO heater issues.
GPOC:Prod'n deferred due to biorem limitations and downhole complications.</t>
  </si>
  <si>
    <t>Sakhalin-1:New Oil Prod'n data received from the Operator.
BC-10:Prod'n reduced to keep GE header pressure down.
SPOC:15 wells flowing &amp; Prod'n deferred due to Oil Treater &amp; BONO heater issues.
A1-A3:Prod'n deferred due to buyer's nomination.
GPOC:Prod'n deferred due to biorem limitations and downhole complications.</t>
  </si>
  <si>
    <t>LZC:Prod'n deferred due to ZK-45 Oil radial s/d for 5hrs due to Rig Junanah Skid-in Operation.
SPOC:6 wells flowing prod'n deferred due to Oil Treater &amp; BONO heater issues.
A1-A3:Prod'n deferred due to buyer's nomination.
GPOC:Prod'n deferred due to biorem limitations and downhole complications.</t>
  </si>
  <si>
    <t>Sakhalin-1:New Oil Prod'n data received from the Operator.
SPOC:21 wells flowing Prod'n deferred due to Oil Treater &amp; BONO heater issues.
A1-A3:Prod'n deferred due to buyer's nomination.
GPOC:Prod'n deferred due to biorem limitations and downhole complications.
BC-10:Prod'n reduced to keep GE header pressure down.</t>
  </si>
  <si>
    <t>SPOC:27 wells flowing &amp; Prod'n deferred due to Oil Treater &amp; BONO heater issues.
A1-A3:Prod'n deferred due to buyer's nomination.
GPOC:Prod'n deferred due to biorem limitations and downhole complications.
BC-10:Prod'n reduced to keep GE header pressure down.</t>
  </si>
  <si>
    <t>SPOC:28 wells flowing &amp; Prod'n deferred due to Oil Treater &amp; BONO heater issues.
A1-A3:Prod'n deferred due to buyer's nomination.
GPOC:Prod'n deferred due to biorem limitations and downhole complications.
BC-10:Prod'n reduced to keep GE header pressure down.
LZC:Al Ghallan zero prod'n due to gas lift compressor s/d.</t>
  </si>
  <si>
    <t>CPO-5:Cante Flamenco-2 prod'n started with 1541.61 bopd.
IEC: Prod'n deferred due to well SM-314 s/d due to ESP trip, Snezhnoye.
A1-A3:Prod'n deferred due to buyer's nomination.
GPOC:Prod'n deferred due to biorem limitations and downhole complications.</t>
  </si>
  <si>
    <t>A1-A3:Prod'n deferred due to buyer's nomination.
GPOC:Prod'n deferred due to biorem limitations and downhole complications.
BC-10:Prod'n reduced to keep GE header pressure down.
LZC:Al Ghallan zero prod'n due to gas lift compressor s/d. prod'n will resume after 2 days._x000D_</t>
  </si>
  <si>
    <t>A1-A3:Prod'n deferred due to buyer's nomination.
GPOC:Prod'n deferred due to biorem limitations, downhole complications and power trip at EL Nar.
BC-10:Prod'n reduced to keep GE header pressure down.
CPO-5:CF-2 prod'n:319.31 bopd &amp; THP decrease from 40 psi to 20 psi.</t>
  </si>
  <si>
    <t>A1-A3:Prod'n deferred due to buyer's nomination.
CPO-5:CF-2 prod'n:98.70 bopd &amp; Well closed at 15:20 hrs for slickline operations (multirate and PBU tests).
GPOC:Prod'n deferred due to biorem limitations and downhole complications.
BC-10:Prod'n less as some of produced oil is used to fill hot oil tank.
LZC:Reason awaited from the operator regarding prod'n deferment.</t>
  </si>
  <si>
    <t>SPOC:TJH-17, TJH-20 &amp; TJH-23 wells were shut in due to high w/c issues at CPF, hence prod'n was deferred.
IEC:Prod'n deferred due to APG Plant s/d from 23 to 29 Sep'24.
A1-A3:Prod'n deferred due to buyer's nomination.
CPO-5:CF-2 Well, closed temporarily.
GPOC:Prod'n deferred due to biorem limitations, downhole complications and power trip at EL Toor.
BC-10:Prod'n less as some of produced oil is used to fill hot oil tank.</t>
  </si>
  <si>
    <t>SPOC:high w/c issues at CPF, hence prod'n was deferred.
IEC:Prod'n deferred due to APG Plant s/d from 23 to 29 Sep'24.
A1-A3:Prod'n deferred due to buyer's nomination.
CPO-5:CF-2 prod'n:160.38 bopd &amp;Well flowing under N2 Injection.
GPOC:Prod'n deferred due to biorem limitations, downhole complications.</t>
  </si>
  <si>
    <t>APG plant s/d.</t>
  </si>
  <si>
    <t>SPOC:high w/c issues at CPF, hence prod'n was deferred.
IEC:Prod'n deferred due to APG Plant s/d from 23 to 29 Sep'24.
A1-A3:Prod'n deferred due to buyer's nomination.
CPO-5:CF-2 prod'n:431.90 bopd &amp;Well flowing under N2 Injection.
GPOC:Prod'n deferred due to biorem limitations, downhole complications.
Vankor:Routine repair of the overhead line and power equipment.</t>
  </si>
  <si>
    <t>NMGL related works.</t>
  </si>
  <si>
    <t>mobo 6 trip and module fault.</t>
  </si>
  <si>
    <t>LZGPF under s/d &amp; LTDP project activities planned for 28 days from 1st May.</t>
  </si>
  <si>
    <t>s/d due to HP/LP mode switching of compr.</t>
  </si>
  <si>
    <t>APG plant s/d due to non evacuation of LPG.</t>
  </si>
  <si>
    <t>maintenance work at Odoptu.</t>
  </si>
  <si>
    <t>well testing of well LD P2(under s/d).</t>
  </si>
  <si>
    <t>Sakhalin-1:New Prod'n data received from operator &amp; less prod'n at Odoptu, replaced dry gas seals on GIC#1. At Chayvo, the membrane replaced, and the water glycol system was put back online.
IEC:Prod'n deferred due to APG Plant s/d from 23 to 29 Sep'24.
A1-A3:Prod'n deferred due to buyer's nomination.
CPO-5:CF-2 prod'n:164.91 bopd &amp;Well flowing under N2 Injection.
GPOC:Prod'n deferred due to biorem limitations, downhole complications.</t>
  </si>
  <si>
    <t>Planned TAR of DWG.</t>
  </si>
  <si>
    <t>Planned TAR at DWG platform.</t>
  </si>
  <si>
    <t>Buyer's Nomination.</t>
  </si>
  <si>
    <t>s/d at electrical substation.</t>
  </si>
  <si>
    <t>Barge Movement For Rigless Jobs.</t>
  </si>
  <si>
    <t>APG Plant s/d.</t>
  </si>
  <si>
    <t>major corrective maintenance job</t>
  </si>
  <si>
    <t xml:space="preserve"> s/d to meet NR 13 compliance.</t>
  </si>
  <si>
    <t>Oil pipeline pigging operation.</t>
  </si>
  <si>
    <t>SPOC:high w/c issues at CPF, hence prod'n was deferred.
A1-A3:Prod'n deferred due to buyer's nomination.
CPO-5:CF-2 Well closed temporarily.
IEC:Prod'n deferred due to APG Plant s/d.
GPOC:Prod'n deferred due to biorem limitations, downhole complications.
Vankor:Routine repair of the overhead line and power equipment.
PCB:Electrical flickering at PCB, affecting process equipment and 22 wells.</t>
  </si>
  <si>
    <t>LZC::Quota for the month is 425k bopd &amp; Prod'n deferred due to barge movement.
SPOC:high w/c issues at CPF, hence prod'n was deferred.
IEC:Prod'n ramp-up.
A1-A3:Prod'n deferred due to buyer's nomination.
CPO-5:CF-2 Well closed temporarily.
GPOC:Prod'n deferred due to biorem limitations, downhole complications.</t>
  </si>
  <si>
    <t>LZC:prod'n deferred due to barge movement.
A1-A3:Prod'n deferred due to buyer's nomination.
CPO-5:CF-2 Well closed temporarily.
GPOC:Prod'n deferred due to biorem limitations, downhole complications &amp; power tripped at Toma South.</t>
  </si>
  <si>
    <t>A1-A3:Prod'n deferred due to buyer's nomination.
SPOC:All Mala, 6 TJ wells shut-in due to high w/c issues at CPF &amp; TJH-13,14 tripped due to power fluctuation and overload alarm, hence prod'n was deferred.
CPO-5:CF-2 Well closed temporarily.
GPOC:Prod'n deferred due to biorem limitations, downhole complications &amp; power tripped at Toma South.</t>
  </si>
  <si>
    <t>A1-A3:Prod'n deferred due to buyer's nomination.
CPO-5:CF-2 Well closed temporarily.
GPOC:Prod'n deferred due to biorem limitations, downhole complications.
PCB:Electrical failure at PCB, affecting CPF and 51 wells.</t>
  </si>
  <si>
    <t>A1-A3:Prod'n deferred due to buyer's nomination.
CPO-5:CF-2 Well closed temporarily.
GPOC:Prod'n deferred due to biorem limitations, downhole complications &amp; power tripped at Unity.
PCB:Prod'n stabilised after electrical failure.</t>
  </si>
  <si>
    <t>A1-A3:Prod'n deferred due to buyer's nomination.
SPOC:Prod'n deferred due to transformer issue at TJH-19 well.
CPO-5:CF-2 Well closed temporarily.
GPOC:Prod'n deferred due to biorem limitations, downhole complications.</t>
  </si>
  <si>
    <t>A1-A3:Prod'n deferred due to buyer's nomination.
GPOC:Prod'n deferred due to biorem limitations, downhole complications.
CPO-5:Prod'n deferred due to a community strike at indico pad &amp; CF-2 Well closed temporarily.
BC-10:ALM-1 Train-C, ALM-2 Train-B and ALM-3 Train-A are Offline,hence prod'n was deferred.</t>
  </si>
  <si>
    <t>A1-A3:Prod'n deferred due to buyer's nomination.
GPOC:Prod'n deferred due to biorem limitations, downhole complications.
CPO-5:Prod'n deferred due to a community strike at indico pad &amp; CF-2 Well closed temporarily.
BC-10:ALM-1 Train-C, ALM-2 Train-B and ALM-3 Train-A are Offline,hence prod'n was deferred.
PCB:Prod'n stabilised after electrical failure.</t>
  </si>
  <si>
    <t>A1-A3:Prod'n deferred due to buyer's nomination.
GPOC:Prod'n deferred due to biorem limitations, downhole complications.
CPO-5:Strike was lifted. Wells gradually opened at Indico pad &amp; CF-2 Well closed temporarily.
BC-10:ALM-1 Train-C is Offline,hence prod'n was deferred.
PCB:Prod'n stabilised after electrical failure.</t>
  </si>
  <si>
    <t>A1-A3:Prod'n deferred due to buyer's nomination.
CPO-5:CF-2 Well closed temporarily &amp; Mariposa-1 well closed due to PBU test.
GPOC:Prod'n deferred due to biorem limitations, downhole complications.
BC-10:ALM-1 Train-C is Offline,hence prod'n was deferred.</t>
  </si>
  <si>
    <t>A1-A3:Prod'n deferred due to buyer's nomination.
CPO-5:CF-2 Well closed temporarily &amp; Mariposa-1 well closed due to PBU test.
BC-10:ALM-1 Train-C is Offline,hence prod'n was deferred.
GPOC:Prod'n deferred due to biorem limitations, downhole complications.</t>
  </si>
  <si>
    <t>A1-A3:Prod'n deferred due to buyer's nomination.
CPO-5:CF-2 Well closed temporarily &amp; Mariposa-1 well closed due to PBU test.
BC-10:ALM-1 Train-C is Offline,hence prod'n was deferred.
IEC:Reason awaited from the operator regarding prod'n deferment.</t>
  </si>
  <si>
    <t>A1-A3:Prod'n deferred due to buyer's nomination.
GPOC:Prod'n deferred due to biorem limitations, downhole complications and power trip at El-Toor &amp; Munga.
CPO-5:CF-2 Well closed temporarily.
BC-10:ALM-1 Train-C is Offline,hence prod'n was deferred.
LZC:Reason awaited from the operator regarding prod'n deferment.</t>
  </si>
  <si>
    <t>Sakhalin-1:New Prod'n data received from operator.
A1-A3:Prod'n deferred due to buyer's nomination.
GPOC:Prod'n deferred due to biorem limitations, downhole complications and power trip at Toma South.
CPO-5:CF-2 &amp; Mariposa-1 Wells closed temporarily.
BC-10:ALM-1 Train-C is Offline,hence prod'n was deferred.
PCB:Electrical flickering at Petro carabobo.</t>
  </si>
  <si>
    <t>A1-A3:Prod'n deferred due to buyer's nomination, and DPR will be given on Monday following the Thadingyut holidays, which are held from Oct 16th to 18th.
GPOC:Prod'n deferred due to biorem limitations, downhole complications.
CPO-5:CF-2 Well closed temporarily.
BC-10:ALM-1 Train-C is Offline,hence prod'n is deferred.</t>
  </si>
  <si>
    <t>Barge Movement</t>
  </si>
  <si>
    <t>ALM-1 Train-C is Offline</t>
  </si>
  <si>
    <t>Biorem limitation, downhole complications</t>
  </si>
  <si>
    <t>CF-2 Well closed temporarily</t>
  </si>
  <si>
    <t>Low Buyers' Nomination</t>
  </si>
  <si>
    <t>Power trip at toma south</t>
  </si>
  <si>
    <t>Transformer Issue at TJH-19</t>
  </si>
  <si>
    <t>Electrical Failure</t>
  </si>
  <si>
    <t>Power trip at unity</t>
  </si>
  <si>
    <t>ALM-1, ALM-2 and ALM-3 Train Offline</t>
  </si>
  <si>
    <t>Power trip at El-Toor &amp; Munga</t>
  </si>
  <si>
    <t>425k BOPD Quota</t>
  </si>
  <si>
    <t>421k BOPD Quota</t>
  </si>
  <si>
    <t>Biorem limitations &amp; downhole complications</t>
  </si>
  <si>
    <t>Booster Gas Comp. S/d</t>
  </si>
  <si>
    <t>EOT Issues</t>
  </si>
  <si>
    <t>Fire broke on scaffolding of GIC Train-4</t>
  </si>
  <si>
    <t>Bono Heater issues</t>
  </si>
  <si>
    <t>High w/c issues</t>
  </si>
  <si>
    <t>community strike at indico pad</t>
  </si>
  <si>
    <t>Mariposa-1 well closed PBU test</t>
  </si>
  <si>
    <t>Elec. Flickering</t>
  </si>
  <si>
    <t>A1-A3:Prod'n deferred due to buyer's nomination.
GPOC:Prod'n deferred due to biorem limitations, downhole complications.
CPO-5:CF-2 Well closed temporarily.
BC-10:ALM-1 Train-C is Offline,hence prod'n is deferred.</t>
  </si>
  <si>
    <t>LZC:Prod'n deferred due to barge movement.
A1-A3:Prod'n deferred due to buyer's nomination &amp; Mya-North shut in.
GPOC:Prod'n deferred due to biorem limitations, downhole complications and power trip at El-Toor &amp; El-Nar.
CPO-5:CF-2 Well closed temporarily.
BC-10:ALM-1 Train-C is Offline,hence prod'n is deferred.</t>
  </si>
  <si>
    <t>A1-A3:Prod'n deferred due to buyer's nomination.
BC-10:ALM-1 Train-C is Offline,hence prod'n is deferred.
GPOC:Prod'n deferred due to biorem limitations, downhole complications and power trip at El-Toor &amp; El-Nar.
PCB:Prod'n deferred due to constant electrical flickering at Petro carabobo.
CPO-5:CF-2 Well closed temporarily.</t>
  </si>
  <si>
    <t>A1-A3:Prod'n deferred due to buyer's nomination.
BC-10:ALM-1 Train-C is Offline,hence prod'n is deferred.
GPOC:Prod'n deferred due to biorem limitations, downhole complications.
PCB:Electrical flickering at Petro carabobo.
CPO-5:CF-2 Well closed temporarily.</t>
  </si>
  <si>
    <t>A1-A3:Prod'n deferred due to buyer's nomination.
BC-10:ALM-1 Train-C is Offline,hence prod'n is deferred.
GPOC:Prod'n deferred due to biorem limitations, downhole complications.
CPO-5:Indico-2 Well was closed from 8:00 to 13:00 to replace the Xmastree wing valve &amp; CF-2 Well closed temporarily.
PCB:Electrical flickering at Petro carabobo.</t>
  </si>
  <si>
    <t>Prev. day data for ACG.</t>
  </si>
  <si>
    <t>A1-A3:Prod'n deferred due to buyer's nomination.
BC-10:ALM-1 Train-C is Offline,hence prod'n is deferred.
GPOC:Prod'n deferred due to biorem limitations, downhole complications.
CPO-5:CF-2 Well closed temporarily.
PCB:Electrical flickering at Petro carabobo.</t>
  </si>
  <si>
    <t>A1-A3:Prod'n deferred due to buyer's nomination.
BC-10:ALM-1 Train-C is Offline,hence prod'n is deferred.
GPOC:Prod'n deferred due to biorem limitations, downhole complications.
CPO-5:CF-2 Well closed temporarily.
PCB:Delay in prod'n stabilization due to constant electrical flickering at Petro carabobo.</t>
  </si>
  <si>
    <t>A1-A3:Prod'n deferred due to buyer's nomination.
BC-10:ALM-1 Train-C is Offline,hence prod'n is deferred.
GPOC:Prod'n deferred due to biorem limitations, downhole complications.
PCB:Delay in prod'n stabilization due to constant electrical flickering at Petro carabobo.</t>
  </si>
  <si>
    <t>B-06.1:Prod'n deferred due to gas compression train-1 tripped due to malfunction.
IEC:Reason awaited from the operator regarding prod'n deferment.
BC-10:ALM-1 Train-C is Offline,hence prod'n is deferred.
GPOC:Prod'n deferred due to biorem limitations, downhole complications.
A1-A3:Prod'n deferred due to buyer's nomination.
PCB:Prod'n deferred due to the low efficiency of PCPs in 9 wells.</t>
  </si>
  <si>
    <t>Sakhalin-1:New Prod'n data received from operator.
BC-10:ALM-1 Train-C is Offline,hence prod'n is deferred.
GPOC:Prod'n deferred due to biorem limitations, downhole complications.
A1-A3:Prod'n deferred due to buyer's nomination.
PCB:Prod'n deferred due to the low efficiency of PCPs in 9 wells.</t>
  </si>
  <si>
    <t>BC-10:ALM-1 Train-C is Offline,hence prod'n is deferred.
GPOC:Prod'n deferred due to biorem limitations, downhole complications.
A1-A3:Prod'n deferred due to buyer's nomination.
PCB:Prod'n deferred due to the low efficiency of PCPs in 9 wells.</t>
  </si>
  <si>
    <t>LZC:Due to bad weather, prod'n curtailment started to maintain required ullage.
BC-10:ALM-1 Train-C is Offline,hence prod'n is deferred.
GPOC:Prod'n deferred due to biorem limitations, downhole complications.
A1-A3:Prod'n deferred due to buyer's nomination.
PCB:Prod'n deferred due to the low efficiency of PCPs in 9 wells.</t>
  </si>
  <si>
    <t>Sakhalin-1:New Prod'n data received from operator &amp; Reason for less prod'n due to maintenance activities on GTG#1 at Berkut Platform.
BC-10:ALM-1 Train-C is Offline,hence prod'n is deferred.
LZC:Due to bad weather, prod'n curtailment started to maintain required ullage.
GPOC:Prod'n deferred due to biorem limitations, downhole complications.
A1-A3:Prod'n deferred due to buyer's nomination.
PCB:Prod'n deferred due to the low efficiency of PCPs in 9 wells.</t>
  </si>
  <si>
    <t>BC-10:ALM-1 Train-C is Offline,hence prod'n is deferred.
GPOC:Prod'n deferred due to biorem limitations, downhole complications.
A1-A3:Prod'n deferred due to buyer's nomination.
LZC:Prod'n ramp-up.
PCB:Prod'n deferred due to the low efficiency of PCPs in 9 wells.</t>
  </si>
  <si>
    <t>BC-10:Prod'n Ramp-up is ongoing after starting MOBO 1 &amp; 3.
GPOC:Prod'n deferred due to biorem limitations, downhole complications.
A1-A3:Prod'n deferred due to buyer's nomination.
PCB:Prod'n deferred due to the low efficiency of PCPs in 9 wells.</t>
  </si>
  <si>
    <t>_x000D_BC-10:Prod'n Ramp-up is ongoing after starting MOBO 1 &amp; 3.
CPO-5:Prod'n deferred due to community blockade at Indico pad.
GPOC:Prod'n deferred due to biorem limitations, downhole complications.
A1-A3:Prod'n deferred due to buyer's nomination.
PCB:Prod'n deferred due to the low efficiency of PCPs in 9 wells.</t>
  </si>
  <si>
    <t>LZC:Quota for the month is 422k bopd.
BC-10:ALM-1 Train-C is online with MOBO 1, preparing MOBO 3 for start.
CPO-5:Prod'n deferred due to community blockade at Indico pad.
GPOC:Prod'n deferred due to biorem limitations, downhole complications.
A1-A3:Prod'n deferred due to buyer's nomination.
PCB:Prod'n deferred due to the low efficiency of PCPs in 9 wells.</t>
  </si>
  <si>
    <t>Sakhalin-1:New Prod'n data received from operator.
GPOC:Prod'n deferred due to biorem limitations, downhole complications.
A1-A3:Prod'n deferred due to buyer's nomination.
PCB:Prod'n deferred due to the low efficiency of PCPs in 9 wells.</t>
  </si>
  <si>
    <t>GPOC:Prod'n deferred due to biorem limitations, downhole complications.
A1-A3:Prod'n deferred due to buyer's nomination.
PCB:Prod'n deferred due to the low efficiency of PCPs in 9 wells.</t>
  </si>
  <si>
    <t>GPOC:Prod'n deferred due to biorem limitations, downhole complications.
A1-A3:Prod'n deferred due to buyer's nomination &amp; Major Corrective Maintenance (Inspection campaign to identify potential corrosion point).
PCB:Prod'n deferred due to the low efficiency of PCPs in 9 wells.</t>
  </si>
  <si>
    <t>YDT</t>
  </si>
  <si>
    <t>GPOC:Prod'n deferred due to biorem limitations, downhole complications.
A1-A3:Prod'n deferred due to buyer's nomination &amp; Major Corrective Maintenance (Inspection campaign to identify potential corrosion point).
PCB:Prod'n deferred due to the low efficiency of PCPs in 9 wells.
LZC:Due to corrective maintenance activities, prod'n is deferred.</t>
  </si>
  <si>
    <t>H2(onwards) Actual Avg</t>
  </si>
  <si>
    <t>_x000D_PCB:Prod'n deferred due to the low efficiency of PCPs in 9 wells._x000D_
A1-A3:Prod'n deferred due to buyer's nomination._x000D_
GPOC:Prod'n deferred due to biorem limitations, downhole complications.</t>
  </si>
  <si>
    <t>_x000D_PCB:Prod'n deferred due to the low efficiency of PCPs in 9 wells._x000D_
A1-A3:Prod'n deferred due to buyer's nomination._x000D_
GPOC:Prod'n deferred due to biorem limitations, downhole complications._x000D_
LZC:Due to Barge movment &amp; Gas Processing Facility (GPF) Tripped, prod'n deferred.</t>
  </si>
  <si>
    <t>_x000D_PCB:Prod'n deferred due to the low efficiency of PCPs in 9 wells_x000D_
GPOC:_x000D_Prod'n deferred due to biorem limitations, downhole complications.
A1-A3:Prod'n deferred due to buyer's nomination.</t>
  </si>
  <si>
    <t>_x000D_PCB:_x000D_Prod'n deferred due to the low efficiency of PCPs in 9 wells.
GPOC:_x000D_Prod'n deferred due to biorem limitations, downhole complications.
A1-A3:Prod'n deferred due to buyer's nomination._x000D_
LZC:Prod'n deferred due to adverse weather conditions.</t>
  </si>
  <si>
    <t>_x000D_PCB:_x000D_Prod'n deferred due to the low efficiency of PCPs in 9 wells
GPOC:_x000D_Prod'n deferred due to biorem limitations, downhole complications.
A1-A3:Prod'n deferred due to buyer's nomination._x000D_
LZC:Prod'n deferred due to adverse weather conditions.</t>
  </si>
  <si>
    <t>_x000D_PCB:Prod'n deferred due to the low efficiency of PCPs in 9 wells
_x000D_A1-A3:Prod'n deferred due to buyer's nomination._x000D_
GPOC:Prod'n deferred due to biorem limitations, downhole complications.</t>
  </si>
  <si>
    <t>_x000D_PCB:_x000D_Prod'n deferred due to the low efficiency of PCPs in 9 wells.
GPOC:Prod'n deferred due to biorem limitations, downhole complications._x000D_
A1-A3:Prod'n deferred due to buyer's nomination._x000D_
Sakhalin-1:New Prod'n data received from operator.</t>
  </si>
  <si>
    <t>_x000D_PCB:Prod'n deferred due to the low efficiency of PCPs in 9 wells._x000D_
A1-A3:Prod'n deferred due to buyer's nomination._x000D_
GPOC:Prod'n deferred due to biorem limitations, downhole complications._x000D_
Sakhalin-1:New Prod'n data received from operator &amp; prod'n deferred due to overhaul of module 3 consists of Gas Turbine Compressor (GTC) in Chayvo.</t>
  </si>
  <si>
    <t>_x000D_PCB:Prod'n deferred due to the low efficiency of PCPs in 23 wells._x000D_
A1-A3:Prod'n deferred due to buyer's nomination._x000D_
GPOC:Prod'n deferred due to biorem limitations, downhole complications.</t>
  </si>
  <si>
    <t>_x000D_
PCB:Prod'n deferred due to the low efficiency of PCPs in 23 wells._x000D_
GPOC:Prod'n deferred due to biorem limitations, downhole complications._x000D_
A1-A3:Prod'n deferred due to buyer's nomination.</t>
  </si>
  <si>
    <t>_x000D_
PCB:Prod'n deferred due to the low efficiency of PCPs in 23 wells._x000D_
GPOC:Prod'n deferred due to biorem limitations, downhole complications._x000D_
A1-A3:Prod'n deferred due to buyer's nomination._x000D_
MECL: PCP rods of 3 wells broken, waiting for WO rig._x000D_
BC-10:Prod'n deferred due to no flaring due to maintenance activites.</t>
  </si>
  <si>
    <t>_x000D_
PCB:Prod'n deferred due to the low efficiency of PCPs in 23 wells._x000D_
GPOC:Prod'n deferred due to biorem limitations, downhole complications._x000D_
A1-A3:Prod'n deferred due to buyer's nomination._x000D_
_x000D_BC-10:Prod'n deferred due to no flaring due to maintenance activites.
MECL: PCP rods of 3 wells broken, waiting for WO rig.</t>
  </si>
  <si>
    <t>_x000D_
PCB:Prod'n deferred due to the low efficiency of PCPs in 23 wells._x000D_
GPOC:Prod'n deferred due to biorem limitations, downhole complications._x000D_
A1-A3:Prod'n deferred due to buyer's nomination._x000D_
MECL: PCP rods of 3 wells broken, waiting for WO rig._x000D_
BC-10:Prod'n deferred due to no flaring due to maintenance activites._x000D_
Sakhalin:New Gas prod'n data received from operator.</t>
  </si>
  <si>
    <t>_x000D_
PCB:Prod'n deferred due to the low efficiency of PCPs in 23 wells._x000D_
GPOC:Prod'n deferred due to biorem limitations, downhole complications._x000D_
A1-A3:Prod'n deferred due to buyer's nomination._x000D_
MECL: PCP rods of 3 wells broken, waiting for WO rig._x000D_
BC-10:Prod'n deferred due to no flaring due to maintenance activites._x000D_
LZC:Blackout of Zakum Central Super Complex.</t>
  </si>
  <si>
    <t>_x000D_PCB:Prod'n deferred due to the low efficiency of PCPs in 23 wells._x000D_
CPO-5:Wells closed to SAR Energy's staff cessation of activities._x000D_
BC-10:Prod'n deferred due to no flaring due to maintenance activites._x000D_
GPOC:Prod'n deferred due to biorem limitations, downhole complications._x000D_
MECL: PCP rods of 3 wells broken, waiting for WO rig._x000D_
A1-A3:Prod'n deferred due to buyer's nomination._x000D_
LZC:Blackout of Zakum Central Super Complex.</t>
  </si>
  <si>
    <t>Prev. day data for CPO-5.</t>
  </si>
  <si>
    <t>_x000D_PCB:Prod'n deferred due to the low efficiency of PCPs in 23 wells._x000D_
BC-10:Prod'n deferred due to no flaring due to maintenance activites._x000D_
GPOC:Prod'n deferred due to biorem limitations, downhole complications._x000D_
MECL: PCP rods of 3 wells broken, waiting for WO rig._x000D_
A1-A3:Prod'n deferred due to buyer's nomination._x000D_
CPO-5:Wells closed to SAR Energy's staff cessation of activities.</t>
  </si>
  <si>
    <t>_x000D_PCB:Prod'n deferred due to the low efficiency of PCPs in 23 wells._x000D_
A1-A3:Prod'n deferred due to buyer's nomination._x000D_
MECL: PCP rods of 3 wells broken, waiting for WO rig._x000D_
GPOC:Prod'n deferred due to biorem limitations, downhole complications._x000D_
BC-10:Prod'n deferred due to no flaring due to maintenance activites._x000D_
CPO-5:Wells closed to SAR Energy's staff cessation of activities.</t>
  </si>
  <si>
    <t>_x000D_Vankor:Reason for production shortfall awaited from the operator.
GPOC:Prod'n deferred due to biorem limitations, downhole complications._x000D_
PCB:Prod'n deferred due to the low efficiency of PCPs in 23 wells._x000D_
A1-A3:Prod'n deferred due to buyer's nomination._x000D_
CPO-5:Wells of Indico pad are being opened gradually, as the blockade is over.
BC-10:Prod'n deferred due to no flaring due to maintenance activites._x000D_
MECL:PCP rods of 2 wells broken, waiting for WO rig.</t>
  </si>
  <si>
    <t>Vankor:Reason for production shortfall awaited from the operator.
LZC:Quota for the month is 425k bopd.
_x000D_PCB:Prod'n deferred due to the low efficiency of PCPs in 23 wells._x000D_
A1-A3:Prod'n deferred due to buyer's nomination._x000D_
GPOC:Prod'n deferred due to biorem limitations, downhole complications._x000D_
BC-10:Prod'n deferred due to no flaring due to maintenance activites._x000D_
CPO-5:Wells closed to SAR Energy's staff cessation of activities._x000D_
MECL:PCP rods of 3 wells broken, waiting for WO rig.</t>
  </si>
  <si>
    <t>_x000D_PCB:Prod'n deferred due to the low efficiency of PCPs in 23 wells._x000D_
A1-A3:Prod'n deferred due to buyer's nomination._x000D_
GPOC:Prod'n deferred due to biorem limitations, downhole complications._x000D_
MECL:PCP rods of 1 wells broken, waiting for WO rig._x000D_
BC-10:Prod'n deferred due to no flaring due to maintenance activites._x000D__x000D_
Vankor:Reason for production shortfall awaited from the operator._x000D_</t>
  </si>
  <si>
    <t>_x000D_PCB:Prod'n deferred due to the low efficiency of PCPs in 23 wells._x000D_
BC-10:_x000D_Prod'n deferred due to no flaring due to maintenance activites.
GPOC:Prod'n deferred due to biorem limitations, downhole complications._x000D_
A1-A3:Prod'n deferred due to buyer's nomination._x000D_</t>
  </si>
  <si>
    <t>Sakhalin-1:New Prod'n data received from operator.
PCB:Prod'n deferred due to the low efficiency of PCPs in 23 wells.
A1-A3:Prod'n deferred due to buyer's nomination.
GPOC:Prod'n deferred due to biorem limitations, downhole complications.</t>
  </si>
  <si>
    <t>PCB:Prod'n deferred due to the low efficiency of PCPs in 23 wells.
A1-A3:Prod'n deferred due to buyer's nomination.
GPOC:Prod'n deferred due to biorem limitations, downhole complications.</t>
  </si>
  <si>
    <t>_x000D_PCB:Prod'n deferred due to the low efficiency of PCPs in 23 wells.
SCB:_x000D_Prod'n deferred due to the leakage in pipeline.
CPO-5:Prod'n deferred due to RST Log job on Indico 7.
A1-A3:Prod'n deferred due to buyer's nomination._x000D_
GPOC:Prod'n deferred due to biorem limitations, downhole complications._x000D_</t>
  </si>
  <si>
    <t>_x000D_PCB:Prod'n deferred due to the low efficiency of PCPs in 23 wells._x000D_
SCB:_x000D_Prod'n deferred due to the leakage in pipeline.
BC-10:Prod'n deferred due to no flaring due to maintenance activites.
CPO-5:Indico 7 well is shut and handed over to Baker Hughes for RST log job.
GPOC:Prod'n deferred due to biorem limitations, downhole complications._x000D_
A1-A3:Prod'n deferred due to buyer's nomination._x000D_</t>
  </si>
  <si>
    <t>_x000D_PCB:Prod'n deferred due to the low efficiency of PCPs in 23 wells._x000D_
A1-A3:Prod'n deferred due to buyer's nomination._x000D_
GPOC:Prod'n deferred due to biorem limitations, downhole complications._x000D_
CPO-5:Prod'n deferred due to CPH Field Well shut in slickline unit rigup and PBU.</t>
  </si>
  <si>
    <t>u</t>
  </si>
  <si>
    <t>OVL MMT 
with arrears</t>
  </si>
  <si>
    <t>Gas BCM
with arrears</t>
  </si>
  <si>
    <t>O+OEG(MMTOE)
with arrears</t>
  </si>
  <si>
    <t>for Nov Reconciled Prodn without Arears</t>
  </si>
  <si>
    <t>_x000D_A1-A3:Prod'n deferred due to buyer's nomination.
PCB:Prod'n deferred due to the low efficiency of PCPs in 23 wells.
GPOC:Prod'n deferred due to biorem limitations, downhole complications.</t>
  </si>
  <si>
    <t>PCB:Prod'n deferred due to the low efficiency of PCPs in 23 wells._x000D_
GPOC:Prod'n deferred due to biorem limitations, downhole complications.
A1-A3:MOGE and CNUOC have partially increased their nomination quantity according prod’n has increased.
Sakhalin-1:New Prod'n data received from operator &amp; Oil production from new well DP-29L (from Berkut) has started this week. In order to avoid any process upsets, production has been lowered as a safety precaution.</t>
  </si>
  <si>
    <t xml:space="preserve">                                        </t>
  </si>
  <si>
    <t xml:space="preserve">_x000D_PCB:Prod'n deferred due to the low efficiency of PCPs in 23 wells._x000D_
GPOC:Prod'n deferred due to landing pressure drop in the pipeline at Heglig. Leakage identified at NCPF. It has been repaired. _x000D_
A1-A3:MOGE and CNUOC have partially increased their nomination quantity accordingly the prod’n has increased.
</t>
  </si>
  <si>
    <t>_x000D_PCB:Prod'n deferred due to the low efficiency of PCPs in 23 wells.
_x000D_GPOC:Prod'n deferred due to biorem limitations, downhole complications.
A1-A3:MOGE and CNUOC have partially increased their nomination quantity accordingly the prod’n has increased.</t>
  </si>
  <si>
    <t>0.195496639048121 MMT arrears since Jan’24 added In Nov'24</t>
  </si>
  <si>
    <t>0.0393485327513369 BCM arrears since Jan’24 added in Nov'24</t>
  </si>
  <si>
    <t>_x000D_PCB:Prod'n deferred due to the low efficiency of PCPs in 23 wells._x000D_
BC-10:_x000D_Prod'n deferred due to ALM-2 and MOBO-5 is offline.
SCB:Prod'n deferred due to reduced oil pumping from Budre-2 to PTO.
GPOC:Prod'n deferred due to biorem limitations, downhole complications.
A1-A3:Prod'n deferred due to buyer's nomination.</t>
  </si>
  <si>
    <t>_x000D_PCB:Prod'n deferred due to the low efficiency of PCPs in 23 wells.
GPOC:Prod'n deferred due to biorem limitations, downhole complications.
A1-A3:Prod'n deferred due to buyer's nomination.</t>
  </si>
  <si>
    <t>_x000D_PCB:_x000D_Prod'n deferred due to the low efficiency of PCPs in 23 wells.
GPOC:Prod'n deferred due to biorem limitations, downhole complications.
A1-A3:Prod'n deferred due to buyer's nomination.</t>
  </si>
  <si>
    <t>_x000D_PCB:Prod'n deferred due to the low efficiency of PCPs in 23 wells.
A1-A3:Prod'n deferred due to buyer's nomination.
GPOC:Prod'n deferred due to biorem limitations, downhole complications.</t>
  </si>
  <si>
    <t>_x000D_GPOC:Prod'n deferred due to biorem limitations, downhole complications.
PCB:Prod'n deferred due to the low efficiency of PCPs in 23 wells.
A1-A3:Prod'n deferred due to buyer's nomination.
Sakhalin-1:New Prod'n data received from operator.</t>
  </si>
  <si>
    <t>_x000D_GPOC:Prod'n deferred due to biorem limitations, downhole complications.
PCB:Prod'n deferred due to the low efficiency of PCPs in 23 wells.
A1-A3:Prod'n deferred due to buyer's nomination.</t>
  </si>
  <si>
    <t>_x000D_GPOC:Prod'n deferred due to biorem limitations, downhole complications.
PCB:Prod'n deferred due to the low efficiency of PCPs in 23 wells.
A1-A3:Prod'n deferred due to buyer's nomination._x000D_
CPO-5:Wells are closed because of a blockade by the local community.</t>
  </si>
  <si>
    <t>_x000D_A1-A3:Prod'n deferred due to buyer's nomination.
GPOC:Prod'n deferred due to biorem limitations, downhole complications.
PCB:Prod'n deferred due to the low efficiency of PCPs in 23 wells.
CPO-5:Wells are closed because of a blockade by the local community &amp; CF-2 prod'n: 278.08 bopd.</t>
  </si>
  <si>
    <t>_x000D_A1-A3:Prod'n deferred due to buyer's nomination.
GPOC:Prod'n deferred due to biorem limitations, downhole complications.
PCB:Prod'n deferred due to the low efficiency of PCPs in 23 wells.
CPO-5:Wells are closed because of a blockade by the local community.
SPOC:Prod'n deferred due to water draining and power dip.</t>
  </si>
  <si>
    <t>_x000D_PCB:Prod'n deferred due to the low efficiency of PCPs in 23 wells.
GPOC:Prod'n deferred due to biorem limitations, downhole complications.
A1-A3:CNUOC has increased its gas nominations amid the winter season.MOGE's nominations have also increased.
CPO-5:The normalization of operations is taking more time due to tanker availability concerns.</t>
  </si>
  <si>
    <t>_x000D_GPOC:Prod'n deferred due to biorem limitations, downhole complications.
PCB:Prod'n deferred due to the low efficiency of PCPs in 23 wells.
CPO-5:CF-2 well shutdown due to a PBU test.
LZC:Strorage tank integrity issue.
BC-10:ALM 2 stopped, high scaling phenomenas happening on train B pumps suction strainers both crude oil and PW pumps.</t>
  </si>
  <si>
    <t>_x000D_GPOC:Prod'n deferred due to biorem limitations, downhole complications.
PCB:Prod'n deferred due to the low efficiency of PCPs in 23 wells.
LZC:Strorage tank integrity issue.
CPO-5:CF-2 well shutdown due to a PBU test.</t>
  </si>
  <si>
    <t>_x000D_
PCB:_x000D_Prod'n deferred due to the low efficiency of PCPs in 23 wells.
GPOC:Prod'n deferred due to biorem limitations, downhole complications.
LZC:Strorage tank integrity issue.
ACG:Wells B12Z, B33, B36 is closed due to Sand issue. GIC Tr4 is offline for outage.
SPOC:Prod'n deferred due to water draining and power dip.</t>
  </si>
  <si>
    <t xml:space="preserve">ONGC Videsh acquired additional 0.615% PI in ACG project in addition to existing PI of 2.31 %. Deal for acquisition completed on 29.11.2024 with an effective economic date of acquisition is 01.01.2023.
The arrear production against this addition PI for the period from 01.04.24 to 28.11.24 with amount of Oil 0.068 MMT and gas 0.014 BCM is being included in the month of November-2024 production </t>
  </si>
  <si>
    <t>Note:</t>
  </si>
  <si>
    <t>ONGC Videsh acquired additional 0.615% PI in ACG project in addition to existing PI of 2.31 %. Deal for acquisition completed on 29.11.2024 with an effective economic date of acquisition is 01.01.2023. The arrear production against this addition PI for the period from 01.04.24 to 28.11.24 with amount of Oil 0.068 MMT and gas 0.014 BCM is being included in the month of November-2024 production. To arrive Oil and Gas figure in Nov, Total JV production adjusted by considering H1 average CF.</t>
  </si>
  <si>
    <t xml:space="preserve">
GPOC:Prod'n deferred due to biorem limitations, downhole complications.
PCB:Prod'n deferred due to the low efficiency of PCPs in 23 wells.
ACG:Wells B12Z, B36 are closed due to Sand issue.</t>
  </si>
  <si>
    <t xml:space="preserve">
GPOC:Prod'n deferred due to biorem limitations, downhole complications.
PCB:Prod'n deferred due to the low efficiency of PCPs in 23 wells.
LZC:Strorage tank integrity issue.
CPO-5:CF-2 well shutdown due to a PBU test.
BC-10:ALM 2 stopped, high scaling phenomenas happening on train B pumps suction strainers both crude oil and PW pumps.</t>
  </si>
  <si>
    <t xml:space="preserve">
GPOC:Prod'n deferred due to biorem limitations, downhole complications.
PCB:Prod'n deferred due to the low efficiency of PCPs in 23 wells.
SPOC:Prod'n deferred due to water draining and power dip.
CPO-5:The normalization of operations is taking more time due to tanker availability concerns.</t>
  </si>
  <si>
    <t xml:space="preserve">
PCB:Prod'n deferred due to the low efficiency of PCPs in 23 wells.
GPOC:Prod'n deferred due to biorem limitations, downhole complications.
LZC:Strorage tank integrity issue.
ACG:Wells B12Z, B33, B36 are closed due to Sand issue.
SPOC:MALA field wells is suspended for Genset servicing.</t>
  </si>
  <si>
    <t xml:space="preserve">
GPOC:Prod'n deferred due to biorem limitations, downhole complications.
PCB:Prod'n deferred due to the low efficiency of PCPs in 23 wells.
A1-A3:Prod'n deferred due to buyer's nomination.
CPO-5:Wells are closed because of a blockade by the local community.
</t>
  </si>
  <si>
    <t xml:space="preserve">
GPOC:Prod'n deferred due to biorem limitations, downhole complications.
PCB:Prod'n deferred due to the low efficiency of PCPs in 23 wells.
ACG:Wells B12Z, B36 are closed due to Sand issue.
BC-10:BW1, BW3 shut down. As part of ALM2 strategy to maintain stability on Mobo 6. BW2 shut-in due to high BSW and production liquid constraint.</t>
  </si>
  <si>
    <t>GPOC:Prod'n deferred due to biorem limitations, downhole complications.
PCB:Prod'n deferred due to the low efficiency of PCPs in 23 wells.
ACG:Wells B12Z, B36 are closed due to Sand issue.
CPO-5:Wells are closed because of a blockade performed by the community.
BC-10:BW1, BW3 shut down. As part of ALM2 strategy to maintain stability on Mobo 6. BW2 shut-in due to high BSW and production liquid constraint.</t>
  </si>
  <si>
    <t>PCB:Prod'n deferred due to the low efficiency of PCPs in 23 wells.
GPOC:Prod'n deferred due to biorem limitations, downhole complications.
ACG:Wells J8a,J12,J17,C24 are shut due to sand issue.Well 18a is shut due to water load up.
SPOC:Prod'n deferred due to water draining and power dip.
CPO-5:Indico 3-71.91 bopd because of fluid displacement that took place to control/kill the well with sodium formate.
Vankor:Reason awaited from the operator.</t>
  </si>
  <si>
    <t>CPO-5:Indico 3 well is under workover operations.
Vankor:Reason awaited from the operator.
SCB:Due to high water level in storage tank, can't fiscalize volume, however daily prod'n is received.
LZC:Shutdown due to Junana rig movement.
ACG:Wells J8a,J12,J17,C24 are shut due to sand issue.Well 18a is shut due to water load up.
Sakhalin-1:New Prod'n data received from operator.Production from new well DP-39U (from Berkut) has been lowered as a safety precaution.
PCB:Prod'n deferred due to the low efficiency of PCPs in 23 wells.
GPOC:Prod'n deferred due to biorem limitations, downhole complications.</t>
  </si>
  <si>
    <t xml:space="preserve">
PCB:Prod'n deferred due to the low efficiency of PCPs in 23 wells.
GPOC:Prod'n deferred due to biorem limitations, downhole complications.
CPO-5:Indico 3 well is under workover operations.
ACG: Prod'n deferred due to water injection. Prod'n is being ramped up.</t>
  </si>
  <si>
    <t xml:space="preserve">
PCB:Prod'n deferred due to the low efficiency of PCPs in 23 wells.
GPOC:Prod'n deferred due to biorem limitations, downhole complications.
ACG:Wells B12Z, B36 are closed due to Sand issue.
CPO-5:Indico-3 is closed at the request of the WO crew.
BC-10:BW2 shut-in due to high BSW and production liquid constraint.
SPOC:Prod'n deferred due to water draining and power dip.
</t>
  </si>
  <si>
    <t xml:space="preserve">
PCB:Prod'n deferred due to the low efficiency of PCPs in 23 wells.
GPOC:Prod'n deferred due to biorem limitations, downhole complications.
CPO-5:Indico 3 well is under workover operations.
ACG:Prod'n deferred as Gas Injection compressor is down.
A1-A3: Prod'n deferred due to Emergency Shutdown.</t>
  </si>
  <si>
    <t>*O+OEG with 2.925% PI of ACG w.e.f 29th Nov'24.</t>
  </si>
  <si>
    <t>GPOC:Prod'n deferred due to biorem limitations, downhole complications.
PCB:Prod'n deferred due to the low efficiency of PCPs in 23 wells.
CPO-5:Indico 3 well is under workover operations.
SPOC:Prod'n deferred due to water draining and power dip.</t>
  </si>
  <si>
    <t>GPOC:Prod'n deferred due to biorem limitations, downhole complications.
PCB:Prod'n deferred due to the low efficiency of PCPs in 23 wells.
CPO-5:Indico 3 well is under workover operations.</t>
  </si>
  <si>
    <t>CPO-5:Prod'n from Indico pad wells is being ramped-up after lifting of blockade. The normalization of operations is taking more time due to tanker availability concerns.
PCB:Prod'n deferred due to the low efficiency of PCPs in 23 wells.
GPOC:Prod'n deferred due to biorem limitations, downhole complications.
A1-A3:CNUOC has increased its gas nominations amid the winter season. MOGE's nominations have also increased._x000D_</t>
  </si>
  <si>
    <t xml:space="preserve">
GPOC:Prod'n deferred due to biorem limitations, downhole complications.
PCB:Prod'n deferred due to the low efficiency of PCPs in 23 wells.
SCB:Due to high water level in storage tank, can't fiscalize volume, however daily prod'n is received.
ACG:B36 well shutdown due to sand issue.</t>
  </si>
  <si>
    <t xml:space="preserve">
GPOC:Prod'n deferred due to biorem limitations, downhole complications.
PCB:Prod'n deferred due to the low efficiency of PCPs in 23 wells.
ACG:Prod'n ramped up as central azeri gas injection. Compressor re-opened.</t>
  </si>
  <si>
    <t xml:space="preserve">
GPOC:Prod'n deferred due to biorem limitations, downhole complications.
PCB:Prod'n deferred due to the low efficiency of PCPs in 23 wells.
ACG:Prod'n ramped up as central azeri gas injection. Compressor re-opened.
SCB:Due to high water level in storage tank, can't fiscalize volume, however daily prod'n is received.
Sakhalin-1:New prod'n data received from the operator.
</t>
  </si>
  <si>
    <t xml:space="preserve">
GPOC:Prod'n deferred due to biorem limitations, downhole complications.
PCB:Prod'n deferred due to the low efficiency of PCPs in 23 wells.
ACG:Prod'n ramped up as central azeri gas injection compressor re-opened.</t>
  </si>
  <si>
    <t xml:space="preserve">
GPOC:Prod'n deferred due to biorem limitations, downhole complications.
PCB:Prod'n deferred due to the low efficiency of PCPs in 23 wells.
CPO-5:Indico 3 well is under workover operations.</t>
  </si>
  <si>
    <t xml:space="preserve">
GPOC:Prod'n deferred due to biorem limitations, downhole complications.
PCB:Prod'n deferred due to the low efficiency of PCPs in 23 wells.</t>
  </si>
  <si>
    <t xml:space="preserve">
GPOC:Prod'n deferred due to biorem limitations, downhole complications.
PCB:Prod'n deferred due to the low efficiency of PCPs in 23 wells.
ACG:Onshore process shutdown due to gas leakage, details awaited.
CPO-5:Indico 4 well is under workover operations.
LZC:AGI EPS-1: ZK-401 closed due to shutdown activities.</t>
  </si>
  <si>
    <t>ACG:ACG:Prod'n ramped up as central azeri gas injection. Compressor re-opened.
Vankor:Prod'n deferred due to repair of defect in oil gathering pipe.
SPOC:Prod'n deferred due to water draining and power dip.
SCB:Due to high water level in storage tank, can't fiscalize volume, however daily prod'n is received.
BC-10:Abalone field closed due to Main Gas Compressor being unavailable &amp; ALM 2 stopped as Gas Export valve has been closed by Petrobras.
Sakhalin-1:New prod'n data received from the operator.
GPOC:Prod'n deferred due to biorem limitations, downhole complications.
PCB:Prod'n deferred due to the low efficiency of PCPs in 23 wells.
CPO-5:Indico 4 well is under workover operations.</t>
  </si>
  <si>
    <t>ACG:Prod'n ramped up as central azeri gas injection. Compressor re-opened.
Vankor:Prod'n deferred due to repair of defect in oil gathering pipe.
SPOC:Prod'n deferred due to water draining and power dip.
BC-10:Abalone field closed due to Main Gas Compressor being unavailable &amp; ALM 2 stopped as Gas Export valve has been closed by Petrobras.
GPOC:Prod'n deferred due to biorem limitations, downhole complications.
PCB:Prod'n deferred due to the low efficiency of PCPs in 23 wells.
CPO-5:Indico 4 well is under workover operations.</t>
  </si>
  <si>
    <t xml:space="preserve">
ACG:Prod'n ramped up as central azeri gas injection. Compressor re-opened.
Vankor:Prod'n deferred due to repair of defect in oil gathering pipe.
BC-10:Abalone field closed due to Main Gas Compressor being unavailable &amp; ALM 2 stopped as Gas Export valve has been closed by Petrobras.
SCB:Due to high water level in storage tank, can't fiscalize volume, however daily prod'n is received.
GPOC:Prod'n deferred due to biorem limitations, downhole complications.
PCB:Prod'n deferred due to the low efficiency of PCPs in 23 wells.
CPO-5:Indico 4 well is under workover operations.</t>
  </si>
  <si>
    <t>ACG:Prod'n ramped up as central azeri gas injection. Compressor re-opened.
Vankor:Prod'n deferred due to repair of defect in oil gathering pipe.
BC-10:Abalone field closed due to Main Gas Compressor being unavailable &amp; ALM 2 stopped as Gas Export valve has been closed by Petrobras.
GPOC:Prod'n deferred due to biorem limitations, downhole complications.
MECL:Wells Vel-282, Vel-436 &amp; Vel-358 are under well service.
PCB:Prod'n deferred due to the low efficiency of PCPs in 23 wells.
CPO-5:Indico 4 well is under workover operations.</t>
  </si>
  <si>
    <t>ACG:Prod'n ramped up as central azeri gas injection. Compressor re-opened.
BC-10:Abalone field closed due to Main Gas Compressor being unavailable &amp; ALM 2 stopped as Gas Export valve has been closed by Petrobras.
GPOC:Prod'n deferred due to biorem limitations, downhole complications.
MECL:Wells Vel-282, Vel-436 &amp; Vel-358 are under well service.
CPO-5:Indico 4 well is under workover operations.
SPOC:Mala wells shut-in due to power shutdown.
PCB:Prod'n deferred due to the low efficiency of PCPs in 23 wells.
Vankor:Prod'n deferred due to repair of defect in oil gathering pipe.</t>
  </si>
  <si>
    <t>ACG:Prod'n ramped up as central azeri gas injection. Compressor re-opened.
BC-10:Abalone field closed due to Main Gas Compressor being unavailable &amp; ALM 2 stopped as Gas Export valve has been closed by Petrobras.
GPOC:Prod'n deferred due to biorem limitations, downhole complications.
MECL:Wells Vel-282, Vel-436 &amp; Vel-358 are under well service.
CPO-5:Indico 4 well is under workover operations.
PCB:Prod'n deferred due to the low efficiency of PCPs in 23 wells.
Vankor:Prod'n deferred due to repair of defect in oil gathering pipe.</t>
  </si>
  <si>
    <t>ACG:Prod'n ramped up as central azeri gas injection compressor re-opened.
BC-10:Abalone field closed due to Main Gas Compressor being unavailable &amp; ALM 2 stopped as Gas Export valve has been closed by Petrobras.
GPOC:Prod'n deferred due to biorem limitations, downhole complications.
MECL:Wells Vel-282, Vel-436 &amp; Vel-358 are under well service.
CPO-5:Indico 4 well is under workover operations.
PCB:Prod'n deferred due to the low efficiency of PCPs in 23 wells.
Vankor:Prod'n deferred due to repair of defect in oil gathering pipe.</t>
  </si>
  <si>
    <t>ACG:Prod'n ramped up as central azeri gas injection compressor re-opened.
GPOC:Prod'n deferred due to biorem limitations, downhole complications.
MECL:Wells Vel-282, Vel-436 &amp; Vel-358 are under well service.
CPO-5:Indico 4 well is under workover operations.
PCB:Prod'n deferred due to the low efficiency of PCPs in 23 wells.
Vankor:Prod'n deferred due to repair of defect in oil gathering pipe.
Sakhalin-1:New prod'n data received from the operator.</t>
  </si>
  <si>
    <t>ACG:Prod'n ramped up as central azeri gas injection compressor re-opened.
GPOC:Prod'n deferred due to biorem limitations, downhole complications.
MECL:Wells Vel-282, Vel-358 are under well service.
CPO-5:Indico 4 well  workover operation is completed.
PCB:Prod'n deferred due to the low efficiency of PCPs in 23 wells.
Vankor:Prod'n deferred due to repair of defect in oil gathering pipe.
Sakhalin-1:New prod'n data received from the operator.</t>
  </si>
  <si>
    <t xml:space="preserve">ACG:Prod'n ramped up as central azeri gas injection compressor re-opened.
MECL:Wells Vel-282, Vel-358 are under well service.
CPO-5:Indico 4 well  workover operation is completed.
SPOC:Prod'n deferred due to power dip in Tharjath field.
GPOC:Prod'n deferred due to biorem limitations, downhole complications.
PCB:Prod'n deferred due to the low efficiency of PCPs in 23 wells.
</t>
  </si>
  <si>
    <t xml:space="preserve">
ACG:Prod'n ramped up as central azeri gas injection compressor re-opened.
MECL:Wells Vel-282, Vel-358 are under well service.
GPOC:Prod'n deferred due to biorem limitations, downhole complications.
BC-10: In Abalone main gas compressor is unavailable.
PCB:Prod'n deferred due to the low efficiency of PCPs in 23 wells.</t>
  </si>
  <si>
    <t>_x000D_
GPOC:Prod'n deferred due to biorem limitations, downhole complications.
PCB:Prod'n deferred due to the low efficiency of PCPs in 23 wells.
CPO-5:Indico 4 well is under workover operations.
ACG:Onshore process shutdown due to gas leakage at Sangachal terminal.
BC-10:Abalone field closed due to Main Gas Compressor being unavailable &amp; ALM 2 stopped as Gas Export valve has been closed by Petrobras.</t>
  </si>
  <si>
    <t>GPOC:Prod'n deferred due to biorem limitations, downhole complications.
PCB:Prod'n deferred due to the low efficiency of PCPs in 23 wells.
SPOC:TJH-17 &amp; TJH-23 wells shutdown due to free water knockout high level.
BC-10: Prod'n deferred due to ALM-2 offline, will restart on 14 feb after train-B cleaning.
CPO-5:Indico-5 well is under well service operations.
Vankor:Reason awaited from the operator.</t>
  </si>
  <si>
    <t>BC-10: In Abalone main gas compressor is unavailable.
ACG:Prod'n ramped up as central azeri gas injection compressor re-opened.
MECL:Wells Vel-282, Vel-358 are under well service.
PCB:Prod'n deferred due to the low efficiency of PCPs in 23 wells.
SCB:Due to high water level in storage tank, can't fiscalize daily prod'n.
SPOC:TJH-16, TJH-17 &amp; TJH-20 wells shutdown due to free water knockout high level.
GPOC:Prod'n deferred due to biorem limitations, downhole complications._x000D_</t>
  </si>
  <si>
    <t>GPOC:Prod'n deferred due to biorem limitations, downhole complications.
BC-10:ALM-2 offline, will restart on 14 feb after train-B cleaning.
CPO-5:Prod'n deferred due to community blockade at Indico pad.
ACG:Azeri Central East K01,K02 &amp; K03 wells shutdown due to fire event.
PCB:Prod'n deferred due to the low efficiency of PCPs in 23 wells.</t>
  </si>
  <si>
    <t xml:space="preserve">
GPOC:Prod'n deferred due to biorem limitations, downhole complications.
SPOC:TJH-17,TJH-20 &amp; TJH-23 wells shutdown due to free water knockout high level &amp; MN-04 well down due to drive head leakage.
BC-10:ALM-2 offline, will restart on 14 feb after train-B cleaning.
CPO-5:Prod'n deferred due to community blockade at Indico pad.
ACG:Azeri Central East K01,K02 &amp; K03 wells shutdown due to fire event.
Vankor:Repair of Power Equipment, Connection of 2 standby control stations.
PCB:Prod'n deferred due to the low efficiency of PCPs in 23 wells.</t>
  </si>
  <si>
    <t>Sakhalin-1:New prod'n data received from the operator.
GPOC:Prod'n deferred due to biorem limitations, downhole complications.
SPOC:Prod'n deferred due to power dip in Tharjhat field.
BC-10:ALM-2 offline, will restart on 14 feb after train-B cleaning.
CPO-5:Prod'n deferred due to community blockade at Indico pad.
ACG:Azeri Central East K01,K02 &amp; K03 wells shutdown due to fire event.
PCB:Prod'n deferred due to the low efficiency of PCPs in 23 wells.</t>
  </si>
  <si>
    <t xml:space="preserve">
GPOC:Prod'n deferred due to biorem limitations, downhole complications.
BC-10:ALM-2 offline, will restart on 14 feb after train-B cleaning.
CPO-5:Prod'n deferred due to community blockade at Indico pad.
ACG:Azeri Central East K01,K02 &amp; K03 wells shutdown due to fire event.
SPOC:TJH-16,TJH-20 &amp; TJH-23 wells shutdown due to free water knockout high level.
PCB:Prod'n deferred due to the low efficiency of PCPs in 23 wells.</t>
  </si>
  <si>
    <t>GPOC:Prod'n deferred due to biorem limitations, downhole complications.
BC-10:Prod'n is being ramped up as ALM-2 is online.
CPO-5:Prod'n from Indico pad wells are being ramped-up after lifting of blockade.
ACG:Azeri Central East K01,K02 &amp; K03 wells shutdown due to fire event.
PCB:Prod'n deferred due to the low efficiency of PCPs in 23 wells.</t>
  </si>
  <si>
    <t>GPOC:Prod'n deferred due to biorem limitations, downhole complications.
BC-10:Prod'n is being ramped up as ALM-2 is online.
ACG:Azeri Central East K01,K02 &amp; K03 wells shutdown due to fire event.
SPOC:All TJH wells is tripped due to power loss. Continue draining oily water from central oil storage tanks tank bottom for reprocessing.
PCB:Prod'n deferred due to the low efficiency of PCPs in 23 wells.</t>
  </si>
  <si>
    <t>GPOC:Prod'n deferred due to biorem limitations, downhole complications.
BC-10:Prod'n is being ramped up as ALM-2 is online.
ACG:Azeri Central East K01,K02 &amp; K03 wells shutdown due to fire event.
PCB:Prod'n deferred due to the low efficiency of PCPs in 23 wells.
Sakhalin-1:New prod'n data received from the operator.</t>
  </si>
  <si>
    <t>GPOC:Prod'n deferred due to biorem limitations, downhole complications.
Vankor:Prod'n deferred due to repair of defects in oil-gathering pipeline.
SPOC:All TJH wells experienced total power lost due to central power plant blackout.
BC-10:ALM-2 restart on 14th Feb after train B cleaning.
ACG:Central Azeri Chirag gas compressor offline for maintenance.
PCB:Prod'n deferred due to the low efficiency of PCPs in 23 wells.</t>
  </si>
  <si>
    <t>GPOC:Prod'n deferred due to biorem limitations, downhole complications.
Vankor:Prod'n deferred due to repair of defects in oil-gathering pipeline.
PCB:Prod'n deferred due to the low efficiency of PCPs in 23 wells.</t>
  </si>
  <si>
    <t>_x000D_GPOC:Prod'n deferred due to biorem limitations, downhole complications.
Vankor:Prod'n deferred due to repair of defects in oil-gathering pipeline.
PCB:Prod'n deferred due to the low efficiency of PCPs in 23 wells.
CPO-5:Indico-5 well is under well service operations.
BC-10:ALM-1 planned shutdown from 18th to 24th February for subsea hydraulic line troubleshooting &amp; MOBO-2 VFD swap.</t>
  </si>
  <si>
    <t xml:space="preserve">LZC:Lower Prod'n due to Barge Movement.
CPO-5:Indico-5 well is under well service operations.
BC-10:ALM-1 planned shutdown from 18th to 24th February for subsea hydraulic line troubleshooting &amp; MOBO-2 VFD swap.
_x000D_GPOC:Prod'n deferred due to biorem limitations, downhole complications.
Vankor:Prod'n deferred due to repair of defects in oil-gathering pipeline.
PCB:Prod'n deferred due to the low efficiency of PCPs in 23 wells.
</t>
  </si>
  <si>
    <t>LZC:Lower Prod'n due to Barge Movement.
CPO-5:Indico-5 well is under well service operations.
BC-10:ALM-1 planned shutdown from 18th to 24th February for subsea hydraulic line troubleshooting &amp; MOBO-2 VFD swap.
SCB:Due to high water level in storage tank, can't fiscalize volume.
GPOC:Prod'n deferred due to biorem limitations, downhole complications.
Vankor:Prod'n deferred due to repair of defects in oil-gathering pipeline.
PCB:Prod'n deferred due to the low efficiency of PCPs in flowing wells.</t>
  </si>
  <si>
    <t>LZC:Lower Prod'n due to Barge Movement.
CPO-5:Indico-5 well is under well service operations.
BC-10:ALM-1 planned shutdown from 18th to 24th February for subsea hydraulic line troubleshooting &amp; MOBO-2 VFD swap.
GPOC:Prod'n deferred due to biorem limitations, downhole complications.
Vankor:Prod'n deferred due to repair of defects in oil-gathering pipeline.
PCB:Prod'n deferred due to the low efficiency of PCPs in flowing wells.</t>
  </si>
  <si>
    <t>LZC:Lower Prod'n due to Barge Movement.
BC-10:ALM-1 planned shutdown from 18th to 24th February for subsea hydraulic line troubleshooting &amp; MOBO-2 VFD swap.
GPOC:Prod'n deferred due to biorem limitations, downhole complications.
PCB:Prod'n deferred due to the low efficiency of PCPs in flowing wells.</t>
  </si>
  <si>
    <t>_x000D_Sakhalin-1:New prod'n data received from the operator.
LZC:Lower Prod'n due to Hydrogen Induced Cracking issue.
BC-Prod'n deferred due to ALM-2 offline.
GPOC:Prod'n deferred due to biorem limitations, downhole complications.
PCB:Prod'n deferred due to the low efficiency of PCPs in flowing wells.</t>
  </si>
  <si>
    <t xml:space="preserve">GPOC:Prod'n deferred due to biorem limitations, downhole complications.
PCB:Prod'n deferred due to the low efficiency of PCPs in flowing wells.
SPOC:All TJH wells experienced total power loss due to central power plant blackout.
</t>
  </si>
  <si>
    <t>GPOC:Prod'n deferred due to biorem limitations, downhole complications.
PCB:Prod'n deferred due to the low efficiency of PCPs in flowing wells.</t>
  </si>
  <si>
    <t xml:space="preserve">GPOC:Prod'n deferred due to biorem limitations, downhole complications.
PCB:Prod'n deferred due to the low efficiency of PCPs in flowing wells.
SPOC:Prod'n deferred for rectify mechanical seal oil leak in export pump.
B-06.1:Lan do wells 1P and 2P are shutdown &amp; Lan Tay wells P1 and P2 are unloading. </t>
  </si>
  <si>
    <t xml:space="preserve">CPO-5:Indico 5 well is under workover operations.Perico-1X well closed due to PBU test .
BC-10: In Abalone main gas compressor is unavailable.
ACG:Prod'n ramped up as central azeri gas injection compressor re-opened.
MECL:Wells Vel-282, Vel-358 are under well service.
GPOC:Prod'n deferred due to biorem limitations, downhole complications.
PCB:Prod'n deferred due to the low efficiency of PCPs in 23 wells.
</t>
  </si>
  <si>
    <t>GPOC:Prod'n deferred due to biorem limitations, downhole complications.
PCB:Prod'n deferred due to the low efficiency of PCPs in flowing wells.
SPOC:Prod'n deferred for rectifying the mechanical seal oil leak in the export pump.
B-06.1:Lan do wells 1P and 2P are shutdown &amp; Lan Tay P1 well is shutdown and P2 well is unloading. _x000D_
LZC:Lower Prod'n due to Hydrogen Induced Cracking issue.</t>
  </si>
  <si>
    <t>GPOC:Prod'n deferred due to biorem limitations, downhole complications.
PCB:Prod'n deferred due to the low efficiency of PCPs in flowing wells.
SPOC:Prod'n deferred for rectifying the mechanical seal oil leak in the export pump.
B-06.1:Lan do wells P1 and P2 are shutdown &amp; Lan Tay 1P well is shutdown and 2P well is unloading. 
LZC:Prod'n deferred due to Hydrogen Induced Cracking issue.
BC-10:Prod'n deferred due to MOBO-6 tripped.</t>
  </si>
  <si>
    <t>Sakhalin-1:New prod'n data received from the operator.
GPOC:Prod'n deferred due to biorem limitations, downhole complications.
LZC:Prod'n deferred due to Hydrogen Induced Cracking issue and rig movement.
PCB:Prod'n deferred due to the low efficiency of PCPs in flowing wells.
SPOC:Prod'n deferred for rectifying the mechanical seal oil leak in the export pump.
B-06.1:Lan do wells P1 and P2 are shutdown &amp; Lan Tay 2P well is shutdown and 1P well is unloading.</t>
  </si>
  <si>
    <t>GPOC:Prod'n deferred due to biorem limitations, downhole complications.
LZC:Prod'n deferred due to Hydrogen Induced Cracking issue and rig movement.
PCB:Prod'n deferred due to the low efficiency of PCPs in flowing wells.
SPOC:Prod'n deferred for rectifying the mechanical seal oil leak in the export pump.
BC-10:Prod'n deferred due to crude oil pump mech seal replacement.</t>
  </si>
  <si>
    <t>GPOC:Prod'n deferred due to biorem limitations, downhole complications.
LZC:Prod'n deferred due to Hydrogen Induced Cracking issue and rig movement.
PCB:Prod'n deferred due to the low efficiency of PCPs in flowing wells.
ACG:Prod'n deferred due to high water cut in Central Azeri, West Azeri  &amp; East Azeri.</t>
  </si>
  <si>
    <t>GPOC:Prod'n deferred due to biorem limitations, downhole complications.
LZC:Prod'n deferred due to Hydrogen Induced Cracking issue and rig movement.
PCB:Prod'n deferred due to the low efficiency of PCPs in flowing wells.
BC-10:Prod'n deferred due to ALM 1,2 &amp; 3 are offline.
ACG:Prod'n deferred due to high water cut in Central Azeri, West Azeri  &amp; East Azeri.</t>
  </si>
  <si>
    <t>GPOC:Prod'n deferred due to biorem limitations, downhole complications.
LZC:Prod'n deferred due to Hydrogen Induced Cracking issue and rig movement.
PCB:Prod'n deferred due to the low efficiency of PCPs in flowing wells.
Vankor:Repair of defective sections of the oil gathering pipeline.</t>
  </si>
  <si>
    <t>GPOC:Prod'n deferred due to biorem limitations, downhole complications.
LZC:Prod'n deferred due to Hydrogen Induced Cracking issue and rig movement.
PCB:Prod'n deferred due to the low efficiency of PCPs in flowing wells.
BC-10:Prod'n deferred due to ALM 1,2 &amp; 3 are offline.
ACG:Prod'n deferred due to high water cut in Central Azeri, West Azeri  &amp; East Azeri.
IEC:Prod'n deferred due to the shutdown of the associated petroleum gas treatment plant because of hydrate formation in the pipeline.</t>
  </si>
  <si>
    <t>Sakhalin-1:New prod'n data received from the operator.
GPOC:Prod'n deferred due to biorem limitations, downhole complications.
LZC:Prod'n deferred due to Hydrogen Induced Cracking issue and rig movement.
PCB:Prod'n deferred due to the low efficiency of PCPs in flowing wells.
BC-10:Prod'n deferred due to ALM 1 &amp; ALM 2 are offline.
ACG:Prod'n deferred due to high water cut in Central Azeri, West Azeri  &amp; East Azeri.
Vankor:Reason awaited from the operator.</t>
  </si>
  <si>
    <t>GPOC:Prod'n deferred due to biorem limitations, downhole complications.
LZC:Prod'n deferred due to Hydrogen Induced Cracking issue and rig movement.
PCB:Prod'n deferred due to the low efficiency of PCPs in flowing wells.
BC-10:Prod'n deferred due to ALM 2 is offline.
ACG:Prod'n deferred due to high water cut in Central Azeri, West Azeri  &amp; East Azeri.
Vankor:Reason awaited from the operator.</t>
  </si>
  <si>
    <t>GPOC:Prod'n deferred due to biorem limitations, downhole complications.
PCB:Prod'n deferred due to the low efficiency of PCPs in flowing wells.
BC-10:Prod'n deferred due to ALM 2 is offline.
ACG:Prod'n deferred due to high water cut in Central Azeri, West Azeri  &amp; East Azeri.
SPOC:Prod'n deferred due to the shutdown of two wells.
Vankor:Reason awaited from the operator.</t>
  </si>
  <si>
    <t>GPOC:Prod'n deferred due to biorem limitations, downhole complications.
PCB:Prod'n deferred due to the low efficiency of PCPs in flowing wells.
LZC:Prod'n deferred due to Hydrogen Induced Cracking issue and plant preventive maintenance shutdown at Zakum West drain line for leak rectification.
Vankor:Reason awaited from the operator.</t>
  </si>
  <si>
    <t>A1-A3:Prod'n deferred due to reduced nomination from operator.
SPOC:Prod'n deferred as MALA North-1 well is shut down for crude oil recirculation and further processing.
LZC:Prod'n deferred due to Hydrogen Induced Cracking issue and a planned preventive maintenance shutdown at the Zakum West drain line for leak rectification.
IEC:Prod'n deferred due to the shutdown of the associated petroleum gas treatment plant because of hydrate formation in the pipeline.
BC-10:ALM-2 has restarted. Production is being ramped up.
Vankor:Reason awaited from the operator.
GPOC:Prod'n deferred due to biorem limitations, downhole complications.
PCB:Prod'n deferred due to the low efficiency of PCPs in flowing wells.</t>
  </si>
  <si>
    <t xml:space="preserve">A1-A3:Prod'n deferred due to reduced nomination from operator.
SPOC:Prod'n deferred as MALA North-1 well is shut down for crude oil recirculation and further processing.
LZC:Prod'n deferred due to Hydrogen Induced Cracking issue and a planned preventive maintenance shutdown at the Zakum West drain line for leak rectification.
BC-10:ALM-2 has restarted. Production is being ramped up.
Vankor:Reason awaited from the operator.
GPOC:Prod'n deferred due to biorem limitations, downhole complications.
PCB:Prod'n deferred due to the low efficiency of PCPs in flowing wells._x000D_
</t>
  </si>
  <si>
    <t>GPOC:Prod'n deferred due to biorem limitations, downhole complications.
PCB:Prod'n deferred due to the low efficiency of PCPs in flowing wells.
ACG:Prod'n deferred due to high water cut in Central Azeri, West Azeri  &amp; East Azeri.
BC-10:ALM-2 restarted. rampup in progress.
LZC:Prod'n deferred due to Hydrogen Induced Cracking issue and planned preventive maintenance shutdown at Zakum West drain line for leak rectification.
Vankor:Reason awaited from the operator.</t>
  </si>
  <si>
    <t>GPOC:Prod'n deferred due to biorem limitations, downhole complications.
PCB:Prod'n deferred due to the low efficiency of PCPs in flowing wells.
ACG:Prod'n deferred due to high water cut in Central Azeri, West Azeri  &amp; East Azeri.
BC-10:ALM-2 restarted. rampup in progress.
LZC:Prod'n deferred due to Hydrogen Induced Cracking issue and planned preventive maintenance shutdown at Zakum West drain line for leak rectification.</t>
  </si>
  <si>
    <t>Sakhalin-1:New prod'n data received from the operator.
A1-A3:Prod'n deferred due to reduced nomination from operator.
LZC:Lower prod'n due to barge movement and planned preventive maintenance activity.
IEC:Prod'n deferred due to the shutdown of the associated petroleum gas treatment plant because of hydrate formation in the pipeline.
GPOC:Prod'n deferred due to biorem limitations, downhole complications.
PCB:Prod'n deferred due to the low efficiency of PCPs in flowing wells.</t>
  </si>
  <si>
    <t>A1-A3:Prod'n deferred due to reduced nomination from operator.
IEC:Prod'n deferred due to the shutdown of the associated petroleum gas treatment plant because of hydrate formation in the pipeline.
GPOC:Prod'n deferred due to biorem limitations, downhole complications.
PCB:Prod'n deferred due to the low efficiency of PCPs in flowing wells.</t>
  </si>
  <si>
    <t>A1-A3:Prod'n deferred due to reduced nomination of CNUOC from 333 to 200 MMscf for 4 days (20th-24th March).
IEC:Prod'n deferred due to the shutdown of the associated petroleum gas treatment plant because of hydrate formation in the pipeline.
GPOC:Prod'n deferred due to biorem limitations, downhole complications.
PCB:Prod'n deferred due to the low efficiency of PCPs in flowing wells.</t>
  </si>
  <si>
    <t>A1-A3:Prod'n deferred due to reduced nomination of CNUOC from 333 to 200 MMscf for 4 days (20th-24th March).
GPOC:Prod'n deferred due to biorem limitations, downhole complications.
PCB:Prod'n deferred due to the low efficiency of PCPs in flowing wells.</t>
  </si>
  <si>
    <t>A1-A3:Prod'n deferred due to reduced nomination of CNUOC from 333 to 200 MMscf for 4 days (20th-24th March).
GPOC:Prod'n deferred due to biorem limitations, downhole complications.
PCB:Prod'n deferred due to the low efficiency of PCPs in flowing wells.
SPOC:Prod'n deferred due to TJ CPF power blackout which affected all TJ wells.
ACG:Prod'n deferred due to shutdown of 3 wells in CA PDQ &amp; 1 well in EA PDQ.</t>
  </si>
  <si>
    <t>ACG PI changed to 2.925% from 2.31% in Nov'24</t>
  </si>
  <si>
    <t>Sakhalin-1:New prod'n data received from the operator.
A1-A3:Prod'n deferred due to reduced nomination of CNUOC from 333 to 200 MMscf for 4 days (20th-24th March).
GPOC:Prod'n deferred due to biorem limitations, downhole complications.
PCB:Prod'n deferred due to the low efficiency of PCPs in flowing wells.
SPOC:Prod'n deferred due to TJ CPF power blackout which affected all TJ wells.
ACG:Prod'n deferred due to shutdown of 3 wells in CA PDQ &amp; 1 well in EA PDQ.</t>
  </si>
  <si>
    <t xml:space="preserve">A1-A3:Prod'n deferred due to reduced nomination of CNUOC from 353 to 200 MMscf.
GPOC:Prod'n deferred due to biorem limitations, downhole complications.
PCB:Prod'n deferred due to the low efficiency of PCPs in flowing wells.
SPOC:Prod'n deferred due to TJ CPF power blackout which affected all TJ wells.
CPO-5:Production down due to community blockade.
ACG:Prod'n deferred due to A14 well shautdown in chirag &amp; E06 well shutdown in Deepwater Gunashli due to sand issue, sangachal train 3 or 4 offline. </t>
  </si>
  <si>
    <t xml:space="preserve">A1-A3:Prod'n deferred due to reduced nomination of CNUOC from 353 to 200 MMscf.
GPOC:Prod'n deferred due to biorem limitations, downhole complications.
PCB:Prod'n deferred due to the low efficiency of PCPs in flowing wells.
SPOC:Prod'n deferred due to TJ CPF power blackout which affected all TJ wells.
CPO-5:Production down due to community blockade.
ACG:Prod'n deferred due to A14 well shutdown in chirag &amp; E06 well shutdown in Deepwater Gunashli due to sand issue, sangachal train 3 or 4 offline. </t>
  </si>
  <si>
    <t>A1-A3:Prod'n deferred due to reduced nomination of CNUOC.
GPOC:Prod'n deferred due to biorem limitations, downhole complications.
PCB:Prod'n deferred due to the low efficiency of PCPs in flowing wells.
SPOC:Prod'n deferred due to TJ CPF power blackout which affected all TJ wells.
CPO-5:Production down due to community blockade.</t>
  </si>
  <si>
    <t>A1-A3:Prod'n deferred due to reduced nomination of CNUOC.
GPOC:Prod'n deferred due to biorem limitations, downhole complications.
PCB:Prod'n deferred due to the low efficiency of PCPs in flowing wells.
SPOC:Prod'n deferred due to TJ CPF power blackout which affected all TJ wells.
BC-10: Reasons awaited from operator.
CPO-5:Production down due to community blockade.</t>
  </si>
  <si>
    <t>A1-A3:Prod'n deferred due to reduced nomination of CNUOC.
GPOC:Prod'n deferred due to biorem limitations, downhole complications.
PCB:Prod'n deferred due to the low efficiency of PCPs in flowing wells.
CPO-5:Production down due to community blockade.
ACG:Prod'n deferred due to sand issue.</t>
  </si>
  <si>
    <t>A1-A3:Prod'n deferred due to reduced nomination of CNUOC.
GPOC:Prod'n deferred due to biorem limitations, downhole complications.
PCB:Prod'n deferred due to the low efficiency of PCPs in flowing wells.
ACG:Prod'n deferred due to sand issue.</t>
  </si>
  <si>
    <t>Sakhalin-1:New prod'n data received from the operator.
A1-A3:Prod'n deferred due to reduced nomination of CNUOC.
GPOC:Prod'n deferred due to biorem limitations, downhole complications.
PCB:Prod'n deferred due to the low efficiency of PCPs in flowing wells.
ACG:Prod'n deferred due to sand issue.</t>
  </si>
  <si>
    <t>A1-A3:Prod'n deferred due to reduced nomination of CNUOC.
GPOC:Prod'n deferred due to biorem limitations, downhole complications.
PCB:Prod'n deferred due to the low efficiency of PCPs in flowing wells.
ACG:Prod'n deferred due to sand issue.
CPO-5:Production down due to community blockade.</t>
  </si>
  <si>
    <t>A1-A3:Prod'n deferred due to reduced nomination of CNUOC.
GPOC:Prod'n deferred due to biorem limitations, downhole complications.
PCB:Prod'n deferred due to the low efficiency of PCPs in flowing wells.</t>
  </si>
  <si>
    <t>A1-A3:Prod'n deferred due to reduced nomination of CNUOC.
GPOC:Prod'n deferred due to biorem limitations &amp; downhole complications.
PCB:Prod'n deferred due to the low efficiency of PCPs in flowing wells.</t>
  </si>
  <si>
    <t>Sakhalin-1:New prod'n data received from the operator.
A1-A3:Prod'n deferred due to reduced nomination of CNUOC.
GPOC:Prod'n deferred due to biorem limitations &amp; downhole complications.
PCB:Prod'n deferred due to the low efficiency of PCPs in flowing wells.
SPOC:Prod'n deferred due to water draining.
LZC:Lower Prod'n due to Barge Movement &amp; Hydrogen Induced Cracking issue.</t>
  </si>
  <si>
    <t>A1-A3:Prod'n deferred due to reduced nomination of CNUOC.
GPOC:Prod'n deferred due to biorem limitations &amp; downhole complications.
PCB:Prod'n deferred due to the low efficiency of PCPs in flowing wells.
SPOC:Prod'n deferred due to water draining.
LZC:Prod'n deferred due to Gas handling limitations during LZ GGII planned shut down.</t>
  </si>
  <si>
    <t>A1-A3:Prod'n deferred due to reduced nomination of CNUOC.
GPOC:Prod'n deferred due to biorem limitations &amp; downhole complications.
PCB:Prod'n deferred due to the low efficiency of PCPs in flowing wells.
LZC:Prod'n deferred due to Gas handling limitations during LZ GGII planned shut down.</t>
  </si>
  <si>
    <t>A1-A3:Prod'n deferred due to reduced nomination of CNUOC.
BC-10: Prod'n deferred due to ALM 2 train B,  ALM 1 train C and ALM 3 train A are offline,
GPOC:Prod'n deferred due to biorem limitations, downhole complications.
PCB:Prod'n deferred due to the low efficiency of PCPs in flowing wells.
LZC:Prod'n deferred due to Gas handling limitations during LZ GGII planned shut down.</t>
  </si>
  <si>
    <t>A1-A3:Prod'n deferred due to reduced nomination of CNUOC.
BC-10: Prod'n deferred due to ALM 1 train C are offline.
GPOC:Prod'n deferred due to biorem limitations, downhole complications.
PCB:Prod'n deferred due to the low efficiency of PCPs in flowing wells.
SPOC:Prod'n deferred due to water draining.
LZC:Prod'n deferred due to Gas handling limitations during LZ GGII planned shut down.</t>
  </si>
  <si>
    <t>Sakhalin-1:New prod'n data received from the operator.
A1-A3:Prod'n deferred due to reduced nomination of CNUOC.
GPOC:Prod'n deferred due to biorem limitations, downhole complications.
PCB:Prod'n deferred due to the low efficiency of PCPs in flowing wells.
LZC:Prod'n deferred due to Gas handling limitations during LZ GGII planned shut down.</t>
  </si>
  <si>
    <t>For Avg CF OVL</t>
  </si>
  <si>
    <t>Individual CF*MMT, then sum of CF*MMT/Sum of MMT</t>
  </si>
  <si>
    <t>A1-A3:Prod'n deferred due to reduced nomination of CNUOC.
GPOC:Prod'n deferred due to biorem limitations, downhole complications.
BC-10:All ALMs are online. Prod'n is being ramped up.
PCB:Prod'n deferred due to the low efficiency of PCPs in flowing wells.
LZC: Prod'n deferred due to planned shutdown for Hydrogen Induced Cracking issue.</t>
  </si>
  <si>
    <t>A1-A3:Prod'n deferred due to reduced nomination of CNUOC.
GPOC:Prod'n deferred due to biorem limitations, downhole complications.
BC-10:All ALMs are online. Prod'n is being ramped up.
IEC:Prod'n deferred due to shutdown of well Maiskoye well-2, Snezhnoye well-146,133,520.
SPOC:Prod'n deferred due to water draining.
PCB:Prod'n deferred due to the low efficiency of PCPs in flowing wells.
LZC: Prod'n deferred due to planned shutdown for Hydrogen Induced Cracking issue.</t>
  </si>
  <si>
    <t>A1-A3:Prod'n deferred due to reduced nomination of CNUOC.
GPOC:Prod'n deferred due to biorem limitations, downhole complications.
PCB:Prod'n deferred due to the low efficiency of PCPs in flowing wells.
IEC:Prod'n deferred due to shutdown of well Maiskoye well-2, Snezhnoye well-146,133,520.
SPOC:Prod'n deferred due to water draining.
LZC: Prod'n deferred due to planned shutdown for Hydrogen Induced Cracking issue.</t>
  </si>
  <si>
    <t>A1-A3:Prod'n deferred due to reduced nomination of CNUOC.
GPOC:Prod'n deferred due to biorem limitations, downhole complications.
PCB:Prod'n deferred due to the low efficiency of PCPs in flowing wells.
IEC:Prod'n deferred due to shutdown of Maiskoye well-2 &amp;Snezhnoye well-146,133,520.
LZC: Prod'n deferred due to planned shutdown for Hydrogen Induced Cracking issue.</t>
  </si>
  <si>
    <t>Oil OVL BOPD (With ACG Acquisition)</t>
  </si>
  <si>
    <t>Gas OVL MMSCMD (With ACG Acquisition)</t>
  </si>
  <si>
    <t>Oil OVL BOPD (Without ACG Acquisition)</t>
  </si>
  <si>
    <t>Gas OVL MMSCMD (Without ACG Acquisition)</t>
  </si>
  <si>
    <t>Sakhalin-1:New prod'n data received from the operator.
A1-A3:Prod'n deferred due to reduced nomination of CNUOC.
GPOC:Prod'n deferred due to biorem limitations, downhole complications.
PCB:Prod'n deferred due to the low efficiency of PCPs in flowing wells.
IEC:Prod'n deferred due to shutdown of Maiskoye well-2 &amp;Snezhnoye well-146,133,520.
LZC: Prod'n deferred due to planned shutdown for Hydrogen Induced Cracking issue.</t>
  </si>
  <si>
    <t>A1-A3:Prod'n deferred due to reduced nomination of CNUOC.
GPOC:Prod'n deferred due to biorem limitations, downhole complications.
PCB:Prod'n deferred due to the low efficiency of PCPs in flowing wells.
IEC:Prod'n deferred due to shutdown of Maiskoye well-2 &amp; Snezhnoye well-146,133,520.
ACG:Prod'n deferred due to sand issue in west chirag.
SPOC:Prod'n deferred due to water draining.
LZC: Prod'n deferred due to planned shutdown for Hydrogen Induced Cracking issue.</t>
  </si>
  <si>
    <t>A1-A3:Prod'n deferred due to reduced nomination of CNUOC.
GPOC:Prod'n deferred due to biorem limitations, downhole complications.
PCB:Prod'n deferred due to the low efficiency of PCPs in flowing wells.
IEC:Prod'n deferred due to shutdown of Maiskoye well-2 &amp; Snezhnoye well-146,133,520.
ACG:Prod'n deferred due to sand issue in west chirag.
LZC: Prod'n deferred due to planned shutdown for Hydrogen Induced Cracking issue.</t>
  </si>
  <si>
    <t>Projects</t>
  </si>
  <si>
    <t>A1-A3:Prod'n deferred due to reduced nomination of CNUOC.
GPOC:Prod'n deferred due to biorem limitations, downhole complications.
PCB:Prod'n deferred due to the low efficiency of PCPs in flowing wells.
ACG:Prod'n deferred due to sand issue in west chirag.
BC-10:Prod'n deferred due to ALM 1  train C is offline.
IEC:Prod'n deferred due to shutdown of Maiskoye well-2 &amp; Snezhnoye well-146,133,520.
LZC: Prod'n deferred due to planned shutdown for Hydrogen Induced Cracking issue.</t>
  </si>
  <si>
    <t>A1-A3:Prod'n deferred due to reduced nomination of CNUOC.
GPOC:Prod'n deferred due to biorem limitations, downhole complications.
PCB:Prod'n deferred due to the low efficiency of PCPs in flowing wells.
ACG:Prod'n deferred due to sand issue in west chirag.
BC-10:Prod'n deferred due to ALM 1  train C is offline.
LZC: Prod'n deferred due to planned shutdown for Hydrogen Induced Cracking issue.</t>
  </si>
  <si>
    <t>Sakhalin-1:New prod'n data received from the operator.
A1-A3:Prod'n deferred due to reduced nomination of CNUOC.
GPOC:Prod'n deferred due to biorem limitations, downhole complications.
PCB:Prod'n deferred due to the low efficiency of PCPs in flowing wells.
ACG:Prod'n deferred due to sand issue in west chirag.
BC-10:Prod'n deferred due to ALM 1  train C is offline.</t>
  </si>
  <si>
    <t>A1-A3:Prod'n deferred due to reduced nomination of CNUOC.
GPOC:Prod'n deferred due to biorem limitations, downhole complications.
PCB:Prod'n deferred due to the low efficiency of PCPs in flowing wells.
ACG:Prod'n deferred due to sand issue in west chirag.
BC-10:Prod'n deferred due to ALM 1  train C is offline.</t>
  </si>
  <si>
    <t>PCB:Prod'n deferred due to the low efficiency of PCPs in flowing wells.
ACG:Prod'n deferred due to sand issue in west chirag.
BC-10:Prod'n deferred due to ALM 1  train C is offline.
LZC:Prod'n deferred due to heavy lifting operations on the rig.</t>
  </si>
  <si>
    <t xml:space="preserve">ACG:Prod'n deferred due to sand issue in west chirag.
BC-10:Prod'n deferred due to ALM 1  train C is offline.
LZC:Prod'n deferred due to heavy lifting operations on the rig.
MECL:Prod'n deferred due to internal electric failure in north circuit. </t>
  </si>
  <si>
    <t>ACG:Prod'n deferred due to sand issue in west chirag.
BC-10:Prod'n deferred due to ALM 1  train C is offline.
LZC:Prod'n deferred due to heavy lifting operations on the rig.</t>
  </si>
  <si>
    <t>ACG:Prod'n deferred due to sand issue in west chirag.
LZC:Prod'n deferred due to barge movement.
MECL:Prod'n deferred due to internal electric failure in north circuit.
SPOC:Prod'n deferred due to water draining.</t>
  </si>
  <si>
    <t>Sakhalin-1:New prod'n data received from the operator.
ACG:Prod'n deferred due to the planned shutdown on May 1st. All wells (K-01, K-02, K-03) are currently online.
LZC:Prod'n deferred due to barge movement.
BC-10:Prod'n is being ramped up as ALM-1 train C is online.</t>
  </si>
  <si>
    <t xml:space="preserve">ACG:Prod'n deferred due to shut down of Chirag Platform to attend leakage from LP separator.
Vankor:Prod'n deferred due to repair of critical sections of oil-gathering pipelines.
</t>
  </si>
  <si>
    <t xml:space="preserve">ACG:Prod'n deferred due to shut down of Chirag Platform to attend leakage from LP separator.
Vankor:Prod'n deferred due to repair of oil-gathering pipelines.
</t>
  </si>
  <si>
    <t>ACG:Prod'n deferred due to shut down of Chirag Platform to attend leakage from LP separator.
Vankor:Prod'n deferred due to repair of oil-gathering pipelines.
SPOC:Prod'n deferred due to water draining.</t>
  </si>
  <si>
    <t>SPOC:Prod'n deferred due to shutdown of all Tharjiath wells for transmission line changeover.</t>
  </si>
  <si>
    <t>SPOC:Prod'n deferred due to shutdown of all Tharjiath wells for transmission line changeover.
IEC:Prod'n deferred due to repair of oil-gathering line in Snezhnoye well-503.</t>
  </si>
  <si>
    <t>Sakhalin-1:New prod'n data received from the operator.</t>
  </si>
  <si>
    <t>CPO-5:Prod'n deferred due to SAR personnel blockade.
Vankor:Prod'n deferred due to repair of oil-gathering pipelines.
LZC:Prod'n deferred due to planned GG-2 shutdown.</t>
  </si>
  <si>
    <t>CPO-5:Prod'n deferred due to SAR personnel blockade.
IEC:Prod'n deferred due to planned shutdown of APGTP.</t>
  </si>
  <si>
    <t>CPO-5:Prod'n deferred due to SAR personnel blockade.
Vankor:Prod'n deferred due to repair of oil-gathering pipelines.
IEC:Prod'n deferred due to planned shutdown of APGTP.</t>
  </si>
  <si>
    <t>CPO-5:Prod'n deferred due to SAR personnel blockade.
IEC:Prod'n deferred due to planned shutdown of APGTP.
GPOC:Prod'n deferred due to all flowing wells in running through west feeder in Unity were down and leakage reported in the Unity export line.</t>
  </si>
  <si>
    <t>Sakhalin-1:New prod'n data received from the operator.
CPO-5:Prod'n deferred due to SAR personnel blockade.
ACG:Prod'n deferred due to sand issue in west chirag.</t>
  </si>
  <si>
    <t>CPO-5:Prod'n deferred due to SAR personnel blockade.
ACG:Prod'n deferred due to sand issue in west chirag.
SPOC:All TJ wells shutdown due to power dip.</t>
  </si>
  <si>
    <t xml:space="preserve">ACG:Prod'n deferred due to sand issue in west chirag.
SPOC:All TJ wells shutdown due to power dip.
BC-10:Prod'n deferred due to AW-1 well closed in Abalone field.
LZC:Prod'n deferred due to planned maintenance activities at gas injection platform. </t>
  </si>
  <si>
    <t>ACG:Prod'n deferred due to sand issue in west chirag.
SPOC:All TJ wells shutdown due to power dip.
BC-10:Prod'n deferred due to AW-1 well closed in Abalone field.</t>
  </si>
  <si>
    <t>ACG:Prod'n deferred due to sand issue in west chirag.
SPOC:TR-01 Breaker tripped affecting TJ wells supply.
BC-10:Prod'n deferred due to AW-1 well closed in Abalone field.</t>
  </si>
  <si>
    <t>Sakhalin-1:New prod'n data received from the operator.
ACG:Prod'n deferred due to sand issue in west chirag.
SPOC:Prod'n deferred due to power tripped in TJ feeder-2. 13 TJ flowing wells supply affected. 
BC-10:Prod'n deferred due to AW-1 well closed in Abalone field.</t>
  </si>
  <si>
    <t>ALM 2 stopped</t>
  </si>
  <si>
    <t>igh water level in storage tank</t>
  </si>
  <si>
    <t>Emergency s/d</t>
  </si>
  <si>
    <t>AGI EPS-1: ZK-401 closed</t>
  </si>
  <si>
    <t>s/d gas leakage</t>
  </si>
  <si>
    <t>Main Gas Compressor being unavailable &amp; ALM 2 stopped</t>
  </si>
  <si>
    <t>Abalone m/g compressor is unavailable</t>
  </si>
  <si>
    <t>community blockade</t>
  </si>
  <si>
    <t>troubleshooting &amp; MOBO-2 VFD swap</t>
  </si>
  <si>
    <t>biorem limitations, downhole complications</t>
  </si>
  <si>
    <t>PCPs in flowing wells</t>
  </si>
  <si>
    <t>HIC issue</t>
  </si>
  <si>
    <t>oil leak in export pump</t>
  </si>
  <si>
    <t>Lan do wells P1 &amp; P2</t>
  </si>
  <si>
    <t>Repair of defective sections of the oil gathering pipeline</t>
  </si>
  <si>
    <t>high water cut in C/W/E Azeri</t>
  </si>
  <si>
    <t xml:space="preserve"> biorem limitations &amp; downhole complications</t>
  </si>
  <si>
    <t>due to water draining</t>
  </si>
  <si>
    <t xml:space="preserve"> LZ GGII planned s/d.</t>
  </si>
  <si>
    <t xml:space="preserve"> reduced nomination of CNUOC</t>
  </si>
  <si>
    <t>ALM 2 train B,  ALM 1 train C and ALM 3 train A offline</t>
  </si>
  <si>
    <t>water draining</t>
  </si>
  <si>
    <t>s/d for HIC issue.</t>
  </si>
  <si>
    <t>s/d of Maiskoye well-2 &amp; Snezhnoye well-146,133,520.</t>
  </si>
  <si>
    <t>ALM 1  train C is offline</t>
  </si>
  <si>
    <t>internal electric failure</t>
  </si>
  <si>
    <t>electric failure</t>
  </si>
  <si>
    <t>all TJ wells for transmission line changeover</t>
  </si>
  <si>
    <t xml:space="preserve"> repair of oil-gathering pipelines</t>
  </si>
  <si>
    <t>SAR personnel blockade</t>
  </si>
  <si>
    <t>planned s/d of APGTP</t>
  </si>
  <si>
    <t>leakage reported in the Unity export line.</t>
  </si>
  <si>
    <t>All TJ wells s/d power dip</t>
  </si>
  <si>
    <t>sand issue</t>
  </si>
  <si>
    <t>AW-1 well closed in Abalone field</t>
  </si>
  <si>
    <t>ALM 1,2 &amp; 3 offline</t>
  </si>
  <si>
    <t xml:space="preserve"> hydrate formation in the pipeline.</t>
  </si>
  <si>
    <t xml:space="preserve"> PCPs in flowing wells</t>
  </si>
  <si>
    <t>reduced nomination of CNUOC</t>
  </si>
  <si>
    <t>ACG:Prod'n deferred due to sand issue in west chirag.
BC-10:Prod'n deferred due to AW-1 well closed in Abalone field.
Vankor:Technical and organizational measures for repair of critical sections of the oil gathering pipeline.</t>
  </si>
  <si>
    <t>Vankor:Reasons awaited from operator.</t>
  </si>
  <si>
    <t>A1-A3:Prod'n deferred due to reduced nomination of CNUOC.
Vankor:Reasons awaited from operator.</t>
  </si>
  <si>
    <t>Sakhalin-1:New prod'n data received from the operator.
Vankor:Prod'n deferred due to repair of oil-gathering pipelines.</t>
  </si>
  <si>
    <t>Vankor:Prod'n deferred due to repair of oil-gathering pipelines.
Sakhalin-1:Prod'n deferred due to ongoing replacement works of GIC and GTC in gas Train-2 in Odoptu.
IEC:Prod'n deferred due to pipe rupture in South-Maiskoye field between PAD1-PAD4.</t>
  </si>
  <si>
    <t>Vankor:Prod'n deferred due to repair of oil-gathering pipelines.
Sakhalin-1:Prod'n deferred due to ongoing replacement works of GIC and GTC in gas Train-2 in Odoptu.
LZC:Prod'n deferred due to barge movement.</t>
  </si>
  <si>
    <t>Sakhalin-1:Prod'n deferred due to ongoing replacement works of GIC and GTC in gas Train-2 in Odoptu.
LZC:Prod'n deferred due to barge movement.
SPOC:Prod'n deferred due to power fluctuation in TJ wells for 1 hour.
ACG:low prod'n in Central Azeri PDQ platform.</t>
  </si>
  <si>
    <t>Sakhalin-1:New prod'n data received from the operator.
Sakhalin-1:Prod'n deferred due to ongoing replacement works of GIC and GTC in gas Train-2 in Odoptu.
IEC:Prod'n deferred due to pipeline imbalance in Snezhnoye field &amp; ESP issues in well 2-R Maiskoye field.</t>
  </si>
  <si>
    <t>SCB:Well closed due to high water cut.
Sakhalin-1:Prod'n deferred due to ongoing replacement works of GIC and GTC in gas Train-2 in Odoptu.
IEC:Prod'n deferred due to pipeline imbalance in Snezhnoye field &amp; ESP issues in well 2-R Maiskoye field.</t>
  </si>
  <si>
    <t>Sakhalin-1:Prod'n deferred due to ongoing replacement works of GIC and GTC in gas Train-2 in Odoptu.
CPO-5:Prod'n deferred due to SAR personnel blockade.</t>
  </si>
  <si>
    <t xml:space="preserve">Sakhalin-1:Prod'n deferred due to ongoing replacement works of GIC and GTC in gas Train-2 in Odoptu.
CPO-5:Prod'n deferred due to SAR personnel blockade.
SPOC:Prod'n deferred due to water draining.
</t>
  </si>
  <si>
    <t xml:space="preserve">Sakhalin-1:Prod'n deferred due to ongoing replacement works of GIC and GTC in gas Train-2 in Odoptu.
CPO-5:Prod'n deferred due to SAR personnel blockade.
IEC:Prod'n deferred due to pipeline imbalance in Snezhnoye field
</t>
  </si>
  <si>
    <t>1-Apr-25
Prodn Ref</t>
  </si>
  <si>
    <t>Reference</t>
  </si>
  <si>
    <t xml:space="preserve">BE </t>
  </si>
  <si>
    <t>Prev. day data for ACG,MECL,GPOC.</t>
  </si>
  <si>
    <t xml:space="preserve">Sakhalin-1:New prod'n data received from the operator.
Sakhalin-1:Prod'n deferred due to ongoing replacement works of GIC and GTC in gas Train-2 in Odoptu.
CPO-5:Prod'n deferred due to SAR personnel blockade.
ACG:ACG: Prod'n deferred due to CA platform Train-1 shutdown. Likely causes of safety transmitter activation on main oil pump Train-1. .
IEC: Prod'n deferred due to Emergency power shutdown.
</t>
  </si>
  <si>
    <t xml:space="preserve">Sakhalin-1:Prod'n deferred due to ongoing replacement works of GIC and GTC in gas Train-2 in Odoptu.
CPO-5:Prod'n deferred due to SAR personnel blockade.
ACG:ACG: Prod'n deferred due to CA platform Train-1 shutdown. Likely causes of safety transmitter activation on main oil pump Train-1. 
</t>
  </si>
  <si>
    <t xml:space="preserve">Sakhalin-1:Prod'n deferred due to ongoing replacement works of GIC and GTC in gas Train-2 in Odoptu.
CPO-5:Prod'n deferred due to SAR personnel blockade.
ACG: Prod'n deferred due to CA platform Train-1 shutdown.
IEC: Prod'n deferred due to Emergency power shutdown.
</t>
  </si>
  <si>
    <t>Sakhalin-1:Prod'n deferred due to ongoing replacement works of GIC and GTC in gas Train-2 in Odoptu.
CPO-5:Prod'n deferred due to SAR personnel blockade.
ACG: Prod'n deferred due to CA platform Train-1 shutdown.
IEC: Prod'n deferred due to Emergency power shutdown.</t>
  </si>
  <si>
    <t>Sakhalin-1:Prod'n deferred due to ongoing replacement works of GIC and GTC in gas Train-2 in Odoptu.
CPO-5:Prod'n from Indico pad wells is being ramped-up after lifting of  community blockade.
ACG: Prod'n deferred due to CA platform Train-1 shutdown.
IEC: Prod'n deferred due to Emergency power shutdown.</t>
  </si>
  <si>
    <t xml:space="preserve">Sakhalin-1:Prod'n deferred due to ongoing replacement works of GIC and GTC in gas Train-2 in Odoptu.
ACG: Prod'n deferred due to CA platform Train-1 shutdown.
</t>
  </si>
  <si>
    <t>Sakhalin-1:New prod'n data received from the operator.
SCB:Prod'n deferred due to high water cut.
ACG: Prod'n deferred due to CA platform Train-1 shutdown.
CPO-5:Prod'n deferred due to turning off ESP following non-compliance with water truck nomination.</t>
  </si>
  <si>
    <t xml:space="preserve">Sakhalin-1:Prod'n deferred due to ongoing replacement works of GIC and GTC in gas Train-2 in Odoptu.
ACG: Prod'n deferred due to CA platform Train-1 shutdown.
</t>
  </si>
  <si>
    <t>Sakhalin-1:Prod'n deferred due to ongoing replacement works of GIC and GTC in gas Train-2 in Odoptu.
ACG: Prod'n deferred due to CA platform Train-1 shutdown._x000D_
LZC:Prod'n deferred due to GPF train 1 planned maintenance activity.</t>
  </si>
  <si>
    <t>Sakhalin-1:Prod'n deferred due to ongoing replacement works of GIC and GTC in gas Train-2 in Odoptu.
LZC:Prod'n deferred due to GPF train 1 planned maintenance activity.
IEC: Prod'n deferred due to Emergency power shutdown.</t>
  </si>
  <si>
    <t xml:space="preserve">Sakhalin-1:Prod'n deferred due to ongoing replacement works of GIC and GTC in gas Train-2 in Odoptu.
CPO-5:Prod'n deferred due to SAR personnel blockade.
SPOC:Prod'n deferred due to power trip.
ACG: Prod'n deferred due to CA platform Train-1 shutdown. Likely causes of safety transmitter activation on main oil pump Train-1.
</t>
  </si>
  <si>
    <t xml:space="preserve">Sakhalin-1:Prod'n deferred due to ongoing replacement works of GIC and GTC in gas Train-2 in Odoptu.
CPO-5:Prod'n deferred due to SAR personnel blockade.
ACG: Prod'n deferred due to CA platform Train-1 shutdown. Likely causes of safety transmitter activation on main oil pump Train-1. .
IEC:Prod'n deferred due to pipeline imbalance in Snezhnoye field
</t>
  </si>
  <si>
    <t>CA platform Train-1 s/d</t>
  </si>
  <si>
    <t xml:space="preserve"> ON-7 well closed</t>
  </si>
  <si>
    <t>power fluctuation in TJ wells for 1 hour</t>
  </si>
  <si>
    <t xml:space="preserve"> planned GG-2 s/d</t>
  </si>
  <si>
    <t xml:space="preserve">maintenance activities at GIP. </t>
  </si>
  <si>
    <t>barge movement</t>
  </si>
  <si>
    <t>GPF train 1 planned maintenance activity</t>
  </si>
  <si>
    <t>pipe rupture in South-Maiskoye</t>
  </si>
  <si>
    <t>pipeline imbalance in Snezhnoye field</t>
  </si>
  <si>
    <t xml:space="preserve">Sakhalin-1:Prod'n deferred due to ongoing replacement works of GIC and GTC in gas Train-2 in Odoptu.
ACG: Prod'n deferred due to CA platform Train-1 shutdown.
IEC:Prod'n deferred due to pipeline imbalance in Snezhnoye field.
</t>
  </si>
  <si>
    <t>high water cut</t>
  </si>
  <si>
    <t xml:space="preserve">fail in Oil Heater F-1102 </t>
  </si>
  <si>
    <t xml:space="preserve"> ongoing replacement works of GIC and GTC in gas Train-2 in Odoptu.</t>
  </si>
  <si>
    <t>Sakhalin-1:Prod'n deferred due to ongoing replacement works of GIC and GTC in gas Train-2 in Odoptu.
ACG: Prod'n deferred due to CA platform Train-1 shutdown.
SCB:Well closed due to high water cut.
GPOC:All flowing  wells of Toma South FPF shutdown at avg 3.5 hr due to power trip.</t>
  </si>
  <si>
    <t>Emergency power s/d</t>
  </si>
  <si>
    <t>electrical flickering &amp;failure of crude heater</t>
  </si>
  <si>
    <t>power trip</t>
  </si>
  <si>
    <t xml:space="preserve">Sakhalin-1:Prod'n deferred due to ongoing replacement works of GIC and GTC in gas Train-2 in Odoptu.
ACG: Prod'n deferred due to CA platform Train-1 shutdown.
BC-10:Prod'n deferred due to ON-7 well closed.
Vankor:Prod'n deferred due to repair of oil-gathering pipelines.
</t>
  </si>
  <si>
    <t>low Prd'n in CA PDQ platform</t>
  </si>
  <si>
    <t xml:space="preserve">Sakhalin-1:Prod'n deferred due to ongoing replacement works of GIC and GTC in gas Train-2 in Odoptu.
LZC:Prod'n deferred due to GPF train 1 planned maintenance activity.
IEC: Prod'n deferred due to Emergency power shutdown.
B-06.1:Lan Do wells 1P and 2P are shutdown &amp; Lan Tay wells P1 and P2 are shutdown.
CPO-5:Prod'n deferred due to Indico-3 well shutdown due to facilities transition.
</t>
  </si>
  <si>
    <t>Sakhalin-1:New prod'n data received from the operator.
LZC:Prod'n deferred due to GPF train 1 planned maintenance activity.
IEC: Prod'n deferred due to Emergency power shutdown.
B-06.1:Lan Do wells &amp; Lan Tay wells are shutdown.
CPO-5: Indico-3 well s/d due to facilities transition.
GPOC: Prod'n deferred due to ~2.5 hr power trip on 01.07.25 affecting Unity (West Feeder), Munga wells down ~11 hrs from power trip; UBR-01, UBR-02, UBR-05 &amp; UBR-06 remain offline.</t>
  </si>
  <si>
    <t>Sakhalin-1:Prod'n deferred due to ongoing replacement works of GIC and GTC in gas Train-2 in Odoptu.
LZC:Prod'n deferred due to GPF train 1 planned maintenance activity.
IEC: Prod'n deferred due to Emergency power shutdown.
B-06.1:Lan Do wells &amp; Lan Tay wells are shutdown.</t>
  </si>
  <si>
    <t>Sakhalin-1:Prod'n deferred due to ongoing replacement works of GIC and GTC in gas Train-2 in Odoptu.
LZC:Prod'n deferred due to GPF train 1 planned maintenance activity.
B-06.1:Lan Do wells &amp; Lan Tay wells are shutdown.</t>
  </si>
  <si>
    <t>Sakhalin-1:Prod'n deferred due to ongoing replacement works of GIC and GTC in gas Train-2 in Odoptu.
LZC:Prod'n deferred due to GPF train 1 planned maintenance activity.
B-06.1:Lan Do wells &amp; Lan Tay wells are shutdown.
IEC: APGT Shut down from 08:40 AM to 05:00 PM for cleaning to remove chocking of heat exchangers E 400 and E 401</t>
  </si>
  <si>
    <t>Sakhalin-1:Prod'n deferred due to ongoing replacement works of GIC and GTC in gas Train-2 in Odoptu.
LZC:Prod'n deferred due to GPF train 1 planned maintenance activity.
B-06.1:Lan Do wells &amp; Lan Tay wells are shutdown.
ACG:Prod'n deferred due to low prod'n in Central and Western Azeri.
CPO-5:Prod'n down due to Indico-6 and Indico-7 in community blockade.</t>
  </si>
  <si>
    <t>Sakhalin-1:New prod'n data received from the operator.
LZC:Prod'n deferred due to GPF train 1 planned maintenance activity.
ACG:Prod'n deferred due to low prod'n in Central and Western Azeri.
CPO-5:Prod'n deferred due to a community blockade at Indico-1X, Indico-6, and Indico-7.
IEC:Prod'n deferred due to APGT planned shut down.</t>
  </si>
  <si>
    <t>ACG:Prod'n deferred due to low prod'n in Central and Western Azeri.
CPO-5:Prod'n deferred due to a community blockade at Indico-1X, Indico-6, and Indico-7.
Sakhalin-1:Prod'n deferred due to lower gas compression caused by high ambient temperature impacting fluid handling capacity.
IEC:Prod'n deferred due to APGT planned shut down.
Vankor:Prod'n deferred due to repair of critical section of oil-gathering pipelines.</t>
  </si>
  <si>
    <t xml:space="preserve">ACG:Prod'n deferred due to low prod'n in Central and Western Azeri.
Sakhalin-1:Prod'n deferred due to lower gas compression caused by high ambient temperature impacting fluid handling capacity.
Vankor:Prod'n deferred due to repair of critical section of oil-gathering pipelines._x000D_
</t>
  </si>
  <si>
    <t xml:space="preserve">ACG:Prod'n deferred due to all the wells of ACE K01, K02, K03 are closed.
Sakhalin-1:Prod'n deferred due to lower gas compression caused by high ambient temperature impacting fluid handling capacity.
Vankor:Prod'n deferred due to repair of critical section of oil-gathering pipelines.
LZC:Prod'n deferred due to GPF train 1 planned maintenance activity.
</t>
  </si>
  <si>
    <t xml:space="preserve">ACG:Prod'n deferred due to all the wells of ACE K01, K02, K03 are closed.
Sakhalin-1:Prod'n deferred due to lower gas compression caused by high ambient temperature impacting fluid handling capacity.
Vankor:Prod'n deferred due to repair of critical section of oil-gathering pipelines.
</t>
  </si>
  <si>
    <t>ACG:Prod'n deferred due to all the wells of ACE K01, K02, K03 are closed.
Sakhalin-1:Prod'n deferred due to lower gas compression caused by high ambient temperature impacting fluid handling capacity.
Vankor:Prod'n deferred due to replacement of critical shut-off valves in the oil-gathering pipeline.</t>
  </si>
  <si>
    <t>Sakhalin-1:Prod'n deferred due to lower gas compression caused by high ambient temperature impacting fluid handling capacity.
ACG: Prod'n deferred due to 3 wells shutdown in Azeri Central East.</t>
  </si>
  <si>
    <t>Sakhalin-1:New prod'n data received from the operator.
Sakhalin-1:Reason awaited from the operator.
ACG: Prod'n deferred due to 3 wells shutdown in Azeri Central East.</t>
  </si>
  <si>
    <t>Sakhalin-1:Reason awaited from the operator.
ACG: Prod'n deferred due to 3 wells shutdown in Azeri Central East.
SPOC:Prod'n deferred due to power trip.
GPOC:Prod'n deferred due to power tripped at Toma South &amp; El Toor.</t>
  </si>
  <si>
    <t>Sakhalin-1:Reason awaited from the operator.
GPOC:Prod'n deferred due to power tripped at Toma South &amp; El Toor.</t>
  </si>
  <si>
    <t xml:space="preserve">Sakhalin-1:Reason awaited from the operator.
</t>
  </si>
  <si>
    <t>Sakhalin-1:Reason awaited from the operator.</t>
  </si>
  <si>
    <t>Sakhalin-1:Reason awaited from the operator.
SPOC:Prod'n deferred due to ME-3 well shut in for high torque.
ACG:Prod'n deferred due to low prod'n in Central Azeri.</t>
  </si>
  <si>
    <t>Sakhalin-1:Reason awaited from the operator.
ACG:Prod'n deferred due to low prod'n in Central Azeri.
Vankor:Reason awaited from the operator.
PCB:Prod'n deferred due to power outages in the National Electric System, affecting plant equipment and 16 producing wells.</t>
  </si>
  <si>
    <t>Sakhalin-1:Reason awaited from the operator.
ACG:Prod'n deferred due to low prod'n in Central Azeri.</t>
  </si>
  <si>
    <t>Sakhalin-1:Sakhalin:Prod'n deferment is observed due to rampdown for the planned shutdown in August 2025..
ACG:Prod'n deferred due to low prod'n in Central Azeri.
SPOC:Prod'n deferred due to Central Power Plant blackout no power supply to TJ FSF wells.</t>
  </si>
  <si>
    <t>Sakhalin-1:Sakhalin:Prod'n deferment is observed due to rampdown for the planned shutdown in August 2025..
ACG:Prod'n deferred due to low prod'n in Central Azeri.
SPOC:Prod'n deferred due to TJH-12 well shutdown due to VSD issue.</t>
  </si>
  <si>
    <t>Sakhalin-1:Sakhalin:Prod'n deferment is observed due to rampdown for the planned shutdown in August 2025..</t>
  </si>
  <si>
    <t>Sakhalin-1:New prod'n data received from the operator.
Sakhalin:Sakhalin:Prod'n deferment is observed due to rampdown for the planned shutdown in August 2025.</t>
  </si>
  <si>
    <t>Sakhalin:Prod'n deferment is observed due to rampdown for the planned shutdown in August 2025..</t>
  </si>
  <si>
    <t>Sakhalin:Sakhalin:Prod'n deferment is observed due to rampdown for the planned shutdown in August 2025.</t>
  </si>
  <si>
    <t>Sakhalin:Sakhalin:Prod'n deferment is observed due to rampdown for the planned shutdown in August 2025.
SPOC:Prod'n deferred due to power tripped in TJ-25, TJ-7, TJH-20, TJH-23, TJ-1 flowing wells supply affected. 
LZC:Prod'n deferred due to GPF Train-1 PM &amp; Rig activities.</t>
  </si>
  <si>
    <t>Sakhalin:Sakhalin:Prod'n deferment is observed due to rampdown for the planned shutdown in August 2025.
LZC:Prod'n deferred due to GPF Train-1 PM &amp; Rig activities.
ACG:Prod'n deferred due to  time out for safety(TOFS) reasons.</t>
  </si>
  <si>
    <t>Sakhalin:Sakhalin:Prod'n deferment is observed due to rampdown for the planned shutdown in August 2025.
ACG:Prod'n deferred due to  time out for safety(TOFS) reasons.</t>
  </si>
  <si>
    <t>Sakhalin:Sakhalin:Prod'n deferment is observed due to rampdown for the planned shutdown in August 2025.
ACG:Prod'n deferred due to  time out for safety(TOFS) reasons.
SPOC:Prod'n deferred due to TJH-10, TJH-12, and TJH-14 wells shutdown due to VSD issue.
Vankor:Reason awaited from the operator.</t>
  </si>
  <si>
    <t>Sakhalin-1:New prod'n data received from the operator.
Sakhalin:Prod'n deferment is observed due to rampdown for the planned shutdown in August 2025.
ACG:Prod'n deferred due to  time out for safety(TOFS) reasons.
SCB:Prod'n deferred due to clogging in the crude heater, which disrupted the dispatch of process crude oil.
Vankor:Reason awaited from the operator.</t>
  </si>
  <si>
    <t>Sakhalin:Prod'n from Sakhalin-1 project as Nil from 02.08.2025 due to planned field shut down.
ACG:Prod'n deferred due to  time out for safety(TOFS) reasons.
Vankor:Reason awaited from the operator.</t>
  </si>
  <si>
    <t>Sakhalin:Prod'n from Sakhalin-1 project as Nil from 02.08.2025 due to planned field shut down.
Vankor: Prod'n deferred due to gas injection during annual preventive maintenance.
GPOC:Prod'n deferred due to downhole problems.</t>
  </si>
  <si>
    <t>Sakhalin:Prod'n from Sakhalin-1 project as Nil from 02.08.2025 due to planned field shut down.
Vankor: Prod'n deferred due to gas injection during annual preventive maintenance.
GPOC:Prod'n deferred due to downhole problems.
BC-10:Prod'n deferred due to ALM 2 Train B being offline.</t>
  </si>
  <si>
    <t>Sakhalin:Prod'n from Sakhalin-1 project as Nil from 02.08.2025 due to planned field shut down.
Vankor: Prod'n deferred due to gas injection during annual preventive maintenance.
GPOC:Prod'n deferred due to downhole problems.
BC-10:Prod'n deferred due to ALM 2 Train B being offline.
SPOC:Prod'n deferred due to water draining.</t>
  </si>
  <si>
    <t>Sakhalin:Prod'n deferred due to the scheduled shutdown in August 2025 for the replacement of the gas flare tip at Chayvo and maintenance/replacement activities across all Sakhalin-1 facilities, which commenced on 1st August 2025.
GPOC:Prod'n deferred due to downhole problems.
SCB:Prod'n deferred due to high water level in storage tank, can't fiscalize volume.</t>
  </si>
  <si>
    <t>Sakhalin:Prod'n deferred due to the scheduled shutdown in August 2025 for the replacement of the gas flare tip at Chayvo and maintenance/replacement activities across all Sakhalin-1 facilities, which commenced on 1st August 2025.
GPOC:Prod'n deferred due to downhole problems.
BC-10:Prod'n deferred due to ALM 1  train C is offline.</t>
  </si>
  <si>
    <t>Sakhalin:Prod'n deferred due to the scheduled shutdown in August 2025 for the replacement of the gas flare tip at Chayvo and maintenance/replacement activities across all Sakhalin-1 facilities, which commenced on 1st August 2025.
GPOC:Prod'n deferred due to downhole problems.
BC-10:Prod'n deferred due to AW-1 well closed in Abalone field.</t>
  </si>
  <si>
    <t>Sakhalin:Prod'n deferred due to the scheduled shutdown in August 2025 for the replacement of the gas flare tip at Chayvo and maintenance/replacement activities across all Sakhalin-1 facilities, which commenced on 1st August 2025.
GPOC:Prod'n deferred due to downhole problems.</t>
  </si>
  <si>
    <t>Sakhalin:Prod'n deferred due to the scheduled shutdown in August 2025 for the replacement of the gas flare tip at Chayvo and maintenance/replacement activities across all Sakhalin-1 facilities, which commenced on 1st August 2025.
GPOC:Prod'n deferred due to downhole problems.
BC-10:Prod'n deferred due to AW-1 well closed in Abalone field.
Vankor:Shudown due to optimising the operation under well works and switching over to backup control station for organising activities &amp; surface infrastructure.</t>
  </si>
  <si>
    <t>Sakhalin:Prod'n deferred due to the scheduled shutdown in August 2025 for the replacement of the gas flare tip at Chayvo and maintenance/replacement activities across all Sakhalin-1 facilities, which commenced on 1st August 2025.
BC-10:Prod'n deferred due to AW-1 well closed in Abalone field.
Vankor:Shudown due to optimising the operation under well works and switching over to backup control station for organising activities &amp; surface infrastructure.</t>
  </si>
  <si>
    <r>
      <t xml:space="preserve">Sakhalin:Prod'n deferred due to the scheduled shutdown in August 2025 for the replacement of the gas flare tip at Chayvo and maintenance/replacement activities across all Sakhalin-1 facilities, which commenced on 1st August 2025.
GPOC:Prod'n deferred due to downhole problems.
Vankor:Shudown due to optimising the operation under well works and switching over to backup control station for organising activities &amp; surface infrastructure.
</t>
    </r>
    <r>
      <rPr>
        <i/>
        <sz val="12"/>
        <color theme="1"/>
        <rFont val="Calibri"/>
        <family val="2"/>
        <scheme val="minor"/>
      </rPr>
      <t>IEC:Prod'n deferred due to workover and well deviation</t>
    </r>
    <r>
      <rPr>
        <sz val="12"/>
        <color theme="1"/>
        <rFont val="Calibri"/>
        <family val="2"/>
        <scheme val="minor"/>
      </rPr>
      <t>.</t>
    </r>
  </si>
  <si>
    <t>Sakhalin:Prod'n deferred due to the scheduled shutdown in August 2025 for the replacement of the gas flare tip at Chayvo and maintenance/replacement activities across all Sakhalin-1 facilities, which commenced on 1st August 2025.
GPOC:Prod'n deferred due to downhole problems.
Vankor:Shudown due to optimising the operation under well works and switching over to backup control station for organising activities &amp; surface infrastructure.
IEC:Prod'n deferred due to workover and well deviation.</t>
  </si>
  <si>
    <t xml:space="preserve">Sakhalin:Prod'n deferred due to the scheduled shutdown in August 2025 for the replacement of the gas flare tip at Chayvo and maintenance/replacement activities across all Sakhalin-1 facilities, which commenced on 1st August 2025.
GPOC:Prod'n deferred due to downhole problems.
IEC:Prod'n deferred due to workover and well deviation.
Vankor:Shudown due to optimising the operation under well works and switching over to backup control station for organising activities &amp; surface infrastructure.
</t>
  </si>
  <si>
    <t xml:space="preserve">Sakhalin:Prod'n deferred due to the scheduled shutdown in August 2025 for the replacement of the gas flare tip at Chayvo and maintenance/replacement activities across all Sakhalin-1 facilities, which commenced on 1st August 2025.
GPOC:Prod'n deferred due to downhole problems.
</t>
  </si>
  <si>
    <t>Sakhalin:Prod'n deferred due to the scheduled shutdown in August 2025 for the replacement of the gas flare tip at Chayvo and maintenance/replacement activities across all Sakhalin-1 facilities, which commenced on 1st August 2025.
Vankor:Reason awaited from the operator.
GPOC:Prod'n deferred due to downhole problems.</t>
  </si>
  <si>
    <t xml:space="preserve">Sakhalin:Prod'n deferred due to the scheduled shutdown in August 2025 for the replacement of the gas flare tip at Chayvo and maintenance/replacement activities across all Sakhalin-1 facilities, which commenced on 1st August 2025.
Vankor:Reason awaited from the operator.
GPOC:Prod'n deferred due to downhole problems.
</t>
  </si>
  <si>
    <t>Sakhalin:Prod'n deferred due to the scheduled shutdown in August 2025 for the replacement of the gas flare tip at Chayvo and maintenance/replacement activities across all Sakhalin-1 facilities, which commenced on 1st August 2025.
Vankor:Reason awaited from the operator.
GPOC:Prod'n deferred due to downhole problems.
ACG:Low prod'n in Central Azeri,Western Azeri &amp; Deepwater Gunashli PDQ platform.</t>
  </si>
  <si>
    <t>Sakhalin:Prod'n deferred due to the scheduled shutdown in August 2025 for the replacement of the gas flare tip at Chayvo and maintenance/replacement activities across all Sakhalin-1 facilities, which commenced on 1st August 2025.
Vankor:Reason awaited from the operator.
LZC:Prod'n deferred due to GPF Train-1 maintenance activity.
ACG:Low prod'n in Central Azeri,Western Azeri &amp; Deepwater Gunashli PDQ platform.
GPOC:Prod'n deferred due to downhole problems.
A1-A3:Prod'n deferred due to reduced nomination of CNUOC.</t>
  </si>
  <si>
    <t xml:space="preserve">Sakhalin:Prod'n deferred due to the scheduled shutdown for the replacement of the gas flare tip at Chayvo and maintenance activities.
Vankor:Reason awaited from the operator.
LZC:Prod'n deferred due to GPF Train-1 maintenance activity.
A1-A3:Prod'n deferred due to reduced nomination of CNUOC.
BC-10:Prod'n deferred due to ALM 1  train C is offline.
SPOC:Prod'n deferred due to COST (crude oil storage tank) level high. </t>
  </si>
  <si>
    <t xml:space="preserve">LZC:Prod'n deferred due to GPF Train-1 maintenance activity.
A1-A3:Prod'n deferred due to reduced nomination of CNUOC.
Vankor:Reason awaited from the operator.
BC-10:Prod'n deferred due to AW-1 well closed in Abalone field.
SPOC:Prod'n deferred due to COST (crude oil storage tank) level high. </t>
  </si>
  <si>
    <t xml:space="preserve">Sakhalin-1: Prod'n being ramped up.
LZC:Prod'n deferred due to GPF Train-1 maintenance activity.
A1-A3:Prod'n deferred due to reduced nomination of CNUOC.
Vankor:Reason awaited from the operator.
BC-10:Prod'n deferred due to AW-1 well closed in Abalone field.
SPOC:Prod'n deferred due to COST (crude oil storage tank) level high. </t>
  </si>
  <si>
    <t xml:space="preserve">Sakhalin-1: Prod'n being ramped up.
A1-A3:Prod'n deferred due to reduced nomination of CNUOC.
Vankor:Reason awaited from the operator.
BC-10:Prod'n deferred due to AW-1 well closed in Abalone field.
GPOC:Prod'n deferred due to downhole problems.
SPOC:Prod'n deferred due to COST (crude oil storage tank) level high. </t>
  </si>
  <si>
    <t xml:space="preserve">A1-A3:Prod'n deferred due to reduced nomination of CNUOC.
Sakhalin-1: Prod'n is being ramped up.
Vankor:Reason awaited from the operator.
BC-10:Prod'n deferred due to AW-1 well closed in Abalone field.
GPOC:Prod'n deferred due to downhole problems.
SPOC:Prod'n deferred due to COST (crude oil storage tank) level high. </t>
  </si>
  <si>
    <t xml:space="preserve">A1-A3:Prod'n deferred due to reduced nomination of CNUOC.
Sakhalin-1: Prod'n is being ramped up.
BC-10:Prod'n deferred due to AW-1 well closed in Abalone field.
GPOC:Prod'n deferred due to downhole problems.
SPOC:Prod'n deferred due to COST (crude oil storage tank) level high. </t>
  </si>
  <si>
    <t>Prod'n for July'25 was zero so to be avoid calculation we'll consider Conversion factor of previous month i.e June'25</t>
  </si>
  <si>
    <t>A1-A3:Prod'n deferred due to reduced nomination of CNUOC.
GPOC:Prod'n deferred due to downhole problems.</t>
  </si>
  <si>
    <t>A1-A3:Prod'n deferred due to reduced nomination of CNUOC.
BC-10:Prod'n is being ramped up.
GPOC:Prod'n deferred due to downhole problems.</t>
  </si>
  <si>
    <t>A1-A3:Prod'n deferred due to reduced nomination of CNUOC.
ACG:Prod'n deferred due to low prod'n in Central Azeri &amp; East Azeri.
GPOC:Prod'n deferred due to downhole problems.
SPOC:Wells shutdown due to suspected leakage at BVS#4 on the 24", 172 Km TJ-WHCC export pipeline.</t>
  </si>
  <si>
    <t xml:space="preserve">A1-A3:Prod'n deferred due to reduced nomination of CNUOC.
ACG:Prod'n deferred due to low prod'n in Central Azeri &amp; East Azeri.
GPOC:Prod'n deferred due to downhole problems.
SPOC:Wells shutdown due to suspected leakage at BVS#4 on the 24", 172 Km TJ-WHCC export pipeline._x000D_
</t>
  </si>
  <si>
    <t>`</t>
  </si>
  <si>
    <t>A1-A3:Prod'n deferred due to reduced nomination of CNUOC.
GPOC:Prod'n deferred due to downhole problems.
IEC:Prod'n deferred due to scheduled maintenance shutdown of APGTP plant at Snezhnoye field.</t>
  </si>
  <si>
    <t>Sakhalin-1:New prod'n data received from the operator.
A1-A3:Prod'n deferred due to reduced nomination of CNUOC.
GPOC:Prod'n deferred due to downhole problems.
IEC:Prod'n deferred due to scheduled maintenance shutdown of APGTP plant at Snezhnoye field.</t>
  </si>
  <si>
    <t xml:space="preserve">A1-A3:Prod'n deferred due to reduced nomination of CNUOC.
GPOC:Prod'n deferred due to downhole problems.
SCB: Prod'n deferred due to electrical failure.
</t>
  </si>
  <si>
    <t>A1-A3:Prod'n deferred due to reduced nomination of CNUOC.
GPOC:Prod'n deferred due to downhole problems.
IEC:Prod'n deferred due to scheduled maintenance shutdown of APGTP plant at Snezhnoye field.
SCB: Prod'n deferred due to electrical failure.</t>
  </si>
  <si>
    <t xml:space="preserve">A1-A3:Prod'n deferred due to reduced nomination of CNUOC.
GPOC:Prod'n deferred due to downhole problems.
</t>
  </si>
  <si>
    <t>A1-A3:Prod'n deferred due to reduced nomination of CNUOC.
GPOC:Prod'n deferred due to downhole problems.
Vankor:Prod'n deferred due to tie-in of high-pressure water lines and replacement of shut-off valves as part of Pre-FWKF-2 commissioning preparations.</t>
  </si>
  <si>
    <t>A1-A3:Prod'n deferred due to reduced nomination of CNUOC.
GPOC:Prod'n deferred due to downhole problems.
Sakhalin-1:New prod'n data received from the operator.
Vankor:Prod'n deferred due to tie-in of high-pressure water lines and replacement of shut-off valves as part of Pre-FWKF-2 commissioning preparations.</t>
  </si>
  <si>
    <t>A1-A3:Prod'n deferred due to reduced nomination of CNUOC.
Sakhalin-1:Prod'n deferred due to Gas Turbine Generator repair at Chayvo and interval flow testing in OP-17 at Odoptu.
GPOC:Prod'n deferred due to downhole problems.
IEC:Oil production from new well 204 has started from 19.09.2025.
Vankor:Prod'n deferred due to fault in pipeline led to shutdown of 29 wells.</t>
  </si>
  <si>
    <t>A1-A3:Prod'n deferred due to reduced nomination of CNUOC.
Sakhalin-1:Prod'n deferred due to Gas Turbine Generator repair at Chayvo and interval flow testing in OP-17 at Odoptu.
GPOC:Prod'n deferred due to downhole problems.
Vankor:Prod'n deferred due to fault in pipeline led to shutdown of 29 wells.</t>
  </si>
  <si>
    <t xml:space="preserve">A1-A3:Prod'n deferred due to reduced nomination of CNUOC.
Sakhalin-1:Prod'n deferred due to Gas Turbine Generator repair at Chayvo and interval flow testing in OP-17 at Odoptu.
GPOC:Prod'n deferred due to downhole problems.
IEC:Oil production from new well 204 has started from 19.09.2025.
Vankor:Prod'n deferred due to fault in pipeline led to shutdown of 29 wells._x000D_
</t>
  </si>
  <si>
    <t xml:space="preserve">A1-A3:Prod'n deferred due to reduced nomination of CNUOC.
Sakhalin-1:Prod'n deferred due to Gas Turbine Generator repair at Chayvo and interval flow testing in OP-17 at Odoptu.
GPOC:Prod'n deferred due to downhole problems.
IEC:Oil production from new well 204 has started from 19.09.2025.
Vankor:Prod'n deferred due to fault in pipeline led to shutdown of 29 wells._x000D_
_x000D_
</t>
  </si>
  <si>
    <t xml:space="preserve">A1-A3:Prod'n deferred due to reduced nomination of CNUOC.
Sakhalin-1:New prod'n data received from the operator.
Sakhalin-1:Prod'n deferred due to Gas Turbine Generator repair at Chayvo and interval flow testing in OP-17 at Odoptu.
GPOC:Prod'n deferred due to downhole problems.
IEC:Oil production from new well 204 has started from 19.09.2025.
Vankor:Prod'n deferred due to fault in pipeline led to shutdown of 29 wells._x000D_
_x000D_
</t>
  </si>
  <si>
    <t>A1-A3:Prod'n deferred due to reduced nomination of CNUOC.
Sakhalin-1:Prod'n deferred due to Gas Turbine Generator repair at Chayvo and interval flow testing in OP-17 at Odoptu.
GPOC:Prod'n deferred due to downhole problems.
IEC:Oil production from new well 204 has started from 19.09.2025.
Vankor:Prod'n deferred due to fault in pipeline led to shutdown of 29 wells._x000D_</t>
  </si>
  <si>
    <t xml:space="preserve">A1-A3:Prod'n deferred due to shutdown and maintenance.
Sakhalin-1:Prod'n deferred due to Gas Turbine Generator repair at Chayvo and interval flow testing in OP-17 at Odoptu.
GPOC:Prod'n deferred due to downhole problems.
Vankor:Prod'n deferred due to fault in pipeline led to shutdown of 29 wells.
</t>
  </si>
  <si>
    <t xml:space="preserve">A1-A3:Prod'n deferred due to planned maintenance shutdown  (13th - 16th October 2025)
Sakhalin-1:Prod'n deferred due to Gas Turbine Generator repair at Chayvo and interval flow testing in OP-17 at Odoptu.
Vankor:Prod'n deferred due to fault in pipeline led to shutdown of 29 wells.
</t>
  </si>
  <si>
    <t xml:space="preserve">Sakhalin-1:New prod'n data received from the operator.
A1-A3:Prod'n deferred due to planned maintenance shutdown  (13th - 16th October 2025)
Vankor:Prod'n deferred due to maintenance of electrical equipment.
</t>
  </si>
  <si>
    <t xml:space="preserve">A1-A3:Prod'n deferred due to planned maintenance shutdown  (13th - 16th October 2025)
Vankor:Prod'n deferred due to maintenance of electrical equipment.
</t>
  </si>
  <si>
    <t xml:space="preserve">A1-A3:Prod'n deferred due to planned maintenance shutdown  (13th - 16th October 2025)
Vankor:Prod'n deferred due to maintenance of electrical equipment.
_x000D_
</t>
  </si>
  <si>
    <t xml:space="preserve">Vankor:Prod'n deferred due to maintenance of electrical equipment.
SPOC:Prod'n deferred due to power tripped in TJ wells.
</t>
  </si>
  <si>
    <t xml:space="preserve">CPO-5:Prod'n deferred due to well closed and ESP turned off from 23:35 for PBU test well opened 23:50 hrs ESP turned on.
SPOC:Prod'n deferred due to power tripped in TJ wells.
</t>
  </si>
  <si>
    <t>Sakhalin-1:New prod'n data received from the operator.
CPO-5:Prod'n deferred due to community blocked.</t>
  </si>
  <si>
    <t>CPO-5:Prod'n deferred due to community blocked.</t>
  </si>
  <si>
    <t>Mar'27</t>
  </si>
  <si>
    <t>Apr'26</t>
  </si>
  <si>
    <t>May'26</t>
  </si>
  <si>
    <t>June'26</t>
  </si>
  <si>
    <t>July'26</t>
  </si>
  <si>
    <t>Aug'26</t>
  </si>
  <si>
    <t>Sep'26</t>
  </si>
  <si>
    <t>Oct'26</t>
  </si>
  <si>
    <t>Nov'26</t>
  </si>
  <si>
    <t>Dec'26</t>
  </si>
  <si>
    <t>Jan'27</t>
  </si>
  <si>
    <t>Feb'27</t>
  </si>
  <si>
    <t>CPO-5:Prod'n deferred due to community blocked.
Sakhalin-1:New prod'n data received from the operator.
Sakhalin-1:Flowback from newly drilled well OP-24 in South Well site of Odoptu field has started.</t>
  </si>
  <si>
    <t>CPO-5:Prod'n down due to community blockade.
Sakhalin-1:New prod'n data received from the operator.
Sakhalin-1:Flowback from newly drilled well OP-24 in South Well site of Odoptu field has started.</t>
  </si>
  <si>
    <t>CPO-5:Prod'n down due to community blockade.
Sakhalin-1:Flowback from newly drilled well OP-24 in South Well site of Odoptu field has started.</t>
  </si>
  <si>
    <t>Asking Rate</t>
  </si>
  <si>
    <t xml:space="preserve">YTD Actual </t>
  </si>
  <si>
    <t>CPO-5:Prod'n down due to community blockade.
Sakhalin-1:Flowback from newly drilled well OP-24 in South Well site of Odoptu field has started.
SPOC:Prod'n deferred due to Central Power Plant blackout.
BC-10:Shutdown planned from 10th October for turnaround campaign.</t>
  </si>
  <si>
    <t>CPO-5:Prod'n down due to community blockade.
Sakhalin-1:Flowback from newly drilled well OP-24 in South Well site of Odoptu field has started.
BC-10:Shutdown planned from 10th November for turnaround campaign.</t>
  </si>
  <si>
    <t>CPO-5:Prod'n down due to community blockade.
Sakhalin-1:New prod'n data received from the operator.
BC-10:Shutdown planned from 10th November for turnaround campaign.</t>
  </si>
  <si>
    <t>CPO-5:Prod'n down due to community blockade.
GPOC:Prod'n deferred due to downhole problems.
BC-10:Shutdown planned from 10th November for turnaround campaign.</t>
  </si>
  <si>
    <t>GPOC:Prod'n deferred due to downhole problems.
BC-10:Shutdown planned from 10th November for turnaround campaign.</t>
  </si>
  <si>
    <t>CPO-5:Prod'n being ramped up.
GPOC:Prod'n deferred due to downhole problems.
BC-10:Shutdown planned from 10th November for turnaround campaign.</t>
  </si>
  <si>
    <t>GPOC:Prod'n deferred due to downhole problems.
BC-10:Shutdown planned from 10th November for turnaround campaign.
LZC:Prod'n reduced due to planned maintenance activity.</t>
  </si>
  <si>
    <t>GPOC:Prod'n deferred due to downhole problems.
BC-10:Shutdown planned from 10th November for turnaround campaign.
Vankor:Prod'n deferred due to repair of defective sections of oil gathering pipeline.
SCB:Prod'n deferred due to high water level in storage tank, can't fiscalize volume.</t>
  </si>
  <si>
    <t>GPOC:Prod'n deferred due to downhole problems.
SPOC:7,500 bbl transfer to Tharjiath COST tank level.
Vankor:Prod'n deferred due to repair of defective sections of oil gathering pipeline.</t>
  </si>
  <si>
    <t>Sakhalin-1:New prod'n data received from the operator.
GPOC:Prod'n deferred due to downhole problems.
Vankor:Prod'n deferred due to repair of defective sections of oil gathering pipeline.</t>
  </si>
  <si>
    <t>GPOC:Prod'n deferred due to security concerns.
Vankor:Prod'n deferred due to repair of defective sections of oil gathering pipeline.</t>
  </si>
  <si>
    <t>GPOC:Prod'n deferred due to security concerns.
BC-10:ALM-1 Train-C, AW1 Abalone, ALM-2 Train-B and ALM-3 Train-A are offline (Planned Shutdown Preparations)
SPOC:Prod'n deferred due to cable replacement pending for VSD motor connectivity.
Vankor:Prod'n deferred due to repair of defective sections of oil gathering pipeline.
LZC:Prod'n deferred due to LNG flaring (Das) &amp; ZW plant upset.</t>
  </si>
  <si>
    <t>GPOC:Prod'n deferred due to security concerns.
BC-10:ALM-1 Train-C, AW1 Abalone, ALM-2 Train-B and ALM-3 Train-A are offline (Planned Shutdown Preparations)
Vankor:Prod'n deferred due to repair of defective sections of oil gathering pipeline.</t>
  </si>
  <si>
    <t>Sakhalin-1:New prod'n data received from the operator.
GPOC:Prod'n deferred due to security concerns.
BC-10:ALM-1 Train-C, AW1 Abalone, ALM-2 Train-B and ALM-3 Train-A are offline (Planned Shutdown Preparations)
Vankor:Prod'n deferred due to repair of defective sections of oil gathering pipeline.</t>
  </si>
  <si>
    <t>BC-10:ALM-1 Train-C, AW1 Abalone, ALM-2 Train-B and ALM-3 Train-A are offline (Planned Shutdown Preparations)
Vankor:Prod'n deferred due to repair of defective sections of oil gathering pipeline.</t>
  </si>
  <si>
    <t xml:space="preserve">BC-10:ALM-1 Train-C, AW1 Abalone, ALM-2 Train-B and ALM-3 Train-A are offline (Planned Shutdown Preparations)
Vankor:Prod'n deferred due to repair of defective sections of oil gathering pipeline.
A1-A3:Prod'n deferred due to reduced nomination of CNUOC.
</t>
  </si>
  <si>
    <t xml:space="preserve">BC-10:Planned shutdown till 16th of December 2025.
Vankor:Prod'n deferred due to repair of defective sections of oil gathering pipeline.
GPOC:Prod'n deferred due to power tripped.
A1-A3:Prod'n deferred due to reduced nomination of CNUOC.
</t>
  </si>
  <si>
    <t xml:space="preserve">BC-10:Full shutdown until 14 December. Prod'n ramp-up from 14 to 21 December 2025.
Vankor:Prod'n deferred due to repair of defective sections of oil gathering pipeline.
GPOC:Prod'n deferred due to power tripped.
A1-A3:Prod'n deferred due to reduced nomination of CNUOC.
</t>
  </si>
  <si>
    <t>Sakhalin-1:New prod'n data received from the operator.
Sakhalin-1:Prod'n defferred due to ongoing maintenance activities in Gas Injection Compressor in Chayvo.
BC-10:Full shutdown until 14 December. Prod'n ramp-up from 14 to 21 December 2025.
Vankor:Prod'n deferred due to repair of defective sections of oil gathering pipeline.Repair stages include shutdown of 27 wells. 
GPOC:Prod'n deferred due to power tripped.
A1-A3:Prod'n deferred due to reduced nomination of CNUOC.</t>
  </si>
  <si>
    <t>Sakhalin-1:Prod'n defferred due to ongoing maintenance activities in Gas Injection Compressor in Chayvo.
BC-10:Full shutdown until 14 December. Prod'n ramp-up from 14 to 21 December 2025.
Vankor:Prod'n deferred due to repair of defective sections of oil gathering pipeline.Repair stages include shutdown of 27 wells. 
A1-A3:Prod'n deferred due to reduced nomination of CNUOC.</t>
  </si>
  <si>
    <t>Sakhalin-1:New prod'n data received from the operator.
Sakhalin-1:Prod'n defferred due to ongoing maintenance activities in Gas Injection Compressor in Chayvo.
BC-10:Full shutdown until 14 December. Prod'n ramp-up from 14 to 21 December 2025.
Vankor:Prod'n deferred due to repair of defective sections of oil gathering pipeline.Repair stages include shutdown of 27 wells. 
A1-A3:Prod'n deferred due to reduced nomination of CNUOC.</t>
  </si>
  <si>
    <t>Sakhalin-1:Prod'n defferred due to ongoing maintenance activities in Gas Injection Compressor in Chayvo.
BC-10:Full shutdown until 14 December. Prod'n ramp-up from 14 to 21 December 2025.
Vankor:Prod'n deferred due to repair of defective sections of oil gathering pipeline.Repair stages include shutdown of 27 wells. 
A1-A3:Prod'n deferred due to reduced nomination of CNUOC.
SPOC:Prod'n deferred due to Central Power Plant blackout.</t>
  </si>
  <si>
    <t>Sakhalin-1:Prod'n defferred due to ongoing maintenance activities in Gas Injection Compressor in Chayvo.
BC-10:Full shutdown until 14 December. Prod'n ramp-up from 14 to 21 December 2025.
Vankor:Prod'n deferred due to repair of defective sections of oil gathering pipeline.Repair stages include shutdown of 27 wells. 
A1-A3:Prod'n deferred due to reduced nomination of CNUOC.
SCB:Prod'n deferred due to high water level in storage tank, can't fiscalize volume.
SPOC:Prod'n deferred due to Central Power Plant blackout.</t>
  </si>
  <si>
    <t xml:space="preserve">Sakhalin-1:Prod'n defferred due to ongoing maintenance activities in Gas Injection Compressor in Chayvo.
BC-10:Full shutdown until 14 December. Prod'n ramp-up from 14 to 21 December 2025.
Vankor:Prod'n deferred due to repair of defective sections of oil gathering pipeline.Repair stages include shutdown of 27 wells. 
A1-A3:Prod'n deferred due to reduced nomination of CNUOC.
</t>
  </si>
  <si>
    <t xml:space="preserve">Sakhalin-1:Prod'n defferred due to ongoing maintenance activities in Gas Injection Compressor in Chayvo.
BC-10:Full shutdown until 14 December. Prod'n ramp-up from 14 to 21 December 2025.
Vankor:Prod'n deferred due to failure of oil-gathering pipeline, repair work requires shutdown of 59 wells.
A1-A3:Prod'n deferred due to reduced nomination of CNUOC.
LZC:Prod'n reduced due to planned maintenance activity.
</t>
  </si>
  <si>
    <t>Sakhalin-1:Prod'n defferred due to ongoing maintenance activities in Gas Injection Compressor in Chayvo.
BC-10:Full shutdown until 14 December. Prod'n ramp-up from 14 to 21 December 2025.
Vankor:Prod'n deferred due to failure of oil-gathering pipeline, repair work requires shutdown of 59 wells.
SPOC:Prod'n deferred due to Central Power Plant blackout.
LZC:Prod'n reduced due to planned maintenance activity.</t>
  </si>
  <si>
    <t>Prev. day data for GPOC</t>
  </si>
  <si>
    <t>Sakhalin-1:Prod'n defferred due to ongoing maintenance activities in Gas Injection Compressor in Chayvo.
BC-10:Full shutdown until 14 Dec. Prod'n ramp-up from 14 to 21 Dec 2025.
Vankor:Prod'n deferred due to failure of oil-gathering pipeline.
SPOC:Prod'n deferred due to Central Power Plant blackout.
LZC:Prod'n reduced due to planned maintenance activity.
GPOC:Export of crude oil was halted due to security concerns &amp; diverted to local Crude Oil Storage Tanks. Reconciled production &amp; DPR are unavailable.</t>
  </si>
  <si>
    <t>Sakhalin-1:Prod'n defferred due to ongoing maintenance activities in Gas Injection Compressor in Chayvo.
BC-10:Full shutdown until 14 Dec. Prod'n ramp-up from 16 to 29 Dec 2025.
Vankor:Prod'n deferred due to failure of oil-gathering pipeline.
SPOC:Prod'n deferred due to force majeure.
GPOC:Export of crude oil was halted due to security concerns &amp; diverted to local Crude Oil Storage Tanks. Reconciled production &amp; DPR are unavailable.</t>
  </si>
  <si>
    <t>Sakhalin-1:Prod'n defferred due to ongoing maintenance activities in Gas Injection Compressor in Chayvo.
BC-10:Full shutdown until 14 Dec. Prod'n ramp-up from 14 to 21 Dec 2025.
Vankor:Prod'n deferred due to failure of oil-gathering pipeline.
SPOC:Prod'n deferred due to force majeure.
GPOC:Export of crude oil was halted due to security concerns &amp; diverted to local Crude Oil Storage Tanks. Reconciled production &amp; DPR are unavailable.</t>
  </si>
  <si>
    <t>Sakhalin-1:Prod'n defferred due to ongoing maintenance activities in Gas Injection Compressor in Chayvo.
BC-10:Full shutdown until 14 Dec. Prod'n ramp-up from 16 to 31 Dec 2025.
Vankor:Prod'n deferred due to failure of oil-gathering pipeline.
SPOC:Prod'n deferred due to force majeure.
LZC:Prod’n deferred due to closure of Das Port for berthing caused by adverse weather.
GPOC:Reconciled production figures and DPRs are currently unavailable. Production has been deferred due to force majeure.</t>
  </si>
  <si>
    <t>Sakhalin-1:New prod'n data received from the operator.
Sakhalin-1:Prod'n defferred due to ongoing maintenance activities in Gas Injection Compressor in Chayvo.
PCB:The production report is unavailable due to a cyberattack affecting the system.
SCB:The production report is unavailable due to a cyberattack affecting the system.
BC-10:Prod'n ramp-up is ongoing from 16 to 31 Dec 2025.
Vankor:Prod'n deferred due to failure of oil-gathering pipeline.
SPOC:Prod'n deferred due to force majeure.
LZC:Prod’n deferred due to closure of Das Port for berthing caused by adverse weather.
GPOC:Reconciled production figures and DPRs are currently unavailable. Production has been deferred due to force majeure.</t>
  </si>
  <si>
    <t>Sakhalin-1:Prod'n defferred due to ongoing maintenance activities in Gas Injection Compressor in Chayvo.
PCB &amp; SCB:DPR is unavailable due to a cyberattack affecting the system.
BC-10:Prod'n ramp-up is ongoing from 16 to 31 Dec 2025. MECL:Prod'n deferred due to efficiency issues (stabilization after service,gas interference), ongoing and waiting well services.
Vankor:Prod'n deferred due to failure of oil-gathering pipeline.
SPOC &amp; GPOC:Prod'n figures are currently unavailable due to force majeure.</t>
  </si>
  <si>
    <t>Full shutdown until 14 Dec</t>
  </si>
  <si>
    <t>Prod'n ramp-up from 16 to 31 Dec'25</t>
  </si>
  <si>
    <t>Export of crude oil was halted due to security concerns &amp; diverted to local Crude Oil Storage Tanks</t>
  </si>
  <si>
    <t>Prod'n figures are currently unavailable due to force majeure.</t>
  </si>
  <si>
    <t>Central Power Plant blackout</t>
  </si>
  <si>
    <t>force majeure</t>
  </si>
  <si>
    <t>Planned maintenance activity</t>
  </si>
  <si>
    <t>Closure of Das Port for berthing caused by adverse weather</t>
  </si>
  <si>
    <t xml:space="preserve"> Repair of defective sections of oil gathering pipeline.Repair stages include shutdown of 27 wells.</t>
  </si>
  <si>
    <t>Failure of oil-gathering pipeline, repair work requires shutdown of 59 wells.</t>
  </si>
  <si>
    <t>High water level in storage tank, can't fiscalize volume</t>
  </si>
  <si>
    <t>Cyberattack affecting the system</t>
  </si>
  <si>
    <t>Reduced nomination of CNUOC</t>
  </si>
  <si>
    <t>Maintenance activities in Gas Injection Compressor in Chayvo</t>
  </si>
  <si>
    <t>Sakhalin-1:Prod'n defferred due to ongoing maintenance activities in Gas Injection Compressor in Chayvo.
PCB &amp; SCB:DPR is unavailable due to a cyberattack affecting the system.
BC-10:Prod'n ramp-up is ongoing from 16 to 31 Dec 2025. 
SPOC &amp; GPOC:Prod'n figures are currently unavailable due to force majeure.
LZC:Reason awaited from operator.</t>
  </si>
  <si>
    <t>Sakhalin-1:Prod'n defferred due to ongoing maintenance activities in Gas Injection Compressor in Chayvo.
PCB &amp; SCB:DPR is unavailable due to a cyberattack affecting the system.
BC-10:Prod'n ramp-up is ongoing from 16 to 31 Dec 2025. 
SPOC &amp; GPOC:Prod'n figures are currently unavailable due to force majeure.</t>
  </si>
  <si>
    <t>Sakhalin-1:New prod'n data received from the operator.
Sakhalin-1:Prod'n defferred due to ongoing maintenance activities in Gas Injection Compressor Train-2 in Odoptu.
PCB &amp; SCB:DPR is unavailable due to a cyberattack affecting the system.
BC-10:Prod'n ramp-up is ongoing from 16 to 31 Dec 2025. 
SPOC &amp; GPOC:Prod'n figures are currently unavailable due to force majeure.</t>
  </si>
  <si>
    <t>Sakhalin-1:Prod'n defferred due to ongoing maintenance activities in Gas Injection Compressor Train-2 in Odoptu.
PCB &amp; SCB:DPR is unavailable due to a cyberattack affecting the system.
BC-10:Prod'n ramp-up is ongoing from 16 to 31 Dec 2025. 
SPOC &amp; GPOC:Prod'n figures are currently unavailable due to force majeure.</t>
  </si>
  <si>
    <t>Sakhalin-1:Prod'n defferred due to ongoing maintenance activities in Gas Injection Compressor Train-2 in Odoptu.
PCB &amp; SCB:DPR is unavailable due to a cyberattack affecting the system.
BC-10:Prod'n ramp-up is ongoing from 16 to 31 Dec 2025. 
SPOC:Prod'n figures are currently unavailable due to force majeure.
GPOC:Prod'n deferred due to export shutdown at Heglig, resumed on 27 December from Toma South with 8 wells started.
A1-A3:Prod'n deferred due to maintenance activities.</t>
  </si>
  <si>
    <t>Sakhalin-1:Prod'n defferred due to ongoing maintenance activities in Gas Injection Compressor Train-2 in Odoptu.
PCB:DPR is unavailable due to a cyberattack affecting the system.
BC-10:Prod'n ramp-up is ongoing from 16 to 31 Dec 2025. 
SPOC:Prod'n figures are currently unavailable due to force majeure.
GPOC: Prod'n deferred due to the export shutdown at Heglig. After clearance, export resumed with Toma South restarted on 27 December and El Nar on 28 December.</t>
  </si>
  <si>
    <t>Sakhalin-1:Prod'n defferred due to ongoing maintenance activities in Gas Injection Compressor Train-2 in Odoptu.
BC-10: Gas and Hot Oil bypasses installed awaiting final safety approvals. New formal update expected on Monday.
GPOC: Prod'n deferred due to export shutdown from all FPFs to Heglig. After clearance, export resumed with Toma South on 27 Dec, El Nar on 28 Dec, Unity on 29 Dec, and Munga on 30 Dec.
SPOC:Prod'n figures are currently unavailable due to force majeure.
PCB:DPR is unavailable due to a cyberattack affecting the system.</t>
  </si>
  <si>
    <t xml:space="preserve">Sakhalin-1:Prod'n defferred due to ongoing maintenance activities in Gas Injection Compressor Train-2 in Odoptu.
BC-10: Gas and Hot Oil bypasses installed awaiting final safety approvals. New formal update expected on Monday.
GPOC: Prod'n deferred due to export shutdown from all FPFs to Heglig. After clearance, export resumed with Toma South on 27 December, El Nar on 28 December, and Unity on 29 December.
SPOC:Prod'n figures are currently unavailable due to force majeure.
PCB:DPR is unavailable due to a cyberattack affecting the system._x000D_
</t>
  </si>
  <si>
    <t>BC-10: Gas and Hot Oil bypasses installed awaiting final safety approvals. New formal update expected on Monday.
GPOC: Prod'n deferred due to export shutdown from all FPFs to Heglig. After clearance, export resumed with Toma South on 27 Dec, El Nar on 28 Dec, Unity on 29 Dec, and Munga on 30 Dec.
SPOC:Prod'n figures are currently unavailable due to force majeure.
PCB:Prod'n deferred due to low diluent inventories and high levels in storage tanks in P.T.O</t>
  </si>
  <si>
    <t>velocity</t>
  </si>
  <si>
    <t>BC-10: Gas and Hot Oil bypasses installed awaiting final safety approvals. A formal update and further communication are awaited. ALM 2 train B,  ALM 1 train C and ALM 3 train A are offline.
MECL:Prod'n deferred due to waiting well services, BSW increases &amp; sand problem.
GPOC:Prod'n deferred due to power tripped at Toma South &amp; El Toor.
SPOC: Produ'n deferred due to wells not started because of high back pressure.
PCB:Prod'n deferred due to low diluent inventories and high levels in storage tanks in P.T.O and Jose terminal tanks.
Vankor:Prod'n deferred due to failure of oil-gathering pipeline.</t>
  </si>
  <si>
    <t>BC-10: Gas and Hot Oil bypasses installed awaiting final safety approvals. New formal update expected on 10th January.
MECL:Prod'n deferred due to waiting well services, BSW increases &amp; sand problem.
GPOC:Prod'n deferred due to power tripped at Toma South &amp; El Toor.
SPOC:Produ'n deferred due to wells not started because of high back pressure.
ACG:Prod'n deferred due to ICSS card malfunction. ACG Oil Plant shutdown 03 to 04 January 2026.
PCB:Prod'n deferred due to low diluent inventories and high levels in storage tanks in P.T.O and Jose terminal tanks.
Vankor:Prod'n deferred due to failure of oil-gathering pipeline.</t>
  </si>
  <si>
    <t>BC-10:Expected ramp up from 11 Jan, due to the  problem of gas line and hot oil system in Swivel.
MECL:Prod'n deferred due to waiting well services, BSW increases &amp; sand problem.
GPOC:Prod'n deferred due to power tripped at Toma South &amp; El Toor.
SPOC:Produ'n deferred due to wells not started because of high back pressure.
ACG:Prod'n deferred due to ICSS card malfunction &amp; oil Plant shutdown.
PCB:Prod'n deferred due to low diluent inventories and high levels in storage tanks in P.T.O and Jose terminal tanks.
Vankor:Prod'n deferred due to failure of oil-gathering pipeline.</t>
  </si>
  <si>
    <t>BC-10:Expected ramp up from 11 Jan, due to the  problem of gas line and hot oil system in Swivel.
ACG:Prod'n deferred due to ICSS card malfunction &amp; oil Plant shutdown.
PCB:Prod'n deferred due all terminal inventories are full, all wells are shutdown.
Vankor:Prod'n deferred due to failure of oil-gathering pipeline.</t>
  </si>
  <si>
    <t xml:space="preserve">BC-10:Expected ramp up from 11 Jan, due to the  problem of gas line and hot oil system in Swivel.
MECL:Prod'n deferred due to oil/water interface stabilization at Gun Barrel-10000-1 (-544 BOPD).
ACG:Prod'n deferred due to ICSS card malfunction &amp; oil Plant shutdown.
PCB:Prod'n deferred due to full storage capacity and lack of offtake, resulting in a complete shut-in of 63 wells.
Vankor:Prod'n deferred due to failure of oil-gathering pipeline.
</t>
  </si>
  <si>
    <t xml:space="preserve">BC-10:Revised ramp-up ~25 Feb 2026, as informed in the BC-10 JV Meeting.
MECL:Prod'n deferred due to oil/water interface stabilization at Gun Barrel-10000-1 (-544 BOPD).
ACG:Prod'n deferred due to ICSS card malfunction &amp; oil Plant shutdown.
SPOC:6,879 bbl transfer to Tharjiath COST tank level.
PCB:Prod'n deferred due to full storage capacity and lack of offtake, resulting in a complete shut-in of 63 wells.
Vankor:Prod'n deferred due to failure of oil-gathering pipeline.
</t>
  </si>
  <si>
    <t>BC-10:Revised ramp-up ~25 Feb 2026, as informed in the BC-10 JV Meeting.
ACG:Prod'n deferred due to ICSS card malfunction &amp; oil Plant shutdown.
SPOC:2,655 bbl transfer to Tharjiath COST tank level.
MECL:Prod'n deferred due to waiting well services, BSW increases &amp; sand problem.
Vankor:Prod'n deferred due to failure of oil-gathering pipeline.
PCB:Prod'n deferred due to low diluent inventories and high levels in storage tanks.</t>
  </si>
  <si>
    <t>BC-10:Revised ramp-up ~25 Feb 2026, as informed in the BC-10 JV Meeting.
MECL:Prod'n deferred due to waiting well services.
Vankor:Prod'n deferred due to the shutdown of 47 wells for repair of the oil-gathering pipeline.
PCB:Prod'n deferred due to low diluent inventories and high levels in storage tanks.</t>
  </si>
  <si>
    <t>BC-10:Revised ramp-up ~25 Feb 2026, as informed in the BC-10 JV Meeting.
MECL:Prod'n deferred due to waiting well services.
PCB:Prod'n deferred due to low diluent inventories and high levels in storage tanks.</t>
  </si>
  <si>
    <t>BC-10:Revised ramp-up ~25 Feb 2026, as informed in the BC-10 JV Meeting.
MECL:Prod'n deferred due to waiting well services.
PCB:Prod'n deferred due to low diluent inventories and high levels in storage tanks.
SPOC:2,572 bbl transfer to Tharjiath COST tank level.</t>
  </si>
  <si>
    <t>BC-10:Revised ramp-up ~25 Feb 2026, as informed in the BC-10 JV Meeting.
MECL:Prod'n deferred due to waiting well services.
PCB:Prod'n deferred due to low diluent inventories and high levels in storage tanks.
SPOC:1,008 bbl transfer to Tharjiath COST tank level.</t>
  </si>
  <si>
    <t>BC-10::Ramp up ongoing, ALM 1 Train C - ONLINE with MOBO 3 and MOBO 2.
MECL:Prod'n deferred due to waiting well services.
PCB:Prod'n deferred due to low diluent inventories and high levels in storage tanks.</t>
  </si>
  <si>
    <t>BC-10:ALM1 1 is online from 17.01.2026 and Hot Oil circulation has also started from 17.01.2026.
MECL:Prod'n deferred due to waiting well services.
PCB:Prod'n deferred due to low diluent inventories and high levels in storage tanks.
SCB:Prod'n deferred due to the unavailability of ullage, the dispatch of produced hydrocarbons has been affected.</t>
  </si>
  <si>
    <t>BC-10:ALM1 1 is online from 17.01.2026 and Hot Oil circulation has also started from 17.01.2026.
PCB:Prod'n deferred due to low diluent inventories and high levels in storage tanks.
SCB:Prod'n deferred due to the unavailability of ullage, the dispatch of produced hydrocarbons has been affected.
MECL:Prod'n deferred due to increase in BSW (Basic Sediment and Water) levels.</t>
  </si>
  <si>
    <t>BC-10:ALM1 1 is online from 17.01.2026 and Hot Oil circulation has also started from 17.01.2026.
PCB:Prod'n deferred due to low diluent inventories and high levels in storage tanks.
SCB:Prod'n deferred due to the unavailability of ullage, the dispatch of produced hydrocarbons has been affected.
MECL:Prod'n deferred due to Gun Barrel 10000-2 filling (-422 BOPD)</t>
  </si>
  <si>
    <t>PCB:Prod'n deferred due to low diluent inventories and high levels in storage tanks.
SCB:Prod'n deferred due to the unavailability of ullage, the dispatch of produced hydrocarbons has been affected.
Sakhalin-1:Prod'n deferred due to tanker fleet delays arising from adverse weather conditions.
BC-10:ALM-3 Train A online with MOBO-7.
MECL:Prod'n deferred due to Gun Barrel 10000-2 filling (+431 BOPD)</t>
  </si>
  <si>
    <t>PCB:Prod'n deferred due to low diluent inventories and high levels in storage tanks.
SCB:Prod'n deferred due to the unavailability of ullage, the dispatch of produced hydrocarbons has been affected.
Sakhalin-1:Prod'n deferred due to tanker fleet delays arising from adverse weather conditions.
BC-10:ALM 1 Train C - ONLINE with MOBO-2.</t>
  </si>
  <si>
    <t>PCB:Prod'n deferred due to low diluent inventories and high levels in storage tanks.
SCB:Prod'n deferred due to the unavailability of ullage, the dispatch of produced hydrocarbons has been affected.
Sakhalin-1:Prod'n deferred due to tanker fleet delays arising from adverse weather conditions.
BC-10:ALM-1 Train C online with MOBO-3 and MOBO-2, ALM-3 Train A online with MOBO-9 and MOBO-7.
MECL:Prod'n deferred due to Gun Barrel 10000-2 filling (+495 BOPD)</t>
  </si>
  <si>
    <t>PCB:Prod'n deferred due to low diluent inventories and high levels in storage tanks.
SCB:Prod'n deferred due to the unavailability of ullage, the dispatch of produced hydrocarbons has been affected.
BC-10:ALM 1, ALM 2 and ALM 3 are offline.</t>
  </si>
  <si>
    <t>PCB:Prod'n deferred due to low diluent inventories and high levels in storage tanks.
SCB:Prod'n deferred due to the unavailability of ullage, the dispatch of produced hydrocarbons has been affected.
BC-10:ALM-3 Train A online.
MECL:Prod'n deferred due to waiting well services.</t>
  </si>
  <si>
    <t>PCB:Prod'n deferred due to low diluent inventories and high levels in storage tanks.
SCB:Prod'n deferred due to the unavailability of ullage, the dispatch of produced hydrocarbons has been affected.
BC-10:ALM-3 Train A online.
MECL:Prod'n deferred due to waiting well services.
GPOC:Prod'n deferred due to power tripped at Toma South &amp; El Toor.</t>
  </si>
  <si>
    <t>SCB:Prod'n deferred due to the unavailability of ullage, the dispatch of produced hydrocarbons has been affected.
BC-10:ALM-1 Train C - Online with MOBO 2 &amp; 3.
MECL:Prod'n deferred due to waiting well services.
GPOC:Prod'n deferred due to power tripped at Toma South &amp; El Toor.</t>
  </si>
  <si>
    <t>SCB:Prod'n deferred due to the unavailability of ullage, the dispatch of produced hydrocarbons has been affected.
LZC:Prod'n deferred due to a gas blackout of 191 MBD at DAS Island.
BC-10:Excepted peak production from 15 Feb 2026.
MECL:Prod'n deferred due to waiting well services.
GPOC:Prod'n deferred due to power tripped at Toma South &amp; El Toor.</t>
  </si>
  <si>
    <t>SCB:Prod'n deferred due to the unavailability of ullage, the dispatch of produced hydrocarbons has been affected.
LZC:Prod'n deferred due to a gas blackout of 191 MBD at DAS Island.
BC-10:Excepted peak production from 15 Feb 2026.
MECL:Prod'n deferred due to waiting well services.</t>
  </si>
  <si>
    <t>SCB:Prod'n deferred due to the unavailability of ullage, the dispatch of produced hydrocarbons has been affected.
BC-10:Excepted peak production from 15 Feb 2026.
MECL:Prod'n deferred due to waiting well services.</t>
  </si>
  <si>
    <t xml:space="preserve">SCB:Prod'n deferred due to the unavailability of ullage, the dispatch of produced hydrocarbons has been affected.
BC-10:Excepted peak production from 15 Feb 2026.
MECL:Prod'n deferred due to waiting well services.
</t>
  </si>
  <si>
    <t xml:space="preserve">SCB:Prod'n deferred due to the unavailability of ullage, the dispatch of produced hydrocarbons has been affected.
MECL:Prod'n deferred due to waiting well services.
SPOC:7,541 bbl transfer to Tharjiath COST tank level.
</t>
  </si>
  <si>
    <t xml:space="preserve">SCB:Prod'n deferred due to the unavailability of ullage, the dispatch of produced hydrocarbons has been affected.
MECL:Prod'n deferred due to waiting well services.
CPO-5:Prod'n deferred due to the shutdown of Perico-1X and Halcon-1X wells.
</t>
  </si>
  <si>
    <t xml:space="preserve">SCB:Due to the unavailability of ullage, the dispatch of produced hydrocarbons has been affected.
MECL:Prod'n deferred due to waiting well services.
CPO-5:Prod'n deferred due to the shutdown of Perico-1X and Halcon-1X wells.
</t>
  </si>
  <si>
    <t>Prev. day data for SCB</t>
  </si>
  <si>
    <t xml:space="preserve">SCB:Due to the unavailability of ullage, the dispatch of produced hydrocarbons has been affected.
MECL:Prod'n deferred due to waiting well services.
CPO-5:Prod'n deferred due to the shutdown of Perico-1X and Halcon-1X wells.
CPO-5: Prod'n deferred due to blockade by local community.
</t>
  </si>
  <si>
    <t xml:space="preserve">SCB:Due to the unavailability of ullage, the dispatch of produced hydrocarbons has been affected.
MECL:Prod'n deferred due to waiting well services.
CPO-5: Prod'n deferred due to blockade by local community.
</t>
  </si>
  <si>
    <t xml:space="preserve">SCB:Due to the unavailability of ullage, the dispatch of produced hydrocarbons has been affected.
MECL:Prod'n deferred due to waiting well services.
CPO-5: Prod'n deferred due to blockade by local community.
SPOC:4,464 bbl transfer to Tharjiath COST tank level.
</t>
  </si>
  <si>
    <t>Prev. day data for SCB,Sakhalin-1.</t>
  </si>
  <si>
    <t>SCB:Due to the unavailability of ullage, the dispatch of produced hydrocarbons has been affected.
MECL:Prod'n deferred due to waiting well services.
CPO-5: Prod'n deferred due to blockade by local community.</t>
  </si>
  <si>
    <t>Prev. day data for SCB,Sakhalin-1,CPO-5,MECL,GPOC.</t>
  </si>
  <si>
    <t>2026-27</t>
  </si>
  <si>
    <t>Q1 26-27</t>
  </si>
  <si>
    <t>Q2 26-27</t>
  </si>
  <si>
    <t>Q3 26-27</t>
  </si>
  <si>
    <t>Q4 26-27</t>
  </si>
  <si>
    <t>H1 26-27</t>
  </si>
  <si>
    <t>H2 26-27</t>
  </si>
  <si>
    <t>9M 26-27</t>
  </si>
  <si>
    <t>FY 2026-27</t>
  </si>
  <si>
    <t xml:space="preserve">Apr'26 </t>
  </si>
  <si>
    <t>Jun'26</t>
  </si>
  <si>
    <t>Jul'26</t>
  </si>
  <si>
    <t>26-27</t>
  </si>
  <si>
    <t>BE 26-27 Target</t>
  </si>
  <si>
    <t>Actual 25-26</t>
  </si>
  <si>
    <t xml:space="preserve">BE 26-27 Target </t>
  </si>
  <si>
    <t>Production Dashboard
 2026-27</t>
  </si>
  <si>
    <t xml:space="preserve">MECL:Prod'n deferred due to waiting well services.
SCB:Due to the unavailability of ullage, the dispatch of produced hydrocarbons has been affected.
</t>
  </si>
  <si>
    <t>MECL:Prod'n deferred due to waiting well services.
SCB:Due to the unavailability of ullage, the dispatch of produced hydrocarbons has been affected.
SPOC :1,327 bbl transfer to Tharjiath COST tank level.</t>
  </si>
  <si>
    <t xml:space="preserve">MECL:Prod'n deferred due to waiting well services.
SCB:Due to the unavailability of ullage, the dispatch of produced hydrocarbons has been affected.
Vankor:Reason awaited from the operator.
</t>
  </si>
  <si>
    <t>MECL:Prod'n deferred due to waiting well services.SCB:Due to the unavailability of ullage, the dispatch of produced hydrocarbons has been affected.
Vankor:Oil: Repair of Oil Gathering Pipeline. Repair stages include shutdown of 183 wells. Gas: Gas Injection due to preventive maintenance at gas treatment and transportation facility "
SPOC :Due to power tripped affected 14 wells.
PCB : Production impact due to an increase in the % A&amp;S at the inlet to the COP plant ( above 29%). Well CGO-0092: 100% water (potential 0.200 MBD).</t>
  </si>
  <si>
    <t>MECL:Prod'n deferred due to waiting well services.SCB:Due to the unavailability of ullage, the dispatch of produced hydrocarbons has been affected.
Vankor:Oil: Repair of Oil Gathering Pipeline. Repair stages include shutdown of 183 wells. Gas: Gas Injection due to preventive maintenance at gas treatment and transportation facility "
SPOC:Prod'n deferred due to TJH-20 well shutdown due to VSD issue.
PCB : Production impact due to an increase in the % A&amp;S at the inlet to the COP plant ( above 29%). Well CGO-0092: 100% water (potential 0.200 MBD).</t>
  </si>
  <si>
    <t>MECL:Prod'n deferred due to waiting well services.SCB:Due to the unavailability of ullage, the dispatch of produced hydrocarbons has been affected.
Vankor:Oil: Repair of Oil Gathering Pipeline. Repair stages include shutdown of 183 wells. Gas: Gas Injection due to preventive maintenance at gas treatment and transportation facility "
PCB : Production impact due to an increase in the % A&amp;S at the inlet to the COP plant ( above 29%). Well CGO-0092: 100% water (potential 0.200 MBD).</t>
  </si>
  <si>
    <t>MECL:Prod'n deferred due to waiting well services.
SCB:Due to the unavailability of ullage, the dispatch of produced hydrocarbons has been affected.
Vankor:Oil: Repair of Oil Gathering Pipeline. Gas: Gas Injection due to preventive maintenance at gas treatment and transportation facility.
LZC:Prod'n has been reduced to 36 MBD (08.03.2026) from 456 MBD (05.03.2026) due to DAS ullage constraints.
SPOC: Prod'n deferred due to well shut-in resulting from DGFF process limitations.</t>
  </si>
  <si>
    <t>O+OEG(MMTOE)</t>
  </si>
  <si>
    <t xml:space="preserve">MECL:Prod'n deferred due to waiting well services.
SCB:Due to the unavailability of ullage, the dispatch of produced hydrocarbons has been affected.
</t>
  </si>
  <si>
    <t xml:space="preserve">MECL:Prod'n deferred due to waiting well services.
SCB:Due to the unavailability of ullage, the dispatch of produced hydrocarbons has been affected.
LZC:Prod'n deferred due to management directives.
</t>
  </si>
  <si>
    <t>MECL:Prod'n deferred due to waiting well services.
SCB:Due to the unavailability of ullage, the dispatch of produced hydrocarbons has been affected.
Vankor:Oil: Repair of Oil Gathering Pipeline. Gas: Gas Injection due to preventive maintenance at gas treatment and transportation facility.
LZC:Prod'n deferred due to DAS ullage constraints.
SPOC: Prod'n deferred due to well shut-in resulting from DGFF process limitations.</t>
  </si>
  <si>
    <t xml:space="preserve">MECL:Prod'n deferred due to waiting well services.
SCB:Due to the unavailability of ullage, the dispatch of produced hydrocarbons has been affected.
Vankor:Oil: Repair of Oil Gathering Pipeline. Gas: Gas Injection due to preventive maintenance at gas treatment and transportation facility.
LZC:Prod'n deferred due to DAS ullage constraints.
SPOC: Prod'n deferred due to well shut-in resulting from DGFF process limitations._x000D_
</t>
  </si>
  <si>
    <t>MECL:Prod'n deferred due to waiting well services.
SCB:Due to the unavailability of ullage, the dispatch of produced hydrocarbons has been affected.
Vankor:Oil: Repair of Oil Gathering Pipeline. Gas: Gas Injection due to preventive maintenance at gas treatment and transportation facility.
LZC:Prod'n deferred due to DAS ullage constraints.</t>
  </si>
  <si>
    <t>MECL:Prod'n deferred due to waiting well services.
SCB:Due to the unavailability of ullage, the dispatch of produced hydrocarbons has been affected.
Vankor:Oil: Repair of Oil Gathering Pipeline. Gas: Gas Injection due to preventive maintenance at gas treatment and transportation facility.
LZC:Prod'n deferred due to DAS ullage constraints.
SPOC:5,474 bbl transfer to Tharjiath COST tank level.</t>
  </si>
  <si>
    <t>MECL:Prod'n deferred due to waiting well services.
SCB:Due to the unavailability of ullage, the dispatch of produced hydrocarbons has been affected.
Vankor:Oil: Repair of Oil Gathering Pipeline. Gas: Gas Injection due to preventive maintenance at gas treatment and transportation facility.
LZC:Prod'n deferred due to DAS ullage constraints.
SPOC:204 bbl transfer to Tharjiath COST tank level.</t>
  </si>
  <si>
    <t xml:space="preserve">MECL:Prod'n deferred due to waiting well services.
SCB:Due to the unavailability of ullage, the dispatch of produced hydrocarbons has been affected.
Vankor:Oil: Repair of Oil Gathering Pipeline. Gas: Gas Injection due to preventive maintenance at gas treatment and transportation facility.
LZC:Prod'n deferred due to DAS ullage constraints.
</t>
  </si>
  <si>
    <t xml:space="preserve">MECL:Prod'n deferred due to waiting well services.
SCB:Due to the unavailability of ullage, the dispatch of produced hydrocarbons has been affected.
Vankor:Oil: Repair of Oil Gathering Pipeline. Gas: Gas Injection due to preventive maintenance at gas treatment and transportation facility.
LZC:Prod'n deferred due to DAS ullage constraints.
SPOC: (1,892) bbl transfer to Tharjiath COST tank level.
</t>
  </si>
  <si>
    <t xml:space="preserve">MECL:Prod'n deferred due to waiting well services.
SCB:Due to the unavailability of ullage, the dispatch of produced hydrocarbons has been affected.
Vankor:Oil: Repair of Oil Gathering Pipeline. Gas: Gas Injection due to preventive maintenance at gas treatment and transportation facility.
LZC:Prod'n deferred due to DAS ullage constraints.
GPOC:Prod'n Deferred due to Power tripped at Toma South,El Nar,Unity,El Toor &amp; Munga.
</t>
  </si>
  <si>
    <t>MECL:Prod'n deferred due to waiting well services.
SCB:Due to the unavailability of ullage, the dispatch of produced hydrocarbons has been affected.
Vankor:Oil: Repair of Oil Gathering Pipeline. Gas: Gas Injection due to preventive maintenance at gas treatment and transportation facility.
LZC:Prod'n deferred due to DAS ullage constraints.
SPOC: (838) bbl transfer to Tharjiath COST tank level.</t>
  </si>
  <si>
    <t>MECL:Prod'n deferred due to waiting well services.
SCB:Due to the unavailability of ullage, the dispatch of produced hydrocarbons has been affected.
Vankor:Oil: Repair of Oil Gathering Pipeline. Gas: Gas Injection due to preventive maintenance at gas treatment and transportation facility.
LZC:Prod'n deferred due to DAS ullage constraints.
SPOC: 5,257 bbl transfer to Tharjiath COST tank level.</t>
  </si>
  <si>
    <t>MECL:Prod'n deferred due to waiting well services.
SCB:Due to the unavailability of ullage, the dispatch of produced hydrocarbons has been affected.
Vankor:Oil: Repair of Oil Gathering Pipeline. Gas: Gas Injection due to preventive maintenance at gas treatment and transportation facility.
LZC:Prod'n deferred due to DAS ullage constraints.
SPOC: 1,043 bbl transfer to Tharjiath COST tank level.</t>
  </si>
  <si>
    <t>MECL:Prod'n deferred due to waiting well services.
SCB:Due to the unavailability of ullage, the dispatch of produced hydrocarbons has been affected.
LZC:Prod'n deferred due to DAS ullage constraints.
GPOC:Less production due to power trip in Toma South,Unity,El Nar, El Toor &amp; Munga.</t>
  </si>
  <si>
    <t>MECL:Prod'n deferred due to waiting well services.
SCB:Due to the unavailability of ullage, the dispatch of produced hydrocarbons has been affected.
LZC:Prod'n deferred due to DAS ullage constraints.
GPOC:Less production due to power trip in Toma South,Unity,El Nar, El Toor &amp; Munga.
SPOC: 5,625 bbl transfer to Tharjiath COST tank level.</t>
  </si>
  <si>
    <t>MECL:Prod'n deferred due to waiting well services.
SCB:Due to the unavailability of ullage, the dispatch of produced hydrocarbons has been affected.
LZC:Prod'n deferred due to DAS ullage constraints.</t>
  </si>
  <si>
    <t>BE Annual target</t>
  </si>
  <si>
    <t>(preferabbly Mar'26 CF or else)</t>
  </si>
  <si>
    <t xml:space="preserve">MECL:Prod'n deferred due to waiting well services.
SCB:Due to the unavailability of ullage, the dispatch of produced hydrocarbons has been affected.
LZC:Prod'n deferred due to DAS ullage constraints.
SPOC:1,460 bbl transfer to Tharjiath COST tank level.
</t>
  </si>
  <si>
    <t xml:space="preserve">MECL:Prod'n deferred due to waiting well services.
SCB:Due to the unavailability of ullage, the dispatch of produced hydrocarbons has been affected.
LZC:Prod'n deferred due to DAS ullage constraints.
</t>
  </si>
  <si>
    <t xml:space="preserve">MECL:Prod'n deferred due to waiting well services.
SCB:Due to the unavailability of ullage, the dispatch of produced hydrocarbons has been affected.
LZC:Prod'n deferred due to DAS ullage constraints.
SPOC:725 bbl transfer to Tharjiath COST tank level.
</t>
  </si>
  <si>
    <t xml:space="preserve">MECL:Prod'n deferred due to waiting well services.
SCB:Due to the unavailability of ullage, the dispatch of produced hydrocarbons has been affected.
LZC:Prod'n deferred due to DAS ullage constraints.
SPOC:1,746 bbl transfer to Tharjiath COST tank level.
</t>
  </si>
  <si>
    <t xml:space="preserve">  Oil Production trend: OVL</t>
  </si>
  <si>
    <t xml:space="preserve">CPO-5:Blockade has been reported at Indico, CPH, and CF-3.
SCB:Due to the unavailability of ullage, the dispatch of produced hydrocarbons has been affected.
LZC:Prod'n deferred due to DAS ullage constraints.
SPOC:1,917 bbl transfer to Tharjiath COST tank level.
A1-A3 :Due to the Myanmar New Year holidays (11–19 Apr 2026),Consolidated DPRs will be issued on 20 Apr. 
</t>
  </si>
  <si>
    <t xml:space="preserve">CPO-5:Blockade has been reported at Indico, CPH, and CF-3.
SCB:Due to the unavailability of ullage, the dispatch of produced hydrocarbons has been affected.
LZC:Prod'n deferred due to DAS ullage constraints.
SPOC:1,021 bbl transfer to Tharjiath COST tank level.
A1-A3 :Due to the Myanmar New Year holidays (11–19 Apr 2026),Consolidated DPRs will be issued on 20 Apr. 
</t>
  </si>
  <si>
    <t xml:space="preserve">CPO-5:Blockade has been reported at Indico, CPH, and CF-3.
SCB:Due to the unavailability of ullage, the dispatch of produced hydrocarbons has been affected.
LZC:Prod'n deferred due to DAS ullage constraints.
A1-A3 :Due to the Myanmar New Year holidays (11–19 Apr 2026),Consolidated DPRs will be issued on 20 Apr. 
</t>
  </si>
  <si>
    <t xml:space="preserve">CPO-5:Prod'n being ramped up.
SCB:Due to the unavailability of ullage, the dispatch of produced hydrocarbons has been affected.
LZC:Prod'n deferred due to DAS ullage constraints.
A1-A3 :Due to the Myanmar New Year holidays (11–19 Apr 2026),Consolidated DPRs will be issued on 20 Apr. 
</t>
  </si>
  <si>
    <t xml:space="preserve">SCB:Due to the unavailability of ullage, the dispatch of produced hydrocarbons has been affected.
LZC:Prod'n deferred due to DAS ullage constraints.
A1-A3 :Due to the Myanmar New Year holidays (11–19 Apr 2026),Consolidated DPRs will be issued on 20 Apr. 
</t>
  </si>
  <si>
    <t>SCB:Due to the unavailability of ullage, the dispatch of produced hydrocarbons has been affected.
LZC:Prod'n deferred due to DAS ullage constraints.
A1-A3 :Due to the Myanmar New Year holidays (11–19 Apr 2026),Consolidated DPRs will be issued on 20 Apr. </t>
  </si>
  <si>
    <t>SCB:Due to the unavailability of ullage, the dispatch of produced hydrocarbons has been affected.
LZC:Prod'n deferred due to DAS ullage constraints.</t>
  </si>
  <si>
    <t>SCB:Due to the unavailability of ullage, the dispatch of produced hydrocarbons has been affected.
LZC:Prod'n deferred due to DAS ullage constraints.
SPOC:1,847 bbl transfer to Tharjiath COST tank level.</t>
  </si>
  <si>
    <t>SCB:Due to the unavailability of ullage, the dispatch of produced hydrocarbons has been affected.
LZC:Prod'n deferred due to DAS ullage constraints.
A1-A3 :Due to the Myanmar New Year holidays (11–19 Apr 2026),Consolidated DPRs will be issued on 20 Apr. 
Vankor : Repair of defective section of oil-gathering pipeline.</t>
  </si>
  <si>
    <t>SCB:Due to the unavailability of ullage, the dispatch of produced hydrocarbons has been affected.
CPO-5: Blockade from 0700 hrs by the dump trucks local transportation companies. All wells closed except Indico-3 &amp; Perico-1X.</t>
  </si>
  <si>
    <t>CPO-5: Blockade from 0700 hrs by the dump trucks local transportation companies. All wells closed except Indico-3 &amp; Perico-1X.</t>
  </si>
  <si>
    <t>CPO-5: Blockade from 0700 hrs by the dump trucks local transportation companies. All wells closed except Indico-3 &amp; Perico-1X.
Vankor : Decline in gas production due to low Associate Gas Production.</t>
  </si>
  <si>
    <t>CPO-5:Blockade lifted. However, the wells will be opened after dispatching existing stock as the storage tanks are full. All wells closed except Indico-3 &amp; Perico-1X.
Vankor : Decline in gas production due to low Associate Gas Production.</t>
  </si>
  <si>
    <t>CPO-5:Blockade lifted and all the wells  were opened gradually.
SPOC: 272 bbl transfer to Tharjiath COST tank level.</t>
  </si>
  <si>
    <t>SPOC: 2,549 bbl transfer to Tharjiath COST tank level.</t>
  </si>
  <si>
    <t>SPOC: 1,949 bbl transfer to Tharjiath COST tank level.</t>
  </si>
  <si>
    <t>SPOC: 2,923 bbl transfer to Tharjiath COST tank level.</t>
  </si>
  <si>
    <t>SPOC: 1,246 bbl transfer to Tharjiath COST tank level.</t>
  </si>
  <si>
    <t>SPOC: 1,031 bbl transfer to Tharjiath COST tank level.</t>
  </si>
  <si>
    <t>GPOC:Prod'n deferred due to power trip. 
SPOC: 2,526 bbl transfer to Tharjiath COST tank level.</t>
  </si>
  <si>
    <t>SPOC: 1,167 bbl transfer to Tharjiath COST tank level.</t>
  </si>
  <si>
    <t>IEC:Planned shutdown of APGTP plant of Imperial Energy from 16.05.2026 to 20.05.2026.
GPOC:Prod'n deferred due to power trip. 
SPOC: 2,718 bbl transfer to Tharjiath COST tank level.
BC-10: Prod'n deferred due to AW1 Abalone and ALM 2 Train B being offline.</t>
  </si>
  <si>
    <t>IEC:Planned shutdown of APGTP plant of Imperial Energy from 16.05.2026 to 20.05.2026.
SPOC: 4,362 bbl transfer to Tharjiath COST tank level.
BC-10: Prod'n deferred due to AW1 Abalone and ALM 2 Train B being offline.</t>
  </si>
  <si>
    <t>IEC:Planned shutdown of APGTP plant of Imperial Energy from 16.05.2026 to 20.05.2026.
SPOC: 2,526 bbl transfer to Tharjiath COST tank level.
BC-10: Prod'n deferred due to AW1 Abalone, ALM 2 Train B &amp; ALM 3 Train A being offline.</t>
  </si>
  <si>
    <t>IEC:Planned shutdown of APGTP plant of Imperial Energy from 16.05.2026 to 20.05.2026.
BC-10: Prod'n deferred due to AW1 Abalone, ALM 2 Train B &amp; ALM 3 Train A being offline.</t>
  </si>
  <si>
    <t>IEC:Planned shutdown of APGTP plant of Imperial Energy from 15.05.2026 to 20.05.2026.
BC-10: Prod'n deferred due to AW1 Abalone, ALM 2 Train B &amp; ALM 3 Train A being offline.</t>
  </si>
  <si>
    <t>IEC:Planned shutdown of APGTP plant of Imperial Energy from 15.05.2026 to 20.05.2026.
BC-10: Prod'n deferred due to AW1 Abalone &amp; ALM 3 Train A being offline.</t>
  </si>
  <si>
    <t>IEC:Planned shutdown of APGTP plant of Imperial Energy from 15.05.2026 to 20.05.2026.
BC-10: Prod'n deferred due to AW1 Abalone &amp; ALM 3 Train A being offline.
Vankor:Repair of defective section of oil-gathering pipeline.</t>
  </si>
  <si>
    <t>IEC:Planned shutdown of APGTP plant of Imperial Energy from 15.05.2026 to 20.05.2026.
BC-10: Prod'n deferred due to AW1 Abalone &amp; ALM 3 Train A being offline.
SPOC: 1,188 bbl transfer to Tharjiath COST tank level.
Vankor:Repair of defective section of oil-gathering pipeline.</t>
  </si>
  <si>
    <t>Sakhalin-1:Production deferment is observed due to shut in of Gas Injection Compressor-1 at Odoptu for repair.  Repair is estimated to be completed at end of May.
IEC:Planned shutdown of APGTP plant of Imperial Energy from 15.05.2026 to 20.05.2026.
BC-10: Prod'n deferred due to AW1 Abalone &amp; ALM 3 Train A being offline.
SPOC: 2,051 bbl transfer to Tharjiath COST tank level.
Vankor:Repair of defective section of oil-gathering pipeline.</t>
  </si>
  <si>
    <t>Sakhalin-1:Production deferment is observed due to shut in of Gas Injection Compressor-1 at Odoptu for repair.  Repair is estimated to be completed at end of May.
IEC:Planned shutdown of APGTP plant of Imperial Energy from 15.05.2026 to 20.05.2026.
SPOC: 4,843 bbl transfer to Tharjiath COST tank level.
Vankor:Repair of defective section of oil-gathering pipeline.</t>
  </si>
  <si>
    <t>Sakhalin-1:Production deferment is observed due to shut in of Gas Injection Compressor-1 at Odoptu for repair.  Repair is estimated to be completed at end of May.
IEC:Planned shutdown of APGTP plant of Imperial Energy from 15.05.2026 to 20.05.2026.
Vankor:Repair of defective section of oil-gathering pipeline.</t>
  </si>
  <si>
    <t>Sakhalin-1:Production deferment is observed due to shut in of Gas Injection Compressor-1 at Odoptu for repair.  Repair is estimated to be completed at end of May.
IEC:Planned shutdown of APGTP plant of Imperial Energy from 15.05.2026 to 20.05.2026.
Vankor:Repair of defective section of oil-gathering pipeline.
SPOC: 1,109 bbl transfer to Tharjiath COST tank level.</t>
  </si>
  <si>
    <t>Sakhalin-1:Production deferment is observed due to shut in of Gas Injection Compressor-1 at Odoptu for repair.  Repair is estimated to be completed at end of May.
SPOC: 3,486 bbl transfer to Tharjiath COST tank level.</t>
  </si>
  <si>
    <t>Sakhalin-1:Production deferment is observed due to shut in of Gas Injection Compressor-1 at Odoptu for repair.  Repair is estimated to be completed at end of May.
LZC:Due to the Eid holiday, the daily reports will resume and be issued on Monday, 1 June.</t>
  </si>
  <si>
    <t>Sakhalin-1:Production deferment is observed due to shut in of Gas Injection Compressor-1 at Odoptu for repair.  Repair is estimated to be completed at end of May.
LZC:Due to the Eid holiday, the daily reports will resume and be issued on Monday, 1 June.
SPOC: 3,724 bbl transfer to Tharjiath COST tank level.
A1,A3:Prod'n deferred due to China pipeline maintenance.</t>
  </si>
  <si>
    <t>Sakhalin-1:Production deferment is observed due to shut in of Gas Injection Compressor-1 at Odoptu for repair.  Repair is estimated to be completed at end of May.
LZC:Due to the Eid holiday, the daily reports will resume and be issued on Monday, 1 June.
A1,A3:Prod'n deferred due to China pipeline maintenance.</t>
  </si>
  <si>
    <t xml:space="preserve">Sakhalin-1:Production deferment is observed due to shut in of Gas Injection Compressor-1 at Odoptu for repair.  Repair is estimated to be completed at end of May.
</t>
  </si>
  <si>
    <t xml:space="preserve">Sakhalin-1:Production deferment is observed due to shut in of Gas Injection Compressor-1 at Odoptu for repair.  Repair is estimated to be completed at end of May.
SPOC: 181 bbl transfer to Tharjiath COST tank level.
</t>
  </si>
  <si>
    <t xml:space="preserve">Sakhalin-1:Production deferment is observed due to shut in of Gas Injection Compressor-1 at Odoptu for repair.  Repair is estimated to be completed at end of May.
SPOC: 1,258 bbl transfer to Tharjiath COST tank level.
</t>
  </si>
  <si>
    <t>GPOC:Prod'n deferred due to Power shutdown in North field from 07.00 am for commissioning of 66 kv overhead transmission line, power resumed at ~ 19:28</t>
  </si>
  <si>
    <t>GPOC: Prod'n deferred due to Power shutdown. Out of 269 total wells, 168 wells are currently flowing.
SPOC: 1,337 bbl transfer to Tharjiath COST tank level.</t>
  </si>
  <si>
    <t>GPOC: Prod'n deferred due to Power shutdown. Out of 269 total wells, 168 wells are currently flowing.
SPOC: 5,150 bbl transfer to Tharjiath COST tank level.
Sakhalin-1:Production deferment is Shut in of Gas Injection Compressor-1 at Odoptu for repair.Shutdown of well OP-23 at Odoptu to conduct a 12-month Flow analysis test.</t>
  </si>
  <si>
    <t>GPOC: Prod'n deferred due to Power shutdown. Out of 269 total wells, 168 wells are currently flowing.
Sakhalin-1:Production deferment is Shut in of Gas Injection Compressor-1 at Odoptu for repairShutdown of well OP-23 at Odoptu to conduct a 12-month Flow analysis test.</t>
  </si>
  <si>
    <t>GPOC: Prod'n deferred due to Power shutdown. Out of 269 total wells, 168 wells are currently flowing.
SPOC: 1,088 bbl transfer to Tharjiath COST tank level.
Sakhalin-1:Production deferment is observed due to shut in of Gas Injection Compressor-1 at Odoptu for repair.
LZC: Due to Rigmovement . Prod'n are Optimizes for Safety Reasons.
CPO-5: prod'n deferred due to community blockade.
CPO-5: prod'n deferred due to community blockade.</t>
  </si>
  <si>
    <t>GPOC:Prod'n deferred due to power tripped.
CPO-5: prod'n deferred due to community blockade
Sakhalin-1:Production deferment is observed due to shut in of Gas Injection Compressor-1 at Odoptu for repair.
PCB:"Prod'n deferred due to a general shutdown caused by a breaker trip in the high-voltage circuit, affecting process equipment and wells.</t>
  </si>
  <si>
    <t>GPOC:Prod'n deferred due to power tripped.
Sakhalin-1:Prod'n deferred due to blackout at Chayvo Onshore Processing Facility following shutdown of the power generation module on 08-Jun-2026. A total of 62 wells were shut in ramp-up commenced on 09-Jun-2026 with 55 wells reopened.
ACG: Prod'n deferred due to Low of Central Azeri PDQ.</t>
  </si>
  <si>
    <t>GPOC:Prod'n deferred due to power tripped.
ACG: Prod'n deferred due to Low of Central Azeri PDQ.
CPO-5: DPR are delayed due to AVM issues during the reports generation.</t>
  </si>
  <si>
    <t xml:space="preserve">GPOC:Prod'n deferred due to power tripped.
CPO-5: DPR are delayed due to AVM issues during the reports generation.
</t>
  </si>
  <si>
    <t>Sakhalin-1:Prod'n deferred due to planned maintenance activities. Crude Transfer Pump No. 3 at Berkut (15 wells shut-in 4,771 tpd) and Gas Injection Compressor No. 2 (8K hrs) at Odoptu (5 wells shut-in 1,358 tpd).</t>
  </si>
  <si>
    <t>Sakhalin-1:Prod'n deferred due to planned maintenance activities. Crude Transfer Pump No. 3 at Berkut (15 wells shut-in 4,771 tpd) and Gas Injection Compressor No. 2 (8K hrs) at Odoptu (5 wells shut-in 1,358 tpd).
SPOC: 929 bbl transfer to Tharjiath COST tank level.</t>
  </si>
  <si>
    <t>Sakhalin-1:Prod'n deferred due to planned maintenance activities. Crude Transfer Pump No. 3 at Berkut (15 wells shut-in 4,771 tpd) and Gas Injection Compressor No. 2 (8K hrs) at Odoptu (5 wells shut-in 1,358 tpd).
SPOC: 2,957 bbl transfer to Tharjiath COST tank level.</t>
  </si>
  <si>
    <t>Sakhalin-1: Prod'n deferred due to maintenance of Crude Transfer Pump No. 3 at Berkut and Gas Injection Compressor No. 2 (8K hrs) at Odoptu.
GPOC: 9 Wells stopped on 15.06.26 as per instructions to flush the export line.</t>
  </si>
  <si>
    <t>Sakhalin-1: Prod'n deferred due to maintenance of Crude Transfer Pump No. 3 at Berkut and Gas Injection Compressor No. 2 (8K hrs) at Odoptu.
LZC:Prod'n deferred due to DAS ullage constraints.
GPOC: Prod'n deferred due to power tripped in Toma South, EL Nar &amp; EL Toor. 9 Wells stopped on 15.06.26 as per instructions to flush the export line.</t>
  </si>
  <si>
    <t>Sakhalin-1: Prod'n deferred due to maintenance of Crude Transfer Pump No. 3 at Berkut and Gas Injection Compressor No. 2 (8K hrs) at Odoptu.
SPOC: 838 bbl transfer to Tharjiath COST tank level.
GPOC: Prod'n deferred due to power tripped in Toma South, EL Nar &amp; EL Toor. 9 Wells stopped on 15.06.26 as per instructions to flush the export line.</t>
  </si>
  <si>
    <t>Sakhalin-1: Prod'n deferred due to planned maintenance of Gas Injection Compressor No. 2 (8K hrs) at Odoptu. Prod'n ramped up at Berkut after startup of Crude Transfer Pump No. 3.
GPOC: Prod'n deferred due to power interruptions and shut-in wells in Toma South, Unity, El Nar and Munga; El Toor production was impacted by export line flushing/high back pressure and security-related well shutdowns.</t>
  </si>
  <si>
    <t>Sakhalin-1: Prod'n deferred on 19 Jun 2026 due to planned maintenance of Gas Injection Compressor No. 2 (8K hrs) in Odoptu and temporary oil rate reduction to ensure stable start-up of new well DP-43D ST2 in Arkutun Dagi, which commenced production at 11,719 BOPD.
GPOC: Prod'n deferred due to power interruptions and shut-in wells in Toma South, Unity, El Nar and Munga; El Toor production was impacted by export line flushing/high back pressure and security-related well shutdowns.</t>
  </si>
  <si>
    <t>GPOC:Production figures of GPOC have been received from the Expats. Remarks have not yet been received due to an internet issue.</t>
  </si>
  <si>
    <t xml:space="preserve">Sakhalin -1: Production deferment is observed due to planned maintenance of Gas Injection Compressor No. 2 (8K hrs) in Odoptu.
GPOC:Production figures of GPOC have been received from the Expats. Remarks have not yet been received due to an internet issue.
PCB : Prod'n deferred due to wells CGO-0071/75/77/88/92 found inactive on June 21, 2026 pm due to VFDs shutting down as a result of an electrical surge. </t>
  </si>
  <si>
    <t xml:space="preserve">Sakhalin-1: Prod'n deferred on 19 Jun 2026 due to planned maintenance of Gas Injection Compressor No. 2 (8K hrs) in Odoptu and temporary oil rate reduction to ensure stable start-up of new well DP-43D ST2 in Arkutun Dagi, which commenced production at 11,719 BOPD.
GPOC: Prod'n deferred due to power interruptions and shut-in wells in Toma South, Unity, El Nar and Munga; El Toor production was impacted by export line flushing/high back pressure and security-related well shutdowns.
Vankor : prod'n deferred due to installation of sleeves for the sections of oil-gathering pipeline.
  </t>
  </si>
  <si>
    <t>Sakhalin -1: Production deferment is observed due to planned maintenance of Gas Injection Compressor No. 2 (8K hrs) in Odoptu.
GPOC:Production figures of GPOC have been received from the Expats. Remarks have not yet been received due to an internet issue.
PCB : Production affected due to decrease in flowing wells.
Vankor : Prod'n deferred due to Repair of defective section of oil-gathering pipeline. 
SPOC: Prod'n deferred due to increase in water cut.</t>
  </si>
  <si>
    <t>PCB : Production affected due to decrease in flowing wells.
Vankor : Prod'n deferred due to Repair of defective section of oil-gathering pipeline. 
SPOC: Prod'n deferred due to increase in water cut.
CPO-5:Prod'n deferred due to well shut-in caused by a short circuit in the VSD, resulting in ESP shutdown at the INDICO-3 field.</t>
  </si>
  <si>
    <t>PCB : Production affected due to decrease in flowing wells.
SPOC: Prod'n deferred due to increase in water cut.
GPOC:Prod'n deferred due to power tripped in Toma South, Unity,EL Nar &amp; EL Toor.
CPO-5:Prod'n deferred due to well shut-in caused by a short circuit in the VSD, resulting in ESP shutdown at the INDICO-3 field.
Sakhalin-1: Production from Odoptu wells ramped up to operating mode following completion of maintenance on Gas Injection Compressor No. 2.</t>
  </si>
  <si>
    <t>PCB : Production affected due to decrease in flowing wells.
GPOC:Prod'n deferred due to power tripped in Toma South, Unity,EL Nar &amp; EL Toor.
Sakhalin-1: Production from Odoptu wells ramped up to operating mode following completion of maintenance on Gas Injection Compressor No. 2.</t>
  </si>
  <si>
    <t>PCB : Production affected due to decrease in flowing wells.
SPOC: Prod'n deferred due to increase in water cut.
GPOC:Prod'n deferred due to power tripped in Toma South, Unity,EL Nar &amp; EL Toor.
Sakhalin-1: Production from Odoptu wells ramped up to operating mode following completion of maintenance on Gas Injection Compressor No. 2.</t>
  </si>
  <si>
    <t>PCB ; Production deferred due to high A&amp;S (&gt;29%) at the COP plant inlet and pending surface equipment connection for well CGO-0066. 
SPOC :Non flowing wells : TJ-5 (high water cut &amp; high torque) &amp; Mala-14 (power supply issue &amp; flowline leakage)
IEC: Production deferred due to Well 145 (0.2 ton)-Return of day loss, Well 148 (-4.7 ton)-Day loss. No feed.
Sakhalin-1: Production from Odoptu wells ramped up to operating mode following completion of maintenance on Gas Injection Compressor No. 2.</t>
  </si>
  <si>
    <t>PCB: Production deferred due to high A&amp;S (&gt;29%) at the COP plant inlet and pending surface equipment connection for well CGO-0066. 
SPOC: Non flowing wells : TJ-5 (high water cut &amp; high torque) &amp; Mala-13 (downhole &amp; High torque &amp; flowline leakage).
BC-10: Prod'n deferred due to ALM 1 Train C-offline, AW1 Abalone offline.
Vankor:Repair of a defective section of an oil gathering pipeline.</t>
  </si>
  <si>
    <t>SPOC: Non flowing wells : TJ-5 (high water cut &amp; high torque) &amp; Mala-13 (downhole &amp; High torque &amp; flowline leakage).
GPOC:Prod'n deferred due to power tripped in Toma South, Unity,EL Nar &amp; EL Toor.
BC-10: Prod'n deferred due to ALM 1 Train C-offline, AW1 Abalone offline.
PCB:Prod'n deferred due to HV fuse blowout. HV supply restored, well CGO-0054 (145) remained shut down due to VFD fault.
Vankor:Repair of a defective section of an oil gathering pipeline.
CPO-5: AVM server issue is under investigation by the OVL-SC team. The DPR will be issued once the issue is resolved.</t>
  </si>
  <si>
    <t>SPOC: Non flowing wells : TJ-6 wells (high water cut, high torque, DH problem &amp; fuse blown) &amp; Mala-13 wells (downhole &amp; High torque &amp; flowline leakage).
PCB:Production deferred due to A&amp;S &gt;28% at the COP plant inlet, RA-04 intervention on Well CGO-0037 (suspected tubing/PCP failure),Well CGO-0066 is undergoing control fluid displacement.
BC-10: Prod'n deferred due to AW1 Abalone offline.
GPOC:Prod'n deferred due to power tripped in Toma South, EL Toor.</t>
  </si>
  <si>
    <t>SPOC: Non flowing wells : TJ-6 wells (high water cut, high torque, DH problem &amp; fuse blown) &amp; Mala-13 wells (downhole &amp; High torque &amp; flowline leakage).
PCB:Prod'n deferred due to A&amp;S &gt;28% at the COP plant inlet, RA-04 intervention on Well CGO-0037 (suspected tubing/PCP failure)
IEC: Prod'n deferred due to well stock deviations, flow rate decrease (Wells 133, 204 &amp; 506), and operational changes/shutdown of Well 146. Pipeline adjustments partially compensated the loss.
BC-10: Prod'n deferred due to AW1 Abalone offline.
CPO-5: Prod'n deferred due to community blockage.</t>
  </si>
  <si>
    <t xml:space="preserve">SPOC: Non flowing wells : TJ-6 wells (high water cut, high torque, DH problem &amp; fuse blown) &amp; Mala-13 wells (downhole &amp; High torque &amp; flowline leakage).
IEC: Prod'n deferred due to planned well shutdowns (Wells 133, 146, 503 &amp; 506), reduced production from Well 204 (flow rate decline/high water cut), and Well 2-R (high ESP motor temperature).
Vankor: Prod'n deferred due to Gas: Gas Injection due to preventive maintenance at gas treatment and transportation facility.
</t>
  </si>
  <si>
    <t>PCB: Production deferred due to A&amp;S &gt;28% at the COP plant inlet, RA-04 intervention on Well CGO-0037 (suspected tubing/PCP failure).
IEC: Prod'n deferred due to well stock deviations, flow rate decrease (Wells 133, 204 &amp; 506), and operational changes/shutdown of Well 146. Pipeline adjustments partially compensated the loss.
BC-10: ALM 1 Train C - offline, AW1 Abalone offline/ ALM 2 Train B - offline/ALM 3 Train A - offline - process shut down.
GPOC: Production deferred due to (DHM problem),TS-38 down (DHE problem),MGS-08 shutdown. MG-18 stopped for flowline flushing and restarted thereafter.
Vankor: Prod'n deferred due to Gas: Gas Injection due to preventive maintenance at gas treatment and transportation facility.</t>
  </si>
  <si>
    <t xml:space="preserve">PCB:Production deferred due to high A&amp;S (&gt;28%) at the COP plant inlet, CGO-0050 underperforming, CGO-0052 offline (damaged PCP), and CGO-0037 undergoing post-PCP fluid displacement.
Vankor:  Prod'n deferred due to preventive maintenance at gas treatment and transportation facility.
Sakhalin-1:Prod'n deferred due to unplanned maintenance of Module 4 (Gas Injection Compressor B) at Chayvo.
BC-10: ALM 1 Train C - offline, AW1 Abalone offline/ ALM 2 Train B - offline/ALM 3 Train A - offline - process shut down.
GPOC: Prod'n deferred due to power trips in Toma South, El Nar, and El Toor; TS-35 (DHM issue), TS-38 (DHE issue), MGS-08 shutdown, and MGS-01 flowline flushing (restarted thereafter).
</t>
  </si>
  <si>
    <t xml:space="preserve">Sakhalin-1:Prod'n deferred due to unplanned maintenance of Module 4 (Gas Injection Compressor B) at Chayvo.
BC-10: ALM 1 Train C - offline, AW1 Abalone offline/ ALM 2 Train B - offline/ALM 3 Train A - offline - process shut down.
Vankor:  Prod'n deferred due to preventive maintenance at gas treatment and transportation facility.
IEC: Prod'n deferred due to water cut increase (Wells 503, 506, 146 &amp; 204), production decline (Well 204), Well 301 shut-in, Well 590 stabilization, Well 205 shut-in for pressure build-up, well stock deviations, and pipeline operational changes.
</t>
  </si>
  <si>
    <t xml:space="preserve">Sakhalin-1:Production deferment is observed due to unplanned maintenance of Module 4 (Gas Injection Compressor B) at Chayvo.
BC-10: Production deferred due to unplanned shutdown. Hot-oil circulation in progress gradual ramp-up over the next 3 days. All three trains are offline.
IEC: Prod'n deferred due to emergency power cutoffs in multiple Snezhnoye wells, production decline/water cut increase at Well 133, shut-in of Well 146, pipeline imbalance, and well stock deviations across Snezhnoye, Dvoinoye, and Maiskoye.
GPOC: Prod'n deferred due to power trip at Toma South, ongoing DHM/DHE-related well shutdowns, ET-10 shutdown, and MGS-08 remaining offline. ET-01 and MG-01 were restored during the day.
SPOC: Non flowing wells : TJ-5 (high water cut, high torque &amp; DH problem) &amp; Mala-13 (downhole &amp; High torque &amp; flowline leakage).
</t>
  </si>
  <si>
    <t>Vankor: Gas production increased due to reduced gas injection.
PCB: Prod'n deferred due to electrical flickering (07/07/2026, 17:39 hrs) affecting process equipment and 32 wells, and CGO-0050 (broken tubing) &amp; CGO-0052 (damaged PCP) awaiting materials.
SPOC: Non flowing wells : TJ-5 (high water cut, high torque &amp; DH problem) &amp; Mala-13 (downhole &amp; High torque &amp; flowline leakage).
BC-10: ALM 3 Train A online with MOBO 7 started at 15:16 hrs.  Production ramp-up in progress. ALM 1 Train C and ALM 2 Train B remain offline.
CPO-5: AVM server issue is under investigation by the OVL-SC team. The DPR will be issued once the issue is resolved.
GPOC: Prod'n deferred due to power trip in Toma South, DHM/DHE-related well outages, and ongoing well shutdowns across Unity, El Nar, El Toor, and Munga.
Sakhalin-1:Production deferment is observed due to unplanned maintenance of Module 4 (Gas Injection Compressor B) at Chayvo.</t>
  </si>
  <si>
    <t xml:space="preserve">PCB: Production deferred due to Well CGO-0050 tubing failure and Well CGO-0052 shut in due to PCP failure (awaiting materials).
BC-10:  ALM 1 Train C (MOBO 2) and ALM 3 Train A (MOBO 7 &amp; 9) are online. ALM 2 Train B and AW1 Abalone remain offline. Water Injection is online.
Sakhalin-1:Production deferment is observed due to unplanned maintenance of Module 4 (Gas Injection Compressor B) at Chayvo.
LZC: Production deferred due to DAS ullage constraints. 
CPO-5: AVM server issue is under investigation by the OVL-SC team. The DPR will be issued once the issue is resolved.
</t>
  </si>
  <si>
    <t xml:space="preserve">BC-10:  ALM 1 Train C (MOBO 2) and ALM 3 Train A (MOBO 7 &amp; 9) are online. ALM 2 Train B and AW1 Abalone remain offline. Water Injection is online.
Sakhalin-1:Production deferment is observed due to unplanned maintenance of Module 4 (Gas Injection Compressor B) at Chayvo.
</t>
  </si>
  <si>
    <t xml:space="preserve">BC-10:  ALM 1 Train C (MOBO 2) and ALM 3 Train A (MOBO 7 &amp; 9) are online. ALM 2 Train B and AW1 Abalone remain offline. Water Injection is online.
Sakhalin-1:Production deferment is observed due to unplanned maintenance of Module 4 (Gas Injection Compressor B) at Chayvo.
SPOC: Non flowing wells : TJ-5 (high water cut, high torque &amp; DH problem) &amp; Mala-13 (downhole &amp; High torque &amp; flowline leakage).
</t>
  </si>
  <si>
    <t xml:space="preserve">BC-10:  ALM 1 Train C (MOBO 2) and ALM 3 Train A (MOBO 7 &amp; 9) are online. ALM 2 Train B and AW1 Abalone remain offline. Water Injection is online.
Sakhalin-1:Completion of maintenance of Module 4 (Gas Injection Compressor B) at Chayvo.
SPOC:  All the wells are effected due to CPP power failure.
</t>
  </si>
  <si>
    <t xml:space="preserve">BC-10:  BC-10:Prod'n is being ramped up as ALM-2 is online.
</t>
  </si>
  <si>
    <t xml:space="preserve">BC-10:  BC-10:Prod'n is being ramped up as ALM-2 is online.
SPOC: Non flowing wells : TJ-5 (high water cut, high torque &amp; DH problem) &amp; Mala-13 (downhole &amp; High torque &amp; flowline leakage).
</t>
  </si>
  <si>
    <t>BC-10:  BC-10:Prod'n is being ramped up as ALM-2 is online.
CPO-5: Prod'n deferred due to community blockage.</t>
  </si>
  <si>
    <t xml:space="preserve">IEC: Production deferred due to water cut increase.
SPOC: Production deferred due to water cut increase.
A1,A3: production defered due to EGC-C tripped at 10:10hr.
LZC: Production defered due to Barge moment and less available ULLAGE.
</t>
  </si>
  <si>
    <t xml:space="preserve">IEC: Production deferred due to water cut increase.
LZC: Production defered due to Barge moment and less available ULLAGE.
CPO-5: Prod'n deferred due to community blockade.
</t>
  </si>
  <si>
    <t xml:space="preserve">IEC: Production deferred due to water cut increase.
LZC: Production defered due to Barge moment and less available ULLAGE.
CPO-5:Well under stabilization after the blockade.
</t>
  </si>
  <si>
    <t xml:space="preserve">IEC: Production deferred due to water cut increase.
LZC: Production defered due to Barge moment and less available ULLAGE.
CPO-5: The well was temporarily closed to facilitate load transfer and the energization of the MGT to the new electrical facilities.
A1-A3:Gas production was reduced due to S/D of compressor 3 hour (EGC-C vibration sensor maintenance). Normal gas export resumed upon completion of the maintenance activity.
PCB:Prod'n deferred due to pumping shutdown following a leak in the 24-inch Morero pipeline, Well CGO-0050 (tubing failure), and Well CGO-0052 shut in due to PCP failure (awaiting materials).
</t>
  </si>
  <si>
    <t>IEC: Production deferred due to water cut increase.
LZC: Production defered due to Barge moment and less available ULLAGE.
CPO-5: Well under stabilization.</t>
  </si>
  <si>
    <t>SPOC: Production deferred due to power failure.
LZC: Production deferred due to Barge moment and less available ULLAGE.
IEC: Production deferred due to flow rate decline in Well 512 and well stock deviations.</t>
  </si>
  <si>
    <t>SPOC: Production deferred due to power failure.
LZC: Production deferred due to Barge moment and less available ULLAGE.
IEC: Production deferred due to flow rate decline in Well 512 and well stock deviations.
PCB: Production deferred due to tubing failure in Well CGO-0050 and the continued shut-in of Well CGO-0052 following PCP failure, pending material availability.</t>
  </si>
  <si>
    <t>SPOC: Production deferred due to water cut.
LZC: Production deferred due to Barge moment and less available ULLAGE.
PCB: Production deferred due to water increase coming from the wells &gt;30%.
IEC: Production deferred due to pipeline imbalance, production rate decline, water cut increase, and well stock deviations. Partially offset by well stabilization and production recovery.</t>
  </si>
  <si>
    <t>LZC: Production deferred due to Barge moment and less available ULLAGE.
PCB: Production deferred due to water increase coming from the wells &gt;30%.</t>
  </si>
  <si>
    <t>LZC: Production deferred due to Barge moment and less available ULLAGE.
IEC: Production deferred due to water cut increase.
SPOC: Production deferred due to TR-01 &amp; Mala STP1 was tripped.</t>
  </si>
  <si>
    <t>LZC: Production deferred due to Barge moment and less available ULLAGE.
IEC: Production deferred due to water cut increase.
SPOC: Production deferred due to Mala feeder was tripped.
GPOC: 5644.80 barrels transferred from Unity COST to Export</t>
  </si>
  <si>
    <t>LZC: Production deferred due to Barge moment and less available ULLAGE.
IEC: Production deferred due to water cut increase.
SPOC: TJ-25 Manually started at 06:30hrs after tripped due to power fluctuated. </t>
  </si>
  <si>
    <t>PCB: Production deferred due to water increase coming from the wells &gt;30%.
CPO-5: The Indico-3 Shut down due to an internal electrical issue in the VDS.</t>
  </si>
  <si>
    <t>PCB: Production deferred due to water increase coming from the wells &gt;28%. 
IEC: Production deferred due to water cut increase.</t>
  </si>
  <si>
    <t>PCB: Production deferred due to water increase coming from the wells &gt;30%. 
CPO-5: The Indico-3 shut down due to an internal electrical issue in the VDS.
SPOC: ME-01 &amp; 02 tripped at 13:10hrs on 31.07.2026.
IEC: Production deferred due to water cut increase.</t>
  </si>
  <si>
    <t>PCB: Production deferred due to water increase coming from the wells &gt;30%. 
IEC: Production deferred due to water cut increase.</t>
  </si>
  <si>
    <t>IEC: Production deferred due to water cut increase.
SPOC: TJ-24 BOL AT 9.50HRS after replacement DH BELT.</t>
  </si>
  <si>
    <t>IEC: Production deferred due to water cut increase.</t>
  </si>
  <si>
    <t>PCB: Production deferred due to water increase coming from the wells &gt;30%. 
Sakhalin-1: Production deferment is observed due to Well capacity at the Chayvo field because of weather-related gas compression restrictions.
SPOC: 6 Wells tripped on 03.08.2026  due to CPP Power dip.</t>
  </si>
  <si>
    <t>PCB : Production deferred due to CGO-0075 well shutdown caused by high vibration and electrical flickering affecting process equipment and wells.
SPOC: All TJ &amp; MALA OHTL Wells affected by power fluctuations.
BC-10: Production deferred due to AW1 Abalone offline.
IEC: Production deferred due to water cut increase.</t>
  </si>
  <si>
    <t>IEC: Production deferred due to water cut increase.
SPOC : Production deferred due to water cut.
Sakhalin : Production deferment due to Cleaning pig operation and Reduction of production from High GOR Well because of gas compression restrictions due to higher ambient temperature.
PCB : Production deferred due to downhole pump failure and sucker rod damage at CGO-0016; awaiting Well Service rig for pump replacement.”</t>
  </si>
  <si>
    <t>PCB : CGO-0075 Well reactivated on 14/08/2026 (03:40) after polished rod and rotary driver replacement. Well displacing completion fluids.
CPO-5 : Production deferred due to Community Blockage on 14.08.2026.
GPOC : Production deferred due to Toma South, Unity, El Nar, &amp; El Toor FPF affected by power trips.
SPOC : Production deferred due to TJ &amp; Mala OHTL power supply tripped from 05.30hrs to 07:40hrs to CPP Blackout.</t>
  </si>
  <si>
    <t>GPOC : Production deferred due to Toma South, Unity, El Nar, &amp; El Toor FPF affected by power trips.
SPOC : Production deferred due to TJ &amp; Mala OHTL power supply tripped from 05.30hrs to 07:40hrs to CPP Blackout.</t>
  </si>
  <si>
    <t>PCB : CGO-0075 (0,310): Flush-by rig GV-914 since 13/08/2026 (06:00) for polished rod fishing and replacement.</t>
  </si>
  <si>
    <t>IEC: Production deferred due to water cut increase.
SPOC : Production deferred due to Power Tripped.
Sakhalin : Production deferment due to Cleaning pig operation and Reduction of production from High GOR Well because of gas compression restrictions due to higher ambient temperature.
LZC : Production deferred due to Barge moment and CSP Tripped.
ACG : production deferred due to reduced production from central Azeri PDQ platform caused by the oil plant HP Manifold Crossover XXV being closed.</t>
  </si>
  <si>
    <t>IEC: Production deferred due to water cut increase.
SPOC : Production deferred due to Power Tripped.
ACG : production deferred due to reduced production from central Azeri PDQ platform caused by the oil plant HP Manifold Crossover XXV being closed.</t>
  </si>
  <si>
    <t>IEC: Production deferred due to water cut increase.
SPOC : Production deferred due to high water cut.
GPOC : Production deferred due to power tripped.
ACG : production deferred due to reduced production from central Azeri PDQ platform caused by the oil plant HP Manifold Crossover XXV being closed.</t>
  </si>
  <si>
    <t xml:space="preserve">IEC: Production deferred due to water cut increase.
</t>
  </si>
  <si>
    <t>Prev. day data for Vankor.</t>
  </si>
  <si>
    <t xml:space="preserve">Prev. day data for Vankor. </t>
  </si>
  <si>
    <t>IEC: Production deferred due to water cut increase.
SPOC : Production deferred due to Power Tripped.</t>
  </si>
  <si>
    <t xml:space="preserve">Prev. day data for Vankor,LZC. </t>
  </si>
  <si>
    <t xml:space="preserve">Prev. day data for Vankor,GPOC,LZC. </t>
  </si>
  <si>
    <t xml:space="preserve">Prev. day data for ACG,BC-10,MECL,Sakhalin,Vankor,GPOC,LZC,A1-A3. </t>
  </si>
</sst>
</file>

<file path=xl/styles.xml><?xml version="1.0" encoding="utf-8"?>
<styleSheet xmlns="http://schemas.openxmlformats.org/spreadsheetml/2006/main" xmlns:mc="http://schemas.openxmlformats.org/markup-compatibility/2006" xmlns:x14ac="http://schemas.microsoft.com/office/spreadsheetml/2009/9/ac" mc:Ignorable="x14ac">
  <numFmts count="57">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409]mmm\-yy;@"/>
    <numFmt numFmtId="165" formatCode="0.0"/>
    <numFmt numFmtId="166" formatCode="0.000"/>
    <numFmt numFmtId="167" formatCode="#,##0.000000"/>
    <numFmt numFmtId="168" formatCode="0.0%"/>
    <numFmt numFmtId="169" formatCode="0.00000"/>
    <numFmt numFmtId="170" formatCode="#,##0.0"/>
    <numFmt numFmtId="171" formatCode="_(* #,##0.000_);_(* \(#,##0.000\);_(* &quot;-&quot;??_);_(@_)"/>
    <numFmt numFmtId="172" formatCode="_(* #,##0_);_(* \(#,##0\);_(* &quot;-&quot;??_);_(@_)"/>
    <numFmt numFmtId="173" formatCode="_(* #,##0.000000_);_(* \(#,##0.000000\);_(* &quot;-&quot;??_);_(@_)"/>
    <numFmt numFmtId="174" formatCode="_(* #,##0.0_);_(* \(#,##0.0\);_(* &quot;-&quot;??_);_(@_)"/>
    <numFmt numFmtId="175" formatCode="0.0000"/>
    <numFmt numFmtId="176" formatCode="_(* #,##0.000_);_(* \(#,##0.000\);_(* &quot;-&quot;???_);_(@_)"/>
    <numFmt numFmtId="177" formatCode="[$-10409]#,##0.000;\(#,##0.000\)"/>
    <numFmt numFmtId="178" formatCode="_-* #,##0_-;\-* #,##0_-;_-* &quot;-&quot;_-;_-@_-"/>
    <numFmt numFmtId="179" formatCode="_-&quot;R$&quot;\ * #,##0.00_-;\-&quot;R$&quot;\ * #,##0.00_-;_-&quot;R$&quot;\ * &quot;-&quot;??_-;_-@_-"/>
    <numFmt numFmtId="180" formatCode="_-* #,##0.00_-;\-* #,##0.00_-;_-* &quot;-&quot;??_-;_-@_-"/>
    <numFmt numFmtId="181" formatCode="_-&quot;£&quot;* #,##0.00_-;\-&quot;£&quot;* #,##0.00_-;_-&quot;£&quot;* &quot;-&quot;??_-;_-@_-"/>
    <numFmt numFmtId="182" formatCode="_(&quot;R$ &quot;* #,##0.00_);_(&quot;R$ &quot;* \(#,##0.00\);_(&quot;R$ &quot;* &quot;-&quot;??_);_(@_)"/>
    <numFmt numFmtId="183" formatCode="_(* #,##0.00_);_(* \(#,##0.00\);_(* \-??_);_(@_)"/>
    <numFmt numFmtId="184" formatCode="#,##0\ &quot;F&quot;;\-#,##0\ &quot;F&quot;"/>
    <numFmt numFmtId="185" formatCode="_-* #,##0_-;\-* #,##0_-;_-* &quot;-&quot;??_-;_-@_-"/>
    <numFmt numFmtId="186" formatCode="&quot;J$&quot;#,##0.00;\-&quot;J$&quot;#,##0.00"/>
    <numFmt numFmtId="187" formatCode="_-* #,##0\ &quot;F&quot;_-;\-* #,##0\ &quot;F&quot;_-;_-* &quot;-&quot;\ &quot;F&quot;_-;_-@_-"/>
    <numFmt numFmtId="188" formatCode="_-* #,##0.00\ &quot;F&quot;_-;\-* #,##0.00\ &quot;F&quot;_-;_-* &quot;-&quot;??\ &quot;F&quot;_-;_-@_-"/>
    <numFmt numFmtId="189" formatCode="#,##0.00\ &quot;F&quot;;[Red]\-#,##0.00\ &quot;F&quot;"/>
    <numFmt numFmtId="190" formatCode="#,##0.000_);\(#,##0.000\)"/>
    <numFmt numFmtId="191" formatCode="_-* #,##0\ _F_-;\-* #,##0\ _F_-;_-* &quot;-&quot;\ _F_-;_-@_-"/>
    <numFmt numFmtId="192" formatCode="[$-409]d\-mmm\-yy;@"/>
    <numFmt numFmtId="193" formatCode="_ &quot;kr&quot;\ * #,##0.00_ ;_ &quot;kr&quot;\ * \-#,##0.00_ ;_ &quot;kr&quot;\ * &quot;-&quot;??_ ;_ @_ "/>
    <numFmt numFmtId="194" formatCode="_(&quot;$&quot;\ * #,##0.00_);_(&quot;$&quot;\ * \(#,##0.00\);_(&quot;$&quot;\ * &quot;-&quot;??_);_(@_)"/>
    <numFmt numFmtId="195" formatCode="&quot;$&quot;\ \ \ \ \ \ #,##0_);\(&quot;$&quot;\ \ \ \ #,##0\)"/>
    <numFmt numFmtId="196" formatCode="_(&quot;Bs&quot;\ * #,##0.00_);_(&quot;Bs&quot;\ * \(#,##0.00\);_(&quot;Bs&quot;\ * &quot;-&quot;??_);_(@_)"/>
    <numFmt numFmtId="197" formatCode="_-* #,##0.00\ _€_-;\-* #,##0.00\ _€_-;_-* &quot;-&quot;??\ _€_-;_-@_-"/>
    <numFmt numFmtId="198" formatCode="_([$€-2]\ * #,##0.00_);_([$€-2]\ * \(#,##0.00\);_([$€-2]\ * &quot;-&quot;??_)"/>
    <numFmt numFmtId="199" formatCode="_-&quot;$&quot;* #,##0_-;\-&quot;$&quot;* #,##0_-;_-&quot;$&quot;* &quot;-&quot;_-;_-@_-"/>
    <numFmt numFmtId="200" formatCode="_([$€]\ * #,##0.00_);_([$€]\ * \(#,##0.00\);_([$€]\ * &quot;-&quot;??_);_(@_)"/>
    <numFmt numFmtId="201" formatCode="General_)"/>
    <numFmt numFmtId="202" formatCode="_-* #,##0.00\ _P_t_s_-;\-* #,##0.00\ _P_t_s_-;_-* &quot;-&quot;??\ _P_t_s_-;_-@_-"/>
    <numFmt numFmtId="203" formatCode="_-* #,##0.00\ _p_t_a_-;\-* #,##0.00\ _p_t_a_-;_-* &quot;-&quot;??\ _p_t_a_-;_-@_-"/>
    <numFmt numFmtId="204" formatCode="_(* #,##0_);_(* \(#,##0.000\);_(* &quot;-&quot;??_);_(@_)"/>
    <numFmt numFmtId="205" formatCode="#,##0.00;\(#,##0.00\)"/>
    <numFmt numFmtId="206" formatCode="0.00_)"/>
    <numFmt numFmtId="207" formatCode="_ * #,##0.000_ ;_ * \-#,##0.000_ ;_ * &quot;-&quot;???_ ;_ @_ "/>
    <numFmt numFmtId="208" formatCode="0.000%"/>
    <numFmt numFmtId="209" formatCode="[$-14009]dddd\,\ d\ mmmm\,\ yyyy;@"/>
    <numFmt numFmtId="210" formatCode="[$-F800]dddd\,\ mmmm\ dd\,\ yyyy"/>
    <numFmt numFmtId="211" formatCode="_(* #,##0.00000_);_(* \(#,##0.00000\);_(* &quot;-&quot;??_);_(@_)"/>
    <numFmt numFmtId="212" formatCode="0.00000000E+00"/>
    <numFmt numFmtId="213" formatCode="0.000000000"/>
    <numFmt numFmtId="214" formatCode="#,##0.000"/>
    <numFmt numFmtId="215" formatCode="_ * #,##0.000_ ;_ * \-#,##0.000_ ;_ * &quot;-&quot;??_ ;_ @_ "/>
    <numFmt numFmtId="216" formatCode="_ * #,##0.0000_ ;_ * \-#,##0.0000_ ;_ * &quot;-&quot;??_ ;_ @_ "/>
  </numFmts>
  <fonts count="213">
    <font>
      <sz val="11"/>
      <color theme="1"/>
      <name val="Calibri"/>
      <family val="2"/>
      <scheme val="minor"/>
    </font>
    <font>
      <sz val="12"/>
      <color theme="1"/>
      <name val="Calibri"/>
      <family val="2"/>
      <scheme val="minor"/>
    </font>
    <font>
      <sz val="11"/>
      <color theme="1"/>
      <name val="Calibri"/>
      <family val="2"/>
      <scheme val="minor"/>
    </font>
    <font>
      <b/>
      <sz val="11"/>
      <color theme="1"/>
      <name val="Calibri"/>
      <family val="2"/>
      <scheme val="minor"/>
    </font>
    <font>
      <b/>
      <sz val="16"/>
      <color theme="1"/>
      <name val="Arial"/>
      <family val="2"/>
    </font>
    <font>
      <sz val="12"/>
      <color theme="1"/>
      <name val="Arial"/>
      <family val="2"/>
    </font>
    <font>
      <b/>
      <sz val="12"/>
      <color rgb="FFFF0000"/>
      <name val="Arial"/>
      <family val="2"/>
    </font>
    <font>
      <b/>
      <sz val="12"/>
      <color theme="1"/>
      <name val="Arial"/>
      <family val="2"/>
    </font>
    <font>
      <sz val="12"/>
      <name val="Arial"/>
      <family val="2"/>
    </font>
    <font>
      <b/>
      <i/>
      <sz val="12"/>
      <color rgb="FFFF0000"/>
      <name val="Arial"/>
      <family val="2"/>
    </font>
    <font>
      <b/>
      <i/>
      <sz val="12"/>
      <color theme="1"/>
      <name val="Arial"/>
      <family val="2"/>
    </font>
    <font>
      <sz val="8"/>
      <color theme="1"/>
      <name val="Arial"/>
      <family val="2"/>
    </font>
    <font>
      <sz val="12"/>
      <color rgb="FFFF0000"/>
      <name val="Arial"/>
      <family val="2"/>
    </font>
    <font>
      <sz val="10"/>
      <color theme="1"/>
      <name val="Arial"/>
      <family val="2"/>
    </font>
    <font>
      <sz val="8"/>
      <name val="Calibri"/>
      <family val="2"/>
      <scheme val="minor"/>
    </font>
    <font>
      <sz val="12"/>
      <color theme="1"/>
      <name val="Calibri"/>
      <family val="2"/>
      <scheme val="minor"/>
    </font>
    <font>
      <b/>
      <sz val="12"/>
      <color theme="1"/>
      <name val="Calibri"/>
      <family val="2"/>
      <scheme val="minor"/>
    </font>
    <font>
      <b/>
      <sz val="11"/>
      <color rgb="FF000000"/>
      <name val="Calibri"/>
      <family val="2"/>
      <scheme val="minor"/>
    </font>
    <font>
      <b/>
      <u/>
      <sz val="14"/>
      <color theme="1"/>
      <name val="Calibri"/>
      <family val="2"/>
      <scheme val="minor"/>
    </font>
    <font>
      <b/>
      <u/>
      <sz val="12"/>
      <color theme="1"/>
      <name val="Calibri"/>
      <family val="2"/>
      <scheme val="minor"/>
    </font>
    <font>
      <sz val="11"/>
      <color rgb="FFFF0000"/>
      <name val="Calibri"/>
      <family val="2"/>
      <scheme val="minor"/>
    </font>
    <font>
      <sz val="22"/>
      <color theme="1"/>
      <name val="Calibri"/>
      <family val="2"/>
      <scheme val="minor"/>
    </font>
    <font>
      <sz val="14"/>
      <color theme="1"/>
      <name val="Calibri"/>
      <family val="2"/>
      <scheme val="minor"/>
    </font>
    <font>
      <sz val="11"/>
      <color rgb="FF000000"/>
      <name val="Calibri"/>
      <family val="2"/>
    </font>
    <font>
      <u/>
      <sz val="11"/>
      <color theme="10"/>
      <name val="Calibri"/>
      <family val="2"/>
      <scheme val="minor"/>
    </font>
    <font>
      <u/>
      <sz val="16"/>
      <color theme="10"/>
      <name val="Calibri"/>
      <family val="2"/>
      <scheme val="minor"/>
    </font>
    <font>
      <u/>
      <sz val="18"/>
      <color theme="10"/>
      <name val="Calibri"/>
      <family val="2"/>
      <scheme val="minor"/>
    </font>
    <font>
      <b/>
      <u/>
      <sz val="16"/>
      <color theme="1"/>
      <name val="Calibri"/>
      <family val="2"/>
      <scheme val="minor"/>
    </font>
    <font>
      <sz val="11"/>
      <color rgb="FF006100"/>
      <name val="Calibri"/>
      <family val="2"/>
      <scheme val="minor"/>
    </font>
    <font>
      <sz val="11"/>
      <color rgb="FF9C0006"/>
      <name val="Calibri"/>
      <family val="2"/>
      <scheme val="minor"/>
    </font>
    <font>
      <b/>
      <sz val="11"/>
      <color rgb="FFFA7D00"/>
      <name val="Calibri"/>
      <family val="2"/>
      <scheme val="minor"/>
    </font>
    <font>
      <b/>
      <sz val="11"/>
      <color theme="0"/>
      <name val="Calibri"/>
      <family val="2"/>
      <scheme val="minor"/>
    </font>
    <font>
      <sz val="11"/>
      <color theme="0"/>
      <name val="Calibri"/>
      <family val="2"/>
      <scheme val="minor"/>
    </font>
    <font>
      <sz val="10"/>
      <name val="Arial"/>
      <family val="2"/>
    </font>
    <font>
      <sz val="11"/>
      <color indexed="8"/>
      <name val="Calibri"/>
      <family val="2"/>
    </font>
    <font>
      <sz val="10"/>
      <name val="Verdana"/>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8"/>
      <name val="Arial"/>
      <family val="2"/>
    </font>
    <font>
      <u/>
      <sz val="10"/>
      <color indexed="12"/>
      <name val="Arial"/>
      <family val="2"/>
    </font>
    <font>
      <b/>
      <sz val="12"/>
      <name val="Arial"/>
      <family val="2"/>
    </font>
    <font>
      <sz val="8"/>
      <name val="Times New Roman"/>
      <family val="1"/>
    </font>
    <font>
      <sz val="10"/>
      <name val="Courier"/>
      <family val="3"/>
    </font>
    <font>
      <sz val="10"/>
      <name val="MS Sans Serif"/>
      <family val="2"/>
    </font>
    <font>
      <sz val="10"/>
      <color indexed="8"/>
      <name val="Arial"/>
      <family val="2"/>
    </font>
    <font>
      <sz val="11"/>
      <name val="‚l‚r –¾’©"/>
      <charset val="128"/>
    </font>
    <font>
      <b/>
      <sz val="10"/>
      <name val="MS Sans Serif"/>
      <family val="2"/>
    </font>
    <font>
      <u/>
      <sz val="11"/>
      <color indexed="12"/>
      <name val="Calibri"/>
      <family val="2"/>
    </font>
    <font>
      <i/>
      <sz val="10"/>
      <name val="Arial Rounded MT Bold"/>
      <family val="2"/>
    </font>
    <font>
      <sz val="12"/>
      <name val="Arial MT"/>
    </font>
    <font>
      <u/>
      <sz val="11"/>
      <color theme="10"/>
      <name val="Calibri"/>
      <family val="2"/>
    </font>
    <font>
      <sz val="11"/>
      <color rgb="FF9C6500"/>
      <name val="Calibri"/>
      <family val="2"/>
      <scheme val="minor"/>
    </font>
    <font>
      <sz val="11"/>
      <color indexed="8"/>
      <name val="Calibri"/>
      <family val="2"/>
      <charset val="204"/>
    </font>
    <font>
      <sz val="11"/>
      <color theme="1"/>
      <name val="Calibri"/>
      <family val="2"/>
      <charset val="204"/>
      <scheme val="minor"/>
    </font>
    <font>
      <sz val="11"/>
      <color indexed="10"/>
      <name val="Calibri"/>
      <family val="2"/>
      <charset val="204"/>
    </font>
    <font>
      <sz val="11"/>
      <color indexed="9"/>
      <name val="Calibri"/>
      <family val="2"/>
      <charset val="204"/>
    </font>
    <font>
      <u/>
      <sz val="8.8000000000000007"/>
      <color indexed="12"/>
      <name val="Calibri"/>
      <family val="2"/>
      <charset val="204"/>
    </font>
    <font>
      <u/>
      <sz val="8.8000000000000007"/>
      <color indexed="20"/>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62"/>
      <name val="Calibri"/>
      <family val="2"/>
      <charset val="204"/>
    </font>
    <font>
      <b/>
      <sz val="13"/>
      <color indexed="62"/>
      <name val="Calibri"/>
      <family val="2"/>
      <charset val="204"/>
    </font>
    <font>
      <b/>
      <sz val="11"/>
      <color indexed="62"/>
      <name val="Calibri"/>
      <family val="2"/>
      <charset val="204"/>
    </font>
    <font>
      <b/>
      <sz val="11"/>
      <color indexed="8"/>
      <name val="Calibri"/>
      <family val="2"/>
      <charset val="204"/>
    </font>
    <font>
      <b/>
      <sz val="11"/>
      <color indexed="9"/>
      <name val="Calibri"/>
      <family val="2"/>
      <charset val="204"/>
    </font>
    <font>
      <b/>
      <sz val="18"/>
      <color indexed="62"/>
      <name val="Cambria"/>
      <family val="1"/>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7"/>
      <name val="Calibri"/>
      <family val="2"/>
      <charset val="204"/>
    </font>
    <font>
      <u/>
      <sz val="11"/>
      <color indexed="20"/>
      <name val="Calibri"/>
      <family val="2"/>
      <charset val="204"/>
    </font>
    <font>
      <u/>
      <sz val="11"/>
      <color indexed="12"/>
      <name val="Calibri"/>
      <family val="2"/>
      <charset val="204"/>
    </font>
    <font>
      <sz val="10"/>
      <color rgb="FF006100"/>
      <name val="Arial"/>
      <family val="2"/>
    </font>
    <font>
      <b/>
      <sz val="15"/>
      <color indexed="56"/>
      <name val="Calibri"/>
      <family val="2"/>
      <charset val="204"/>
    </font>
    <font>
      <b/>
      <sz val="13"/>
      <color indexed="56"/>
      <name val="Calibri"/>
      <family val="2"/>
      <charset val="204"/>
    </font>
    <font>
      <b/>
      <sz val="11"/>
      <color indexed="56"/>
      <name val="Calibri"/>
      <family val="2"/>
      <charset val="204"/>
    </font>
    <font>
      <b/>
      <sz val="18"/>
      <color indexed="56"/>
      <name val="Cambria"/>
      <family val="1"/>
      <charset val="204"/>
    </font>
    <font>
      <sz val="10"/>
      <name val="Arial"/>
      <family val="2"/>
      <charset val="204"/>
    </font>
    <font>
      <sz val="10"/>
      <color indexed="8"/>
      <name val="Arial Cyr"/>
      <charset val="204"/>
    </font>
    <font>
      <sz val="10"/>
      <color indexed="64"/>
      <name val="Arial Cyr"/>
      <charset val="204"/>
    </font>
    <font>
      <sz val="11"/>
      <color rgb="FF000000"/>
      <name val="Calibri"/>
      <family val="2"/>
      <charset val="204"/>
    </font>
    <font>
      <sz val="10"/>
      <name val="Geneva"/>
      <family val="2"/>
    </font>
    <font>
      <sz val="10"/>
      <color indexed="0"/>
      <name val="Helv"/>
    </font>
    <font>
      <sz val="11"/>
      <color indexed="8"/>
      <name val="宋体"/>
      <charset val="134"/>
    </font>
    <font>
      <sz val="11"/>
      <color indexed="9"/>
      <name val="宋体"/>
      <charset val="134"/>
    </font>
    <font>
      <sz val="12"/>
      <name val="Helv"/>
    </font>
    <font>
      <sz val="12"/>
      <name val="Times New Roman"/>
      <family val="1"/>
    </font>
    <font>
      <sz val="11"/>
      <color indexed="17"/>
      <name val="宋体"/>
      <charset val="134"/>
    </font>
    <font>
      <sz val="11"/>
      <color indexed="20"/>
      <name val="宋体"/>
      <charset val="134"/>
    </font>
    <font>
      <b/>
      <sz val="18"/>
      <color indexed="56"/>
      <name val="宋体"/>
      <charset val="134"/>
    </font>
    <font>
      <b/>
      <sz val="15"/>
      <color indexed="56"/>
      <name val="宋体"/>
      <charset val="134"/>
    </font>
    <font>
      <b/>
      <sz val="13"/>
      <color indexed="56"/>
      <name val="宋体"/>
      <charset val="134"/>
    </font>
    <font>
      <b/>
      <sz val="11"/>
      <color indexed="56"/>
      <name val="宋体"/>
      <charset val="134"/>
    </font>
    <font>
      <b/>
      <sz val="11"/>
      <color indexed="9"/>
      <name val="宋体"/>
      <charset val="134"/>
    </font>
    <font>
      <b/>
      <sz val="11"/>
      <color indexed="8"/>
      <name val="宋体"/>
      <charset val="134"/>
    </font>
    <font>
      <sz val="12"/>
      <name val="宋体"/>
      <charset val="134"/>
    </font>
    <font>
      <i/>
      <sz val="11"/>
      <color indexed="23"/>
      <name val="宋体"/>
      <charset val="134"/>
    </font>
    <font>
      <sz val="11"/>
      <color indexed="10"/>
      <name val="宋体"/>
      <charset val="134"/>
    </font>
    <font>
      <b/>
      <sz val="11"/>
      <color indexed="52"/>
      <name val="宋体"/>
      <charset val="134"/>
    </font>
    <font>
      <sz val="11"/>
      <color indexed="62"/>
      <name val="宋体"/>
      <charset val="134"/>
    </font>
    <font>
      <b/>
      <sz val="11"/>
      <color indexed="63"/>
      <name val="宋体"/>
      <charset val="134"/>
    </font>
    <font>
      <sz val="11"/>
      <color indexed="60"/>
      <name val="宋体"/>
      <charset val="134"/>
    </font>
    <font>
      <sz val="11"/>
      <color indexed="52"/>
      <name val="宋体"/>
      <charset val="134"/>
    </font>
    <font>
      <b/>
      <sz val="15"/>
      <color indexed="54"/>
      <name val="Calibri"/>
      <family val="2"/>
    </font>
    <font>
      <sz val="9"/>
      <color indexed="8"/>
      <name val="Arial"/>
      <family val="2"/>
      <charset val="204"/>
    </font>
    <font>
      <sz val="10"/>
      <name val="Helv"/>
      <charset val="204"/>
    </font>
    <font>
      <sz val="11"/>
      <name val="Calibri"/>
      <family val="2"/>
    </font>
    <font>
      <b/>
      <i/>
      <sz val="16"/>
      <name val="Helv"/>
    </font>
    <font>
      <sz val="10"/>
      <name val="Lucida Sans Typewriter"/>
      <family val="3"/>
    </font>
    <font>
      <sz val="16"/>
      <color theme="1"/>
      <name val="Arial"/>
      <family val="2"/>
    </font>
    <font>
      <sz val="11"/>
      <name val="Calibri"/>
      <family val="2"/>
      <scheme val="minor"/>
    </font>
    <font>
      <sz val="10"/>
      <color theme="1"/>
      <name val="Times New Roman"/>
      <family val="1"/>
    </font>
    <font>
      <sz val="11"/>
      <color rgb="FFFFFFFF"/>
      <name val="Calibri"/>
      <family val="2"/>
      <scheme val="minor"/>
    </font>
    <font>
      <sz val="10"/>
      <color theme="1"/>
      <name val="Calibri"/>
      <family val="2"/>
      <scheme val="minor"/>
    </font>
    <font>
      <b/>
      <u/>
      <sz val="11"/>
      <color theme="1"/>
      <name val="Calibri"/>
      <family val="2"/>
      <scheme val="minor"/>
    </font>
    <font>
      <b/>
      <i/>
      <u/>
      <sz val="14"/>
      <color theme="1"/>
      <name val="Calibri"/>
      <family val="2"/>
      <scheme val="minor"/>
    </font>
    <font>
      <b/>
      <sz val="20"/>
      <color theme="1"/>
      <name val="Calibri"/>
      <family val="2"/>
      <scheme val="minor"/>
    </font>
    <font>
      <b/>
      <sz val="16"/>
      <color theme="1"/>
      <name val="Calibri"/>
      <family val="2"/>
      <scheme val="minor"/>
    </font>
    <font>
      <i/>
      <sz val="11"/>
      <color theme="1"/>
      <name val="Calibri"/>
      <family val="2"/>
      <scheme val="minor"/>
    </font>
    <font>
      <b/>
      <sz val="18"/>
      <color theme="1"/>
      <name val="Calibri"/>
      <family val="2"/>
      <scheme val="minor"/>
    </font>
    <font>
      <b/>
      <sz val="14"/>
      <color theme="1"/>
      <name val="Calibri"/>
      <family val="2"/>
      <scheme val="minor"/>
    </font>
    <font>
      <b/>
      <sz val="22"/>
      <color theme="1"/>
      <name val="Calibri"/>
      <family val="2"/>
      <scheme val="minor"/>
    </font>
    <font>
      <b/>
      <sz val="11"/>
      <name val="Calibri"/>
      <family val="2"/>
      <scheme val="minor"/>
    </font>
    <font>
      <sz val="11"/>
      <color indexed="59"/>
      <name val="Calibri"/>
      <family val="2"/>
    </font>
    <font>
      <sz val="11"/>
      <color theme="10"/>
      <name val="Calibri"/>
      <family val="2"/>
      <scheme val="minor"/>
    </font>
    <font>
      <i/>
      <sz val="12"/>
      <color theme="1"/>
      <name val="Calibri"/>
      <family val="2"/>
      <scheme val="minor"/>
    </font>
    <font>
      <sz val="11"/>
      <color rgb="FF000000"/>
      <name val="Calibri"/>
      <family val="2"/>
      <scheme val="minor"/>
    </font>
    <font>
      <b/>
      <i/>
      <sz val="14"/>
      <color theme="1"/>
      <name val="Calibri"/>
      <family val="2"/>
      <scheme val="minor"/>
    </font>
    <font>
      <b/>
      <i/>
      <sz val="16"/>
      <color theme="1"/>
      <name val="Arial"/>
      <family val="2"/>
    </font>
    <font>
      <b/>
      <sz val="18"/>
      <color theme="1"/>
      <name val="Arial"/>
      <family val="2"/>
    </font>
    <font>
      <b/>
      <i/>
      <sz val="16"/>
      <name val="Arial"/>
      <family val="2"/>
    </font>
    <font>
      <b/>
      <i/>
      <sz val="11"/>
      <color theme="1"/>
      <name val="Calibri"/>
      <family val="2"/>
      <scheme val="minor"/>
    </font>
    <font>
      <b/>
      <i/>
      <sz val="12"/>
      <color theme="1"/>
      <name val="Calibri"/>
      <family val="2"/>
      <scheme val="minor"/>
    </font>
    <font>
      <b/>
      <u/>
      <sz val="22"/>
      <color rgb="FFFF0000"/>
      <name val="Calibri"/>
      <family val="2"/>
      <scheme val="minor"/>
    </font>
    <font>
      <b/>
      <sz val="18"/>
      <color rgb="FFFF0000"/>
      <name val="Calibri"/>
      <family val="2"/>
      <scheme val="minor"/>
    </font>
    <font>
      <b/>
      <u/>
      <sz val="20"/>
      <color theme="1"/>
      <name val="Calibri"/>
      <family val="2"/>
      <scheme val="minor"/>
    </font>
    <font>
      <i/>
      <u/>
      <sz val="20"/>
      <color theme="1"/>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3F3F76"/>
      <name val="Calibri"/>
      <family val="2"/>
      <scheme val="minor"/>
    </font>
    <font>
      <b/>
      <sz val="11"/>
      <color rgb="FF3F3F3F"/>
      <name val="Calibri"/>
      <family val="2"/>
      <scheme val="minor"/>
    </font>
    <font>
      <sz val="11"/>
      <color rgb="FFFA7D00"/>
      <name val="Calibri"/>
      <family val="2"/>
      <scheme val="minor"/>
    </font>
    <font>
      <i/>
      <sz val="11"/>
      <color rgb="FF7F7F7F"/>
      <name val="Calibri"/>
      <family val="2"/>
      <scheme val="minor"/>
    </font>
    <font>
      <sz val="10"/>
      <name val="Arial Cyr"/>
      <charset val="204"/>
    </font>
    <font>
      <sz val="10"/>
      <color indexed="8"/>
      <name val="Arial"/>
      <family val="2"/>
      <charset val="204"/>
    </font>
    <font>
      <sz val="8"/>
      <color theme="1"/>
      <name val="Calibri"/>
      <family val="2"/>
      <scheme val="minor"/>
    </font>
    <font>
      <i/>
      <sz val="9"/>
      <color theme="1"/>
      <name val="Calibri"/>
      <family val="2"/>
      <scheme val="minor"/>
    </font>
    <font>
      <b/>
      <sz val="8"/>
      <color indexed="12"/>
      <name val="Calibri"/>
      <family val="2"/>
      <scheme val="minor"/>
    </font>
    <font>
      <b/>
      <sz val="11"/>
      <color rgb="FF329664"/>
      <name val="Calibri"/>
      <family val="2"/>
      <scheme val="minor"/>
    </font>
    <font>
      <b/>
      <sz val="18"/>
      <color theme="3"/>
      <name val="Calibri Light"/>
      <family val="2"/>
      <scheme val="major"/>
    </font>
    <font>
      <b/>
      <sz val="11"/>
      <color rgb="FF0000C0"/>
      <name val="Calibri"/>
      <family val="2"/>
      <scheme val="minor"/>
    </font>
    <font>
      <sz val="10"/>
      <color rgb="FFFF0000"/>
      <name val="Times New Roman"/>
      <family val="1"/>
    </font>
    <font>
      <sz val="16"/>
      <color theme="1"/>
      <name val="Calibri"/>
      <family val="2"/>
      <scheme val="minor"/>
    </font>
    <font>
      <b/>
      <sz val="11"/>
      <color rgb="FF7030A0"/>
      <name val="Calibri"/>
      <family val="2"/>
      <scheme val="minor"/>
    </font>
    <font>
      <sz val="18"/>
      <color theme="1"/>
      <name val="Calibri"/>
      <family val="2"/>
      <scheme val="minor"/>
    </font>
    <font>
      <u/>
      <sz val="18"/>
      <color theme="1"/>
      <name val="Calibri"/>
      <family val="2"/>
      <scheme val="minor"/>
    </font>
    <font>
      <b/>
      <sz val="11"/>
      <color rgb="FFFF0000"/>
      <name val="Calibri"/>
      <family val="2"/>
      <scheme val="minor"/>
    </font>
    <font>
      <sz val="10"/>
      <name val="Times New Roman"/>
      <family val="1"/>
    </font>
    <font>
      <sz val="12"/>
      <color rgb="FF000000"/>
      <name val="Calibri"/>
      <family val="2"/>
    </font>
    <font>
      <u/>
      <sz val="11"/>
      <color theme="1"/>
      <name val="Calibri"/>
      <family val="2"/>
      <scheme val="minor"/>
    </font>
    <font>
      <b/>
      <u/>
      <sz val="18"/>
      <color theme="1"/>
      <name val="Calibri"/>
      <family val="2"/>
      <scheme val="minor"/>
    </font>
    <font>
      <b/>
      <u/>
      <sz val="11"/>
      <color rgb="FFFF0000"/>
      <name val="Calibri"/>
      <family val="2"/>
      <scheme val="minor"/>
    </font>
    <font>
      <u/>
      <sz val="11"/>
      <color rgb="FFFF0000"/>
      <name val="Calibri"/>
      <family val="2"/>
      <scheme val="minor"/>
    </font>
    <font>
      <sz val="9"/>
      <color theme="10"/>
      <name val="Calibri"/>
      <family val="2"/>
      <scheme val="minor"/>
    </font>
    <font>
      <sz val="12"/>
      <name val="Calibri"/>
      <family val="2"/>
      <scheme val="minor"/>
    </font>
    <font>
      <sz val="11"/>
      <color theme="1"/>
      <name val="Times New Roman"/>
      <family val="1"/>
    </font>
    <font>
      <sz val="11"/>
      <color theme="1"/>
      <name val="Calibri  "/>
    </font>
    <font>
      <sz val="11"/>
      <color theme="1"/>
      <name val="Arial"/>
      <family val="2"/>
    </font>
    <font>
      <sz val="11"/>
      <color theme="1"/>
      <name val="Calibri"/>
      <family val="2"/>
    </font>
    <font>
      <sz val="11"/>
      <color theme="0"/>
      <name val="Calibri"/>
      <family val="2"/>
    </font>
    <font>
      <b/>
      <sz val="11"/>
      <color rgb="FFFA7D00"/>
      <name val="Calibri"/>
      <family val="2"/>
    </font>
    <font>
      <b/>
      <sz val="11"/>
      <color theme="0"/>
      <name val="Calibri"/>
      <family val="2"/>
    </font>
    <font>
      <sz val="11"/>
      <color rgb="FF006100"/>
      <name val="Calibri"/>
      <family val="2"/>
    </font>
    <font>
      <sz val="11"/>
      <color rgb="FF9C0006"/>
      <name val="Calibri"/>
      <family val="2"/>
    </font>
    <font>
      <sz val="11"/>
      <color rgb="FF9C6500"/>
      <name val="Calibri"/>
      <family val="2"/>
    </font>
    <font>
      <b/>
      <sz val="15"/>
      <color theme="1"/>
      <name val="Calibri"/>
      <family val="2"/>
      <scheme val="minor"/>
    </font>
    <font>
      <sz val="15"/>
      <color theme="1"/>
      <name val="Calibri"/>
      <family val="2"/>
      <scheme val="minor"/>
    </font>
    <font>
      <sz val="10"/>
      <color rgb="FF000000"/>
      <name val="Times New Roman"/>
      <family val="1"/>
    </font>
    <font>
      <sz val="11"/>
      <color rgb="FF7030A0"/>
      <name val="Calibri"/>
      <family val="2"/>
      <scheme val="minor"/>
    </font>
    <font>
      <sz val="11"/>
      <color rgb="FFC00000"/>
      <name val="Calibri"/>
      <family val="2"/>
      <scheme val="minor"/>
    </font>
    <font>
      <b/>
      <sz val="11"/>
      <color rgb="FFC00000"/>
      <name val="Calibri"/>
      <family val="2"/>
      <scheme val="minor"/>
    </font>
    <font>
      <sz val="12"/>
      <name val="Calibri"/>
      <family val="2"/>
    </font>
    <font>
      <sz val="9"/>
      <color indexed="81"/>
      <name val="Tahoma"/>
      <family val="2"/>
    </font>
    <font>
      <b/>
      <sz val="9"/>
      <color indexed="81"/>
      <name val="Tahoma"/>
      <family val="2"/>
    </font>
    <font>
      <sz val="11"/>
      <color rgb="FF000000"/>
      <name val="Aptos Narrow"/>
      <family val="2"/>
    </font>
    <font>
      <sz val="14"/>
      <color rgb="FF000000"/>
      <name val="Calibri"/>
      <family val="2"/>
      <scheme val="minor"/>
    </font>
    <font>
      <b/>
      <sz val="14"/>
      <color rgb="FF000000"/>
      <name val="Calibri"/>
      <family val="2"/>
      <scheme val="minor"/>
    </font>
    <font>
      <sz val="8"/>
      <color rgb="FF000000"/>
      <name val="Segoe UI"/>
      <family val="2"/>
    </font>
    <font>
      <sz val="9"/>
      <color theme="1"/>
      <name val="Arial"/>
      <family val="2"/>
    </font>
    <font>
      <b/>
      <sz val="12"/>
      <color rgb="FF000000"/>
      <name val="Calibri"/>
      <family val="2"/>
    </font>
    <font>
      <b/>
      <sz val="18"/>
      <color rgb="FF000000"/>
      <name val="Calibri"/>
      <family val="2"/>
    </font>
    <font>
      <b/>
      <sz val="22"/>
      <color rgb="FF000000"/>
      <name val="Calibri"/>
      <family val="2"/>
    </font>
    <font>
      <sz val="16"/>
      <color rgb="FF000000"/>
      <name val="Calibri"/>
      <family val="2"/>
    </font>
    <font>
      <sz val="10"/>
      <color rgb="FF000000"/>
      <name val="Calibri"/>
      <family val="2"/>
    </font>
    <font>
      <sz val="14"/>
      <color rgb="FF000000"/>
      <name val="Calibri"/>
      <family val="2"/>
    </font>
    <font>
      <sz val="20"/>
      <color rgb="FF000000"/>
      <name val="Calibri"/>
      <family val="2"/>
    </font>
  </fonts>
  <fills count="148">
    <fill>
      <patternFill patternType="none"/>
    </fill>
    <fill>
      <patternFill patternType="gray125"/>
    </fill>
    <fill>
      <patternFill patternType="solid">
        <fgColor theme="5" tint="0.79998168889431442"/>
        <bgColor indexed="64"/>
      </patternFill>
    </fill>
    <fill>
      <patternFill patternType="solid">
        <fgColor rgb="FF92D050"/>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2" tint="-9.9978637043366805E-2"/>
        <bgColor indexed="64"/>
      </patternFill>
    </fill>
    <fill>
      <patternFill patternType="solid">
        <fgColor rgb="FFFFFF00"/>
        <bgColor indexed="64"/>
      </patternFill>
    </fill>
    <fill>
      <patternFill patternType="solid">
        <fgColor theme="0"/>
        <bgColor indexed="64"/>
      </patternFill>
    </fill>
    <fill>
      <patternFill patternType="solid">
        <fgColor rgb="FFFFFFB9"/>
        <bgColor indexed="64"/>
      </patternFill>
    </fill>
    <fill>
      <patternFill patternType="solid">
        <fgColor rgb="FFFFC000"/>
        <bgColor indexed="64"/>
      </patternFill>
    </fill>
    <fill>
      <patternFill patternType="solid">
        <fgColor theme="7" tint="0.79998168889431442"/>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rgb="FFFFFFFF"/>
        <bgColor indexed="64"/>
      </patternFill>
    </fill>
    <fill>
      <patternFill patternType="solid">
        <fgColor rgb="FF00B050"/>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theme="9" tint="-0.249977111117893"/>
        <bgColor indexed="64"/>
      </patternFill>
    </fill>
    <fill>
      <patternFill patternType="solid">
        <fgColor theme="8" tint="0.79998168889431442"/>
        <bgColor indexed="64"/>
      </patternFill>
    </fill>
    <fill>
      <patternFill patternType="solid">
        <fgColor theme="4" tint="-0.249977111117893"/>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A5A5A5"/>
      </patternFill>
    </fill>
    <fill>
      <patternFill patternType="solid">
        <fgColor rgb="FFFFFFCC"/>
      </patternFill>
    </fill>
    <fill>
      <patternFill patternType="solid">
        <fgColor theme="9"/>
      </patternFill>
    </fill>
    <fill>
      <patternFill patternType="solid">
        <fgColor theme="9" tint="0.79998168889431442"/>
        <bgColor indexed="65"/>
      </patternFill>
    </fill>
    <fill>
      <patternFill patternType="solid">
        <fgColor indexed="31"/>
      </patternFill>
    </fill>
    <fill>
      <patternFill patternType="solid">
        <fgColor indexed="31"/>
        <bgColor indexed="41"/>
      </patternFill>
    </fill>
    <fill>
      <patternFill patternType="solid">
        <fgColor indexed="45"/>
      </patternFill>
    </fill>
    <fill>
      <patternFill patternType="solid">
        <fgColor indexed="45"/>
        <bgColor indexed="29"/>
      </patternFill>
    </fill>
    <fill>
      <patternFill patternType="solid">
        <fgColor indexed="42"/>
      </patternFill>
    </fill>
    <fill>
      <patternFill patternType="solid">
        <fgColor indexed="42"/>
        <bgColor indexed="27"/>
      </patternFill>
    </fill>
    <fill>
      <patternFill patternType="solid">
        <fgColor indexed="46"/>
      </patternFill>
    </fill>
    <fill>
      <patternFill patternType="solid">
        <fgColor indexed="46"/>
        <bgColor indexed="45"/>
      </patternFill>
    </fill>
    <fill>
      <patternFill patternType="solid">
        <fgColor indexed="27"/>
      </patternFill>
    </fill>
    <fill>
      <patternFill patternType="solid">
        <fgColor indexed="27"/>
        <bgColor indexed="42"/>
      </patternFill>
    </fill>
    <fill>
      <patternFill patternType="solid">
        <fgColor indexed="47"/>
      </patternFill>
    </fill>
    <fill>
      <patternFill patternType="solid">
        <fgColor indexed="47"/>
        <bgColor indexed="41"/>
      </patternFill>
    </fill>
    <fill>
      <patternFill patternType="solid">
        <fgColor indexed="31"/>
        <bgColor indexed="22"/>
      </patternFill>
    </fill>
    <fill>
      <patternFill patternType="solid">
        <fgColor indexed="46"/>
        <bgColor indexed="24"/>
      </patternFill>
    </fill>
    <fill>
      <patternFill patternType="solid">
        <fgColor indexed="27"/>
        <bgColor indexed="41"/>
      </patternFill>
    </fill>
    <fill>
      <patternFill patternType="solid">
        <fgColor indexed="47"/>
        <bgColor indexed="22"/>
      </patternFill>
    </fill>
    <fill>
      <patternFill patternType="solid">
        <fgColor indexed="44"/>
      </patternFill>
    </fill>
    <fill>
      <patternFill patternType="solid">
        <fgColor indexed="44"/>
        <bgColor indexed="24"/>
      </patternFill>
    </fill>
    <fill>
      <patternFill patternType="solid">
        <fgColor indexed="29"/>
      </patternFill>
    </fill>
    <fill>
      <patternFill patternType="solid">
        <fgColor indexed="29"/>
        <bgColor indexed="45"/>
      </patternFill>
    </fill>
    <fill>
      <patternFill patternType="solid">
        <fgColor indexed="11"/>
      </patternFill>
    </fill>
    <fill>
      <patternFill patternType="solid">
        <fgColor indexed="11"/>
        <bgColor indexed="49"/>
      </patternFill>
    </fill>
    <fill>
      <patternFill patternType="solid">
        <fgColor indexed="51"/>
      </patternFill>
    </fill>
    <fill>
      <patternFill patternType="solid">
        <fgColor indexed="51"/>
        <bgColor indexed="13"/>
      </patternFill>
    </fill>
    <fill>
      <patternFill patternType="solid">
        <fgColor indexed="44"/>
        <bgColor indexed="31"/>
      </patternFill>
    </fill>
    <fill>
      <patternFill patternType="solid">
        <fgColor indexed="30"/>
      </patternFill>
    </fill>
    <fill>
      <patternFill patternType="solid">
        <fgColor indexed="30"/>
        <bgColor indexed="21"/>
      </patternFill>
    </fill>
    <fill>
      <patternFill patternType="solid">
        <fgColor indexed="36"/>
      </patternFill>
    </fill>
    <fill>
      <patternFill patternType="solid">
        <fgColor indexed="20"/>
        <bgColor indexed="36"/>
      </patternFill>
    </fill>
    <fill>
      <patternFill patternType="solid">
        <fgColor indexed="49"/>
      </patternFill>
    </fill>
    <fill>
      <patternFill patternType="solid">
        <fgColor indexed="49"/>
        <bgColor indexed="40"/>
      </patternFill>
    </fill>
    <fill>
      <patternFill patternType="solid">
        <fgColor indexed="52"/>
      </patternFill>
    </fill>
    <fill>
      <patternFill patternType="solid">
        <fgColor indexed="52"/>
        <bgColor indexed="51"/>
      </patternFill>
    </fill>
    <fill>
      <patternFill patternType="solid">
        <fgColor indexed="62"/>
      </patternFill>
    </fill>
    <fill>
      <patternFill patternType="solid">
        <fgColor indexed="62"/>
        <bgColor indexed="56"/>
      </patternFill>
    </fill>
    <fill>
      <patternFill patternType="solid">
        <fgColor indexed="10"/>
      </patternFill>
    </fill>
    <fill>
      <patternFill patternType="solid">
        <fgColor indexed="10"/>
        <bgColor indexed="60"/>
      </patternFill>
    </fill>
    <fill>
      <patternFill patternType="solid">
        <fgColor indexed="57"/>
      </patternFill>
    </fill>
    <fill>
      <patternFill patternType="solid">
        <fgColor indexed="57"/>
        <bgColor indexed="21"/>
      </patternFill>
    </fill>
    <fill>
      <patternFill patternType="solid">
        <fgColor indexed="53"/>
      </patternFill>
    </fill>
    <fill>
      <patternFill patternType="solid">
        <fgColor indexed="53"/>
        <bgColor indexed="52"/>
      </patternFill>
    </fill>
    <fill>
      <patternFill patternType="solid">
        <fgColor indexed="22"/>
      </patternFill>
    </fill>
    <fill>
      <patternFill patternType="solid">
        <fgColor indexed="22"/>
        <bgColor indexed="24"/>
      </patternFill>
    </fill>
    <fill>
      <patternFill patternType="solid">
        <fgColor indexed="9"/>
      </patternFill>
    </fill>
    <fill>
      <patternFill patternType="solid">
        <fgColor indexed="22"/>
        <bgColor indexed="31"/>
      </patternFill>
    </fill>
    <fill>
      <patternFill patternType="solid">
        <fgColor indexed="55"/>
      </patternFill>
    </fill>
    <fill>
      <patternFill patternType="solid">
        <fgColor indexed="55"/>
        <bgColor indexed="23"/>
      </patternFill>
    </fill>
    <fill>
      <patternFill patternType="solid">
        <fgColor indexed="22"/>
        <bgColor indexed="64"/>
      </patternFill>
    </fill>
    <fill>
      <patternFill patternType="solid">
        <fgColor indexed="26"/>
        <bgColor indexed="64"/>
      </patternFill>
    </fill>
    <fill>
      <patternFill patternType="solid">
        <fgColor indexed="43"/>
        <bgColor indexed="26"/>
      </patternFill>
    </fill>
    <fill>
      <patternFill patternType="solid">
        <fgColor indexed="43"/>
      </patternFill>
    </fill>
    <fill>
      <patternFill patternType="solid">
        <fgColor indexed="26"/>
        <bgColor indexed="9"/>
      </patternFill>
    </fill>
    <fill>
      <patternFill patternType="solid">
        <fgColor indexed="26"/>
      </patternFill>
    </fill>
    <fill>
      <patternFill patternType="mediumGray">
        <fgColor indexed="22"/>
      </patternFill>
    </fill>
    <fill>
      <patternFill patternType="gray0625">
        <fgColor indexed="8"/>
      </patternFill>
    </fill>
    <fill>
      <patternFill patternType="solid">
        <fgColor rgb="FFFF0000"/>
        <bgColor indexed="64"/>
      </patternFill>
    </fill>
    <fill>
      <patternFill patternType="solid">
        <fgColor indexed="54"/>
      </patternFill>
    </fill>
    <fill>
      <patternFill patternType="solid">
        <fgColor indexed="37"/>
      </patternFill>
    </fill>
    <fill>
      <patternFill patternType="solid">
        <fgColor indexed="39"/>
      </patternFill>
    </fill>
    <fill>
      <patternFill patternType="solid">
        <fgColor rgb="FF00B0F0"/>
        <bgColor indexed="64"/>
      </patternFill>
    </fill>
    <fill>
      <patternFill patternType="solid">
        <fgColor indexed="42"/>
        <bgColor indexed="64"/>
      </patternFill>
    </fill>
    <fill>
      <patternFill patternType="solid">
        <fgColor indexed="45"/>
        <bgColor indexed="64"/>
      </patternFill>
    </fill>
    <fill>
      <patternFill patternType="solid">
        <fgColor indexed="46"/>
        <bgColor indexed="64"/>
      </patternFill>
    </fill>
    <fill>
      <patternFill patternType="solid">
        <fgColor theme="3" tint="0.79998168889431442"/>
        <bgColor indexed="64"/>
      </patternFill>
    </fill>
    <fill>
      <patternFill patternType="solid">
        <fgColor theme="6" tint="0.79998168889431442"/>
        <bgColor indexed="64"/>
      </patternFill>
    </fill>
    <fill>
      <patternFill patternType="solid">
        <fgColor theme="2"/>
        <bgColor indexed="64"/>
      </patternFill>
    </fill>
    <fill>
      <patternFill patternType="solid">
        <fgColor theme="2" tint="-0.249977111117893"/>
        <bgColor indexed="64"/>
      </patternFill>
    </fill>
    <fill>
      <patternFill patternType="solid">
        <fgColor theme="8" tint="0.39994506668294322"/>
        <bgColor indexed="64"/>
      </patternFill>
    </fill>
    <fill>
      <patternFill patternType="solid">
        <fgColor theme="9"/>
        <bgColor indexed="64"/>
      </patternFill>
    </fill>
    <fill>
      <patternFill patternType="solid">
        <fgColor theme="7" tint="0.39997558519241921"/>
        <bgColor indexed="64"/>
      </patternFill>
    </fill>
    <fill>
      <patternFill patternType="solid">
        <fgColor theme="8" tint="0.59999389629810485"/>
        <bgColor indexed="64"/>
      </patternFill>
    </fill>
    <fill>
      <patternFill patternType="solid">
        <fgColor theme="8"/>
        <bgColor indexed="64"/>
      </patternFill>
    </fill>
    <fill>
      <patternFill patternType="solid">
        <fgColor rgb="FFFFCC99"/>
      </patternFill>
    </fill>
    <fill>
      <patternFill patternType="solid">
        <fgColor rgb="FFF2F2F2"/>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4"/>
        <bgColor indexed="64"/>
      </patternFill>
    </fill>
    <fill>
      <patternFill patternType="solid">
        <fgColor indexed="47"/>
        <bgColor indexed="64"/>
      </patternFill>
    </fill>
    <fill>
      <patternFill patternType="lightTrellis">
        <fgColor rgb="FFAFAFAF"/>
        <bgColor rgb="FFEBEBEB"/>
      </patternFill>
    </fill>
    <fill>
      <patternFill patternType="solid">
        <fgColor rgb="FFEBEBEB"/>
        <bgColor indexed="64"/>
      </patternFill>
    </fill>
    <fill>
      <patternFill patternType="solid">
        <fgColor rgb="FFFFFACD"/>
        <bgColor indexed="64"/>
      </patternFill>
    </fill>
    <fill>
      <patternFill patternType="solid">
        <fgColor rgb="FFE5F2FF"/>
        <bgColor indexed="64"/>
      </patternFill>
    </fill>
    <fill>
      <patternFill patternType="solid">
        <fgColor rgb="FF00FF00"/>
        <bgColor indexed="64"/>
      </patternFill>
    </fill>
    <fill>
      <patternFill patternType="solid">
        <fgColor rgb="FFFFF2CC"/>
        <bgColor indexed="64"/>
      </patternFill>
    </fill>
    <fill>
      <patternFill patternType="solid">
        <fgColor rgb="FF0070C0"/>
        <bgColor indexed="64"/>
      </patternFill>
    </fill>
    <fill>
      <patternFill patternType="solid">
        <fgColor theme="0" tint="-4.9989318521683403E-2"/>
        <bgColor indexed="64"/>
      </patternFill>
    </fill>
    <fill>
      <patternFill patternType="solid">
        <fgColor rgb="FFFFFF00"/>
        <bgColor rgb="FF000000"/>
      </patternFill>
    </fill>
    <fill>
      <patternFill patternType="solid">
        <fgColor rgb="FFD0CECE"/>
        <bgColor rgb="FF000000"/>
      </patternFill>
    </fill>
    <fill>
      <patternFill patternType="solid">
        <fgColor rgb="FFE7E6E6"/>
        <bgColor rgb="FF000000"/>
      </patternFill>
    </fill>
    <fill>
      <patternFill patternType="solid">
        <fgColor theme="5"/>
        <bgColor indexed="64"/>
      </patternFill>
    </fill>
    <fill>
      <patternFill patternType="solid">
        <fgColor theme="0" tint="-0.249977111117893"/>
        <bgColor indexed="64"/>
      </patternFill>
    </fill>
    <fill>
      <patternFill patternType="solid">
        <fgColor rgb="FFBDD7EE"/>
        <bgColor rgb="FF000000"/>
      </patternFill>
    </fill>
    <fill>
      <patternFill patternType="solid">
        <fgColor rgb="FFCCC0DA"/>
        <bgColor rgb="FF000000"/>
      </patternFill>
    </fill>
    <fill>
      <patternFill patternType="solid">
        <fgColor theme="0" tint="-0.34998626667073579"/>
        <bgColor indexed="64"/>
      </patternFill>
    </fill>
  </fills>
  <borders count="185">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right style="medium">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top style="thin">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bottom style="thin">
        <color indexed="64"/>
      </bottom>
      <diagonal/>
    </border>
    <border>
      <left style="thin">
        <color indexed="64"/>
      </left>
      <right style="thin">
        <color indexed="64"/>
      </right>
      <top/>
      <bottom/>
      <diagonal/>
    </border>
    <border>
      <left style="thin">
        <color indexed="64"/>
      </left>
      <right/>
      <top/>
      <bottom/>
      <diagonal/>
    </border>
    <border>
      <left style="thin">
        <color indexed="64"/>
      </left>
      <right/>
      <top style="thin">
        <color indexed="64"/>
      </top>
      <bottom/>
      <diagonal/>
    </border>
    <border>
      <left/>
      <right style="thin">
        <color indexed="64"/>
      </right>
      <top/>
      <bottom/>
      <diagonal/>
    </border>
    <border>
      <left style="thin">
        <color indexed="64"/>
      </left>
      <right/>
      <top/>
      <bottom style="thin">
        <color indexed="64"/>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top style="medium">
        <color indexed="64"/>
      </top>
      <bottom style="medium">
        <color indexed="64"/>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bottom style="thick">
        <color indexed="49"/>
      </bottom>
      <diagonal/>
    </border>
    <border>
      <left/>
      <right/>
      <top style="thin">
        <color indexed="49"/>
      </top>
      <bottom style="double">
        <color indexed="49"/>
      </bottom>
      <diagonal/>
    </border>
    <border>
      <left/>
      <right/>
      <top/>
      <bottom style="thick">
        <color indexed="31"/>
      </bottom>
      <diagonal/>
    </border>
    <border>
      <left/>
      <right/>
      <top/>
      <bottom style="medium">
        <color indexed="31"/>
      </bottom>
      <diagonal/>
    </border>
    <border>
      <left style="medium">
        <color indexed="64"/>
      </left>
      <right/>
      <top style="dashed">
        <color indexed="64"/>
      </top>
      <bottom style="dashed">
        <color indexed="64"/>
      </bottom>
      <diagonal/>
    </border>
    <border>
      <left/>
      <right/>
      <top style="dashed">
        <color indexed="64"/>
      </top>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right/>
      <top style="thin">
        <color indexed="64"/>
      </top>
      <bottom/>
      <diagonal/>
    </border>
    <border>
      <left style="thin">
        <color indexed="63"/>
      </left>
      <right style="thin">
        <color indexed="63"/>
      </right>
      <top style="thin">
        <color indexed="63"/>
      </top>
      <bottom style="thin">
        <color indexed="63"/>
      </bottom>
      <diagonal/>
    </border>
    <border>
      <left/>
      <right/>
      <top style="thin">
        <color indexed="49"/>
      </top>
      <bottom style="double">
        <color indexed="49"/>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right/>
      <top style="thin">
        <color indexed="48"/>
      </top>
      <bottom style="double">
        <color indexed="48"/>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auto="1"/>
      </left>
      <right style="thin">
        <color auto="1"/>
      </right>
      <top style="thin">
        <color auto="1"/>
      </top>
      <bottom style="thin">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right/>
      <top style="thin">
        <color theme="4"/>
      </top>
      <bottom style="double">
        <color theme="4"/>
      </bottom>
      <diagonal/>
    </border>
    <border>
      <left style="thin">
        <color auto="1"/>
      </left>
      <right style="thin">
        <color auto="1"/>
      </right>
      <top style="thin">
        <color auto="1"/>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thin">
        <color indexed="63"/>
      </left>
      <right style="thin">
        <color indexed="63"/>
      </right>
      <top style="thin">
        <color indexed="63"/>
      </top>
      <bottom style="thin">
        <color indexed="63"/>
      </bottom>
      <diagonal/>
    </border>
    <border>
      <left/>
      <right/>
      <top style="thin">
        <color indexed="49"/>
      </top>
      <bottom style="double">
        <color indexed="49"/>
      </bottom>
      <diagonal/>
    </border>
    <border>
      <left/>
      <right/>
      <top style="thin">
        <color indexed="62"/>
      </top>
      <bottom style="double">
        <color indexed="62"/>
      </bottom>
      <diagonal/>
    </border>
    <border>
      <left style="thin">
        <color indexed="64"/>
      </left>
      <right style="thin">
        <color indexed="64"/>
      </right>
      <top style="thin">
        <color indexed="64"/>
      </top>
      <bottom/>
      <diagonal/>
    </border>
    <border>
      <left style="thin">
        <color indexed="63"/>
      </left>
      <right style="thin">
        <color indexed="63"/>
      </right>
      <top style="thin">
        <color indexed="63"/>
      </top>
      <bottom style="thin">
        <color indexed="63"/>
      </bottom>
      <diagonal/>
    </border>
    <border>
      <left/>
      <right/>
      <top style="thin">
        <color indexed="49"/>
      </top>
      <bottom style="double">
        <color indexed="49"/>
      </bottom>
      <diagonal/>
    </border>
    <border>
      <left/>
      <right/>
      <top style="thin">
        <color indexed="62"/>
      </top>
      <bottom style="double">
        <color indexed="62"/>
      </bottom>
      <diagonal/>
    </border>
    <border>
      <left style="medium">
        <color indexed="64"/>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thin">
        <color indexed="64"/>
      </left>
      <right/>
      <top style="thin">
        <color indexed="64"/>
      </top>
      <bottom/>
      <diagonal/>
    </border>
    <border>
      <left/>
      <right style="medium">
        <color indexed="64"/>
      </right>
      <top style="thin">
        <color indexed="64"/>
      </top>
      <bottom/>
      <diagonal/>
    </border>
    <border>
      <left/>
      <right style="medium">
        <color indexed="64"/>
      </right>
      <top/>
      <bottom style="thin">
        <color indexed="64"/>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style="medium">
        <color indexed="64"/>
      </right>
      <top style="thin">
        <color indexed="64"/>
      </top>
      <bottom/>
      <diagonal/>
    </border>
    <border>
      <left/>
      <right style="medium">
        <color indexed="64"/>
      </right>
      <top style="thin">
        <color auto="1"/>
      </top>
      <bottom style="thin">
        <color indexed="64"/>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49"/>
      </top>
      <bottom style="double">
        <color indexed="49"/>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right/>
      <top style="thin">
        <color indexed="48"/>
      </top>
      <bottom style="double">
        <color indexed="48"/>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right/>
      <top style="thin">
        <color indexed="49"/>
      </top>
      <bottom style="double">
        <color indexed="49"/>
      </bottom>
      <diagonal/>
    </border>
    <border>
      <left style="thin">
        <color indexed="64"/>
      </left>
      <right/>
      <top style="thin">
        <color indexed="64"/>
      </top>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49"/>
      </top>
      <bottom style="double">
        <color indexed="49"/>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right/>
      <top style="thin">
        <color indexed="48"/>
      </top>
      <bottom style="double">
        <color indexed="48"/>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right/>
      <top style="thin">
        <color indexed="49"/>
      </top>
      <bottom style="double">
        <color indexed="49"/>
      </bottom>
      <diagonal/>
    </border>
    <border>
      <left style="thin">
        <color indexed="64"/>
      </left>
      <right/>
      <top style="thin">
        <color indexed="64"/>
      </top>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49"/>
      </top>
      <bottom style="double">
        <color indexed="49"/>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right/>
      <top style="thin">
        <color indexed="48"/>
      </top>
      <bottom style="double">
        <color indexed="48"/>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auto="1"/>
      </left>
      <right style="thin">
        <color auto="1"/>
      </right>
      <top style="thin">
        <color auto="1"/>
      </top>
      <bottom style="thin">
        <color auto="1"/>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thin">
        <color indexed="49"/>
      </top>
      <bottom style="double">
        <color indexed="49"/>
      </bottom>
      <diagonal/>
    </border>
    <border>
      <left/>
      <right style="thin">
        <color rgb="FF000000"/>
      </right>
      <top/>
      <bottom style="thin">
        <color rgb="FF000000"/>
      </bottom>
      <diagonal/>
    </border>
    <border>
      <left/>
      <right/>
      <top style="thin">
        <color indexed="64"/>
      </top>
      <bottom style="thin">
        <color indexed="64"/>
      </bottom>
      <diagonal/>
    </border>
    <border>
      <left/>
      <right style="thick">
        <color indexed="64"/>
      </right>
      <top/>
      <bottom/>
      <diagonal/>
    </border>
    <border>
      <left/>
      <right style="thick">
        <color indexed="64"/>
      </right>
      <top style="thick">
        <color indexed="64"/>
      </top>
      <bottom/>
      <diagonal/>
    </border>
    <border>
      <left/>
      <right/>
      <top style="thick">
        <color indexed="64"/>
      </top>
      <bottom/>
      <diagonal/>
    </border>
    <border>
      <left/>
      <right/>
      <top style="thin">
        <color indexed="64"/>
      </top>
      <bottom/>
      <diagonal/>
    </border>
    <border>
      <left/>
      <right style="thick">
        <color indexed="64"/>
      </right>
      <top style="thin">
        <color indexed="64"/>
      </top>
      <bottom/>
      <diagonal/>
    </border>
    <border>
      <left/>
      <right style="thick">
        <color indexed="64"/>
      </right>
      <top/>
      <bottom style="thin">
        <color indexed="64"/>
      </bottom>
      <diagonal/>
    </border>
    <border>
      <left/>
      <right style="thick">
        <color indexed="64"/>
      </right>
      <top/>
      <bottom style="medium">
        <color indexed="64"/>
      </bottom>
      <diagonal/>
    </border>
    <border>
      <left style="thin">
        <color auto="1"/>
      </left>
      <right style="thin">
        <color auto="1"/>
      </right>
      <top style="thin">
        <color auto="1"/>
      </top>
      <bottom/>
      <diagonal/>
    </border>
    <border>
      <left style="thin">
        <color auto="1"/>
      </left>
      <right/>
      <top style="thin">
        <color auto="1"/>
      </top>
      <bottom style="thin">
        <color indexed="64"/>
      </bottom>
      <diagonal/>
    </border>
    <border>
      <left/>
      <right style="thin">
        <color auto="1"/>
      </right>
      <top style="thin">
        <color auto="1"/>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thin">
        <color auto="1"/>
      </bottom>
      <diagonal/>
    </border>
    <border>
      <left/>
      <right style="medium">
        <color indexed="64"/>
      </right>
      <top style="thin">
        <color auto="1"/>
      </top>
      <bottom style="thin">
        <color auto="1"/>
      </bottom>
      <diagonal/>
    </border>
    <border>
      <left style="thin">
        <color rgb="FF000000"/>
      </left>
      <right style="thin">
        <color rgb="FF000000"/>
      </right>
      <top style="thin">
        <color rgb="FF000000"/>
      </top>
      <bottom style="thin">
        <color rgb="FF000000"/>
      </bottom>
      <diagonal/>
    </border>
  </borders>
  <cellStyleXfs count="13827">
    <xf numFmtId="0" fontId="0" fillId="0" borderId="0"/>
    <xf numFmtId="9" fontId="2" fillId="0" borderId="0" applyFont="0" applyFill="0" applyBorder="0" applyAlignment="0" applyProtection="0"/>
    <xf numFmtId="0" fontId="24" fillId="0" borderId="0" applyNumberFormat="0" applyFill="0" applyBorder="0" applyAlignment="0" applyProtection="0"/>
    <xf numFmtId="177" fontId="2" fillId="0" borderId="0"/>
    <xf numFmtId="0" fontId="33" fillId="0" borderId="0"/>
    <xf numFmtId="0" fontId="34" fillId="34" borderId="0" applyNumberFormat="0" applyBorder="0" applyAlignment="0" applyProtection="0"/>
    <xf numFmtId="0" fontId="34" fillId="35" borderId="0" applyNumberFormat="0" applyBorder="0" applyAlignment="0" applyProtection="0"/>
    <xf numFmtId="0" fontId="34" fillId="35" borderId="0" applyNumberFormat="0" applyBorder="0" applyAlignment="0" applyProtection="0"/>
    <xf numFmtId="0" fontId="34" fillId="35" borderId="0" applyNumberFormat="0" applyBorder="0" applyAlignment="0" applyProtection="0"/>
    <xf numFmtId="0" fontId="34" fillId="35" borderId="0" applyNumberFormat="0" applyBorder="0" applyAlignment="0" applyProtection="0"/>
    <xf numFmtId="0" fontId="34" fillId="35" borderId="0" applyNumberFormat="0" applyBorder="0" applyAlignment="0" applyProtection="0"/>
    <xf numFmtId="0" fontId="34" fillId="35" borderId="0" applyNumberFormat="0" applyBorder="0" applyAlignment="0" applyProtection="0"/>
    <xf numFmtId="0" fontId="34" fillId="34" borderId="0" applyNumberFormat="0" applyBorder="0" applyAlignment="0" applyProtection="0"/>
    <xf numFmtId="0" fontId="34" fillId="35" borderId="0" applyNumberFormat="0" applyBorder="0" applyAlignment="0" applyProtection="0"/>
    <xf numFmtId="0" fontId="34" fillId="34" borderId="0" applyNumberFormat="0" applyBorder="0" applyAlignment="0" applyProtection="0"/>
    <xf numFmtId="0" fontId="34" fillId="35" borderId="0" applyNumberFormat="0" applyBorder="0" applyAlignment="0" applyProtection="0"/>
    <xf numFmtId="0" fontId="34" fillId="35" borderId="0" applyNumberFormat="0" applyBorder="0" applyAlignment="0" applyProtection="0"/>
    <xf numFmtId="0" fontId="34" fillId="35" borderId="0" applyNumberFormat="0" applyBorder="0" applyAlignment="0" applyProtection="0"/>
    <xf numFmtId="0" fontId="34" fillId="35" borderId="0" applyNumberFormat="0" applyBorder="0" applyAlignment="0" applyProtection="0"/>
    <xf numFmtId="0" fontId="34" fillId="34" borderId="0" applyNumberFormat="0" applyBorder="0" applyAlignment="0" applyProtection="0"/>
    <xf numFmtId="0" fontId="34" fillId="35" borderId="0" applyNumberFormat="0" applyBorder="0" applyAlignment="0" applyProtection="0"/>
    <xf numFmtId="0" fontId="34" fillId="34" borderId="0" applyNumberFormat="0" applyBorder="0" applyAlignment="0" applyProtection="0"/>
    <xf numFmtId="0" fontId="34" fillId="35" borderId="0" applyNumberFormat="0" applyBorder="0" applyAlignment="0" applyProtection="0"/>
    <xf numFmtId="0" fontId="34" fillId="35" borderId="0" applyNumberFormat="0" applyBorder="0" applyAlignment="0" applyProtection="0"/>
    <xf numFmtId="0" fontId="34" fillId="34" borderId="0" applyNumberFormat="0" applyBorder="0" applyAlignment="0" applyProtection="0"/>
    <xf numFmtId="0" fontId="34" fillId="35" borderId="0" applyNumberFormat="0" applyBorder="0" applyAlignment="0" applyProtection="0"/>
    <xf numFmtId="0" fontId="34" fillId="34" borderId="0" applyNumberFormat="0" applyBorder="0" applyAlignment="0" applyProtection="0"/>
    <xf numFmtId="0" fontId="34" fillId="34" borderId="0" applyNumberFormat="0" applyBorder="0" applyAlignment="0" applyProtection="0"/>
    <xf numFmtId="0" fontId="34" fillId="34" borderId="0" applyNumberFormat="0" applyBorder="0" applyAlignment="0" applyProtection="0"/>
    <xf numFmtId="0" fontId="34" fillId="34" borderId="0" applyNumberFormat="0" applyBorder="0" applyAlignment="0" applyProtection="0"/>
    <xf numFmtId="0" fontId="34" fillId="34" borderId="0" applyNumberFormat="0" applyBorder="0" applyAlignment="0" applyProtection="0"/>
    <xf numFmtId="0" fontId="34" fillId="36" borderId="0" applyNumberFormat="0" applyBorder="0" applyAlignment="0" applyProtection="0"/>
    <xf numFmtId="0" fontId="34" fillId="37" borderId="0" applyNumberFormat="0" applyBorder="0" applyAlignment="0" applyProtection="0"/>
    <xf numFmtId="0" fontId="34" fillId="37" borderId="0" applyNumberFormat="0" applyBorder="0" applyAlignment="0" applyProtection="0"/>
    <xf numFmtId="0" fontId="34" fillId="37" borderId="0" applyNumberFormat="0" applyBorder="0" applyAlignment="0" applyProtection="0"/>
    <xf numFmtId="0" fontId="34" fillId="37" borderId="0" applyNumberFormat="0" applyBorder="0" applyAlignment="0" applyProtection="0"/>
    <xf numFmtId="0" fontId="34" fillId="37" borderId="0" applyNumberFormat="0" applyBorder="0" applyAlignment="0" applyProtection="0"/>
    <xf numFmtId="0" fontId="34" fillId="37" borderId="0" applyNumberFormat="0" applyBorder="0" applyAlignment="0" applyProtection="0"/>
    <xf numFmtId="0" fontId="34" fillId="36" borderId="0" applyNumberFormat="0" applyBorder="0" applyAlignment="0" applyProtection="0"/>
    <xf numFmtId="0" fontId="34" fillId="37" borderId="0" applyNumberFormat="0" applyBorder="0" applyAlignment="0" applyProtection="0"/>
    <xf numFmtId="0" fontId="34" fillId="36" borderId="0" applyNumberFormat="0" applyBorder="0" applyAlignment="0" applyProtection="0"/>
    <xf numFmtId="0" fontId="34" fillId="37" borderId="0" applyNumberFormat="0" applyBorder="0" applyAlignment="0" applyProtection="0"/>
    <xf numFmtId="0" fontId="34" fillId="37" borderId="0" applyNumberFormat="0" applyBorder="0" applyAlignment="0" applyProtection="0"/>
    <xf numFmtId="0" fontId="34" fillId="37" borderId="0" applyNumberFormat="0" applyBorder="0" applyAlignment="0" applyProtection="0"/>
    <xf numFmtId="0" fontId="34" fillId="37" borderId="0" applyNumberFormat="0" applyBorder="0" applyAlignment="0" applyProtection="0"/>
    <xf numFmtId="0" fontId="34" fillId="36" borderId="0" applyNumberFormat="0" applyBorder="0" applyAlignment="0" applyProtection="0"/>
    <xf numFmtId="0" fontId="34" fillId="37" borderId="0" applyNumberFormat="0" applyBorder="0" applyAlignment="0" applyProtection="0"/>
    <xf numFmtId="0" fontId="34" fillId="36" borderId="0" applyNumberFormat="0" applyBorder="0" applyAlignment="0" applyProtection="0"/>
    <xf numFmtId="0" fontId="34" fillId="37" borderId="0" applyNumberFormat="0" applyBorder="0" applyAlignment="0" applyProtection="0"/>
    <xf numFmtId="0" fontId="34" fillId="37" borderId="0" applyNumberFormat="0" applyBorder="0" applyAlignment="0" applyProtection="0"/>
    <xf numFmtId="0" fontId="34" fillId="36" borderId="0" applyNumberFormat="0" applyBorder="0" applyAlignment="0" applyProtection="0"/>
    <xf numFmtId="0" fontId="34" fillId="37" borderId="0" applyNumberFormat="0" applyBorder="0" applyAlignment="0" applyProtection="0"/>
    <xf numFmtId="0" fontId="34" fillId="36" borderId="0" applyNumberFormat="0" applyBorder="0" applyAlignment="0" applyProtection="0"/>
    <xf numFmtId="0" fontId="34" fillId="36" borderId="0" applyNumberFormat="0" applyBorder="0" applyAlignment="0" applyProtection="0"/>
    <xf numFmtId="0" fontId="34" fillId="36" borderId="0" applyNumberFormat="0" applyBorder="0" applyAlignment="0" applyProtection="0"/>
    <xf numFmtId="0" fontId="34" fillId="36" borderId="0" applyNumberFormat="0" applyBorder="0" applyAlignment="0" applyProtection="0"/>
    <xf numFmtId="0" fontId="34" fillId="36" borderId="0" applyNumberFormat="0" applyBorder="0" applyAlignment="0" applyProtection="0"/>
    <xf numFmtId="0" fontId="34" fillId="38" borderId="0" applyNumberFormat="0" applyBorder="0" applyAlignment="0" applyProtection="0"/>
    <xf numFmtId="0" fontId="34" fillId="39" borderId="0" applyNumberFormat="0" applyBorder="0" applyAlignment="0" applyProtection="0"/>
    <xf numFmtId="0" fontId="34" fillId="39" borderId="0" applyNumberFormat="0" applyBorder="0" applyAlignment="0" applyProtection="0"/>
    <xf numFmtId="0" fontId="34" fillId="39" borderId="0" applyNumberFormat="0" applyBorder="0" applyAlignment="0" applyProtection="0"/>
    <xf numFmtId="0" fontId="34" fillId="39" borderId="0" applyNumberFormat="0" applyBorder="0" applyAlignment="0" applyProtection="0"/>
    <xf numFmtId="0" fontId="34" fillId="39" borderId="0" applyNumberFormat="0" applyBorder="0" applyAlignment="0" applyProtection="0"/>
    <xf numFmtId="0" fontId="34" fillId="39" borderId="0" applyNumberFormat="0" applyBorder="0" applyAlignment="0" applyProtection="0"/>
    <xf numFmtId="0" fontId="34" fillId="38" borderId="0" applyNumberFormat="0" applyBorder="0" applyAlignment="0" applyProtection="0"/>
    <xf numFmtId="0" fontId="34" fillId="39" borderId="0" applyNumberFormat="0" applyBorder="0" applyAlignment="0" applyProtection="0"/>
    <xf numFmtId="0" fontId="34" fillId="38" borderId="0" applyNumberFormat="0" applyBorder="0" applyAlignment="0" applyProtection="0"/>
    <xf numFmtId="0" fontId="34" fillId="39" borderId="0" applyNumberFormat="0" applyBorder="0" applyAlignment="0" applyProtection="0"/>
    <xf numFmtId="0" fontId="34" fillId="39" borderId="0" applyNumberFormat="0" applyBorder="0" applyAlignment="0" applyProtection="0"/>
    <xf numFmtId="0" fontId="34" fillId="39" borderId="0" applyNumberFormat="0" applyBorder="0" applyAlignment="0" applyProtection="0"/>
    <xf numFmtId="0" fontId="34" fillId="39" borderId="0" applyNumberFormat="0" applyBorder="0" applyAlignment="0" applyProtection="0"/>
    <xf numFmtId="0" fontId="34" fillId="38" borderId="0" applyNumberFormat="0" applyBorder="0" applyAlignment="0" applyProtection="0"/>
    <xf numFmtId="0" fontId="34" fillId="39" borderId="0" applyNumberFormat="0" applyBorder="0" applyAlignment="0" applyProtection="0"/>
    <xf numFmtId="0" fontId="34" fillId="38" borderId="0" applyNumberFormat="0" applyBorder="0" applyAlignment="0" applyProtection="0"/>
    <xf numFmtId="0" fontId="34" fillId="39" borderId="0" applyNumberFormat="0" applyBorder="0" applyAlignment="0" applyProtection="0"/>
    <xf numFmtId="0" fontId="34" fillId="39" borderId="0" applyNumberFormat="0" applyBorder="0" applyAlignment="0" applyProtection="0"/>
    <xf numFmtId="0" fontId="34" fillId="38" borderId="0" applyNumberFormat="0" applyBorder="0" applyAlignment="0" applyProtection="0"/>
    <xf numFmtId="0" fontId="34" fillId="39" borderId="0" applyNumberFormat="0" applyBorder="0" applyAlignment="0" applyProtection="0"/>
    <xf numFmtId="0" fontId="34" fillId="38" borderId="0" applyNumberFormat="0" applyBorder="0" applyAlignment="0" applyProtection="0"/>
    <xf numFmtId="0" fontId="34" fillId="38" borderId="0" applyNumberFormat="0" applyBorder="0" applyAlignment="0" applyProtection="0"/>
    <xf numFmtId="0" fontId="34" fillId="38" borderId="0" applyNumberFormat="0" applyBorder="0" applyAlignment="0" applyProtection="0"/>
    <xf numFmtId="0" fontId="34" fillId="38" borderId="0" applyNumberFormat="0" applyBorder="0" applyAlignment="0" applyProtection="0"/>
    <xf numFmtId="0" fontId="34" fillId="38" borderId="0" applyNumberFormat="0" applyBorder="0" applyAlignment="0" applyProtection="0"/>
    <xf numFmtId="0" fontId="34" fillId="40" borderId="0" applyNumberFormat="0" applyBorder="0" applyAlignment="0" applyProtection="0"/>
    <xf numFmtId="0" fontId="34" fillId="41" borderId="0" applyNumberFormat="0" applyBorder="0" applyAlignment="0" applyProtection="0"/>
    <xf numFmtId="0" fontId="34" fillId="41" borderId="0" applyNumberFormat="0" applyBorder="0" applyAlignment="0" applyProtection="0"/>
    <xf numFmtId="0" fontId="34" fillId="41" borderId="0" applyNumberFormat="0" applyBorder="0" applyAlignment="0" applyProtection="0"/>
    <xf numFmtId="0" fontId="34" fillId="41" borderId="0" applyNumberFormat="0" applyBorder="0" applyAlignment="0" applyProtection="0"/>
    <xf numFmtId="0" fontId="34" fillId="41" borderId="0" applyNumberFormat="0" applyBorder="0" applyAlignment="0" applyProtection="0"/>
    <xf numFmtId="0" fontId="34" fillId="41" borderId="0" applyNumberFormat="0" applyBorder="0" applyAlignment="0" applyProtection="0"/>
    <xf numFmtId="0" fontId="34" fillId="40" borderId="0" applyNumberFormat="0" applyBorder="0" applyAlignment="0" applyProtection="0"/>
    <xf numFmtId="0" fontId="34" fillId="41" borderId="0" applyNumberFormat="0" applyBorder="0" applyAlignment="0" applyProtection="0"/>
    <xf numFmtId="0" fontId="34" fillId="40" borderId="0" applyNumberFormat="0" applyBorder="0" applyAlignment="0" applyProtection="0"/>
    <xf numFmtId="0" fontId="34" fillId="41" borderId="0" applyNumberFormat="0" applyBorder="0" applyAlignment="0" applyProtection="0"/>
    <xf numFmtId="0" fontId="34" fillId="41" borderId="0" applyNumberFormat="0" applyBorder="0" applyAlignment="0" applyProtection="0"/>
    <xf numFmtId="0" fontId="34" fillId="41" borderId="0" applyNumberFormat="0" applyBorder="0" applyAlignment="0" applyProtection="0"/>
    <xf numFmtId="0" fontId="34" fillId="41" borderId="0" applyNumberFormat="0" applyBorder="0" applyAlignment="0" applyProtection="0"/>
    <xf numFmtId="0" fontId="34" fillId="40" borderId="0" applyNumberFormat="0" applyBorder="0" applyAlignment="0" applyProtection="0"/>
    <xf numFmtId="0" fontId="34" fillId="41" borderId="0" applyNumberFormat="0" applyBorder="0" applyAlignment="0" applyProtection="0"/>
    <xf numFmtId="0" fontId="34" fillId="40" borderId="0" applyNumberFormat="0" applyBorder="0" applyAlignment="0" applyProtection="0"/>
    <xf numFmtId="0" fontId="34" fillId="41" borderId="0" applyNumberFormat="0" applyBorder="0" applyAlignment="0" applyProtection="0"/>
    <xf numFmtId="0" fontId="34" fillId="41" borderId="0" applyNumberFormat="0" applyBorder="0" applyAlignment="0" applyProtection="0"/>
    <xf numFmtId="0" fontId="34" fillId="40" borderId="0" applyNumberFormat="0" applyBorder="0" applyAlignment="0" applyProtection="0"/>
    <xf numFmtId="0" fontId="34" fillId="41" borderId="0" applyNumberFormat="0" applyBorder="0" applyAlignment="0" applyProtection="0"/>
    <xf numFmtId="0" fontId="34" fillId="40" borderId="0" applyNumberFormat="0" applyBorder="0" applyAlignment="0" applyProtection="0"/>
    <xf numFmtId="0" fontId="34" fillId="40" borderId="0" applyNumberFormat="0" applyBorder="0" applyAlignment="0" applyProtection="0"/>
    <xf numFmtId="0" fontId="34" fillId="40" borderId="0" applyNumberFormat="0" applyBorder="0" applyAlignment="0" applyProtection="0"/>
    <xf numFmtId="0" fontId="34" fillId="40" borderId="0" applyNumberFormat="0" applyBorder="0" applyAlignment="0" applyProtection="0"/>
    <xf numFmtId="0" fontId="34" fillId="40" borderId="0" applyNumberFormat="0" applyBorder="0" applyAlignment="0" applyProtection="0"/>
    <xf numFmtId="0" fontId="34" fillId="42"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2" borderId="0" applyNumberFormat="0" applyBorder="0" applyAlignment="0" applyProtection="0"/>
    <xf numFmtId="0" fontId="34" fillId="43" borderId="0" applyNumberFormat="0" applyBorder="0" applyAlignment="0" applyProtection="0"/>
    <xf numFmtId="0" fontId="34" fillId="42"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2" borderId="0" applyNumberFormat="0" applyBorder="0" applyAlignment="0" applyProtection="0"/>
    <xf numFmtId="0" fontId="34" fillId="43" borderId="0" applyNumberFormat="0" applyBorder="0" applyAlignment="0" applyProtection="0"/>
    <xf numFmtId="0" fontId="34" fillId="42" borderId="0" applyNumberFormat="0" applyBorder="0" applyAlignment="0" applyProtection="0"/>
    <xf numFmtId="0" fontId="34" fillId="43" borderId="0" applyNumberFormat="0" applyBorder="0" applyAlignment="0" applyProtection="0"/>
    <xf numFmtId="0" fontId="34" fillId="43" borderId="0" applyNumberFormat="0" applyBorder="0" applyAlignment="0" applyProtection="0"/>
    <xf numFmtId="0" fontId="34" fillId="42" borderId="0" applyNumberFormat="0" applyBorder="0" applyAlignment="0" applyProtection="0"/>
    <xf numFmtId="0" fontId="34" fillId="43" borderId="0" applyNumberFormat="0" applyBorder="0" applyAlignment="0" applyProtection="0"/>
    <xf numFmtId="0" fontId="34" fillId="42" borderId="0" applyNumberFormat="0" applyBorder="0" applyAlignment="0" applyProtection="0"/>
    <xf numFmtId="0" fontId="34" fillId="42" borderId="0" applyNumberFormat="0" applyBorder="0" applyAlignment="0" applyProtection="0"/>
    <xf numFmtId="0" fontId="34" fillId="42" borderId="0" applyNumberFormat="0" applyBorder="0" applyAlignment="0" applyProtection="0"/>
    <xf numFmtId="0" fontId="34" fillId="42" borderId="0" applyNumberFormat="0" applyBorder="0" applyAlignment="0" applyProtection="0"/>
    <xf numFmtId="0" fontId="34" fillId="42" borderId="0" applyNumberFormat="0" applyBorder="0" applyAlignment="0" applyProtection="0"/>
    <xf numFmtId="0" fontId="34" fillId="44" borderId="0" applyNumberFormat="0" applyBorder="0" applyAlignment="0" applyProtection="0"/>
    <xf numFmtId="0" fontId="34" fillId="45" borderId="0" applyNumberFormat="0" applyBorder="0" applyAlignment="0" applyProtection="0"/>
    <xf numFmtId="0" fontId="34" fillId="45" borderId="0" applyNumberFormat="0" applyBorder="0" applyAlignment="0" applyProtection="0"/>
    <xf numFmtId="0" fontId="34" fillId="45" borderId="0" applyNumberFormat="0" applyBorder="0" applyAlignment="0" applyProtection="0"/>
    <xf numFmtId="0" fontId="34" fillId="45" borderId="0" applyNumberFormat="0" applyBorder="0" applyAlignment="0" applyProtection="0"/>
    <xf numFmtId="0" fontId="34" fillId="45" borderId="0" applyNumberFormat="0" applyBorder="0" applyAlignment="0" applyProtection="0"/>
    <xf numFmtId="0" fontId="34" fillId="45" borderId="0" applyNumberFormat="0" applyBorder="0" applyAlignment="0" applyProtection="0"/>
    <xf numFmtId="0" fontId="34" fillId="44" borderId="0" applyNumberFormat="0" applyBorder="0" applyAlignment="0" applyProtection="0"/>
    <xf numFmtId="192" fontId="2" fillId="33" borderId="0" applyNumberFormat="0" applyBorder="0" applyAlignment="0" applyProtection="0"/>
    <xf numFmtId="0" fontId="34" fillId="45" borderId="0" applyNumberFormat="0" applyBorder="0" applyAlignment="0" applyProtection="0"/>
    <xf numFmtId="0" fontId="2" fillId="33" borderId="0" applyNumberFormat="0" applyBorder="0" applyAlignment="0" applyProtection="0"/>
    <xf numFmtId="0" fontId="34" fillId="44" borderId="0" applyNumberFormat="0" applyBorder="0" applyAlignment="0" applyProtection="0"/>
    <xf numFmtId="192" fontId="2" fillId="33" borderId="0" applyNumberFormat="0" applyBorder="0" applyAlignment="0" applyProtection="0"/>
    <xf numFmtId="0" fontId="34" fillId="45" borderId="0" applyNumberFormat="0" applyBorder="0" applyAlignment="0" applyProtection="0"/>
    <xf numFmtId="0" fontId="34" fillId="45" borderId="0" applyNumberFormat="0" applyBorder="0" applyAlignment="0" applyProtection="0"/>
    <xf numFmtId="0" fontId="34" fillId="45" borderId="0" applyNumberFormat="0" applyBorder="0" applyAlignment="0" applyProtection="0"/>
    <xf numFmtId="0" fontId="34" fillId="45" borderId="0" applyNumberFormat="0" applyBorder="0" applyAlignment="0" applyProtection="0"/>
    <xf numFmtId="0" fontId="34" fillId="44" borderId="0" applyNumberFormat="0" applyBorder="0" applyAlignment="0" applyProtection="0"/>
    <xf numFmtId="0" fontId="34" fillId="45" borderId="0" applyNumberFormat="0" applyBorder="0" applyAlignment="0" applyProtection="0"/>
    <xf numFmtId="0" fontId="34" fillId="44" borderId="0" applyNumberFormat="0" applyBorder="0" applyAlignment="0" applyProtection="0"/>
    <xf numFmtId="192" fontId="2" fillId="33" borderId="0" applyNumberFormat="0" applyBorder="0" applyAlignment="0" applyProtection="0"/>
    <xf numFmtId="0" fontId="34" fillId="45" borderId="0" applyNumberFormat="0" applyBorder="0" applyAlignment="0" applyProtection="0"/>
    <xf numFmtId="0" fontId="34" fillId="45" borderId="0" applyNumberFormat="0" applyBorder="0" applyAlignment="0" applyProtection="0"/>
    <xf numFmtId="0" fontId="34" fillId="44" borderId="0" applyNumberFormat="0" applyBorder="0" applyAlignment="0" applyProtection="0"/>
    <xf numFmtId="0" fontId="34" fillId="45"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192" fontId="2" fillId="33" borderId="0" applyNumberFormat="0" applyBorder="0" applyAlignment="0" applyProtection="0"/>
    <xf numFmtId="192" fontId="2" fillId="33" borderId="0" applyNumberFormat="0" applyBorder="0" applyAlignment="0" applyProtection="0"/>
    <xf numFmtId="192" fontId="2" fillId="33" borderId="0" applyNumberFormat="0" applyBorder="0" applyAlignment="0" applyProtection="0"/>
    <xf numFmtId="192" fontId="2" fillId="33"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192" fontId="2" fillId="33" borderId="0" applyNumberFormat="0" applyBorder="0" applyAlignment="0" applyProtection="0"/>
    <xf numFmtId="0" fontId="34" fillId="46" borderId="0" applyNumberFormat="0" applyBorder="0" applyAlignment="0" applyProtection="0"/>
    <xf numFmtId="0" fontId="34" fillId="34"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34" fillId="37" borderId="0" applyNumberFormat="0" applyBorder="0" applyAlignment="0" applyProtection="0"/>
    <xf numFmtId="0" fontId="34" fillId="36" borderId="0" applyNumberFormat="0" applyBorder="0" applyAlignment="0" applyProtection="0"/>
    <xf numFmtId="0" fontId="34" fillId="37" borderId="0" applyNumberFormat="0" applyBorder="0" applyAlignment="0" applyProtection="0"/>
    <xf numFmtId="0" fontId="34" fillId="37" borderId="0" applyNumberFormat="0" applyBorder="0" applyAlignment="0" applyProtection="0"/>
    <xf numFmtId="0" fontId="34" fillId="39" borderId="0" applyNumberFormat="0" applyBorder="0" applyAlignment="0" applyProtection="0"/>
    <xf numFmtId="0" fontId="34" fillId="38" borderId="0" applyNumberFormat="0" applyBorder="0" applyAlignment="0" applyProtection="0"/>
    <xf numFmtId="0" fontId="34" fillId="39" borderId="0" applyNumberFormat="0" applyBorder="0" applyAlignment="0" applyProtection="0"/>
    <xf numFmtId="0" fontId="34" fillId="39" borderId="0" applyNumberFormat="0" applyBorder="0" applyAlignment="0" applyProtection="0"/>
    <xf numFmtId="0" fontId="34" fillId="47" borderId="0" applyNumberFormat="0" applyBorder="0" applyAlignment="0" applyProtection="0"/>
    <xf numFmtId="0" fontId="34" fillId="40"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8" borderId="0" applyNumberFormat="0" applyBorder="0" applyAlignment="0" applyProtection="0"/>
    <xf numFmtId="0" fontId="34" fillId="42" borderId="0" applyNumberFormat="0" applyBorder="0" applyAlignment="0" applyProtection="0"/>
    <xf numFmtId="0" fontId="34" fillId="48" borderId="0" applyNumberFormat="0" applyBorder="0" applyAlignment="0" applyProtection="0"/>
    <xf numFmtId="0" fontId="34" fillId="48" borderId="0" applyNumberFormat="0" applyBorder="0" applyAlignment="0" applyProtection="0"/>
    <xf numFmtId="0" fontId="34" fillId="49" borderId="0" applyNumberFormat="0" applyBorder="0" applyAlignment="0" applyProtection="0"/>
    <xf numFmtId="0" fontId="34" fillId="44" borderId="0" applyNumberFormat="0" applyBorder="0" applyAlignment="0" applyProtection="0"/>
    <xf numFmtId="0" fontId="34" fillId="49" borderId="0" applyNumberFormat="0" applyBorder="0" applyAlignment="0" applyProtection="0"/>
    <xf numFmtId="0" fontId="34" fillId="49" borderId="0" applyNumberFormat="0" applyBorder="0" applyAlignment="0" applyProtection="0"/>
    <xf numFmtId="0" fontId="34" fillId="34" borderId="0" applyNumberFormat="0" applyBorder="0" applyAlignment="0" applyProtection="0"/>
    <xf numFmtId="0" fontId="34" fillId="34" borderId="0" applyNumberFormat="0" applyBorder="0" applyAlignment="0" applyProtection="0"/>
    <xf numFmtId="0" fontId="34" fillId="36" borderId="0" applyNumberFormat="0" applyBorder="0" applyAlignment="0" applyProtection="0"/>
    <xf numFmtId="0" fontId="34" fillId="36" borderId="0" applyNumberFormat="0" applyBorder="0" applyAlignment="0" applyProtection="0"/>
    <xf numFmtId="0" fontId="34" fillId="38" borderId="0" applyNumberFormat="0" applyBorder="0" applyAlignment="0" applyProtection="0"/>
    <xf numFmtId="0" fontId="34" fillId="38" borderId="0" applyNumberFormat="0" applyBorder="0" applyAlignment="0" applyProtection="0"/>
    <xf numFmtId="0" fontId="34" fillId="40" borderId="0" applyNumberFormat="0" applyBorder="0" applyAlignment="0" applyProtection="0"/>
    <xf numFmtId="0" fontId="34" fillId="40" borderId="0" applyNumberFormat="0" applyBorder="0" applyAlignment="0" applyProtection="0"/>
    <xf numFmtId="0" fontId="34" fillId="42" borderId="0" applyNumberFormat="0" applyBorder="0" applyAlignment="0" applyProtection="0"/>
    <xf numFmtId="0" fontId="34" fillId="42"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50" borderId="0" applyNumberFormat="0" applyBorder="0" applyAlignment="0" applyProtection="0"/>
    <xf numFmtId="0" fontId="34" fillId="51" borderId="0" applyNumberFormat="0" applyBorder="0" applyAlignment="0" applyProtection="0"/>
    <xf numFmtId="0" fontId="34" fillId="51" borderId="0" applyNumberFormat="0" applyBorder="0" applyAlignment="0" applyProtection="0"/>
    <xf numFmtId="0" fontId="34" fillId="51" borderId="0" applyNumberFormat="0" applyBorder="0" applyAlignment="0" applyProtection="0"/>
    <xf numFmtId="0" fontId="34" fillId="51" borderId="0" applyNumberFormat="0" applyBorder="0" applyAlignment="0" applyProtection="0"/>
    <xf numFmtId="0" fontId="34" fillId="51" borderId="0" applyNumberFormat="0" applyBorder="0" applyAlignment="0" applyProtection="0"/>
    <xf numFmtId="0" fontId="34" fillId="51" borderId="0" applyNumberFormat="0" applyBorder="0" applyAlignment="0" applyProtection="0"/>
    <xf numFmtId="0" fontId="34" fillId="50" borderId="0" applyNumberFormat="0" applyBorder="0" applyAlignment="0" applyProtection="0"/>
    <xf numFmtId="0" fontId="34" fillId="51" borderId="0" applyNumberFormat="0" applyBorder="0" applyAlignment="0" applyProtection="0"/>
    <xf numFmtId="0" fontId="34" fillId="50" borderId="0" applyNumberFormat="0" applyBorder="0" applyAlignment="0" applyProtection="0"/>
    <xf numFmtId="0" fontId="34" fillId="51" borderId="0" applyNumberFormat="0" applyBorder="0" applyAlignment="0" applyProtection="0"/>
    <xf numFmtId="0" fontId="34" fillId="51" borderId="0" applyNumberFormat="0" applyBorder="0" applyAlignment="0" applyProtection="0"/>
    <xf numFmtId="0" fontId="34" fillId="51" borderId="0" applyNumberFormat="0" applyBorder="0" applyAlignment="0" applyProtection="0"/>
    <xf numFmtId="0" fontId="34" fillId="51" borderId="0" applyNumberFormat="0" applyBorder="0" applyAlignment="0" applyProtection="0"/>
    <xf numFmtId="0" fontId="34" fillId="50" borderId="0" applyNumberFormat="0" applyBorder="0" applyAlignment="0" applyProtection="0"/>
    <xf numFmtId="0" fontId="34" fillId="51" borderId="0" applyNumberFormat="0" applyBorder="0" applyAlignment="0" applyProtection="0"/>
    <xf numFmtId="0" fontId="34" fillId="50" borderId="0" applyNumberFormat="0" applyBorder="0" applyAlignment="0" applyProtection="0"/>
    <xf numFmtId="0" fontId="34" fillId="51" borderId="0" applyNumberFormat="0" applyBorder="0" applyAlignment="0" applyProtection="0"/>
    <xf numFmtId="0" fontId="34" fillId="51" borderId="0" applyNumberFormat="0" applyBorder="0" applyAlignment="0" applyProtection="0"/>
    <xf numFmtId="0" fontId="34" fillId="50" borderId="0" applyNumberFormat="0" applyBorder="0" applyAlignment="0" applyProtection="0"/>
    <xf numFmtId="0" fontId="34" fillId="51" borderId="0" applyNumberFormat="0" applyBorder="0" applyAlignment="0" applyProtection="0"/>
    <xf numFmtId="0" fontId="34" fillId="50" borderId="0" applyNumberFormat="0" applyBorder="0" applyAlignment="0" applyProtection="0"/>
    <xf numFmtId="0" fontId="34" fillId="50" borderId="0" applyNumberFormat="0" applyBorder="0" applyAlignment="0" applyProtection="0"/>
    <xf numFmtId="0" fontId="34" fillId="50" borderId="0" applyNumberFormat="0" applyBorder="0" applyAlignment="0" applyProtection="0"/>
    <xf numFmtId="0" fontId="34" fillId="50" borderId="0" applyNumberFormat="0" applyBorder="0" applyAlignment="0" applyProtection="0"/>
    <xf numFmtId="0" fontId="34" fillId="50" borderId="0" applyNumberFormat="0" applyBorder="0" applyAlignment="0" applyProtection="0"/>
    <xf numFmtId="0" fontId="34" fillId="52"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2" borderId="0" applyNumberFormat="0" applyBorder="0" applyAlignment="0" applyProtection="0"/>
    <xf numFmtId="0" fontId="34" fillId="53" borderId="0" applyNumberFormat="0" applyBorder="0" applyAlignment="0" applyProtection="0"/>
    <xf numFmtId="0" fontId="34" fillId="52"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2" borderId="0" applyNumberFormat="0" applyBorder="0" applyAlignment="0" applyProtection="0"/>
    <xf numFmtId="0" fontId="34" fillId="53" borderId="0" applyNumberFormat="0" applyBorder="0" applyAlignment="0" applyProtection="0"/>
    <xf numFmtId="0" fontId="34" fillId="52"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2" borderId="0" applyNumberFormat="0" applyBorder="0" applyAlignment="0" applyProtection="0"/>
    <xf numFmtId="0" fontId="34" fillId="53"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4"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4" borderId="0" applyNumberFormat="0" applyBorder="0" applyAlignment="0" applyProtection="0"/>
    <xf numFmtId="0" fontId="34" fillId="55" borderId="0" applyNumberFormat="0" applyBorder="0" applyAlignment="0" applyProtection="0"/>
    <xf numFmtId="0" fontId="34" fillId="54"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4" borderId="0" applyNumberFormat="0" applyBorder="0" applyAlignment="0" applyProtection="0"/>
    <xf numFmtId="0" fontId="34" fillId="55" borderId="0" applyNumberFormat="0" applyBorder="0" applyAlignment="0" applyProtection="0"/>
    <xf numFmtId="0" fontId="34" fillId="54"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54" borderId="0" applyNumberFormat="0" applyBorder="0" applyAlignment="0" applyProtection="0"/>
    <xf numFmtId="0" fontId="34" fillId="55"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40" borderId="0" applyNumberFormat="0" applyBorder="0" applyAlignment="0" applyProtection="0"/>
    <xf numFmtId="0" fontId="34" fillId="41" borderId="0" applyNumberFormat="0" applyBorder="0" applyAlignment="0" applyProtection="0"/>
    <xf numFmtId="0" fontId="34" fillId="41" borderId="0" applyNumberFormat="0" applyBorder="0" applyAlignment="0" applyProtection="0"/>
    <xf numFmtId="0" fontId="34" fillId="41" borderId="0" applyNumberFormat="0" applyBorder="0" applyAlignment="0" applyProtection="0"/>
    <xf numFmtId="0" fontId="34" fillId="41" borderId="0" applyNumberFormat="0" applyBorder="0" applyAlignment="0" applyProtection="0"/>
    <xf numFmtId="0" fontId="34" fillId="41" borderId="0" applyNumberFormat="0" applyBorder="0" applyAlignment="0" applyProtection="0"/>
    <xf numFmtId="0" fontId="34" fillId="41" borderId="0" applyNumberFormat="0" applyBorder="0" applyAlignment="0" applyProtection="0"/>
    <xf numFmtId="0" fontId="34" fillId="40" borderId="0" applyNumberFormat="0" applyBorder="0" applyAlignment="0" applyProtection="0"/>
    <xf numFmtId="0" fontId="34" fillId="41" borderId="0" applyNumberFormat="0" applyBorder="0" applyAlignment="0" applyProtection="0"/>
    <xf numFmtId="0" fontId="34" fillId="40" borderId="0" applyNumberFormat="0" applyBorder="0" applyAlignment="0" applyProtection="0"/>
    <xf numFmtId="0" fontId="34" fillId="41" borderId="0" applyNumberFormat="0" applyBorder="0" applyAlignment="0" applyProtection="0"/>
    <xf numFmtId="0" fontId="34" fillId="41" borderId="0" applyNumberFormat="0" applyBorder="0" applyAlignment="0" applyProtection="0"/>
    <xf numFmtId="0" fontId="34" fillId="41" borderId="0" applyNumberFormat="0" applyBorder="0" applyAlignment="0" applyProtection="0"/>
    <xf numFmtId="0" fontId="34" fillId="41" borderId="0" applyNumberFormat="0" applyBorder="0" applyAlignment="0" applyProtection="0"/>
    <xf numFmtId="0" fontId="34" fillId="40" borderId="0" applyNumberFormat="0" applyBorder="0" applyAlignment="0" applyProtection="0"/>
    <xf numFmtId="0" fontId="34" fillId="41" borderId="0" applyNumberFormat="0" applyBorder="0" applyAlignment="0" applyProtection="0"/>
    <xf numFmtId="0" fontId="34" fillId="40" borderId="0" applyNumberFormat="0" applyBorder="0" applyAlignment="0" applyProtection="0"/>
    <xf numFmtId="0" fontId="34" fillId="41" borderId="0" applyNumberFormat="0" applyBorder="0" applyAlignment="0" applyProtection="0"/>
    <xf numFmtId="0" fontId="34" fillId="41" borderId="0" applyNumberFormat="0" applyBorder="0" applyAlignment="0" applyProtection="0"/>
    <xf numFmtId="0" fontId="34" fillId="40" borderId="0" applyNumberFormat="0" applyBorder="0" applyAlignment="0" applyProtection="0"/>
    <xf numFmtId="0" fontId="34" fillId="41" borderId="0" applyNumberFormat="0" applyBorder="0" applyAlignment="0" applyProtection="0"/>
    <xf numFmtId="0" fontId="34" fillId="40" borderId="0" applyNumberFormat="0" applyBorder="0" applyAlignment="0" applyProtection="0"/>
    <xf numFmtId="0" fontId="34" fillId="40" borderId="0" applyNumberFormat="0" applyBorder="0" applyAlignment="0" applyProtection="0"/>
    <xf numFmtId="0" fontId="34" fillId="40" borderId="0" applyNumberFormat="0" applyBorder="0" applyAlignment="0" applyProtection="0"/>
    <xf numFmtId="0" fontId="34" fillId="40" borderId="0" applyNumberFormat="0" applyBorder="0" applyAlignment="0" applyProtection="0"/>
    <xf numFmtId="0" fontId="34" fillId="40" borderId="0" applyNumberFormat="0" applyBorder="0" applyAlignment="0" applyProtection="0"/>
    <xf numFmtId="0" fontId="34" fillId="50" borderId="0" applyNumberFormat="0" applyBorder="0" applyAlignment="0" applyProtection="0"/>
    <xf numFmtId="0" fontId="34" fillId="51" borderId="0" applyNumberFormat="0" applyBorder="0" applyAlignment="0" applyProtection="0"/>
    <xf numFmtId="0" fontId="34" fillId="51" borderId="0" applyNumberFormat="0" applyBorder="0" applyAlignment="0" applyProtection="0"/>
    <xf numFmtId="0" fontId="34" fillId="51" borderId="0" applyNumberFormat="0" applyBorder="0" applyAlignment="0" applyProtection="0"/>
    <xf numFmtId="0" fontId="34" fillId="51" borderId="0" applyNumberFormat="0" applyBorder="0" applyAlignment="0" applyProtection="0"/>
    <xf numFmtId="0" fontId="34" fillId="51" borderId="0" applyNumberFormat="0" applyBorder="0" applyAlignment="0" applyProtection="0"/>
    <xf numFmtId="0" fontId="34" fillId="51" borderId="0" applyNumberFormat="0" applyBorder="0" applyAlignment="0" applyProtection="0"/>
    <xf numFmtId="0" fontId="34" fillId="50" borderId="0" applyNumberFormat="0" applyBorder="0" applyAlignment="0" applyProtection="0"/>
    <xf numFmtId="0" fontId="34" fillId="51" borderId="0" applyNumberFormat="0" applyBorder="0" applyAlignment="0" applyProtection="0"/>
    <xf numFmtId="0" fontId="34" fillId="50" borderId="0" applyNumberFormat="0" applyBorder="0" applyAlignment="0" applyProtection="0"/>
    <xf numFmtId="0" fontId="34" fillId="51" borderId="0" applyNumberFormat="0" applyBorder="0" applyAlignment="0" applyProtection="0"/>
    <xf numFmtId="0" fontId="34" fillId="51" borderId="0" applyNumberFormat="0" applyBorder="0" applyAlignment="0" applyProtection="0"/>
    <xf numFmtId="0" fontId="34" fillId="51" borderId="0" applyNumberFormat="0" applyBorder="0" applyAlignment="0" applyProtection="0"/>
    <xf numFmtId="0" fontId="34" fillId="51" borderId="0" applyNumberFormat="0" applyBorder="0" applyAlignment="0" applyProtection="0"/>
    <xf numFmtId="0" fontId="34" fillId="50" borderId="0" applyNumberFormat="0" applyBorder="0" applyAlignment="0" applyProtection="0"/>
    <xf numFmtId="0" fontId="34" fillId="51" borderId="0" applyNumberFormat="0" applyBorder="0" applyAlignment="0" applyProtection="0"/>
    <xf numFmtId="0" fontId="34" fillId="50" borderId="0" applyNumberFormat="0" applyBorder="0" applyAlignment="0" applyProtection="0"/>
    <xf numFmtId="0" fontId="34" fillId="51" borderId="0" applyNumberFormat="0" applyBorder="0" applyAlignment="0" applyProtection="0"/>
    <xf numFmtId="0" fontId="34" fillId="51" borderId="0" applyNumberFormat="0" applyBorder="0" applyAlignment="0" applyProtection="0"/>
    <xf numFmtId="0" fontId="34" fillId="50" borderId="0" applyNumberFormat="0" applyBorder="0" applyAlignment="0" applyProtection="0"/>
    <xf numFmtId="0" fontId="34" fillId="51" borderId="0" applyNumberFormat="0" applyBorder="0" applyAlignment="0" applyProtection="0"/>
    <xf numFmtId="0" fontId="34" fillId="50" borderId="0" applyNumberFormat="0" applyBorder="0" applyAlignment="0" applyProtection="0"/>
    <xf numFmtId="0" fontId="34" fillId="50" borderId="0" applyNumberFormat="0" applyBorder="0" applyAlignment="0" applyProtection="0"/>
    <xf numFmtId="0" fontId="34" fillId="50" borderId="0" applyNumberFormat="0" applyBorder="0" applyAlignment="0" applyProtection="0"/>
    <xf numFmtId="0" fontId="34" fillId="50" borderId="0" applyNumberFormat="0" applyBorder="0" applyAlignment="0" applyProtection="0"/>
    <xf numFmtId="0" fontId="34" fillId="50" borderId="0" applyNumberFormat="0" applyBorder="0" applyAlignment="0" applyProtection="0"/>
    <xf numFmtId="0" fontId="34" fillId="56" borderId="0" applyNumberFormat="0" applyBorder="0" applyAlignment="0" applyProtection="0"/>
    <xf numFmtId="0" fontId="34" fillId="57" borderId="0" applyNumberFormat="0" applyBorder="0" applyAlignment="0" applyProtection="0"/>
    <xf numFmtId="0" fontId="34" fillId="57" borderId="0" applyNumberFormat="0" applyBorder="0" applyAlignment="0" applyProtection="0"/>
    <xf numFmtId="0" fontId="34" fillId="57" borderId="0" applyNumberFormat="0" applyBorder="0" applyAlignment="0" applyProtection="0"/>
    <xf numFmtId="0" fontId="34" fillId="57" borderId="0" applyNumberFormat="0" applyBorder="0" applyAlignment="0" applyProtection="0"/>
    <xf numFmtId="0" fontId="34" fillId="57" borderId="0" applyNumberFormat="0" applyBorder="0" applyAlignment="0" applyProtection="0"/>
    <xf numFmtId="0" fontId="34" fillId="57" borderId="0" applyNumberFormat="0" applyBorder="0" applyAlignment="0" applyProtection="0"/>
    <xf numFmtId="0" fontId="34" fillId="56" borderId="0" applyNumberFormat="0" applyBorder="0" applyAlignment="0" applyProtection="0"/>
    <xf numFmtId="0" fontId="34" fillId="57" borderId="0" applyNumberFormat="0" applyBorder="0" applyAlignment="0" applyProtection="0"/>
    <xf numFmtId="0" fontId="34" fillId="56" borderId="0" applyNumberFormat="0" applyBorder="0" applyAlignment="0" applyProtection="0"/>
    <xf numFmtId="0" fontId="34" fillId="57" borderId="0" applyNumberFormat="0" applyBorder="0" applyAlignment="0" applyProtection="0"/>
    <xf numFmtId="0" fontId="34" fillId="57" borderId="0" applyNumberFormat="0" applyBorder="0" applyAlignment="0" applyProtection="0"/>
    <xf numFmtId="0" fontId="34" fillId="57" borderId="0" applyNumberFormat="0" applyBorder="0" applyAlignment="0" applyProtection="0"/>
    <xf numFmtId="0" fontId="34" fillId="57" borderId="0" applyNumberFormat="0" applyBorder="0" applyAlignment="0" applyProtection="0"/>
    <xf numFmtId="0" fontId="34" fillId="56" borderId="0" applyNumberFormat="0" applyBorder="0" applyAlignment="0" applyProtection="0"/>
    <xf numFmtId="0" fontId="34" fillId="57" borderId="0" applyNumberFormat="0" applyBorder="0" applyAlignment="0" applyProtection="0"/>
    <xf numFmtId="0" fontId="34" fillId="56" borderId="0" applyNumberFormat="0" applyBorder="0" applyAlignment="0" applyProtection="0"/>
    <xf numFmtId="0" fontId="34" fillId="57" borderId="0" applyNumberFormat="0" applyBorder="0" applyAlignment="0" applyProtection="0"/>
    <xf numFmtId="0" fontId="34" fillId="57" borderId="0" applyNumberFormat="0" applyBorder="0" applyAlignment="0" applyProtection="0"/>
    <xf numFmtId="0" fontId="34" fillId="56" borderId="0" applyNumberFormat="0" applyBorder="0" applyAlignment="0" applyProtection="0"/>
    <xf numFmtId="0" fontId="34" fillId="57" borderId="0" applyNumberFormat="0" applyBorder="0" applyAlignment="0" applyProtection="0"/>
    <xf numFmtId="0" fontId="34" fillId="56" borderId="0" applyNumberFormat="0" applyBorder="0" applyAlignment="0" applyProtection="0"/>
    <xf numFmtId="0" fontId="34" fillId="56" borderId="0" applyNumberFormat="0" applyBorder="0" applyAlignment="0" applyProtection="0"/>
    <xf numFmtId="0" fontId="34" fillId="56" borderId="0" applyNumberFormat="0" applyBorder="0" applyAlignment="0" applyProtection="0"/>
    <xf numFmtId="0" fontId="34" fillId="56" borderId="0" applyNumberFormat="0" applyBorder="0" applyAlignment="0" applyProtection="0"/>
    <xf numFmtId="0" fontId="34" fillId="56" borderId="0" applyNumberFormat="0" applyBorder="0" applyAlignment="0" applyProtection="0"/>
    <xf numFmtId="0" fontId="34" fillId="58" borderId="0" applyNumberFormat="0" applyBorder="0" applyAlignment="0" applyProtection="0"/>
    <xf numFmtId="0" fontId="34" fillId="50" borderId="0" applyNumberFormat="0" applyBorder="0" applyAlignment="0" applyProtection="0"/>
    <xf numFmtId="0" fontId="34" fillId="58" borderId="0" applyNumberFormat="0" applyBorder="0" applyAlignment="0" applyProtection="0"/>
    <xf numFmtId="0" fontId="34" fillId="58" borderId="0" applyNumberFormat="0" applyBorder="0" applyAlignment="0" applyProtection="0"/>
    <xf numFmtId="0" fontId="34" fillId="53" borderId="0" applyNumberFormat="0" applyBorder="0" applyAlignment="0" applyProtection="0"/>
    <xf numFmtId="0" fontId="34" fillId="52" borderId="0" applyNumberFormat="0" applyBorder="0" applyAlignment="0" applyProtection="0"/>
    <xf numFmtId="0" fontId="34" fillId="53" borderId="0" applyNumberFormat="0" applyBorder="0" applyAlignment="0" applyProtection="0"/>
    <xf numFmtId="0" fontId="34" fillId="53" borderId="0" applyNumberFormat="0" applyBorder="0" applyAlignment="0" applyProtection="0"/>
    <xf numFmtId="0" fontId="34" fillId="55" borderId="0" applyNumberFormat="0" applyBorder="0" applyAlignment="0" applyProtection="0"/>
    <xf numFmtId="0" fontId="34" fillId="54" borderId="0" applyNumberFormat="0" applyBorder="0" applyAlignment="0" applyProtection="0"/>
    <xf numFmtId="0" fontId="34" fillId="55" borderId="0" applyNumberFormat="0" applyBorder="0" applyAlignment="0" applyProtection="0"/>
    <xf numFmtId="0" fontId="34" fillId="55" borderId="0" applyNumberFormat="0" applyBorder="0" applyAlignment="0" applyProtection="0"/>
    <xf numFmtId="0" fontId="34" fillId="47" borderId="0" applyNumberFormat="0" applyBorder="0" applyAlignment="0" applyProtection="0"/>
    <xf numFmtId="0" fontId="34" fillId="40"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58" borderId="0" applyNumberFormat="0" applyBorder="0" applyAlignment="0" applyProtection="0"/>
    <xf numFmtId="0" fontId="34" fillId="50" borderId="0" applyNumberFormat="0" applyBorder="0" applyAlignment="0" applyProtection="0"/>
    <xf numFmtId="0" fontId="34" fillId="58" borderId="0" applyNumberFormat="0" applyBorder="0" applyAlignment="0" applyProtection="0"/>
    <xf numFmtId="0" fontId="34" fillId="58" borderId="0" applyNumberFormat="0" applyBorder="0" applyAlignment="0" applyProtection="0"/>
    <xf numFmtId="0" fontId="34" fillId="57" borderId="0" applyNumberFormat="0" applyBorder="0" applyAlignment="0" applyProtection="0"/>
    <xf numFmtId="0" fontId="34" fillId="56" borderId="0" applyNumberFormat="0" applyBorder="0" applyAlignment="0" applyProtection="0"/>
    <xf numFmtId="0" fontId="34" fillId="57" borderId="0" applyNumberFormat="0" applyBorder="0" applyAlignment="0" applyProtection="0"/>
    <xf numFmtId="0" fontId="34" fillId="57" borderId="0" applyNumberFormat="0" applyBorder="0" applyAlignment="0" applyProtection="0"/>
    <xf numFmtId="0" fontId="34" fillId="50" borderId="0" applyNumberFormat="0" applyBorder="0" applyAlignment="0" applyProtection="0"/>
    <xf numFmtId="0" fontId="34" fillId="50"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40" borderId="0" applyNumberFormat="0" applyBorder="0" applyAlignment="0" applyProtection="0"/>
    <xf numFmtId="0" fontId="34" fillId="40" borderId="0" applyNumberFormat="0" applyBorder="0" applyAlignment="0" applyProtection="0"/>
    <xf numFmtId="0" fontId="34" fillId="50" borderId="0" applyNumberFormat="0" applyBorder="0" applyAlignment="0" applyProtection="0"/>
    <xf numFmtId="0" fontId="34" fillId="50" borderId="0" applyNumberFormat="0" applyBorder="0" applyAlignment="0" applyProtection="0"/>
    <xf numFmtId="0" fontId="34" fillId="56" borderId="0" applyNumberFormat="0" applyBorder="0" applyAlignment="0" applyProtection="0"/>
    <xf numFmtId="0" fontId="34" fillId="56" borderId="0" applyNumberFormat="0" applyBorder="0" applyAlignment="0" applyProtection="0"/>
    <xf numFmtId="0" fontId="36" fillId="59" borderId="0" applyNumberFormat="0" applyBorder="0" applyAlignment="0" applyProtection="0"/>
    <xf numFmtId="0" fontId="36" fillId="60" borderId="0" applyNumberFormat="0" applyBorder="0" applyAlignment="0" applyProtection="0"/>
    <xf numFmtId="0" fontId="36" fillId="60" borderId="0" applyNumberFormat="0" applyBorder="0" applyAlignment="0" applyProtection="0"/>
    <xf numFmtId="0" fontId="36" fillId="60" borderId="0" applyNumberFormat="0" applyBorder="0" applyAlignment="0" applyProtection="0"/>
    <xf numFmtId="0" fontId="36" fillId="59" borderId="0" applyNumberFormat="0" applyBorder="0" applyAlignment="0" applyProtection="0"/>
    <xf numFmtId="0" fontId="36" fillId="60" borderId="0" applyNumberFormat="0" applyBorder="0" applyAlignment="0" applyProtection="0"/>
    <xf numFmtId="0" fontId="36" fillId="60" borderId="0" applyNumberFormat="0" applyBorder="0" applyAlignment="0" applyProtection="0"/>
    <xf numFmtId="0" fontId="36" fillId="59" borderId="0" applyNumberFormat="0" applyBorder="0" applyAlignment="0" applyProtection="0"/>
    <xf numFmtId="0" fontId="36" fillId="60" borderId="0" applyNumberFormat="0" applyBorder="0" applyAlignment="0" applyProtection="0"/>
    <xf numFmtId="0" fontId="36" fillId="60" borderId="0" applyNumberFormat="0" applyBorder="0" applyAlignment="0" applyProtection="0"/>
    <xf numFmtId="0" fontId="36" fillId="59" borderId="0" applyNumberFormat="0" applyBorder="0" applyAlignment="0" applyProtection="0"/>
    <xf numFmtId="0" fontId="36" fillId="59" borderId="0" applyNumberFormat="0" applyBorder="0" applyAlignment="0" applyProtection="0"/>
    <xf numFmtId="0" fontId="36" fillId="59" borderId="0" applyNumberFormat="0" applyBorder="0" applyAlignment="0" applyProtection="0"/>
    <xf numFmtId="0" fontId="36" fillId="59" borderId="0" applyNumberFormat="0" applyBorder="0" applyAlignment="0" applyProtection="0"/>
    <xf numFmtId="0" fontId="36" fillId="52" borderId="0" applyNumberFormat="0" applyBorder="0" applyAlignment="0" applyProtection="0"/>
    <xf numFmtId="0" fontId="36" fillId="53" borderId="0" applyNumberFormat="0" applyBorder="0" applyAlignment="0" applyProtection="0"/>
    <xf numFmtId="0" fontId="36" fillId="53" borderId="0" applyNumberFormat="0" applyBorder="0" applyAlignment="0" applyProtection="0"/>
    <xf numFmtId="0" fontId="36" fillId="53" borderId="0" applyNumberFormat="0" applyBorder="0" applyAlignment="0" applyProtection="0"/>
    <xf numFmtId="0" fontId="36" fillId="52" borderId="0" applyNumberFormat="0" applyBorder="0" applyAlignment="0" applyProtection="0"/>
    <xf numFmtId="0" fontId="36" fillId="53" borderId="0" applyNumberFormat="0" applyBorder="0" applyAlignment="0" applyProtection="0"/>
    <xf numFmtId="0" fontId="36" fillId="53" borderId="0" applyNumberFormat="0" applyBorder="0" applyAlignment="0" applyProtection="0"/>
    <xf numFmtId="0" fontId="36" fillId="52" borderId="0" applyNumberFormat="0" applyBorder="0" applyAlignment="0" applyProtection="0"/>
    <xf numFmtId="0" fontId="36" fillId="53" borderId="0" applyNumberFormat="0" applyBorder="0" applyAlignment="0" applyProtection="0"/>
    <xf numFmtId="0" fontId="36" fillId="53"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4" borderId="0" applyNumberFormat="0" applyBorder="0" applyAlignment="0" applyProtection="0"/>
    <xf numFmtId="0" fontId="36" fillId="55" borderId="0" applyNumberFormat="0" applyBorder="0" applyAlignment="0" applyProtection="0"/>
    <xf numFmtId="0" fontId="36" fillId="55" borderId="0" applyNumberFormat="0" applyBorder="0" applyAlignment="0" applyProtection="0"/>
    <xf numFmtId="0" fontId="36" fillId="55" borderId="0" applyNumberFormat="0" applyBorder="0" applyAlignment="0" applyProtection="0"/>
    <xf numFmtId="0" fontId="36" fillId="54" borderId="0" applyNumberFormat="0" applyBorder="0" applyAlignment="0" applyProtection="0"/>
    <xf numFmtId="0" fontId="36" fillId="55" borderId="0" applyNumberFormat="0" applyBorder="0" applyAlignment="0" applyProtection="0"/>
    <xf numFmtId="0" fontId="36" fillId="55" borderId="0" applyNumberFormat="0" applyBorder="0" applyAlignment="0" applyProtection="0"/>
    <xf numFmtId="0" fontId="36" fillId="54" borderId="0" applyNumberFormat="0" applyBorder="0" applyAlignment="0" applyProtection="0"/>
    <xf numFmtId="0" fontId="36" fillId="55" borderId="0" applyNumberFormat="0" applyBorder="0" applyAlignment="0" applyProtection="0"/>
    <xf numFmtId="0" fontId="36" fillId="55" borderId="0" applyNumberFormat="0" applyBorder="0" applyAlignment="0" applyProtection="0"/>
    <xf numFmtId="0" fontId="36" fillId="54" borderId="0" applyNumberFormat="0" applyBorder="0" applyAlignment="0" applyProtection="0"/>
    <xf numFmtId="0" fontId="36" fillId="54" borderId="0" applyNumberFormat="0" applyBorder="0" applyAlignment="0" applyProtection="0"/>
    <xf numFmtId="0" fontId="36" fillId="54" borderId="0" applyNumberFormat="0" applyBorder="0" applyAlignment="0" applyProtection="0"/>
    <xf numFmtId="0" fontId="36" fillId="54" borderId="0" applyNumberFormat="0" applyBorder="0" applyAlignment="0" applyProtection="0"/>
    <xf numFmtId="0" fontId="36" fillId="61" borderId="0" applyNumberFormat="0" applyBorder="0" applyAlignment="0" applyProtection="0"/>
    <xf numFmtId="0" fontId="36" fillId="62" borderId="0" applyNumberFormat="0" applyBorder="0" applyAlignment="0" applyProtection="0"/>
    <xf numFmtId="0" fontId="36" fillId="62" borderId="0" applyNumberFormat="0" applyBorder="0" applyAlignment="0" applyProtection="0"/>
    <xf numFmtId="0" fontId="36" fillId="62" borderId="0" applyNumberFormat="0" applyBorder="0" applyAlignment="0" applyProtection="0"/>
    <xf numFmtId="0" fontId="36" fillId="61" borderId="0" applyNumberFormat="0" applyBorder="0" applyAlignment="0" applyProtection="0"/>
    <xf numFmtId="0" fontId="36" fillId="62" borderId="0" applyNumberFormat="0" applyBorder="0" applyAlignment="0" applyProtection="0"/>
    <xf numFmtId="0" fontId="36" fillId="62" borderId="0" applyNumberFormat="0" applyBorder="0" applyAlignment="0" applyProtection="0"/>
    <xf numFmtId="0" fontId="36" fillId="61" borderId="0" applyNumberFormat="0" applyBorder="0" applyAlignment="0" applyProtection="0"/>
    <xf numFmtId="0" fontId="36" fillId="62" borderId="0" applyNumberFormat="0" applyBorder="0" applyAlignment="0" applyProtection="0"/>
    <xf numFmtId="0" fontId="36" fillId="62" borderId="0" applyNumberFormat="0" applyBorder="0" applyAlignment="0" applyProtection="0"/>
    <xf numFmtId="0" fontId="36" fillId="61" borderId="0" applyNumberFormat="0" applyBorder="0" applyAlignment="0" applyProtection="0"/>
    <xf numFmtId="0" fontId="36" fillId="61" borderId="0" applyNumberFormat="0" applyBorder="0" applyAlignment="0" applyProtection="0"/>
    <xf numFmtId="0" fontId="36" fillId="61" borderId="0" applyNumberFormat="0" applyBorder="0" applyAlignment="0" applyProtection="0"/>
    <xf numFmtId="0" fontId="36" fillId="61" borderId="0" applyNumberFormat="0" applyBorder="0" applyAlignment="0" applyProtection="0"/>
    <xf numFmtId="0" fontId="36" fillId="63" borderId="0" applyNumberFormat="0" applyBorder="0" applyAlignment="0" applyProtection="0"/>
    <xf numFmtId="0" fontId="36" fillId="64" borderId="0" applyNumberFormat="0" applyBorder="0" applyAlignment="0" applyProtection="0"/>
    <xf numFmtId="0" fontId="36" fillId="64" borderId="0" applyNumberFormat="0" applyBorder="0" applyAlignment="0" applyProtection="0"/>
    <xf numFmtId="0" fontId="36" fillId="64" borderId="0" applyNumberFormat="0" applyBorder="0" applyAlignment="0" applyProtection="0"/>
    <xf numFmtId="0" fontId="36" fillId="63" borderId="0" applyNumberFormat="0" applyBorder="0" applyAlignment="0" applyProtection="0"/>
    <xf numFmtId="0" fontId="36" fillId="64" borderId="0" applyNumberFormat="0" applyBorder="0" applyAlignment="0" applyProtection="0"/>
    <xf numFmtId="0" fontId="36" fillId="64" borderId="0" applyNumberFormat="0" applyBorder="0" applyAlignment="0" applyProtection="0"/>
    <xf numFmtId="0" fontId="36" fillId="63" borderId="0" applyNumberFormat="0" applyBorder="0" applyAlignment="0" applyProtection="0"/>
    <xf numFmtId="0" fontId="36" fillId="64" borderId="0" applyNumberFormat="0" applyBorder="0" applyAlignment="0" applyProtection="0"/>
    <xf numFmtId="0" fontId="36" fillId="64" borderId="0" applyNumberFormat="0" applyBorder="0" applyAlignment="0" applyProtection="0"/>
    <xf numFmtId="0" fontId="36" fillId="63" borderId="0" applyNumberFormat="0" applyBorder="0" applyAlignment="0" applyProtection="0"/>
    <xf numFmtId="0" fontId="36" fillId="63" borderId="0" applyNumberFormat="0" applyBorder="0" applyAlignment="0" applyProtection="0"/>
    <xf numFmtId="0" fontId="36" fillId="63" borderId="0" applyNumberFormat="0" applyBorder="0" applyAlignment="0" applyProtection="0"/>
    <xf numFmtId="0" fontId="36" fillId="63" borderId="0" applyNumberFormat="0" applyBorder="0" applyAlignment="0" applyProtection="0"/>
    <xf numFmtId="0" fontId="36" fillId="65" borderId="0" applyNumberFormat="0" applyBorder="0" applyAlignment="0" applyProtection="0"/>
    <xf numFmtId="0" fontId="36" fillId="66" borderId="0" applyNumberFormat="0" applyBorder="0" applyAlignment="0" applyProtection="0"/>
    <xf numFmtId="0" fontId="36" fillId="66" borderId="0" applyNumberFormat="0" applyBorder="0" applyAlignment="0" applyProtection="0"/>
    <xf numFmtId="0" fontId="36" fillId="66" borderId="0" applyNumberFormat="0" applyBorder="0" applyAlignment="0" applyProtection="0"/>
    <xf numFmtId="0" fontId="36" fillId="65" borderId="0" applyNumberFormat="0" applyBorder="0" applyAlignment="0" applyProtection="0"/>
    <xf numFmtId="0" fontId="36" fillId="66" borderId="0" applyNumberFormat="0" applyBorder="0" applyAlignment="0" applyProtection="0"/>
    <xf numFmtId="0" fontId="36" fillId="66" borderId="0" applyNumberFormat="0" applyBorder="0" applyAlignment="0" applyProtection="0"/>
    <xf numFmtId="0" fontId="36" fillId="65" borderId="0" applyNumberFormat="0" applyBorder="0" applyAlignment="0" applyProtection="0"/>
    <xf numFmtId="0" fontId="36" fillId="66" borderId="0" applyNumberFormat="0" applyBorder="0" applyAlignment="0" applyProtection="0"/>
    <xf numFmtId="0" fontId="36" fillId="66" borderId="0" applyNumberFormat="0" applyBorder="0" applyAlignment="0" applyProtection="0"/>
    <xf numFmtId="0" fontId="36" fillId="65" borderId="0" applyNumberFormat="0" applyBorder="0" applyAlignment="0" applyProtection="0"/>
    <xf numFmtId="0" fontId="36" fillId="65" borderId="0" applyNumberFormat="0" applyBorder="0" applyAlignment="0" applyProtection="0"/>
    <xf numFmtId="0" fontId="36" fillId="65" borderId="0" applyNumberFormat="0" applyBorder="0" applyAlignment="0" applyProtection="0"/>
    <xf numFmtId="0" fontId="36" fillId="65" borderId="0" applyNumberFormat="0" applyBorder="0" applyAlignment="0" applyProtection="0"/>
    <xf numFmtId="0" fontId="36" fillId="60" borderId="0" applyNumberFormat="0" applyBorder="0" applyAlignment="0" applyProtection="0"/>
    <xf numFmtId="0" fontId="36" fillId="60" borderId="0" applyNumberFormat="0" applyBorder="0" applyAlignment="0" applyProtection="0"/>
    <xf numFmtId="0" fontId="36" fillId="60" borderId="0" applyNumberFormat="0" applyBorder="0" applyAlignment="0" applyProtection="0"/>
    <xf numFmtId="0" fontId="36" fillId="53" borderId="0" applyNumberFormat="0" applyBorder="0" applyAlignment="0" applyProtection="0"/>
    <xf numFmtId="0" fontId="36" fillId="53" borderId="0" applyNumberFormat="0" applyBorder="0" applyAlignment="0" applyProtection="0"/>
    <xf numFmtId="0" fontId="36" fillId="53" borderId="0" applyNumberFormat="0" applyBorder="0" applyAlignment="0" applyProtection="0"/>
    <xf numFmtId="0" fontId="36" fillId="55" borderId="0" applyNumberFormat="0" applyBorder="0" applyAlignment="0" applyProtection="0"/>
    <xf numFmtId="0" fontId="36" fillId="55" borderId="0" applyNumberFormat="0" applyBorder="0" applyAlignment="0" applyProtection="0"/>
    <xf numFmtId="0" fontId="36" fillId="55" borderId="0" applyNumberFormat="0" applyBorder="0" applyAlignment="0" applyProtection="0"/>
    <xf numFmtId="0" fontId="36" fillId="62" borderId="0" applyNumberFormat="0" applyBorder="0" applyAlignment="0" applyProtection="0"/>
    <xf numFmtId="0" fontId="36" fillId="62" borderId="0" applyNumberFormat="0" applyBorder="0" applyAlignment="0" applyProtection="0"/>
    <xf numFmtId="0" fontId="36" fillId="62" borderId="0" applyNumberFormat="0" applyBorder="0" applyAlignment="0" applyProtection="0"/>
    <xf numFmtId="0" fontId="36" fillId="64" borderId="0" applyNumberFormat="0" applyBorder="0" applyAlignment="0" applyProtection="0"/>
    <xf numFmtId="0" fontId="36" fillId="64" borderId="0" applyNumberFormat="0" applyBorder="0" applyAlignment="0" applyProtection="0"/>
    <xf numFmtId="0" fontId="36" fillId="64" borderId="0" applyNumberFormat="0" applyBorder="0" applyAlignment="0" applyProtection="0"/>
    <xf numFmtId="0" fontId="36" fillId="66" borderId="0" applyNumberFormat="0" applyBorder="0" applyAlignment="0" applyProtection="0"/>
    <xf numFmtId="0" fontId="36" fillId="66" borderId="0" applyNumberFormat="0" applyBorder="0" applyAlignment="0" applyProtection="0"/>
    <xf numFmtId="0" fontId="36" fillId="66" borderId="0" applyNumberFormat="0" applyBorder="0" applyAlignment="0" applyProtection="0"/>
    <xf numFmtId="0" fontId="36" fillId="59" borderId="0" applyNumberFormat="0" applyBorder="0" applyAlignment="0" applyProtection="0"/>
    <xf numFmtId="0" fontId="36" fillId="52" borderId="0" applyNumberFormat="0" applyBorder="0" applyAlignment="0" applyProtection="0"/>
    <xf numFmtId="0" fontId="36" fillId="54" borderId="0" applyNumberFormat="0" applyBorder="0" applyAlignment="0" applyProtection="0"/>
    <xf numFmtId="0" fontId="36" fillId="61" borderId="0" applyNumberFormat="0" applyBorder="0" applyAlignment="0" applyProtection="0"/>
    <xf numFmtId="0" fontId="36" fillId="63" borderId="0" applyNumberFormat="0" applyBorder="0" applyAlignment="0" applyProtection="0"/>
    <xf numFmtId="0" fontId="36" fillId="65" borderId="0" applyNumberFormat="0" applyBorder="0" applyAlignment="0" applyProtection="0"/>
    <xf numFmtId="0" fontId="33" fillId="0" borderId="0"/>
    <xf numFmtId="0" fontId="33" fillId="0" borderId="0"/>
    <xf numFmtId="0" fontId="33" fillId="0" borderId="0"/>
    <xf numFmtId="0" fontId="36" fillId="67" borderId="0" applyNumberFormat="0" applyBorder="0" applyAlignment="0" applyProtection="0"/>
    <xf numFmtId="0" fontId="36" fillId="68" borderId="0" applyNumberFormat="0" applyBorder="0" applyAlignment="0" applyProtection="0"/>
    <xf numFmtId="0" fontId="36" fillId="68" borderId="0" applyNumberFormat="0" applyBorder="0" applyAlignment="0" applyProtection="0"/>
    <xf numFmtId="0" fontId="36" fillId="68" borderId="0" applyNumberFormat="0" applyBorder="0" applyAlignment="0" applyProtection="0"/>
    <xf numFmtId="0" fontId="36" fillId="67" borderId="0" applyNumberFormat="0" applyBorder="0" applyAlignment="0" applyProtection="0"/>
    <xf numFmtId="0" fontId="36" fillId="68" borderId="0" applyNumberFormat="0" applyBorder="0" applyAlignment="0" applyProtection="0"/>
    <xf numFmtId="0" fontId="36" fillId="68" borderId="0" applyNumberFormat="0" applyBorder="0" applyAlignment="0" applyProtection="0"/>
    <xf numFmtId="0" fontId="36" fillId="67" borderId="0" applyNumberFormat="0" applyBorder="0" applyAlignment="0" applyProtection="0"/>
    <xf numFmtId="0" fontId="36" fillId="68" borderId="0" applyNumberFormat="0" applyBorder="0" applyAlignment="0" applyProtection="0"/>
    <xf numFmtId="0" fontId="36" fillId="68" borderId="0" applyNumberFormat="0" applyBorder="0" applyAlignment="0" applyProtection="0"/>
    <xf numFmtId="0" fontId="36" fillId="67" borderId="0" applyNumberFormat="0" applyBorder="0" applyAlignment="0" applyProtection="0"/>
    <xf numFmtId="0" fontId="36" fillId="67" borderId="0" applyNumberFormat="0" applyBorder="0" applyAlignment="0" applyProtection="0"/>
    <xf numFmtId="0" fontId="36" fillId="67" borderId="0" applyNumberFormat="0" applyBorder="0" applyAlignment="0" applyProtection="0"/>
    <xf numFmtId="0" fontId="36" fillId="67" borderId="0" applyNumberFormat="0" applyBorder="0" applyAlignment="0" applyProtection="0"/>
    <xf numFmtId="0" fontId="36" fillId="69" borderId="0" applyNumberFormat="0" applyBorder="0" applyAlignment="0" applyProtection="0"/>
    <xf numFmtId="0" fontId="36" fillId="70" borderId="0" applyNumberFormat="0" applyBorder="0" applyAlignment="0" applyProtection="0"/>
    <xf numFmtId="0" fontId="36" fillId="70" borderId="0" applyNumberFormat="0" applyBorder="0" applyAlignment="0" applyProtection="0"/>
    <xf numFmtId="0" fontId="36" fillId="70" borderId="0" applyNumberFormat="0" applyBorder="0" applyAlignment="0" applyProtection="0"/>
    <xf numFmtId="0" fontId="36" fillId="69" borderId="0" applyNumberFormat="0" applyBorder="0" applyAlignment="0" applyProtection="0"/>
    <xf numFmtId="0" fontId="36" fillId="70" borderId="0" applyNumberFormat="0" applyBorder="0" applyAlignment="0" applyProtection="0"/>
    <xf numFmtId="0" fontId="36" fillId="70" borderId="0" applyNumberFormat="0" applyBorder="0" applyAlignment="0" applyProtection="0"/>
    <xf numFmtId="0" fontId="36" fillId="69" borderId="0" applyNumberFormat="0" applyBorder="0" applyAlignment="0" applyProtection="0"/>
    <xf numFmtId="0" fontId="36" fillId="70" borderId="0" applyNumberFormat="0" applyBorder="0" applyAlignment="0" applyProtection="0"/>
    <xf numFmtId="0" fontId="36" fillId="70" borderId="0" applyNumberFormat="0" applyBorder="0" applyAlignment="0" applyProtection="0"/>
    <xf numFmtId="0" fontId="36" fillId="69" borderId="0" applyNumberFormat="0" applyBorder="0" applyAlignment="0" applyProtection="0"/>
    <xf numFmtId="0" fontId="36" fillId="69" borderId="0" applyNumberFormat="0" applyBorder="0" applyAlignment="0" applyProtection="0"/>
    <xf numFmtId="0" fontId="36" fillId="69" borderId="0" applyNumberFormat="0" applyBorder="0" applyAlignment="0" applyProtection="0"/>
    <xf numFmtId="0" fontId="36" fillId="69" borderId="0" applyNumberFormat="0" applyBorder="0" applyAlignment="0" applyProtection="0"/>
    <xf numFmtId="0" fontId="36" fillId="71" borderId="0" applyNumberFormat="0" applyBorder="0" applyAlignment="0" applyProtection="0"/>
    <xf numFmtId="0" fontId="36" fillId="72" borderId="0" applyNumberFormat="0" applyBorder="0" applyAlignment="0" applyProtection="0"/>
    <xf numFmtId="0" fontId="36" fillId="72" borderId="0" applyNumberFormat="0" applyBorder="0" applyAlignment="0" applyProtection="0"/>
    <xf numFmtId="0" fontId="36" fillId="72" borderId="0" applyNumberFormat="0" applyBorder="0" applyAlignment="0" applyProtection="0"/>
    <xf numFmtId="0" fontId="36" fillId="71" borderId="0" applyNumberFormat="0" applyBorder="0" applyAlignment="0" applyProtection="0"/>
    <xf numFmtId="0" fontId="36" fillId="72" borderId="0" applyNumberFormat="0" applyBorder="0" applyAlignment="0" applyProtection="0"/>
    <xf numFmtId="0" fontId="36" fillId="72" borderId="0" applyNumberFormat="0" applyBorder="0" applyAlignment="0" applyProtection="0"/>
    <xf numFmtId="0" fontId="36" fillId="71" borderId="0" applyNumberFormat="0" applyBorder="0" applyAlignment="0" applyProtection="0"/>
    <xf numFmtId="0" fontId="36" fillId="72" borderId="0" applyNumberFormat="0" applyBorder="0" applyAlignment="0" applyProtection="0"/>
    <xf numFmtId="0" fontId="36" fillId="72" borderId="0" applyNumberFormat="0" applyBorder="0" applyAlignment="0" applyProtection="0"/>
    <xf numFmtId="0" fontId="36" fillId="71" borderId="0" applyNumberFormat="0" applyBorder="0" applyAlignment="0" applyProtection="0"/>
    <xf numFmtId="0" fontId="36" fillId="71" borderId="0" applyNumberFormat="0" applyBorder="0" applyAlignment="0" applyProtection="0"/>
    <xf numFmtId="0" fontId="36" fillId="71" borderId="0" applyNumberFormat="0" applyBorder="0" applyAlignment="0" applyProtection="0"/>
    <xf numFmtId="0" fontId="36" fillId="71" borderId="0" applyNumberFormat="0" applyBorder="0" applyAlignment="0" applyProtection="0"/>
    <xf numFmtId="0" fontId="36" fillId="61" borderId="0" applyNumberFormat="0" applyBorder="0" applyAlignment="0" applyProtection="0"/>
    <xf numFmtId="0" fontId="36" fillId="62" borderId="0" applyNumberFormat="0" applyBorder="0" applyAlignment="0" applyProtection="0"/>
    <xf numFmtId="0" fontId="36" fillId="62" borderId="0" applyNumberFormat="0" applyBorder="0" applyAlignment="0" applyProtection="0"/>
    <xf numFmtId="0" fontId="36" fillId="62" borderId="0" applyNumberFormat="0" applyBorder="0" applyAlignment="0" applyProtection="0"/>
    <xf numFmtId="0" fontId="36" fillId="61" borderId="0" applyNumberFormat="0" applyBorder="0" applyAlignment="0" applyProtection="0"/>
    <xf numFmtId="0" fontId="36" fillId="62" borderId="0" applyNumberFormat="0" applyBorder="0" applyAlignment="0" applyProtection="0"/>
    <xf numFmtId="0" fontId="36" fillId="62" borderId="0" applyNumberFormat="0" applyBorder="0" applyAlignment="0" applyProtection="0"/>
    <xf numFmtId="0" fontId="36" fillId="61" borderId="0" applyNumberFormat="0" applyBorder="0" applyAlignment="0" applyProtection="0"/>
    <xf numFmtId="0" fontId="36" fillId="62" borderId="0" applyNumberFormat="0" applyBorder="0" applyAlignment="0" applyProtection="0"/>
    <xf numFmtId="0" fontId="36" fillId="62" borderId="0" applyNumberFormat="0" applyBorder="0" applyAlignment="0" applyProtection="0"/>
    <xf numFmtId="0" fontId="36" fillId="61" borderId="0" applyNumberFormat="0" applyBorder="0" applyAlignment="0" applyProtection="0"/>
    <xf numFmtId="0" fontId="36" fillId="61" borderId="0" applyNumberFormat="0" applyBorder="0" applyAlignment="0" applyProtection="0"/>
    <xf numFmtId="0" fontId="36" fillId="61" borderId="0" applyNumberFormat="0" applyBorder="0" applyAlignment="0" applyProtection="0"/>
    <xf numFmtId="0" fontId="36" fillId="61" borderId="0" applyNumberFormat="0" applyBorder="0" applyAlignment="0" applyProtection="0"/>
    <xf numFmtId="0" fontId="36" fillId="63" borderId="0" applyNumberFormat="0" applyBorder="0" applyAlignment="0" applyProtection="0"/>
    <xf numFmtId="0" fontId="36" fillId="64" borderId="0" applyNumberFormat="0" applyBorder="0" applyAlignment="0" applyProtection="0"/>
    <xf numFmtId="0" fontId="36" fillId="64" borderId="0" applyNumberFormat="0" applyBorder="0" applyAlignment="0" applyProtection="0"/>
    <xf numFmtId="0" fontId="36" fillId="64" borderId="0" applyNumberFormat="0" applyBorder="0" applyAlignment="0" applyProtection="0"/>
    <xf numFmtId="0" fontId="36" fillId="63" borderId="0" applyNumberFormat="0" applyBorder="0" applyAlignment="0" applyProtection="0"/>
    <xf numFmtId="0" fontId="36" fillId="64" borderId="0" applyNumberFormat="0" applyBorder="0" applyAlignment="0" applyProtection="0"/>
    <xf numFmtId="0" fontId="36" fillId="64" borderId="0" applyNumberFormat="0" applyBorder="0" applyAlignment="0" applyProtection="0"/>
    <xf numFmtId="0" fontId="36" fillId="63" borderId="0" applyNumberFormat="0" applyBorder="0" applyAlignment="0" applyProtection="0"/>
    <xf numFmtId="0" fontId="36" fillId="64" borderId="0" applyNumberFormat="0" applyBorder="0" applyAlignment="0" applyProtection="0"/>
    <xf numFmtId="0" fontId="36" fillId="64" borderId="0" applyNumberFormat="0" applyBorder="0" applyAlignment="0" applyProtection="0"/>
    <xf numFmtId="0" fontId="36" fillId="63" borderId="0" applyNumberFormat="0" applyBorder="0" applyAlignment="0" applyProtection="0"/>
    <xf numFmtId="0" fontId="36" fillId="63" borderId="0" applyNumberFormat="0" applyBorder="0" applyAlignment="0" applyProtection="0"/>
    <xf numFmtId="0" fontId="36" fillId="63" borderId="0" applyNumberFormat="0" applyBorder="0" applyAlignment="0" applyProtection="0"/>
    <xf numFmtId="0" fontId="36" fillId="63" borderId="0" applyNumberFormat="0" applyBorder="0" applyAlignment="0" applyProtection="0"/>
    <xf numFmtId="0" fontId="36" fillId="73" borderId="0" applyNumberFormat="0" applyBorder="0" applyAlignment="0" applyProtection="0"/>
    <xf numFmtId="0" fontId="36" fillId="74" borderId="0" applyNumberFormat="0" applyBorder="0" applyAlignment="0" applyProtection="0"/>
    <xf numFmtId="0" fontId="36" fillId="74" borderId="0" applyNumberFormat="0" applyBorder="0" applyAlignment="0" applyProtection="0"/>
    <xf numFmtId="0" fontId="36" fillId="74" borderId="0" applyNumberFormat="0" applyBorder="0" applyAlignment="0" applyProtection="0"/>
    <xf numFmtId="0" fontId="36" fillId="73" borderId="0" applyNumberFormat="0" applyBorder="0" applyAlignment="0" applyProtection="0"/>
    <xf numFmtId="0" fontId="36" fillId="74" borderId="0" applyNumberFormat="0" applyBorder="0" applyAlignment="0" applyProtection="0"/>
    <xf numFmtId="0" fontId="36" fillId="74" borderId="0" applyNumberFormat="0" applyBorder="0" applyAlignment="0" applyProtection="0"/>
    <xf numFmtId="0" fontId="36" fillId="73" borderId="0" applyNumberFormat="0" applyBorder="0" applyAlignment="0" applyProtection="0"/>
    <xf numFmtId="0" fontId="36" fillId="74" borderId="0" applyNumberFormat="0" applyBorder="0" applyAlignment="0" applyProtection="0"/>
    <xf numFmtId="0" fontId="36" fillId="74" borderId="0" applyNumberFormat="0" applyBorder="0" applyAlignment="0" applyProtection="0"/>
    <xf numFmtId="0" fontId="36" fillId="73" borderId="0" applyNumberFormat="0" applyBorder="0" applyAlignment="0" applyProtection="0"/>
    <xf numFmtId="0" fontId="36" fillId="73" borderId="0" applyNumberFormat="0" applyBorder="0" applyAlignment="0" applyProtection="0"/>
    <xf numFmtId="0" fontId="36" fillId="73" borderId="0" applyNumberFormat="0" applyBorder="0" applyAlignment="0" applyProtection="0"/>
    <xf numFmtId="0" fontId="36" fillId="73" borderId="0" applyNumberFormat="0" applyBorder="0" applyAlignment="0" applyProtection="0"/>
    <xf numFmtId="192" fontId="32" fillId="32" borderId="0" applyNumberFormat="0" applyBorder="0" applyAlignment="0" applyProtection="0"/>
    <xf numFmtId="0" fontId="55" fillId="0" borderId="0">
      <alignment horizontal="center" wrapText="1"/>
      <protection locked="0"/>
    </xf>
    <xf numFmtId="0" fontId="37" fillId="36" borderId="0" applyNumberFormat="0" applyBorder="0" applyAlignment="0" applyProtection="0"/>
    <xf numFmtId="0" fontId="37" fillId="37" borderId="0" applyNumberFormat="0" applyBorder="0" applyAlignment="0" applyProtection="0"/>
    <xf numFmtId="0" fontId="37" fillId="37" borderId="0" applyNumberFormat="0" applyBorder="0" applyAlignment="0" applyProtection="0"/>
    <xf numFmtId="0" fontId="37" fillId="37" borderId="0" applyNumberFormat="0" applyBorder="0" applyAlignment="0" applyProtection="0"/>
    <xf numFmtId="0" fontId="37" fillId="36" borderId="0" applyNumberFormat="0" applyBorder="0" applyAlignment="0" applyProtection="0"/>
    <xf numFmtId="0" fontId="37" fillId="37" borderId="0" applyNumberFormat="0" applyBorder="0" applyAlignment="0" applyProtection="0"/>
    <xf numFmtId="0" fontId="37" fillId="37" borderId="0" applyNumberFormat="0" applyBorder="0" applyAlignment="0" applyProtection="0"/>
    <xf numFmtId="0" fontId="37" fillId="36" borderId="0" applyNumberFormat="0" applyBorder="0" applyAlignment="0" applyProtection="0"/>
    <xf numFmtId="0" fontId="37" fillId="37" borderId="0" applyNumberFormat="0" applyBorder="0" applyAlignment="0" applyProtection="0"/>
    <xf numFmtId="0" fontId="37" fillId="37" borderId="0" applyNumberFormat="0" applyBorder="0" applyAlignment="0" applyProtection="0"/>
    <xf numFmtId="0" fontId="37" fillId="36" borderId="0" applyNumberFormat="0" applyBorder="0" applyAlignment="0" applyProtection="0"/>
    <xf numFmtId="0" fontId="37" fillId="36" borderId="0" applyNumberFormat="0" applyBorder="0" applyAlignment="0" applyProtection="0"/>
    <xf numFmtId="0" fontId="37" fillId="36" borderId="0" applyNumberFormat="0" applyBorder="0" applyAlignment="0" applyProtection="0"/>
    <xf numFmtId="0" fontId="37" fillId="36" borderId="0" applyNumberFormat="0" applyBorder="0" applyAlignment="0" applyProtection="0"/>
    <xf numFmtId="0" fontId="41" fillId="39" borderId="0" applyNumberFormat="0" applyBorder="0" applyAlignment="0" applyProtection="0"/>
    <xf numFmtId="0" fontId="41" fillId="39" borderId="0" applyNumberFormat="0" applyBorder="0" applyAlignment="0" applyProtection="0"/>
    <xf numFmtId="0" fontId="41" fillId="39" borderId="0" applyNumberFormat="0" applyBorder="0" applyAlignment="0" applyProtection="0"/>
    <xf numFmtId="0" fontId="41" fillId="39" borderId="0" applyNumberFormat="0" applyBorder="0" applyAlignment="0" applyProtection="0"/>
    <xf numFmtId="0" fontId="41" fillId="38" borderId="0" applyNumberFormat="0" applyBorder="0" applyAlignment="0" applyProtection="0"/>
    <xf numFmtId="184" fontId="56" fillId="0" borderId="0" applyFill="0" applyBorder="0" applyAlignment="0"/>
    <xf numFmtId="0" fontId="38" fillId="75" borderId="42" applyNumberFormat="0" applyAlignment="0" applyProtection="0"/>
    <xf numFmtId="0" fontId="38" fillId="76" borderId="42" applyNumberFormat="0" applyAlignment="0" applyProtection="0"/>
    <xf numFmtId="0" fontId="38" fillId="76" borderId="42" applyNumberFormat="0" applyAlignment="0" applyProtection="0"/>
    <xf numFmtId="0" fontId="38" fillId="76" borderId="42" applyNumberFormat="0" applyAlignment="0" applyProtection="0"/>
    <xf numFmtId="0" fontId="38" fillId="75" borderId="42" applyNumberFormat="0" applyAlignment="0" applyProtection="0"/>
    <xf numFmtId="0" fontId="38" fillId="76" borderId="42" applyNumberFormat="0" applyAlignment="0" applyProtection="0"/>
    <xf numFmtId="0" fontId="38" fillId="76" borderId="42" applyNumberFormat="0" applyAlignment="0" applyProtection="0"/>
    <xf numFmtId="0" fontId="38" fillId="75" borderId="42" applyNumberFormat="0" applyAlignment="0" applyProtection="0"/>
    <xf numFmtId="0" fontId="38" fillId="76" borderId="42" applyNumberFormat="0" applyAlignment="0" applyProtection="0"/>
    <xf numFmtId="0" fontId="38" fillId="76" borderId="42" applyNumberFormat="0" applyAlignment="0" applyProtection="0"/>
    <xf numFmtId="0" fontId="38" fillId="75" borderId="42" applyNumberFormat="0" applyAlignment="0" applyProtection="0"/>
    <xf numFmtId="0" fontId="38" fillId="75" borderId="42" applyNumberFormat="0" applyAlignment="0" applyProtection="0"/>
    <xf numFmtId="0" fontId="38" fillId="75" borderId="42" applyNumberFormat="0" applyAlignment="0" applyProtection="0"/>
    <xf numFmtId="0" fontId="38" fillId="75" borderId="42" applyNumberFormat="0" applyAlignment="0" applyProtection="0"/>
    <xf numFmtId="192" fontId="30" fillId="77" borderId="39" applyNumberFormat="0" applyAlignment="0" applyProtection="0"/>
    <xf numFmtId="0" fontId="38" fillId="78" borderId="42" applyNumberFormat="0" applyAlignment="0" applyProtection="0"/>
    <xf numFmtId="0" fontId="38" fillId="78" borderId="42" applyNumberFormat="0" applyAlignment="0" applyProtection="0"/>
    <xf numFmtId="0" fontId="38" fillId="78" borderId="42" applyNumberFormat="0" applyAlignment="0" applyProtection="0"/>
    <xf numFmtId="0" fontId="39" fillId="79" borderId="43" applyNumberFormat="0" applyAlignment="0" applyProtection="0"/>
    <xf numFmtId="0" fontId="46" fillId="0" borderId="44" applyNumberFormat="0" applyFill="0" applyAlignment="0" applyProtection="0"/>
    <xf numFmtId="0" fontId="39" fillId="80" borderId="43" applyNumberFormat="0" applyAlignment="0" applyProtection="0"/>
    <xf numFmtId="0" fontId="39" fillId="80" borderId="43" applyNumberFormat="0" applyAlignment="0" applyProtection="0"/>
    <xf numFmtId="0" fontId="39" fillId="80" borderId="43" applyNumberFormat="0" applyAlignment="0" applyProtection="0"/>
    <xf numFmtId="0" fontId="39" fillId="80" borderId="43" applyNumberFormat="0" applyAlignment="0" applyProtection="0"/>
    <xf numFmtId="0" fontId="46" fillId="0" borderId="44" applyNumberFormat="0" applyFill="0" applyAlignment="0" applyProtection="0"/>
    <xf numFmtId="0" fontId="46" fillId="0" borderId="44" applyNumberFormat="0" applyFill="0" applyAlignment="0" applyProtection="0"/>
    <xf numFmtId="0" fontId="46" fillId="0" borderId="44" applyNumberFormat="0" applyFill="0" applyAlignment="0" applyProtection="0"/>
    <xf numFmtId="0" fontId="46" fillId="0" borderId="44" applyNumberFormat="0" applyFill="0" applyAlignment="0" applyProtection="0"/>
    <xf numFmtId="0" fontId="39" fillId="80" borderId="43" applyNumberFormat="0" applyAlignment="0" applyProtection="0"/>
    <xf numFmtId="0" fontId="39" fillId="80" borderId="43" applyNumberFormat="0" applyAlignment="0" applyProtection="0"/>
    <xf numFmtId="0" fontId="39" fillId="80" borderId="43" applyNumberFormat="0" applyAlignment="0" applyProtection="0"/>
    <xf numFmtId="0" fontId="39" fillId="79" borderId="43" applyNumberFormat="0" applyAlignment="0" applyProtection="0"/>
    <xf numFmtId="0" fontId="39" fillId="80" borderId="43" applyNumberFormat="0" applyAlignment="0" applyProtection="0"/>
    <xf numFmtId="0" fontId="39" fillId="80" borderId="43" applyNumberFormat="0" applyAlignment="0" applyProtection="0"/>
    <xf numFmtId="0" fontId="39" fillId="79" borderId="43" applyNumberFormat="0" applyAlignment="0" applyProtection="0"/>
    <xf numFmtId="0" fontId="39" fillId="80" borderId="43" applyNumberFormat="0" applyAlignment="0" applyProtection="0"/>
    <xf numFmtId="0" fontId="39" fillId="80" borderId="43" applyNumberFormat="0" applyAlignment="0" applyProtection="0"/>
    <xf numFmtId="0" fontId="39" fillId="79" borderId="43" applyNumberFormat="0" applyAlignment="0" applyProtection="0"/>
    <xf numFmtId="0" fontId="39" fillId="79" borderId="43" applyNumberFormat="0" applyAlignment="0" applyProtection="0"/>
    <xf numFmtId="0" fontId="39" fillId="79" borderId="43" applyNumberFormat="0" applyAlignment="0" applyProtection="0"/>
    <xf numFmtId="0" fontId="39" fillId="79" borderId="43" applyNumberFormat="0" applyAlignment="0" applyProtection="0"/>
    <xf numFmtId="192" fontId="31" fillId="30" borderId="40" applyNumberFormat="0" applyAlignment="0" applyProtection="0"/>
    <xf numFmtId="183" fontId="33" fillId="0" borderId="0" applyFill="0" applyBorder="0" applyAlignment="0" applyProtection="0"/>
    <xf numFmtId="185" fontId="33" fillId="0" borderId="0" applyFont="0" applyFill="0" applyBorder="0" applyAlignment="0" applyProtection="0"/>
    <xf numFmtId="183" fontId="33" fillId="0" borderId="0" applyFill="0" applyBorder="0" applyAlignment="0" applyProtection="0"/>
    <xf numFmtId="180" fontId="33" fillId="0" borderId="0" applyFont="0" applyFill="0" applyBorder="0" applyAlignment="0" applyProtection="0"/>
    <xf numFmtId="183" fontId="33" fillId="0" borderId="0" applyFill="0" applyBorder="0" applyAlignment="0" applyProtection="0"/>
    <xf numFmtId="180" fontId="33" fillId="0" borderId="0" applyFont="0" applyFill="0" applyBorder="0" applyAlignment="0" applyProtection="0"/>
    <xf numFmtId="43" fontId="33" fillId="0" borderId="0" applyFont="0" applyFill="0" applyBorder="0" applyAlignment="0" applyProtection="0"/>
    <xf numFmtId="43" fontId="33" fillId="0" borderId="0" applyFont="0" applyFill="0" applyBorder="0" applyAlignment="0" applyProtection="0"/>
    <xf numFmtId="43" fontId="33" fillId="0" borderId="0" applyFont="0" applyFill="0" applyBorder="0" applyAlignment="0" applyProtection="0"/>
    <xf numFmtId="43" fontId="33" fillId="0" borderId="0" applyFont="0" applyFill="0" applyBorder="0" applyAlignment="0" applyProtection="0"/>
    <xf numFmtId="43" fontId="33" fillId="0" borderId="0" applyFont="0" applyFill="0" applyBorder="0" applyAlignment="0" applyProtection="0"/>
    <xf numFmtId="43" fontId="33" fillId="0" borderId="0" applyFont="0" applyFill="0" applyBorder="0" applyAlignment="0" applyProtection="0"/>
    <xf numFmtId="43" fontId="33" fillId="0" borderId="0" applyFont="0" applyFill="0" applyBorder="0" applyAlignment="0" applyProtection="0"/>
    <xf numFmtId="183" fontId="33" fillId="0" borderId="0" applyFill="0" applyBorder="0" applyAlignment="0" applyProtection="0"/>
    <xf numFmtId="184" fontId="56" fillId="0" borderId="0" applyFont="0" applyFill="0" applyBorder="0" applyAlignment="0" applyProtection="0"/>
    <xf numFmtId="182" fontId="33" fillId="0" borderId="0" applyFont="0" applyFill="0" applyBorder="0" applyAlignment="0" applyProtection="0"/>
    <xf numFmtId="44" fontId="34" fillId="0" borderId="0" applyFont="0" applyFill="0" applyBorder="0" applyAlignment="0" applyProtection="0"/>
    <xf numFmtId="44" fontId="34" fillId="0" borderId="0" applyFont="0" applyFill="0" applyBorder="0" applyAlignment="0" applyProtection="0"/>
    <xf numFmtId="44" fontId="34" fillId="0" borderId="0" applyFont="0" applyFill="0" applyBorder="0" applyAlignment="0" applyProtection="0"/>
    <xf numFmtId="181" fontId="33" fillId="0" borderId="0" applyFont="0" applyFill="0" applyBorder="0" applyAlignment="0" applyProtection="0"/>
    <xf numFmtId="182" fontId="34" fillId="0" borderId="0" applyFont="0" applyFill="0" applyBorder="0" applyAlignment="0" applyProtection="0"/>
    <xf numFmtId="182" fontId="34" fillId="0" borderId="0" applyFont="0" applyFill="0" applyBorder="0" applyAlignment="0" applyProtection="0"/>
    <xf numFmtId="182" fontId="34" fillId="0" borderId="0" applyFont="0" applyFill="0" applyBorder="0" applyAlignment="0" applyProtection="0"/>
    <xf numFmtId="182" fontId="34" fillId="0" borderId="0" applyFont="0" applyFill="0" applyBorder="0" applyAlignment="0" applyProtection="0"/>
    <xf numFmtId="182" fontId="34" fillId="0" borderId="0" applyFont="0" applyFill="0" applyBorder="0" applyAlignment="0" applyProtection="0"/>
    <xf numFmtId="182" fontId="34" fillId="0" borderId="0" applyFont="0" applyFill="0" applyBorder="0" applyAlignment="0" applyProtection="0"/>
    <xf numFmtId="182" fontId="34" fillId="0" borderId="0" applyFont="0" applyFill="0" applyBorder="0" applyAlignment="0" applyProtection="0"/>
    <xf numFmtId="182" fontId="34" fillId="0" borderId="0" applyFont="0" applyFill="0" applyBorder="0" applyAlignment="0" applyProtection="0"/>
    <xf numFmtId="182" fontId="34" fillId="0" borderId="0" applyFont="0" applyFill="0" applyBorder="0" applyAlignment="0" applyProtection="0"/>
    <xf numFmtId="182" fontId="34" fillId="0" borderId="0" applyFont="0" applyFill="0" applyBorder="0" applyAlignment="0" applyProtection="0"/>
    <xf numFmtId="182" fontId="34" fillId="0" borderId="0" applyFont="0" applyFill="0" applyBorder="0" applyAlignment="0" applyProtection="0"/>
    <xf numFmtId="182" fontId="34" fillId="0" borderId="0" applyFont="0" applyFill="0" applyBorder="0" applyAlignment="0" applyProtection="0"/>
    <xf numFmtId="182" fontId="34" fillId="0" borderId="0" applyFont="0" applyFill="0" applyBorder="0" applyAlignment="0" applyProtection="0"/>
    <xf numFmtId="182" fontId="34" fillId="0" borderId="0" applyFont="0" applyFill="0" applyBorder="0" applyAlignment="0" applyProtection="0"/>
    <xf numFmtId="182" fontId="34" fillId="0" borderId="0" applyFont="0" applyFill="0" applyBorder="0" applyAlignment="0" applyProtection="0"/>
    <xf numFmtId="182" fontId="34" fillId="0" borderId="0" applyFont="0" applyFill="0" applyBorder="0" applyAlignment="0" applyProtection="0"/>
    <xf numFmtId="182" fontId="34" fillId="0" borderId="0" applyFont="0" applyFill="0" applyBorder="0" applyAlignment="0" applyProtection="0"/>
    <xf numFmtId="193" fontId="33" fillId="0" borderId="0" applyFont="0" applyFill="0" applyBorder="0" applyAlignment="0" applyProtection="0"/>
    <xf numFmtId="182" fontId="34" fillId="0" borderId="0" applyFont="0" applyFill="0" applyBorder="0" applyAlignment="0" applyProtection="0"/>
    <xf numFmtId="182" fontId="34" fillId="0" borderId="0" applyFont="0" applyFill="0" applyBorder="0" applyAlignment="0" applyProtection="0"/>
    <xf numFmtId="182" fontId="34" fillId="0" borderId="0" applyFont="0" applyFill="0" applyBorder="0" applyAlignment="0" applyProtection="0"/>
    <xf numFmtId="182" fontId="34" fillId="0" borderId="0" applyFont="0" applyFill="0" applyBorder="0" applyAlignment="0" applyProtection="0"/>
    <xf numFmtId="182" fontId="34" fillId="0" borderId="0" applyFont="0" applyFill="0" applyBorder="0" applyAlignment="0" applyProtection="0"/>
    <xf numFmtId="182" fontId="34" fillId="0" borderId="0" applyFont="0" applyFill="0" applyBorder="0" applyAlignment="0" applyProtection="0"/>
    <xf numFmtId="182" fontId="34" fillId="0" borderId="0" applyFont="0" applyFill="0" applyBorder="0" applyAlignment="0" applyProtection="0"/>
    <xf numFmtId="182" fontId="34" fillId="0" borderId="0" applyFont="0" applyFill="0" applyBorder="0" applyAlignment="0" applyProtection="0"/>
    <xf numFmtId="182" fontId="34" fillId="0" borderId="0" applyFont="0" applyFill="0" applyBorder="0" applyAlignment="0" applyProtection="0"/>
    <xf numFmtId="182" fontId="34" fillId="0" borderId="0" applyFont="0" applyFill="0" applyBorder="0" applyAlignment="0" applyProtection="0"/>
    <xf numFmtId="182" fontId="34" fillId="0" borderId="0" applyFont="0" applyFill="0" applyBorder="0" applyAlignment="0" applyProtection="0"/>
    <xf numFmtId="182" fontId="34" fillId="0" borderId="0" applyFont="0" applyFill="0" applyBorder="0" applyAlignment="0" applyProtection="0"/>
    <xf numFmtId="182" fontId="34" fillId="0" borderId="0" applyFont="0" applyFill="0" applyBorder="0" applyAlignment="0" applyProtection="0"/>
    <xf numFmtId="182" fontId="34" fillId="0" borderId="0" applyFont="0" applyFill="0" applyBorder="0" applyAlignment="0" applyProtection="0"/>
    <xf numFmtId="194" fontId="33" fillId="0" borderId="0" applyFont="0" applyFill="0" applyBorder="0" applyAlignment="0" applyProtection="0"/>
    <xf numFmtId="194" fontId="33" fillId="0" borderId="0" applyFont="0" applyFill="0" applyBorder="0" applyAlignment="0" applyProtection="0"/>
    <xf numFmtId="182" fontId="34" fillId="0" borderId="0" applyFont="0" applyFill="0" applyBorder="0" applyAlignment="0" applyProtection="0"/>
    <xf numFmtId="186" fontId="33" fillId="81" borderId="0" applyFont="0" applyBorder="0"/>
    <xf numFmtId="15" fontId="57" fillId="0" borderId="0"/>
    <xf numFmtId="14" fontId="58" fillId="0" borderId="0" applyFill="0" applyBorder="0" applyAlignment="0"/>
    <xf numFmtId="0" fontId="44" fillId="0" borderId="0" applyNumberFormat="0" applyFill="0" applyBorder="0" applyAlignment="0" applyProtection="0"/>
    <xf numFmtId="0" fontId="36" fillId="68" borderId="0" applyNumberFormat="0" applyBorder="0" applyAlignment="0" applyProtection="0"/>
    <xf numFmtId="0" fontId="36" fillId="68" borderId="0" applyNumberFormat="0" applyBorder="0" applyAlignment="0" applyProtection="0"/>
    <xf numFmtId="0" fontId="36" fillId="68" borderId="0" applyNumberFormat="0" applyBorder="0" applyAlignment="0" applyProtection="0"/>
    <xf numFmtId="0" fontId="36" fillId="70" borderId="0" applyNumberFormat="0" applyBorder="0" applyAlignment="0" applyProtection="0"/>
    <xf numFmtId="0" fontId="36" fillId="70" borderId="0" applyNumberFormat="0" applyBorder="0" applyAlignment="0" applyProtection="0"/>
    <xf numFmtId="0" fontId="36" fillId="70" borderId="0" applyNumberFormat="0" applyBorder="0" applyAlignment="0" applyProtection="0"/>
    <xf numFmtId="0" fontId="36" fillId="72" borderId="0" applyNumberFormat="0" applyBorder="0" applyAlignment="0" applyProtection="0"/>
    <xf numFmtId="0" fontId="36" fillId="72" borderId="0" applyNumberFormat="0" applyBorder="0" applyAlignment="0" applyProtection="0"/>
    <xf numFmtId="0" fontId="36" fillId="72" borderId="0" applyNumberFormat="0" applyBorder="0" applyAlignment="0" applyProtection="0"/>
    <xf numFmtId="0" fontId="36" fillId="62" borderId="0" applyNumberFormat="0" applyBorder="0" applyAlignment="0" applyProtection="0"/>
    <xf numFmtId="0" fontId="36" fillId="62" borderId="0" applyNumberFormat="0" applyBorder="0" applyAlignment="0" applyProtection="0"/>
    <xf numFmtId="0" fontId="36" fillId="62" borderId="0" applyNumberFormat="0" applyBorder="0" applyAlignment="0" applyProtection="0"/>
    <xf numFmtId="0" fontId="36" fillId="64" borderId="0" applyNumberFormat="0" applyBorder="0" applyAlignment="0" applyProtection="0"/>
    <xf numFmtId="0" fontId="36" fillId="64" borderId="0" applyNumberFormat="0" applyBorder="0" applyAlignment="0" applyProtection="0"/>
    <xf numFmtId="0" fontId="36" fillId="64" borderId="0" applyNumberFormat="0" applyBorder="0" applyAlignment="0" applyProtection="0"/>
    <xf numFmtId="0" fontId="36" fillId="74" borderId="0" applyNumberFormat="0" applyBorder="0" applyAlignment="0" applyProtection="0"/>
    <xf numFmtId="0" fontId="36" fillId="74" borderId="0" applyNumberFormat="0" applyBorder="0" applyAlignment="0" applyProtection="0"/>
    <xf numFmtId="0" fontId="36" fillId="74" borderId="0" applyNumberFormat="0" applyBorder="0" applyAlignment="0" applyProtection="0"/>
    <xf numFmtId="0" fontId="36" fillId="67" borderId="0" applyNumberFormat="0" applyBorder="0" applyAlignment="0" applyProtection="0"/>
    <xf numFmtId="0" fontId="36" fillId="69" borderId="0" applyNumberFormat="0" applyBorder="0" applyAlignment="0" applyProtection="0"/>
    <xf numFmtId="0" fontId="36" fillId="71" borderId="0" applyNumberFormat="0" applyBorder="0" applyAlignment="0" applyProtection="0"/>
    <xf numFmtId="0" fontId="36" fillId="61" borderId="0" applyNumberFormat="0" applyBorder="0" applyAlignment="0" applyProtection="0"/>
    <xf numFmtId="0" fontId="36" fillId="63" borderId="0" applyNumberFormat="0" applyBorder="0" applyAlignment="0" applyProtection="0"/>
    <xf numFmtId="0" fontId="36" fillId="73" borderId="0" applyNumberFormat="0" applyBorder="0" applyAlignment="0" applyProtection="0"/>
    <xf numFmtId="185" fontId="33" fillId="0" borderId="0" applyFill="0" applyBorder="0" applyAlignment="0"/>
    <xf numFmtId="184" fontId="56" fillId="0" borderId="0" applyFill="0" applyBorder="0" applyAlignment="0"/>
    <xf numFmtId="185" fontId="33" fillId="0" borderId="0" applyFill="0" applyBorder="0" applyAlignment="0"/>
    <xf numFmtId="187" fontId="56" fillId="0" borderId="0" applyFill="0" applyBorder="0" applyAlignment="0"/>
    <xf numFmtId="184" fontId="56" fillId="0" borderId="0" applyFill="0" applyBorder="0" applyAlignment="0"/>
    <xf numFmtId="0" fontId="45" fillId="49" borderId="42" applyNumberFormat="0" applyAlignment="0" applyProtection="0"/>
    <xf numFmtId="0" fontId="45" fillId="49" borderId="42" applyNumberFormat="0" applyAlignment="0" applyProtection="0"/>
    <xf numFmtId="0" fontId="45" fillId="49" borderId="42" applyNumberFormat="0" applyAlignment="0" applyProtection="0"/>
    <xf numFmtId="0" fontId="45" fillId="49" borderId="42" applyNumberFormat="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39" borderId="0" applyNumberFormat="0" applyBorder="0" applyAlignment="0" applyProtection="0"/>
    <xf numFmtId="0" fontId="41" fillId="39" borderId="0" applyNumberFormat="0" applyBorder="0" applyAlignment="0" applyProtection="0"/>
    <xf numFmtId="0" fontId="41" fillId="39" borderId="0" applyNumberFormat="0" applyBorder="0" applyAlignment="0" applyProtection="0"/>
    <xf numFmtId="0" fontId="41" fillId="38" borderId="0" applyNumberFormat="0" applyBorder="0" applyAlignment="0" applyProtection="0"/>
    <xf numFmtId="0" fontId="41" fillId="39" borderId="0" applyNumberFormat="0" applyBorder="0" applyAlignment="0" applyProtection="0"/>
    <xf numFmtId="0" fontId="41" fillId="39" borderId="0" applyNumberFormat="0" applyBorder="0" applyAlignment="0" applyProtection="0"/>
    <xf numFmtId="0" fontId="41" fillId="38" borderId="0" applyNumberFormat="0" applyBorder="0" applyAlignment="0" applyProtection="0"/>
    <xf numFmtId="0" fontId="41" fillId="39" borderId="0" applyNumberFormat="0" applyBorder="0" applyAlignment="0" applyProtection="0"/>
    <xf numFmtId="0" fontId="41" fillId="39" borderId="0" applyNumberFormat="0" applyBorder="0" applyAlignment="0" applyProtection="0"/>
    <xf numFmtId="0" fontId="41" fillId="38" borderId="0" applyNumberFormat="0" applyBorder="0" applyAlignment="0" applyProtection="0"/>
    <xf numFmtId="0" fontId="41" fillId="38" borderId="0" applyNumberFormat="0" applyBorder="0" applyAlignment="0" applyProtection="0"/>
    <xf numFmtId="0" fontId="41" fillId="38" borderId="0" applyNumberFormat="0" applyBorder="0" applyAlignment="0" applyProtection="0"/>
    <xf numFmtId="0" fontId="41" fillId="38" borderId="0" applyNumberFormat="0" applyBorder="0" applyAlignment="0" applyProtection="0"/>
    <xf numFmtId="38" fontId="52" fillId="81" borderId="0" applyNumberFormat="0" applyBorder="0" applyAlignment="0" applyProtection="0"/>
    <xf numFmtId="0" fontId="54" fillId="0" borderId="45" applyNumberFormat="0" applyAlignment="0" applyProtection="0">
      <alignment horizontal="left" vertical="center"/>
    </xf>
    <xf numFmtId="0" fontId="54" fillId="0" borderId="45" applyNumberFormat="0" applyAlignment="0" applyProtection="0">
      <alignment horizontal="left" vertical="center"/>
    </xf>
    <xf numFmtId="0" fontId="54" fillId="0" borderId="45" applyNumberFormat="0" applyAlignment="0" applyProtection="0">
      <alignment horizontal="left" vertical="center"/>
    </xf>
    <xf numFmtId="0" fontId="54" fillId="0" borderId="45" applyNumberFormat="0" applyAlignment="0" applyProtection="0">
      <alignment horizontal="left" vertical="center"/>
    </xf>
    <xf numFmtId="0" fontId="54" fillId="0" borderId="45" applyNumberFormat="0" applyAlignment="0" applyProtection="0">
      <alignment horizontal="left" vertical="center"/>
    </xf>
    <xf numFmtId="0" fontId="54" fillId="0" borderId="45" applyNumberFormat="0" applyAlignment="0" applyProtection="0">
      <alignment horizontal="left" vertical="center"/>
    </xf>
    <xf numFmtId="0" fontId="54" fillId="0" borderId="9">
      <alignment horizontal="left" vertical="center"/>
    </xf>
    <xf numFmtId="0" fontId="54" fillId="0" borderId="9">
      <alignment horizontal="left" vertical="center"/>
    </xf>
    <xf numFmtId="0" fontId="42" fillId="0" borderId="46" applyNumberFormat="0" applyFill="0" applyAlignment="0" applyProtection="0"/>
    <xf numFmtId="0" fontId="42" fillId="0" borderId="46" applyNumberFormat="0" applyFill="0" applyAlignment="0" applyProtection="0"/>
    <xf numFmtId="0" fontId="42" fillId="0" borderId="46" applyNumberFormat="0" applyFill="0" applyAlignment="0" applyProtection="0"/>
    <xf numFmtId="0" fontId="42" fillId="0" borderId="46" applyNumberFormat="0" applyFill="0" applyAlignment="0" applyProtection="0"/>
    <xf numFmtId="0" fontId="42" fillId="0" borderId="46" applyNumberFormat="0" applyFill="0" applyAlignment="0" applyProtection="0"/>
    <xf numFmtId="0" fontId="42" fillId="0" borderId="46" applyNumberFormat="0" applyFill="0" applyAlignment="0" applyProtection="0"/>
    <xf numFmtId="0" fontId="42" fillId="0" borderId="46" applyNumberFormat="0" applyFill="0" applyAlignment="0" applyProtection="0"/>
    <xf numFmtId="0" fontId="42" fillId="0" borderId="46" applyNumberFormat="0" applyFill="0" applyAlignment="0" applyProtection="0"/>
    <xf numFmtId="0" fontId="43" fillId="0" borderId="47" applyNumberFormat="0" applyFill="0" applyAlignment="0" applyProtection="0"/>
    <xf numFmtId="0" fontId="43" fillId="0" borderId="47" applyNumberFormat="0" applyFill="0" applyAlignment="0" applyProtection="0"/>
    <xf numFmtId="0" fontId="43" fillId="0" borderId="47" applyNumberFormat="0" applyFill="0" applyAlignment="0" applyProtection="0"/>
    <xf numFmtId="0" fontId="43" fillId="0" borderId="47" applyNumberFormat="0" applyFill="0" applyAlignment="0" applyProtection="0"/>
    <xf numFmtId="0" fontId="43" fillId="0" borderId="47" applyNumberFormat="0" applyFill="0" applyAlignment="0" applyProtection="0"/>
    <xf numFmtId="0" fontId="43" fillId="0" borderId="47" applyNumberFormat="0" applyFill="0" applyAlignment="0" applyProtection="0"/>
    <xf numFmtId="0" fontId="43" fillId="0" borderId="47" applyNumberFormat="0" applyFill="0" applyAlignment="0" applyProtection="0"/>
    <xf numFmtId="0" fontId="43" fillId="0" borderId="47" applyNumberFormat="0" applyFill="0" applyAlignment="0" applyProtection="0"/>
    <xf numFmtId="0" fontId="44" fillId="0" borderId="48" applyNumberFormat="0" applyFill="0" applyAlignment="0" applyProtection="0"/>
    <xf numFmtId="0" fontId="44" fillId="0" borderId="48" applyNumberFormat="0" applyFill="0" applyAlignment="0" applyProtection="0"/>
    <xf numFmtId="0" fontId="44" fillId="0" borderId="48" applyNumberFormat="0" applyFill="0" applyAlignment="0" applyProtection="0"/>
    <xf numFmtId="0" fontId="44" fillId="0" borderId="48" applyNumberFormat="0" applyFill="0" applyAlignment="0" applyProtection="0"/>
    <xf numFmtId="0" fontId="44" fillId="0" borderId="48" applyNumberFormat="0" applyFill="0" applyAlignment="0" applyProtection="0"/>
    <xf numFmtId="0" fontId="44" fillId="0" borderId="48" applyNumberFormat="0" applyFill="0" applyAlignment="0" applyProtection="0"/>
    <xf numFmtId="0" fontId="44" fillId="0" borderId="48" applyNumberFormat="0" applyFill="0" applyAlignment="0" applyProtection="0"/>
    <xf numFmtId="0" fontId="44" fillId="0" borderId="48" applyNumberFormat="0" applyFill="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53" fillId="0" borderId="0" applyNumberFormat="0" applyFill="0" applyBorder="0" applyAlignment="0" applyProtection="0">
      <alignment vertical="top"/>
      <protection locked="0"/>
    </xf>
    <xf numFmtId="192" fontId="64" fillId="0" borderId="0" applyNumberFormat="0" applyFill="0" applyBorder="0" applyAlignment="0" applyProtection="0">
      <alignment vertical="top"/>
      <protection locked="0"/>
    </xf>
    <xf numFmtId="192" fontId="64" fillId="0" borderId="0" applyNumberFormat="0" applyFill="0" applyBorder="0" applyAlignment="0" applyProtection="0">
      <alignment vertical="top"/>
      <protection locked="0"/>
    </xf>
    <xf numFmtId="192" fontId="61"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37" fillId="36" borderId="0" applyNumberFormat="0" applyBorder="0" applyAlignment="0" applyProtection="0"/>
    <xf numFmtId="0" fontId="37" fillId="37" borderId="0" applyNumberFormat="0" applyBorder="0" applyAlignment="0" applyProtection="0"/>
    <xf numFmtId="0" fontId="37" fillId="37" borderId="0" applyNumberFormat="0" applyBorder="0" applyAlignment="0" applyProtection="0"/>
    <xf numFmtId="0" fontId="37" fillId="37" borderId="0" applyNumberFormat="0" applyBorder="0" applyAlignment="0" applyProtection="0"/>
    <xf numFmtId="10" fontId="52" fillId="82" borderId="5" applyNumberFormat="0" applyBorder="0" applyAlignment="0" applyProtection="0"/>
    <xf numFmtId="10" fontId="52" fillId="82" borderId="5" applyNumberFormat="0" applyBorder="0" applyAlignment="0" applyProtection="0"/>
    <xf numFmtId="0" fontId="45" fillId="45" borderId="42" applyNumberFormat="0" applyAlignment="0" applyProtection="0"/>
    <xf numFmtId="0" fontId="45" fillId="45" borderId="42" applyNumberFormat="0" applyAlignment="0" applyProtection="0"/>
    <xf numFmtId="0" fontId="45" fillId="45" borderId="42" applyNumberFormat="0" applyAlignment="0" applyProtection="0"/>
    <xf numFmtId="0" fontId="45" fillId="44" borderId="42" applyNumberFormat="0" applyAlignment="0" applyProtection="0"/>
    <xf numFmtId="0" fontId="45" fillId="45" borderId="42" applyNumberFormat="0" applyAlignment="0" applyProtection="0"/>
    <xf numFmtId="0" fontId="45" fillId="45" borderId="42" applyNumberFormat="0" applyAlignment="0" applyProtection="0"/>
    <xf numFmtId="0" fontId="45" fillId="44" borderId="42" applyNumberFormat="0" applyAlignment="0" applyProtection="0"/>
    <xf numFmtId="0" fontId="45" fillId="45" borderId="42" applyNumberFormat="0" applyAlignment="0" applyProtection="0"/>
    <xf numFmtId="0" fontId="45" fillId="45" borderId="42" applyNumberFormat="0" applyAlignment="0" applyProtection="0"/>
    <xf numFmtId="0" fontId="45" fillId="44" borderId="42" applyNumberFormat="0" applyAlignment="0" applyProtection="0"/>
    <xf numFmtId="0" fontId="45" fillId="44" borderId="42" applyNumberFormat="0" applyAlignment="0" applyProtection="0"/>
    <xf numFmtId="0" fontId="45" fillId="44" borderId="42" applyNumberFormat="0" applyAlignment="0" applyProtection="0"/>
    <xf numFmtId="0" fontId="45" fillId="44" borderId="42" applyNumberFormat="0" applyAlignment="0" applyProtection="0"/>
    <xf numFmtId="0" fontId="45" fillId="44" borderId="42" applyNumberFormat="0" applyAlignment="0" applyProtection="0"/>
    <xf numFmtId="185" fontId="33" fillId="0" borderId="0" applyFill="0" applyBorder="0" applyAlignment="0"/>
    <xf numFmtId="184" fontId="56" fillId="0" borderId="0" applyFill="0" applyBorder="0" applyAlignment="0"/>
    <xf numFmtId="185" fontId="33" fillId="0" borderId="0" applyFill="0" applyBorder="0" applyAlignment="0"/>
    <xf numFmtId="187" fontId="56" fillId="0" borderId="0" applyFill="0" applyBorder="0" applyAlignment="0"/>
    <xf numFmtId="184" fontId="56" fillId="0" borderId="0" applyFill="0" applyBorder="0" applyAlignment="0"/>
    <xf numFmtId="0" fontId="46" fillId="0" borderId="44" applyNumberFormat="0" applyFill="0" applyAlignment="0" applyProtection="0"/>
    <xf numFmtId="0" fontId="46" fillId="0" borderId="44" applyNumberFormat="0" applyFill="0" applyAlignment="0" applyProtection="0"/>
    <xf numFmtId="0" fontId="46" fillId="0" borderId="44" applyNumberFormat="0" applyFill="0" applyAlignment="0" applyProtection="0"/>
    <xf numFmtId="0" fontId="46" fillId="0" borderId="44" applyNumberFormat="0" applyFill="0" applyAlignment="0" applyProtection="0"/>
    <xf numFmtId="0" fontId="46" fillId="0" borderId="44" applyNumberFormat="0" applyFill="0" applyAlignment="0" applyProtection="0"/>
    <xf numFmtId="0" fontId="46" fillId="0" borderId="44" applyNumberFormat="0" applyFill="0" applyAlignment="0" applyProtection="0"/>
    <xf numFmtId="0" fontId="46" fillId="0" borderId="44" applyNumberFormat="0" applyFill="0" applyAlignment="0" applyProtection="0"/>
    <xf numFmtId="178" fontId="33" fillId="0" borderId="0" applyFont="0" applyFill="0" applyBorder="0" applyAlignment="0" applyProtection="0"/>
    <xf numFmtId="180" fontId="33" fillId="0" borderId="0" applyFont="0" applyFill="0" applyBorder="0" applyAlignment="0" applyProtection="0"/>
    <xf numFmtId="182" fontId="34" fillId="0" borderId="0" applyFont="0" applyFill="0" applyBorder="0" applyAlignment="0" applyProtection="0"/>
    <xf numFmtId="182" fontId="34" fillId="0" borderId="0" applyFont="0" applyFill="0" applyBorder="0" applyAlignment="0" applyProtection="0"/>
    <xf numFmtId="182" fontId="34" fillId="0" borderId="0" applyFont="0" applyFill="0" applyBorder="0" applyAlignment="0" applyProtection="0"/>
    <xf numFmtId="182" fontId="34" fillId="0" borderId="0" applyFont="0" applyFill="0" applyBorder="0" applyAlignment="0" applyProtection="0"/>
    <xf numFmtId="182" fontId="34" fillId="0" borderId="0" applyFont="0" applyFill="0" applyBorder="0" applyAlignment="0" applyProtection="0"/>
    <xf numFmtId="182" fontId="34" fillId="0" borderId="0" applyFont="0" applyFill="0" applyBorder="0" applyAlignment="0" applyProtection="0"/>
    <xf numFmtId="182" fontId="34" fillId="0" borderId="0" applyFont="0" applyFill="0" applyBorder="0" applyAlignment="0" applyProtection="0"/>
    <xf numFmtId="182" fontId="34" fillId="0" borderId="0" applyFont="0" applyFill="0" applyBorder="0" applyAlignment="0" applyProtection="0"/>
    <xf numFmtId="182" fontId="34" fillId="0" borderId="0" applyFont="0" applyFill="0" applyBorder="0" applyAlignment="0" applyProtection="0"/>
    <xf numFmtId="182" fontId="34" fillId="0" borderId="0" applyFont="0" applyFill="0" applyBorder="0" applyAlignment="0" applyProtection="0"/>
    <xf numFmtId="182" fontId="34" fillId="0" borderId="0" applyFont="0" applyFill="0" applyBorder="0" applyAlignment="0" applyProtection="0"/>
    <xf numFmtId="182" fontId="34" fillId="0" borderId="0" applyFont="0" applyFill="0" applyBorder="0" applyAlignment="0" applyProtection="0"/>
    <xf numFmtId="182" fontId="34" fillId="0" borderId="0" applyFont="0" applyFill="0" applyBorder="0" applyAlignment="0" applyProtection="0"/>
    <xf numFmtId="182" fontId="34" fillId="0" borderId="0" applyFont="0" applyFill="0" applyBorder="0" applyAlignment="0" applyProtection="0"/>
    <xf numFmtId="182" fontId="34" fillId="0" borderId="0" applyFont="0" applyFill="0" applyBorder="0" applyAlignment="0" applyProtection="0"/>
    <xf numFmtId="182" fontId="34" fillId="0" borderId="0" applyFont="0" applyFill="0" applyBorder="0" applyAlignment="0" applyProtection="0"/>
    <xf numFmtId="182" fontId="34" fillId="0" borderId="0" applyFont="0" applyFill="0" applyBorder="0" applyAlignment="0" applyProtection="0"/>
    <xf numFmtId="182" fontId="34" fillId="0" borderId="0" applyFont="0" applyFill="0" applyBorder="0" applyAlignment="0" applyProtection="0"/>
    <xf numFmtId="179" fontId="34" fillId="0" borderId="0" applyFont="0" applyFill="0" applyBorder="0" applyAlignment="0" applyProtection="0"/>
    <xf numFmtId="179" fontId="34" fillId="0" borderId="0" applyFont="0" applyFill="0" applyBorder="0" applyAlignment="0" applyProtection="0"/>
    <xf numFmtId="179" fontId="34" fillId="0" borderId="0" applyFont="0" applyFill="0" applyBorder="0" applyAlignment="0" applyProtection="0"/>
    <xf numFmtId="179" fontId="34" fillId="0" borderId="0" applyFont="0" applyFill="0" applyBorder="0" applyAlignment="0" applyProtection="0"/>
    <xf numFmtId="179" fontId="34" fillId="0" borderId="0" applyFont="0" applyFill="0" applyBorder="0" applyAlignment="0" applyProtection="0"/>
    <xf numFmtId="179" fontId="34" fillId="0" borderId="0" applyFont="0" applyFill="0" applyBorder="0" applyAlignment="0" applyProtection="0"/>
    <xf numFmtId="179" fontId="34" fillId="0" borderId="0" applyFont="0" applyFill="0" applyBorder="0" applyAlignment="0" applyProtection="0"/>
    <xf numFmtId="179" fontId="34" fillId="0" borderId="0" applyFont="0" applyFill="0" applyBorder="0" applyAlignment="0" applyProtection="0"/>
    <xf numFmtId="179" fontId="34" fillId="0" borderId="0" applyFont="0" applyFill="0" applyBorder="0" applyAlignment="0" applyProtection="0"/>
    <xf numFmtId="179" fontId="34" fillId="0" borderId="0" applyFont="0" applyFill="0" applyBorder="0" applyAlignment="0" applyProtection="0"/>
    <xf numFmtId="179" fontId="34" fillId="0" borderId="0" applyFont="0" applyFill="0" applyBorder="0" applyAlignment="0" applyProtection="0"/>
    <xf numFmtId="179" fontId="34" fillId="0" borderId="0" applyFont="0" applyFill="0" applyBorder="0" applyAlignment="0" applyProtection="0"/>
    <xf numFmtId="179" fontId="34" fillId="0" borderId="0" applyFont="0" applyFill="0" applyBorder="0" applyAlignment="0" applyProtection="0"/>
    <xf numFmtId="179" fontId="34" fillId="0" borderId="0" applyFont="0" applyFill="0" applyBorder="0" applyAlignment="0" applyProtection="0"/>
    <xf numFmtId="179" fontId="34" fillId="0" borderId="0" applyFont="0" applyFill="0" applyBorder="0" applyAlignment="0" applyProtection="0"/>
    <xf numFmtId="179" fontId="34" fillId="0" borderId="0" applyFont="0" applyFill="0" applyBorder="0" applyAlignment="0" applyProtection="0"/>
    <xf numFmtId="179" fontId="34" fillId="0" borderId="0" applyFont="0" applyFill="0" applyBorder="0" applyAlignment="0" applyProtection="0"/>
    <xf numFmtId="179" fontId="34" fillId="0" borderId="0" applyFont="0" applyFill="0" applyBorder="0" applyAlignment="0" applyProtection="0"/>
    <xf numFmtId="179" fontId="34" fillId="0" borderId="0" applyFont="0" applyFill="0" applyBorder="0" applyAlignment="0" applyProtection="0"/>
    <xf numFmtId="179" fontId="34" fillId="0" borderId="0" applyFont="0" applyFill="0" applyBorder="0" applyAlignment="0" applyProtection="0"/>
    <xf numFmtId="179" fontId="34" fillId="0" borderId="0" applyFont="0" applyFill="0" applyBorder="0" applyAlignment="0" applyProtection="0"/>
    <xf numFmtId="179" fontId="34" fillId="0" borderId="0" applyFont="0" applyFill="0" applyBorder="0" applyAlignment="0" applyProtection="0"/>
    <xf numFmtId="179" fontId="34" fillId="0" borderId="0" applyFont="0" applyFill="0" applyBorder="0" applyAlignment="0" applyProtection="0"/>
    <xf numFmtId="179" fontId="34" fillId="0" borderId="0" applyFont="0" applyFill="0" applyBorder="0" applyAlignment="0" applyProtection="0"/>
    <xf numFmtId="179" fontId="34" fillId="0" borderId="0" applyFont="0" applyFill="0" applyBorder="0" applyAlignment="0" applyProtection="0"/>
    <xf numFmtId="179" fontId="34" fillId="0" borderId="0" applyFont="0" applyFill="0" applyBorder="0" applyAlignment="0" applyProtection="0"/>
    <xf numFmtId="179" fontId="34" fillId="0" borderId="0" applyFont="0" applyFill="0" applyBorder="0" applyAlignment="0" applyProtection="0"/>
    <xf numFmtId="179" fontId="34" fillId="0" borderId="0" applyFont="0" applyFill="0" applyBorder="0" applyAlignment="0" applyProtection="0"/>
    <xf numFmtId="179" fontId="34" fillId="0" borderId="0" applyFont="0" applyFill="0" applyBorder="0" applyAlignment="0" applyProtection="0"/>
    <xf numFmtId="179" fontId="34" fillId="0" borderId="0" applyFont="0" applyFill="0" applyBorder="0" applyAlignment="0" applyProtection="0"/>
    <xf numFmtId="179" fontId="34" fillId="0" borderId="0" applyFont="0" applyFill="0" applyBorder="0" applyAlignment="0" applyProtection="0"/>
    <xf numFmtId="182" fontId="34" fillId="0" borderId="0" applyFont="0" applyFill="0" applyBorder="0" applyAlignment="0" applyProtection="0"/>
    <xf numFmtId="182" fontId="34" fillId="0" borderId="0" applyFont="0" applyFill="0" applyBorder="0" applyAlignment="0" applyProtection="0"/>
    <xf numFmtId="182" fontId="34" fillId="0" borderId="0" applyFont="0" applyFill="0" applyBorder="0" applyAlignment="0" applyProtection="0"/>
    <xf numFmtId="182" fontId="34" fillId="0" borderId="0" applyFont="0" applyFill="0" applyBorder="0" applyAlignment="0" applyProtection="0"/>
    <xf numFmtId="182" fontId="34" fillId="0" borderId="0" applyFont="0" applyFill="0" applyBorder="0" applyAlignment="0" applyProtection="0"/>
    <xf numFmtId="182" fontId="34" fillId="0" borderId="0" applyFont="0" applyFill="0" applyBorder="0" applyAlignment="0" applyProtection="0"/>
    <xf numFmtId="182" fontId="34" fillId="0" borderId="0" applyFont="0" applyFill="0" applyBorder="0" applyAlignment="0" applyProtection="0"/>
    <xf numFmtId="182" fontId="34" fillId="0" borderId="0" applyFont="0" applyFill="0" applyBorder="0" applyAlignment="0" applyProtection="0"/>
    <xf numFmtId="182" fontId="34" fillId="0" borderId="0" applyFont="0" applyFill="0" applyBorder="0" applyAlignment="0" applyProtection="0"/>
    <xf numFmtId="182" fontId="34" fillId="0" borderId="0" applyFont="0" applyFill="0" applyBorder="0" applyAlignment="0" applyProtection="0"/>
    <xf numFmtId="182" fontId="34" fillId="0" borderId="0" applyFont="0" applyFill="0" applyBorder="0" applyAlignment="0" applyProtection="0"/>
    <xf numFmtId="182" fontId="34" fillId="0" borderId="0" applyFont="0" applyFill="0" applyBorder="0" applyAlignment="0" applyProtection="0"/>
    <xf numFmtId="182" fontId="34" fillId="0" borderId="0" applyFont="0" applyFill="0" applyBorder="0" applyAlignment="0" applyProtection="0"/>
    <xf numFmtId="182" fontId="34" fillId="0" borderId="0" applyFont="0" applyFill="0" applyBorder="0" applyAlignment="0" applyProtection="0"/>
    <xf numFmtId="182" fontId="34" fillId="0" borderId="0" applyFont="0" applyFill="0" applyBorder="0" applyAlignment="0" applyProtection="0"/>
    <xf numFmtId="182" fontId="34" fillId="0" borderId="0" applyFont="0" applyFill="0" applyBorder="0" applyAlignment="0" applyProtection="0"/>
    <xf numFmtId="182" fontId="34" fillId="0" borderId="0" applyFont="0" applyFill="0" applyBorder="0" applyAlignment="0" applyProtection="0"/>
    <xf numFmtId="182" fontId="34" fillId="0" borderId="0" applyFont="0" applyFill="0" applyBorder="0" applyAlignment="0" applyProtection="0"/>
    <xf numFmtId="182" fontId="34" fillId="0" borderId="0" applyFont="0" applyFill="0" applyBorder="0" applyAlignment="0" applyProtection="0"/>
    <xf numFmtId="182" fontId="34" fillId="0" borderId="0" applyFont="0" applyFill="0" applyBorder="0" applyAlignment="0" applyProtection="0"/>
    <xf numFmtId="182" fontId="34" fillId="0" borderId="0" applyFont="0" applyFill="0" applyBorder="0" applyAlignment="0" applyProtection="0"/>
    <xf numFmtId="182" fontId="34" fillId="0" borderId="0" applyFont="0" applyFill="0" applyBorder="0" applyAlignment="0" applyProtection="0"/>
    <xf numFmtId="182" fontId="34" fillId="0" borderId="0" applyFont="0" applyFill="0" applyBorder="0" applyAlignment="0" applyProtection="0"/>
    <xf numFmtId="182" fontId="34" fillId="0" borderId="0" applyFont="0" applyFill="0" applyBorder="0" applyAlignment="0" applyProtection="0"/>
    <xf numFmtId="182" fontId="34" fillId="0" borderId="0" applyFont="0" applyFill="0" applyBorder="0" applyAlignment="0" applyProtection="0"/>
    <xf numFmtId="182" fontId="34" fillId="0" borderId="0" applyFont="0" applyFill="0" applyBorder="0" applyAlignment="0" applyProtection="0"/>
    <xf numFmtId="182" fontId="34" fillId="0" borderId="0" applyFont="0" applyFill="0" applyBorder="0" applyAlignment="0" applyProtection="0"/>
    <xf numFmtId="182" fontId="34" fillId="0" borderId="0" applyFont="0" applyFill="0" applyBorder="0" applyAlignment="0" applyProtection="0"/>
    <xf numFmtId="182" fontId="34" fillId="0" borderId="0" applyFont="0" applyFill="0" applyBorder="0" applyAlignment="0" applyProtection="0"/>
    <xf numFmtId="182" fontId="34" fillId="0" borderId="0" applyFont="0" applyFill="0" applyBorder="0" applyAlignment="0" applyProtection="0"/>
    <xf numFmtId="182" fontId="34" fillId="0" borderId="0" applyFont="0" applyFill="0" applyBorder="0" applyAlignment="0" applyProtection="0"/>
    <xf numFmtId="182" fontId="34" fillId="0" borderId="0" applyFont="0" applyFill="0" applyBorder="0" applyAlignment="0" applyProtection="0"/>
    <xf numFmtId="182" fontId="34" fillId="0" borderId="0" applyFont="0" applyFill="0" applyBorder="0" applyAlignment="0" applyProtection="0"/>
    <xf numFmtId="182" fontId="34" fillId="0" borderId="0" applyFont="0" applyFill="0" applyBorder="0" applyAlignment="0" applyProtection="0"/>
    <xf numFmtId="182" fontId="34" fillId="0" borderId="0" applyFont="0" applyFill="0" applyBorder="0" applyAlignment="0" applyProtection="0"/>
    <xf numFmtId="182" fontId="34" fillId="0" borderId="0" applyFont="0" applyFill="0" applyBorder="0" applyAlignment="0" applyProtection="0"/>
    <xf numFmtId="182" fontId="34" fillId="0" borderId="0" applyFont="0" applyFill="0" applyBorder="0" applyAlignment="0" applyProtection="0"/>
    <xf numFmtId="182" fontId="34" fillId="0" borderId="0" applyFont="0" applyFill="0" applyBorder="0" applyAlignment="0" applyProtection="0"/>
    <xf numFmtId="182" fontId="34" fillId="0" borderId="0" applyFont="0" applyFill="0" applyBorder="0" applyAlignment="0" applyProtection="0"/>
    <xf numFmtId="182" fontId="34" fillId="0" borderId="0" applyFont="0" applyFill="0" applyBorder="0" applyAlignment="0" applyProtection="0"/>
    <xf numFmtId="182" fontId="34" fillId="0" borderId="0" applyFont="0" applyFill="0" applyBorder="0" applyAlignment="0" applyProtection="0"/>
    <xf numFmtId="182" fontId="34" fillId="0" borderId="0" applyFont="0" applyFill="0" applyBorder="0" applyAlignment="0" applyProtection="0"/>
    <xf numFmtId="182" fontId="34" fillId="0" borderId="0" applyFont="0" applyFill="0" applyBorder="0" applyAlignment="0" applyProtection="0"/>
    <xf numFmtId="42" fontId="33" fillId="0" borderId="0" applyFont="0" applyFill="0" applyBorder="0" applyAlignment="0" applyProtection="0"/>
    <xf numFmtId="44" fontId="33" fillId="0" borderId="0" applyFont="0" applyFill="0" applyBorder="0" applyAlignment="0" applyProtection="0"/>
    <xf numFmtId="192" fontId="29" fillId="28" borderId="0" applyBorder="0" applyAlignment="0" applyProtection="0"/>
    <xf numFmtId="0" fontId="47" fillId="83" borderId="0" applyNumberFormat="0" applyBorder="0" applyAlignment="0" applyProtection="0"/>
    <xf numFmtId="0" fontId="47" fillId="83" borderId="0" applyNumberFormat="0" applyBorder="0" applyAlignment="0" applyProtection="0"/>
    <xf numFmtId="0" fontId="47" fillId="83" borderId="0" applyNumberFormat="0" applyBorder="0" applyAlignment="0" applyProtection="0"/>
    <xf numFmtId="0" fontId="47" fillId="83" borderId="0" applyNumberFormat="0" applyBorder="0" applyAlignment="0" applyProtection="0"/>
    <xf numFmtId="0" fontId="47" fillId="83" borderId="0" applyNumberFormat="0" applyBorder="0" applyAlignment="0" applyProtection="0"/>
    <xf numFmtId="0" fontId="47" fillId="83" borderId="0" applyNumberFormat="0" applyBorder="0" applyAlignment="0" applyProtection="0"/>
    <xf numFmtId="0" fontId="47" fillId="83" borderId="0" applyNumberFormat="0" applyBorder="0" applyAlignment="0" applyProtection="0"/>
    <xf numFmtId="0" fontId="47" fillId="84" borderId="0" applyNumberFormat="0" applyBorder="0" applyAlignment="0" applyProtection="0"/>
    <xf numFmtId="0" fontId="47" fillId="83" borderId="0" applyNumberFormat="0" applyBorder="0" applyAlignment="0" applyProtection="0"/>
    <xf numFmtId="0" fontId="47" fillId="83" borderId="0" applyNumberFormat="0" applyBorder="0" applyAlignment="0" applyProtection="0"/>
    <xf numFmtId="188" fontId="33" fillId="0" borderId="0"/>
    <xf numFmtId="195" fontId="33" fillId="0" borderId="0"/>
    <xf numFmtId="0" fontId="2" fillId="0" borderId="0"/>
    <xf numFmtId="0" fontId="2" fillId="0" borderId="0"/>
    <xf numFmtId="0" fontId="33" fillId="0" borderId="0"/>
    <xf numFmtId="0" fontId="33" fillId="0" borderId="0"/>
    <xf numFmtId="0" fontId="33" fillId="0" borderId="0"/>
    <xf numFmtId="0" fontId="33" fillId="0" borderId="0"/>
    <xf numFmtId="0" fontId="2" fillId="0" borderId="0"/>
    <xf numFmtId="0" fontId="8" fillId="0" borderId="0"/>
    <xf numFmtId="0" fontId="33" fillId="0" borderId="0"/>
    <xf numFmtId="0" fontId="3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2" fillId="0" borderId="0"/>
    <xf numFmtId="0" fontId="2"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2" fillId="0" borderId="0"/>
    <xf numFmtId="0" fontId="33" fillId="0" borderId="0">
      <alignment vertical="top"/>
    </xf>
    <xf numFmtId="0" fontId="33" fillId="0" borderId="0"/>
    <xf numFmtId="0" fontId="35" fillId="0" borderId="0"/>
    <xf numFmtId="0" fontId="2" fillId="0" borderId="0"/>
    <xf numFmtId="0" fontId="2"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2" fillId="0" borderId="0"/>
    <xf numFmtId="0" fontId="33" fillId="0" borderId="0"/>
    <xf numFmtId="0" fontId="33" fillId="0" borderId="0"/>
    <xf numFmtId="0" fontId="35" fillId="0" borderId="0"/>
    <xf numFmtId="0" fontId="2" fillId="0" borderId="0"/>
    <xf numFmtId="0" fontId="33" fillId="0" borderId="0"/>
    <xf numFmtId="0" fontId="2" fillId="0" borderId="0"/>
    <xf numFmtId="0" fontId="33" fillId="0" borderId="0"/>
    <xf numFmtId="192"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2" fillId="0" borderId="0"/>
    <xf numFmtId="0" fontId="33" fillId="0" borderId="0"/>
    <xf numFmtId="0" fontId="13" fillId="0" borderId="0"/>
    <xf numFmtId="0" fontId="33" fillId="0" borderId="0"/>
    <xf numFmtId="0" fontId="33" fillId="0" borderId="0"/>
    <xf numFmtId="0" fontId="2" fillId="0" borderId="0"/>
    <xf numFmtId="0" fontId="2" fillId="0" borderId="0"/>
    <xf numFmtId="0" fontId="35"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13" fillId="0" borderId="0"/>
    <xf numFmtId="0" fontId="33" fillId="0" borderId="0"/>
    <xf numFmtId="0" fontId="33" fillId="0" borderId="0"/>
    <xf numFmtId="0" fontId="2" fillId="0" borderId="0"/>
    <xf numFmtId="0" fontId="2"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2" fillId="0" borderId="0"/>
    <xf numFmtId="0" fontId="2" fillId="0" borderId="0"/>
    <xf numFmtId="0" fontId="33" fillId="0" borderId="0"/>
    <xf numFmtId="0" fontId="13" fillId="0" borderId="0"/>
    <xf numFmtId="0" fontId="33" fillId="0" borderId="0"/>
    <xf numFmtId="0" fontId="13" fillId="0" borderId="0"/>
    <xf numFmtId="0" fontId="13" fillId="0" borderId="0"/>
    <xf numFmtId="0" fontId="13" fillId="0" borderId="0"/>
    <xf numFmtId="0" fontId="13" fillId="0" borderId="0"/>
    <xf numFmtId="0" fontId="13" fillId="0" borderId="0"/>
    <xf numFmtId="0" fontId="33"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33"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33" fillId="0" borderId="0"/>
    <xf numFmtId="0" fontId="2" fillId="0" borderId="0"/>
    <xf numFmtId="192" fontId="33" fillId="0" borderId="0"/>
    <xf numFmtId="0" fontId="2" fillId="0" borderId="0"/>
    <xf numFmtId="0" fontId="2" fillId="0" borderId="0"/>
    <xf numFmtId="0" fontId="33" fillId="85" borderId="49" applyNumberFormat="0" applyAlignment="0" applyProtection="0"/>
    <xf numFmtId="0" fontId="33" fillId="85" borderId="49" applyNumberFormat="0" applyAlignment="0" applyProtection="0"/>
    <xf numFmtId="0" fontId="33" fillId="86" borderId="49" applyNumberFormat="0" applyFont="0" applyAlignment="0" applyProtection="0"/>
    <xf numFmtId="0" fontId="33" fillId="85" borderId="49" applyNumberFormat="0" applyAlignment="0" applyProtection="0"/>
    <xf numFmtId="0" fontId="33" fillId="85" borderId="49" applyNumberFormat="0" applyAlignment="0" applyProtection="0"/>
    <xf numFmtId="0" fontId="33" fillId="86" borderId="49" applyNumberFormat="0" applyFont="0" applyAlignment="0" applyProtection="0"/>
    <xf numFmtId="0" fontId="33" fillId="86" borderId="49" applyNumberFormat="0" applyFont="0" applyAlignment="0" applyProtection="0"/>
    <xf numFmtId="0" fontId="33" fillId="85" borderId="49" applyNumberFormat="0" applyAlignment="0" applyProtection="0"/>
    <xf numFmtId="0" fontId="33" fillId="85" borderId="49" applyNumberFormat="0" applyAlignment="0" applyProtection="0"/>
    <xf numFmtId="0" fontId="33" fillId="85" borderId="49" applyNumberFormat="0" applyAlignment="0" applyProtection="0"/>
    <xf numFmtId="0" fontId="33" fillId="85" borderId="49" applyNumberFormat="0" applyAlignment="0" applyProtection="0"/>
    <xf numFmtId="0" fontId="33" fillId="85" borderId="49" applyNumberFormat="0" applyAlignment="0" applyProtection="0"/>
    <xf numFmtId="0" fontId="33" fillId="86" borderId="49" applyNumberFormat="0" applyFont="0" applyAlignment="0" applyProtection="0"/>
    <xf numFmtId="0" fontId="33" fillId="85" borderId="49" applyNumberFormat="0" applyAlignment="0" applyProtection="0"/>
    <xf numFmtId="0" fontId="33" fillId="86" borderId="49" applyNumberFormat="0" applyFont="0" applyAlignment="0" applyProtection="0"/>
    <xf numFmtId="192" fontId="33" fillId="31" borderId="41" applyNumberFormat="0" applyFont="0" applyAlignment="0" applyProtection="0"/>
    <xf numFmtId="0" fontId="33" fillId="85" borderId="49" applyNumberFormat="0" applyAlignment="0" applyProtection="0"/>
    <xf numFmtId="0" fontId="33" fillId="85" borderId="49" applyNumberFormat="0" applyAlignment="0" applyProtection="0"/>
    <xf numFmtId="0" fontId="33" fillId="85" borderId="49" applyNumberFormat="0" applyAlignment="0" applyProtection="0"/>
    <xf numFmtId="0" fontId="33" fillId="86" borderId="49" applyNumberFormat="0" applyFont="0" applyAlignment="0" applyProtection="0"/>
    <xf numFmtId="0" fontId="33" fillId="85" borderId="49" applyNumberFormat="0" applyAlignment="0" applyProtection="0"/>
    <xf numFmtId="0" fontId="33" fillId="86" borderId="49" applyNumberFormat="0" applyFont="0" applyAlignment="0" applyProtection="0"/>
    <xf numFmtId="0" fontId="33" fillId="85" borderId="49" applyNumberFormat="0" applyAlignment="0" applyProtection="0"/>
    <xf numFmtId="0" fontId="33" fillId="86" borderId="49" applyNumberFormat="0" applyFont="0" applyAlignment="0" applyProtection="0"/>
    <xf numFmtId="0" fontId="33" fillId="85" borderId="49" applyNumberFormat="0" applyAlignment="0" applyProtection="0"/>
    <xf numFmtId="0" fontId="33" fillId="86" borderId="49" applyNumberFormat="0" applyFont="0" applyAlignment="0" applyProtection="0"/>
    <xf numFmtId="0" fontId="33" fillId="86" borderId="49" applyNumberFormat="0" applyFont="0" applyAlignment="0" applyProtection="0"/>
    <xf numFmtId="0" fontId="33" fillId="86" borderId="49" applyNumberFormat="0" applyFont="0" applyAlignment="0" applyProtection="0"/>
    <xf numFmtId="0" fontId="33" fillId="86" borderId="49" applyNumberFormat="0" applyFont="0" applyAlignment="0" applyProtection="0"/>
    <xf numFmtId="0" fontId="33" fillId="86" borderId="49" applyNumberFormat="0" applyFont="0" applyAlignment="0" applyProtection="0"/>
    <xf numFmtId="192" fontId="33" fillId="31" borderId="41" applyNumberFormat="0" applyFont="0" applyAlignment="0" applyProtection="0"/>
    <xf numFmtId="40" fontId="59" fillId="0" borderId="0" applyFont="0" applyFill="0" applyBorder="0" applyAlignment="0" applyProtection="0"/>
    <xf numFmtId="38" fontId="59" fillId="0" borderId="0" applyFont="0" applyFill="0" applyBorder="0" applyAlignment="0" applyProtection="0"/>
    <xf numFmtId="192" fontId="2" fillId="89" borderId="0" applyBorder="0" applyAlignment="0" applyProtection="0"/>
    <xf numFmtId="192" fontId="2" fillId="89" borderId="0" applyBorder="0" applyAlignment="0" applyProtection="0"/>
    <xf numFmtId="192" fontId="28" fillId="27" borderId="0" applyBorder="0" applyAlignment="0" applyProtection="0"/>
    <xf numFmtId="0" fontId="48" fillId="75" borderId="50" applyNumberFormat="0" applyAlignment="0" applyProtection="0"/>
    <xf numFmtId="0" fontId="48" fillId="76" borderId="50" applyNumberFormat="0" applyAlignment="0" applyProtection="0"/>
    <xf numFmtId="0" fontId="48" fillId="76" borderId="50" applyNumberFormat="0" applyAlignment="0" applyProtection="0"/>
    <xf numFmtId="0" fontId="48" fillId="76" borderId="50" applyNumberFormat="0" applyAlignment="0" applyProtection="0"/>
    <xf numFmtId="0" fontId="48" fillId="75" borderId="50" applyNumberFormat="0" applyAlignment="0" applyProtection="0"/>
    <xf numFmtId="0" fontId="48" fillId="76" borderId="50" applyNumberFormat="0" applyAlignment="0" applyProtection="0"/>
    <xf numFmtId="0" fontId="48" fillId="76" borderId="50" applyNumberFormat="0" applyAlignment="0" applyProtection="0"/>
    <xf numFmtId="0" fontId="48" fillId="75" borderId="50" applyNumberFormat="0" applyAlignment="0" applyProtection="0"/>
    <xf numFmtId="0" fontId="48" fillId="76" borderId="50" applyNumberFormat="0" applyAlignment="0" applyProtection="0"/>
    <xf numFmtId="0" fontId="48" fillId="76" borderId="50" applyNumberFormat="0" applyAlignment="0" applyProtection="0"/>
    <xf numFmtId="0" fontId="48" fillId="75" borderId="50" applyNumberFormat="0" applyAlignment="0" applyProtection="0"/>
    <xf numFmtId="0" fontId="48" fillId="75" borderId="50" applyNumberFormat="0" applyAlignment="0" applyProtection="0"/>
    <xf numFmtId="0" fontId="48" fillId="75" borderId="50" applyNumberFormat="0" applyAlignment="0" applyProtection="0"/>
    <xf numFmtId="0" fontId="48" fillId="75" borderId="50" applyNumberFormat="0" applyAlignment="0" applyProtection="0"/>
    <xf numFmtId="14" fontId="55" fillId="0" borderId="0">
      <alignment horizontal="center" wrapText="1"/>
      <protection locked="0"/>
    </xf>
    <xf numFmtId="9" fontId="33" fillId="0" borderId="0" applyFill="0" applyBorder="0" applyAlignment="0" applyProtection="0"/>
    <xf numFmtId="189" fontId="56" fillId="0" borderId="0" applyFont="0" applyFill="0" applyBorder="0" applyAlignment="0" applyProtection="0"/>
    <xf numFmtId="190" fontId="33" fillId="0" borderId="0" applyFont="0" applyFill="0" applyBorder="0" applyAlignment="0" applyProtection="0"/>
    <xf numFmtId="10" fontId="33" fillId="0" borderId="0" applyFont="0" applyFill="0" applyBorder="0" applyAlignment="0" applyProtection="0"/>
    <xf numFmtId="9" fontId="33" fillId="0" borderId="0" applyFill="0" applyBorder="0" applyAlignment="0" applyProtection="0"/>
    <xf numFmtId="9" fontId="33" fillId="0" borderId="0" applyFont="0" applyFill="0" applyBorder="0" applyAlignment="0" applyProtection="0"/>
    <xf numFmtId="9" fontId="33" fillId="0" borderId="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ill="0" applyBorder="0" applyAlignment="0" applyProtection="0"/>
    <xf numFmtId="9" fontId="34" fillId="0" borderId="0" applyFont="0" applyFill="0" applyBorder="0" applyAlignment="0" applyProtection="0"/>
    <xf numFmtId="9" fontId="33" fillId="0" borderId="0" applyFont="0" applyFill="0" applyBorder="0" applyAlignment="0" applyProtection="0"/>
    <xf numFmtId="9" fontId="34" fillId="0" borderId="0" applyFont="0" applyFill="0" applyBorder="0" applyAlignment="0" applyProtection="0"/>
    <xf numFmtId="9" fontId="34" fillId="0" borderId="0" applyFont="0" applyFill="0" applyBorder="0" applyAlignment="0" applyProtection="0"/>
    <xf numFmtId="9" fontId="34" fillId="0" borderId="0" applyFont="0" applyFill="0" applyBorder="0" applyAlignment="0" applyProtection="0"/>
    <xf numFmtId="9" fontId="34" fillId="0" borderId="0" applyFont="0" applyFill="0" applyBorder="0" applyAlignment="0" applyProtection="0"/>
    <xf numFmtId="9" fontId="34" fillId="0" borderId="0" applyFont="0" applyFill="0" applyBorder="0" applyAlignment="0" applyProtection="0"/>
    <xf numFmtId="9" fontId="34" fillId="0" borderId="0" applyFont="0" applyFill="0" applyBorder="0" applyAlignment="0" applyProtection="0"/>
    <xf numFmtId="9" fontId="34" fillId="0" borderId="0" applyFont="0" applyFill="0" applyBorder="0" applyAlignment="0" applyProtection="0"/>
    <xf numFmtId="9" fontId="34" fillId="0" borderId="0" applyFont="0" applyFill="0" applyBorder="0" applyAlignment="0" applyProtection="0"/>
    <xf numFmtId="9" fontId="34" fillId="0" borderId="0" applyFont="0" applyFill="0" applyBorder="0" applyAlignment="0" applyProtection="0"/>
    <xf numFmtId="9" fontId="34" fillId="0" borderId="0" applyFont="0" applyFill="0" applyBorder="0" applyAlignment="0" applyProtection="0"/>
    <xf numFmtId="9" fontId="34" fillId="0" borderId="0" applyFont="0" applyFill="0" applyBorder="0" applyAlignment="0" applyProtection="0"/>
    <xf numFmtId="9" fontId="34" fillId="0" borderId="0" applyFont="0" applyFill="0" applyBorder="0" applyAlignment="0" applyProtection="0"/>
    <xf numFmtId="9" fontId="34" fillId="0" borderId="0" applyFont="0" applyFill="0" applyBorder="0" applyAlignment="0" applyProtection="0"/>
    <xf numFmtId="9" fontId="34" fillId="0" borderId="0" applyFont="0" applyFill="0" applyBorder="0" applyAlignment="0" applyProtection="0"/>
    <xf numFmtId="9" fontId="34" fillId="0" borderId="0" applyFont="0" applyFill="0" applyBorder="0" applyAlignment="0" applyProtection="0"/>
    <xf numFmtId="9" fontId="34" fillId="0" borderId="0" applyFont="0" applyFill="0" applyBorder="0" applyAlignment="0" applyProtection="0"/>
    <xf numFmtId="9" fontId="33" fillId="0" borderId="0" applyFill="0" applyBorder="0" applyAlignment="0" applyProtection="0"/>
    <xf numFmtId="9" fontId="34" fillId="0" borderId="0" applyFont="0" applyFill="0" applyBorder="0" applyAlignment="0" applyProtection="0"/>
    <xf numFmtId="9" fontId="34" fillId="0" borderId="0" applyFont="0" applyFill="0" applyBorder="0" applyAlignment="0" applyProtection="0"/>
    <xf numFmtId="9" fontId="34" fillId="0" borderId="0" applyFont="0" applyFill="0" applyBorder="0" applyAlignment="0" applyProtection="0"/>
    <xf numFmtId="9" fontId="34" fillId="0" borderId="0" applyFont="0" applyFill="0" applyBorder="0" applyAlignment="0" applyProtection="0"/>
    <xf numFmtId="9" fontId="34" fillId="0" borderId="0" applyFont="0" applyFill="0" applyBorder="0" applyAlignment="0" applyProtection="0"/>
    <xf numFmtId="9" fontId="34" fillId="0" borderId="0" applyFont="0" applyFill="0" applyBorder="0" applyAlignment="0" applyProtection="0"/>
    <xf numFmtId="9" fontId="34" fillId="0" borderId="0" applyFont="0" applyFill="0" applyBorder="0" applyAlignment="0" applyProtection="0"/>
    <xf numFmtId="9" fontId="34" fillId="0" borderId="0" applyFont="0" applyFill="0" applyBorder="0" applyAlignment="0" applyProtection="0"/>
    <xf numFmtId="9" fontId="34" fillId="0" borderId="0" applyFont="0" applyFill="0" applyBorder="0" applyAlignment="0" applyProtection="0"/>
    <xf numFmtId="9" fontId="34" fillId="0" borderId="0" applyFont="0" applyFill="0" applyBorder="0" applyAlignment="0" applyProtection="0"/>
    <xf numFmtId="9" fontId="34" fillId="0" borderId="0" applyFont="0" applyFill="0" applyBorder="0" applyAlignment="0" applyProtection="0"/>
    <xf numFmtId="9" fontId="34" fillId="0" borderId="0" applyFont="0" applyFill="0" applyBorder="0" applyAlignment="0" applyProtection="0"/>
    <xf numFmtId="9" fontId="34" fillId="0" borderId="0" applyFont="0" applyFill="0" applyBorder="0" applyAlignment="0" applyProtection="0"/>
    <xf numFmtId="9" fontId="34" fillId="0" borderId="0" applyFont="0" applyFill="0" applyBorder="0" applyAlignment="0" applyProtection="0"/>
    <xf numFmtId="185" fontId="33" fillId="0" borderId="0" applyFill="0" applyBorder="0" applyAlignment="0"/>
    <xf numFmtId="184" fontId="56" fillId="0" borderId="0" applyFill="0" applyBorder="0" applyAlignment="0"/>
    <xf numFmtId="185" fontId="33" fillId="0" borderId="0" applyFill="0" applyBorder="0" applyAlignment="0"/>
    <xf numFmtId="187" fontId="56" fillId="0" borderId="0" applyFill="0" applyBorder="0" applyAlignment="0"/>
    <xf numFmtId="184" fontId="56" fillId="0" borderId="0" applyFill="0" applyBorder="0" applyAlignment="0"/>
    <xf numFmtId="0" fontId="57" fillId="0" borderId="0" applyNumberFormat="0" applyFont="0" applyFill="0" applyBorder="0" applyAlignment="0" applyProtection="0">
      <alignment horizontal="left"/>
    </xf>
    <xf numFmtId="15" fontId="57" fillId="0" borderId="0" applyFont="0" applyFill="0" applyBorder="0" applyAlignment="0" applyProtection="0"/>
    <xf numFmtId="4" fontId="57" fillId="0" borderId="0" applyFont="0" applyFill="0" applyBorder="0" applyAlignment="0" applyProtection="0"/>
    <xf numFmtId="0" fontId="60" fillId="0" borderId="19">
      <alignment horizontal="center"/>
    </xf>
    <xf numFmtId="3" fontId="57" fillId="0" borderId="0" applyFont="0" applyFill="0" applyBorder="0" applyAlignment="0" applyProtection="0"/>
    <xf numFmtId="0" fontId="57" fillId="87" borderId="0" applyNumberFormat="0" applyFont="0" applyBorder="0" applyAlignment="0" applyProtection="0"/>
    <xf numFmtId="0" fontId="48" fillId="78" borderId="50" applyNumberFormat="0" applyAlignment="0" applyProtection="0"/>
    <xf numFmtId="0" fontId="48" fillId="78" borderId="50" applyNumberFormat="0" applyAlignment="0" applyProtection="0"/>
    <xf numFmtId="0" fontId="48" fillId="78" borderId="50" applyNumberFormat="0" applyAlignment="0" applyProtection="0"/>
    <xf numFmtId="0" fontId="48" fillId="75" borderId="50" applyNumberFormat="0" applyAlignment="0" applyProtection="0"/>
    <xf numFmtId="0" fontId="62" fillId="88" borderId="0" applyNumberFormat="0" applyFont="0" applyBorder="0" applyAlignment="0" applyProtection="0">
      <alignment horizontal="left"/>
    </xf>
    <xf numFmtId="189" fontId="57" fillId="0" borderId="0">
      <alignment horizontal="center"/>
    </xf>
    <xf numFmtId="192" fontId="65" fillId="29" borderId="0" applyBorder="0" applyAlignment="0" applyProtection="0"/>
    <xf numFmtId="0" fontId="65" fillId="29" borderId="0" applyBorder="0" applyAlignment="0" applyProtection="0"/>
    <xf numFmtId="0" fontId="63" fillId="0" borderId="0"/>
    <xf numFmtId="0" fontId="63" fillId="0" borderId="0"/>
    <xf numFmtId="0" fontId="63" fillId="0" borderId="0"/>
    <xf numFmtId="0" fontId="63" fillId="0" borderId="0"/>
    <xf numFmtId="49" fontId="58" fillId="0" borderId="0" applyFill="0" applyBorder="0" applyAlignment="0"/>
    <xf numFmtId="191" fontId="56" fillId="0" borderId="0" applyFill="0" applyBorder="0" applyAlignment="0"/>
    <xf numFmtId="191" fontId="33" fillId="0" borderId="0" applyFill="0" applyBorder="0" applyAlignment="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2" fillId="0" borderId="46" applyNumberFormat="0" applyFill="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3" fillId="0" borderId="47" applyNumberFormat="0" applyFill="0" applyAlignment="0" applyProtection="0"/>
    <xf numFmtId="0" fontId="43" fillId="0" borderId="47" applyNumberFormat="0" applyFill="0" applyAlignment="0" applyProtection="0"/>
    <xf numFmtId="0" fontId="43" fillId="0" borderId="47" applyNumberFormat="0" applyFill="0" applyAlignment="0" applyProtection="0"/>
    <xf numFmtId="0" fontId="44" fillId="0" borderId="48" applyNumberFormat="0" applyFill="0" applyAlignment="0" applyProtection="0"/>
    <xf numFmtId="0" fontId="44" fillId="0" borderId="48" applyNumberFormat="0" applyFill="0" applyAlignment="0" applyProtection="0"/>
    <xf numFmtId="0" fontId="44" fillId="0" borderId="48" applyNumberFormat="0" applyFill="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0" fillId="0" borderId="51" applyNumberFormat="0" applyFill="0" applyAlignment="0" applyProtection="0"/>
    <xf numFmtId="0" fontId="50" fillId="0" borderId="51" applyNumberFormat="0" applyFill="0" applyAlignment="0" applyProtection="0"/>
    <xf numFmtId="0" fontId="50" fillId="0" borderId="51" applyNumberFormat="0" applyFill="0" applyAlignment="0" applyProtection="0"/>
    <xf numFmtId="0" fontId="50" fillId="0" borderId="51" applyNumberFormat="0" applyFill="0" applyAlignment="0" applyProtection="0"/>
    <xf numFmtId="0" fontId="50" fillId="0" borderId="51" applyNumberFormat="0" applyFill="0" applyAlignment="0" applyProtection="0"/>
    <xf numFmtId="183" fontId="33" fillId="0" borderId="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66" fillId="0" borderId="0"/>
    <xf numFmtId="0" fontId="66" fillId="0" borderId="0"/>
    <xf numFmtId="0" fontId="66" fillId="0" borderId="0"/>
    <xf numFmtId="0" fontId="66" fillId="0" borderId="0"/>
    <xf numFmtId="0" fontId="66" fillId="0" borderId="0"/>
    <xf numFmtId="0" fontId="66" fillId="0" borderId="0"/>
    <xf numFmtId="0" fontId="70" fillId="0" borderId="0" applyNumberFormat="0" applyFill="0" applyBorder="0" applyAlignment="0" applyProtection="0"/>
    <xf numFmtId="0" fontId="71" fillId="0" borderId="0" applyNumberFormat="0" applyFill="0" applyBorder="0" applyAlignment="0" applyProtection="0"/>
    <xf numFmtId="0" fontId="66" fillId="34" borderId="0" applyNumberFormat="0" applyBorder="0" applyAlignment="0" applyProtection="0"/>
    <xf numFmtId="0" fontId="66" fillId="91" borderId="0" applyNumberFormat="0" applyBorder="0" applyAlignment="0" applyProtection="0"/>
    <xf numFmtId="0" fontId="66" fillId="91" borderId="0" applyNumberFormat="0" applyBorder="0" applyAlignment="0" applyProtection="0"/>
    <xf numFmtId="0" fontId="66" fillId="92" borderId="0" applyNumberFormat="0" applyBorder="0" applyAlignment="0" applyProtection="0"/>
    <xf numFmtId="0" fontId="66" fillId="34" borderId="0" applyNumberFormat="0" applyBorder="0" applyAlignment="0" applyProtection="0"/>
    <xf numFmtId="0" fontId="66" fillId="44" borderId="0" applyNumberFormat="0" applyBorder="0" applyAlignment="0" applyProtection="0"/>
    <xf numFmtId="0" fontId="66" fillId="34" borderId="0" applyNumberFormat="0" applyBorder="0" applyAlignment="0" applyProtection="0"/>
    <xf numFmtId="0" fontId="66" fillId="52" borderId="0" applyNumberFormat="0" applyBorder="0" applyAlignment="0" applyProtection="0"/>
    <xf numFmtId="0" fontId="66" fillId="91" borderId="0" applyNumberFormat="0" applyBorder="0" applyAlignment="0" applyProtection="0"/>
    <xf numFmtId="0" fontId="66" fillId="75" borderId="0" applyNumberFormat="0" applyBorder="0" applyAlignment="0" applyProtection="0"/>
    <xf numFmtId="0" fontId="66" fillId="34" borderId="0" applyNumberFormat="0" applyBorder="0" applyAlignment="0" applyProtection="0"/>
    <xf numFmtId="0" fontId="66" fillId="44" borderId="0" applyNumberFormat="0" applyBorder="0" applyAlignment="0" applyProtection="0"/>
    <xf numFmtId="0" fontId="69" fillId="34" borderId="0" applyNumberFormat="0" applyBorder="0" applyAlignment="0" applyProtection="0"/>
    <xf numFmtId="0" fontId="69" fillId="52" borderId="0" applyNumberFormat="0" applyBorder="0" applyAlignment="0" applyProtection="0"/>
    <xf numFmtId="0" fontId="69" fillId="91" borderId="0" applyNumberFormat="0" applyBorder="0" applyAlignment="0" applyProtection="0"/>
    <xf numFmtId="0" fontId="69" fillId="75" borderId="0" applyNumberFormat="0" applyBorder="0" applyAlignment="0" applyProtection="0"/>
    <xf numFmtId="0" fontId="69" fillId="34" borderId="0" applyNumberFormat="0" applyBorder="0" applyAlignment="0" applyProtection="0"/>
    <xf numFmtId="0" fontId="69" fillId="44" borderId="0" applyNumberFormat="0" applyBorder="0" applyAlignment="0" applyProtection="0"/>
    <xf numFmtId="0" fontId="69" fillId="63" borderId="0" applyNumberFormat="0" applyBorder="0" applyAlignment="0" applyProtection="0"/>
    <xf numFmtId="0" fontId="69" fillId="69" borderId="0" applyNumberFormat="0" applyBorder="0" applyAlignment="0" applyProtection="0"/>
    <xf numFmtId="0" fontId="69" fillId="71" borderId="0" applyNumberFormat="0" applyBorder="0" applyAlignment="0" applyProtection="0"/>
    <xf numFmtId="0" fontId="69" fillId="90" borderId="0" applyNumberFormat="0" applyBorder="0" applyAlignment="0" applyProtection="0"/>
    <xf numFmtId="0" fontId="69" fillId="63" borderId="0" applyNumberFormat="0" applyBorder="0" applyAlignment="0" applyProtection="0"/>
    <xf numFmtId="0" fontId="69" fillId="73" borderId="0" applyNumberFormat="0" applyBorder="0" applyAlignment="0" applyProtection="0"/>
    <xf numFmtId="0" fontId="72" fillId="44" borderId="42" applyNumberFormat="0" applyAlignment="0" applyProtection="0"/>
    <xf numFmtId="0" fontId="73" fillId="92" borderId="50" applyNumberFormat="0" applyAlignment="0" applyProtection="0"/>
    <xf numFmtId="0" fontId="74" fillId="92" borderId="42" applyNumberFormat="0" applyAlignment="0" applyProtection="0"/>
    <xf numFmtId="0" fontId="75" fillId="0" borderId="52" applyNumberFormat="0" applyFill="0" applyAlignment="0" applyProtection="0"/>
    <xf numFmtId="0" fontId="76" fillId="0" borderId="54" applyNumberFormat="0" applyFill="0" applyAlignment="0" applyProtection="0"/>
    <xf numFmtId="0" fontId="77" fillId="0" borderId="55" applyNumberFormat="0" applyFill="0" applyAlignment="0" applyProtection="0"/>
    <xf numFmtId="0" fontId="77" fillId="0" borderId="0" applyNumberFormat="0" applyFill="0" applyBorder="0" applyAlignment="0" applyProtection="0"/>
    <xf numFmtId="0" fontId="78" fillId="0" borderId="53" applyNumberFormat="0" applyFill="0" applyAlignment="0" applyProtection="0"/>
    <xf numFmtId="0" fontId="79" fillId="79" borderId="43" applyNumberFormat="0" applyAlignment="0" applyProtection="0"/>
    <xf numFmtId="0" fontId="80" fillId="0" borderId="0" applyNumberFormat="0" applyFill="0" applyBorder="0" applyAlignment="0" applyProtection="0"/>
    <xf numFmtId="0" fontId="81" fillId="84" borderId="0" applyNumberFormat="0" applyBorder="0" applyAlignment="0" applyProtection="0"/>
    <xf numFmtId="0" fontId="82" fillId="36" borderId="0" applyNumberFormat="0" applyBorder="0" applyAlignment="0" applyProtection="0"/>
    <xf numFmtId="0" fontId="83" fillId="0" borderId="0" applyNumberFormat="0" applyFill="0" applyBorder="0" applyAlignment="0" applyProtection="0"/>
    <xf numFmtId="0" fontId="66" fillId="86" borderId="49" applyNumberFormat="0" applyFont="0" applyAlignment="0" applyProtection="0"/>
    <xf numFmtId="0" fontId="84" fillId="0" borderId="44" applyNumberFormat="0" applyFill="0" applyAlignment="0" applyProtection="0"/>
    <xf numFmtId="0" fontId="68" fillId="0" borderId="0" applyNumberFormat="0" applyFill="0" applyBorder="0" applyAlignment="0" applyProtection="0"/>
    <xf numFmtId="0" fontId="85" fillId="91" borderId="0" applyNumberFormat="0" applyBorder="0" applyAlignment="0" applyProtection="0"/>
    <xf numFmtId="0" fontId="66" fillId="0" borderId="0"/>
    <xf numFmtId="0" fontId="66" fillId="0" borderId="0"/>
    <xf numFmtId="0" fontId="66" fillId="0" borderId="0"/>
    <xf numFmtId="0" fontId="66" fillId="0" borderId="0"/>
    <xf numFmtId="0" fontId="66" fillId="0" borderId="0"/>
    <xf numFmtId="0" fontId="67" fillId="0" borderId="0"/>
    <xf numFmtId="0" fontId="66" fillId="0" borderId="0"/>
    <xf numFmtId="0" fontId="66" fillId="0" borderId="0"/>
    <xf numFmtId="0" fontId="66" fillId="0" borderId="0"/>
    <xf numFmtId="0" fontId="86" fillId="0" borderId="0" applyNumberFormat="0" applyFill="0" applyBorder="0" applyAlignment="0" applyProtection="0"/>
    <xf numFmtId="0" fontId="86" fillId="0" borderId="0" applyNumberForma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70" fillId="0" borderId="0" applyNumberFormat="0" applyFill="0" applyBorder="0" applyAlignment="0" applyProtection="0"/>
    <xf numFmtId="0" fontId="66" fillId="0" borderId="0" applyNumberFormat="0" applyFill="0" applyBorder="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71" fillId="0" borderId="0" applyNumberFormat="0" applyFill="0" applyBorder="0" applyAlignment="0" applyProtection="0"/>
    <xf numFmtId="0" fontId="66"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6" borderId="0" applyNumberFormat="0" applyBorder="0" applyAlignment="0" applyProtection="0"/>
    <xf numFmtId="0" fontId="66" fillId="36" borderId="0" applyNumberFormat="0" applyBorder="0" applyAlignment="0" applyProtection="0"/>
    <xf numFmtId="0" fontId="66" fillId="36" borderId="0" applyNumberFormat="0" applyBorder="0" applyAlignment="0" applyProtection="0"/>
    <xf numFmtId="0" fontId="66" fillId="36" borderId="0" applyNumberFormat="0" applyBorder="0" applyAlignment="0" applyProtection="0"/>
    <xf numFmtId="0" fontId="66" fillId="36" borderId="0" applyNumberFormat="0" applyBorder="0" applyAlignment="0" applyProtection="0"/>
    <xf numFmtId="0" fontId="66" fillId="36" borderId="0" applyNumberFormat="0" applyBorder="0" applyAlignment="0" applyProtection="0"/>
    <xf numFmtId="0" fontId="66" fillId="36" borderId="0" applyNumberFormat="0" applyBorder="0" applyAlignment="0" applyProtection="0"/>
    <xf numFmtId="0" fontId="66" fillId="36" borderId="0" applyNumberFormat="0" applyBorder="0" applyAlignment="0" applyProtection="0"/>
    <xf numFmtId="0" fontId="66" fillId="36" borderId="0" applyNumberFormat="0" applyBorder="0" applyAlignment="0" applyProtection="0"/>
    <xf numFmtId="0" fontId="66" fillId="36" borderId="0" applyNumberFormat="0" applyBorder="0" applyAlignment="0" applyProtection="0"/>
    <xf numFmtId="0" fontId="66" fillId="36" borderId="0" applyNumberFormat="0" applyBorder="0" applyAlignment="0" applyProtection="0"/>
    <xf numFmtId="0" fontId="66" fillId="36" borderId="0" applyNumberFormat="0" applyBorder="0" applyAlignment="0" applyProtection="0"/>
    <xf numFmtId="0" fontId="66" fillId="36" borderId="0" applyNumberFormat="0" applyBorder="0" applyAlignment="0" applyProtection="0"/>
    <xf numFmtId="0" fontId="66" fillId="36" borderId="0" applyNumberFormat="0" applyBorder="0" applyAlignment="0" applyProtection="0"/>
    <xf numFmtId="0" fontId="66" fillId="36" borderId="0" applyNumberFormat="0" applyBorder="0" applyAlignment="0" applyProtection="0"/>
    <xf numFmtId="0" fontId="66" fillId="36" borderId="0" applyNumberFormat="0" applyBorder="0" applyAlignment="0" applyProtection="0"/>
    <xf numFmtId="0" fontId="66" fillId="36" borderId="0" applyNumberFormat="0" applyBorder="0" applyAlignment="0" applyProtection="0"/>
    <xf numFmtId="0" fontId="66" fillId="36" borderId="0" applyNumberFormat="0" applyBorder="0" applyAlignment="0" applyProtection="0"/>
    <xf numFmtId="0" fontId="66" fillId="36" borderId="0" applyNumberFormat="0" applyBorder="0" applyAlignment="0" applyProtection="0"/>
    <xf numFmtId="0" fontId="66" fillId="36" borderId="0" applyNumberFormat="0" applyBorder="0" applyAlignment="0" applyProtection="0"/>
    <xf numFmtId="0" fontId="66" fillId="91" borderId="0" applyNumberFormat="0" applyBorder="0" applyAlignment="0" applyProtection="0"/>
    <xf numFmtId="0" fontId="66" fillId="91" borderId="0" applyNumberFormat="0" applyBorder="0" applyAlignment="0" applyProtection="0"/>
    <xf numFmtId="0" fontId="66" fillId="91" borderId="0" applyNumberFormat="0" applyBorder="0" applyAlignment="0" applyProtection="0"/>
    <xf numFmtId="0" fontId="66" fillId="91" borderId="0" applyNumberFormat="0" applyBorder="0" applyAlignment="0" applyProtection="0"/>
    <xf numFmtId="0" fontId="66" fillId="91" borderId="0" applyNumberFormat="0" applyBorder="0" applyAlignment="0" applyProtection="0"/>
    <xf numFmtId="0" fontId="66" fillId="91" borderId="0" applyNumberFormat="0" applyBorder="0" applyAlignment="0" applyProtection="0"/>
    <xf numFmtId="0" fontId="66" fillId="91" borderId="0" applyNumberFormat="0" applyBorder="0" applyAlignment="0" applyProtection="0"/>
    <xf numFmtId="0" fontId="66" fillId="91" borderId="0" applyNumberFormat="0" applyBorder="0" applyAlignment="0" applyProtection="0"/>
    <xf numFmtId="0" fontId="66" fillId="91" borderId="0" applyNumberFormat="0" applyBorder="0" applyAlignment="0" applyProtection="0"/>
    <xf numFmtId="0" fontId="66" fillId="91" borderId="0" applyNumberFormat="0" applyBorder="0" applyAlignment="0" applyProtection="0"/>
    <xf numFmtId="0" fontId="66" fillId="91" borderId="0" applyNumberFormat="0" applyBorder="0" applyAlignment="0" applyProtection="0"/>
    <xf numFmtId="0" fontId="66" fillId="91" borderId="0" applyNumberFormat="0" applyBorder="0" applyAlignment="0" applyProtection="0"/>
    <xf numFmtId="0" fontId="66" fillId="91" borderId="0" applyNumberFormat="0" applyBorder="0" applyAlignment="0" applyProtection="0"/>
    <xf numFmtId="0" fontId="66" fillId="91" borderId="0" applyNumberFormat="0" applyBorder="0" applyAlignment="0" applyProtection="0"/>
    <xf numFmtId="0" fontId="66" fillId="91" borderId="0" applyNumberFormat="0" applyBorder="0" applyAlignment="0" applyProtection="0"/>
    <xf numFmtId="0" fontId="66" fillId="91" borderId="0" applyNumberFormat="0" applyBorder="0" applyAlignment="0" applyProtection="0"/>
    <xf numFmtId="0" fontId="66" fillId="91" borderId="0" applyNumberFormat="0" applyBorder="0" applyAlignment="0" applyProtection="0"/>
    <xf numFmtId="0" fontId="66" fillId="91" borderId="0" applyNumberFormat="0" applyBorder="0" applyAlignment="0" applyProtection="0"/>
    <xf numFmtId="0" fontId="66" fillId="36" borderId="0" applyNumberFormat="0" applyBorder="0" applyAlignment="0" applyProtection="0"/>
    <xf numFmtId="0" fontId="66" fillId="91" borderId="0" applyNumberFormat="0" applyBorder="0" applyAlignment="0" applyProtection="0"/>
    <xf numFmtId="0" fontId="66" fillId="91" borderId="0" applyNumberFormat="0" applyBorder="0" applyAlignment="0" applyProtection="0"/>
    <xf numFmtId="0" fontId="66" fillId="91" borderId="0" applyNumberFormat="0" applyBorder="0" applyAlignment="0" applyProtection="0"/>
    <xf numFmtId="0" fontId="66" fillId="91" borderId="0" applyNumberFormat="0" applyBorder="0" applyAlignment="0" applyProtection="0"/>
    <xf numFmtId="0" fontId="66" fillId="91" borderId="0" applyNumberFormat="0" applyBorder="0" applyAlignment="0" applyProtection="0"/>
    <xf numFmtId="0" fontId="66" fillId="91" borderId="0" applyNumberFormat="0" applyBorder="0" applyAlignment="0" applyProtection="0"/>
    <xf numFmtId="0" fontId="66" fillId="91" borderId="0" applyNumberFormat="0" applyBorder="0" applyAlignment="0" applyProtection="0"/>
    <xf numFmtId="0" fontId="66" fillId="91" borderId="0" applyNumberFormat="0" applyBorder="0" applyAlignment="0" applyProtection="0"/>
    <xf numFmtId="0" fontId="66" fillId="91" borderId="0" applyNumberFormat="0" applyBorder="0" applyAlignment="0" applyProtection="0"/>
    <xf numFmtId="0" fontId="66" fillId="91" borderId="0" applyNumberFormat="0" applyBorder="0" applyAlignment="0" applyProtection="0"/>
    <xf numFmtId="0" fontId="66" fillId="91" borderId="0" applyNumberFormat="0" applyBorder="0" applyAlignment="0" applyProtection="0"/>
    <xf numFmtId="0" fontId="66" fillId="91" borderId="0" applyNumberFormat="0" applyBorder="0" applyAlignment="0" applyProtection="0"/>
    <xf numFmtId="0" fontId="66" fillId="91" borderId="0" applyNumberFormat="0" applyBorder="0" applyAlignment="0" applyProtection="0"/>
    <xf numFmtId="0" fontId="66" fillId="91" borderId="0" applyNumberFormat="0" applyBorder="0" applyAlignment="0" applyProtection="0"/>
    <xf numFmtId="0" fontId="66" fillId="91" borderId="0" applyNumberFormat="0" applyBorder="0" applyAlignment="0" applyProtection="0"/>
    <xf numFmtId="0" fontId="66" fillId="91" borderId="0" applyNumberFormat="0" applyBorder="0" applyAlignment="0" applyProtection="0"/>
    <xf numFmtId="0" fontId="66" fillId="36" borderId="0" applyNumberFormat="0" applyBorder="0" applyAlignment="0" applyProtection="0"/>
    <xf numFmtId="0" fontId="66" fillId="36" borderId="0" applyNumberFormat="0" applyBorder="0" applyAlignment="0" applyProtection="0"/>
    <xf numFmtId="0" fontId="66" fillId="36" borderId="0" applyNumberFormat="0" applyBorder="0" applyAlignment="0" applyProtection="0"/>
    <xf numFmtId="0" fontId="66" fillId="36" borderId="0" applyNumberFormat="0" applyBorder="0" applyAlignment="0" applyProtection="0"/>
    <xf numFmtId="0" fontId="66" fillId="36" borderId="0" applyNumberFormat="0" applyBorder="0" applyAlignment="0" applyProtection="0"/>
    <xf numFmtId="0" fontId="66" fillId="36" borderId="0" applyNumberFormat="0" applyBorder="0" applyAlignment="0" applyProtection="0"/>
    <xf numFmtId="0" fontId="66" fillId="36" borderId="0" applyNumberFormat="0" applyBorder="0" applyAlignment="0" applyProtection="0"/>
    <xf numFmtId="0" fontId="66" fillId="36" borderId="0" applyNumberFormat="0" applyBorder="0" applyAlignment="0" applyProtection="0"/>
    <xf numFmtId="0" fontId="66" fillId="36" borderId="0" applyNumberFormat="0" applyBorder="0" applyAlignment="0" applyProtection="0"/>
    <xf numFmtId="0" fontId="66" fillId="36" borderId="0" applyNumberFormat="0" applyBorder="0" applyAlignment="0" applyProtection="0"/>
    <xf numFmtId="0" fontId="66" fillId="36" borderId="0" applyNumberFormat="0" applyBorder="0" applyAlignment="0" applyProtection="0"/>
    <xf numFmtId="0" fontId="66" fillId="36" borderId="0" applyNumberFormat="0" applyBorder="0" applyAlignment="0" applyProtection="0"/>
    <xf numFmtId="0" fontId="66" fillId="36" borderId="0" applyNumberFormat="0" applyBorder="0" applyAlignment="0" applyProtection="0"/>
    <xf numFmtId="0" fontId="66" fillId="36" borderId="0" applyNumberFormat="0" applyBorder="0" applyAlignment="0" applyProtection="0"/>
    <xf numFmtId="0" fontId="66" fillId="36" borderId="0" applyNumberFormat="0" applyBorder="0" applyAlignment="0" applyProtection="0"/>
    <xf numFmtId="0" fontId="66" fillId="36" borderId="0" applyNumberFormat="0" applyBorder="0" applyAlignment="0" applyProtection="0"/>
    <xf numFmtId="0" fontId="66" fillId="36" borderId="0" applyNumberFormat="0" applyBorder="0" applyAlignment="0" applyProtection="0"/>
    <xf numFmtId="0" fontId="66" fillId="36" borderId="0" applyNumberFormat="0" applyBorder="0" applyAlignment="0" applyProtection="0"/>
    <xf numFmtId="0" fontId="66" fillId="38" borderId="0" applyNumberFormat="0" applyBorder="0" applyAlignment="0" applyProtection="0"/>
    <xf numFmtId="0" fontId="66" fillId="38" borderId="0" applyNumberFormat="0" applyBorder="0" applyAlignment="0" applyProtection="0"/>
    <xf numFmtId="0" fontId="66" fillId="38" borderId="0" applyNumberFormat="0" applyBorder="0" applyAlignment="0" applyProtection="0"/>
    <xf numFmtId="0" fontId="66" fillId="38" borderId="0" applyNumberFormat="0" applyBorder="0" applyAlignment="0" applyProtection="0"/>
    <xf numFmtId="0" fontId="66" fillId="38" borderId="0" applyNumberFormat="0" applyBorder="0" applyAlignment="0" applyProtection="0"/>
    <xf numFmtId="0" fontId="66" fillId="38" borderId="0" applyNumberFormat="0" applyBorder="0" applyAlignment="0" applyProtection="0"/>
    <xf numFmtId="0" fontId="66" fillId="38" borderId="0" applyNumberFormat="0" applyBorder="0" applyAlignment="0" applyProtection="0"/>
    <xf numFmtId="0" fontId="66" fillId="38" borderId="0" applyNumberFormat="0" applyBorder="0" applyAlignment="0" applyProtection="0"/>
    <xf numFmtId="0" fontId="66" fillId="38" borderId="0" applyNumberFormat="0" applyBorder="0" applyAlignment="0" applyProtection="0"/>
    <xf numFmtId="0" fontId="66" fillId="38" borderId="0" applyNumberFormat="0" applyBorder="0" applyAlignment="0" applyProtection="0"/>
    <xf numFmtId="0" fontId="66" fillId="38" borderId="0" applyNumberFormat="0" applyBorder="0" applyAlignment="0" applyProtection="0"/>
    <xf numFmtId="0" fontId="66" fillId="38" borderId="0" applyNumberFormat="0" applyBorder="0" applyAlignment="0" applyProtection="0"/>
    <xf numFmtId="0" fontId="66" fillId="38" borderId="0" applyNumberFormat="0" applyBorder="0" applyAlignment="0" applyProtection="0"/>
    <xf numFmtId="0" fontId="66" fillId="38" borderId="0" applyNumberFormat="0" applyBorder="0" applyAlignment="0" applyProtection="0"/>
    <xf numFmtId="0" fontId="66" fillId="38" borderId="0" applyNumberFormat="0" applyBorder="0" applyAlignment="0" applyProtection="0"/>
    <xf numFmtId="0" fontId="66" fillId="38" borderId="0" applyNumberFormat="0" applyBorder="0" applyAlignment="0" applyProtection="0"/>
    <xf numFmtId="0" fontId="66" fillId="38" borderId="0" applyNumberFormat="0" applyBorder="0" applyAlignment="0" applyProtection="0"/>
    <xf numFmtId="0" fontId="66" fillId="38" borderId="0" applyNumberFormat="0" applyBorder="0" applyAlignment="0" applyProtection="0"/>
    <xf numFmtId="0" fontId="66" fillId="38" borderId="0" applyNumberFormat="0" applyBorder="0" applyAlignment="0" applyProtection="0"/>
    <xf numFmtId="0" fontId="66" fillId="38" borderId="0" applyNumberFormat="0" applyBorder="0" applyAlignment="0" applyProtection="0"/>
    <xf numFmtId="0" fontId="66" fillId="91" borderId="0" applyNumberFormat="0" applyBorder="0" applyAlignment="0" applyProtection="0"/>
    <xf numFmtId="0" fontId="66" fillId="91" borderId="0" applyNumberFormat="0" applyBorder="0" applyAlignment="0" applyProtection="0"/>
    <xf numFmtId="0" fontId="66" fillId="91" borderId="0" applyNumberFormat="0" applyBorder="0" applyAlignment="0" applyProtection="0"/>
    <xf numFmtId="0" fontId="66" fillId="91" borderId="0" applyNumberFormat="0" applyBorder="0" applyAlignment="0" applyProtection="0"/>
    <xf numFmtId="0" fontId="66" fillId="91" borderId="0" applyNumberFormat="0" applyBorder="0" applyAlignment="0" applyProtection="0"/>
    <xf numFmtId="0" fontId="66" fillId="91" borderId="0" applyNumberFormat="0" applyBorder="0" applyAlignment="0" applyProtection="0"/>
    <xf numFmtId="0" fontId="66" fillId="91" borderId="0" applyNumberFormat="0" applyBorder="0" applyAlignment="0" applyProtection="0"/>
    <xf numFmtId="0" fontId="66" fillId="91" borderId="0" applyNumberFormat="0" applyBorder="0" applyAlignment="0" applyProtection="0"/>
    <xf numFmtId="0" fontId="66" fillId="91" borderId="0" applyNumberFormat="0" applyBorder="0" applyAlignment="0" applyProtection="0"/>
    <xf numFmtId="0" fontId="66" fillId="91" borderId="0" applyNumberFormat="0" applyBorder="0" applyAlignment="0" applyProtection="0"/>
    <xf numFmtId="0" fontId="66" fillId="91" borderId="0" applyNumberFormat="0" applyBorder="0" applyAlignment="0" applyProtection="0"/>
    <xf numFmtId="0" fontId="66" fillId="91" borderId="0" applyNumberFormat="0" applyBorder="0" applyAlignment="0" applyProtection="0"/>
    <xf numFmtId="0" fontId="66" fillId="91" borderId="0" applyNumberFormat="0" applyBorder="0" applyAlignment="0" applyProtection="0"/>
    <xf numFmtId="0" fontId="66" fillId="91" borderId="0" applyNumberFormat="0" applyBorder="0" applyAlignment="0" applyProtection="0"/>
    <xf numFmtId="0" fontId="66" fillId="91" borderId="0" applyNumberFormat="0" applyBorder="0" applyAlignment="0" applyProtection="0"/>
    <xf numFmtId="0" fontId="66" fillId="91" borderId="0" applyNumberFormat="0" applyBorder="0" applyAlignment="0" applyProtection="0"/>
    <xf numFmtId="0" fontId="66" fillId="91" borderId="0" applyNumberFormat="0" applyBorder="0" applyAlignment="0" applyProtection="0"/>
    <xf numFmtId="0" fontId="66" fillId="91" borderId="0" applyNumberFormat="0" applyBorder="0" applyAlignment="0" applyProtection="0"/>
    <xf numFmtId="0" fontId="66" fillId="38" borderId="0" applyNumberFormat="0" applyBorder="0" applyAlignment="0" applyProtection="0"/>
    <xf numFmtId="0" fontId="66" fillId="91" borderId="0" applyNumberFormat="0" applyBorder="0" applyAlignment="0" applyProtection="0"/>
    <xf numFmtId="0" fontId="66" fillId="91" borderId="0" applyNumberFormat="0" applyBorder="0" applyAlignment="0" applyProtection="0"/>
    <xf numFmtId="0" fontId="66" fillId="91" borderId="0" applyNumberFormat="0" applyBorder="0" applyAlignment="0" applyProtection="0"/>
    <xf numFmtId="0" fontId="66" fillId="91" borderId="0" applyNumberFormat="0" applyBorder="0" applyAlignment="0" applyProtection="0"/>
    <xf numFmtId="0" fontId="66" fillId="91" borderId="0" applyNumberFormat="0" applyBorder="0" applyAlignment="0" applyProtection="0"/>
    <xf numFmtId="0" fontId="66" fillId="91" borderId="0" applyNumberFormat="0" applyBorder="0" applyAlignment="0" applyProtection="0"/>
    <xf numFmtId="0" fontId="66" fillId="91" borderId="0" applyNumberFormat="0" applyBorder="0" applyAlignment="0" applyProtection="0"/>
    <xf numFmtId="0" fontId="66" fillId="91" borderId="0" applyNumberFormat="0" applyBorder="0" applyAlignment="0" applyProtection="0"/>
    <xf numFmtId="0" fontId="66" fillId="91" borderId="0" applyNumberFormat="0" applyBorder="0" applyAlignment="0" applyProtection="0"/>
    <xf numFmtId="0" fontId="66" fillId="91" borderId="0" applyNumberFormat="0" applyBorder="0" applyAlignment="0" applyProtection="0"/>
    <xf numFmtId="0" fontId="66" fillId="91" borderId="0" applyNumberFormat="0" applyBorder="0" applyAlignment="0" applyProtection="0"/>
    <xf numFmtId="0" fontId="66" fillId="91" borderId="0" applyNumberFormat="0" applyBorder="0" applyAlignment="0" applyProtection="0"/>
    <xf numFmtId="0" fontId="66" fillId="91" borderId="0" applyNumberFormat="0" applyBorder="0" applyAlignment="0" applyProtection="0"/>
    <xf numFmtId="0" fontId="66" fillId="91" borderId="0" applyNumberFormat="0" applyBorder="0" applyAlignment="0" applyProtection="0"/>
    <xf numFmtId="0" fontId="66" fillId="91" borderId="0" applyNumberFormat="0" applyBorder="0" applyAlignment="0" applyProtection="0"/>
    <xf numFmtId="0" fontId="66" fillId="91" borderId="0" applyNumberFormat="0" applyBorder="0" applyAlignment="0" applyProtection="0"/>
    <xf numFmtId="0" fontId="66" fillId="38" borderId="0" applyNumberFormat="0" applyBorder="0" applyAlignment="0" applyProtection="0"/>
    <xf numFmtId="0" fontId="66" fillId="38" borderId="0" applyNumberFormat="0" applyBorder="0" applyAlignment="0" applyProtection="0"/>
    <xf numFmtId="0" fontId="66" fillId="38" borderId="0" applyNumberFormat="0" applyBorder="0" applyAlignment="0" applyProtection="0"/>
    <xf numFmtId="0" fontId="66" fillId="38" borderId="0" applyNumberFormat="0" applyBorder="0" applyAlignment="0" applyProtection="0"/>
    <xf numFmtId="0" fontId="66" fillId="38" borderId="0" applyNumberFormat="0" applyBorder="0" applyAlignment="0" applyProtection="0"/>
    <xf numFmtId="0" fontId="66" fillId="38" borderId="0" applyNumberFormat="0" applyBorder="0" applyAlignment="0" applyProtection="0"/>
    <xf numFmtId="0" fontId="66" fillId="38" borderId="0" applyNumberFormat="0" applyBorder="0" applyAlignment="0" applyProtection="0"/>
    <xf numFmtId="0" fontId="66" fillId="38" borderId="0" applyNumberFormat="0" applyBorder="0" applyAlignment="0" applyProtection="0"/>
    <xf numFmtId="0" fontId="66" fillId="38" borderId="0" applyNumberFormat="0" applyBorder="0" applyAlignment="0" applyProtection="0"/>
    <xf numFmtId="0" fontId="66" fillId="38" borderId="0" applyNumberFormat="0" applyBorder="0" applyAlignment="0" applyProtection="0"/>
    <xf numFmtId="0" fontId="66" fillId="38" borderId="0" applyNumberFormat="0" applyBorder="0" applyAlignment="0" applyProtection="0"/>
    <xf numFmtId="0" fontId="66" fillId="38" borderId="0" applyNumberFormat="0" applyBorder="0" applyAlignment="0" applyProtection="0"/>
    <xf numFmtId="0" fontId="66" fillId="38" borderId="0" applyNumberFormat="0" applyBorder="0" applyAlignment="0" applyProtection="0"/>
    <xf numFmtId="0" fontId="66" fillId="38" borderId="0" applyNumberFormat="0" applyBorder="0" applyAlignment="0" applyProtection="0"/>
    <xf numFmtId="0" fontId="66" fillId="38" borderId="0" applyNumberFormat="0" applyBorder="0" applyAlignment="0" applyProtection="0"/>
    <xf numFmtId="0" fontId="66" fillId="38" borderId="0" applyNumberFormat="0" applyBorder="0" applyAlignment="0" applyProtection="0"/>
    <xf numFmtId="0" fontId="66" fillId="38" borderId="0" applyNumberFormat="0" applyBorder="0" applyAlignment="0" applyProtection="0"/>
    <xf numFmtId="0" fontId="66" fillId="38" borderId="0" applyNumberFormat="0" applyBorder="0" applyAlignment="0" applyProtection="0"/>
    <xf numFmtId="0" fontId="66" fillId="40" borderId="0" applyNumberFormat="0" applyBorder="0" applyAlignment="0" applyProtection="0"/>
    <xf numFmtId="0" fontId="66" fillId="40" borderId="0" applyNumberFormat="0" applyBorder="0" applyAlignment="0" applyProtection="0"/>
    <xf numFmtId="0" fontId="66" fillId="40" borderId="0" applyNumberFormat="0" applyBorder="0" applyAlignment="0" applyProtection="0"/>
    <xf numFmtId="0" fontId="66" fillId="40" borderId="0" applyNumberFormat="0" applyBorder="0" applyAlignment="0" applyProtection="0"/>
    <xf numFmtId="0" fontId="66" fillId="40" borderId="0" applyNumberFormat="0" applyBorder="0" applyAlignment="0" applyProtection="0"/>
    <xf numFmtId="0" fontId="66" fillId="40" borderId="0" applyNumberFormat="0" applyBorder="0" applyAlignment="0" applyProtection="0"/>
    <xf numFmtId="0" fontId="66" fillId="40" borderId="0" applyNumberFormat="0" applyBorder="0" applyAlignment="0" applyProtection="0"/>
    <xf numFmtId="0" fontId="66" fillId="40" borderId="0" applyNumberFormat="0" applyBorder="0" applyAlignment="0" applyProtection="0"/>
    <xf numFmtId="0" fontId="66" fillId="40" borderId="0" applyNumberFormat="0" applyBorder="0" applyAlignment="0" applyProtection="0"/>
    <xf numFmtId="0" fontId="66" fillId="40" borderId="0" applyNumberFormat="0" applyBorder="0" applyAlignment="0" applyProtection="0"/>
    <xf numFmtId="0" fontId="66" fillId="40" borderId="0" applyNumberFormat="0" applyBorder="0" applyAlignment="0" applyProtection="0"/>
    <xf numFmtId="0" fontId="66" fillId="40" borderId="0" applyNumberFormat="0" applyBorder="0" applyAlignment="0" applyProtection="0"/>
    <xf numFmtId="0" fontId="66" fillId="40" borderId="0" applyNumberFormat="0" applyBorder="0" applyAlignment="0" applyProtection="0"/>
    <xf numFmtId="0" fontId="66" fillId="40" borderId="0" applyNumberFormat="0" applyBorder="0" applyAlignment="0" applyProtection="0"/>
    <xf numFmtId="0" fontId="66" fillId="40" borderId="0" applyNumberFormat="0" applyBorder="0" applyAlignment="0" applyProtection="0"/>
    <xf numFmtId="0" fontId="66" fillId="40" borderId="0" applyNumberFormat="0" applyBorder="0" applyAlignment="0" applyProtection="0"/>
    <xf numFmtId="0" fontId="66" fillId="40" borderId="0" applyNumberFormat="0" applyBorder="0" applyAlignment="0" applyProtection="0"/>
    <xf numFmtId="0" fontId="66" fillId="40" borderId="0" applyNumberFormat="0" applyBorder="0" applyAlignment="0" applyProtection="0"/>
    <xf numFmtId="0" fontId="66" fillId="40" borderId="0" applyNumberFormat="0" applyBorder="0" applyAlignment="0" applyProtection="0"/>
    <xf numFmtId="0" fontId="66" fillId="40" borderId="0" applyNumberFormat="0" applyBorder="0" applyAlignment="0" applyProtection="0"/>
    <xf numFmtId="0" fontId="66" fillId="92" borderId="0" applyNumberFormat="0" applyBorder="0" applyAlignment="0" applyProtection="0"/>
    <xf numFmtId="0" fontId="66" fillId="92" borderId="0" applyNumberFormat="0" applyBorder="0" applyAlignment="0" applyProtection="0"/>
    <xf numFmtId="0" fontId="66" fillId="92" borderId="0" applyNumberFormat="0" applyBorder="0" applyAlignment="0" applyProtection="0"/>
    <xf numFmtId="0" fontId="66" fillId="92" borderId="0" applyNumberFormat="0" applyBorder="0" applyAlignment="0" applyProtection="0"/>
    <xf numFmtId="0" fontId="66" fillId="92" borderId="0" applyNumberFormat="0" applyBorder="0" applyAlignment="0" applyProtection="0"/>
    <xf numFmtId="0" fontId="66" fillId="92" borderId="0" applyNumberFormat="0" applyBorder="0" applyAlignment="0" applyProtection="0"/>
    <xf numFmtId="0" fontId="66" fillId="92" borderId="0" applyNumberFormat="0" applyBorder="0" applyAlignment="0" applyProtection="0"/>
    <xf numFmtId="0" fontId="66" fillId="92" borderId="0" applyNumberFormat="0" applyBorder="0" applyAlignment="0" applyProtection="0"/>
    <xf numFmtId="0" fontId="66" fillId="92" borderId="0" applyNumberFormat="0" applyBorder="0" applyAlignment="0" applyProtection="0"/>
    <xf numFmtId="0" fontId="66" fillId="92" borderId="0" applyNumberFormat="0" applyBorder="0" applyAlignment="0" applyProtection="0"/>
    <xf numFmtId="0" fontId="66" fillId="92" borderId="0" applyNumberFormat="0" applyBorder="0" applyAlignment="0" applyProtection="0"/>
    <xf numFmtId="0" fontId="66" fillId="92" borderId="0" applyNumberFormat="0" applyBorder="0" applyAlignment="0" applyProtection="0"/>
    <xf numFmtId="0" fontId="66" fillId="92" borderId="0" applyNumberFormat="0" applyBorder="0" applyAlignment="0" applyProtection="0"/>
    <xf numFmtId="0" fontId="66" fillId="92" borderId="0" applyNumberFormat="0" applyBorder="0" applyAlignment="0" applyProtection="0"/>
    <xf numFmtId="0" fontId="66" fillId="92" borderId="0" applyNumberFormat="0" applyBorder="0" applyAlignment="0" applyProtection="0"/>
    <xf numFmtId="0" fontId="66" fillId="92" borderId="0" applyNumberFormat="0" applyBorder="0" applyAlignment="0" applyProtection="0"/>
    <xf numFmtId="0" fontId="66" fillId="92" borderId="0" applyNumberFormat="0" applyBorder="0" applyAlignment="0" applyProtection="0"/>
    <xf numFmtId="0" fontId="66" fillId="92" borderId="0" applyNumberFormat="0" applyBorder="0" applyAlignment="0" applyProtection="0"/>
    <xf numFmtId="0" fontId="66" fillId="40" borderId="0" applyNumberFormat="0" applyBorder="0" applyAlignment="0" applyProtection="0"/>
    <xf numFmtId="0" fontId="66" fillId="92" borderId="0" applyNumberFormat="0" applyBorder="0" applyAlignment="0" applyProtection="0"/>
    <xf numFmtId="0" fontId="66" fillId="92" borderId="0" applyNumberFormat="0" applyBorder="0" applyAlignment="0" applyProtection="0"/>
    <xf numFmtId="0" fontId="66" fillId="92" borderId="0" applyNumberFormat="0" applyBorder="0" applyAlignment="0" applyProtection="0"/>
    <xf numFmtId="0" fontId="66" fillId="92" borderId="0" applyNumberFormat="0" applyBorder="0" applyAlignment="0" applyProtection="0"/>
    <xf numFmtId="0" fontId="66" fillId="92" borderId="0" applyNumberFormat="0" applyBorder="0" applyAlignment="0" applyProtection="0"/>
    <xf numFmtId="0" fontId="66" fillId="92" borderId="0" applyNumberFormat="0" applyBorder="0" applyAlignment="0" applyProtection="0"/>
    <xf numFmtId="0" fontId="66" fillId="92" borderId="0" applyNumberFormat="0" applyBorder="0" applyAlignment="0" applyProtection="0"/>
    <xf numFmtId="0" fontId="66" fillId="92" borderId="0" applyNumberFormat="0" applyBorder="0" applyAlignment="0" applyProtection="0"/>
    <xf numFmtId="0" fontId="66" fillId="92" borderId="0" applyNumberFormat="0" applyBorder="0" applyAlignment="0" applyProtection="0"/>
    <xf numFmtId="0" fontId="66" fillId="92" borderId="0" applyNumberFormat="0" applyBorder="0" applyAlignment="0" applyProtection="0"/>
    <xf numFmtId="0" fontId="66" fillId="92" borderId="0" applyNumberFormat="0" applyBorder="0" applyAlignment="0" applyProtection="0"/>
    <xf numFmtId="0" fontId="66" fillId="92" borderId="0" applyNumberFormat="0" applyBorder="0" applyAlignment="0" applyProtection="0"/>
    <xf numFmtId="0" fontId="66" fillId="92" borderId="0" applyNumberFormat="0" applyBorder="0" applyAlignment="0" applyProtection="0"/>
    <xf numFmtId="0" fontId="66" fillId="92" borderId="0" applyNumberFormat="0" applyBorder="0" applyAlignment="0" applyProtection="0"/>
    <xf numFmtId="0" fontId="66" fillId="92" borderId="0" applyNumberFormat="0" applyBorder="0" applyAlignment="0" applyProtection="0"/>
    <xf numFmtId="0" fontId="66" fillId="92" borderId="0" applyNumberFormat="0" applyBorder="0" applyAlignment="0" applyProtection="0"/>
    <xf numFmtId="0" fontId="66" fillId="40" borderId="0" applyNumberFormat="0" applyBorder="0" applyAlignment="0" applyProtection="0"/>
    <xf numFmtId="0" fontId="66" fillId="40" borderId="0" applyNumberFormat="0" applyBorder="0" applyAlignment="0" applyProtection="0"/>
    <xf numFmtId="0" fontId="66" fillId="40" borderId="0" applyNumberFormat="0" applyBorder="0" applyAlignment="0" applyProtection="0"/>
    <xf numFmtId="0" fontId="66" fillId="40" borderId="0" applyNumberFormat="0" applyBorder="0" applyAlignment="0" applyProtection="0"/>
    <xf numFmtId="0" fontId="66" fillId="40" borderId="0" applyNumberFormat="0" applyBorder="0" applyAlignment="0" applyProtection="0"/>
    <xf numFmtId="0" fontId="66" fillId="40" borderId="0" applyNumberFormat="0" applyBorder="0" applyAlignment="0" applyProtection="0"/>
    <xf numFmtId="0" fontId="66" fillId="40" borderId="0" applyNumberFormat="0" applyBorder="0" applyAlignment="0" applyProtection="0"/>
    <xf numFmtId="0" fontId="66" fillId="40" borderId="0" applyNumberFormat="0" applyBorder="0" applyAlignment="0" applyProtection="0"/>
    <xf numFmtId="0" fontId="66" fillId="40" borderId="0" applyNumberFormat="0" applyBorder="0" applyAlignment="0" applyProtection="0"/>
    <xf numFmtId="0" fontId="66" fillId="40" borderId="0" applyNumberFormat="0" applyBorder="0" applyAlignment="0" applyProtection="0"/>
    <xf numFmtId="0" fontId="66" fillId="40" borderId="0" applyNumberFormat="0" applyBorder="0" applyAlignment="0" applyProtection="0"/>
    <xf numFmtId="0" fontId="66" fillId="40" borderId="0" applyNumberFormat="0" applyBorder="0" applyAlignment="0" applyProtection="0"/>
    <xf numFmtId="0" fontId="66" fillId="40" borderId="0" applyNumberFormat="0" applyBorder="0" applyAlignment="0" applyProtection="0"/>
    <xf numFmtId="0" fontId="66" fillId="40" borderId="0" applyNumberFormat="0" applyBorder="0" applyAlignment="0" applyProtection="0"/>
    <xf numFmtId="0" fontId="66" fillId="40" borderId="0" applyNumberFormat="0" applyBorder="0" applyAlignment="0" applyProtection="0"/>
    <xf numFmtId="0" fontId="66" fillId="40" borderId="0" applyNumberFormat="0" applyBorder="0" applyAlignment="0" applyProtection="0"/>
    <xf numFmtId="0" fontId="66" fillId="40" borderId="0" applyNumberFormat="0" applyBorder="0" applyAlignment="0" applyProtection="0"/>
    <xf numFmtId="0" fontId="66" fillId="40" borderId="0" applyNumberFormat="0" applyBorder="0" applyAlignment="0" applyProtection="0"/>
    <xf numFmtId="0" fontId="66" fillId="42" borderId="0" applyNumberFormat="0" applyBorder="0" applyAlignment="0" applyProtection="0"/>
    <xf numFmtId="0" fontId="66" fillId="42" borderId="0" applyNumberFormat="0" applyBorder="0" applyAlignment="0" applyProtection="0"/>
    <xf numFmtId="0" fontId="66" fillId="42" borderId="0" applyNumberFormat="0" applyBorder="0" applyAlignment="0" applyProtection="0"/>
    <xf numFmtId="0" fontId="66" fillId="42" borderId="0" applyNumberFormat="0" applyBorder="0" applyAlignment="0" applyProtection="0"/>
    <xf numFmtId="0" fontId="66" fillId="42" borderId="0" applyNumberFormat="0" applyBorder="0" applyAlignment="0" applyProtection="0"/>
    <xf numFmtId="0" fontId="66" fillId="42" borderId="0" applyNumberFormat="0" applyBorder="0" applyAlignment="0" applyProtection="0"/>
    <xf numFmtId="0" fontId="66" fillId="42" borderId="0" applyNumberFormat="0" applyBorder="0" applyAlignment="0" applyProtection="0"/>
    <xf numFmtId="0" fontId="66" fillId="42" borderId="0" applyNumberFormat="0" applyBorder="0" applyAlignment="0" applyProtection="0"/>
    <xf numFmtId="0" fontId="66" fillId="42" borderId="0" applyNumberFormat="0" applyBorder="0" applyAlignment="0" applyProtection="0"/>
    <xf numFmtId="0" fontId="66" fillId="42" borderId="0" applyNumberFormat="0" applyBorder="0" applyAlignment="0" applyProtection="0"/>
    <xf numFmtId="0" fontId="66" fillId="42" borderId="0" applyNumberFormat="0" applyBorder="0" applyAlignment="0" applyProtection="0"/>
    <xf numFmtId="0" fontId="66" fillId="42" borderId="0" applyNumberFormat="0" applyBorder="0" applyAlignment="0" applyProtection="0"/>
    <xf numFmtId="0" fontId="66" fillId="42" borderId="0" applyNumberFormat="0" applyBorder="0" applyAlignment="0" applyProtection="0"/>
    <xf numFmtId="0" fontId="66" fillId="42" borderId="0" applyNumberFormat="0" applyBorder="0" applyAlignment="0" applyProtection="0"/>
    <xf numFmtId="0" fontId="66" fillId="42" borderId="0" applyNumberFormat="0" applyBorder="0" applyAlignment="0" applyProtection="0"/>
    <xf numFmtId="0" fontId="66" fillId="42" borderId="0" applyNumberFormat="0" applyBorder="0" applyAlignment="0" applyProtection="0"/>
    <xf numFmtId="0" fontId="66" fillId="42" borderId="0" applyNumberFormat="0" applyBorder="0" applyAlignment="0" applyProtection="0"/>
    <xf numFmtId="0" fontId="66" fillId="42" borderId="0" applyNumberFormat="0" applyBorder="0" applyAlignment="0" applyProtection="0"/>
    <xf numFmtId="0" fontId="66" fillId="42" borderId="0" applyNumberFormat="0" applyBorder="0" applyAlignment="0" applyProtection="0"/>
    <xf numFmtId="0" fontId="66" fillId="42"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42"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42" borderId="0" applyNumberFormat="0" applyBorder="0" applyAlignment="0" applyProtection="0"/>
    <xf numFmtId="0" fontId="66" fillId="42" borderId="0" applyNumberFormat="0" applyBorder="0" applyAlignment="0" applyProtection="0"/>
    <xf numFmtId="0" fontId="66" fillId="42" borderId="0" applyNumberFormat="0" applyBorder="0" applyAlignment="0" applyProtection="0"/>
    <xf numFmtId="0" fontId="66" fillId="42" borderId="0" applyNumberFormat="0" applyBorder="0" applyAlignment="0" applyProtection="0"/>
    <xf numFmtId="0" fontId="66" fillId="42" borderId="0" applyNumberFormat="0" applyBorder="0" applyAlignment="0" applyProtection="0"/>
    <xf numFmtId="0" fontId="66" fillId="42" borderId="0" applyNumberFormat="0" applyBorder="0" applyAlignment="0" applyProtection="0"/>
    <xf numFmtId="0" fontId="66" fillId="42" borderId="0" applyNumberFormat="0" applyBorder="0" applyAlignment="0" applyProtection="0"/>
    <xf numFmtId="0" fontId="66" fillId="42" borderId="0" applyNumberFormat="0" applyBorder="0" applyAlignment="0" applyProtection="0"/>
    <xf numFmtId="0" fontId="66" fillId="42" borderId="0" applyNumberFormat="0" applyBorder="0" applyAlignment="0" applyProtection="0"/>
    <xf numFmtId="0" fontId="66" fillId="42" borderId="0" applyNumberFormat="0" applyBorder="0" applyAlignment="0" applyProtection="0"/>
    <xf numFmtId="0" fontId="66" fillId="42" borderId="0" applyNumberFormat="0" applyBorder="0" applyAlignment="0" applyProtection="0"/>
    <xf numFmtId="0" fontId="66" fillId="42" borderId="0" applyNumberFormat="0" applyBorder="0" applyAlignment="0" applyProtection="0"/>
    <xf numFmtId="0" fontId="66" fillId="42" borderId="0" applyNumberFormat="0" applyBorder="0" applyAlignment="0" applyProtection="0"/>
    <xf numFmtId="0" fontId="66" fillId="42" borderId="0" applyNumberFormat="0" applyBorder="0" applyAlignment="0" applyProtection="0"/>
    <xf numFmtId="0" fontId="66" fillId="42" borderId="0" applyNumberFormat="0" applyBorder="0" applyAlignment="0" applyProtection="0"/>
    <xf numFmtId="0" fontId="66" fillId="42" borderId="0" applyNumberFormat="0" applyBorder="0" applyAlignment="0" applyProtection="0"/>
    <xf numFmtId="0" fontId="66" fillId="42" borderId="0" applyNumberFormat="0" applyBorder="0" applyAlignment="0" applyProtection="0"/>
    <xf numFmtId="0" fontId="66" fillId="42"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50" borderId="0" applyNumberFormat="0" applyBorder="0" applyAlignment="0" applyProtection="0"/>
    <xf numFmtId="0" fontId="66" fillId="50" borderId="0" applyNumberFormat="0" applyBorder="0" applyAlignment="0" applyProtection="0"/>
    <xf numFmtId="0" fontId="66" fillId="50" borderId="0" applyNumberFormat="0" applyBorder="0" applyAlignment="0" applyProtection="0"/>
    <xf numFmtId="0" fontId="66" fillId="50" borderId="0" applyNumberFormat="0" applyBorder="0" applyAlignment="0" applyProtection="0"/>
    <xf numFmtId="0" fontId="66" fillId="50" borderId="0" applyNumberFormat="0" applyBorder="0" applyAlignment="0" applyProtection="0"/>
    <xf numFmtId="0" fontId="66" fillId="50" borderId="0" applyNumberFormat="0" applyBorder="0" applyAlignment="0" applyProtection="0"/>
    <xf numFmtId="0" fontId="66" fillId="50" borderId="0" applyNumberFormat="0" applyBorder="0" applyAlignment="0" applyProtection="0"/>
    <xf numFmtId="0" fontId="66" fillId="50" borderId="0" applyNumberFormat="0" applyBorder="0" applyAlignment="0" applyProtection="0"/>
    <xf numFmtId="0" fontId="66" fillId="50" borderId="0" applyNumberFormat="0" applyBorder="0" applyAlignment="0" applyProtection="0"/>
    <xf numFmtId="0" fontId="66" fillId="50" borderId="0" applyNumberFormat="0" applyBorder="0" applyAlignment="0" applyProtection="0"/>
    <xf numFmtId="0" fontId="66" fillId="50" borderId="0" applyNumberFormat="0" applyBorder="0" applyAlignment="0" applyProtection="0"/>
    <xf numFmtId="0" fontId="66" fillId="50" borderId="0" applyNumberFormat="0" applyBorder="0" applyAlignment="0" applyProtection="0"/>
    <xf numFmtId="0" fontId="66" fillId="50" borderId="0" applyNumberFormat="0" applyBorder="0" applyAlignment="0" applyProtection="0"/>
    <xf numFmtId="0" fontId="66" fillId="50" borderId="0" applyNumberFormat="0" applyBorder="0" applyAlignment="0" applyProtection="0"/>
    <xf numFmtId="0" fontId="66" fillId="50" borderId="0" applyNumberFormat="0" applyBorder="0" applyAlignment="0" applyProtection="0"/>
    <xf numFmtId="0" fontId="66" fillId="50" borderId="0" applyNumberFormat="0" applyBorder="0" applyAlignment="0" applyProtection="0"/>
    <xf numFmtId="0" fontId="66" fillId="50" borderId="0" applyNumberFormat="0" applyBorder="0" applyAlignment="0" applyProtection="0"/>
    <xf numFmtId="0" fontId="66" fillId="50" borderId="0" applyNumberFormat="0" applyBorder="0" applyAlignment="0" applyProtection="0"/>
    <xf numFmtId="0" fontId="66" fillId="50" borderId="0" applyNumberFormat="0" applyBorder="0" applyAlignment="0" applyProtection="0"/>
    <xf numFmtId="0" fontId="66" fillId="50"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50"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50" borderId="0" applyNumberFormat="0" applyBorder="0" applyAlignment="0" applyProtection="0"/>
    <xf numFmtId="0" fontId="66" fillId="50" borderId="0" applyNumberFormat="0" applyBorder="0" applyAlignment="0" applyProtection="0"/>
    <xf numFmtId="0" fontId="66" fillId="50" borderId="0" applyNumberFormat="0" applyBorder="0" applyAlignment="0" applyProtection="0"/>
    <xf numFmtId="0" fontId="66" fillId="50" borderId="0" applyNumberFormat="0" applyBorder="0" applyAlignment="0" applyProtection="0"/>
    <xf numFmtId="0" fontId="66" fillId="50" borderId="0" applyNumberFormat="0" applyBorder="0" applyAlignment="0" applyProtection="0"/>
    <xf numFmtId="0" fontId="66" fillId="50" borderId="0" applyNumberFormat="0" applyBorder="0" applyAlignment="0" applyProtection="0"/>
    <xf numFmtId="0" fontId="66" fillId="50" borderId="0" applyNumberFormat="0" applyBorder="0" applyAlignment="0" applyProtection="0"/>
    <xf numFmtId="0" fontId="66" fillId="50" borderId="0" applyNumberFormat="0" applyBorder="0" applyAlignment="0" applyProtection="0"/>
    <xf numFmtId="0" fontId="66" fillId="50" borderId="0" applyNumberFormat="0" applyBorder="0" applyAlignment="0" applyProtection="0"/>
    <xf numFmtId="0" fontId="66" fillId="50" borderId="0" applyNumberFormat="0" applyBorder="0" applyAlignment="0" applyProtection="0"/>
    <xf numFmtId="0" fontId="66" fillId="50" borderId="0" applyNumberFormat="0" applyBorder="0" applyAlignment="0" applyProtection="0"/>
    <xf numFmtId="0" fontId="66" fillId="50" borderId="0" applyNumberFormat="0" applyBorder="0" applyAlignment="0" applyProtection="0"/>
    <xf numFmtId="0" fontId="66" fillId="50" borderId="0" applyNumberFormat="0" applyBorder="0" applyAlignment="0" applyProtection="0"/>
    <xf numFmtId="0" fontId="66" fillId="50" borderId="0" applyNumberFormat="0" applyBorder="0" applyAlignment="0" applyProtection="0"/>
    <xf numFmtId="0" fontId="66" fillId="50" borderId="0" applyNumberFormat="0" applyBorder="0" applyAlignment="0" applyProtection="0"/>
    <xf numFmtId="0" fontId="66" fillId="50" borderId="0" applyNumberFormat="0" applyBorder="0" applyAlignment="0" applyProtection="0"/>
    <xf numFmtId="0" fontId="66" fillId="50" borderId="0" applyNumberFormat="0" applyBorder="0" applyAlignment="0" applyProtection="0"/>
    <xf numFmtId="0" fontId="66" fillId="50" borderId="0" applyNumberFormat="0" applyBorder="0" applyAlignment="0" applyProtection="0"/>
    <xf numFmtId="0" fontId="66" fillId="52" borderId="0" applyNumberFormat="0" applyBorder="0" applyAlignment="0" applyProtection="0"/>
    <xf numFmtId="0" fontId="66" fillId="52" borderId="0" applyNumberFormat="0" applyBorder="0" applyAlignment="0" applyProtection="0"/>
    <xf numFmtId="0" fontId="66" fillId="52" borderId="0" applyNumberFormat="0" applyBorder="0" applyAlignment="0" applyProtection="0"/>
    <xf numFmtId="0" fontId="66" fillId="52" borderId="0" applyNumberFormat="0" applyBorder="0" applyAlignment="0" applyProtection="0"/>
    <xf numFmtId="0" fontId="66" fillId="52" borderId="0" applyNumberFormat="0" applyBorder="0" applyAlignment="0" applyProtection="0"/>
    <xf numFmtId="0" fontId="66" fillId="52" borderId="0" applyNumberFormat="0" applyBorder="0" applyAlignment="0" applyProtection="0"/>
    <xf numFmtId="0" fontId="66" fillId="52" borderId="0" applyNumberFormat="0" applyBorder="0" applyAlignment="0" applyProtection="0"/>
    <xf numFmtId="0" fontId="66" fillId="52" borderId="0" applyNumberFormat="0" applyBorder="0" applyAlignment="0" applyProtection="0"/>
    <xf numFmtId="0" fontId="66" fillId="52" borderId="0" applyNumberFormat="0" applyBorder="0" applyAlignment="0" applyProtection="0"/>
    <xf numFmtId="0" fontId="66" fillId="52" borderId="0" applyNumberFormat="0" applyBorder="0" applyAlignment="0" applyProtection="0"/>
    <xf numFmtId="0" fontId="66" fillId="52" borderId="0" applyNumberFormat="0" applyBorder="0" applyAlignment="0" applyProtection="0"/>
    <xf numFmtId="0" fontId="66" fillId="52" borderId="0" applyNumberFormat="0" applyBorder="0" applyAlignment="0" applyProtection="0"/>
    <xf numFmtId="0" fontId="66" fillId="52" borderId="0" applyNumberFormat="0" applyBorder="0" applyAlignment="0" applyProtection="0"/>
    <xf numFmtId="0" fontId="66" fillId="52" borderId="0" applyNumberFormat="0" applyBorder="0" applyAlignment="0" applyProtection="0"/>
    <xf numFmtId="0" fontId="66" fillId="52" borderId="0" applyNumberFormat="0" applyBorder="0" applyAlignment="0" applyProtection="0"/>
    <xf numFmtId="0" fontId="66" fillId="52" borderId="0" applyNumberFormat="0" applyBorder="0" applyAlignment="0" applyProtection="0"/>
    <xf numFmtId="0" fontId="66" fillId="52" borderId="0" applyNumberFormat="0" applyBorder="0" applyAlignment="0" applyProtection="0"/>
    <xf numFmtId="0" fontId="66" fillId="52" borderId="0" applyNumberFormat="0" applyBorder="0" applyAlignment="0" applyProtection="0"/>
    <xf numFmtId="0" fontId="66" fillId="52" borderId="0" applyNumberFormat="0" applyBorder="0" applyAlignment="0" applyProtection="0"/>
    <xf numFmtId="0" fontId="66" fillId="52" borderId="0" applyNumberFormat="0" applyBorder="0" applyAlignment="0" applyProtection="0"/>
    <xf numFmtId="0" fontId="66" fillId="52" borderId="0" applyNumberFormat="0" applyBorder="0" applyAlignment="0" applyProtection="0"/>
    <xf numFmtId="0" fontId="66" fillId="52" borderId="0" applyNumberFormat="0" applyBorder="0" applyAlignment="0" applyProtection="0"/>
    <xf numFmtId="0" fontId="66" fillId="52" borderId="0" applyNumberFormat="0" applyBorder="0" applyAlignment="0" applyProtection="0"/>
    <xf numFmtId="0" fontId="66" fillId="52" borderId="0" applyNumberFormat="0" applyBorder="0" applyAlignment="0" applyProtection="0"/>
    <xf numFmtId="0" fontId="66" fillId="52" borderId="0" applyNumberFormat="0" applyBorder="0" applyAlignment="0" applyProtection="0"/>
    <xf numFmtId="0" fontId="66" fillId="52" borderId="0" applyNumberFormat="0" applyBorder="0" applyAlignment="0" applyProtection="0"/>
    <xf numFmtId="0" fontId="66" fillId="52" borderId="0" applyNumberFormat="0" applyBorder="0" applyAlignment="0" applyProtection="0"/>
    <xf numFmtId="0" fontId="66" fillId="52" borderId="0" applyNumberFormat="0" applyBorder="0" applyAlignment="0" applyProtection="0"/>
    <xf numFmtId="0" fontId="66" fillId="52" borderId="0" applyNumberFormat="0" applyBorder="0" applyAlignment="0" applyProtection="0"/>
    <xf numFmtId="0" fontId="66" fillId="52" borderId="0" applyNumberFormat="0" applyBorder="0" applyAlignment="0" applyProtection="0"/>
    <xf numFmtId="0" fontId="66" fillId="52" borderId="0" applyNumberFormat="0" applyBorder="0" applyAlignment="0" applyProtection="0"/>
    <xf numFmtId="0" fontId="66" fillId="52" borderId="0" applyNumberFormat="0" applyBorder="0" applyAlignment="0" applyProtection="0"/>
    <xf numFmtId="0" fontId="66" fillId="52" borderId="0" applyNumberFormat="0" applyBorder="0" applyAlignment="0" applyProtection="0"/>
    <xf numFmtId="0" fontId="66" fillId="52" borderId="0" applyNumberFormat="0" applyBorder="0" applyAlignment="0" applyProtection="0"/>
    <xf numFmtId="0" fontId="66" fillId="52" borderId="0" applyNumberFormat="0" applyBorder="0" applyAlignment="0" applyProtection="0"/>
    <xf numFmtId="0" fontId="66" fillId="52" borderId="0" applyNumberFormat="0" applyBorder="0" applyAlignment="0" applyProtection="0"/>
    <xf numFmtId="0" fontId="66" fillId="52" borderId="0" applyNumberFormat="0" applyBorder="0" applyAlignment="0" applyProtection="0"/>
    <xf numFmtId="0" fontId="66" fillId="52" borderId="0" applyNumberFormat="0" applyBorder="0" applyAlignment="0" applyProtection="0"/>
    <xf numFmtId="0" fontId="66" fillId="52" borderId="0" applyNumberFormat="0" applyBorder="0" applyAlignment="0" applyProtection="0"/>
    <xf numFmtId="0" fontId="66" fillId="52" borderId="0" applyNumberFormat="0" applyBorder="0" applyAlignment="0" applyProtection="0"/>
    <xf numFmtId="0" fontId="66" fillId="52" borderId="0" applyNumberFormat="0" applyBorder="0" applyAlignment="0" applyProtection="0"/>
    <xf numFmtId="0" fontId="66" fillId="52" borderId="0" applyNumberFormat="0" applyBorder="0" applyAlignment="0" applyProtection="0"/>
    <xf numFmtId="0" fontId="66" fillId="52" borderId="0" applyNumberFormat="0" applyBorder="0" applyAlignment="0" applyProtection="0"/>
    <xf numFmtId="0" fontId="66" fillId="52" borderId="0" applyNumberFormat="0" applyBorder="0" applyAlignment="0" applyProtection="0"/>
    <xf numFmtId="0" fontId="66" fillId="52" borderId="0" applyNumberFormat="0" applyBorder="0" applyAlignment="0" applyProtection="0"/>
    <xf numFmtId="0" fontId="66" fillId="52" borderId="0" applyNumberFormat="0" applyBorder="0" applyAlignment="0" applyProtection="0"/>
    <xf numFmtId="0" fontId="66" fillId="52" borderId="0" applyNumberFormat="0" applyBorder="0" applyAlignment="0" applyProtection="0"/>
    <xf numFmtId="0" fontId="66" fillId="52" borderId="0" applyNumberFormat="0" applyBorder="0" applyAlignment="0" applyProtection="0"/>
    <xf numFmtId="0" fontId="66" fillId="52" borderId="0" applyNumberFormat="0" applyBorder="0" applyAlignment="0" applyProtection="0"/>
    <xf numFmtId="0" fontId="66" fillId="52" borderId="0" applyNumberFormat="0" applyBorder="0" applyAlignment="0" applyProtection="0"/>
    <xf numFmtId="0" fontId="66" fillId="52" borderId="0" applyNumberFormat="0" applyBorder="0" applyAlignment="0" applyProtection="0"/>
    <xf numFmtId="0" fontId="66" fillId="52" borderId="0" applyNumberFormat="0" applyBorder="0" applyAlignment="0" applyProtection="0"/>
    <xf numFmtId="0" fontId="66" fillId="52" borderId="0" applyNumberFormat="0" applyBorder="0" applyAlignment="0" applyProtection="0"/>
    <xf numFmtId="0" fontId="66" fillId="52" borderId="0" applyNumberFormat="0" applyBorder="0" applyAlignment="0" applyProtection="0"/>
    <xf numFmtId="0" fontId="66" fillId="52" borderId="0" applyNumberFormat="0" applyBorder="0" applyAlignment="0" applyProtection="0"/>
    <xf numFmtId="0" fontId="66" fillId="52" borderId="0" applyNumberFormat="0" applyBorder="0" applyAlignment="0" applyProtection="0"/>
    <xf numFmtId="0" fontId="66" fillId="52" borderId="0" applyNumberFormat="0" applyBorder="0" applyAlignment="0" applyProtection="0"/>
    <xf numFmtId="0" fontId="66" fillId="52" borderId="0" applyNumberFormat="0" applyBorder="0" applyAlignment="0" applyProtection="0"/>
    <xf numFmtId="0" fontId="66" fillId="52" borderId="0" applyNumberFormat="0" applyBorder="0" applyAlignment="0" applyProtection="0"/>
    <xf numFmtId="0" fontId="66" fillId="52" borderId="0" applyNumberFormat="0" applyBorder="0" applyAlignment="0" applyProtection="0"/>
    <xf numFmtId="0" fontId="66" fillId="52" borderId="0" applyNumberFormat="0" applyBorder="0" applyAlignment="0" applyProtection="0"/>
    <xf numFmtId="0" fontId="66" fillId="52" borderId="0" applyNumberFormat="0" applyBorder="0" applyAlignment="0" applyProtection="0"/>
    <xf numFmtId="0" fontId="66" fillId="52" borderId="0" applyNumberFormat="0" applyBorder="0" applyAlignment="0" applyProtection="0"/>
    <xf numFmtId="0" fontId="66" fillId="52" borderId="0" applyNumberFormat="0" applyBorder="0" applyAlignment="0" applyProtection="0"/>
    <xf numFmtId="0" fontId="66" fillId="52" borderId="0" applyNumberFormat="0" applyBorder="0" applyAlignment="0" applyProtection="0"/>
    <xf numFmtId="0" fontId="66" fillId="52" borderId="0" applyNumberFormat="0" applyBorder="0" applyAlignment="0" applyProtection="0"/>
    <xf numFmtId="0" fontId="66" fillId="52" borderId="0" applyNumberFormat="0" applyBorder="0" applyAlignment="0" applyProtection="0"/>
    <xf numFmtId="0" fontId="66" fillId="52" borderId="0" applyNumberFormat="0" applyBorder="0" applyAlignment="0" applyProtection="0"/>
    <xf numFmtId="0" fontId="66" fillId="52" borderId="0" applyNumberFormat="0" applyBorder="0" applyAlignment="0" applyProtection="0"/>
    <xf numFmtId="0" fontId="66" fillId="52" borderId="0" applyNumberFormat="0" applyBorder="0" applyAlignment="0" applyProtection="0"/>
    <xf numFmtId="0" fontId="66" fillId="52" borderId="0" applyNumberFormat="0" applyBorder="0" applyAlignment="0" applyProtection="0"/>
    <xf numFmtId="0" fontId="66" fillId="52" borderId="0" applyNumberFormat="0" applyBorder="0" applyAlignment="0" applyProtection="0"/>
    <xf numFmtId="0" fontId="66" fillId="52" borderId="0" applyNumberFormat="0" applyBorder="0" applyAlignment="0" applyProtection="0"/>
    <xf numFmtId="0" fontId="66" fillId="54" borderId="0" applyNumberFormat="0" applyBorder="0" applyAlignment="0" applyProtection="0"/>
    <xf numFmtId="0" fontId="66" fillId="54" borderId="0" applyNumberFormat="0" applyBorder="0" applyAlignment="0" applyProtection="0"/>
    <xf numFmtId="0" fontId="66" fillId="54" borderId="0" applyNumberFormat="0" applyBorder="0" applyAlignment="0" applyProtection="0"/>
    <xf numFmtId="0" fontId="66" fillId="54" borderId="0" applyNumberFormat="0" applyBorder="0" applyAlignment="0" applyProtection="0"/>
    <xf numFmtId="0" fontId="66" fillId="54" borderId="0" applyNumberFormat="0" applyBorder="0" applyAlignment="0" applyProtection="0"/>
    <xf numFmtId="0" fontId="66" fillId="54" borderId="0" applyNumberFormat="0" applyBorder="0" applyAlignment="0" applyProtection="0"/>
    <xf numFmtId="0" fontId="66" fillId="54" borderId="0" applyNumberFormat="0" applyBorder="0" applyAlignment="0" applyProtection="0"/>
    <xf numFmtId="0" fontId="66" fillId="54" borderId="0" applyNumberFormat="0" applyBorder="0" applyAlignment="0" applyProtection="0"/>
    <xf numFmtId="0" fontId="66" fillId="54" borderId="0" applyNumberFormat="0" applyBorder="0" applyAlignment="0" applyProtection="0"/>
    <xf numFmtId="0" fontId="66" fillId="54" borderId="0" applyNumberFormat="0" applyBorder="0" applyAlignment="0" applyProtection="0"/>
    <xf numFmtId="0" fontId="66" fillId="54" borderId="0" applyNumberFormat="0" applyBorder="0" applyAlignment="0" applyProtection="0"/>
    <xf numFmtId="0" fontId="66" fillId="54" borderId="0" applyNumberFormat="0" applyBorder="0" applyAlignment="0" applyProtection="0"/>
    <xf numFmtId="0" fontId="66" fillId="54" borderId="0" applyNumberFormat="0" applyBorder="0" applyAlignment="0" applyProtection="0"/>
    <xf numFmtId="0" fontId="66" fillId="54" borderId="0" applyNumberFormat="0" applyBorder="0" applyAlignment="0" applyProtection="0"/>
    <xf numFmtId="0" fontId="66" fillId="54" borderId="0" applyNumberFormat="0" applyBorder="0" applyAlignment="0" applyProtection="0"/>
    <xf numFmtId="0" fontId="66" fillId="54" borderId="0" applyNumberFormat="0" applyBorder="0" applyAlignment="0" applyProtection="0"/>
    <xf numFmtId="0" fontId="66" fillId="54" borderId="0" applyNumberFormat="0" applyBorder="0" applyAlignment="0" applyProtection="0"/>
    <xf numFmtId="0" fontId="66" fillId="54" borderId="0" applyNumberFormat="0" applyBorder="0" applyAlignment="0" applyProtection="0"/>
    <xf numFmtId="0" fontId="66" fillId="54" borderId="0" applyNumberFormat="0" applyBorder="0" applyAlignment="0" applyProtection="0"/>
    <xf numFmtId="0" fontId="66" fillId="54" borderId="0" applyNumberFormat="0" applyBorder="0" applyAlignment="0" applyProtection="0"/>
    <xf numFmtId="0" fontId="66" fillId="91" borderId="0" applyNumberFormat="0" applyBorder="0" applyAlignment="0" applyProtection="0"/>
    <xf numFmtId="0" fontId="66" fillId="91" borderId="0" applyNumberFormat="0" applyBorder="0" applyAlignment="0" applyProtection="0"/>
    <xf numFmtId="0" fontId="66" fillId="91" borderId="0" applyNumberFormat="0" applyBorder="0" applyAlignment="0" applyProtection="0"/>
    <xf numFmtId="0" fontId="66" fillId="91" borderId="0" applyNumberFormat="0" applyBorder="0" applyAlignment="0" applyProtection="0"/>
    <xf numFmtId="0" fontId="66" fillId="91" borderId="0" applyNumberFormat="0" applyBorder="0" applyAlignment="0" applyProtection="0"/>
    <xf numFmtId="0" fontId="66" fillId="91" borderId="0" applyNumberFormat="0" applyBorder="0" applyAlignment="0" applyProtection="0"/>
    <xf numFmtId="0" fontId="66" fillId="91" borderId="0" applyNumberFormat="0" applyBorder="0" applyAlignment="0" applyProtection="0"/>
    <xf numFmtId="0" fontId="66" fillId="91" borderId="0" applyNumberFormat="0" applyBorder="0" applyAlignment="0" applyProtection="0"/>
    <xf numFmtId="0" fontId="66" fillId="91" borderId="0" applyNumberFormat="0" applyBorder="0" applyAlignment="0" applyProtection="0"/>
    <xf numFmtId="0" fontId="66" fillId="91" borderId="0" applyNumberFormat="0" applyBorder="0" applyAlignment="0" applyProtection="0"/>
    <xf numFmtId="0" fontId="66" fillId="91" borderId="0" applyNumberFormat="0" applyBorder="0" applyAlignment="0" applyProtection="0"/>
    <xf numFmtId="0" fontId="66" fillId="91" borderId="0" applyNumberFormat="0" applyBorder="0" applyAlignment="0" applyProtection="0"/>
    <xf numFmtId="0" fontId="66" fillId="91" borderId="0" applyNumberFormat="0" applyBorder="0" applyAlignment="0" applyProtection="0"/>
    <xf numFmtId="0" fontId="66" fillId="91" borderId="0" applyNumberFormat="0" applyBorder="0" applyAlignment="0" applyProtection="0"/>
    <xf numFmtId="0" fontId="66" fillId="91" borderId="0" applyNumberFormat="0" applyBorder="0" applyAlignment="0" applyProtection="0"/>
    <xf numFmtId="0" fontId="66" fillId="91" borderId="0" applyNumberFormat="0" applyBorder="0" applyAlignment="0" applyProtection="0"/>
    <xf numFmtId="0" fontId="66" fillId="91" borderId="0" applyNumberFormat="0" applyBorder="0" applyAlignment="0" applyProtection="0"/>
    <xf numFmtId="0" fontId="66" fillId="91" borderId="0" applyNumberFormat="0" applyBorder="0" applyAlignment="0" applyProtection="0"/>
    <xf numFmtId="0" fontId="66" fillId="54" borderId="0" applyNumberFormat="0" applyBorder="0" applyAlignment="0" applyProtection="0"/>
    <xf numFmtId="0" fontId="66" fillId="91" borderId="0" applyNumberFormat="0" applyBorder="0" applyAlignment="0" applyProtection="0"/>
    <xf numFmtId="0" fontId="66" fillId="91" borderId="0" applyNumberFormat="0" applyBorder="0" applyAlignment="0" applyProtection="0"/>
    <xf numFmtId="0" fontId="66" fillId="91" borderId="0" applyNumberFormat="0" applyBorder="0" applyAlignment="0" applyProtection="0"/>
    <xf numFmtId="0" fontId="66" fillId="91" borderId="0" applyNumberFormat="0" applyBorder="0" applyAlignment="0" applyProtection="0"/>
    <xf numFmtId="0" fontId="66" fillId="91" borderId="0" applyNumberFormat="0" applyBorder="0" applyAlignment="0" applyProtection="0"/>
    <xf numFmtId="0" fontId="66" fillId="91" borderId="0" applyNumberFormat="0" applyBorder="0" applyAlignment="0" applyProtection="0"/>
    <xf numFmtId="0" fontId="66" fillId="91" borderId="0" applyNumberFormat="0" applyBorder="0" applyAlignment="0" applyProtection="0"/>
    <xf numFmtId="0" fontId="66" fillId="91" borderId="0" applyNumberFormat="0" applyBorder="0" applyAlignment="0" applyProtection="0"/>
    <xf numFmtId="0" fontId="66" fillId="91" borderId="0" applyNumberFormat="0" applyBorder="0" applyAlignment="0" applyProtection="0"/>
    <xf numFmtId="0" fontId="66" fillId="91" borderId="0" applyNumberFormat="0" applyBorder="0" applyAlignment="0" applyProtection="0"/>
    <xf numFmtId="0" fontId="66" fillId="91" borderId="0" applyNumberFormat="0" applyBorder="0" applyAlignment="0" applyProtection="0"/>
    <xf numFmtId="0" fontId="66" fillId="91" borderId="0" applyNumberFormat="0" applyBorder="0" applyAlignment="0" applyProtection="0"/>
    <xf numFmtId="0" fontId="66" fillId="91" borderId="0" applyNumberFormat="0" applyBorder="0" applyAlignment="0" applyProtection="0"/>
    <xf numFmtId="0" fontId="66" fillId="91" borderId="0" applyNumberFormat="0" applyBorder="0" applyAlignment="0" applyProtection="0"/>
    <xf numFmtId="0" fontId="66" fillId="91" borderId="0" applyNumberFormat="0" applyBorder="0" applyAlignment="0" applyProtection="0"/>
    <xf numFmtId="0" fontId="66" fillId="91" borderId="0" applyNumberFormat="0" applyBorder="0" applyAlignment="0" applyProtection="0"/>
    <xf numFmtId="0" fontId="66" fillId="54" borderId="0" applyNumberFormat="0" applyBorder="0" applyAlignment="0" applyProtection="0"/>
    <xf numFmtId="0" fontId="66" fillId="54" borderId="0" applyNumberFormat="0" applyBorder="0" applyAlignment="0" applyProtection="0"/>
    <xf numFmtId="0" fontId="66" fillId="54" borderId="0" applyNumberFormat="0" applyBorder="0" applyAlignment="0" applyProtection="0"/>
    <xf numFmtId="0" fontId="66" fillId="54" borderId="0" applyNumberFormat="0" applyBorder="0" applyAlignment="0" applyProtection="0"/>
    <xf numFmtId="0" fontId="66" fillId="54" borderId="0" applyNumberFormat="0" applyBorder="0" applyAlignment="0" applyProtection="0"/>
    <xf numFmtId="0" fontId="66" fillId="54" borderId="0" applyNumberFormat="0" applyBorder="0" applyAlignment="0" applyProtection="0"/>
    <xf numFmtId="0" fontId="66" fillId="54" borderId="0" applyNumberFormat="0" applyBorder="0" applyAlignment="0" applyProtection="0"/>
    <xf numFmtId="0" fontId="66" fillId="54" borderId="0" applyNumberFormat="0" applyBorder="0" applyAlignment="0" applyProtection="0"/>
    <xf numFmtId="0" fontId="66" fillId="54" borderId="0" applyNumberFormat="0" applyBorder="0" applyAlignment="0" applyProtection="0"/>
    <xf numFmtId="0" fontId="66" fillId="54" borderId="0" applyNumberFormat="0" applyBorder="0" applyAlignment="0" applyProtection="0"/>
    <xf numFmtId="0" fontId="66" fillId="54" borderId="0" applyNumberFormat="0" applyBorder="0" applyAlignment="0" applyProtection="0"/>
    <xf numFmtId="0" fontId="66" fillId="54" borderId="0" applyNumberFormat="0" applyBorder="0" applyAlignment="0" applyProtection="0"/>
    <xf numFmtId="0" fontId="66" fillId="54" borderId="0" applyNumberFormat="0" applyBorder="0" applyAlignment="0" applyProtection="0"/>
    <xf numFmtId="0" fontId="66" fillId="54" borderId="0" applyNumberFormat="0" applyBorder="0" applyAlignment="0" applyProtection="0"/>
    <xf numFmtId="0" fontId="66" fillId="54" borderId="0" applyNumberFormat="0" applyBorder="0" applyAlignment="0" applyProtection="0"/>
    <xf numFmtId="0" fontId="66" fillId="54" borderId="0" applyNumberFormat="0" applyBorder="0" applyAlignment="0" applyProtection="0"/>
    <xf numFmtId="0" fontId="66" fillId="54" borderId="0" applyNumberFormat="0" applyBorder="0" applyAlignment="0" applyProtection="0"/>
    <xf numFmtId="0" fontId="66" fillId="54" borderId="0" applyNumberFormat="0" applyBorder="0" applyAlignment="0" applyProtection="0"/>
    <xf numFmtId="0" fontId="66" fillId="40" borderId="0" applyNumberFormat="0" applyBorder="0" applyAlignment="0" applyProtection="0"/>
    <xf numFmtId="0" fontId="66" fillId="40" borderId="0" applyNumberFormat="0" applyBorder="0" applyAlignment="0" applyProtection="0"/>
    <xf numFmtId="0" fontId="66" fillId="40" borderId="0" applyNumberFormat="0" applyBorder="0" applyAlignment="0" applyProtection="0"/>
    <xf numFmtId="0" fontId="66" fillId="40" borderId="0" applyNumberFormat="0" applyBorder="0" applyAlignment="0" applyProtection="0"/>
    <xf numFmtId="0" fontId="66" fillId="40" borderId="0" applyNumberFormat="0" applyBorder="0" applyAlignment="0" applyProtection="0"/>
    <xf numFmtId="0" fontId="66" fillId="40" borderId="0" applyNumberFormat="0" applyBorder="0" applyAlignment="0" applyProtection="0"/>
    <xf numFmtId="0" fontId="66" fillId="40" borderId="0" applyNumberFormat="0" applyBorder="0" applyAlignment="0" applyProtection="0"/>
    <xf numFmtId="0" fontId="66" fillId="40" borderId="0" applyNumberFormat="0" applyBorder="0" applyAlignment="0" applyProtection="0"/>
    <xf numFmtId="0" fontId="66" fillId="40" borderId="0" applyNumberFormat="0" applyBorder="0" applyAlignment="0" applyProtection="0"/>
    <xf numFmtId="0" fontId="66" fillId="40" borderId="0" applyNumberFormat="0" applyBorder="0" applyAlignment="0" applyProtection="0"/>
    <xf numFmtId="0" fontId="66" fillId="40" borderId="0" applyNumberFormat="0" applyBorder="0" applyAlignment="0" applyProtection="0"/>
    <xf numFmtId="0" fontId="66" fillId="40" borderId="0" applyNumberFormat="0" applyBorder="0" applyAlignment="0" applyProtection="0"/>
    <xf numFmtId="0" fontId="66" fillId="40" borderId="0" applyNumberFormat="0" applyBorder="0" applyAlignment="0" applyProtection="0"/>
    <xf numFmtId="0" fontId="66" fillId="40" borderId="0" applyNumberFormat="0" applyBorder="0" applyAlignment="0" applyProtection="0"/>
    <xf numFmtId="0" fontId="66" fillId="40" borderId="0" applyNumberFormat="0" applyBorder="0" applyAlignment="0" applyProtection="0"/>
    <xf numFmtId="0" fontId="66" fillId="40" borderId="0" applyNumberFormat="0" applyBorder="0" applyAlignment="0" applyProtection="0"/>
    <xf numFmtId="0" fontId="66" fillId="40" borderId="0" applyNumberFormat="0" applyBorder="0" applyAlignment="0" applyProtection="0"/>
    <xf numFmtId="0" fontId="66" fillId="40" borderId="0" applyNumberFormat="0" applyBorder="0" applyAlignment="0" applyProtection="0"/>
    <xf numFmtId="0" fontId="66" fillId="40" borderId="0" applyNumberFormat="0" applyBorder="0" applyAlignment="0" applyProtection="0"/>
    <xf numFmtId="0" fontId="66" fillId="40" borderId="0" applyNumberFormat="0" applyBorder="0" applyAlignment="0" applyProtection="0"/>
    <xf numFmtId="0" fontId="66" fillId="75" borderId="0" applyNumberFormat="0" applyBorder="0" applyAlignment="0" applyProtection="0"/>
    <xf numFmtId="0" fontId="66" fillId="75" borderId="0" applyNumberFormat="0" applyBorder="0" applyAlignment="0" applyProtection="0"/>
    <xf numFmtId="0" fontId="66" fillId="75" borderId="0" applyNumberFormat="0" applyBorder="0" applyAlignment="0" applyProtection="0"/>
    <xf numFmtId="0" fontId="66" fillId="75" borderId="0" applyNumberFormat="0" applyBorder="0" applyAlignment="0" applyProtection="0"/>
    <xf numFmtId="0" fontId="66" fillId="75" borderId="0" applyNumberFormat="0" applyBorder="0" applyAlignment="0" applyProtection="0"/>
    <xf numFmtId="0" fontId="66" fillId="75" borderId="0" applyNumberFormat="0" applyBorder="0" applyAlignment="0" applyProtection="0"/>
    <xf numFmtId="0" fontId="66" fillId="75" borderId="0" applyNumberFormat="0" applyBorder="0" applyAlignment="0" applyProtection="0"/>
    <xf numFmtId="0" fontId="66" fillId="75" borderId="0" applyNumberFormat="0" applyBorder="0" applyAlignment="0" applyProtection="0"/>
    <xf numFmtId="0" fontId="66" fillId="75" borderId="0" applyNumberFormat="0" applyBorder="0" applyAlignment="0" applyProtection="0"/>
    <xf numFmtId="0" fontId="66" fillId="75" borderId="0" applyNumberFormat="0" applyBorder="0" applyAlignment="0" applyProtection="0"/>
    <xf numFmtId="0" fontId="66" fillId="75" borderId="0" applyNumberFormat="0" applyBorder="0" applyAlignment="0" applyProtection="0"/>
    <xf numFmtId="0" fontId="66" fillId="75" borderId="0" applyNumberFormat="0" applyBorder="0" applyAlignment="0" applyProtection="0"/>
    <xf numFmtId="0" fontId="66" fillId="75" borderId="0" applyNumberFormat="0" applyBorder="0" applyAlignment="0" applyProtection="0"/>
    <xf numFmtId="0" fontId="66" fillId="75" borderId="0" applyNumberFormat="0" applyBorder="0" applyAlignment="0" applyProtection="0"/>
    <xf numFmtId="0" fontId="66" fillId="75" borderId="0" applyNumberFormat="0" applyBorder="0" applyAlignment="0" applyProtection="0"/>
    <xf numFmtId="0" fontId="66" fillId="75" borderId="0" applyNumberFormat="0" applyBorder="0" applyAlignment="0" applyProtection="0"/>
    <xf numFmtId="0" fontId="66" fillId="75" borderId="0" applyNumberFormat="0" applyBorder="0" applyAlignment="0" applyProtection="0"/>
    <xf numFmtId="0" fontId="66" fillId="75" borderId="0" applyNumberFormat="0" applyBorder="0" applyAlignment="0" applyProtection="0"/>
    <xf numFmtId="0" fontId="66" fillId="40" borderId="0" applyNumberFormat="0" applyBorder="0" applyAlignment="0" applyProtection="0"/>
    <xf numFmtId="0" fontId="66" fillId="75" borderId="0" applyNumberFormat="0" applyBorder="0" applyAlignment="0" applyProtection="0"/>
    <xf numFmtId="0" fontId="66" fillId="75" borderId="0" applyNumberFormat="0" applyBorder="0" applyAlignment="0" applyProtection="0"/>
    <xf numFmtId="0" fontId="66" fillId="75" borderId="0" applyNumberFormat="0" applyBorder="0" applyAlignment="0" applyProtection="0"/>
    <xf numFmtId="0" fontId="66" fillId="75" borderId="0" applyNumberFormat="0" applyBorder="0" applyAlignment="0" applyProtection="0"/>
    <xf numFmtId="0" fontId="66" fillId="75" borderId="0" applyNumberFormat="0" applyBorder="0" applyAlignment="0" applyProtection="0"/>
    <xf numFmtId="0" fontId="66" fillId="75" borderId="0" applyNumberFormat="0" applyBorder="0" applyAlignment="0" applyProtection="0"/>
    <xf numFmtId="0" fontId="66" fillId="75" borderId="0" applyNumberFormat="0" applyBorder="0" applyAlignment="0" applyProtection="0"/>
    <xf numFmtId="0" fontId="66" fillId="75" borderId="0" applyNumberFormat="0" applyBorder="0" applyAlignment="0" applyProtection="0"/>
    <xf numFmtId="0" fontId="66" fillId="75" borderId="0" applyNumberFormat="0" applyBorder="0" applyAlignment="0" applyProtection="0"/>
    <xf numFmtId="0" fontId="66" fillId="75" borderId="0" applyNumberFormat="0" applyBorder="0" applyAlignment="0" applyProtection="0"/>
    <xf numFmtId="0" fontId="66" fillId="75" borderId="0" applyNumberFormat="0" applyBorder="0" applyAlignment="0" applyProtection="0"/>
    <xf numFmtId="0" fontId="66" fillId="75" borderId="0" applyNumberFormat="0" applyBorder="0" applyAlignment="0" applyProtection="0"/>
    <xf numFmtId="0" fontId="66" fillId="75" borderId="0" applyNumberFormat="0" applyBorder="0" applyAlignment="0" applyProtection="0"/>
    <xf numFmtId="0" fontId="66" fillId="75" borderId="0" applyNumberFormat="0" applyBorder="0" applyAlignment="0" applyProtection="0"/>
    <xf numFmtId="0" fontId="66" fillId="75" borderId="0" applyNumberFormat="0" applyBorder="0" applyAlignment="0" applyProtection="0"/>
    <xf numFmtId="0" fontId="66" fillId="75" borderId="0" applyNumberFormat="0" applyBorder="0" applyAlignment="0" applyProtection="0"/>
    <xf numFmtId="0" fontId="66" fillId="40" borderId="0" applyNumberFormat="0" applyBorder="0" applyAlignment="0" applyProtection="0"/>
    <xf numFmtId="0" fontId="66" fillId="40" borderId="0" applyNumberFormat="0" applyBorder="0" applyAlignment="0" applyProtection="0"/>
    <xf numFmtId="0" fontId="66" fillId="40" borderId="0" applyNumberFormat="0" applyBorder="0" applyAlignment="0" applyProtection="0"/>
    <xf numFmtId="0" fontId="66" fillId="40" borderId="0" applyNumberFormat="0" applyBorder="0" applyAlignment="0" applyProtection="0"/>
    <xf numFmtId="0" fontId="66" fillId="40" borderId="0" applyNumberFormat="0" applyBorder="0" applyAlignment="0" applyProtection="0"/>
    <xf numFmtId="0" fontId="66" fillId="40" borderId="0" applyNumberFormat="0" applyBorder="0" applyAlignment="0" applyProtection="0"/>
    <xf numFmtId="0" fontId="66" fillId="40" borderId="0" applyNumberFormat="0" applyBorder="0" applyAlignment="0" applyProtection="0"/>
    <xf numFmtId="0" fontId="66" fillId="40" borderId="0" applyNumberFormat="0" applyBorder="0" applyAlignment="0" applyProtection="0"/>
    <xf numFmtId="0" fontId="66" fillId="40" borderId="0" applyNumberFormat="0" applyBorder="0" applyAlignment="0" applyProtection="0"/>
    <xf numFmtId="0" fontId="66" fillId="40" borderId="0" applyNumberFormat="0" applyBorder="0" applyAlignment="0" applyProtection="0"/>
    <xf numFmtId="0" fontId="66" fillId="40" borderId="0" applyNumberFormat="0" applyBorder="0" applyAlignment="0" applyProtection="0"/>
    <xf numFmtId="0" fontId="66" fillId="40" borderId="0" applyNumberFormat="0" applyBorder="0" applyAlignment="0" applyProtection="0"/>
    <xf numFmtId="0" fontId="66" fillId="40" borderId="0" applyNumberFormat="0" applyBorder="0" applyAlignment="0" applyProtection="0"/>
    <xf numFmtId="0" fontId="66" fillId="40" borderId="0" applyNumberFormat="0" applyBorder="0" applyAlignment="0" applyProtection="0"/>
    <xf numFmtId="0" fontId="66" fillId="40" borderId="0" applyNumberFormat="0" applyBorder="0" applyAlignment="0" applyProtection="0"/>
    <xf numFmtId="0" fontId="66" fillId="40" borderId="0" applyNumberFormat="0" applyBorder="0" applyAlignment="0" applyProtection="0"/>
    <xf numFmtId="0" fontId="66" fillId="40" borderId="0" applyNumberFormat="0" applyBorder="0" applyAlignment="0" applyProtection="0"/>
    <xf numFmtId="0" fontId="66" fillId="40" borderId="0" applyNumberFormat="0" applyBorder="0" applyAlignment="0" applyProtection="0"/>
    <xf numFmtId="0" fontId="66" fillId="50" borderId="0" applyNumberFormat="0" applyBorder="0" applyAlignment="0" applyProtection="0"/>
    <xf numFmtId="0" fontId="66" fillId="50" borderId="0" applyNumberFormat="0" applyBorder="0" applyAlignment="0" applyProtection="0"/>
    <xf numFmtId="0" fontId="66" fillId="50" borderId="0" applyNumberFormat="0" applyBorder="0" applyAlignment="0" applyProtection="0"/>
    <xf numFmtId="0" fontId="66" fillId="50" borderId="0" applyNumberFormat="0" applyBorder="0" applyAlignment="0" applyProtection="0"/>
    <xf numFmtId="0" fontId="66" fillId="50" borderId="0" applyNumberFormat="0" applyBorder="0" applyAlignment="0" applyProtection="0"/>
    <xf numFmtId="0" fontId="66" fillId="50" borderId="0" applyNumberFormat="0" applyBorder="0" applyAlignment="0" applyProtection="0"/>
    <xf numFmtId="0" fontId="66" fillId="50" borderId="0" applyNumberFormat="0" applyBorder="0" applyAlignment="0" applyProtection="0"/>
    <xf numFmtId="0" fontId="66" fillId="50" borderId="0" applyNumberFormat="0" applyBorder="0" applyAlignment="0" applyProtection="0"/>
    <xf numFmtId="0" fontId="66" fillId="50" borderId="0" applyNumberFormat="0" applyBorder="0" applyAlignment="0" applyProtection="0"/>
    <xf numFmtId="0" fontId="66" fillId="50" borderId="0" applyNumberFormat="0" applyBorder="0" applyAlignment="0" applyProtection="0"/>
    <xf numFmtId="0" fontId="66" fillId="50" borderId="0" applyNumberFormat="0" applyBorder="0" applyAlignment="0" applyProtection="0"/>
    <xf numFmtId="0" fontId="66" fillId="50" borderId="0" applyNumberFormat="0" applyBorder="0" applyAlignment="0" applyProtection="0"/>
    <xf numFmtId="0" fontId="66" fillId="50" borderId="0" applyNumberFormat="0" applyBorder="0" applyAlignment="0" applyProtection="0"/>
    <xf numFmtId="0" fontId="66" fillId="50" borderId="0" applyNumberFormat="0" applyBorder="0" applyAlignment="0" applyProtection="0"/>
    <xf numFmtId="0" fontId="66" fillId="50" borderId="0" applyNumberFormat="0" applyBorder="0" applyAlignment="0" applyProtection="0"/>
    <xf numFmtId="0" fontId="66" fillId="50" borderId="0" applyNumberFormat="0" applyBorder="0" applyAlignment="0" applyProtection="0"/>
    <xf numFmtId="0" fontId="66" fillId="50" borderId="0" applyNumberFormat="0" applyBorder="0" applyAlignment="0" applyProtection="0"/>
    <xf numFmtId="0" fontId="66" fillId="50" borderId="0" applyNumberFormat="0" applyBorder="0" applyAlignment="0" applyProtection="0"/>
    <xf numFmtId="0" fontId="66" fillId="50" borderId="0" applyNumberFormat="0" applyBorder="0" applyAlignment="0" applyProtection="0"/>
    <xf numFmtId="0" fontId="66" fillId="50"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50"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34" borderId="0" applyNumberFormat="0" applyBorder="0" applyAlignment="0" applyProtection="0"/>
    <xf numFmtId="0" fontId="66" fillId="50" borderId="0" applyNumberFormat="0" applyBorder="0" applyAlignment="0" applyProtection="0"/>
    <xf numFmtId="0" fontId="66" fillId="50" borderId="0" applyNumberFormat="0" applyBorder="0" applyAlignment="0" applyProtection="0"/>
    <xf numFmtId="0" fontId="66" fillId="50" borderId="0" applyNumberFormat="0" applyBorder="0" applyAlignment="0" applyProtection="0"/>
    <xf numFmtId="0" fontId="66" fillId="50" borderId="0" applyNumberFormat="0" applyBorder="0" applyAlignment="0" applyProtection="0"/>
    <xf numFmtId="0" fontId="66" fillId="50" borderId="0" applyNumberFormat="0" applyBorder="0" applyAlignment="0" applyProtection="0"/>
    <xf numFmtId="0" fontId="66" fillId="50" borderId="0" applyNumberFormat="0" applyBorder="0" applyAlignment="0" applyProtection="0"/>
    <xf numFmtId="0" fontId="66" fillId="50" borderId="0" applyNumberFormat="0" applyBorder="0" applyAlignment="0" applyProtection="0"/>
    <xf numFmtId="0" fontId="66" fillId="50" borderId="0" applyNumberFormat="0" applyBorder="0" applyAlignment="0" applyProtection="0"/>
    <xf numFmtId="0" fontId="66" fillId="50" borderId="0" applyNumberFormat="0" applyBorder="0" applyAlignment="0" applyProtection="0"/>
    <xf numFmtId="0" fontId="66" fillId="50" borderId="0" applyNumberFormat="0" applyBorder="0" applyAlignment="0" applyProtection="0"/>
    <xf numFmtId="0" fontId="66" fillId="50" borderId="0" applyNumberFormat="0" applyBorder="0" applyAlignment="0" applyProtection="0"/>
    <xf numFmtId="0" fontId="66" fillId="50" borderId="0" applyNumberFormat="0" applyBorder="0" applyAlignment="0" applyProtection="0"/>
    <xf numFmtId="0" fontId="66" fillId="50" borderId="0" applyNumberFormat="0" applyBorder="0" applyAlignment="0" applyProtection="0"/>
    <xf numFmtId="0" fontId="66" fillId="50" borderId="0" applyNumberFormat="0" applyBorder="0" applyAlignment="0" applyProtection="0"/>
    <xf numFmtId="0" fontId="66" fillId="50" borderId="0" applyNumberFormat="0" applyBorder="0" applyAlignment="0" applyProtection="0"/>
    <xf numFmtId="0" fontId="66" fillId="50" borderId="0" applyNumberFormat="0" applyBorder="0" applyAlignment="0" applyProtection="0"/>
    <xf numFmtId="0" fontId="66" fillId="50" borderId="0" applyNumberFormat="0" applyBorder="0" applyAlignment="0" applyProtection="0"/>
    <xf numFmtId="0" fontId="66" fillId="50" borderId="0" applyNumberFormat="0" applyBorder="0" applyAlignment="0" applyProtection="0"/>
    <xf numFmtId="0" fontId="66" fillId="56" borderId="0" applyNumberFormat="0" applyBorder="0" applyAlignment="0" applyProtection="0"/>
    <xf numFmtId="0" fontId="66" fillId="56" borderId="0" applyNumberFormat="0" applyBorder="0" applyAlignment="0" applyProtection="0"/>
    <xf numFmtId="0" fontId="66" fillId="56" borderId="0" applyNumberFormat="0" applyBorder="0" applyAlignment="0" applyProtection="0"/>
    <xf numFmtId="0" fontId="66" fillId="56" borderId="0" applyNumberFormat="0" applyBorder="0" applyAlignment="0" applyProtection="0"/>
    <xf numFmtId="0" fontId="66" fillId="56" borderId="0" applyNumberFormat="0" applyBorder="0" applyAlignment="0" applyProtection="0"/>
    <xf numFmtId="0" fontId="66" fillId="56" borderId="0" applyNumberFormat="0" applyBorder="0" applyAlignment="0" applyProtection="0"/>
    <xf numFmtId="0" fontId="66" fillId="56" borderId="0" applyNumberFormat="0" applyBorder="0" applyAlignment="0" applyProtection="0"/>
    <xf numFmtId="0" fontId="66" fillId="56" borderId="0" applyNumberFormat="0" applyBorder="0" applyAlignment="0" applyProtection="0"/>
    <xf numFmtId="0" fontId="66" fillId="56" borderId="0" applyNumberFormat="0" applyBorder="0" applyAlignment="0" applyProtection="0"/>
    <xf numFmtId="0" fontId="66" fillId="56" borderId="0" applyNumberFormat="0" applyBorder="0" applyAlignment="0" applyProtection="0"/>
    <xf numFmtId="0" fontId="66" fillId="56" borderId="0" applyNumberFormat="0" applyBorder="0" applyAlignment="0" applyProtection="0"/>
    <xf numFmtId="0" fontId="66" fillId="56" borderId="0" applyNumberFormat="0" applyBorder="0" applyAlignment="0" applyProtection="0"/>
    <xf numFmtId="0" fontId="66" fillId="56" borderId="0" applyNumberFormat="0" applyBorder="0" applyAlignment="0" applyProtection="0"/>
    <xf numFmtId="0" fontId="66" fillId="56" borderId="0" applyNumberFormat="0" applyBorder="0" applyAlignment="0" applyProtection="0"/>
    <xf numFmtId="0" fontId="66" fillId="56" borderId="0" applyNumberFormat="0" applyBorder="0" applyAlignment="0" applyProtection="0"/>
    <xf numFmtId="0" fontId="66" fillId="56" borderId="0" applyNumberFormat="0" applyBorder="0" applyAlignment="0" applyProtection="0"/>
    <xf numFmtId="0" fontId="66" fillId="56" borderId="0" applyNumberFormat="0" applyBorder="0" applyAlignment="0" applyProtection="0"/>
    <xf numFmtId="0" fontId="66" fillId="56" borderId="0" applyNumberFormat="0" applyBorder="0" applyAlignment="0" applyProtection="0"/>
    <xf numFmtId="0" fontId="66" fillId="56" borderId="0" applyNumberFormat="0" applyBorder="0" applyAlignment="0" applyProtection="0"/>
    <xf numFmtId="0" fontId="66" fillId="56"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56"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44" borderId="0" applyNumberFormat="0" applyBorder="0" applyAlignment="0" applyProtection="0"/>
    <xf numFmtId="0" fontId="66" fillId="56" borderId="0" applyNumberFormat="0" applyBorder="0" applyAlignment="0" applyProtection="0"/>
    <xf numFmtId="0" fontId="66" fillId="56" borderId="0" applyNumberFormat="0" applyBorder="0" applyAlignment="0" applyProtection="0"/>
    <xf numFmtId="0" fontId="66" fillId="56" borderId="0" applyNumberFormat="0" applyBorder="0" applyAlignment="0" applyProtection="0"/>
    <xf numFmtId="0" fontId="66" fillId="56" borderId="0" applyNumberFormat="0" applyBorder="0" applyAlignment="0" applyProtection="0"/>
    <xf numFmtId="0" fontId="66" fillId="56" borderId="0" applyNumberFormat="0" applyBorder="0" applyAlignment="0" applyProtection="0"/>
    <xf numFmtId="0" fontId="66" fillId="56" borderId="0" applyNumberFormat="0" applyBorder="0" applyAlignment="0" applyProtection="0"/>
    <xf numFmtId="0" fontId="66" fillId="56" borderId="0" applyNumberFormat="0" applyBorder="0" applyAlignment="0" applyProtection="0"/>
    <xf numFmtId="0" fontId="66" fillId="56" borderId="0" applyNumberFormat="0" applyBorder="0" applyAlignment="0" applyProtection="0"/>
    <xf numFmtId="0" fontId="66" fillId="56" borderId="0" applyNumberFormat="0" applyBorder="0" applyAlignment="0" applyProtection="0"/>
    <xf numFmtId="0" fontId="66" fillId="56" borderId="0" applyNumberFormat="0" applyBorder="0" applyAlignment="0" applyProtection="0"/>
    <xf numFmtId="0" fontId="66" fillId="56" borderId="0" applyNumberFormat="0" applyBorder="0" applyAlignment="0" applyProtection="0"/>
    <xf numFmtId="0" fontId="66" fillId="56" borderId="0" applyNumberFormat="0" applyBorder="0" applyAlignment="0" applyProtection="0"/>
    <xf numFmtId="0" fontId="66" fillId="56" borderId="0" applyNumberFormat="0" applyBorder="0" applyAlignment="0" applyProtection="0"/>
    <xf numFmtId="0" fontId="66" fillId="56" borderId="0" applyNumberFormat="0" applyBorder="0" applyAlignment="0" applyProtection="0"/>
    <xf numFmtId="0" fontId="66" fillId="56" borderId="0" applyNumberFormat="0" applyBorder="0" applyAlignment="0" applyProtection="0"/>
    <xf numFmtId="0" fontId="66" fillId="56" borderId="0" applyNumberFormat="0" applyBorder="0" applyAlignment="0" applyProtection="0"/>
    <xf numFmtId="0" fontId="66" fillId="56" borderId="0" applyNumberFormat="0" applyBorder="0" applyAlignment="0" applyProtection="0"/>
    <xf numFmtId="0" fontId="66" fillId="56" borderId="0" applyNumberFormat="0" applyBorder="0" applyAlignment="0" applyProtection="0"/>
    <xf numFmtId="0" fontId="69" fillId="59" borderId="0" applyNumberFormat="0" applyBorder="0" applyAlignment="0" applyProtection="0"/>
    <xf numFmtId="0" fontId="69" fillId="59" borderId="0" applyNumberFormat="0" applyBorder="0" applyAlignment="0" applyProtection="0"/>
    <xf numFmtId="0" fontId="69" fillId="59" borderId="0" applyNumberFormat="0" applyBorder="0" applyAlignment="0" applyProtection="0"/>
    <xf numFmtId="0" fontId="69" fillId="59" borderId="0" applyNumberFormat="0" applyBorder="0" applyAlignment="0" applyProtection="0"/>
    <xf numFmtId="0" fontId="69" fillId="59" borderId="0" applyNumberFormat="0" applyBorder="0" applyAlignment="0" applyProtection="0"/>
    <xf numFmtId="0" fontId="69" fillId="59" borderId="0" applyNumberFormat="0" applyBorder="0" applyAlignment="0" applyProtection="0"/>
    <xf numFmtId="0" fontId="69" fillId="59" borderId="0" applyNumberFormat="0" applyBorder="0" applyAlignment="0" applyProtection="0"/>
    <xf numFmtId="0" fontId="69" fillId="59" borderId="0" applyNumberFormat="0" applyBorder="0" applyAlignment="0" applyProtection="0"/>
    <xf numFmtId="0" fontId="69" fillId="59" borderId="0" applyNumberFormat="0" applyBorder="0" applyAlignment="0" applyProtection="0"/>
    <xf numFmtId="0" fontId="69" fillId="59" borderId="0" applyNumberFormat="0" applyBorder="0" applyAlignment="0" applyProtection="0"/>
    <xf numFmtId="0" fontId="69" fillId="59" borderId="0" applyNumberFormat="0" applyBorder="0" applyAlignment="0" applyProtection="0"/>
    <xf numFmtId="0" fontId="69" fillId="59" borderId="0" applyNumberFormat="0" applyBorder="0" applyAlignment="0" applyProtection="0"/>
    <xf numFmtId="0" fontId="69" fillId="59" borderId="0" applyNumberFormat="0" applyBorder="0" applyAlignment="0" applyProtection="0"/>
    <xf numFmtId="0" fontId="69" fillId="59" borderId="0" applyNumberFormat="0" applyBorder="0" applyAlignment="0" applyProtection="0"/>
    <xf numFmtId="0" fontId="69" fillId="59" borderId="0" applyNumberFormat="0" applyBorder="0" applyAlignment="0" applyProtection="0"/>
    <xf numFmtId="0" fontId="69" fillId="59" borderId="0" applyNumberFormat="0" applyBorder="0" applyAlignment="0" applyProtection="0"/>
    <xf numFmtId="0" fontId="69" fillId="59" borderId="0" applyNumberFormat="0" applyBorder="0" applyAlignment="0" applyProtection="0"/>
    <xf numFmtId="0" fontId="69" fillId="59" borderId="0" applyNumberFormat="0" applyBorder="0" applyAlignment="0" applyProtection="0"/>
    <xf numFmtId="0" fontId="69" fillId="59" borderId="0" applyNumberFormat="0" applyBorder="0" applyAlignment="0" applyProtection="0"/>
    <xf numFmtId="0" fontId="69" fillId="59" borderId="0" applyNumberFormat="0" applyBorder="0" applyAlignment="0" applyProtection="0"/>
    <xf numFmtId="0" fontId="69" fillId="34" borderId="0" applyNumberFormat="0" applyBorder="0" applyAlignment="0" applyProtection="0"/>
    <xf numFmtId="0" fontId="69" fillId="34" borderId="0" applyNumberFormat="0" applyBorder="0" applyAlignment="0" applyProtection="0"/>
    <xf numFmtId="0" fontId="69" fillId="34" borderId="0" applyNumberFormat="0" applyBorder="0" applyAlignment="0" applyProtection="0"/>
    <xf numFmtId="0" fontId="69" fillId="34" borderId="0" applyNumberFormat="0" applyBorder="0" applyAlignment="0" applyProtection="0"/>
    <xf numFmtId="0" fontId="69" fillId="34" borderId="0" applyNumberFormat="0" applyBorder="0" applyAlignment="0" applyProtection="0"/>
    <xf numFmtId="0" fontId="69" fillId="34" borderId="0" applyNumberFormat="0" applyBorder="0" applyAlignment="0" applyProtection="0"/>
    <xf numFmtId="0" fontId="69" fillId="34" borderId="0" applyNumberFormat="0" applyBorder="0" applyAlignment="0" applyProtection="0"/>
    <xf numFmtId="0" fontId="69" fillId="34" borderId="0" applyNumberFormat="0" applyBorder="0" applyAlignment="0" applyProtection="0"/>
    <xf numFmtId="0" fontId="69" fillId="34" borderId="0" applyNumberFormat="0" applyBorder="0" applyAlignment="0" applyProtection="0"/>
    <xf numFmtId="0" fontId="69" fillId="34" borderId="0" applyNumberFormat="0" applyBorder="0" applyAlignment="0" applyProtection="0"/>
    <xf numFmtId="0" fontId="69" fillId="34" borderId="0" applyNumberFormat="0" applyBorder="0" applyAlignment="0" applyProtection="0"/>
    <xf numFmtId="0" fontId="69" fillId="34" borderId="0" applyNumberFormat="0" applyBorder="0" applyAlignment="0" applyProtection="0"/>
    <xf numFmtId="0" fontId="69" fillId="34" borderId="0" applyNumberFormat="0" applyBorder="0" applyAlignment="0" applyProtection="0"/>
    <xf numFmtId="0" fontId="69" fillId="34" borderId="0" applyNumberFormat="0" applyBorder="0" applyAlignment="0" applyProtection="0"/>
    <xf numFmtId="0" fontId="69" fillId="34" borderId="0" applyNumberFormat="0" applyBorder="0" applyAlignment="0" applyProtection="0"/>
    <xf numFmtId="0" fontId="69" fillId="34" borderId="0" applyNumberFormat="0" applyBorder="0" applyAlignment="0" applyProtection="0"/>
    <xf numFmtId="0" fontId="69" fillId="34" borderId="0" applyNumberFormat="0" applyBorder="0" applyAlignment="0" applyProtection="0"/>
    <xf numFmtId="0" fontId="69" fillId="59" borderId="0" applyNumberFormat="0" applyBorder="0" applyAlignment="0" applyProtection="0"/>
    <xf numFmtId="0" fontId="66" fillId="34" borderId="0" applyNumberFormat="0" applyBorder="0" applyAlignment="0" applyProtection="0"/>
    <xf numFmtId="0" fontId="69" fillId="34" borderId="0" applyNumberFormat="0" applyBorder="0" applyAlignment="0" applyProtection="0"/>
    <xf numFmtId="0" fontId="66" fillId="34" borderId="0" applyNumberFormat="0" applyBorder="0" applyAlignment="0" applyProtection="0"/>
    <xf numFmtId="0" fontId="69" fillId="34" borderId="0" applyNumberFormat="0" applyBorder="0" applyAlignment="0" applyProtection="0"/>
    <xf numFmtId="0" fontId="69" fillId="34" borderId="0" applyNumberFormat="0" applyBorder="0" applyAlignment="0" applyProtection="0"/>
    <xf numFmtId="0" fontId="69" fillId="34" borderId="0" applyNumberFormat="0" applyBorder="0" applyAlignment="0" applyProtection="0"/>
    <xf numFmtId="0" fontId="69" fillId="34" borderId="0" applyNumberFormat="0" applyBorder="0" applyAlignment="0" applyProtection="0"/>
    <xf numFmtId="0" fontId="69" fillId="34" borderId="0" applyNumberFormat="0" applyBorder="0" applyAlignment="0" applyProtection="0"/>
    <xf numFmtId="0" fontId="69" fillId="34" borderId="0" applyNumberFormat="0" applyBorder="0" applyAlignment="0" applyProtection="0"/>
    <xf numFmtId="0" fontId="69" fillId="34" borderId="0" applyNumberFormat="0" applyBorder="0" applyAlignment="0" applyProtection="0"/>
    <xf numFmtId="0" fontId="69" fillId="34" borderId="0" applyNumberFormat="0" applyBorder="0" applyAlignment="0" applyProtection="0"/>
    <xf numFmtId="0" fontId="69" fillId="34" borderId="0" applyNumberFormat="0" applyBorder="0" applyAlignment="0" applyProtection="0"/>
    <xf numFmtId="0" fontId="69" fillId="34" borderId="0" applyNumberFormat="0" applyBorder="0" applyAlignment="0" applyProtection="0"/>
    <xf numFmtId="0" fontId="69" fillId="34" borderId="0" applyNumberFormat="0" applyBorder="0" applyAlignment="0" applyProtection="0"/>
    <xf numFmtId="0" fontId="69" fillId="34" borderId="0" applyNumberFormat="0" applyBorder="0" applyAlignment="0" applyProtection="0"/>
    <xf numFmtId="0" fontId="69" fillId="59" borderId="0" applyNumberFormat="0" applyBorder="0" applyAlignment="0" applyProtection="0"/>
    <xf numFmtId="0" fontId="69" fillId="59" borderId="0" applyNumberFormat="0" applyBorder="0" applyAlignment="0" applyProtection="0"/>
    <xf numFmtId="0" fontId="69" fillId="59" borderId="0" applyNumberFormat="0" applyBorder="0" applyAlignment="0" applyProtection="0"/>
    <xf numFmtId="0" fontId="66" fillId="59" borderId="0" applyNumberFormat="0" applyBorder="0" applyAlignment="0" applyProtection="0"/>
    <xf numFmtId="0" fontId="69" fillId="59" borderId="0" applyNumberFormat="0" applyBorder="0" applyAlignment="0" applyProtection="0"/>
    <xf numFmtId="0" fontId="66" fillId="59" borderId="0" applyNumberFormat="0" applyBorder="0" applyAlignment="0" applyProtection="0"/>
    <xf numFmtId="0" fontId="69" fillId="59" borderId="0" applyNumberFormat="0" applyBorder="0" applyAlignment="0" applyProtection="0"/>
    <xf numFmtId="0" fontId="69" fillId="59" borderId="0" applyNumberFormat="0" applyBorder="0" applyAlignment="0" applyProtection="0"/>
    <xf numFmtId="0" fontId="69" fillId="59" borderId="0" applyNumberFormat="0" applyBorder="0" applyAlignment="0" applyProtection="0"/>
    <xf numFmtId="0" fontId="69" fillId="59" borderId="0" applyNumberFormat="0" applyBorder="0" applyAlignment="0" applyProtection="0"/>
    <xf numFmtId="0" fontId="69" fillId="59" borderId="0" applyNumberFormat="0" applyBorder="0" applyAlignment="0" applyProtection="0"/>
    <xf numFmtId="0" fontId="69" fillId="59" borderId="0" applyNumberFormat="0" applyBorder="0" applyAlignment="0" applyProtection="0"/>
    <xf numFmtId="0" fontId="69" fillId="59" borderId="0" applyNumberFormat="0" applyBorder="0" applyAlignment="0" applyProtection="0"/>
    <xf numFmtId="0" fontId="69" fillId="59" borderId="0" applyNumberFormat="0" applyBorder="0" applyAlignment="0" applyProtection="0"/>
    <xf numFmtId="0" fontId="69" fillId="59" borderId="0" applyNumberFormat="0" applyBorder="0" applyAlignment="0" applyProtection="0"/>
    <xf numFmtId="0" fontId="69" fillId="59" borderId="0" applyNumberFormat="0" applyBorder="0" applyAlignment="0" applyProtection="0"/>
    <xf numFmtId="0" fontId="69" fillId="59" borderId="0" applyNumberFormat="0" applyBorder="0" applyAlignment="0" applyProtection="0"/>
    <xf numFmtId="0" fontId="69" fillId="52" borderId="0" applyNumberFormat="0" applyBorder="0" applyAlignment="0" applyProtection="0"/>
    <xf numFmtId="0" fontId="69" fillId="52" borderId="0" applyNumberFormat="0" applyBorder="0" applyAlignment="0" applyProtection="0"/>
    <xf numFmtId="0" fontId="69" fillId="52" borderId="0" applyNumberFormat="0" applyBorder="0" applyAlignment="0" applyProtection="0"/>
    <xf numFmtId="0" fontId="69" fillId="52" borderId="0" applyNumberFormat="0" applyBorder="0" applyAlignment="0" applyProtection="0"/>
    <xf numFmtId="0" fontId="69" fillId="52" borderId="0" applyNumberFormat="0" applyBorder="0" applyAlignment="0" applyProtection="0"/>
    <xf numFmtId="0" fontId="69" fillId="52" borderId="0" applyNumberFormat="0" applyBorder="0" applyAlignment="0" applyProtection="0"/>
    <xf numFmtId="0" fontId="69" fillId="52" borderId="0" applyNumberFormat="0" applyBorder="0" applyAlignment="0" applyProtection="0"/>
    <xf numFmtId="0" fontId="69" fillId="52" borderId="0" applyNumberFormat="0" applyBorder="0" applyAlignment="0" applyProtection="0"/>
    <xf numFmtId="0" fontId="69" fillId="52" borderId="0" applyNumberFormat="0" applyBorder="0" applyAlignment="0" applyProtection="0"/>
    <xf numFmtId="0" fontId="69" fillId="52" borderId="0" applyNumberFormat="0" applyBorder="0" applyAlignment="0" applyProtection="0"/>
    <xf numFmtId="0" fontId="69" fillId="52" borderId="0" applyNumberFormat="0" applyBorder="0" applyAlignment="0" applyProtection="0"/>
    <xf numFmtId="0" fontId="69" fillId="52" borderId="0" applyNumberFormat="0" applyBorder="0" applyAlignment="0" applyProtection="0"/>
    <xf numFmtId="0" fontId="69" fillId="52" borderId="0" applyNumberFormat="0" applyBorder="0" applyAlignment="0" applyProtection="0"/>
    <xf numFmtId="0" fontId="69" fillId="52" borderId="0" applyNumberFormat="0" applyBorder="0" applyAlignment="0" applyProtection="0"/>
    <xf numFmtId="0" fontId="69" fillId="52" borderId="0" applyNumberFormat="0" applyBorder="0" applyAlignment="0" applyProtection="0"/>
    <xf numFmtId="0" fontId="69" fillId="52" borderId="0" applyNumberFormat="0" applyBorder="0" applyAlignment="0" applyProtection="0"/>
    <xf numFmtId="0" fontId="69" fillId="52" borderId="0" applyNumberFormat="0" applyBorder="0" applyAlignment="0" applyProtection="0"/>
    <xf numFmtId="0" fontId="69" fillId="52" borderId="0" applyNumberFormat="0" applyBorder="0" applyAlignment="0" applyProtection="0"/>
    <xf numFmtId="0" fontId="69" fillId="52" borderId="0" applyNumberFormat="0" applyBorder="0" applyAlignment="0" applyProtection="0"/>
    <xf numFmtId="0" fontId="69" fillId="52" borderId="0" applyNumberFormat="0" applyBorder="0" applyAlignment="0" applyProtection="0"/>
    <xf numFmtId="0" fontId="69" fillId="52" borderId="0" applyNumberFormat="0" applyBorder="0" applyAlignment="0" applyProtection="0"/>
    <xf numFmtId="0" fontId="69" fillId="52" borderId="0" applyNumberFormat="0" applyBorder="0" applyAlignment="0" applyProtection="0"/>
    <xf numFmtId="0" fontId="69" fillId="52" borderId="0" applyNumberFormat="0" applyBorder="0" applyAlignment="0" applyProtection="0"/>
    <xf numFmtId="0" fontId="69" fillId="52" borderId="0" applyNumberFormat="0" applyBorder="0" applyAlignment="0" applyProtection="0"/>
    <xf numFmtId="0" fontId="69" fillId="52" borderId="0" applyNumberFormat="0" applyBorder="0" applyAlignment="0" applyProtection="0"/>
    <xf numFmtId="0" fontId="69" fillId="52" borderId="0" applyNumberFormat="0" applyBorder="0" applyAlignment="0" applyProtection="0"/>
    <xf numFmtId="0" fontId="69" fillId="52" borderId="0" applyNumberFormat="0" applyBorder="0" applyAlignment="0" applyProtection="0"/>
    <xf numFmtId="0" fontId="69" fillId="52" borderId="0" applyNumberFormat="0" applyBorder="0" applyAlignment="0" applyProtection="0"/>
    <xf numFmtId="0" fontId="69" fillId="52" borderId="0" applyNumberFormat="0" applyBorder="0" applyAlignment="0" applyProtection="0"/>
    <xf numFmtId="0" fontId="69" fillId="52" borderId="0" applyNumberFormat="0" applyBorder="0" applyAlignment="0" applyProtection="0"/>
    <xf numFmtId="0" fontId="69" fillId="52" borderId="0" applyNumberFormat="0" applyBorder="0" applyAlignment="0" applyProtection="0"/>
    <xf numFmtId="0" fontId="69" fillId="52" borderId="0" applyNumberFormat="0" applyBorder="0" applyAlignment="0" applyProtection="0"/>
    <xf numFmtId="0" fontId="69" fillId="52" borderId="0" applyNumberFormat="0" applyBorder="0" applyAlignment="0" applyProtection="0"/>
    <xf numFmtId="0" fontId="69" fillId="52" borderId="0" applyNumberFormat="0" applyBorder="0" applyAlignment="0" applyProtection="0"/>
    <xf numFmtId="0" fontId="69" fillId="52" borderId="0" applyNumberFormat="0" applyBorder="0" applyAlignment="0" applyProtection="0"/>
    <xf numFmtId="0" fontId="69" fillId="52" borderId="0" applyNumberFormat="0" applyBorder="0" applyAlignment="0" applyProtection="0"/>
    <xf numFmtId="0" fontId="69" fillId="52" borderId="0" applyNumberFormat="0" applyBorder="0" applyAlignment="0" applyProtection="0"/>
    <xf numFmtId="0" fontId="66" fillId="52" borderId="0" applyNumberFormat="0" applyBorder="0" applyAlignment="0" applyProtection="0"/>
    <xf numFmtId="0" fontId="69" fillId="52" borderId="0" applyNumberFormat="0" applyBorder="0" applyAlignment="0" applyProtection="0"/>
    <xf numFmtId="0" fontId="66" fillId="52" borderId="0" applyNumberFormat="0" applyBorder="0" applyAlignment="0" applyProtection="0"/>
    <xf numFmtId="0" fontId="69" fillId="52" borderId="0" applyNumberFormat="0" applyBorder="0" applyAlignment="0" applyProtection="0"/>
    <xf numFmtId="0" fontId="69" fillId="52" borderId="0" applyNumberFormat="0" applyBorder="0" applyAlignment="0" applyProtection="0"/>
    <xf numFmtId="0" fontId="69" fillId="52" borderId="0" applyNumberFormat="0" applyBorder="0" applyAlignment="0" applyProtection="0"/>
    <xf numFmtId="0" fontId="69" fillId="52" borderId="0" applyNumberFormat="0" applyBorder="0" applyAlignment="0" applyProtection="0"/>
    <xf numFmtId="0" fontId="69" fillId="52" borderId="0" applyNumberFormat="0" applyBorder="0" applyAlignment="0" applyProtection="0"/>
    <xf numFmtId="0" fontId="69" fillId="52" borderId="0" applyNumberFormat="0" applyBorder="0" applyAlignment="0" applyProtection="0"/>
    <xf numFmtId="0" fontId="69" fillId="52" borderId="0" applyNumberFormat="0" applyBorder="0" applyAlignment="0" applyProtection="0"/>
    <xf numFmtId="0" fontId="69" fillId="52" borderId="0" applyNumberFormat="0" applyBorder="0" applyAlignment="0" applyProtection="0"/>
    <xf numFmtId="0" fontId="69" fillId="52" borderId="0" applyNumberFormat="0" applyBorder="0" applyAlignment="0" applyProtection="0"/>
    <xf numFmtId="0" fontId="69" fillId="52" borderId="0" applyNumberFormat="0" applyBorder="0" applyAlignment="0" applyProtection="0"/>
    <xf numFmtId="0" fontId="69" fillId="52" borderId="0" applyNumberFormat="0" applyBorder="0" applyAlignment="0" applyProtection="0"/>
    <xf numFmtId="0" fontId="69" fillId="52" borderId="0" applyNumberFormat="0" applyBorder="0" applyAlignment="0" applyProtection="0"/>
    <xf numFmtId="0" fontId="69" fillId="52" borderId="0" applyNumberFormat="0" applyBorder="0" applyAlignment="0" applyProtection="0"/>
    <xf numFmtId="0" fontId="69" fillId="52" borderId="0" applyNumberFormat="0" applyBorder="0" applyAlignment="0" applyProtection="0"/>
    <xf numFmtId="0" fontId="69" fillId="52" borderId="0" applyNumberFormat="0" applyBorder="0" applyAlignment="0" applyProtection="0"/>
    <xf numFmtId="0" fontId="66" fillId="52" borderId="0" applyNumberFormat="0" applyBorder="0" applyAlignment="0" applyProtection="0"/>
    <xf numFmtId="0" fontId="69" fillId="52" borderId="0" applyNumberFormat="0" applyBorder="0" applyAlignment="0" applyProtection="0"/>
    <xf numFmtId="0" fontId="66" fillId="52" borderId="0" applyNumberFormat="0" applyBorder="0" applyAlignment="0" applyProtection="0"/>
    <xf numFmtId="0" fontId="69" fillId="52" borderId="0" applyNumberFormat="0" applyBorder="0" applyAlignment="0" applyProtection="0"/>
    <xf numFmtId="0" fontId="69" fillId="52" borderId="0" applyNumberFormat="0" applyBorder="0" applyAlignment="0" applyProtection="0"/>
    <xf numFmtId="0" fontId="69" fillId="52" borderId="0" applyNumberFormat="0" applyBorder="0" applyAlignment="0" applyProtection="0"/>
    <xf numFmtId="0" fontId="69" fillId="52" borderId="0" applyNumberFormat="0" applyBorder="0" applyAlignment="0" applyProtection="0"/>
    <xf numFmtId="0" fontId="69" fillId="52" borderId="0" applyNumberFormat="0" applyBorder="0" applyAlignment="0" applyProtection="0"/>
    <xf numFmtId="0" fontId="69" fillId="52" borderId="0" applyNumberFormat="0" applyBorder="0" applyAlignment="0" applyProtection="0"/>
    <xf numFmtId="0" fontId="69" fillId="52" borderId="0" applyNumberFormat="0" applyBorder="0" applyAlignment="0" applyProtection="0"/>
    <xf numFmtId="0" fontId="69" fillId="52" borderId="0" applyNumberFormat="0" applyBorder="0" applyAlignment="0" applyProtection="0"/>
    <xf numFmtId="0" fontId="69" fillId="52" borderId="0" applyNumberFormat="0" applyBorder="0" applyAlignment="0" applyProtection="0"/>
    <xf numFmtId="0" fontId="69" fillId="52" borderId="0" applyNumberFormat="0" applyBorder="0" applyAlignment="0" applyProtection="0"/>
    <xf numFmtId="0" fontId="69" fillId="52" borderId="0" applyNumberFormat="0" applyBorder="0" applyAlignment="0" applyProtection="0"/>
    <xf numFmtId="0" fontId="69" fillId="54" borderId="0" applyNumberFormat="0" applyBorder="0" applyAlignment="0" applyProtection="0"/>
    <xf numFmtId="0" fontId="69" fillId="54" borderId="0" applyNumberFormat="0" applyBorder="0" applyAlignment="0" applyProtection="0"/>
    <xf numFmtId="0" fontId="69" fillId="54" borderId="0" applyNumberFormat="0" applyBorder="0" applyAlignment="0" applyProtection="0"/>
    <xf numFmtId="0" fontId="69" fillId="54" borderId="0" applyNumberFormat="0" applyBorder="0" applyAlignment="0" applyProtection="0"/>
    <xf numFmtId="0" fontId="69" fillId="54" borderId="0" applyNumberFormat="0" applyBorder="0" applyAlignment="0" applyProtection="0"/>
    <xf numFmtId="0" fontId="69" fillId="54" borderId="0" applyNumberFormat="0" applyBorder="0" applyAlignment="0" applyProtection="0"/>
    <xf numFmtId="0" fontId="69" fillId="54" borderId="0" applyNumberFormat="0" applyBorder="0" applyAlignment="0" applyProtection="0"/>
    <xf numFmtId="0" fontId="69" fillId="54" borderId="0" applyNumberFormat="0" applyBorder="0" applyAlignment="0" applyProtection="0"/>
    <xf numFmtId="0" fontId="69" fillId="54" borderId="0" applyNumberFormat="0" applyBorder="0" applyAlignment="0" applyProtection="0"/>
    <xf numFmtId="0" fontId="69" fillId="54" borderId="0" applyNumberFormat="0" applyBorder="0" applyAlignment="0" applyProtection="0"/>
    <xf numFmtId="0" fontId="69" fillId="54" borderId="0" applyNumberFormat="0" applyBorder="0" applyAlignment="0" applyProtection="0"/>
    <xf numFmtId="0" fontId="69" fillId="54" borderId="0" applyNumberFormat="0" applyBorder="0" applyAlignment="0" applyProtection="0"/>
    <xf numFmtId="0" fontId="69" fillId="54" borderId="0" applyNumberFormat="0" applyBorder="0" applyAlignment="0" applyProtection="0"/>
    <xf numFmtId="0" fontId="69" fillId="54" borderId="0" applyNumberFormat="0" applyBorder="0" applyAlignment="0" applyProtection="0"/>
    <xf numFmtId="0" fontId="69" fillId="54" borderId="0" applyNumberFormat="0" applyBorder="0" applyAlignment="0" applyProtection="0"/>
    <xf numFmtId="0" fontId="69" fillId="54" borderId="0" applyNumberFormat="0" applyBorder="0" applyAlignment="0" applyProtection="0"/>
    <xf numFmtId="0" fontId="69" fillId="54" borderId="0" applyNumberFormat="0" applyBorder="0" applyAlignment="0" applyProtection="0"/>
    <xf numFmtId="0" fontId="69" fillId="54" borderId="0" applyNumberFormat="0" applyBorder="0" applyAlignment="0" applyProtection="0"/>
    <xf numFmtId="0" fontId="69" fillId="54" borderId="0" applyNumberFormat="0" applyBorder="0" applyAlignment="0" applyProtection="0"/>
    <xf numFmtId="0" fontId="69" fillId="54" borderId="0" applyNumberFormat="0" applyBorder="0" applyAlignment="0" applyProtection="0"/>
    <xf numFmtId="0" fontId="69" fillId="91" borderId="0" applyNumberFormat="0" applyBorder="0" applyAlignment="0" applyProtection="0"/>
    <xf numFmtId="0" fontId="69" fillId="91" borderId="0" applyNumberFormat="0" applyBorder="0" applyAlignment="0" applyProtection="0"/>
    <xf numFmtId="0" fontId="69" fillId="91" borderId="0" applyNumberFormat="0" applyBorder="0" applyAlignment="0" applyProtection="0"/>
    <xf numFmtId="0" fontId="69" fillId="91" borderId="0" applyNumberFormat="0" applyBorder="0" applyAlignment="0" applyProtection="0"/>
    <xf numFmtId="0" fontId="69" fillId="91" borderId="0" applyNumberFormat="0" applyBorder="0" applyAlignment="0" applyProtection="0"/>
    <xf numFmtId="0" fontId="69" fillId="91" borderId="0" applyNumberFormat="0" applyBorder="0" applyAlignment="0" applyProtection="0"/>
    <xf numFmtId="0" fontId="69" fillId="91" borderId="0" applyNumberFormat="0" applyBorder="0" applyAlignment="0" applyProtection="0"/>
    <xf numFmtId="0" fontId="69" fillId="91" borderId="0" applyNumberFormat="0" applyBorder="0" applyAlignment="0" applyProtection="0"/>
    <xf numFmtId="0" fontId="69" fillId="91" borderId="0" applyNumberFormat="0" applyBorder="0" applyAlignment="0" applyProtection="0"/>
    <xf numFmtId="0" fontId="69" fillId="91" borderId="0" applyNumberFormat="0" applyBorder="0" applyAlignment="0" applyProtection="0"/>
    <xf numFmtId="0" fontId="69" fillId="91" borderId="0" applyNumberFormat="0" applyBorder="0" applyAlignment="0" applyProtection="0"/>
    <xf numFmtId="0" fontId="69" fillId="91" borderId="0" applyNumberFormat="0" applyBorder="0" applyAlignment="0" applyProtection="0"/>
    <xf numFmtId="0" fontId="69" fillId="91" borderId="0" applyNumberFormat="0" applyBorder="0" applyAlignment="0" applyProtection="0"/>
    <xf numFmtId="0" fontId="69" fillId="91" borderId="0" applyNumberFormat="0" applyBorder="0" applyAlignment="0" applyProtection="0"/>
    <xf numFmtId="0" fontId="69" fillId="91" borderId="0" applyNumberFormat="0" applyBorder="0" applyAlignment="0" applyProtection="0"/>
    <xf numFmtId="0" fontId="69" fillId="91" borderId="0" applyNumberFormat="0" applyBorder="0" applyAlignment="0" applyProtection="0"/>
    <xf numFmtId="0" fontId="69" fillId="91" borderId="0" applyNumberFormat="0" applyBorder="0" applyAlignment="0" applyProtection="0"/>
    <xf numFmtId="0" fontId="69" fillId="54" borderId="0" applyNumberFormat="0" applyBorder="0" applyAlignment="0" applyProtection="0"/>
    <xf numFmtId="0" fontId="66" fillId="91" borderId="0" applyNumberFormat="0" applyBorder="0" applyAlignment="0" applyProtection="0"/>
    <xf numFmtId="0" fontId="69" fillId="91" borderId="0" applyNumberFormat="0" applyBorder="0" applyAlignment="0" applyProtection="0"/>
    <xf numFmtId="0" fontId="66" fillId="91" borderId="0" applyNumberFormat="0" applyBorder="0" applyAlignment="0" applyProtection="0"/>
    <xf numFmtId="0" fontId="69" fillId="91" borderId="0" applyNumberFormat="0" applyBorder="0" applyAlignment="0" applyProtection="0"/>
    <xf numFmtId="0" fontId="69" fillId="91" borderId="0" applyNumberFormat="0" applyBorder="0" applyAlignment="0" applyProtection="0"/>
    <xf numFmtId="0" fontId="69" fillId="91" borderId="0" applyNumberFormat="0" applyBorder="0" applyAlignment="0" applyProtection="0"/>
    <xf numFmtId="0" fontId="69" fillId="91" borderId="0" applyNumberFormat="0" applyBorder="0" applyAlignment="0" applyProtection="0"/>
    <xf numFmtId="0" fontId="69" fillId="91" borderId="0" applyNumberFormat="0" applyBorder="0" applyAlignment="0" applyProtection="0"/>
    <xf numFmtId="0" fontId="69" fillId="91" borderId="0" applyNumberFormat="0" applyBorder="0" applyAlignment="0" applyProtection="0"/>
    <xf numFmtId="0" fontId="69" fillId="91" borderId="0" applyNumberFormat="0" applyBorder="0" applyAlignment="0" applyProtection="0"/>
    <xf numFmtId="0" fontId="69" fillId="91" borderId="0" applyNumberFormat="0" applyBorder="0" applyAlignment="0" applyProtection="0"/>
    <xf numFmtId="0" fontId="69" fillId="91" borderId="0" applyNumberFormat="0" applyBorder="0" applyAlignment="0" applyProtection="0"/>
    <xf numFmtId="0" fontId="69" fillId="91" borderId="0" applyNumberFormat="0" applyBorder="0" applyAlignment="0" applyProtection="0"/>
    <xf numFmtId="0" fontId="69" fillId="91" borderId="0" applyNumberFormat="0" applyBorder="0" applyAlignment="0" applyProtection="0"/>
    <xf numFmtId="0" fontId="69" fillId="91" borderId="0" applyNumberFormat="0" applyBorder="0" applyAlignment="0" applyProtection="0"/>
    <xf numFmtId="0" fontId="69" fillId="54" borderId="0" applyNumberFormat="0" applyBorder="0" applyAlignment="0" applyProtection="0"/>
    <xf numFmtId="0" fontId="69" fillId="54" borderId="0" applyNumberFormat="0" applyBorder="0" applyAlignment="0" applyProtection="0"/>
    <xf numFmtId="0" fontId="69" fillId="54" borderId="0" applyNumberFormat="0" applyBorder="0" applyAlignment="0" applyProtection="0"/>
    <xf numFmtId="0" fontId="66" fillId="54" borderId="0" applyNumberFormat="0" applyBorder="0" applyAlignment="0" applyProtection="0"/>
    <xf numFmtId="0" fontId="69" fillId="54" borderId="0" applyNumberFormat="0" applyBorder="0" applyAlignment="0" applyProtection="0"/>
    <xf numFmtId="0" fontId="66" fillId="54" borderId="0" applyNumberFormat="0" applyBorder="0" applyAlignment="0" applyProtection="0"/>
    <xf numFmtId="0" fontId="69" fillId="54" borderId="0" applyNumberFormat="0" applyBorder="0" applyAlignment="0" applyProtection="0"/>
    <xf numFmtId="0" fontId="69" fillId="54" borderId="0" applyNumberFormat="0" applyBorder="0" applyAlignment="0" applyProtection="0"/>
    <xf numFmtId="0" fontId="69" fillId="54" borderId="0" applyNumberFormat="0" applyBorder="0" applyAlignment="0" applyProtection="0"/>
    <xf numFmtId="0" fontId="69" fillId="54" borderId="0" applyNumberFormat="0" applyBorder="0" applyAlignment="0" applyProtection="0"/>
    <xf numFmtId="0" fontId="69" fillId="54" borderId="0" applyNumberFormat="0" applyBorder="0" applyAlignment="0" applyProtection="0"/>
    <xf numFmtId="0" fontId="69" fillId="54" borderId="0" applyNumberFormat="0" applyBorder="0" applyAlignment="0" applyProtection="0"/>
    <xf numFmtId="0" fontId="69" fillId="54" borderId="0" applyNumberFormat="0" applyBorder="0" applyAlignment="0" applyProtection="0"/>
    <xf numFmtId="0" fontId="69" fillId="54" borderId="0" applyNumberFormat="0" applyBorder="0" applyAlignment="0" applyProtection="0"/>
    <xf numFmtId="0" fontId="69" fillId="54" borderId="0" applyNumberFormat="0" applyBorder="0" applyAlignment="0" applyProtection="0"/>
    <xf numFmtId="0" fontId="69" fillId="54" borderId="0" applyNumberFormat="0" applyBorder="0" applyAlignment="0" applyProtection="0"/>
    <xf numFmtId="0" fontId="69" fillId="54" borderId="0" applyNumberFormat="0" applyBorder="0" applyAlignment="0" applyProtection="0"/>
    <xf numFmtId="0" fontId="69" fillId="61" borderId="0" applyNumberFormat="0" applyBorder="0" applyAlignment="0" applyProtection="0"/>
    <xf numFmtId="0" fontId="69" fillId="61" borderId="0" applyNumberFormat="0" applyBorder="0" applyAlignment="0" applyProtection="0"/>
    <xf numFmtId="0" fontId="69" fillId="61" borderId="0" applyNumberFormat="0" applyBorder="0" applyAlignment="0" applyProtection="0"/>
    <xf numFmtId="0" fontId="69" fillId="61" borderId="0" applyNumberFormat="0" applyBorder="0" applyAlignment="0" applyProtection="0"/>
    <xf numFmtId="0" fontId="69" fillId="61" borderId="0" applyNumberFormat="0" applyBorder="0" applyAlignment="0" applyProtection="0"/>
    <xf numFmtId="0" fontId="69" fillId="61" borderId="0" applyNumberFormat="0" applyBorder="0" applyAlignment="0" applyProtection="0"/>
    <xf numFmtId="0" fontId="69" fillId="61" borderId="0" applyNumberFormat="0" applyBorder="0" applyAlignment="0" applyProtection="0"/>
    <xf numFmtId="0" fontId="69" fillId="61" borderId="0" applyNumberFormat="0" applyBorder="0" applyAlignment="0" applyProtection="0"/>
    <xf numFmtId="0" fontId="69" fillId="61" borderId="0" applyNumberFormat="0" applyBorder="0" applyAlignment="0" applyProtection="0"/>
    <xf numFmtId="0" fontId="69" fillId="61" borderId="0" applyNumberFormat="0" applyBorder="0" applyAlignment="0" applyProtection="0"/>
    <xf numFmtId="0" fontId="69" fillId="61" borderId="0" applyNumberFormat="0" applyBorder="0" applyAlignment="0" applyProtection="0"/>
    <xf numFmtId="0" fontId="69" fillId="61" borderId="0" applyNumberFormat="0" applyBorder="0" applyAlignment="0" applyProtection="0"/>
    <xf numFmtId="0" fontId="69" fillId="61" borderId="0" applyNumberFormat="0" applyBorder="0" applyAlignment="0" applyProtection="0"/>
    <xf numFmtId="0" fontId="69" fillId="61" borderId="0" applyNumberFormat="0" applyBorder="0" applyAlignment="0" applyProtection="0"/>
    <xf numFmtId="0" fontId="69" fillId="61" borderId="0" applyNumberFormat="0" applyBorder="0" applyAlignment="0" applyProtection="0"/>
    <xf numFmtId="0" fontId="69" fillId="61" borderId="0" applyNumberFormat="0" applyBorder="0" applyAlignment="0" applyProtection="0"/>
    <xf numFmtId="0" fontId="69" fillId="61" borderId="0" applyNumberFormat="0" applyBorder="0" applyAlignment="0" applyProtection="0"/>
    <xf numFmtId="0" fontId="69" fillId="61" borderId="0" applyNumberFormat="0" applyBorder="0" applyAlignment="0" applyProtection="0"/>
    <xf numFmtId="0" fontId="69" fillId="61" borderId="0" applyNumberFormat="0" applyBorder="0" applyAlignment="0" applyProtection="0"/>
    <xf numFmtId="0" fontId="69" fillId="61" borderId="0" applyNumberFormat="0" applyBorder="0" applyAlignment="0" applyProtection="0"/>
    <xf numFmtId="0" fontId="69" fillId="75" borderId="0" applyNumberFormat="0" applyBorder="0" applyAlignment="0" applyProtection="0"/>
    <xf numFmtId="0" fontId="69" fillId="75" borderId="0" applyNumberFormat="0" applyBorder="0" applyAlignment="0" applyProtection="0"/>
    <xf numFmtId="0" fontId="69" fillId="75" borderId="0" applyNumberFormat="0" applyBorder="0" applyAlignment="0" applyProtection="0"/>
    <xf numFmtId="0" fontId="69" fillId="75" borderId="0" applyNumberFormat="0" applyBorder="0" applyAlignment="0" applyProtection="0"/>
    <xf numFmtId="0" fontId="69" fillId="75" borderId="0" applyNumberFormat="0" applyBorder="0" applyAlignment="0" applyProtection="0"/>
    <xf numFmtId="0" fontId="69" fillId="75" borderId="0" applyNumberFormat="0" applyBorder="0" applyAlignment="0" applyProtection="0"/>
    <xf numFmtId="0" fontId="69" fillId="75" borderId="0" applyNumberFormat="0" applyBorder="0" applyAlignment="0" applyProtection="0"/>
    <xf numFmtId="0" fontId="69" fillId="75" borderId="0" applyNumberFormat="0" applyBorder="0" applyAlignment="0" applyProtection="0"/>
    <xf numFmtId="0" fontId="69" fillId="75" borderId="0" applyNumberFormat="0" applyBorder="0" applyAlignment="0" applyProtection="0"/>
    <xf numFmtId="0" fontId="69" fillId="75" borderId="0" applyNumberFormat="0" applyBorder="0" applyAlignment="0" applyProtection="0"/>
    <xf numFmtId="0" fontId="69" fillId="75" borderId="0" applyNumberFormat="0" applyBorder="0" applyAlignment="0" applyProtection="0"/>
    <xf numFmtId="0" fontId="69" fillId="75" borderId="0" applyNumberFormat="0" applyBorder="0" applyAlignment="0" applyProtection="0"/>
    <xf numFmtId="0" fontId="69" fillId="75" borderId="0" applyNumberFormat="0" applyBorder="0" applyAlignment="0" applyProtection="0"/>
    <xf numFmtId="0" fontId="69" fillId="75" borderId="0" applyNumberFormat="0" applyBorder="0" applyAlignment="0" applyProtection="0"/>
    <xf numFmtId="0" fontId="69" fillId="75" borderId="0" applyNumberFormat="0" applyBorder="0" applyAlignment="0" applyProtection="0"/>
    <xf numFmtId="0" fontId="69" fillId="75" borderId="0" applyNumberFormat="0" applyBorder="0" applyAlignment="0" applyProtection="0"/>
    <xf numFmtId="0" fontId="69" fillId="75" borderId="0" applyNumberFormat="0" applyBorder="0" applyAlignment="0" applyProtection="0"/>
    <xf numFmtId="0" fontId="69" fillId="61" borderId="0" applyNumberFormat="0" applyBorder="0" applyAlignment="0" applyProtection="0"/>
    <xf numFmtId="0" fontId="66" fillId="75" borderId="0" applyNumberFormat="0" applyBorder="0" applyAlignment="0" applyProtection="0"/>
    <xf numFmtId="0" fontId="69" fillId="75" borderId="0" applyNumberFormat="0" applyBorder="0" applyAlignment="0" applyProtection="0"/>
    <xf numFmtId="0" fontId="66" fillId="75" borderId="0" applyNumberFormat="0" applyBorder="0" applyAlignment="0" applyProtection="0"/>
    <xf numFmtId="0" fontId="69" fillId="75" borderId="0" applyNumberFormat="0" applyBorder="0" applyAlignment="0" applyProtection="0"/>
    <xf numFmtId="0" fontId="69" fillId="75" borderId="0" applyNumberFormat="0" applyBorder="0" applyAlignment="0" applyProtection="0"/>
    <xf numFmtId="0" fontId="69" fillId="75" borderId="0" applyNumberFormat="0" applyBorder="0" applyAlignment="0" applyProtection="0"/>
    <xf numFmtId="0" fontId="69" fillId="75" borderId="0" applyNumberFormat="0" applyBorder="0" applyAlignment="0" applyProtection="0"/>
    <xf numFmtId="0" fontId="69" fillId="75" borderId="0" applyNumberFormat="0" applyBorder="0" applyAlignment="0" applyProtection="0"/>
    <xf numFmtId="0" fontId="69" fillId="75" borderId="0" applyNumberFormat="0" applyBorder="0" applyAlignment="0" applyProtection="0"/>
    <xf numFmtId="0" fontId="69" fillId="75" borderId="0" applyNumberFormat="0" applyBorder="0" applyAlignment="0" applyProtection="0"/>
    <xf numFmtId="0" fontId="69" fillId="75" borderId="0" applyNumberFormat="0" applyBorder="0" applyAlignment="0" applyProtection="0"/>
    <xf numFmtId="0" fontId="69" fillId="75" borderId="0" applyNumberFormat="0" applyBorder="0" applyAlignment="0" applyProtection="0"/>
    <xf numFmtId="0" fontId="69" fillId="75" borderId="0" applyNumberFormat="0" applyBorder="0" applyAlignment="0" applyProtection="0"/>
    <xf numFmtId="0" fontId="69" fillId="75" borderId="0" applyNumberFormat="0" applyBorder="0" applyAlignment="0" applyProtection="0"/>
    <xf numFmtId="0" fontId="69" fillId="75" borderId="0" applyNumberFormat="0" applyBorder="0" applyAlignment="0" applyProtection="0"/>
    <xf numFmtId="0" fontId="69" fillId="61" borderId="0" applyNumberFormat="0" applyBorder="0" applyAlignment="0" applyProtection="0"/>
    <xf numFmtId="0" fontId="69" fillId="61" borderId="0" applyNumberFormat="0" applyBorder="0" applyAlignment="0" applyProtection="0"/>
    <xf numFmtId="0" fontId="69" fillId="61" borderId="0" applyNumberFormat="0" applyBorder="0" applyAlignment="0" applyProtection="0"/>
    <xf numFmtId="0" fontId="66" fillId="61" borderId="0" applyNumberFormat="0" applyBorder="0" applyAlignment="0" applyProtection="0"/>
    <xf numFmtId="0" fontId="69" fillId="61" borderId="0" applyNumberFormat="0" applyBorder="0" applyAlignment="0" applyProtection="0"/>
    <xf numFmtId="0" fontId="66" fillId="61" borderId="0" applyNumberFormat="0" applyBorder="0" applyAlignment="0" applyProtection="0"/>
    <xf numFmtId="0" fontId="69" fillId="61" borderId="0" applyNumberFormat="0" applyBorder="0" applyAlignment="0" applyProtection="0"/>
    <xf numFmtId="0" fontId="69" fillId="61" borderId="0" applyNumberFormat="0" applyBorder="0" applyAlignment="0" applyProtection="0"/>
    <xf numFmtId="0" fontId="69" fillId="61" borderId="0" applyNumberFormat="0" applyBorder="0" applyAlignment="0" applyProtection="0"/>
    <xf numFmtId="0" fontId="69" fillId="61" borderId="0" applyNumberFormat="0" applyBorder="0" applyAlignment="0" applyProtection="0"/>
    <xf numFmtId="0" fontId="69" fillId="61" borderId="0" applyNumberFormat="0" applyBorder="0" applyAlignment="0" applyProtection="0"/>
    <xf numFmtId="0" fontId="69" fillId="61" borderId="0" applyNumberFormat="0" applyBorder="0" applyAlignment="0" applyProtection="0"/>
    <xf numFmtId="0" fontId="69" fillId="61" borderId="0" applyNumberFormat="0" applyBorder="0" applyAlignment="0" applyProtection="0"/>
    <xf numFmtId="0" fontId="69" fillId="61" borderId="0" applyNumberFormat="0" applyBorder="0" applyAlignment="0" applyProtection="0"/>
    <xf numFmtId="0" fontId="69" fillId="61" borderId="0" applyNumberFormat="0" applyBorder="0" applyAlignment="0" applyProtection="0"/>
    <xf numFmtId="0" fontId="69" fillId="61" borderId="0" applyNumberFormat="0" applyBorder="0" applyAlignment="0" applyProtection="0"/>
    <xf numFmtId="0" fontId="69" fillId="61" borderId="0" applyNumberFormat="0" applyBorder="0" applyAlignment="0" applyProtection="0"/>
    <xf numFmtId="0" fontId="69" fillId="63" borderId="0" applyNumberFormat="0" applyBorder="0" applyAlignment="0" applyProtection="0"/>
    <xf numFmtId="0" fontId="69" fillId="63" borderId="0" applyNumberFormat="0" applyBorder="0" applyAlignment="0" applyProtection="0"/>
    <xf numFmtId="0" fontId="69" fillId="63" borderId="0" applyNumberFormat="0" applyBorder="0" applyAlignment="0" applyProtection="0"/>
    <xf numFmtId="0" fontId="69" fillId="63" borderId="0" applyNumberFormat="0" applyBorder="0" applyAlignment="0" applyProtection="0"/>
    <xf numFmtId="0" fontId="69" fillId="63" borderId="0" applyNumberFormat="0" applyBorder="0" applyAlignment="0" applyProtection="0"/>
    <xf numFmtId="0" fontId="69" fillId="63" borderId="0" applyNumberFormat="0" applyBorder="0" applyAlignment="0" applyProtection="0"/>
    <xf numFmtId="0" fontId="69" fillId="63" borderId="0" applyNumberFormat="0" applyBorder="0" applyAlignment="0" applyProtection="0"/>
    <xf numFmtId="0" fontId="69" fillId="63" borderId="0" applyNumberFormat="0" applyBorder="0" applyAlignment="0" applyProtection="0"/>
    <xf numFmtId="0" fontId="69" fillId="63" borderId="0" applyNumberFormat="0" applyBorder="0" applyAlignment="0" applyProtection="0"/>
    <xf numFmtId="0" fontId="69" fillId="63" borderId="0" applyNumberFormat="0" applyBorder="0" applyAlignment="0" applyProtection="0"/>
    <xf numFmtId="0" fontId="69" fillId="63" borderId="0" applyNumberFormat="0" applyBorder="0" applyAlignment="0" applyProtection="0"/>
    <xf numFmtId="0" fontId="69" fillId="63" borderId="0" applyNumberFormat="0" applyBorder="0" applyAlignment="0" applyProtection="0"/>
    <xf numFmtId="0" fontId="69" fillId="63" borderId="0" applyNumberFormat="0" applyBorder="0" applyAlignment="0" applyProtection="0"/>
    <xf numFmtId="0" fontId="69" fillId="63" borderId="0" applyNumberFormat="0" applyBorder="0" applyAlignment="0" applyProtection="0"/>
    <xf numFmtId="0" fontId="69" fillId="63" borderId="0" applyNumberFormat="0" applyBorder="0" applyAlignment="0" applyProtection="0"/>
    <xf numFmtId="0" fontId="69" fillId="63" borderId="0" applyNumberFormat="0" applyBorder="0" applyAlignment="0" applyProtection="0"/>
    <xf numFmtId="0" fontId="69" fillId="63" borderId="0" applyNumberFormat="0" applyBorder="0" applyAlignment="0" applyProtection="0"/>
    <xf numFmtId="0" fontId="69" fillId="63" borderId="0" applyNumberFormat="0" applyBorder="0" applyAlignment="0" applyProtection="0"/>
    <xf numFmtId="0" fontId="69" fillId="63" borderId="0" applyNumberFormat="0" applyBorder="0" applyAlignment="0" applyProtection="0"/>
    <xf numFmtId="0" fontId="69" fillId="63" borderId="0" applyNumberFormat="0" applyBorder="0" applyAlignment="0" applyProtection="0"/>
    <xf numFmtId="0" fontId="69" fillId="34" borderId="0" applyNumberFormat="0" applyBorder="0" applyAlignment="0" applyProtection="0"/>
    <xf numFmtId="0" fontId="69" fillId="34" borderId="0" applyNumberFormat="0" applyBorder="0" applyAlignment="0" applyProtection="0"/>
    <xf numFmtId="0" fontId="69" fillId="34" borderId="0" applyNumberFormat="0" applyBorder="0" applyAlignment="0" applyProtection="0"/>
    <xf numFmtId="0" fontId="69" fillId="34" borderId="0" applyNumberFormat="0" applyBorder="0" applyAlignment="0" applyProtection="0"/>
    <xf numFmtId="0" fontId="69" fillId="34" borderId="0" applyNumberFormat="0" applyBorder="0" applyAlignment="0" applyProtection="0"/>
    <xf numFmtId="0" fontId="69" fillId="34" borderId="0" applyNumberFormat="0" applyBorder="0" applyAlignment="0" applyProtection="0"/>
    <xf numFmtId="0" fontId="69" fillId="34" borderId="0" applyNumberFormat="0" applyBorder="0" applyAlignment="0" applyProtection="0"/>
    <xf numFmtId="0" fontId="69" fillId="34" borderId="0" applyNumberFormat="0" applyBorder="0" applyAlignment="0" applyProtection="0"/>
    <xf numFmtId="0" fontId="69" fillId="34" borderId="0" applyNumberFormat="0" applyBorder="0" applyAlignment="0" applyProtection="0"/>
    <xf numFmtId="0" fontId="69" fillId="34" borderId="0" applyNumberFormat="0" applyBorder="0" applyAlignment="0" applyProtection="0"/>
    <xf numFmtId="0" fontId="69" fillId="34" borderId="0" applyNumberFormat="0" applyBorder="0" applyAlignment="0" applyProtection="0"/>
    <xf numFmtId="0" fontId="69" fillId="34" borderId="0" applyNumberFormat="0" applyBorder="0" applyAlignment="0" applyProtection="0"/>
    <xf numFmtId="0" fontId="69" fillId="34" borderId="0" applyNumberFormat="0" applyBorder="0" applyAlignment="0" applyProtection="0"/>
    <xf numFmtId="0" fontId="69" fillId="34" borderId="0" applyNumberFormat="0" applyBorder="0" applyAlignment="0" applyProtection="0"/>
    <xf numFmtId="0" fontId="69" fillId="34" borderId="0" applyNumberFormat="0" applyBorder="0" applyAlignment="0" applyProtection="0"/>
    <xf numFmtId="0" fontId="69" fillId="34" borderId="0" applyNumberFormat="0" applyBorder="0" applyAlignment="0" applyProtection="0"/>
    <xf numFmtId="0" fontId="69" fillId="34" borderId="0" applyNumberFormat="0" applyBorder="0" applyAlignment="0" applyProtection="0"/>
    <xf numFmtId="0" fontId="69" fillId="63" borderId="0" applyNumberFormat="0" applyBorder="0" applyAlignment="0" applyProtection="0"/>
    <xf numFmtId="0" fontId="66" fillId="34" borderId="0" applyNumberFormat="0" applyBorder="0" applyAlignment="0" applyProtection="0"/>
    <xf numFmtId="0" fontId="69" fillId="34" borderId="0" applyNumberFormat="0" applyBorder="0" applyAlignment="0" applyProtection="0"/>
    <xf numFmtId="0" fontId="66" fillId="34" borderId="0" applyNumberFormat="0" applyBorder="0" applyAlignment="0" applyProtection="0"/>
    <xf numFmtId="0" fontId="69" fillId="34" borderId="0" applyNumberFormat="0" applyBorder="0" applyAlignment="0" applyProtection="0"/>
    <xf numFmtId="0" fontId="69" fillId="34" borderId="0" applyNumberFormat="0" applyBorder="0" applyAlignment="0" applyProtection="0"/>
    <xf numFmtId="0" fontId="69" fillId="34" borderId="0" applyNumberFormat="0" applyBorder="0" applyAlignment="0" applyProtection="0"/>
    <xf numFmtId="0" fontId="69" fillId="34" borderId="0" applyNumberFormat="0" applyBorder="0" applyAlignment="0" applyProtection="0"/>
    <xf numFmtId="0" fontId="69" fillId="34" borderId="0" applyNumberFormat="0" applyBorder="0" applyAlignment="0" applyProtection="0"/>
    <xf numFmtId="0" fontId="69" fillId="34" borderId="0" applyNumberFormat="0" applyBorder="0" applyAlignment="0" applyProtection="0"/>
    <xf numFmtId="0" fontId="69" fillId="34" borderId="0" applyNumberFormat="0" applyBorder="0" applyAlignment="0" applyProtection="0"/>
    <xf numFmtId="0" fontId="69" fillId="34" borderId="0" applyNumberFormat="0" applyBorder="0" applyAlignment="0" applyProtection="0"/>
    <xf numFmtId="0" fontId="69" fillId="34" borderId="0" applyNumberFormat="0" applyBorder="0" applyAlignment="0" applyProtection="0"/>
    <xf numFmtId="0" fontId="69" fillId="34" borderId="0" applyNumberFormat="0" applyBorder="0" applyAlignment="0" applyProtection="0"/>
    <xf numFmtId="0" fontId="69" fillId="34" borderId="0" applyNumberFormat="0" applyBorder="0" applyAlignment="0" applyProtection="0"/>
    <xf numFmtId="0" fontId="69" fillId="34" borderId="0" applyNumberFormat="0" applyBorder="0" applyAlignment="0" applyProtection="0"/>
    <xf numFmtId="0" fontId="69" fillId="63" borderId="0" applyNumberFormat="0" applyBorder="0" applyAlignment="0" applyProtection="0"/>
    <xf numFmtId="0" fontId="69" fillId="63" borderId="0" applyNumberFormat="0" applyBorder="0" applyAlignment="0" applyProtection="0"/>
    <xf numFmtId="0" fontId="69" fillId="63" borderId="0" applyNumberFormat="0" applyBorder="0" applyAlignment="0" applyProtection="0"/>
    <xf numFmtId="0" fontId="66" fillId="63" borderId="0" applyNumberFormat="0" applyBorder="0" applyAlignment="0" applyProtection="0"/>
    <xf numFmtId="0" fontId="69" fillId="63" borderId="0" applyNumberFormat="0" applyBorder="0" applyAlignment="0" applyProtection="0"/>
    <xf numFmtId="0" fontId="66" fillId="63" borderId="0" applyNumberFormat="0" applyBorder="0" applyAlignment="0" applyProtection="0"/>
    <xf numFmtId="0" fontId="69" fillId="63" borderId="0" applyNumberFormat="0" applyBorder="0" applyAlignment="0" applyProtection="0"/>
    <xf numFmtId="0" fontId="69" fillId="63" borderId="0" applyNumberFormat="0" applyBorder="0" applyAlignment="0" applyProtection="0"/>
    <xf numFmtId="0" fontId="69" fillId="63" borderId="0" applyNumberFormat="0" applyBorder="0" applyAlignment="0" applyProtection="0"/>
    <xf numFmtId="0" fontId="69" fillId="63" borderId="0" applyNumberFormat="0" applyBorder="0" applyAlignment="0" applyProtection="0"/>
    <xf numFmtId="0" fontId="69" fillId="63" borderId="0" applyNumberFormat="0" applyBorder="0" applyAlignment="0" applyProtection="0"/>
    <xf numFmtId="0" fontId="69" fillId="63" borderId="0" applyNumberFormat="0" applyBorder="0" applyAlignment="0" applyProtection="0"/>
    <xf numFmtId="0" fontId="69" fillId="63" borderId="0" applyNumberFormat="0" applyBorder="0" applyAlignment="0" applyProtection="0"/>
    <xf numFmtId="0" fontId="69" fillId="63" borderId="0" applyNumberFormat="0" applyBorder="0" applyAlignment="0" applyProtection="0"/>
    <xf numFmtId="0" fontId="69" fillId="63" borderId="0" applyNumberFormat="0" applyBorder="0" applyAlignment="0" applyProtection="0"/>
    <xf numFmtId="0" fontId="69" fillId="63" borderId="0" applyNumberFormat="0" applyBorder="0" applyAlignment="0" applyProtection="0"/>
    <xf numFmtId="0" fontId="69" fillId="63" borderId="0" applyNumberFormat="0" applyBorder="0" applyAlignment="0" applyProtection="0"/>
    <xf numFmtId="0" fontId="69" fillId="65" borderId="0" applyNumberFormat="0" applyBorder="0" applyAlignment="0" applyProtection="0"/>
    <xf numFmtId="0" fontId="69" fillId="65" borderId="0" applyNumberFormat="0" applyBorder="0" applyAlignment="0" applyProtection="0"/>
    <xf numFmtId="0" fontId="69" fillId="65" borderId="0" applyNumberFormat="0" applyBorder="0" applyAlignment="0" applyProtection="0"/>
    <xf numFmtId="0" fontId="69" fillId="65" borderId="0" applyNumberFormat="0" applyBorder="0" applyAlignment="0" applyProtection="0"/>
    <xf numFmtId="0" fontId="69" fillId="65" borderId="0" applyNumberFormat="0" applyBorder="0" applyAlignment="0" applyProtection="0"/>
    <xf numFmtId="0" fontId="69" fillId="65" borderId="0" applyNumberFormat="0" applyBorder="0" applyAlignment="0" applyProtection="0"/>
    <xf numFmtId="0" fontId="69" fillId="65" borderId="0" applyNumberFormat="0" applyBorder="0" applyAlignment="0" applyProtection="0"/>
    <xf numFmtId="0" fontId="69" fillId="65" borderId="0" applyNumberFormat="0" applyBorder="0" applyAlignment="0" applyProtection="0"/>
    <xf numFmtId="0" fontId="69" fillId="65" borderId="0" applyNumberFormat="0" applyBorder="0" applyAlignment="0" applyProtection="0"/>
    <xf numFmtId="0" fontId="69" fillId="65" borderId="0" applyNumberFormat="0" applyBorder="0" applyAlignment="0" applyProtection="0"/>
    <xf numFmtId="0" fontId="69" fillId="65" borderId="0" applyNumberFormat="0" applyBorder="0" applyAlignment="0" applyProtection="0"/>
    <xf numFmtId="0" fontId="69" fillId="65" borderId="0" applyNumberFormat="0" applyBorder="0" applyAlignment="0" applyProtection="0"/>
    <xf numFmtId="0" fontId="69" fillId="65" borderId="0" applyNumberFormat="0" applyBorder="0" applyAlignment="0" applyProtection="0"/>
    <xf numFmtId="0" fontId="69" fillId="65" borderId="0" applyNumberFormat="0" applyBorder="0" applyAlignment="0" applyProtection="0"/>
    <xf numFmtId="0" fontId="69" fillId="65" borderId="0" applyNumberFormat="0" applyBorder="0" applyAlignment="0" applyProtection="0"/>
    <xf numFmtId="0" fontId="69" fillId="65" borderId="0" applyNumberFormat="0" applyBorder="0" applyAlignment="0" applyProtection="0"/>
    <xf numFmtId="0" fontId="69" fillId="65" borderId="0" applyNumberFormat="0" applyBorder="0" applyAlignment="0" applyProtection="0"/>
    <xf numFmtId="0" fontId="69" fillId="65" borderId="0" applyNumberFormat="0" applyBorder="0" applyAlignment="0" applyProtection="0"/>
    <xf numFmtId="0" fontId="69" fillId="65" borderId="0" applyNumberFormat="0" applyBorder="0" applyAlignment="0" applyProtection="0"/>
    <xf numFmtId="0" fontId="69" fillId="65" borderId="0" applyNumberFormat="0" applyBorder="0" applyAlignment="0" applyProtection="0"/>
    <xf numFmtId="0" fontId="69" fillId="44" borderId="0" applyNumberFormat="0" applyBorder="0" applyAlignment="0" applyProtection="0"/>
    <xf numFmtId="0" fontId="69" fillId="44" borderId="0" applyNumberFormat="0" applyBorder="0" applyAlignment="0" applyProtection="0"/>
    <xf numFmtId="0" fontId="69" fillId="44" borderId="0" applyNumberFormat="0" applyBorder="0" applyAlignment="0" applyProtection="0"/>
    <xf numFmtId="0" fontId="69" fillId="44" borderId="0" applyNumberFormat="0" applyBorder="0" applyAlignment="0" applyProtection="0"/>
    <xf numFmtId="0" fontId="69" fillId="44" borderId="0" applyNumberFormat="0" applyBorder="0" applyAlignment="0" applyProtection="0"/>
    <xf numFmtId="0" fontId="69" fillId="44" borderId="0" applyNumberFormat="0" applyBorder="0" applyAlignment="0" applyProtection="0"/>
    <xf numFmtId="0" fontId="69" fillId="44" borderId="0" applyNumberFormat="0" applyBorder="0" applyAlignment="0" applyProtection="0"/>
    <xf numFmtId="0" fontId="69" fillId="44" borderId="0" applyNumberFormat="0" applyBorder="0" applyAlignment="0" applyProtection="0"/>
    <xf numFmtId="0" fontId="69" fillId="44" borderId="0" applyNumberFormat="0" applyBorder="0" applyAlignment="0" applyProtection="0"/>
    <xf numFmtId="0" fontId="69" fillId="44" borderId="0" applyNumberFormat="0" applyBorder="0" applyAlignment="0" applyProtection="0"/>
    <xf numFmtId="0" fontId="69" fillId="44" borderId="0" applyNumberFormat="0" applyBorder="0" applyAlignment="0" applyProtection="0"/>
    <xf numFmtId="0" fontId="69" fillId="44" borderId="0" applyNumberFormat="0" applyBorder="0" applyAlignment="0" applyProtection="0"/>
    <xf numFmtId="0" fontId="69" fillId="44" borderId="0" applyNumberFormat="0" applyBorder="0" applyAlignment="0" applyProtection="0"/>
    <xf numFmtId="0" fontId="69" fillId="44" borderId="0" applyNumberFormat="0" applyBorder="0" applyAlignment="0" applyProtection="0"/>
    <xf numFmtId="0" fontId="69" fillId="44" borderId="0" applyNumberFormat="0" applyBorder="0" applyAlignment="0" applyProtection="0"/>
    <xf numFmtId="0" fontId="69" fillId="44" borderId="0" applyNumberFormat="0" applyBorder="0" applyAlignment="0" applyProtection="0"/>
    <xf numFmtId="0" fontId="69" fillId="44" borderId="0" applyNumberFormat="0" applyBorder="0" applyAlignment="0" applyProtection="0"/>
    <xf numFmtId="0" fontId="69" fillId="65" borderId="0" applyNumberFormat="0" applyBorder="0" applyAlignment="0" applyProtection="0"/>
    <xf numFmtId="0" fontId="66" fillId="44" borderId="0" applyNumberFormat="0" applyBorder="0" applyAlignment="0" applyProtection="0"/>
    <xf numFmtId="0" fontId="69" fillId="44" borderId="0" applyNumberFormat="0" applyBorder="0" applyAlignment="0" applyProtection="0"/>
    <xf numFmtId="0" fontId="66" fillId="44" borderId="0" applyNumberFormat="0" applyBorder="0" applyAlignment="0" applyProtection="0"/>
    <xf numFmtId="0" fontId="69" fillId="44" borderId="0" applyNumberFormat="0" applyBorder="0" applyAlignment="0" applyProtection="0"/>
    <xf numFmtId="0" fontId="69" fillId="44" borderId="0" applyNumberFormat="0" applyBorder="0" applyAlignment="0" applyProtection="0"/>
    <xf numFmtId="0" fontId="69" fillId="44" borderId="0" applyNumberFormat="0" applyBorder="0" applyAlignment="0" applyProtection="0"/>
    <xf numFmtId="0" fontId="69" fillId="44" borderId="0" applyNumberFormat="0" applyBorder="0" applyAlignment="0" applyProtection="0"/>
    <xf numFmtId="0" fontId="69" fillId="44" borderId="0" applyNumberFormat="0" applyBorder="0" applyAlignment="0" applyProtection="0"/>
    <xf numFmtId="0" fontId="69" fillId="44" borderId="0" applyNumberFormat="0" applyBorder="0" applyAlignment="0" applyProtection="0"/>
    <xf numFmtId="0" fontId="69" fillId="44" borderId="0" applyNumberFormat="0" applyBorder="0" applyAlignment="0" applyProtection="0"/>
    <xf numFmtId="0" fontId="69" fillId="44" borderId="0" applyNumberFormat="0" applyBorder="0" applyAlignment="0" applyProtection="0"/>
    <xf numFmtId="0" fontId="69" fillId="44" borderId="0" applyNumberFormat="0" applyBorder="0" applyAlignment="0" applyProtection="0"/>
    <xf numFmtId="0" fontId="69" fillId="44" borderId="0" applyNumberFormat="0" applyBorder="0" applyAlignment="0" applyProtection="0"/>
    <xf numFmtId="0" fontId="69" fillId="44" borderId="0" applyNumberFormat="0" applyBorder="0" applyAlignment="0" applyProtection="0"/>
    <xf numFmtId="0" fontId="69" fillId="44" borderId="0" applyNumberFormat="0" applyBorder="0" applyAlignment="0" applyProtection="0"/>
    <xf numFmtId="0" fontId="69" fillId="65" borderId="0" applyNumberFormat="0" applyBorder="0" applyAlignment="0" applyProtection="0"/>
    <xf numFmtId="0" fontId="69" fillId="65" borderId="0" applyNumberFormat="0" applyBorder="0" applyAlignment="0" applyProtection="0"/>
    <xf numFmtId="0" fontId="69" fillId="65" borderId="0" applyNumberFormat="0" applyBorder="0" applyAlignment="0" applyProtection="0"/>
    <xf numFmtId="0" fontId="66" fillId="65" borderId="0" applyNumberFormat="0" applyBorder="0" applyAlignment="0" applyProtection="0"/>
    <xf numFmtId="0" fontId="69" fillId="65" borderId="0" applyNumberFormat="0" applyBorder="0" applyAlignment="0" applyProtection="0"/>
    <xf numFmtId="0" fontId="66" fillId="65" borderId="0" applyNumberFormat="0" applyBorder="0" applyAlignment="0" applyProtection="0"/>
    <xf numFmtId="0" fontId="69" fillId="65" borderId="0" applyNumberFormat="0" applyBorder="0" applyAlignment="0" applyProtection="0"/>
    <xf numFmtId="0" fontId="69" fillId="65" borderId="0" applyNumberFormat="0" applyBorder="0" applyAlignment="0" applyProtection="0"/>
    <xf numFmtId="0" fontId="69" fillId="65" borderId="0" applyNumberFormat="0" applyBorder="0" applyAlignment="0" applyProtection="0"/>
    <xf numFmtId="0" fontId="69" fillId="65" borderId="0" applyNumberFormat="0" applyBorder="0" applyAlignment="0" applyProtection="0"/>
    <xf numFmtId="0" fontId="69" fillId="65" borderId="0" applyNumberFormat="0" applyBorder="0" applyAlignment="0" applyProtection="0"/>
    <xf numFmtId="0" fontId="69" fillId="65" borderId="0" applyNumberFormat="0" applyBorder="0" applyAlignment="0" applyProtection="0"/>
    <xf numFmtId="0" fontId="69" fillId="65" borderId="0" applyNumberFormat="0" applyBorder="0" applyAlignment="0" applyProtection="0"/>
    <xf numFmtId="0" fontId="69" fillId="65" borderId="0" applyNumberFormat="0" applyBorder="0" applyAlignment="0" applyProtection="0"/>
    <xf numFmtId="0" fontId="69" fillId="65" borderId="0" applyNumberFormat="0" applyBorder="0" applyAlignment="0" applyProtection="0"/>
    <xf numFmtId="0" fontId="69" fillId="65" borderId="0" applyNumberFormat="0" applyBorder="0" applyAlignment="0" applyProtection="0"/>
    <xf numFmtId="0" fontId="69" fillId="65" borderId="0" applyNumberFormat="0" applyBorder="0" applyAlignment="0" applyProtection="0"/>
    <xf numFmtId="0" fontId="88" fillId="27" borderId="0" applyNumberFormat="0" applyBorder="0" applyAlignment="0" applyProtection="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9" fillId="67" borderId="0" applyNumberFormat="0" applyBorder="0" applyAlignment="0" applyProtection="0"/>
    <xf numFmtId="0" fontId="69" fillId="67" borderId="0" applyNumberFormat="0" applyBorder="0" applyAlignment="0" applyProtection="0"/>
    <xf numFmtId="0" fontId="69" fillId="67" borderId="0" applyNumberFormat="0" applyBorder="0" applyAlignment="0" applyProtection="0"/>
    <xf numFmtId="0" fontId="69" fillId="67" borderId="0" applyNumberFormat="0" applyBorder="0" applyAlignment="0" applyProtection="0"/>
    <xf numFmtId="0" fontId="69" fillId="67" borderId="0" applyNumberFormat="0" applyBorder="0" applyAlignment="0" applyProtection="0"/>
    <xf numFmtId="0" fontId="69" fillId="67" borderId="0" applyNumberFormat="0" applyBorder="0" applyAlignment="0" applyProtection="0"/>
    <xf numFmtId="0" fontId="69" fillId="67" borderId="0" applyNumberFormat="0" applyBorder="0" applyAlignment="0" applyProtection="0"/>
    <xf numFmtId="0" fontId="69" fillId="67" borderId="0" applyNumberFormat="0" applyBorder="0" applyAlignment="0" applyProtection="0"/>
    <xf numFmtId="0" fontId="69" fillId="67" borderId="0" applyNumberFormat="0" applyBorder="0" applyAlignment="0" applyProtection="0"/>
    <xf numFmtId="0" fontId="69" fillId="67" borderId="0" applyNumberFormat="0" applyBorder="0" applyAlignment="0" applyProtection="0"/>
    <xf numFmtId="0" fontId="69" fillId="67" borderId="0" applyNumberFormat="0" applyBorder="0" applyAlignment="0" applyProtection="0"/>
    <xf numFmtId="0" fontId="69" fillId="67" borderId="0" applyNumberFormat="0" applyBorder="0" applyAlignment="0" applyProtection="0"/>
    <xf numFmtId="0" fontId="69" fillId="67" borderId="0" applyNumberFormat="0" applyBorder="0" applyAlignment="0" applyProtection="0"/>
    <xf numFmtId="0" fontId="69" fillId="67" borderId="0" applyNumberFormat="0" applyBorder="0" applyAlignment="0" applyProtection="0"/>
    <xf numFmtId="0" fontId="69" fillId="67" borderId="0" applyNumberFormat="0" applyBorder="0" applyAlignment="0" applyProtection="0"/>
    <xf numFmtId="0" fontId="69" fillId="67" borderId="0" applyNumberFormat="0" applyBorder="0" applyAlignment="0" applyProtection="0"/>
    <xf numFmtId="0" fontId="69" fillId="67" borderId="0" applyNumberFormat="0" applyBorder="0" applyAlignment="0" applyProtection="0"/>
    <xf numFmtId="0" fontId="69" fillId="67" borderId="0" applyNumberFormat="0" applyBorder="0" applyAlignment="0" applyProtection="0"/>
    <xf numFmtId="0" fontId="69" fillId="67" borderId="0" applyNumberFormat="0" applyBorder="0" applyAlignment="0" applyProtection="0"/>
    <xf numFmtId="0" fontId="69" fillId="67" borderId="0" applyNumberFormat="0" applyBorder="0" applyAlignment="0" applyProtection="0"/>
    <xf numFmtId="0" fontId="69" fillId="63" borderId="0" applyNumberFormat="0" applyBorder="0" applyAlignment="0" applyProtection="0"/>
    <xf numFmtId="0" fontId="69" fillId="63" borderId="0" applyNumberFormat="0" applyBorder="0" applyAlignment="0" applyProtection="0"/>
    <xf numFmtId="0" fontId="69" fillId="63" borderId="0" applyNumberFormat="0" applyBorder="0" applyAlignment="0" applyProtection="0"/>
    <xf numFmtId="0" fontId="69" fillId="63" borderId="0" applyNumberFormat="0" applyBorder="0" applyAlignment="0" applyProtection="0"/>
    <xf numFmtId="0" fontId="69" fillId="63" borderId="0" applyNumberFormat="0" applyBorder="0" applyAlignment="0" applyProtection="0"/>
    <xf numFmtId="0" fontId="69" fillId="63" borderId="0" applyNumberFormat="0" applyBorder="0" applyAlignment="0" applyProtection="0"/>
    <xf numFmtId="0" fontId="69" fillId="63" borderId="0" applyNumberFormat="0" applyBorder="0" applyAlignment="0" applyProtection="0"/>
    <xf numFmtId="0" fontId="69" fillId="63" borderId="0" applyNumberFormat="0" applyBorder="0" applyAlignment="0" applyProtection="0"/>
    <xf numFmtId="0" fontId="69" fillId="63" borderId="0" applyNumberFormat="0" applyBorder="0" applyAlignment="0" applyProtection="0"/>
    <xf numFmtId="0" fontId="69" fillId="63" borderId="0" applyNumberFormat="0" applyBorder="0" applyAlignment="0" applyProtection="0"/>
    <xf numFmtId="0" fontId="69" fillId="63" borderId="0" applyNumberFormat="0" applyBorder="0" applyAlignment="0" applyProtection="0"/>
    <xf numFmtId="0" fontId="69" fillId="63" borderId="0" applyNumberFormat="0" applyBorder="0" applyAlignment="0" applyProtection="0"/>
    <xf numFmtId="0" fontId="69" fillId="63" borderId="0" applyNumberFormat="0" applyBorder="0" applyAlignment="0" applyProtection="0"/>
    <xf numFmtId="0" fontId="69" fillId="63" borderId="0" applyNumberFormat="0" applyBorder="0" applyAlignment="0" applyProtection="0"/>
    <xf numFmtId="0" fontId="69" fillId="63" borderId="0" applyNumberFormat="0" applyBorder="0" applyAlignment="0" applyProtection="0"/>
    <xf numFmtId="0" fontId="69" fillId="63" borderId="0" applyNumberFormat="0" applyBorder="0" applyAlignment="0" applyProtection="0"/>
    <xf numFmtId="0" fontId="69" fillId="63" borderId="0" applyNumberFormat="0" applyBorder="0" applyAlignment="0" applyProtection="0"/>
    <xf numFmtId="0" fontId="69" fillId="67" borderId="0" applyNumberFormat="0" applyBorder="0" applyAlignment="0" applyProtection="0"/>
    <xf numFmtId="0" fontId="66" fillId="63" borderId="0" applyNumberFormat="0" applyBorder="0" applyAlignment="0" applyProtection="0"/>
    <xf numFmtId="0" fontId="69" fillId="63" borderId="0" applyNumberFormat="0" applyBorder="0" applyAlignment="0" applyProtection="0"/>
    <xf numFmtId="0" fontId="66" fillId="63" borderId="0" applyNumberFormat="0" applyBorder="0" applyAlignment="0" applyProtection="0"/>
    <xf numFmtId="0" fontId="69" fillId="63" borderId="0" applyNumberFormat="0" applyBorder="0" applyAlignment="0" applyProtection="0"/>
    <xf numFmtId="0" fontId="69" fillId="63" borderId="0" applyNumberFormat="0" applyBorder="0" applyAlignment="0" applyProtection="0"/>
    <xf numFmtId="0" fontId="69" fillId="63" borderId="0" applyNumberFormat="0" applyBorder="0" applyAlignment="0" applyProtection="0"/>
    <xf numFmtId="0" fontId="69" fillId="63" borderId="0" applyNumberFormat="0" applyBorder="0" applyAlignment="0" applyProtection="0"/>
    <xf numFmtId="0" fontId="69" fillId="63" borderId="0" applyNumberFormat="0" applyBorder="0" applyAlignment="0" applyProtection="0"/>
    <xf numFmtId="0" fontId="69" fillId="63" borderId="0" applyNumberFormat="0" applyBorder="0" applyAlignment="0" applyProtection="0"/>
    <xf numFmtId="0" fontId="69" fillId="63" borderId="0" applyNumberFormat="0" applyBorder="0" applyAlignment="0" applyProtection="0"/>
    <xf numFmtId="0" fontId="69" fillId="63" borderId="0" applyNumberFormat="0" applyBorder="0" applyAlignment="0" applyProtection="0"/>
    <xf numFmtId="0" fontId="69" fillId="63" borderId="0" applyNumberFormat="0" applyBorder="0" applyAlignment="0" applyProtection="0"/>
    <xf numFmtId="0" fontId="69" fillId="63" borderId="0" applyNumberFormat="0" applyBorder="0" applyAlignment="0" applyProtection="0"/>
    <xf numFmtId="0" fontId="69" fillId="63" borderId="0" applyNumberFormat="0" applyBorder="0" applyAlignment="0" applyProtection="0"/>
    <xf numFmtId="0" fontId="69" fillId="63" borderId="0" applyNumberFormat="0" applyBorder="0" applyAlignment="0" applyProtection="0"/>
    <xf numFmtId="0" fontId="69" fillId="67" borderId="0" applyNumberFormat="0" applyBorder="0" applyAlignment="0" applyProtection="0"/>
    <xf numFmtId="0" fontId="69" fillId="67" borderId="0" applyNumberFormat="0" applyBorder="0" applyAlignment="0" applyProtection="0"/>
    <xf numFmtId="0" fontId="69" fillId="67" borderId="0" applyNumberFormat="0" applyBorder="0" applyAlignment="0" applyProtection="0"/>
    <xf numFmtId="0" fontId="66" fillId="67" borderId="0" applyNumberFormat="0" applyBorder="0" applyAlignment="0" applyProtection="0"/>
    <xf numFmtId="0" fontId="69" fillId="67" borderId="0" applyNumberFormat="0" applyBorder="0" applyAlignment="0" applyProtection="0"/>
    <xf numFmtId="0" fontId="66" fillId="67" borderId="0" applyNumberFormat="0" applyBorder="0" applyAlignment="0" applyProtection="0"/>
    <xf numFmtId="0" fontId="69" fillId="67" borderId="0" applyNumberFormat="0" applyBorder="0" applyAlignment="0" applyProtection="0"/>
    <xf numFmtId="0" fontId="69" fillId="67" borderId="0" applyNumberFormat="0" applyBorder="0" applyAlignment="0" applyProtection="0"/>
    <xf numFmtId="0" fontId="69" fillId="67" borderId="0" applyNumberFormat="0" applyBorder="0" applyAlignment="0" applyProtection="0"/>
    <xf numFmtId="0" fontId="69" fillId="67" borderId="0" applyNumberFormat="0" applyBorder="0" applyAlignment="0" applyProtection="0"/>
    <xf numFmtId="0" fontId="69" fillId="67" borderId="0" applyNumberFormat="0" applyBorder="0" applyAlignment="0" applyProtection="0"/>
    <xf numFmtId="0" fontId="69" fillId="67" borderId="0" applyNumberFormat="0" applyBorder="0" applyAlignment="0" applyProtection="0"/>
    <xf numFmtId="0" fontId="69" fillId="67" borderId="0" applyNumberFormat="0" applyBorder="0" applyAlignment="0" applyProtection="0"/>
    <xf numFmtId="0" fontId="69" fillId="67" borderId="0" applyNumberFormat="0" applyBorder="0" applyAlignment="0" applyProtection="0"/>
    <xf numFmtId="0" fontId="69" fillId="67" borderId="0" applyNumberFormat="0" applyBorder="0" applyAlignment="0" applyProtection="0"/>
    <xf numFmtId="0" fontId="69" fillId="67" borderId="0" applyNumberFormat="0" applyBorder="0" applyAlignment="0" applyProtection="0"/>
    <xf numFmtId="0" fontId="69" fillId="67" borderId="0" applyNumberFormat="0" applyBorder="0" applyAlignment="0" applyProtection="0"/>
    <xf numFmtId="0" fontId="69" fillId="69" borderId="0" applyNumberFormat="0" applyBorder="0" applyAlignment="0" applyProtection="0"/>
    <xf numFmtId="0" fontId="69" fillId="69" borderId="0" applyNumberFormat="0" applyBorder="0" applyAlignment="0" applyProtection="0"/>
    <xf numFmtId="0" fontId="69" fillId="69" borderId="0" applyNumberFormat="0" applyBorder="0" applyAlignment="0" applyProtection="0"/>
    <xf numFmtId="0" fontId="69" fillId="69" borderId="0" applyNumberFormat="0" applyBorder="0" applyAlignment="0" applyProtection="0"/>
    <xf numFmtId="0" fontId="69" fillId="69" borderId="0" applyNumberFormat="0" applyBorder="0" applyAlignment="0" applyProtection="0"/>
    <xf numFmtId="0" fontId="69" fillId="69" borderId="0" applyNumberFormat="0" applyBorder="0" applyAlignment="0" applyProtection="0"/>
    <xf numFmtId="0" fontId="69" fillId="69" borderId="0" applyNumberFormat="0" applyBorder="0" applyAlignment="0" applyProtection="0"/>
    <xf numFmtId="0" fontId="69" fillId="69" borderId="0" applyNumberFormat="0" applyBorder="0" applyAlignment="0" applyProtection="0"/>
    <xf numFmtId="0" fontId="69" fillId="69" borderId="0" applyNumberFormat="0" applyBorder="0" applyAlignment="0" applyProtection="0"/>
    <xf numFmtId="0" fontId="69" fillId="69" borderId="0" applyNumberFormat="0" applyBorder="0" applyAlignment="0" applyProtection="0"/>
    <xf numFmtId="0" fontId="69" fillId="69" borderId="0" applyNumberFormat="0" applyBorder="0" applyAlignment="0" applyProtection="0"/>
    <xf numFmtId="0" fontId="69" fillId="69" borderId="0" applyNumberFormat="0" applyBorder="0" applyAlignment="0" applyProtection="0"/>
    <xf numFmtId="0" fontId="69" fillId="69" borderId="0" applyNumberFormat="0" applyBorder="0" applyAlignment="0" applyProtection="0"/>
    <xf numFmtId="0" fontId="69" fillId="69" borderId="0" applyNumberFormat="0" applyBorder="0" applyAlignment="0" applyProtection="0"/>
    <xf numFmtId="0" fontId="69" fillId="69" borderId="0" applyNumberFormat="0" applyBorder="0" applyAlignment="0" applyProtection="0"/>
    <xf numFmtId="0" fontId="69" fillId="69" borderId="0" applyNumberFormat="0" applyBorder="0" applyAlignment="0" applyProtection="0"/>
    <xf numFmtId="0" fontId="69" fillId="69" borderId="0" applyNumberFormat="0" applyBorder="0" applyAlignment="0" applyProtection="0"/>
    <xf numFmtId="0" fontId="69" fillId="69" borderId="0" applyNumberFormat="0" applyBorder="0" applyAlignment="0" applyProtection="0"/>
    <xf numFmtId="0" fontId="69" fillId="69" borderId="0" applyNumberFormat="0" applyBorder="0" applyAlignment="0" applyProtection="0"/>
    <xf numFmtId="0" fontId="69" fillId="69" borderId="0" applyNumberFormat="0" applyBorder="0" applyAlignment="0" applyProtection="0"/>
    <xf numFmtId="0" fontId="69" fillId="69" borderId="0" applyNumberFormat="0" applyBorder="0" applyAlignment="0" applyProtection="0"/>
    <xf numFmtId="0" fontId="69" fillId="69" borderId="0" applyNumberFormat="0" applyBorder="0" applyAlignment="0" applyProtection="0"/>
    <xf numFmtId="0" fontId="69" fillId="69" borderId="0" applyNumberFormat="0" applyBorder="0" applyAlignment="0" applyProtection="0"/>
    <xf numFmtId="0" fontId="69" fillId="69" borderId="0" applyNumberFormat="0" applyBorder="0" applyAlignment="0" applyProtection="0"/>
    <xf numFmtId="0" fontId="69" fillId="69" borderId="0" applyNumberFormat="0" applyBorder="0" applyAlignment="0" applyProtection="0"/>
    <xf numFmtId="0" fontId="69" fillId="69" borderId="0" applyNumberFormat="0" applyBorder="0" applyAlignment="0" applyProtection="0"/>
    <xf numFmtId="0" fontId="69" fillId="69" borderId="0" applyNumberFormat="0" applyBorder="0" applyAlignment="0" applyProtection="0"/>
    <xf numFmtId="0" fontId="69" fillId="69" borderId="0" applyNumberFormat="0" applyBorder="0" applyAlignment="0" applyProtection="0"/>
    <xf numFmtId="0" fontId="69" fillId="69" borderId="0" applyNumberFormat="0" applyBorder="0" applyAlignment="0" applyProtection="0"/>
    <xf numFmtId="0" fontId="69" fillId="69" borderId="0" applyNumberFormat="0" applyBorder="0" applyAlignment="0" applyProtection="0"/>
    <xf numFmtId="0" fontId="69" fillId="69" borderId="0" applyNumberFormat="0" applyBorder="0" applyAlignment="0" applyProtection="0"/>
    <xf numFmtId="0" fontId="69" fillId="69" borderId="0" applyNumberFormat="0" applyBorder="0" applyAlignment="0" applyProtection="0"/>
    <xf numFmtId="0" fontId="69" fillId="69" borderId="0" applyNumberFormat="0" applyBorder="0" applyAlignment="0" applyProtection="0"/>
    <xf numFmtId="0" fontId="69" fillId="69" borderId="0" applyNumberFormat="0" applyBorder="0" applyAlignment="0" applyProtection="0"/>
    <xf numFmtId="0" fontId="69" fillId="69" borderId="0" applyNumberFormat="0" applyBorder="0" applyAlignment="0" applyProtection="0"/>
    <xf numFmtId="0" fontId="69" fillId="69" borderId="0" applyNumberFormat="0" applyBorder="0" applyAlignment="0" applyProtection="0"/>
    <xf numFmtId="0" fontId="69" fillId="69" borderId="0" applyNumberFormat="0" applyBorder="0" applyAlignment="0" applyProtection="0"/>
    <xf numFmtId="0" fontId="66" fillId="69" borderId="0" applyNumberFormat="0" applyBorder="0" applyAlignment="0" applyProtection="0"/>
    <xf numFmtId="0" fontId="69" fillId="69" borderId="0" applyNumberFormat="0" applyBorder="0" applyAlignment="0" applyProtection="0"/>
    <xf numFmtId="0" fontId="66" fillId="69" borderId="0" applyNumberFormat="0" applyBorder="0" applyAlignment="0" applyProtection="0"/>
    <xf numFmtId="0" fontId="69" fillId="69" borderId="0" applyNumberFormat="0" applyBorder="0" applyAlignment="0" applyProtection="0"/>
    <xf numFmtId="0" fontId="69" fillId="69" borderId="0" applyNumberFormat="0" applyBorder="0" applyAlignment="0" applyProtection="0"/>
    <xf numFmtId="0" fontId="69" fillId="69" borderId="0" applyNumberFormat="0" applyBorder="0" applyAlignment="0" applyProtection="0"/>
    <xf numFmtId="0" fontId="69" fillId="69" borderId="0" applyNumberFormat="0" applyBorder="0" applyAlignment="0" applyProtection="0"/>
    <xf numFmtId="0" fontId="69" fillId="69" borderId="0" applyNumberFormat="0" applyBorder="0" applyAlignment="0" applyProtection="0"/>
    <xf numFmtId="0" fontId="69" fillId="69" borderId="0" applyNumberFormat="0" applyBorder="0" applyAlignment="0" applyProtection="0"/>
    <xf numFmtId="0" fontId="69" fillId="69" borderId="0" applyNumberFormat="0" applyBorder="0" applyAlignment="0" applyProtection="0"/>
    <xf numFmtId="0" fontId="69" fillId="69" borderId="0" applyNumberFormat="0" applyBorder="0" applyAlignment="0" applyProtection="0"/>
    <xf numFmtId="0" fontId="69" fillId="69" borderId="0" applyNumberFormat="0" applyBorder="0" applyAlignment="0" applyProtection="0"/>
    <xf numFmtId="0" fontId="69" fillId="69" borderId="0" applyNumberFormat="0" applyBorder="0" applyAlignment="0" applyProtection="0"/>
    <xf numFmtId="0" fontId="69" fillId="69" borderId="0" applyNumberFormat="0" applyBorder="0" applyAlignment="0" applyProtection="0"/>
    <xf numFmtId="0" fontId="69" fillId="69" borderId="0" applyNumberFormat="0" applyBorder="0" applyAlignment="0" applyProtection="0"/>
    <xf numFmtId="0" fontId="69" fillId="69" borderId="0" applyNumberFormat="0" applyBorder="0" applyAlignment="0" applyProtection="0"/>
    <xf numFmtId="0" fontId="69" fillId="69" borderId="0" applyNumberFormat="0" applyBorder="0" applyAlignment="0" applyProtection="0"/>
    <xf numFmtId="0" fontId="69" fillId="69" borderId="0" applyNumberFormat="0" applyBorder="0" applyAlignment="0" applyProtection="0"/>
    <xf numFmtId="0" fontId="66" fillId="69" borderId="0" applyNumberFormat="0" applyBorder="0" applyAlignment="0" applyProtection="0"/>
    <xf numFmtId="0" fontId="69" fillId="69" borderId="0" applyNumberFormat="0" applyBorder="0" applyAlignment="0" applyProtection="0"/>
    <xf numFmtId="0" fontId="66" fillId="69" borderId="0" applyNumberFormat="0" applyBorder="0" applyAlignment="0" applyProtection="0"/>
    <xf numFmtId="0" fontId="69" fillId="69" borderId="0" applyNumberFormat="0" applyBorder="0" applyAlignment="0" applyProtection="0"/>
    <xf numFmtId="0" fontId="69" fillId="69" borderId="0" applyNumberFormat="0" applyBorder="0" applyAlignment="0" applyProtection="0"/>
    <xf numFmtId="0" fontId="69" fillId="69" borderId="0" applyNumberFormat="0" applyBorder="0" applyAlignment="0" applyProtection="0"/>
    <xf numFmtId="0" fontId="69" fillId="69" borderId="0" applyNumberFormat="0" applyBorder="0" applyAlignment="0" applyProtection="0"/>
    <xf numFmtId="0" fontId="69" fillId="69" borderId="0" applyNumberFormat="0" applyBorder="0" applyAlignment="0" applyProtection="0"/>
    <xf numFmtId="0" fontId="69" fillId="69" borderId="0" applyNumberFormat="0" applyBorder="0" applyAlignment="0" applyProtection="0"/>
    <xf numFmtId="0" fontId="69" fillId="69" borderId="0" applyNumberFormat="0" applyBorder="0" applyAlignment="0" applyProtection="0"/>
    <xf numFmtId="0" fontId="69" fillId="69" borderId="0" applyNumberFormat="0" applyBorder="0" applyAlignment="0" applyProtection="0"/>
    <xf numFmtId="0" fontId="69" fillId="69" borderId="0" applyNumberFormat="0" applyBorder="0" applyAlignment="0" applyProtection="0"/>
    <xf numFmtId="0" fontId="69" fillId="69" borderId="0" applyNumberFormat="0" applyBorder="0" applyAlignment="0" applyProtection="0"/>
    <xf numFmtId="0" fontId="69" fillId="69" borderId="0" applyNumberFormat="0" applyBorder="0" applyAlignment="0" applyProtection="0"/>
    <xf numFmtId="0" fontId="69" fillId="71" borderId="0" applyNumberFormat="0" applyBorder="0" applyAlignment="0" applyProtection="0"/>
    <xf numFmtId="0" fontId="69" fillId="71" borderId="0" applyNumberFormat="0" applyBorder="0" applyAlignment="0" applyProtection="0"/>
    <xf numFmtId="0" fontId="69" fillId="71" borderId="0" applyNumberFormat="0" applyBorder="0" applyAlignment="0" applyProtection="0"/>
    <xf numFmtId="0" fontId="69" fillId="71" borderId="0" applyNumberFormat="0" applyBorder="0" applyAlignment="0" applyProtection="0"/>
    <xf numFmtId="0" fontId="69" fillId="71" borderId="0" applyNumberFormat="0" applyBorder="0" applyAlignment="0" applyProtection="0"/>
    <xf numFmtId="0" fontId="69" fillId="71" borderId="0" applyNumberFormat="0" applyBorder="0" applyAlignment="0" applyProtection="0"/>
    <xf numFmtId="0" fontId="69" fillId="71" borderId="0" applyNumberFormat="0" applyBorder="0" applyAlignment="0" applyProtection="0"/>
    <xf numFmtId="0" fontId="69" fillId="71" borderId="0" applyNumberFormat="0" applyBorder="0" applyAlignment="0" applyProtection="0"/>
    <xf numFmtId="0" fontId="69" fillId="71" borderId="0" applyNumberFormat="0" applyBorder="0" applyAlignment="0" applyProtection="0"/>
    <xf numFmtId="0" fontId="69" fillId="71" borderId="0" applyNumberFormat="0" applyBorder="0" applyAlignment="0" applyProtection="0"/>
    <xf numFmtId="0" fontId="69" fillId="71" borderId="0" applyNumberFormat="0" applyBorder="0" applyAlignment="0" applyProtection="0"/>
    <xf numFmtId="0" fontId="69" fillId="71" borderId="0" applyNumberFormat="0" applyBorder="0" applyAlignment="0" applyProtection="0"/>
    <xf numFmtId="0" fontId="69" fillId="71" borderId="0" applyNumberFormat="0" applyBorder="0" applyAlignment="0" applyProtection="0"/>
    <xf numFmtId="0" fontId="69" fillId="71" borderId="0" applyNumberFormat="0" applyBorder="0" applyAlignment="0" applyProtection="0"/>
    <xf numFmtId="0" fontId="69" fillId="71" borderId="0" applyNumberFormat="0" applyBorder="0" applyAlignment="0" applyProtection="0"/>
    <xf numFmtId="0" fontId="69" fillId="71" borderId="0" applyNumberFormat="0" applyBorder="0" applyAlignment="0" applyProtection="0"/>
    <xf numFmtId="0" fontId="69" fillId="71" borderId="0" applyNumberFormat="0" applyBorder="0" applyAlignment="0" applyProtection="0"/>
    <xf numFmtId="0" fontId="69" fillId="71" borderId="0" applyNumberFormat="0" applyBorder="0" applyAlignment="0" applyProtection="0"/>
    <xf numFmtId="0" fontId="69" fillId="71" borderId="0" applyNumberFormat="0" applyBorder="0" applyAlignment="0" applyProtection="0"/>
    <xf numFmtId="0" fontId="69" fillId="71" borderId="0" applyNumberFormat="0" applyBorder="0" applyAlignment="0" applyProtection="0"/>
    <xf numFmtId="0" fontId="69" fillId="71" borderId="0" applyNumberFormat="0" applyBorder="0" applyAlignment="0" applyProtection="0"/>
    <xf numFmtId="0" fontId="69" fillId="71" borderId="0" applyNumberFormat="0" applyBorder="0" applyAlignment="0" applyProtection="0"/>
    <xf numFmtId="0" fontId="69" fillId="71" borderId="0" applyNumberFormat="0" applyBorder="0" applyAlignment="0" applyProtection="0"/>
    <xf numFmtId="0" fontId="69" fillId="71" borderId="0" applyNumberFormat="0" applyBorder="0" applyAlignment="0" applyProtection="0"/>
    <xf numFmtId="0" fontId="69" fillId="71" borderId="0" applyNumberFormat="0" applyBorder="0" applyAlignment="0" applyProtection="0"/>
    <xf numFmtId="0" fontId="69" fillId="71" borderId="0" applyNumberFormat="0" applyBorder="0" applyAlignment="0" applyProtection="0"/>
    <xf numFmtId="0" fontId="69" fillId="71" borderId="0" applyNumberFormat="0" applyBorder="0" applyAlignment="0" applyProtection="0"/>
    <xf numFmtId="0" fontId="69" fillId="71" borderId="0" applyNumberFormat="0" applyBorder="0" applyAlignment="0" applyProtection="0"/>
    <xf numFmtId="0" fontId="69" fillId="71" borderId="0" applyNumberFormat="0" applyBorder="0" applyAlignment="0" applyProtection="0"/>
    <xf numFmtId="0" fontId="69" fillId="71" borderId="0" applyNumberFormat="0" applyBorder="0" applyAlignment="0" applyProtection="0"/>
    <xf numFmtId="0" fontId="69" fillId="71" borderId="0" applyNumberFormat="0" applyBorder="0" applyAlignment="0" applyProtection="0"/>
    <xf numFmtId="0" fontId="69" fillId="71" borderId="0" applyNumberFormat="0" applyBorder="0" applyAlignment="0" applyProtection="0"/>
    <xf numFmtId="0" fontId="69" fillId="71" borderId="0" applyNumberFormat="0" applyBorder="0" applyAlignment="0" applyProtection="0"/>
    <xf numFmtId="0" fontId="69" fillId="71" borderId="0" applyNumberFormat="0" applyBorder="0" applyAlignment="0" applyProtection="0"/>
    <xf numFmtId="0" fontId="69" fillId="71" borderId="0" applyNumberFormat="0" applyBorder="0" applyAlignment="0" applyProtection="0"/>
    <xf numFmtId="0" fontId="69" fillId="71" borderId="0" applyNumberFormat="0" applyBorder="0" applyAlignment="0" applyProtection="0"/>
    <xf numFmtId="0" fontId="69" fillId="71" borderId="0" applyNumberFormat="0" applyBorder="0" applyAlignment="0" applyProtection="0"/>
    <xf numFmtId="0" fontId="66" fillId="71" borderId="0" applyNumberFormat="0" applyBorder="0" applyAlignment="0" applyProtection="0"/>
    <xf numFmtId="0" fontId="69" fillId="71" borderId="0" applyNumberFormat="0" applyBorder="0" applyAlignment="0" applyProtection="0"/>
    <xf numFmtId="0" fontId="66" fillId="71" borderId="0" applyNumberFormat="0" applyBorder="0" applyAlignment="0" applyProtection="0"/>
    <xf numFmtId="0" fontId="69" fillId="71" borderId="0" applyNumberFormat="0" applyBorder="0" applyAlignment="0" applyProtection="0"/>
    <xf numFmtId="0" fontId="69" fillId="71" borderId="0" applyNumberFormat="0" applyBorder="0" applyAlignment="0" applyProtection="0"/>
    <xf numFmtId="0" fontId="69" fillId="71" borderId="0" applyNumberFormat="0" applyBorder="0" applyAlignment="0" applyProtection="0"/>
    <xf numFmtId="0" fontId="69" fillId="71" borderId="0" applyNumberFormat="0" applyBorder="0" applyAlignment="0" applyProtection="0"/>
    <xf numFmtId="0" fontId="69" fillId="71" borderId="0" applyNumberFormat="0" applyBorder="0" applyAlignment="0" applyProtection="0"/>
    <xf numFmtId="0" fontId="69" fillId="71" borderId="0" applyNumberFormat="0" applyBorder="0" applyAlignment="0" applyProtection="0"/>
    <xf numFmtId="0" fontId="69" fillId="71" borderId="0" applyNumberFormat="0" applyBorder="0" applyAlignment="0" applyProtection="0"/>
    <xf numFmtId="0" fontId="69" fillId="71" borderId="0" applyNumberFormat="0" applyBorder="0" applyAlignment="0" applyProtection="0"/>
    <xf numFmtId="0" fontId="69" fillId="71" borderId="0" applyNumberFormat="0" applyBorder="0" applyAlignment="0" applyProtection="0"/>
    <xf numFmtId="0" fontId="69" fillId="71" borderId="0" applyNumberFormat="0" applyBorder="0" applyAlignment="0" applyProtection="0"/>
    <xf numFmtId="0" fontId="69" fillId="71" borderId="0" applyNumberFormat="0" applyBorder="0" applyAlignment="0" applyProtection="0"/>
    <xf numFmtId="0" fontId="69" fillId="71" borderId="0" applyNumberFormat="0" applyBorder="0" applyAlignment="0" applyProtection="0"/>
    <xf numFmtId="0" fontId="69" fillId="71" borderId="0" applyNumberFormat="0" applyBorder="0" applyAlignment="0" applyProtection="0"/>
    <xf numFmtId="0" fontId="69" fillId="71" borderId="0" applyNumberFormat="0" applyBorder="0" applyAlignment="0" applyProtection="0"/>
    <xf numFmtId="0" fontId="69" fillId="71" borderId="0" applyNumberFormat="0" applyBorder="0" applyAlignment="0" applyProtection="0"/>
    <xf numFmtId="0" fontId="66" fillId="71" borderId="0" applyNumberFormat="0" applyBorder="0" applyAlignment="0" applyProtection="0"/>
    <xf numFmtId="0" fontId="69" fillId="71" borderId="0" applyNumberFormat="0" applyBorder="0" applyAlignment="0" applyProtection="0"/>
    <xf numFmtId="0" fontId="66" fillId="71" borderId="0" applyNumberFormat="0" applyBorder="0" applyAlignment="0" applyProtection="0"/>
    <xf numFmtId="0" fontId="69" fillId="71" borderId="0" applyNumberFormat="0" applyBorder="0" applyAlignment="0" applyProtection="0"/>
    <xf numFmtId="0" fontId="69" fillId="71" borderId="0" applyNumberFormat="0" applyBorder="0" applyAlignment="0" applyProtection="0"/>
    <xf numFmtId="0" fontId="69" fillId="71" borderId="0" applyNumberFormat="0" applyBorder="0" applyAlignment="0" applyProtection="0"/>
    <xf numFmtId="0" fontId="69" fillId="71" borderId="0" applyNumberFormat="0" applyBorder="0" applyAlignment="0" applyProtection="0"/>
    <xf numFmtId="0" fontId="69" fillId="71" borderId="0" applyNumberFormat="0" applyBorder="0" applyAlignment="0" applyProtection="0"/>
    <xf numFmtId="0" fontId="69" fillId="71" borderId="0" applyNumberFormat="0" applyBorder="0" applyAlignment="0" applyProtection="0"/>
    <xf numFmtId="0" fontId="69" fillId="71" borderId="0" applyNumberFormat="0" applyBorder="0" applyAlignment="0" applyProtection="0"/>
    <xf numFmtId="0" fontId="69" fillId="71" borderId="0" applyNumberFormat="0" applyBorder="0" applyAlignment="0" applyProtection="0"/>
    <xf numFmtId="0" fontId="69" fillId="71" borderId="0" applyNumberFormat="0" applyBorder="0" applyAlignment="0" applyProtection="0"/>
    <xf numFmtId="0" fontId="69" fillId="71" borderId="0" applyNumberFormat="0" applyBorder="0" applyAlignment="0" applyProtection="0"/>
    <xf numFmtId="0" fontId="69" fillId="71" borderId="0" applyNumberFormat="0" applyBorder="0" applyAlignment="0" applyProtection="0"/>
    <xf numFmtId="0" fontId="69" fillId="61" borderId="0" applyNumberFormat="0" applyBorder="0" applyAlignment="0" applyProtection="0"/>
    <xf numFmtId="0" fontId="69" fillId="61" borderId="0" applyNumberFormat="0" applyBorder="0" applyAlignment="0" applyProtection="0"/>
    <xf numFmtId="0" fontId="69" fillId="61" borderId="0" applyNumberFormat="0" applyBorder="0" applyAlignment="0" applyProtection="0"/>
    <xf numFmtId="0" fontId="69" fillId="61" borderId="0" applyNumberFormat="0" applyBorder="0" applyAlignment="0" applyProtection="0"/>
    <xf numFmtId="0" fontId="69" fillId="61" borderId="0" applyNumberFormat="0" applyBorder="0" applyAlignment="0" applyProtection="0"/>
    <xf numFmtId="0" fontId="69" fillId="61" borderId="0" applyNumberFormat="0" applyBorder="0" applyAlignment="0" applyProtection="0"/>
    <xf numFmtId="0" fontId="69" fillId="61" borderId="0" applyNumberFormat="0" applyBorder="0" applyAlignment="0" applyProtection="0"/>
    <xf numFmtId="0" fontId="69" fillId="61" borderId="0" applyNumberFormat="0" applyBorder="0" applyAlignment="0" applyProtection="0"/>
    <xf numFmtId="0" fontId="69" fillId="61" borderId="0" applyNumberFormat="0" applyBorder="0" applyAlignment="0" applyProtection="0"/>
    <xf numFmtId="0" fontId="69" fillId="61" borderId="0" applyNumberFormat="0" applyBorder="0" applyAlignment="0" applyProtection="0"/>
    <xf numFmtId="0" fontId="69" fillId="61" borderId="0" applyNumberFormat="0" applyBorder="0" applyAlignment="0" applyProtection="0"/>
    <xf numFmtId="0" fontId="69" fillId="61" borderId="0" applyNumberFormat="0" applyBorder="0" applyAlignment="0" applyProtection="0"/>
    <xf numFmtId="0" fontId="69" fillId="61" borderId="0" applyNumberFormat="0" applyBorder="0" applyAlignment="0" applyProtection="0"/>
    <xf numFmtId="0" fontId="69" fillId="61" borderId="0" applyNumberFormat="0" applyBorder="0" applyAlignment="0" applyProtection="0"/>
    <xf numFmtId="0" fontId="69" fillId="61" borderId="0" applyNumberFormat="0" applyBorder="0" applyAlignment="0" applyProtection="0"/>
    <xf numFmtId="0" fontId="69" fillId="61" borderId="0" applyNumberFormat="0" applyBorder="0" applyAlignment="0" applyProtection="0"/>
    <xf numFmtId="0" fontId="69" fillId="61" borderId="0" applyNumberFormat="0" applyBorder="0" applyAlignment="0" applyProtection="0"/>
    <xf numFmtId="0" fontId="69" fillId="61" borderId="0" applyNumberFormat="0" applyBorder="0" applyAlignment="0" applyProtection="0"/>
    <xf numFmtId="0" fontId="69" fillId="61" borderId="0" applyNumberFormat="0" applyBorder="0" applyAlignment="0" applyProtection="0"/>
    <xf numFmtId="0" fontId="69" fillId="61" borderId="0" applyNumberFormat="0" applyBorder="0" applyAlignment="0" applyProtection="0"/>
    <xf numFmtId="0" fontId="69" fillId="90" borderId="0" applyNumberFormat="0" applyBorder="0" applyAlignment="0" applyProtection="0"/>
    <xf numFmtId="0" fontId="69" fillId="90" borderId="0" applyNumberFormat="0" applyBorder="0" applyAlignment="0" applyProtection="0"/>
    <xf numFmtId="0" fontId="69" fillId="90" borderId="0" applyNumberFormat="0" applyBorder="0" applyAlignment="0" applyProtection="0"/>
    <xf numFmtId="0" fontId="69" fillId="90" borderId="0" applyNumberFormat="0" applyBorder="0" applyAlignment="0" applyProtection="0"/>
    <xf numFmtId="0" fontId="69" fillId="90" borderId="0" applyNumberFormat="0" applyBorder="0" applyAlignment="0" applyProtection="0"/>
    <xf numFmtId="0" fontId="69" fillId="90" borderId="0" applyNumberFormat="0" applyBorder="0" applyAlignment="0" applyProtection="0"/>
    <xf numFmtId="0" fontId="69" fillId="90" borderId="0" applyNumberFormat="0" applyBorder="0" applyAlignment="0" applyProtection="0"/>
    <xf numFmtId="0" fontId="69" fillId="90" borderId="0" applyNumberFormat="0" applyBorder="0" applyAlignment="0" applyProtection="0"/>
    <xf numFmtId="0" fontId="69" fillId="90" borderId="0" applyNumberFormat="0" applyBorder="0" applyAlignment="0" applyProtection="0"/>
    <xf numFmtId="0" fontId="69" fillId="90" borderId="0" applyNumberFormat="0" applyBorder="0" applyAlignment="0" applyProtection="0"/>
    <xf numFmtId="0" fontId="69" fillId="90" borderId="0" applyNumberFormat="0" applyBorder="0" applyAlignment="0" applyProtection="0"/>
    <xf numFmtId="0" fontId="69" fillId="90" borderId="0" applyNumberFormat="0" applyBorder="0" applyAlignment="0" applyProtection="0"/>
    <xf numFmtId="0" fontId="69" fillId="90" borderId="0" applyNumberFormat="0" applyBorder="0" applyAlignment="0" applyProtection="0"/>
    <xf numFmtId="0" fontId="69" fillId="90" borderId="0" applyNumberFormat="0" applyBorder="0" applyAlignment="0" applyProtection="0"/>
    <xf numFmtId="0" fontId="69" fillId="90" borderId="0" applyNumberFormat="0" applyBorder="0" applyAlignment="0" applyProtection="0"/>
    <xf numFmtId="0" fontId="69" fillId="90" borderId="0" applyNumberFormat="0" applyBorder="0" applyAlignment="0" applyProtection="0"/>
    <xf numFmtId="0" fontId="69" fillId="90" borderId="0" applyNumberFormat="0" applyBorder="0" applyAlignment="0" applyProtection="0"/>
    <xf numFmtId="0" fontId="69" fillId="61" borderId="0" applyNumberFormat="0" applyBorder="0" applyAlignment="0" applyProtection="0"/>
    <xf numFmtId="0" fontId="66" fillId="90" borderId="0" applyNumberFormat="0" applyBorder="0" applyAlignment="0" applyProtection="0"/>
    <xf numFmtId="0" fontId="69" fillId="90" borderId="0" applyNumberFormat="0" applyBorder="0" applyAlignment="0" applyProtection="0"/>
    <xf numFmtId="0" fontId="66" fillId="90" borderId="0" applyNumberFormat="0" applyBorder="0" applyAlignment="0" applyProtection="0"/>
    <xf numFmtId="0" fontId="69" fillId="90" borderId="0" applyNumberFormat="0" applyBorder="0" applyAlignment="0" applyProtection="0"/>
    <xf numFmtId="0" fontId="69" fillId="90" borderId="0" applyNumberFormat="0" applyBorder="0" applyAlignment="0" applyProtection="0"/>
    <xf numFmtId="0" fontId="69" fillId="90" borderId="0" applyNumberFormat="0" applyBorder="0" applyAlignment="0" applyProtection="0"/>
    <xf numFmtId="0" fontId="69" fillId="90" borderId="0" applyNumberFormat="0" applyBorder="0" applyAlignment="0" applyProtection="0"/>
    <xf numFmtId="0" fontId="69" fillId="90" borderId="0" applyNumberFormat="0" applyBorder="0" applyAlignment="0" applyProtection="0"/>
    <xf numFmtId="0" fontId="69" fillId="90" borderId="0" applyNumberFormat="0" applyBorder="0" applyAlignment="0" applyProtection="0"/>
    <xf numFmtId="0" fontId="69" fillId="90" borderId="0" applyNumberFormat="0" applyBorder="0" applyAlignment="0" applyProtection="0"/>
    <xf numFmtId="0" fontId="69" fillId="90" borderId="0" applyNumberFormat="0" applyBorder="0" applyAlignment="0" applyProtection="0"/>
    <xf numFmtId="0" fontId="69" fillId="90" borderId="0" applyNumberFormat="0" applyBorder="0" applyAlignment="0" applyProtection="0"/>
    <xf numFmtId="0" fontId="69" fillId="90" borderId="0" applyNumberFormat="0" applyBorder="0" applyAlignment="0" applyProtection="0"/>
    <xf numFmtId="0" fontId="69" fillId="90" borderId="0" applyNumberFormat="0" applyBorder="0" applyAlignment="0" applyProtection="0"/>
    <xf numFmtId="0" fontId="69" fillId="90" borderId="0" applyNumberFormat="0" applyBorder="0" applyAlignment="0" applyProtection="0"/>
    <xf numFmtId="0" fontId="69" fillId="61" borderId="0" applyNumberFormat="0" applyBorder="0" applyAlignment="0" applyProtection="0"/>
    <xf numFmtId="0" fontId="69" fillId="61" borderId="0" applyNumberFormat="0" applyBorder="0" applyAlignment="0" applyProtection="0"/>
    <xf numFmtId="0" fontId="69" fillId="61" borderId="0" applyNumberFormat="0" applyBorder="0" applyAlignment="0" applyProtection="0"/>
    <xf numFmtId="0" fontId="66" fillId="61" borderId="0" applyNumberFormat="0" applyBorder="0" applyAlignment="0" applyProtection="0"/>
    <xf numFmtId="0" fontId="69" fillId="61" borderId="0" applyNumberFormat="0" applyBorder="0" applyAlignment="0" applyProtection="0"/>
    <xf numFmtId="0" fontId="66" fillId="61" borderId="0" applyNumberFormat="0" applyBorder="0" applyAlignment="0" applyProtection="0"/>
    <xf numFmtId="0" fontId="69" fillId="61" borderId="0" applyNumberFormat="0" applyBorder="0" applyAlignment="0" applyProtection="0"/>
    <xf numFmtId="0" fontId="69" fillId="61" borderId="0" applyNumberFormat="0" applyBorder="0" applyAlignment="0" applyProtection="0"/>
    <xf numFmtId="0" fontId="69" fillId="61" borderId="0" applyNumberFormat="0" applyBorder="0" applyAlignment="0" applyProtection="0"/>
    <xf numFmtId="0" fontId="69" fillId="61" borderId="0" applyNumberFormat="0" applyBorder="0" applyAlignment="0" applyProtection="0"/>
    <xf numFmtId="0" fontId="69" fillId="61" borderId="0" applyNumberFormat="0" applyBorder="0" applyAlignment="0" applyProtection="0"/>
    <xf numFmtId="0" fontId="69" fillId="61" borderId="0" applyNumberFormat="0" applyBorder="0" applyAlignment="0" applyProtection="0"/>
    <xf numFmtId="0" fontId="69" fillId="61" borderId="0" applyNumberFormat="0" applyBorder="0" applyAlignment="0" applyProtection="0"/>
    <xf numFmtId="0" fontId="69" fillId="61" borderId="0" applyNumberFormat="0" applyBorder="0" applyAlignment="0" applyProtection="0"/>
    <xf numFmtId="0" fontId="69" fillId="61" borderId="0" applyNumberFormat="0" applyBorder="0" applyAlignment="0" applyProtection="0"/>
    <xf numFmtId="0" fontId="69" fillId="61" borderId="0" applyNumberFormat="0" applyBorder="0" applyAlignment="0" applyProtection="0"/>
    <xf numFmtId="0" fontId="69" fillId="61" borderId="0" applyNumberFormat="0" applyBorder="0" applyAlignment="0" applyProtection="0"/>
    <xf numFmtId="0" fontId="69" fillId="63" borderId="0" applyNumberFormat="0" applyBorder="0" applyAlignment="0" applyProtection="0"/>
    <xf numFmtId="0" fontId="69" fillId="63" borderId="0" applyNumberFormat="0" applyBorder="0" applyAlignment="0" applyProtection="0"/>
    <xf numFmtId="0" fontId="69" fillId="63" borderId="0" applyNumberFormat="0" applyBorder="0" applyAlignment="0" applyProtection="0"/>
    <xf numFmtId="0" fontId="69" fillId="63" borderId="0" applyNumberFormat="0" applyBorder="0" applyAlignment="0" applyProtection="0"/>
    <xf numFmtId="0" fontId="69" fillId="63" borderId="0" applyNumberFormat="0" applyBorder="0" applyAlignment="0" applyProtection="0"/>
    <xf numFmtId="0" fontId="69" fillId="63" borderId="0" applyNumberFormat="0" applyBorder="0" applyAlignment="0" applyProtection="0"/>
    <xf numFmtId="0" fontId="69" fillId="63" borderId="0" applyNumberFormat="0" applyBorder="0" applyAlignment="0" applyProtection="0"/>
    <xf numFmtId="0" fontId="69" fillId="63" borderId="0" applyNumberFormat="0" applyBorder="0" applyAlignment="0" applyProtection="0"/>
    <xf numFmtId="0" fontId="69" fillId="63" borderId="0" applyNumberFormat="0" applyBorder="0" applyAlignment="0" applyProtection="0"/>
    <xf numFmtId="0" fontId="69" fillId="63" borderId="0" applyNumberFormat="0" applyBorder="0" applyAlignment="0" applyProtection="0"/>
    <xf numFmtId="0" fontId="69" fillId="63" borderId="0" applyNumberFormat="0" applyBorder="0" applyAlignment="0" applyProtection="0"/>
    <xf numFmtId="0" fontId="69" fillId="63" borderId="0" applyNumberFormat="0" applyBorder="0" applyAlignment="0" applyProtection="0"/>
    <xf numFmtId="0" fontId="69" fillId="63" borderId="0" applyNumberFormat="0" applyBorder="0" applyAlignment="0" applyProtection="0"/>
    <xf numFmtId="0" fontId="69" fillId="63" borderId="0" applyNumberFormat="0" applyBorder="0" applyAlignment="0" applyProtection="0"/>
    <xf numFmtId="0" fontId="69" fillId="63" borderId="0" applyNumberFormat="0" applyBorder="0" applyAlignment="0" applyProtection="0"/>
    <xf numFmtId="0" fontId="69" fillId="63" borderId="0" applyNumberFormat="0" applyBorder="0" applyAlignment="0" applyProtection="0"/>
    <xf numFmtId="0" fontId="69" fillId="63" borderId="0" applyNumberFormat="0" applyBorder="0" applyAlignment="0" applyProtection="0"/>
    <xf numFmtId="0" fontId="69" fillId="63" borderId="0" applyNumberFormat="0" applyBorder="0" applyAlignment="0" applyProtection="0"/>
    <xf numFmtId="0" fontId="69" fillId="63" borderId="0" applyNumberFormat="0" applyBorder="0" applyAlignment="0" applyProtection="0"/>
    <xf numFmtId="0" fontId="69" fillId="63" borderId="0" applyNumberFormat="0" applyBorder="0" applyAlignment="0" applyProtection="0"/>
    <xf numFmtId="0" fontId="69" fillId="63" borderId="0" applyNumberFormat="0" applyBorder="0" applyAlignment="0" applyProtection="0"/>
    <xf numFmtId="0" fontId="69" fillId="63" borderId="0" applyNumberFormat="0" applyBorder="0" applyAlignment="0" applyProtection="0"/>
    <xf numFmtId="0" fontId="69" fillId="63" borderId="0" applyNumberFormat="0" applyBorder="0" applyAlignment="0" applyProtection="0"/>
    <xf numFmtId="0" fontId="69" fillId="63" borderId="0" applyNumberFormat="0" applyBorder="0" applyAlignment="0" applyProtection="0"/>
    <xf numFmtId="0" fontId="69" fillId="63" borderId="0" applyNumberFormat="0" applyBorder="0" applyAlignment="0" applyProtection="0"/>
    <xf numFmtId="0" fontId="69" fillId="63" borderId="0" applyNumberFormat="0" applyBorder="0" applyAlignment="0" applyProtection="0"/>
    <xf numFmtId="0" fontId="69" fillId="63" borderId="0" applyNumberFormat="0" applyBorder="0" applyAlignment="0" applyProtection="0"/>
    <xf numFmtId="0" fontId="69" fillId="63" borderId="0" applyNumberFormat="0" applyBorder="0" applyAlignment="0" applyProtection="0"/>
    <xf numFmtId="0" fontId="69" fillId="63" borderId="0" applyNumberFormat="0" applyBorder="0" applyAlignment="0" applyProtection="0"/>
    <xf numFmtId="0" fontId="69" fillId="63" borderId="0" applyNumberFormat="0" applyBorder="0" applyAlignment="0" applyProtection="0"/>
    <xf numFmtId="0" fontId="69" fillId="63" borderId="0" applyNumberFormat="0" applyBorder="0" applyAlignment="0" applyProtection="0"/>
    <xf numFmtId="0" fontId="69" fillId="63" borderId="0" applyNumberFormat="0" applyBorder="0" applyAlignment="0" applyProtection="0"/>
    <xf numFmtId="0" fontId="69" fillId="63" borderId="0" applyNumberFormat="0" applyBorder="0" applyAlignment="0" applyProtection="0"/>
    <xf numFmtId="0" fontId="69" fillId="63" borderId="0" applyNumberFormat="0" applyBorder="0" applyAlignment="0" applyProtection="0"/>
    <xf numFmtId="0" fontId="69" fillId="63" borderId="0" applyNumberFormat="0" applyBorder="0" applyAlignment="0" applyProtection="0"/>
    <xf numFmtId="0" fontId="69" fillId="63" borderId="0" applyNumberFormat="0" applyBorder="0" applyAlignment="0" applyProtection="0"/>
    <xf numFmtId="0" fontId="69" fillId="63" borderId="0" applyNumberFormat="0" applyBorder="0" applyAlignment="0" applyProtection="0"/>
    <xf numFmtId="0" fontId="66" fillId="63" borderId="0" applyNumberFormat="0" applyBorder="0" applyAlignment="0" applyProtection="0"/>
    <xf numFmtId="0" fontId="69" fillId="63" borderId="0" applyNumberFormat="0" applyBorder="0" applyAlignment="0" applyProtection="0"/>
    <xf numFmtId="0" fontId="66" fillId="63" borderId="0" applyNumberFormat="0" applyBorder="0" applyAlignment="0" applyProtection="0"/>
    <xf numFmtId="0" fontId="69" fillId="63" borderId="0" applyNumberFormat="0" applyBorder="0" applyAlignment="0" applyProtection="0"/>
    <xf numFmtId="0" fontId="69" fillId="63" borderId="0" applyNumberFormat="0" applyBorder="0" applyAlignment="0" applyProtection="0"/>
    <xf numFmtId="0" fontId="69" fillId="63" borderId="0" applyNumberFormat="0" applyBorder="0" applyAlignment="0" applyProtection="0"/>
    <xf numFmtId="0" fontId="69" fillId="63" borderId="0" applyNumberFormat="0" applyBorder="0" applyAlignment="0" applyProtection="0"/>
    <xf numFmtId="0" fontId="69" fillId="63" borderId="0" applyNumberFormat="0" applyBorder="0" applyAlignment="0" applyProtection="0"/>
    <xf numFmtId="0" fontId="69" fillId="63" borderId="0" applyNumberFormat="0" applyBorder="0" applyAlignment="0" applyProtection="0"/>
    <xf numFmtId="0" fontId="69" fillId="63" borderId="0" applyNumberFormat="0" applyBorder="0" applyAlignment="0" applyProtection="0"/>
    <xf numFmtId="0" fontId="69" fillId="63" borderId="0" applyNumberFormat="0" applyBorder="0" applyAlignment="0" applyProtection="0"/>
    <xf numFmtId="0" fontId="69" fillId="63" borderId="0" applyNumberFormat="0" applyBorder="0" applyAlignment="0" applyProtection="0"/>
    <xf numFmtId="0" fontId="69" fillId="63" borderId="0" applyNumberFormat="0" applyBorder="0" applyAlignment="0" applyProtection="0"/>
    <xf numFmtId="0" fontId="69" fillId="63" borderId="0" applyNumberFormat="0" applyBorder="0" applyAlignment="0" applyProtection="0"/>
    <xf numFmtId="0" fontId="69" fillId="63" borderId="0" applyNumberFormat="0" applyBorder="0" applyAlignment="0" applyProtection="0"/>
    <xf numFmtId="0" fontId="69" fillId="63" borderId="0" applyNumberFormat="0" applyBorder="0" applyAlignment="0" applyProtection="0"/>
    <xf numFmtId="0" fontId="69" fillId="63" borderId="0" applyNumberFormat="0" applyBorder="0" applyAlignment="0" applyProtection="0"/>
    <xf numFmtId="0" fontId="69" fillId="63" borderId="0" applyNumberFormat="0" applyBorder="0" applyAlignment="0" applyProtection="0"/>
    <xf numFmtId="0" fontId="66" fillId="63" borderId="0" applyNumberFormat="0" applyBorder="0" applyAlignment="0" applyProtection="0"/>
    <xf numFmtId="0" fontId="69" fillId="63" borderId="0" applyNumberFormat="0" applyBorder="0" applyAlignment="0" applyProtection="0"/>
    <xf numFmtId="0" fontId="66" fillId="63" borderId="0" applyNumberFormat="0" applyBorder="0" applyAlignment="0" applyProtection="0"/>
    <xf numFmtId="0" fontId="69" fillId="63" borderId="0" applyNumberFormat="0" applyBorder="0" applyAlignment="0" applyProtection="0"/>
    <xf numFmtId="0" fontId="69" fillId="63" borderId="0" applyNumberFormat="0" applyBorder="0" applyAlignment="0" applyProtection="0"/>
    <xf numFmtId="0" fontId="69" fillId="63" borderId="0" applyNumberFormat="0" applyBorder="0" applyAlignment="0" applyProtection="0"/>
    <xf numFmtId="0" fontId="69" fillId="63" borderId="0" applyNumberFormat="0" applyBorder="0" applyAlignment="0" applyProtection="0"/>
    <xf numFmtId="0" fontId="69" fillId="63" borderId="0" applyNumberFormat="0" applyBorder="0" applyAlignment="0" applyProtection="0"/>
    <xf numFmtId="0" fontId="69" fillId="63" borderId="0" applyNumberFormat="0" applyBorder="0" applyAlignment="0" applyProtection="0"/>
    <xf numFmtId="0" fontId="69" fillId="63" borderId="0" applyNumberFormat="0" applyBorder="0" applyAlignment="0" applyProtection="0"/>
    <xf numFmtId="0" fontId="69" fillId="63" borderId="0" applyNumberFormat="0" applyBorder="0" applyAlignment="0" applyProtection="0"/>
    <xf numFmtId="0" fontId="69" fillId="63" borderId="0" applyNumberFormat="0" applyBorder="0" applyAlignment="0" applyProtection="0"/>
    <xf numFmtId="0" fontId="69" fillId="63" borderId="0" applyNumberFormat="0" applyBorder="0" applyAlignment="0" applyProtection="0"/>
    <xf numFmtId="0" fontId="69" fillId="63" borderId="0" applyNumberFormat="0" applyBorder="0" applyAlignment="0" applyProtection="0"/>
    <xf numFmtId="0" fontId="69" fillId="73" borderId="0" applyNumberFormat="0" applyBorder="0" applyAlignment="0" applyProtection="0"/>
    <xf numFmtId="0" fontId="69" fillId="73" borderId="0" applyNumberFormat="0" applyBorder="0" applyAlignment="0" applyProtection="0"/>
    <xf numFmtId="0" fontId="69" fillId="73" borderId="0" applyNumberFormat="0" applyBorder="0" applyAlignment="0" applyProtection="0"/>
    <xf numFmtId="0" fontId="69" fillId="73" borderId="0" applyNumberFormat="0" applyBorder="0" applyAlignment="0" applyProtection="0"/>
    <xf numFmtId="0" fontId="69" fillId="73" borderId="0" applyNumberFormat="0" applyBorder="0" applyAlignment="0" applyProtection="0"/>
    <xf numFmtId="0" fontId="69" fillId="73" borderId="0" applyNumberFormat="0" applyBorder="0" applyAlignment="0" applyProtection="0"/>
    <xf numFmtId="0" fontId="69" fillId="73" borderId="0" applyNumberFormat="0" applyBorder="0" applyAlignment="0" applyProtection="0"/>
    <xf numFmtId="0" fontId="69" fillId="73" borderId="0" applyNumberFormat="0" applyBorder="0" applyAlignment="0" applyProtection="0"/>
    <xf numFmtId="0" fontId="69" fillId="73" borderId="0" applyNumberFormat="0" applyBorder="0" applyAlignment="0" applyProtection="0"/>
    <xf numFmtId="0" fontId="69" fillId="73" borderId="0" applyNumberFormat="0" applyBorder="0" applyAlignment="0" applyProtection="0"/>
    <xf numFmtId="0" fontId="69" fillId="73" borderId="0" applyNumberFormat="0" applyBorder="0" applyAlignment="0" applyProtection="0"/>
    <xf numFmtId="0" fontId="69" fillId="73" borderId="0" applyNumberFormat="0" applyBorder="0" applyAlignment="0" applyProtection="0"/>
    <xf numFmtId="0" fontId="69" fillId="73" borderId="0" applyNumberFormat="0" applyBorder="0" applyAlignment="0" applyProtection="0"/>
    <xf numFmtId="0" fontId="69" fillId="73" borderId="0" applyNumberFormat="0" applyBorder="0" applyAlignment="0" applyProtection="0"/>
    <xf numFmtId="0" fontId="69" fillId="73" borderId="0" applyNumberFormat="0" applyBorder="0" applyAlignment="0" applyProtection="0"/>
    <xf numFmtId="0" fontId="69" fillId="73" borderId="0" applyNumberFormat="0" applyBorder="0" applyAlignment="0" applyProtection="0"/>
    <xf numFmtId="0" fontId="69" fillId="73" borderId="0" applyNumberFormat="0" applyBorder="0" applyAlignment="0" applyProtection="0"/>
    <xf numFmtId="0" fontId="69" fillId="73" borderId="0" applyNumberFormat="0" applyBorder="0" applyAlignment="0" applyProtection="0"/>
    <xf numFmtId="0" fontId="69" fillId="73" borderId="0" applyNumberFormat="0" applyBorder="0" applyAlignment="0" applyProtection="0"/>
    <xf numFmtId="0" fontId="69" fillId="73" borderId="0" applyNumberFormat="0" applyBorder="0" applyAlignment="0" applyProtection="0"/>
    <xf numFmtId="0" fontId="69" fillId="73" borderId="0" applyNumberFormat="0" applyBorder="0" applyAlignment="0" applyProtection="0"/>
    <xf numFmtId="0" fontId="69" fillId="73" borderId="0" applyNumberFormat="0" applyBorder="0" applyAlignment="0" applyProtection="0"/>
    <xf numFmtId="0" fontId="69" fillId="73" borderId="0" applyNumberFormat="0" applyBorder="0" applyAlignment="0" applyProtection="0"/>
    <xf numFmtId="0" fontId="69" fillId="73" borderId="0" applyNumberFormat="0" applyBorder="0" applyAlignment="0" applyProtection="0"/>
    <xf numFmtId="0" fontId="69" fillId="73" borderId="0" applyNumberFormat="0" applyBorder="0" applyAlignment="0" applyProtection="0"/>
    <xf numFmtId="0" fontId="69" fillId="73" borderId="0" applyNumberFormat="0" applyBorder="0" applyAlignment="0" applyProtection="0"/>
    <xf numFmtId="0" fontId="69" fillId="73" borderId="0" applyNumberFormat="0" applyBorder="0" applyAlignment="0" applyProtection="0"/>
    <xf numFmtId="0" fontId="69" fillId="73" borderId="0" applyNumberFormat="0" applyBorder="0" applyAlignment="0" applyProtection="0"/>
    <xf numFmtId="0" fontId="69" fillId="73" borderId="0" applyNumberFormat="0" applyBorder="0" applyAlignment="0" applyProtection="0"/>
    <xf numFmtId="0" fontId="69" fillId="73" borderId="0" applyNumberFormat="0" applyBorder="0" applyAlignment="0" applyProtection="0"/>
    <xf numFmtId="0" fontId="69" fillId="73" borderId="0" applyNumberFormat="0" applyBorder="0" applyAlignment="0" applyProtection="0"/>
    <xf numFmtId="0" fontId="69" fillId="73" borderId="0" applyNumberFormat="0" applyBorder="0" applyAlignment="0" applyProtection="0"/>
    <xf numFmtId="0" fontId="69" fillId="73" borderId="0" applyNumberFormat="0" applyBorder="0" applyAlignment="0" applyProtection="0"/>
    <xf numFmtId="0" fontId="69" fillId="73" borderId="0" applyNumberFormat="0" applyBorder="0" applyAlignment="0" applyProtection="0"/>
    <xf numFmtId="0" fontId="69" fillId="73" borderId="0" applyNumberFormat="0" applyBorder="0" applyAlignment="0" applyProtection="0"/>
    <xf numFmtId="0" fontId="69" fillId="73" borderId="0" applyNumberFormat="0" applyBorder="0" applyAlignment="0" applyProtection="0"/>
    <xf numFmtId="0" fontId="69" fillId="73" borderId="0" applyNumberFormat="0" applyBorder="0" applyAlignment="0" applyProtection="0"/>
    <xf numFmtId="0" fontId="66" fillId="73" borderId="0" applyNumberFormat="0" applyBorder="0" applyAlignment="0" applyProtection="0"/>
    <xf numFmtId="0" fontId="69" fillId="73" borderId="0" applyNumberFormat="0" applyBorder="0" applyAlignment="0" applyProtection="0"/>
    <xf numFmtId="0" fontId="66" fillId="73" borderId="0" applyNumberFormat="0" applyBorder="0" applyAlignment="0" applyProtection="0"/>
    <xf numFmtId="0" fontId="69" fillId="73" borderId="0" applyNumberFormat="0" applyBorder="0" applyAlignment="0" applyProtection="0"/>
    <xf numFmtId="0" fontId="69" fillId="73" borderId="0" applyNumberFormat="0" applyBorder="0" applyAlignment="0" applyProtection="0"/>
    <xf numFmtId="0" fontId="69" fillId="73" borderId="0" applyNumberFormat="0" applyBorder="0" applyAlignment="0" applyProtection="0"/>
    <xf numFmtId="0" fontId="69" fillId="73" borderId="0" applyNumberFormat="0" applyBorder="0" applyAlignment="0" applyProtection="0"/>
    <xf numFmtId="0" fontId="69" fillId="73" borderId="0" applyNumberFormat="0" applyBorder="0" applyAlignment="0" applyProtection="0"/>
    <xf numFmtId="0" fontId="69" fillId="73" borderId="0" applyNumberFormat="0" applyBorder="0" applyAlignment="0" applyProtection="0"/>
    <xf numFmtId="0" fontId="69" fillId="73" borderId="0" applyNumberFormat="0" applyBorder="0" applyAlignment="0" applyProtection="0"/>
    <xf numFmtId="0" fontId="69" fillId="73" borderId="0" applyNumberFormat="0" applyBorder="0" applyAlignment="0" applyProtection="0"/>
    <xf numFmtId="0" fontId="69" fillId="73" borderId="0" applyNumberFormat="0" applyBorder="0" applyAlignment="0" applyProtection="0"/>
    <xf numFmtId="0" fontId="69" fillId="73" borderId="0" applyNumberFormat="0" applyBorder="0" applyAlignment="0" applyProtection="0"/>
    <xf numFmtId="0" fontId="69" fillId="73" borderId="0" applyNumberFormat="0" applyBorder="0" applyAlignment="0" applyProtection="0"/>
    <xf numFmtId="0" fontId="69" fillId="73" borderId="0" applyNumberFormat="0" applyBorder="0" applyAlignment="0" applyProtection="0"/>
    <xf numFmtId="0" fontId="69" fillId="73" borderId="0" applyNumberFormat="0" applyBorder="0" applyAlignment="0" applyProtection="0"/>
    <xf numFmtId="0" fontId="69" fillId="73" borderId="0" applyNumberFormat="0" applyBorder="0" applyAlignment="0" applyProtection="0"/>
    <xf numFmtId="0" fontId="69" fillId="73" borderId="0" applyNumberFormat="0" applyBorder="0" applyAlignment="0" applyProtection="0"/>
    <xf numFmtId="0" fontId="66" fillId="73" borderId="0" applyNumberFormat="0" applyBorder="0" applyAlignment="0" applyProtection="0"/>
    <xf numFmtId="0" fontId="69" fillId="73" borderId="0" applyNumberFormat="0" applyBorder="0" applyAlignment="0" applyProtection="0"/>
    <xf numFmtId="0" fontId="66" fillId="73" borderId="0" applyNumberFormat="0" applyBorder="0" applyAlignment="0" applyProtection="0"/>
    <xf numFmtId="0" fontId="69" fillId="73" borderId="0" applyNumberFormat="0" applyBorder="0" applyAlignment="0" applyProtection="0"/>
    <xf numFmtId="0" fontId="69" fillId="73" borderId="0" applyNumberFormat="0" applyBorder="0" applyAlignment="0" applyProtection="0"/>
    <xf numFmtId="0" fontId="69" fillId="73" borderId="0" applyNumberFormat="0" applyBorder="0" applyAlignment="0" applyProtection="0"/>
    <xf numFmtId="0" fontId="69" fillId="73" borderId="0" applyNumberFormat="0" applyBorder="0" applyAlignment="0" applyProtection="0"/>
    <xf numFmtId="0" fontId="69" fillId="73" borderId="0" applyNumberFormat="0" applyBorder="0" applyAlignment="0" applyProtection="0"/>
    <xf numFmtId="0" fontId="69" fillId="73" borderId="0" applyNumberFormat="0" applyBorder="0" applyAlignment="0" applyProtection="0"/>
    <xf numFmtId="0" fontId="69" fillId="73" borderId="0" applyNumberFormat="0" applyBorder="0" applyAlignment="0" applyProtection="0"/>
    <xf numFmtId="0" fontId="69" fillId="73" borderId="0" applyNumberFormat="0" applyBorder="0" applyAlignment="0" applyProtection="0"/>
    <xf numFmtId="0" fontId="69" fillId="73" borderId="0" applyNumberFormat="0" applyBorder="0" applyAlignment="0" applyProtection="0"/>
    <xf numFmtId="0" fontId="69" fillId="73" borderId="0" applyNumberFormat="0" applyBorder="0" applyAlignment="0" applyProtection="0"/>
    <xf numFmtId="0" fontId="69" fillId="73" borderId="0" applyNumberFormat="0" applyBorder="0" applyAlignment="0" applyProtection="0"/>
    <xf numFmtId="0" fontId="72" fillId="44" borderId="42" applyNumberFormat="0" applyAlignment="0" applyProtection="0"/>
    <xf numFmtId="0" fontId="72" fillId="44" borderId="42" applyNumberFormat="0" applyAlignment="0" applyProtection="0"/>
    <xf numFmtId="0" fontId="72" fillId="44" borderId="42" applyNumberFormat="0" applyAlignment="0" applyProtection="0"/>
    <xf numFmtId="0" fontId="72" fillId="44" borderId="42" applyNumberFormat="0" applyAlignment="0" applyProtection="0"/>
    <xf numFmtId="0" fontId="72" fillId="44" borderId="42" applyNumberFormat="0" applyAlignment="0" applyProtection="0"/>
    <xf numFmtId="0" fontId="72" fillId="44" borderId="42" applyNumberFormat="0" applyAlignment="0" applyProtection="0"/>
    <xf numFmtId="0" fontId="72" fillId="44" borderId="42" applyNumberFormat="0" applyAlignment="0" applyProtection="0"/>
    <xf numFmtId="0" fontId="72" fillId="44" borderId="42" applyNumberFormat="0" applyAlignment="0" applyProtection="0"/>
    <xf numFmtId="0" fontId="66" fillId="44" borderId="42" applyNumberFormat="0" applyAlignment="0" applyProtection="0"/>
    <xf numFmtId="0" fontId="66" fillId="44" borderId="42" applyNumberFormat="0" applyAlignment="0" applyProtection="0"/>
    <xf numFmtId="0" fontId="66" fillId="44" borderId="42" applyNumberFormat="0" applyAlignment="0" applyProtection="0"/>
    <xf numFmtId="0" fontId="66" fillId="44" borderId="42" applyNumberFormat="0" applyAlignment="0" applyProtection="0"/>
    <xf numFmtId="0" fontId="66" fillId="44" borderId="42" applyNumberFormat="0" applyAlignment="0" applyProtection="0"/>
    <xf numFmtId="0" fontId="66" fillId="44" borderId="42" applyNumberFormat="0" applyAlignment="0" applyProtection="0"/>
    <xf numFmtId="0" fontId="66" fillId="44" borderId="42" applyNumberFormat="0" applyAlignment="0" applyProtection="0"/>
    <xf numFmtId="0" fontId="66" fillId="44" borderId="42" applyNumberFormat="0" applyAlignment="0" applyProtection="0"/>
    <xf numFmtId="0" fontId="72" fillId="44" borderId="42" applyNumberFormat="0" applyAlignment="0" applyProtection="0"/>
    <xf numFmtId="0" fontId="72" fillId="44" borderId="42" applyNumberFormat="0" applyAlignment="0" applyProtection="0"/>
    <xf numFmtId="0" fontId="72" fillId="44" borderId="42" applyNumberFormat="0" applyAlignment="0" applyProtection="0"/>
    <xf numFmtId="0" fontId="72" fillId="44" borderId="42" applyNumberFormat="0" applyAlignment="0" applyProtection="0"/>
    <xf numFmtId="0" fontId="72" fillId="44" borderId="42" applyNumberFormat="0" applyAlignment="0" applyProtection="0"/>
    <xf numFmtId="0" fontId="72" fillId="44" borderId="42" applyNumberFormat="0" applyAlignment="0" applyProtection="0"/>
    <xf numFmtId="0" fontId="66" fillId="44" borderId="42" applyNumberFormat="0" applyAlignment="0" applyProtection="0"/>
    <xf numFmtId="0" fontId="66" fillId="44" borderId="42" applyNumberFormat="0" applyAlignment="0" applyProtection="0"/>
    <xf numFmtId="0" fontId="66" fillId="44" borderId="42" applyNumberFormat="0" applyAlignment="0" applyProtection="0"/>
    <xf numFmtId="0" fontId="66" fillId="44" borderId="42" applyNumberFormat="0" applyAlignment="0" applyProtection="0"/>
    <xf numFmtId="0" fontId="66" fillId="44" borderId="42" applyNumberFormat="0" applyAlignment="0" applyProtection="0"/>
    <xf numFmtId="0" fontId="66" fillId="44" borderId="42" applyNumberFormat="0" applyAlignment="0" applyProtection="0"/>
    <xf numFmtId="0" fontId="66" fillId="44" borderId="42" applyNumberFormat="0" applyAlignment="0" applyProtection="0"/>
    <xf numFmtId="0" fontId="66" fillId="44" borderId="42" applyNumberFormat="0" applyAlignment="0" applyProtection="0"/>
    <xf numFmtId="0" fontId="72" fillId="44" borderId="42" applyNumberFormat="0" applyAlignment="0" applyProtection="0"/>
    <xf numFmtId="0" fontId="72" fillId="44" borderId="42" applyNumberFormat="0" applyAlignment="0" applyProtection="0"/>
    <xf numFmtId="0" fontId="72" fillId="44" borderId="42" applyNumberFormat="0" applyAlignment="0" applyProtection="0"/>
    <xf numFmtId="0" fontId="72" fillId="44" borderId="42" applyNumberFormat="0" applyAlignment="0" applyProtection="0"/>
    <xf numFmtId="0" fontId="72" fillId="44" borderId="42" applyNumberFormat="0" applyAlignment="0" applyProtection="0"/>
    <xf numFmtId="0" fontId="72" fillId="44" borderId="42" applyNumberFormat="0" applyAlignment="0" applyProtection="0"/>
    <xf numFmtId="0" fontId="66" fillId="44" borderId="42" applyNumberFormat="0" applyAlignment="0" applyProtection="0"/>
    <xf numFmtId="0" fontId="66" fillId="44" borderId="42" applyNumberFormat="0" applyAlignment="0" applyProtection="0"/>
    <xf numFmtId="0" fontId="66" fillId="44" borderId="42" applyNumberFormat="0" applyAlignment="0" applyProtection="0"/>
    <xf numFmtId="0" fontId="72" fillId="44" borderId="42" applyNumberFormat="0" applyAlignment="0" applyProtection="0"/>
    <xf numFmtId="0" fontId="66" fillId="44" borderId="42" applyNumberFormat="0" applyAlignment="0" applyProtection="0"/>
    <xf numFmtId="0" fontId="72" fillId="44" borderId="42" applyNumberFormat="0" applyAlignment="0" applyProtection="0"/>
    <xf numFmtId="0" fontId="72" fillId="44" borderId="42" applyNumberFormat="0" applyAlignment="0" applyProtection="0"/>
    <xf numFmtId="0" fontId="72" fillId="44" borderId="42" applyNumberFormat="0" applyAlignment="0" applyProtection="0"/>
    <xf numFmtId="0" fontId="72" fillId="44" borderId="42" applyNumberFormat="0" applyAlignment="0" applyProtection="0"/>
    <xf numFmtId="0" fontId="72" fillId="44" borderId="42" applyNumberFormat="0" applyAlignment="0" applyProtection="0"/>
    <xf numFmtId="0" fontId="72" fillId="44" borderId="42" applyNumberFormat="0" applyAlignment="0" applyProtection="0"/>
    <xf numFmtId="0" fontId="72" fillId="44" borderId="42" applyNumberFormat="0" applyAlignment="0" applyProtection="0"/>
    <xf numFmtId="0" fontId="72" fillId="44" borderId="42" applyNumberFormat="0" applyAlignment="0" applyProtection="0"/>
    <xf numFmtId="0" fontId="72" fillId="44" borderId="42" applyNumberFormat="0" applyAlignment="0" applyProtection="0"/>
    <xf numFmtId="0" fontId="72" fillId="44" borderId="42" applyNumberFormat="0" applyAlignment="0" applyProtection="0"/>
    <xf numFmtId="0" fontId="72" fillId="44" borderId="42" applyNumberFormat="0" applyAlignment="0" applyProtection="0"/>
    <xf numFmtId="0" fontId="72" fillId="44" borderId="42" applyNumberFormat="0" applyAlignment="0" applyProtection="0"/>
    <xf numFmtId="0" fontId="72" fillId="44" borderId="42" applyNumberFormat="0" applyAlignment="0" applyProtection="0"/>
    <xf numFmtId="0" fontId="72" fillId="44" borderId="42" applyNumberFormat="0" applyAlignment="0" applyProtection="0"/>
    <xf numFmtId="0" fontId="66" fillId="44" borderId="42" applyNumberFormat="0" applyAlignment="0" applyProtection="0"/>
    <xf numFmtId="0" fontId="66" fillId="44" borderId="42" applyNumberFormat="0" applyAlignment="0" applyProtection="0"/>
    <xf numFmtId="0" fontId="66" fillId="44" borderId="42" applyNumberFormat="0" applyAlignment="0" applyProtection="0"/>
    <xf numFmtId="0" fontId="72" fillId="44" borderId="42" applyNumberFormat="0" applyAlignment="0" applyProtection="0"/>
    <xf numFmtId="0" fontId="66" fillId="44" borderId="42" applyNumberFormat="0" applyAlignment="0" applyProtection="0"/>
    <xf numFmtId="0" fontId="72" fillId="44" borderId="42" applyNumberFormat="0" applyAlignment="0" applyProtection="0"/>
    <xf numFmtId="0" fontId="72" fillId="44" borderId="42" applyNumberFormat="0" applyAlignment="0" applyProtection="0"/>
    <xf numFmtId="0" fontId="72" fillId="44" borderId="42" applyNumberFormat="0" applyAlignment="0" applyProtection="0"/>
    <xf numFmtId="0" fontId="72" fillId="44" borderId="42" applyNumberFormat="0" applyAlignment="0" applyProtection="0"/>
    <xf numFmtId="0" fontId="72" fillId="44" borderId="42" applyNumberFormat="0" applyAlignment="0" applyProtection="0"/>
    <xf numFmtId="0" fontId="72" fillId="44" borderId="42" applyNumberFormat="0" applyAlignment="0" applyProtection="0"/>
    <xf numFmtId="0" fontId="72" fillId="44" borderId="42" applyNumberFormat="0" applyAlignment="0" applyProtection="0"/>
    <xf numFmtId="0" fontId="72" fillId="44" borderId="42" applyNumberFormat="0" applyAlignment="0" applyProtection="0"/>
    <xf numFmtId="0" fontId="72" fillId="44" borderId="42" applyNumberFormat="0" applyAlignment="0" applyProtection="0"/>
    <xf numFmtId="0" fontId="72" fillId="44" borderId="42" applyNumberFormat="0" applyAlignment="0" applyProtection="0"/>
    <xf numFmtId="0" fontId="72" fillId="44" borderId="42" applyNumberFormat="0" applyAlignment="0" applyProtection="0"/>
    <xf numFmtId="0" fontId="73" fillId="75" borderId="50" applyNumberFormat="0" applyAlignment="0" applyProtection="0"/>
    <xf numFmtId="0" fontId="73" fillId="75" borderId="50" applyNumberFormat="0" applyAlignment="0" applyProtection="0"/>
    <xf numFmtId="0" fontId="73" fillId="75" borderId="50" applyNumberFormat="0" applyAlignment="0" applyProtection="0"/>
    <xf numFmtId="0" fontId="73" fillId="75" borderId="50" applyNumberFormat="0" applyAlignment="0" applyProtection="0"/>
    <xf numFmtId="0" fontId="73" fillId="75" borderId="50" applyNumberFormat="0" applyAlignment="0" applyProtection="0"/>
    <xf numFmtId="0" fontId="73" fillId="75" borderId="50" applyNumberFormat="0" applyAlignment="0" applyProtection="0"/>
    <xf numFmtId="0" fontId="73" fillId="75" borderId="50" applyNumberFormat="0" applyAlignment="0" applyProtection="0"/>
    <xf numFmtId="0" fontId="73" fillId="75" borderId="50" applyNumberFormat="0" applyAlignment="0" applyProtection="0"/>
    <xf numFmtId="0" fontId="66" fillId="75" borderId="50" applyNumberFormat="0" applyAlignment="0" applyProtection="0"/>
    <xf numFmtId="0" fontId="66" fillId="75" borderId="50" applyNumberFormat="0" applyAlignment="0" applyProtection="0"/>
    <xf numFmtId="0" fontId="66" fillId="75" borderId="50" applyNumberFormat="0" applyAlignment="0" applyProtection="0"/>
    <xf numFmtId="0" fontId="66" fillId="75" borderId="50" applyNumberFormat="0" applyAlignment="0" applyProtection="0"/>
    <xf numFmtId="0" fontId="66" fillId="75" borderId="50" applyNumberFormat="0" applyAlignment="0" applyProtection="0"/>
    <xf numFmtId="0" fontId="66" fillId="75" borderId="50" applyNumberFormat="0" applyAlignment="0" applyProtection="0"/>
    <xf numFmtId="0" fontId="66" fillId="75" borderId="50" applyNumberFormat="0" applyAlignment="0" applyProtection="0"/>
    <xf numFmtId="0" fontId="66" fillId="75" borderId="50" applyNumberFormat="0" applyAlignment="0" applyProtection="0"/>
    <xf numFmtId="0" fontId="73" fillId="75" borderId="50" applyNumberFormat="0" applyAlignment="0" applyProtection="0"/>
    <xf numFmtId="0" fontId="73" fillId="75" borderId="50" applyNumberFormat="0" applyAlignment="0" applyProtection="0"/>
    <xf numFmtId="0" fontId="73" fillId="75" borderId="50" applyNumberFormat="0" applyAlignment="0" applyProtection="0"/>
    <xf numFmtId="0" fontId="73" fillId="75" borderId="50" applyNumberFormat="0" applyAlignment="0" applyProtection="0"/>
    <xf numFmtId="0" fontId="73" fillId="92" borderId="50" applyNumberFormat="0" applyAlignment="0" applyProtection="0"/>
    <xf numFmtId="0" fontId="73" fillId="92" borderId="50" applyNumberFormat="0" applyAlignment="0" applyProtection="0"/>
    <xf numFmtId="0" fontId="66" fillId="92" borderId="50" applyNumberFormat="0" applyAlignment="0" applyProtection="0"/>
    <xf numFmtId="0" fontId="66" fillId="92" borderId="50" applyNumberFormat="0" applyAlignment="0" applyProtection="0"/>
    <xf numFmtId="0" fontId="66" fillId="92" borderId="50" applyNumberFormat="0" applyAlignment="0" applyProtection="0"/>
    <xf numFmtId="0" fontId="66" fillId="92" borderId="50" applyNumberFormat="0" applyAlignment="0" applyProtection="0"/>
    <xf numFmtId="0" fontId="66" fillId="92" borderId="50" applyNumberFormat="0" applyAlignment="0" applyProtection="0"/>
    <xf numFmtId="0" fontId="66" fillId="92" borderId="50" applyNumberFormat="0" applyAlignment="0" applyProtection="0"/>
    <xf numFmtId="0" fontId="66" fillId="92" borderId="50" applyNumberFormat="0" applyAlignment="0" applyProtection="0"/>
    <xf numFmtId="0" fontId="66" fillId="92" borderId="50" applyNumberFormat="0" applyAlignment="0" applyProtection="0"/>
    <xf numFmtId="0" fontId="73" fillId="92" borderId="50" applyNumberFormat="0" applyAlignment="0" applyProtection="0"/>
    <xf numFmtId="0" fontId="73" fillId="92" borderId="50" applyNumberFormat="0" applyAlignment="0" applyProtection="0"/>
    <xf numFmtId="0" fontId="73" fillId="92" borderId="50" applyNumberFormat="0" applyAlignment="0" applyProtection="0"/>
    <xf numFmtId="0" fontId="73" fillId="92" borderId="50" applyNumberFormat="0" applyAlignment="0" applyProtection="0"/>
    <xf numFmtId="0" fontId="73" fillId="92" borderId="50" applyNumberFormat="0" applyAlignment="0" applyProtection="0"/>
    <xf numFmtId="0" fontId="73" fillId="92" borderId="50" applyNumberFormat="0" applyAlignment="0" applyProtection="0"/>
    <xf numFmtId="0" fontId="66" fillId="92" borderId="50" applyNumberFormat="0" applyAlignment="0" applyProtection="0"/>
    <xf numFmtId="0" fontId="66" fillId="92" borderId="50" applyNumberFormat="0" applyAlignment="0" applyProtection="0"/>
    <xf numFmtId="0" fontId="73" fillId="75" borderId="50" applyNumberFormat="0" applyAlignment="0" applyProtection="0"/>
    <xf numFmtId="0" fontId="66" fillId="92" borderId="50" applyNumberFormat="0" applyAlignment="0" applyProtection="0"/>
    <xf numFmtId="0" fontId="73" fillId="92" borderId="50" applyNumberFormat="0" applyAlignment="0" applyProtection="0"/>
    <xf numFmtId="0" fontId="66" fillId="92" borderId="50" applyNumberFormat="0" applyAlignment="0" applyProtection="0"/>
    <xf numFmtId="0" fontId="73" fillId="92" borderId="50" applyNumberFormat="0" applyAlignment="0" applyProtection="0"/>
    <xf numFmtId="0" fontId="73" fillId="92" borderId="50" applyNumberFormat="0" applyAlignment="0" applyProtection="0"/>
    <xf numFmtId="0" fontId="73" fillId="92" borderId="50" applyNumberFormat="0" applyAlignment="0" applyProtection="0"/>
    <xf numFmtId="0" fontId="73" fillId="92" borderId="50" applyNumberFormat="0" applyAlignment="0" applyProtection="0"/>
    <xf numFmtId="0" fontId="73" fillId="92" borderId="50" applyNumberFormat="0" applyAlignment="0" applyProtection="0"/>
    <xf numFmtId="0" fontId="73" fillId="92" borderId="50" applyNumberFormat="0" applyAlignment="0" applyProtection="0"/>
    <xf numFmtId="0" fontId="73" fillId="92" borderId="50" applyNumberFormat="0" applyAlignment="0" applyProtection="0"/>
    <xf numFmtId="0" fontId="73" fillId="92" borderId="50" applyNumberFormat="0" applyAlignment="0" applyProtection="0"/>
    <xf numFmtId="0" fontId="73" fillId="92" borderId="50" applyNumberFormat="0" applyAlignment="0" applyProtection="0"/>
    <xf numFmtId="0" fontId="73" fillId="92" borderId="50" applyNumberFormat="0" applyAlignment="0" applyProtection="0"/>
    <xf numFmtId="0" fontId="73" fillId="92" borderId="50" applyNumberFormat="0" applyAlignment="0" applyProtection="0"/>
    <xf numFmtId="0" fontId="73" fillId="92" borderId="50" applyNumberFormat="0" applyAlignment="0" applyProtection="0"/>
    <xf numFmtId="0" fontId="73" fillId="75" borderId="50" applyNumberFormat="0" applyAlignment="0" applyProtection="0"/>
    <xf numFmtId="0" fontId="73" fillId="75" borderId="50" applyNumberFormat="0" applyAlignment="0" applyProtection="0"/>
    <xf numFmtId="0" fontId="66" fillId="75" borderId="50" applyNumberFormat="0" applyAlignment="0" applyProtection="0"/>
    <xf numFmtId="0" fontId="66" fillId="75" borderId="50" applyNumberFormat="0" applyAlignment="0" applyProtection="0"/>
    <xf numFmtId="0" fontId="66" fillId="75" borderId="50" applyNumberFormat="0" applyAlignment="0" applyProtection="0"/>
    <xf numFmtId="0" fontId="73" fillId="75" borderId="50" applyNumberFormat="0" applyAlignment="0" applyProtection="0"/>
    <xf numFmtId="0" fontId="66" fillId="75" borderId="50" applyNumberFormat="0" applyAlignment="0" applyProtection="0"/>
    <xf numFmtId="0" fontId="73" fillId="75" borderId="50" applyNumberFormat="0" applyAlignment="0" applyProtection="0"/>
    <xf numFmtId="0" fontId="73" fillId="75" borderId="50" applyNumberFormat="0" applyAlignment="0" applyProtection="0"/>
    <xf numFmtId="0" fontId="73" fillId="75" borderId="50" applyNumberFormat="0" applyAlignment="0" applyProtection="0"/>
    <xf numFmtId="0" fontId="73" fillId="75" borderId="50" applyNumberFormat="0" applyAlignment="0" applyProtection="0"/>
    <xf numFmtId="0" fontId="73" fillId="75" borderId="50" applyNumberFormat="0" applyAlignment="0" applyProtection="0"/>
    <xf numFmtId="0" fontId="73" fillId="75" borderId="50" applyNumberFormat="0" applyAlignment="0" applyProtection="0"/>
    <xf numFmtId="0" fontId="73" fillId="75" borderId="50" applyNumberFormat="0" applyAlignment="0" applyProtection="0"/>
    <xf numFmtId="0" fontId="73" fillId="75" borderId="50" applyNumberFormat="0" applyAlignment="0" applyProtection="0"/>
    <xf numFmtId="0" fontId="73" fillId="75" borderId="50" applyNumberFormat="0" applyAlignment="0" applyProtection="0"/>
    <xf numFmtId="0" fontId="73" fillId="75" borderId="50" applyNumberFormat="0" applyAlignment="0" applyProtection="0"/>
    <xf numFmtId="0" fontId="73" fillId="75" borderId="50" applyNumberFormat="0" applyAlignment="0" applyProtection="0"/>
    <xf numFmtId="0" fontId="74" fillId="75" borderId="42" applyNumberFormat="0" applyAlignment="0" applyProtection="0"/>
    <xf numFmtId="0" fontId="74" fillId="75" borderId="42" applyNumberFormat="0" applyAlignment="0" applyProtection="0"/>
    <xf numFmtId="0" fontId="74" fillId="75" borderId="42" applyNumberFormat="0" applyAlignment="0" applyProtection="0"/>
    <xf numFmtId="0" fontId="74" fillId="75" borderId="42" applyNumberFormat="0" applyAlignment="0" applyProtection="0"/>
    <xf numFmtId="0" fontId="74" fillId="75" borderId="42" applyNumberFormat="0" applyAlignment="0" applyProtection="0"/>
    <xf numFmtId="0" fontId="74" fillId="75" borderId="42" applyNumberFormat="0" applyAlignment="0" applyProtection="0"/>
    <xf numFmtId="0" fontId="74" fillId="75" borderId="42" applyNumberFormat="0" applyAlignment="0" applyProtection="0"/>
    <xf numFmtId="0" fontId="74" fillId="75" borderId="42" applyNumberFormat="0" applyAlignment="0" applyProtection="0"/>
    <xf numFmtId="0" fontId="66" fillId="75" borderId="42" applyNumberFormat="0" applyAlignment="0" applyProtection="0"/>
    <xf numFmtId="0" fontId="66" fillId="75" borderId="42" applyNumberFormat="0" applyAlignment="0" applyProtection="0"/>
    <xf numFmtId="0" fontId="66" fillId="75" borderId="42" applyNumberFormat="0" applyAlignment="0" applyProtection="0"/>
    <xf numFmtId="0" fontId="66" fillId="75" borderId="42" applyNumberFormat="0" applyAlignment="0" applyProtection="0"/>
    <xf numFmtId="0" fontId="66" fillId="75" borderId="42" applyNumberFormat="0" applyAlignment="0" applyProtection="0"/>
    <xf numFmtId="0" fontId="66" fillId="75" borderId="42" applyNumberFormat="0" applyAlignment="0" applyProtection="0"/>
    <xf numFmtId="0" fontId="66" fillId="75" borderId="42" applyNumberFormat="0" applyAlignment="0" applyProtection="0"/>
    <xf numFmtId="0" fontId="66" fillId="75" borderId="42" applyNumberFormat="0" applyAlignment="0" applyProtection="0"/>
    <xf numFmtId="0" fontId="74" fillId="75" borderId="42" applyNumberFormat="0" applyAlignment="0" applyProtection="0"/>
    <xf numFmtId="0" fontId="74" fillId="75" borderId="42" applyNumberFormat="0" applyAlignment="0" applyProtection="0"/>
    <xf numFmtId="0" fontId="74" fillId="75" borderId="42" applyNumberFormat="0" applyAlignment="0" applyProtection="0"/>
    <xf numFmtId="0" fontId="74" fillId="75" borderId="42" applyNumberFormat="0" applyAlignment="0" applyProtection="0"/>
    <xf numFmtId="0" fontId="74" fillId="92" borderId="42" applyNumberFormat="0" applyAlignment="0" applyProtection="0"/>
    <xf numFmtId="0" fontId="74" fillId="92" borderId="42" applyNumberFormat="0" applyAlignment="0" applyProtection="0"/>
    <xf numFmtId="0" fontId="66" fillId="92" borderId="42" applyNumberFormat="0" applyAlignment="0" applyProtection="0"/>
    <xf numFmtId="0" fontId="66" fillId="92" borderId="42" applyNumberFormat="0" applyAlignment="0" applyProtection="0"/>
    <xf numFmtId="0" fontId="66" fillId="92" borderId="42" applyNumberFormat="0" applyAlignment="0" applyProtection="0"/>
    <xf numFmtId="0" fontId="66" fillId="92" borderId="42" applyNumberFormat="0" applyAlignment="0" applyProtection="0"/>
    <xf numFmtId="0" fontId="66" fillId="92" borderId="42" applyNumberFormat="0" applyAlignment="0" applyProtection="0"/>
    <xf numFmtId="0" fontId="66" fillId="92" borderId="42" applyNumberFormat="0" applyAlignment="0" applyProtection="0"/>
    <xf numFmtId="0" fontId="66" fillId="92" borderId="42" applyNumberFormat="0" applyAlignment="0" applyProtection="0"/>
    <xf numFmtId="0" fontId="66" fillId="92" borderId="42" applyNumberFormat="0" applyAlignment="0" applyProtection="0"/>
    <xf numFmtId="0" fontId="74" fillId="92" borderId="42" applyNumberFormat="0" applyAlignment="0" applyProtection="0"/>
    <xf numFmtId="0" fontId="74" fillId="92" borderId="42" applyNumberFormat="0" applyAlignment="0" applyProtection="0"/>
    <xf numFmtId="0" fontId="74" fillId="92" borderId="42" applyNumberFormat="0" applyAlignment="0" applyProtection="0"/>
    <xf numFmtId="0" fontId="74" fillId="92" borderId="42" applyNumberFormat="0" applyAlignment="0" applyProtection="0"/>
    <xf numFmtId="0" fontId="74" fillId="92" borderId="42" applyNumberFormat="0" applyAlignment="0" applyProtection="0"/>
    <xf numFmtId="0" fontId="74" fillId="92" borderId="42" applyNumberFormat="0" applyAlignment="0" applyProtection="0"/>
    <xf numFmtId="0" fontId="66" fillId="92" borderId="42" applyNumberFormat="0" applyAlignment="0" applyProtection="0"/>
    <xf numFmtId="0" fontId="66" fillId="92" borderId="42" applyNumberFormat="0" applyAlignment="0" applyProtection="0"/>
    <xf numFmtId="0" fontId="74" fillId="75" borderId="42" applyNumberFormat="0" applyAlignment="0" applyProtection="0"/>
    <xf numFmtId="0" fontId="66" fillId="92" borderId="42" applyNumberFormat="0" applyAlignment="0" applyProtection="0"/>
    <xf numFmtId="0" fontId="74" fillId="92" borderId="42" applyNumberFormat="0" applyAlignment="0" applyProtection="0"/>
    <xf numFmtId="0" fontId="66" fillId="92" borderId="42" applyNumberFormat="0" applyAlignment="0" applyProtection="0"/>
    <xf numFmtId="0" fontId="74" fillId="92" borderId="42" applyNumberFormat="0" applyAlignment="0" applyProtection="0"/>
    <xf numFmtId="0" fontId="74" fillId="92" borderId="42" applyNumberFormat="0" applyAlignment="0" applyProtection="0"/>
    <xf numFmtId="0" fontId="74" fillId="92" borderId="42" applyNumberFormat="0" applyAlignment="0" applyProtection="0"/>
    <xf numFmtId="0" fontId="74" fillId="92" borderId="42" applyNumberFormat="0" applyAlignment="0" applyProtection="0"/>
    <xf numFmtId="0" fontId="74" fillId="92" borderId="42" applyNumberFormat="0" applyAlignment="0" applyProtection="0"/>
    <xf numFmtId="0" fontId="74" fillId="92" borderId="42" applyNumberFormat="0" applyAlignment="0" applyProtection="0"/>
    <xf numFmtId="0" fontId="74" fillId="92" borderId="42" applyNumberFormat="0" applyAlignment="0" applyProtection="0"/>
    <xf numFmtId="0" fontId="74" fillId="92" borderId="42" applyNumberFormat="0" applyAlignment="0" applyProtection="0"/>
    <xf numFmtId="0" fontId="74" fillId="92" borderId="42" applyNumberFormat="0" applyAlignment="0" applyProtection="0"/>
    <xf numFmtId="0" fontId="74" fillId="92" borderId="42" applyNumberFormat="0" applyAlignment="0" applyProtection="0"/>
    <xf numFmtId="0" fontId="74" fillId="92" borderId="42" applyNumberFormat="0" applyAlignment="0" applyProtection="0"/>
    <xf numFmtId="0" fontId="74" fillId="92" borderId="42" applyNumberFormat="0" applyAlignment="0" applyProtection="0"/>
    <xf numFmtId="0" fontId="74" fillId="75" borderId="42" applyNumberFormat="0" applyAlignment="0" applyProtection="0"/>
    <xf numFmtId="0" fontId="74" fillId="75" borderId="42" applyNumberFormat="0" applyAlignment="0" applyProtection="0"/>
    <xf numFmtId="0" fontId="66" fillId="75" borderId="42" applyNumberFormat="0" applyAlignment="0" applyProtection="0"/>
    <xf numFmtId="0" fontId="66" fillId="75" borderId="42" applyNumberFormat="0" applyAlignment="0" applyProtection="0"/>
    <xf numFmtId="0" fontId="66" fillId="75" borderId="42" applyNumberFormat="0" applyAlignment="0" applyProtection="0"/>
    <xf numFmtId="0" fontId="74" fillId="75" borderId="42" applyNumberFormat="0" applyAlignment="0" applyProtection="0"/>
    <xf numFmtId="0" fontId="66" fillId="75" borderId="42" applyNumberFormat="0" applyAlignment="0" applyProtection="0"/>
    <xf numFmtId="0" fontId="74" fillId="75" borderId="42" applyNumberFormat="0" applyAlignment="0" applyProtection="0"/>
    <xf numFmtId="0" fontId="74" fillId="75" borderId="42" applyNumberFormat="0" applyAlignment="0" applyProtection="0"/>
    <xf numFmtId="0" fontId="74" fillId="75" borderId="42" applyNumberFormat="0" applyAlignment="0" applyProtection="0"/>
    <xf numFmtId="0" fontId="74" fillId="75" borderId="42" applyNumberFormat="0" applyAlignment="0" applyProtection="0"/>
    <xf numFmtId="0" fontId="74" fillId="75" borderId="42" applyNumberFormat="0" applyAlignment="0" applyProtection="0"/>
    <xf numFmtId="0" fontId="74" fillId="75" borderId="42" applyNumberFormat="0" applyAlignment="0" applyProtection="0"/>
    <xf numFmtId="0" fontId="74" fillId="75" borderId="42" applyNumberFormat="0" applyAlignment="0" applyProtection="0"/>
    <xf numFmtId="0" fontId="74" fillId="75" borderId="42" applyNumberFormat="0" applyAlignment="0" applyProtection="0"/>
    <xf numFmtId="0" fontId="74" fillId="75" borderId="42" applyNumberFormat="0" applyAlignment="0" applyProtection="0"/>
    <xf numFmtId="0" fontId="74" fillId="75" borderId="42" applyNumberFormat="0" applyAlignment="0" applyProtection="0"/>
    <xf numFmtId="0" fontId="74" fillId="75" borderId="42" applyNumberFormat="0" applyAlignment="0" applyProtection="0"/>
    <xf numFmtId="0" fontId="89" fillId="0" borderId="46" applyNumberFormat="0" applyFill="0" applyAlignment="0" applyProtection="0"/>
    <xf numFmtId="0" fontId="89" fillId="0" borderId="46" applyNumberFormat="0" applyFill="0" applyAlignment="0" applyProtection="0"/>
    <xf numFmtId="0" fontId="89" fillId="0" borderId="46" applyNumberFormat="0" applyFill="0" applyAlignment="0" applyProtection="0"/>
    <xf numFmtId="0" fontId="89" fillId="0" borderId="46" applyNumberFormat="0" applyFill="0" applyAlignment="0" applyProtection="0"/>
    <xf numFmtId="0" fontId="89" fillId="0" borderId="46" applyNumberFormat="0" applyFill="0" applyAlignment="0" applyProtection="0"/>
    <xf numFmtId="0" fontId="89" fillId="0" borderId="46" applyNumberFormat="0" applyFill="0" applyAlignment="0" applyProtection="0"/>
    <xf numFmtId="0" fontId="89" fillId="0" borderId="46" applyNumberFormat="0" applyFill="0" applyAlignment="0" applyProtection="0"/>
    <xf numFmtId="0" fontId="89" fillId="0" borderId="46" applyNumberFormat="0" applyFill="0" applyAlignment="0" applyProtection="0"/>
    <xf numFmtId="0" fontId="66" fillId="0" borderId="46" applyNumberFormat="0" applyFill="0" applyAlignment="0" applyProtection="0"/>
    <xf numFmtId="0" fontId="66" fillId="0" borderId="46" applyNumberFormat="0" applyFill="0" applyAlignment="0" applyProtection="0"/>
    <xf numFmtId="0" fontId="66" fillId="0" borderId="46" applyNumberFormat="0" applyFill="0" applyAlignment="0" applyProtection="0"/>
    <xf numFmtId="0" fontId="66" fillId="0" borderId="46" applyNumberFormat="0" applyFill="0" applyAlignment="0" applyProtection="0"/>
    <xf numFmtId="0" fontId="66" fillId="0" borderId="46" applyNumberFormat="0" applyFill="0" applyAlignment="0" applyProtection="0"/>
    <xf numFmtId="0" fontId="66" fillId="0" borderId="46" applyNumberFormat="0" applyFill="0" applyAlignment="0" applyProtection="0"/>
    <xf numFmtId="0" fontId="66" fillId="0" borderId="46" applyNumberFormat="0" applyFill="0" applyAlignment="0" applyProtection="0"/>
    <xf numFmtId="0" fontId="66" fillId="0" borderId="46" applyNumberFormat="0" applyFill="0" applyAlignment="0" applyProtection="0"/>
    <xf numFmtId="0" fontId="89" fillId="0" borderId="46" applyNumberFormat="0" applyFill="0" applyAlignment="0" applyProtection="0"/>
    <xf numFmtId="0" fontId="89" fillId="0" borderId="46" applyNumberFormat="0" applyFill="0" applyAlignment="0" applyProtection="0"/>
    <xf numFmtId="0" fontId="89" fillId="0" borderId="46" applyNumberFormat="0" applyFill="0" applyAlignment="0" applyProtection="0"/>
    <xf numFmtId="0" fontId="89" fillId="0" borderId="46" applyNumberFormat="0" applyFill="0" applyAlignment="0" applyProtection="0"/>
    <xf numFmtId="0" fontId="75" fillId="0" borderId="52" applyNumberFormat="0" applyFill="0" applyAlignment="0" applyProtection="0"/>
    <xf numFmtId="0" fontId="75" fillId="0" borderId="52" applyNumberFormat="0" applyFill="0" applyAlignment="0" applyProtection="0"/>
    <xf numFmtId="0" fontId="66" fillId="0" borderId="52" applyNumberFormat="0" applyFill="0" applyAlignment="0" applyProtection="0"/>
    <xf numFmtId="0" fontId="66" fillId="0" borderId="52" applyNumberFormat="0" applyFill="0" applyAlignment="0" applyProtection="0"/>
    <xf numFmtId="0" fontId="66" fillId="0" borderId="52" applyNumberFormat="0" applyFill="0" applyAlignment="0" applyProtection="0"/>
    <xf numFmtId="0" fontId="66" fillId="0" borderId="52" applyNumberFormat="0" applyFill="0" applyAlignment="0" applyProtection="0"/>
    <xf numFmtId="0" fontId="66" fillId="0" borderId="52" applyNumberFormat="0" applyFill="0" applyAlignment="0" applyProtection="0"/>
    <xf numFmtId="0" fontId="66" fillId="0" borderId="52" applyNumberFormat="0" applyFill="0" applyAlignment="0" applyProtection="0"/>
    <xf numFmtId="0" fontId="66" fillId="0" borderId="52" applyNumberFormat="0" applyFill="0" applyAlignment="0" applyProtection="0"/>
    <xf numFmtId="0" fontId="66" fillId="0" borderId="52" applyNumberFormat="0" applyFill="0" applyAlignment="0" applyProtection="0"/>
    <xf numFmtId="0" fontId="75" fillId="0" borderId="52" applyNumberFormat="0" applyFill="0" applyAlignment="0" applyProtection="0"/>
    <xf numFmtId="0" fontId="75" fillId="0" borderId="52" applyNumberFormat="0" applyFill="0" applyAlignment="0" applyProtection="0"/>
    <xf numFmtId="0" fontId="75" fillId="0" borderId="52" applyNumberFormat="0" applyFill="0" applyAlignment="0" applyProtection="0"/>
    <xf numFmtId="0" fontId="75" fillId="0" borderId="52" applyNumberFormat="0" applyFill="0" applyAlignment="0" applyProtection="0"/>
    <xf numFmtId="0" fontId="75" fillId="0" borderId="52" applyNumberFormat="0" applyFill="0" applyAlignment="0" applyProtection="0"/>
    <xf numFmtId="0" fontId="75" fillId="0" borderId="52" applyNumberFormat="0" applyFill="0" applyAlignment="0" applyProtection="0"/>
    <xf numFmtId="0" fontId="66" fillId="0" borderId="52" applyNumberFormat="0" applyFill="0" applyAlignment="0" applyProtection="0"/>
    <xf numFmtId="0" fontId="66" fillId="0" borderId="52" applyNumberFormat="0" applyFill="0" applyAlignment="0" applyProtection="0"/>
    <xf numFmtId="0" fontId="66" fillId="0" borderId="52" applyNumberFormat="0" applyFill="0" applyAlignment="0" applyProtection="0"/>
    <xf numFmtId="0" fontId="66" fillId="0" borderId="52" applyNumberFormat="0" applyFill="0" applyAlignment="0" applyProtection="0"/>
    <xf numFmtId="0" fontId="75" fillId="0" borderId="52" applyNumberFormat="0" applyFill="0" applyAlignment="0" applyProtection="0"/>
    <xf numFmtId="0" fontId="75" fillId="0" borderId="52" applyNumberFormat="0" applyFill="0" applyAlignment="0" applyProtection="0"/>
    <xf numFmtId="0" fontId="75" fillId="0" borderId="52" applyNumberFormat="0" applyFill="0" applyAlignment="0" applyProtection="0"/>
    <xf numFmtId="0" fontId="75" fillId="0" borderId="52" applyNumberFormat="0" applyFill="0" applyAlignment="0" applyProtection="0"/>
    <xf numFmtId="0" fontId="75" fillId="0" borderId="52" applyNumberFormat="0" applyFill="0" applyAlignment="0" applyProtection="0"/>
    <xf numFmtId="0" fontId="75" fillId="0" borderId="52" applyNumberFormat="0" applyFill="0" applyAlignment="0" applyProtection="0"/>
    <xf numFmtId="0" fontId="75" fillId="0" borderId="52" applyNumberFormat="0" applyFill="0" applyAlignment="0" applyProtection="0"/>
    <xf numFmtId="0" fontId="75" fillId="0" borderId="52" applyNumberFormat="0" applyFill="0" applyAlignment="0" applyProtection="0"/>
    <xf numFmtId="0" fontId="75" fillId="0" borderId="52" applyNumberFormat="0" applyFill="0" applyAlignment="0" applyProtection="0"/>
    <xf numFmtId="0" fontId="75" fillId="0" borderId="52" applyNumberFormat="0" applyFill="0" applyAlignment="0" applyProtection="0"/>
    <xf numFmtId="0" fontId="75" fillId="0" borderId="52" applyNumberFormat="0" applyFill="0" applyAlignment="0" applyProtection="0"/>
    <xf numFmtId="0" fontId="75" fillId="0" borderId="52" applyNumberFormat="0" applyFill="0" applyAlignment="0" applyProtection="0"/>
    <xf numFmtId="0" fontId="75" fillId="0" borderId="52" applyNumberFormat="0" applyFill="0" applyAlignment="0" applyProtection="0"/>
    <xf numFmtId="0" fontId="89" fillId="0" borderId="46" applyNumberFormat="0" applyFill="0" applyAlignment="0" applyProtection="0"/>
    <xf numFmtId="0" fontId="89" fillId="0" borderId="46" applyNumberFormat="0" applyFill="0" applyAlignment="0" applyProtection="0"/>
    <xf numFmtId="0" fontId="66" fillId="0" borderId="46" applyNumberFormat="0" applyFill="0" applyAlignment="0" applyProtection="0"/>
    <xf numFmtId="0" fontId="66" fillId="0" borderId="46" applyNumberFormat="0" applyFill="0" applyAlignment="0" applyProtection="0"/>
    <xf numFmtId="0" fontId="66" fillId="0" borderId="46" applyNumberFormat="0" applyFill="0" applyAlignment="0" applyProtection="0"/>
    <xf numFmtId="0" fontId="66" fillId="0" borderId="46" applyNumberFormat="0" applyFill="0" applyAlignment="0" applyProtection="0"/>
    <xf numFmtId="0" fontId="89" fillId="0" borderId="46" applyNumberFormat="0" applyFill="0" applyAlignment="0" applyProtection="0"/>
    <xf numFmtId="0" fontId="89" fillId="0" borderId="46" applyNumberFormat="0" applyFill="0" applyAlignment="0" applyProtection="0"/>
    <xf numFmtId="0" fontId="89" fillId="0" borderId="46" applyNumberFormat="0" applyFill="0" applyAlignment="0" applyProtection="0"/>
    <xf numFmtId="0" fontId="89" fillId="0" borderId="46" applyNumberFormat="0" applyFill="0" applyAlignment="0" applyProtection="0"/>
    <xf numFmtId="0" fontId="89" fillId="0" borderId="46" applyNumberFormat="0" applyFill="0" applyAlignment="0" applyProtection="0"/>
    <xf numFmtId="0" fontId="89" fillId="0" borderId="46" applyNumberFormat="0" applyFill="0" applyAlignment="0" applyProtection="0"/>
    <xf numFmtId="0" fontId="89" fillId="0" borderId="46" applyNumberFormat="0" applyFill="0" applyAlignment="0" applyProtection="0"/>
    <xf numFmtId="0" fontId="89" fillId="0" borderId="46" applyNumberFormat="0" applyFill="0" applyAlignment="0" applyProtection="0"/>
    <xf numFmtId="0" fontId="89" fillId="0" borderId="46" applyNumberFormat="0" applyFill="0" applyAlignment="0" applyProtection="0"/>
    <xf numFmtId="0" fontId="90" fillId="0" borderId="47" applyNumberFormat="0" applyFill="0" applyAlignment="0" applyProtection="0"/>
    <xf numFmtId="0" fontId="90" fillId="0" borderId="47" applyNumberFormat="0" applyFill="0" applyAlignment="0" applyProtection="0"/>
    <xf numFmtId="0" fontId="90" fillId="0" borderId="47" applyNumberFormat="0" applyFill="0" applyAlignment="0" applyProtection="0"/>
    <xf numFmtId="0" fontId="90" fillId="0" borderId="47" applyNumberFormat="0" applyFill="0" applyAlignment="0" applyProtection="0"/>
    <xf numFmtId="0" fontId="90" fillId="0" borderId="47" applyNumberFormat="0" applyFill="0" applyAlignment="0" applyProtection="0"/>
    <xf numFmtId="0" fontId="90" fillId="0" borderId="47" applyNumberFormat="0" applyFill="0" applyAlignment="0" applyProtection="0"/>
    <xf numFmtId="0" fontId="90" fillId="0" borderId="47" applyNumberFormat="0" applyFill="0" applyAlignment="0" applyProtection="0"/>
    <xf numFmtId="0" fontId="90" fillId="0" borderId="47" applyNumberFormat="0" applyFill="0" applyAlignment="0" applyProtection="0"/>
    <xf numFmtId="0" fontId="66" fillId="0" borderId="47" applyNumberFormat="0" applyFill="0" applyAlignment="0" applyProtection="0"/>
    <xf numFmtId="0" fontId="66" fillId="0" borderId="47" applyNumberFormat="0" applyFill="0" applyAlignment="0" applyProtection="0"/>
    <xf numFmtId="0" fontId="66" fillId="0" borderId="47" applyNumberFormat="0" applyFill="0" applyAlignment="0" applyProtection="0"/>
    <xf numFmtId="0" fontId="66" fillId="0" borderId="47" applyNumberFormat="0" applyFill="0" applyAlignment="0" applyProtection="0"/>
    <xf numFmtId="0" fontId="66" fillId="0" borderId="47" applyNumberFormat="0" applyFill="0" applyAlignment="0" applyProtection="0"/>
    <xf numFmtId="0" fontId="66" fillId="0" borderId="47" applyNumberFormat="0" applyFill="0" applyAlignment="0" applyProtection="0"/>
    <xf numFmtId="0" fontId="66" fillId="0" borderId="47" applyNumberFormat="0" applyFill="0" applyAlignment="0" applyProtection="0"/>
    <xf numFmtId="0" fontId="66" fillId="0" borderId="47" applyNumberFormat="0" applyFill="0" applyAlignment="0" applyProtection="0"/>
    <xf numFmtId="0" fontId="90" fillId="0" borderId="47" applyNumberFormat="0" applyFill="0" applyAlignment="0" applyProtection="0"/>
    <xf numFmtId="0" fontId="90" fillId="0" borderId="47" applyNumberFormat="0" applyFill="0" applyAlignment="0" applyProtection="0"/>
    <xf numFmtId="0" fontId="90" fillId="0" borderId="47" applyNumberFormat="0" applyFill="0" applyAlignment="0" applyProtection="0"/>
    <xf numFmtId="0" fontId="90" fillId="0" borderId="47" applyNumberFormat="0" applyFill="0" applyAlignment="0" applyProtection="0"/>
    <xf numFmtId="0" fontId="76" fillId="0" borderId="54" applyNumberFormat="0" applyFill="0" applyAlignment="0" applyProtection="0"/>
    <xf numFmtId="0" fontId="76" fillId="0" borderId="54" applyNumberFormat="0" applyFill="0" applyAlignment="0" applyProtection="0"/>
    <xf numFmtId="0" fontId="66" fillId="0" borderId="54" applyNumberFormat="0" applyFill="0" applyAlignment="0" applyProtection="0"/>
    <xf numFmtId="0" fontId="66" fillId="0" borderId="54" applyNumberFormat="0" applyFill="0" applyAlignment="0" applyProtection="0"/>
    <xf numFmtId="0" fontId="66" fillId="0" borderId="54" applyNumberFormat="0" applyFill="0" applyAlignment="0" applyProtection="0"/>
    <xf numFmtId="0" fontId="66" fillId="0" borderId="54" applyNumberFormat="0" applyFill="0" applyAlignment="0" applyProtection="0"/>
    <xf numFmtId="0" fontId="66" fillId="0" borderId="54" applyNumberFormat="0" applyFill="0" applyAlignment="0" applyProtection="0"/>
    <xf numFmtId="0" fontId="66" fillId="0" borderId="54" applyNumberFormat="0" applyFill="0" applyAlignment="0" applyProtection="0"/>
    <xf numFmtId="0" fontId="66" fillId="0" borderId="54" applyNumberFormat="0" applyFill="0" applyAlignment="0" applyProtection="0"/>
    <xf numFmtId="0" fontId="66" fillId="0" borderId="54" applyNumberFormat="0" applyFill="0" applyAlignment="0" applyProtection="0"/>
    <xf numFmtId="0" fontId="76" fillId="0" borderId="54" applyNumberFormat="0" applyFill="0" applyAlignment="0" applyProtection="0"/>
    <xf numFmtId="0" fontId="76" fillId="0" borderId="54" applyNumberFormat="0" applyFill="0" applyAlignment="0" applyProtection="0"/>
    <xf numFmtId="0" fontId="76" fillId="0" borderId="54" applyNumberFormat="0" applyFill="0" applyAlignment="0" applyProtection="0"/>
    <xf numFmtId="0" fontId="76" fillId="0" borderId="54" applyNumberFormat="0" applyFill="0" applyAlignment="0" applyProtection="0"/>
    <xf numFmtId="0" fontId="76" fillId="0" borderId="54" applyNumberFormat="0" applyFill="0" applyAlignment="0" applyProtection="0"/>
    <xf numFmtId="0" fontId="76" fillId="0" borderId="54" applyNumberFormat="0" applyFill="0" applyAlignment="0" applyProtection="0"/>
    <xf numFmtId="0" fontId="66" fillId="0" borderId="54" applyNumberFormat="0" applyFill="0" applyAlignment="0" applyProtection="0"/>
    <xf numFmtId="0" fontId="66" fillId="0" borderId="54" applyNumberFormat="0" applyFill="0" applyAlignment="0" applyProtection="0"/>
    <xf numFmtId="0" fontId="66" fillId="0" borderId="54" applyNumberFormat="0" applyFill="0" applyAlignment="0" applyProtection="0"/>
    <xf numFmtId="0" fontId="66" fillId="0" borderId="54" applyNumberFormat="0" applyFill="0" applyAlignment="0" applyProtection="0"/>
    <xf numFmtId="0" fontId="76" fillId="0" borderId="54" applyNumberFormat="0" applyFill="0" applyAlignment="0" applyProtection="0"/>
    <xf numFmtId="0" fontId="76" fillId="0" borderId="54" applyNumberFormat="0" applyFill="0" applyAlignment="0" applyProtection="0"/>
    <xf numFmtId="0" fontId="76" fillId="0" borderId="54" applyNumberFormat="0" applyFill="0" applyAlignment="0" applyProtection="0"/>
    <xf numFmtId="0" fontId="76" fillId="0" borderId="54" applyNumberFormat="0" applyFill="0" applyAlignment="0" applyProtection="0"/>
    <xf numFmtId="0" fontId="76" fillId="0" borderId="54" applyNumberFormat="0" applyFill="0" applyAlignment="0" applyProtection="0"/>
    <xf numFmtId="0" fontId="76" fillId="0" borderId="54" applyNumberFormat="0" applyFill="0" applyAlignment="0" applyProtection="0"/>
    <xf numFmtId="0" fontId="76" fillId="0" borderId="54" applyNumberFormat="0" applyFill="0" applyAlignment="0" applyProtection="0"/>
    <xf numFmtId="0" fontId="76" fillId="0" borderId="54" applyNumberFormat="0" applyFill="0" applyAlignment="0" applyProtection="0"/>
    <xf numFmtId="0" fontId="76" fillId="0" borderId="54" applyNumberFormat="0" applyFill="0" applyAlignment="0" applyProtection="0"/>
    <xf numFmtId="0" fontId="76" fillId="0" borderId="54" applyNumberFormat="0" applyFill="0" applyAlignment="0" applyProtection="0"/>
    <xf numFmtId="0" fontId="76" fillId="0" borderId="54" applyNumberFormat="0" applyFill="0" applyAlignment="0" applyProtection="0"/>
    <xf numFmtId="0" fontId="76" fillId="0" borderId="54" applyNumberFormat="0" applyFill="0" applyAlignment="0" applyProtection="0"/>
    <xf numFmtId="0" fontId="76" fillId="0" borderId="54" applyNumberFormat="0" applyFill="0" applyAlignment="0" applyProtection="0"/>
    <xf numFmtId="0" fontId="90" fillId="0" borderId="47" applyNumberFormat="0" applyFill="0" applyAlignment="0" applyProtection="0"/>
    <xf numFmtId="0" fontId="90" fillId="0" borderId="47" applyNumberFormat="0" applyFill="0" applyAlignment="0" applyProtection="0"/>
    <xf numFmtId="0" fontId="66" fillId="0" borderId="47" applyNumberFormat="0" applyFill="0" applyAlignment="0" applyProtection="0"/>
    <xf numFmtId="0" fontId="66" fillId="0" borderId="47" applyNumberFormat="0" applyFill="0" applyAlignment="0" applyProtection="0"/>
    <xf numFmtId="0" fontId="66" fillId="0" borderId="47" applyNumberFormat="0" applyFill="0" applyAlignment="0" applyProtection="0"/>
    <xf numFmtId="0" fontId="66" fillId="0" borderId="47" applyNumberFormat="0" applyFill="0" applyAlignment="0" applyProtection="0"/>
    <xf numFmtId="0" fontId="90" fillId="0" borderId="47" applyNumberFormat="0" applyFill="0" applyAlignment="0" applyProtection="0"/>
    <xf numFmtId="0" fontId="90" fillId="0" borderId="47" applyNumberFormat="0" applyFill="0" applyAlignment="0" applyProtection="0"/>
    <xf numFmtId="0" fontId="90" fillId="0" borderId="47" applyNumberFormat="0" applyFill="0" applyAlignment="0" applyProtection="0"/>
    <xf numFmtId="0" fontId="90" fillId="0" borderId="47" applyNumberFormat="0" applyFill="0" applyAlignment="0" applyProtection="0"/>
    <xf numFmtId="0" fontId="90" fillId="0" borderId="47" applyNumberFormat="0" applyFill="0" applyAlignment="0" applyProtection="0"/>
    <xf numFmtId="0" fontId="90" fillId="0" borderId="47" applyNumberFormat="0" applyFill="0" applyAlignment="0" applyProtection="0"/>
    <xf numFmtId="0" fontId="90" fillId="0" borderId="47" applyNumberFormat="0" applyFill="0" applyAlignment="0" applyProtection="0"/>
    <xf numFmtId="0" fontId="90" fillId="0" borderId="47" applyNumberFormat="0" applyFill="0" applyAlignment="0" applyProtection="0"/>
    <xf numFmtId="0" fontId="90" fillId="0" borderId="47" applyNumberFormat="0" applyFill="0" applyAlignment="0" applyProtection="0"/>
    <xf numFmtId="0" fontId="91" fillId="0" borderId="48" applyNumberFormat="0" applyFill="0" applyAlignment="0" applyProtection="0"/>
    <xf numFmtId="0" fontId="91" fillId="0" borderId="48" applyNumberFormat="0" applyFill="0" applyAlignment="0" applyProtection="0"/>
    <xf numFmtId="0" fontId="91" fillId="0" borderId="48" applyNumberFormat="0" applyFill="0" applyAlignment="0" applyProtection="0"/>
    <xf numFmtId="0" fontId="91" fillId="0" borderId="48" applyNumberFormat="0" applyFill="0" applyAlignment="0" applyProtection="0"/>
    <xf numFmtId="0" fontId="91" fillId="0" borderId="48" applyNumberFormat="0" applyFill="0" applyAlignment="0" applyProtection="0"/>
    <xf numFmtId="0" fontId="91" fillId="0" borderId="48" applyNumberFormat="0" applyFill="0" applyAlignment="0" applyProtection="0"/>
    <xf numFmtId="0" fontId="91" fillId="0" borderId="48" applyNumberFormat="0" applyFill="0" applyAlignment="0" applyProtection="0"/>
    <xf numFmtId="0" fontId="91" fillId="0" borderId="48" applyNumberFormat="0" applyFill="0" applyAlignment="0" applyProtection="0"/>
    <xf numFmtId="0" fontId="66" fillId="0" borderId="48" applyNumberFormat="0" applyFill="0" applyAlignment="0" applyProtection="0"/>
    <xf numFmtId="0" fontId="66" fillId="0" borderId="48" applyNumberFormat="0" applyFill="0" applyAlignment="0" applyProtection="0"/>
    <xf numFmtId="0" fontId="66" fillId="0" borderId="48" applyNumberFormat="0" applyFill="0" applyAlignment="0" applyProtection="0"/>
    <xf numFmtId="0" fontId="66" fillId="0" borderId="48" applyNumberFormat="0" applyFill="0" applyAlignment="0" applyProtection="0"/>
    <xf numFmtId="0" fontId="66" fillId="0" borderId="48" applyNumberFormat="0" applyFill="0" applyAlignment="0" applyProtection="0"/>
    <xf numFmtId="0" fontId="66" fillId="0" borderId="48" applyNumberFormat="0" applyFill="0" applyAlignment="0" applyProtection="0"/>
    <xf numFmtId="0" fontId="66" fillId="0" borderId="48" applyNumberFormat="0" applyFill="0" applyAlignment="0" applyProtection="0"/>
    <xf numFmtId="0" fontId="66" fillId="0" borderId="48" applyNumberFormat="0" applyFill="0" applyAlignment="0" applyProtection="0"/>
    <xf numFmtId="0" fontId="91" fillId="0" borderId="48" applyNumberFormat="0" applyFill="0" applyAlignment="0" applyProtection="0"/>
    <xf numFmtId="0" fontId="91" fillId="0" borderId="48" applyNumberFormat="0" applyFill="0" applyAlignment="0" applyProtection="0"/>
    <xf numFmtId="0" fontId="91" fillId="0" borderId="48" applyNumberFormat="0" applyFill="0" applyAlignment="0" applyProtection="0"/>
    <xf numFmtId="0" fontId="91" fillId="0" borderId="48" applyNumberFormat="0" applyFill="0" applyAlignment="0" applyProtection="0"/>
    <xf numFmtId="0" fontId="77" fillId="0" borderId="55" applyNumberFormat="0" applyFill="0" applyAlignment="0" applyProtection="0"/>
    <xf numFmtId="0" fontId="77" fillId="0" borderId="55" applyNumberFormat="0" applyFill="0" applyAlignment="0" applyProtection="0"/>
    <xf numFmtId="0" fontId="66" fillId="0" borderId="55" applyNumberFormat="0" applyFill="0" applyAlignment="0" applyProtection="0"/>
    <xf numFmtId="0" fontId="66" fillId="0" borderId="55" applyNumberFormat="0" applyFill="0" applyAlignment="0" applyProtection="0"/>
    <xf numFmtId="0" fontId="66" fillId="0" borderId="55" applyNumberFormat="0" applyFill="0" applyAlignment="0" applyProtection="0"/>
    <xf numFmtId="0" fontId="66" fillId="0" borderId="55" applyNumberFormat="0" applyFill="0" applyAlignment="0" applyProtection="0"/>
    <xf numFmtId="0" fontId="66" fillId="0" borderId="55" applyNumberFormat="0" applyFill="0" applyAlignment="0" applyProtection="0"/>
    <xf numFmtId="0" fontId="66" fillId="0" borderId="55" applyNumberFormat="0" applyFill="0" applyAlignment="0" applyProtection="0"/>
    <xf numFmtId="0" fontId="66" fillId="0" borderId="55" applyNumberFormat="0" applyFill="0" applyAlignment="0" applyProtection="0"/>
    <xf numFmtId="0" fontId="66" fillId="0" borderId="55" applyNumberFormat="0" applyFill="0" applyAlignment="0" applyProtection="0"/>
    <xf numFmtId="0" fontId="77" fillId="0" borderId="55" applyNumberFormat="0" applyFill="0" applyAlignment="0" applyProtection="0"/>
    <xf numFmtId="0" fontId="77" fillId="0" borderId="55" applyNumberFormat="0" applyFill="0" applyAlignment="0" applyProtection="0"/>
    <xf numFmtId="0" fontId="77" fillId="0" borderId="55" applyNumberFormat="0" applyFill="0" applyAlignment="0" applyProtection="0"/>
    <xf numFmtId="0" fontId="77" fillId="0" borderId="55" applyNumberFormat="0" applyFill="0" applyAlignment="0" applyProtection="0"/>
    <xf numFmtId="0" fontId="77" fillId="0" borderId="55" applyNumberFormat="0" applyFill="0" applyAlignment="0" applyProtection="0"/>
    <xf numFmtId="0" fontId="77" fillId="0" borderId="55" applyNumberFormat="0" applyFill="0" applyAlignment="0" applyProtection="0"/>
    <xf numFmtId="0" fontId="66" fillId="0" borderId="55" applyNumberFormat="0" applyFill="0" applyAlignment="0" applyProtection="0"/>
    <xf numFmtId="0" fontId="66" fillId="0" borderId="55" applyNumberFormat="0" applyFill="0" applyAlignment="0" applyProtection="0"/>
    <xf numFmtId="0" fontId="66" fillId="0" borderId="55" applyNumberFormat="0" applyFill="0" applyAlignment="0" applyProtection="0"/>
    <xf numFmtId="0" fontId="66" fillId="0" borderId="55" applyNumberFormat="0" applyFill="0" applyAlignment="0" applyProtection="0"/>
    <xf numFmtId="0" fontId="77" fillId="0" borderId="55" applyNumberFormat="0" applyFill="0" applyAlignment="0" applyProtection="0"/>
    <xf numFmtId="0" fontId="77" fillId="0" borderId="55" applyNumberFormat="0" applyFill="0" applyAlignment="0" applyProtection="0"/>
    <xf numFmtId="0" fontId="77" fillId="0" borderId="55" applyNumberFormat="0" applyFill="0" applyAlignment="0" applyProtection="0"/>
    <xf numFmtId="0" fontId="77" fillId="0" borderId="55" applyNumberFormat="0" applyFill="0" applyAlignment="0" applyProtection="0"/>
    <xf numFmtId="0" fontId="77" fillId="0" borderId="55" applyNumberFormat="0" applyFill="0" applyAlignment="0" applyProtection="0"/>
    <xf numFmtId="0" fontId="77" fillId="0" borderId="55" applyNumberFormat="0" applyFill="0" applyAlignment="0" applyProtection="0"/>
    <xf numFmtId="0" fontId="77" fillId="0" borderId="55" applyNumberFormat="0" applyFill="0" applyAlignment="0" applyProtection="0"/>
    <xf numFmtId="0" fontId="77" fillId="0" borderId="55" applyNumberFormat="0" applyFill="0" applyAlignment="0" applyProtection="0"/>
    <xf numFmtId="0" fontId="77" fillId="0" borderId="55" applyNumberFormat="0" applyFill="0" applyAlignment="0" applyProtection="0"/>
    <xf numFmtId="0" fontId="77" fillId="0" borderId="55" applyNumberFormat="0" applyFill="0" applyAlignment="0" applyProtection="0"/>
    <xf numFmtId="0" fontId="77" fillId="0" borderId="55" applyNumberFormat="0" applyFill="0" applyAlignment="0" applyProtection="0"/>
    <xf numFmtId="0" fontId="77" fillId="0" borderId="55" applyNumberFormat="0" applyFill="0" applyAlignment="0" applyProtection="0"/>
    <xf numFmtId="0" fontId="77" fillId="0" borderId="55" applyNumberFormat="0" applyFill="0" applyAlignment="0" applyProtection="0"/>
    <xf numFmtId="0" fontId="91" fillId="0" borderId="48" applyNumberFormat="0" applyFill="0" applyAlignment="0" applyProtection="0"/>
    <xf numFmtId="0" fontId="91" fillId="0" borderId="48" applyNumberFormat="0" applyFill="0" applyAlignment="0" applyProtection="0"/>
    <xf numFmtId="0" fontId="66" fillId="0" borderId="48" applyNumberFormat="0" applyFill="0" applyAlignment="0" applyProtection="0"/>
    <xf numFmtId="0" fontId="66" fillId="0" borderId="48" applyNumberFormat="0" applyFill="0" applyAlignment="0" applyProtection="0"/>
    <xf numFmtId="0" fontId="66" fillId="0" borderId="48" applyNumberFormat="0" applyFill="0" applyAlignment="0" applyProtection="0"/>
    <xf numFmtId="0" fontId="66" fillId="0" borderId="48" applyNumberFormat="0" applyFill="0" applyAlignment="0" applyProtection="0"/>
    <xf numFmtId="0" fontId="91" fillId="0" borderId="48" applyNumberFormat="0" applyFill="0" applyAlignment="0" applyProtection="0"/>
    <xf numFmtId="0" fontId="91" fillId="0" borderId="48" applyNumberFormat="0" applyFill="0" applyAlignment="0" applyProtection="0"/>
    <xf numFmtId="0" fontId="91" fillId="0" borderId="48" applyNumberFormat="0" applyFill="0" applyAlignment="0" applyProtection="0"/>
    <xf numFmtId="0" fontId="91" fillId="0" borderId="48" applyNumberFormat="0" applyFill="0" applyAlignment="0" applyProtection="0"/>
    <xf numFmtId="0" fontId="91" fillId="0" borderId="48" applyNumberFormat="0" applyFill="0" applyAlignment="0" applyProtection="0"/>
    <xf numFmtId="0" fontId="91" fillId="0" borderId="48" applyNumberFormat="0" applyFill="0" applyAlignment="0" applyProtection="0"/>
    <xf numFmtId="0" fontId="91" fillId="0" borderId="48" applyNumberFormat="0" applyFill="0" applyAlignment="0" applyProtection="0"/>
    <xf numFmtId="0" fontId="91" fillId="0" borderId="48" applyNumberFormat="0" applyFill="0" applyAlignment="0" applyProtection="0"/>
    <xf numFmtId="0" fontId="91" fillId="0" borderId="48" applyNumberFormat="0" applyFill="0" applyAlignment="0" applyProtection="0"/>
    <xf numFmtId="0" fontId="91" fillId="0" borderId="0" applyNumberFormat="0" applyFill="0" applyBorder="0" applyAlignment="0" applyProtection="0"/>
    <xf numFmtId="0" fontId="91" fillId="0" borderId="0" applyNumberFormat="0" applyFill="0" applyBorder="0" applyAlignment="0" applyProtection="0"/>
    <xf numFmtId="0" fontId="91" fillId="0" borderId="0" applyNumberFormat="0" applyFill="0" applyBorder="0" applyAlignment="0" applyProtection="0"/>
    <xf numFmtId="0" fontId="91" fillId="0" borderId="0" applyNumberFormat="0" applyFill="0" applyBorder="0" applyAlignment="0" applyProtection="0"/>
    <xf numFmtId="0" fontId="91" fillId="0" borderId="0" applyNumberFormat="0" applyFill="0" applyBorder="0" applyAlignment="0" applyProtection="0"/>
    <xf numFmtId="0" fontId="91" fillId="0" borderId="0" applyNumberFormat="0" applyFill="0" applyBorder="0" applyAlignment="0" applyProtection="0"/>
    <xf numFmtId="0" fontId="91" fillId="0" borderId="0" applyNumberFormat="0" applyFill="0" applyBorder="0" applyAlignment="0" applyProtection="0"/>
    <xf numFmtId="0" fontId="91" fillId="0" borderId="0" applyNumberForma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91" fillId="0" borderId="0" applyNumberFormat="0" applyFill="0" applyBorder="0" applyAlignment="0" applyProtection="0"/>
    <xf numFmtId="0" fontId="91" fillId="0" borderId="0" applyNumberFormat="0" applyFill="0" applyBorder="0" applyAlignment="0" applyProtection="0"/>
    <xf numFmtId="0" fontId="91" fillId="0" borderId="0" applyNumberFormat="0" applyFill="0" applyBorder="0" applyAlignment="0" applyProtection="0"/>
    <xf numFmtId="0" fontId="91" fillId="0" borderId="0" applyNumberFormat="0" applyFill="0" applyBorder="0" applyAlignment="0" applyProtection="0"/>
    <xf numFmtId="0" fontId="77" fillId="0" borderId="0" applyNumberFormat="0" applyFill="0" applyBorder="0" applyAlignment="0" applyProtection="0"/>
    <xf numFmtId="0" fontId="77" fillId="0" borderId="0" applyNumberForma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77" fillId="0" borderId="0" applyNumberFormat="0" applyFill="0" applyBorder="0" applyAlignment="0" applyProtection="0"/>
    <xf numFmtId="0" fontId="77" fillId="0" borderId="0" applyNumberFormat="0" applyFill="0" applyBorder="0" applyAlignment="0" applyProtection="0"/>
    <xf numFmtId="0" fontId="77" fillId="0" borderId="0" applyNumberFormat="0" applyFill="0" applyBorder="0" applyAlignment="0" applyProtection="0"/>
    <xf numFmtId="0" fontId="77" fillId="0" borderId="0" applyNumberFormat="0" applyFill="0" applyBorder="0" applyAlignment="0" applyProtection="0"/>
    <xf numFmtId="0" fontId="77" fillId="0" borderId="0" applyNumberFormat="0" applyFill="0" applyBorder="0" applyAlignment="0" applyProtection="0"/>
    <xf numFmtId="0" fontId="77" fillId="0" borderId="0" applyNumberForma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77" fillId="0" borderId="0" applyNumberFormat="0" applyFill="0" applyBorder="0" applyAlignment="0" applyProtection="0"/>
    <xf numFmtId="0" fontId="77" fillId="0" borderId="0" applyNumberFormat="0" applyFill="0" applyBorder="0" applyAlignment="0" applyProtection="0"/>
    <xf numFmtId="0" fontId="77" fillId="0" borderId="0" applyNumberFormat="0" applyFill="0" applyBorder="0" applyAlignment="0" applyProtection="0"/>
    <xf numFmtId="0" fontId="77" fillId="0" borderId="0" applyNumberFormat="0" applyFill="0" applyBorder="0" applyAlignment="0" applyProtection="0"/>
    <xf numFmtId="0" fontId="77" fillId="0" borderId="0" applyNumberFormat="0" applyFill="0" applyBorder="0" applyAlignment="0" applyProtection="0"/>
    <xf numFmtId="0" fontId="77" fillId="0" borderId="0" applyNumberFormat="0" applyFill="0" applyBorder="0" applyAlignment="0" applyProtection="0"/>
    <xf numFmtId="0" fontId="77" fillId="0" borderId="0" applyNumberFormat="0" applyFill="0" applyBorder="0" applyAlignment="0" applyProtection="0"/>
    <xf numFmtId="0" fontId="77" fillId="0" borderId="0" applyNumberFormat="0" applyFill="0" applyBorder="0" applyAlignment="0" applyProtection="0"/>
    <xf numFmtId="0" fontId="77" fillId="0" borderId="0" applyNumberFormat="0" applyFill="0" applyBorder="0" applyAlignment="0" applyProtection="0"/>
    <xf numFmtId="0" fontId="77" fillId="0" borderId="0" applyNumberFormat="0" applyFill="0" applyBorder="0" applyAlignment="0" applyProtection="0"/>
    <xf numFmtId="0" fontId="77" fillId="0" borderId="0" applyNumberFormat="0" applyFill="0" applyBorder="0" applyAlignment="0" applyProtection="0"/>
    <xf numFmtId="0" fontId="77" fillId="0" borderId="0" applyNumberFormat="0" applyFill="0" applyBorder="0" applyAlignment="0" applyProtection="0"/>
    <xf numFmtId="0" fontId="77" fillId="0" borderId="0" applyNumberFormat="0" applyFill="0" applyBorder="0" applyAlignment="0" applyProtection="0"/>
    <xf numFmtId="0" fontId="91" fillId="0" borderId="0" applyNumberFormat="0" applyFill="0" applyBorder="0" applyAlignment="0" applyProtection="0"/>
    <xf numFmtId="0" fontId="91" fillId="0" borderId="0" applyNumberForma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91" fillId="0" borderId="0" applyNumberFormat="0" applyFill="0" applyBorder="0" applyAlignment="0" applyProtection="0"/>
    <xf numFmtId="0" fontId="91" fillId="0" borderId="0" applyNumberFormat="0" applyFill="0" applyBorder="0" applyAlignment="0" applyProtection="0"/>
    <xf numFmtId="0" fontId="91" fillId="0" borderId="0" applyNumberFormat="0" applyFill="0" applyBorder="0" applyAlignment="0" applyProtection="0"/>
    <xf numFmtId="0" fontId="91" fillId="0" borderId="0" applyNumberFormat="0" applyFill="0" applyBorder="0" applyAlignment="0" applyProtection="0"/>
    <xf numFmtId="0" fontId="91" fillId="0" borderId="0" applyNumberFormat="0" applyFill="0" applyBorder="0" applyAlignment="0" applyProtection="0"/>
    <xf numFmtId="0" fontId="91" fillId="0" borderId="0" applyNumberFormat="0" applyFill="0" applyBorder="0" applyAlignment="0" applyProtection="0"/>
    <xf numFmtId="0" fontId="91" fillId="0" borderId="0" applyNumberFormat="0" applyFill="0" applyBorder="0" applyAlignment="0" applyProtection="0"/>
    <xf numFmtId="0" fontId="91" fillId="0" borderId="0" applyNumberFormat="0" applyFill="0" applyBorder="0" applyAlignment="0" applyProtection="0"/>
    <xf numFmtId="0" fontId="91" fillId="0" borderId="0" applyNumberFormat="0" applyFill="0" applyBorder="0" applyAlignment="0" applyProtection="0"/>
    <xf numFmtId="0" fontId="78" fillId="0" borderId="51" applyNumberFormat="0" applyFill="0" applyAlignment="0" applyProtection="0"/>
    <xf numFmtId="0" fontId="78" fillId="0" borderId="51" applyNumberFormat="0" applyFill="0" applyAlignment="0" applyProtection="0"/>
    <xf numFmtId="0" fontId="78" fillId="0" borderId="51" applyNumberFormat="0" applyFill="0" applyAlignment="0" applyProtection="0"/>
    <xf numFmtId="0" fontId="78" fillId="0" borderId="51" applyNumberFormat="0" applyFill="0" applyAlignment="0" applyProtection="0"/>
    <xf numFmtId="0" fontId="78" fillId="0" borderId="51" applyNumberFormat="0" applyFill="0" applyAlignment="0" applyProtection="0"/>
    <xf numFmtId="0" fontId="78" fillId="0" borderId="51" applyNumberFormat="0" applyFill="0" applyAlignment="0" applyProtection="0"/>
    <xf numFmtId="0" fontId="78" fillId="0" borderId="51" applyNumberFormat="0" applyFill="0" applyAlignment="0" applyProtection="0"/>
    <xf numFmtId="0" fontId="78" fillId="0" borderId="51" applyNumberFormat="0" applyFill="0" applyAlignment="0" applyProtection="0"/>
    <xf numFmtId="0" fontId="66" fillId="0" borderId="51" applyNumberFormat="0" applyFill="0" applyAlignment="0" applyProtection="0"/>
    <xf numFmtId="0" fontId="66" fillId="0" borderId="51" applyNumberFormat="0" applyFill="0" applyAlignment="0" applyProtection="0"/>
    <xf numFmtId="0" fontId="66" fillId="0" borderId="51" applyNumberFormat="0" applyFill="0" applyAlignment="0" applyProtection="0"/>
    <xf numFmtId="0" fontId="66" fillId="0" borderId="51" applyNumberFormat="0" applyFill="0" applyAlignment="0" applyProtection="0"/>
    <xf numFmtId="0" fontId="66" fillId="0" borderId="51" applyNumberFormat="0" applyFill="0" applyAlignment="0" applyProtection="0"/>
    <xf numFmtId="0" fontId="66" fillId="0" borderId="51" applyNumberFormat="0" applyFill="0" applyAlignment="0" applyProtection="0"/>
    <xf numFmtId="0" fontId="66" fillId="0" borderId="51" applyNumberFormat="0" applyFill="0" applyAlignment="0" applyProtection="0"/>
    <xf numFmtId="0" fontId="66" fillId="0" borderId="51" applyNumberFormat="0" applyFill="0" applyAlignment="0" applyProtection="0"/>
    <xf numFmtId="0" fontId="78" fillId="0" borderId="51" applyNumberFormat="0" applyFill="0" applyAlignment="0" applyProtection="0"/>
    <xf numFmtId="0" fontId="78" fillId="0" borderId="51" applyNumberFormat="0" applyFill="0" applyAlignment="0" applyProtection="0"/>
    <xf numFmtId="0" fontId="78" fillId="0" borderId="51" applyNumberFormat="0" applyFill="0" applyAlignment="0" applyProtection="0"/>
    <xf numFmtId="0" fontId="78" fillId="0" borderId="51" applyNumberFormat="0" applyFill="0" applyAlignment="0" applyProtection="0"/>
    <xf numFmtId="0" fontId="78" fillId="0" borderId="53" applyNumberFormat="0" applyFill="0" applyAlignment="0" applyProtection="0"/>
    <xf numFmtId="0" fontId="78" fillId="0" borderId="53" applyNumberFormat="0" applyFill="0" applyAlignment="0" applyProtection="0"/>
    <xf numFmtId="0" fontId="66" fillId="0" borderId="53" applyNumberFormat="0" applyFill="0" applyAlignment="0" applyProtection="0"/>
    <xf numFmtId="0" fontId="66" fillId="0" borderId="53" applyNumberFormat="0" applyFill="0" applyAlignment="0" applyProtection="0"/>
    <xf numFmtId="0" fontId="66" fillId="0" borderId="53" applyNumberFormat="0" applyFill="0" applyAlignment="0" applyProtection="0"/>
    <xf numFmtId="0" fontId="66" fillId="0" borderId="53" applyNumberFormat="0" applyFill="0" applyAlignment="0" applyProtection="0"/>
    <xf numFmtId="0" fontId="66" fillId="0" borderId="53" applyNumberFormat="0" applyFill="0" applyAlignment="0" applyProtection="0"/>
    <xf numFmtId="0" fontId="66" fillId="0" borderId="53" applyNumberFormat="0" applyFill="0" applyAlignment="0" applyProtection="0"/>
    <xf numFmtId="0" fontId="66" fillId="0" borderId="53" applyNumberFormat="0" applyFill="0" applyAlignment="0" applyProtection="0"/>
    <xf numFmtId="0" fontId="66" fillId="0" borderId="53" applyNumberFormat="0" applyFill="0" applyAlignment="0" applyProtection="0"/>
    <xf numFmtId="0" fontId="78" fillId="0" borderId="53" applyNumberFormat="0" applyFill="0" applyAlignment="0" applyProtection="0"/>
    <xf numFmtId="0" fontId="78" fillId="0" borderId="53" applyNumberFormat="0" applyFill="0" applyAlignment="0" applyProtection="0"/>
    <xf numFmtId="0" fontId="78" fillId="0" borderId="53" applyNumberFormat="0" applyFill="0" applyAlignment="0" applyProtection="0"/>
    <xf numFmtId="0" fontId="78" fillId="0" borderId="53" applyNumberFormat="0" applyFill="0" applyAlignment="0" applyProtection="0"/>
    <xf numFmtId="0" fontId="78" fillId="0" borderId="53" applyNumberFormat="0" applyFill="0" applyAlignment="0" applyProtection="0"/>
    <xf numFmtId="0" fontId="78" fillId="0" borderId="53" applyNumberFormat="0" applyFill="0" applyAlignment="0" applyProtection="0"/>
    <xf numFmtId="0" fontId="66" fillId="0" borderId="53" applyNumberFormat="0" applyFill="0" applyAlignment="0" applyProtection="0"/>
    <xf numFmtId="0" fontId="66" fillId="0" borderId="53" applyNumberFormat="0" applyFill="0" applyAlignment="0" applyProtection="0"/>
    <xf numFmtId="0" fontId="78" fillId="0" borderId="51" applyNumberFormat="0" applyFill="0" applyAlignment="0" applyProtection="0"/>
    <xf numFmtId="0" fontId="66" fillId="0" borderId="53" applyNumberFormat="0" applyFill="0" applyAlignment="0" applyProtection="0"/>
    <xf numFmtId="0" fontId="78" fillId="0" borderId="53" applyNumberFormat="0" applyFill="0" applyAlignment="0" applyProtection="0"/>
    <xf numFmtId="0" fontId="66" fillId="0" borderId="53" applyNumberFormat="0" applyFill="0" applyAlignment="0" applyProtection="0"/>
    <xf numFmtId="0" fontId="78" fillId="0" borderId="53" applyNumberFormat="0" applyFill="0" applyAlignment="0" applyProtection="0"/>
    <xf numFmtId="0" fontId="78" fillId="0" borderId="53" applyNumberFormat="0" applyFill="0" applyAlignment="0" applyProtection="0"/>
    <xf numFmtId="0" fontId="78" fillId="0" borderId="53" applyNumberFormat="0" applyFill="0" applyAlignment="0" applyProtection="0"/>
    <xf numFmtId="0" fontId="78" fillId="0" borderId="53" applyNumberFormat="0" applyFill="0" applyAlignment="0" applyProtection="0"/>
    <xf numFmtId="0" fontId="78" fillId="0" borderId="53" applyNumberFormat="0" applyFill="0" applyAlignment="0" applyProtection="0"/>
    <xf numFmtId="0" fontId="78" fillId="0" borderId="53" applyNumberFormat="0" applyFill="0" applyAlignment="0" applyProtection="0"/>
    <xf numFmtId="0" fontId="78" fillId="0" borderId="53" applyNumberFormat="0" applyFill="0" applyAlignment="0" applyProtection="0"/>
    <xf numFmtId="0" fontId="78" fillId="0" borderId="53" applyNumberFormat="0" applyFill="0" applyAlignment="0" applyProtection="0"/>
    <xf numFmtId="0" fontId="78" fillId="0" borderId="53" applyNumberFormat="0" applyFill="0" applyAlignment="0" applyProtection="0"/>
    <xf numFmtId="0" fontId="78" fillId="0" borderId="53" applyNumberFormat="0" applyFill="0" applyAlignment="0" applyProtection="0"/>
    <xf numFmtId="0" fontId="78" fillId="0" borderId="53" applyNumberFormat="0" applyFill="0" applyAlignment="0" applyProtection="0"/>
    <xf numFmtId="0" fontId="78" fillId="0" borderId="53" applyNumberFormat="0" applyFill="0" applyAlignment="0" applyProtection="0"/>
    <xf numFmtId="0" fontId="78" fillId="0" borderId="51" applyNumberFormat="0" applyFill="0" applyAlignment="0" applyProtection="0"/>
    <xf numFmtId="0" fontId="78" fillId="0" borderId="51" applyNumberFormat="0" applyFill="0" applyAlignment="0" applyProtection="0"/>
    <xf numFmtId="0" fontId="66" fillId="0" borderId="51" applyNumberFormat="0" applyFill="0" applyAlignment="0" applyProtection="0"/>
    <xf numFmtId="0" fontId="66" fillId="0" borderId="51" applyNumberFormat="0" applyFill="0" applyAlignment="0" applyProtection="0"/>
    <xf numFmtId="0" fontId="66" fillId="0" borderId="51" applyNumberFormat="0" applyFill="0" applyAlignment="0" applyProtection="0"/>
    <xf numFmtId="0" fontId="78" fillId="0" borderId="51" applyNumberFormat="0" applyFill="0" applyAlignment="0" applyProtection="0"/>
    <xf numFmtId="0" fontId="66" fillId="0" borderId="51" applyNumberFormat="0" applyFill="0" applyAlignment="0" applyProtection="0"/>
    <xf numFmtId="0" fontId="78" fillId="0" borderId="51" applyNumberFormat="0" applyFill="0" applyAlignment="0" applyProtection="0"/>
    <xf numFmtId="0" fontId="78" fillId="0" borderId="51" applyNumberFormat="0" applyFill="0" applyAlignment="0" applyProtection="0"/>
    <xf numFmtId="0" fontId="78" fillId="0" borderId="51" applyNumberFormat="0" applyFill="0" applyAlignment="0" applyProtection="0"/>
    <xf numFmtId="0" fontId="78" fillId="0" borderId="51" applyNumberFormat="0" applyFill="0" applyAlignment="0" applyProtection="0"/>
    <xf numFmtId="0" fontId="78" fillId="0" borderId="51" applyNumberFormat="0" applyFill="0" applyAlignment="0" applyProtection="0"/>
    <xf numFmtId="0" fontId="78" fillId="0" borderId="51" applyNumberFormat="0" applyFill="0" applyAlignment="0" applyProtection="0"/>
    <xf numFmtId="0" fontId="78" fillId="0" borderId="51" applyNumberFormat="0" applyFill="0" applyAlignment="0" applyProtection="0"/>
    <xf numFmtId="0" fontId="78" fillId="0" borderId="51" applyNumberFormat="0" applyFill="0" applyAlignment="0" applyProtection="0"/>
    <xf numFmtId="0" fontId="78" fillId="0" borderId="51" applyNumberFormat="0" applyFill="0" applyAlignment="0" applyProtection="0"/>
    <xf numFmtId="0" fontId="78" fillId="0" borderId="51" applyNumberFormat="0" applyFill="0" applyAlignment="0" applyProtection="0"/>
    <xf numFmtId="0" fontId="78" fillId="0" borderId="51" applyNumberFormat="0" applyFill="0" applyAlignment="0" applyProtection="0"/>
    <xf numFmtId="0" fontId="79" fillId="79" borderId="43" applyNumberFormat="0" applyAlignment="0" applyProtection="0"/>
    <xf numFmtId="0" fontId="79" fillId="79" borderId="43" applyNumberFormat="0" applyAlignment="0" applyProtection="0"/>
    <xf numFmtId="0" fontId="79" fillId="79" borderId="43" applyNumberFormat="0" applyAlignment="0" applyProtection="0"/>
    <xf numFmtId="0" fontId="79" fillId="79" borderId="43" applyNumberFormat="0" applyAlignment="0" applyProtection="0"/>
    <xf numFmtId="0" fontId="79" fillId="79" borderId="43" applyNumberFormat="0" applyAlignment="0" applyProtection="0"/>
    <xf numFmtId="0" fontId="79" fillId="79" borderId="43" applyNumberFormat="0" applyAlignment="0" applyProtection="0"/>
    <xf numFmtId="0" fontId="79" fillId="79" borderId="43" applyNumberFormat="0" applyAlignment="0" applyProtection="0"/>
    <xf numFmtId="0" fontId="79" fillId="79" borderId="43" applyNumberFormat="0" applyAlignment="0" applyProtection="0"/>
    <xf numFmtId="0" fontId="66" fillId="79" borderId="43" applyNumberFormat="0" applyAlignment="0" applyProtection="0"/>
    <xf numFmtId="0" fontId="66" fillId="79" borderId="43" applyNumberFormat="0" applyAlignment="0" applyProtection="0"/>
    <xf numFmtId="0" fontId="66" fillId="79" borderId="43" applyNumberFormat="0" applyAlignment="0" applyProtection="0"/>
    <xf numFmtId="0" fontId="66" fillId="79" borderId="43" applyNumberFormat="0" applyAlignment="0" applyProtection="0"/>
    <xf numFmtId="0" fontId="66" fillId="79" borderId="43" applyNumberFormat="0" applyAlignment="0" applyProtection="0"/>
    <xf numFmtId="0" fontId="66" fillId="79" borderId="43" applyNumberFormat="0" applyAlignment="0" applyProtection="0"/>
    <xf numFmtId="0" fontId="66" fillId="79" borderId="43" applyNumberFormat="0" applyAlignment="0" applyProtection="0"/>
    <xf numFmtId="0" fontId="66" fillId="79" borderId="43" applyNumberFormat="0" applyAlignment="0" applyProtection="0"/>
    <xf numFmtId="0" fontId="79" fillId="79" borderId="43" applyNumberFormat="0" applyAlignment="0" applyProtection="0"/>
    <xf numFmtId="0" fontId="79" fillId="79" borderId="43" applyNumberFormat="0" applyAlignment="0" applyProtection="0"/>
    <xf numFmtId="0" fontId="79" fillId="79" borderId="43" applyNumberFormat="0" applyAlignment="0" applyProtection="0"/>
    <xf numFmtId="0" fontId="79" fillId="79" borderId="43" applyNumberFormat="0" applyAlignment="0" applyProtection="0"/>
    <xf numFmtId="0" fontId="79" fillId="79" borderId="43" applyNumberFormat="0" applyAlignment="0" applyProtection="0"/>
    <xf numFmtId="0" fontId="79" fillId="79" borderId="43" applyNumberFormat="0" applyAlignment="0" applyProtection="0"/>
    <xf numFmtId="0" fontId="66" fillId="79" borderId="43" applyNumberFormat="0" applyAlignment="0" applyProtection="0"/>
    <xf numFmtId="0" fontId="66" fillId="79" borderId="43" applyNumberFormat="0" applyAlignment="0" applyProtection="0"/>
    <xf numFmtId="0" fontId="66" fillId="79" borderId="43" applyNumberFormat="0" applyAlignment="0" applyProtection="0"/>
    <xf numFmtId="0" fontId="66" fillId="79" borderId="43" applyNumberFormat="0" applyAlignment="0" applyProtection="0"/>
    <xf numFmtId="0" fontId="66" fillId="79" borderId="43" applyNumberFormat="0" applyAlignment="0" applyProtection="0"/>
    <xf numFmtId="0" fontId="66" fillId="79" borderId="43" applyNumberFormat="0" applyAlignment="0" applyProtection="0"/>
    <xf numFmtId="0" fontId="66" fillId="79" borderId="43" applyNumberFormat="0" applyAlignment="0" applyProtection="0"/>
    <xf numFmtId="0" fontId="66" fillId="79" borderId="43" applyNumberFormat="0" applyAlignment="0" applyProtection="0"/>
    <xf numFmtId="0" fontId="79" fillId="79" borderId="43" applyNumberFormat="0" applyAlignment="0" applyProtection="0"/>
    <xf numFmtId="0" fontId="79" fillId="79" borderId="43" applyNumberFormat="0" applyAlignment="0" applyProtection="0"/>
    <xf numFmtId="0" fontId="79" fillId="79" borderId="43" applyNumberFormat="0" applyAlignment="0" applyProtection="0"/>
    <xf numFmtId="0" fontId="79" fillId="79" borderId="43" applyNumberFormat="0" applyAlignment="0" applyProtection="0"/>
    <xf numFmtId="0" fontId="79" fillId="79" borderId="43" applyNumberFormat="0" applyAlignment="0" applyProtection="0"/>
    <xf numFmtId="0" fontId="79" fillId="79" borderId="43" applyNumberFormat="0" applyAlignment="0" applyProtection="0"/>
    <xf numFmtId="0" fontId="66" fillId="79" borderId="43" applyNumberFormat="0" applyAlignment="0" applyProtection="0"/>
    <xf numFmtId="0" fontId="66" fillId="79" borderId="43" applyNumberFormat="0" applyAlignment="0" applyProtection="0"/>
    <xf numFmtId="0" fontId="66" fillId="79" borderId="43" applyNumberFormat="0" applyAlignment="0" applyProtection="0"/>
    <xf numFmtId="0" fontId="79" fillId="79" borderId="43" applyNumberFormat="0" applyAlignment="0" applyProtection="0"/>
    <xf numFmtId="0" fontId="66" fillId="79" borderId="43" applyNumberFormat="0" applyAlignment="0" applyProtection="0"/>
    <xf numFmtId="0" fontId="79" fillId="79" borderId="43" applyNumberFormat="0" applyAlignment="0" applyProtection="0"/>
    <xf numFmtId="0" fontId="79" fillId="79" borderId="43" applyNumberFormat="0" applyAlignment="0" applyProtection="0"/>
    <xf numFmtId="0" fontId="79" fillId="79" borderId="43" applyNumberFormat="0" applyAlignment="0" applyProtection="0"/>
    <xf numFmtId="0" fontId="79" fillId="79" borderId="43" applyNumberFormat="0" applyAlignment="0" applyProtection="0"/>
    <xf numFmtId="0" fontId="79" fillId="79" borderId="43" applyNumberFormat="0" applyAlignment="0" applyProtection="0"/>
    <xf numFmtId="0" fontId="79" fillId="79" borderId="43" applyNumberFormat="0" applyAlignment="0" applyProtection="0"/>
    <xf numFmtId="0" fontId="79" fillId="79" borderId="43" applyNumberFormat="0" applyAlignment="0" applyProtection="0"/>
    <xf numFmtId="0" fontId="79" fillId="79" borderId="43" applyNumberFormat="0" applyAlignment="0" applyProtection="0"/>
    <xf numFmtId="0" fontId="79" fillId="79" borderId="43" applyNumberFormat="0" applyAlignment="0" applyProtection="0"/>
    <xf numFmtId="0" fontId="79" fillId="79" borderId="43" applyNumberFormat="0" applyAlignment="0" applyProtection="0"/>
    <xf numFmtId="0" fontId="79" fillId="79" borderId="43" applyNumberFormat="0" applyAlignment="0" applyProtection="0"/>
    <xf numFmtId="0" fontId="79" fillId="79" borderId="43" applyNumberFormat="0" applyAlignment="0" applyProtection="0"/>
    <xf numFmtId="0" fontId="79" fillId="79" borderId="43" applyNumberFormat="0" applyAlignment="0" applyProtection="0"/>
    <xf numFmtId="0" fontId="79" fillId="79" borderId="43" applyNumberFormat="0" applyAlignment="0" applyProtection="0"/>
    <xf numFmtId="0" fontId="66" fillId="79" borderId="43" applyNumberFormat="0" applyAlignment="0" applyProtection="0"/>
    <xf numFmtId="0" fontId="66" fillId="79" borderId="43" applyNumberFormat="0" applyAlignment="0" applyProtection="0"/>
    <xf numFmtId="0" fontId="66" fillId="79" borderId="43" applyNumberFormat="0" applyAlignment="0" applyProtection="0"/>
    <xf numFmtId="0" fontId="79" fillId="79" borderId="43" applyNumberFormat="0" applyAlignment="0" applyProtection="0"/>
    <xf numFmtId="0" fontId="66" fillId="79" borderId="43" applyNumberFormat="0" applyAlignment="0" applyProtection="0"/>
    <xf numFmtId="0" fontId="79" fillId="79" borderId="43" applyNumberFormat="0" applyAlignment="0" applyProtection="0"/>
    <xf numFmtId="0" fontId="79" fillId="79" borderId="43" applyNumberFormat="0" applyAlignment="0" applyProtection="0"/>
    <xf numFmtId="0" fontId="79" fillId="79" borderId="43" applyNumberFormat="0" applyAlignment="0" applyProtection="0"/>
    <xf numFmtId="0" fontId="79" fillId="79" borderId="43" applyNumberFormat="0" applyAlignment="0" applyProtection="0"/>
    <xf numFmtId="0" fontId="79" fillId="79" borderId="43" applyNumberFormat="0" applyAlignment="0" applyProtection="0"/>
    <xf numFmtId="0" fontId="79" fillId="79" borderId="43" applyNumberFormat="0" applyAlignment="0" applyProtection="0"/>
    <xf numFmtId="0" fontId="79" fillId="79" borderId="43" applyNumberFormat="0" applyAlignment="0" applyProtection="0"/>
    <xf numFmtId="0" fontId="79" fillId="79" borderId="43" applyNumberFormat="0" applyAlignment="0" applyProtection="0"/>
    <xf numFmtId="0" fontId="79" fillId="79" borderId="43" applyNumberFormat="0" applyAlignment="0" applyProtection="0"/>
    <xf numFmtId="0" fontId="79" fillId="79" borderId="43" applyNumberFormat="0" applyAlignment="0" applyProtection="0"/>
    <xf numFmtId="0" fontId="79" fillId="79" borderId="43" applyNumberFormat="0" applyAlignment="0" applyProtection="0"/>
    <xf numFmtId="0" fontId="92" fillId="0" borderId="0" applyNumberFormat="0" applyFill="0" applyBorder="0" applyAlignment="0" applyProtection="0"/>
    <xf numFmtId="0" fontId="92" fillId="0" borderId="0" applyNumberFormat="0" applyFill="0" applyBorder="0" applyAlignment="0" applyProtection="0"/>
    <xf numFmtId="0" fontId="92" fillId="0" borderId="0" applyNumberFormat="0" applyFill="0" applyBorder="0" applyAlignment="0" applyProtection="0"/>
    <xf numFmtId="0" fontId="92" fillId="0" borderId="0" applyNumberFormat="0" applyFill="0" applyBorder="0" applyAlignment="0" applyProtection="0"/>
    <xf numFmtId="0" fontId="92" fillId="0" borderId="0" applyNumberFormat="0" applyFill="0" applyBorder="0" applyAlignment="0" applyProtection="0"/>
    <xf numFmtId="0" fontId="92" fillId="0" borderId="0" applyNumberFormat="0" applyFill="0" applyBorder="0" applyAlignment="0" applyProtection="0"/>
    <xf numFmtId="0" fontId="92" fillId="0" borderId="0" applyNumberFormat="0" applyFill="0" applyBorder="0" applyAlignment="0" applyProtection="0"/>
    <xf numFmtId="0" fontId="92" fillId="0" borderId="0" applyNumberForma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92" fillId="0" borderId="0" applyNumberFormat="0" applyFill="0" applyBorder="0" applyAlignment="0" applyProtection="0"/>
    <xf numFmtId="0" fontId="92" fillId="0" borderId="0" applyNumberFormat="0" applyFill="0" applyBorder="0" applyAlignment="0" applyProtection="0"/>
    <xf numFmtId="0" fontId="92" fillId="0" borderId="0" applyNumberFormat="0" applyFill="0" applyBorder="0" applyAlignment="0" applyProtection="0"/>
    <xf numFmtId="0" fontId="92"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92" fillId="0" borderId="0" applyNumberFormat="0" applyFill="0" applyBorder="0" applyAlignment="0" applyProtection="0"/>
    <xf numFmtId="0" fontId="92" fillId="0" borderId="0" applyNumberForma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92" fillId="0" borderId="0" applyNumberFormat="0" applyFill="0" applyBorder="0" applyAlignment="0" applyProtection="0"/>
    <xf numFmtId="0" fontId="92" fillId="0" borderId="0" applyNumberFormat="0" applyFill="0" applyBorder="0" applyAlignment="0" applyProtection="0"/>
    <xf numFmtId="0" fontId="92" fillId="0" borderId="0" applyNumberFormat="0" applyFill="0" applyBorder="0" applyAlignment="0" applyProtection="0"/>
    <xf numFmtId="0" fontId="92" fillId="0" borderId="0" applyNumberFormat="0" applyFill="0" applyBorder="0" applyAlignment="0" applyProtection="0"/>
    <xf numFmtId="0" fontId="92" fillId="0" borderId="0" applyNumberFormat="0" applyFill="0" applyBorder="0" applyAlignment="0" applyProtection="0"/>
    <xf numFmtId="0" fontId="92" fillId="0" borderId="0" applyNumberFormat="0" applyFill="0" applyBorder="0" applyAlignment="0" applyProtection="0"/>
    <xf numFmtId="0" fontId="92" fillId="0" borderId="0" applyNumberFormat="0" applyFill="0" applyBorder="0" applyAlignment="0" applyProtection="0"/>
    <xf numFmtId="0" fontId="92" fillId="0" borderId="0" applyNumberFormat="0" applyFill="0" applyBorder="0" applyAlignment="0" applyProtection="0"/>
    <xf numFmtId="0" fontId="92" fillId="0" borderId="0" applyNumberFormat="0" applyFill="0" applyBorder="0" applyAlignment="0" applyProtection="0"/>
    <xf numFmtId="0" fontId="81" fillId="84" borderId="0" applyNumberFormat="0" applyBorder="0" applyAlignment="0" applyProtection="0"/>
    <xf numFmtId="0" fontId="81" fillId="84" borderId="0" applyNumberFormat="0" applyBorder="0" applyAlignment="0" applyProtection="0"/>
    <xf numFmtId="0" fontId="81" fillId="84" borderId="0" applyNumberFormat="0" applyBorder="0" applyAlignment="0" applyProtection="0"/>
    <xf numFmtId="0" fontId="81" fillId="84" borderId="0" applyNumberFormat="0" applyBorder="0" applyAlignment="0" applyProtection="0"/>
    <xf numFmtId="0" fontId="81" fillId="84" borderId="0" applyNumberFormat="0" applyBorder="0" applyAlignment="0" applyProtection="0"/>
    <xf numFmtId="0" fontId="81" fillId="84" borderId="0" applyNumberFormat="0" applyBorder="0" applyAlignment="0" applyProtection="0"/>
    <xf numFmtId="0" fontId="81" fillId="84" borderId="0" applyNumberFormat="0" applyBorder="0" applyAlignment="0" applyProtection="0"/>
    <xf numFmtId="0" fontId="81" fillId="84" borderId="0" applyNumberFormat="0" applyBorder="0" applyAlignment="0" applyProtection="0"/>
    <xf numFmtId="0" fontId="66" fillId="84" borderId="0" applyNumberFormat="0" applyBorder="0" applyAlignment="0" applyProtection="0"/>
    <xf numFmtId="0" fontId="66" fillId="84" borderId="0" applyNumberFormat="0" applyBorder="0" applyAlignment="0" applyProtection="0"/>
    <xf numFmtId="0" fontId="66" fillId="84" borderId="0" applyNumberFormat="0" applyBorder="0" applyAlignment="0" applyProtection="0"/>
    <xf numFmtId="0" fontId="66" fillId="84" borderId="0" applyNumberFormat="0" applyBorder="0" applyAlignment="0" applyProtection="0"/>
    <xf numFmtId="0" fontId="66" fillId="84" borderId="0" applyNumberFormat="0" applyBorder="0" applyAlignment="0" applyProtection="0"/>
    <xf numFmtId="0" fontId="66" fillId="84" borderId="0" applyNumberFormat="0" applyBorder="0" applyAlignment="0" applyProtection="0"/>
    <xf numFmtId="0" fontId="66" fillId="84" borderId="0" applyNumberFormat="0" applyBorder="0" applyAlignment="0" applyProtection="0"/>
    <xf numFmtId="0" fontId="66" fillId="84" borderId="0" applyNumberFormat="0" applyBorder="0" applyAlignment="0" applyProtection="0"/>
    <xf numFmtId="0" fontId="81" fillId="84" borderId="0" applyNumberFormat="0" applyBorder="0" applyAlignment="0" applyProtection="0"/>
    <xf numFmtId="0" fontId="81" fillId="84" borderId="0" applyNumberFormat="0" applyBorder="0" applyAlignment="0" applyProtection="0"/>
    <xf numFmtId="0" fontId="81" fillId="84" borderId="0" applyNumberFormat="0" applyBorder="0" applyAlignment="0" applyProtection="0"/>
    <xf numFmtId="0" fontId="81" fillId="84" borderId="0" applyNumberFormat="0" applyBorder="0" applyAlignment="0" applyProtection="0"/>
    <xf numFmtId="0" fontId="81" fillId="84" borderId="0" applyNumberFormat="0" applyBorder="0" applyAlignment="0" applyProtection="0"/>
    <xf numFmtId="0" fontId="81" fillId="84" borderId="0" applyNumberFormat="0" applyBorder="0" applyAlignment="0" applyProtection="0"/>
    <xf numFmtId="0" fontId="66" fillId="84" borderId="0" applyNumberFormat="0" applyBorder="0" applyAlignment="0" applyProtection="0"/>
    <xf numFmtId="0" fontId="66" fillId="84" borderId="0" applyNumberFormat="0" applyBorder="0" applyAlignment="0" applyProtection="0"/>
    <xf numFmtId="0" fontId="66" fillId="84" borderId="0" applyNumberFormat="0" applyBorder="0" applyAlignment="0" applyProtection="0"/>
    <xf numFmtId="0" fontId="66" fillId="84" borderId="0" applyNumberFormat="0" applyBorder="0" applyAlignment="0" applyProtection="0"/>
    <xf numFmtId="0" fontId="66" fillId="84" borderId="0" applyNumberFormat="0" applyBorder="0" applyAlignment="0" applyProtection="0"/>
    <xf numFmtId="0" fontId="66" fillId="84" borderId="0" applyNumberFormat="0" applyBorder="0" applyAlignment="0" applyProtection="0"/>
    <xf numFmtId="0" fontId="66" fillId="84" borderId="0" applyNumberFormat="0" applyBorder="0" applyAlignment="0" applyProtection="0"/>
    <xf numFmtId="0" fontId="66" fillId="84" borderId="0" applyNumberFormat="0" applyBorder="0" applyAlignment="0" applyProtection="0"/>
    <xf numFmtId="0" fontId="81" fillId="84" borderId="0" applyNumberFormat="0" applyBorder="0" applyAlignment="0" applyProtection="0"/>
    <xf numFmtId="0" fontId="81" fillId="84" borderId="0" applyNumberFormat="0" applyBorder="0" applyAlignment="0" applyProtection="0"/>
    <xf numFmtId="0" fontId="81" fillId="84" borderId="0" applyNumberFormat="0" applyBorder="0" applyAlignment="0" applyProtection="0"/>
    <xf numFmtId="0" fontId="81" fillId="84" borderId="0" applyNumberFormat="0" applyBorder="0" applyAlignment="0" applyProtection="0"/>
    <xf numFmtId="0" fontId="81" fillId="84" borderId="0" applyNumberFormat="0" applyBorder="0" applyAlignment="0" applyProtection="0"/>
    <xf numFmtId="0" fontId="81" fillId="84" borderId="0" applyNumberFormat="0" applyBorder="0" applyAlignment="0" applyProtection="0"/>
    <xf numFmtId="0" fontId="66" fillId="84" borderId="0" applyNumberFormat="0" applyBorder="0" applyAlignment="0" applyProtection="0"/>
    <xf numFmtId="0" fontId="66" fillId="84" borderId="0" applyNumberFormat="0" applyBorder="0" applyAlignment="0" applyProtection="0"/>
    <xf numFmtId="0" fontId="66" fillId="84" borderId="0" applyNumberFormat="0" applyBorder="0" applyAlignment="0" applyProtection="0"/>
    <xf numFmtId="0" fontId="81" fillId="84" borderId="0" applyNumberFormat="0" applyBorder="0" applyAlignment="0" applyProtection="0"/>
    <xf numFmtId="0" fontId="66" fillId="84" borderId="0" applyNumberFormat="0" applyBorder="0" applyAlignment="0" applyProtection="0"/>
    <xf numFmtId="0" fontId="81" fillId="84" borderId="0" applyNumberFormat="0" applyBorder="0" applyAlignment="0" applyProtection="0"/>
    <xf numFmtId="0" fontId="81" fillId="84" borderId="0" applyNumberFormat="0" applyBorder="0" applyAlignment="0" applyProtection="0"/>
    <xf numFmtId="0" fontId="81" fillId="84" borderId="0" applyNumberFormat="0" applyBorder="0" applyAlignment="0" applyProtection="0"/>
    <xf numFmtId="0" fontId="81" fillId="84" borderId="0" applyNumberFormat="0" applyBorder="0" applyAlignment="0" applyProtection="0"/>
    <xf numFmtId="0" fontId="81" fillId="84" borderId="0" applyNumberFormat="0" applyBorder="0" applyAlignment="0" applyProtection="0"/>
    <xf numFmtId="0" fontId="81" fillId="84" borderId="0" applyNumberFormat="0" applyBorder="0" applyAlignment="0" applyProtection="0"/>
    <xf numFmtId="0" fontId="81" fillId="84" borderId="0" applyNumberFormat="0" applyBorder="0" applyAlignment="0" applyProtection="0"/>
    <xf numFmtId="0" fontId="81" fillId="84" borderId="0" applyNumberFormat="0" applyBorder="0" applyAlignment="0" applyProtection="0"/>
    <xf numFmtId="0" fontId="81" fillId="84" borderId="0" applyNumberFormat="0" applyBorder="0" applyAlignment="0" applyProtection="0"/>
    <xf numFmtId="0" fontId="81" fillId="84" borderId="0" applyNumberFormat="0" applyBorder="0" applyAlignment="0" applyProtection="0"/>
    <xf numFmtId="0" fontId="81" fillId="84" borderId="0" applyNumberFormat="0" applyBorder="0" applyAlignment="0" applyProtection="0"/>
    <xf numFmtId="0" fontId="81" fillId="84" borderId="0" applyNumberFormat="0" applyBorder="0" applyAlignment="0" applyProtection="0"/>
    <xf numFmtId="0" fontId="81" fillId="84" borderId="0" applyNumberFormat="0" applyBorder="0" applyAlignment="0" applyProtection="0"/>
    <xf numFmtId="0" fontId="81" fillId="84" borderId="0" applyNumberFormat="0" applyBorder="0" applyAlignment="0" applyProtection="0"/>
    <xf numFmtId="0" fontId="66" fillId="84" borderId="0" applyNumberFormat="0" applyBorder="0" applyAlignment="0" applyProtection="0"/>
    <xf numFmtId="0" fontId="66" fillId="84" borderId="0" applyNumberFormat="0" applyBorder="0" applyAlignment="0" applyProtection="0"/>
    <xf numFmtId="0" fontId="66" fillId="84" borderId="0" applyNumberFormat="0" applyBorder="0" applyAlignment="0" applyProtection="0"/>
    <xf numFmtId="0" fontId="81" fillId="84" borderId="0" applyNumberFormat="0" applyBorder="0" applyAlignment="0" applyProtection="0"/>
    <xf numFmtId="0" fontId="66" fillId="84" borderId="0" applyNumberFormat="0" applyBorder="0" applyAlignment="0" applyProtection="0"/>
    <xf numFmtId="0" fontId="81" fillId="84" borderId="0" applyNumberFormat="0" applyBorder="0" applyAlignment="0" applyProtection="0"/>
    <xf numFmtId="0" fontId="81" fillId="84" borderId="0" applyNumberFormat="0" applyBorder="0" applyAlignment="0" applyProtection="0"/>
    <xf numFmtId="0" fontId="81" fillId="84" borderId="0" applyNumberFormat="0" applyBorder="0" applyAlignment="0" applyProtection="0"/>
    <xf numFmtId="0" fontId="81" fillId="84" borderId="0" applyNumberFormat="0" applyBorder="0" applyAlignment="0" applyProtection="0"/>
    <xf numFmtId="0" fontId="81" fillId="84" borderId="0" applyNumberFormat="0" applyBorder="0" applyAlignment="0" applyProtection="0"/>
    <xf numFmtId="0" fontId="81" fillId="84" borderId="0" applyNumberFormat="0" applyBorder="0" applyAlignment="0" applyProtection="0"/>
    <xf numFmtId="0" fontId="81" fillId="84" borderId="0" applyNumberFormat="0" applyBorder="0" applyAlignment="0" applyProtection="0"/>
    <xf numFmtId="0" fontId="81" fillId="84" borderId="0" applyNumberFormat="0" applyBorder="0" applyAlignment="0" applyProtection="0"/>
    <xf numFmtId="0" fontId="81" fillId="84" borderId="0" applyNumberFormat="0" applyBorder="0" applyAlignment="0" applyProtection="0"/>
    <xf numFmtId="0" fontId="81" fillId="84" borderId="0" applyNumberFormat="0" applyBorder="0" applyAlignment="0" applyProtection="0"/>
    <xf numFmtId="0" fontId="81" fillId="84" borderId="0" applyNumberFormat="0" applyBorder="0" applyAlignment="0" applyProtection="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93" fillId="0" borderId="0"/>
    <xf numFmtId="0" fontId="93" fillId="0" borderId="0"/>
    <xf numFmtId="0" fontId="93" fillId="0" borderId="0"/>
    <xf numFmtId="0" fontId="93" fillId="0" borderId="0"/>
    <xf numFmtId="0" fontId="66" fillId="0" borderId="0"/>
    <xf numFmtId="0" fontId="93" fillId="0" borderId="0"/>
    <xf numFmtId="0" fontId="66" fillId="0" borderId="0"/>
    <xf numFmtId="0" fontId="93" fillId="0" borderId="0"/>
    <xf numFmtId="0" fontId="93" fillId="0" borderId="0"/>
    <xf numFmtId="0" fontId="66" fillId="0" borderId="0"/>
    <xf numFmtId="0" fontId="66" fillId="0" borderId="0"/>
    <xf numFmtId="0" fontId="94" fillId="0" borderId="0"/>
    <xf numFmtId="0" fontId="66"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7" fillId="0" borderId="0"/>
    <xf numFmtId="0" fontId="67" fillId="0" borderId="0"/>
    <xf numFmtId="0" fontId="67" fillId="0" borderId="0"/>
    <xf numFmtId="0" fontId="67"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7" fillId="0" borderId="0"/>
    <xf numFmtId="0" fontId="67" fillId="0" borderId="0"/>
    <xf numFmtId="0" fontId="67" fillId="0" borderId="0"/>
    <xf numFmtId="0" fontId="67"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6" fillId="0" borderId="0"/>
    <xf numFmtId="0" fontId="67"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95" fillId="0" borderId="0"/>
    <xf numFmtId="0" fontId="67" fillId="0" borderId="0"/>
    <xf numFmtId="0" fontId="67" fillId="0" borderId="0"/>
    <xf numFmtId="0" fontId="67" fillId="0" borderId="0"/>
    <xf numFmtId="0" fontId="66" fillId="0" borderId="0"/>
    <xf numFmtId="0" fontId="67"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7" fillId="0" borderId="0"/>
    <xf numFmtId="0" fontId="67" fillId="0" borderId="0"/>
    <xf numFmtId="0" fontId="67" fillId="0" borderId="0"/>
    <xf numFmtId="0" fontId="67"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7" fillId="0" borderId="0"/>
    <xf numFmtId="0" fontId="67" fillId="0" borderId="0"/>
    <xf numFmtId="0" fontId="67" fillId="0" borderId="0"/>
    <xf numFmtId="0" fontId="67"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7" fillId="0" borderId="0"/>
    <xf numFmtId="0" fontId="67" fillId="0" borderId="0"/>
    <xf numFmtId="0" fontId="67" fillId="0" borderId="0"/>
    <xf numFmtId="0" fontId="67" fillId="0" borderId="0"/>
    <xf numFmtId="0" fontId="66" fillId="0" borderId="0"/>
    <xf numFmtId="0" fontId="66" fillId="0" borderId="0"/>
    <xf numFmtId="0" fontId="66" fillId="0" borderId="0"/>
    <xf numFmtId="0" fontId="82" fillId="36" borderId="0" applyNumberFormat="0" applyBorder="0" applyAlignment="0" applyProtection="0"/>
    <xf numFmtId="0" fontId="82" fillId="36" borderId="0" applyNumberFormat="0" applyBorder="0" applyAlignment="0" applyProtection="0"/>
    <xf numFmtId="0" fontId="82" fillId="36" borderId="0" applyNumberFormat="0" applyBorder="0" applyAlignment="0" applyProtection="0"/>
    <xf numFmtId="0" fontId="82" fillId="36" borderId="0" applyNumberFormat="0" applyBorder="0" applyAlignment="0" applyProtection="0"/>
    <xf numFmtId="0" fontId="82" fillId="36" borderId="0" applyNumberFormat="0" applyBorder="0" applyAlignment="0" applyProtection="0"/>
    <xf numFmtId="0" fontId="82" fillId="36" borderId="0" applyNumberFormat="0" applyBorder="0" applyAlignment="0" applyProtection="0"/>
    <xf numFmtId="0" fontId="82" fillId="36" borderId="0" applyNumberFormat="0" applyBorder="0" applyAlignment="0" applyProtection="0"/>
    <xf numFmtId="0" fontId="82" fillId="36" borderId="0" applyNumberFormat="0" applyBorder="0" applyAlignment="0" applyProtection="0"/>
    <xf numFmtId="0" fontId="66" fillId="36" borderId="0" applyNumberFormat="0" applyBorder="0" applyAlignment="0" applyProtection="0"/>
    <xf numFmtId="0" fontId="66" fillId="36" borderId="0" applyNumberFormat="0" applyBorder="0" applyAlignment="0" applyProtection="0"/>
    <xf numFmtId="0" fontId="66" fillId="36" borderId="0" applyNumberFormat="0" applyBorder="0" applyAlignment="0" applyProtection="0"/>
    <xf numFmtId="0" fontId="66" fillId="36" borderId="0" applyNumberFormat="0" applyBorder="0" applyAlignment="0" applyProtection="0"/>
    <xf numFmtId="0" fontId="66" fillId="36" borderId="0" applyNumberFormat="0" applyBorder="0" applyAlignment="0" applyProtection="0"/>
    <xf numFmtId="0" fontId="66" fillId="36" borderId="0" applyNumberFormat="0" applyBorder="0" applyAlignment="0" applyProtection="0"/>
    <xf numFmtId="0" fontId="66" fillId="36" borderId="0" applyNumberFormat="0" applyBorder="0" applyAlignment="0" applyProtection="0"/>
    <xf numFmtId="0" fontId="66" fillId="36" borderId="0" applyNumberFormat="0" applyBorder="0" applyAlignment="0" applyProtection="0"/>
    <xf numFmtId="0" fontId="82" fillId="36" borderId="0" applyNumberFormat="0" applyBorder="0" applyAlignment="0" applyProtection="0"/>
    <xf numFmtId="0" fontId="82" fillId="36" borderId="0" applyNumberFormat="0" applyBorder="0" applyAlignment="0" applyProtection="0"/>
    <xf numFmtId="0" fontId="82" fillId="36" borderId="0" applyNumberFormat="0" applyBorder="0" applyAlignment="0" applyProtection="0"/>
    <xf numFmtId="0" fontId="82" fillId="36" borderId="0" applyNumberFormat="0" applyBorder="0" applyAlignment="0" applyProtection="0"/>
    <xf numFmtId="0" fontId="82" fillId="36" borderId="0" applyNumberFormat="0" applyBorder="0" applyAlignment="0" applyProtection="0"/>
    <xf numFmtId="0" fontId="82" fillId="36" borderId="0" applyNumberFormat="0" applyBorder="0" applyAlignment="0" applyProtection="0"/>
    <xf numFmtId="0" fontId="66" fillId="36" borderId="0" applyNumberFormat="0" applyBorder="0" applyAlignment="0" applyProtection="0"/>
    <xf numFmtId="0" fontId="66" fillId="36" borderId="0" applyNumberFormat="0" applyBorder="0" applyAlignment="0" applyProtection="0"/>
    <xf numFmtId="0" fontId="66" fillId="36" borderId="0" applyNumberFormat="0" applyBorder="0" applyAlignment="0" applyProtection="0"/>
    <xf numFmtId="0" fontId="66" fillId="36" borderId="0" applyNumberFormat="0" applyBorder="0" applyAlignment="0" applyProtection="0"/>
    <xf numFmtId="0" fontId="66" fillId="36" borderId="0" applyNumberFormat="0" applyBorder="0" applyAlignment="0" applyProtection="0"/>
    <xf numFmtId="0" fontId="66" fillId="36" borderId="0" applyNumberFormat="0" applyBorder="0" applyAlignment="0" applyProtection="0"/>
    <xf numFmtId="0" fontId="66" fillId="36" borderId="0" applyNumberFormat="0" applyBorder="0" applyAlignment="0" applyProtection="0"/>
    <xf numFmtId="0" fontId="66" fillId="36" borderId="0" applyNumberFormat="0" applyBorder="0" applyAlignment="0" applyProtection="0"/>
    <xf numFmtId="0" fontId="82" fillId="36" borderId="0" applyNumberFormat="0" applyBorder="0" applyAlignment="0" applyProtection="0"/>
    <xf numFmtId="0" fontId="82" fillId="36" borderId="0" applyNumberFormat="0" applyBorder="0" applyAlignment="0" applyProtection="0"/>
    <xf numFmtId="0" fontId="82" fillId="36" borderId="0" applyNumberFormat="0" applyBorder="0" applyAlignment="0" applyProtection="0"/>
    <xf numFmtId="0" fontId="82" fillId="36" borderId="0" applyNumberFormat="0" applyBorder="0" applyAlignment="0" applyProtection="0"/>
    <xf numFmtId="0" fontId="82" fillId="36" borderId="0" applyNumberFormat="0" applyBorder="0" applyAlignment="0" applyProtection="0"/>
    <xf numFmtId="0" fontId="82" fillId="36" borderId="0" applyNumberFormat="0" applyBorder="0" applyAlignment="0" applyProtection="0"/>
    <xf numFmtId="0" fontId="66" fillId="36" borderId="0" applyNumberFormat="0" applyBorder="0" applyAlignment="0" applyProtection="0"/>
    <xf numFmtId="0" fontId="66" fillId="36" borderId="0" applyNumberFormat="0" applyBorder="0" applyAlignment="0" applyProtection="0"/>
    <xf numFmtId="0" fontId="66" fillId="36" borderId="0" applyNumberFormat="0" applyBorder="0" applyAlignment="0" applyProtection="0"/>
    <xf numFmtId="0" fontId="82" fillId="36" borderId="0" applyNumberFormat="0" applyBorder="0" applyAlignment="0" applyProtection="0"/>
    <xf numFmtId="0" fontId="66" fillId="36" borderId="0" applyNumberFormat="0" applyBorder="0" applyAlignment="0" applyProtection="0"/>
    <xf numFmtId="0" fontId="82" fillId="36" borderId="0" applyNumberFormat="0" applyBorder="0" applyAlignment="0" applyProtection="0"/>
    <xf numFmtId="0" fontId="82" fillId="36" borderId="0" applyNumberFormat="0" applyBorder="0" applyAlignment="0" applyProtection="0"/>
    <xf numFmtId="0" fontId="82" fillId="36" borderId="0" applyNumberFormat="0" applyBorder="0" applyAlignment="0" applyProtection="0"/>
    <xf numFmtId="0" fontId="82" fillId="36" borderId="0" applyNumberFormat="0" applyBorder="0" applyAlignment="0" applyProtection="0"/>
    <xf numFmtId="0" fontId="82" fillId="36" borderId="0" applyNumberFormat="0" applyBorder="0" applyAlignment="0" applyProtection="0"/>
    <xf numFmtId="0" fontId="82" fillId="36" borderId="0" applyNumberFormat="0" applyBorder="0" applyAlignment="0" applyProtection="0"/>
    <xf numFmtId="0" fontId="82" fillId="36" borderId="0" applyNumberFormat="0" applyBorder="0" applyAlignment="0" applyProtection="0"/>
    <xf numFmtId="0" fontId="82" fillId="36" borderId="0" applyNumberFormat="0" applyBorder="0" applyAlignment="0" applyProtection="0"/>
    <xf numFmtId="0" fontId="82" fillId="36" borderId="0" applyNumberFormat="0" applyBorder="0" applyAlignment="0" applyProtection="0"/>
    <xf numFmtId="0" fontId="82" fillId="36" borderId="0" applyNumberFormat="0" applyBorder="0" applyAlignment="0" applyProtection="0"/>
    <xf numFmtId="0" fontId="82" fillId="36" borderId="0" applyNumberFormat="0" applyBorder="0" applyAlignment="0" applyProtection="0"/>
    <xf numFmtId="0" fontId="82" fillId="36" borderId="0" applyNumberFormat="0" applyBorder="0" applyAlignment="0" applyProtection="0"/>
    <xf numFmtId="0" fontId="82" fillId="36" borderId="0" applyNumberFormat="0" applyBorder="0" applyAlignment="0" applyProtection="0"/>
    <xf numFmtId="0" fontId="82" fillId="36" borderId="0" applyNumberFormat="0" applyBorder="0" applyAlignment="0" applyProtection="0"/>
    <xf numFmtId="0" fontId="66" fillId="36" borderId="0" applyNumberFormat="0" applyBorder="0" applyAlignment="0" applyProtection="0"/>
    <xf numFmtId="0" fontId="66" fillId="36" borderId="0" applyNumberFormat="0" applyBorder="0" applyAlignment="0" applyProtection="0"/>
    <xf numFmtId="0" fontId="66" fillId="36" borderId="0" applyNumberFormat="0" applyBorder="0" applyAlignment="0" applyProtection="0"/>
    <xf numFmtId="0" fontId="82" fillId="36" borderId="0" applyNumberFormat="0" applyBorder="0" applyAlignment="0" applyProtection="0"/>
    <xf numFmtId="0" fontId="66" fillId="36" borderId="0" applyNumberFormat="0" applyBorder="0" applyAlignment="0" applyProtection="0"/>
    <xf numFmtId="0" fontId="82" fillId="36" borderId="0" applyNumberFormat="0" applyBorder="0" applyAlignment="0" applyProtection="0"/>
    <xf numFmtId="0" fontId="82" fillId="36" borderId="0" applyNumberFormat="0" applyBorder="0" applyAlignment="0" applyProtection="0"/>
    <xf numFmtId="0" fontId="82" fillId="36" borderId="0" applyNumberFormat="0" applyBorder="0" applyAlignment="0" applyProtection="0"/>
    <xf numFmtId="0" fontId="82" fillId="36" borderId="0" applyNumberFormat="0" applyBorder="0" applyAlignment="0" applyProtection="0"/>
    <xf numFmtId="0" fontId="82" fillId="36" borderId="0" applyNumberFormat="0" applyBorder="0" applyAlignment="0" applyProtection="0"/>
    <xf numFmtId="0" fontId="82" fillId="36" borderId="0" applyNumberFormat="0" applyBorder="0" applyAlignment="0" applyProtection="0"/>
    <xf numFmtId="0" fontId="82" fillId="36" borderId="0" applyNumberFormat="0" applyBorder="0" applyAlignment="0" applyProtection="0"/>
    <xf numFmtId="0" fontId="82" fillId="36" borderId="0" applyNumberFormat="0" applyBorder="0" applyAlignment="0" applyProtection="0"/>
    <xf numFmtId="0" fontId="82" fillId="36" borderId="0" applyNumberFormat="0" applyBorder="0" applyAlignment="0" applyProtection="0"/>
    <xf numFmtId="0" fontId="82" fillId="36" borderId="0" applyNumberFormat="0" applyBorder="0" applyAlignment="0" applyProtection="0"/>
    <xf numFmtId="0" fontId="82" fillId="36" borderId="0" applyNumberFormat="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83" fillId="0" borderId="0" applyNumberFormat="0" applyFill="0" applyBorder="0" applyAlignment="0" applyProtection="0"/>
    <xf numFmtId="0" fontId="66"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83" fillId="0" borderId="0" applyNumberFormat="0" applyFill="0" applyBorder="0" applyAlignment="0" applyProtection="0"/>
    <xf numFmtId="0" fontId="66"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66" fillId="86" borderId="49" applyNumberFormat="0" applyFont="0" applyAlignment="0" applyProtection="0"/>
    <xf numFmtId="0" fontId="66" fillId="86" borderId="49" applyNumberFormat="0" applyFont="0" applyAlignment="0" applyProtection="0"/>
    <xf numFmtId="0" fontId="66" fillId="86" borderId="49" applyNumberFormat="0" applyFont="0" applyAlignment="0" applyProtection="0"/>
    <xf numFmtId="0" fontId="66" fillId="86" borderId="49" applyNumberFormat="0" applyFont="0" applyAlignment="0" applyProtection="0"/>
    <xf numFmtId="0" fontId="66" fillId="86" borderId="49" applyNumberFormat="0" applyFont="0" applyAlignment="0" applyProtection="0"/>
    <xf numFmtId="0" fontId="66" fillId="86" borderId="49" applyNumberFormat="0" applyFont="0" applyAlignment="0" applyProtection="0"/>
    <xf numFmtId="0" fontId="66" fillId="86" borderId="49" applyNumberFormat="0" applyFont="0" applyAlignment="0" applyProtection="0"/>
    <xf numFmtId="0" fontId="66" fillId="86" borderId="49" applyNumberFormat="0" applyFont="0" applyAlignment="0" applyProtection="0"/>
    <xf numFmtId="0" fontId="66" fillId="86" borderId="49" applyNumberFormat="0" applyFont="0" applyAlignment="0" applyProtection="0"/>
    <xf numFmtId="0" fontId="66" fillId="86" borderId="49" applyNumberFormat="0" applyFont="0" applyAlignment="0" applyProtection="0"/>
    <xf numFmtId="0" fontId="66" fillId="86" borderId="49" applyNumberFormat="0" applyFont="0" applyAlignment="0" applyProtection="0"/>
    <xf numFmtId="0" fontId="66" fillId="86" borderId="49" applyNumberFormat="0" applyFont="0" applyAlignment="0" applyProtection="0"/>
    <xf numFmtId="0" fontId="66" fillId="86" borderId="49" applyNumberFormat="0" applyFont="0" applyAlignment="0" applyProtection="0"/>
    <xf numFmtId="0" fontId="66" fillId="86" borderId="49" applyNumberFormat="0" applyFont="0" applyAlignment="0" applyProtection="0"/>
    <xf numFmtId="0" fontId="66" fillId="86" borderId="49" applyNumberFormat="0" applyFont="0" applyAlignment="0" applyProtection="0"/>
    <xf numFmtId="0" fontId="66" fillId="86" borderId="49" applyNumberFormat="0" applyFont="0" applyAlignment="0" applyProtection="0"/>
    <xf numFmtId="0" fontId="66" fillId="86" borderId="49" applyNumberFormat="0" applyFont="0" applyAlignment="0" applyProtection="0"/>
    <xf numFmtId="0" fontId="66" fillId="86" borderId="49" applyNumberFormat="0" applyFont="0" applyAlignment="0" applyProtection="0"/>
    <xf numFmtId="0" fontId="66" fillId="86" borderId="49" applyNumberFormat="0" applyFont="0" applyAlignment="0" applyProtection="0"/>
    <xf numFmtId="0" fontId="66" fillId="86" borderId="49" applyNumberFormat="0" applyFont="0" applyAlignment="0" applyProtection="0"/>
    <xf numFmtId="0" fontId="66" fillId="86" borderId="49" applyNumberFormat="0" applyFont="0" applyAlignment="0" applyProtection="0"/>
    <xf numFmtId="0" fontId="66" fillId="86" borderId="49" applyNumberFormat="0" applyFont="0" applyAlignment="0" applyProtection="0"/>
    <xf numFmtId="0" fontId="66" fillId="86" borderId="49" applyNumberFormat="0" applyFont="0" applyAlignment="0" applyProtection="0"/>
    <xf numFmtId="0" fontId="66" fillId="86" borderId="49" applyNumberFormat="0" applyFont="0" applyAlignment="0" applyProtection="0"/>
    <xf numFmtId="0" fontId="66" fillId="86" borderId="49" applyNumberFormat="0" applyFont="0" applyAlignment="0" applyProtection="0"/>
    <xf numFmtId="0" fontId="66" fillId="86" borderId="49" applyNumberFormat="0" applyFont="0" applyAlignment="0" applyProtection="0"/>
    <xf numFmtId="0" fontId="66" fillId="86" borderId="49" applyNumberFormat="0" applyFont="0" applyAlignment="0" applyProtection="0"/>
    <xf numFmtId="0" fontId="66" fillId="86" borderId="49" applyNumberFormat="0" applyFont="0" applyAlignment="0" applyProtection="0"/>
    <xf numFmtId="0" fontId="66" fillId="86" borderId="49" applyNumberFormat="0" applyFont="0" applyAlignment="0" applyProtection="0"/>
    <xf numFmtId="0" fontId="66" fillId="86" borderId="49" applyNumberFormat="0" applyFont="0" applyAlignment="0" applyProtection="0"/>
    <xf numFmtId="0" fontId="66" fillId="86" borderId="49" applyNumberFormat="0" applyFont="0" applyAlignment="0" applyProtection="0"/>
    <xf numFmtId="0" fontId="66" fillId="86" borderId="49" applyNumberFormat="0" applyFont="0" applyAlignment="0" applyProtection="0"/>
    <xf numFmtId="0" fontId="66" fillId="86" borderId="49" applyNumberFormat="0" applyFont="0" applyAlignment="0" applyProtection="0"/>
    <xf numFmtId="0" fontId="66" fillId="86" borderId="49" applyNumberFormat="0" applyFont="0" applyAlignment="0" applyProtection="0"/>
    <xf numFmtId="0" fontId="66" fillId="86" borderId="49" applyNumberFormat="0" applyFont="0" applyAlignment="0" applyProtection="0"/>
    <xf numFmtId="0" fontId="66" fillId="86" borderId="49" applyNumberFormat="0" applyFont="0" applyAlignment="0" applyProtection="0"/>
    <xf numFmtId="0" fontId="66" fillId="86" borderId="49" applyNumberFormat="0" applyFont="0" applyAlignment="0" applyProtection="0"/>
    <xf numFmtId="0" fontId="66" fillId="86" borderId="49" applyNumberFormat="0" applyFont="0" applyAlignment="0" applyProtection="0"/>
    <xf numFmtId="0" fontId="66" fillId="86" borderId="49" applyNumberFormat="0" applyFont="0" applyAlignment="0" applyProtection="0"/>
    <xf numFmtId="0" fontId="66" fillId="86" borderId="49" applyNumberFormat="0" applyFont="0" applyAlignment="0" applyProtection="0"/>
    <xf numFmtId="0" fontId="66" fillId="86" borderId="49" applyNumberFormat="0" applyFont="0" applyAlignment="0" applyProtection="0"/>
    <xf numFmtId="0" fontId="66" fillId="86" borderId="49" applyNumberFormat="0" applyFont="0" applyAlignment="0" applyProtection="0"/>
    <xf numFmtId="0" fontId="66" fillId="86" borderId="49" applyNumberFormat="0" applyFont="0" applyAlignment="0" applyProtection="0"/>
    <xf numFmtId="0" fontId="66" fillId="86" borderId="49" applyNumberFormat="0" applyFont="0" applyAlignment="0" applyProtection="0"/>
    <xf numFmtId="0" fontId="66" fillId="86" borderId="49" applyNumberFormat="0" applyFont="0" applyAlignment="0" applyProtection="0"/>
    <xf numFmtId="0" fontId="66" fillId="86" borderId="49" applyNumberFormat="0" applyFont="0" applyAlignment="0" applyProtection="0"/>
    <xf numFmtId="0" fontId="66" fillId="86" borderId="49" applyNumberFormat="0" applyFont="0" applyAlignment="0" applyProtection="0"/>
    <xf numFmtId="0" fontId="66" fillId="86" borderId="49" applyNumberFormat="0" applyFont="0" applyAlignment="0" applyProtection="0"/>
    <xf numFmtId="0" fontId="66" fillId="86" borderId="49" applyNumberFormat="0" applyFont="0" applyAlignment="0" applyProtection="0"/>
    <xf numFmtId="0" fontId="66" fillId="86" borderId="49" applyNumberFormat="0" applyFont="0" applyAlignment="0" applyProtection="0"/>
    <xf numFmtId="0" fontId="66" fillId="86" borderId="49" applyNumberFormat="0" applyFont="0" applyAlignment="0" applyProtection="0"/>
    <xf numFmtId="0" fontId="66" fillId="86" borderId="49" applyNumberFormat="0" applyFont="0" applyAlignment="0" applyProtection="0"/>
    <xf numFmtId="0" fontId="66" fillId="86" borderId="49" applyNumberFormat="0" applyFont="0" applyAlignment="0" applyProtection="0"/>
    <xf numFmtId="0" fontId="66" fillId="86" borderId="49" applyNumberFormat="0" applyFont="0" applyAlignment="0" applyProtection="0"/>
    <xf numFmtId="0" fontId="66" fillId="86" borderId="49" applyNumberFormat="0" applyFont="0" applyAlignment="0" applyProtection="0"/>
    <xf numFmtId="0" fontId="66" fillId="86" borderId="49" applyNumberFormat="0" applyFont="0" applyAlignment="0" applyProtection="0"/>
    <xf numFmtId="0" fontId="66" fillId="86" borderId="49" applyNumberFormat="0" applyFont="0" applyAlignment="0" applyProtection="0"/>
    <xf numFmtId="0" fontId="66" fillId="86" borderId="49" applyNumberFormat="0" applyFont="0" applyAlignment="0" applyProtection="0"/>
    <xf numFmtId="0" fontId="66" fillId="86" borderId="49" applyNumberFormat="0" applyFont="0" applyAlignment="0" applyProtection="0"/>
    <xf numFmtId="0" fontId="66" fillId="86" borderId="49" applyNumberFormat="0" applyFont="0" applyAlignment="0" applyProtection="0"/>
    <xf numFmtId="0" fontId="66" fillId="86" borderId="49" applyNumberFormat="0" applyFont="0" applyAlignment="0" applyProtection="0"/>
    <xf numFmtId="0" fontId="66" fillId="86" borderId="49" applyNumberFormat="0" applyFont="0" applyAlignment="0" applyProtection="0"/>
    <xf numFmtId="0" fontId="66" fillId="86" borderId="49" applyNumberFormat="0" applyFont="0" applyAlignment="0" applyProtection="0"/>
    <xf numFmtId="0" fontId="66" fillId="86" borderId="49" applyNumberFormat="0" applyFont="0" applyAlignment="0" applyProtection="0"/>
    <xf numFmtId="0" fontId="66" fillId="86" borderId="49" applyNumberFormat="0" applyFont="0" applyAlignment="0" applyProtection="0"/>
    <xf numFmtId="0" fontId="66" fillId="86" borderId="49" applyNumberFormat="0" applyFont="0" applyAlignment="0" applyProtection="0"/>
    <xf numFmtId="0" fontId="66" fillId="86" borderId="49" applyNumberFormat="0" applyFont="0" applyAlignment="0" applyProtection="0"/>
    <xf numFmtId="0" fontId="66" fillId="86" borderId="49" applyNumberFormat="0" applyFont="0" applyAlignment="0" applyProtection="0"/>
    <xf numFmtId="0" fontId="66" fillId="86" borderId="49" applyNumberFormat="0" applyFont="0" applyAlignment="0" applyProtection="0"/>
    <xf numFmtId="0" fontId="66" fillId="86" borderId="49" applyNumberFormat="0" applyFont="0" applyAlignment="0" applyProtection="0"/>
    <xf numFmtId="0" fontId="66" fillId="86" borderId="49" applyNumberFormat="0" applyFont="0" applyAlignment="0" applyProtection="0"/>
    <xf numFmtId="0" fontId="66" fillId="86" borderId="49" applyNumberFormat="0" applyFont="0" applyAlignment="0" applyProtection="0"/>
    <xf numFmtId="0" fontId="66" fillId="86" borderId="49" applyNumberFormat="0" applyFont="0" applyAlignment="0" applyProtection="0"/>
    <xf numFmtId="0" fontId="84" fillId="0" borderId="44" applyNumberFormat="0" applyFill="0" applyAlignment="0" applyProtection="0"/>
    <xf numFmtId="0" fontId="84" fillId="0" borderId="44" applyNumberFormat="0" applyFill="0" applyAlignment="0" applyProtection="0"/>
    <xf numFmtId="0" fontId="84" fillId="0" borderId="44" applyNumberFormat="0" applyFill="0" applyAlignment="0" applyProtection="0"/>
    <xf numFmtId="0" fontId="84" fillId="0" borderId="44" applyNumberFormat="0" applyFill="0" applyAlignment="0" applyProtection="0"/>
    <xf numFmtId="0" fontId="84" fillId="0" borderId="44" applyNumberFormat="0" applyFill="0" applyAlignment="0" applyProtection="0"/>
    <xf numFmtId="0" fontId="84" fillId="0" borderId="44" applyNumberFormat="0" applyFill="0" applyAlignment="0" applyProtection="0"/>
    <xf numFmtId="0" fontId="84" fillId="0" borderId="44" applyNumberFormat="0" applyFill="0" applyAlignment="0" applyProtection="0"/>
    <xf numFmtId="0" fontId="84" fillId="0" borderId="44" applyNumberFormat="0" applyFill="0" applyAlignment="0" applyProtection="0"/>
    <xf numFmtId="0" fontId="66" fillId="0" borderId="44" applyNumberFormat="0" applyFill="0" applyAlignment="0" applyProtection="0"/>
    <xf numFmtId="0" fontId="66" fillId="0" borderId="44" applyNumberFormat="0" applyFill="0" applyAlignment="0" applyProtection="0"/>
    <xf numFmtId="0" fontId="66" fillId="0" borderId="44" applyNumberFormat="0" applyFill="0" applyAlignment="0" applyProtection="0"/>
    <xf numFmtId="0" fontId="66" fillId="0" borderId="44" applyNumberFormat="0" applyFill="0" applyAlignment="0" applyProtection="0"/>
    <xf numFmtId="0" fontId="66" fillId="0" borderId="44" applyNumberFormat="0" applyFill="0" applyAlignment="0" applyProtection="0"/>
    <xf numFmtId="0" fontId="66" fillId="0" borderId="44" applyNumberFormat="0" applyFill="0" applyAlignment="0" applyProtection="0"/>
    <xf numFmtId="0" fontId="66" fillId="0" borderId="44" applyNumberFormat="0" applyFill="0" applyAlignment="0" applyProtection="0"/>
    <xf numFmtId="0" fontId="66" fillId="0" borderId="44" applyNumberFormat="0" applyFill="0" applyAlignment="0" applyProtection="0"/>
    <xf numFmtId="0" fontId="84" fillId="0" borderId="44" applyNumberFormat="0" applyFill="0" applyAlignment="0" applyProtection="0"/>
    <xf numFmtId="0" fontId="84" fillId="0" borderId="44" applyNumberFormat="0" applyFill="0" applyAlignment="0" applyProtection="0"/>
    <xf numFmtId="0" fontId="84" fillId="0" borderId="44" applyNumberFormat="0" applyFill="0" applyAlignment="0" applyProtection="0"/>
    <xf numFmtId="0" fontId="84" fillId="0" borderId="44" applyNumberFormat="0" applyFill="0" applyAlignment="0" applyProtection="0"/>
    <xf numFmtId="0" fontId="84" fillId="0" borderId="44" applyNumberFormat="0" applyFill="0" applyAlignment="0" applyProtection="0"/>
    <xf numFmtId="0" fontId="84" fillId="0" borderId="44" applyNumberFormat="0" applyFill="0" applyAlignment="0" applyProtection="0"/>
    <xf numFmtId="0" fontId="66" fillId="0" borderId="44" applyNumberFormat="0" applyFill="0" applyAlignment="0" applyProtection="0"/>
    <xf numFmtId="0" fontId="66" fillId="0" borderId="44" applyNumberFormat="0" applyFill="0" applyAlignment="0" applyProtection="0"/>
    <xf numFmtId="0" fontId="66" fillId="0" borderId="44" applyNumberFormat="0" applyFill="0" applyAlignment="0" applyProtection="0"/>
    <xf numFmtId="0" fontId="66" fillId="0" borderId="44" applyNumberFormat="0" applyFill="0" applyAlignment="0" applyProtection="0"/>
    <xf numFmtId="0" fontId="66" fillId="0" borderId="44" applyNumberFormat="0" applyFill="0" applyAlignment="0" applyProtection="0"/>
    <xf numFmtId="0" fontId="66" fillId="0" borderId="44" applyNumberFormat="0" applyFill="0" applyAlignment="0" applyProtection="0"/>
    <xf numFmtId="0" fontId="66" fillId="0" borderId="44" applyNumberFormat="0" applyFill="0" applyAlignment="0" applyProtection="0"/>
    <xf numFmtId="0" fontId="66" fillId="0" borderId="44" applyNumberFormat="0" applyFill="0" applyAlignment="0" applyProtection="0"/>
    <xf numFmtId="0" fontId="84" fillId="0" borderId="44" applyNumberFormat="0" applyFill="0" applyAlignment="0" applyProtection="0"/>
    <xf numFmtId="0" fontId="84" fillId="0" borderId="44" applyNumberFormat="0" applyFill="0" applyAlignment="0" applyProtection="0"/>
    <xf numFmtId="0" fontId="84" fillId="0" borderId="44" applyNumberFormat="0" applyFill="0" applyAlignment="0" applyProtection="0"/>
    <xf numFmtId="0" fontId="84" fillId="0" borderId="44" applyNumberFormat="0" applyFill="0" applyAlignment="0" applyProtection="0"/>
    <xf numFmtId="0" fontId="84" fillId="0" borderId="44" applyNumberFormat="0" applyFill="0" applyAlignment="0" applyProtection="0"/>
    <xf numFmtId="0" fontId="84" fillId="0" borderId="44" applyNumberFormat="0" applyFill="0" applyAlignment="0" applyProtection="0"/>
    <xf numFmtId="0" fontId="66" fillId="0" borderId="44" applyNumberFormat="0" applyFill="0" applyAlignment="0" applyProtection="0"/>
    <xf numFmtId="0" fontId="66" fillId="0" borderId="44" applyNumberFormat="0" applyFill="0" applyAlignment="0" applyProtection="0"/>
    <xf numFmtId="0" fontId="66" fillId="0" borderId="44" applyNumberFormat="0" applyFill="0" applyAlignment="0" applyProtection="0"/>
    <xf numFmtId="0" fontId="84" fillId="0" borderId="44" applyNumberFormat="0" applyFill="0" applyAlignment="0" applyProtection="0"/>
    <xf numFmtId="0" fontId="66" fillId="0" borderId="44" applyNumberFormat="0" applyFill="0" applyAlignment="0" applyProtection="0"/>
    <xf numFmtId="0" fontId="84" fillId="0" borderId="44" applyNumberFormat="0" applyFill="0" applyAlignment="0" applyProtection="0"/>
    <xf numFmtId="0" fontId="84" fillId="0" borderId="44" applyNumberFormat="0" applyFill="0" applyAlignment="0" applyProtection="0"/>
    <xf numFmtId="0" fontId="84" fillId="0" borderId="44" applyNumberFormat="0" applyFill="0" applyAlignment="0" applyProtection="0"/>
    <xf numFmtId="0" fontId="84" fillId="0" borderId="44" applyNumberFormat="0" applyFill="0" applyAlignment="0" applyProtection="0"/>
    <xf numFmtId="0" fontId="84" fillId="0" borderId="44" applyNumberFormat="0" applyFill="0" applyAlignment="0" applyProtection="0"/>
    <xf numFmtId="0" fontId="84" fillId="0" borderId="44" applyNumberFormat="0" applyFill="0" applyAlignment="0" applyProtection="0"/>
    <xf numFmtId="0" fontId="84" fillId="0" borderId="44" applyNumberFormat="0" applyFill="0" applyAlignment="0" applyProtection="0"/>
    <xf numFmtId="0" fontId="84" fillId="0" borderId="44" applyNumberFormat="0" applyFill="0" applyAlignment="0" applyProtection="0"/>
    <xf numFmtId="0" fontId="84" fillId="0" borderId="44" applyNumberFormat="0" applyFill="0" applyAlignment="0" applyProtection="0"/>
    <xf numFmtId="0" fontId="84" fillId="0" borderId="44" applyNumberFormat="0" applyFill="0" applyAlignment="0" applyProtection="0"/>
    <xf numFmtId="0" fontId="84" fillId="0" borderId="44" applyNumberFormat="0" applyFill="0" applyAlignment="0" applyProtection="0"/>
    <xf numFmtId="0" fontId="84" fillId="0" borderId="44" applyNumberFormat="0" applyFill="0" applyAlignment="0" applyProtection="0"/>
    <xf numFmtId="0" fontId="84" fillId="0" borderId="44" applyNumberFormat="0" applyFill="0" applyAlignment="0" applyProtection="0"/>
    <xf numFmtId="0" fontId="84" fillId="0" borderId="44" applyNumberFormat="0" applyFill="0" applyAlignment="0" applyProtection="0"/>
    <xf numFmtId="0" fontId="66" fillId="0" borderId="44" applyNumberFormat="0" applyFill="0" applyAlignment="0" applyProtection="0"/>
    <xf numFmtId="0" fontId="66" fillId="0" borderId="44" applyNumberFormat="0" applyFill="0" applyAlignment="0" applyProtection="0"/>
    <xf numFmtId="0" fontId="66" fillId="0" borderId="44" applyNumberFormat="0" applyFill="0" applyAlignment="0" applyProtection="0"/>
    <xf numFmtId="0" fontId="84" fillId="0" borderId="44" applyNumberFormat="0" applyFill="0" applyAlignment="0" applyProtection="0"/>
    <xf numFmtId="0" fontId="66" fillId="0" borderId="44" applyNumberFormat="0" applyFill="0" applyAlignment="0" applyProtection="0"/>
    <xf numFmtId="0" fontId="84" fillId="0" borderId="44" applyNumberFormat="0" applyFill="0" applyAlignment="0" applyProtection="0"/>
    <xf numFmtId="0" fontId="84" fillId="0" borderId="44" applyNumberFormat="0" applyFill="0" applyAlignment="0" applyProtection="0"/>
    <xf numFmtId="0" fontId="84" fillId="0" borderId="44" applyNumberFormat="0" applyFill="0" applyAlignment="0" applyProtection="0"/>
    <xf numFmtId="0" fontId="84" fillId="0" borderId="44" applyNumberFormat="0" applyFill="0" applyAlignment="0" applyProtection="0"/>
    <xf numFmtId="0" fontId="84" fillId="0" borderId="44" applyNumberFormat="0" applyFill="0" applyAlignment="0" applyProtection="0"/>
    <xf numFmtId="0" fontId="84" fillId="0" borderId="44" applyNumberFormat="0" applyFill="0" applyAlignment="0" applyProtection="0"/>
    <xf numFmtId="0" fontId="84" fillId="0" borderId="44" applyNumberFormat="0" applyFill="0" applyAlignment="0" applyProtection="0"/>
    <xf numFmtId="0" fontId="84" fillId="0" borderId="44" applyNumberFormat="0" applyFill="0" applyAlignment="0" applyProtection="0"/>
    <xf numFmtId="0" fontId="84" fillId="0" borderId="44" applyNumberFormat="0" applyFill="0" applyAlignment="0" applyProtection="0"/>
    <xf numFmtId="0" fontId="84" fillId="0" borderId="44" applyNumberFormat="0" applyFill="0" applyAlignment="0" applyProtection="0"/>
    <xf numFmtId="0" fontId="84" fillId="0" borderId="44" applyNumberFormat="0" applyFill="0" applyAlignment="0" applyProtection="0"/>
    <xf numFmtId="0" fontId="93" fillId="0" borderId="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85" fillId="38" borderId="0" applyNumberFormat="0" applyBorder="0" applyAlignment="0" applyProtection="0"/>
    <xf numFmtId="0" fontId="85" fillId="38" borderId="0" applyNumberFormat="0" applyBorder="0" applyAlignment="0" applyProtection="0"/>
    <xf numFmtId="0" fontId="85" fillId="38" borderId="0" applyNumberFormat="0" applyBorder="0" applyAlignment="0" applyProtection="0"/>
    <xf numFmtId="0" fontId="85" fillId="38" borderId="0" applyNumberFormat="0" applyBorder="0" applyAlignment="0" applyProtection="0"/>
    <xf numFmtId="0" fontId="85" fillId="38" borderId="0" applyNumberFormat="0" applyBorder="0" applyAlignment="0" applyProtection="0"/>
    <xf numFmtId="0" fontId="85" fillId="38" borderId="0" applyNumberFormat="0" applyBorder="0" applyAlignment="0" applyProtection="0"/>
    <xf numFmtId="0" fontId="85" fillId="38" borderId="0" applyNumberFormat="0" applyBorder="0" applyAlignment="0" applyProtection="0"/>
    <xf numFmtId="0" fontId="85" fillId="38" borderId="0" applyNumberFormat="0" applyBorder="0" applyAlignment="0" applyProtection="0"/>
    <xf numFmtId="0" fontId="66" fillId="38" borderId="0" applyNumberFormat="0" applyBorder="0" applyAlignment="0" applyProtection="0"/>
    <xf numFmtId="0" fontId="66" fillId="38" borderId="0" applyNumberFormat="0" applyBorder="0" applyAlignment="0" applyProtection="0"/>
    <xf numFmtId="0" fontId="66" fillId="38" borderId="0" applyNumberFormat="0" applyBorder="0" applyAlignment="0" applyProtection="0"/>
    <xf numFmtId="0" fontId="66" fillId="38" borderId="0" applyNumberFormat="0" applyBorder="0" applyAlignment="0" applyProtection="0"/>
    <xf numFmtId="0" fontId="66" fillId="38" borderId="0" applyNumberFormat="0" applyBorder="0" applyAlignment="0" applyProtection="0"/>
    <xf numFmtId="0" fontId="66" fillId="38" borderId="0" applyNumberFormat="0" applyBorder="0" applyAlignment="0" applyProtection="0"/>
    <xf numFmtId="0" fontId="66" fillId="38" borderId="0" applyNumberFormat="0" applyBorder="0" applyAlignment="0" applyProtection="0"/>
    <xf numFmtId="0" fontId="66" fillId="38" borderId="0" applyNumberFormat="0" applyBorder="0" applyAlignment="0" applyProtection="0"/>
    <xf numFmtId="0" fontId="85" fillId="38" borderId="0" applyNumberFormat="0" applyBorder="0" applyAlignment="0" applyProtection="0"/>
    <xf numFmtId="0" fontId="85" fillId="38" borderId="0" applyNumberFormat="0" applyBorder="0" applyAlignment="0" applyProtection="0"/>
    <xf numFmtId="0" fontId="85" fillId="38" borderId="0" applyNumberFormat="0" applyBorder="0" applyAlignment="0" applyProtection="0"/>
    <xf numFmtId="0" fontId="85" fillId="38" borderId="0" applyNumberFormat="0" applyBorder="0" applyAlignment="0" applyProtection="0"/>
    <xf numFmtId="0" fontId="85" fillId="91" borderId="0" applyNumberFormat="0" applyBorder="0" applyAlignment="0" applyProtection="0"/>
    <xf numFmtId="0" fontId="85" fillId="91" borderId="0" applyNumberFormat="0" applyBorder="0" applyAlignment="0" applyProtection="0"/>
    <xf numFmtId="0" fontId="66" fillId="91" borderId="0" applyNumberFormat="0" applyBorder="0" applyAlignment="0" applyProtection="0"/>
    <xf numFmtId="0" fontId="66" fillId="91" borderId="0" applyNumberFormat="0" applyBorder="0" applyAlignment="0" applyProtection="0"/>
    <xf numFmtId="0" fontId="66" fillId="91" borderId="0" applyNumberFormat="0" applyBorder="0" applyAlignment="0" applyProtection="0"/>
    <xf numFmtId="0" fontId="66" fillId="91" borderId="0" applyNumberFormat="0" applyBorder="0" applyAlignment="0" applyProtection="0"/>
    <xf numFmtId="0" fontId="66" fillId="91" borderId="0" applyNumberFormat="0" applyBorder="0" applyAlignment="0" applyProtection="0"/>
    <xf numFmtId="0" fontId="66" fillId="91" borderId="0" applyNumberFormat="0" applyBorder="0" applyAlignment="0" applyProtection="0"/>
    <xf numFmtId="0" fontId="66" fillId="91" borderId="0" applyNumberFormat="0" applyBorder="0" applyAlignment="0" applyProtection="0"/>
    <xf numFmtId="0" fontId="66" fillId="91" borderId="0" applyNumberFormat="0" applyBorder="0" applyAlignment="0" applyProtection="0"/>
    <xf numFmtId="0" fontId="85" fillId="91" borderId="0" applyNumberFormat="0" applyBorder="0" applyAlignment="0" applyProtection="0"/>
    <xf numFmtId="0" fontId="85" fillId="91" borderId="0" applyNumberFormat="0" applyBorder="0" applyAlignment="0" applyProtection="0"/>
    <xf numFmtId="0" fontId="85" fillId="91" borderId="0" applyNumberFormat="0" applyBorder="0" applyAlignment="0" applyProtection="0"/>
    <xf numFmtId="0" fontId="85" fillId="91" borderId="0" applyNumberFormat="0" applyBorder="0" applyAlignment="0" applyProtection="0"/>
    <xf numFmtId="0" fontId="85" fillId="91" borderId="0" applyNumberFormat="0" applyBorder="0" applyAlignment="0" applyProtection="0"/>
    <xf numFmtId="0" fontId="85" fillId="91" borderId="0" applyNumberFormat="0" applyBorder="0" applyAlignment="0" applyProtection="0"/>
    <xf numFmtId="0" fontId="66" fillId="91" borderId="0" applyNumberFormat="0" applyBorder="0" applyAlignment="0" applyProtection="0"/>
    <xf numFmtId="0" fontId="66" fillId="91" borderId="0" applyNumberFormat="0" applyBorder="0" applyAlignment="0" applyProtection="0"/>
    <xf numFmtId="0" fontId="85" fillId="38" borderId="0" applyNumberFormat="0" applyBorder="0" applyAlignment="0" applyProtection="0"/>
    <xf numFmtId="0" fontId="66" fillId="91" borderId="0" applyNumberFormat="0" applyBorder="0" applyAlignment="0" applyProtection="0"/>
    <xf numFmtId="0" fontId="85" fillId="91" borderId="0" applyNumberFormat="0" applyBorder="0" applyAlignment="0" applyProtection="0"/>
    <xf numFmtId="0" fontId="66" fillId="91" borderId="0" applyNumberFormat="0" applyBorder="0" applyAlignment="0" applyProtection="0"/>
    <xf numFmtId="0" fontId="85" fillId="91" borderId="0" applyNumberFormat="0" applyBorder="0" applyAlignment="0" applyProtection="0"/>
    <xf numFmtId="0" fontId="85" fillId="91" borderId="0" applyNumberFormat="0" applyBorder="0" applyAlignment="0" applyProtection="0"/>
    <xf numFmtId="0" fontId="85" fillId="91" borderId="0" applyNumberFormat="0" applyBorder="0" applyAlignment="0" applyProtection="0"/>
    <xf numFmtId="0" fontId="85" fillId="91" borderId="0" applyNumberFormat="0" applyBorder="0" applyAlignment="0" applyProtection="0"/>
    <xf numFmtId="0" fontId="85" fillId="91" borderId="0" applyNumberFormat="0" applyBorder="0" applyAlignment="0" applyProtection="0"/>
    <xf numFmtId="0" fontId="85" fillId="91" borderId="0" applyNumberFormat="0" applyBorder="0" applyAlignment="0" applyProtection="0"/>
    <xf numFmtId="0" fontId="85" fillId="91" borderId="0" applyNumberFormat="0" applyBorder="0" applyAlignment="0" applyProtection="0"/>
    <xf numFmtId="0" fontId="85" fillId="91" borderId="0" applyNumberFormat="0" applyBorder="0" applyAlignment="0" applyProtection="0"/>
    <xf numFmtId="0" fontId="85" fillId="91" borderId="0" applyNumberFormat="0" applyBorder="0" applyAlignment="0" applyProtection="0"/>
    <xf numFmtId="0" fontId="85" fillId="91" borderId="0" applyNumberFormat="0" applyBorder="0" applyAlignment="0" applyProtection="0"/>
    <xf numFmtId="0" fontId="85" fillId="91" borderId="0" applyNumberFormat="0" applyBorder="0" applyAlignment="0" applyProtection="0"/>
    <xf numFmtId="0" fontId="85" fillId="91" borderId="0" applyNumberFormat="0" applyBorder="0" applyAlignment="0" applyProtection="0"/>
    <xf numFmtId="0" fontId="85" fillId="38" borderId="0" applyNumberFormat="0" applyBorder="0" applyAlignment="0" applyProtection="0"/>
    <xf numFmtId="0" fontId="85" fillId="38" borderId="0" applyNumberFormat="0" applyBorder="0" applyAlignment="0" applyProtection="0"/>
    <xf numFmtId="0" fontId="66" fillId="38" borderId="0" applyNumberFormat="0" applyBorder="0" applyAlignment="0" applyProtection="0"/>
    <xf numFmtId="0" fontId="66" fillId="38" borderId="0" applyNumberFormat="0" applyBorder="0" applyAlignment="0" applyProtection="0"/>
    <xf numFmtId="0" fontId="66" fillId="38" borderId="0" applyNumberFormat="0" applyBorder="0" applyAlignment="0" applyProtection="0"/>
    <xf numFmtId="0" fontId="85" fillId="38" borderId="0" applyNumberFormat="0" applyBorder="0" applyAlignment="0" applyProtection="0"/>
    <xf numFmtId="0" fontId="66" fillId="38" borderId="0" applyNumberFormat="0" applyBorder="0" applyAlignment="0" applyProtection="0"/>
    <xf numFmtId="0" fontId="85" fillId="38" borderId="0" applyNumberFormat="0" applyBorder="0" applyAlignment="0" applyProtection="0"/>
    <xf numFmtId="0" fontId="85" fillId="38" borderId="0" applyNumberFormat="0" applyBorder="0" applyAlignment="0" applyProtection="0"/>
    <xf numFmtId="0" fontId="85" fillId="38" borderId="0" applyNumberFormat="0" applyBorder="0" applyAlignment="0" applyProtection="0"/>
    <xf numFmtId="0" fontId="85" fillId="38" borderId="0" applyNumberFormat="0" applyBorder="0" applyAlignment="0" applyProtection="0"/>
    <xf numFmtId="0" fontId="85" fillId="38" borderId="0" applyNumberFormat="0" applyBorder="0" applyAlignment="0" applyProtection="0"/>
    <xf numFmtId="0" fontId="85" fillId="38" borderId="0" applyNumberFormat="0" applyBorder="0" applyAlignment="0" applyProtection="0"/>
    <xf numFmtId="0" fontId="85" fillId="38" borderId="0" applyNumberFormat="0" applyBorder="0" applyAlignment="0" applyProtection="0"/>
    <xf numFmtId="0" fontId="85" fillId="38" borderId="0" applyNumberFormat="0" applyBorder="0" applyAlignment="0" applyProtection="0"/>
    <xf numFmtId="0" fontId="85" fillId="38" borderId="0" applyNumberFormat="0" applyBorder="0" applyAlignment="0" applyProtection="0"/>
    <xf numFmtId="0" fontId="85" fillId="38" borderId="0" applyNumberFormat="0" applyBorder="0" applyAlignment="0" applyProtection="0"/>
    <xf numFmtId="0" fontId="85" fillId="38" borderId="0" applyNumberFormat="0" applyBorder="0" applyAlignment="0" applyProtection="0"/>
    <xf numFmtId="0" fontId="67" fillId="0" borderId="0"/>
    <xf numFmtId="0" fontId="96" fillId="0" borderId="0"/>
    <xf numFmtId="0" fontId="96" fillId="0" borderId="0"/>
    <xf numFmtId="0" fontId="66" fillId="0" borderId="0"/>
    <xf numFmtId="0" fontId="67" fillId="0" borderId="0"/>
    <xf numFmtId="0" fontId="66" fillId="0" borderId="0"/>
    <xf numFmtId="0" fontId="67" fillId="0" borderId="0"/>
    <xf numFmtId="0" fontId="66" fillId="0" borderId="0"/>
    <xf numFmtId="0" fontId="66" fillId="0" borderId="0"/>
    <xf numFmtId="0" fontId="66" fillId="0" borderId="0"/>
    <xf numFmtId="0" fontId="67" fillId="0" borderId="0"/>
    <xf numFmtId="0" fontId="67" fillId="0" borderId="0"/>
    <xf numFmtId="0" fontId="66" fillId="0" borderId="0"/>
    <xf numFmtId="0" fontId="66" fillId="0" borderId="0"/>
    <xf numFmtId="0" fontId="66" fillId="0" borderId="0"/>
    <xf numFmtId="0" fontId="67"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7" fillId="0" borderId="0"/>
    <xf numFmtId="0" fontId="66" fillId="0" borderId="0"/>
    <xf numFmtId="0" fontId="66" fillId="0" borderId="0"/>
    <xf numFmtId="0" fontId="66" fillId="0" borderId="0"/>
    <xf numFmtId="0" fontId="66" fillId="0" borderId="0"/>
    <xf numFmtId="0" fontId="66" fillId="0" borderId="0"/>
    <xf numFmtId="0" fontId="66" fillId="0" borderId="0"/>
    <xf numFmtId="0" fontId="34"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34"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43" fontId="33" fillId="0" borderId="0" applyFont="0" applyFill="0" applyBorder="0" applyAlignment="0" applyProtection="0"/>
    <xf numFmtId="180" fontId="33" fillId="0" borderId="0" applyFont="0" applyFill="0" applyBorder="0" applyAlignment="0" applyProtection="0"/>
    <xf numFmtId="0" fontId="98" fillId="0" borderId="0"/>
    <xf numFmtId="0" fontId="98" fillId="0" borderId="0"/>
    <xf numFmtId="0" fontId="98" fillId="0" borderId="0"/>
    <xf numFmtId="0" fontId="98"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98" fillId="0" borderId="0"/>
    <xf numFmtId="180" fontId="33" fillId="0" borderId="0" applyFont="0" applyFill="0" applyBorder="0" applyAlignment="0" applyProtection="0"/>
    <xf numFmtId="43" fontId="33" fillId="0" borderId="0" applyFont="0" applyFill="0" applyBorder="0" applyAlignment="0" applyProtection="0"/>
    <xf numFmtId="43" fontId="33" fillId="0" borderId="0" applyFont="0" applyFill="0" applyBorder="0" applyAlignment="0" applyProtection="0"/>
    <xf numFmtId="43" fontId="33" fillId="0" borderId="0" applyFont="0" applyFill="0" applyBorder="0" applyAlignment="0" applyProtection="0"/>
    <xf numFmtId="43" fontId="33" fillId="0" borderId="0" applyFont="0" applyFill="0" applyBorder="0" applyAlignment="0" applyProtection="0"/>
    <xf numFmtId="43" fontId="33" fillId="0" borderId="0" applyFont="0" applyFill="0" applyBorder="0" applyAlignment="0" applyProtection="0"/>
    <xf numFmtId="43" fontId="33" fillId="0" borderId="0" applyFont="0" applyFill="0" applyBorder="0" applyAlignment="0" applyProtection="0"/>
    <xf numFmtId="43" fontId="33" fillId="0" borderId="0" applyFont="0" applyFill="0" applyBorder="0" applyAlignment="0" applyProtection="0"/>
    <xf numFmtId="0" fontId="34" fillId="34" borderId="0" applyNumberFormat="0" applyBorder="0" applyAlignment="0" applyProtection="0"/>
    <xf numFmtId="0" fontId="34" fillId="36" borderId="0" applyNumberFormat="0" applyBorder="0" applyAlignment="0" applyProtection="0"/>
    <xf numFmtId="0" fontId="34" fillId="38" borderId="0" applyNumberFormat="0" applyBorder="0" applyAlignment="0" applyProtection="0"/>
    <xf numFmtId="0" fontId="34" fillId="40" borderId="0" applyNumberFormat="0" applyBorder="0" applyAlignment="0" applyProtection="0"/>
    <xf numFmtId="0" fontId="34" fillId="42" borderId="0" applyNumberFormat="0" applyBorder="0" applyAlignment="0" applyProtection="0"/>
    <xf numFmtId="0" fontId="34" fillId="44" borderId="0" applyNumberFormat="0" applyBorder="0" applyAlignment="0" applyProtection="0"/>
    <xf numFmtId="0" fontId="34" fillId="34" borderId="0" applyNumberFormat="0" applyBorder="0" applyAlignment="0" applyProtection="0"/>
    <xf numFmtId="0" fontId="34" fillId="34" borderId="0" applyNumberFormat="0" applyBorder="0" applyAlignment="0" applyProtection="0"/>
    <xf numFmtId="0" fontId="34" fillId="34" borderId="0" applyNumberFormat="0" applyBorder="0" applyAlignment="0" applyProtection="0"/>
    <xf numFmtId="0" fontId="34" fillId="34" borderId="0" applyNumberFormat="0" applyBorder="0" applyAlignment="0" applyProtection="0"/>
    <xf numFmtId="0" fontId="34" fillId="34" borderId="0" applyNumberFormat="0" applyBorder="0" applyAlignment="0" applyProtection="0"/>
    <xf numFmtId="0" fontId="34" fillId="34" borderId="0" applyNumberFormat="0" applyBorder="0" applyAlignment="0" applyProtection="0"/>
    <xf numFmtId="0" fontId="34" fillId="34" borderId="0" applyNumberFormat="0" applyBorder="0" applyAlignment="0" applyProtection="0"/>
    <xf numFmtId="0" fontId="34" fillId="34" borderId="0" applyNumberFormat="0" applyBorder="0" applyAlignment="0" applyProtection="0"/>
    <xf numFmtId="0" fontId="34" fillId="34" borderId="0" applyNumberFormat="0" applyBorder="0" applyAlignment="0" applyProtection="0"/>
    <xf numFmtId="0" fontId="34" fillId="34" borderId="0" applyNumberFormat="0" applyBorder="0" applyAlignment="0" applyProtection="0"/>
    <xf numFmtId="0" fontId="34" fillId="34" borderId="0" applyNumberFormat="0" applyBorder="0" applyAlignment="0" applyProtection="0"/>
    <xf numFmtId="0" fontId="34" fillId="34" borderId="0" applyNumberFormat="0" applyBorder="0" applyAlignment="0" applyProtection="0"/>
    <xf numFmtId="0" fontId="34" fillId="34" borderId="0" applyNumberFormat="0" applyBorder="0" applyAlignment="0" applyProtection="0"/>
    <xf numFmtId="0" fontId="34" fillId="34" borderId="0" applyNumberFormat="0" applyBorder="0" applyAlignment="0" applyProtection="0"/>
    <xf numFmtId="0" fontId="34" fillId="34" borderId="0" applyNumberFormat="0" applyBorder="0" applyAlignment="0" applyProtection="0"/>
    <xf numFmtId="0" fontId="34" fillId="34" borderId="0" applyNumberFormat="0" applyBorder="0" applyAlignment="0" applyProtection="0"/>
    <xf numFmtId="0" fontId="34" fillId="34" borderId="0" applyNumberFormat="0" applyBorder="0" applyAlignment="0" applyProtection="0"/>
    <xf numFmtId="0" fontId="34" fillId="36" borderId="0" applyNumberFormat="0" applyBorder="0" applyAlignment="0" applyProtection="0"/>
    <xf numFmtId="0" fontId="34" fillId="36" borderId="0" applyNumberFormat="0" applyBorder="0" applyAlignment="0" applyProtection="0"/>
    <xf numFmtId="0" fontId="34" fillId="36" borderId="0" applyNumberFormat="0" applyBorder="0" applyAlignment="0" applyProtection="0"/>
    <xf numFmtId="0" fontId="34" fillId="36" borderId="0" applyNumberFormat="0" applyBorder="0" applyAlignment="0" applyProtection="0"/>
    <xf numFmtId="0" fontId="34" fillId="36" borderId="0" applyNumberFormat="0" applyBorder="0" applyAlignment="0" applyProtection="0"/>
    <xf numFmtId="0" fontId="34" fillId="36" borderId="0" applyNumberFormat="0" applyBorder="0" applyAlignment="0" applyProtection="0"/>
    <xf numFmtId="0" fontId="34" fillId="36" borderId="0" applyNumberFormat="0" applyBorder="0" applyAlignment="0" applyProtection="0"/>
    <xf numFmtId="0" fontId="34" fillId="36" borderId="0" applyNumberFormat="0" applyBorder="0" applyAlignment="0" applyProtection="0"/>
    <xf numFmtId="0" fontId="34" fillId="36" borderId="0" applyNumberFormat="0" applyBorder="0" applyAlignment="0" applyProtection="0"/>
    <xf numFmtId="0" fontId="34" fillId="36" borderId="0" applyNumberFormat="0" applyBorder="0" applyAlignment="0" applyProtection="0"/>
    <xf numFmtId="0" fontId="34" fillId="36" borderId="0" applyNumberFormat="0" applyBorder="0" applyAlignment="0" applyProtection="0"/>
    <xf numFmtId="0" fontId="34" fillId="36" borderId="0" applyNumberFormat="0" applyBorder="0" applyAlignment="0" applyProtection="0"/>
    <xf numFmtId="0" fontId="34" fillId="36" borderId="0" applyNumberFormat="0" applyBorder="0" applyAlignment="0" applyProtection="0"/>
    <xf numFmtId="0" fontId="34" fillId="36" borderId="0" applyNumberFormat="0" applyBorder="0" applyAlignment="0" applyProtection="0"/>
    <xf numFmtId="0" fontId="34" fillId="36" borderId="0" applyNumberFormat="0" applyBorder="0" applyAlignment="0" applyProtection="0"/>
    <xf numFmtId="0" fontId="34" fillId="36" borderId="0" applyNumberFormat="0" applyBorder="0" applyAlignment="0" applyProtection="0"/>
    <xf numFmtId="0" fontId="34" fillId="36" borderId="0" applyNumberFormat="0" applyBorder="0" applyAlignment="0" applyProtection="0"/>
    <xf numFmtId="0" fontId="34" fillId="38" borderId="0" applyNumberFormat="0" applyBorder="0" applyAlignment="0" applyProtection="0"/>
    <xf numFmtId="0" fontId="34" fillId="38" borderId="0" applyNumberFormat="0" applyBorder="0" applyAlignment="0" applyProtection="0"/>
    <xf numFmtId="0" fontId="34" fillId="38" borderId="0" applyNumberFormat="0" applyBorder="0" applyAlignment="0" applyProtection="0"/>
    <xf numFmtId="0" fontId="34" fillId="38" borderId="0" applyNumberFormat="0" applyBorder="0" applyAlignment="0" applyProtection="0"/>
    <xf numFmtId="0" fontId="34" fillId="38" borderId="0" applyNumberFormat="0" applyBorder="0" applyAlignment="0" applyProtection="0"/>
    <xf numFmtId="0" fontId="34" fillId="38" borderId="0" applyNumberFormat="0" applyBorder="0" applyAlignment="0" applyProtection="0"/>
    <xf numFmtId="0" fontId="34" fillId="38" borderId="0" applyNumberFormat="0" applyBorder="0" applyAlignment="0" applyProtection="0"/>
    <xf numFmtId="0" fontId="34" fillId="38" borderId="0" applyNumberFormat="0" applyBorder="0" applyAlignment="0" applyProtection="0"/>
    <xf numFmtId="0" fontId="34" fillId="38" borderId="0" applyNumberFormat="0" applyBorder="0" applyAlignment="0" applyProtection="0"/>
    <xf numFmtId="0" fontId="34" fillId="38" borderId="0" applyNumberFormat="0" applyBorder="0" applyAlignment="0" applyProtection="0"/>
    <xf numFmtId="0" fontId="34" fillId="38" borderId="0" applyNumberFormat="0" applyBorder="0" applyAlignment="0" applyProtection="0"/>
    <xf numFmtId="0" fontId="34" fillId="38" borderId="0" applyNumberFormat="0" applyBorder="0" applyAlignment="0" applyProtection="0"/>
    <xf numFmtId="0" fontId="34" fillId="38" borderId="0" applyNumberFormat="0" applyBorder="0" applyAlignment="0" applyProtection="0"/>
    <xf numFmtId="0" fontId="34" fillId="38" borderId="0" applyNumberFormat="0" applyBorder="0" applyAlignment="0" applyProtection="0"/>
    <xf numFmtId="0" fontId="34" fillId="38" borderId="0" applyNumberFormat="0" applyBorder="0" applyAlignment="0" applyProtection="0"/>
    <xf numFmtId="0" fontId="34" fillId="38" borderId="0" applyNumberFormat="0" applyBorder="0" applyAlignment="0" applyProtection="0"/>
    <xf numFmtId="0" fontId="34" fillId="38" borderId="0" applyNumberFormat="0" applyBorder="0" applyAlignment="0" applyProtection="0"/>
    <xf numFmtId="0" fontId="34" fillId="40" borderId="0" applyNumberFormat="0" applyBorder="0" applyAlignment="0" applyProtection="0"/>
    <xf numFmtId="0" fontId="34" fillId="40" borderId="0" applyNumberFormat="0" applyBorder="0" applyAlignment="0" applyProtection="0"/>
    <xf numFmtId="0" fontId="34" fillId="40" borderId="0" applyNumberFormat="0" applyBorder="0" applyAlignment="0" applyProtection="0"/>
    <xf numFmtId="0" fontId="34" fillId="40" borderId="0" applyNumberFormat="0" applyBorder="0" applyAlignment="0" applyProtection="0"/>
    <xf numFmtId="0" fontId="34" fillId="40" borderId="0" applyNumberFormat="0" applyBorder="0" applyAlignment="0" applyProtection="0"/>
    <xf numFmtId="0" fontId="34" fillId="40" borderId="0" applyNumberFormat="0" applyBorder="0" applyAlignment="0" applyProtection="0"/>
    <xf numFmtId="0" fontId="34" fillId="40" borderId="0" applyNumberFormat="0" applyBorder="0" applyAlignment="0" applyProtection="0"/>
    <xf numFmtId="0" fontId="34" fillId="40" borderId="0" applyNumberFormat="0" applyBorder="0" applyAlignment="0" applyProtection="0"/>
    <xf numFmtId="0" fontId="34" fillId="40" borderId="0" applyNumberFormat="0" applyBorder="0" applyAlignment="0" applyProtection="0"/>
    <xf numFmtId="0" fontId="34" fillId="40" borderId="0" applyNumberFormat="0" applyBorder="0" applyAlignment="0" applyProtection="0"/>
    <xf numFmtId="0" fontId="34" fillId="40" borderId="0" applyNumberFormat="0" applyBorder="0" applyAlignment="0" applyProtection="0"/>
    <xf numFmtId="0" fontId="34" fillId="40" borderId="0" applyNumberFormat="0" applyBorder="0" applyAlignment="0" applyProtection="0"/>
    <xf numFmtId="0" fontId="34" fillId="40" borderId="0" applyNumberFormat="0" applyBorder="0" applyAlignment="0" applyProtection="0"/>
    <xf numFmtId="0" fontId="34" fillId="40" borderId="0" applyNumberFormat="0" applyBorder="0" applyAlignment="0" applyProtection="0"/>
    <xf numFmtId="0" fontId="34" fillId="40" borderId="0" applyNumberFormat="0" applyBorder="0" applyAlignment="0" applyProtection="0"/>
    <xf numFmtId="0" fontId="34" fillId="40" borderId="0" applyNumberFormat="0" applyBorder="0" applyAlignment="0" applyProtection="0"/>
    <xf numFmtId="0" fontId="34" fillId="40" borderId="0" applyNumberFormat="0" applyBorder="0" applyAlignment="0" applyProtection="0"/>
    <xf numFmtId="0" fontId="34" fillId="42" borderId="0" applyNumberFormat="0" applyBorder="0" applyAlignment="0" applyProtection="0"/>
    <xf numFmtId="0" fontId="34" fillId="42" borderId="0" applyNumberFormat="0" applyBorder="0" applyAlignment="0" applyProtection="0"/>
    <xf numFmtId="0" fontId="34" fillId="42" borderId="0" applyNumberFormat="0" applyBorder="0" applyAlignment="0" applyProtection="0"/>
    <xf numFmtId="0" fontId="34" fillId="42" borderId="0" applyNumberFormat="0" applyBorder="0" applyAlignment="0" applyProtection="0"/>
    <xf numFmtId="0" fontId="34" fillId="42" borderId="0" applyNumberFormat="0" applyBorder="0" applyAlignment="0" applyProtection="0"/>
    <xf numFmtId="0" fontId="34" fillId="42" borderId="0" applyNumberFormat="0" applyBorder="0" applyAlignment="0" applyProtection="0"/>
    <xf numFmtId="0" fontId="34" fillId="42" borderId="0" applyNumberFormat="0" applyBorder="0" applyAlignment="0" applyProtection="0"/>
    <xf numFmtId="0" fontId="34" fillId="42" borderId="0" applyNumberFormat="0" applyBorder="0" applyAlignment="0" applyProtection="0"/>
    <xf numFmtId="0" fontId="34" fillId="42" borderId="0" applyNumberFormat="0" applyBorder="0" applyAlignment="0" applyProtection="0"/>
    <xf numFmtId="0" fontId="34" fillId="42" borderId="0" applyNumberFormat="0" applyBorder="0" applyAlignment="0" applyProtection="0"/>
    <xf numFmtId="0" fontId="34" fillId="42" borderId="0" applyNumberFormat="0" applyBorder="0" applyAlignment="0" applyProtection="0"/>
    <xf numFmtId="0" fontId="34" fillId="42" borderId="0" applyNumberFormat="0" applyBorder="0" applyAlignment="0" applyProtection="0"/>
    <xf numFmtId="0" fontId="34" fillId="42" borderId="0" applyNumberFormat="0" applyBorder="0" applyAlignment="0" applyProtection="0"/>
    <xf numFmtId="0" fontId="34" fillId="42" borderId="0" applyNumberFormat="0" applyBorder="0" applyAlignment="0" applyProtection="0"/>
    <xf numFmtId="0" fontId="34" fillId="42" borderId="0" applyNumberFormat="0" applyBorder="0" applyAlignment="0" applyProtection="0"/>
    <xf numFmtId="0" fontId="34" fillId="42" borderId="0" applyNumberFormat="0" applyBorder="0" applyAlignment="0" applyProtection="0"/>
    <xf numFmtId="0" fontId="34" fillId="42"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99" fillId="34" borderId="0" applyNumberFormat="0" applyBorder="0" applyAlignment="0" applyProtection="0">
      <alignment vertical="center"/>
    </xf>
    <xf numFmtId="0" fontId="99" fillId="36" borderId="0" applyNumberFormat="0" applyBorder="0" applyAlignment="0" applyProtection="0">
      <alignment vertical="center"/>
    </xf>
    <xf numFmtId="0" fontId="99" fillId="38" borderId="0" applyNumberFormat="0" applyBorder="0" applyAlignment="0" applyProtection="0">
      <alignment vertical="center"/>
    </xf>
    <xf numFmtId="0" fontId="99" fillId="40" borderId="0" applyNumberFormat="0" applyBorder="0" applyAlignment="0" applyProtection="0">
      <alignment vertical="center"/>
    </xf>
    <xf numFmtId="0" fontId="99" fillId="42" borderId="0" applyNumberFormat="0" applyBorder="0" applyAlignment="0" applyProtection="0">
      <alignment vertical="center"/>
    </xf>
    <xf numFmtId="0" fontId="99" fillId="44" borderId="0" applyNumberFormat="0" applyBorder="0" applyAlignment="0" applyProtection="0">
      <alignment vertical="center"/>
    </xf>
    <xf numFmtId="0" fontId="34" fillId="50" borderId="0" applyNumberFormat="0" applyBorder="0" applyAlignment="0" applyProtection="0"/>
    <xf numFmtId="0" fontId="34" fillId="52" borderId="0" applyNumberFormat="0" applyBorder="0" applyAlignment="0" applyProtection="0"/>
    <xf numFmtId="0" fontId="34" fillId="54" borderId="0" applyNumberFormat="0" applyBorder="0" applyAlignment="0" applyProtection="0"/>
    <xf numFmtId="0" fontId="34" fillId="40" borderId="0" applyNumberFormat="0" applyBorder="0" applyAlignment="0" applyProtection="0"/>
    <xf numFmtId="0" fontId="34" fillId="50" borderId="0" applyNumberFormat="0" applyBorder="0" applyAlignment="0" applyProtection="0"/>
    <xf numFmtId="0" fontId="34" fillId="56" borderId="0" applyNumberFormat="0" applyBorder="0" applyAlignment="0" applyProtection="0"/>
    <xf numFmtId="0" fontId="34" fillId="50" borderId="0" applyNumberFormat="0" applyBorder="0" applyAlignment="0" applyProtection="0"/>
    <xf numFmtId="0" fontId="34" fillId="50" borderId="0" applyNumberFormat="0" applyBorder="0" applyAlignment="0" applyProtection="0"/>
    <xf numFmtId="0" fontId="34" fillId="50" borderId="0" applyNumberFormat="0" applyBorder="0" applyAlignment="0" applyProtection="0"/>
    <xf numFmtId="0" fontId="34" fillId="50" borderId="0" applyNumberFormat="0" applyBorder="0" applyAlignment="0" applyProtection="0"/>
    <xf numFmtId="0" fontId="34" fillId="50" borderId="0" applyNumberFormat="0" applyBorder="0" applyAlignment="0" applyProtection="0"/>
    <xf numFmtId="0" fontId="34" fillId="50" borderId="0" applyNumberFormat="0" applyBorder="0" applyAlignment="0" applyProtection="0"/>
    <xf numFmtId="0" fontId="34" fillId="50" borderId="0" applyNumberFormat="0" applyBorder="0" applyAlignment="0" applyProtection="0"/>
    <xf numFmtId="0" fontId="34" fillId="50" borderId="0" applyNumberFormat="0" applyBorder="0" applyAlignment="0" applyProtection="0"/>
    <xf numFmtId="0" fontId="34" fillId="50" borderId="0" applyNumberFormat="0" applyBorder="0" applyAlignment="0" applyProtection="0"/>
    <xf numFmtId="0" fontId="34" fillId="50" borderId="0" applyNumberFormat="0" applyBorder="0" applyAlignment="0" applyProtection="0"/>
    <xf numFmtId="0" fontId="34" fillId="50" borderId="0" applyNumberFormat="0" applyBorder="0" applyAlignment="0" applyProtection="0"/>
    <xf numFmtId="0" fontId="34" fillId="50" borderId="0" applyNumberFormat="0" applyBorder="0" applyAlignment="0" applyProtection="0"/>
    <xf numFmtId="0" fontId="34" fillId="50" borderId="0" applyNumberFormat="0" applyBorder="0" applyAlignment="0" applyProtection="0"/>
    <xf numFmtId="0" fontId="34" fillId="50" borderId="0" applyNumberFormat="0" applyBorder="0" applyAlignment="0" applyProtection="0"/>
    <xf numFmtId="0" fontId="34" fillId="50" borderId="0" applyNumberFormat="0" applyBorder="0" applyAlignment="0" applyProtection="0"/>
    <xf numFmtId="0" fontId="34" fillId="50" borderId="0" applyNumberFormat="0" applyBorder="0" applyAlignment="0" applyProtection="0"/>
    <xf numFmtId="0" fontId="34" fillId="50"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2"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54" borderId="0" applyNumberFormat="0" applyBorder="0" applyAlignment="0" applyProtection="0"/>
    <xf numFmtId="0" fontId="34" fillId="40" borderId="0" applyNumberFormat="0" applyBorder="0" applyAlignment="0" applyProtection="0"/>
    <xf numFmtId="0" fontId="34" fillId="40" borderId="0" applyNumberFormat="0" applyBorder="0" applyAlignment="0" applyProtection="0"/>
    <xf numFmtId="0" fontId="34" fillId="40" borderId="0" applyNumberFormat="0" applyBorder="0" applyAlignment="0" applyProtection="0"/>
    <xf numFmtId="0" fontId="34" fillId="40" borderId="0" applyNumberFormat="0" applyBorder="0" applyAlignment="0" applyProtection="0"/>
    <xf numFmtId="0" fontId="34" fillId="40" borderId="0" applyNumberFormat="0" applyBorder="0" applyAlignment="0" applyProtection="0"/>
    <xf numFmtId="0" fontId="34" fillId="40" borderId="0" applyNumberFormat="0" applyBorder="0" applyAlignment="0" applyProtection="0"/>
    <xf numFmtId="0" fontId="34" fillId="40" borderId="0" applyNumberFormat="0" applyBorder="0" applyAlignment="0" applyProtection="0"/>
    <xf numFmtId="0" fontId="34" fillId="40" borderId="0" applyNumberFormat="0" applyBorder="0" applyAlignment="0" applyProtection="0"/>
    <xf numFmtId="0" fontId="34" fillId="40" borderId="0" applyNumberFormat="0" applyBorder="0" applyAlignment="0" applyProtection="0"/>
    <xf numFmtId="0" fontId="34" fillId="40" borderId="0" applyNumberFormat="0" applyBorder="0" applyAlignment="0" applyProtection="0"/>
    <xf numFmtId="0" fontId="34" fillId="40" borderId="0" applyNumberFormat="0" applyBorder="0" applyAlignment="0" applyProtection="0"/>
    <xf numFmtId="0" fontId="34" fillId="40" borderId="0" applyNumberFormat="0" applyBorder="0" applyAlignment="0" applyProtection="0"/>
    <xf numFmtId="0" fontId="34" fillId="40" borderId="0" applyNumberFormat="0" applyBorder="0" applyAlignment="0" applyProtection="0"/>
    <xf numFmtId="0" fontId="34" fillId="40" borderId="0" applyNumberFormat="0" applyBorder="0" applyAlignment="0" applyProtection="0"/>
    <xf numFmtId="0" fontId="34" fillId="40" borderId="0" applyNumberFormat="0" applyBorder="0" applyAlignment="0" applyProtection="0"/>
    <xf numFmtId="0" fontId="34" fillId="40" borderId="0" applyNumberFormat="0" applyBorder="0" applyAlignment="0" applyProtection="0"/>
    <xf numFmtId="0" fontId="34" fillId="40" borderId="0" applyNumberFormat="0" applyBorder="0" applyAlignment="0" applyProtection="0"/>
    <xf numFmtId="0" fontId="34" fillId="50" borderId="0" applyNumberFormat="0" applyBorder="0" applyAlignment="0" applyProtection="0"/>
    <xf numFmtId="0" fontId="34" fillId="50" borderId="0" applyNumberFormat="0" applyBorder="0" applyAlignment="0" applyProtection="0"/>
    <xf numFmtId="0" fontId="34" fillId="50" borderId="0" applyNumberFormat="0" applyBorder="0" applyAlignment="0" applyProtection="0"/>
    <xf numFmtId="0" fontId="34" fillId="50" borderId="0" applyNumberFormat="0" applyBorder="0" applyAlignment="0" applyProtection="0"/>
    <xf numFmtId="0" fontId="34" fillId="50" borderId="0" applyNumberFormat="0" applyBorder="0" applyAlignment="0" applyProtection="0"/>
    <xf numFmtId="0" fontId="34" fillId="50" borderId="0" applyNumberFormat="0" applyBorder="0" applyAlignment="0" applyProtection="0"/>
    <xf numFmtId="0" fontId="34" fillId="50" borderId="0" applyNumberFormat="0" applyBorder="0" applyAlignment="0" applyProtection="0"/>
    <xf numFmtId="0" fontId="34" fillId="50" borderId="0" applyNumberFormat="0" applyBorder="0" applyAlignment="0" applyProtection="0"/>
    <xf numFmtId="0" fontId="34" fillId="50" borderId="0" applyNumberFormat="0" applyBorder="0" applyAlignment="0" applyProtection="0"/>
    <xf numFmtId="0" fontId="34" fillId="50" borderId="0" applyNumberFormat="0" applyBorder="0" applyAlignment="0" applyProtection="0"/>
    <xf numFmtId="0" fontId="34" fillId="50" borderId="0" applyNumberFormat="0" applyBorder="0" applyAlignment="0" applyProtection="0"/>
    <xf numFmtId="0" fontId="34" fillId="50" borderId="0" applyNumberFormat="0" applyBorder="0" applyAlignment="0" applyProtection="0"/>
    <xf numFmtId="0" fontId="34" fillId="50" borderId="0" applyNumberFormat="0" applyBorder="0" applyAlignment="0" applyProtection="0"/>
    <xf numFmtId="0" fontId="34" fillId="50" borderId="0" applyNumberFormat="0" applyBorder="0" applyAlignment="0" applyProtection="0"/>
    <xf numFmtId="0" fontId="34" fillId="50" borderId="0" applyNumberFormat="0" applyBorder="0" applyAlignment="0" applyProtection="0"/>
    <xf numFmtId="0" fontId="34" fillId="50" borderId="0" applyNumberFormat="0" applyBorder="0" applyAlignment="0" applyProtection="0"/>
    <xf numFmtId="0" fontId="34" fillId="50" borderId="0" applyNumberFormat="0" applyBorder="0" applyAlignment="0" applyProtection="0"/>
    <xf numFmtId="0" fontId="34" fillId="56" borderId="0" applyNumberFormat="0" applyBorder="0" applyAlignment="0" applyProtection="0"/>
    <xf numFmtId="0" fontId="34" fillId="56" borderId="0" applyNumberFormat="0" applyBorder="0" applyAlignment="0" applyProtection="0"/>
    <xf numFmtId="0" fontId="34" fillId="56" borderId="0" applyNumberFormat="0" applyBorder="0" applyAlignment="0" applyProtection="0"/>
    <xf numFmtId="0" fontId="34" fillId="56" borderId="0" applyNumberFormat="0" applyBorder="0" applyAlignment="0" applyProtection="0"/>
    <xf numFmtId="0" fontId="34" fillId="56" borderId="0" applyNumberFormat="0" applyBorder="0" applyAlignment="0" applyProtection="0"/>
    <xf numFmtId="0" fontId="34" fillId="56" borderId="0" applyNumberFormat="0" applyBorder="0" applyAlignment="0" applyProtection="0"/>
    <xf numFmtId="0" fontId="34" fillId="56" borderId="0" applyNumberFormat="0" applyBorder="0" applyAlignment="0" applyProtection="0"/>
    <xf numFmtId="0" fontId="34" fillId="56" borderId="0" applyNumberFormat="0" applyBorder="0" applyAlignment="0" applyProtection="0"/>
    <xf numFmtId="0" fontId="34" fillId="56" borderId="0" applyNumberFormat="0" applyBorder="0" applyAlignment="0" applyProtection="0"/>
    <xf numFmtId="0" fontId="34" fillId="56" borderId="0" applyNumberFormat="0" applyBorder="0" applyAlignment="0" applyProtection="0"/>
    <xf numFmtId="0" fontId="34" fillId="56" borderId="0" applyNumberFormat="0" applyBorder="0" applyAlignment="0" applyProtection="0"/>
    <xf numFmtId="0" fontId="34" fillId="56" borderId="0" applyNumberFormat="0" applyBorder="0" applyAlignment="0" applyProtection="0"/>
    <xf numFmtId="0" fontId="34" fillId="56" borderId="0" applyNumberFormat="0" applyBorder="0" applyAlignment="0" applyProtection="0"/>
    <xf numFmtId="0" fontId="34" fillId="56" borderId="0" applyNumberFormat="0" applyBorder="0" applyAlignment="0" applyProtection="0"/>
    <xf numFmtId="0" fontId="34" fillId="56" borderId="0" applyNumberFormat="0" applyBorder="0" applyAlignment="0" applyProtection="0"/>
    <xf numFmtId="0" fontId="34" fillId="56" borderId="0" applyNumberFormat="0" applyBorder="0" applyAlignment="0" applyProtection="0"/>
    <xf numFmtId="0" fontId="34" fillId="56" borderId="0" applyNumberFormat="0" applyBorder="0" applyAlignment="0" applyProtection="0"/>
    <xf numFmtId="0" fontId="99" fillId="50" borderId="0" applyNumberFormat="0" applyBorder="0" applyAlignment="0" applyProtection="0">
      <alignment vertical="center"/>
    </xf>
    <xf numFmtId="0" fontId="99" fillId="52" borderId="0" applyNumberFormat="0" applyBorder="0" applyAlignment="0" applyProtection="0">
      <alignment vertical="center"/>
    </xf>
    <xf numFmtId="0" fontId="99" fillId="54" borderId="0" applyNumberFormat="0" applyBorder="0" applyAlignment="0" applyProtection="0">
      <alignment vertical="center"/>
    </xf>
    <xf numFmtId="0" fontId="99" fillId="40" borderId="0" applyNumberFormat="0" applyBorder="0" applyAlignment="0" applyProtection="0">
      <alignment vertical="center"/>
    </xf>
    <xf numFmtId="0" fontId="99" fillId="50" borderId="0" applyNumberFormat="0" applyBorder="0" applyAlignment="0" applyProtection="0">
      <alignment vertical="center"/>
    </xf>
    <xf numFmtId="0" fontId="99" fillId="56" borderId="0" applyNumberFormat="0" applyBorder="0" applyAlignment="0" applyProtection="0">
      <alignment vertical="center"/>
    </xf>
    <xf numFmtId="0" fontId="36" fillId="59" borderId="0" applyNumberFormat="0" applyBorder="0" applyAlignment="0" applyProtection="0"/>
    <xf numFmtId="0" fontId="36" fillId="59" borderId="0" applyNumberFormat="0" applyBorder="0" applyAlignment="0" applyProtection="0"/>
    <xf numFmtId="0" fontId="36" fillId="59" borderId="0" applyNumberFormat="0" applyBorder="0" applyAlignment="0" applyProtection="0"/>
    <xf numFmtId="0" fontId="36" fillId="59" borderId="0" applyNumberFormat="0" applyBorder="0" applyAlignment="0" applyProtection="0"/>
    <xf numFmtId="0" fontId="36" fillId="59" borderId="0" applyNumberFormat="0" applyBorder="0" applyAlignment="0" applyProtection="0"/>
    <xf numFmtId="0" fontId="36" fillId="59"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4" borderId="0" applyNumberFormat="0" applyBorder="0" applyAlignment="0" applyProtection="0"/>
    <xf numFmtId="0" fontId="36" fillId="54" borderId="0" applyNumberFormat="0" applyBorder="0" applyAlignment="0" applyProtection="0"/>
    <xf numFmtId="0" fontId="36" fillId="54" borderId="0" applyNumberFormat="0" applyBorder="0" applyAlignment="0" applyProtection="0"/>
    <xf numFmtId="0" fontId="36" fillId="54" borderId="0" applyNumberFormat="0" applyBorder="0" applyAlignment="0" applyProtection="0"/>
    <xf numFmtId="0" fontId="36" fillId="54" borderId="0" applyNumberFormat="0" applyBorder="0" applyAlignment="0" applyProtection="0"/>
    <xf numFmtId="0" fontId="36" fillId="54" borderId="0" applyNumberFormat="0" applyBorder="0" applyAlignment="0" applyProtection="0"/>
    <xf numFmtId="0" fontId="36" fillId="61" borderId="0" applyNumberFormat="0" applyBorder="0" applyAlignment="0" applyProtection="0"/>
    <xf numFmtId="0" fontId="36" fillId="61" borderId="0" applyNumberFormat="0" applyBorder="0" applyAlignment="0" applyProtection="0"/>
    <xf numFmtId="0" fontId="36" fillId="61" borderId="0" applyNumberFormat="0" applyBorder="0" applyAlignment="0" applyProtection="0"/>
    <xf numFmtId="0" fontId="36" fillId="61" borderId="0" applyNumberFormat="0" applyBorder="0" applyAlignment="0" applyProtection="0"/>
    <xf numFmtId="0" fontId="36" fillId="61" borderId="0" applyNumberFormat="0" applyBorder="0" applyAlignment="0" applyProtection="0"/>
    <xf numFmtId="0" fontId="36" fillId="61" borderId="0" applyNumberFormat="0" applyBorder="0" applyAlignment="0" applyProtection="0"/>
    <xf numFmtId="0" fontId="36" fillId="63" borderId="0" applyNumberFormat="0" applyBorder="0" applyAlignment="0" applyProtection="0"/>
    <xf numFmtId="0" fontId="36" fillId="63" borderId="0" applyNumberFormat="0" applyBorder="0" applyAlignment="0" applyProtection="0"/>
    <xf numFmtId="0" fontId="36" fillId="63" borderId="0" applyNumberFormat="0" applyBorder="0" applyAlignment="0" applyProtection="0"/>
    <xf numFmtId="0" fontId="36" fillId="63" borderId="0" applyNumberFormat="0" applyBorder="0" applyAlignment="0" applyProtection="0"/>
    <xf numFmtId="0" fontId="36" fillId="63" borderId="0" applyNumberFormat="0" applyBorder="0" applyAlignment="0" applyProtection="0"/>
    <xf numFmtId="0" fontId="36" fillId="63" borderId="0" applyNumberFormat="0" applyBorder="0" applyAlignment="0" applyProtection="0"/>
    <xf numFmtId="0" fontId="36" fillId="65" borderId="0" applyNumberFormat="0" applyBorder="0" applyAlignment="0" applyProtection="0"/>
    <xf numFmtId="0" fontId="36" fillId="65" borderId="0" applyNumberFormat="0" applyBorder="0" applyAlignment="0" applyProtection="0"/>
    <xf numFmtId="0" fontId="36" fillId="65" borderId="0" applyNumberFormat="0" applyBorder="0" applyAlignment="0" applyProtection="0"/>
    <xf numFmtId="0" fontId="36" fillId="65" borderId="0" applyNumberFormat="0" applyBorder="0" applyAlignment="0" applyProtection="0"/>
    <xf numFmtId="0" fontId="36" fillId="65" borderId="0" applyNumberFormat="0" applyBorder="0" applyAlignment="0" applyProtection="0"/>
    <xf numFmtId="0" fontId="36" fillId="65" borderId="0" applyNumberFormat="0" applyBorder="0" applyAlignment="0" applyProtection="0"/>
    <xf numFmtId="0" fontId="100" fillId="59" borderId="0" applyNumberFormat="0" applyBorder="0" applyAlignment="0" applyProtection="0">
      <alignment vertical="center"/>
    </xf>
    <xf numFmtId="0" fontId="100" fillId="52" borderId="0" applyNumberFormat="0" applyBorder="0" applyAlignment="0" applyProtection="0">
      <alignment vertical="center"/>
    </xf>
    <xf numFmtId="0" fontId="100" fillId="54" borderId="0" applyNumberFormat="0" applyBorder="0" applyAlignment="0" applyProtection="0">
      <alignment vertical="center"/>
    </xf>
    <xf numFmtId="0" fontId="100" fillId="61" borderId="0" applyNumberFormat="0" applyBorder="0" applyAlignment="0" applyProtection="0">
      <alignment vertical="center"/>
    </xf>
    <xf numFmtId="0" fontId="100" fillId="63" borderId="0" applyNumberFormat="0" applyBorder="0" applyAlignment="0" applyProtection="0">
      <alignment vertical="center"/>
    </xf>
    <xf numFmtId="0" fontId="100" fillId="65" borderId="0" applyNumberFormat="0" applyBorder="0" applyAlignment="0" applyProtection="0">
      <alignment vertical="center"/>
    </xf>
    <xf numFmtId="0" fontId="41" fillId="38" borderId="0" applyNumberFormat="0" applyBorder="0" applyAlignment="0" applyProtection="0"/>
    <xf numFmtId="0" fontId="41" fillId="38" borderId="0" applyNumberFormat="0" applyBorder="0" applyAlignment="0" applyProtection="0"/>
    <xf numFmtId="0" fontId="41" fillId="38" borderId="0" applyNumberFormat="0" applyBorder="0" applyAlignment="0" applyProtection="0"/>
    <xf numFmtId="0" fontId="41" fillId="38" borderId="0" applyNumberFormat="0" applyBorder="0" applyAlignment="0" applyProtection="0"/>
    <xf numFmtId="0" fontId="41" fillId="38" borderId="0" applyNumberFormat="0" applyBorder="0" applyAlignment="0" applyProtection="0"/>
    <xf numFmtId="0" fontId="41" fillId="38" borderId="0" applyNumberFormat="0" applyBorder="0" applyAlignment="0" applyProtection="0"/>
    <xf numFmtId="0" fontId="38" fillId="75" borderId="42" applyNumberFormat="0" applyAlignment="0" applyProtection="0"/>
    <xf numFmtId="0" fontId="38" fillId="75" borderId="42" applyNumberFormat="0" applyAlignment="0" applyProtection="0"/>
    <xf numFmtId="0" fontId="38" fillId="75" borderId="42" applyNumberFormat="0" applyAlignment="0" applyProtection="0"/>
    <xf numFmtId="0" fontId="38" fillId="75" borderId="42" applyNumberFormat="0" applyAlignment="0" applyProtection="0"/>
    <xf numFmtId="0" fontId="38" fillId="75" borderId="42" applyNumberFormat="0" applyAlignment="0" applyProtection="0"/>
    <xf numFmtId="0" fontId="38" fillId="75" borderId="42" applyNumberFormat="0" applyAlignment="0" applyProtection="0"/>
    <xf numFmtId="0" fontId="38" fillId="75" borderId="42" applyNumberFormat="0" applyAlignment="0" applyProtection="0"/>
    <xf numFmtId="0" fontId="39" fillId="79" borderId="43" applyNumberFormat="0" applyAlignment="0" applyProtection="0"/>
    <xf numFmtId="0" fontId="39" fillId="79" borderId="43" applyNumberFormat="0" applyAlignment="0" applyProtection="0"/>
    <xf numFmtId="0" fontId="39" fillId="79" borderId="43" applyNumberFormat="0" applyAlignment="0" applyProtection="0"/>
    <xf numFmtId="0" fontId="39" fillId="79" borderId="43" applyNumberFormat="0" applyAlignment="0" applyProtection="0"/>
    <xf numFmtId="0" fontId="39" fillId="79" borderId="43" applyNumberFormat="0" applyAlignment="0" applyProtection="0"/>
    <xf numFmtId="0" fontId="39" fillId="79" borderId="43" applyNumberFormat="0" applyAlignment="0" applyProtection="0"/>
    <xf numFmtId="0" fontId="46" fillId="0" borderId="44" applyNumberFormat="0" applyFill="0" applyAlignment="0" applyProtection="0"/>
    <xf numFmtId="0" fontId="46" fillId="0" borderId="44" applyNumberFormat="0" applyFill="0" applyAlignment="0" applyProtection="0"/>
    <xf numFmtId="0" fontId="46" fillId="0" borderId="44" applyNumberFormat="0" applyFill="0" applyAlignment="0" applyProtection="0"/>
    <xf numFmtId="0" fontId="46" fillId="0" borderId="44" applyNumberFormat="0" applyFill="0" applyAlignment="0" applyProtection="0"/>
    <xf numFmtId="0" fontId="46" fillId="0" borderId="44" applyNumberFormat="0" applyFill="0" applyAlignment="0" applyProtection="0"/>
    <xf numFmtId="0" fontId="46" fillId="0" borderId="44" applyNumberFormat="0" applyFill="0" applyAlignment="0" applyProtection="0"/>
    <xf numFmtId="171" fontId="33" fillId="0" borderId="0"/>
    <xf numFmtId="171" fontId="33" fillId="0" borderId="0"/>
    <xf numFmtId="171" fontId="33" fillId="0" borderId="0"/>
    <xf numFmtId="171" fontId="33" fillId="0" borderId="0"/>
    <xf numFmtId="171" fontId="33" fillId="0" borderId="0"/>
    <xf numFmtId="171" fontId="33" fillId="0" borderId="0"/>
    <xf numFmtId="171" fontId="33" fillId="0" borderId="0"/>
    <xf numFmtId="171" fontId="33" fillId="0" borderId="0"/>
    <xf numFmtId="178" fontId="8" fillId="0" borderId="0" applyFont="0" applyFill="0" applyBorder="0" applyAlignment="0" applyProtection="0"/>
    <xf numFmtId="203" fontId="33" fillId="0" borderId="0" applyFont="0" applyFill="0" applyBorder="0" applyAlignment="0" applyProtection="0"/>
    <xf numFmtId="203" fontId="33" fillId="0" borderId="0" applyFont="0" applyFill="0" applyBorder="0" applyAlignment="0" applyProtection="0"/>
    <xf numFmtId="203" fontId="33" fillId="0" borderId="0" applyFont="0" applyFill="0" applyBorder="0" applyAlignment="0" applyProtection="0"/>
    <xf numFmtId="203" fontId="33" fillId="0" borderId="0" applyFont="0" applyFill="0" applyBorder="0" applyAlignment="0" applyProtection="0"/>
    <xf numFmtId="202" fontId="33" fillId="0" borderId="0" applyFont="0" applyFill="0" applyBorder="0" applyAlignment="0" applyProtection="0"/>
    <xf numFmtId="202" fontId="33" fillId="0" borderId="0" applyFont="0" applyFill="0" applyBorder="0" applyAlignment="0" applyProtection="0"/>
    <xf numFmtId="199" fontId="8" fillId="0" borderId="0" applyFont="0" applyFill="0" applyBorder="0" applyAlignment="0" applyProtection="0"/>
    <xf numFmtId="0" fontId="119" fillId="0" borderId="52" applyNumberFormat="0" applyFill="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36" fillId="67" borderId="0" applyNumberFormat="0" applyBorder="0" applyAlignment="0" applyProtection="0"/>
    <xf numFmtId="0" fontId="36" fillId="67" borderId="0" applyNumberFormat="0" applyBorder="0" applyAlignment="0" applyProtection="0"/>
    <xf numFmtId="0" fontId="36" fillId="67" borderId="0" applyNumberFormat="0" applyBorder="0" applyAlignment="0" applyProtection="0"/>
    <xf numFmtId="0" fontId="36" fillId="67" borderId="0" applyNumberFormat="0" applyBorder="0" applyAlignment="0" applyProtection="0"/>
    <xf numFmtId="0" fontId="36" fillId="67" borderId="0" applyNumberFormat="0" applyBorder="0" applyAlignment="0" applyProtection="0"/>
    <xf numFmtId="0" fontId="36" fillId="67" borderId="0" applyNumberFormat="0" applyBorder="0" applyAlignment="0" applyProtection="0"/>
    <xf numFmtId="0" fontId="36" fillId="69" borderId="0" applyNumberFormat="0" applyBorder="0" applyAlignment="0" applyProtection="0"/>
    <xf numFmtId="0" fontId="36" fillId="69" borderId="0" applyNumberFormat="0" applyBorder="0" applyAlignment="0" applyProtection="0"/>
    <xf numFmtId="0" fontId="36" fillId="69" borderId="0" applyNumberFormat="0" applyBorder="0" applyAlignment="0" applyProtection="0"/>
    <xf numFmtId="0" fontId="36" fillId="69" borderId="0" applyNumberFormat="0" applyBorder="0" applyAlignment="0" applyProtection="0"/>
    <xf numFmtId="0" fontId="36" fillId="69" borderId="0" applyNumberFormat="0" applyBorder="0" applyAlignment="0" applyProtection="0"/>
    <xf numFmtId="0" fontId="36" fillId="69" borderId="0" applyNumberFormat="0" applyBorder="0" applyAlignment="0" applyProtection="0"/>
    <xf numFmtId="0" fontId="36" fillId="71" borderId="0" applyNumberFormat="0" applyBorder="0" applyAlignment="0" applyProtection="0"/>
    <xf numFmtId="0" fontId="36" fillId="71" borderId="0" applyNumberFormat="0" applyBorder="0" applyAlignment="0" applyProtection="0"/>
    <xf numFmtId="0" fontId="36" fillId="71" borderId="0" applyNumberFormat="0" applyBorder="0" applyAlignment="0" applyProtection="0"/>
    <xf numFmtId="0" fontId="36" fillId="71" borderId="0" applyNumberFormat="0" applyBorder="0" applyAlignment="0" applyProtection="0"/>
    <xf numFmtId="0" fontId="36" fillId="71" borderId="0" applyNumberFormat="0" applyBorder="0" applyAlignment="0" applyProtection="0"/>
    <xf numFmtId="0" fontId="36" fillId="71" borderId="0" applyNumberFormat="0" applyBorder="0" applyAlignment="0" applyProtection="0"/>
    <xf numFmtId="0" fontId="36" fillId="61" borderId="0" applyNumberFormat="0" applyBorder="0" applyAlignment="0" applyProtection="0"/>
    <xf numFmtId="0" fontId="36" fillId="61" borderId="0" applyNumberFormat="0" applyBorder="0" applyAlignment="0" applyProtection="0"/>
    <xf numFmtId="0" fontId="36" fillId="61" borderId="0" applyNumberFormat="0" applyBorder="0" applyAlignment="0" applyProtection="0"/>
    <xf numFmtId="0" fontId="36" fillId="61" borderId="0" applyNumberFormat="0" applyBorder="0" applyAlignment="0" applyProtection="0"/>
    <xf numFmtId="0" fontId="36" fillId="61" borderId="0" applyNumberFormat="0" applyBorder="0" applyAlignment="0" applyProtection="0"/>
    <xf numFmtId="0" fontId="36" fillId="61" borderId="0" applyNumberFormat="0" applyBorder="0" applyAlignment="0" applyProtection="0"/>
    <xf numFmtId="0" fontId="36" fillId="63" borderId="0" applyNumberFormat="0" applyBorder="0" applyAlignment="0" applyProtection="0"/>
    <xf numFmtId="0" fontId="36" fillId="63" borderId="0" applyNumberFormat="0" applyBorder="0" applyAlignment="0" applyProtection="0"/>
    <xf numFmtId="0" fontId="36" fillId="63" borderId="0" applyNumberFormat="0" applyBorder="0" applyAlignment="0" applyProtection="0"/>
    <xf numFmtId="0" fontId="36" fillId="63" borderId="0" applyNumberFormat="0" applyBorder="0" applyAlignment="0" applyProtection="0"/>
    <xf numFmtId="0" fontId="36" fillId="63" borderId="0" applyNumberFormat="0" applyBorder="0" applyAlignment="0" applyProtection="0"/>
    <xf numFmtId="0" fontId="36" fillId="63" borderId="0" applyNumberFormat="0" applyBorder="0" applyAlignment="0" applyProtection="0"/>
    <xf numFmtId="0" fontId="36" fillId="73" borderId="0" applyNumberFormat="0" applyBorder="0" applyAlignment="0" applyProtection="0"/>
    <xf numFmtId="0" fontId="36" fillId="73" borderId="0" applyNumberFormat="0" applyBorder="0" applyAlignment="0" applyProtection="0"/>
    <xf numFmtId="0" fontId="36" fillId="73" borderId="0" applyNumberFormat="0" applyBorder="0" applyAlignment="0" applyProtection="0"/>
    <xf numFmtId="0" fontId="36" fillId="73" borderId="0" applyNumberFormat="0" applyBorder="0" applyAlignment="0" applyProtection="0"/>
    <xf numFmtId="0" fontId="36" fillId="73" borderId="0" applyNumberFormat="0" applyBorder="0" applyAlignment="0" applyProtection="0"/>
    <xf numFmtId="0" fontId="36" fillId="73" borderId="0" applyNumberFormat="0" applyBorder="0" applyAlignment="0" applyProtection="0"/>
    <xf numFmtId="0" fontId="45" fillId="44" borderId="42" applyNumberFormat="0" applyAlignment="0" applyProtection="0"/>
    <xf numFmtId="0" fontId="45" fillId="44" borderId="42" applyNumberFormat="0" applyAlignment="0" applyProtection="0"/>
    <xf numFmtId="0" fontId="45" fillId="44" borderId="42" applyNumberFormat="0" applyAlignment="0" applyProtection="0"/>
    <xf numFmtId="0" fontId="45" fillId="44" borderId="42" applyNumberFormat="0" applyAlignment="0" applyProtection="0"/>
    <xf numFmtId="0" fontId="45" fillId="44" borderId="42" applyNumberFormat="0" applyAlignment="0" applyProtection="0"/>
    <xf numFmtId="0" fontId="45" fillId="44" borderId="42" applyNumberFormat="0" applyAlignment="0" applyProtection="0"/>
    <xf numFmtId="43" fontId="33" fillId="0" borderId="0" applyFont="0" applyFill="0" applyBorder="0" applyAlignment="0" applyProtection="0"/>
    <xf numFmtId="43" fontId="33" fillId="0" borderId="0" applyFont="0" applyFill="0" applyBorder="0" applyAlignment="0" applyProtection="0"/>
    <xf numFmtId="43" fontId="33" fillId="0" borderId="0" applyFont="0" applyFill="0" applyBorder="0" applyAlignment="0" applyProtection="0"/>
    <xf numFmtId="43" fontId="33" fillId="0" borderId="0" applyFont="0" applyFill="0" applyBorder="0" applyAlignment="0" applyProtection="0"/>
    <xf numFmtId="43" fontId="33" fillId="0" borderId="0" applyFont="0" applyFill="0" applyBorder="0" applyAlignment="0" applyProtection="0"/>
    <xf numFmtId="197" fontId="33" fillId="0" borderId="0" applyFont="0" applyFill="0" applyBorder="0" applyAlignment="0" applyProtection="0"/>
    <xf numFmtId="197" fontId="33" fillId="0" borderId="0" applyFont="0" applyFill="0" applyBorder="0" applyAlignment="0" applyProtection="0"/>
    <xf numFmtId="197" fontId="33" fillId="0" borderId="0" applyFont="0" applyFill="0" applyBorder="0" applyAlignment="0" applyProtection="0"/>
    <xf numFmtId="197" fontId="33" fillId="0" borderId="0" applyFont="0" applyFill="0" applyBorder="0" applyAlignment="0" applyProtection="0"/>
    <xf numFmtId="43" fontId="33" fillId="0" borderId="0" applyFont="0" applyFill="0" applyBorder="0" applyAlignment="0" applyProtection="0"/>
    <xf numFmtId="43" fontId="33" fillId="0" borderId="0" applyFont="0" applyFill="0" applyBorder="0" applyAlignment="0" applyProtection="0"/>
    <xf numFmtId="170" fontId="33" fillId="0" borderId="0" applyFont="0" applyFill="0" applyBorder="0" applyAlignment="0" applyProtection="0"/>
    <xf numFmtId="0" fontId="98" fillId="0" borderId="0"/>
    <xf numFmtId="198" fontId="33" fillId="0" borderId="0" applyFont="0" applyFill="0" applyBorder="0" applyAlignment="0" applyProtection="0"/>
    <xf numFmtId="200" fontId="33" fillId="0" borderId="0" applyFont="0" applyFill="0" applyBorder="0" applyAlignment="0" applyProtection="0"/>
    <xf numFmtId="200" fontId="33" fillId="0" borderId="0" applyFont="0" applyFill="0" applyBorder="0" applyAlignment="0" applyProtection="0"/>
    <xf numFmtId="200" fontId="33" fillId="0" borderId="0" applyFont="0" applyFill="0" applyBorder="0" applyAlignment="0" applyProtection="0"/>
    <xf numFmtId="200" fontId="33" fillId="0" borderId="0" applyFont="0" applyFill="0" applyBorder="0" applyAlignment="0" applyProtection="0"/>
    <xf numFmtId="200" fontId="33" fillId="0" borderId="0" applyFont="0" applyFill="0" applyBorder="0" applyAlignment="0" applyProtection="0"/>
    <xf numFmtId="200" fontId="33" fillId="0" borderId="0" applyFont="0" applyFill="0" applyBorder="0" applyAlignment="0" applyProtection="0"/>
    <xf numFmtId="198" fontId="33" fillId="0" borderId="0" applyFont="0" applyFill="0" applyBorder="0" applyAlignment="0" applyProtection="0"/>
    <xf numFmtId="198" fontId="33" fillId="0" borderId="0" applyFont="0" applyFill="0" applyBorder="0" applyAlignment="0" applyProtection="0"/>
    <xf numFmtId="200" fontId="33" fillId="0" borderId="0" applyFont="0" applyFill="0" applyBorder="0" applyAlignment="0" applyProtection="0"/>
    <xf numFmtId="201" fontId="101" fillId="0" borderId="36">
      <alignment horizontal="left"/>
      <protection locked="0"/>
    </xf>
    <xf numFmtId="0" fontId="37" fillId="36" borderId="0" applyNumberFormat="0" applyBorder="0" applyAlignment="0" applyProtection="0"/>
    <xf numFmtId="0" fontId="37" fillId="36" borderId="0" applyNumberFormat="0" applyBorder="0" applyAlignment="0" applyProtection="0"/>
    <xf numFmtId="0" fontId="37" fillId="36" borderId="0" applyNumberFormat="0" applyBorder="0" applyAlignment="0" applyProtection="0"/>
    <xf numFmtId="0" fontId="37" fillId="36" borderId="0" applyNumberFormat="0" applyBorder="0" applyAlignment="0" applyProtection="0"/>
    <xf numFmtId="0" fontId="37" fillId="36" borderId="0" applyNumberFormat="0" applyBorder="0" applyAlignment="0" applyProtection="0"/>
    <xf numFmtId="0" fontId="37" fillId="36" borderId="0" applyNumberFormat="0" applyBorder="0" applyAlignment="0" applyProtection="0"/>
    <xf numFmtId="43" fontId="33" fillId="0" borderId="0" applyFont="0" applyFill="0" applyBorder="0" applyAlignment="0" applyProtection="0"/>
    <xf numFmtId="43" fontId="33" fillId="0" borderId="0" applyFont="0" applyFill="0" applyBorder="0" applyAlignment="0" applyProtection="0"/>
    <xf numFmtId="43" fontId="33" fillId="0" borderId="0" applyFont="0" applyFill="0" applyBorder="0" applyAlignment="0" applyProtection="0"/>
    <xf numFmtId="43" fontId="33" fillId="0" borderId="0" applyFont="0" applyFill="0" applyBorder="0" applyAlignment="0" applyProtection="0"/>
    <xf numFmtId="43" fontId="33" fillId="0" borderId="0" applyFont="0" applyFill="0" applyBorder="0" applyAlignment="0" applyProtection="0"/>
    <xf numFmtId="43" fontId="33" fillId="0" borderId="0" applyFont="0" applyFill="0" applyBorder="0" applyAlignment="0" applyProtection="0"/>
    <xf numFmtId="43" fontId="33" fillId="0" borderId="0" applyFont="0" applyFill="0" applyBorder="0" applyAlignment="0" applyProtection="0"/>
    <xf numFmtId="43" fontId="33" fillId="0" borderId="0" applyFont="0" applyFill="0" applyBorder="0" applyAlignment="0" applyProtection="0"/>
    <xf numFmtId="43" fontId="33" fillId="0" borderId="0" applyFont="0" applyFill="0" applyBorder="0" applyAlignment="0" applyProtection="0"/>
    <xf numFmtId="43" fontId="33" fillId="0" borderId="0" applyFont="0" applyFill="0" applyBorder="0" applyAlignment="0" applyProtection="0"/>
    <xf numFmtId="43" fontId="33" fillId="0" borderId="0" applyFont="0" applyFill="0" applyBorder="0" applyAlignment="0" applyProtection="0"/>
    <xf numFmtId="43" fontId="33" fillId="0" borderId="0" applyFont="0" applyFill="0" applyBorder="0" applyAlignment="0" applyProtection="0"/>
    <xf numFmtId="43" fontId="33" fillId="0" borderId="0" applyFont="0" applyFill="0" applyBorder="0" applyAlignment="0" applyProtection="0"/>
    <xf numFmtId="43" fontId="33" fillId="0" borderId="0" applyFont="0" applyFill="0" applyBorder="0" applyAlignment="0" applyProtection="0"/>
    <xf numFmtId="43" fontId="33" fillId="0" borderId="0" applyFont="0" applyFill="0" applyBorder="0" applyAlignment="0" applyProtection="0"/>
    <xf numFmtId="43" fontId="33" fillId="0" borderId="0" applyFont="0" applyFill="0" applyBorder="0" applyAlignment="0" applyProtection="0"/>
    <xf numFmtId="43" fontId="33" fillId="0" borderId="0" applyFont="0" applyFill="0" applyBorder="0" applyAlignment="0" applyProtection="0"/>
    <xf numFmtId="43" fontId="33" fillId="0" borderId="0" applyFont="0" applyFill="0" applyBorder="0" applyAlignment="0" applyProtection="0"/>
    <xf numFmtId="43" fontId="33" fillId="0" borderId="0" applyFont="0" applyFill="0" applyBorder="0" applyAlignment="0" applyProtection="0"/>
    <xf numFmtId="43" fontId="33" fillId="0" borderId="0" applyFont="0" applyFill="0" applyBorder="0" applyAlignment="0" applyProtection="0"/>
    <xf numFmtId="196" fontId="33" fillId="0" borderId="0" applyFont="0" applyFill="0" applyBorder="0" applyAlignment="0" applyProtection="0"/>
    <xf numFmtId="196" fontId="33" fillId="0" borderId="0" applyFont="0" applyFill="0" applyBorder="0" applyAlignment="0" applyProtection="0"/>
    <xf numFmtId="0" fontId="47" fillId="84" borderId="0" applyNumberFormat="0" applyBorder="0" applyAlignment="0" applyProtection="0"/>
    <xf numFmtId="0" fontId="47" fillId="84" borderId="0" applyNumberFormat="0" applyBorder="0" applyAlignment="0" applyProtection="0"/>
    <xf numFmtId="0" fontId="47" fillId="84" borderId="0" applyNumberFormat="0" applyBorder="0" applyAlignment="0" applyProtection="0"/>
    <xf numFmtId="0" fontId="47" fillId="84" borderId="0" applyNumberFormat="0" applyBorder="0" applyAlignment="0" applyProtection="0"/>
    <xf numFmtId="0" fontId="47" fillId="84" borderId="0" applyNumberFormat="0" applyBorder="0" applyAlignment="0" applyProtection="0"/>
    <xf numFmtId="0" fontId="97" fillId="0" borderId="0"/>
    <xf numFmtId="43" fontId="33" fillId="0" borderId="0" applyFont="0" applyFill="0" applyBorder="0" applyAlignment="0" applyProtection="0"/>
    <xf numFmtId="43" fontId="33" fillId="0" borderId="0" applyFont="0" applyFill="0" applyBorder="0" applyAlignment="0" applyProtection="0"/>
    <xf numFmtId="43" fontId="33" fillId="0" borderId="0" applyFont="0" applyFill="0" applyBorder="0" applyAlignment="0" applyProtection="0"/>
    <xf numFmtId="43" fontId="33" fillId="0" borderId="0" applyFont="0" applyFill="0" applyBorder="0" applyAlignment="0" applyProtection="0"/>
    <xf numFmtId="43" fontId="33" fillId="0" borderId="0" applyFont="0" applyFill="0" applyBorder="0" applyAlignment="0" applyProtection="0"/>
    <xf numFmtId="43" fontId="33" fillId="0" borderId="0" applyFont="0" applyFill="0" applyBorder="0" applyAlignment="0" applyProtection="0"/>
    <xf numFmtId="43" fontId="33" fillId="0" borderId="0" applyFont="0" applyFill="0" applyBorder="0" applyAlignment="0" applyProtection="0"/>
    <xf numFmtId="43" fontId="33" fillId="0" borderId="0" applyFont="0" applyFill="0" applyBorder="0" applyAlignment="0" applyProtection="0"/>
    <xf numFmtId="43" fontId="33" fillId="0" borderId="0" applyFont="0" applyFill="0" applyBorder="0" applyAlignment="0" applyProtection="0"/>
    <xf numFmtId="43" fontId="33" fillId="0" borderId="0" applyFont="0" applyFill="0" applyBorder="0" applyAlignment="0" applyProtection="0"/>
    <xf numFmtId="43" fontId="33" fillId="0" borderId="0" applyFont="0" applyFill="0" applyBorder="0" applyAlignment="0" applyProtection="0"/>
    <xf numFmtId="43" fontId="33" fillId="0" borderId="0" applyFont="0" applyFill="0" applyBorder="0" applyAlignment="0" applyProtection="0"/>
    <xf numFmtId="43" fontId="33" fillId="0" borderId="0" applyFont="0" applyFill="0" applyBorder="0" applyAlignment="0" applyProtection="0"/>
    <xf numFmtId="43" fontId="33" fillId="0" borderId="0" applyFont="0" applyFill="0" applyBorder="0" applyAlignment="0" applyProtection="0"/>
    <xf numFmtId="0" fontId="33" fillId="0" borderId="0"/>
    <xf numFmtId="43" fontId="33" fillId="0" borderId="0" applyFont="0" applyFill="0" applyBorder="0" applyAlignment="0" applyProtection="0"/>
    <xf numFmtId="43" fontId="33" fillId="0" borderId="0" applyFont="0" applyFill="0" applyBorder="0" applyAlignment="0" applyProtection="0"/>
    <xf numFmtId="43" fontId="33" fillId="0" borderId="0" applyFont="0" applyFill="0" applyBorder="0" applyAlignment="0" applyProtection="0"/>
    <xf numFmtId="43" fontId="33" fillId="0" borderId="0" applyFont="0" applyFill="0" applyBorder="0" applyAlignment="0" applyProtection="0"/>
    <xf numFmtId="43" fontId="33" fillId="0" borderId="0" applyFont="0" applyFill="0" applyBorder="0" applyAlignment="0" applyProtection="0"/>
    <xf numFmtId="43" fontId="33" fillId="0" borderId="0" applyFont="0" applyFill="0" applyBorder="0" applyAlignment="0" applyProtection="0"/>
    <xf numFmtId="43" fontId="33" fillId="0" borderId="0" applyFont="0" applyFill="0" applyBorder="0" applyAlignment="0" applyProtection="0"/>
    <xf numFmtId="43" fontId="33" fillId="0" borderId="0" applyFont="0" applyFill="0" applyBorder="0" applyAlignment="0" applyProtection="0"/>
    <xf numFmtId="43" fontId="33" fillId="0" borderId="0" applyFont="0" applyFill="0" applyBorder="0" applyAlignment="0" applyProtection="0"/>
    <xf numFmtId="0" fontId="33" fillId="86" borderId="49" applyNumberFormat="0" applyFont="0" applyAlignment="0" applyProtection="0"/>
    <xf numFmtId="0" fontId="33" fillId="86" borderId="49" applyNumberFormat="0" applyFont="0" applyAlignment="0" applyProtection="0"/>
    <xf numFmtId="0" fontId="33" fillId="86" borderId="49" applyNumberFormat="0" applyFont="0" applyAlignment="0" applyProtection="0"/>
    <xf numFmtId="0" fontId="33" fillId="86" borderId="49" applyNumberFormat="0" applyFont="0" applyAlignment="0" applyProtection="0"/>
    <xf numFmtId="0" fontId="33" fillId="86" borderId="49" applyNumberFormat="0" applyFont="0" applyAlignment="0" applyProtection="0"/>
    <xf numFmtId="0" fontId="33" fillId="86" borderId="49" applyNumberFormat="0" applyFont="0" applyAlignment="0" applyProtection="0"/>
    <xf numFmtId="0" fontId="33" fillId="86" borderId="49" applyNumberFormat="0" applyFont="0" applyAlignment="0" applyProtection="0"/>
    <xf numFmtId="0" fontId="33" fillId="86" borderId="49" applyNumberFormat="0" applyFont="0" applyAlignment="0" applyProtection="0"/>
    <xf numFmtId="0" fontId="33" fillId="86" borderId="49" applyNumberFormat="0" applyFont="0" applyAlignment="0" applyProtection="0"/>
    <xf numFmtId="0" fontId="33" fillId="86" borderId="49" applyNumberFormat="0" applyFont="0" applyAlignment="0" applyProtection="0"/>
    <xf numFmtId="0" fontId="33" fillId="86" borderId="49" applyNumberFormat="0" applyFont="0" applyAlignment="0" applyProtection="0"/>
    <xf numFmtId="10" fontId="33" fillId="0" borderId="0" applyFont="0" applyFill="0" applyBorder="0" applyAlignment="0" applyProtection="0"/>
    <xf numFmtId="10" fontId="33" fillId="0" borderId="0" applyFont="0" applyFill="0" applyBorder="0" applyAlignment="0" applyProtection="0"/>
    <xf numFmtId="10" fontId="33" fillId="0" borderId="0" applyFont="0" applyFill="0" applyBorder="0" applyAlignment="0" applyProtection="0"/>
    <xf numFmtId="10" fontId="33" fillId="0" borderId="0" applyFont="0" applyFill="0" applyBorder="0" applyAlignment="0" applyProtection="0"/>
    <xf numFmtId="10" fontId="33" fillId="0" borderId="0" applyFont="0" applyFill="0" applyBorder="0" applyAlignment="0" applyProtection="0"/>
    <xf numFmtId="10" fontId="33" fillId="0" borderId="0" applyFont="0" applyFill="0" applyBorder="0" applyAlignment="0" applyProtection="0"/>
    <xf numFmtId="10" fontId="33" fillId="0" borderId="0" applyFont="0" applyFill="0" applyBorder="0" applyAlignment="0" applyProtection="0"/>
    <xf numFmtId="10" fontId="33" fillId="0" borderId="0" applyFont="0" applyFill="0" applyBorder="0" applyAlignment="0" applyProtection="0"/>
    <xf numFmtId="10" fontId="33" fillId="0" borderId="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0" fontId="48" fillId="75" borderId="50" applyNumberFormat="0" applyAlignment="0" applyProtection="0"/>
    <xf numFmtId="0" fontId="48" fillId="75" borderId="50" applyNumberFormat="0" applyAlignment="0" applyProtection="0"/>
    <xf numFmtId="0" fontId="48" fillId="75" borderId="50" applyNumberFormat="0" applyAlignment="0" applyProtection="0"/>
    <xf numFmtId="0" fontId="48" fillId="75" borderId="50" applyNumberFormat="0" applyAlignment="0" applyProtection="0"/>
    <xf numFmtId="0" fontId="48" fillId="75" borderId="50" applyNumberFormat="0" applyAlignment="0" applyProtection="0"/>
    <xf numFmtId="0" fontId="48" fillId="75" borderId="50" applyNumberFormat="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9" fillId="0" borderId="0" applyNumberFormat="0" applyFill="0" applyBorder="0" applyAlignment="0" applyProtection="0"/>
    <xf numFmtId="0" fontId="42" fillId="0" borderId="46" applyNumberFormat="0" applyFill="0" applyAlignment="0" applyProtection="0"/>
    <xf numFmtId="0" fontId="42" fillId="0" borderId="46" applyNumberFormat="0" applyFill="0" applyAlignment="0" applyProtection="0"/>
    <xf numFmtId="0" fontId="42" fillId="0" borderId="46" applyNumberFormat="0" applyFill="0" applyAlignment="0" applyProtection="0"/>
    <xf numFmtId="0" fontId="42" fillId="0" borderId="46" applyNumberFormat="0" applyFill="0" applyAlignment="0" applyProtection="0"/>
    <xf numFmtId="0" fontId="42" fillId="0" borderId="46" applyNumberFormat="0" applyFill="0" applyAlignment="0" applyProtection="0"/>
    <xf numFmtId="0" fontId="42" fillId="0" borderId="46" applyNumberFormat="0" applyFill="0" applyAlignment="0" applyProtection="0"/>
    <xf numFmtId="0" fontId="42" fillId="0" borderId="46" applyNumberFormat="0" applyFill="0" applyAlignment="0" applyProtection="0"/>
    <xf numFmtId="0" fontId="43" fillId="0" borderId="47" applyNumberFormat="0" applyFill="0" applyAlignment="0" applyProtection="0"/>
    <xf numFmtId="0" fontId="43" fillId="0" borderId="47" applyNumberFormat="0" applyFill="0" applyAlignment="0" applyProtection="0"/>
    <xf numFmtId="0" fontId="43" fillId="0" borderId="47" applyNumberFormat="0" applyFill="0" applyAlignment="0" applyProtection="0"/>
    <xf numFmtId="0" fontId="43" fillId="0" borderId="47" applyNumberFormat="0" applyFill="0" applyAlignment="0" applyProtection="0"/>
    <xf numFmtId="0" fontId="44" fillId="0" borderId="48" applyNumberFormat="0" applyFill="0" applyAlignment="0" applyProtection="0"/>
    <xf numFmtId="0" fontId="44" fillId="0" borderId="48" applyNumberFormat="0" applyFill="0" applyAlignment="0" applyProtection="0"/>
    <xf numFmtId="0" fontId="44" fillId="0" borderId="48" applyNumberFormat="0" applyFill="0" applyAlignment="0" applyProtection="0"/>
    <xf numFmtId="0" fontId="44" fillId="0" borderId="48" applyNumberFormat="0" applyFill="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0" fillId="0" borderId="51" applyNumberFormat="0" applyFill="0" applyAlignment="0" applyProtection="0"/>
    <xf numFmtId="0" fontId="50" fillId="0" borderId="51" applyNumberFormat="0" applyFill="0" applyAlignment="0" applyProtection="0"/>
    <xf numFmtId="43" fontId="33" fillId="0" borderId="0" applyFont="0" applyFill="0" applyBorder="0" applyAlignment="0" applyProtection="0"/>
    <xf numFmtId="41" fontId="102" fillId="0" borderId="0" applyFont="0" applyFill="0" applyBorder="0" applyAlignment="0" applyProtection="0"/>
    <xf numFmtId="43" fontId="102" fillId="0" borderId="0" applyFont="0" applyFill="0" applyBorder="0" applyAlignment="0" applyProtection="0"/>
    <xf numFmtId="0" fontId="103" fillId="38" borderId="0" applyNumberFormat="0" applyBorder="0" applyAlignment="0" applyProtection="0">
      <alignment vertical="center"/>
    </xf>
    <xf numFmtId="0" fontId="104" fillId="36" borderId="0" applyNumberFormat="0" applyBorder="0" applyAlignment="0" applyProtection="0">
      <alignment vertical="center"/>
    </xf>
    <xf numFmtId="0" fontId="33" fillId="0" borderId="0"/>
    <xf numFmtId="0" fontId="100" fillId="67" borderId="0" applyNumberFormat="0" applyBorder="0" applyAlignment="0" applyProtection="0">
      <alignment vertical="center"/>
    </xf>
    <xf numFmtId="0" fontId="100" fillId="69" borderId="0" applyNumberFormat="0" applyBorder="0" applyAlignment="0" applyProtection="0">
      <alignment vertical="center"/>
    </xf>
    <xf numFmtId="0" fontId="100" fillId="71" borderId="0" applyNumberFormat="0" applyBorder="0" applyAlignment="0" applyProtection="0">
      <alignment vertical="center"/>
    </xf>
    <xf numFmtId="0" fontId="100" fillId="61" borderId="0" applyNumberFormat="0" applyBorder="0" applyAlignment="0" applyProtection="0">
      <alignment vertical="center"/>
    </xf>
    <xf numFmtId="0" fontId="100" fillId="63" borderId="0" applyNumberFormat="0" applyBorder="0" applyAlignment="0" applyProtection="0">
      <alignment vertical="center"/>
    </xf>
    <xf numFmtId="0" fontId="100" fillId="73" borderId="0" applyNumberFormat="0" applyBorder="0" applyAlignment="0" applyProtection="0">
      <alignment vertical="center"/>
    </xf>
    <xf numFmtId="0" fontId="105" fillId="0" borderId="0" applyNumberFormat="0" applyFill="0" applyBorder="0" applyAlignment="0" applyProtection="0">
      <alignment vertical="center"/>
    </xf>
    <xf numFmtId="0" fontId="106" fillId="0" borderId="46" applyNumberFormat="0" applyFill="0" applyAlignment="0" applyProtection="0">
      <alignment vertical="center"/>
    </xf>
    <xf numFmtId="0" fontId="107" fillId="0" borderId="47" applyNumberFormat="0" applyFill="0" applyAlignment="0" applyProtection="0">
      <alignment vertical="center"/>
    </xf>
    <xf numFmtId="0" fontId="108" fillId="0" borderId="48" applyNumberFormat="0" applyFill="0" applyAlignment="0" applyProtection="0">
      <alignment vertical="center"/>
    </xf>
    <xf numFmtId="0" fontId="108" fillId="0" borderId="0" applyNumberFormat="0" applyFill="0" applyBorder="0" applyAlignment="0" applyProtection="0">
      <alignment vertical="center"/>
    </xf>
    <xf numFmtId="0" fontId="109" fillId="79" borderId="43" applyNumberFormat="0" applyAlignment="0" applyProtection="0">
      <alignment vertical="center"/>
    </xf>
    <xf numFmtId="0" fontId="110" fillId="0" borderId="51" applyNumberFormat="0" applyFill="0" applyAlignment="0" applyProtection="0">
      <alignment vertical="center"/>
    </xf>
    <xf numFmtId="0" fontId="111" fillId="86" borderId="49" applyNumberFormat="0" applyFont="0" applyAlignment="0" applyProtection="0">
      <alignment vertical="center"/>
    </xf>
    <xf numFmtId="0" fontId="112" fillId="0" borderId="0" applyNumberFormat="0" applyFill="0" applyBorder="0" applyAlignment="0" applyProtection="0">
      <alignment vertical="center"/>
    </xf>
    <xf numFmtId="0" fontId="113" fillId="0" borderId="0" applyNumberFormat="0" applyFill="0" applyBorder="0" applyAlignment="0" applyProtection="0">
      <alignment vertical="center"/>
    </xf>
    <xf numFmtId="0" fontId="114" fillId="75" borderId="42" applyNumberFormat="0" applyAlignment="0" applyProtection="0">
      <alignment vertical="center"/>
    </xf>
    <xf numFmtId="0" fontId="115" fillId="44" borderId="42" applyNumberFormat="0" applyAlignment="0" applyProtection="0">
      <alignment vertical="center"/>
    </xf>
    <xf numFmtId="0" fontId="116" fillId="75" borderId="50" applyNumberFormat="0" applyAlignment="0" applyProtection="0">
      <alignment vertical="center"/>
    </xf>
    <xf numFmtId="0" fontId="117" fillId="84" borderId="0" applyNumberFormat="0" applyBorder="0" applyAlignment="0" applyProtection="0">
      <alignment vertical="center"/>
    </xf>
    <xf numFmtId="0" fontId="118" fillId="0" borderId="44" applyNumberFormat="0" applyFill="0" applyAlignment="0" applyProtection="0">
      <alignment vertical="center"/>
    </xf>
    <xf numFmtId="43" fontId="33" fillId="0" borderId="0" applyFont="0" applyFill="0" applyBorder="0" applyAlignment="0" applyProtection="0"/>
    <xf numFmtId="0" fontId="34" fillId="34" borderId="0" applyNumberFormat="0" applyBorder="0" applyAlignment="0" applyProtection="0"/>
    <xf numFmtId="0" fontId="34" fillId="36" borderId="0" applyNumberFormat="0" applyBorder="0" applyAlignment="0" applyProtection="0"/>
    <xf numFmtId="0" fontId="34" fillId="38" borderId="0" applyNumberFormat="0" applyBorder="0" applyAlignment="0" applyProtection="0"/>
    <xf numFmtId="0" fontId="34" fillId="40" borderId="0" applyNumberFormat="0" applyBorder="0" applyAlignment="0" applyProtection="0"/>
    <xf numFmtId="0" fontId="34" fillId="42" borderId="0" applyNumberFormat="0" applyBorder="0" applyAlignment="0" applyProtection="0"/>
    <xf numFmtId="0" fontId="34" fillId="44" borderId="0" applyNumberFormat="0" applyBorder="0" applyAlignment="0" applyProtection="0"/>
    <xf numFmtId="0" fontId="34" fillId="50" borderId="0" applyNumberFormat="0" applyBorder="0" applyAlignment="0" applyProtection="0"/>
    <xf numFmtId="0" fontId="34" fillId="52" borderId="0" applyNumberFormat="0" applyBorder="0" applyAlignment="0" applyProtection="0"/>
    <xf numFmtId="0" fontId="34" fillId="54" borderId="0" applyNumberFormat="0" applyBorder="0" applyAlignment="0" applyProtection="0"/>
    <xf numFmtId="0" fontId="34" fillId="40" borderId="0" applyNumberFormat="0" applyBorder="0" applyAlignment="0" applyProtection="0"/>
    <xf numFmtId="0" fontId="34" fillId="50" borderId="0" applyNumberFormat="0" applyBorder="0" applyAlignment="0" applyProtection="0"/>
    <xf numFmtId="0" fontId="34" fillId="56" borderId="0" applyNumberFormat="0" applyBorder="0" applyAlignment="0" applyProtection="0"/>
    <xf numFmtId="0" fontId="66" fillId="0" borderId="0"/>
    <xf numFmtId="43" fontId="33" fillId="0" borderId="0" applyFont="0" applyFill="0" applyBorder="0" applyAlignment="0" applyProtection="0"/>
    <xf numFmtId="0" fontId="66" fillId="0" borderId="0"/>
    <xf numFmtId="196" fontId="33" fillId="0" borderId="0" applyFont="0" applyFill="0" applyBorder="0" applyAlignment="0" applyProtection="0"/>
    <xf numFmtId="9" fontId="33" fillId="0" borderId="0" applyFont="0" applyFill="0" applyBorder="0" applyAlignment="0" applyProtection="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23" fillId="0" borderId="0"/>
    <xf numFmtId="0" fontId="66" fillId="0" borderId="0"/>
    <xf numFmtId="0" fontId="96" fillId="0" borderId="0"/>
    <xf numFmtId="0" fontId="96" fillId="0" borderId="0"/>
    <xf numFmtId="0" fontId="96" fillId="0" borderId="0"/>
    <xf numFmtId="0" fontId="96" fillId="0" borderId="0"/>
    <xf numFmtId="0" fontId="96" fillId="0" borderId="0"/>
    <xf numFmtId="0" fontId="23" fillId="0" borderId="0"/>
    <xf numFmtId="0" fontId="23" fillId="0" borderId="0"/>
    <xf numFmtId="0" fontId="67" fillId="0" borderId="0"/>
    <xf numFmtId="0" fontId="96" fillId="0" borderId="0"/>
    <xf numFmtId="205" fontId="120" fillId="0" borderId="0"/>
    <xf numFmtId="0" fontId="96" fillId="0" borderId="0"/>
    <xf numFmtId="0" fontId="96" fillId="0" borderId="0"/>
    <xf numFmtId="0" fontId="121" fillId="0" borderId="0"/>
    <xf numFmtId="0" fontId="66" fillId="0" borderId="0"/>
    <xf numFmtId="0" fontId="66" fillId="0" borderId="0"/>
    <xf numFmtId="0" fontId="66" fillId="0" borderId="0"/>
    <xf numFmtId="0" fontId="66" fillId="0" borderId="0"/>
    <xf numFmtId="0" fontId="66" fillId="0" borderId="0"/>
    <xf numFmtId="0" fontId="124" fillId="0" borderId="13" applyBorder="0">
      <alignment horizontal="left" wrapText="1"/>
      <protection locked="0"/>
    </xf>
    <xf numFmtId="0" fontId="55" fillId="0" borderId="0"/>
    <xf numFmtId="43" fontId="33" fillId="0" borderId="0" applyFont="0" applyFill="0" applyBorder="0" applyAlignment="0" applyProtection="0"/>
    <xf numFmtId="0" fontId="34" fillId="34" borderId="0" applyNumberFormat="0" applyBorder="0" applyAlignment="0" applyProtection="0"/>
    <xf numFmtId="0" fontId="34" fillId="36" borderId="0" applyNumberFormat="0" applyBorder="0" applyAlignment="0" applyProtection="0"/>
    <xf numFmtId="0" fontId="34" fillId="38" borderId="0" applyNumberFormat="0" applyBorder="0" applyAlignment="0" applyProtection="0"/>
    <xf numFmtId="0" fontId="34" fillId="40" borderId="0" applyNumberFormat="0" applyBorder="0" applyAlignment="0" applyProtection="0"/>
    <xf numFmtId="0" fontId="34" fillId="42" borderId="0" applyNumberFormat="0" applyBorder="0" applyAlignment="0" applyProtection="0"/>
    <xf numFmtId="0" fontId="34" fillId="44" borderId="0" applyNumberFormat="0" applyBorder="0" applyAlignment="0" applyProtection="0"/>
    <xf numFmtId="0" fontId="34" fillId="50" borderId="0" applyNumberFormat="0" applyBorder="0" applyAlignment="0" applyProtection="0"/>
    <xf numFmtId="0" fontId="34" fillId="52" borderId="0" applyNumberFormat="0" applyBorder="0" applyAlignment="0" applyProtection="0"/>
    <xf numFmtId="0" fontId="34" fillId="54" borderId="0" applyNumberFormat="0" applyBorder="0" applyAlignment="0" applyProtection="0"/>
    <xf numFmtId="0" fontId="34" fillId="40" borderId="0" applyNumberFormat="0" applyBorder="0" applyAlignment="0" applyProtection="0"/>
    <xf numFmtId="0" fontId="34" fillId="50" borderId="0" applyNumberFormat="0" applyBorder="0" applyAlignment="0" applyProtection="0"/>
    <xf numFmtId="0" fontId="34" fillId="56" borderId="0" applyNumberFormat="0" applyBorder="0" applyAlignment="0" applyProtection="0"/>
    <xf numFmtId="43" fontId="33" fillId="0" borderId="0" applyFont="0" applyFill="0" applyBorder="0" applyAlignment="0" applyProtection="0"/>
    <xf numFmtId="196" fontId="33" fillId="0" borderId="0" applyFont="0" applyFill="0" applyBorder="0" applyAlignment="0" applyProtection="0"/>
    <xf numFmtId="9" fontId="33" fillId="0" borderId="0" applyFont="0" applyFill="0" applyBorder="0" applyAlignment="0" applyProtection="0"/>
    <xf numFmtId="165" fontId="41" fillId="94" borderId="5">
      <alignment horizontal="center" vertical="center"/>
    </xf>
    <xf numFmtId="43" fontId="34" fillId="0" borderId="0" applyFont="0" applyFill="0" applyBorder="0" applyAlignment="0" applyProtection="0"/>
    <xf numFmtId="43" fontId="34" fillId="0" borderId="0" applyFont="0" applyFill="0" applyBorder="0" applyAlignment="0" applyProtection="0"/>
    <xf numFmtId="43" fontId="34" fillId="0" borderId="0" applyFont="0" applyFill="0" applyBorder="0" applyAlignment="0" applyProtection="0"/>
    <xf numFmtId="0" fontId="33" fillId="0" borderId="0"/>
    <xf numFmtId="0" fontId="34" fillId="0" borderId="0"/>
    <xf numFmtId="43" fontId="33" fillId="0" borderId="0" applyFont="0" applyFill="0" applyBorder="0" applyAlignment="0" applyProtection="0"/>
    <xf numFmtId="43" fontId="33" fillId="0" borderId="0" applyFont="0" applyFill="0" applyBorder="0" applyAlignment="0" applyProtection="0"/>
    <xf numFmtId="0" fontId="57" fillId="0" borderId="0"/>
    <xf numFmtId="0" fontId="57" fillId="0" borderId="0"/>
    <xf numFmtId="0" fontId="33" fillId="0" borderId="0"/>
    <xf numFmtId="0" fontId="57" fillId="0" borderId="0"/>
    <xf numFmtId="0" fontId="2" fillId="0" borderId="0"/>
    <xf numFmtId="43" fontId="34" fillId="0" borderId="0" applyFont="0" applyFill="0" applyBorder="0" applyAlignment="0" applyProtection="0"/>
    <xf numFmtId="206" fontId="123" fillId="0" borderId="0"/>
    <xf numFmtId="43" fontId="33" fillId="0" borderId="0" applyFont="0" applyFill="0" applyBorder="0" applyAlignment="0" applyProtection="0"/>
    <xf numFmtId="43" fontId="34" fillId="0" borderId="0" applyFont="0" applyFill="0" applyBorder="0" applyAlignment="0" applyProtection="0"/>
    <xf numFmtId="43" fontId="34" fillId="0" borderId="0" applyFont="0" applyFill="0" applyBorder="0" applyAlignment="0" applyProtection="0"/>
    <xf numFmtId="2" fontId="122" fillId="96" borderId="5">
      <alignment horizontal="center" vertical="center"/>
    </xf>
    <xf numFmtId="198" fontId="33" fillId="0" borderId="0" applyFont="0" applyFill="0" applyBorder="0" applyAlignment="0" applyProtection="0"/>
    <xf numFmtId="2" fontId="51" fillId="95" borderId="5">
      <alignment horizontal="center" vertical="center"/>
    </xf>
    <xf numFmtId="43" fontId="34" fillId="0" borderId="0" applyFont="0" applyFill="0" applyBorder="0" applyAlignment="0" applyProtection="0"/>
    <xf numFmtId="43" fontId="34" fillId="0" borderId="0" applyFont="0" applyFill="0" applyBorder="0" applyAlignment="0" applyProtection="0"/>
    <xf numFmtId="43" fontId="34" fillId="0" borderId="0" applyFont="0" applyFill="0" applyBorder="0" applyAlignment="0" applyProtection="0"/>
    <xf numFmtId="0" fontId="102" fillId="0" borderId="57" applyAlignment="0">
      <alignment horizontal="centerContinuous"/>
    </xf>
    <xf numFmtId="15" fontId="102" fillId="0" borderId="56" applyBorder="0">
      <alignment horizontal="centerContinuous"/>
    </xf>
    <xf numFmtId="0" fontId="34" fillId="56" borderId="0" applyNumberFormat="0" applyBorder="0" applyAlignment="0" applyProtection="0"/>
    <xf numFmtId="0" fontId="34" fillId="50" borderId="0" applyNumberFormat="0" applyBorder="0" applyAlignment="0" applyProtection="0"/>
    <xf numFmtId="0" fontId="34" fillId="40" borderId="0" applyNumberFormat="0" applyBorder="0" applyAlignment="0" applyProtection="0"/>
    <xf numFmtId="0" fontId="34" fillId="54" borderId="0" applyNumberFormat="0" applyBorder="0" applyAlignment="0" applyProtection="0"/>
    <xf numFmtId="0" fontId="34" fillId="52" borderId="0" applyNumberFormat="0" applyBorder="0" applyAlignment="0" applyProtection="0"/>
    <xf numFmtId="0" fontId="34" fillId="50" borderId="0" applyNumberFormat="0" applyBorder="0" applyAlignment="0" applyProtection="0"/>
    <xf numFmtId="0" fontId="34" fillId="44" borderId="0" applyNumberFormat="0" applyBorder="0" applyAlignment="0" applyProtection="0"/>
    <xf numFmtId="0" fontId="34" fillId="42" borderId="0" applyNumberFormat="0" applyBorder="0" applyAlignment="0" applyProtection="0"/>
    <xf numFmtId="0" fontId="34" fillId="40" borderId="0" applyNumberFormat="0" applyBorder="0" applyAlignment="0" applyProtection="0"/>
    <xf numFmtId="0" fontId="34" fillId="38" borderId="0" applyNumberFormat="0" applyBorder="0" applyAlignment="0" applyProtection="0"/>
    <xf numFmtId="0" fontId="34" fillId="36" borderId="0" applyNumberFormat="0" applyBorder="0" applyAlignment="0" applyProtection="0"/>
    <xf numFmtId="0" fontId="34" fillId="34" borderId="0" applyNumberFormat="0" applyBorder="0" applyAlignment="0" applyProtection="0"/>
    <xf numFmtId="43" fontId="34" fillId="0" borderId="0" applyFont="0" applyFill="0" applyBorder="0" applyAlignment="0" applyProtection="0"/>
    <xf numFmtId="43" fontId="34" fillId="0" borderId="0" applyFont="0" applyFill="0" applyBorder="0" applyAlignment="0" applyProtection="0"/>
    <xf numFmtId="0" fontId="66" fillId="0" borderId="0"/>
    <xf numFmtId="0" fontId="34" fillId="0" borderId="0"/>
    <xf numFmtId="0" fontId="66" fillId="0" borderId="0"/>
    <xf numFmtId="0" fontId="66" fillId="0" borderId="0"/>
    <xf numFmtId="43" fontId="34" fillId="0" borderId="0" applyFont="0" applyFill="0" applyBorder="0" applyAlignment="0" applyProtection="0"/>
    <xf numFmtId="0" fontId="34" fillId="34" borderId="0" applyNumberFormat="0" applyBorder="0" applyAlignment="0" applyProtection="0"/>
    <xf numFmtId="0" fontId="34" fillId="36" borderId="0" applyNumberFormat="0" applyBorder="0" applyAlignment="0" applyProtection="0"/>
    <xf numFmtId="0" fontId="34" fillId="38" borderId="0" applyNumberFormat="0" applyBorder="0" applyAlignment="0" applyProtection="0"/>
    <xf numFmtId="0" fontId="34" fillId="40" borderId="0" applyNumberFormat="0" applyBorder="0" applyAlignment="0" applyProtection="0"/>
    <xf numFmtId="0" fontId="34" fillId="42" borderId="0" applyNumberFormat="0" applyBorder="0" applyAlignment="0" applyProtection="0"/>
    <xf numFmtId="0" fontId="34" fillId="44" borderId="0" applyNumberFormat="0" applyBorder="0" applyAlignment="0" applyProtection="0"/>
    <xf numFmtId="0" fontId="34" fillId="50" borderId="0" applyNumberFormat="0" applyBorder="0" applyAlignment="0" applyProtection="0"/>
    <xf numFmtId="0" fontId="34" fillId="52" borderId="0" applyNumberFormat="0" applyBorder="0" applyAlignment="0" applyProtection="0"/>
    <xf numFmtId="0" fontId="34" fillId="54" borderId="0" applyNumberFormat="0" applyBorder="0" applyAlignment="0" applyProtection="0"/>
    <xf numFmtId="0" fontId="34" fillId="40" borderId="0" applyNumberFormat="0" applyBorder="0" applyAlignment="0" applyProtection="0"/>
    <xf numFmtId="0" fontId="34" fillId="50" borderId="0" applyNumberFormat="0" applyBorder="0" applyAlignment="0" applyProtection="0"/>
    <xf numFmtId="0" fontId="34" fillId="56" borderId="0" applyNumberFormat="0" applyBorder="0" applyAlignment="0" applyProtection="0"/>
    <xf numFmtId="43" fontId="34" fillId="0" borderId="0" applyFont="0" applyFill="0" applyBorder="0" applyAlignment="0" applyProtection="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43" fontId="34" fillId="0" borderId="0" applyFont="0" applyFill="0" applyBorder="0" applyAlignment="0" applyProtection="0"/>
    <xf numFmtId="0" fontId="34" fillId="34" borderId="0" applyNumberFormat="0" applyBorder="0" applyAlignment="0" applyProtection="0"/>
    <xf numFmtId="0" fontId="34" fillId="36" borderId="0" applyNumberFormat="0" applyBorder="0" applyAlignment="0" applyProtection="0"/>
    <xf numFmtId="0" fontId="34" fillId="38" borderId="0" applyNumberFormat="0" applyBorder="0" applyAlignment="0" applyProtection="0"/>
    <xf numFmtId="0" fontId="34" fillId="40" borderId="0" applyNumberFormat="0" applyBorder="0" applyAlignment="0" applyProtection="0"/>
    <xf numFmtId="0" fontId="34" fillId="42" borderId="0" applyNumberFormat="0" applyBorder="0" applyAlignment="0" applyProtection="0"/>
    <xf numFmtId="0" fontId="34" fillId="44" borderId="0" applyNumberFormat="0" applyBorder="0" applyAlignment="0" applyProtection="0"/>
    <xf numFmtId="0" fontId="34" fillId="50" borderId="0" applyNumberFormat="0" applyBorder="0" applyAlignment="0" applyProtection="0"/>
    <xf numFmtId="0" fontId="34" fillId="52" borderId="0" applyNumberFormat="0" applyBorder="0" applyAlignment="0" applyProtection="0"/>
    <xf numFmtId="0" fontId="34" fillId="54" borderId="0" applyNumberFormat="0" applyBorder="0" applyAlignment="0" applyProtection="0"/>
    <xf numFmtId="0" fontId="34" fillId="40" borderId="0" applyNumberFormat="0" applyBorder="0" applyAlignment="0" applyProtection="0"/>
    <xf numFmtId="0" fontId="34" fillId="50" borderId="0" applyNumberFormat="0" applyBorder="0" applyAlignment="0" applyProtection="0"/>
    <xf numFmtId="0" fontId="34" fillId="56" borderId="0" applyNumberFormat="0" applyBorder="0" applyAlignment="0" applyProtection="0"/>
    <xf numFmtId="43" fontId="34" fillId="0" borderId="0" applyFont="0" applyFill="0" applyBorder="0" applyAlignment="0" applyProtection="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34" fillId="50" borderId="0" applyNumberFormat="0" applyBorder="0" applyAlignment="0" applyProtection="0"/>
    <xf numFmtId="0" fontId="34" fillId="56" borderId="0" applyNumberFormat="0" applyBorder="0" applyAlignment="0" applyProtection="0"/>
    <xf numFmtId="0" fontId="34" fillId="34" borderId="0" applyNumberFormat="0" applyBorder="0" applyAlignment="0" applyProtection="0"/>
    <xf numFmtId="0" fontId="33" fillId="0" borderId="0"/>
    <xf numFmtId="0" fontId="66" fillId="0" borderId="0"/>
    <xf numFmtId="0" fontId="34" fillId="42" borderId="0" applyNumberFormat="0" applyBorder="0" applyAlignment="0" applyProtection="0"/>
    <xf numFmtId="0" fontId="34" fillId="42" borderId="0" applyNumberFormat="0" applyBorder="0" applyAlignment="0" applyProtection="0"/>
    <xf numFmtId="0" fontId="34" fillId="44" borderId="0" applyNumberFormat="0" applyBorder="0" applyAlignment="0" applyProtection="0"/>
    <xf numFmtId="0" fontId="34" fillId="50" borderId="0" applyNumberFormat="0" applyBorder="0" applyAlignment="0" applyProtection="0"/>
    <xf numFmtId="0" fontId="34" fillId="54" borderId="0" applyNumberFormat="0" applyBorder="0" applyAlignment="0" applyProtection="0"/>
    <xf numFmtId="0" fontId="34" fillId="40" borderId="0" applyNumberFormat="0" applyBorder="0" applyAlignment="0" applyProtection="0"/>
    <xf numFmtId="0" fontId="34" fillId="50" borderId="0" applyNumberFormat="0" applyBorder="0" applyAlignment="0" applyProtection="0"/>
    <xf numFmtId="0" fontId="34" fillId="56" borderId="0" applyNumberFormat="0" applyBorder="0" applyAlignment="0" applyProtection="0"/>
    <xf numFmtId="43" fontId="34" fillId="0" borderId="0" applyFont="0" applyFill="0" applyBorder="0" applyAlignment="0" applyProtection="0"/>
    <xf numFmtId="0" fontId="66" fillId="0" borderId="0"/>
    <xf numFmtId="0" fontId="34" fillId="52" borderId="0" applyNumberFormat="0" applyBorder="0" applyAlignment="0" applyProtection="0"/>
    <xf numFmtId="0" fontId="66" fillId="0" borderId="0"/>
    <xf numFmtId="0" fontId="34" fillId="34" borderId="0" applyNumberFormat="0" applyBorder="0" applyAlignment="0" applyProtection="0"/>
    <xf numFmtId="0" fontId="38" fillId="75" borderId="60" applyNumberFormat="0" applyAlignment="0" applyProtection="0"/>
    <xf numFmtId="0" fontId="38" fillId="76" borderId="60" applyNumberFormat="0" applyAlignment="0" applyProtection="0"/>
    <xf numFmtId="0" fontId="38" fillId="76" borderId="60" applyNumberFormat="0" applyAlignment="0" applyProtection="0"/>
    <xf numFmtId="0" fontId="38" fillId="75" borderId="60" applyNumberFormat="0" applyAlignment="0" applyProtection="0"/>
    <xf numFmtId="0" fontId="38" fillId="76" borderId="60" applyNumberFormat="0" applyAlignment="0" applyProtection="0"/>
    <xf numFmtId="0" fontId="38" fillId="76" borderId="60" applyNumberFormat="0" applyAlignment="0" applyProtection="0"/>
    <xf numFmtId="0" fontId="66" fillId="0" borderId="0"/>
    <xf numFmtId="0" fontId="38" fillId="76" borderId="60" applyNumberFormat="0" applyAlignment="0" applyProtection="0"/>
    <xf numFmtId="183" fontId="33" fillId="0" borderId="0" applyFill="0" applyBorder="0" applyAlignment="0" applyProtection="0"/>
    <xf numFmtId="43" fontId="34" fillId="0" borderId="0" applyFont="0" applyFill="0" applyBorder="0" applyAlignment="0" applyProtection="0"/>
    <xf numFmtId="0" fontId="34" fillId="36" borderId="0" applyNumberFormat="0" applyBorder="0" applyAlignment="0" applyProtection="0"/>
    <xf numFmtId="0" fontId="34" fillId="38" borderId="0" applyNumberFormat="0" applyBorder="0" applyAlignment="0" applyProtection="0"/>
    <xf numFmtId="0" fontId="34" fillId="40" borderId="0" applyNumberFormat="0" applyBorder="0" applyAlignment="0" applyProtection="0"/>
    <xf numFmtId="0" fontId="34" fillId="36" borderId="0" applyNumberFormat="0" applyBorder="0" applyAlignment="0" applyProtection="0"/>
    <xf numFmtId="0" fontId="34" fillId="38" borderId="0" applyNumberFormat="0" applyBorder="0" applyAlignment="0" applyProtection="0"/>
    <xf numFmtId="0" fontId="34" fillId="40" borderId="0" applyNumberFormat="0" applyBorder="0" applyAlignment="0" applyProtection="0"/>
    <xf numFmtId="0" fontId="34" fillId="44" borderId="0" applyNumberFormat="0" applyBorder="0" applyAlignment="0" applyProtection="0"/>
    <xf numFmtId="0" fontId="34" fillId="50" borderId="0" applyNumberFormat="0" applyBorder="0" applyAlignment="0" applyProtection="0"/>
    <xf numFmtId="0" fontId="34" fillId="52" borderId="0" applyNumberFormat="0" applyBorder="0" applyAlignment="0" applyProtection="0"/>
    <xf numFmtId="0" fontId="34" fillId="54" borderId="0" applyNumberFormat="0" applyBorder="0" applyAlignment="0" applyProtection="0"/>
    <xf numFmtId="0" fontId="34" fillId="40" borderId="0" applyNumberFormat="0" applyBorder="0" applyAlignment="0" applyProtection="0"/>
    <xf numFmtId="0" fontId="38" fillId="76" borderId="60" applyNumberFormat="0" applyAlignment="0" applyProtection="0"/>
    <xf numFmtId="0" fontId="38" fillId="75" borderId="60" applyNumberFormat="0" applyAlignment="0" applyProtection="0"/>
    <xf numFmtId="0" fontId="38" fillId="75" borderId="60" applyNumberFormat="0" applyAlignment="0" applyProtection="0"/>
    <xf numFmtId="0" fontId="38" fillId="78" borderId="60" applyNumberFormat="0" applyAlignment="0" applyProtection="0"/>
    <xf numFmtId="0" fontId="38" fillId="78" borderId="60" applyNumberFormat="0" applyAlignment="0" applyProtection="0"/>
    <xf numFmtId="0" fontId="38" fillId="78" borderId="60" applyNumberFormat="0" applyAlignment="0" applyProtection="0"/>
    <xf numFmtId="0" fontId="45" fillId="49" borderId="60" applyNumberFormat="0" applyAlignment="0" applyProtection="0"/>
    <xf numFmtId="0" fontId="45" fillId="49" borderId="60" applyNumberFormat="0" applyAlignment="0" applyProtection="0"/>
    <xf numFmtId="0" fontId="45" fillId="49" borderId="60" applyNumberFormat="0" applyAlignment="0" applyProtection="0"/>
    <xf numFmtId="0" fontId="45" fillId="49" borderId="60" applyNumberFormat="0" applyAlignment="0" applyProtection="0"/>
    <xf numFmtId="0" fontId="54" fillId="0" borderId="59">
      <alignment horizontal="left" vertical="center"/>
    </xf>
    <xf numFmtId="10" fontId="52" fillId="82" borderId="58" applyNumberFormat="0" applyBorder="0" applyAlignment="0" applyProtection="0"/>
    <xf numFmtId="10" fontId="52" fillId="82" borderId="58" applyNumberFormat="0" applyBorder="0" applyAlignment="0" applyProtection="0"/>
    <xf numFmtId="0" fontId="45" fillId="45" borderId="60" applyNumberFormat="0" applyAlignment="0" applyProtection="0"/>
    <xf numFmtId="0" fontId="45" fillId="45" borderId="60" applyNumberFormat="0" applyAlignment="0" applyProtection="0"/>
    <xf numFmtId="0" fontId="45" fillId="45" borderId="60" applyNumberFormat="0" applyAlignment="0" applyProtection="0"/>
    <xf numFmtId="0" fontId="45" fillId="45" borderId="60" applyNumberFormat="0" applyAlignment="0" applyProtection="0"/>
    <xf numFmtId="0" fontId="45" fillId="45" borderId="60" applyNumberFormat="0" applyAlignment="0" applyProtection="0"/>
    <xf numFmtId="0" fontId="45" fillId="44" borderId="60" applyNumberFormat="0" applyAlignment="0" applyProtection="0"/>
    <xf numFmtId="0" fontId="45" fillId="45" borderId="60" applyNumberFormat="0" applyAlignment="0" applyProtection="0"/>
    <xf numFmtId="0" fontId="45" fillId="45" borderId="60" applyNumberFormat="0" applyAlignment="0" applyProtection="0"/>
    <xf numFmtId="0" fontId="45" fillId="44" borderId="60" applyNumberFormat="0" applyAlignment="0" applyProtection="0"/>
    <xf numFmtId="0" fontId="45" fillId="44" borderId="60" applyNumberFormat="0" applyAlignment="0" applyProtection="0"/>
    <xf numFmtId="0" fontId="45" fillId="44" borderId="60" applyNumberFormat="0" applyAlignment="0" applyProtection="0"/>
    <xf numFmtId="0" fontId="45" fillId="44" borderId="60" applyNumberFormat="0" applyAlignment="0" applyProtection="0"/>
    <xf numFmtId="9" fontId="33" fillId="0" borderId="0" applyFill="0" applyBorder="0" applyAlignment="0" applyProtection="0"/>
    <xf numFmtId="0" fontId="38" fillId="75" borderId="60" applyNumberFormat="0" applyAlignment="0" applyProtection="0"/>
    <xf numFmtId="0" fontId="38" fillId="75" borderId="60" applyNumberFormat="0" applyAlignment="0" applyProtection="0"/>
    <xf numFmtId="0" fontId="66" fillId="0" borderId="0"/>
    <xf numFmtId="0" fontId="38" fillId="76" borderId="60" applyNumberFormat="0" applyAlignment="0" applyProtection="0"/>
    <xf numFmtId="0" fontId="66" fillId="0" borderId="0"/>
    <xf numFmtId="0" fontId="54" fillId="0" borderId="59">
      <alignment horizontal="left" vertical="center"/>
    </xf>
    <xf numFmtId="0" fontId="66" fillId="0" borderId="0"/>
    <xf numFmtId="0" fontId="38" fillId="75" borderId="60" applyNumberFormat="0" applyAlignment="0" applyProtection="0"/>
    <xf numFmtId="0" fontId="45" fillId="44" borderId="60" applyNumberFormat="0" applyAlignment="0" applyProtection="0"/>
    <xf numFmtId="0" fontId="66" fillId="0" borderId="0"/>
    <xf numFmtId="0" fontId="45" fillId="44" borderId="60" applyNumberFormat="0" applyAlignment="0" applyProtection="0"/>
    <xf numFmtId="0" fontId="66" fillId="0" borderId="0"/>
    <xf numFmtId="0" fontId="66" fillId="0" borderId="0"/>
    <xf numFmtId="0" fontId="72" fillId="44" borderId="60" applyNumberFormat="0" applyAlignment="0" applyProtection="0"/>
    <xf numFmtId="0" fontId="74" fillId="92" borderId="60" applyNumberFormat="0" applyAlignment="0" applyProtection="0"/>
    <xf numFmtId="0" fontId="66" fillId="86" borderId="61" applyNumberFormat="0" applyFont="0" applyAlignment="0" applyProtection="0"/>
    <xf numFmtId="0" fontId="72" fillId="44" borderId="60" applyNumberFormat="0" applyAlignment="0" applyProtection="0"/>
    <xf numFmtId="0" fontId="72" fillId="44" borderId="60" applyNumberFormat="0" applyAlignment="0" applyProtection="0"/>
    <xf numFmtId="0" fontId="72" fillId="44" borderId="60" applyNumberFormat="0" applyAlignment="0" applyProtection="0"/>
    <xf numFmtId="0" fontId="72" fillId="44" borderId="60" applyNumberFormat="0" applyAlignment="0" applyProtection="0"/>
    <xf numFmtId="0" fontId="72" fillId="44" borderId="60" applyNumberFormat="0" applyAlignment="0" applyProtection="0"/>
    <xf numFmtId="0" fontId="72" fillId="44" borderId="60" applyNumberFormat="0" applyAlignment="0" applyProtection="0"/>
    <xf numFmtId="0" fontId="72" fillId="44" borderId="60" applyNumberFormat="0" applyAlignment="0" applyProtection="0"/>
    <xf numFmtId="0" fontId="72" fillId="44" borderId="60" applyNumberFormat="0" applyAlignment="0" applyProtection="0"/>
    <xf numFmtId="0" fontId="66" fillId="44" borderId="60" applyNumberFormat="0" applyAlignment="0" applyProtection="0"/>
    <xf numFmtId="0" fontId="66" fillId="44" borderId="60" applyNumberFormat="0" applyAlignment="0" applyProtection="0"/>
    <xf numFmtId="0" fontId="66" fillId="44" borderId="60" applyNumberFormat="0" applyAlignment="0" applyProtection="0"/>
    <xf numFmtId="0" fontId="66" fillId="44" borderId="60" applyNumberFormat="0" applyAlignment="0" applyProtection="0"/>
    <xf numFmtId="0" fontId="66" fillId="44" borderId="60" applyNumberFormat="0" applyAlignment="0" applyProtection="0"/>
    <xf numFmtId="0" fontId="66" fillId="44" borderId="60" applyNumberFormat="0" applyAlignment="0" applyProtection="0"/>
    <xf numFmtId="0" fontId="66" fillId="44" borderId="60" applyNumberFormat="0" applyAlignment="0" applyProtection="0"/>
    <xf numFmtId="0" fontId="66" fillId="44" borderId="60" applyNumberFormat="0" applyAlignment="0" applyProtection="0"/>
    <xf numFmtId="0" fontId="72" fillId="44" borderId="60" applyNumberFormat="0" applyAlignment="0" applyProtection="0"/>
    <xf numFmtId="0" fontId="72" fillId="44" borderId="60" applyNumberFormat="0" applyAlignment="0" applyProtection="0"/>
    <xf numFmtId="0" fontId="72" fillId="44" borderId="60" applyNumberFormat="0" applyAlignment="0" applyProtection="0"/>
    <xf numFmtId="0" fontId="72" fillId="44" borderId="60" applyNumberFormat="0" applyAlignment="0" applyProtection="0"/>
    <xf numFmtId="0" fontId="72" fillId="44" borderId="60" applyNumberFormat="0" applyAlignment="0" applyProtection="0"/>
    <xf numFmtId="0" fontId="72" fillId="44" borderId="60" applyNumberFormat="0" applyAlignment="0" applyProtection="0"/>
    <xf numFmtId="0" fontId="66" fillId="44" borderId="60" applyNumberFormat="0" applyAlignment="0" applyProtection="0"/>
    <xf numFmtId="0" fontId="66" fillId="44" borderId="60" applyNumberFormat="0" applyAlignment="0" applyProtection="0"/>
    <xf numFmtId="0" fontId="66" fillId="44" borderId="60" applyNumberFormat="0" applyAlignment="0" applyProtection="0"/>
    <xf numFmtId="0" fontId="66" fillId="44" borderId="60" applyNumberFormat="0" applyAlignment="0" applyProtection="0"/>
    <xf numFmtId="0" fontId="66" fillId="44" borderId="60" applyNumberFormat="0" applyAlignment="0" applyProtection="0"/>
    <xf numFmtId="0" fontId="66" fillId="44" borderId="60" applyNumberFormat="0" applyAlignment="0" applyProtection="0"/>
    <xf numFmtId="0" fontId="66" fillId="44" borderId="60" applyNumberFormat="0" applyAlignment="0" applyProtection="0"/>
    <xf numFmtId="0" fontId="66" fillId="44" borderId="60" applyNumberFormat="0" applyAlignment="0" applyProtection="0"/>
    <xf numFmtId="0" fontId="72" fillId="44" borderId="60" applyNumberFormat="0" applyAlignment="0" applyProtection="0"/>
    <xf numFmtId="0" fontId="72" fillId="44" borderId="60" applyNumberFormat="0" applyAlignment="0" applyProtection="0"/>
    <xf numFmtId="0" fontId="72" fillId="44" borderId="60" applyNumberFormat="0" applyAlignment="0" applyProtection="0"/>
    <xf numFmtId="0" fontId="72" fillId="44" borderId="60" applyNumberFormat="0" applyAlignment="0" applyProtection="0"/>
    <xf numFmtId="0" fontId="72" fillId="44" borderId="60" applyNumberFormat="0" applyAlignment="0" applyProtection="0"/>
    <xf numFmtId="0" fontId="72" fillId="44" borderId="60" applyNumberFormat="0" applyAlignment="0" applyProtection="0"/>
    <xf numFmtId="0" fontId="66" fillId="44" borderId="60" applyNumberFormat="0" applyAlignment="0" applyProtection="0"/>
    <xf numFmtId="0" fontId="66" fillId="44" borderId="60" applyNumberFormat="0" applyAlignment="0" applyProtection="0"/>
    <xf numFmtId="0" fontId="66" fillId="44" borderId="60" applyNumberFormat="0" applyAlignment="0" applyProtection="0"/>
    <xf numFmtId="0" fontId="72" fillId="44" borderId="60" applyNumberFormat="0" applyAlignment="0" applyProtection="0"/>
    <xf numFmtId="0" fontId="66" fillId="44" borderId="60" applyNumberFormat="0" applyAlignment="0" applyProtection="0"/>
    <xf numFmtId="0" fontId="72" fillId="44" borderId="60" applyNumberFormat="0" applyAlignment="0" applyProtection="0"/>
    <xf numFmtId="0" fontId="72" fillId="44" borderId="60" applyNumberFormat="0" applyAlignment="0" applyProtection="0"/>
    <xf numFmtId="0" fontId="72" fillId="44" borderId="60" applyNumberFormat="0" applyAlignment="0" applyProtection="0"/>
    <xf numFmtId="0" fontId="72" fillId="44" borderId="60" applyNumberFormat="0" applyAlignment="0" applyProtection="0"/>
    <xf numFmtId="0" fontId="72" fillId="44" borderId="60" applyNumberFormat="0" applyAlignment="0" applyProtection="0"/>
    <xf numFmtId="0" fontId="72" fillId="44" borderId="60" applyNumberFormat="0" applyAlignment="0" applyProtection="0"/>
    <xf numFmtId="0" fontId="72" fillId="44" borderId="60" applyNumberFormat="0" applyAlignment="0" applyProtection="0"/>
    <xf numFmtId="0" fontId="72" fillId="44" borderId="60" applyNumberFormat="0" applyAlignment="0" applyProtection="0"/>
    <xf numFmtId="0" fontId="72" fillId="44" borderId="60" applyNumberFormat="0" applyAlignment="0" applyProtection="0"/>
    <xf numFmtId="0" fontId="72" fillId="44" borderId="60" applyNumberFormat="0" applyAlignment="0" applyProtection="0"/>
    <xf numFmtId="0" fontId="72" fillId="44" borderId="60" applyNumberFormat="0" applyAlignment="0" applyProtection="0"/>
    <xf numFmtId="0" fontId="72" fillId="44" borderId="60" applyNumberFormat="0" applyAlignment="0" applyProtection="0"/>
    <xf numFmtId="0" fontId="72" fillId="44" borderId="60" applyNumberFormat="0" applyAlignment="0" applyProtection="0"/>
    <xf numFmtId="0" fontId="72" fillId="44" borderId="60" applyNumberFormat="0" applyAlignment="0" applyProtection="0"/>
    <xf numFmtId="0" fontId="66" fillId="44" borderId="60" applyNumberFormat="0" applyAlignment="0" applyProtection="0"/>
    <xf numFmtId="0" fontId="66" fillId="44" borderId="60" applyNumberFormat="0" applyAlignment="0" applyProtection="0"/>
    <xf numFmtId="0" fontId="66" fillId="44" borderId="60" applyNumberFormat="0" applyAlignment="0" applyProtection="0"/>
    <xf numFmtId="0" fontId="72" fillId="44" borderId="60" applyNumberFormat="0" applyAlignment="0" applyProtection="0"/>
    <xf numFmtId="0" fontId="66" fillId="44" borderId="60" applyNumberFormat="0" applyAlignment="0" applyProtection="0"/>
    <xf numFmtId="0" fontId="72" fillId="44" borderId="60" applyNumberFormat="0" applyAlignment="0" applyProtection="0"/>
    <xf numFmtId="0" fontId="72" fillId="44" borderId="60" applyNumberFormat="0" applyAlignment="0" applyProtection="0"/>
    <xf numFmtId="0" fontId="72" fillId="44" borderId="60" applyNumberFormat="0" applyAlignment="0" applyProtection="0"/>
    <xf numFmtId="0" fontId="72" fillId="44" borderId="60" applyNumberFormat="0" applyAlignment="0" applyProtection="0"/>
    <xf numFmtId="0" fontId="72" fillId="44" borderId="60" applyNumberFormat="0" applyAlignment="0" applyProtection="0"/>
    <xf numFmtId="0" fontId="72" fillId="44" borderId="60" applyNumberFormat="0" applyAlignment="0" applyProtection="0"/>
    <xf numFmtId="0" fontId="72" fillId="44" borderId="60" applyNumberFormat="0" applyAlignment="0" applyProtection="0"/>
    <xf numFmtId="0" fontId="72" fillId="44" borderId="60" applyNumberFormat="0" applyAlignment="0" applyProtection="0"/>
    <xf numFmtId="0" fontId="72" fillId="44" borderId="60" applyNumberFormat="0" applyAlignment="0" applyProtection="0"/>
    <xf numFmtId="0" fontId="72" fillId="44" borderId="60" applyNumberFormat="0" applyAlignment="0" applyProtection="0"/>
    <xf numFmtId="0" fontId="72" fillId="44" borderId="60" applyNumberFormat="0" applyAlignment="0" applyProtection="0"/>
    <xf numFmtId="0" fontId="74" fillId="75" borderId="60" applyNumberFormat="0" applyAlignment="0" applyProtection="0"/>
    <xf numFmtId="0" fontId="74" fillId="75" borderId="60" applyNumberFormat="0" applyAlignment="0" applyProtection="0"/>
    <xf numFmtId="0" fontId="74" fillId="75" borderId="60" applyNumberFormat="0" applyAlignment="0" applyProtection="0"/>
    <xf numFmtId="0" fontId="74" fillId="75" borderId="60" applyNumberFormat="0" applyAlignment="0" applyProtection="0"/>
    <xf numFmtId="0" fontId="74" fillId="75" borderId="60" applyNumberFormat="0" applyAlignment="0" applyProtection="0"/>
    <xf numFmtId="0" fontId="74" fillId="75" borderId="60" applyNumberFormat="0" applyAlignment="0" applyProtection="0"/>
    <xf numFmtId="0" fontId="74" fillId="75" borderId="60" applyNumberFormat="0" applyAlignment="0" applyProtection="0"/>
    <xf numFmtId="0" fontId="74" fillId="75" borderId="60" applyNumberFormat="0" applyAlignment="0" applyProtection="0"/>
    <xf numFmtId="0" fontId="66" fillId="75" borderId="60" applyNumberFormat="0" applyAlignment="0" applyProtection="0"/>
    <xf numFmtId="0" fontId="66" fillId="75" borderId="60" applyNumberFormat="0" applyAlignment="0" applyProtection="0"/>
    <xf numFmtId="0" fontId="66" fillId="75" borderId="60" applyNumberFormat="0" applyAlignment="0" applyProtection="0"/>
    <xf numFmtId="0" fontId="66" fillId="75" borderId="60" applyNumberFormat="0" applyAlignment="0" applyProtection="0"/>
    <xf numFmtId="0" fontId="66" fillId="75" borderId="60" applyNumberFormat="0" applyAlignment="0" applyProtection="0"/>
    <xf numFmtId="0" fontId="66" fillId="75" borderId="60" applyNumberFormat="0" applyAlignment="0" applyProtection="0"/>
    <xf numFmtId="0" fontId="66" fillId="75" borderId="60" applyNumberFormat="0" applyAlignment="0" applyProtection="0"/>
    <xf numFmtId="0" fontId="66" fillId="75" borderId="60" applyNumberFormat="0" applyAlignment="0" applyProtection="0"/>
    <xf numFmtId="0" fontId="74" fillId="75" borderId="60" applyNumberFormat="0" applyAlignment="0" applyProtection="0"/>
    <xf numFmtId="0" fontId="74" fillId="75" borderId="60" applyNumberFormat="0" applyAlignment="0" applyProtection="0"/>
    <xf numFmtId="0" fontId="74" fillId="75" borderId="60" applyNumberFormat="0" applyAlignment="0" applyProtection="0"/>
    <xf numFmtId="0" fontId="74" fillId="75" borderId="60" applyNumberFormat="0" applyAlignment="0" applyProtection="0"/>
    <xf numFmtId="0" fontId="74" fillId="92" borderId="60" applyNumberFormat="0" applyAlignment="0" applyProtection="0"/>
    <xf numFmtId="0" fontId="74" fillId="92" borderId="60" applyNumberFormat="0" applyAlignment="0" applyProtection="0"/>
    <xf numFmtId="0" fontId="66" fillId="92" borderId="60" applyNumberFormat="0" applyAlignment="0" applyProtection="0"/>
    <xf numFmtId="0" fontId="66" fillId="92" borderId="60" applyNumberFormat="0" applyAlignment="0" applyProtection="0"/>
    <xf numFmtId="0" fontId="66" fillId="92" borderId="60" applyNumberFormat="0" applyAlignment="0" applyProtection="0"/>
    <xf numFmtId="0" fontId="66" fillId="92" borderId="60" applyNumberFormat="0" applyAlignment="0" applyProtection="0"/>
    <xf numFmtId="0" fontId="66" fillId="92" borderId="60" applyNumberFormat="0" applyAlignment="0" applyProtection="0"/>
    <xf numFmtId="0" fontId="66" fillId="92" borderId="60" applyNumberFormat="0" applyAlignment="0" applyProtection="0"/>
    <xf numFmtId="0" fontId="66" fillId="92" borderId="60" applyNumberFormat="0" applyAlignment="0" applyProtection="0"/>
    <xf numFmtId="0" fontId="66" fillId="92" borderId="60" applyNumberFormat="0" applyAlignment="0" applyProtection="0"/>
    <xf numFmtId="0" fontId="74" fillId="92" borderId="60" applyNumberFormat="0" applyAlignment="0" applyProtection="0"/>
    <xf numFmtId="0" fontId="74" fillId="92" borderId="60" applyNumberFormat="0" applyAlignment="0" applyProtection="0"/>
    <xf numFmtId="0" fontId="74" fillId="92" borderId="60" applyNumberFormat="0" applyAlignment="0" applyProtection="0"/>
    <xf numFmtId="0" fontId="74" fillId="92" borderId="60" applyNumberFormat="0" applyAlignment="0" applyProtection="0"/>
    <xf numFmtId="0" fontId="74" fillId="92" borderId="60" applyNumberFormat="0" applyAlignment="0" applyProtection="0"/>
    <xf numFmtId="0" fontId="74" fillId="92" borderId="60" applyNumberFormat="0" applyAlignment="0" applyProtection="0"/>
    <xf numFmtId="0" fontId="66" fillId="92" borderId="60" applyNumberFormat="0" applyAlignment="0" applyProtection="0"/>
    <xf numFmtId="0" fontId="66" fillId="92" borderId="60" applyNumberFormat="0" applyAlignment="0" applyProtection="0"/>
    <xf numFmtId="0" fontId="74" fillId="75" borderId="60" applyNumberFormat="0" applyAlignment="0" applyProtection="0"/>
    <xf numFmtId="0" fontId="66" fillId="92" borderId="60" applyNumberFormat="0" applyAlignment="0" applyProtection="0"/>
    <xf numFmtId="0" fontId="74" fillId="92" borderId="60" applyNumberFormat="0" applyAlignment="0" applyProtection="0"/>
    <xf numFmtId="0" fontId="66" fillId="92" borderId="60" applyNumberFormat="0" applyAlignment="0" applyProtection="0"/>
    <xf numFmtId="0" fontId="74" fillId="92" borderId="60" applyNumberFormat="0" applyAlignment="0" applyProtection="0"/>
    <xf numFmtId="0" fontId="74" fillId="92" borderId="60" applyNumberFormat="0" applyAlignment="0" applyProtection="0"/>
    <xf numFmtId="0" fontId="74" fillId="92" borderId="60" applyNumberFormat="0" applyAlignment="0" applyProtection="0"/>
    <xf numFmtId="0" fontId="74" fillId="92" borderId="60" applyNumberFormat="0" applyAlignment="0" applyProtection="0"/>
    <xf numFmtId="0" fontId="74" fillId="92" borderId="60" applyNumberFormat="0" applyAlignment="0" applyProtection="0"/>
    <xf numFmtId="0" fontId="74" fillId="92" borderId="60" applyNumberFormat="0" applyAlignment="0" applyProtection="0"/>
    <xf numFmtId="0" fontId="74" fillId="92" borderId="60" applyNumberFormat="0" applyAlignment="0" applyProtection="0"/>
    <xf numFmtId="0" fontId="74" fillId="92" borderId="60" applyNumberFormat="0" applyAlignment="0" applyProtection="0"/>
    <xf numFmtId="0" fontId="74" fillId="92" borderId="60" applyNumberFormat="0" applyAlignment="0" applyProtection="0"/>
    <xf numFmtId="0" fontId="74" fillId="92" borderId="60" applyNumberFormat="0" applyAlignment="0" applyProtection="0"/>
    <xf numFmtId="0" fontId="74" fillId="92" borderId="60" applyNumberFormat="0" applyAlignment="0" applyProtection="0"/>
    <xf numFmtId="0" fontId="74" fillId="92" borderId="60" applyNumberFormat="0" applyAlignment="0" applyProtection="0"/>
    <xf numFmtId="0" fontId="74" fillId="75" borderId="60" applyNumberFormat="0" applyAlignment="0" applyProtection="0"/>
    <xf numFmtId="0" fontId="74" fillId="75" borderId="60" applyNumberFormat="0" applyAlignment="0" applyProtection="0"/>
    <xf numFmtId="0" fontId="66" fillId="75" borderId="60" applyNumberFormat="0" applyAlignment="0" applyProtection="0"/>
    <xf numFmtId="0" fontId="66" fillId="75" borderId="60" applyNumberFormat="0" applyAlignment="0" applyProtection="0"/>
    <xf numFmtId="0" fontId="66" fillId="75" borderId="60" applyNumberFormat="0" applyAlignment="0" applyProtection="0"/>
    <xf numFmtId="0" fontId="74" fillId="75" borderId="60" applyNumberFormat="0" applyAlignment="0" applyProtection="0"/>
    <xf numFmtId="0" fontId="66" fillId="75" borderId="60" applyNumberFormat="0" applyAlignment="0" applyProtection="0"/>
    <xf numFmtId="0" fontId="74" fillId="75" borderId="60" applyNumberFormat="0" applyAlignment="0" applyProtection="0"/>
    <xf numFmtId="0" fontId="74" fillId="75" borderId="60" applyNumberFormat="0" applyAlignment="0" applyProtection="0"/>
    <xf numFmtId="0" fontId="74" fillId="75" borderId="60" applyNumberFormat="0" applyAlignment="0" applyProtection="0"/>
    <xf numFmtId="0" fontId="74" fillId="75" borderId="60" applyNumberFormat="0" applyAlignment="0" applyProtection="0"/>
    <xf numFmtId="0" fontId="74" fillId="75" borderId="60" applyNumberFormat="0" applyAlignment="0" applyProtection="0"/>
    <xf numFmtId="0" fontId="74" fillId="75" borderId="60" applyNumberFormat="0" applyAlignment="0" applyProtection="0"/>
    <xf numFmtId="0" fontId="74" fillId="75" borderId="60" applyNumberFormat="0" applyAlignment="0" applyProtection="0"/>
    <xf numFmtId="0" fontId="74" fillId="75" borderId="60" applyNumberFormat="0" applyAlignment="0" applyProtection="0"/>
    <xf numFmtId="0" fontId="74" fillId="75" borderId="60" applyNumberFormat="0" applyAlignment="0" applyProtection="0"/>
    <xf numFmtId="0" fontId="74" fillId="75" borderId="60" applyNumberFormat="0" applyAlignment="0" applyProtection="0"/>
    <xf numFmtId="0" fontId="74" fillId="75" borderId="60" applyNumberFormat="0" applyAlignment="0" applyProtection="0"/>
    <xf numFmtId="0" fontId="66" fillId="86" borderId="61" applyNumberFormat="0" applyFont="0" applyAlignment="0" applyProtection="0"/>
    <xf numFmtId="0" fontId="66" fillId="86" borderId="61" applyNumberFormat="0" applyFont="0" applyAlignment="0" applyProtection="0"/>
    <xf numFmtId="0" fontId="66" fillId="86" borderId="61" applyNumberFormat="0" applyFont="0" applyAlignment="0" applyProtection="0"/>
    <xf numFmtId="0" fontId="66" fillId="86" borderId="61" applyNumberFormat="0" applyFont="0" applyAlignment="0" applyProtection="0"/>
    <xf numFmtId="0" fontId="66" fillId="86" borderId="61" applyNumberFormat="0" applyFont="0" applyAlignment="0" applyProtection="0"/>
    <xf numFmtId="0" fontId="66" fillId="86" borderId="61" applyNumberFormat="0" applyFont="0" applyAlignment="0" applyProtection="0"/>
    <xf numFmtId="0" fontId="66" fillId="86" borderId="61" applyNumberFormat="0" applyFont="0" applyAlignment="0" applyProtection="0"/>
    <xf numFmtId="0" fontId="66" fillId="86" borderId="61" applyNumberFormat="0" applyFont="0" applyAlignment="0" applyProtection="0"/>
    <xf numFmtId="0" fontId="66" fillId="86" borderId="61" applyNumberFormat="0" applyFont="0" applyAlignment="0" applyProtection="0"/>
    <xf numFmtId="0" fontId="66" fillId="86" borderId="61" applyNumberFormat="0" applyFont="0" applyAlignment="0" applyProtection="0"/>
    <xf numFmtId="0" fontId="66" fillId="86" borderId="61" applyNumberFormat="0" applyFont="0" applyAlignment="0" applyProtection="0"/>
    <xf numFmtId="0" fontId="66" fillId="86" borderId="61" applyNumberFormat="0" applyFont="0" applyAlignment="0" applyProtection="0"/>
    <xf numFmtId="0" fontId="66" fillId="86" borderId="61" applyNumberFormat="0" applyFont="0" applyAlignment="0" applyProtection="0"/>
    <xf numFmtId="0" fontId="66" fillId="86" borderId="61" applyNumberFormat="0" applyFont="0" applyAlignment="0" applyProtection="0"/>
    <xf numFmtId="0" fontId="66" fillId="86" borderId="61" applyNumberFormat="0" applyFont="0" applyAlignment="0" applyProtection="0"/>
    <xf numFmtId="0" fontId="66" fillId="86" borderId="61" applyNumberFormat="0" applyFont="0" applyAlignment="0" applyProtection="0"/>
    <xf numFmtId="0" fontId="66" fillId="86" borderId="61" applyNumberFormat="0" applyFont="0" applyAlignment="0" applyProtection="0"/>
    <xf numFmtId="0" fontId="66" fillId="86" borderId="61" applyNumberFormat="0" applyFont="0" applyAlignment="0" applyProtection="0"/>
    <xf numFmtId="0" fontId="66" fillId="86" borderId="61" applyNumberFormat="0" applyFont="0" applyAlignment="0" applyProtection="0"/>
    <xf numFmtId="0" fontId="66" fillId="86" borderId="61" applyNumberFormat="0" applyFont="0" applyAlignment="0" applyProtection="0"/>
    <xf numFmtId="0" fontId="66" fillId="86" borderId="61" applyNumberFormat="0" applyFont="0" applyAlignment="0" applyProtection="0"/>
    <xf numFmtId="0" fontId="66" fillId="86" borderId="61" applyNumberFormat="0" applyFont="0" applyAlignment="0" applyProtection="0"/>
    <xf numFmtId="0" fontId="66" fillId="86" borderId="61" applyNumberFormat="0" applyFont="0" applyAlignment="0" applyProtection="0"/>
    <xf numFmtId="0" fontId="66" fillId="86" borderId="61" applyNumberFormat="0" applyFont="0" applyAlignment="0" applyProtection="0"/>
    <xf numFmtId="0" fontId="66" fillId="86" borderId="61" applyNumberFormat="0" applyFont="0" applyAlignment="0" applyProtection="0"/>
    <xf numFmtId="0" fontId="66" fillId="86" borderId="61" applyNumberFormat="0" applyFont="0" applyAlignment="0" applyProtection="0"/>
    <xf numFmtId="0" fontId="66" fillId="86" borderId="61" applyNumberFormat="0" applyFont="0" applyAlignment="0" applyProtection="0"/>
    <xf numFmtId="0" fontId="66" fillId="86" borderId="61" applyNumberFormat="0" applyFont="0" applyAlignment="0" applyProtection="0"/>
    <xf numFmtId="0" fontId="66" fillId="86" borderId="61" applyNumberFormat="0" applyFont="0" applyAlignment="0" applyProtection="0"/>
    <xf numFmtId="0" fontId="66" fillId="86" borderId="61" applyNumberFormat="0" applyFont="0" applyAlignment="0" applyProtection="0"/>
    <xf numFmtId="0" fontId="66" fillId="86" borderId="61" applyNumberFormat="0" applyFont="0" applyAlignment="0" applyProtection="0"/>
    <xf numFmtId="0" fontId="66" fillId="86" borderId="61" applyNumberFormat="0" applyFont="0" applyAlignment="0" applyProtection="0"/>
    <xf numFmtId="0" fontId="66" fillId="86" borderId="61" applyNumberFormat="0" applyFont="0" applyAlignment="0" applyProtection="0"/>
    <xf numFmtId="0" fontId="66" fillId="86" borderId="61" applyNumberFormat="0" applyFont="0" applyAlignment="0" applyProtection="0"/>
    <xf numFmtId="0" fontId="66" fillId="86" borderId="61" applyNumberFormat="0" applyFont="0" applyAlignment="0" applyProtection="0"/>
    <xf numFmtId="0" fontId="66" fillId="86" borderId="61" applyNumberFormat="0" applyFont="0" applyAlignment="0" applyProtection="0"/>
    <xf numFmtId="0" fontId="66" fillId="86" borderId="61" applyNumberFormat="0" applyFont="0" applyAlignment="0" applyProtection="0"/>
    <xf numFmtId="0" fontId="66" fillId="86" borderId="61" applyNumberFormat="0" applyFont="0" applyAlignment="0" applyProtection="0"/>
    <xf numFmtId="0" fontId="66" fillId="86" borderId="61" applyNumberFormat="0" applyFont="0" applyAlignment="0" applyProtection="0"/>
    <xf numFmtId="0" fontId="66" fillId="86" borderId="61" applyNumberFormat="0" applyFont="0" applyAlignment="0" applyProtection="0"/>
    <xf numFmtId="0" fontId="66" fillId="86" borderId="61" applyNumberFormat="0" applyFont="0" applyAlignment="0" applyProtection="0"/>
    <xf numFmtId="0" fontId="66" fillId="86" borderId="61" applyNumberFormat="0" applyFont="0" applyAlignment="0" applyProtection="0"/>
    <xf numFmtId="0" fontId="66" fillId="86" borderId="61" applyNumberFormat="0" applyFont="0" applyAlignment="0" applyProtection="0"/>
    <xf numFmtId="0" fontId="66" fillId="86" borderId="61" applyNumberFormat="0" applyFont="0" applyAlignment="0" applyProtection="0"/>
    <xf numFmtId="0" fontId="66" fillId="86" borderId="61" applyNumberFormat="0" applyFont="0" applyAlignment="0" applyProtection="0"/>
    <xf numFmtId="0" fontId="66" fillId="86" borderId="61" applyNumberFormat="0" applyFont="0" applyAlignment="0" applyProtection="0"/>
    <xf numFmtId="0" fontId="66" fillId="86" borderId="61" applyNumberFormat="0" applyFont="0" applyAlignment="0" applyProtection="0"/>
    <xf numFmtId="0" fontId="66" fillId="86" borderId="61" applyNumberFormat="0" applyFont="0" applyAlignment="0" applyProtection="0"/>
    <xf numFmtId="0" fontId="66" fillId="86" borderId="61" applyNumberFormat="0" applyFont="0" applyAlignment="0" applyProtection="0"/>
    <xf numFmtId="0" fontId="66" fillId="86" borderId="61" applyNumberFormat="0" applyFont="0" applyAlignment="0" applyProtection="0"/>
    <xf numFmtId="0" fontId="66" fillId="86" borderId="61" applyNumberFormat="0" applyFont="0" applyAlignment="0" applyProtection="0"/>
    <xf numFmtId="0" fontId="66" fillId="86" borderId="61" applyNumberFormat="0" applyFont="0" applyAlignment="0" applyProtection="0"/>
    <xf numFmtId="0" fontId="66" fillId="86" borderId="61" applyNumberFormat="0" applyFont="0" applyAlignment="0" applyProtection="0"/>
    <xf numFmtId="0" fontId="66" fillId="86" borderId="61" applyNumberFormat="0" applyFont="0" applyAlignment="0" applyProtection="0"/>
    <xf numFmtId="0" fontId="66" fillId="86" borderId="61" applyNumberFormat="0" applyFont="0" applyAlignment="0" applyProtection="0"/>
    <xf numFmtId="0" fontId="66" fillId="86" borderId="61" applyNumberFormat="0" applyFont="0" applyAlignment="0" applyProtection="0"/>
    <xf numFmtId="0" fontId="66" fillId="86" borderId="61" applyNumberFormat="0" applyFont="0" applyAlignment="0" applyProtection="0"/>
    <xf numFmtId="0" fontId="66" fillId="86" borderId="61" applyNumberFormat="0" applyFont="0" applyAlignment="0" applyProtection="0"/>
    <xf numFmtId="0" fontId="66" fillId="86" borderId="61" applyNumberFormat="0" applyFont="0" applyAlignment="0" applyProtection="0"/>
    <xf numFmtId="0" fontId="66" fillId="86" borderId="61" applyNumberFormat="0" applyFont="0" applyAlignment="0" applyProtection="0"/>
    <xf numFmtId="0" fontId="66" fillId="86" borderId="61" applyNumberFormat="0" applyFont="0" applyAlignment="0" applyProtection="0"/>
    <xf numFmtId="0" fontId="66" fillId="86" borderId="61" applyNumberFormat="0" applyFont="0" applyAlignment="0" applyProtection="0"/>
    <xf numFmtId="0" fontId="66" fillId="86" borderId="61" applyNumberFormat="0" applyFont="0" applyAlignment="0" applyProtection="0"/>
    <xf numFmtId="0" fontId="66" fillId="86" borderId="61" applyNumberFormat="0" applyFont="0" applyAlignment="0" applyProtection="0"/>
    <xf numFmtId="0" fontId="66" fillId="86" borderId="61" applyNumberFormat="0" applyFont="0" applyAlignment="0" applyProtection="0"/>
    <xf numFmtId="0" fontId="66" fillId="86" borderId="61" applyNumberFormat="0" applyFont="0" applyAlignment="0" applyProtection="0"/>
    <xf numFmtId="0" fontId="66" fillId="86" borderId="61" applyNumberFormat="0" applyFont="0" applyAlignment="0" applyProtection="0"/>
    <xf numFmtId="0" fontId="66" fillId="86" borderId="61" applyNumberFormat="0" applyFont="0" applyAlignment="0" applyProtection="0"/>
    <xf numFmtId="0" fontId="66" fillId="86" borderId="61" applyNumberFormat="0" applyFont="0" applyAlignment="0" applyProtection="0"/>
    <xf numFmtId="0" fontId="66" fillId="86" borderId="61" applyNumberFormat="0" applyFont="0" applyAlignment="0" applyProtection="0"/>
    <xf numFmtId="0" fontId="66" fillId="86" borderId="61" applyNumberFormat="0" applyFont="0" applyAlignment="0" applyProtection="0"/>
    <xf numFmtId="0" fontId="66" fillId="86" borderId="61" applyNumberFormat="0" applyFont="0" applyAlignment="0" applyProtection="0"/>
    <xf numFmtId="0" fontId="66" fillId="86" borderId="61" applyNumberFormat="0" applyFont="0" applyAlignment="0" applyProtection="0"/>
    <xf numFmtId="0" fontId="66" fillId="0" borderId="0"/>
    <xf numFmtId="0" fontId="34" fillId="0" borderId="0"/>
    <xf numFmtId="0" fontId="34"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73" fillId="92" borderId="63" applyNumberFormat="0" applyAlignment="0" applyProtection="0"/>
    <xf numFmtId="0" fontId="78" fillId="0" borderId="64" applyNumberFormat="0" applyFill="0" applyAlignment="0" applyProtection="0"/>
    <xf numFmtId="0" fontId="73" fillId="75" borderId="63" applyNumberFormat="0" applyAlignment="0" applyProtection="0"/>
    <xf numFmtId="0" fontId="73" fillId="75" borderId="63" applyNumberFormat="0" applyAlignment="0" applyProtection="0"/>
    <xf numFmtId="0" fontId="73" fillId="75" borderId="63" applyNumberFormat="0" applyAlignment="0" applyProtection="0"/>
    <xf numFmtId="0" fontId="73" fillId="75" borderId="63" applyNumberFormat="0" applyAlignment="0" applyProtection="0"/>
    <xf numFmtId="0" fontId="73" fillId="75" borderId="63" applyNumberFormat="0" applyAlignment="0" applyProtection="0"/>
    <xf numFmtId="0" fontId="73" fillId="75" borderId="63" applyNumberFormat="0" applyAlignment="0" applyProtection="0"/>
    <xf numFmtId="0" fontId="73" fillId="75" borderId="63" applyNumberFormat="0" applyAlignment="0" applyProtection="0"/>
    <xf numFmtId="0" fontId="73" fillId="75" borderId="63" applyNumberFormat="0" applyAlignment="0" applyProtection="0"/>
    <xf numFmtId="0" fontId="66" fillId="75" borderId="63" applyNumberFormat="0" applyAlignment="0" applyProtection="0"/>
    <xf numFmtId="0" fontId="66" fillId="75" borderId="63" applyNumberFormat="0" applyAlignment="0" applyProtection="0"/>
    <xf numFmtId="0" fontId="66" fillId="75" borderId="63" applyNumberFormat="0" applyAlignment="0" applyProtection="0"/>
    <xf numFmtId="0" fontId="66" fillId="75" borderId="63" applyNumberFormat="0" applyAlignment="0" applyProtection="0"/>
    <xf numFmtId="0" fontId="66" fillId="75" borderId="63" applyNumberFormat="0" applyAlignment="0" applyProtection="0"/>
    <xf numFmtId="0" fontId="66" fillId="75" borderId="63" applyNumberFormat="0" applyAlignment="0" applyProtection="0"/>
    <xf numFmtId="0" fontId="66" fillId="75" borderId="63" applyNumberFormat="0" applyAlignment="0" applyProtection="0"/>
    <xf numFmtId="0" fontId="66" fillId="75" borderId="63" applyNumberFormat="0" applyAlignment="0" applyProtection="0"/>
    <xf numFmtId="0" fontId="73" fillId="75" borderId="63" applyNumberFormat="0" applyAlignment="0" applyProtection="0"/>
    <xf numFmtId="0" fontId="73" fillId="75" borderId="63" applyNumberFormat="0" applyAlignment="0" applyProtection="0"/>
    <xf numFmtId="0" fontId="73" fillId="75" borderId="63" applyNumberFormat="0" applyAlignment="0" applyProtection="0"/>
    <xf numFmtId="0" fontId="73" fillId="75" borderId="63" applyNumberFormat="0" applyAlignment="0" applyProtection="0"/>
    <xf numFmtId="0" fontId="73" fillId="92" borderId="63" applyNumberFormat="0" applyAlignment="0" applyProtection="0"/>
    <xf numFmtId="0" fontId="73" fillId="92" borderId="63" applyNumberFormat="0" applyAlignment="0" applyProtection="0"/>
    <xf numFmtId="0" fontId="66" fillId="92" borderId="63" applyNumberFormat="0" applyAlignment="0" applyProtection="0"/>
    <xf numFmtId="0" fontId="66" fillId="92" borderId="63" applyNumberFormat="0" applyAlignment="0" applyProtection="0"/>
    <xf numFmtId="0" fontId="66" fillId="92" borderId="63" applyNumberFormat="0" applyAlignment="0" applyProtection="0"/>
    <xf numFmtId="0" fontId="66" fillId="92" borderId="63" applyNumberFormat="0" applyAlignment="0" applyProtection="0"/>
    <xf numFmtId="0" fontId="66" fillId="92" borderId="63" applyNumberFormat="0" applyAlignment="0" applyProtection="0"/>
    <xf numFmtId="0" fontId="66" fillId="92" borderId="63" applyNumberFormat="0" applyAlignment="0" applyProtection="0"/>
    <xf numFmtId="0" fontId="66" fillId="92" borderId="63" applyNumberFormat="0" applyAlignment="0" applyProtection="0"/>
    <xf numFmtId="0" fontId="66" fillId="92" borderId="63" applyNumberFormat="0" applyAlignment="0" applyProtection="0"/>
    <xf numFmtId="0" fontId="73" fillId="92" borderId="63" applyNumberFormat="0" applyAlignment="0" applyProtection="0"/>
    <xf numFmtId="0" fontId="73" fillId="92" borderId="63" applyNumberFormat="0" applyAlignment="0" applyProtection="0"/>
    <xf numFmtId="0" fontId="73" fillId="92" borderId="63" applyNumberFormat="0" applyAlignment="0" applyProtection="0"/>
    <xf numFmtId="0" fontId="73" fillId="92" borderId="63" applyNumberFormat="0" applyAlignment="0" applyProtection="0"/>
    <xf numFmtId="0" fontId="73" fillId="92" borderId="63" applyNumberFormat="0" applyAlignment="0" applyProtection="0"/>
    <xf numFmtId="0" fontId="73" fillId="92" borderId="63" applyNumberFormat="0" applyAlignment="0" applyProtection="0"/>
    <xf numFmtId="0" fontId="66" fillId="92" borderId="63" applyNumberFormat="0" applyAlignment="0" applyProtection="0"/>
    <xf numFmtId="0" fontId="66" fillId="92" borderId="63" applyNumberFormat="0" applyAlignment="0" applyProtection="0"/>
    <xf numFmtId="0" fontId="73" fillId="75" borderId="63" applyNumberFormat="0" applyAlignment="0" applyProtection="0"/>
    <xf numFmtId="0" fontId="66" fillId="92" borderId="63" applyNumberFormat="0" applyAlignment="0" applyProtection="0"/>
    <xf numFmtId="0" fontId="73" fillId="92" borderId="63" applyNumberFormat="0" applyAlignment="0" applyProtection="0"/>
    <xf numFmtId="0" fontId="66" fillId="92" borderId="63" applyNumberFormat="0" applyAlignment="0" applyProtection="0"/>
    <xf numFmtId="0" fontId="73" fillId="92" borderId="63" applyNumberFormat="0" applyAlignment="0" applyProtection="0"/>
    <xf numFmtId="0" fontId="73" fillId="92" borderId="63" applyNumberFormat="0" applyAlignment="0" applyProtection="0"/>
    <xf numFmtId="0" fontId="73" fillId="92" borderId="63" applyNumberFormat="0" applyAlignment="0" applyProtection="0"/>
    <xf numFmtId="0" fontId="73" fillId="92" borderId="63" applyNumberFormat="0" applyAlignment="0" applyProtection="0"/>
    <xf numFmtId="0" fontId="73" fillId="92" borderId="63" applyNumberFormat="0" applyAlignment="0" applyProtection="0"/>
    <xf numFmtId="0" fontId="73" fillId="92" borderId="63" applyNumberFormat="0" applyAlignment="0" applyProtection="0"/>
    <xf numFmtId="0" fontId="73" fillId="92" borderId="63" applyNumberFormat="0" applyAlignment="0" applyProtection="0"/>
    <xf numFmtId="0" fontId="73" fillId="92" borderId="63" applyNumberFormat="0" applyAlignment="0" applyProtection="0"/>
    <xf numFmtId="0" fontId="73" fillId="92" borderId="63" applyNumberFormat="0" applyAlignment="0" applyProtection="0"/>
    <xf numFmtId="0" fontId="73" fillId="92" borderId="63" applyNumberFormat="0" applyAlignment="0" applyProtection="0"/>
    <xf numFmtId="0" fontId="73" fillId="92" borderId="63" applyNumberFormat="0" applyAlignment="0" applyProtection="0"/>
    <xf numFmtId="0" fontId="73" fillId="92" borderId="63" applyNumberFormat="0" applyAlignment="0" applyProtection="0"/>
    <xf numFmtId="0" fontId="73" fillId="75" borderId="63" applyNumberFormat="0" applyAlignment="0" applyProtection="0"/>
    <xf numFmtId="0" fontId="73" fillId="75" borderId="63" applyNumberFormat="0" applyAlignment="0" applyProtection="0"/>
    <xf numFmtId="0" fontId="66" fillId="75" borderId="63" applyNumberFormat="0" applyAlignment="0" applyProtection="0"/>
    <xf numFmtId="0" fontId="66" fillId="75" borderId="63" applyNumberFormat="0" applyAlignment="0" applyProtection="0"/>
    <xf numFmtId="0" fontId="66" fillId="75" borderId="63" applyNumberFormat="0" applyAlignment="0" applyProtection="0"/>
    <xf numFmtId="0" fontId="73" fillId="75" borderId="63" applyNumberFormat="0" applyAlignment="0" applyProtection="0"/>
    <xf numFmtId="0" fontId="66" fillId="75" borderId="63" applyNumberFormat="0" applyAlignment="0" applyProtection="0"/>
    <xf numFmtId="0" fontId="73" fillId="75" borderId="63" applyNumberFormat="0" applyAlignment="0" applyProtection="0"/>
    <xf numFmtId="0" fontId="73" fillId="75" borderId="63" applyNumberFormat="0" applyAlignment="0" applyProtection="0"/>
    <xf numFmtId="0" fontId="73" fillId="75" borderId="63" applyNumberFormat="0" applyAlignment="0" applyProtection="0"/>
    <xf numFmtId="0" fontId="73" fillId="75" borderId="63" applyNumberFormat="0" applyAlignment="0" applyProtection="0"/>
    <xf numFmtId="0" fontId="73" fillId="75" borderId="63" applyNumberFormat="0" applyAlignment="0" applyProtection="0"/>
    <xf numFmtId="0" fontId="73" fillId="75" borderId="63" applyNumberFormat="0" applyAlignment="0" applyProtection="0"/>
    <xf numFmtId="0" fontId="73" fillId="75" borderId="63" applyNumberFormat="0" applyAlignment="0" applyProtection="0"/>
    <xf numFmtId="0" fontId="73" fillId="75" borderId="63" applyNumberFormat="0" applyAlignment="0" applyProtection="0"/>
    <xf numFmtId="0" fontId="73" fillId="75" borderId="63" applyNumberFormat="0" applyAlignment="0" applyProtection="0"/>
    <xf numFmtId="0" fontId="73" fillId="75" borderId="63" applyNumberFormat="0" applyAlignment="0" applyProtection="0"/>
    <xf numFmtId="0" fontId="73" fillId="75" borderId="63" applyNumberFormat="0" applyAlignment="0" applyProtection="0"/>
    <xf numFmtId="0" fontId="78" fillId="0" borderId="65" applyNumberFormat="0" applyFill="0" applyAlignment="0" applyProtection="0"/>
    <xf numFmtId="0" fontId="78" fillId="0" borderId="65" applyNumberFormat="0" applyFill="0" applyAlignment="0" applyProtection="0"/>
    <xf numFmtId="0" fontId="78" fillId="0" borderId="65" applyNumberFormat="0" applyFill="0" applyAlignment="0" applyProtection="0"/>
    <xf numFmtId="0" fontId="78" fillId="0" borderId="65" applyNumberFormat="0" applyFill="0" applyAlignment="0" applyProtection="0"/>
    <xf numFmtId="0" fontId="78" fillId="0" borderId="65" applyNumberFormat="0" applyFill="0" applyAlignment="0" applyProtection="0"/>
    <xf numFmtId="0" fontId="78" fillId="0" borderId="65" applyNumberFormat="0" applyFill="0" applyAlignment="0" applyProtection="0"/>
    <xf numFmtId="0" fontId="78" fillId="0" borderId="65" applyNumberFormat="0" applyFill="0" applyAlignment="0" applyProtection="0"/>
    <xf numFmtId="0" fontId="78" fillId="0" borderId="65" applyNumberFormat="0" applyFill="0" applyAlignment="0" applyProtection="0"/>
    <xf numFmtId="0" fontId="66" fillId="0" borderId="65" applyNumberFormat="0" applyFill="0" applyAlignment="0" applyProtection="0"/>
    <xf numFmtId="0" fontId="66" fillId="0" borderId="65" applyNumberFormat="0" applyFill="0" applyAlignment="0" applyProtection="0"/>
    <xf numFmtId="0" fontId="66" fillId="0" borderId="65" applyNumberFormat="0" applyFill="0" applyAlignment="0" applyProtection="0"/>
    <xf numFmtId="0" fontId="66" fillId="0" borderId="65" applyNumberFormat="0" applyFill="0" applyAlignment="0" applyProtection="0"/>
    <xf numFmtId="0" fontId="66" fillId="0" borderId="65" applyNumberFormat="0" applyFill="0" applyAlignment="0" applyProtection="0"/>
    <xf numFmtId="0" fontId="66" fillId="0" borderId="65" applyNumberFormat="0" applyFill="0" applyAlignment="0" applyProtection="0"/>
    <xf numFmtId="0" fontId="66" fillId="0" borderId="65" applyNumberFormat="0" applyFill="0" applyAlignment="0" applyProtection="0"/>
    <xf numFmtId="0" fontId="66" fillId="0" borderId="65" applyNumberFormat="0" applyFill="0" applyAlignment="0" applyProtection="0"/>
    <xf numFmtId="0" fontId="78" fillId="0" borderId="65" applyNumberFormat="0" applyFill="0" applyAlignment="0" applyProtection="0"/>
    <xf numFmtId="0" fontId="78" fillId="0" borderId="65" applyNumberFormat="0" applyFill="0" applyAlignment="0" applyProtection="0"/>
    <xf numFmtId="0" fontId="78" fillId="0" borderId="65" applyNumberFormat="0" applyFill="0" applyAlignment="0" applyProtection="0"/>
    <xf numFmtId="0" fontId="78" fillId="0" borderId="65" applyNumberFormat="0" applyFill="0" applyAlignment="0" applyProtection="0"/>
    <xf numFmtId="0" fontId="78" fillId="0" borderId="64" applyNumberFormat="0" applyFill="0" applyAlignment="0" applyProtection="0"/>
    <xf numFmtId="0" fontId="78" fillId="0" borderId="64" applyNumberFormat="0" applyFill="0" applyAlignment="0" applyProtection="0"/>
    <xf numFmtId="0" fontId="66" fillId="0" borderId="64" applyNumberFormat="0" applyFill="0" applyAlignment="0" applyProtection="0"/>
    <xf numFmtId="0" fontId="66" fillId="0" borderId="64" applyNumberFormat="0" applyFill="0" applyAlignment="0" applyProtection="0"/>
    <xf numFmtId="0" fontId="66" fillId="0" borderId="64" applyNumberFormat="0" applyFill="0" applyAlignment="0" applyProtection="0"/>
    <xf numFmtId="0" fontId="66" fillId="0" borderId="64" applyNumberFormat="0" applyFill="0" applyAlignment="0" applyProtection="0"/>
    <xf numFmtId="0" fontId="66" fillId="0" borderId="64" applyNumberFormat="0" applyFill="0" applyAlignment="0" applyProtection="0"/>
    <xf numFmtId="0" fontId="66" fillId="0" borderId="64" applyNumberFormat="0" applyFill="0" applyAlignment="0" applyProtection="0"/>
    <xf numFmtId="0" fontId="66" fillId="0" borderId="64" applyNumberFormat="0" applyFill="0" applyAlignment="0" applyProtection="0"/>
    <xf numFmtId="0" fontId="66" fillId="0" borderId="64" applyNumberFormat="0" applyFill="0" applyAlignment="0" applyProtection="0"/>
    <xf numFmtId="0" fontId="78" fillId="0" borderId="64" applyNumberFormat="0" applyFill="0" applyAlignment="0" applyProtection="0"/>
    <xf numFmtId="0" fontId="78" fillId="0" borderId="64" applyNumberFormat="0" applyFill="0" applyAlignment="0" applyProtection="0"/>
    <xf numFmtId="0" fontId="78" fillId="0" borderId="64" applyNumberFormat="0" applyFill="0" applyAlignment="0" applyProtection="0"/>
    <xf numFmtId="0" fontId="78" fillId="0" borderId="64" applyNumberFormat="0" applyFill="0" applyAlignment="0" applyProtection="0"/>
    <xf numFmtId="0" fontId="78" fillId="0" borderId="64" applyNumberFormat="0" applyFill="0" applyAlignment="0" applyProtection="0"/>
    <xf numFmtId="0" fontId="78" fillId="0" borderId="64" applyNumberFormat="0" applyFill="0" applyAlignment="0" applyProtection="0"/>
    <xf numFmtId="0" fontId="66" fillId="0" borderId="64" applyNumberFormat="0" applyFill="0" applyAlignment="0" applyProtection="0"/>
    <xf numFmtId="0" fontId="66" fillId="0" borderId="64" applyNumberFormat="0" applyFill="0" applyAlignment="0" applyProtection="0"/>
    <xf numFmtId="0" fontId="78" fillId="0" borderId="65" applyNumberFormat="0" applyFill="0" applyAlignment="0" applyProtection="0"/>
    <xf numFmtId="0" fontId="66" fillId="0" borderId="64" applyNumberFormat="0" applyFill="0" applyAlignment="0" applyProtection="0"/>
    <xf numFmtId="0" fontId="78" fillId="0" borderId="64" applyNumberFormat="0" applyFill="0" applyAlignment="0" applyProtection="0"/>
    <xf numFmtId="0" fontId="66" fillId="0" borderId="64" applyNumberFormat="0" applyFill="0" applyAlignment="0" applyProtection="0"/>
    <xf numFmtId="0" fontId="78" fillId="0" borderId="64" applyNumberFormat="0" applyFill="0" applyAlignment="0" applyProtection="0"/>
    <xf numFmtId="0" fontId="78" fillId="0" borderId="64" applyNumberFormat="0" applyFill="0" applyAlignment="0" applyProtection="0"/>
    <xf numFmtId="0" fontId="78" fillId="0" borderId="64" applyNumberFormat="0" applyFill="0" applyAlignment="0" applyProtection="0"/>
    <xf numFmtId="0" fontId="78" fillId="0" borderId="64" applyNumberFormat="0" applyFill="0" applyAlignment="0" applyProtection="0"/>
    <xf numFmtId="0" fontId="78" fillId="0" borderId="64" applyNumberFormat="0" applyFill="0" applyAlignment="0" applyProtection="0"/>
    <xf numFmtId="0" fontId="78" fillId="0" borderId="64" applyNumberFormat="0" applyFill="0" applyAlignment="0" applyProtection="0"/>
    <xf numFmtId="0" fontId="78" fillId="0" borderId="64" applyNumberFormat="0" applyFill="0" applyAlignment="0" applyProtection="0"/>
    <xf numFmtId="0" fontId="78" fillId="0" borderId="64" applyNumberFormat="0" applyFill="0" applyAlignment="0" applyProtection="0"/>
    <xf numFmtId="0" fontId="78" fillId="0" borderId="64" applyNumberFormat="0" applyFill="0" applyAlignment="0" applyProtection="0"/>
    <xf numFmtId="0" fontId="78" fillId="0" borderId="64" applyNumberFormat="0" applyFill="0" applyAlignment="0" applyProtection="0"/>
    <xf numFmtId="0" fontId="78" fillId="0" borderId="64" applyNumberFormat="0" applyFill="0" applyAlignment="0" applyProtection="0"/>
    <xf numFmtId="0" fontId="78" fillId="0" borderId="64" applyNumberFormat="0" applyFill="0" applyAlignment="0" applyProtection="0"/>
    <xf numFmtId="0" fontId="78" fillId="0" borderId="65" applyNumberFormat="0" applyFill="0" applyAlignment="0" applyProtection="0"/>
    <xf numFmtId="0" fontId="78" fillId="0" borderId="65" applyNumberFormat="0" applyFill="0" applyAlignment="0" applyProtection="0"/>
    <xf numFmtId="0" fontId="66" fillId="0" borderId="65" applyNumberFormat="0" applyFill="0" applyAlignment="0" applyProtection="0"/>
    <xf numFmtId="0" fontId="66" fillId="0" borderId="65" applyNumberFormat="0" applyFill="0" applyAlignment="0" applyProtection="0"/>
    <xf numFmtId="0" fontId="66" fillId="0" borderId="65" applyNumberFormat="0" applyFill="0" applyAlignment="0" applyProtection="0"/>
    <xf numFmtId="0" fontId="78" fillId="0" borderId="65" applyNumberFormat="0" applyFill="0" applyAlignment="0" applyProtection="0"/>
    <xf numFmtId="0" fontId="66" fillId="0" borderId="65" applyNumberFormat="0" applyFill="0" applyAlignment="0" applyProtection="0"/>
    <xf numFmtId="0" fontId="78" fillId="0" borderId="65" applyNumberFormat="0" applyFill="0" applyAlignment="0" applyProtection="0"/>
    <xf numFmtId="0" fontId="78" fillId="0" borderId="65" applyNumberFormat="0" applyFill="0" applyAlignment="0" applyProtection="0"/>
    <xf numFmtId="0" fontId="78" fillId="0" borderId="65" applyNumberFormat="0" applyFill="0" applyAlignment="0" applyProtection="0"/>
    <xf numFmtId="0" fontId="78" fillId="0" borderId="65" applyNumberFormat="0" applyFill="0" applyAlignment="0" applyProtection="0"/>
    <xf numFmtId="0" fontId="78" fillId="0" borderId="65" applyNumberFormat="0" applyFill="0" applyAlignment="0" applyProtection="0"/>
    <xf numFmtId="0" fontId="78" fillId="0" borderId="65" applyNumberFormat="0" applyFill="0" applyAlignment="0" applyProtection="0"/>
    <xf numFmtId="0" fontId="78" fillId="0" borderId="65" applyNumberFormat="0" applyFill="0" applyAlignment="0" applyProtection="0"/>
    <xf numFmtId="0" fontId="78" fillId="0" borderId="65" applyNumberFormat="0" applyFill="0" applyAlignment="0" applyProtection="0"/>
    <xf numFmtId="0" fontId="78" fillId="0" borderId="65" applyNumberFormat="0" applyFill="0" applyAlignment="0" applyProtection="0"/>
    <xf numFmtId="0" fontId="78" fillId="0" borderId="65" applyNumberFormat="0" applyFill="0" applyAlignment="0" applyProtection="0"/>
    <xf numFmtId="0" fontId="78" fillId="0" borderId="65" applyNumberFormat="0" applyFill="0" applyAlignment="0" applyProtection="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34"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34"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43" fontId="33" fillId="0" borderId="0">
      <alignment vertical="center"/>
    </xf>
    <xf numFmtId="43" fontId="33" fillId="0" borderId="0">
      <alignment vertical="top"/>
      <protection locked="0"/>
    </xf>
    <xf numFmtId="43" fontId="33" fillId="0" borderId="0">
      <alignment vertical="top"/>
      <protection locked="0"/>
    </xf>
    <xf numFmtId="196" fontId="33" fillId="0" borderId="0">
      <alignment vertical="top"/>
      <protection locked="0"/>
    </xf>
    <xf numFmtId="0" fontId="139" fillId="84" borderId="0" applyNumberFormat="0" applyBorder="0" applyAlignment="0" applyProtection="0"/>
    <xf numFmtId="43" fontId="33" fillId="0" borderId="0">
      <alignment vertical="top"/>
      <protection locked="0"/>
    </xf>
    <xf numFmtId="9" fontId="33" fillId="0" borderId="0">
      <alignment vertical="top"/>
      <protection locked="0"/>
    </xf>
    <xf numFmtId="0" fontId="50" fillId="0" borderId="74" applyNumberFormat="0" applyFill="0" applyAlignment="0" applyProtection="0"/>
    <xf numFmtId="43" fontId="33" fillId="0" borderId="0">
      <alignment vertical="center"/>
    </xf>
    <xf numFmtId="43" fontId="33" fillId="0" borderId="0">
      <alignment vertical="top"/>
      <protection locked="0"/>
    </xf>
    <xf numFmtId="196" fontId="33" fillId="0" borderId="0">
      <alignment vertical="top"/>
      <protection locked="0"/>
    </xf>
    <xf numFmtId="9" fontId="33" fillId="0" borderId="0">
      <alignment vertical="top"/>
      <protection locked="0"/>
    </xf>
    <xf numFmtId="0" fontId="33" fillId="0" borderId="0"/>
    <xf numFmtId="0" fontId="34" fillId="34" borderId="0" applyNumberFormat="0" applyBorder="0" applyAlignment="0" applyProtection="0"/>
    <xf numFmtId="0" fontId="34" fillId="36" borderId="0" applyNumberFormat="0" applyBorder="0" applyAlignment="0" applyProtection="0"/>
    <xf numFmtId="0" fontId="34" fillId="38" borderId="0" applyNumberFormat="0" applyBorder="0" applyAlignment="0" applyProtection="0"/>
    <xf numFmtId="0" fontId="34" fillId="40" borderId="0" applyNumberFormat="0" applyBorder="0" applyAlignment="0" applyProtection="0"/>
    <xf numFmtId="0" fontId="34" fillId="42" borderId="0" applyNumberFormat="0" applyBorder="0" applyAlignment="0" applyProtection="0"/>
    <xf numFmtId="0" fontId="34" fillId="44" borderId="0" applyNumberFormat="0" applyBorder="0" applyAlignment="0" applyProtection="0"/>
    <xf numFmtId="0" fontId="34" fillId="50" borderId="0" applyNumberFormat="0" applyBorder="0" applyAlignment="0" applyProtection="0"/>
    <xf numFmtId="0" fontId="34" fillId="52" borderId="0" applyNumberFormat="0" applyBorder="0" applyAlignment="0" applyProtection="0"/>
    <xf numFmtId="0" fontId="34" fillId="54" borderId="0" applyNumberFormat="0" applyBorder="0" applyAlignment="0" applyProtection="0"/>
    <xf numFmtId="0" fontId="34" fillId="40" borderId="0" applyNumberFormat="0" applyBorder="0" applyAlignment="0" applyProtection="0"/>
    <xf numFmtId="0" fontId="34" fillId="50" borderId="0" applyNumberFormat="0" applyBorder="0" applyAlignment="0" applyProtection="0"/>
    <xf numFmtId="0" fontId="34" fillId="56" borderId="0" applyNumberFormat="0" applyBorder="0" applyAlignment="0" applyProtection="0"/>
    <xf numFmtId="0" fontId="38" fillId="75" borderId="75" applyNumberFormat="0" applyAlignment="0" applyProtection="0"/>
    <xf numFmtId="0" fontId="38" fillId="76" borderId="75" applyNumberFormat="0" applyAlignment="0" applyProtection="0"/>
    <xf numFmtId="0" fontId="38" fillId="76" borderId="75" applyNumberFormat="0" applyAlignment="0" applyProtection="0"/>
    <xf numFmtId="0" fontId="38" fillId="76" borderId="75" applyNumberFormat="0" applyAlignment="0" applyProtection="0"/>
    <xf numFmtId="0" fontId="38" fillId="75" borderId="75" applyNumberFormat="0" applyAlignment="0" applyProtection="0"/>
    <xf numFmtId="0" fontId="38" fillId="76" borderId="75" applyNumberFormat="0" applyAlignment="0" applyProtection="0"/>
    <xf numFmtId="0" fontId="38" fillId="76" borderId="75" applyNumberFormat="0" applyAlignment="0" applyProtection="0"/>
    <xf numFmtId="0" fontId="38" fillId="75" borderId="75" applyNumberFormat="0" applyAlignment="0" applyProtection="0"/>
    <xf numFmtId="0" fontId="38" fillId="76" borderId="75" applyNumberFormat="0" applyAlignment="0" applyProtection="0"/>
    <xf numFmtId="0" fontId="38" fillId="76" borderId="75" applyNumberFormat="0" applyAlignment="0" applyProtection="0"/>
    <xf numFmtId="0" fontId="38" fillId="75" borderId="75" applyNumberFormat="0" applyAlignment="0" applyProtection="0"/>
    <xf numFmtId="0" fontId="38" fillId="75" borderId="75" applyNumberFormat="0" applyAlignment="0" applyProtection="0"/>
    <xf numFmtId="0" fontId="38" fillId="75" borderId="75" applyNumberFormat="0" applyAlignment="0" applyProtection="0"/>
    <xf numFmtId="0" fontId="38" fillId="75" borderId="75" applyNumberFormat="0" applyAlignment="0" applyProtection="0"/>
    <xf numFmtId="0" fontId="38" fillId="78" borderId="75" applyNumberFormat="0" applyAlignment="0" applyProtection="0"/>
    <xf numFmtId="0" fontId="38" fillId="78" borderId="75" applyNumberFormat="0" applyAlignment="0" applyProtection="0"/>
    <xf numFmtId="0" fontId="38" fillId="78" borderId="75" applyNumberFormat="0" applyAlignment="0" applyProtection="0"/>
    <xf numFmtId="183" fontId="33" fillId="0" borderId="0" applyFill="0" applyBorder="0" applyAlignment="0" applyProtection="0"/>
    <xf numFmtId="0" fontId="45" fillId="49" borderId="75" applyNumberFormat="0" applyAlignment="0" applyProtection="0"/>
    <xf numFmtId="0" fontId="45" fillId="49" borderId="75" applyNumberFormat="0" applyAlignment="0" applyProtection="0"/>
    <xf numFmtId="0" fontId="45" fillId="49" borderId="75" applyNumberFormat="0" applyAlignment="0" applyProtection="0"/>
    <xf numFmtId="0" fontId="45" fillId="49" borderId="75" applyNumberFormat="0" applyAlignment="0" applyProtection="0"/>
    <xf numFmtId="0" fontId="45" fillId="45" borderId="75" applyNumberFormat="0" applyAlignment="0" applyProtection="0"/>
    <xf numFmtId="0" fontId="45" fillId="45" borderId="75" applyNumberFormat="0" applyAlignment="0" applyProtection="0"/>
    <xf numFmtId="0" fontId="45" fillId="45" borderId="75" applyNumberFormat="0" applyAlignment="0" applyProtection="0"/>
    <xf numFmtId="0" fontId="45" fillId="44" borderId="75" applyNumberFormat="0" applyAlignment="0" applyProtection="0"/>
    <xf numFmtId="0" fontId="45" fillId="45" borderId="75" applyNumberFormat="0" applyAlignment="0" applyProtection="0"/>
    <xf numFmtId="0" fontId="45" fillId="45" borderId="75" applyNumberFormat="0" applyAlignment="0" applyProtection="0"/>
    <xf numFmtId="0" fontId="45" fillId="44" borderId="75" applyNumberFormat="0" applyAlignment="0" applyProtection="0"/>
    <xf numFmtId="0" fontId="45" fillId="45" borderId="75" applyNumberFormat="0" applyAlignment="0" applyProtection="0"/>
    <xf numFmtId="0" fontId="45" fillId="45" borderId="75" applyNumberFormat="0" applyAlignment="0" applyProtection="0"/>
    <xf numFmtId="0" fontId="45" fillId="44" borderId="75" applyNumberFormat="0" applyAlignment="0" applyProtection="0"/>
    <xf numFmtId="0" fontId="45" fillId="44" borderId="75" applyNumberFormat="0" applyAlignment="0" applyProtection="0"/>
    <xf numFmtId="0" fontId="45" fillId="44" borderId="75" applyNumberFormat="0" applyAlignment="0" applyProtection="0"/>
    <xf numFmtId="0" fontId="45" fillId="44" borderId="75" applyNumberFormat="0" applyAlignment="0" applyProtection="0"/>
    <xf numFmtId="0" fontId="45" fillId="44" borderId="75" applyNumberFormat="0" applyAlignment="0" applyProtection="0"/>
    <xf numFmtId="0" fontId="33" fillId="85" borderId="76" applyNumberFormat="0" applyAlignment="0" applyProtection="0"/>
    <xf numFmtId="0" fontId="33" fillId="85" borderId="76" applyNumberFormat="0" applyAlignment="0" applyProtection="0"/>
    <xf numFmtId="0" fontId="33" fillId="86" borderId="76" applyNumberFormat="0" applyFont="0" applyAlignment="0" applyProtection="0"/>
    <xf numFmtId="0" fontId="33" fillId="85" borderId="76" applyNumberFormat="0" applyAlignment="0" applyProtection="0"/>
    <xf numFmtId="0" fontId="33" fillId="85" borderId="76" applyNumberFormat="0" applyAlignment="0" applyProtection="0"/>
    <xf numFmtId="0" fontId="33" fillId="86" borderId="76" applyNumberFormat="0" applyFont="0" applyAlignment="0" applyProtection="0"/>
    <xf numFmtId="0" fontId="33" fillId="86" borderId="76" applyNumberFormat="0" applyFont="0" applyAlignment="0" applyProtection="0"/>
    <xf numFmtId="0" fontId="33" fillId="85" borderId="76" applyNumberFormat="0" applyAlignment="0" applyProtection="0"/>
    <xf numFmtId="0" fontId="33" fillId="85" borderId="76" applyNumberFormat="0" applyAlignment="0" applyProtection="0"/>
    <xf numFmtId="0" fontId="33" fillId="85" borderId="76" applyNumberFormat="0" applyAlignment="0" applyProtection="0"/>
    <xf numFmtId="0" fontId="33" fillId="85" borderId="76" applyNumberFormat="0" applyAlignment="0" applyProtection="0"/>
    <xf numFmtId="0" fontId="33" fillId="85" borderId="76" applyNumberFormat="0" applyAlignment="0" applyProtection="0"/>
    <xf numFmtId="0" fontId="33" fillId="86" borderId="76" applyNumberFormat="0" applyFont="0" applyAlignment="0" applyProtection="0"/>
    <xf numFmtId="0" fontId="33" fillId="85" borderId="76" applyNumberFormat="0" applyAlignment="0" applyProtection="0"/>
    <xf numFmtId="0" fontId="33" fillId="86" borderId="76" applyNumberFormat="0" applyFont="0" applyAlignment="0" applyProtection="0"/>
    <xf numFmtId="0" fontId="33" fillId="85" borderId="76" applyNumberFormat="0" applyAlignment="0" applyProtection="0"/>
    <xf numFmtId="0" fontId="33" fillId="85" borderId="76" applyNumberFormat="0" applyAlignment="0" applyProtection="0"/>
    <xf numFmtId="0" fontId="33" fillId="85" borderId="76" applyNumberFormat="0" applyAlignment="0" applyProtection="0"/>
    <xf numFmtId="0" fontId="33" fillId="86" borderId="76" applyNumberFormat="0" applyFont="0" applyAlignment="0" applyProtection="0"/>
    <xf numFmtId="0" fontId="33" fillId="85" borderId="76" applyNumberFormat="0" applyAlignment="0" applyProtection="0"/>
    <xf numFmtId="0" fontId="33" fillId="86" borderId="76" applyNumberFormat="0" applyFont="0" applyAlignment="0" applyProtection="0"/>
    <xf numFmtId="0" fontId="33" fillId="85" borderId="76" applyNumberFormat="0" applyAlignment="0" applyProtection="0"/>
    <xf numFmtId="0" fontId="33" fillId="86" borderId="76" applyNumberFormat="0" applyFont="0" applyAlignment="0" applyProtection="0"/>
    <xf numFmtId="0" fontId="33" fillId="85" borderId="76" applyNumberFormat="0" applyAlignment="0" applyProtection="0"/>
    <xf numFmtId="0" fontId="33" fillId="86" borderId="76" applyNumberFormat="0" applyFont="0" applyAlignment="0" applyProtection="0"/>
    <xf numFmtId="0" fontId="33" fillId="86" borderId="76" applyNumberFormat="0" applyFont="0" applyAlignment="0" applyProtection="0"/>
    <xf numFmtId="0" fontId="33" fillId="86" borderId="76" applyNumberFormat="0" applyFont="0" applyAlignment="0" applyProtection="0"/>
    <xf numFmtId="0" fontId="33" fillId="86" borderId="76" applyNumberFormat="0" applyFont="0" applyAlignment="0" applyProtection="0"/>
    <xf numFmtId="0" fontId="33" fillId="86" borderId="76" applyNumberFormat="0" applyFont="0" applyAlignment="0" applyProtection="0"/>
    <xf numFmtId="9" fontId="33" fillId="0" borderId="0" applyFill="0" applyBorder="0" applyAlignment="0" applyProtection="0"/>
    <xf numFmtId="0" fontId="50" fillId="0" borderId="65" applyNumberFormat="0" applyFill="0" applyAlignment="0" applyProtection="0"/>
    <xf numFmtId="0" fontId="50" fillId="0" borderId="65" applyNumberFormat="0" applyFill="0" applyAlignment="0" applyProtection="0"/>
    <xf numFmtId="0" fontId="50" fillId="0" borderId="65" applyNumberFormat="0" applyFill="0" applyAlignment="0" applyProtection="0"/>
    <xf numFmtId="0" fontId="50" fillId="0" borderId="65" applyNumberFormat="0" applyFill="0" applyAlignment="0" applyProtection="0"/>
    <xf numFmtId="0" fontId="50" fillId="0" borderId="65" applyNumberFormat="0" applyFill="0" applyAlignment="0" applyProtection="0"/>
    <xf numFmtId="0" fontId="33" fillId="0" borderId="0"/>
    <xf numFmtId="0" fontId="142" fillId="0" borderId="0"/>
    <xf numFmtId="0" fontId="58" fillId="0" borderId="0">
      <alignment vertical="top"/>
    </xf>
    <xf numFmtId="0" fontId="58" fillId="0" borderId="0">
      <alignment vertical="top"/>
    </xf>
    <xf numFmtId="0" fontId="58" fillId="0" borderId="0">
      <alignment vertical="top"/>
    </xf>
    <xf numFmtId="0" fontId="58" fillId="0" borderId="0">
      <alignment vertical="top"/>
    </xf>
    <xf numFmtId="0" fontId="58" fillId="0" borderId="0">
      <alignment vertical="top"/>
    </xf>
    <xf numFmtId="0" fontId="58" fillId="0" borderId="0">
      <alignment vertical="top"/>
    </xf>
    <xf numFmtId="0" fontId="58" fillId="0" borderId="0">
      <alignment vertical="top"/>
    </xf>
    <xf numFmtId="0" fontId="58" fillId="0" borderId="0">
      <alignment vertical="top"/>
    </xf>
    <xf numFmtId="0" fontId="58" fillId="0" borderId="0">
      <alignment vertical="top"/>
    </xf>
    <xf numFmtId="0" fontId="58" fillId="0" borderId="0">
      <alignment vertical="top"/>
    </xf>
    <xf numFmtId="0" fontId="58" fillId="0" borderId="0">
      <alignment vertical="top"/>
    </xf>
    <xf numFmtId="0" fontId="58" fillId="0" borderId="0">
      <alignment vertical="top"/>
    </xf>
    <xf numFmtId="0" fontId="58" fillId="0" borderId="0">
      <alignment vertical="top"/>
    </xf>
    <xf numFmtId="0" fontId="58" fillId="0" borderId="0">
      <alignment vertical="top"/>
    </xf>
    <xf numFmtId="0" fontId="58" fillId="0" borderId="0">
      <alignment vertical="top"/>
    </xf>
    <xf numFmtId="0" fontId="58" fillId="0" borderId="0">
      <alignment vertical="top"/>
    </xf>
    <xf numFmtId="0" fontId="58" fillId="0" borderId="0">
      <alignment vertical="top"/>
    </xf>
    <xf numFmtId="0" fontId="58" fillId="0" borderId="0">
      <alignment vertical="top"/>
    </xf>
    <xf numFmtId="0" fontId="58" fillId="0" borderId="0">
      <alignment vertical="top"/>
    </xf>
    <xf numFmtId="0" fontId="58" fillId="0" borderId="0">
      <alignment vertical="top"/>
    </xf>
    <xf numFmtId="0" fontId="58" fillId="0" borderId="0">
      <alignment vertical="top"/>
    </xf>
    <xf numFmtId="0" fontId="58" fillId="0" borderId="0">
      <alignment vertical="top"/>
    </xf>
    <xf numFmtId="0" fontId="58" fillId="0" borderId="0">
      <alignment vertical="top"/>
    </xf>
    <xf numFmtId="0" fontId="58" fillId="0" borderId="0">
      <alignment vertical="top"/>
    </xf>
    <xf numFmtId="0" fontId="58" fillId="0" borderId="0">
      <alignment vertical="top"/>
    </xf>
    <xf numFmtId="0" fontId="58" fillId="0" borderId="0">
      <alignment vertical="top"/>
    </xf>
    <xf numFmtId="0" fontId="58" fillId="0" borderId="0">
      <alignment vertical="top"/>
    </xf>
    <xf numFmtId="0" fontId="58" fillId="0" borderId="0">
      <alignment vertical="top"/>
    </xf>
    <xf numFmtId="0" fontId="58" fillId="0" borderId="0">
      <alignment vertical="top"/>
    </xf>
    <xf numFmtId="0" fontId="58" fillId="0" borderId="0">
      <alignment vertical="top"/>
    </xf>
    <xf numFmtId="0" fontId="58" fillId="0" borderId="0">
      <alignment vertical="top"/>
    </xf>
    <xf numFmtId="0" fontId="58" fillId="0" borderId="0">
      <alignment vertical="top"/>
    </xf>
    <xf numFmtId="0" fontId="58" fillId="0" borderId="0">
      <alignment vertical="top"/>
    </xf>
    <xf numFmtId="0" fontId="58" fillId="0" borderId="0">
      <alignment vertical="top"/>
    </xf>
    <xf numFmtId="0" fontId="58" fillId="0" borderId="0">
      <alignment vertical="top"/>
    </xf>
    <xf numFmtId="0" fontId="58" fillId="0" borderId="0">
      <alignment vertical="top"/>
    </xf>
    <xf numFmtId="0" fontId="58" fillId="0" borderId="0">
      <alignment vertical="top"/>
    </xf>
    <xf numFmtId="0" fontId="58" fillId="0" borderId="0">
      <alignment vertical="top"/>
    </xf>
    <xf numFmtId="0" fontId="58" fillId="0" borderId="0">
      <alignment vertical="top"/>
    </xf>
    <xf numFmtId="0" fontId="58" fillId="0" borderId="0">
      <alignment vertical="top"/>
    </xf>
    <xf numFmtId="0" fontId="58" fillId="0" borderId="0">
      <alignment vertical="top"/>
    </xf>
    <xf numFmtId="0" fontId="58" fillId="0" borderId="0">
      <alignment vertical="top"/>
    </xf>
    <xf numFmtId="0" fontId="58" fillId="0" borderId="0">
      <alignment vertical="top"/>
    </xf>
    <xf numFmtId="0" fontId="58" fillId="0" borderId="0">
      <alignment vertical="top"/>
    </xf>
    <xf numFmtId="0" fontId="58" fillId="0" borderId="0">
      <alignment vertical="top"/>
    </xf>
    <xf numFmtId="0" fontId="58" fillId="0" borderId="0">
      <alignment vertical="top"/>
    </xf>
    <xf numFmtId="0" fontId="58" fillId="0" borderId="0">
      <alignment vertical="top"/>
    </xf>
    <xf numFmtId="0" fontId="58" fillId="0" borderId="0">
      <alignment vertical="top"/>
    </xf>
    <xf numFmtId="0" fontId="58" fillId="0" borderId="0">
      <alignment vertical="top"/>
    </xf>
    <xf numFmtId="0" fontId="58" fillId="0" borderId="0">
      <alignment vertical="top"/>
    </xf>
    <xf numFmtId="0" fontId="58" fillId="0" borderId="0">
      <alignment vertical="top"/>
    </xf>
    <xf numFmtId="0" fontId="58" fillId="0" borderId="0">
      <alignment vertical="top"/>
    </xf>
    <xf numFmtId="0" fontId="58" fillId="0" borderId="0">
      <alignment vertical="top"/>
    </xf>
    <xf numFmtId="0" fontId="58" fillId="0" borderId="0">
      <alignment vertical="top"/>
    </xf>
    <xf numFmtId="0" fontId="58" fillId="0" borderId="0">
      <alignment vertical="top"/>
    </xf>
    <xf numFmtId="0" fontId="58" fillId="0" borderId="0">
      <alignment vertical="top"/>
    </xf>
    <xf numFmtId="0" fontId="58" fillId="0" borderId="0">
      <alignment vertical="top"/>
    </xf>
    <xf numFmtId="0" fontId="58" fillId="0" borderId="0">
      <alignment vertical="top"/>
    </xf>
    <xf numFmtId="0" fontId="58" fillId="0" borderId="0">
      <alignment vertical="top"/>
    </xf>
    <xf numFmtId="0" fontId="58" fillId="0" borderId="0">
      <alignment vertical="top"/>
    </xf>
    <xf numFmtId="0" fontId="58" fillId="0" borderId="0">
      <alignment vertical="top"/>
    </xf>
    <xf numFmtId="0" fontId="58" fillId="0" borderId="0">
      <alignment vertical="top"/>
    </xf>
    <xf numFmtId="0" fontId="58" fillId="0" borderId="0">
      <alignment vertical="top"/>
    </xf>
    <xf numFmtId="0" fontId="58" fillId="0" borderId="0">
      <alignment vertical="top"/>
    </xf>
    <xf numFmtId="0" fontId="58" fillId="0" borderId="0">
      <alignment vertical="top"/>
    </xf>
    <xf numFmtId="0" fontId="58" fillId="0" borderId="0">
      <alignment vertical="top"/>
    </xf>
    <xf numFmtId="0" fontId="58" fillId="0" borderId="0">
      <alignment vertical="top"/>
    </xf>
    <xf numFmtId="0" fontId="58" fillId="0" borderId="0">
      <alignment vertical="top"/>
    </xf>
    <xf numFmtId="0" fontId="58" fillId="0" borderId="0">
      <alignment vertical="top"/>
    </xf>
    <xf numFmtId="0" fontId="58" fillId="0" borderId="0">
      <alignment vertical="top"/>
    </xf>
    <xf numFmtId="0" fontId="58" fillId="0" borderId="0">
      <alignment vertical="top"/>
    </xf>
    <xf numFmtId="0" fontId="58" fillId="0" borderId="0">
      <alignment vertical="top"/>
    </xf>
    <xf numFmtId="0" fontId="58" fillId="0" borderId="0">
      <alignment vertical="top"/>
    </xf>
    <xf numFmtId="0" fontId="58" fillId="0" borderId="0">
      <alignment vertical="top"/>
    </xf>
    <xf numFmtId="0" fontId="58" fillId="0" borderId="0">
      <alignment vertical="top"/>
    </xf>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0" fontId="153" fillId="0" borderId="78" applyNumberFormat="0" applyFill="0" applyAlignment="0" applyProtection="0"/>
    <xf numFmtId="0" fontId="154" fillId="0" borderId="79" applyNumberFormat="0" applyFill="0" applyAlignment="0" applyProtection="0"/>
    <xf numFmtId="0" fontId="155" fillId="0" borderId="80" applyNumberFormat="0" applyFill="0" applyAlignment="0" applyProtection="0"/>
    <xf numFmtId="0" fontId="155" fillId="0" borderId="0" applyNumberFormat="0" applyFill="0" applyBorder="0" applyAlignment="0" applyProtection="0"/>
    <xf numFmtId="0" fontId="28" fillId="27" borderId="0" applyNumberFormat="0" applyBorder="0" applyAlignment="0" applyProtection="0"/>
    <xf numFmtId="0" fontId="29" fillId="28" borderId="0" applyNumberFormat="0" applyBorder="0" applyAlignment="0" applyProtection="0"/>
    <xf numFmtId="0" fontId="156" fillId="106" borderId="39" applyNumberFormat="0" applyAlignment="0" applyProtection="0"/>
    <xf numFmtId="0" fontId="157" fillId="107" borderId="81" applyNumberFormat="0" applyAlignment="0" applyProtection="0"/>
    <xf numFmtId="0" fontId="30" fillId="107" borderId="39" applyNumberFormat="0" applyAlignment="0" applyProtection="0"/>
    <xf numFmtId="0" fontId="158" fillId="0" borderId="82" applyNumberFormat="0" applyFill="0" applyAlignment="0" applyProtection="0"/>
    <xf numFmtId="0" fontId="31" fillId="30" borderId="40" applyNumberFormat="0" applyAlignment="0" applyProtection="0"/>
    <xf numFmtId="0" fontId="20" fillId="0" borderId="0" applyNumberFormat="0" applyFill="0" applyBorder="0" applyAlignment="0" applyProtection="0"/>
    <xf numFmtId="0" fontId="159" fillId="0" borderId="0" applyNumberFormat="0" applyFill="0" applyBorder="0" applyAlignment="0" applyProtection="0"/>
    <xf numFmtId="0" fontId="3" fillId="0" borderId="83" applyNumberFormat="0" applyFill="0" applyAlignment="0" applyProtection="0"/>
    <xf numFmtId="0" fontId="32" fillId="108" borderId="0" applyNumberFormat="0" applyBorder="0" applyAlignment="0" applyProtection="0"/>
    <xf numFmtId="0" fontId="2" fillId="109" borderId="0" applyNumberFormat="0" applyBorder="0" applyAlignment="0" applyProtection="0"/>
    <xf numFmtId="0" fontId="2" fillId="110" borderId="0" applyNumberFormat="0" applyBorder="0" applyAlignment="0" applyProtection="0"/>
    <xf numFmtId="0" fontId="32" fillId="112" borderId="0" applyNumberFormat="0" applyBorder="0" applyAlignment="0" applyProtection="0"/>
    <xf numFmtId="0" fontId="2" fillId="113" borderId="0" applyNumberFormat="0" applyBorder="0" applyAlignment="0" applyProtection="0"/>
    <xf numFmtId="0" fontId="2" fillId="114" borderId="0" applyNumberFormat="0" applyBorder="0" applyAlignment="0" applyProtection="0"/>
    <xf numFmtId="0" fontId="32" fillId="116" borderId="0" applyNumberFormat="0" applyBorder="0" applyAlignment="0" applyProtection="0"/>
    <xf numFmtId="0" fontId="2" fillId="117" borderId="0" applyNumberFormat="0" applyBorder="0" applyAlignment="0" applyProtection="0"/>
    <xf numFmtId="0" fontId="2" fillId="118" borderId="0" applyNumberFormat="0" applyBorder="0" applyAlignment="0" applyProtection="0"/>
    <xf numFmtId="0" fontId="32" fillId="120" borderId="0" applyNumberFormat="0" applyBorder="0" applyAlignment="0" applyProtection="0"/>
    <xf numFmtId="0" fontId="2" fillId="121" borderId="0" applyNumberFormat="0" applyBorder="0" applyAlignment="0" applyProtection="0"/>
    <xf numFmtId="0" fontId="2" fillId="122" borderId="0" applyNumberFormat="0" applyBorder="0" applyAlignment="0" applyProtection="0"/>
    <xf numFmtId="0" fontId="32" fillId="124" borderId="0" applyNumberFormat="0" applyBorder="0" applyAlignment="0" applyProtection="0"/>
    <xf numFmtId="0" fontId="2" fillId="125" borderId="0" applyNumberFormat="0" applyBorder="0" applyAlignment="0" applyProtection="0"/>
    <xf numFmtId="0" fontId="2" fillId="126" borderId="0" applyNumberFormat="0" applyBorder="0" applyAlignment="0" applyProtection="0"/>
    <xf numFmtId="0" fontId="32" fillId="32" borderId="0" applyNumberFormat="0" applyBorder="0" applyAlignment="0" applyProtection="0"/>
    <xf numFmtId="0" fontId="2" fillId="33" borderId="0" applyNumberFormat="0" applyBorder="0" applyAlignment="0" applyProtection="0"/>
    <xf numFmtId="0" fontId="2" fillId="128" borderId="0" applyNumberFormat="0" applyBorder="0" applyAlignment="0" applyProtection="0"/>
    <xf numFmtId="0" fontId="65" fillId="29" borderId="0" applyNumberFormat="0" applyBorder="0" applyAlignment="0" applyProtection="0"/>
    <xf numFmtId="0" fontId="32" fillId="111" borderId="0" applyNumberFormat="0" applyBorder="0" applyAlignment="0" applyProtection="0"/>
    <xf numFmtId="0" fontId="32" fillId="115" borderId="0" applyNumberFormat="0" applyBorder="0" applyAlignment="0" applyProtection="0"/>
    <xf numFmtId="0" fontId="32" fillId="119" borderId="0" applyNumberFormat="0" applyBorder="0" applyAlignment="0" applyProtection="0"/>
    <xf numFmtId="0" fontId="32" fillId="123" borderId="0" applyNumberFormat="0" applyBorder="0" applyAlignment="0" applyProtection="0"/>
    <xf numFmtId="0" fontId="32" fillId="127" borderId="0" applyNumberFormat="0" applyBorder="0" applyAlignment="0" applyProtection="0"/>
    <xf numFmtId="0" fontId="32" fillId="129" borderId="0" applyNumberFormat="0" applyBorder="0" applyAlignment="0" applyProtection="0"/>
    <xf numFmtId="0" fontId="162" fillId="0" borderId="5">
      <alignment horizontal="right" vertical="center"/>
    </xf>
    <xf numFmtId="0" fontId="2" fillId="130" borderId="5">
      <alignment horizontal="center" vertical="center"/>
    </xf>
    <xf numFmtId="0" fontId="162" fillId="0" borderId="5">
      <alignment horizontal="right" vertical="center"/>
    </xf>
    <xf numFmtId="0" fontId="2" fillId="130" borderId="5">
      <alignment horizontal="left" vertical="center"/>
    </xf>
    <xf numFmtId="0" fontId="2" fillId="130" borderId="5">
      <alignment horizontal="center" vertical="center"/>
    </xf>
    <xf numFmtId="0" fontId="163" fillId="130" borderId="5">
      <alignment horizontal="center" vertical="center"/>
    </xf>
    <xf numFmtId="43" fontId="33" fillId="0" borderId="0" applyFont="0" applyFill="0" applyBorder="0" applyAlignment="0" applyProtection="0"/>
    <xf numFmtId="41" fontId="33" fillId="0" borderId="0" applyFont="0" applyFill="0" applyBorder="0" applyAlignment="0" applyProtection="0"/>
    <xf numFmtId="43" fontId="93" fillId="0" borderId="0" applyFont="0" applyFill="0" applyBorder="0" applyAlignment="0" applyProtection="0"/>
    <xf numFmtId="43" fontId="33" fillId="0" borderId="0" applyFont="0" applyFill="0" applyBorder="0" applyAlignment="0" applyProtection="0"/>
    <xf numFmtId="43" fontId="93" fillId="0" borderId="0" applyFont="0" applyFill="0" applyBorder="0" applyAlignment="0" applyProtection="0"/>
    <xf numFmtId="43" fontId="93" fillId="0" borderId="0" applyFont="0" applyFill="0" applyBorder="0" applyAlignment="0" applyProtection="0"/>
    <xf numFmtId="43" fontId="93" fillId="0" borderId="0" applyFont="0" applyFill="0" applyBorder="0" applyAlignment="0" applyProtection="0"/>
    <xf numFmtId="43" fontId="93" fillId="0" borderId="0" applyFont="0" applyFill="0" applyBorder="0" applyAlignment="0" applyProtection="0"/>
    <xf numFmtId="43" fontId="93" fillId="0" borderId="0" applyFont="0" applyFill="0" applyBorder="0" applyAlignment="0" applyProtection="0"/>
    <xf numFmtId="43" fontId="93" fillId="0" borderId="0" applyFont="0" applyFill="0" applyBorder="0" applyAlignment="0" applyProtection="0"/>
    <xf numFmtId="43" fontId="93" fillId="0" borderId="0" applyFont="0" applyFill="0" applyBorder="0" applyAlignment="0" applyProtection="0"/>
    <xf numFmtId="43" fontId="93" fillId="0" borderId="0" applyFont="0" applyFill="0" applyBorder="0" applyAlignment="0" applyProtection="0"/>
    <xf numFmtId="43" fontId="93" fillId="0" borderId="0" applyFont="0" applyFill="0" applyBorder="0" applyAlignment="0" applyProtection="0"/>
    <xf numFmtId="43" fontId="93" fillId="0" borderId="0" applyFont="0" applyFill="0" applyBorder="0" applyAlignment="0" applyProtection="0"/>
    <xf numFmtId="43" fontId="93" fillId="0" borderId="0" applyFont="0" applyFill="0" applyBorder="0" applyAlignment="0" applyProtection="0"/>
    <xf numFmtId="43" fontId="93" fillId="0" borderId="0" applyFont="0" applyFill="0" applyBorder="0" applyAlignment="0" applyProtection="0"/>
    <xf numFmtId="43" fontId="93" fillId="0" borderId="0" applyFont="0" applyFill="0" applyBorder="0" applyAlignment="0" applyProtection="0"/>
    <xf numFmtId="43" fontId="93" fillId="0" borderId="0" applyFont="0" applyFill="0" applyBorder="0" applyAlignment="0" applyProtection="0"/>
    <xf numFmtId="43" fontId="93" fillId="0" borderId="0" applyFont="0" applyFill="0" applyBorder="0" applyAlignment="0" applyProtection="0"/>
    <xf numFmtId="43" fontId="93" fillId="0" borderId="0" applyFont="0" applyFill="0" applyBorder="0" applyAlignment="0" applyProtection="0"/>
    <xf numFmtId="43" fontId="93" fillId="0" borderId="0" applyFont="0" applyFill="0" applyBorder="0" applyAlignment="0" applyProtection="0"/>
    <xf numFmtId="43" fontId="93" fillId="0" borderId="0" applyFont="0" applyFill="0" applyBorder="0" applyAlignment="0" applyProtection="0"/>
    <xf numFmtId="43" fontId="93" fillId="0" borderId="0" applyFont="0" applyFill="0" applyBorder="0" applyAlignment="0" applyProtection="0"/>
    <xf numFmtId="42" fontId="33" fillId="0" borderId="0" applyFont="0" applyFill="0" applyBorder="0" applyAlignment="0" applyProtection="0"/>
    <xf numFmtId="44" fontId="93" fillId="0" borderId="0" applyFont="0" applyFill="0" applyBorder="0" applyAlignment="0" applyProtection="0"/>
    <xf numFmtId="44" fontId="93" fillId="0" borderId="0" applyFont="0" applyFill="0" applyBorder="0" applyAlignment="0" applyProtection="0"/>
    <xf numFmtId="44" fontId="93" fillId="0" borderId="0" applyFont="0" applyFill="0" applyBorder="0" applyAlignment="0" applyProtection="0"/>
    <xf numFmtId="44" fontId="93" fillId="0" borderId="0" applyFont="0" applyFill="0" applyBorder="0" applyAlignment="0" applyProtection="0"/>
    <xf numFmtId="44" fontId="93" fillId="0" borderId="0" applyFont="0" applyFill="0" applyBorder="0" applyAlignment="0" applyProtection="0"/>
    <xf numFmtId="44" fontId="93" fillId="0" borderId="0" applyFont="0" applyFill="0" applyBorder="0" applyAlignment="0" applyProtection="0"/>
    <xf numFmtId="44" fontId="93" fillId="0" borderId="0" applyFont="0" applyFill="0" applyBorder="0" applyAlignment="0" applyProtection="0"/>
    <xf numFmtId="44" fontId="93" fillId="0" borderId="0" applyFont="0" applyFill="0" applyBorder="0" applyAlignment="0" applyProtection="0"/>
    <xf numFmtId="44" fontId="93" fillId="0" borderId="0" applyFont="0" applyFill="0" applyBorder="0" applyAlignment="0" applyProtection="0"/>
    <xf numFmtId="44" fontId="93" fillId="0" borderId="0" applyFont="0" applyFill="0" applyBorder="0" applyAlignment="0" applyProtection="0"/>
    <xf numFmtId="44" fontId="93" fillId="0" borderId="0" applyFont="0" applyFill="0" applyBorder="0" applyAlignment="0" applyProtection="0"/>
    <xf numFmtId="44" fontId="93" fillId="0" borderId="0" applyFont="0" applyFill="0" applyBorder="0" applyAlignment="0" applyProtection="0"/>
    <xf numFmtId="44" fontId="33" fillId="0" borderId="0" applyFont="0" applyFill="0" applyBorder="0" applyAlignment="0" applyProtection="0"/>
    <xf numFmtId="44" fontId="33" fillId="0" borderId="0" applyFont="0" applyFill="0" applyBorder="0" applyAlignment="0" applyProtection="0"/>
    <xf numFmtId="0" fontId="162" fillId="131" borderId="5"/>
    <xf numFmtId="0" fontId="2" fillId="0" borderId="5">
      <alignment horizontal="left" vertical="top"/>
    </xf>
    <xf numFmtId="0" fontId="2" fillId="132" borderId="5"/>
    <xf numFmtId="0" fontId="53" fillId="0" borderId="0" applyNumberFormat="0" applyFill="0" applyBorder="0" applyAlignment="0" applyProtection="0">
      <alignment vertical="top"/>
      <protection locked="0"/>
    </xf>
    <xf numFmtId="0" fontId="2" fillId="0" borderId="5">
      <alignment horizontal="left" vertical="center"/>
    </xf>
    <xf numFmtId="0" fontId="162" fillId="133" borderId="5"/>
    <xf numFmtId="0" fontId="162" fillId="0" borderId="5">
      <alignment horizontal="right" vertical="center"/>
    </xf>
    <xf numFmtId="0" fontId="162" fillId="134" borderId="5">
      <alignment horizontal="right" vertical="center"/>
    </xf>
    <xf numFmtId="0" fontId="162" fillId="0" borderId="5">
      <alignment horizontal="center" vertical="center"/>
    </xf>
    <xf numFmtId="0" fontId="163" fillId="81" borderId="5"/>
    <xf numFmtId="0" fontId="163" fillId="135" borderId="5"/>
    <xf numFmtId="0" fontId="163" fillId="0" borderId="5">
      <alignment horizontal="center" vertical="center" wrapText="1"/>
    </xf>
    <xf numFmtId="0" fontId="164" fillId="130" borderId="5">
      <alignment horizontal="left" vertical="center" indent="1"/>
    </xf>
    <xf numFmtId="0" fontId="93" fillId="0" borderId="0"/>
    <xf numFmtId="0" fontId="33" fillId="0" borderId="0"/>
    <xf numFmtId="0" fontId="2" fillId="0" borderId="0"/>
    <xf numFmtId="0" fontId="93" fillId="0" borderId="0"/>
    <xf numFmtId="0" fontId="160" fillId="0" borderId="0"/>
    <xf numFmtId="0" fontId="67" fillId="0" borderId="0"/>
    <xf numFmtId="0" fontId="33" fillId="0" borderId="0"/>
    <xf numFmtId="0" fontId="2" fillId="31" borderId="41" applyNumberFormat="0" applyFont="0" applyAlignment="0" applyProtection="0"/>
    <xf numFmtId="0" fontId="165" fillId="0" borderId="5"/>
    <xf numFmtId="9" fontId="33" fillId="0" borderId="0" applyFont="0" applyFill="0" applyBorder="0" applyAlignment="0" applyProtection="0"/>
    <xf numFmtId="9" fontId="93" fillId="0" borderId="0" applyFont="0" applyFill="0" applyBorder="0" applyAlignment="0" applyProtection="0"/>
    <xf numFmtId="9" fontId="9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93" fillId="0" borderId="0" applyFont="0" applyFill="0" applyBorder="0" applyAlignment="0" applyProtection="0"/>
    <xf numFmtId="9" fontId="93" fillId="0" borderId="0" applyFont="0" applyFill="0" applyBorder="0" applyAlignment="0" applyProtection="0"/>
    <xf numFmtId="9" fontId="93" fillId="0" borderId="0" applyFont="0" applyFill="0" applyBorder="0" applyAlignment="0" applyProtection="0"/>
    <xf numFmtId="9" fontId="93" fillId="0" borderId="0" applyFont="0" applyFill="0" applyBorder="0" applyAlignment="0" applyProtection="0"/>
    <xf numFmtId="9" fontId="33" fillId="0" borderId="0" applyFont="0" applyFill="0" applyBorder="0" applyAlignment="0" applyProtection="0"/>
    <xf numFmtId="9" fontId="93" fillId="0" borderId="0" applyFont="0" applyFill="0" applyBorder="0" applyAlignment="0" applyProtection="0"/>
    <xf numFmtId="9" fontId="93" fillId="0" borderId="0" applyFont="0" applyFill="0" applyBorder="0" applyAlignment="0" applyProtection="0"/>
    <xf numFmtId="9" fontId="93" fillId="0" borderId="0" applyFont="0" applyFill="0" applyBorder="0" applyAlignment="0" applyProtection="0"/>
    <xf numFmtId="9" fontId="93" fillId="0" borderId="0" applyFont="0" applyFill="0" applyBorder="0" applyAlignment="0" applyProtection="0"/>
    <xf numFmtId="9" fontId="33" fillId="0" borderId="0" applyFont="0" applyFill="0" applyBorder="0" applyAlignment="0" applyProtection="0"/>
    <xf numFmtId="9" fontId="93" fillId="0" borderId="0" applyFont="0" applyFill="0" applyBorder="0" applyAlignment="0" applyProtection="0"/>
    <xf numFmtId="9" fontId="93" fillId="0" borderId="0" applyFont="0" applyFill="0" applyBorder="0" applyAlignment="0" applyProtection="0"/>
    <xf numFmtId="9" fontId="93" fillId="0" borderId="0" applyFont="0" applyFill="0" applyBorder="0" applyAlignment="0" applyProtection="0"/>
    <xf numFmtId="9" fontId="93" fillId="0" borderId="0" applyFont="0" applyFill="0" applyBorder="0" applyAlignment="0" applyProtection="0"/>
    <xf numFmtId="9" fontId="93" fillId="0" borderId="0" applyFont="0" applyFill="0" applyBorder="0" applyAlignment="0" applyProtection="0"/>
    <xf numFmtId="0" fontId="2" fillId="130" borderId="5">
      <alignment horizontal="left" vertical="center"/>
    </xf>
    <xf numFmtId="0" fontId="163" fillId="130" borderId="5">
      <alignment horizontal="center" vertical="center"/>
    </xf>
    <xf numFmtId="0" fontId="93" fillId="0" borderId="0" applyNumberFormat="0" applyFill="0" applyBorder="0" applyAlignment="0" applyProtection="0"/>
    <xf numFmtId="0" fontId="121" fillId="0" borderId="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3" fillId="81" borderId="5">
      <alignment horizontal="center" vertical="center"/>
    </xf>
    <xf numFmtId="0" fontId="3" fillId="135" borderId="5">
      <alignment horizontal="center" vertical="center"/>
    </xf>
    <xf numFmtId="0" fontId="3" fillId="81" borderId="5">
      <alignment horizontal="left" vertical="center"/>
    </xf>
    <xf numFmtId="0" fontId="3" fillId="135" borderId="5">
      <alignment horizontal="left" vertical="center"/>
    </xf>
    <xf numFmtId="0" fontId="166" fillId="0" borderId="0" applyNumberFormat="0" applyFill="0" applyBorder="0" applyAlignment="0" applyProtection="0"/>
    <xf numFmtId="0" fontId="167" fillId="0" borderId="5"/>
    <xf numFmtId="0" fontId="160" fillId="0" borderId="0"/>
    <xf numFmtId="0" fontId="161" fillId="0" borderId="0">
      <alignment vertical="top"/>
    </xf>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0" fontId="33" fillId="0" borderId="0"/>
    <xf numFmtId="0" fontId="34" fillId="34" borderId="0" applyNumberFormat="0" applyBorder="0" applyAlignment="0" applyProtection="0"/>
    <xf numFmtId="0" fontId="34" fillId="36" borderId="0" applyNumberFormat="0" applyBorder="0" applyAlignment="0" applyProtection="0"/>
    <xf numFmtId="0" fontId="34" fillId="38" borderId="0" applyNumberFormat="0" applyBorder="0" applyAlignment="0" applyProtection="0"/>
    <xf numFmtId="0" fontId="34" fillId="40" borderId="0" applyNumberFormat="0" applyBorder="0" applyAlignment="0" applyProtection="0"/>
    <xf numFmtId="0" fontId="34" fillId="42" borderId="0" applyNumberFormat="0" applyBorder="0" applyAlignment="0" applyProtection="0"/>
    <xf numFmtId="0" fontId="34" fillId="44" borderId="0" applyNumberFormat="0" applyBorder="0" applyAlignment="0" applyProtection="0"/>
    <xf numFmtId="0" fontId="34" fillId="50" borderId="0" applyNumberFormat="0" applyBorder="0" applyAlignment="0" applyProtection="0"/>
    <xf numFmtId="0" fontId="34" fillId="52" borderId="0" applyNumberFormat="0" applyBorder="0" applyAlignment="0" applyProtection="0"/>
    <xf numFmtId="0" fontId="34" fillId="54" borderId="0" applyNumberFormat="0" applyBorder="0" applyAlignment="0" applyProtection="0"/>
    <xf numFmtId="0" fontId="34" fillId="40" borderId="0" applyNumberFormat="0" applyBorder="0" applyAlignment="0" applyProtection="0"/>
    <xf numFmtId="0" fontId="34" fillId="50" borderId="0" applyNumberFormat="0" applyBorder="0" applyAlignment="0" applyProtection="0"/>
    <xf numFmtId="0" fontId="34" fillId="56" borderId="0" applyNumberFormat="0" applyBorder="0" applyAlignment="0" applyProtection="0"/>
    <xf numFmtId="0" fontId="38" fillId="75" borderId="88" applyNumberFormat="0" applyAlignment="0" applyProtection="0"/>
    <xf numFmtId="0" fontId="38" fillId="76" borderId="88" applyNumberFormat="0" applyAlignment="0" applyProtection="0"/>
    <xf numFmtId="0" fontId="38" fillId="76" borderId="88" applyNumberFormat="0" applyAlignment="0" applyProtection="0"/>
    <xf numFmtId="0" fontId="38" fillId="76" borderId="88" applyNumberFormat="0" applyAlignment="0" applyProtection="0"/>
    <xf numFmtId="0" fontId="38" fillId="75" borderId="88" applyNumberFormat="0" applyAlignment="0" applyProtection="0"/>
    <xf numFmtId="0" fontId="38" fillId="76" borderId="88" applyNumberFormat="0" applyAlignment="0" applyProtection="0"/>
    <xf numFmtId="0" fontId="38" fillId="76" borderId="88" applyNumberFormat="0" applyAlignment="0" applyProtection="0"/>
    <xf numFmtId="0" fontId="38" fillId="75" borderId="88" applyNumberFormat="0" applyAlignment="0" applyProtection="0"/>
    <xf numFmtId="0" fontId="38" fillId="76" borderId="88" applyNumberFormat="0" applyAlignment="0" applyProtection="0"/>
    <xf numFmtId="0" fontId="38" fillId="76" borderId="88" applyNumberFormat="0" applyAlignment="0" applyProtection="0"/>
    <xf numFmtId="0" fontId="38" fillId="75" borderId="88" applyNumberFormat="0" applyAlignment="0" applyProtection="0"/>
    <xf numFmtId="0" fontId="38" fillId="75" borderId="88" applyNumberFormat="0" applyAlignment="0" applyProtection="0"/>
    <xf numFmtId="0" fontId="38" fillId="75" borderId="88" applyNumberFormat="0" applyAlignment="0" applyProtection="0"/>
    <xf numFmtId="0" fontId="38" fillId="75" borderId="88" applyNumberFormat="0" applyAlignment="0" applyProtection="0"/>
    <xf numFmtId="0" fontId="38" fillId="78" borderId="88" applyNumberFormat="0" applyAlignment="0" applyProtection="0"/>
    <xf numFmtId="0" fontId="38" fillId="78" borderId="88" applyNumberFormat="0" applyAlignment="0" applyProtection="0"/>
    <xf numFmtId="0" fontId="38" fillId="78" borderId="88" applyNumberFormat="0" applyAlignment="0" applyProtection="0"/>
    <xf numFmtId="183" fontId="33" fillId="0" borderId="0" applyFill="0" applyBorder="0" applyAlignment="0" applyProtection="0"/>
    <xf numFmtId="43" fontId="33" fillId="0" borderId="0" applyFont="0" applyFill="0" applyBorder="0" applyAlignment="0" applyProtection="0"/>
    <xf numFmtId="43" fontId="33" fillId="0" borderId="0" applyFont="0" applyFill="0" applyBorder="0" applyAlignment="0" applyProtection="0"/>
    <xf numFmtId="43" fontId="33" fillId="0" borderId="0" applyFont="0" applyFill="0" applyBorder="0" applyAlignment="0" applyProtection="0"/>
    <xf numFmtId="43" fontId="33" fillId="0" borderId="0" applyFont="0" applyFill="0" applyBorder="0" applyAlignment="0" applyProtection="0"/>
    <xf numFmtId="43" fontId="33" fillId="0" borderId="0" applyFont="0" applyFill="0" applyBorder="0" applyAlignment="0" applyProtection="0"/>
    <xf numFmtId="43" fontId="33" fillId="0" borderId="0" applyFont="0" applyFill="0" applyBorder="0" applyAlignment="0" applyProtection="0"/>
    <xf numFmtId="43" fontId="33" fillId="0" borderId="0" applyFont="0" applyFill="0" applyBorder="0" applyAlignment="0" applyProtection="0"/>
    <xf numFmtId="0" fontId="45" fillId="49" borderId="88" applyNumberFormat="0" applyAlignment="0" applyProtection="0"/>
    <xf numFmtId="0" fontId="45" fillId="49" borderId="88" applyNumberFormat="0" applyAlignment="0" applyProtection="0"/>
    <xf numFmtId="0" fontId="45" fillId="49" borderId="88" applyNumberFormat="0" applyAlignment="0" applyProtection="0"/>
    <xf numFmtId="0" fontId="45" fillId="49" borderId="88" applyNumberFormat="0" applyAlignment="0" applyProtection="0"/>
    <xf numFmtId="0" fontId="54" fillId="0" borderId="86">
      <alignment horizontal="left" vertical="center"/>
    </xf>
    <xf numFmtId="0" fontId="54" fillId="0" borderId="86">
      <alignment horizontal="left" vertical="center"/>
    </xf>
    <xf numFmtId="10" fontId="52" fillId="82" borderId="77" applyNumberFormat="0" applyBorder="0" applyAlignment="0" applyProtection="0"/>
    <xf numFmtId="10" fontId="52" fillId="82" borderId="77" applyNumberFormat="0" applyBorder="0" applyAlignment="0" applyProtection="0"/>
    <xf numFmtId="0" fontId="45" fillId="45" borderId="88" applyNumberFormat="0" applyAlignment="0" applyProtection="0"/>
    <xf numFmtId="0" fontId="45" fillId="45" borderId="88" applyNumberFormat="0" applyAlignment="0" applyProtection="0"/>
    <xf numFmtId="0" fontId="45" fillId="45" borderId="88" applyNumberFormat="0" applyAlignment="0" applyProtection="0"/>
    <xf numFmtId="0" fontId="45" fillId="44" borderId="88" applyNumberFormat="0" applyAlignment="0" applyProtection="0"/>
    <xf numFmtId="0" fontId="45" fillId="45" borderId="88" applyNumberFormat="0" applyAlignment="0" applyProtection="0"/>
    <xf numFmtId="0" fontId="45" fillId="45" borderId="88" applyNumberFormat="0" applyAlignment="0" applyProtection="0"/>
    <xf numFmtId="0" fontId="45" fillId="44" borderId="88" applyNumberFormat="0" applyAlignment="0" applyProtection="0"/>
    <xf numFmtId="0" fontId="45" fillId="45" borderId="88" applyNumberFormat="0" applyAlignment="0" applyProtection="0"/>
    <xf numFmtId="0" fontId="45" fillId="45" borderId="88" applyNumberFormat="0" applyAlignment="0" applyProtection="0"/>
    <xf numFmtId="0" fontId="45" fillId="44" borderId="88" applyNumberFormat="0" applyAlignment="0" applyProtection="0"/>
    <xf numFmtId="0" fontId="45" fillId="44" borderId="88" applyNumberFormat="0" applyAlignment="0" applyProtection="0"/>
    <xf numFmtId="0" fontId="45" fillId="44" borderId="88" applyNumberFormat="0" applyAlignment="0" applyProtection="0"/>
    <xf numFmtId="0" fontId="45" fillId="44" borderId="88" applyNumberFormat="0" applyAlignment="0" applyProtection="0"/>
    <xf numFmtId="0" fontId="45" fillId="44" borderId="88" applyNumberFormat="0" applyAlignment="0" applyProtection="0"/>
    <xf numFmtId="0" fontId="48" fillId="75" borderId="89" applyNumberFormat="0" applyAlignment="0" applyProtection="0"/>
    <xf numFmtId="0" fontId="48" fillId="76" borderId="89" applyNumberFormat="0" applyAlignment="0" applyProtection="0"/>
    <xf numFmtId="0" fontId="48" fillId="76" borderId="89" applyNumberFormat="0" applyAlignment="0" applyProtection="0"/>
    <xf numFmtId="0" fontId="48" fillId="76" borderId="89" applyNumberFormat="0" applyAlignment="0" applyProtection="0"/>
    <xf numFmtId="0" fontId="48" fillId="75" borderId="89" applyNumberFormat="0" applyAlignment="0" applyProtection="0"/>
    <xf numFmtId="0" fontId="48" fillId="76" borderId="89" applyNumberFormat="0" applyAlignment="0" applyProtection="0"/>
    <xf numFmtId="0" fontId="48" fillId="76" borderId="89" applyNumberFormat="0" applyAlignment="0" applyProtection="0"/>
    <xf numFmtId="0" fontId="48" fillId="75" borderId="89" applyNumberFormat="0" applyAlignment="0" applyProtection="0"/>
    <xf numFmtId="0" fontId="48" fillId="76" borderId="89" applyNumberFormat="0" applyAlignment="0" applyProtection="0"/>
    <xf numFmtId="0" fontId="48" fillId="76" borderId="89" applyNumberFormat="0" applyAlignment="0" applyProtection="0"/>
    <xf numFmtId="0" fontId="48" fillId="75" borderId="89" applyNumberFormat="0" applyAlignment="0" applyProtection="0"/>
    <xf numFmtId="0" fontId="48" fillId="75" borderId="89" applyNumberFormat="0" applyAlignment="0" applyProtection="0"/>
    <xf numFmtId="0" fontId="48" fillId="75" borderId="89" applyNumberFormat="0" applyAlignment="0" applyProtection="0"/>
    <xf numFmtId="0" fontId="48" fillId="75" borderId="89" applyNumberFormat="0" applyAlignment="0" applyProtection="0"/>
    <xf numFmtId="9" fontId="33" fillId="0" borderId="0" applyFill="0" applyBorder="0" applyAlignment="0" applyProtection="0"/>
    <xf numFmtId="0" fontId="48" fillId="78" borderId="89" applyNumberFormat="0" applyAlignment="0" applyProtection="0"/>
    <xf numFmtId="0" fontId="48" fillId="78" borderId="89" applyNumberFormat="0" applyAlignment="0" applyProtection="0"/>
    <xf numFmtId="0" fontId="48" fillId="78" borderId="89" applyNumberFormat="0" applyAlignment="0" applyProtection="0"/>
    <xf numFmtId="0" fontId="48" fillId="75" borderId="89" applyNumberFormat="0" applyAlignment="0" applyProtection="0"/>
    <xf numFmtId="0" fontId="50" fillId="0" borderId="90" applyNumberFormat="0" applyFill="0" applyAlignment="0" applyProtection="0"/>
    <xf numFmtId="0" fontId="50" fillId="0" borderId="90" applyNumberFormat="0" applyFill="0" applyAlignment="0" applyProtection="0"/>
    <xf numFmtId="0" fontId="50" fillId="0" borderId="90" applyNumberFormat="0" applyFill="0" applyAlignment="0" applyProtection="0"/>
    <xf numFmtId="0" fontId="50" fillId="0" borderId="90" applyNumberFormat="0" applyFill="0" applyAlignment="0" applyProtection="0"/>
    <xf numFmtId="0" fontId="50" fillId="0" borderId="90" applyNumberFormat="0" applyFill="0" applyAlignment="0" applyProtection="0"/>
    <xf numFmtId="180" fontId="2" fillId="0" borderId="0" applyFont="0" applyFill="0" applyBorder="0" applyAlignment="0" applyProtection="0"/>
    <xf numFmtId="0" fontId="67" fillId="0" borderId="0"/>
    <xf numFmtId="0" fontId="66" fillId="0" borderId="0"/>
    <xf numFmtId="0" fontId="72" fillId="44" borderId="75" applyNumberFormat="0" applyAlignment="0" applyProtection="0"/>
    <xf numFmtId="0" fontId="72" fillId="44" borderId="75" applyNumberFormat="0" applyAlignment="0" applyProtection="0"/>
    <xf numFmtId="0" fontId="72" fillId="44" borderId="75" applyNumberFormat="0" applyAlignment="0" applyProtection="0"/>
    <xf numFmtId="0" fontId="73" fillId="92" borderId="95" applyNumberFormat="0" applyAlignment="0" applyProtection="0"/>
    <xf numFmtId="0" fontId="73" fillId="92" borderId="95" applyNumberFormat="0" applyAlignment="0" applyProtection="0"/>
    <xf numFmtId="0" fontId="73" fillId="75" borderId="95" applyNumberFormat="0" applyAlignment="0" applyProtection="0"/>
    <xf numFmtId="0" fontId="74" fillId="92" borderId="75" applyNumberFormat="0" applyAlignment="0" applyProtection="0"/>
    <xf numFmtId="0" fontId="74" fillId="92" borderId="75" applyNumberFormat="0" applyAlignment="0" applyProtection="0"/>
    <xf numFmtId="0" fontId="74" fillId="75" borderId="75" applyNumberFormat="0" applyAlignment="0" applyProtection="0"/>
    <xf numFmtId="0" fontId="75" fillId="0" borderId="52" applyNumberFormat="0" applyFill="0" applyAlignment="0" applyProtection="0"/>
    <xf numFmtId="0" fontId="89" fillId="0" borderId="46" applyNumberFormat="0" applyFill="0" applyAlignment="0" applyProtection="0"/>
    <xf numFmtId="0" fontId="76" fillId="0" borderId="54" applyNumberFormat="0" applyFill="0" applyAlignment="0" applyProtection="0"/>
    <xf numFmtId="0" fontId="90" fillId="0" borderId="47" applyNumberFormat="0" applyFill="0" applyAlignment="0" applyProtection="0"/>
    <xf numFmtId="0" fontId="77" fillId="0" borderId="55" applyNumberFormat="0" applyFill="0" applyAlignment="0" applyProtection="0"/>
    <xf numFmtId="0" fontId="91" fillId="0" borderId="48" applyNumberFormat="0" applyFill="0" applyAlignment="0" applyProtection="0"/>
    <xf numFmtId="0" fontId="77" fillId="0" borderId="0" applyNumberFormat="0" applyFill="0" applyBorder="0" applyAlignment="0" applyProtection="0"/>
    <xf numFmtId="0" fontId="91" fillId="0" borderId="0" applyNumberFormat="0" applyFill="0" applyBorder="0" applyAlignment="0" applyProtection="0"/>
    <xf numFmtId="0" fontId="78" fillId="0" borderId="96" applyNumberFormat="0" applyFill="0" applyAlignment="0" applyProtection="0"/>
    <xf numFmtId="0" fontId="78" fillId="0" borderId="96" applyNumberFormat="0" applyFill="0" applyAlignment="0" applyProtection="0"/>
    <xf numFmtId="0" fontId="78" fillId="0" borderId="97" applyNumberFormat="0" applyFill="0" applyAlignment="0" applyProtection="0"/>
    <xf numFmtId="0" fontId="80" fillId="0" borderId="0" applyNumberFormat="0" applyFill="0" applyBorder="0" applyAlignment="0" applyProtection="0"/>
    <xf numFmtId="0" fontId="92" fillId="0" borderId="0" applyNumberFormat="0" applyFill="0" applyBorder="0" applyAlignment="0" applyProtection="0"/>
    <xf numFmtId="0" fontId="66" fillId="86" borderId="76" applyNumberFormat="0" applyFont="0" applyAlignment="0" applyProtection="0"/>
    <xf numFmtId="0" fontId="66" fillId="86" borderId="76" applyNumberFormat="0" applyFont="0" applyAlignment="0" applyProtection="0"/>
    <xf numFmtId="0" fontId="66" fillId="86" borderId="76" applyNumberFormat="0" applyFont="0" applyAlignment="0" applyProtection="0"/>
    <xf numFmtId="0" fontId="66" fillId="0" borderId="0"/>
    <xf numFmtId="0" fontId="66" fillId="0" borderId="0"/>
    <xf numFmtId="0" fontId="66" fillId="0" borderId="0"/>
    <xf numFmtId="0" fontId="66" fillId="0" borderId="0"/>
    <xf numFmtId="0" fontId="72" fillId="44" borderId="75" applyNumberFormat="0" applyAlignment="0" applyProtection="0"/>
    <xf numFmtId="0" fontId="72" fillId="44" borderId="75" applyNumberFormat="0" applyAlignment="0" applyProtection="0"/>
    <xf numFmtId="0" fontId="72" fillId="44" borderId="75" applyNumberFormat="0" applyAlignment="0" applyProtection="0"/>
    <xf numFmtId="0" fontId="72" fillId="44" borderId="75" applyNumberFormat="0" applyAlignment="0" applyProtection="0"/>
    <xf numFmtId="0" fontId="72" fillId="44" borderId="75" applyNumberFormat="0" applyAlignment="0" applyProtection="0"/>
    <xf numFmtId="0" fontId="72" fillId="44" borderId="75" applyNumberFormat="0" applyAlignment="0" applyProtection="0"/>
    <xf numFmtId="0" fontId="72" fillId="44" borderId="75" applyNumberFormat="0" applyAlignment="0" applyProtection="0"/>
    <xf numFmtId="0" fontId="72" fillId="44" borderId="75" applyNumberFormat="0" applyAlignment="0" applyProtection="0"/>
    <xf numFmtId="0" fontId="66" fillId="44" borderId="75" applyNumberFormat="0" applyAlignment="0" applyProtection="0"/>
    <xf numFmtId="0" fontId="66" fillId="44" borderId="75" applyNumberFormat="0" applyAlignment="0" applyProtection="0"/>
    <xf numFmtId="0" fontId="66" fillId="44" borderId="75" applyNumberFormat="0" applyAlignment="0" applyProtection="0"/>
    <xf numFmtId="0" fontId="66" fillId="44" borderId="75" applyNumberFormat="0" applyAlignment="0" applyProtection="0"/>
    <xf numFmtId="0" fontId="66" fillId="44" borderId="75" applyNumberFormat="0" applyAlignment="0" applyProtection="0"/>
    <xf numFmtId="0" fontId="66" fillId="44" borderId="75" applyNumberFormat="0" applyAlignment="0" applyProtection="0"/>
    <xf numFmtId="0" fontId="66" fillId="44" borderId="75" applyNumberFormat="0" applyAlignment="0" applyProtection="0"/>
    <xf numFmtId="0" fontId="66" fillId="44" borderId="75" applyNumberFormat="0" applyAlignment="0" applyProtection="0"/>
    <xf numFmtId="0" fontId="72" fillId="44" borderId="75" applyNumberFormat="0" applyAlignment="0" applyProtection="0"/>
    <xf numFmtId="0" fontId="72" fillId="44" borderId="75" applyNumberFormat="0" applyAlignment="0" applyProtection="0"/>
    <xf numFmtId="0" fontId="72" fillId="44" borderId="75" applyNumberFormat="0" applyAlignment="0" applyProtection="0"/>
    <xf numFmtId="0" fontId="72" fillId="44" borderId="75" applyNumberFormat="0" applyAlignment="0" applyProtection="0"/>
    <xf numFmtId="0" fontId="72" fillId="44" borderId="75" applyNumberFormat="0" applyAlignment="0" applyProtection="0"/>
    <xf numFmtId="0" fontId="72" fillId="44" borderId="75" applyNumberFormat="0" applyAlignment="0" applyProtection="0"/>
    <xf numFmtId="0" fontId="66" fillId="44" borderId="75" applyNumberFormat="0" applyAlignment="0" applyProtection="0"/>
    <xf numFmtId="0" fontId="66" fillId="44" borderId="75" applyNumberFormat="0" applyAlignment="0" applyProtection="0"/>
    <xf numFmtId="0" fontId="66" fillId="44" borderId="75" applyNumberFormat="0" applyAlignment="0" applyProtection="0"/>
    <xf numFmtId="0" fontId="66" fillId="44" borderId="75" applyNumberFormat="0" applyAlignment="0" applyProtection="0"/>
    <xf numFmtId="0" fontId="66" fillId="44" borderId="75" applyNumberFormat="0" applyAlignment="0" applyProtection="0"/>
    <xf numFmtId="0" fontId="66" fillId="44" borderId="75" applyNumberFormat="0" applyAlignment="0" applyProtection="0"/>
    <xf numFmtId="0" fontId="66" fillId="44" borderId="75" applyNumberFormat="0" applyAlignment="0" applyProtection="0"/>
    <xf numFmtId="0" fontId="66" fillId="44" borderId="75" applyNumberFormat="0" applyAlignment="0" applyProtection="0"/>
    <xf numFmtId="0" fontId="72" fillId="44" borderId="75" applyNumberFormat="0" applyAlignment="0" applyProtection="0"/>
    <xf numFmtId="0" fontId="72" fillId="44" borderId="75" applyNumberFormat="0" applyAlignment="0" applyProtection="0"/>
    <xf numFmtId="0" fontId="72" fillId="44" borderId="75" applyNumberFormat="0" applyAlignment="0" applyProtection="0"/>
    <xf numFmtId="0" fontId="72" fillId="44" borderId="75" applyNumberFormat="0" applyAlignment="0" applyProtection="0"/>
    <xf numFmtId="0" fontId="72" fillId="44" borderId="75" applyNumberFormat="0" applyAlignment="0" applyProtection="0"/>
    <xf numFmtId="0" fontId="72" fillId="44" borderId="75" applyNumberFormat="0" applyAlignment="0" applyProtection="0"/>
    <xf numFmtId="0" fontId="66" fillId="44" borderId="75" applyNumberFormat="0" applyAlignment="0" applyProtection="0"/>
    <xf numFmtId="0" fontId="66" fillId="44" borderId="75" applyNumberFormat="0" applyAlignment="0" applyProtection="0"/>
    <xf numFmtId="0" fontId="72" fillId="44" borderId="75" applyNumberFormat="0" applyAlignment="0" applyProtection="0"/>
    <xf numFmtId="0" fontId="66" fillId="44" borderId="75" applyNumberFormat="0" applyAlignment="0" applyProtection="0"/>
    <xf numFmtId="0" fontId="72" fillId="44" borderId="75" applyNumberFormat="0" applyAlignment="0" applyProtection="0"/>
    <xf numFmtId="0" fontId="72" fillId="44" borderId="75" applyNumberFormat="0" applyAlignment="0" applyProtection="0"/>
    <xf numFmtId="0" fontId="72" fillId="44" borderId="75" applyNumberFormat="0" applyAlignment="0" applyProtection="0"/>
    <xf numFmtId="0" fontId="72" fillId="44" borderId="75" applyNumberFormat="0" applyAlignment="0" applyProtection="0"/>
    <xf numFmtId="0" fontId="72" fillId="44" borderId="75" applyNumberFormat="0" applyAlignment="0" applyProtection="0"/>
    <xf numFmtId="0" fontId="72" fillId="44" borderId="75" applyNumberFormat="0" applyAlignment="0" applyProtection="0"/>
    <xf numFmtId="0" fontId="72" fillId="44" borderId="75" applyNumberFormat="0" applyAlignment="0" applyProtection="0"/>
    <xf numFmtId="0" fontId="72" fillId="44" borderId="75" applyNumberFormat="0" applyAlignment="0" applyProtection="0"/>
    <xf numFmtId="0" fontId="72" fillId="44" borderId="75" applyNumberFormat="0" applyAlignment="0" applyProtection="0"/>
    <xf numFmtId="0" fontId="72" fillId="44" borderId="75" applyNumberFormat="0" applyAlignment="0" applyProtection="0"/>
    <xf numFmtId="0" fontId="72" fillId="44" borderId="75" applyNumberFormat="0" applyAlignment="0" applyProtection="0"/>
    <xf numFmtId="0" fontId="72" fillId="44" borderId="75" applyNumberFormat="0" applyAlignment="0" applyProtection="0"/>
    <xf numFmtId="0" fontId="72" fillId="44" borderId="75" applyNumberFormat="0" applyAlignment="0" applyProtection="0"/>
    <xf numFmtId="0" fontId="72" fillId="44" borderId="75" applyNumberFormat="0" applyAlignment="0" applyProtection="0"/>
    <xf numFmtId="0" fontId="66" fillId="44" borderId="75" applyNumberFormat="0" applyAlignment="0" applyProtection="0"/>
    <xf numFmtId="0" fontId="66" fillId="44" borderId="75" applyNumberFormat="0" applyAlignment="0" applyProtection="0"/>
    <xf numFmtId="0" fontId="72" fillId="44" borderId="75" applyNumberFormat="0" applyAlignment="0" applyProtection="0"/>
    <xf numFmtId="0" fontId="66" fillId="44" borderId="75" applyNumberFormat="0" applyAlignment="0" applyProtection="0"/>
    <xf numFmtId="0" fontId="72" fillId="44" borderId="75" applyNumberFormat="0" applyAlignment="0" applyProtection="0"/>
    <xf numFmtId="0" fontId="72" fillId="44" borderId="75" applyNumberFormat="0" applyAlignment="0" applyProtection="0"/>
    <xf numFmtId="0" fontId="72" fillId="44" borderId="75" applyNumberFormat="0" applyAlignment="0" applyProtection="0"/>
    <xf numFmtId="0" fontId="72" fillId="44" borderId="75" applyNumberFormat="0" applyAlignment="0" applyProtection="0"/>
    <xf numFmtId="0" fontId="72" fillId="44" borderId="75" applyNumberFormat="0" applyAlignment="0" applyProtection="0"/>
    <xf numFmtId="0" fontId="72" fillId="44" borderId="75" applyNumberFormat="0" applyAlignment="0" applyProtection="0"/>
    <xf numFmtId="0" fontId="72" fillId="44" borderId="75" applyNumberFormat="0" applyAlignment="0" applyProtection="0"/>
    <xf numFmtId="0" fontId="72" fillId="44" borderId="75" applyNumberFormat="0" applyAlignment="0" applyProtection="0"/>
    <xf numFmtId="0" fontId="72" fillId="44" borderId="75" applyNumberFormat="0" applyAlignment="0" applyProtection="0"/>
    <xf numFmtId="0" fontId="72" fillId="44" borderId="75" applyNumberFormat="0" applyAlignment="0" applyProtection="0"/>
    <xf numFmtId="0" fontId="72" fillId="44" borderId="75" applyNumberFormat="0" applyAlignment="0" applyProtection="0"/>
    <xf numFmtId="0" fontId="73" fillId="75" borderId="95" applyNumberFormat="0" applyAlignment="0" applyProtection="0"/>
    <xf numFmtId="0" fontId="73" fillId="75" borderId="95" applyNumberFormat="0" applyAlignment="0" applyProtection="0"/>
    <xf numFmtId="0" fontId="73" fillId="75" borderId="95" applyNumberFormat="0" applyAlignment="0" applyProtection="0"/>
    <xf numFmtId="0" fontId="73" fillId="75" borderId="95" applyNumberFormat="0" applyAlignment="0" applyProtection="0"/>
    <xf numFmtId="0" fontId="73" fillId="75" borderId="95" applyNumberFormat="0" applyAlignment="0" applyProtection="0"/>
    <xf numFmtId="0" fontId="73" fillId="75" borderId="95" applyNumberFormat="0" applyAlignment="0" applyProtection="0"/>
    <xf numFmtId="0" fontId="73" fillId="75" borderId="95" applyNumberFormat="0" applyAlignment="0" applyProtection="0"/>
    <xf numFmtId="0" fontId="73" fillId="75" borderId="95" applyNumberFormat="0" applyAlignment="0" applyProtection="0"/>
    <xf numFmtId="0" fontId="66" fillId="75" borderId="95" applyNumberFormat="0" applyAlignment="0" applyProtection="0"/>
    <xf numFmtId="0" fontId="66" fillId="75" borderId="95" applyNumberFormat="0" applyAlignment="0" applyProtection="0"/>
    <xf numFmtId="0" fontId="66" fillId="75" borderId="95" applyNumberFormat="0" applyAlignment="0" applyProtection="0"/>
    <xf numFmtId="0" fontId="66" fillId="75" borderId="95" applyNumberFormat="0" applyAlignment="0" applyProtection="0"/>
    <xf numFmtId="0" fontId="66" fillId="75" borderId="95" applyNumberFormat="0" applyAlignment="0" applyProtection="0"/>
    <xf numFmtId="0" fontId="66" fillId="75" borderId="95" applyNumberFormat="0" applyAlignment="0" applyProtection="0"/>
    <xf numFmtId="0" fontId="66" fillId="75" borderId="95" applyNumberFormat="0" applyAlignment="0" applyProtection="0"/>
    <xf numFmtId="0" fontId="66" fillId="75" borderId="95" applyNumberFormat="0" applyAlignment="0" applyProtection="0"/>
    <xf numFmtId="0" fontId="73" fillId="75" borderId="95" applyNumberFormat="0" applyAlignment="0" applyProtection="0"/>
    <xf numFmtId="0" fontId="73" fillId="75" borderId="95" applyNumberFormat="0" applyAlignment="0" applyProtection="0"/>
    <xf numFmtId="0" fontId="73" fillId="75" borderId="95" applyNumberFormat="0" applyAlignment="0" applyProtection="0"/>
    <xf numFmtId="0" fontId="73" fillId="75" borderId="95" applyNumberFormat="0" applyAlignment="0" applyProtection="0"/>
    <xf numFmtId="0" fontId="73" fillId="92" borderId="95" applyNumberFormat="0" applyAlignment="0" applyProtection="0"/>
    <xf numFmtId="0" fontId="73" fillId="92" borderId="95" applyNumberFormat="0" applyAlignment="0" applyProtection="0"/>
    <xf numFmtId="0" fontId="66" fillId="92" borderId="95" applyNumberFormat="0" applyAlignment="0" applyProtection="0"/>
    <xf numFmtId="0" fontId="66" fillId="92" borderId="95" applyNumberFormat="0" applyAlignment="0" applyProtection="0"/>
    <xf numFmtId="0" fontId="66" fillId="92" borderId="95" applyNumberFormat="0" applyAlignment="0" applyProtection="0"/>
    <xf numFmtId="0" fontId="66" fillId="92" borderId="95" applyNumberFormat="0" applyAlignment="0" applyProtection="0"/>
    <xf numFmtId="0" fontId="66" fillId="92" borderId="95" applyNumberFormat="0" applyAlignment="0" applyProtection="0"/>
    <xf numFmtId="0" fontId="66" fillId="92" borderId="95" applyNumberFormat="0" applyAlignment="0" applyProtection="0"/>
    <xf numFmtId="0" fontId="66" fillId="92" borderId="95" applyNumberFormat="0" applyAlignment="0" applyProtection="0"/>
    <xf numFmtId="0" fontId="66" fillId="92" borderId="95" applyNumberFormat="0" applyAlignment="0" applyProtection="0"/>
    <xf numFmtId="0" fontId="73" fillId="92" borderId="95" applyNumberFormat="0" applyAlignment="0" applyProtection="0"/>
    <xf numFmtId="0" fontId="73" fillId="92" borderId="95" applyNumberFormat="0" applyAlignment="0" applyProtection="0"/>
    <xf numFmtId="0" fontId="73" fillId="92" borderId="95" applyNumberFormat="0" applyAlignment="0" applyProtection="0"/>
    <xf numFmtId="0" fontId="73" fillId="92" borderId="95" applyNumberFormat="0" applyAlignment="0" applyProtection="0"/>
    <xf numFmtId="0" fontId="73" fillId="92" borderId="95" applyNumberFormat="0" applyAlignment="0" applyProtection="0"/>
    <xf numFmtId="0" fontId="73" fillId="92" borderId="95" applyNumberFormat="0" applyAlignment="0" applyProtection="0"/>
    <xf numFmtId="0" fontId="66" fillId="92" borderId="95" applyNumberFormat="0" applyAlignment="0" applyProtection="0"/>
    <xf numFmtId="0" fontId="66" fillId="92" borderId="95" applyNumberFormat="0" applyAlignment="0" applyProtection="0"/>
    <xf numFmtId="0" fontId="73" fillId="75" borderId="95" applyNumberFormat="0" applyAlignment="0" applyProtection="0"/>
    <xf numFmtId="0" fontId="73" fillId="92" borderId="95" applyNumberFormat="0" applyAlignment="0" applyProtection="0"/>
    <xf numFmtId="0" fontId="66" fillId="92" borderId="95" applyNumberFormat="0" applyAlignment="0" applyProtection="0"/>
    <xf numFmtId="0" fontId="73" fillId="92" borderId="95" applyNumberFormat="0" applyAlignment="0" applyProtection="0"/>
    <xf numFmtId="0" fontId="73" fillId="92" borderId="95" applyNumberFormat="0" applyAlignment="0" applyProtection="0"/>
    <xf numFmtId="0" fontId="73" fillId="92" borderId="95" applyNumberFormat="0" applyAlignment="0" applyProtection="0"/>
    <xf numFmtId="0" fontId="73" fillId="92" borderId="95" applyNumberFormat="0" applyAlignment="0" applyProtection="0"/>
    <xf numFmtId="0" fontId="73" fillId="92" borderId="95" applyNumberFormat="0" applyAlignment="0" applyProtection="0"/>
    <xf numFmtId="0" fontId="73" fillId="92" borderId="95" applyNumberFormat="0" applyAlignment="0" applyProtection="0"/>
    <xf numFmtId="0" fontId="73" fillId="92" borderId="95" applyNumberFormat="0" applyAlignment="0" applyProtection="0"/>
    <xf numFmtId="0" fontId="73" fillId="92" borderId="95" applyNumberFormat="0" applyAlignment="0" applyProtection="0"/>
    <xf numFmtId="0" fontId="73" fillId="92" borderId="95" applyNumberFormat="0" applyAlignment="0" applyProtection="0"/>
    <xf numFmtId="0" fontId="73" fillId="92" borderId="95" applyNumberFormat="0" applyAlignment="0" applyProtection="0"/>
    <xf numFmtId="0" fontId="73" fillId="92" borderId="95" applyNumberFormat="0" applyAlignment="0" applyProtection="0"/>
    <xf numFmtId="0" fontId="73" fillId="92" borderId="95" applyNumberFormat="0" applyAlignment="0" applyProtection="0"/>
    <xf numFmtId="0" fontId="73" fillId="75" borderId="95" applyNumberFormat="0" applyAlignment="0" applyProtection="0"/>
    <xf numFmtId="0" fontId="73" fillId="75" borderId="95" applyNumberFormat="0" applyAlignment="0" applyProtection="0"/>
    <xf numFmtId="0" fontId="66" fillId="75" borderId="95" applyNumberFormat="0" applyAlignment="0" applyProtection="0"/>
    <xf numFmtId="0" fontId="66" fillId="75" borderId="95" applyNumberFormat="0" applyAlignment="0" applyProtection="0"/>
    <xf numFmtId="0" fontId="73" fillId="75" borderId="95" applyNumberFormat="0" applyAlignment="0" applyProtection="0"/>
    <xf numFmtId="0" fontId="66" fillId="75" borderId="95" applyNumberFormat="0" applyAlignment="0" applyProtection="0"/>
    <xf numFmtId="0" fontId="73" fillId="75" borderId="95" applyNumberFormat="0" applyAlignment="0" applyProtection="0"/>
    <xf numFmtId="0" fontId="73" fillId="75" borderId="95" applyNumberFormat="0" applyAlignment="0" applyProtection="0"/>
    <xf numFmtId="0" fontId="73" fillId="75" borderId="95" applyNumberFormat="0" applyAlignment="0" applyProtection="0"/>
    <xf numFmtId="0" fontId="73" fillId="75" borderId="95" applyNumberFormat="0" applyAlignment="0" applyProtection="0"/>
    <xf numFmtId="0" fontId="73" fillId="75" borderId="95" applyNumberFormat="0" applyAlignment="0" applyProtection="0"/>
    <xf numFmtId="0" fontId="73" fillId="75" borderId="95" applyNumberFormat="0" applyAlignment="0" applyProtection="0"/>
    <xf numFmtId="0" fontId="73" fillId="75" borderId="95" applyNumberFormat="0" applyAlignment="0" applyProtection="0"/>
    <xf numFmtId="0" fontId="73" fillId="75" borderId="95" applyNumberFormat="0" applyAlignment="0" applyProtection="0"/>
    <xf numFmtId="0" fontId="73" fillId="75" borderId="95" applyNumberFormat="0" applyAlignment="0" applyProtection="0"/>
    <xf numFmtId="0" fontId="73" fillId="75" borderId="95" applyNumberFormat="0" applyAlignment="0" applyProtection="0"/>
    <xf numFmtId="0" fontId="73" fillId="75" borderId="95" applyNumberFormat="0" applyAlignment="0" applyProtection="0"/>
    <xf numFmtId="0" fontId="74" fillId="75" borderId="75" applyNumberFormat="0" applyAlignment="0" applyProtection="0"/>
    <xf numFmtId="0" fontId="74" fillId="75" borderId="75" applyNumberFormat="0" applyAlignment="0" applyProtection="0"/>
    <xf numFmtId="0" fontId="74" fillId="75" borderId="75" applyNumberFormat="0" applyAlignment="0" applyProtection="0"/>
    <xf numFmtId="0" fontId="74" fillId="75" borderId="75" applyNumberFormat="0" applyAlignment="0" applyProtection="0"/>
    <xf numFmtId="0" fontId="74" fillId="75" borderId="75" applyNumberFormat="0" applyAlignment="0" applyProtection="0"/>
    <xf numFmtId="0" fontId="74" fillId="75" borderId="75" applyNumberFormat="0" applyAlignment="0" applyProtection="0"/>
    <xf numFmtId="0" fontId="74" fillId="75" borderId="75" applyNumberFormat="0" applyAlignment="0" applyProtection="0"/>
    <xf numFmtId="0" fontId="74" fillId="75" borderId="75" applyNumberFormat="0" applyAlignment="0" applyProtection="0"/>
    <xf numFmtId="0" fontId="66" fillId="75" borderId="75" applyNumberFormat="0" applyAlignment="0" applyProtection="0"/>
    <xf numFmtId="0" fontId="66" fillId="75" borderId="75" applyNumberFormat="0" applyAlignment="0" applyProtection="0"/>
    <xf numFmtId="0" fontId="66" fillId="75" borderId="75" applyNumberFormat="0" applyAlignment="0" applyProtection="0"/>
    <xf numFmtId="0" fontId="66" fillId="75" borderId="75" applyNumberFormat="0" applyAlignment="0" applyProtection="0"/>
    <xf numFmtId="0" fontId="66" fillId="75" borderId="75" applyNumberFormat="0" applyAlignment="0" applyProtection="0"/>
    <xf numFmtId="0" fontId="66" fillId="75" borderId="75" applyNumberFormat="0" applyAlignment="0" applyProtection="0"/>
    <xf numFmtId="0" fontId="66" fillId="75" borderId="75" applyNumberFormat="0" applyAlignment="0" applyProtection="0"/>
    <xf numFmtId="0" fontId="66" fillId="75" borderId="75" applyNumberFormat="0" applyAlignment="0" applyProtection="0"/>
    <xf numFmtId="0" fontId="74" fillId="75" borderId="75" applyNumberFormat="0" applyAlignment="0" applyProtection="0"/>
    <xf numFmtId="0" fontId="74" fillId="75" borderId="75" applyNumberFormat="0" applyAlignment="0" applyProtection="0"/>
    <xf numFmtId="0" fontId="74" fillId="75" borderId="75" applyNumberFormat="0" applyAlignment="0" applyProtection="0"/>
    <xf numFmtId="0" fontId="74" fillId="75" borderId="75" applyNumberFormat="0" applyAlignment="0" applyProtection="0"/>
    <xf numFmtId="0" fontId="74" fillId="92" borderId="75" applyNumberFormat="0" applyAlignment="0" applyProtection="0"/>
    <xf numFmtId="0" fontId="74" fillId="92" borderId="75" applyNumberFormat="0" applyAlignment="0" applyProtection="0"/>
    <xf numFmtId="0" fontId="66" fillId="92" borderId="75" applyNumberFormat="0" applyAlignment="0" applyProtection="0"/>
    <xf numFmtId="0" fontId="66" fillId="92" borderId="75" applyNumberFormat="0" applyAlignment="0" applyProtection="0"/>
    <xf numFmtId="0" fontId="66" fillId="92" borderId="75" applyNumberFormat="0" applyAlignment="0" applyProtection="0"/>
    <xf numFmtId="0" fontId="66" fillId="92" borderId="75" applyNumberFormat="0" applyAlignment="0" applyProtection="0"/>
    <xf numFmtId="0" fontId="66" fillId="92" borderId="75" applyNumberFormat="0" applyAlignment="0" applyProtection="0"/>
    <xf numFmtId="0" fontId="66" fillId="92" borderId="75" applyNumberFormat="0" applyAlignment="0" applyProtection="0"/>
    <xf numFmtId="0" fontId="66" fillId="92" borderId="75" applyNumberFormat="0" applyAlignment="0" applyProtection="0"/>
    <xf numFmtId="0" fontId="66" fillId="92" borderId="75" applyNumberFormat="0" applyAlignment="0" applyProtection="0"/>
    <xf numFmtId="0" fontId="74" fillId="92" borderId="75" applyNumberFormat="0" applyAlignment="0" applyProtection="0"/>
    <xf numFmtId="0" fontId="74" fillId="92" borderId="75" applyNumberFormat="0" applyAlignment="0" applyProtection="0"/>
    <xf numFmtId="0" fontId="74" fillId="92" borderId="75" applyNumberFormat="0" applyAlignment="0" applyProtection="0"/>
    <xf numFmtId="0" fontId="74" fillId="92" borderId="75" applyNumberFormat="0" applyAlignment="0" applyProtection="0"/>
    <xf numFmtId="0" fontId="74" fillId="92" borderId="75" applyNumberFormat="0" applyAlignment="0" applyProtection="0"/>
    <xf numFmtId="0" fontId="74" fillId="92" borderId="75" applyNumberFormat="0" applyAlignment="0" applyProtection="0"/>
    <xf numFmtId="0" fontId="66" fillId="92" borderId="75" applyNumberFormat="0" applyAlignment="0" applyProtection="0"/>
    <xf numFmtId="0" fontId="66" fillId="92" borderId="75" applyNumberFormat="0" applyAlignment="0" applyProtection="0"/>
    <xf numFmtId="0" fontId="74" fillId="75" borderId="75" applyNumberFormat="0" applyAlignment="0" applyProtection="0"/>
    <xf numFmtId="0" fontId="74" fillId="92" borderId="75" applyNumberFormat="0" applyAlignment="0" applyProtection="0"/>
    <xf numFmtId="0" fontId="66" fillId="92" borderId="75" applyNumberFormat="0" applyAlignment="0" applyProtection="0"/>
    <xf numFmtId="0" fontId="74" fillId="92" borderId="75" applyNumberFormat="0" applyAlignment="0" applyProtection="0"/>
    <xf numFmtId="0" fontId="74" fillId="92" borderId="75" applyNumberFormat="0" applyAlignment="0" applyProtection="0"/>
    <xf numFmtId="0" fontId="74" fillId="92" borderId="75" applyNumberFormat="0" applyAlignment="0" applyProtection="0"/>
    <xf numFmtId="0" fontId="74" fillId="92" borderId="75" applyNumberFormat="0" applyAlignment="0" applyProtection="0"/>
    <xf numFmtId="0" fontId="74" fillId="92" borderId="75" applyNumberFormat="0" applyAlignment="0" applyProtection="0"/>
    <xf numFmtId="0" fontId="74" fillId="92" borderId="75" applyNumberFormat="0" applyAlignment="0" applyProtection="0"/>
    <xf numFmtId="0" fontId="74" fillId="92" borderId="75" applyNumberFormat="0" applyAlignment="0" applyProtection="0"/>
    <xf numFmtId="0" fontId="74" fillId="92" borderId="75" applyNumberFormat="0" applyAlignment="0" applyProtection="0"/>
    <xf numFmtId="0" fontId="74" fillId="92" borderId="75" applyNumberFormat="0" applyAlignment="0" applyProtection="0"/>
    <xf numFmtId="0" fontId="74" fillId="92" borderId="75" applyNumberFormat="0" applyAlignment="0" applyProtection="0"/>
    <xf numFmtId="0" fontId="74" fillId="92" borderId="75" applyNumberFormat="0" applyAlignment="0" applyProtection="0"/>
    <xf numFmtId="0" fontId="74" fillId="92" borderId="75" applyNumberFormat="0" applyAlignment="0" applyProtection="0"/>
    <xf numFmtId="0" fontId="74" fillId="75" borderId="75" applyNumberFormat="0" applyAlignment="0" applyProtection="0"/>
    <xf numFmtId="0" fontId="74" fillId="75" borderId="75" applyNumberFormat="0" applyAlignment="0" applyProtection="0"/>
    <xf numFmtId="0" fontId="66" fillId="75" borderId="75" applyNumberFormat="0" applyAlignment="0" applyProtection="0"/>
    <xf numFmtId="0" fontId="66" fillId="75" borderId="75" applyNumberFormat="0" applyAlignment="0" applyProtection="0"/>
    <xf numFmtId="0" fontId="74" fillId="75" borderId="75" applyNumberFormat="0" applyAlignment="0" applyProtection="0"/>
    <xf numFmtId="0" fontId="66" fillId="75" borderId="75" applyNumberFormat="0" applyAlignment="0" applyProtection="0"/>
    <xf numFmtId="0" fontId="74" fillId="75" borderId="75" applyNumberFormat="0" applyAlignment="0" applyProtection="0"/>
    <xf numFmtId="0" fontId="74" fillId="75" borderId="75" applyNumberFormat="0" applyAlignment="0" applyProtection="0"/>
    <xf numFmtId="0" fontId="74" fillId="75" borderId="75" applyNumberFormat="0" applyAlignment="0" applyProtection="0"/>
    <xf numFmtId="0" fontId="74" fillId="75" borderId="75" applyNumberFormat="0" applyAlignment="0" applyProtection="0"/>
    <xf numFmtId="0" fontId="74" fillId="75" borderId="75" applyNumberFormat="0" applyAlignment="0" applyProtection="0"/>
    <xf numFmtId="0" fontId="74" fillId="75" borderId="75" applyNumberFormat="0" applyAlignment="0" applyProtection="0"/>
    <xf numFmtId="0" fontId="74" fillId="75" borderId="75" applyNumberFormat="0" applyAlignment="0" applyProtection="0"/>
    <xf numFmtId="0" fontId="74" fillId="75" borderId="75" applyNumberFormat="0" applyAlignment="0" applyProtection="0"/>
    <xf numFmtId="0" fontId="74" fillId="75" borderId="75" applyNumberFormat="0" applyAlignment="0" applyProtection="0"/>
    <xf numFmtId="0" fontId="74" fillId="75" borderId="75" applyNumberFormat="0" applyAlignment="0" applyProtection="0"/>
    <xf numFmtId="0" fontId="74" fillId="75" borderId="75" applyNumberFormat="0" applyAlignment="0" applyProtection="0"/>
    <xf numFmtId="0" fontId="78" fillId="0" borderId="97" applyNumberFormat="0" applyFill="0" applyAlignment="0" applyProtection="0"/>
    <xf numFmtId="0" fontId="78" fillId="0" borderId="97" applyNumberFormat="0" applyFill="0" applyAlignment="0" applyProtection="0"/>
    <xf numFmtId="0" fontId="78" fillId="0" borderId="97" applyNumberFormat="0" applyFill="0" applyAlignment="0" applyProtection="0"/>
    <xf numFmtId="0" fontId="78" fillId="0" borderId="97" applyNumberFormat="0" applyFill="0" applyAlignment="0" applyProtection="0"/>
    <xf numFmtId="0" fontId="78" fillId="0" borderId="97" applyNumberFormat="0" applyFill="0" applyAlignment="0" applyProtection="0"/>
    <xf numFmtId="0" fontId="78" fillId="0" borderId="97" applyNumberFormat="0" applyFill="0" applyAlignment="0" applyProtection="0"/>
    <xf numFmtId="0" fontId="78" fillId="0" borderId="97" applyNumberFormat="0" applyFill="0" applyAlignment="0" applyProtection="0"/>
    <xf numFmtId="0" fontId="78" fillId="0" borderId="97" applyNumberFormat="0" applyFill="0" applyAlignment="0" applyProtection="0"/>
    <xf numFmtId="0" fontId="66" fillId="0" borderId="97" applyNumberFormat="0" applyFill="0" applyAlignment="0" applyProtection="0"/>
    <xf numFmtId="0" fontId="66" fillId="0" borderId="97" applyNumberFormat="0" applyFill="0" applyAlignment="0" applyProtection="0"/>
    <xf numFmtId="0" fontId="66" fillId="0" borderId="97" applyNumberFormat="0" applyFill="0" applyAlignment="0" applyProtection="0"/>
    <xf numFmtId="0" fontId="66" fillId="0" borderId="97" applyNumberFormat="0" applyFill="0" applyAlignment="0" applyProtection="0"/>
    <xf numFmtId="0" fontId="66" fillId="0" borderId="97" applyNumberFormat="0" applyFill="0" applyAlignment="0" applyProtection="0"/>
    <xf numFmtId="0" fontId="66" fillId="0" borderId="97" applyNumberFormat="0" applyFill="0" applyAlignment="0" applyProtection="0"/>
    <xf numFmtId="0" fontId="66" fillId="0" borderId="97" applyNumberFormat="0" applyFill="0" applyAlignment="0" applyProtection="0"/>
    <xf numFmtId="0" fontId="66" fillId="0" borderId="97" applyNumberFormat="0" applyFill="0" applyAlignment="0" applyProtection="0"/>
    <xf numFmtId="0" fontId="78" fillId="0" borderId="97" applyNumberFormat="0" applyFill="0" applyAlignment="0" applyProtection="0"/>
    <xf numFmtId="0" fontId="78" fillId="0" borderId="97" applyNumberFormat="0" applyFill="0" applyAlignment="0" applyProtection="0"/>
    <xf numFmtId="0" fontId="78" fillId="0" borderId="97" applyNumberFormat="0" applyFill="0" applyAlignment="0" applyProtection="0"/>
    <xf numFmtId="0" fontId="78" fillId="0" borderId="97" applyNumberFormat="0" applyFill="0" applyAlignment="0" applyProtection="0"/>
    <xf numFmtId="0" fontId="78" fillId="0" borderId="96" applyNumberFormat="0" applyFill="0" applyAlignment="0" applyProtection="0"/>
    <xf numFmtId="0" fontId="78" fillId="0" borderId="96" applyNumberFormat="0" applyFill="0" applyAlignment="0" applyProtection="0"/>
    <xf numFmtId="0" fontId="66" fillId="0" borderId="96" applyNumberFormat="0" applyFill="0" applyAlignment="0" applyProtection="0"/>
    <xf numFmtId="0" fontId="66" fillId="0" borderId="96" applyNumberFormat="0" applyFill="0" applyAlignment="0" applyProtection="0"/>
    <xf numFmtId="0" fontId="66" fillId="0" borderId="96" applyNumberFormat="0" applyFill="0" applyAlignment="0" applyProtection="0"/>
    <xf numFmtId="0" fontId="66" fillId="0" borderId="96" applyNumberFormat="0" applyFill="0" applyAlignment="0" applyProtection="0"/>
    <xf numFmtId="0" fontId="66" fillId="0" borderId="96" applyNumberFormat="0" applyFill="0" applyAlignment="0" applyProtection="0"/>
    <xf numFmtId="0" fontId="66" fillId="0" borderId="96" applyNumberFormat="0" applyFill="0" applyAlignment="0" applyProtection="0"/>
    <xf numFmtId="0" fontId="66" fillId="0" borderId="96" applyNumberFormat="0" applyFill="0" applyAlignment="0" applyProtection="0"/>
    <xf numFmtId="0" fontId="66" fillId="0" borderId="96" applyNumberFormat="0" applyFill="0" applyAlignment="0" applyProtection="0"/>
    <xf numFmtId="0" fontId="78" fillId="0" borderId="96" applyNumberFormat="0" applyFill="0" applyAlignment="0" applyProtection="0"/>
    <xf numFmtId="0" fontId="78" fillId="0" borderId="96" applyNumberFormat="0" applyFill="0" applyAlignment="0" applyProtection="0"/>
    <xf numFmtId="0" fontId="78" fillId="0" borderId="96" applyNumberFormat="0" applyFill="0" applyAlignment="0" applyProtection="0"/>
    <xf numFmtId="0" fontId="78" fillId="0" borderId="96" applyNumberFormat="0" applyFill="0" applyAlignment="0" applyProtection="0"/>
    <xf numFmtId="0" fontId="78" fillId="0" borderId="96" applyNumberFormat="0" applyFill="0" applyAlignment="0" applyProtection="0"/>
    <xf numFmtId="0" fontId="78" fillId="0" borderId="96" applyNumberFormat="0" applyFill="0" applyAlignment="0" applyProtection="0"/>
    <xf numFmtId="0" fontId="66" fillId="0" borderId="96" applyNumberFormat="0" applyFill="0" applyAlignment="0" applyProtection="0"/>
    <xf numFmtId="0" fontId="66" fillId="0" borderId="96" applyNumberFormat="0" applyFill="0" applyAlignment="0" applyProtection="0"/>
    <xf numFmtId="0" fontId="78" fillId="0" borderId="97" applyNumberFormat="0" applyFill="0" applyAlignment="0" applyProtection="0"/>
    <xf numFmtId="0" fontId="78" fillId="0" borderId="96" applyNumberFormat="0" applyFill="0" applyAlignment="0" applyProtection="0"/>
    <xf numFmtId="0" fontId="66" fillId="0" borderId="96" applyNumberFormat="0" applyFill="0" applyAlignment="0" applyProtection="0"/>
    <xf numFmtId="0" fontId="78" fillId="0" borderId="96" applyNumberFormat="0" applyFill="0" applyAlignment="0" applyProtection="0"/>
    <xf numFmtId="0" fontId="78" fillId="0" borderId="96" applyNumberFormat="0" applyFill="0" applyAlignment="0" applyProtection="0"/>
    <xf numFmtId="0" fontId="78" fillId="0" borderId="96" applyNumberFormat="0" applyFill="0" applyAlignment="0" applyProtection="0"/>
    <xf numFmtId="0" fontId="78" fillId="0" borderId="96" applyNumberFormat="0" applyFill="0" applyAlignment="0" applyProtection="0"/>
    <xf numFmtId="0" fontId="78" fillId="0" borderId="96" applyNumberFormat="0" applyFill="0" applyAlignment="0" applyProtection="0"/>
    <xf numFmtId="0" fontId="78" fillId="0" borderId="96" applyNumberFormat="0" applyFill="0" applyAlignment="0" applyProtection="0"/>
    <xf numFmtId="0" fontId="78" fillId="0" borderId="96" applyNumberFormat="0" applyFill="0" applyAlignment="0" applyProtection="0"/>
    <xf numFmtId="0" fontId="78" fillId="0" borderId="96" applyNumberFormat="0" applyFill="0" applyAlignment="0" applyProtection="0"/>
    <xf numFmtId="0" fontId="78" fillId="0" borderId="96" applyNumberFormat="0" applyFill="0" applyAlignment="0" applyProtection="0"/>
    <xf numFmtId="0" fontId="78" fillId="0" borderId="96" applyNumberFormat="0" applyFill="0" applyAlignment="0" applyProtection="0"/>
    <xf numFmtId="0" fontId="78" fillId="0" borderId="96" applyNumberFormat="0" applyFill="0" applyAlignment="0" applyProtection="0"/>
    <xf numFmtId="0" fontId="78" fillId="0" borderId="96" applyNumberFormat="0" applyFill="0" applyAlignment="0" applyProtection="0"/>
    <xf numFmtId="0" fontId="78" fillId="0" borderId="97" applyNumberFormat="0" applyFill="0" applyAlignment="0" applyProtection="0"/>
    <xf numFmtId="0" fontId="78" fillId="0" borderId="97" applyNumberFormat="0" applyFill="0" applyAlignment="0" applyProtection="0"/>
    <xf numFmtId="0" fontId="66" fillId="0" borderId="97" applyNumberFormat="0" applyFill="0" applyAlignment="0" applyProtection="0"/>
    <xf numFmtId="0" fontId="66" fillId="0" borderId="97" applyNumberFormat="0" applyFill="0" applyAlignment="0" applyProtection="0"/>
    <xf numFmtId="0" fontId="78" fillId="0" borderId="97" applyNumberFormat="0" applyFill="0" applyAlignment="0" applyProtection="0"/>
    <xf numFmtId="0" fontId="66" fillId="0" borderId="97" applyNumberFormat="0" applyFill="0" applyAlignment="0" applyProtection="0"/>
    <xf numFmtId="0" fontId="78" fillId="0" borderId="97" applyNumberFormat="0" applyFill="0" applyAlignment="0" applyProtection="0"/>
    <xf numFmtId="0" fontId="78" fillId="0" borderId="97" applyNumberFormat="0" applyFill="0" applyAlignment="0" applyProtection="0"/>
    <xf numFmtId="0" fontId="78" fillId="0" borderId="97" applyNumberFormat="0" applyFill="0" applyAlignment="0" applyProtection="0"/>
    <xf numFmtId="0" fontId="78" fillId="0" borderId="97" applyNumberFormat="0" applyFill="0" applyAlignment="0" applyProtection="0"/>
    <xf numFmtId="0" fontId="78" fillId="0" borderId="97" applyNumberFormat="0" applyFill="0" applyAlignment="0" applyProtection="0"/>
    <xf numFmtId="0" fontId="78" fillId="0" borderId="97" applyNumberFormat="0" applyFill="0" applyAlignment="0" applyProtection="0"/>
    <xf numFmtId="0" fontId="78" fillId="0" borderId="97" applyNumberFormat="0" applyFill="0" applyAlignment="0" applyProtection="0"/>
    <xf numFmtId="0" fontId="78" fillId="0" borderId="97" applyNumberFormat="0" applyFill="0" applyAlignment="0" applyProtection="0"/>
    <xf numFmtId="0" fontId="78" fillId="0" borderId="97" applyNumberFormat="0" applyFill="0" applyAlignment="0" applyProtection="0"/>
    <xf numFmtId="0" fontId="78" fillId="0" borderId="97" applyNumberFormat="0" applyFill="0" applyAlignment="0" applyProtection="0"/>
    <xf numFmtId="0" fontId="78" fillId="0" borderId="97" applyNumberFormat="0" applyFill="0" applyAlignment="0" applyProtection="0"/>
    <xf numFmtId="0" fontId="66" fillId="86" borderId="76" applyNumberFormat="0" applyFont="0" applyAlignment="0" applyProtection="0"/>
    <xf numFmtId="0" fontId="66" fillId="86" borderId="76" applyNumberFormat="0" applyFont="0" applyAlignment="0" applyProtection="0"/>
    <xf numFmtId="0" fontId="66" fillId="86" borderId="76" applyNumberFormat="0" applyFont="0" applyAlignment="0" applyProtection="0"/>
    <xf numFmtId="0" fontId="66" fillId="86" borderId="76" applyNumberFormat="0" applyFont="0" applyAlignment="0" applyProtection="0"/>
    <xf numFmtId="0" fontId="66" fillId="86" borderId="76" applyNumberFormat="0" applyFont="0" applyAlignment="0" applyProtection="0"/>
    <xf numFmtId="0" fontId="66" fillId="86" borderId="76" applyNumberFormat="0" applyFont="0" applyAlignment="0" applyProtection="0"/>
    <xf numFmtId="0" fontId="66" fillId="86" borderId="76" applyNumberFormat="0" applyFont="0" applyAlignment="0" applyProtection="0"/>
    <xf numFmtId="0" fontId="66" fillId="86" borderId="76" applyNumberFormat="0" applyFont="0" applyAlignment="0" applyProtection="0"/>
    <xf numFmtId="0" fontId="66" fillId="86" borderId="76" applyNumberFormat="0" applyFont="0" applyAlignment="0" applyProtection="0"/>
    <xf numFmtId="0" fontId="66" fillId="86" borderId="76" applyNumberFormat="0" applyFont="0" applyAlignment="0" applyProtection="0"/>
    <xf numFmtId="0" fontId="66" fillId="86" borderId="76" applyNumberFormat="0" applyFont="0" applyAlignment="0" applyProtection="0"/>
    <xf numFmtId="0" fontId="66" fillId="86" borderId="76" applyNumberFormat="0" applyFont="0" applyAlignment="0" applyProtection="0"/>
    <xf numFmtId="0" fontId="66" fillId="86" borderId="76" applyNumberFormat="0" applyFont="0" applyAlignment="0" applyProtection="0"/>
    <xf numFmtId="0" fontId="66" fillId="86" borderId="76" applyNumberFormat="0" applyFont="0" applyAlignment="0" applyProtection="0"/>
    <xf numFmtId="0" fontId="66" fillId="86" borderId="76" applyNumberFormat="0" applyFont="0" applyAlignment="0" applyProtection="0"/>
    <xf numFmtId="0" fontId="66" fillId="86" borderId="76" applyNumberFormat="0" applyFont="0" applyAlignment="0" applyProtection="0"/>
    <xf numFmtId="0" fontId="66" fillId="86" borderId="76" applyNumberFormat="0" applyFont="0" applyAlignment="0" applyProtection="0"/>
    <xf numFmtId="0" fontId="66" fillId="86" borderId="76" applyNumberFormat="0" applyFont="0" applyAlignment="0" applyProtection="0"/>
    <xf numFmtId="0" fontId="66" fillId="86" borderId="76" applyNumberFormat="0" applyFont="0" applyAlignment="0" applyProtection="0"/>
    <xf numFmtId="0" fontId="66" fillId="86" borderId="76" applyNumberFormat="0" applyFont="0" applyAlignment="0" applyProtection="0"/>
    <xf numFmtId="0" fontId="66" fillId="86" borderId="76" applyNumberFormat="0" applyFont="0" applyAlignment="0" applyProtection="0"/>
    <xf numFmtId="0" fontId="66" fillId="86" borderId="76" applyNumberFormat="0" applyFont="0" applyAlignment="0" applyProtection="0"/>
    <xf numFmtId="0" fontId="66" fillId="86" borderId="76" applyNumberFormat="0" applyFont="0" applyAlignment="0" applyProtection="0"/>
    <xf numFmtId="0" fontId="66" fillId="86" borderId="76" applyNumberFormat="0" applyFont="0" applyAlignment="0" applyProtection="0"/>
    <xf numFmtId="0" fontId="66" fillId="86" borderId="76" applyNumberFormat="0" applyFont="0" applyAlignment="0" applyProtection="0"/>
    <xf numFmtId="0" fontId="66" fillId="86" borderId="76" applyNumberFormat="0" applyFont="0" applyAlignment="0" applyProtection="0"/>
    <xf numFmtId="0" fontId="66" fillId="86" borderId="76" applyNumberFormat="0" applyFont="0" applyAlignment="0" applyProtection="0"/>
    <xf numFmtId="0" fontId="66" fillId="86" borderId="76" applyNumberFormat="0" applyFont="0" applyAlignment="0" applyProtection="0"/>
    <xf numFmtId="0" fontId="66" fillId="86" borderId="76" applyNumberFormat="0" applyFont="0" applyAlignment="0" applyProtection="0"/>
    <xf numFmtId="0" fontId="66" fillId="86" borderId="76" applyNumberFormat="0" applyFont="0" applyAlignment="0" applyProtection="0"/>
    <xf numFmtId="0" fontId="66" fillId="86" borderId="76" applyNumberFormat="0" applyFont="0" applyAlignment="0" applyProtection="0"/>
    <xf numFmtId="0" fontId="66" fillId="86" borderId="76" applyNumberFormat="0" applyFont="0" applyAlignment="0" applyProtection="0"/>
    <xf numFmtId="0" fontId="66" fillId="86" borderId="76" applyNumberFormat="0" applyFont="0" applyAlignment="0" applyProtection="0"/>
    <xf numFmtId="0" fontId="66" fillId="86" borderId="76" applyNumberFormat="0" applyFont="0" applyAlignment="0" applyProtection="0"/>
    <xf numFmtId="0" fontId="66" fillId="86" borderId="76" applyNumberFormat="0" applyFont="0" applyAlignment="0" applyProtection="0"/>
    <xf numFmtId="0" fontId="66" fillId="86" borderId="76" applyNumberFormat="0" applyFont="0" applyAlignment="0" applyProtection="0"/>
    <xf numFmtId="0" fontId="66" fillId="86" borderId="76" applyNumberFormat="0" applyFont="0" applyAlignment="0" applyProtection="0"/>
    <xf numFmtId="0" fontId="66" fillId="86" borderId="76" applyNumberFormat="0" applyFont="0" applyAlignment="0" applyProtection="0"/>
    <xf numFmtId="0" fontId="66" fillId="86" borderId="76" applyNumberFormat="0" applyFont="0" applyAlignment="0" applyProtection="0"/>
    <xf numFmtId="0" fontId="66" fillId="86" borderId="76" applyNumberFormat="0" applyFont="0" applyAlignment="0" applyProtection="0"/>
    <xf numFmtId="0" fontId="66" fillId="86" borderId="76" applyNumberFormat="0" applyFont="0" applyAlignment="0" applyProtection="0"/>
    <xf numFmtId="0" fontId="66" fillId="86" borderId="76" applyNumberFormat="0" applyFont="0" applyAlignment="0" applyProtection="0"/>
    <xf numFmtId="0" fontId="66" fillId="86" borderId="76" applyNumberFormat="0" applyFont="0" applyAlignment="0" applyProtection="0"/>
    <xf numFmtId="0" fontId="66" fillId="86" borderId="76" applyNumberFormat="0" applyFont="0" applyAlignment="0" applyProtection="0"/>
    <xf numFmtId="0" fontId="66" fillId="86" borderId="76" applyNumberFormat="0" applyFont="0" applyAlignment="0" applyProtection="0"/>
    <xf numFmtId="0" fontId="66" fillId="86" borderId="76" applyNumberFormat="0" applyFont="0" applyAlignment="0" applyProtection="0"/>
    <xf numFmtId="0" fontId="66" fillId="86" borderId="76" applyNumberFormat="0" applyFont="0" applyAlignment="0" applyProtection="0"/>
    <xf numFmtId="0" fontId="66" fillId="86" borderId="76" applyNumberFormat="0" applyFont="0" applyAlignment="0" applyProtection="0"/>
    <xf numFmtId="0" fontId="66" fillId="86" borderId="76" applyNumberFormat="0" applyFont="0" applyAlignment="0" applyProtection="0"/>
    <xf numFmtId="0" fontId="66" fillId="86" borderId="76" applyNumberFormat="0" applyFont="0" applyAlignment="0" applyProtection="0"/>
    <xf numFmtId="0" fontId="66" fillId="86" borderId="76" applyNumberFormat="0" applyFont="0" applyAlignment="0" applyProtection="0"/>
    <xf numFmtId="0" fontId="66" fillId="86" borderId="76" applyNumberFormat="0" applyFont="0" applyAlignment="0" applyProtection="0"/>
    <xf numFmtId="0" fontId="66" fillId="86" borderId="76" applyNumberFormat="0" applyFont="0" applyAlignment="0" applyProtection="0"/>
    <xf numFmtId="0" fontId="66" fillId="86" borderId="76" applyNumberFormat="0" applyFont="0" applyAlignment="0" applyProtection="0"/>
    <xf numFmtId="0" fontId="66" fillId="86" borderId="76" applyNumberFormat="0" applyFont="0" applyAlignment="0" applyProtection="0"/>
    <xf numFmtId="0" fontId="66" fillId="86" borderId="76" applyNumberFormat="0" applyFont="0" applyAlignment="0" applyProtection="0"/>
    <xf numFmtId="0" fontId="66" fillId="86" borderId="76" applyNumberFormat="0" applyFont="0" applyAlignment="0" applyProtection="0"/>
    <xf numFmtId="0" fontId="66" fillId="86" borderId="76" applyNumberFormat="0" applyFont="0" applyAlignment="0" applyProtection="0"/>
    <xf numFmtId="0" fontId="66" fillId="86" borderId="76" applyNumberFormat="0" applyFont="0" applyAlignment="0" applyProtection="0"/>
    <xf numFmtId="0" fontId="66" fillId="86" borderId="76" applyNumberFormat="0" applyFont="0" applyAlignment="0" applyProtection="0"/>
    <xf numFmtId="0" fontId="66" fillId="86" borderId="76" applyNumberFormat="0" applyFont="0" applyAlignment="0" applyProtection="0"/>
    <xf numFmtId="0" fontId="66" fillId="86" borderId="76" applyNumberFormat="0" applyFont="0" applyAlignment="0" applyProtection="0"/>
    <xf numFmtId="0" fontId="66" fillId="86" borderId="76" applyNumberFormat="0" applyFont="0" applyAlignment="0" applyProtection="0"/>
    <xf numFmtId="0" fontId="66" fillId="86" borderId="76" applyNumberFormat="0" applyFont="0" applyAlignment="0" applyProtection="0"/>
    <xf numFmtId="0" fontId="66" fillId="86" borderId="76" applyNumberFormat="0" applyFont="0" applyAlignment="0" applyProtection="0"/>
    <xf numFmtId="0" fontId="66" fillId="86" borderId="76" applyNumberFormat="0" applyFont="0" applyAlignment="0" applyProtection="0"/>
    <xf numFmtId="0" fontId="66" fillId="86" borderId="76" applyNumberFormat="0" applyFont="0" applyAlignment="0" applyProtection="0"/>
    <xf numFmtId="0" fontId="66" fillId="86" borderId="76" applyNumberFormat="0" applyFont="0" applyAlignment="0" applyProtection="0"/>
    <xf numFmtId="0" fontId="66" fillId="86" borderId="76" applyNumberFormat="0" applyFont="0" applyAlignment="0" applyProtection="0"/>
    <xf numFmtId="0" fontId="66" fillId="86" borderId="76" applyNumberFormat="0" applyFont="0" applyAlignment="0" applyProtection="0"/>
    <xf numFmtId="0" fontId="66" fillId="86" borderId="76" applyNumberFormat="0" applyFont="0" applyAlignment="0" applyProtection="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180" fontId="2" fillId="0" borderId="0" applyFont="0" applyFill="0" applyBorder="0" applyAlignment="0" applyProtection="0"/>
    <xf numFmtId="0" fontId="67" fillId="0" borderId="0"/>
    <xf numFmtId="0" fontId="73" fillId="92" borderId="99" applyNumberFormat="0" applyAlignment="0" applyProtection="0"/>
    <xf numFmtId="0" fontId="73" fillId="92" borderId="99" applyNumberFormat="0" applyAlignment="0" applyProtection="0"/>
    <xf numFmtId="0" fontId="73" fillId="75" borderId="99" applyNumberFormat="0" applyAlignment="0" applyProtection="0"/>
    <xf numFmtId="0" fontId="78" fillId="0" borderId="100" applyNumberFormat="0" applyFill="0" applyAlignment="0" applyProtection="0"/>
    <xf numFmtId="0" fontId="78" fillId="0" borderId="100" applyNumberFormat="0" applyFill="0" applyAlignment="0" applyProtection="0"/>
    <xf numFmtId="0" fontId="78" fillId="0" borderId="101" applyNumberFormat="0" applyFill="0" applyAlignment="0" applyProtection="0"/>
    <xf numFmtId="0" fontId="73" fillId="75" borderId="99" applyNumberFormat="0" applyAlignment="0" applyProtection="0"/>
    <xf numFmtId="0" fontId="73" fillId="75" borderId="99" applyNumberFormat="0" applyAlignment="0" applyProtection="0"/>
    <xf numFmtId="0" fontId="73" fillId="75" borderId="99" applyNumberFormat="0" applyAlignment="0" applyProtection="0"/>
    <xf numFmtId="0" fontId="73" fillId="75" borderId="99" applyNumberFormat="0" applyAlignment="0" applyProtection="0"/>
    <xf numFmtId="0" fontId="73" fillId="75" borderId="99" applyNumberFormat="0" applyAlignment="0" applyProtection="0"/>
    <xf numFmtId="0" fontId="73" fillId="75" borderId="99" applyNumberFormat="0" applyAlignment="0" applyProtection="0"/>
    <xf numFmtId="0" fontId="73" fillId="75" borderId="99" applyNumberFormat="0" applyAlignment="0" applyProtection="0"/>
    <xf numFmtId="0" fontId="73" fillId="75" borderId="99" applyNumberFormat="0" applyAlignment="0" applyProtection="0"/>
    <xf numFmtId="0" fontId="66" fillId="75" borderId="99" applyNumberFormat="0" applyAlignment="0" applyProtection="0"/>
    <xf numFmtId="0" fontId="66" fillId="75" borderId="99" applyNumberFormat="0" applyAlignment="0" applyProtection="0"/>
    <xf numFmtId="0" fontId="66" fillId="75" borderId="99" applyNumberFormat="0" applyAlignment="0" applyProtection="0"/>
    <xf numFmtId="0" fontId="66" fillId="75" borderId="99" applyNumberFormat="0" applyAlignment="0" applyProtection="0"/>
    <xf numFmtId="0" fontId="66" fillId="75" borderId="99" applyNumberFormat="0" applyAlignment="0" applyProtection="0"/>
    <xf numFmtId="0" fontId="66" fillId="75" borderId="99" applyNumberFormat="0" applyAlignment="0" applyProtection="0"/>
    <xf numFmtId="0" fontId="66" fillId="75" borderId="99" applyNumberFormat="0" applyAlignment="0" applyProtection="0"/>
    <xf numFmtId="0" fontId="66" fillId="75" borderId="99" applyNumberFormat="0" applyAlignment="0" applyProtection="0"/>
    <xf numFmtId="0" fontId="73" fillId="75" borderId="99" applyNumberFormat="0" applyAlignment="0" applyProtection="0"/>
    <xf numFmtId="0" fontId="73" fillId="75" borderId="99" applyNumberFormat="0" applyAlignment="0" applyProtection="0"/>
    <xf numFmtId="0" fontId="73" fillId="75" borderId="99" applyNumberFormat="0" applyAlignment="0" applyProtection="0"/>
    <xf numFmtId="0" fontId="73" fillId="75" borderId="99" applyNumberFormat="0" applyAlignment="0" applyProtection="0"/>
    <xf numFmtId="0" fontId="73" fillId="92" borderId="99" applyNumberFormat="0" applyAlignment="0" applyProtection="0"/>
    <xf numFmtId="0" fontId="73" fillId="92" borderId="99" applyNumberFormat="0" applyAlignment="0" applyProtection="0"/>
    <xf numFmtId="0" fontId="66" fillId="92" borderId="99" applyNumberFormat="0" applyAlignment="0" applyProtection="0"/>
    <xf numFmtId="0" fontId="66" fillId="92" borderId="99" applyNumberFormat="0" applyAlignment="0" applyProtection="0"/>
    <xf numFmtId="0" fontId="66" fillId="92" borderId="99" applyNumberFormat="0" applyAlignment="0" applyProtection="0"/>
    <xf numFmtId="0" fontId="66" fillId="92" borderId="99" applyNumberFormat="0" applyAlignment="0" applyProtection="0"/>
    <xf numFmtId="0" fontId="66" fillId="92" borderId="99" applyNumberFormat="0" applyAlignment="0" applyProtection="0"/>
    <xf numFmtId="0" fontId="66" fillId="92" borderId="99" applyNumberFormat="0" applyAlignment="0" applyProtection="0"/>
    <xf numFmtId="0" fontId="66" fillId="92" borderId="99" applyNumberFormat="0" applyAlignment="0" applyProtection="0"/>
    <xf numFmtId="0" fontId="66" fillId="92" borderId="99" applyNumberFormat="0" applyAlignment="0" applyProtection="0"/>
    <xf numFmtId="0" fontId="73" fillId="92" borderId="99" applyNumberFormat="0" applyAlignment="0" applyProtection="0"/>
    <xf numFmtId="0" fontId="73" fillId="92" borderId="99" applyNumberFormat="0" applyAlignment="0" applyProtection="0"/>
    <xf numFmtId="0" fontId="73" fillId="92" borderId="99" applyNumberFormat="0" applyAlignment="0" applyProtection="0"/>
    <xf numFmtId="0" fontId="73" fillId="92" borderId="99" applyNumberFormat="0" applyAlignment="0" applyProtection="0"/>
    <xf numFmtId="0" fontId="73" fillId="92" borderId="99" applyNumberFormat="0" applyAlignment="0" applyProtection="0"/>
    <xf numFmtId="0" fontId="73" fillId="92" borderId="99" applyNumberFormat="0" applyAlignment="0" applyProtection="0"/>
    <xf numFmtId="0" fontId="66" fillId="92" borderId="99" applyNumberFormat="0" applyAlignment="0" applyProtection="0"/>
    <xf numFmtId="0" fontId="66" fillId="92" borderId="99" applyNumberFormat="0" applyAlignment="0" applyProtection="0"/>
    <xf numFmtId="0" fontId="73" fillId="75" borderId="99" applyNumberFormat="0" applyAlignment="0" applyProtection="0"/>
    <xf numFmtId="0" fontId="73" fillId="92" borderId="99" applyNumberFormat="0" applyAlignment="0" applyProtection="0"/>
    <xf numFmtId="0" fontId="66" fillId="92" borderId="99" applyNumberFormat="0" applyAlignment="0" applyProtection="0"/>
    <xf numFmtId="0" fontId="73" fillId="92" borderId="99" applyNumberFormat="0" applyAlignment="0" applyProtection="0"/>
    <xf numFmtId="0" fontId="73" fillId="92" borderId="99" applyNumberFormat="0" applyAlignment="0" applyProtection="0"/>
    <xf numFmtId="0" fontId="73" fillId="92" borderId="99" applyNumberFormat="0" applyAlignment="0" applyProtection="0"/>
    <xf numFmtId="0" fontId="73" fillId="92" borderId="99" applyNumberFormat="0" applyAlignment="0" applyProtection="0"/>
    <xf numFmtId="0" fontId="73" fillId="92" borderId="99" applyNumberFormat="0" applyAlignment="0" applyProtection="0"/>
    <xf numFmtId="0" fontId="73" fillId="92" borderId="99" applyNumberFormat="0" applyAlignment="0" applyProtection="0"/>
    <xf numFmtId="0" fontId="73" fillId="92" borderId="99" applyNumberFormat="0" applyAlignment="0" applyProtection="0"/>
    <xf numFmtId="0" fontId="73" fillId="92" borderId="99" applyNumberFormat="0" applyAlignment="0" applyProtection="0"/>
    <xf numFmtId="0" fontId="73" fillId="92" borderId="99" applyNumberFormat="0" applyAlignment="0" applyProtection="0"/>
    <xf numFmtId="0" fontId="73" fillId="92" borderId="99" applyNumberFormat="0" applyAlignment="0" applyProtection="0"/>
    <xf numFmtId="0" fontId="73" fillId="92" borderId="99" applyNumberFormat="0" applyAlignment="0" applyProtection="0"/>
    <xf numFmtId="0" fontId="73" fillId="92" borderId="99" applyNumberFormat="0" applyAlignment="0" applyProtection="0"/>
    <xf numFmtId="0" fontId="73" fillId="75" borderId="99" applyNumberFormat="0" applyAlignment="0" applyProtection="0"/>
    <xf numFmtId="0" fontId="73" fillId="75" borderId="99" applyNumberFormat="0" applyAlignment="0" applyProtection="0"/>
    <xf numFmtId="0" fontId="66" fillId="75" borderId="99" applyNumberFormat="0" applyAlignment="0" applyProtection="0"/>
    <xf numFmtId="0" fontId="66" fillId="75" borderId="99" applyNumberFormat="0" applyAlignment="0" applyProtection="0"/>
    <xf numFmtId="0" fontId="73" fillId="75" borderId="99" applyNumberFormat="0" applyAlignment="0" applyProtection="0"/>
    <xf numFmtId="0" fontId="66" fillId="75" borderId="99" applyNumberFormat="0" applyAlignment="0" applyProtection="0"/>
    <xf numFmtId="0" fontId="73" fillId="75" borderId="99" applyNumberFormat="0" applyAlignment="0" applyProtection="0"/>
    <xf numFmtId="0" fontId="73" fillId="75" borderId="99" applyNumberFormat="0" applyAlignment="0" applyProtection="0"/>
    <xf numFmtId="0" fontId="73" fillId="75" borderId="99" applyNumberFormat="0" applyAlignment="0" applyProtection="0"/>
    <xf numFmtId="0" fontId="73" fillId="75" borderId="99" applyNumberFormat="0" applyAlignment="0" applyProtection="0"/>
    <xf numFmtId="0" fontId="73" fillId="75" borderId="99" applyNumberFormat="0" applyAlignment="0" applyProtection="0"/>
    <xf numFmtId="0" fontId="73" fillId="75" borderId="99" applyNumberFormat="0" applyAlignment="0" applyProtection="0"/>
    <xf numFmtId="0" fontId="73" fillId="75" borderId="99" applyNumberFormat="0" applyAlignment="0" applyProtection="0"/>
    <xf numFmtId="0" fontId="73" fillId="75" borderId="99" applyNumberFormat="0" applyAlignment="0" applyProtection="0"/>
    <xf numFmtId="0" fontId="73" fillId="75" borderId="99" applyNumberFormat="0" applyAlignment="0" applyProtection="0"/>
    <xf numFmtId="0" fontId="73" fillId="75" borderId="99" applyNumberFormat="0" applyAlignment="0" applyProtection="0"/>
    <xf numFmtId="0" fontId="73" fillId="75" borderId="99" applyNumberFormat="0" applyAlignment="0" applyProtection="0"/>
    <xf numFmtId="0" fontId="78" fillId="0" borderId="101" applyNumberFormat="0" applyFill="0" applyAlignment="0" applyProtection="0"/>
    <xf numFmtId="0" fontId="78" fillId="0" borderId="101" applyNumberFormat="0" applyFill="0" applyAlignment="0" applyProtection="0"/>
    <xf numFmtId="0" fontId="78" fillId="0" borderId="101" applyNumberFormat="0" applyFill="0" applyAlignment="0" applyProtection="0"/>
    <xf numFmtId="0" fontId="78" fillId="0" borderId="101" applyNumberFormat="0" applyFill="0" applyAlignment="0" applyProtection="0"/>
    <xf numFmtId="0" fontId="78" fillId="0" borderId="101" applyNumberFormat="0" applyFill="0" applyAlignment="0" applyProtection="0"/>
    <xf numFmtId="0" fontId="78" fillId="0" borderId="101" applyNumberFormat="0" applyFill="0" applyAlignment="0" applyProtection="0"/>
    <xf numFmtId="0" fontId="78" fillId="0" borderId="101" applyNumberFormat="0" applyFill="0" applyAlignment="0" applyProtection="0"/>
    <xf numFmtId="0" fontId="78" fillId="0" borderId="101" applyNumberFormat="0" applyFill="0" applyAlignment="0" applyProtection="0"/>
    <xf numFmtId="0" fontId="66" fillId="0" borderId="101" applyNumberFormat="0" applyFill="0" applyAlignment="0" applyProtection="0"/>
    <xf numFmtId="0" fontId="66" fillId="0" borderId="101" applyNumberFormat="0" applyFill="0" applyAlignment="0" applyProtection="0"/>
    <xf numFmtId="0" fontId="66" fillId="0" borderId="101" applyNumberFormat="0" applyFill="0" applyAlignment="0" applyProtection="0"/>
    <xf numFmtId="0" fontId="66" fillId="0" borderId="101" applyNumberFormat="0" applyFill="0" applyAlignment="0" applyProtection="0"/>
    <xf numFmtId="0" fontId="66" fillId="0" borderId="101" applyNumberFormat="0" applyFill="0" applyAlignment="0" applyProtection="0"/>
    <xf numFmtId="0" fontId="66" fillId="0" borderId="101" applyNumberFormat="0" applyFill="0" applyAlignment="0" applyProtection="0"/>
    <xf numFmtId="0" fontId="66" fillId="0" borderId="101" applyNumberFormat="0" applyFill="0" applyAlignment="0" applyProtection="0"/>
    <xf numFmtId="0" fontId="66" fillId="0" borderId="101" applyNumberFormat="0" applyFill="0" applyAlignment="0" applyProtection="0"/>
    <xf numFmtId="0" fontId="78" fillId="0" borderId="101" applyNumberFormat="0" applyFill="0" applyAlignment="0" applyProtection="0"/>
    <xf numFmtId="0" fontId="78" fillId="0" borderId="101" applyNumberFormat="0" applyFill="0" applyAlignment="0" applyProtection="0"/>
    <xf numFmtId="0" fontId="78" fillId="0" borderId="101" applyNumberFormat="0" applyFill="0" applyAlignment="0" applyProtection="0"/>
    <xf numFmtId="0" fontId="78" fillId="0" borderId="101" applyNumberFormat="0" applyFill="0" applyAlignment="0" applyProtection="0"/>
    <xf numFmtId="0" fontId="78" fillId="0" borderId="100" applyNumberFormat="0" applyFill="0" applyAlignment="0" applyProtection="0"/>
    <xf numFmtId="0" fontId="78" fillId="0" borderId="100" applyNumberFormat="0" applyFill="0" applyAlignment="0" applyProtection="0"/>
    <xf numFmtId="0" fontId="66" fillId="0" borderId="100" applyNumberFormat="0" applyFill="0" applyAlignment="0" applyProtection="0"/>
    <xf numFmtId="0" fontId="66" fillId="0" borderId="100" applyNumberFormat="0" applyFill="0" applyAlignment="0" applyProtection="0"/>
    <xf numFmtId="0" fontId="66" fillId="0" borderId="100" applyNumberFormat="0" applyFill="0" applyAlignment="0" applyProtection="0"/>
    <xf numFmtId="0" fontId="66" fillId="0" borderId="100" applyNumberFormat="0" applyFill="0" applyAlignment="0" applyProtection="0"/>
    <xf numFmtId="0" fontId="66" fillId="0" borderId="100" applyNumberFormat="0" applyFill="0" applyAlignment="0" applyProtection="0"/>
    <xf numFmtId="0" fontId="66" fillId="0" borderId="100" applyNumberFormat="0" applyFill="0" applyAlignment="0" applyProtection="0"/>
    <xf numFmtId="0" fontId="66" fillId="0" borderId="100" applyNumberFormat="0" applyFill="0" applyAlignment="0" applyProtection="0"/>
    <xf numFmtId="0" fontId="66" fillId="0" borderId="100" applyNumberFormat="0" applyFill="0" applyAlignment="0" applyProtection="0"/>
    <xf numFmtId="0" fontId="78" fillId="0" borderId="100" applyNumberFormat="0" applyFill="0" applyAlignment="0" applyProtection="0"/>
    <xf numFmtId="0" fontId="78" fillId="0" borderId="100" applyNumberFormat="0" applyFill="0" applyAlignment="0" applyProtection="0"/>
    <xf numFmtId="0" fontId="78" fillId="0" borderId="100" applyNumberFormat="0" applyFill="0" applyAlignment="0" applyProtection="0"/>
    <xf numFmtId="0" fontId="78" fillId="0" borderId="100" applyNumberFormat="0" applyFill="0" applyAlignment="0" applyProtection="0"/>
    <xf numFmtId="0" fontId="78" fillId="0" borderId="100" applyNumberFormat="0" applyFill="0" applyAlignment="0" applyProtection="0"/>
    <xf numFmtId="0" fontId="78" fillId="0" borderId="100" applyNumberFormat="0" applyFill="0" applyAlignment="0" applyProtection="0"/>
    <xf numFmtId="0" fontId="66" fillId="0" borderId="100" applyNumberFormat="0" applyFill="0" applyAlignment="0" applyProtection="0"/>
    <xf numFmtId="0" fontId="66" fillId="0" borderId="100" applyNumberFormat="0" applyFill="0" applyAlignment="0" applyProtection="0"/>
    <xf numFmtId="0" fontId="78" fillId="0" borderId="101" applyNumberFormat="0" applyFill="0" applyAlignment="0" applyProtection="0"/>
    <xf numFmtId="0" fontId="78" fillId="0" borderId="100" applyNumberFormat="0" applyFill="0" applyAlignment="0" applyProtection="0"/>
    <xf numFmtId="0" fontId="66" fillId="0" borderId="100" applyNumberFormat="0" applyFill="0" applyAlignment="0" applyProtection="0"/>
    <xf numFmtId="0" fontId="78" fillId="0" borderId="100" applyNumberFormat="0" applyFill="0" applyAlignment="0" applyProtection="0"/>
    <xf numFmtId="0" fontId="78" fillId="0" borderId="100" applyNumberFormat="0" applyFill="0" applyAlignment="0" applyProtection="0"/>
    <xf numFmtId="0" fontId="78" fillId="0" borderId="100" applyNumberFormat="0" applyFill="0" applyAlignment="0" applyProtection="0"/>
    <xf numFmtId="0" fontId="78" fillId="0" borderId="100" applyNumberFormat="0" applyFill="0" applyAlignment="0" applyProtection="0"/>
    <xf numFmtId="0" fontId="78" fillId="0" borderId="100" applyNumberFormat="0" applyFill="0" applyAlignment="0" applyProtection="0"/>
    <xf numFmtId="0" fontId="78" fillId="0" borderId="100" applyNumberFormat="0" applyFill="0" applyAlignment="0" applyProtection="0"/>
    <xf numFmtId="0" fontId="78" fillId="0" borderId="100" applyNumberFormat="0" applyFill="0" applyAlignment="0" applyProtection="0"/>
    <xf numFmtId="0" fontId="78" fillId="0" borderId="100" applyNumberFormat="0" applyFill="0" applyAlignment="0" applyProtection="0"/>
    <xf numFmtId="0" fontId="78" fillId="0" borderId="100" applyNumberFormat="0" applyFill="0" applyAlignment="0" applyProtection="0"/>
    <xf numFmtId="0" fontId="78" fillId="0" borderId="100" applyNumberFormat="0" applyFill="0" applyAlignment="0" applyProtection="0"/>
    <xf numFmtId="0" fontId="78" fillId="0" borderId="100" applyNumberFormat="0" applyFill="0" applyAlignment="0" applyProtection="0"/>
    <xf numFmtId="0" fontId="78" fillId="0" borderId="100" applyNumberFormat="0" applyFill="0" applyAlignment="0" applyProtection="0"/>
    <xf numFmtId="0" fontId="78" fillId="0" borderId="101" applyNumberFormat="0" applyFill="0" applyAlignment="0" applyProtection="0"/>
    <xf numFmtId="0" fontId="78" fillId="0" borderId="101" applyNumberFormat="0" applyFill="0" applyAlignment="0" applyProtection="0"/>
    <xf numFmtId="0" fontId="66" fillId="0" borderId="101" applyNumberFormat="0" applyFill="0" applyAlignment="0" applyProtection="0"/>
    <xf numFmtId="0" fontId="66" fillId="0" borderId="101" applyNumberFormat="0" applyFill="0" applyAlignment="0" applyProtection="0"/>
    <xf numFmtId="0" fontId="78" fillId="0" borderId="101" applyNumberFormat="0" applyFill="0" applyAlignment="0" applyProtection="0"/>
    <xf numFmtId="0" fontId="66" fillId="0" borderId="101" applyNumberFormat="0" applyFill="0" applyAlignment="0" applyProtection="0"/>
    <xf numFmtId="0" fontId="78" fillId="0" borderId="101" applyNumberFormat="0" applyFill="0" applyAlignment="0" applyProtection="0"/>
    <xf numFmtId="0" fontId="78" fillId="0" borderId="101" applyNumberFormat="0" applyFill="0" applyAlignment="0" applyProtection="0"/>
    <xf numFmtId="0" fontId="78" fillId="0" borderId="101" applyNumberFormat="0" applyFill="0" applyAlignment="0" applyProtection="0"/>
    <xf numFmtId="0" fontId="78" fillId="0" borderId="101" applyNumberFormat="0" applyFill="0" applyAlignment="0" applyProtection="0"/>
    <xf numFmtId="0" fontId="78" fillId="0" borderId="101" applyNumberFormat="0" applyFill="0" applyAlignment="0" applyProtection="0"/>
    <xf numFmtId="0" fontId="78" fillId="0" borderId="101" applyNumberFormat="0" applyFill="0" applyAlignment="0" applyProtection="0"/>
    <xf numFmtId="0" fontId="78" fillId="0" borderId="101" applyNumberFormat="0" applyFill="0" applyAlignment="0" applyProtection="0"/>
    <xf numFmtId="0" fontId="78" fillId="0" borderId="101" applyNumberFormat="0" applyFill="0" applyAlignment="0" applyProtection="0"/>
    <xf numFmtId="0" fontId="78" fillId="0" borderId="101" applyNumberFormat="0" applyFill="0" applyAlignment="0" applyProtection="0"/>
    <xf numFmtId="0" fontId="78" fillId="0" borderId="101" applyNumberFormat="0" applyFill="0" applyAlignment="0" applyProtection="0"/>
    <xf numFmtId="0" fontId="78" fillId="0" borderId="101" applyNumberFormat="0" applyFill="0" applyAlignment="0" applyProtection="0"/>
    <xf numFmtId="0" fontId="66" fillId="0" borderId="0"/>
    <xf numFmtId="0" fontId="66" fillId="0" borderId="0"/>
    <xf numFmtId="0" fontId="66" fillId="0" borderId="0"/>
    <xf numFmtId="0" fontId="66" fillId="0" borderId="0"/>
    <xf numFmtId="0" fontId="66" fillId="0" borderId="0"/>
    <xf numFmtId="0" fontId="66" fillId="0" borderId="0"/>
    <xf numFmtId="0" fontId="34" fillId="0" borderId="0"/>
    <xf numFmtId="197" fontId="2" fillId="0" borderId="0" applyFont="0" applyFill="0" applyBorder="0" applyAlignment="0" applyProtection="0"/>
    <xf numFmtId="0" fontId="2" fillId="0" borderId="0"/>
    <xf numFmtId="197" fontId="2" fillId="0" borderId="0" applyFont="0" applyFill="0" applyBorder="0" applyAlignment="0" applyProtection="0"/>
    <xf numFmtId="197" fontId="2" fillId="0" borderId="0" applyFont="0" applyFill="0" applyBorder="0" applyAlignment="0" applyProtection="0"/>
    <xf numFmtId="0" fontId="184" fillId="0" borderId="0"/>
    <xf numFmtId="0" fontId="33" fillId="0" borderId="0" applyFont="0" applyFill="0" applyBorder="0" applyAlignment="0" applyProtection="0"/>
    <xf numFmtId="0" fontId="33"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180" fontId="2" fillId="0" borderId="0" applyFont="0" applyFill="0" applyBorder="0" applyAlignment="0" applyProtection="0"/>
    <xf numFmtId="0" fontId="33" fillId="0" borderId="0"/>
    <xf numFmtId="0" fontId="34" fillId="34" borderId="0" applyNumberFormat="0" applyBorder="0" applyAlignment="0" applyProtection="0"/>
    <xf numFmtId="0" fontId="34" fillId="36" borderId="0" applyNumberFormat="0" applyBorder="0" applyAlignment="0" applyProtection="0"/>
    <xf numFmtId="0" fontId="34" fillId="38" borderId="0" applyNumberFormat="0" applyBorder="0" applyAlignment="0" applyProtection="0"/>
    <xf numFmtId="0" fontId="34" fillId="40" borderId="0" applyNumberFormat="0" applyBorder="0" applyAlignment="0" applyProtection="0"/>
    <xf numFmtId="0" fontId="34" fillId="42" borderId="0" applyNumberFormat="0" applyBorder="0" applyAlignment="0" applyProtection="0"/>
    <xf numFmtId="0" fontId="34" fillId="44" borderId="0" applyNumberFormat="0" applyBorder="0" applyAlignment="0" applyProtection="0"/>
    <xf numFmtId="192" fontId="185" fillId="33" borderId="0" applyNumberFormat="0" applyBorder="0" applyAlignment="0" applyProtection="0"/>
    <xf numFmtId="0" fontId="185" fillId="33" borderId="0" applyNumberFormat="0" applyBorder="0" applyAlignment="0" applyProtection="0"/>
    <xf numFmtId="192" fontId="185" fillId="33" borderId="0" applyNumberFormat="0" applyBorder="0" applyAlignment="0" applyProtection="0"/>
    <xf numFmtId="192" fontId="185" fillId="33" borderId="0" applyNumberFormat="0" applyBorder="0" applyAlignment="0" applyProtection="0"/>
    <xf numFmtId="192" fontId="185" fillId="33" borderId="0" applyNumberFormat="0" applyBorder="0" applyAlignment="0" applyProtection="0"/>
    <xf numFmtId="192" fontId="185" fillId="33" borderId="0" applyNumberFormat="0" applyBorder="0" applyAlignment="0" applyProtection="0"/>
    <xf numFmtId="192" fontId="185" fillId="33" borderId="0" applyNumberFormat="0" applyBorder="0" applyAlignment="0" applyProtection="0"/>
    <xf numFmtId="192" fontId="185" fillId="33" borderId="0" applyNumberFormat="0" applyBorder="0" applyAlignment="0" applyProtection="0"/>
    <xf numFmtId="192" fontId="185" fillId="33" borderId="0" applyNumberFormat="0" applyBorder="0" applyAlignment="0" applyProtection="0"/>
    <xf numFmtId="0" fontId="34" fillId="50" borderId="0" applyNumberFormat="0" applyBorder="0" applyAlignment="0" applyProtection="0"/>
    <xf numFmtId="0" fontId="34" fillId="52" borderId="0" applyNumberFormat="0" applyBorder="0" applyAlignment="0" applyProtection="0"/>
    <xf numFmtId="0" fontId="34" fillId="54" borderId="0" applyNumberFormat="0" applyBorder="0" applyAlignment="0" applyProtection="0"/>
    <xf numFmtId="0" fontId="34" fillId="40" borderId="0" applyNumberFormat="0" applyBorder="0" applyAlignment="0" applyProtection="0"/>
    <xf numFmtId="0" fontId="34" fillId="50" borderId="0" applyNumberFormat="0" applyBorder="0" applyAlignment="0" applyProtection="0"/>
    <xf numFmtId="0" fontId="34" fillId="56" borderId="0" applyNumberFormat="0" applyBorder="0" applyAlignment="0" applyProtection="0"/>
    <xf numFmtId="192" fontId="186" fillId="32" borderId="0" applyNumberFormat="0" applyBorder="0" applyAlignment="0" applyProtection="0"/>
    <xf numFmtId="192" fontId="187" fillId="77" borderId="39" applyNumberFormat="0" applyAlignment="0" applyProtection="0"/>
    <xf numFmtId="192" fontId="188" fillId="30" borderId="40" applyNumberFormat="0" applyAlignment="0" applyProtection="0"/>
    <xf numFmtId="183" fontId="33" fillId="0" borderId="0" applyFill="0" applyBorder="0" applyAlignment="0" applyProtection="0"/>
    <xf numFmtId="43" fontId="33" fillId="0" borderId="0" applyFont="0" applyFill="0" applyBorder="0" applyAlignment="0" applyProtection="0"/>
    <xf numFmtId="43" fontId="33" fillId="0" borderId="0" applyFont="0" applyFill="0" applyBorder="0" applyAlignment="0" applyProtection="0"/>
    <xf numFmtId="43" fontId="33" fillId="0" borderId="0" applyFont="0" applyFill="0" applyBorder="0" applyAlignment="0" applyProtection="0"/>
    <xf numFmtId="43" fontId="33" fillId="0" borderId="0" applyFont="0" applyFill="0" applyBorder="0" applyAlignment="0" applyProtection="0"/>
    <xf numFmtId="43" fontId="33" fillId="0" borderId="0" applyFont="0" applyFill="0" applyBorder="0" applyAlignment="0" applyProtection="0"/>
    <xf numFmtId="43" fontId="33" fillId="0" borderId="0" applyFont="0" applyFill="0" applyBorder="0" applyAlignment="0" applyProtection="0"/>
    <xf numFmtId="43" fontId="33" fillId="0" borderId="0" applyFont="0" applyFill="0" applyBorder="0" applyAlignment="0" applyProtection="0"/>
    <xf numFmtId="0" fontId="54" fillId="0" borderId="69">
      <alignment horizontal="left" vertical="center"/>
    </xf>
    <xf numFmtId="0" fontId="54" fillId="0" borderId="69">
      <alignment horizontal="left" vertical="center"/>
    </xf>
    <xf numFmtId="10" fontId="52" fillId="82" borderId="66" applyNumberFormat="0" applyBorder="0" applyAlignment="0" applyProtection="0"/>
    <xf numFmtId="10" fontId="52" fillId="82" borderId="66" applyNumberFormat="0" applyBorder="0" applyAlignment="0" applyProtection="0"/>
    <xf numFmtId="192" fontId="190" fillId="28" borderId="0" applyBorder="0" applyAlignment="0" applyProtection="0"/>
    <xf numFmtId="0" fontId="185" fillId="0" borderId="0"/>
    <xf numFmtId="0" fontId="185" fillId="0" borderId="0"/>
    <xf numFmtId="0" fontId="185" fillId="0" borderId="0"/>
    <xf numFmtId="0" fontId="185" fillId="0" borderId="0"/>
    <xf numFmtId="0" fontId="185" fillId="0" borderId="0"/>
    <xf numFmtId="0" fontId="185" fillId="0" borderId="0"/>
    <xf numFmtId="0" fontId="185" fillId="0" borderId="0"/>
    <xf numFmtId="0" fontId="185" fillId="0" borderId="0"/>
    <xf numFmtId="0" fontId="185" fillId="0" borderId="0"/>
    <xf numFmtId="0" fontId="185" fillId="0" borderId="0"/>
    <xf numFmtId="0" fontId="185" fillId="0" borderId="0"/>
    <xf numFmtId="0" fontId="185" fillId="0" borderId="0"/>
    <xf numFmtId="0" fontId="185" fillId="0" borderId="0"/>
    <xf numFmtId="0" fontId="185" fillId="0" borderId="0"/>
    <xf numFmtId="0" fontId="185" fillId="0" borderId="0"/>
    <xf numFmtId="0" fontId="185" fillId="0" borderId="0"/>
    <xf numFmtId="0" fontId="185" fillId="0" borderId="0"/>
    <xf numFmtId="0" fontId="185" fillId="0" borderId="0"/>
    <xf numFmtId="0" fontId="185" fillId="0" borderId="0"/>
    <xf numFmtId="0" fontId="185" fillId="0" borderId="0"/>
    <xf numFmtId="0" fontId="185" fillId="0" borderId="0"/>
    <xf numFmtId="0" fontId="185" fillId="0" borderId="0"/>
    <xf numFmtId="0" fontId="185" fillId="0" borderId="0"/>
    <xf numFmtId="0" fontId="185" fillId="0" borderId="0"/>
    <xf numFmtId="0" fontId="185" fillId="0" borderId="0"/>
    <xf numFmtId="0" fontId="185" fillId="0" borderId="0"/>
    <xf numFmtId="0" fontId="185" fillId="0" borderId="0"/>
    <xf numFmtId="0" fontId="185" fillId="0" borderId="0"/>
    <xf numFmtId="0" fontId="185" fillId="0" borderId="0"/>
    <xf numFmtId="0" fontId="185" fillId="0" borderId="0"/>
    <xf numFmtId="0" fontId="185" fillId="0" borderId="0"/>
    <xf numFmtId="0" fontId="185" fillId="0" borderId="0"/>
    <xf numFmtId="0" fontId="185" fillId="0" borderId="0"/>
    <xf numFmtId="0" fontId="185" fillId="0" borderId="0"/>
    <xf numFmtId="0" fontId="185" fillId="0" borderId="0"/>
    <xf numFmtId="0" fontId="185" fillId="0" borderId="0"/>
    <xf numFmtId="0" fontId="185" fillId="0" borderId="0"/>
    <xf numFmtId="0" fontId="185" fillId="0" borderId="0"/>
    <xf numFmtId="0" fontId="185" fillId="0" borderId="0"/>
    <xf numFmtId="0" fontId="185" fillId="0" borderId="0"/>
    <xf numFmtId="0" fontId="185" fillId="0" borderId="0"/>
    <xf numFmtId="0" fontId="185" fillId="0" borderId="0"/>
    <xf numFmtId="0" fontId="185" fillId="0" borderId="0"/>
    <xf numFmtId="0" fontId="185" fillId="0" borderId="0"/>
    <xf numFmtId="0" fontId="185" fillId="0" borderId="0"/>
    <xf numFmtId="0" fontId="185" fillId="0" borderId="0"/>
    <xf numFmtId="0" fontId="185" fillId="0" borderId="0"/>
    <xf numFmtId="0" fontId="185" fillId="0" borderId="0"/>
    <xf numFmtId="0" fontId="185" fillId="0" borderId="0"/>
    <xf numFmtId="0" fontId="33" fillId="85" borderId="61" applyNumberFormat="0" applyAlignment="0" applyProtection="0"/>
    <xf numFmtId="0" fontId="33" fillId="85" borderId="61" applyNumberFormat="0" applyAlignment="0" applyProtection="0"/>
    <xf numFmtId="0" fontId="33" fillId="86" borderId="61" applyNumberFormat="0" applyFont="0" applyAlignment="0" applyProtection="0"/>
    <xf numFmtId="0" fontId="33" fillId="85" borderId="61" applyNumberFormat="0" applyAlignment="0" applyProtection="0"/>
    <xf numFmtId="0" fontId="33" fillId="85" borderId="61" applyNumberFormat="0" applyAlignment="0" applyProtection="0"/>
    <xf numFmtId="0" fontId="33" fillId="86" borderId="61" applyNumberFormat="0" applyFont="0" applyAlignment="0" applyProtection="0"/>
    <xf numFmtId="0" fontId="33" fillId="86" borderId="61" applyNumberFormat="0" applyFont="0" applyAlignment="0" applyProtection="0"/>
    <xf numFmtId="0" fontId="33" fillId="85" borderId="61" applyNumberFormat="0" applyAlignment="0" applyProtection="0"/>
    <xf numFmtId="0" fontId="33" fillId="85" borderId="61" applyNumberFormat="0" applyAlignment="0" applyProtection="0"/>
    <xf numFmtId="0" fontId="33" fillId="85" borderId="61" applyNumberFormat="0" applyAlignment="0" applyProtection="0"/>
    <xf numFmtId="0" fontId="33" fillId="85" borderId="61" applyNumberFormat="0" applyAlignment="0" applyProtection="0"/>
    <xf numFmtId="0" fontId="33" fillId="85" borderId="61" applyNumberFormat="0" applyAlignment="0" applyProtection="0"/>
    <xf numFmtId="0" fontId="33" fillId="86" borderId="61" applyNumberFormat="0" applyFont="0" applyAlignment="0" applyProtection="0"/>
    <xf numFmtId="0" fontId="33" fillId="85" borderId="61" applyNumberFormat="0" applyAlignment="0" applyProtection="0"/>
    <xf numFmtId="0" fontId="33" fillId="86" borderId="61" applyNumberFormat="0" applyFont="0" applyAlignment="0" applyProtection="0"/>
    <xf numFmtId="0" fontId="33" fillId="85" borderId="61" applyNumberFormat="0" applyAlignment="0" applyProtection="0"/>
    <xf numFmtId="0" fontId="33" fillId="85" borderId="61" applyNumberFormat="0" applyAlignment="0" applyProtection="0"/>
    <xf numFmtId="0" fontId="33" fillId="85" borderId="61" applyNumberFormat="0" applyAlignment="0" applyProtection="0"/>
    <xf numFmtId="0" fontId="33" fillId="86" borderId="61" applyNumberFormat="0" applyFont="0" applyAlignment="0" applyProtection="0"/>
    <xf numFmtId="0" fontId="33" fillId="85" borderId="61" applyNumberFormat="0" applyAlignment="0" applyProtection="0"/>
    <xf numFmtId="0" fontId="33" fillId="86" borderId="61" applyNumberFormat="0" applyFont="0" applyAlignment="0" applyProtection="0"/>
    <xf numFmtId="0" fontId="33" fillId="85" borderId="61" applyNumberFormat="0" applyAlignment="0" applyProtection="0"/>
    <xf numFmtId="0" fontId="33" fillId="86" borderId="61" applyNumberFormat="0" applyFont="0" applyAlignment="0" applyProtection="0"/>
    <xf numFmtId="0" fontId="33" fillId="85" borderId="61" applyNumberFormat="0" applyAlignment="0" applyProtection="0"/>
    <xf numFmtId="0" fontId="33" fillId="86" borderId="61" applyNumberFormat="0" applyFont="0" applyAlignment="0" applyProtection="0"/>
    <xf numFmtId="0" fontId="33" fillId="86" borderId="61" applyNumberFormat="0" applyFont="0" applyAlignment="0" applyProtection="0"/>
    <xf numFmtId="0" fontId="33" fillId="86" borderId="61" applyNumberFormat="0" applyFont="0" applyAlignment="0" applyProtection="0"/>
    <xf numFmtId="0" fontId="33" fillId="86" borderId="61" applyNumberFormat="0" applyFont="0" applyAlignment="0" applyProtection="0"/>
    <xf numFmtId="0" fontId="33" fillId="86" borderId="61" applyNumberFormat="0" applyFont="0" applyAlignment="0" applyProtection="0"/>
    <xf numFmtId="192" fontId="185" fillId="89" borderId="0" applyBorder="0" applyAlignment="0" applyProtection="0"/>
    <xf numFmtId="192" fontId="185" fillId="89" borderId="0" applyBorder="0" applyAlignment="0" applyProtection="0"/>
    <xf numFmtId="192" fontId="189" fillId="27" borderId="0" applyBorder="0" applyAlignment="0" applyProtection="0"/>
    <xf numFmtId="0" fontId="48" fillId="75" borderId="63" applyNumberFormat="0" applyAlignment="0" applyProtection="0"/>
    <xf numFmtId="0" fontId="48" fillId="76" borderId="63" applyNumberFormat="0" applyAlignment="0" applyProtection="0"/>
    <xf numFmtId="0" fontId="48" fillId="76" borderId="63" applyNumberFormat="0" applyAlignment="0" applyProtection="0"/>
    <xf numFmtId="0" fontId="48" fillId="76" borderId="63" applyNumberFormat="0" applyAlignment="0" applyProtection="0"/>
    <xf numFmtId="0" fontId="48" fillId="75" borderId="63" applyNumberFormat="0" applyAlignment="0" applyProtection="0"/>
    <xf numFmtId="0" fontId="48" fillId="76" borderId="63" applyNumberFormat="0" applyAlignment="0" applyProtection="0"/>
    <xf numFmtId="0" fontId="48" fillId="76" borderId="63" applyNumberFormat="0" applyAlignment="0" applyProtection="0"/>
    <xf numFmtId="0" fontId="48" fillId="75" borderId="63" applyNumberFormat="0" applyAlignment="0" applyProtection="0"/>
    <xf numFmtId="0" fontId="48" fillId="76" borderId="63" applyNumberFormat="0" applyAlignment="0" applyProtection="0"/>
    <xf numFmtId="0" fontId="48" fillId="76" borderId="63" applyNumberFormat="0" applyAlignment="0" applyProtection="0"/>
    <xf numFmtId="0" fontId="48" fillId="75" borderId="63" applyNumberFormat="0" applyAlignment="0" applyProtection="0"/>
    <xf numFmtId="0" fontId="48" fillId="75" borderId="63" applyNumberFormat="0" applyAlignment="0" applyProtection="0"/>
    <xf numFmtId="0" fontId="48" fillId="75" borderId="63" applyNumberFormat="0" applyAlignment="0" applyProtection="0"/>
    <xf numFmtId="0" fontId="48" fillId="75" borderId="63" applyNumberFormat="0" applyAlignment="0" applyProtection="0"/>
    <xf numFmtId="9" fontId="33" fillId="0" borderId="0" applyFill="0" applyBorder="0" applyAlignment="0" applyProtection="0"/>
    <xf numFmtId="0" fontId="48" fillId="78" borderId="63" applyNumberFormat="0" applyAlignment="0" applyProtection="0"/>
    <xf numFmtId="0" fontId="48" fillId="78" borderId="63" applyNumberFormat="0" applyAlignment="0" applyProtection="0"/>
    <xf numFmtId="0" fontId="48" fillId="78" borderId="63" applyNumberFormat="0" applyAlignment="0" applyProtection="0"/>
    <xf numFmtId="0" fontId="48" fillId="75" borderId="63" applyNumberFormat="0" applyAlignment="0" applyProtection="0"/>
    <xf numFmtId="192" fontId="191" fillId="29" borderId="0" applyBorder="0" applyAlignment="0" applyProtection="0"/>
    <xf numFmtId="0" fontId="191" fillId="29" borderId="0" applyBorder="0" applyAlignment="0" applyProtection="0"/>
    <xf numFmtId="0" fontId="33" fillId="0" borderId="0"/>
    <xf numFmtId="0" fontId="34" fillId="34" borderId="0" applyNumberFormat="0" applyBorder="0" applyAlignment="0" applyProtection="0"/>
    <xf numFmtId="0" fontId="34" fillId="36" borderId="0" applyNumberFormat="0" applyBorder="0" applyAlignment="0" applyProtection="0"/>
    <xf numFmtId="0" fontId="34" fillId="38" borderId="0" applyNumberFormat="0" applyBorder="0" applyAlignment="0" applyProtection="0"/>
    <xf numFmtId="0" fontId="34" fillId="40" borderId="0" applyNumberFormat="0" applyBorder="0" applyAlignment="0" applyProtection="0"/>
    <xf numFmtId="0" fontId="34" fillId="42" borderId="0" applyNumberFormat="0" applyBorder="0" applyAlignment="0" applyProtection="0"/>
    <xf numFmtId="0" fontId="34" fillId="44" borderId="0" applyNumberFormat="0" applyBorder="0" applyAlignment="0" applyProtection="0"/>
    <xf numFmtId="0" fontId="34" fillId="50" borderId="0" applyNumberFormat="0" applyBorder="0" applyAlignment="0" applyProtection="0"/>
    <xf numFmtId="0" fontId="34" fillId="52" borderId="0" applyNumberFormat="0" applyBorder="0" applyAlignment="0" applyProtection="0"/>
    <xf numFmtId="0" fontId="34" fillId="54" borderId="0" applyNumberFormat="0" applyBorder="0" applyAlignment="0" applyProtection="0"/>
    <xf numFmtId="0" fontId="34" fillId="40" borderId="0" applyNumberFormat="0" applyBorder="0" applyAlignment="0" applyProtection="0"/>
    <xf numFmtId="0" fontId="34" fillId="50" borderId="0" applyNumberFormat="0" applyBorder="0" applyAlignment="0" applyProtection="0"/>
    <xf numFmtId="0" fontId="34" fillId="56" borderId="0" applyNumberFormat="0" applyBorder="0" applyAlignment="0" applyProtection="0"/>
    <xf numFmtId="183" fontId="33" fillId="0" borderId="0" applyFill="0" applyBorder="0" applyAlignment="0" applyProtection="0"/>
    <xf numFmtId="43" fontId="33" fillId="0" borderId="0" applyFont="0" applyFill="0" applyBorder="0" applyAlignment="0" applyProtection="0"/>
    <xf numFmtId="43" fontId="33" fillId="0" borderId="0" applyFont="0" applyFill="0" applyBorder="0" applyAlignment="0" applyProtection="0"/>
    <xf numFmtId="43" fontId="33" fillId="0" borderId="0" applyFont="0" applyFill="0" applyBorder="0" applyAlignment="0" applyProtection="0"/>
    <xf numFmtId="43" fontId="33" fillId="0" borderId="0" applyFont="0" applyFill="0" applyBorder="0" applyAlignment="0" applyProtection="0"/>
    <xf numFmtId="43" fontId="33" fillId="0" borderId="0" applyFont="0" applyFill="0" applyBorder="0" applyAlignment="0" applyProtection="0"/>
    <xf numFmtId="43" fontId="33" fillId="0" borderId="0" applyFont="0" applyFill="0" applyBorder="0" applyAlignment="0" applyProtection="0"/>
    <xf numFmtId="43" fontId="33" fillId="0" borderId="0" applyFont="0" applyFill="0" applyBorder="0" applyAlignment="0" applyProtection="0"/>
    <xf numFmtId="0" fontId="48" fillId="75" borderId="110" applyNumberFormat="0" applyAlignment="0" applyProtection="0"/>
    <xf numFmtId="0" fontId="48" fillId="76" borderId="110" applyNumberFormat="0" applyAlignment="0" applyProtection="0"/>
    <xf numFmtId="0" fontId="48" fillId="76" borderId="110" applyNumberFormat="0" applyAlignment="0" applyProtection="0"/>
    <xf numFmtId="0" fontId="48" fillId="76" borderId="110" applyNumberFormat="0" applyAlignment="0" applyProtection="0"/>
    <xf numFmtId="0" fontId="48" fillId="75" borderId="110" applyNumberFormat="0" applyAlignment="0" applyProtection="0"/>
    <xf numFmtId="0" fontId="48" fillId="76" borderId="110" applyNumberFormat="0" applyAlignment="0" applyProtection="0"/>
    <xf numFmtId="0" fontId="48" fillId="76" borderId="110" applyNumberFormat="0" applyAlignment="0" applyProtection="0"/>
    <xf numFmtId="0" fontId="48" fillId="75" borderId="110" applyNumberFormat="0" applyAlignment="0" applyProtection="0"/>
    <xf numFmtId="0" fontId="48" fillId="76" borderId="110" applyNumberFormat="0" applyAlignment="0" applyProtection="0"/>
    <xf numFmtId="0" fontId="48" fillId="76" borderId="110" applyNumberFormat="0" applyAlignment="0" applyProtection="0"/>
    <xf numFmtId="0" fontId="48" fillId="75" borderId="110" applyNumberFormat="0" applyAlignment="0" applyProtection="0"/>
    <xf numFmtId="0" fontId="48" fillId="75" borderId="110" applyNumberFormat="0" applyAlignment="0" applyProtection="0"/>
    <xf numFmtId="0" fontId="48" fillId="75" borderId="110" applyNumberFormat="0" applyAlignment="0" applyProtection="0"/>
    <xf numFmtId="0" fontId="48" fillId="75" borderId="110" applyNumberFormat="0" applyAlignment="0" applyProtection="0"/>
    <xf numFmtId="9" fontId="33" fillId="0" borderId="0" applyFill="0" applyBorder="0" applyAlignment="0" applyProtection="0"/>
    <xf numFmtId="0" fontId="48" fillId="78" borderId="110" applyNumberFormat="0" applyAlignment="0" applyProtection="0"/>
    <xf numFmtId="0" fontId="48" fillId="78" borderId="110" applyNumberFormat="0" applyAlignment="0" applyProtection="0"/>
    <xf numFmtId="0" fontId="48" fillId="78" borderId="110" applyNumberFormat="0" applyAlignment="0" applyProtection="0"/>
    <xf numFmtId="0" fontId="48" fillId="75" borderId="110" applyNumberFormat="0" applyAlignment="0" applyProtection="0"/>
    <xf numFmtId="0" fontId="50" fillId="0" borderId="111" applyNumberFormat="0" applyFill="0" applyAlignment="0" applyProtection="0"/>
    <xf numFmtId="0" fontId="50" fillId="0" borderId="111" applyNumberFormat="0" applyFill="0" applyAlignment="0" applyProtection="0"/>
    <xf numFmtId="0" fontId="50" fillId="0" borderId="111" applyNumberFormat="0" applyFill="0" applyAlignment="0" applyProtection="0"/>
    <xf numFmtId="0" fontId="50" fillId="0" borderId="111" applyNumberFormat="0" applyFill="0" applyAlignment="0" applyProtection="0"/>
    <xf numFmtId="0" fontId="50" fillId="0" borderId="111" applyNumberFormat="0" applyFill="0" applyAlignment="0" applyProtection="0"/>
    <xf numFmtId="0" fontId="74" fillId="92" borderId="155" applyNumberFormat="0" applyAlignment="0" applyProtection="0"/>
    <xf numFmtId="0" fontId="66" fillId="86" borderId="134" applyNumberFormat="0" applyFont="0" applyAlignment="0" applyProtection="0"/>
    <xf numFmtId="0" fontId="66" fillId="86" borderId="154" applyNumberFormat="0" applyFont="0" applyAlignment="0" applyProtection="0"/>
    <xf numFmtId="0" fontId="66" fillId="86" borderId="154" applyNumberFormat="0" applyFont="0" applyAlignment="0" applyProtection="0"/>
    <xf numFmtId="0" fontId="66" fillId="92" borderId="147" applyNumberFormat="0" applyAlignment="0" applyProtection="0"/>
    <xf numFmtId="0" fontId="66" fillId="86" borderId="154" applyNumberFormat="0" applyFont="0" applyAlignment="0" applyProtection="0"/>
    <xf numFmtId="0" fontId="74" fillId="75" borderId="147" applyNumberFormat="0" applyAlignment="0" applyProtection="0"/>
    <xf numFmtId="0" fontId="78" fillId="0" borderId="152" applyNumberFormat="0" applyFill="0" applyAlignment="0" applyProtection="0"/>
    <xf numFmtId="0" fontId="78" fillId="0" borderId="149" applyNumberFormat="0" applyFill="0" applyAlignment="0" applyProtection="0"/>
    <xf numFmtId="0" fontId="78" fillId="0" borderId="149" applyNumberFormat="0" applyFill="0" applyAlignment="0" applyProtection="0"/>
    <xf numFmtId="0" fontId="78" fillId="0" borderId="149" applyNumberFormat="0" applyFill="0" applyAlignment="0" applyProtection="0"/>
    <xf numFmtId="0" fontId="78" fillId="0" borderId="149" applyNumberFormat="0" applyFill="0" applyAlignment="0" applyProtection="0"/>
    <xf numFmtId="0" fontId="78" fillId="0" borderId="149" applyNumberFormat="0" applyFill="0" applyAlignment="0" applyProtection="0"/>
    <xf numFmtId="0" fontId="78" fillId="0" borderId="149" applyNumberFormat="0" applyFill="0" applyAlignment="0" applyProtection="0"/>
    <xf numFmtId="0" fontId="78" fillId="0" borderId="149" applyNumberFormat="0" applyFill="0" applyAlignment="0" applyProtection="0"/>
    <xf numFmtId="0" fontId="66" fillId="0" borderId="149" applyNumberFormat="0" applyFill="0" applyAlignment="0" applyProtection="0"/>
    <xf numFmtId="0" fontId="66" fillId="0" borderId="149" applyNumberFormat="0" applyFill="0" applyAlignment="0" applyProtection="0"/>
    <xf numFmtId="0" fontId="78" fillId="0" borderId="149" applyNumberFormat="0" applyFill="0" applyAlignment="0" applyProtection="0"/>
    <xf numFmtId="0" fontId="78" fillId="0" borderId="149" applyNumberFormat="0" applyFill="0" applyAlignment="0" applyProtection="0"/>
    <xf numFmtId="0" fontId="78" fillId="0" borderId="152" applyNumberFormat="0" applyFill="0" applyAlignment="0" applyProtection="0"/>
    <xf numFmtId="0" fontId="78" fillId="0" borderId="152" applyNumberFormat="0" applyFill="0" applyAlignment="0" applyProtection="0"/>
    <xf numFmtId="0" fontId="78" fillId="0" borderId="152" applyNumberFormat="0" applyFill="0" applyAlignment="0" applyProtection="0"/>
    <xf numFmtId="0" fontId="78" fillId="0" borderId="152" applyNumberFormat="0" applyFill="0" applyAlignment="0" applyProtection="0"/>
    <xf numFmtId="0" fontId="78" fillId="0" borderId="152" applyNumberFormat="0" applyFill="0" applyAlignment="0" applyProtection="0"/>
    <xf numFmtId="0" fontId="78" fillId="0" borderId="152" applyNumberFormat="0" applyFill="0" applyAlignment="0" applyProtection="0"/>
    <xf numFmtId="0" fontId="78" fillId="0" borderId="152" applyNumberFormat="0" applyFill="0" applyAlignment="0" applyProtection="0"/>
    <xf numFmtId="0" fontId="78" fillId="0" borderId="152" applyNumberFormat="0" applyFill="0" applyAlignment="0" applyProtection="0"/>
    <xf numFmtId="0" fontId="78" fillId="0" borderId="152" applyNumberFormat="0" applyFill="0" applyAlignment="0" applyProtection="0"/>
    <xf numFmtId="0" fontId="78" fillId="0" borderId="152" applyNumberFormat="0" applyFill="0" applyAlignment="0" applyProtection="0"/>
    <xf numFmtId="0" fontId="78" fillId="0" borderId="152" applyNumberFormat="0" applyFill="0" applyAlignment="0" applyProtection="0"/>
    <xf numFmtId="0" fontId="78" fillId="0" borderId="149" applyNumberFormat="0" applyFill="0" applyAlignment="0" applyProtection="0"/>
    <xf numFmtId="0" fontId="78" fillId="0" borderId="152" applyNumberFormat="0" applyFill="0" applyAlignment="0" applyProtection="0"/>
    <xf numFmtId="0" fontId="78" fillId="0" borderId="149" applyNumberFormat="0" applyFill="0" applyAlignment="0" applyProtection="0"/>
    <xf numFmtId="0" fontId="66" fillId="0" borderId="152" applyNumberFormat="0" applyFill="0" applyAlignment="0" applyProtection="0"/>
    <xf numFmtId="0" fontId="66" fillId="0" borderId="152" applyNumberFormat="0" applyFill="0" applyAlignment="0" applyProtection="0"/>
    <xf numFmtId="0" fontId="66" fillId="0" borderId="152" applyNumberFormat="0" applyFill="0" applyAlignment="0" applyProtection="0"/>
    <xf numFmtId="0" fontId="66" fillId="0" borderId="152" applyNumberFormat="0" applyFill="0" applyAlignment="0" applyProtection="0"/>
    <xf numFmtId="0" fontId="66" fillId="0" borderId="152" applyNumberFormat="0" applyFill="0" applyAlignment="0" applyProtection="0"/>
    <xf numFmtId="0" fontId="66" fillId="0" borderId="152" applyNumberFormat="0" applyFill="0" applyAlignment="0" applyProtection="0"/>
    <xf numFmtId="0" fontId="78" fillId="0" borderId="152" applyNumberFormat="0" applyFill="0" applyAlignment="0" applyProtection="0"/>
    <xf numFmtId="0" fontId="78" fillId="0" borderId="152" applyNumberFormat="0" applyFill="0" applyAlignment="0" applyProtection="0"/>
    <xf numFmtId="0" fontId="78" fillId="0" borderId="149" applyNumberFormat="0" applyFill="0" applyAlignment="0" applyProtection="0"/>
    <xf numFmtId="0" fontId="78" fillId="0" borderId="149" applyNumberFormat="0" applyFill="0" applyAlignment="0" applyProtection="0"/>
    <xf numFmtId="0" fontId="66" fillId="0" borderId="149" applyNumberFormat="0" applyFill="0" applyAlignment="0" applyProtection="0"/>
    <xf numFmtId="0" fontId="66" fillId="0" borderId="149" applyNumberFormat="0" applyFill="0" applyAlignment="0" applyProtection="0"/>
    <xf numFmtId="0" fontId="66" fillId="0" borderId="149" applyNumberFormat="0" applyFill="0" applyAlignment="0" applyProtection="0"/>
    <xf numFmtId="0" fontId="66" fillId="0" borderId="149" applyNumberFormat="0" applyFill="0" applyAlignment="0" applyProtection="0"/>
    <xf numFmtId="0" fontId="66" fillId="0" borderId="149" applyNumberFormat="0" applyFill="0" applyAlignment="0" applyProtection="0"/>
    <xf numFmtId="0" fontId="66" fillId="0" borderId="149" applyNumberFormat="0" applyFill="0" applyAlignment="0" applyProtection="0"/>
    <xf numFmtId="0" fontId="66" fillId="0" borderId="149" applyNumberFormat="0" applyFill="0" applyAlignment="0" applyProtection="0"/>
    <xf numFmtId="0" fontId="66" fillId="0" borderId="149" applyNumberFormat="0" applyFill="0" applyAlignment="0" applyProtection="0"/>
    <xf numFmtId="0" fontId="78" fillId="0" borderId="149" applyNumberFormat="0" applyFill="0" applyAlignment="0" applyProtection="0"/>
    <xf numFmtId="0" fontId="78" fillId="0" borderId="149" applyNumberFormat="0" applyFill="0" applyAlignment="0" applyProtection="0"/>
    <xf numFmtId="0" fontId="78" fillId="0" borderId="149" applyNumberFormat="0" applyFill="0" applyAlignment="0" applyProtection="0"/>
    <xf numFmtId="0" fontId="78" fillId="0" borderId="149" applyNumberFormat="0" applyFill="0" applyAlignment="0" applyProtection="0"/>
    <xf numFmtId="0" fontId="78" fillId="0" borderId="149" applyNumberFormat="0" applyFill="0" applyAlignment="0" applyProtection="0"/>
    <xf numFmtId="0" fontId="73" fillId="92" borderId="148" applyNumberFormat="0" applyAlignment="0" applyProtection="0"/>
    <xf numFmtId="0" fontId="78" fillId="0" borderId="149" applyNumberFormat="0" applyFill="0" applyAlignment="0" applyProtection="0"/>
    <xf numFmtId="0" fontId="73" fillId="75" borderId="148" applyNumberFormat="0" applyAlignment="0" applyProtection="0"/>
    <xf numFmtId="0" fontId="73" fillId="75" borderId="148" applyNumberFormat="0" applyAlignment="0" applyProtection="0"/>
    <xf numFmtId="0" fontId="73" fillId="75" borderId="148" applyNumberFormat="0" applyAlignment="0" applyProtection="0"/>
    <xf numFmtId="0" fontId="66" fillId="75" borderId="148" applyNumberFormat="0" applyAlignment="0" applyProtection="0"/>
    <xf numFmtId="0" fontId="66" fillId="75" borderId="148" applyNumberFormat="0" applyAlignment="0" applyProtection="0"/>
    <xf numFmtId="0" fontId="73" fillId="75" borderId="148" applyNumberFormat="0" applyAlignment="0" applyProtection="0"/>
    <xf numFmtId="0" fontId="73" fillId="75" borderId="148" applyNumberFormat="0" applyAlignment="0" applyProtection="0"/>
    <xf numFmtId="0" fontId="73" fillId="92" borderId="148" applyNumberFormat="0" applyAlignment="0" applyProtection="0"/>
    <xf numFmtId="0" fontId="73" fillId="92" borderId="148" applyNumberFormat="0" applyAlignment="0" applyProtection="0"/>
    <xf numFmtId="0" fontId="73" fillId="92" borderId="148" applyNumberFormat="0" applyAlignment="0" applyProtection="0"/>
    <xf numFmtId="0" fontId="73" fillId="92" borderId="148" applyNumberFormat="0" applyAlignment="0" applyProtection="0"/>
    <xf numFmtId="0" fontId="73" fillId="92" borderId="148" applyNumberFormat="0" applyAlignment="0" applyProtection="0"/>
    <xf numFmtId="0" fontId="73" fillId="92" borderId="148" applyNumberFormat="0" applyAlignment="0" applyProtection="0"/>
    <xf numFmtId="0" fontId="73" fillId="92" borderId="148" applyNumberFormat="0" applyAlignment="0" applyProtection="0"/>
    <xf numFmtId="0" fontId="73" fillId="92" borderId="148" applyNumberFormat="0" applyAlignment="0" applyProtection="0"/>
    <xf numFmtId="0" fontId="73" fillId="92" borderId="148" applyNumberFormat="0" applyAlignment="0" applyProtection="0"/>
    <xf numFmtId="0" fontId="73" fillId="92" borderId="148" applyNumberFormat="0" applyAlignment="0" applyProtection="0"/>
    <xf numFmtId="0" fontId="66" fillId="92" borderId="148" applyNumberFormat="0" applyAlignment="0" applyProtection="0"/>
    <xf numFmtId="0" fontId="73" fillId="92" borderId="148" applyNumberFormat="0" applyAlignment="0" applyProtection="0"/>
    <xf numFmtId="0" fontId="73" fillId="75" borderId="148" applyNumberFormat="0" applyAlignment="0" applyProtection="0"/>
    <xf numFmtId="0" fontId="66" fillId="92" borderId="148" applyNumberFormat="0" applyAlignment="0" applyProtection="0"/>
    <xf numFmtId="0" fontId="66" fillId="92" borderId="148" applyNumberFormat="0" applyAlignment="0" applyProtection="0"/>
    <xf numFmtId="0" fontId="73" fillId="92" borderId="148" applyNumberFormat="0" applyAlignment="0" applyProtection="0"/>
    <xf numFmtId="0" fontId="73" fillId="92" borderId="148" applyNumberFormat="0" applyAlignment="0" applyProtection="0"/>
    <xf numFmtId="0" fontId="66" fillId="92" borderId="148" applyNumberFormat="0" applyAlignment="0" applyProtection="0"/>
    <xf numFmtId="0" fontId="73" fillId="92" borderId="148" applyNumberFormat="0" applyAlignment="0" applyProtection="0"/>
    <xf numFmtId="0" fontId="73" fillId="92" borderId="148" applyNumberFormat="0" applyAlignment="0" applyProtection="0"/>
    <xf numFmtId="0" fontId="66" fillId="92" borderId="148" applyNumberFormat="0" applyAlignment="0" applyProtection="0"/>
    <xf numFmtId="0" fontId="73" fillId="75" borderId="148" applyNumberFormat="0" applyAlignment="0" applyProtection="0"/>
    <xf numFmtId="0" fontId="73" fillId="75" borderId="148" applyNumberFormat="0" applyAlignment="0" applyProtection="0"/>
    <xf numFmtId="0" fontId="73" fillId="75" borderId="148" applyNumberFormat="0" applyAlignment="0" applyProtection="0"/>
    <xf numFmtId="0" fontId="66" fillId="75" borderId="148" applyNumberFormat="0" applyAlignment="0" applyProtection="0"/>
    <xf numFmtId="0" fontId="66" fillId="75" borderId="148" applyNumberFormat="0" applyAlignment="0" applyProtection="0"/>
    <xf numFmtId="0" fontId="66" fillId="75" borderId="148" applyNumberFormat="0" applyAlignment="0" applyProtection="0"/>
    <xf numFmtId="0" fontId="66" fillId="75" borderId="148" applyNumberFormat="0" applyAlignment="0" applyProtection="0"/>
    <xf numFmtId="0" fontId="66" fillId="75" borderId="148" applyNumberFormat="0" applyAlignment="0" applyProtection="0"/>
    <xf numFmtId="0" fontId="66" fillId="75" borderId="148" applyNumberFormat="0" applyAlignment="0" applyProtection="0"/>
    <xf numFmtId="0" fontId="73" fillId="75" borderId="148" applyNumberFormat="0" applyAlignment="0" applyProtection="0"/>
    <xf numFmtId="0" fontId="73" fillId="75" borderId="148" applyNumberFormat="0" applyAlignment="0" applyProtection="0"/>
    <xf numFmtId="0" fontId="73" fillId="75" borderId="148" applyNumberFormat="0" applyAlignment="0" applyProtection="0"/>
    <xf numFmtId="0" fontId="73" fillId="75" borderId="148" applyNumberFormat="0" applyAlignment="0" applyProtection="0"/>
    <xf numFmtId="0" fontId="78" fillId="0" borderId="149" applyNumberFormat="0" applyFill="0" applyAlignment="0" applyProtection="0"/>
    <xf numFmtId="0" fontId="78" fillId="0" borderId="152" applyNumberFormat="0" applyFill="0" applyAlignment="0" applyProtection="0"/>
    <xf numFmtId="0" fontId="78" fillId="0" borderId="152" applyNumberFormat="0" applyFill="0" applyAlignment="0" applyProtection="0"/>
    <xf numFmtId="0" fontId="73" fillId="75" borderId="148" applyNumberFormat="0" applyAlignment="0" applyProtection="0"/>
    <xf numFmtId="0" fontId="73" fillId="92" borderId="148" applyNumberFormat="0" applyAlignment="0" applyProtection="0"/>
    <xf numFmtId="0" fontId="38" fillId="76" borderId="147" applyNumberFormat="0" applyAlignment="0" applyProtection="0"/>
    <xf numFmtId="0" fontId="45" fillId="45" borderId="147" applyNumberFormat="0" applyAlignment="0" applyProtection="0"/>
    <xf numFmtId="0" fontId="45" fillId="45" borderId="147" applyNumberFormat="0" applyAlignment="0" applyProtection="0"/>
    <xf numFmtId="0" fontId="45" fillId="44" borderId="147" applyNumberFormat="0" applyAlignment="0" applyProtection="0"/>
    <xf numFmtId="0" fontId="45" fillId="49" borderId="147" applyNumberFormat="0" applyAlignment="0" applyProtection="0"/>
    <xf numFmtId="0" fontId="38" fillId="78" borderId="147" applyNumberFormat="0" applyAlignment="0" applyProtection="0"/>
    <xf numFmtId="0" fontId="38" fillId="78" borderId="147" applyNumberFormat="0" applyAlignment="0" applyProtection="0"/>
    <xf numFmtId="0" fontId="38" fillId="78" borderId="147" applyNumberFormat="0" applyAlignment="0" applyProtection="0"/>
    <xf numFmtId="0" fontId="38" fillId="75" borderId="147" applyNumberFormat="0" applyAlignment="0" applyProtection="0"/>
    <xf numFmtId="0" fontId="38" fillId="75" borderId="147" applyNumberFormat="0" applyAlignment="0" applyProtection="0"/>
    <xf numFmtId="0" fontId="38" fillId="75" borderId="147" applyNumberFormat="0" applyAlignment="0" applyProtection="0"/>
    <xf numFmtId="0" fontId="38" fillId="75" borderId="147" applyNumberFormat="0" applyAlignment="0" applyProtection="0"/>
    <xf numFmtId="0" fontId="38" fillId="76" borderId="147" applyNumberFormat="0" applyAlignment="0" applyProtection="0"/>
    <xf numFmtId="0" fontId="38" fillId="76" borderId="147" applyNumberFormat="0" applyAlignment="0" applyProtection="0"/>
    <xf numFmtId="0" fontId="38" fillId="75" borderId="147" applyNumberFormat="0" applyAlignment="0" applyProtection="0"/>
    <xf numFmtId="0" fontId="38" fillId="76" borderId="147" applyNumberFormat="0" applyAlignment="0" applyProtection="0"/>
    <xf numFmtId="0" fontId="38" fillId="76" borderId="147" applyNumberFormat="0" applyAlignment="0" applyProtection="0"/>
    <xf numFmtId="0" fontId="38" fillId="75" borderId="147" applyNumberFormat="0" applyAlignment="0" applyProtection="0"/>
    <xf numFmtId="0" fontId="38" fillId="76" borderId="147" applyNumberFormat="0" applyAlignment="0" applyProtection="0"/>
    <xf numFmtId="0" fontId="38" fillId="76" borderId="147" applyNumberFormat="0" applyAlignment="0" applyProtection="0"/>
    <xf numFmtId="0" fontId="163" fillId="130" borderId="125">
      <alignment horizontal="center" vertical="center"/>
    </xf>
    <xf numFmtId="0" fontId="165" fillId="0" borderId="145"/>
    <xf numFmtId="0" fontId="3" fillId="135" borderId="125">
      <alignment horizontal="left" vertical="center"/>
    </xf>
    <xf numFmtId="0" fontId="3" fillId="81" borderId="125">
      <alignment horizontal="left" vertical="center"/>
    </xf>
    <xf numFmtId="0" fontId="3" fillId="135" borderId="125">
      <alignment horizontal="center" vertical="center"/>
    </xf>
    <xf numFmtId="0" fontId="3" fillId="81" borderId="125">
      <alignment horizontal="center" vertical="center"/>
    </xf>
    <xf numFmtId="0" fontId="2" fillId="0" borderId="125">
      <alignment horizontal="left" vertical="center"/>
    </xf>
    <xf numFmtId="0" fontId="164" fillId="130" borderId="125">
      <alignment horizontal="left" vertical="center" indent="1"/>
    </xf>
    <xf numFmtId="0" fontId="163" fillId="0" borderId="125">
      <alignment horizontal="center" vertical="center" wrapText="1"/>
    </xf>
    <xf numFmtId="0" fontId="163" fillId="135" borderId="125"/>
    <xf numFmtId="0" fontId="163" fillId="81" borderId="125"/>
    <xf numFmtId="0" fontId="162" fillId="0" borderId="125">
      <alignment horizontal="center" vertical="center"/>
    </xf>
    <xf numFmtId="0" fontId="162" fillId="134" borderId="125">
      <alignment horizontal="right" vertical="center"/>
    </xf>
    <xf numFmtId="0" fontId="162" fillId="0" borderId="125">
      <alignment horizontal="right" vertical="center"/>
    </xf>
    <xf numFmtId="0" fontId="162" fillId="133" borderId="125"/>
    <xf numFmtId="0" fontId="2" fillId="132" borderId="125"/>
    <xf numFmtId="0" fontId="2" fillId="0" borderId="125">
      <alignment horizontal="left" vertical="top"/>
    </xf>
    <xf numFmtId="0" fontId="162" fillId="131" borderId="125"/>
    <xf numFmtId="0" fontId="163" fillId="130" borderId="125">
      <alignment horizontal="center" vertical="center"/>
    </xf>
    <xf numFmtId="0" fontId="66" fillId="75" borderId="155" applyNumberFormat="0" applyAlignment="0" applyProtection="0"/>
    <xf numFmtId="0" fontId="50" fillId="0" borderId="167" applyNumberFormat="0" applyFill="0" applyAlignment="0" applyProtection="0"/>
    <xf numFmtId="0" fontId="72" fillId="44" borderId="163" applyNumberFormat="0" applyAlignment="0" applyProtection="0"/>
    <xf numFmtId="0" fontId="72" fillId="44" borderId="163" applyNumberFormat="0" applyAlignment="0" applyProtection="0"/>
    <xf numFmtId="0" fontId="33" fillId="86" borderId="144" applyNumberFormat="0" applyFont="0" applyAlignment="0" applyProtection="0"/>
    <xf numFmtId="0" fontId="33" fillId="86" borderId="144" applyNumberFormat="0" applyFont="0" applyAlignment="0" applyProtection="0"/>
    <xf numFmtId="0" fontId="33" fillId="85" borderId="144" applyNumberFormat="0" applyAlignment="0" applyProtection="0"/>
    <xf numFmtId="0" fontId="33" fillId="86" borderId="144" applyNumberFormat="0" applyFont="0" applyAlignment="0" applyProtection="0"/>
    <xf numFmtId="0" fontId="45" fillId="45" borderId="143" applyNumberFormat="0" applyAlignment="0" applyProtection="0"/>
    <xf numFmtId="0" fontId="45" fillId="45" borderId="143" applyNumberFormat="0" applyAlignment="0" applyProtection="0"/>
    <xf numFmtId="0" fontId="38" fillId="76" borderId="143" applyNumberFormat="0" applyAlignment="0" applyProtection="0"/>
    <xf numFmtId="0" fontId="38" fillId="75" borderId="143" applyNumberFormat="0" applyAlignment="0" applyProtection="0"/>
    <xf numFmtId="0" fontId="45" fillId="45" borderId="135" applyNumberFormat="0" applyAlignment="0" applyProtection="0"/>
    <xf numFmtId="0" fontId="38" fillId="75" borderId="135" applyNumberFormat="0" applyAlignment="0" applyProtection="0"/>
    <xf numFmtId="0" fontId="38" fillId="75" borderId="135" applyNumberFormat="0" applyAlignment="0" applyProtection="0"/>
    <xf numFmtId="0" fontId="45" fillId="44" borderId="135" applyNumberFormat="0" applyAlignment="0" applyProtection="0"/>
    <xf numFmtId="0" fontId="45" fillId="44" borderId="135" applyNumberFormat="0" applyAlignment="0" applyProtection="0"/>
    <xf numFmtId="0" fontId="45" fillId="44" borderId="135" applyNumberFormat="0" applyAlignment="0" applyProtection="0"/>
    <xf numFmtId="0" fontId="45" fillId="44" borderId="135" applyNumberFormat="0" applyAlignment="0" applyProtection="0"/>
    <xf numFmtId="0" fontId="45" fillId="45" borderId="135" applyNumberFormat="0" applyAlignment="0" applyProtection="0"/>
    <xf numFmtId="0" fontId="45" fillId="45" borderId="135" applyNumberFormat="0" applyAlignment="0" applyProtection="0"/>
    <xf numFmtId="0" fontId="45" fillId="44" borderId="135" applyNumberFormat="0" applyAlignment="0" applyProtection="0"/>
    <xf numFmtId="0" fontId="45" fillId="45" borderId="135" applyNumberFormat="0" applyAlignment="0" applyProtection="0"/>
    <xf numFmtId="0" fontId="45" fillId="45" borderId="135" applyNumberFormat="0" applyAlignment="0" applyProtection="0"/>
    <xf numFmtId="0" fontId="45" fillId="45" borderId="135" applyNumberFormat="0" applyAlignment="0" applyProtection="0"/>
    <xf numFmtId="10" fontId="52" fillId="82" borderId="130" applyNumberFormat="0" applyBorder="0" applyAlignment="0" applyProtection="0"/>
    <xf numFmtId="10" fontId="52" fillId="82" borderId="130" applyNumberFormat="0" applyBorder="0" applyAlignment="0" applyProtection="0"/>
    <xf numFmtId="0" fontId="54" fillId="0" borderId="131">
      <alignment horizontal="left" vertical="center"/>
    </xf>
    <xf numFmtId="0" fontId="45" fillId="49" borderId="135" applyNumberFormat="0" applyAlignment="0" applyProtection="0"/>
    <xf numFmtId="0" fontId="45" fillId="49" borderId="135" applyNumberFormat="0" applyAlignment="0" applyProtection="0"/>
    <xf numFmtId="0" fontId="45" fillId="49" borderId="135" applyNumberFormat="0" applyAlignment="0" applyProtection="0"/>
    <xf numFmtId="0" fontId="45" fillId="49" borderId="135" applyNumberFormat="0" applyAlignment="0" applyProtection="0"/>
    <xf numFmtId="0" fontId="38" fillId="78" borderId="135" applyNumberFormat="0" applyAlignment="0" applyProtection="0"/>
    <xf numFmtId="0" fontId="38" fillId="78" borderId="135" applyNumberFormat="0" applyAlignment="0" applyProtection="0"/>
    <xf numFmtId="0" fontId="38" fillId="78" borderId="135" applyNumberFormat="0" applyAlignment="0" applyProtection="0"/>
    <xf numFmtId="0" fontId="38" fillId="75" borderId="135" applyNumberFormat="0" applyAlignment="0" applyProtection="0"/>
    <xf numFmtId="0" fontId="38" fillId="75" borderId="135" applyNumberFormat="0" applyAlignment="0" applyProtection="0"/>
    <xf numFmtId="0" fontId="38" fillId="76" borderId="135" applyNumberFormat="0" applyAlignment="0" applyProtection="0"/>
    <xf numFmtId="0" fontId="38" fillId="76" borderId="135" applyNumberFormat="0" applyAlignment="0" applyProtection="0"/>
    <xf numFmtId="0" fontId="66" fillId="86" borderId="164" applyNumberFormat="0" applyFont="0" applyAlignment="0" applyProtection="0"/>
    <xf numFmtId="0" fontId="72" fillId="44" borderId="163" applyNumberFormat="0" applyAlignment="0" applyProtection="0"/>
    <xf numFmtId="0" fontId="78" fillId="0" borderId="167" applyNumberFormat="0" applyFill="0" applyAlignment="0" applyProtection="0"/>
    <xf numFmtId="0" fontId="38" fillId="76" borderId="135" applyNumberFormat="0" applyAlignment="0" applyProtection="0"/>
    <xf numFmtId="0" fontId="72" fillId="44" borderId="163" applyNumberFormat="0" applyAlignment="0" applyProtection="0"/>
    <xf numFmtId="0" fontId="38" fillId="75" borderId="135" applyNumberFormat="0" applyAlignment="0" applyProtection="0"/>
    <xf numFmtId="0" fontId="38" fillId="76" borderId="135" applyNumberFormat="0" applyAlignment="0" applyProtection="0"/>
    <xf numFmtId="0" fontId="38" fillId="76" borderId="135" applyNumberFormat="0" applyAlignment="0" applyProtection="0"/>
    <xf numFmtId="0" fontId="38" fillId="75" borderId="135" applyNumberFormat="0" applyAlignment="0" applyProtection="0"/>
    <xf numFmtId="0" fontId="48" fillId="75" borderId="166" applyNumberFormat="0" applyAlignment="0" applyProtection="0"/>
    <xf numFmtId="0" fontId="78" fillId="0" borderId="167" applyNumberFormat="0" applyFill="0" applyAlignment="0" applyProtection="0"/>
    <xf numFmtId="0" fontId="162" fillId="0" borderId="145">
      <alignment horizontal="right" vertical="center"/>
    </xf>
    <xf numFmtId="0" fontId="162" fillId="0" borderId="145">
      <alignment horizontal="right" vertical="center"/>
    </xf>
    <xf numFmtId="0" fontId="2" fillId="130" borderId="145">
      <alignment horizontal="center" vertical="center"/>
    </xf>
    <xf numFmtId="0" fontId="50" fillId="0" borderId="167" applyNumberFormat="0" applyFill="0" applyAlignment="0" applyProtection="0"/>
    <xf numFmtId="0" fontId="2" fillId="130" borderId="145">
      <alignment horizontal="center" vertical="center"/>
    </xf>
    <xf numFmtId="0" fontId="163" fillId="130" borderId="145">
      <alignment horizontal="center" vertical="center"/>
    </xf>
    <xf numFmtId="0" fontId="45" fillId="49" borderId="163" applyNumberFormat="0" applyAlignment="0" applyProtection="0"/>
    <xf numFmtId="0" fontId="72" fillId="44" borderId="163" applyNumberFormat="0" applyAlignment="0" applyProtection="0"/>
    <xf numFmtId="0" fontId="72" fillId="44" borderId="163" applyNumberFormat="0" applyAlignment="0" applyProtection="0"/>
    <xf numFmtId="0" fontId="72" fillId="44" borderId="163" applyNumberFormat="0" applyAlignment="0" applyProtection="0"/>
    <xf numFmtId="0" fontId="72" fillId="44" borderId="163" applyNumberFormat="0" applyAlignment="0" applyProtection="0"/>
    <xf numFmtId="0" fontId="72" fillId="44" borderId="163" applyNumberFormat="0" applyAlignment="0" applyProtection="0"/>
    <xf numFmtId="0" fontId="72" fillId="44" borderId="163" applyNumberFormat="0" applyAlignment="0" applyProtection="0"/>
    <xf numFmtId="0" fontId="72" fillId="44" borderId="163" applyNumberFormat="0" applyAlignment="0" applyProtection="0"/>
    <xf numFmtId="0" fontId="73" fillId="92" borderId="166" applyNumberFormat="0" applyAlignment="0" applyProtection="0"/>
    <xf numFmtId="0" fontId="73" fillId="92" borderId="166" applyNumberFormat="0" applyAlignment="0" applyProtection="0"/>
    <xf numFmtId="0" fontId="73" fillId="75" borderId="166" applyNumberFormat="0" applyAlignment="0" applyProtection="0"/>
    <xf numFmtId="0" fontId="78" fillId="0" borderId="168" applyNumberFormat="0" applyFill="0" applyAlignment="0" applyProtection="0"/>
    <xf numFmtId="0" fontId="73" fillId="75" borderId="166" applyNumberFormat="0" applyAlignment="0" applyProtection="0"/>
    <xf numFmtId="0" fontId="38" fillId="75" borderId="88" applyNumberFormat="0" applyAlignment="0" applyProtection="0"/>
    <xf numFmtId="0" fontId="66" fillId="75" borderId="166" applyNumberFormat="0" applyAlignment="0" applyProtection="0"/>
    <xf numFmtId="0" fontId="66" fillId="75" borderId="166" applyNumberFormat="0" applyAlignment="0" applyProtection="0"/>
    <xf numFmtId="0" fontId="66" fillId="75" borderId="166" applyNumberFormat="0" applyAlignment="0" applyProtection="0"/>
    <xf numFmtId="0" fontId="66" fillId="75" borderId="166" applyNumberFormat="0" applyAlignment="0" applyProtection="0"/>
    <xf numFmtId="0" fontId="66" fillId="75" borderId="166" applyNumberFormat="0" applyAlignment="0" applyProtection="0"/>
    <xf numFmtId="0" fontId="66" fillId="75" borderId="166" applyNumberFormat="0" applyAlignment="0" applyProtection="0"/>
    <xf numFmtId="0" fontId="66" fillId="75" borderId="166" applyNumberFormat="0" applyAlignment="0" applyProtection="0"/>
    <xf numFmtId="0" fontId="66" fillId="75" borderId="166" applyNumberFormat="0" applyAlignment="0" applyProtection="0"/>
    <xf numFmtId="0" fontId="73" fillId="75" borderId="166" applyNumberFormat="0" applyAlignment="0" applyProtection="0"/>
    <xf numFmtId="0" fontId="73" fillId="75" borderId="166" applyNumberFormat="0" applyAlignment="0" applyProtection="0"/>
    <xf numFmtId="0" fontId="73" fillId="75" borderId="166" applyNumberFormat="0" applyAlignment="0" applyProtection="0"/>
    <xf numFmtId="0" fontId="73" fillId="75" borderId="166" applyNumberFormat="0" applyAlignment="0" applyProtection="0"/>
    <xf numFmtId="0" fontId="73" fillId="92" borderId="166" applyNumberFormat="0" applyAlignment="0" applyProtection="0"/>
    <xf numFmtId="0" fontId="66" fillId="92" borderId="166" applyNumberFormat="0" applyAlignment="0" applyProtection="0"/>
    <xf numFmtId="0" fontId="66" fillId="92" borderId="166" applyNumberFormat="0" applyAlignment="0" applyProtection="0"/>
    <xf numFmtId="0" fontId="66" fillId="92" borderId="166" applyNumberFormat="0" applyAlignment="0" applyProtection="0"/>
    <xf numFmtId="0" fontId="66" fillId="92" borderId="166" applyNumberFormat="0" applyAlignment="0" applyProtection="0"/>
    <xf numFmtId="0" fontId="66" fillId="92" borderId="166" applyNumberFormat="0" applyAlignment="0" applyProtection="0"/>
    <xf numFmtId="0" fontId="73" fillId="92" borderId="166" applyNumberFormat="0" applyAlignment="0" applyProtection="0"/>
    <xf numFmtId="0" fontId="73" fillId="92" borderId="166" applyNumberFormat="0" applyAlignment="0" applyProtection="0"/>
    <xf numFmtId="0" fontId="73" fillId="92" borderId="166" applyNumberFormat="0" applyAlignment="0" applyProtection="0"/>
    <xf numFmtId="0" fontId="73" fillId="92" borderId="166" applyNumberFormat="0" applyAlignment="0" applyProtection="0"/>
    <xf numFmtId="0" fontId="73" fillId="92" borderId="166" applyNumberFormat="0" applyAlignment="0" applyProtection="0"/>
    <xf numFmtId="0" fontId="73" fillId="92" borderId="166" applyNumberFormat="0" applyAlignment="0" applyProtection="0"/>
    <xf numFmtId="0" fontId="73" fillId="92" borderId="166" applyNumberFormat="0" applyAlignment="0" applyProtection="0"/>
    <xf numFmtId="0" fontId="73" fillId="92" borderId="166" applyNumberFormat="0" applyAlignment="0" applyProtection="0"/>
    <xf numFmtId="0" fontId="73" fillId="92" borderId="166" applyNumberFormat="0" applyAlignment="0" applyProtection="0"/>
    <xf numFmtId="0" fontId="73" fillId="75" borderId="166" applyNumberFormat="0" applyAlignment="0" applyProtection="0"/>
    <xf numFmtId="0" fontId="73" fillId="75" borderId="166" applyNumberFormat="0" applyAlignment="0" applyProtection="0"/>
    <xf numFmtId="0" fontId="66" fillId="75" borderId="166" applyNumberFormat="0" applyAlignment="0" applyProtection="0"/>
    <xf numFmtId="0" fontId="66" fillId="75" borderId="166" applyNumberFormat="0" applyAlignment="0" applyProtection="0"/>
    <xf numFmtId="0" fontId="73" fillId="75" borderId="166" applyNumberFormat="0" applyAlignment="0" applyProtection="0"/>
    <xf numFmtId="0" fontId="66" fillId="75" borderId="166" applyNumberFormat="0" applyAlignment="0" applyProtection="0"/>
    <xf numFmtId="0" fontId="78" fillId="0" borderId="167" applyNumberFormat="0" applyFill="0" applyAlignment="0" applyProtection="0"/>
    <xf numFmtId="0" fontId="66" fillId="86" borderId="134" applyNumberFormat="0" applyFont="0" applyAlignment="0" applyProtection="0"/>
    <xf numFmtId="0" fontId="66" fillId="86" borderId="134" applyNumberFormat="0" applyFont="0" applyAlignment="0" applyProtection="0"/>
    <xf numFmtId="0" fontId="66" fillId="86" borderId="134" applyNumberFormat="0" applyFont="0" applyAlignment="0" applyProtection="0"/>
    <xf numFmtId="0" fontId="66" fillId="86" borderId="134" applyNumberFormat="0" applyFont="0" applyAlignment="0" applyProtection="0"/>
    <xf numFmtId="0" fontId="66" fillId="86" borderId="134" applyNumberFormat="0" applyFont="0" applyAlignment="0" applyProtection="0"/>
    <xf numFmtId="0" fontId="66" fillId="86" borderId="134" applyNumberFormat="0" applyFont="0" applyAlignment="0" applyProtection="0"/>
    <xf numFmtId="0" fontId="66" fillId="86" borderId="134" applyNumberFormat="0" applyFont="0" applyAlignment="0" applyProtection="0"/>
    <xf numFmtId="0" fontId="66" fillId="86" borderId="134" applyNumberFormat="0" applyFont="0" applyAlignment="0" applyProtection="0"/>
    <xf numFmtId="0" fontId="66" fillId="86" borderId="134" applyNumberFormat="0" applyFont="0" applyAlignment="0" applyProtection="0"/>
    <xf numFmtId="0" fontId="66" fillId="86" borderId="134" applyNumberFormat="0" applyFont="0" applyAlignment="0" applyProtection="0"/>
    <xf numFmtId="0" fontId="66" fillId="86" borderId="134" applyNumberFormat="0" applyFont="0" applyAlignment="0" applyProtection="0"/>
    <xf numFmtId="0" fontId="66" fillId="86" borderId="134" applyNumberFormat="0" applyFont="0" applyAlignment="0" applyProtection="0"/>
    <xf numFmtId="0" fontId="66" fillId="86" borderId="134" applyNumberFormat="0" applyFont="0" applyAlignment="0" applyProtection="0"/>
    <xf numFmtId="0" fontId="66" fillId="86" borderId="134" applyNumberFormat="0" applyFont="0" applyAlignment="0" applyProtection="0"/>
    <xf numFmtId="0" fontId="66" fillId="86" borderId="134" applyNumberFormat="0" applyFont="0" applyAlignment="0" applyProtection="0"/>
    <xf numFmtId="0" fontId="66" fillId="86" borderId="134" applyNumberFormat="0" applyFont="0" applyAlignment="0" applyProtection="0"/>
    <xf numFmtId="0" fontId="66" fillId="86" borderId="134" applyNumberFormat="0" applyFont="0" applyAlignment="0" applyProtection="0"/>
    <xf numFmtId="0" fontId="66" fillId="86" borderId="134" applyNumberFormat="0" applyFont="0" applyAlignment="0" applyProtection="0"/>
    <xf numFmtId="0" fontId="66" fillId="86" borderId="134" applyNumberFormat="0" applyFont="0" applyAlignment="0" applyProtection="0"/>
    <xf numFmtId="0" fontId="66" fillId="86" borderId="134" applyNumberFormat="0" applyFont="0" applyAlignment="0" applyProtection="0"/>
    <xf numFmtId="0" fontId="66" fillId="86" borderId="134" applyNumberFormat="0" applyFont="0" applyAlignment="0" applyProtection="0"/>
    <xf numFmtId="0" fontId="66" fillId="86" borderId="134" applyNumberFormat="0" applyFont="0" applyAlignment="0" applyProtection="0"/>
    <xf numFmtId="0" fontId="66" fillId="86" borderId="134" applyNumberFormat="0" applyFont="0" applyAlignment="0" applyProtection="0"/>
    <xf numFmtId="0" fontId="66" fillId="86" borderId="134" applyNumberFormat="0" applyFont="0" applyAlignment="0" applyProtection="0"/>
    <xf numFmtId="0" fontId="66" fillId="86" borderId="134" applyNumberFormat="0" applyFont="0" applyAlignment="0" applyProtection="0"/>
    <xf numFmtId="0" fontId="66" fillId="86" borderId="134" applyNumberFormat="0" applyFont="0" applyAlignment="0" applyProtection="0"/>
    <xf numFmtId="0" fontId="66" fillId="86" borderId="134" applyNumberFormat="0" applyFont="0" applyAlignment="0" applyProtection="0"/>
    <xf numFmtId="0" fontId="66" fillId="86" borderId="134" applyNumberFormat="0" applyFont="0" applyAlignment="0" applyProtection="0"/>
    <xf numFmtId="0" fontId="66" fillId="86" borderId="134" applyNumberFormat="0" applyFont="0" applyAlignment="0" applyProtection="0"/>
    <xf numFmtId="0" fontId="66" fillId="86" borderId="134" applyNumberFormat="0" applyFont="0" applyAlignment="0" applyProtection="0"/>
    <xf numFmtId="0" fontId="66" fillId="86" borderId="134" applyNumberFormat="0" applyFont="0" applyAlignment="0" applyProtection="0"/>
    <xf numFmtId="0" fontId="66" fillId="86" borderId="134" applyNumberFormat="0" applyFont="0" applyAlignment="0" applyProtection="0"/>
    <xf numFmtId="0" fontId="66" fillId="86" borderId="134" applyNumberFormat="0" applyFont="0" applyAlignment="0" applyProtection="0"/>
    <xf numFmtId="0" fontId="66" fillId="86" borderId="134" applyNumberFormat="0" applyFont="0" applyAlignment="0" applyProtection="0"/>
    <xf numFmtId="0" fontId="66" fillId="86" borderId="134" applyNumberFormat="0" applyFont="0" applyAlignment="0" applyProtection="0"/>
    <xf numFmtId="0" fontId="66" fillId="86" borderId="134" applyNumberFormat="0" applyFont="0" applyAlignment="0" applyProtection="0"/>
    <xf numFmtId="0" fontId="66" fillId="86" borderId="134" applyNumberFormat="0" applyFont="0" applyAlignment="0" applyProtection="0"/>
    <xf numFmtId="0" fontId="66" fillId="86" borderId="134" applyNumberFormat="0" applyFont="0" applyAlignment="0" applyProtection="0"/>
    <xf numFmtId="0" fontId="66" fillId="86" borderId="134" applyNumberFormat="0" applyFont="0" applyAlignment="0" applyProtection="0"/>
    <xf numFmtId="0" fontId="66" fillId="86" borderId="134" applyNumberFormat="0" applyFont="0" applyAlignment="0" applyProtection="0"/>
    <xf numFmtId="0" fontId="66" fillId="86" borderId="134" applyNumberFormat="0" applyFont="0" applyAlignment="0" applyProtection="0"/>
    <xf numFmtId="0" fontId="66" fillId="86" borderId="134" applyNumberFormat="0" applyFont="0" applyAlignment="0" applyProtection="0"/>
    <xf numFmtId="0" fontId="66" fillId="86" borderId="134" applyNumberFormat="0" applyFont="0" applyAlignment="0" applyProtection="0"/>
    <xf numFmtId="0" fontId="72" fillId="44" borderId="127" applyNumberFormat="0" applyAlignment="0" applyProtection="0"/>
    <xf numFmtId="0" fontId="72" fillId="44" borderId="127" applyNumberFormat="0" applyAlignment="0" applyProtection="0"/>
    <xf numFmtId="0" fontId="72" fillId="44" borderId="127" applyNumberFormat="0" applyAlignment="0" applyProtection="0"/>
    <xf numFmtId="0" fontId="72" fillId="44" borderId="127" applyNumberFormat="0" applyAlignment="0" applyProtection="0"/>
    <xf numFmtId="0" fontId="72" fillId="44" borderId="127" applyNumberFormat="0" applyAlignment="0" applyProtection="0"/>
    <xf numFmtId="0" fontId="50" fillId="0" borderId="149" applyNumberFormat="0" applyFill="0" applyAlignment="0" applyProtection="0"/>
    <xf numFmtId="0" fontId="110" fillId="0" borderId="149" applyNumberFormat="0" applyFill="0" applyAlignment="0" applyProtection="0">
      <alignment vertical="center"/>
    </xf>
    <xf numFmtId="0" fontId="111" fillId="86" borderId="154" applyNumberFormat="0" applyFont="0" applyAlignment="0" applyProtection="0">
      <alignment vertical="center"/>
    </xf>
    <xf numFmtId="0" fontId="115" fillId="44" borderId="147" applyNumberFormat="0" applyAlignment="0" applyProtection="0">
      <alignment vertical="center"/>
    </xf>
    <xf numFmtId="0" fontId="116" fillId="75" borderId="148" applyNumberFormat="0" applyAlignment="0" applyProtection="0">
      <alignment vertical="center"/>
    </xf>
    <xf numFmtId="2" fontId="122" fillId="96" borderId="145">
      <alignment horizontal="center" vertical="center"/>
    </xf>
    <xf numFmtId="2" fontId="51" fillId="95" borderId="145">
      <alignment horizontal="center" vertical="center"/>
    </xf>
    <xf numFmtId="0" fontId="33" fillId="85" borderId="114" applyNumberFormat="0" applyAlignment="0" applyProtection="0"/>
    <xf numFmtId="0" fontId="33" fillId="85" borderId="114" applyNumberFormat="0" applyAlignment="0" applyProtection="0"/>
    <xf numFmtId="0" fontId="33" fillId="86" borderId="114" applyNumberFormat="0" applyFont="0" applyAlignment="0" applyProtection="0"/>
    <xf numFmtId="0" fontId="33" fillId="85" borderId="114" applyNumberFormat="0" applyAlignment="0" applyProtection="0"/>
    <xf numFmtId="0" fontId="33" fillId="85" borderId="114" applyNumberFormat="0" applyAlignment="0" applyProtection="0"/>
    <xf numFmtId="0" fontId="33" fillId="86" borderId="114" applyNumberFormat="0" applyFont="0" applyAlignment="0" applyProtection="0"/>
    <xf numFmtId="0" fontId="33" fillId="86" borderId="114" applyNumberFormat="0" applyFont="0" applyAlignment="0" applyProtection="0"/>
    <xf numFmtId="0" fontId="33" fillId="85" borderId="114" applyNumberFormat="0" applyAlignment="0" applyProtection="0"/>
    <xf numFmtId="0" fontId="33" fillId="85" borderId="114" applyNumberFormat="0" applyAlignment="0" applyProtection="0"/>
    <xf numFmtId="0" fontId="33" fillId="85" borderId="114" applyNumberFormat="0" applyAlignment="0" applyProtection="0"/>
    <xf numFmtId="0" fontId="33" fillId="85" borderId="114" applyNumberFormat="0" applyAlignment="0" applyProtection="0"/>
    <xf numFmtId="0" fontId="33" fillId="85" borderId="114" applyNumberFormat="0" applyAlignment="0" applyProtection="0"/>
    <xf numFmtId="0" fontId="33" fillId="86" borderId="114" applyNumberFormat="0" applyFont="0" applyAlignment="0" applyProtection="0"/>
    <xf numFmtId="0" fontId="33" fillId="85" borderId="114" applyNumberFormat="0" applyAlignment="0" applyProtection="0"/>
    <xf numFmtId="0" fontId="33" fillId="86" borderId="114" applyNumberFormat="0" applyFont="0" applyAlignment="0" applyProtection="0"/>
    <xf numFmtId="0" fontId="33" fillId="85" borderId="114" applyNumberFormat="0" applyAlignment="0" applyProtection="0"/>
    <xf numFmtId="0" fontId="33" fillId="85" borderId="114" applyNumberFormat="0" applyAlignment="0" applyProtection="0"/>
    <xf numFmtId="0" fontId="33" fillId="85" borderId="114" applyNumberFormat="0" applyAlignment="0" applyProtection="0"/>
    <xf numFmtId="0" fontId="33" fillId="86" borderId="114" applyNumberFormat="0" applyFont="0" applyAlignment="0" applyProtection="0"/>
    <xf numFmtId="0" fontId="33" fillId="85" borderId="114" applyNumberFormat="0" applyAlignment="0" applyProtection="0"/>
    <xf numFmtId="0" fontId="33" fillId="86" borderId="114" applyNumberFormat="0" applyFont="0" applyAlignment="0" applyProtection="0"/>
    <xf numFmtId="0" fontId="33" fillId="85" borderId="114" applyNumberFormat="0" applyAlignment="0" applyProtection="0"/>
    <xf numFmtId="0" fontId="33" fillId="86" borderId="114" applyNumberFormat="0" applyFont="0" applyAlignment="0" applyProtection="0"/>
    <xf numFmtId="0" fontId="33" fillId="85" borderId="114" applyNumberFormat="0" applyAlignment="0" applyProtection="0"/>
    <xf numFmtId="0" fontId="33" fillId="86" borderId="114" applyNumberFormat="0" applyFont="0" applyAlignment="0" applyProtection="0"/>
    <xf numFmtId="0" fontId="33" fillId="86" borderId="114" applyNumberFormat="0" applyFont="0" applyAlignment="0" applyProtection="0"/>
    <xf numFmtId="0" fontId="33" fillId="86" borderId="114" applyNumberFormat="0" applyFont="0" applyAlignment="0" applyProtection="0"/>
    <xf numFmtId="0" fontId="33" fillId="86" borderId="114" applyNumberFormat="0" applyFont="0" applyAlignment="0" applyProtection="0"/>
    <xf numFmtId="0" fontId="33" fillId="86" borderId="114" applyNumberFormat="0" applyFont="0" applyAlignment="0" applyProtection="0"/>
    <xf numFmtId="0" fontId="38" fillId="75" borderId="155" applyNumberFormat="0" applyAlignment="0" applyProtection="0"/>
    <xf numFmtId="0" fontId="38" fillId="76" borderId="155" applyNumberFormat="0" applyAlignment="0" applyProtection="0"/>
    <xf numFmtId="0" fontId="38" fillId="76" borderId="155" applyNumberFormat="0" applyAlignment="0" applyProtection="0"/>
    <xf numFmtId="0" fontId="48" fillId="75" borderId="110" applyNumberFormat="0" applyAlignment="0" applyProtection="0"/>
    <xf numFmtId="0" fontId="38" fillId="76" borderId="155" applyNumberFormat="0" applyAlignment="0" applyProtection="0"/>
    <xf numFmtId="0" fontId="74" fillId="92" borderId="155" applyNumberFormat="0" applyAlignment="0" applyProtection="0"/>
    <xf numFmtId="0" fontId="74" fillId="92" borderId="155" applyNumberFormat="0" applyAlignment="0" applyProtection="0"/>
    <xf numFmtId="0" fontId="74" fillId="92" borderId="155" applyNumberFormat="0" applyAlignment="0" applyProtection="0"/>
    <xf numFmtId="0" fontId="74" fillId="92" borderId="155" applyNumberFormat="0" applyAlignment="0" applyProtection="0"/>
    <xf numFmtId="0" fontId="74" fillId="92" borderId="155" applyNumberFormat="0" applyAlignment="0" applyProtection="0"/>
    <xf numFmtId="0" fontId="74" fillId="92" borderId="155" applyNumberFormat="0" applyAlignment="0" applyProtection="0"/>
    <xf numFmtId="0" fontId="66" fillId="92" borderId="155" applyNumberFormat="0" applyAlignment="0" applyProtection="0"/>
    <xf numFmtId="0" fontId="66" fillId="92" borderId="155" applyNumberFormat="0" applyAlignment="0" applyProtection="0"/>
    <xf numFmtId="0" fontId="74" fillId="75" borderId="155" applyNumberFormat="0" applyAlignment="0" applyProtection="0"/>
    <xf numFmtId="0" fontId="66" fillId="92" borderId="155" applyNumberFormat="0" applyAlignment="0" applyProtection="0"/>
    <xf numFmtId="0" fontId="74" fillId="92" borderId="155" applyNumberFormat="0" applyAlignment="0" applyProtection="0"/>
    <xf numFmtId="0" fontId="66" fillId="92" borderId="155" applyNumberFormat="0" applyAlignment="0" applyProtection="0"/>
    <xf numFmtId="0" fontId="74" fillId="92" borderId="155" applyNumberFormat="0" applyAlignment="0" applyProtection="0"/>
    <xf numFmtId="0" fontId="66" fillId="86" borderId="156" applyNumberFormat="0" applyFont="0" applyAlignment="0" applyProtection="0"/>
    <xf numFmtId="0" fontId="74" fillId="92" borderId="155" applyNumberFormat="0" applyAlignment="0" applyProtection="0"/>
    <xf numFmtId="0" fontId="74" fillId="92" borderId="155" applyNumberFormat="0" applyAlignment="0" applyProtection="0"/>
    <xf numFmtId="0" fontId="74" fillId="92" borderId="155" applyNumberFormat="0" applyAlignment="0" applyProtection="0"/>
    <xf numFmtId="0" fontId="66" fillId="86" borderId="156" applyNumberFormat="0" applyFont="0" applyAlignment="0" applyProtection="0"/>
    <xf numFmtId="0" fontId="66" fillId="86" borderId="156" applyNumberFormat="0" applyFont="0" applyAlignment="0" applyProtection="0"/>
    <xf numFmtId="0" fontId="66" fillId="86" borderId="156" applyNumberFormat="0" applyFont="0" applyAlignment="0" applyProtection="0"/>
    <xf numFmtId="0" fontId="66" fillId="86" borderId="156" applyNumberFormat="0" applyFont="0" applyAlignment="0" applyProtection="0"/>
    <xf numFmtId="0" fontId="66" fillId="86" borderId="156" applyNumberFormat="0" applyFont="0" applyAlignment="0" applyProtection="0"/>
    <xf numFmtId="0" fontId="66" fillId="86" borderId="156" applyNumberFormat="0" applyFont="0" applyAlignment="0" applyProtection="0"/>
    <xf numFmtId="0" fontId="66" fillId="86" borderId="156" applyNumberFormat="0" applyFont="0" applyAlignment="0" applyProtection="0"/>
    <xf numFmtId="0" fontId="66" fillId="86" borderId="156" applyNumberFormat="0" applyFont="0" applyAlignment="0" applyProtection="0"/>
    <xf numFmtId="0" fontId="66" fillId="86" borderId="156" applyNumberFormat="0" applyFont="0" applyAlignment="0" applyProtection="0"/>
    <xf numFmtId="0" fontId="66" fillId="86" borderId="156" applyNumberFormat="0" applyFont="0" applyAlignment="0" applyProtection="0"/>
    <xf numFmtId="0" fontId="66" fillId="86" borderId="156" applyNumberFormat="0" applyFont="0" applyAlignment="0" applyProtection="0"/>
    <xf numFmtId="0" fontId="66" fillId="86" borderId="156" applyNumberFormat="0" applyFont="0" applyAlignment="0" applyProtection="0"/>
    <xf numFmtId="0" fontId="66" fillId="86" borderId="156" applyNumberFormat="0" applyFont="0" applyAlignment="0" applyProtection="0"/>
    <xf numFmtId="0" fontId="66" fillId="86" borderId="156" applyNumberFormat="0" applyFont="0" applyAlignment="0" applyProtection="0"/>
    <xf numFmtId="0" fontId="66" fillId="86" borderId="156" applyNumberFormat="0" applyFont="0" applyAlignment="0" applyProtection="0"/>
    <xf numFmtId="0" fontId="66" fillId="86" borderId="156" applyNumberFormat="0" applyFont="0" applyAlignment="0" applyProtection="0"/>
    <xf numFmtId="0" fontId="66" fillId="86" borderId="156" applyNumberFormat="0" applyFont="0" applyAlignment="0" applyProtection="0"/>
    <xf numFmtId="0" fontId="66" fillId="86" borderId="156" applyNumberFormat="0" applyFont="0" applyAlignment="0" applyProtection="0"/>
    <xf numFmtId="0" fontId="66" fillId="86" borderId="156" applyNumberFormat="0" applyFont="0" applyAlignment="0" applyProtection="0"/>
    <xf numFmtId="0" fontId="66" fillId="86" borderId="156" applyNumberFormat="0" applyFont="0" applyAlignment="0" applyProtection="0"/>
    <xf numFmtId="0" fontId="66" fillId="86" borderId="156" applyNumberFormat="0" applyFont="0" applyAlignment="0" applyProtection="0"/>
    <xf numFmtId="0" fontId="66" fillId="86" borderId="156" applyNumberFormat="0" applyFont="0" applyAlignment="0" applyProtection="0"/>
    <xf numFmtId="0" fontId="66" fillId="86" borderId="156" applyNumberFormat="0" applyFont="0" applyAlignment="0" applyProtection="0"/>
    <xf numFmtId="0" fontId="66" fillId="86" borderId="156" applyNumberFormat="0" applyFont="0" applyAlignment="0" applyProtection="0"/>
    <xf numFmtId="0" fontId="66" fillId="86" borderId="156" applyNumberFormat="0" applyFont="0" applyAlignment="0" applyProtection="0"/>
    <xf numFmtId="0" fontId="66" fillId="86" borderId="156" applyNumberFormat="0" applyFont="0" applyAlignment="0" applyProtection="0"/>
    <xf numFmtId="0" fontId="66" fillId="86" borderId="156" applyNumberFormat="0" applyFont="0" applyAlignment="0" applyProtection="0"/>
    <xf numFmtId="0" fontId="66" fillId="86" borderId="156" applyNumberFormat="0" applyFont="0" applyAlignment="0" applyProtection="0"/>
    <xf numFmtId="0" fontId="66" fillId="86" borderId="156" applyNumberFormat="0" applyFont="0" applyAlignment="0" applyProtection="0"/>
    <xf numFmtId="0" fontId="66" fillId="86" borderId="156" applyNumberFormat="0" applyFont="0" applyAlignment="0" applyProtection="0"/>
    <xf numFmtId="0" fontId="66" fillId="86" borderId="156" applyNumberFormat="0" applyFont="0" applyAlignment="0" applyProtection="0"/>
    <xf numFmtId="0" fontId="66" fillId="86" borderId="156" applyNumberFormat="0" applyFont="0" applyAlignment="0" applyProtection="0"/>
    <xf numFmtId="0" fontId="66" fillId="86" borderId="156" applyNumberFormat="0" applyFont="0" applyAlignment="0" applyProtection="0"/>
    <xf numFmtId="0" fontId="66" fillId="86" borderId="156" applyNumberFormat="0" applyFont="0" applyAlignment="0" applyProtection="0"/>
    <xf numFmtId="0" fontId="66" fillId="86" borderId="156" applyNumberFormat="0" applyFont="0" applyAlignment="0" applyProtection="0"/>
    <xf numFmtId="0" fontId="66" fillId="86" borderId="156" applyNumberFormat="0" applyFont="0" applyAlignment="0" applyProtection="0"/>
    <xf numFmtId="0" fontId="66" fillId="86" borderId="156" applyNumberFormat="0" applyFont="0" applyAlignment="0" applyProtection="0"/>
    <xf numFmtId="0" fontId="66" fillId="86" borderId="156" applyNumberFormat="0" applyFont="0" applyAlignment="0" applyProtection="0"/>
    <xf numFmtId="0" fontId="66" fillId="86" borderId="156" applyNumberFormat="0" applyFont="0" applyAlignment="0" applyProtection="0"/>
    <xf numFmtId="0" fontId="66" fillId="86" borderId="156" applyNumberFormat="0" applyFont="0" applyAlignment="0" applyProtection="0"/>
    <xf numFmtId="0" fontId="66" fillId="86" borderId="156" applyNumberFormat="0" applyFont="0" applyAlignment="0" applyProtection="0"/>
    <xf numFmtId="0" fontId="66" fillId="86" borderId="156" applyNumberFormat="0" applyFont="0" applyAlignment="0" applyProtection="0"/>
    <xf numFmtId="0" fontId="66" fillId="86" borderId="156" applyNumberFormat="0" applyFont="0" applyAlignment="0" applyProtection="0"/>
    <xf numFmtId="0" fontId="66" fillId="86" borderId="156" applyNumberFormat="0" applyFont="0" applyAlignment="0" applyProtection="0"/>
    <xf numFmtId="0" fontId="66" fillId="86" borderId="156" applyNumberFormat="0" applyFont="0" applyAlignment="0" applyProtection="0"/>
    <xf numFmtId="0" fontId="66" fillId="86" borderId="156" applyNumberFormat="0" applyFont="0" applyAlignment="0" applyProtection="0"/>
    <xf numFmtId="0" fontId="66" fillId="86" borderId="156" applyNumberFormat="0" applyFont="0" applyAlignment="0" applyProtection="0"/>
    <xf numFmtId="0" fontId="73" fillId="92" borderId="157" applyNumberFormat="0" applyAlignment="0" applyProtection="0"/>
    <xf numFmtId="0" fontId="73" fillId="75" borderId="157" applyNumberFormat="0" applyAlignment="0" applyProtection="0"/>
    <xf numFmtId="0" fontId="73" fillId="75" borderId="157" applyNumberFormat="0" applyAlignment="0" applyProtection="0"/>
    <xf numFmtId="0" fontId="73" fillId="75" borderId="157" applyNumberFormat="0" applyAlignment="0" applyProtection="0"/>
    <xf numFmtId="0" fontId="73" fillId="75" borderId="157" applyNumberFormat="0" applyAlignment="0" applyProtection="0"/>
    <xf numFmtId="0" fontId="73" fillId="75" borderId="157" applyNumberFormat="0" applyAlignment="0" applyProtection="0"/>
    <xf numFmtId="0" fontId="73" fillId="75" borderId="157" applyNumberFormat="0" applyAlignment="0" applyProtection="0"/>
    <xf numFmtId="0" fontId="73" fillId="75" borderId="157" applyNumberFormat="0" applyAlignment="0" applyProtection="0"/>
    <xf numFmtId="0" fontId="73" fillId="92" borderId="157" applyNumberFormat="0" applyAlignment="0" applyProtection="0"/>
    <xf numFmtId="0" fontId="73" fillId="92" borderId="157" applyNumberFormat="0" applyAlignment="0" applyProtection="0"/>
    <xf numFmtId="0" fontId="66" fillId="92" borderId="157" applyNumberFormat="0" applyAlignment="0" applyProtection="0"/>
    <xf numFmtId="0" fontId="66" fillId="92" borderId="157" applyNumberFormat="0" applyAlignment="0" applyProtection="0"/>
    <xf numFmtId="0" fontId="73" fillId="92" borderId="157" applyNumberFormat="0" applyAlignment="0" applyProtection="0"/>
    <xf numFmtId="0" fontId="73" fillId="92" borderId="157" applyNumberFormat="0" applyAlignment="0" applyProtection="0"/>
    <xf numFmtId="0" fontId="73" fillId="92" borderId="157" applyNumberFormat="0" applyAlignment="0" applyProtection="0"/>
    <xf numFmtId="0" fontId="73" fillId="92" borderId="157" applyNumberFormat="0" applyAlignment="0" applyProtection="0"/>
    <xf numFmtId="0" fontId="73" fillId="92" borderId="157" applyNumberFormat="0" applyAlignment="0" applyProtection="0"/>
    <xf numFmtId="0" fontId="66" fillId="92" borderId="157" applyNumberFormat="0" applyAlignment="0" applyProtection="0"/>
    <xf numFmtId="0" fontId="66" fillId="92" borderId="157" applyNumberFormat="0" applyAlignment="0" applyProtection="0"/>
    <xf numFmtId="0" fontId="73" fillId="92" borderId="157" applyNumberFormat="0" applyAlignment="0" applyProtection="0"/>
    <xf numFmtId="0" fontId="66" fillId="92" borderId="157" applyNumberFormat="0" applyAlignment="0" applyProtection="0"/>
    <xf numFmtId="0" fontId="73" fillId="92" borderId="157" applyNumberFormat="0" applyAlignment="0" applyProtection="0"/>
    <xf numFmtId="0" fontId="73" fillId="92" borderId="157" applyNumberFormat="0" applyAlignment="0" applyProtection="0"/>
    <xf numFmtId="0" fontId="73" fillId="92" borderId="157" applyNumberFormat="0" applyAlignment="0" applyProtection="0"/>
    <xf numFmtId="0" fontId="73" fillId="92" borderId="157" applyNumberFormat="0" applyAlignment="0" applyProtection="0"/>
    <xf numFmtId="0" fontId="73" fillId="92" borderId="157" applyNumberFormat="0" applyAlignment="0" applyProtection="0"/>
    <xf numFmtId="0" fontId="73" fillId="92" borderId="157" applyNumberFormat="0" applyAlignment="0" applyProtection="0"/>
    <xf numFmtId="0" fontId="73" fillId="92" borderId="157" applyNumberFormat="0" applyAlignment="0" applyProtection="0"/>
    <xf numFmtId="0" fontId="73" fillId="92" borderId="157" applyNumberFormat="0" applyAlignment="0" applyProtection="0"/>
    <xf numFmtId="0" fontId="73" fillId="75" borderId="157" applyNumberFormat="0" applyAlignment="0" applyProtection="0"/>
    <xf numFmtId="0" fontId="66" fillId="75" borderId="157" applyNumberFormat="0" applyAlignment="0" applyProtection="0"/>
    <xf numFmtId="0" fontId="73" fillId="75" borderId="157" applyNumberFormat="0" applyAlignment="0" applyProtection="0"/>
    <xf numFmtId="0" fontId="73" fillId="75" borderId="157" applyNumberFormat="0" applyAlignment="0" applyProtection="0"/>
    <xf numFmtId="0" fontId="73" fillId="75" borderId="157" applyNumberFormat="0" applyAlignment="0" applyProtection="0"/>
    <xf numFmtId="0" fontId="73" fillId="75" borderId="157" applyNumberFormat="0" applyAlignment="0" applyProtection="0"/>
    <xf numFmtId="0" fontId="73" fillId="75" borderId="157" applyNumberFormat="0" applyAlignment="0" applyProtection="0"/>
    <xf numFmtId="0" fontId="78" fillId="0" borderId="159" applyNumberFormat="0" applyFill="0" applyAlignment="0" applyProtection="0"/>
    <xf numFmtId="0" fontId="78" fillId="0" borderId="159" applyNumberFormat="0" applyFill="0" applyAlignment="0" applyProtection="0"/>
    <xf numFmtId="0" fontId="78" fillId="0" borderId="159" applyNumberFormat="0" applyFill="0" applyAlignment="0" applyProtection="0"/>
    <xf numFmtId="0" fontId="66" fillId="0" borderId="159" applyNumberFormat="0" applyFill="0" applyAlignment="0" applyProtection="0"/>
    <xf numFmtId="0" fontId="66" fillId="0" borderId="159" applyNumberFormat="0" applyFill="0" applyAlignment="0" applyProtection="0"/>
    <xf numFmtId="0" fontId="66" fillId="0" borderId="159" applyNumberFormat="0" applyFill="0" applyAlignment="0" applyProtection="0"/>
    <xf numFmtId="0" fontId="66" fillId="0" borderId="159" applyNumberFormat="0" applyFill="0" applyAlignment="0" applyProtection="0"/>
    <xf numFmtId="0" fontId="50" fillId="0" borderId="111" applyNumberFormat="0" applyFill="0" applyAlignment="0" applyProtection="0"/>
    <xf numFmtId="0" fontId="66" fillId="0" borderId="159" applyNumberFormat="0" applyFill="0" applyAlignment="0" applyProtection="0"/>
    <xf numFmtId="0" fontId="78" fillId="0" borderId="159" applyNumberFormat="0" applyFill="0" applyAlignment="0" applyProtection="0"/>
    <xf numFmtId="0" fontId="78" fillId="0" borderId="159" applyNumberFormat="0" applyFill="0" applyAlignment="0" applyProtection="0"/>
    <xf numFmtId="0" fontId="78" fillId="0" borderId="159" applyNumberFormat="0" applyFill="0" applyAlignment="0" applyProtection="0"/>
    <xf numFmtId="0" fontId="78" fillId="0" borderId="158" applyNumberFormat="0" applyFill="0" applyAlignment="0" applyProtection="0"/>
    <xf numFmtId="0" fontId="66" fillId="0" borderId="158" applyNumberFormat="0" applyFill="0" applyAlignment="0" applyProtection="0"/>
    <xf numFmtId="0" fontId="66" fillId="0" borderId="158" applyNumberFormat="0" applyFill="0" applyAlignment="0" applyProtection="0"/>
    <xf numFmtId="0" fontId="66" fillId="0" borderId="158" applyNumberFormat="0" applyFill="0" applyAlignment="0" applyProtection="0"/>
    <xf numFmtId="0" fontId="66" fillId="0" borderId="158" applyNumberFormat="0" applyFill="0" applyAlignment="0" applyProtection="0"/>
    <xf numFmtId="0" fontId="66" fillId="0" borderId="158" applyNumberFormat="0" applyFill="0" applyAlignment="0" applyProtection="0"/>
    <xf numFmtId="0" fontId="66" fillId="0" borderId="158" applyNumberFormat="0" applyFill="0" applyAlignment="0" applyProtection="0"/>
    <xf numFmtId="0" fontId="66" fillId="0" borderId="158" applyNumberFormat="0" applyFill="0" applyAlignment="0" applyProtection="0"/>
    <xf numFmtId="0" fontId="66" fillId="86" borderId="144" applyNumberFormat="0" applyFont="0" applyAlignment="0" applyProtection="0"/>
    <xf numFmtId="0" fontId="66" fillId="0" borderId="149" applyNumberFormat="0" applyFill="0" applyAlignment="0" applyProtection="0"/>
    <xf numFmtId="0" fontId="74" fillId="75" borderId="143" applyNumberFormat="0" applyAlignment="0" applyProtection="0"/>
    <xf numFmtId="0" fontId="73" fillId="75" borderId="148" applyNumberFormat="0" applyAlignment="0" applyProtection="0"/>
    <xf numFmtId="0" fontId="66" fillId="0" borderId="138" applyNumberFormat="0" applyFill="0" applyAlignment="0" applyProtection="0"/>
    <xf numFmtId="0" fontId="66" fillId="92" borderId="137" applyNumberFormat="0" applyAlignment="0" applyProtection="0"/>
    <xf numFmtId="0" fontId="66" fillId="86" borderId="136" applyNumberFormat="0" applyFont="0" applyAlignment="0" applyProtection="0"/>
    <xf numFmtId="0" fontId="74" fillId="92" borderId="135" applyNumberFormat="0" applyAlignment="0" applyProtection="0"/>
    <xf numFmtId="0" fontId="72" fillId="44" borderId="135" applyNumberFormat="0" applyAlignment="0" applyProtection="0"/>
    <xf numFmtId="0" fontId="72" fillId="44" borderId="163" applyNumberFormat="0" applyAlignment="0" applyProtection="0"/>
    <xf numFmtId="0" fontId="33" fillId="86" borderId="134" applyNumberFormat="0" applyFont="0" applyAlignment="0" applyProtection="0"/>
    <xf numFmtId="0" fontId="45" fillId="45" borderId="155" applyNumberFormat="0" applyAlignment="0" applyProtection="0"/>
    <xf numFmtId="0" fontId="78" fillId="0" borderId="158" applyNumberFormat="0" applyFill="0" applyAlignment="0" applyProtection="0"/>
    <xf numFmtId="0" fontId="33" fillId="85" borderId="164" applyNumberFormat="0" applyAlignment="0" applyProtection="0"/>
    <xf numFmtId="0" fontId="73" fillId="75" borderId="166" applyNumberFormat="0" applyAlignment="0" applyProtection="0"/>
    <xf numFmtId="0" fontId="74" fillId="75" borderId="163" applyNumberFormat="0" applyAlignment="0" applyProtection="0"/>
    <xf numFmtId="0" fontId="78" fillId="0" borderId="167" applyNumberFormat="0" applyFill="0" applyAlignment="0" applyProtection="0"/>
    <xf numFmtId="0" fontId="72" fillId="44" borderId="88" applyNumberFormat="0" applyAlignment="0" applyProtection="0"/>
    <xf numFmtId="0" fontId="73" fillId="92" borderId="110" applyNumberFormat="0" applyAlignment="0" applyProtection="0"/>
    <xf numFmtId="0" fontId="74" fillId="92" borderId="88" applyNumberFormat="0" applyAlignment="0" applyProtection="0"/>
    <xf numFmtId="0" fontId="66" fillId="86" borderId="164" applyNumberFormat="0" applyFont="0" applyAlignment="0" applyProtection="0"/>
    <xf numFmtId="0" fontId="78" fillId="0" borderId="159" applyNumberFormat="0" applyFill="0" applyAlignment="0" applyProtection="0"/>
    <xf numFmtId="0" fontId="38" fillId="78" borderId="163" applyNumberFormat="0" applyAlignment="0" applyProtection="0"/>
    <xf numFmtId="0" fontId="66" fillId="86" borderId="114" applyNumberFormat="0" applyFont="0" applyAlignment="0" applyProtection="0"/>
    <xf numFmtId="0" fontId="72" fillId="44" borderId="163" applyNumberFormat="0" applyAlignment="0" applyProtection="0"/>
    <xf numFmtId="0" fontId="78" fillId="0" borderId="167" applyNumberFormat="0" applyFill="0" applyAlignment="0" applyProtection="0"/>
    <xf numFmtId="0" fontId="74" fillId="75" borderId="155" applyNumberFormat="0" applyAlignment="0" applyProtection="0"/>
    <xf numFmtId="0" fontId="72" fillId="44" borderId="155" applyNumberFormat="0" applyAlignment="0" applyProtection="0"/>
    <xf numFmtId="0" fontId="66" fillId="86" borderId="154" applyNumberFormat="0" applyFont="0" applyAlignment="0" applyProtection="0"/>
    <xf numFmtId="0" fontId="74" fillId="75" borderId="147" applyNumberFormat="0" applyAlignment="0" applyProtection="0"/>
    <xf numFmtId="0" fontId="66" fillId="86" borderId="154" applyNumberFormat="0" applyFont="0" applyAlignment="0" applyProtection="0"/>
    <xf numFmtId="0" fontId="66" fillId="86" borderId="154" applyNumberFormat="0" applyFont="0" applyAlignment="0" applyProtection="0"/>
    <xf numFmtId="0" fontId="66" fillId="75" borderId="147" applyNumberFormat="0" applyAlignment="0" applyProtection="0"/>
    <xf numFmtId="0" fontId="74" fillId="92" borderId="147" applyNumberFormat="0" applyAlignment="0" applyProtection="0"/>
    <xf numFmtId="0" fontId="66" fillId="86" borderId="154" applyNumberFormat="0" applyFont="0" applyAlignment="0" applyProtection="0"/>
    <xf numFmtId="0" fontId="66" fillId="86" borderId="144" applyNumberFormat="0" applyFont="0" applyAlignment="0" applyProtection="0"/>
    <xf numFmtId="0" fontId="66" fillId="86" borderId="144" applyNumberFormat="0" applyFont="0" applyAlignment="0" applyProtection="0"/>
    <xf numFmtId="0" fontId="66" fillId="86" borderId="144" applyNumberFormat="0" applyFont="0" applyAlignment="0" applyProtection="0"/>
    <xf numFmtId="0" fontId="66" fillId="86" borderId="144" applyNumberFormat="0" applyFont="0" applyAlignment="0" applyProtection="0"/>
    <xf numFmtId="0" fontId="66" fillId="86" borderId="144" applyNumberFormat="0" applyFont="0" applyAlignment="0" applyProtection="0"/>
    <xf numFmtId="0" fontId="66" fillId="86" borderId="144" applyNumberFormat="0" applyFont="0" applyAlignment="0" applyProtection="0"/>
    <xf numFmtId="0" fontId="66" fillId="86" borderId="144" applyNumberFormat="0" applyFont="0" applyAlignment="0" applyProtection="0"/>
    <xf numFmtId="0" fontId="66" fillId="86" borderId="144" applyNumberFormat="0" applyFont="0" applyAlignment="0" applyProtection="0"/>
    <xf numFmtId="0" fontId="66" fillId="86" borderId="144" applyNumberFormat="0" applyFont="0" applyAlignment="0" applyProtection="0"/>
    <xf numFmtId="0" fontId="66" fillId="86" borderId="144" applyNumberFormat="0" applyFont="0" applyAlignment="0" applyProtection="0"/>
    <xf numFmtId="0" fontId="66" fillId="86" borderId="144" applyNumberFormat="0" applyFont="0" applyAlignment="0" applyProtection="0"/>
    <xf numFmtId="0" fontId="66" fillId="86" borderId="144" applyNumberFormat="0" applyFont="0" applyAlignment="0" applyProtection="0"/>
    <xf numFmtId="0" fontId="66" fillId="86" borderId="144" applyNumberFormat="0" applyFont="0" applyAlignment="0" applyProtection="0"/>
    <xf numFmtId="0" fontId="66" fillId="86" borderId="144" applyNumberFormat="0" applyFont="0" applyAlignment="0" applyProtection="0"/>
    <xf numFmtId="0" fontId="66" fillId="86" borderId="144" applyNumberFormat="0" applyFont="0" applyAlignment="0" applyProtection="0"/>
    <xf numFmtId="0" fontId="66" fillId="86" borderId="144" applyNumberFormat="0" applyFont="0" applyAlignment="0" applyProtection="0"/>
    <xf numFmtId="0" fontId="66" fillId="86" borderId="144" applyNumberFormat="0" applyFont="0" applyAlignment="0" applyProtection="0"/>
    <xf numFmtId="0" fontId="66" fillId="86" borderId="144" applyNumberFormat="0" applyFont="0" applyAlignment="0" applyProtection="0"/>
    <xf numFmtId="0" fontId="66" fillId="86" borderId="144" applyNumberFormat="0" applyFont="0" applyAlignment="0" applyProtection="0"/>
    <xf numFmtId="0" fontId="66" fillId="86" borderId="144" applyNumberFormat="0" applyFont="0" applyAlignment="0" applyProtection="0"/>
    <xf numFmtId="0" fontId="66" fillId="86" borderId="144" applyNumberFormat="0" applyFont="0" applyAlignment="0" applyProtection="0"/>
    <xf numFmtId="0" fontId="66" fillId="86" borderId="144" applyNumberFormat="0" applyFont="0" applyAlignment="0" applyProtection="0"/>
    <xf numFmtId="0" fontId="66" fillId="86" borderId="144" applyNumberFormat="0" applyFont="0" applyAlignment="0" applyProtection="0"/>
    <xf numFmtId="0" fontId="66" fillId="86" borderId="144" applyNumberFormat="0" applyFont="0" applyAlignment="0" applyProtection="0"/>
    <xf numFmtId="0" fontId="66" fillId="86" borderId="144" applyNumberFormat="0" applyFont="0" applyAlignment="0" applyProtection="0"/>
    <xf numFmtId="0" fontId="66" fillId="86" borderId="144" applyNumberFormat="0" applyFont="0" applyAlignment="0" applyProtection="0"/>
    <xf numFmtId="0" fontId="66" fillId="86" borderId="144" applyNumberFormat="0" applyFont="0" applyAlignment="0" applyProtection="0"/>
    <xf numFmtId="0" fontId="66" fillId="86" borderId="144" applyNumberFormat="0" applyFont="0" applyAlignment="0" applyProtection="0"/>
    <xf numFmtId="0" fontId="66" fillId="86" borderId="144" applyNumberFormat="0" applyFont="0" applyAlignment="0" applyProtection="0"/>
    <xf numFmtId="0" fontId="66" fillId="86" borderId="144" applyNumberFormat="0" applyFont="0" applyAlignment="0" applyProtection="0"/>
    <xf numFmtId="0" fontId="66" fillId="86" borderId="144" applyNumberFormat="0" applyFont="0" applyAlignment="0" applyProtection="0"/>
    <xf numFmtId="0" fontId="66" fillId="86" borderId="144" applyNumberFormat="0" applyFont="0" applyAlignment="0" applyProtection="0"/>
    <xf numFmtId="0" fontId="66" fillId="86" borderId="144" applyNumberFormat="0" applyFont="0" applyAlignment="0" applyProtection="0"/>
    <xf numFmtId="0" fontId="66" fillId="86" borderId="144" applyNumberFormat="0" applyFont="0" applyAlignment="0" applyProtection="0"/>
    <xf numFmtId="0" fontId="66" fillId="86" borderId="144" applyNumberFormat="0" applyFont="0" applyAlignment="0" applyProtection="0"/>
    <xf numFmtId="0" fontId="66" fillId="86" borderId="144" applyNumberFormat="0" applyFont="0" applyAlignment="0" applyProtection="0"/>
    <xf numFmtId="0" fontId="66" fillId="86" borderId="144" applyNumberFormat="0" applyFont="0" applyAlignment="0" applyProtection="0"/>
    <xf numFmtId="0" fontId="66" fillId="86" borderId="144" applyNumberFormat="0" applyFont="0" applyAlignment="0" applyProtection="0"/>
    <xf numFmtId="0" fontId="66" fillId="86" borderId="144" applyNumberFormat="0" applyFont="0" applyAlignment="0" applyProtection="0"/>
    <xf numFmtId="0" fontId="66" fillId="86" borderId="144" applyNumberFormat="0" applyFont="0" applyAlignment="0" applyProtection="0"/>
    <xf numFmtId="0" fontId="66" fillId="86" borderId="144" applyNumberFormat="0" applyFont="0" applyAlignment="0" applyProtection="0"/>
    <xf numFmtId="0" fontId="66" fillId="86" borderId="144" applyNumberFormat="0" applyFont="0" applyAlignment="0" applyProtection="0"/>
    <xf numFmtId="0" fontId="66" fillId="86" borderId="144" applyNumberFormat="0" applyFont="0" applyAlignment="0" applyProtection="0"/>
    <xf numFmtId="0" fontId="66" fillId="86" borderId="144" applyNumberFormat="0" applyFont="0" applyAlignment="0" applyProtection="0"/>
    <xf numFmtId="0" fontId="66" fillId="86" borderId="144" applyNumberFormat="0" applyFont="0" applyAlignment="0" applyProtection="0"/>
    <xf numFmtId="0" fontId="66" fillId="86" borderId="144" applyNumberFormat="0" applyFont="0" applyAlignment="0" applyProtection="0"/>
    <xf numFmtId="0" fontId="66" fillId="86" borderId="144" applyNumberFormat="0" applyFont="0" applyAlignment="0" applyProtection="0"/>
    <xf numFmtId="0" fontId="66" fillId="86" borderId="144" applyNumberFormat="0" applyFont="0" applyAlignment="0" applyProtection="0"/>
    <xf numFmtId="0" fontId="66" fillId="86" borderId="144" applyNumberFormat="0" applyFont="0" applyAlignment="0" applyProtection="0"/>
    <xf numFmtId="0" fontId="66" fillId="86" borderId="144" applyNumberFormat="0" applyFont="0" applyAlignment="0" applyProtection="0"/>
    <xf numFmtId="0" fontId="66" fillId="86" borderId="144" applyNumberFormat="0" applyFont="0" applyAlignment="0" applyProtection="0"/>
    <xf numFmtId="0" fontId="66" fillId="86" borderId="144" applyNumberFormat="0" applyFont="0" applyAlignment="0" applyProtection="0"/>
    <xf numFmtId="0" fontId="66" fillId="86" borderId="144" applyNumberFormat="0" applyFont="0" applyAlignment="0" applyProtection="0"/>
    <xf numFmtId="0" fontId="66" fillId="86" borderId="144" applyNumberFormat="0" applyFont="0" applyAlignment="0" applyProtection="0"/>
    <xf numFmtId="0" fontId="66" fillId="86" borderId="144" applyNumberFormat="0" applyFont="0" applyAlignment="0" applyProtection="0"/>
    <xf numFmtId="0" fontId="66" fillId="86" borderId="144" applyNumberFormat="0" applyFont="0" applyAlignment="0" applyProtection="0"/>
    <xf numFmtId="0" fontId="66" fillId="86" borderId="144" applyNumberFormat="0" applyFont="0" applyAlignment="0" applyProtection="0"/>
    <xf numFmtId="0" fontId="66" fillId="86" borderId="144" applyNumberFormat="0" applyFont="0" applyAlignment="0" applyProtection="0"/>
    <xf numFmtId="0" fontId="66" fillId="86" borderId="144" applyNumberFormat="0" applyFont="0" applyAlignment="0" applyProtection="0"/>
    <xf numFmtId="0" fontId="66" fillId="86" borderId="144" applyNumberFormat="0" applyFont="0" applyAlignment="0" applyProtection="0"/>
    <xf numFmtId="0" fontId="66" fillId="86" borderId="144" applyNumberFormat="0" applyFont="0" applyAlignment="0" applyProtection="0"/>
    <xf numFmtId="0" fontId="66" fillId="86" borderId="144" applyNumberFormat="0" applyFont="0" applyAlignment="0" applyProtection="0"/>
    <xf numFmtId="0" fontId="66" fillId="86" borderId="144" applyNumberFormat="0" applyFont="0" applyAlignment="0" applyProtection="0"/>
    <xf numFmtId="0" fontId="66" fillId="86" borderId="144" applyNumberFormat="0" applyFont="0" applyAlignment="0" applyProtection="0"/>
    <xf numFmtId="0" fontId="66" fillId="86" borderId="144" applyNumberFormat="0" applyFont="0" applyAlignment="0" applyProtection="0"/>
    <xf numFmtId="0" fontId="66" fillId="86" borderId="144" applyNumberFormat="0" applyFont="0" applyAlignment="0" applyProtection="0"/>
    <xf numFmtId="0" fontId="66" fillId="86" borderId="144" applyNumberFormat="0" applyFont="0" applyAlignment="0" applyProtection="0"/>
    <xf numFmtId="0" fontId="66" fillId="86" borderId="144" applyNumberFormat="0" applyFont="0" applyAlignment="0" applyProtection="0"/>
    <xf numFmtId="0" fontId="66" fillId="86" borderId="144" applyNumberFormat="0" applyFont="0" applyAlignment="0" applyProtection="0"/>
    <xf numFmtId="0" fontId="66" fillId="86" borderId="144" applyNumberFormat="0" applyFont="0" applyAlignment="0" applyProtection="0"/>
    <xf numFmtId="0" fontId="78" fillId="0" borderId="149" applyNumberFormat="0" applyFill="0" applyAlignment="0" applyProtection="0"/>
    <xf numFmtId="0" fontId="78" fillId="0" borderId="149" applyNumberFormat="0" applyFill="0" applyAlignment="0" applyProtection="0"/>
    <xf numFmtId="0" fontId="78" fillId="0" borderId="149" applyNumberFormat="0" applyFill="0" applyAlignment="0" applyProtection="0"/>
    <xf numFmtId="0" fontId="78" fillId="0" borderId="149" applyNumberFormat="0" applyFill="0" applyAlignment="0" applyProtection="0"/>
    <xf numFmtId="0" fontId="78" fillId="0" borderId="149" applyNumberFormat="0" applyFill="0" applyAlignment="0" applyProtection="0"/>
    <xf numFmtId="0" fontId="78" fillId="0" borderId="149" applyNumberFormat="0" applyFill="0" applyAlignment="0" applyProtection="0"/>
    <xf numFmtId="0" fontId="78" fillId="0" borderId="149" applyNumberFormat="0" applyFill="0" applyAlignment="0" applyProtection="0"/>
    <xf numFmtId="0" fontId="78" fillId="0" borderId="149" applyNumberFormat="0" applyFill="0" applyAlignment="0" applyProtection="0"/>
    <xf numFmtId="0" fontId="78" fillId="0" borderId="149" applyNumberFormat="0" applyFill="0" applyAlignment="0" applyProtection="0"/>
    <xf numFmtId="0" fontId="78" fillId="0" borderId="149" applyNumberFormat="0" applyFill="0" applyAlignment="0" applyProtection="0"/>
    <xf numFmtId="0" fontId="78" fillId="0" borderId="149" applyNumberFormat="0" applyFill="0" applyAlignment="0" applyProtection="0"/>
    <xf numFmtId="0" fontId="66" fillId="0" borderId="149" applyNumberFormat="0" applyFill="0" applyAlignment="0" applyProtection="0"/>
    <xf numFmtId="0" fontId="78" fillId="0" borderId="149" applyNumberFormat="0" applyFill="0" applyAlignment="0" applyProtection="0"/>
    <xf numFmtId="0" fontId="66" fillId="0" borderId="149" applyNumberFormat="0" applyFill="0" applyAlignment="0" applyProtection="0"/>
    <xf numFmtId="0" fontId="66" fillId="0" borderId="149" applyNumberFormat="0" applyFill="0" applyAlignment="0" applyProtection="0"/>
    <xf numFmtId="0" fontId="78" fillId="0" borderId="149" applyNumberFormat="0" applyFill="0" applyAlignment="0" applyProtection="0"/>
    <xf numFmtId="0" fontId="78" fillId="0" borderId="149" applyNumberFormat="0" applyFill="0" applyAlignment="0" applyProtection="0"/>
    <xf numFmtId="0" fontId="78" fillId="0" borderId="152" applyNumberFormat="0" applyFill="0" applyAlignment="0" applyProtection="0"/>
    <xf numFmtId="0" fontId="78" fillId="0" borderId="152" applyNumberFormat="0" applyFill="0" applyAlignment="0" applyProtection="0"/>
    <xf numFmtId="0" fontId="78" fillId="0" borderId="152" applyNumberFormat="0" applyFill="0" applyAlignment="0" applyProtection="0"/>
    <xf numFmtId="0" fontId="78" fillId="0" borderId="152" applyNumberFormat="0" applyFill="0" applyAlignment="0" applyProtection="0"/>
    <xf numFmtId="0" fontId="78" fillId="0" borderId="152" applyNumberFormat="0" applyFill="0" applyAlignment="0" applyProtection="0"/>
    <xf numFmtId="0" fontId="78" fillId="0" borderId="152" applyNumberFormat="0" applyFill="0" applyAlignment="0" applyProtection="0"/>
    <xf numFmtId="0" fontId="78" fillId="0" borderId="152" applyNumberFormat="0" applyFill="0" applyAlignment="0" applyProtection="0"/>
    <xf numFmtId="0" fontId="78" fillId="0" borderId="152" applyNumberFormat="0" applyFill="0" applyAlignment="0" applyProtection="0"/>
    <xf numFmtId="0" fontId="78" fillId="0" borderId="152" applyNumberFormat="0" applyFill="0" applyAlignment="0" applyProtection="0"/>
    <xf numFmtId="0" fontId="78" fillId="0" borderId="152" applyNumberFormat="0" applyFill="0" applyAlignment="0" applyProtection="0"/>
    <xf numFmtId="0" fontId="78" fillId="0" borderId="152" applyNumberFormat="0" applyFill="0" applyAlignment="0" applyProtection="0"/>
    <xf numFmtId="0" fontId="78" fillId="0" borderId="152" applyNumberFormat="0" applyFill="0" applyAlignment="0" applyProtection="0"/>
    <xf numFmtId="0" fontId="66" fillId="0" borderId="152" applyNumberFormat="0" applyFill="0" applyAlignment="0" applyProtection="0"/>
    <xf numFmtId="0" fontId="78" fillId="0" borderId="152" applyNumberFormat="0" applyFill="0" applyAlignment="0" applyProtection="0"/>
    <xf numFmtId="0" fontId="78" fillId="0" borderId="149" applyNumberFormat="0" applyFill="0" applyAlignment="0" applyProtection="0"/>
    <xf numFmtId="0" fontId="66" fillId="0" borderId="152" applyNumberFormat="0" applyFill="0" applyAlignment="0" applyProtection="0"/>
    <xf numFmtId="0" fontId="66" fillId="0" borderId="152" applyNumberFormat="0" applyFill="0" applyAlignment="0" applyProtection="0"/>
    <xf numFmtId="0" fontId="78" fillId="0" borderId="152" applyNumberFormat="0" applyFill="0" applyAlignment="0" applyProtection="0"/>
    <xf numFmtId="0" fontId="78" fillId="0" borderId="152" applyNumberFormat="0" applyFill="0" applyAlignment="0" applyProtection="0"/>
    <xf numFmtId="0" fontId="78" fillId="0" borderId="152" applyNumberFormat="0" applyFill="0" applyAlignment="0" applyProtection="0"/>
    <xf numFmtId="0" fontId="78" fillId="0" borderId="152" applyNumberFormat="0" applyFill="0" applyAlignment="0" applyProtection="0"/>
    <xf numFmtId="0" fontId="78" fillId="0" borderId="152" applyNumberFormat="0" applyFill="0" applyAlignment="0" applyProtection="0"/>
    <xf numFmtId="0" fontId="78" fillId="0" borderId="152" applyNumberFormat="0" applyFill="0" applyAlignment="0" applyProtection="0"/>
    <xf numFmtId="0" fontId="66" fillId="0" borderId="152" applyNumberFormat="0" applyFill="0" applyAlignment="0" applyProtection="0"/>
    <xf numFmtId="0" fontId="66" fillId="0" borderId="152" applyNumberFormat="0" applyFill="0" applyAlignment="0" applyProtection="0"/>
    <xf numFmtId="0" fontId="66" fillId="0" borderId="152" applyNumberFormat="0" applyFill="0" applyAlignment="0" applyProtection="0"/>
    <xf numFmtId="0" fontId="66" fillId="0" borderId="152" applyNumberFormat="0" applyFill="0" applyAlignment="0" applyProtection="0"/>
    <xf numFmtId="0" fontId="66" fillId="0" borderId="152" applyNumberFormat="0" applyFill="0" applyAlignment="0" applyProtection="0"/>
    <xf numFmtId="0" fontId="66" fillId="0" borderId="152" applyNumberFormat="0" applyFill="0" applyAlignment="0" applyProtection="0"/>
    <xf numFmtId="0" fontId="66" fillId="0" borderId="152" applyNumberFormat="0" applyFill="0" applyAlignment="0" applyProtection="0"/>
    <xf numFmtId="0" fontId="66" fillId="0" borderId="152" applyNumberFormat="0" applyFill="0" applyAlignment="0" applyProtection="0"/>
    <xf numFmtId="0" fontId="78" fillId="0" borderId="152" applyNumberFormat="0" applyFill="0" applyAlignment="0" applyProtection="0"/>
    <xf numFmtId="0" fontId="78" fillId="0" borderId="152" applyNumberFormat="0" applyFill="0" applyAlignment="0" applyProtection="0"/>
    <xf numFmtId="0" fontId="78" fillId="0" borderId="149" applyNumberFormat="0" applyFill="0" applyAlignment="0" applyProtection="0"/>
    <xf numFmtId="0" fontId="78" fillId="0" borderId="149" applyNumberFormat="0" applyFill="0" applyAlignment="0" applyProtection="0"/>
    <xf numFmtId="0" fontId="78" fillId="0" borderId="149" applyNumberFormat="0" applyFill="0" applyAlignment="0" applyProtection="0"/>
    <xf numFmtId="0" fontId="78" fillId="0" borderId="149" applyNumberFormat="0" applyFill="0" applyAlignment="0" applyProtection="0"/>
    <xf numFmtId="0" fontId="66" fillId="0" borderId="149" applyNumberFormat="0" applyFill="0" applyAlignment="0" applyProtection="0"/>
    <xf numFmtId="0" fontId="66" fillId="0" borderId="149" applyNumberFormat="0" applyFill="0" applyAlignment="0" applyProtection="0"/>
    <xf numFmtId="0" fontId="66" fillId="0" borderId="149" applyNumberFormat="0" applyFill="0" applyAlignment="0" applyProtection="0"/>
    <xf numFmtId="0" fontId="66" fillId="0" borderId="149" applyNumberFormat="0" applyFill="0" applyAlignment="0" applyProtection="0"/>
    <xf numFmtId="0" fontId="66" fillId="0" borderId="149" applyNumberFormat="0" applyFill="0" applyAlignment="0" applyProtection="0"/>
    <xf numFmtId="0" fontId="66" fillId="0" borderId="149" applyNumberFormat="0" applyFill="0" applyAlignment="0" applyProtection="0"/>
    <xf numFmtId="0" fontId="66" fillId="0" borderId="149" applyNumberFormat="0" applyFill="0" applyAlignment="0" applyProtection="0"/>
    <xf numFmtId="0" fontId="78" fillId="0" borderId="149" applyNumberFormat="0" applyFill="0" applyAlignment="0" applyProtection="0"/>
    <xf numFmtId="0" fontId="78" fillId="0" borderId="149" applyNumberFormat="0" applyFill="0" applyAlignment="0" applyProtection="0"/>
    <xf numFmtId="0" fontId="78" fillId="0" borderId="149" applyNumberFormat="0" applyFill="0" applyAlignment="0" applyProtection="0"/>
    <xf numFmtId="0" fontId="78" fillId="0" borderId="149" applyNumberFormat="0" applyFill="0" applyAlignment="0" applyProtection="0"/>
    <xf numFmtId="0" fontId="78" fillId="0" borderId="149" applyNumberFormat="0" applyFill="0" applyAlignment="0" applyProtection="0"/>
    <xf numFmtId="0" fontId="78" fillId="0" borderId="149" applyNumberFormat="0" applyFill="0" applyAlignment="0" applyProtection="0"/>
    <xf numFmtId="0" fontId="78" fillId="0" borderId="149" applyNumberFormat="0" applyFill="0" applyAlignment="0" applyProtection="0"/>
    <xf numFmtId="0" fontId="78" fillId="0" borderId="149" applyNumberFormat="0" applyFill="0" applyAlignment="0" applyProtection="0"/>
    <xf numFmtId="0" fontId="74" fillId="75" borderId="143" applyNumberFormat="0" applyAlignment="0" applyProtection="0"/>
    <xf numFmtId="0" fontId="74" fillId="75" borderId="143" applyNumberFormat="0" applyAlignment="0" applyProtection="0"/>
    <xf numFmtId="0" fontId="74" fillId="75" borderId="143" applyNumberFormat="0" applyAlignment="0" applyProtection="0"/>
    <xf numFmtId="0" fontId="74" fillId="75" borderId="143" applyNumberFormat="0" applyAlignment="0" applyProtection="0"/>
    <xf numFmtId="0" fontId="74" fillId="75" borderId="143" applyNumberFormat="0" applyAlignment="0" applyProtection="0"/>
    <xf numFmtId="0" fontId="74" fillId="75" borderId="143" applyNumberFormat="0" applyAlignment="0" applyProtection="0"/>
    <xf numFmtId="0" fontId="74" fillId="75" borderId="143" applyNumberFormat="0" applyAlignment="0" applyProtection="0"/>
    <xf numFmtId="0" fontId="74" fillId="75" borderId="143" applyNumberFormat="0" applyAlignment="0" applyProtection="0"/>
    <xf numFmtId="0" fontId="74" fillId="75" borderId="143" applyNumberFormat="0" applyAlignment="0" applyProtection="0"/>
    <xf numFmtId="0" fontId="74" fillId="75" borderId="143" applyNumberFormat="0" applyAlignment="0" applyProtection="0"/>
    <xf numFmtId="0" fontId="74" fillId="75" borderId="143" applyNumberFormat="0" applyAlignment="0" applyProtection="0"/>
    <xf numFmtId="0" fontId="66" fillId="75" borderId="143" applyNumberFormat="0" applyAlignment="0" applyProtection="0"/>
    <xf numFmtId="0" fontId="74" fillId="75" borderId="143" applyNumberFormat="0" applyAlignment="0" applyProtection="0"/>
    <xf numFmtId="0" fontId="66" fillId="75" borderId="143" applyNumberFormat="0" applyAlignment="0" applyProtection="0"/>
    <xf numFmtId="0" fontId="66" fillId="75" borderId="143" applyNumberFormat="0" applyAlignment="0" applyProtection="0"/>
    <xf numFmtId="0" fontId="74" fillId="75" borderId="143" applyNumberFormat="0" applyAlignment="0" applyProtection="0"/>
    <xf numFmtId="0" fontId="74" fillId="75" borderId="143" applyNumberFormat="0" applyAlignment="0" applyProtection="0"/>
    <xf numFmtId="0" fontId="74" fillId="92" borderId="143" applyNumberFormat="0" applyAlignment="0" applyProtection="0"/>
    <xf numFmtId="0" fontId="74" fillId="92" borderId="143" applyNumberFormat="0" applyAlignment="0" applyProtection="0"/>
    <xf numFmtId="0" fontId="74" fillId="92" borderId="143" applyNumberFormat="0" applyAlignment="0" applyProtection="0"/>
    <xf numFmtId="0" fontId="74" fillId="92" borderId="143" applyNumberFormat="0" applyAlignment="0" applyProtection="0"/>
    <xf numFmtId="0" fontId="74" fillId="92" borderId="143" applyNumberFormat="0" applyAlignment="0" applyProtection="0"/>
    <xf numFmtId="0" fontId="74" fillId="92" borderId="143" applyNumberFormat="0" applyAlignment="0" applyProtection="0"/>
    <xf numFmtId="0" fontId="74" fillId="92" borderId="143" applyNumberFormat="0" applyAlignment="0" applyProtection="0"/>
    <xf numFmtId="0" fontId="74" fillId="92" borderId="143" applyNumberFormat="0" applyAlignment="0" applyProtection="0"/>
    <xf numFmtId="0" fontId="74" fillId="92" borderId="143" applyNumberFormat="0" applyAlignment="0" applyProtection="0"/>
    <xf numFmtId="0" fontId="74" fillId="92" borderId="143" applyNumberFormat="0" applyAlignment="0" applyProtection="0"/>
    <xf numFmtId="0" fontId="74" fillId="92" borderId="143" applyNumberFormat="0" applyAlignment="0" applyProtection="0"/>
    <xf numFmtId="0" fontId="74" fillId="92" borderId="143" applyNumberFormat="0" applyAlignment="0" applyProtection="0"/>
    <xf numFmtId="0" fontId="66" fillId="92" borderId="143" applyNumberFormat="0" applyAlignment="0" applyProtection="0"/>
    <xf numFmtId="0" fontId="74" fillId="92" borderId="143" applyNumberFormat="0" applyAlignment="0" applyProtection="0"/>
    <xf numFmtId="0" fontId="74" fillId="75" borderId="143" applyNumberFormat="0" applyAlignment="0" applyProtection="0"/>
    <xf numFmtId="0" fontId="66" fillId="92" borderId="143" applyNumberFormat="0" applyAlignment="0" applyProtection="0"/>
    <xf numFmtId="0" fontId="66" fillId="92" borderId="143" applyNumberFormat="0" applyAlignment="0" applyProtection="0"/>
    <xf numFmtId="0" fontId="74" fillId="92" borderId="143" applyNumberFormat="0" applyAlignment="0" applyProtection="0"/>
    <xf numFmtId="0" fontId="74" fillId="92" borderId="143" applyNumberFormat="0" applyAlignment="0" applyProtection="0"/>
    <xf numFmtId="0" fontId="74" fillId="92" borderId="143" applyNumberFormat="0" applyAlignment="0" applyProtection="0"/>
    <xf numFmtId="0" fontId="74" fillId="92" borderId="143" applyNumberFormat="0" applyAlignment="0" applyProtection="0"/>
    <xf numFmtId="0" fontId="74" fillId="92" borderId="143" applyNumberFormat="0" applyAlignment="0" applyProtection="0"/>
    <xf numFmtId="0" fontId="74" fillId="92" borderId="143" applyNumberFormat="0" applyAlignment="0" applyProtection="0"/>
    <xf numFmtId="0" fontId="66" fillId="92" borderId="143" applyNumberFormat="0" applyAlignment="0" applyProtection="0"/>
    <xf numFmtId="0" fontId="66" fillId="92" borderId="143" applyNumberFormat="0" applyAlignment="0" applyProtection="0"/>
    <xf numFmtId="0" fontId="66" fillId="92" borderId="143" applyNumberFormat="0" applyAlignment="0" applyProtection="0"/>
    <xf numFmtId="0" fontId="66" fillId="92" borderId="143" applyNumberFormat="0" applyAlignment="0" applyProtection="0"/>
    <xf numFmtId="0" fontId="66" fillId="92" borderId="143" applyNumberFormat="0" applyAlignment="0" applyProtection="0"/>
    <xf numFmtId="0" fontId="66" fillId="92" borderId="143" applyNumberFormat="0" applyAlignment="0" applyProtection="0"/>
    <xf numFmtId="0" fontId="66" fillId="92" borderId="143" applyNumberFormat="0" applyAlignment="0" applyProtection="0"/>
    <xf numFmtId="0" fontId="66" fillId="92" borderId="143" applyNumberFormat="0" applyAlignment="0" applyProtection="0"/>
    <xf numFmtId="0" fontId="74" fillId="92" borderId="143" applyNumberFormat="0" applyAlignment="0" applyProtection="0"/>
    <xf numFmtId="0" fontId="74" fillId="92" borderId="143" applyNumberFormat="0" applyAlignment="0" applyProtection="0"/>
    <xf numFmtId="0" fontId="74" fillId="75" borderId="143" applyNumberFormat="0" applyAlignment="0" applyProtection="0"/>
    <xf numFmtId="0" fontId="74" fillId="75" borderId="143" applyNumberFormat="0" applyAlignment="0" applyProtection="0"/>
    <xf numFmtId="0" fontId="74" fillId="75" borderId="143" applyNumberFormat="0" applyAlignment="0" applyProtection="0"/>
    <xf numFmtId="0" fontId="74" fillId="75" borderId="143" applyNumberFormat="0" applyAlignment="0" applyProtection="0"/>
    <xf numFmtId="0" fontId="66" fillId="75" borderId="143" applyNumberFormat="0" applyAlignment="0" applyProtection="0"/>
    <xf numFmtId="0" fontId="66" fillId="75" borderId="143" applyNumberFormat="0" applyAlignment="0" applyProtection="0"/>
    <xf numFmtId="0" fontId="66" fillId="75" borderId="143" applyNumberFormat="0" applyAlignment="0" applyProtection="0"/>
    <xf numFmtId="0" fontId="66" fillId="75" borderId="143" applyNumberFormat="0" applyAlignment="0" applyProtection="0"/>
    <xf numFmtId="0" fontId="66" fillId="75" borderId="143" applyNumberFormat="0" applyAlignment="0" applyProtection="0"/>
    <xf numFmtId="0" fontId="66" fillId="75" borderId="143" applyNumberFormat="0" applyAlignment="0" applyProtection="0"/>
    <xf numFmtId="0" fontId="66" fillId="75" borderId="143" applyNumberFormat="0" applyAlignment="0" applyProtection="0"/>
    <xf numFmtId="0" fontId="66" fillId="75" borderId="143" applyNumberFormat="0" applyAlignment="0" applyProtection="0"/>
    <xf numFmtId="0" fontId="74" fillId="75" borderId="143" applyNumberFormat="0" applyAlignment="0" applyProtection="0"/>
    <xf numFmtId="0" fontId="74" fillId="75" borderId="143" applyNumberFormat="0" applyAlignment="0" applyProtection="0"/>
    <xf numFmtId="0" fontId="74" fillId="75" borderId="143" applyNumberFormat="0" applyAlignment="0" applyProtection="0"/>
    <xf numFmtId="0" fontId="74" fillId="75" borderId="143" applyNumberFormat="0" applyAlignment="0" applyProtection="0"/>
    <xf numFmtId="0" fontId="74" fillId="75" borderId="143" applyNumberFormat="0" applyAlignment="0" applyProtection="0"/>
    <xf numFmtId="0" fontId="74" fillId="75" borderId="143" applyNumberFormat="0" applyAlignment="0" applyProtection="0"/>
    <xf numFmtId="0" fontId="74" fillId="75" borderId="143" applyNumberFormat="0" applyAlignment="0" applyProtection="0"/>
    <xf numFmtId="0" fontId="73" fillId="75" borderId="148" applyNumberFormat="0" applyAlignment="0" applyProtection="0"/>
    <xf numFmtId="0" fontId="73" fillId="75" borderId="148" applyNumberFormat="0" applyAlignment="0" applyProtection="0"/>
    <xf numFmtId="0" fontId="73" fillId="75" borderId="148" applyNumberFormat="0" applyAlignment="0" applyProtection="0"/>
    <xf numFmtId="0" fontId="73" fillId="75" borderId="148" applyNumberFormat="0" applyAlignment="0" applyProtection="0"/>
    <xf numFmtId="0" fontId="73" fillId="75" borderId="148" applyNumberFormat="0" applyAlignment="0" applyProtection="0"/>
    <xf numFmtId="0" fontId="73" fillId="75" borderId="148" applyNumberFormat="0" applyAlignment="0" applyProtection="0"/>
    <xf numFmtId="0" fontId="73" fillId="75" borderId="148" applyNumberFormat="0" applyAlignment="0" applyProtection="0"/>
    <xf numFmtId="0" fontId="73" fillId="75" borderId="148" applyNumberFormat="0" applyAlignment="0" applyProtection="0"/>
    <xf numFmtId="0" fontId="73" fillId="75" borderId="148" applyNumberFormat="0" applyAlignment="0" applyProtection="0"/>
    <xf numFmtId="0" fontId="73" fillId="75" borderId="148" applyNumberFormat="0" applyAlignment="0" applyProtection="0"/>
    <xf numFmtId="0" fontId="73" fillId="75" borderId="148" applyNumberFormat="0" applyAlignment="0" applyProtection="0"/>
    <xf numFmtId="0" fontId="66" fillId="75" borderId="148" applyNumberFormat="0" applyAlignment="0" applyProtection="0"/>
    <xf numFmtId="0" fontId="73" fillId="75" borderId="148" applyNumberFormat="0" applyAlignment="0" applyProtection="0"/>
    <xf numFmtId="0" fontId="66" fillId="75" borderId="148" applyNumberFormat="0" applyAlignment="0" applyProtection="0"/>
    <xf numFmtId="0" fontId="66" fillId="75" borderId="148" applyNumberFormat="0" applyAlignment="0" applyProtection="0"/>
    <xf numFmtId="0" fontId="73" fillId="75" borderId="148" applyNumberFormat="0" applyAlignment="0" applyProtection="0"/>
    <xf numFmtId="0" fontId="73" fillId="75" borderId="148" applyNumberFormat="0" applyAlignment="0" applyProtection="0"/>
    <xf numFmtId="0" fontId="73" fillId="92" borderId="148" applyNumberFormat="0" applyAlignment="0" applyProtection="0"/>
    <xf numFmtId="0" fontId="73" fillId="92" borderId="148" applyNumberFormat="0" applyAlignment="0" applyProtection="0"/>
    <xf numFmtId="0" fontId="73" fillId="92" borderId="148" applyNumberFormat="0" applyAlignment="0" applyProtection="0"/>
    <xf numFmtId="0" fontId="73" fillId="92" borderId="148" applyNumberFormat="0" applyAlignment="0" applyProtection="0"/>
    <xf numFmtId="0" fontId="73" fillId="92" borderId="148" applyNumberFormat="0" applyAlignment="0" applyProtection="0"/>
    <xf numFmtId="0" fontId="73" fillId="92" borderId="148" applyNumberFormat="0" applyAlignment="0" applyProtection="0"/>
    <xf numFmtId="0" fontId="73" fillId="92" borderId="148" applyNumberFormat="0" applyAlignment="0" applyProtection="0"/>
    <xf numFmtId="0" fontId="73" fillId="92" borderId="148" applyNumberFormat="0" applyAlignment="0" applyProtection="0"/>
    <xf numFmtId="0" fontId="73" fillId="92" borderId="148" applyNumberFormat="0" applyAlignment="0" applyProtection="0"/>
    <xf numFmtId="0" fontId="73" fillId="92" borderId="148" applyNumberFormat="0" applyAlignment="0" applyProtection="0"/>
    <xf numFmtId="0" fontId="73" fillId="92" borderId="148" applyNumberFormat="0" applyAlignment="0" applyProtection="0"/>
    <xf numFmtId="0" fontId="73" fillId="92" borderId="148" applyNumberFormat="0" applyAlignment="0" applyProtection="0"/>
    <xf numFmtId="0" fontId="66" fillId="92" borderId="148" applyNumberFormat="0" applyAlignment="0" applyProtection="0"/>
    <xf numFmtId="0" fontId="73" fillId="92" borderId="148" applyNumberFormat="0" applyAlignment="0" applyProtection="0"/>
    <xf numFmtId="0" fontId="73" fillId="75" borderId="148" applyNumberFormat="0" applyAlignment="0" applyProtection="0"/>
    <xf numFmtId="0" fontId="66" fillId="92" borderId="148" applyNumberFormat="0" applyAlignment="0" applyProtection="0"/>
    <xf numFmtId="0" fontId="66" fillId="92" borderId="148" applyNumberFormat="0" applyAlignment="0" applyProtection="0"/>
    <xf numFmtId="0" fontId="73" fillId="92" borderId="148" applyNumberFormat="0" applyAlignment="0" applyProtection="0"/>
    <xf numFmtId="0" fontId="73" fillId="92" borderId="148" applyNumberFormat="0" applyAlignment="0" applyProtection="0"/>
    <xf numFmtId="0" fontId="73" fillId="92" borderId="148" applyNumberFormat="0" applyAlignment="0" applyProtection="0"/>
    <xf numFmtId="0" fontId="73" fillId="92" borderId="148" applyNumberFormat="0" applyAlignment="0" applyProtection="0"/>
    <xf numFmtId="0" fontId="73" fillId="92" borderId="148" applyNumberFormat="0" applyAlignment="0" applyProtection="0"/>
    <xf numFmtId="0" fontId="73" fillId="92" borderId="148" applyNumberFormat="0" applyAlignment="0" applyProtection="0"/>
    <xf numFmtId="0" fontId="66" fillId="92" borderId="148" applyNumberFormat="0" applyAlignment="0" applyProtection="0"/>
    <xf numFmtId="0" fontId="66" fillId="92" borderId="148" applyNumberFormat="0" applyAlignment="0" applyProtection="0"/>
    <xf numFmtId="0" fontId="66" fillId="92" borderId="148" applyNumberFormat="0" applyAlignment="0" applyProtection="0"/>
    <xf numFmtId="0" fontId="66" fillId="92" borderId="148" applyNumberFormat="0" applyAlignment="0" applyProtection="0"/>
    <xf numFmtId="0" fontId="66" fillId="92" borderId="148" applyNumberFormat="0" applyAlignment="0" applyProtection="0"/>
    <xf numFmtId="0" fontId="66" fillId="92" borderId="148" applyNumberFormat="0" applyAlignment="0" applyProtection="0"/>
    <xf numFmtId="0" fontId="66" fillId="92" borderId="148" applyNumberFormat="0" applyAlignment="0" applyProtection="0"/>
    <xf numFmtId="0" fontId="66" fillId="92" borderId="148" applyNumberFormat="0" applyAlignment="0" applyProtection="0"/>
    <xf numFmtId="0" fontId="73" fillId="92" borderId="148" applyNumberFormat="0" applyAlignment="0" applyProtection="0"/>
    <xf numFmtId="0" fontId="73" fillId="92" borderId="148" applyNumberFormat="0" applyAlignment="0" applyProtection="0"/>
    <xf numFmtId="0" fontId="73" fillId="75" borderId="148" applyNumberFormat="0" applyAlignment="0" applyProtection="0"/>
    <xf numFmtId="0" fontId="73" fillId="75" borderId="148" applyNumberFormat="0" applyAlignment="0" applyProtection="0"/>
    <xf numFmtId="0" fontId="73" fillId="75" borderId="148" applyNumberFormat="0" applyAlignment="0" applyProtection="0"/>
    <xf numFmtId="0" fontId="73" fillId="75" borderId="148" applyNumberFormat="0" applyAlignment="0" applyProtection="0"/>
    <xf numFmtId="0" fontId="66" fillId="75" borderId="148" applyNumberFormat="0" applyAlignment="0" applyProtection="0"/>
    <xf numFmtId="0" fontId="66" fillId="75" borderId="148" applyNumberFormat="0" applyAlignment="0" applyProtection="0"/>
    <xf numFmtId="0" fontId="66" fillId="75" borderId="148" applyNumberFormat="0" applyAlignment="0" applyProtection="0"/>
    <xf numFmtId="0" fontId="66" fillId="75" borderId="148" applyNumberFormat="0" applyAlignment="0" applyProtection="0"/>
    <xf numFmtId="0" fontId="66" fillId="75" borderId="148" applyNumberFormat="0" applyAlignment="0" applyProtection="0"/>
    <xf numFmtId="0" fontId="66" fillId="75" borderId="148" applyNumberFormat="0" applyAlignment="0" applyProtection="0"/>
    <xf numFmtId="0" fontId="66" fillId="75" borderId="148" applyNumberFormat="0" applyAlignment="0" applyProtection="0"/>
    <xf numFmtId="0" fontId="66" fillId="75" borderId="148" applyNumberFormat="0" applyAlignment="0" applyProtection="0"/>
    <xf numFmtId="0" fontId="73" fillId="75" borderId="148" applyNumberFormat="0" applyAlignment="0" applyProtection="0"/>
    <xf numFmtId="0" fontId="73" fillId="75" borderId="148" applyNumberFormat="0" applyAlignment="0" applyProtection="0"/>
    <xf numFmtId="0" fontId="73" fillId="75" borderId="148" applyNumberFormat="0" applyAlignment="0" applyProtection="0"/>
    <xf numFmtId="0" fontId="73" fillId="75" borderId="148" applyNumberFormat="0" applyAlignment="0" applyProtection="0"/>
    <xf numFmtId="0" fontId="73" fillId="75" borderId="148" applyNumberFormat="0" applyAlignment="0" applyProtection="0"/>
    <xf numFmtId="0" fontId="73" fillId="75" borderId="148" applyNumberFormat="0" applyAlignment="0" applyProtection="0"/>
    <xf numFmtId="0" fontId="73" fillId="75" borderId="148" applyNumberFormat="0" applyAlignment="0" applyProtection="0"/>
    <xf numFmtId="0" fontId="72" fillId="44" borderId="143" applyNumberFormat="0" applyAlignment="0" applyProtection="0"/>
    <xf numFmtId="0" fontId="72" fillId="44" borderId="143" applyNumberFormat="0" applyAlignment="0" applyProtection="0"/>
    <xf numFmtId="0" fontId="72" fillId="44" borderId="143" applyNumberFormat="0" applyAlignment="0" applyProtection="0"/>
    <xf numFmtId="0" fontId="72" fillId="44" borderId="143" applyNumberFormat="0" applyAlignment="0" applyProtection="0"/>
    <xf numFmtId="0" fontId="72" fillId="44" borderId="143" applyNumberFormat="0" applyAlignment="0" applyProtection="0"/>
    <xf numFmtId="0" fontId="72" fillId="44" borderId="143" applyNumberFormat="0" applyAlignment="0" applyProtection="0"/>
    <xf numFmtId="0" fontId="72" fillId="44" borderId="143" applyNumberFormat="0" applyAlignment="0" applyProtection="0"/>
    <xf numFmtId="0" fontId="72" fillId="44" borderId="143" applyNumberFormat="0" applyAlignment="0" applyProtection="0"/>
    <xf numFmtId="0" fontId="72" fillId="44" borderId="143" applyNumberFormat="0" applyAlignment="0" applyProtection="0"/>
    <xf numFmtId="0" fontId="72" fillId="44" borderId="143" applyNumberFormat="0" applyAlignment="0" applyProtection="0"/>
    <xf numFmtId="0" fontId="72" fillId="44" borderId="143" applyNumberFormat="0" applyAlignment="0" applyProtection="0"/>
    <xf numFmtId="0" fontId="66" fillId="44" borderId="143" applyNumberFormat="0" applyAlignment="0" applyProtection="0"/>
    <xf numFmtId="0" fontId="72" fillId="44" borderId="143" applyNumberFormat="0" applyAlignment="0" applyProtection="0"/>
    <xf numFmtId="0" fontId="66" fillId="44" borderId="143" applyNumberFormat="0" applyAlignment="0" applyProtection="0"/>
    <xf numFmtId="0" fontId="66" fillId="44" borderId="143" applyNumberFormat="0" applyAlignment="0" applyProtection="0"/>
    <xf numFmtId="0" fontId="72" fillId="44" borderId="143" applyNumberFormat="0" applyAlignment="0" applyProtection="0"/>
    <xf numFmtId="0" fontId="72" fillId="44" borderId="143" applyNumberFormat="0" applyAlignment="0" applyProtection="0"/>
    <xf numFmtId="0" fontId="72" fillId="44" borderId="143" applyNumberFormat="0" applyAlignment="0" applyProtection="0"/>
    <xf numFmtId="0" fontId="72" fillId="44" borderId="143" applyNumberFormat="0" applyAlignment="0" applyProtection="0"/>
    <xf numFmtId="0" fontId="72" fillId="44" borderId="143" applyNumberFormat="0" applyAlignment="0" applyProtection="0"/>
    <xf numFmtId="0" fontId="72" fillId="44" borderId="143" applyNumberFormat="0" applyAlignment="0" applyProtection="0"/>
    <xf numFmtId="0" fontId="72" fillId="44" borderId="143" applyNumberFormat="0" applyAlignment="0" applyProtection="0"/>
    <xf numFmtId="0" fontId="72" fillId="44" borderId="143" applyNumberFormat="0" applyAlignment="0" applyProtection="0"/>
    <xf numFmtId="0" fontId="72" fillId="44" borderId="143" applyNumberFormat="0" applyAlignment="0" applyProtection="0"/>
    <xf numFmtId="0" fontId="72" fillId="44" borderId="143" applyNumberFormat="0" applyAlignment="0" applyProtection="0"/>
    <xf numFmtId="0" fontId="72" fillId="44" borderId="143" applyNumberFormat="0" applyAlignment="0" applyProtection="0"/>
    <xf numFmtId="0" fontId="72" fillId="44" borderId="143" applyNumberFormat="0" applyAlignment="0" applyProtection="0"/>
    <xf numFmtId="0" fontId="72" fillId="44" borderId="143" applyNumberFormat="0" applyAlignment="0" applyProtection="0"/>
    <xf numFmtId="0" fontId="72" fillId="44" borderId="143" applyNumberFormat="0" applyAlignment="0" applyProtection="0"/>
    <xf numFmtId="0" fontId="66" fillId="44" borderId="143" applyNumberFormat="0" applyAlignment="0" applyProtection="0"/>
    <xf numFmtId="0" fontId="72" fillId="44" borderId="143" applyNumberFormat="0" applyAlignment="0" applyProtection="0"/>
    <xf numFmtId="0" fontId="66" fillId="44" borderId="143" applyNumberFormat="0" applyAlignment="0" applyProtection="0"/>
    <xf numFmtId="0" fontId="66" fillId="44" borderId="143" applyNumberFormat="0" applyAlignment="0" applyProtection="0"/>
    <xf numFmtId="0" fontId="72" fillId="44" borderId="143" applyNumberFormat="0" applyAlignment="0" applyProtection="0"/>
    <xf numFmtId="0" fontId="72" fillId="44" borderId="143" applyNumberFormat="0" applyAlignment="0" applyProtection="0"/>
    <xf numFmtId="0" fontId="72" fillId="44" borderId="143" applyNumberFormat="0" applyAlignment="0" applyProtection="0"/>
    <xf numFmtId="0" fontId="72" fillId="44" borderId="143" applyNumberFormat="0" applyAlignment="0" applyProtection="0"/>
    <xf numFmtId="0" fontId="72" fillId="44" borderId="143" applyNumberFormat="0" applyAlignment="0" applyProtection="0"/>
    <xf numFmtId="0" fontId="72" fillId="44" borderId="143" applyNumberFormat="0" applyAlignment="0" applyProtection="0"/>
    <xf numFmtId="0" fontId="66" fillId="44" borderId="143" applyNumberFormat="0" applyAlignment="0" applyProtection="0"/>
    <xf numFmtId="0" fontId="66" fillId="44" borderId="143" applyNumberFormat="0" applyAlignment="0" applyProtection="0"/>
    <xf numFmtId="0" fontId="66" fillId="44" borderId="143" applyNumberFormat="0" applyAlignment="0" applyProtection="0"/>
    <xf numFmtId="0" fontId="66" fillId="44" borderId="143" applyNumberFormat="0" applyAlignment="0" applyProtection="0"/>
    <xf numFmtId="0" fontId="66" fillId="44" borderId="143" applyNumberFormat="0" applyAlignment="0" applyProtection="0"/>
    <xf numFmtId="0" fontId="66" fillId="44" borderId="143" applyNumberFormat="0" applyAlignment="0" applyProtection="0"/>
    <xf numFmtId="0" fontId="66" fillId="44" borderId="143" applyNumberFormat="0" applyAlignment="0" applyProtection="0"/>
    <xf numFmtId="0" fontId="66" fillId="44" borderId="143" applyNumberFormat="0" applyAlignment="0" applyProtection="0"/>
    <xf numFmtId="0" fontId="72" fillId="44" borderId="143" applyNumberFormat="0" applyAlignment="0" applyProtection="0"/>
    <xf numFmtId="0" fontId="72" fillId="44" borderId="143" applyNumberFormat="0" applyAlignment="0" applyProtection="0"/>
    <xf numFmtId="0" fontId="72" fillId="44" borderId="143" applyNumberFormat="0" applyAlignment="0" applyProtection="0"/>
    <xf numFmtId="0" fontId="72" fillId="44" borderId="143" applyNumberFormat="0" applyAlignment="0" applyProtection="0"/>
    <xf numFmtId="0" fontId="72" fillId="44" borderId="143" applyNumberFormat="0" applyAlignment="0" applyProtection="0"/>
    <xf numFmtId="0" fontId="72" fillId="44" borderId="143" applyNumberFormat="0" applyAlignment="0" applyProtection="0"/>
    <xf numFmtId="0" fontId="66" fillId="44" borderId="143" applyNumberFormat="0" applyAlignment="0" applyProtection="0"/>
    <xf numFmtId="0" fontId="66" fillId="44" borderId="143" applyNumberFormat="0" applyAlignment="0" applyProtection="0"/>
    <xf numFmtId="0" fontId="66" fillId="44" borderId="143" applyNumberFormat="0" applyAlignment="0" applyProtection="0"/>
    <xf numFmtId="0" fontId="66" fillId="44" borderId="143" applyNumberFormat="0" applyAlignment="0" applyProtection="0"/>
    <xf numFmtId="0" fontId="66" fillId="44" borderId="143" applyNumberFormat="0" applyAlignment="0" applyProtection="0"/>
    <xf numFmtId="0" fontId="66" fillId="44" borderId="143" applyNumberFormat="0" applyAlignment="0" applyProtection="0"/>
    <xf numFmtId="0" fontId="66" fillId="44" borderId="143" applyNumberFormat="0" applyAlignment="0" applyProtection="0"/>
    <xf numFmtId="0" fontId="66" fillId="44" borderId="143" applyNumberFormat="0" applyAlignment="0" applyProtection="0"/>
    <xf numFmtId="0" fontId="72" fillId="44" borderId="143" applyNumberFormat="0" applyAlignment="0" applyProtection="0"/>
    <xf numFmtId="0" fontId="72" fillId="44" borderId="143" applyNumberFormat="0" applyAlignment="0" applyProtection="0"/>
    <xf numFmtId="0" fontId="72" fillId="44" borderId="143" applyNumberFormat="0" applyAlignment="0" applyProtection="0"/>
    <xf numFmtId="0" fontId="72" fillId="44" borderId="143" applyNumberFormat="0" applyAlignment="0" applyProtection="0"/>
    <xf numFmtId="0" fontId="72" fillId="44" borderId="143" applyNumberFormat="0" applyAlignment="0" applyProtection="0"/>
    <xf numFmtId="0" fontId="72" fillId="44" borderId="143" applyNumberFormat="0" applyAlignment="0" applyProtection="0"/>
    <xf numFmtId="0" fontId="72" fillId="44" borderId="143" applyNumberFormat="0" applyAlignment="0" applyProtection="0"/>
    <xf numFmtId="0" fontId="72" fillId="44" borderId="143" applyNumberFormat="0" applyAlignment="0" applyProtection="0"/>
    <xf numFmtId="0" fontId="66" fillId="86" borderId="144" applyNumberFormat="0" applyFont="0" applyAlignment="0" applyProtection="0"/>
    <xf numFmtId="0" fontId="66" fillId="86" borderId="144" applyNumberFormat="0" applyFont="0" applyAlignment="0" applyProtection="0"/>
    <xf numFmtId="0" fontId="66" fillId="86" borderId="144" applyNumberFormat="0" applyFont="0" applyAlignment="0" applyProtection="0"/>
    <xf numFmtId="0" fontId="78" fillId="0" borderId="149" applyNumberFormat="0" applyFill="0" applyAlignment="0" applyProtection="0"/>
    <xf numFmtId="0" fontId="78" fillId="0" borderId="152" applyNumberFormat="0" applyFill="0" applyAlignment="0" applyProtection="0"/>
    <xf numFmtId="0" fontId="78" fillId="0" borderId="152" applyNumberFormat="0" applyFill="0" applyAlignment="0" applyProtection="0"/>
    <xf numFmtId="0" fontId="74" fillId="75" borderId="143" applyNumberFormat="0" applyAlignment="0" applyProtection="0"/>
    <xf numFmtId="0" fontId="74" fillId="92" borderId="143" applyNumberFormat="0" applyAlignment="0" applyProtection="0"/>
    <xf numFmtId="0" fontId="74" fillId="92" borderId="143" applyNumberFormat="0" applyAlignment="0" applyProtection="0"/>
    <xf numFmtId="0" fontId="73" fillId="75" borderId="148" applyNumberFormat="0" applyAlignment="0" applyProtection="0"/>
    <xf numFmtId="0" fontId="73" fillId="92" borderId="148" applyNumberFormat="0" applyAlignment="0" applyProtection="0"/>
    <xf numFmtId="0" fontId="73" fillId="92" borderId="148" applyNumberFormat="0" applyAlignment="0" applyProtection="0"/>
    <xf numFmtId="0" fontId="72" fillId="44" borderId="143" applyNumberFormat="0" applyAlignment="0" applyProtection="0"/>
    <xf numFmtId="0" fontId="72" fillId="44" borderId="143" applyNumberFormat="0" applyAlignment="0" applyProtection="0"/>
    <xf numFmtId="0" fontId="72" fillId="44" borderId="143" applyNumberFormat="0" applyAlignment="0" applyProtection="0"/>
    <xf numFmtId="0" fontId="50" fillId="0" borderId="149" applyNumberFormat="0" applyFill="0" applyAlignment="0" applyProtection="0"/>
    <xf numFmtId="0" fontId="50" fillId="0" borderId="149" applyNumberFormat="0" applyFill="0" applyAlignment="0" applyProtection="0"/>
    <xf numFmtId="0" fontId="50" fillId="0" borderId="149" applyNumberFormat="0" applyFill="0" applyAlignment="0" applyProtection="0"/>
    <xf numFmtId="0" fontId="50" fillId="0" borderId="149" applyNumberFormat="0" applyFill="0" applyAlignment="0" applyProtection="0"/>
    <xf numFmtId="0" fontId="50" fillId="0" borderId="149" applyNumberFormat="0" applyFill="0" applyAlignment="0" applyProtection="0"/>
    <xf numFmtId="0" fontId="48" fillId="75" borderId="148" applyNumberFormat="0" applyAlignment="0" applyProtection="0"/>
    <xf numFmtId="0" fontId="48" fillId="78" borderId="148" applyNumberFormat="0" applyAlignment="0" applyProtection="0"/>
    <xf numFmtId="0" fontId="48" fillId="78" borderId="148" applyNumberFormat="0" applyAlignment="0" applyProtection="0"/>
    <xf numFmtId="0" fontId="48" fillId="78" borderId="148" applyNumberFormat="0" applyAlignment="0" applyProtection="0"/>
    <xf numFmtId="0" fontId="48" fillId="75" borderId="148" applyNumberFormat="0" applyAlignment="0" applyProtection="0"/>
    <xf numFmtId="0" fontId="48" fillId="75" borderId="148" applyNumberFormat="0" applyAlignment="0" applyProtection="0"/>
    <xf numFmtId="0" fontId="48" fillId="75" borderId="148" applyNumberFormat="0" applyAlignment="0" applyProtection="0"/>
    <xf numFmtId="0" fontId="48" fillId="75" borderId="148" applyNumberFormat="0" applyAlignment="0" applyProtection="0"/>
    <xf numFmtId="0" fontId="48" fillId="76" borderId="148" applyNumberFormat="0" applyAlignment="0" applyProtection="0"/>
    <xf numFmtId="0" fontId="48" fillId="76" borderId="148" applyNumberFormat="0" applyAlignment="0" applyProtection="0"/>
    <xf numFmtId="0" fontId="48" fillId="75" borderId="148" applyNumberFormat="0" applyAlignment="0" applyProtection="0"/>
    <xf numFmtId="0" fontId="48" fillId="76" borderId="148" applyNumberFormat="0" applyAlignment="0" applyProtection="0"/>
    <xf numFmtId="0" fontId="48" fillId="76" borderId="148" applyNumberFormat="0" applyAlignment="0" applyProtection="0"/>
    <xf numFmtId="0" fontId="48" fillId="75" borderId="148" applyNumberFormat="0" applyAlignment="0" applyProtection="0"/>
    <xf numFmtId="0" fontId="48" fillId="76" borderId="148" applyNumberFormat="0" applyAlignment="0" applyProtection="0"/>
    <xf numFmtId="0" fontId="48" fillId="76" borderId="148" applyNumberFormat="0" applyAlignment="0" applyProtection="0"/>
    <xf numFmtId="0" fontId="48" fillId="76" borderId="148" applyNumberFormat="0" applyAlignment="0" applyProtection="0"/>
    <xf numFmtId="0" fontId="48" fillId="75" borderId="148" applyNumberFormat="0" applyAlignment="0" applyProtection="0"/>
    <xf numFmtId="0" fontId="45" fillId="44" borderId="147" applyNumberFormat="0" applyAlignment="0" applyProtection="0"/>
    <xf numFmtId="0" fontId="50" fillId="0" borderId="142" applyNumberFormat="0" applyFill="0" applyAlignment="0" applyProtection="0"/>
    <xf numFmtId="0" fontId="78" fillId="0" borderId="139" applyNumberFormat="0" applyFill="0" applyAlignment="0" applyProtection="0"/>
    <xf numFmtId="0" fontId="78" fillId="0" borderId="139" applyNumberFormat="0" applyFill="0" applyAlignment="0" applyProtection="0"/>
    <xf numFmtId="0" fontId="78" fillId="0" borderId="139" applyNumberFormat="0" applyFill="0" applyAlignment="0" applyProtection="0"/>
    <xf numFmtId="0" fontId="78" fillId="0" borderId="139" applyNumberFormat="0" applyFill="0" applyAlignment="0" applyProtection="0"/>
    <xf numFmtId="0" fontId="78" fillId="0" borderId="139" applyNumberFormat="0" applyFill="0" applyAlignment="0" applyProtection="0"/>
    <xf numFmtId="0" fontId="78" fillId="0" borderId="139" applyNumberFormat="0" applyFill="0" applyAlignment="0" applyProtection="0"/>
    <xf numFmtId="0" fontId="78" fillId="0" borderId="139" applyNumberFormat="0" applyFill="0" applyAlignment="0" applyProtection="0"/>
    <xf numFmtId="0" fontId="78" fillId="0" borderId="139" applyNumberFormat="0" applyFill="0" applyAlignment="0" applyProtection="0"/>
    <xf numFmtId="0" fontId="78" fillId="0" borderId="139" applyNumberFormat="0" applyFill="0" applyAlignment="0" applyProtection="0"/>
    <xf numFmtId="0" fontId="78" fillId="0" borderId="139" applyNumberFormat="0" applyFill="0" applyAlignment="0" applyProtection="0"/>
    <xf numFmtId="0" fontId="78" fillId="0" borderId="139" applyNumberFormat="0" applyFill="0" applyAlignment="0" applyProtection="0"/>
    <xf numFmtId="0" fontId="66" fillId="0" borderId="139" applyNumberFormat="0" applyFill="0" applyAlignment="0" applyProtection="0"/>
    <xf numFmtId="0" fontId="78" fillId="0" borderId="139" applyNumberFormat="0" applyFill="0" applyAlignment="0" applyProtection="0"/>
    <xf numFmtId="0" fontId="66" fillId="0" borderId="139" applyNumberFormat="0" applyFill="0" applyAlignment="0" applyProtection="0"/>
    <xf numFmtId="0" fontId="66" fillId="0" borderId="139" applyNumberFormat="0" applyFill="0" applyAlignment="0" applyProtection="0"/>
    <xf numFmtId="0" fontId="66" fillId="0" borderId="139" applyNumberFormat="0" applyFill="0" applyAlignment="0" applyProtection="0"/>
    <xf numFmtId="0" fontId="78" fillId="0" borderId="139" applyNumberFormat="0" applyFill="0" applyAlignment="0" applyProtection="0"/>
    <xf numFmtId="0" fontId="78" fillId="0" borderId="139" applyNumberFormat="0" applyFill="0" applyAlignment="0" applyProtection="0"/>
    <xf numFmtId="0" fontId="78" fillId="0" borderId="138" applyNumberFormat="0" applyFill="0" applyAlignment="0" applyProtection="0"/>
    <xf numFmtId="0" fontId="78" fillId="0" borderId="138" applyNumberFormat="0" applyFill="0" applyAlignment="0" applyProtection="0"/>
    <xf numFmtId="0" fontId="78" fillId="0" borderId="138" applyNumberFormat="0" applyFill="0" applyAlignment="0" applyProtection="0"/>
    <xf numFmtId="0" fontId="78" fillId="0" borderId="138" applyNumberFormat="0" applyFill="0" applyAlignment="0" applyProtection="0"/>
    <xf numFmtId="0" fontId="78" fillId="0" borderId="138" applyNumberFormat="0" applyFill="0" applyAlignment="0" applyProtection="0"/>
    <xf numFmtId="0" fontId="78" fillId="0" borderId="138" applyNumberFormat="0" applyFill="0" applyAlignment="0" applyProtection="0"/>
    <xf numFmtId="0" fontId="78" fillId="0" borderId="138" applyNumberFormat="0" applyFill="0" applyAlignment="0" applyProtection="0"/>
    <xf numFmtId="0" fontId="78" fillId="0" borderId="138" applyNumberFormat="0" applyFill="0" applyAlignment="0" applyProtection="0"/>
    <xf numFmtId="0" fontId="78" fillId="0" borderId="138" applyNumberFormat="0" applyFill="0" applyAlignment="0" applyProtection="0"/>
    <xf numFmtId="0" fontId="78" fillId="0" borderId="138" applyNumberFormat="0" applyFill="0" applyAlignment="0" applyProtection="0"/>
    <xf numFmtId="0" fontId="78" fillId="0" borderId="138" applyNumberFormat="0" applyFill="0" applyAlignment="0" applyProtection="0"/>
    <xf numFmtId="0" fontId="78" fillId="0" borderId="138" applyNumberFormat="0" applyFill="0" applyAlignment="0" applyProtection="0"/>
    <xf numFmtId="0" fontId="78" fillId="0" borderId="138" applyNumberFormat="0" applyFill="0" applyAlignment="0" applyProtection="0"/>
    <xf numFmtId="0" fontId="66" fillId="0" borderId="138" applyNumberFormat="0" applyFill="0" applyAlignment="0" applyProtection="0"/>
    <xf numFmtId="0" fontId="78" fillId="0" borderId="139" applyNumberFormat="0" applyFill="0" applyAlignment="0" applyProtection="0"/>
    <xf numFmtId="0" fontId="66" fillId="0" borderId="138" applyNumberFormat="0" applyFill="0" applyAlignment="0" applyProtection="0"/>
    <xf numFmtId="0" fontId="66" fillId="0" borderId="138" applyNumberFormat="0" applyFill="0" applyAlignment="0" applyProtection="0"/>
    <xf numFmtId="0" fontId="78" fillId="0" borderId="138" applyNumberFormat="0" applyFill="0" applyAlignment="0" applyProtection="0"/>
    <xf numFmtId="0" fontId="78" fillId="0" borderId="138" applyNumberFormat="0" applyFill="0" applyAlignment="0" applyProtection="0"/>
    <xf numFmtId="0" fontId="78" fillId="0" borderId="138" applyNumberFormat="0" applyFill="0" applyAlignment="0" applyProtection="0"/>
    <xf numFmtId="0" fontId="78" fillId="0" borderId="138" applyNumberFormat="0" applyFill="0" applyAlignment="0" applyProtection="0"/>
    <xf numFmtId="0" fontId="78" fillId="0" borderId="138" applyNumberFormat="0" applyFill="0" applyAlignment="0" applyProtection="0"/>
    <xf numFmtId="0" fontId="78" fillId="0" borderId="138" applyNumberFormat="0" applyFill="0" applyAlignment="0" applyProtection="0"/>
    <xf numFmtId="0" fontId="66" fillId="0" borderId="138" applyNumberFormat="0" applyFill="0" applyAlignment="0" applyProtection="0"/>
    <xf numFmtId="0" fontId="66" fillId="0" borderId="138" applyNumberFormat="0" applyFill="0" applyAlignment="0" applyProtection="0"/>
    <xf numFmtId="0" fontId="66" fillId="0" borderId="138" applyNumberFormat="0" applyFill="0" applyAlignment="0" applyProtection="0"/>
    <xf numFmtId="0" fontId="66" fillId="0" borderId="138" applyNumberFormat="0" applyFill="0" applyAlignment="0" applyProtection="0"/>
    <xf numFmtId="0" fontId="66" fillId="0" borderId="138" applyNumberFormat="0" applyFill="0" applyAlignment="0" applyProtection="0"/>
    <xf numFmtId="0" fontId="66" fillId="0" borderId="138" applyNumberFormat="0" applyFill="0" applyAlignment="0" applyProtection="0"/>
    <xf numFmtId="0" fontId="66" fillId="0" borderId="138" applyNumberFormat="0" applyFill="0" applyAlignment="0" applyProtection="0"/>
    <xf numFmtId="0" fontId="66" fillId="0" borderId="138" applyNumberFormat="0" applyFill="0" applyAlignment="0" applyProtection="0"/>
    <xf numFmtId="0" fontId="78" fillId="0" borderId="138" applyNumberFormat="0" applyFill="0" applyAlignment="0" applyProtection="0"/>
    <xf numFmtId="0" fontId="78" fillId="0" borderId="138" applyNumberFormat="0" applyFill="0" applyAlignment="0" applyProtection="0"/>
    <xf numFmtId="0" fontId="78" fillId="0" borderId="139" applyNumberFormat="0" applyFill="0" applyAlignment="0" applyProtection="0"/>
    <xf numFmtId="0" fontId="78" fillId="0" borderId="139" applyNumberFormat="0" applyFill="0" applyAlignment="0" applyProtection="0"/>
    <xf numFmtId="0" fontId="78" fillId="0" borderId="139" applyNumberFormat="0" applyFill="0" applyAlignment="0" applyProtection="0"/>
    <xf numFmtId="0" fontId="78" fillId="0" borderId="139" applyNumberFormat="0" applyFill="0" applyAlignment="0" applyProtection="0"/>
    <xf numFmtId="0" fontId="66" fillId="0" borderId="139" applyNumberFormat="0" applyFill="0" applyAlignment="0" applyProtection="0"/>
    <xf numFmtId="0" fontId="66" fillId="0" borderId="139" applyNumberFormat="0" applyFill="0" applyAlignment="0" applyProtection="0"/>
    <xf numFmtId="0" fontId="66" fillId="0" borderId="139" applyNumberFormat="0" applyFill="0" applyAlignment="0" applyProtection="0"/>
    <xf numFmtId="0" fontId="66" fillId="0" borderId="139" applyNumberFormat="0" applyFill="0" applyAlignment="0" applyProtection="0"/>
    <xf numFmtId="0" fontId="66" fillId="0" borderId="139" applyNumberFormat="0" applyFill="0" applyAlignment="0" applyProtection="0"/>
    <xf numFmtId="0" fontId="66" fillId="0" borderId="139" applyNumberFormat="0" applyFill="0" applyAlignment="0" applyProtection="0"/>
    <xf numFmtId="0" fontId="66" fillId="0" borderId="139" applyNumberFormat="0" applyFill="0" applyAlignment="0" applyProtection="0"/>
    <xf numFmtId="0" fontId="66" fillId="0" borderId="139" applyNumberFormat="0" applyFill="0" applyAlignment="0" applyProtection="0"/>
    <xf numFmtId="0" fontId="78" fillId="0" borderId="139" applyNumberFormat="0" applyFill="0" applyAlignment="0" applyProtection="0"/>
    <xf numFmtId="0" fontId="78" fillId="0" borderId="139" applyNumberFormat="0" applyFill="0" applyAlignment="0" applyProtection="0"/>
    <xf numFmtId="0" fontId="78" fillId="0" borderId="139" applyNumberFormat="0" applyFill="0" applyAlignment="0" applyProtection="0"/>
    <xf numFmtId="0" fontId="78" fillId="0" borderId="139" applyNumberFormat="0" applyFill="0" applyAlignment="0" applyProtection="0"/>
    <xf numFmtId="0" fontId="78" fillId="0" borderId="139" applyNumberFormat="0" applyFill="0" applyAlignment="0" applyProtection="0"/>
    <xf numFmtId="0" fontId="78" fillId="0" borderId="139" applyNumberFormat="0" applyFill="0" applyAlignment="0" applyProtection="0"/>
    <xf numFmtId="0" fontId="78" fillId="0" borderId="139" applyNumberFormat="0" applyFill="0" applyAlignment="0" applyProtection="0"/>
    <xf numFmtId="0" fontId="78" fillId="0" borderId="139" applyNumberFormat="0" applyFill="0" applyAlignment="0" applyProtection="0"/>
    <xf numFmtId="0" fontId="73" fillId="75" borderId="137" applyNumberFormat="0" applyAlignment="0" applyProtection="0"/>
    <xf numFmtId="0" fontId="73" fillId="75" borderId="137" applyNumberFormat="0" applyAlignment="0" applyProtection="0"/>
    <xf numFmtId="0" fontId="73" fillId="75" borderId="137" applyNumberFormat="0" applyAlignment="0" applyProtection="0"/>
    <xf numFmtId="0" fontId="73" fillId="75" borderId="137" applyNumberFormat="0" applyAlignment="0" applyProtection="0"/>
    <xf numFmtId="0" fontId="73" fillId="75" borderId="137" applyNumberFormat="0" applyAlignment="0" applyProtection="0"/>
    <xf numFmtId="0" fontId="73" fillId="75" borderId="137" applyNumberFormat="0" applyAlignment="0" applyProtection="0"/>
    <xf numFmtId="0" fontId="73" fillId="75" borderId="137" applyNumberFormat="0" applyAlignment="0" applyProtection="0"/>
    <xf numFmtId="0" fontId="73" fillId="75" borderId="137" applyNumberFormat="0" applyAlignment="0" applyProtection="0"/>
    <xf numFmtId="0" fontId="73" fillId="75" borderId="137" applyNumberFormat="0" applyAlignment="0" applyProtection="0"/>
    <xf numFmtId="0" fontId="73" fillId="75" borderId="137" applyNumberFormat="0" applyAlignment="0" applyProtection="0"/>
    <xf numFmtId="0" fontId="73" fillId="75" borderId="137" applyNumberFormat="0" applyAlignment="0" applyProtection="0"/>
    <xf numFmtId="0" fontId="66" fillId="75" borderId="137" applyNumberFormat="0" applyAlignment="0" applyProtection="0"/>
    <xf numFmtId="0" fontId="73" fillId="75" borderId="137" applyNumberFormat="0" applyAlignment="0" applyProtection="0"/>
    <xf numFmtId="0" fontId="66" fillId="75" borderId="137" applyNumberFormat="0" applyAlignment="0" applyProtection="0"/>
    <xf numFmtId="0" fontId="66" fillId="75" borderId="137" applyNumberFormat="0" applyAlignment="0" applyProtection="0"/>
    <xf numFmtId="0" fontId="66" fillId="75" borderId="137" applyNumberFormat="0" applyAlignment="0" applyProtection="0"/>
    <xf numFmtId="0" fontId="73" fillId="75" borderId="137" applyNumberFormat="0" applyAlignment="0" applyProtection="0"/>
    <xf numFmtId="0" fontId="73" fillId="75" borderId="137" applyNumberFormat="0" applyAlignment="0" applyProtection="0"/>
    <xf numFmtId="0" fontId="73" fillId="92" borderId="137" applyNumberFormat="0" applyAlignment="0" applyProtection="0"/>
    <xf numFmtId="0" fontId="73" fillId="92" borderId="137" applyNumberFormat="0" applyAlignment="0" applyProtection="0"/>
    <xf numFmtId="0" fontId="73" fillId="92" borderId="137" applyNumberFormat="0" applyAlignment="0" applyProtection="0"/>
    <xf numFmtId="0" fontId="73" fillId="92" borderId="137" applyNumberFormat="0" applyAlignment="0" applyProtection="0"/>
    <xf numFmtId="0" fontId="73" fillId="92" borderId="137" applyNumberFormat="0" applyAlignment="0" applyProtection="0"/>
    <xf numFmtId="0" fontId="73" fillId="92" borderId="137" applyNumberFormat="0" applyAlignment="0" applyProtection="0"/>
    <xf numFmtId="0" fontId="73" fillId="92" borderId="137" applyNumberFormat="0" applyAlignment="0" applyProtection="0"/>
    <xf numFmtId="0" fontId="73" fillId="92" borderId="137" applyNumberFormat="0" applyAlignment="0" applyProtection="0"/>
    <xf numFmtId="0" fontId="73" fillId="92" borderId="137" applyNumberFormat="0" applyAlignment="0" applyProtection="0"/>
    <xf numFmtId="0" fontId="73" fillId="92" borderId="137" applyNumberFormat="0" applyAlignment="0" applyProtection="0"/>
    <xf numFmtId="0" fontId="73" fillId="92" borderId="137" applyNumberFormat="0" applyAlignment="0" applyProtection="0"/>
    <xf numFmtId="0" fontId="73" fillId="92" borderId="137" applyNumberFormat="0" applyAlignment="0" applyProtection="0"/>
    <xf numFmtId="0" fontId="66" fillId="92" borderId="137" applyNumberFormat="0" applyAlignment="0" applyProtection="0"/>
    <xf numFmtId="0" fontId="73" fillId="92" borderId="137" applyNumberFormat="0" applyAlignment="0" applyProtection="0"/>
    <xf numFmtId="0" fontId="73" fillId="75" borderId="137" applyNumberFormat="0" applyAlignment="0" applyProtection="0"/>
    <xf numFmtId="0" fontId="66" fillId="92" borderId="137" applyNumberFormat="0" applyAlignment="0" applyProtection="0"/>
    <xf numFmtId="0" fontId="66" fillId="92" borderId="137" applyNumberFormat="0" applyAlignment="0" applyProtection="0"/>
    <xf numFmtId="0" fontId="73" fillId="92" borderId="137" applyNumberFormat="0" applyAlignment="0" applyProtection="0"/>
    <xf numFmtId="0" fontId="73" fillId="92" borderId="137" applyNumberFormat="0" applyAlignment="0" applyProtection="0"/>
    <xf numFmtId="0" fontId="73" fillId="92" borderId="137" applyNumberFormat="0" applyAlignment="0" applyProtection="0"/>
    <xf numFmtId="0" fontId="73" fillId="92" borderId="137" applyNumberFormat="0" applyAlignment="0" applyProtection="0"/>
    <xf numFmtId="0" fontId="73" fillId="92" borderId="137" applyNumberFormat="0" applyAlignment="0" applyProtection="0"/>
    <xf numFmtId="0" fontId="73" fillId="92" borderId="137" applyNumberFormat="0" applyAlignment="0" applyProtection="0"/>
    <xf numFmtId="0" fontId="66" fillId="92" borderId="137" applyNumberFormat="0" applyAlignment="0" applyProtection="0"/>
    <xf numFmtId="0" fontId="66" fillId="92" borderId="137" applyNumberFormat="0" applyAlignment="0" applyProtection="0"/>
    <xf numFmtId="0" fontId="66" fillId="92" borderId="137" applyNumberFormat="0" applyAlignment="0" applyProtection="0"/>
    <xf numFmtId="0" fontId="66" fillId="92" borderId="137" applyNumberFormat="0" applyAlignment="0" applyProtection="0"/>
    <xf numFmtId="0" fontId="66" fillId="92" borderId="137" applyNumberFormat="0" applyAlignment="0" applyProtection="0"/>
    <xf numFmtId="0" fontId="66" fillId="92" borderId="137" applyNumberFormat="0" applyAlignment="0" applyProtection="0"/>
    <xf numFmtId="0" fontId="66" fillId="92" borderId="137" applyNumberFormat="0" applyAlignment="0" applyProtection="0"/>
    <xf numFmtId="0" fontId="66" fillId="92" borderId="137" applyNumberFormat="0" applyAlignment="0" applyProtection="0"/>
    <xf numFmtId="0" fontId="73" fillId="92" borderId="137" applyNumberFormat="0" applyAlignment="0" applyProtection="0"/>
    <xf numFmtId="0" fontId="73" fillId="92" borderId="137" applyNumberFormat="0" applyAlignment="0" applyProtection="0"/>
    <xf numFmtId="0" fontId="73" fillId="75" borderId="137" applyNumberFormat="0" applyAlignment="0" applyProtection="0"/>
    <xf numFmtId="0" fontId="73" fillId="75" borderId="137" applyNumberFormat="0" applyAlignment="0" applyProtection="0"/>
    <xf numFmtId="0" fontId="73" fillId="75" borderId="137" applyNumberFormat="0" applyAlignment="0" applyProtection="0"/>
    <xf numFmtId="0" fontId="73" fillId="75" borderId="137" applyNumberFormat="0" applyAlignment="0" applyProtection="0"/>
    <xf numFmtId="0" fontId="66" fillId="75" borderId="137" applyNumberFormat="0" applyAlignment="0" applyProtection="0"/>
    <xf numFmtId="0" fontId="66" fillId="75" borderId="137" applyNumberFormat="0" applyAlignment="0" applyProtection="0"/>
    <xf numFmtId="0" fontId="66" fillId="75" borderId="137" applyNumberFormat="0" applyAlignment="0" applyProtection="0"/>
    <xf numFmtId="0" fontId="66" fillId="75" borderId="137" applyNumberFormat="0" applyAlignment="0" applyProtection="0"/>
    <xf numFmtId="0" fontId="66" fillId="75" borderId="137" applyNumberFormat="0" applyAlignment="0" applyProtection="0"/>
    <xf numFmtId="0" fontId="66" fillId="75" borderId="137" applyNumberFormat="0" applyAlignment="0" applyProtection="0"/>
    <xf numFmtId="0" fontId="66" fillId="75" borderId="137" applyNumberFormat="0" applyAlignment="0" applyProtection="0"/>
    <xf numFmtId="0" fontId="66" fillId="75" borderId="137" applyNumberFormat="0" applyAlignment="0" applyProtection="0"/>
    <xf numFmtId="0" fontId="73" fillId="75" borderId="137" applyNumberFormat="0" applyAlignment="0" applyProtection="0"/>
    <xf numFmtId="0" fontId="73" fillId="75" borderId="137" applyNumberFormat="0" applyAlignment="0" applyProtection="0"/>
    <xf numFmtId="0" fontId="73" fillId="75" borderId="137" applyNumberFormat="0" applyAlignment="0" applyProtection="0"/>
    <xf numFmtId="0" fontId="73" fillId="75" borderId="137" applyNumberFormat="0" applyAlignment="0" applyProtection="0"/>
    <xf numFmtId="0" fontId="73" fillId="75" borderId="137" applyNumberFormat="0" applyAlignment="0" applyProtection="0"/>
    <xf numFmtId="0" fontId="73" fillId="75" borderId="137" applyNumberFormat="0" applyAlignment="0" applyProtection="0"/>
    <xf numFmtId="0" fontId="73" fillId="75" borderId="137" applyNumberFormat="0" applyAlignment="0" applyProtection="0"/>
    <xf numFmtId="0" fontId="73" fillId="75" borderId="137" applyNumberFormat="0" applyAlignment="0" applyProtection="0"/>
    <xf numFmtId="0" fontId="78" fillId="0" borderId="138" applyNumberFormat="0" applyFill="0" applyAlignment="0" applyProtection="0"/>
    <xf numFmtId="0" fontId="73" fillId="92" borderId="137" applyNumberFormat="0" applyAlignment="0" applyProtection="0"/>
    <xf numFmtId="0" fontId="66" fillId="86" borderId="136" applyNumberFormat="0" applyFont="0" applyAlignment="0" applyProtection="0"/>
    <xf numFmtId="0" fontId="66" fillId="86" borderId="136" applyNumberFormat="0" applyFont="0" applyAlignment="0" applyProtection="0"/>
    <xf numFmtId="0" fontId="66" fillId="86" borderId="136" applyNumberFormat="0" applyFont="0" applyAlignment="0" applyProtection="0"/>
    <xf numFmtId="0" fontId="66" fillId="86" borderId="136" applyNumberFormat="0" applyFont="0" applyAlignment="0" applyProtection="0"/>
    <xf numFmtId="0" fontId="66" fillId="86" borderId="136" applyNumberFormat="0" applyFont="0" applyAlignment="0" applyProtection="0"/>
    <xf numFmtId="0" fontId="66" fillId="86" borderId="136" applyNumberFormat="0" applyFont="0" applyAlignment="0" applyProtection="0"/>
    <xf numFmtId="0" fontId="66" fillId="86" borderId="136" applyNumberFormat="0" applyFont="0" applyAlignment="0" applyProtection="0"/>
    <xf numFmtId="0" fontId="66" fillId="86" borderId="136" applyNumberFormat="0" applyFont="0" applyAlignment="0" applyProtection="0"/>
    <xf numFmtId="0" fontId="66" fillId="86" borderId="136" applyNumberFormat="0" applyFont="0" applyAlignment="0" applyProtection="0"/>
    <xf numFmtId="0" fontId="66" fillId="86" borderId="136" applyNumberFormat="0" applyFont="0" applyAlignment="0" applyProtection="0"/>
    <xf numFmtId="0" fontId="66" fillId="86" borderId="136" applyNumberFormat="0" applyFont="0" applyAlignment="0" applyProtection="0"/>
    <xf numFmtId="0" fontId="66" fillId="86" borderId="136" applyNumberFormat="0" applyFont="0" applyAlignment="0" applyProtection="0"/>
    <xf numFmtId="0" fontId="66" fillId="86" borderId="136" applyNumberFormat="0" applyFont="0" applyAlignment="0" applyProtection="0"/>
    <xf numFmtId="0" fontId="66" fillId="86" borderId="136" applyNumberFormat="0" applyFont="0" applyAlignment="0" applyProtection="0"/>
    <xf numFmtId="0" fontId="66" fillId="86" borderId="136" applyNumberFormat="0" applyFont="0" applyAlignment="0" applyProtection="0"/>
    <xf numFmtId="0" fontId="66" fillId="86" borderId="136" applyNumberFormat="0" applyFont="0" applyAlignment="0" applyProtection="0"/>
    <xf numFmtId="0" fontId="66" fillId="86" borderId="136" applyNumberFormat="0" applyFont="0" applyAlignment="0" applyProtection="0"/>
    <xf numFmtId="0" fontId="66" fillId="86" borderId="136" applyNumberFormat="0" applyFont="0" applyAlignment="0" applyProtection="0"/>
    <xf numFmtId="0" fontId="66" fillId="86" borderId="136" applyNumberFormat="0" applyFont="0" applyAlignment="0" applyProtection="0"/>
    <xf numFmtId="0" fontId="66" fillId="86" borderId="136" applyNumberFormat="0" applyFont="0" applyAlignment="0" applyProtection="0"/>
    <xf numFmtId="0" fontId="66" fillId="86" borderId="136" applyNumberFormat="0" applyFont="0" applyAlignment="0" applyProtection="0"/>
    <xf numFmtId="0" fontId="66" fillId="86" borderId="136" applyNumberFormat="0" applyFont="0" applyAlignment="0" applyProtection="0"/>
    <xf numFmtId="0" fontId="66" fillId="86" borderId="136" applyNumberFormat="0" applyFont="0" applyAlignment="0" applyProtection="0"/>
    <xf numFmtId="0" fontId="66" fillId="86" borderId="136" applyNumberFormat="0" applyFont="0" applyAlignment="0" applyProtection="0"/>
    <xf numFmtId="0" fontId="66" fillId="86" borderId="136" applyNumberFormat="0" applyFont="0" applyAlignment="0" applyProtection="0"/>
    <xf numFmtId="0" fontId="66" fillId="86" borderId="136" applyNumberFormat="0" applyFont="0" applyAlignment="0" applyProtection="0"/>
    <xf numFmtId="0" fontId="66" fillId="86" borderId="136" applyNumberFormat="0" applyFont="0" applyAlignment="0" applyProtection="0"/>
    <xf numFmtId="0" fontId="66" fillId="86" borderId="136" applyNumberFormat="0" applyFont="0" applyAlignment="0" applyProtection="0"/>
    <xf numFmtId="0" fontId="66" fillId="86" borderId="136" applyNumberFormat="0" applyFont="0" applyAlignment="0" applyProtection="0"/>
    <xf numFmtId="0" fontId="66" fillId="86" borderId="136" applyNumberFormat="0" applyFont="0" applyAlignment="0" applyProtection="0"/>
    <xf numFmtId="0" fontId="66" fillId="86" borderId="136" applyNumberFormat="0" applyFont="0" applyAlignment="0" applyProtection="0"/>
    <xf numFmtId="0" fontId="66" fillId="86" borderId="136" applyNumberFormat="0" applyFont="0" applyAlignment="0" applyProtection="0"/>
    <xf numFmtId="0" fontId="66" fillId="86" borderId="136" applyNumberFormat="0" applyFont="0" applyAlignment="0" applyProtection="0"/>
    <xf numFmtId="0" fontId="66" fillId="86" borderId="136" applyNumberFormat="0" applyFont="0" applyAlignment="0" applyProtection="0"/>
    <xf numFmtId="0" fontId="66" fillId="86" borderId="136" applyNumberFormat="0" applyFont="0" applyAlignment="0" applyProtection="0"/>
    <xf numFmtId="0" fontId="66" fillId="86" borderId="136" applyNumberFormat="0" applyFont="0" applyAlignment="0" applyProtection="0"/>
    <xf numFmtId="0" fontId="66" fillId="86" borderId="136" applyNumberFormat="0" applyFont="0" applyAlignment="0" applyProtection="0"/>
    <xf numFmtId="0" fontId="66" fillId="86" borderId="136" applyNumberFormat="0" applyFont="0" applyAlignment="0" applyProtection="0"/>
    <xf numFmtId="0" fontId="66" fillId="86" borderId="136" applyNumberFormat="0" applyFont="0" applyAlignment="0" applyProtection="0"/>
    <xf numFmtId="0" fontId="66" fillId="86" borderId="136" applyNumberFormat="0" applyFont="0" applyAlignment="0" applyProtection="0"/>
    <xf numFmtId="0" fontId="66" fillId="86" borderId="136" applyNumberFormat="0" applyFont="0" applyAlignment="0" applyProtection="0"/>
    <xf numFmtId="0" fontId="66" fillId="86" borderId="136" applyNumberFormat="0" applyFont="0" applyAlignment="0" applyProtection="0"/>
    <xf numFmtId="0" fontId="66" fillId="86" borderId="136" applyNumberFormat="0" applyFont="0" applyAlignment="0" applyProtection="0"/>
    <xf numFmtId="0" fontId="66" fillId="86" borderId="136" applyNumberFormat="0" applyFont="0" applyAlignment="0" applyProtection="0"/>
    <xf numFmtId="0" fontId="66" fillId="86" borderId="136" applyNumberFormat="0" applyFont="0" applyAlignment="0" applyProtection="0"/>
    <xf numFmtId="0" fontId="66" fillId="86" borderId="136" applyNumberFormat="0" applyFont="0" applyAlignment="0" applyProtection="0"/>
    <xf numFmtId="0" fontId="66" fillId="86" borderId="136" applyNumberFormat="0" applyFont="0" applyAlignment="0" applyProtection="0"/>
    <xf numFmtId="0" fontId="66" fillId="86" borderId="136" applyNumberFormat="0" applyFont="0" applyAlignment="0" applyProtection="0"/>
    <xf numFmtId="0" fontId="66" fillId="86" borderId="136" applyNumberFormat="0" applyFont="0" applyAlignment="0" applyProtection="0"/>
    <xf numFmtId="0" fontId="66" fillId="86" borderId="136" applyNumberFormat="0" applyFont="0" applyAlignment="0" applyProtection="0"/>
    <xf numFmtId="0" fontId="66" fillId="86" borderId="136" applyNumberFormat="0" applyFont="0" applyAlignment="0" applyProtection="0"/>
    <xf numFmtId="0" fontId="66" fillId="86" borderId="136" applyNumberFormat="0" applyFont="0" applyAlignment="0" applyProtection="0"/>
    <xf numFmtId="0" fontId="66" fillId="86" borderId="136" applyNumberFormat="0" applyFont="0" applyAlignment="0" applyProtection="0"/>
    <xf numFmtId="0" fontId="66" fillId="86" borderId="136" applyNumberFormat="0" applyFont="0" applyAlignment="0" applyProtection="0"/>
    <xf numFmtId="0" fontId="66" fillId="86" borderId="136" applyNumberFormat="0" applyFont="0" applyAlignment="0" applyProtection="0"/>
    <xf numFmtId="0" fontId="66" fillId="86" borderId="136" applyNumberFormat="0" applyFont="0" applyAlignment="0" applyProtection="0"/>
    <xf numFmtId="0" fontId="66" fillId="86" borderId="136" applyNumberFormat="0" applyFont="0" applyAlignment="0" applyProtection="0"/>
    <xf numFmtId="0" fontId="66" fillId="86" borderId="136" applyNumberFormat="0" applyFont="0" applyAlignment="0" applyProtection="0"/>
    <xf numFmtId="0" fontId="66" fillId="86" borderId="136" applyNumberFormat="0" applyFont="0" applyAlignment="0" applyProtection="0"/>
    <xf numFmtId="0" fontId="66" fillId="86" borderId="136" applyNumberFormat="0" applyFont="0" applyAlignment="0" applyProtection="0"/>
    <xf numFmtId="0" fontId="66" fillId="86" borderId="136" applyNumberFormat="0" applyFont="0" applyAlignment="0" applyProtection="0"/>
    <xf numFmtId="0" fontId="66" fillId="86" borderId="136" applyNumberFormat="0" applyFont="0" applyAlignment="0" applyProtection="0"/>
    <xf numFmtId="0" fontId="66" fillId="86" borderId="136" applyNumberFormat="0" applyFont="0" applyAlignment="0" applyProtection="0"/>
    <xf numFmtId="0" fontId="66" fillId="86" borderId="136" applyNumberFormat="0" applyFont="0" applyAlignment="0" applyProtection="0"/>
    <xf numFmtId="0" fontId="66" fillId="86" borderId="136" applyNumberFormat="0" applyFont="0" applyAlignment="0" applyProtection="0"/>
    <xf numFmtId="0" fontId="66" fillId="86" borderId="136" applyNumberFormat="0" applyFont="0" applyAlignment="0" applyProtection="0"/>
    <xf numFmtId="0" fontId="66" fillId="86" borderId="136" applyNumberFormat="0" applyFont="0" applyAlignment="0" applyProtection="0"/>
    <xf numFmtId="0" fontId="66" fillId="86" borderId="136" applyNumberFormat="0" applyFont="0" applyAlignment="0" applyProtection="0"/>
    <xf numFmtId="0" fontId="66" fillId="86" borderId="136" applyNumberFormat="0" applyFont="0" applyAlignment="0" applyProtection="0"/>
    <xf numFmtId="0" fontId="66" fillId="86" borderId="136" applyNumberFormat="0" applyFont="0" applyAlignment="0" applyProtection="0"/>
    <xf numFmtId="0" fontId="66" fillId="86" borderId="136" applyNumberFormat="0" applyFont="0" applyAlignment="0" applyProtection="0"/>
    <xf numFmtId="0" fontId="66" fillId="86" borderId="136" applyNumberFormat="0" applyFont="0" applyAlignment="0" applyProtection="0"/>
    <xf numFmtId="0" fontId="74" fillId="75" borderId="135" applyNumberFormat="0" applyAlignment="0" applyProtection="0"/>
    <xf numFmtId="0" fontId="74" fillId="75" borderId="135" applyNumberFormat="0" applyAlignment="0" applyProtection="0"/>
    <xf numFmtId="0" fontId="74" fillId="75" borderId="135" applyNumberFormat="0" applyAlignment="0" applyProtection="0"/>
    <xf numFmtId="0" fontId="74" fillId="75" borderId="135" applyNumberFormat="0" applyAlignment="0" applyProtection="0"/>
    <xf numFmtId="0" fontId="74" fillId="75" borderId="135" applyNumberFormat="0" applyAlignment="0" applyProtection="0"/>
    <xf numFmtId="0" fontId="74" fillId="75" borderId="135" applyNumberFormat="0" applyAlignment="0" applyProtection="0"/>
    <xf numFmtId="0" fontId="74" fillId="75" borderId="135" applyNumberFormat="0" applyAlignment="0" applyProtection="0"/>
    <xf numFmtId="0" fontId="74" fillId="75" borderId="135" applyNumberFormat="0" applyAlignment="0" applyProtection="0"/>
    <xf numFmtId="0" fontId="74" fillId="75" borderId="135" applyNumberFormat="0" applyAlignment="0" applyProtection="0"/>
    <xf numFmtId="0" fontId="74" fillId="75" borderId="135" applyNumberFormat="0" applyAlignment="0" applyProtection="0"/>
    <xf numFmtId="0" fontId="74" fillId="75" borderId="135" applyNumberFormat="0" applyAlignment="0" applyProtection="0"/>
    <xf numFmtId="0" fontId="66" fillId="75" borderId="135" applyNumberFormat="0" applyAlignment="0" applyProtection="0"/>
    <xf numFmtId="0" fontId="74" fillId="75" borderId="135" applyNumberFormat="0" applyAlignment="0" applyProtection="0"/>
    <xf numFmtId="0" fontId="66" fillId="75" borderId="135" applyNumberFormat="0" applyAlignment="0" applyProtection="0"/>
    <xf numFmtId="0" fontId="66" fillId="75" borderId="135" applyNumberFormat="0" applyAlignment="0" applyProtection="0"/>
    <xf numFmtId="0" fontId="66" fillId="75" borderId="135" applyNumberFormat="0" applyAlignment="0" applyProtection="0"/>
    <xf numFmtId="0" fontId="74" fillId="75" borderId="135" applyNumberFormat="0" applyAlignment="0" applyProtection="0"/>
    <xf numFmtId="0" fontId="74" fillId="75" borderId="135" applyNumberFormat="0" applyAlignment="0" applyProtection="0"/>
    <xf numFmtId="0" fontId="74" fillId="92" borderId="135" applyNumberFormat="0" applyAlignment="0" applyProtection="0"/>
    <xf numFmtId="0" fontId="74" fillId="92" borderId="135" applyNumberFormat="0" applyAlignment="0" applyProtection="0"/>
    <xf numFmtId="0" fontId="74" fillId="92" borderId="135" applyNumberFormat="0" applyAlignment="0" applyProtection="0"/>
    <xf numFmtId="0" fontId="74" fillId="92" borderId="135" applyNumberFormat="0" applyAlignment="0" applyProtection="0"/>
    <xf numFmtId="0" fontId="74" fillId="92" borderId="135" applyNumberFormat="0" applyAlignment="0" applyProtection="0"/>
    <xf numFmtId="0" fontId="74" fillId="92" borderId="135" applyNumberFormat="0" applyAlignment="0" applyProtection="0"/>
    <xf numFmtId="0" fontId="74" fillId="92" borderId="135" applyNumberFormat="0" applyAlignment="0" applyProtection="0"/>
    <xf numFmtId="0" fontId="74" fillId="92" borderId="135" applyNumberFormat="0" applyAlignment="0" applyProtection="0"/>
    <xf numFmtId="0" fontId="74" fillId="92" borderId="135" applyNumberFormat="0" applyAlignment="0" applyProtection="0"/>
    <xf numFmtId="0" fontId="74" fillId="92" borderId="135" applyNumberFormat="0" applyAlignment="0" applyProtection="0"/>
    <xf numFmtId="0" fontId="74" fillId="92" borderId="135" applyNumberFormat="0" applyAlignment="0" applyProtection="0"/>
    <xf numFmtId="0" fontId="66" fillId="92" borderId="135" applyNumberFormat="0" applyAlignment="0" applyProtection="0"/>
    <xf numFmtId="0" fontId="74" fillId="92" borderId="135" applyNumberFormat="0" applyAlignment="0" applyProtection="0"/>
    <xf numFmtId="0" fontId="66" fillId="92" borderId="135" applyNumberFormat="0" applyAlignment="0" applyProtection="0"/>
    <xf numFmtId="0" fontId="74" fillId="75" borderId="135" applyNumberFormat="0" applyAlignment="0" applyProtection="0"/>
    <xf numFmtId="0" fontId="66" fillId="92" borderId="135" applyNumberFormat="0" applyAlignment="0" applyProtection="0"/>
    <xf numFmtId="0" fontId="66" fillId="92" borderId="135" applyNumberFormat="0" applyAlignment="0" applyProtection="0"/>
    <xf numFmtId="0" fontId="74" fillId="92" borderId="135" applyNumberFormat="0" applyAlignment="0" applyProtection="0"/>
    <xf numFmtId="0" fontId="74" fillId="92" borderId="135" applyNumberFormat="0" applyAlignment="0" applyProtection="0"/>
    <xf numFmtId="0" fontId="74" fillId="92" borderId="135" applyNumberFormat="0" applyAlignment="0" applyProtection="0"/>
    <xf numFmtId="0" fontId="74" fillId="92" borderId="135" applyNumberFormat="0" applyAlignment="0" applyProtection="0"/>
    <xf numFmtId="0" fontId="74" fillId="92" borderId="135" applyNumberFormat="0" applyAlignment="0" applyProtection="0"/>
    <xf numFmtId="0" fontId="74" fillId="92" borderId="135" applyNumberFormat="0" applyAlignment="0" applyProtection="0"/>
    <xf numFmtId="0" fontId="66" fillId="92" borderId="135" applyNumberFormat="0" applyAlignment="0" applyProtection="0"/>
    <xf numFmtId="0" fontId="66" fillId="92" borderId="135" applyNumberFormat="0" applyAlignment="0" applyProtection="0"/>
    <xf numFmtId="0" fontId="66" fillId="92" borderId="135" applyNumberFormat="0" applyAlignment="0" applyProtection="0"/>
    <xf numFmtId="0" fontId="66" fillId="92" borderId="135" applyNumberFormat="0" applyAlignment="0" applyProtection="0"/>
    <xf numFmtId="0" fontId="66" fillId="92" borderId="135" applyNumberFormat="0" applyAlignment="0" applyProtection="0"/>
    <xf numFmtId="0" fontId="66" fillId="92" borderId="135" applyNumberFormat="0" applyAlignment="0" applyProtection="0"/>
    <xf numFmtId="0" fontId="66" fillId="92" borderId="135" applyNumberFormat="0" applyAlignment="0" applyProtection="0"/>
    <xf numFmtId="0" fontId="66" fillId="92" borderId="135" applyNumberFormat="0" applyAlignment="0" applyProtection="0"/>
    <xf numFmtId="0" fontId="74" fillId="92" borderId="135" applyNumberFormat="0" applyAlignment="0" applyProtection="0"/>
    <xf numFmtId="0" fontId="74" fillId="92" borderId="135" applyNumberFormat="0" applyAlignment="0" applyProtection="0"/>
    <xf numFmtId="0" fontId="74" fillId="75" borderId="135" applyNumberFormat="0" applyAlignment="0" applyProtection="0"/>
    <xf numFmtId="0" fontId="74" fillId="75" borderId="135" applyNumberFormat="0" applyAlignment="0" applyProtection="0"/>
    <xf numFmtId="0" fontId="74" fillId="75" borderId="135" applyNumberFormat="0" applyAlignment="0" applyProtection="0"/>
    <xf numFmtId="0" fontId="74" fillId="75" borderId="135" applyNumberFormat="0" applyAlignment="0" applyProtection="0"/>
    <xf numFmtId="0" fontId="66" fillId="75" borderId="135" applyNumberFormat="0" applyAlignment="0" applyProtection="0"/>
    <xf numFmtId="0" fontId="66" fillId="75" borderId="135" applyNumberFormat="0" applyAlignment="0" applyProtection="0"/>
    <xf numFmtId="0" fontId="66" fillId="75" borderId="135" applyNumberFormat="0" applyAlignment="0" applyProtection="0"/>
    <xf numFmtId="0" fontId="66" fillId="75" borderId="135" applyNumberFormat="0" applyAlignment="0" applyProtection="0"/>
    <xf numFmtId="0" fontId="66" fillId="75" borderId="135" applyNumberFormat="0" applyAlignment="0" applyProtection="0"/>
    <xf numFmtId="0" fontId="66" fillId="75" borderId="135" applyNumberFormat="0" applyAlignment="0" applyProtection="0"/>
    <xf numFmtId="0" fontId="66" fillId="75" borderId="135" applyNumberFormat="0" applyAlignment="0" applyProtection="0"/>
    <xf numFmtId="0" fontId="66" fillId="75" borderId="135" applyNumberFormat="0" applyAlignment="0" applyProtection="0"/>
    <xf numFmtId="0" fontId="74" fillId="75" borderId="135" applyNumberFormat="0" applyAlignment="0" applyProtection="0"/>
    <xf numFmtId="0" fontId="74" fillId="75" borderId="135" applyNumberFormat="0" applyAlignment="0" applyProtection="0"/>
    <xf numFmtId="0" fontId="74" fillId="75" borderId="135" applyNumberFormat="0" applyAlignment="0" applyProtection="0"/>
    <xf numFmtId="0" fontId="74" fillId="75" borderId="135" applyNumberFormat="0" applyAlignment="0" applyProtection="0"/>
    <xf numFmtId="0" fontId="74" fillId="75" borderId="135" applyNumberFormat="0" applyAlignment="0" applyProtection="0"/>
    <xf numFmtId="0" fontId="74" fillId="75" borderId="135" applyNumberFormat="0" applyAlignment="0" applyProtection="0"/>
    <xf numFmtId="0" fontId="74" fillId="75" borderId="135" applyNumberFormat="0" applyAlignment="0" applyProtection="0"/>
    <xf numFmtId="0" fontId="74" fillId="75" borderId="135" applyNumberFormat="0" applyAlignment="0" applyProtection="0"/>
    <xf numFmtId="0" fontId="72" fillId="44" borderId="135" applyNumberFormat="0" applyAlignment="0" applyProtection="0"/>
    <xf numFmtId="0" fontId="72" fillId="44" borderId="135" applyNumberFormat="0" applyAlignment="0" applyProtection="0"/>
    <xf numFmtId="0" fontId="72" fillId="44" borderId="135" applyNumberFormat="0" applyAlignment="0" applyProtection="0"/>
    <xf numFmtId="0" fontId="72" fillId="44" borderId="135" applyNumberFormat="0" applyAlignment="0" applyProtection="0"/>
    <xf numFmtId="0" fontId="72" fillId="44" borderId="135" applyNumberFormat="0" applyAlignment="0" applyProtection="0"/>
    <xf numFmtId="0" fontId="72" fillId="44" borderId="135" applyNumberFormat="0" applyAlignment="0" applyProtection="0"/>
    <xf numFmtId="0" fontId="72" fillId="44" borderId="135" applyNumberFormat="0" applyAlignment="0" applyProtection="0"/>
    <xf numFmtId="0" fontId="72" fillId="44" borderId="135" applyNumberFormat="0" applyAlignment="0" applyProtection="0"/>
    <xf numFmtId="0" fontId="72" fillId="44" borderId="135" applyNumberFormat="0" applyAlignment="0" applyProtection="0"/>
    <xf numFmtId="0" fontId="72" fillId="44" borderId="135" applyNumberFormat="0" applyAlignment="0" applyProtection="0"/>
    <xf numFmtId="0" fontId="72" fillId="44" borderId="135" applyNumberFormat="0" applyAlignment="0" applyProtection="0"/>
    <xf numFmtId="0" fontId="66" fillId="44" borderId="135" applyNumberFormat="0" applyAlignment="0" applyProtection="0"/>
    <xf numFmtId="0" fontId="72" fillId="44" borderId="135" applyNumberFormat="0" applyAlignment="0" applyProtection="0"/>
    <xf numFmtId="0" fontId="66" fillId="44" borderId="135" applyNumberFormat="0" applyAlignment="0" applyProtection="0"/>
    <xf numFmtId="0" fontId="66" fillId="44" borderId="135" applyNumberFormat="0" applyAlignment="0" applyProtection="0"/>
    <xf numFmtId="0" fontId="66" fillId="44" borderId="135" applyNumberFormat="0" applyAlignment="0" applyProtection="0"/>
    <xf numFmtId="0" fontId="72" fillId="44" borderId="135" applyNumberFormat="0" applyAlignment="0" applyProtection="0"/>
    <xf numFmtId="0" fontId="72" fillId="44" borderId="135" applyNumberFormat="0" applyAlignment="0" applyProtection="0"/>
    <xf numFmtId="0" fontId="72" fillId="44" borderId="135" applyNumberFormat="0" applyAlignment="0" applyProtection="0"/>
    <xf numFmtId="0" fontId="72" fillId="44" borderId="135" applyNumberFormat="0" applyAlignment="0" applyProtection="0"/>
    <xf numFmtId="0" fontId="72" fillId="44" borderId="135" applyNumberFormat="0" applyAlignment="0" applyProtection="0"/>
    <xf numFmtId="0" fontId="72" fillId="44" borderId="135" applyNumberFormat="0" applyAlignment="0" applyProtection="0"/>
    <xf numFmtId="0" fontId="72" fillId="44" borderId="135" applyNumberFormat="0" applyAlignment="0" applyProtection="0"/>
    <xf numFmtId="0" fontId="72" fillId="44" borderId="135" applyNumberFormat="0" applyAlignment="0" applyProtection="0"/>
    <xf numFmtId="0" fontId="72" fillId="44" borderId="135" applyNumberFormat="0" applyAlignment="0" applyProtection="0"/>
    <xf numFmtId="0" fontId="72" fillId="44" borderId="135" applyNumberFormat="0" applyAlignment="0" applyProtection="0"/>
    <xf numFmtId="0" fontId="72" fillId="44" borderId="135" applyNumberFormat="0" applyAlignment="0" applyProtection="0"/>
    <xf numFmtId="0" fontId="72" fillId="44" borderId="135" applyNumberFormat="0" applyAlignment="0" applyProtection="0"/>
    <xf numFmtId="0" fontId="72" fillId="44" borderId="135" applyNumberFormat="0" applyAlignment="0" applyProtection="0"/>
    <xf numFmtId="0" fontId="66" fillId="44" borderId="135" applyNumberFormat="0" applyAlignment="0" applyProtection="0"/>
    <xf numFmtId="0" fontId="72" fillId="44" borderId="135" applyNumberFormat="0" applyAlignment="0" applyProtection="0"/>
    <xf numFmtId="0" fontId="66" fillId="44" borderId="135" applyNumberFormat="0" applyAlignment="0" applyProtection="0"/>
    <xf numFmtId="0" fontId="66" fillId="44" borderId="135" applyNumberFormat="0" applyAlignment="0" applyProtection="0"/>
    <xf numFmtId="0" fontId="66" fillId="44" borderId="135" applyNumberFormat="0" applyAlignment="0" applyProtection="0"/>
    <xf numFmtId="0" fontId="72" fillId="44" borderId="135" applyNumberFormat="0" applyAlignment="0" applyProtection="0"/>
    <xf numFmtId="0" fontId="72" fillId="44" borderId="135" applyNumberFormat="0" applyAlignment="0" applyProtection="0"/>
    <xf numFmtId="0" fontId="72" fillId="44" borderId="135" applyNumberFormat="0" applyAlignment="0" applyProtection="0"/>
    <xf numFmtId="0" fontId="72" fillId="44" borderId="135" applyNumberFormat="0" applyAlignment="0" applyProtection="0"/>
    <xf numFmtId="0" fontId="72" fillId="44" borderId="135" applyNumberFormat="0" applyAlignment="0" applyProtection="0"/>
    <xf numFmtId="0" fontId="72" fillId="44" borderId="135" applyNumberFormat="0" applyAlignment="0" applyProtection="0"/>
    <xf numFmtId="0" fontId="66" fillId="44" borderId="135" applyNumberFormat="0" applyAlignment="0" applyProtection="0"/>
    <xf numFmtId="0" fontId="66" fillId="44" borderId="135" applyNumberFormat="0" applyAlignment="0" applyProtection="0"/>
    <xf numFmtId="0" fontId="66" fillId="44" borderId="135" applyNumberFormat="0" applyAlignment="0" applyProtection="0"/>
    <xf numFmtId="0" fontId="66" fillId="44" borderId="135" applyNumberFormat="0" applyAlignment="0" applyProtection="0"/>
    <xf numFmtId="0" fontId="66" fillId="44" borderId="135" applyNumberFormat="0" applyAlignment="0" applyProtection="0"/>
    <xf numFmtId="0" fontId="66" fillId="44" borderId="135" applyNumberFormat="0" applyAlignment="0" applyProtection="0"/>
    <xf numFmtId="0" fontId="66" fillId="44" borderId="135" applyNumberFormat="0" applyAlignment="0" applyProtection="0"/>
    <xf numFmtId="0" fontId="66" fillId="44" borderId="135" applyNumberFormat="0" applyAlignment="0" applyProtection="0"/>
    <xf numFmtId="0" fontId="72" fillId="44" borderId="135" applyNumberFormat="0" applyAlignment="0" applyProtection="0"/>
    <xf numFmtId="0" fontId="72" fillId="44" borderId="135" applyNumberFormat="0" applyAlignment="0" applyProtection="0"/>
    <xf numFmtId="0" fontId="72" fillId="44" borderId="135" applyNumberFormat="0" applyAlignment="0" applyProtection="0"/>
    <xf numFmtId="0" fontId="72" fillId="44" borderId="135" applyNumberFormat="0" applyAlignment="0" applyProtection="0"/>
    <xf numFmtId="0" fontId="72" fillId="44" borderId="135" applyNumberFormat="0" applyAlignment="0" applyProtection="0"/>
    <xf numFmtId="0" fontId="72" fillId="44" borderId="135" applyNumberFormat="0" applyAlignment="0" applyProtection="0"/>
    <xf numFmtId="0" fontId="66" fillId="44" borderId="135" applyNumberFormat="0" applyAlignment="0" applyProtection="0"/>
    <xf numFmtId="0" fontId="66" fillId="44" borderId="135" applyNumberFormat="0" applyAlignment="0" applyProtection="0"/>
    <xf numFmtId="0" fontId="66" fillId="44" borderId="135" applyNumberFormat="0" applyAlignment="0" applyProtection="0"/>
    <xf numFmtId="0" fontId="66" fillId="44" borderId="135" applyNumberFormat="0" applyAlignment="0" applyProtection="0"/>
    <xf numFmtId="0" fontId="66" fillId="44" borderId="135" applyNumberFormat="0" applyAlignment="0" applyProtection="0"/>
    <xf numFmtId="0" fontId="66" fillId="44" borderId="135" applyNumberFormat="0" applyAlignment="0" applyProtection="0"/>
    <xf numFmtId="0" fontId="66" fillId="44" borderId="135" applyNumberFormat="0" applyAlignment="0" applyProtection="0"/>
    <xf numFmtId="0" fontId="66" fillId="44" borderId="135" applyNumberFormat="0" applyAlignment="0" applyProtection="0"/>
    <xf numFmtId="0" fontId="72" fillId="44" borderId="135" applyNumberFormat="0" applyAlignment="0" applyProtection="0"/>
    <xf numFmtId="0" fontId="72" fillId="44" borderId="135" applyNumberFormat="0" applyAlignment="0" applyProtection="0"/>
    <xf numFmtId="0" fontId="72" fillId="44" borderId="135" applyNumberFormat="0" applyAlignment="0" applyProtection="0"/>
    <xf numFmtId="0" fontId="72" fillId="44" borderId="135" applyNumberFormat="0" applyAlignment="0" applyProtection="0"/>
    <xf numFmtId="0" fontId="72" fillId="44" borderId="135" applyNumberFormat="0" applyAlignment="0" applyProtection="0"/>
    <xf numFmtId="0" fontId="72" fillId="44" borderId="135" applyNumberFormat="0" applyAlignment="0" applyProtection="0"/>
    <xf numFmtId="0" fontId="72" fillId="44" borderId="135" applyNumberFormat="0" applyAlignment="0" applyProtection="0"/>
    <xf numFmtId="0" fontId="72" fillId="44" borderId="135" applyNumberFormat="0" applyAlignment="0" applyProtection="0"/>
    <xf numFmtId="0" fontId="66" fillId="86" borderId="136" applyNumberFormat="0" applyFont="0" applyAlignment="0" applyProtection="0"/>
    <xf numFmtId="0" fontId="74" fillId="92" borderId="135" applyNumberFormat="0" applyAlignment="0" applyProtection="0"/>
    <xf numFmtId="0" fontId="72" fillId="44" borderId="135" applyNumberFormat="0" applyAlignment="0" applyProtection="0"/>
    <xf numFmtId="0" fontId="45" fillId="44" borderId="135" applyNumberFormat="0" applyAlignment="0" applyProtection="0"/>
    <xf numFmtId="0" fontId="45" fillId="44" borderId="135" applyNumberFormat="0" applyAlignment="0" applyProtection="0"/>
    <xf numFmtId="165" fontId="41" fillId="94" borderId="125">
      <alignment horizontal="center" vertical="center"/>
    </xf>
    <xf numFmtId="0" fontId="45" fillId="49" borderId="163" applyNumberFormat="0" applyAlignment="0" applyProtection="0"/>
    <xf numFmtId="0" fontId="48" fillId="78" borderId="166" applyNumberFormat="0" applyAlignment="0" applyProtection="0"/>
    <xf numFmtId="0" fontId="66" fillId="44" borderId="163" applyNumberFormat="0" applyAlignment="0" applyProtection="0"/>
    <xf numFmtId="0" fontId="78" fillId="0" borderId="167" applyNumberFormat="0" applyFill="0" applyAlignment="0" applyProtection="0"/>
    <xf numFmtId="0" fontId="45" fillId="49" borderId="163" applyNumberFormat="0" applyAlignment="0" applyProtection="0"/>
    <xf numFmtId="0" fontId="48" fillId="75" borderId="166" applyNumberFormat="0" applyAlignment="0" applyProtection="0"/>
    <xf numFmtId="0" fontId="72" fillId="44" borderId="163" applyNumberFormat="0" applyAlignment="0" applyProtection="0"/>
    <xf numFmtId="0" fontId="72" fillId="44" borderId="163" applyNumberFormat="0" applyAlignment="0" applyProtection="0"/>
    <xf numFmtId="0" fontId="78" fillId="0" borderId="167" applyNumberFormat="0" applyFill="0" applyAlignment="0" applyProtection="0"/>
    <xf numFmtId="0" fontId="116" fillId="75" borderId="128" applyNumberFormat="0" applyAlignment="0" applyProtection="0">
      <alignment vertical="center"/>
    </xf>
    <xf numFmtId="0" fontId="115" fillId="44" borderId="127" applyNumberFormat="0" applyAlignment="0" applyProtection="0">
      <alignment vertical="center"/>
    </xf>
    <xf numFmtId="0" fontId="114" fillId="75" borderId="127" applyNumberFormat="0" applyAlignment="0" applyProtection="0">
      <alignment vertical="center"/>
    </xf>
    <xf numFmtId="0" fontId="111" fillId="86" borderId="134" applyNumberFormat="0" applyFont="0" applyAlignment="0" applyProtection="0">
      <alignment vertical="center"/>
    </xf>
    <xf numFmtId="0" fontId="110" fillId="0" borderId="129" applyNumberFormat="0" applyFill="0" applyAlignment="0" applyProtection="0">
      <alignment vertical="center"/>
    </xf>
    <xf numFmtId="0" fontId="50" fillId="0" borderId="129" applyNumberFormat="0" applyFill="0" applyAlignment="0" applyProtection="0"/>
    <xf numFmtId="0" fontId="50" fillId="0" borderId="129" applyNumberFormat="0" applyFill="0" applyAlignment="0" applyProtection="0"/>
    <xf numFmtId="0" fontId="48" fillId="75" borderId="128" applyNumberFormat="0" applyAlignment="0" applyProtection="0"/>
    <xf numFmtId="0" fontId="48" fillId="75" borderId="128" applyNumberFormat="0" applyAlignment="0" applyProtection="0"/>
    <xf numFmtId="0" fontId="48" fillId="75" borderId="128" applyNumberFormat="0" applyAlignment="0" applyProtection="0"/>
    <xf numFmtId="0" fontId="48" fillId="75" borderId="128" applyNumberFormat="0" applyAlignment="0" applyProtection="0"/>
    <xf numFmtId="0" fontId="48" fillId="75" borderId="128" applyNumberFormat="0" applyAlignment="0" applyProtection="0"/>
    <xf numFmtId="0" fontId="48" fillId="75" borderId="128" applyNumberFormat="0" applyAlignment="0" applyProtection="0"/>
    <xf numFmtId="0" fontId="33" fillId="86" borderId="134" applyNumberFormat="0" applyFont="0" applyAlignment="0" applyProtection="0"/>
    <xf numFmtId="0" fontId="33" fillId="86" borderId="134" applyNumberFormat="0" applyFont="0" applyAlignment="0" applyProtection="0"/>
    <xf numFmtId="0" fontId="33" fillId="86" borderId="134" applyNumberFormat="0" applyFont="0" applyAlignment="0" applyProtection="0"/>
    <xf numFmtId="0" fontId="33" fillId="86" borderId="134" applyNumberFormat="0" applyFont="0" applyAlignment="0" applyProtection="0"/>
    <xf numFmtId="0" fontId="33" fillId="86" borderId="134" applyNumberFormat="0" applyFont="0" applyAlignment="0" applyProtection="0"/>
    <xf numFmtId="0" fontId="33" fillId="86" borderId="134" applyNumberFormat="0" applyFont="0" applyAlignment="0" applyProtection="0"/>
    <xf numFmtId="0" fontId="33" fillId="86" borderId="134" applyNumberFormat="0" applyFont="0" applyAlignment="0" applyProtection="0"/>
    <xf numFmtId="0" fontId="33" fillId="86" borderId="134" applyNumberFormat="0" applyFont="0" applyAlignment="0" applyProtection="0"/>
    <xf numFmtId="0" fontId="33" fillId="86" borderId="134" applyNumberFormat="0" applyFont="0" applyAlignment="0" applyProtection="0"/>
    <xf numFmtId="0" fontId="33" fillId="86" borderId="134" applyNumberFormat="0" applyFont="0" applyAlignment="0" applyProtection="0"/>
    <xf numFmtId="0" fontId="72" fillId="44" borderId="147" applyNumberFormat="0" applyAlignment="0" applyProtection="0"/>
    <xf numFmtId="0" fontId="72" fillId="44" borderId="147" applyNumberFormat="0" applyAlignment="0" applyProtection="0"/>
    <xf numFmtId="0" fontId="72" fillId="44" borderId="147" applyNumberFormat="0" applyAlignment="0" applyProtection="0"/>
    <xf numFmtId="0" fontId="72" fillId="44" borderId="147" applyNumberFormat="0" applyAlignment="0" applyProtection="0"/>
    <xf numFmtId="0" fontId="72" fillId="44" borderId="147" applyNumberFormat="0" applyAlignment="0" applyProtection="0"/>
    <xf numFmtId="0" fontId="72" fillId="44" borderId="147" applyNumberFormat="0" applyAlignment="0" applyProtection="0"/>
    <xf numFmtId="201" fontId="101" fillId="0" borderId="133">
      <alignment horizontal="left"/>
      <protection locked="0"/>
    </xf>
    <xf numFmtId="0" fontId="45" fillId="44" borderId="127" applyNumberFormat="0" applyAlignment="0" applyProtection="0"/>
    <xf numFmtId="0" fontId="45" fillId="44" borderId="127" applyNumberFormat="0" applyAlignment="0" applyProtection="0"/>
    <xf numFmtId="0" fontId="45" fillId="44" borderId="127" applyNumberFormat="0" applyAlignment="0" applyProtection="0"/>
    <xf numFmtId="0" fontId="45" fillId="44" borderId="127" applyNumberFormat="0" applyAlignment="0" applyProtection="0"/>
    <xf numFmtId="0" fontId="45" fillId="44" borderId="127" applyNumberFormat="0" applyAlignment="0" applyProtection="0"/>
    <xf numFmtId="0" fontId="45" fillId="44" borderId="127" applyNumberFormat="0" applyAlignment="0" applyProtection="0"/>
    <xf numFmtId="0" fontId="38" fillId="75" borderId="127" applyNumberFormat="0" applyAlignment="0" applyProtection="0"/>
    <xf numFmtId="0" fontId="38" fillId="75" borderId="127" applyNumberFormat="0" applyAlignment="0" applyProtection="0"/>
    <xf numFmtId="0" fontId="38" fillId="75" borderId="127" applyNumberFormat="0" applyAlignment="0" applyProtection="0"/>
    <xf numFmtId="0" fontId="38" fillId="75" borderId="127" applyNumberFormat="0" applyAlignment="0" applyProtection="0"/>
    <xf numFmtId="0" fontId="38" fillId="75" borderId="127" applyNumberFormat="0" applyAlignment="0" applyProtection="0"/>
    <xf numFmtId="0" fontId="38" fillId="75" borderId="127" applyNumberFormat="0" applyAlignment="0" applyProtection="0"/>
    <xf numFmtId="0" fontId="38" fillId="75" borderId="127" applyNumberFormat="0" applyAlignment="0" applyProtection="0"/>
    <xf numFmtId="0" fontId="38" fillId="75" borderId="155" applyNumberFormat="0" applyAlignment="0" applyProtection="0"/>
    <xf numFmtId="0" fontId="38" fillId="75" borderId="155" applyNumberFormat="0" applyAlignment="0" applyProtection="0"/>
    <xf numFmtId="0" fontId="38" fillId="78" borderId="155" applyNumberFormat="0" applyAlignment="0" applyProtection="0"/>
    <xf numFmtId="0" fontId="38" fillId="78" borderId="155" applyNumberFormat="0" applyAlignment="0" applyProtection="0"/>
    <xf numFmtId="0" fontId="38" fillId="78" borderId="155" applyNumberFormat="0" applyAlignment="0" applyProtection="0"/>
    <xf numFmtId="0" fontId="45" fillId="49" borderId="155" applyNumberFormat="0" applyAlignment="0" applyProtection="0"/>
    <xf numFmtId="0" fontId="45" fillId="49" borderId="155" applyNumberFormat="0" applyAlignment="0" applyProtection="0"/>
    <xf numFmtId="0" fontId="45" fillId="49" borderId="155" applyNumberFormat="0" applyAlignment="0" applyProtection="0"/>
    <xf numFmtId="0" fontId="54" fillId="0" borderId="151">
      <alignment horizontal="left" vertical="center"/>
    </xf>
    <xf numFmtId="10" fontId="52" fillId="82" borderId="150" applyNumberFormat="0" applyBorder="0" applyAlignment="0" applyProtection="0"/>
    <xf numFmtId="10" fontId="52" fillId="82" borderId="150" applyNumberFormat="0" applyBorder="0" applyAlignment="0" applyProtection="0"/>
    <xf numFmtId="0" fontId="45" fillId="45" borderId="155" applyNumberFormat="0" applyAlignment="0" applyProtection="0"/>
    <xf numFmtId="0" fontId="45" fillId="45" borderId="155" applyNumberFormat="0" applyAlignment="0" applyProtection="0"/>
    <xf numFmtId="0" fontId="45" fillId="45" borderId="155" applyNumberFormat="0" applyAlignment="0" applyProtection="0"/>
    <xf numFmtId="0" fontId="45" fillId="45" borderId="155" applyNumberFormat="0" applyAlignment="0" applyProtection="0"/>
    <xf numFmtId="0" fontId="45" fillId="44" borderId="155" applyNumberFormat="0" applyAlignment="0" applyProtection="0"/>
    <xf numFmtId="0" fontId="45" fillId="45" borderId="155" applyNumberFormat="0" applyAlignment="0" applyProtection="0"/>
    <xf numFmtId="0" fontId="45" fillId="44" borderId="155" applyNumberFormat="0" applyAlignment="0" applyProtection="0"/>
    <xf numFmtId="0" fontId="45" fillId="44" borderId="155" applyNumberFormat="0" applyAlignment="0" applyProtection="0"/>
    <xf numFmtId="0" fontId="45" fillId="44" borderId="155" applyNumberFormat="0" applyAlignment="0" applyProtection="0"/>
    <xf numFmtId="0" fontId="38" fillId="75" borderId="155" applyNumberFormat="0" applyAlignment="0" applyProtection="0"/>
    <xf numFmtId="0" fontId="38" fillId="75" borderId="155" applyNumberFormat="0" applyAlignment="0" applyProtection="0"/>
    <xf numFmtId="0" fontId="66" fillId="92" borderId="155" applyNumberFormat="0" applyAlignment="0" applyProtection="0"/>
    <xf numFmtId="0" fontId="66" fillId="92" borderId="155" applyNumberFormat="0" applyAlignment="0" applyProtection="0"/>
    <xf numFmtId="0" fontId="66" fillId="92" borderId="155" applyNumberFormat="0" applyAlignment="0" applyProtection="0"/>
    <xf numFmtId="0" fontId="66" fillId="92" borderId="155" applyNumberFormat="0" applyAlignment="0" applyProtection="0"/>
    <xf numFmtId="0" fontId="66" fillId="92" borderId="155" applyNumberFormat="0" applyAlignment="0" applyProtection="0"/>
    <xf numFmtId="0" fontId="66" fillId="92" borderId="155" applyNumberFormat="0" applyAlignment="0" applyProtection="0"/>
    <xf numFmtId="0" fontId="66" fillId="0" borderId="158" applyNumberFormat="0" applyFill="0" applyAlignment="0" applyProtection="0"/>
    <xf numFmtId="0" fontId="78" fillId="0" borderId="158" applyNumberFormat="0" applyFill="0" applyAlignment="0" applyProtection="0"/>
    <xf numFmtId="0" fontId="78" fillId="0" borderId="158" applyNumberFormat="0" applyFill="0" applyAlignment="0" applyProtection="0"/>
    <xf numFmtId="0" fontId="78" fillId="0" borderId="158" applyNumberFormat="0" applyFill="0" applyAlignment="0" applyProtection="0"/>
    <xf numFmtId="0" fontId="78" fillId="0" borderId="158" applyNumberFormat="0" applyFill="0" applyAlignment="0" applyProtection="0"/>
    <xf numFmtId="0" fontId="78" fillId="0" borderId="158" applyNumberFormat="0" applyFill="0" applyAlignment="0" applyProtection="0"/>
    <xf numFmtId="0" fontId="78" fillId="0" borderId="158" applyNumberFormat="0" applyFill="0" applyAlignment="0" applyProtection="0"/>
    <xf numFmtId="0" fontId="66" fillId="0" borderId="158" applyNumberFormat="0" applyFill="0" applyAlignment="0" applyProtection="0"/>
    <xf numFmtId="0" fontId="66" fillId="0" borderId="158" applyNumberFormat="0" applyFill="0" applyAlignment="0" applyProtection="0"/>
    <xf numFmtId="0" fontId="78" fillId="0" borderId="159" applyNumberFormat="0" applyFill="0" applyAlignment="0" applyProtection="0"/>
    <xf numFmtId="0" fontId="66" fillId="0" borderId="158" applyNumberFormat="0" applyFill="0" applyAlignment="0" applyProtection="0"/>
    <xf numFmtId="0" fontId="78" fillId="0" borderId="158" applyNumberFormat="0" applyFill="0" applyAlignment="0" applyProtection="0"/>
    <xf numFmtId="0" fontId="66" fillId="0" borderId="158" applyNumberFormat="0" applyFill="0" applyAlignment="0" applyProtection="0"/>
    <xf numFmtId="0" fontId="78" fillId="0" borderId="158" applyNumberFormat="0" applyFill="0" applyAlignment="0" applyProtection="0"/>
    <xf numFmtId="0" fontId="78" fillId="0" borderId="158" applyNumberFormat="0" applyFill="0" applyAlignment="0" applyProtection="0"/>
    <xf numFmtId="0" fontId="78" fillId="0" borderId="158" applyNumberFormat="0" applyFill="0" applyAlignment="0" applyProtection="0"/>
    <xf numFmtId="0" fontId="78" fillId="0" borderId="158" applyNumberFormat="0" applyFill="0" applyAlignment="0" applyProtection="0"/>
    <xf numFmtId="0" fontId="78" fillId="0" borderId="158" applyNumberFormat="0" applyFill="0" applyAlignment="0" applyProtection="0"/>
    <xf numFmtId="0" fontId="78" fillId="0" borderId="158" applyNumberFormat="0" applyFill="0" applyAlignment="0" applyProtection="0"/>
    <xf numFmtId="0" fontId="78" fillId="0" borderId="158" applyNumberFormat="0" applyFill="0" applyAlignment="0" applyProtection="0"/>
    <xf numFmtId="0" fontId="78" fillId="0" borderId="158" applyNumberFormat="0" applyFill="0" applyAlignment="0" applyProtection="0"/>
    <xf numFmtId="0" fontId="78" fillId="0" borderId="158" applyNumberFormat="0" applyFill="0" applyAlignment="0" applyProtection="0"/>
    <xf numFmtId="0" fontId="78" fillId="0" borderId="158" applyNumberFormat="0" applyFill="0" applyAlignment="0" applyProtection="0"/>
    <xf numFmtId="0" fontId="78" fillId="0" borderId="158" applyNumberFormat="0" applyFill="0" applyAlignment="0" applyProtection="0"/>
    <xf numFmtId="0" fontId="78" fillId="0" borderId="159" applyNumberFormat="0" applyFill="0" applyAlignment="0" applyProtection="0"/>
    <xf numFmtId="0" fontId="78" fillId="0" borderId="159" applyNumberFormat="0" applyFill="0" applyAlignment="0" applyProtection="0"/>
    <xf numFmtId="0" fontId="66" fillId="0" borderId="159" applyNumberFormat="0" applyFill="0" applyAlignment="0" applyProtection="0"/>
    <xf numFmtId="0" fontId="66" fillId="0" borderId="159" applyNumberFormat="0" applyFill="0" applyAlignment="0" applyProtection="0"/>
    <xf numFmtId="0" fontId="66" fillId="0" borderId="159" applyNumberFormat="0" applyFill="0" applyAlignment="0" applyProtection="0"/>
    <xf numFmtId="0" fontId="78" fillId="0" borderId="159" applyNumberFormat="0" applyFill="0" applyAlignment="0" applyProtection="0"/>
    <xf numFmtId="0" fontId="66" fillId="0" borderId="159" applyNumberFormat="0" applyFill="0" applyAlignment="0" applyProtection="0"/>
    <xf numFmtId="0" fontId="78" fillId="0" borderId="159" applyNumberFormat="0" applyFill="0" applyAlignment="0" applyProtection="0"/>
    <xf numFmtId="0" fontId="78" fillId="0" borderId="159" applyNumberFormat="0" applyFill="0" applyAlignment="0" applyProtection="0"/>
    <xf numFmtId="0" fontId="78" fillId="0" borderId="159" applyNumberFormat="0" applyFill="0" applyAlignment="0" applyProtection="0"/>
    <xf numFmtId="0" fontId="78" fillId="0" borderId="159" applyNumberFormat="0" applyFill="0" applyAlignment="0" applyProtection="0"/>
    <xf numFmtId="0" fontId="78" fillId="0" borderId="159" applyNumberFormat="0" applyFill="0" applyAlignment="0" applyProtection="0"/>
    <xf numFmtId="0" fontId="78" fillId="0" borderId="159" applyNumberFormat="0" applyFill="0" applyAlignment="0" applyProtection="0"/>
    <xf numFmtId="0" fontId="78" fillId="0" borderId="159" applyNumberFormat="0" applyFill="0" applyAlignment="0" applyProtection="0"/>
    <xf numFmtId="0" fontId="78" fillId="0" borderId="159" applyNumberFormat="0" applyFill="0" applyAlignment="0" applyProtection="0"/>
    <xf numFmtId="0" fontId="78" fillId="0" borderId="159" applyNumberFormat="0" applyFill="0" applyAlignment="0" applyProtection="0"/>
    <xf numFmtId="0" fontId="78" fillId="0" borderId="159" applyNumberFormat="0" applyFill="0" applyAlignment="0" applyProtection="0"/>
    <xf numFmtId="0" fontId="78" fillId="0" borderId="159" applyNumberFormat="0" applyFill="0" applyAlignment="0" applyProtection="0"/>
    <xf numFmtId="0" fontId="50" fillId="0" borderId="162" applyNumberFormat="0" applyFill="0" applyAlignment="0" applyProtection="0"/>
    <xf numFmtId="0" fontId="38" fillId="75" borderId="163" applyNumberFormat="0" applyAlignment="0" applyProtection="0"/>
    <xf numFmtId="0" fontId="38" fillId="76" borderId="163" applyNumberFormat="0" applyAlignment="0" applyProtection="0"/>
    <xf numFmtId="0" fontId="38" fillId="76" borderId="163" applyNumberFormat="0" applyAlignment="0" applyProtection="0"/>
    <xf numFmtId="0" fontId="38" fillId="75" borderId="163" applyNumberFormat="0" applyAlignment="0" applyProtection="0"/>
    <xf numFmtId="0" fontId="38" fillId="76" borderId="163" applyNumberFormat="0" applyAlignment="0" applyProtection="0"/>
    <xf numFmtId="0" fontId="38" fillId="76" borderId="163" applyNumberFormat="0" applyAlignment="0" applyProtection="0"/>
    <xf numFmtId="0" fontId="38" fillId="75" borderId="163" applyNumberFormat="0" applyAlignment="0" applyProtection="0"/>
    <xf numFmtId="0" fontId="38" fillId="76" borderId="163" applyNumberFormat="0" applyAlignment="0" applyProtection="0"/>
    <xf numFmtId="0" fontId="38" fillId="76" borderId="163" applyNumberFormat="0" applyAlignment="0" applyProtection="0"/>
    <xf numFmtId="0" fontId="38" fillId="75" borderId="163" applyNumberFormat="0" applyAlignment="0" applyProtection="0"/>
    <xf numFmtId="0" fontId="38" fillId="75" borderId="163" applyNumberFormat="0" applyAlignment="0" applyProtection="0"/>
    <xf numFmtId="0" fontId="38" fillId="75" borderId="163" applyNumberFormat="0" applyAlignment="0" applyProtection="0"/>
    <xf numFmtId="0" fontId="38" fillId="75" borderId="163" applyNumberFormat="0" applyAlignment="0" applyProtection="0"/>
    <xf numFmtId="0" fontId="38" fillId="78" borderId="163" applyNumberFormat="0" applyAlignment="0" applyProtection="0"/>
    <xf numFmtId="0" fontId="38" fillId="78" borderId="163" applyNumberFormat="0" applyAlignment="0" applyProtection="0"/>
    <xf numFmtId="0" fontId="38" fillId="78" borderId="163" applyNumberFormat="0" applyAlignment="0" applyProtection="0"/>
    <xf numFmtId="0" fontId="45" fillId="49" borderId="163" applyNumberFormat="0" applyAlignment="0" applyProtection="0"/>
    <xf numFmtId="0" fontId="45" fillId="49" borderId="163" applyNumberFormat="0" applyAlignment="0" applyProtection="0"/>
    <xf numFmtId="0" fontId="45" fillId="49" borderId="163" applyNumberFormat="0" applyAlignment="0" applyProtection="0"/>
    <xf numFmtId="0" fontId="45" fillId="49" borderId="163" applyNumberFormat="0" applyAlignment="0" applyProtection="0"/>
    <xf numFmtId="0" fontId="45" fillId="45" borderId="163" applyNumberFormat="0" applyAlignment="0" applyProtection="0"/>
    <xf numFmtId="0" fontId="45" fillId="45" borderId="163" applyNumberFormat="0" applyAlignment="0" applyProtection="0"/>
    <xf numFmtId="0" fontId="45" fillId="45" borderId="163" applyNumberFormat="0" applyAlignment="0" applyProtection="0"/>
    <xf numFmtId="0" fontId="45" fillId="44" borderId="163" applyNumberFormat="0" applyAlignment="0" applyProtection="0"/>
    <xf numFmtId="0" fontId="45" fillId="45" borderId="163" applyNumberFormat="0" applyAlignment="0" applyProtection="0"/>
    <xf numFmtId="0" fontId="45" fillId="45" borderId="163" applyNumberFormat="0" applyAlignment="0" applyProtection="0"/>
    <xf numFmtId="0" fontId="45" fillId="44" borderId="163" applyNumberFormat="0" applyAlignment="0" applyProtection="0"/>
    <xf numFmtId="0" fontId="45" fillId="45" borderId="163" applyNumberFormat="0" applyAlignment="0" applyProtection="0"/>
    <xf numFmtId="0" fontId="45" fillId="45" borderId="163" applyNumberFormat="0" applyAlignment="0" applyProtection="0"/>
    <xf numFmtId="0" fontId="45" fillId="44" borderId="163" applyNumberFormat="0" applyAlignment="0" applyProtection="0"/>
    <xf numFmtId="0" fontId="45" fillId="44" borderId="163" applyNumberFormat="0" applyAlignment="0" applyProtection="0"/>
    <xf numFmtId="0" fontId="45" fillId="44" borderId="163" applyNumberFormat="0" applyAlignment="0" applyProtection="0"/>
    <xf numFmtId="0" fontId="45" fillId="44" borderId="163" applyNumberFormat="0" applyAlignment="0" applyProtection="0"/>
    <xf numFmtId="0" fontId="45" fillId="44" borderId="163" applyNumberFormat="0" applyAlignment="0" applyProtection="0"/>
    <xf numFmtId="0" fontId="33" fillId="85" borderId="164" applyNumberFormat="0" applyAlignment="0" applyProtection="0"/>
    <xf numFmtId="0" fontId="33" fillId="85" borderId="164" applyNumberFormat="0" applyAlignment="0" applyProtection="0"/>
    <xf numFmtId="0" fontId="33" fillId="86" borderId="164" applyNumberFormat="0" applyFont="0" applyAlignment="0" applyProtection="0"/>
    <xf numFmtId="0" fontId="33" fillId="85" borderId="164" applyNumberFormat="0" applyAlignment="0" applyProtection="0"/>
    <xf numFmtId="0" fontId="33" fillId="85" borderId="164" applyNumberFormat="0" applyAlignment="0" applyProtection="0"/>
    <xf numFmtId="0" fontId="33" fillId="86" borderId="164" applyNumberFormat="0" applyFont="0" applyAlignment="0" applyProtection="0"/>
    <xf numFmtId="0" fontId="33" fillId="86" borderId="164" applyNumberFormat="0" applyFont="0" applyAlignment="0" applyProtection="0"/>
    <xf numFmtId="0" fontId="33" fillId="85" borderId="164" applyNumberFormat="0" applyAlignment="0" applyProtection="0"/>
    <xf numFmtId="0" fontId="33" fillId="85" borderId="164" applyNumberFormat="0" applyAlignment="0" applyProtection="0"/>
    <xf numFmtId="0" fontId="33" fillId="85" borderId="164" applyNumberFormat="0" applyAlignment="0" applyProtection="0"/>
    <xf numFmtId="0" fontId="33" fillId="85" borderId="164" applyNumberFormat="0" applyAlignment="0" applyProtection="0"/>
    <xf numFmtId="0" fontId="33" fillId="86" borderId="164" applyNumberFormat="0" applyFont="0" applyAlignment="0" applyProtection="0"/>
    <xf numFmtId="0" fontId="33" fillId="85" borderId="164" applyNumberFormat="0" applyAlignment="0" applyProtection="0"/>
    <xf numFmtId="0" fontId="33" fillId="86" borderId="164" applyNumberFormat="0" applyFont="0" applyAlignment="0" applyProtection="0"/>
    <xf numFmtId="0" fontId="33" fillId="85" borderId="164" applyNumberFormat="0" applyAlignment="0" applyProtection="0"/>
    <xf numFmtId="0" fontId="33" fillId="85" borderId="164" applyNumberFormat="0" applyAlignment="0" applyProtection="0"/>
    <xf numFmtId="0" fontId="33" fillId="85" borderId="164" applyNumberFormat="0" applyAlignment="0" applyProtection="0"/>
    <xf numFmtId="0" fontId="33" fillId="86" borderId="164" applyNumberFormat="0" applyFont="0" applyAlignment="0" applyProtection="0"/>
    <xf numFmtId="0" fontId="33" fillId="85" borderId="164" applyNumberFormat="0" applyAlignment="0" applyProtection="0"/>
    <xf numFmtId="0" fontId="33" fillId="86" borderId="164" applyNumberFormat="0" applyFont="0" applyAlignment="0" applyProtection="0"/>
    <xf numFmtId="0" fontId="33" fillId="85" borderId="164" applyNumberFormat="0" applyAlignment="0" applyProtection="0"/>
    <xf numFmtId="0" fontId="33" fillId="86" borderId="164" applyNumberFormat="0" applyFont="0" applyAlignment="0" applyProtection="0"/>
    <xf numFmtId="0" fontId="33" fillId="85" borderId="164" applyNumberFormat="0" applyAlignment="0" applyProtection="0"/>
    <xf numFmtId="0" fontId="33" fillId="86" borderId="164" applyNumberFormat="0" applyFont="0" applyAlignment="0" applyProtection="0"/>
    <xf numFmtId="0" fontId="33" fillId="86" borderId="164" applyNumberFormat="0" applyFont="0" applyAlignment="0" applyProtection="0"/>
    <xf numFmtId="0" fontId="33" fillId="86" borderId="164" applyNumberFormat="0" applyFont="0" applyAlignment="0" applyProtection="0"/>
    <xf numFmtId="0" fontId="33" fillId="86" borderId="164" applyNumberFormat="0" applyFont="0" applyAlignment="0" applyProtection="0"/>
    <xf numFmtId="0" fontId="33" fillId="86" borderId="164" applyNumberFormat="0" applyFont="0" applyAlignment="0" applyProtection="0"/>
    <xf numFmtId="0" fontId="50" fillId="0" borderId="159" applyNumberFormat="0" applyFill="0" applyAlignment="0" applyProtection="0"/>
    <xf numFmtId="0" fontId="50" fillId="0" borderId="159" applyNumberFormat="0" applyFill="0" applyAlignment="0" applyProtection="0"/>
    <xf numFmtId="0" fontId="50" fillId="0" borderId="159" applyNumberFormat="0" applyFill="0" applyAlignment="0" applyProtection="0"/>
    <xf numFmtId="0" fontId="50" fillId="0" borderId="159" applyNumberFormat="0" applyFill="0" applyAlignment="0" applyProtection="0"/>
    <xf numFmtId="0" fontId="50" fillId="0" borderId="159" applyNumberFormat="0" applyFill="0" applyAlignment="0" applyProtection="0"/>
    <xf numFmtId="0" fontId="72" fillId="44" borderId="163" applyNumberFormat="0" applyAlignment="0" applyProtection="0"/>
    <xf numFmtId="0" fontId="72" fillId="44" borderId="163" applyNumberFormat="0" applyAlignment="0" applyProtection="0"/>
    <xf numFmtId="0" fontId="66" fillId="44" borderId="163" applyNumberFormat="0" applyAlignment="0" applyProtection="0"/>
    <xf numFmtId="0" fontId="66" fillId="44" borderId="163" applyNumberFormat="0" applyAlignment="0" applyProtection="0"/>
    <xf numFmtId="0" fontId="72" fillId="44" borderId="163" applyNumberFormat="0" applyAlignment="0" applyProtection="0"/>
    <xf numFmtId="0" fontId="66" fillId="44" borderId="163" applyNumberFormat="0" applyAlignment="0" applyProtection="0"/>
    <xf numFmtId="0" fontId="72" fillId="44" borderId="163" applyNumberFormat="0" applyAlignment="0" applyProtection="0"/>
    <xf numFmtId="0" fontId="72" fillId="44" borderId="163" applyNumberFormat="0" applyAlignment="0" applyProtection="0"/>
    <xf numFmtId="0" fontId="72" fillId="44" borderId="163" applyNumberFormat="0" applyAlignment="0" applyProtection="0"/>
    <xf numFmtId="0" fontId="72" fillId="44" borderId="163" applyNumberFormat="0" applyAlignment="0" applyProtection="0"/>
    <xf numFmtId="0" fontId="72" fillId="44" borderId="163" applyNumberFormat="0" applyAlignment="0" applyProtection="0"/>
    <xf numFmtId="0" fontId="72" fillId="44" borderId="163" applyNumberFormat="0" applyAlignment="0" applyProtection="0"/>
    <xf numFmtId="0" fontId="72" fillId="44" borderId="163" applyNumberFormat="0" applyAlignment="0" applyProtection="0"/>
    <xf numFmtId="0" fontId="72" fillId="44" borderId="163" applyNumberFormat="0" applyAlignment="0" applyProtection="0"/>
    <xf numFmtId="0" fontId="72" fillId="44" borderId="163" applyNumberFormat="0" applyAlignment="0" applyProtection="0"/>
    <xf numFmtId="0" fontId="72" fillId="44" borderId="163" applyNumberFormat="0" applyAlignment="0" applyProtection="0"/>
    <xf numFmtId="0" fontId="72" fillId="44" borderId="163" applyNumberFormat="0" applyAlignment="0" applyProtection="0"/>
    <xf numFmtId="0" fontId="73" fillId="75" borderId="166" applyNumberFormat="0" applyAlignment="0" applyProtection="0"/>
    <xf numFmtId="0" fontId="73" fillId="75" borderId="166" applyNumberFormat="0" applyAlignment="0" applyProtection="0"/>
    <xf numFmtId="0" fontId="73" fillId="75" borderId="166" applyNumberFormat="0" applyAlignment="0" applyProtection="0"/>
    <xf numFmtId="0" fontId="73" fillId="75" borderId="166" applyNumberFormat="0" applyAlignment="0" applyProtection="0"/>
    <xf numFmtId="0" fontId="73" fillId="75" borderId="166" applyNumberFormat="0" applyAlignment="0" applyProtection="0"/>
    <xf numFmtId="0" fontId="73" fillId="75" borderId="166" applyNumberFormat="0" applyAlignment="0" applyProtection="0"/>
    <xf numFmtId="0" fontId="73" fillId="75" borderId="166" applyNumberFormat="0" applyAlignment="0" applyProtection="0"/>
    <xf numFmtId="0" fontId="66" fillId="75" borderId="166" applyNumberFormat="0" applyAlignment="0" applyProtection="0"/>
    <xf numFmtId="0" fontId="66" fillId="75" borderId="166" applyNumberFormat="0" applyAlignment="0" applyProtection="0"/>
    <xf numFmtId="0" fontId="66" fillId="75" borderId="166" applyNumberFormat="0" applyAlignment="0" applyProtection="0"/>
    <xf numFmtId="0" fontId="66" fillId="75" borderId="166" applyNumberFormat="0" applyAlignment="0" applyProtection="0"/>
    <xf numFmtId="0" fontId="66" fillId="75" borderId="166" applyNumberFormat="0" applyAlignment="0" applyProtection="0"/>
    <xf numFmtId="0" fontId="66" fillId="75" borderId="166" applyNumberFormat="0" applyAlignment="0" applyProtection="0"/>
    <xf numFmtId="0" fontId="66" fillId="75" borderId="166" applyNumberFormat="0" applyAlignment="0" applyProtection="0"/>
    <xf numFmtId="0" fontId="66" fillId="75" borderId="166" applyNumberFormat="0" applyAlignment="0" applyProtection="0"/>
    <xf numFmtId="0" fontId="73" fillId="75" borderId="166" applyNumberFormat="0" applyAlignment="0" applyProtection="0"/>
    <xf numFmtId="0" fontId="73" fillId="75" borderId="166" applyNumberFormat="0" applyAlignment="0" applyProtection="0"/>
    <xf numFmtId="0" fontId="73" fillId="75" borderId="166" applyNumberFormat="0" applyAlignment="0" applyProtection="0"/>
    <xf numFmtId="0" fontId="73" fillId="75" borderId="166" applyNumberFormat="0" applyAlignment="0" applyProtection="0"/>
    <xf numFmtId="0" fontId="73" fillId="92" borderId="166" applyNumberFormat="0" applyAlignment="0" applyProtection="0"/>
    <xf numFmtId="0" fontId="73" fillId="92" borderId="166" applyNumberFormat="0" applyAlignment="0" applyProtection="0"/>
    <xf numFmtId="0" fontId="66" fillId="92" borderId="166" applyNumberFormat="0" applyAlignment="0" applyProtection="0"/>
    <xf numFmtId="0" fontId="66" fillId="92" borderId="166" applyNumberFormat="0" applyAlignment="0" applyProtection="0"/>
    <xf numFmtId="0" fontId="66" fillId="92" borderId="166" applyNumberFormat="0" applyAlignment="0" applyProtection="0"/>
    <xf numFmtId="0" fontId="66" fillId="92" borderId="166" applyNumberFormat="0" applyAlignment="0" applyProtection="0"/>
    <xf numFmtId="0" fontId="66" fillId="92" borderId="166" applyNumberFormat="0" applyAlignment="0" applyProtection="0"/>
    <xf numFmtId="0" fontId="66" fillId="92" borderId="166" applyNumberFormat="0" applyAlignment="0" applyProtection="0"/>
    <xf numFmtId="0" fontId="66" fillId="92" borderId="166" applyNumberFormat="0" applyAlignment="0" applyProtection="0"/>
    <xf numFmtId="0" fontId="66" fillId="92" borderId="166" applyNumberFormat="0" applyAlignment="0" applyProtection="0"/>
    <xf numFmtId="0" fontId="73" fillId="92" borderId="166" applyNumberFormat="0" applyAlignment="0" applyProtection="0"/>
    <xf numFmtId="0" fontId="73" fillId="92" borderId="166" applyNumberFormat="0" applyAlignment="0" applyProtection="0"/>
    <xf numFmtId="0" fontId="73" fillId="92" borderId="166" applyNumberFormat="0" applyAlignment="0" applyProtection="0"/>
    <xf numFmtId="0" fontId="73" fillId="92" borderId="166" applyNumberFormat="0" applyAlignment="0" applyProtection="0"/>
    <xf numFmtId="0" fontId="73" fillId="92" borderId="166" applyNumberFormat="0" applyAlignment="0" applyProtection="0"/>
    <xf numFmtId="0" fontId="73" fillId="92" borderId="166" applyNumberFormat="0" applyAlignment="0" applyProtection="0"/>
    <xf numFmtId="0" fontId="66" fillId="92" borderId="166" applyNumberFormat="0" applyAlignment="0" applyProtection="0"/>
    <xf numFmtId="0" fontId="73" fillId="75" borderId="166" applyNumberFormat="0" applyAlignment="0" applyProtection="0"/>
    <xf numFmtId="0" fontId="73" fillId="92" borderId="166" applyNumberFormat="0" applyAlignment="0" applyProtection="0"/>
    <xf numFmtId="0" fontId="66" fillId="92" borderId="166" applyNumberFormat="0" applyAlignment="0" applyProtection="0"/>
    <xf numFmtId="0" fontId="73" fillId="92" borderId="166" applyNumberFormat="0" applyAlignment="0" applyProtection="0"/>
    <xf numFmtId="0" fontId="73" fillId="92" borderId="166" applyNumberFormat="0" applyAlignment="0" applyProtection="0"/>
    <xf numFmtId="0" fontId="73" fillId="92" borderId="166" applyNumberFormat="0" applyAlignment="0" applyProtection="0"/>
    <xf numFmtId="0" fontId="73" fillId="92" borderId="166" applyNumberFormat="0" applyAlignment="0" applyProtection="0"/>
    <xf numFmtId="0" fontId="73" fillId="92" borderId="166" applyNumberFormat="0" applyAlignment="0" applyProtection="0"/>
    <xf numFmtId="0" fontId="73" fillId="92" borderId="166" applyNumberFormat="0" applyAlignment="0" applyProtection="0"/>
    <xf numFmtId="0" fontId="73" fillId="92" borderId="166" applyNumberFormat="0" applyAlignment="0" applyProtection="0"/>
    <xf numFmtId="0" fontId="73" fillId="92" borderId="166" applyNumberFormat="0" applyAlignment="0" applyProtection="0"/>
    <xf numFmtId="0" fontId="73" fillId="92" borderId="166" applyNumberFormat="0" applyAlignment="0" applyProtection="0"/>
    <xf numFmtId="0" fontId="73" fillId="92" borderId="166" applyNumberFormat="0" applyAlignment="0" applyProtection="0"/>
    <xf numFmtId="0" fontId="73" fillId="92" borderId="166" applyNumberFormat="0" applyAlignment="0" applyProtection="0"/>
    <xf numFmtId="0" fontId="73" fillId="92" borderId="166" applyNumberFormat="0" applyAlignment="0" applyProtection="0"/>
    <xf numFmtId="0" fontId="73" fillId="75" borderId="166" applyNumberFormat="0" applyAlignment="0" applyProtection="0"/>
    <xf numFmtId="0" fontId="73" fillId="75" borderId="166" applyNumberFormat="0" applyAlignment="0" applyProtection="0"/>
    <xf numFmtId="0" fontId="66" fillId="75" borderId="166" applyNumberFormat="0" applyAlignment="0" applyProtection="0"/>
    <xf numFmtId="0" fontId="66" fillId="75" borderId="166" applyNumberFormat="0" applyAlignment="0" applyProtection="0"/>
    <xf numFmtId="0" fontId="73" fillId="75" borderId="166" applyNumberFormat="0" applyAlignment="0" applyProtection="0"/>
    <xf numFmtId="0" fontId="66" fillId="75" borderId="166" applyNumberFormat="0" applyAlignment="0" applyProtection="0"/>
    <xf numFmtId="0" fontId="73" fillId="75" borderId="166" applyNumberFormat="0" applyAlignment="0" applyProtection="0"/>
    <xf numFmtId="0" fontId="73" fillId="75" borderId="166" applyNumberFormat="0" applyAlignment="0" applyProtection="0"/>
    <xf numFmtId="0" fontId="73" fillId="75" borderId="166" applyNumberFormat="0" applyAlignment="0" applyProtection="0"/>
    <xf numFmtId="0" fontId="73" fillId="75" borderId="166" applyNumberFormat="0" applyAlignment="0" applyProtection="0"/>
    <xf numFmtId="0" fontId="73" fillId="75" borderId="166" applyNumberFormat="0" applyAlignment="0" applyProtection="0"/>
    <xf numFmtId="0" fontId="73" fillId="75" borderId="166" applyNumberFormat="0" applyAlignment="0" applyProtection="0"/>
    <xf numFmtId="0" fontId="73" fillId="75" borderId="166" applyNumberFormat="0" applyAlignment="0" applyProtection="0"/>
    <xf numFmtId="0" fontId="73" fillId="75" borderId="166" applyNumberFormat="0" applyAlignment="0" applyProtection="0"/>
    <xf numFmtId="0" fontId="73" fillId="75" borderId="166" applyNumberFormat="0" applyAlignment="0" applyProtection="0"/>
    <xf numFmtId="0" fontId="73" fillId="75" borderId="166" applyNumberFormat="0" applyAlignment="0" applyProtection="0"/>
    <xf numFmtId="0" fontId="73" fillId="75" borderId="166" applyNumberFormat="0" applyAlignment="0" applyProtection="0"/>
    <xf numFmtId="0" fontId="74" fillId="75" borderId="163" applyNumberFormat="0" applyAlignment="0" applyProtection="0"/>
    <xf numFmtId="0" fontId="74" fillId="75" borderId="163" applyNumberFormat="0" applyAlignment="0" applyProtection="0"/>
    <xf numFmtId="0" fontId="74" fillId="75" borderId="163" applyNumberFormat="0" applyAlignment="0" applyProtection="0"/>
    <xf numFmtId="0" fontId="74" fillId="75" borderId="163" applyNumberFormat="0" applyAlignment="0" applyProtection="0"/>
    <xf numFmtId="0" fontId="74" fillId="75" borderId="163" applyNumberFormat="0" applyAlignment="0" applyProtection="0"/>
    <xf numFmtId="0" fontId="74" fillId="75" borderId="163" applyNumberFormat="0" applyAlignment="0" applyProtection="0"/>
    <xf numFmtId="0" fontId="74" fillId="75" borderId="163" applyNumberFormat="0" applyAlignment="0" applyProtection="0"/>
    <xf numFmtId="0" fontId="66" fillId="75" borderId="163" applyNumberFormat="0" applyAlignment="0" applyProtection="0"/>
    <xf numFmtId="0" fontId="66" fillId="75" borderId="163" applyNumberFormat="0" applyAlignment="0" applyProtection="0"/>
    <xf numFmtId="0" fontId="66" fillId="75" borderId="163" applyNumberFormat="0" applyAlignment="0" applyProtection="0"/>
    <xf numFmtId="0" fontId="66" fillId="75" borderId="163" applyNumberFormat="0" applyAlignment="0" applyProtection="0"/>
    <xf numFmtId="0" fontId="66" fillId="75" borderId="163" applyNumberFormat="0" applyAlignment="0" applyProtection="0"/>
    <xf numFmtId="0" fontId="66" fillId="75" borderId="163" applyNumberFormat="0" applyAlignment="0" applyProtection="0"/>
    <xf numFmtId="0" fontId="66" fillId="75" borderId="163" applyNumberFormat="0" applyAlignment="0" applyProtection="0"/>
    <xf numFmtId="0" fontId="66" fillId="75" borderId="163" applyNumberFormat="0" applyAlignment="0" applyProtection="0"/>
    <xf numFmtId="0" fontId="74" fillId="75" borderId="163" applyNumberFormat="0" applyAlignment="0" applyProtection="0"/>
    <xf numFmtId="0" fontId="74" fillId="75" borderId="163" applyNumberFormat="0" applyAlignment="0" applyProtection="0"/>
    <xf numFmtId="0" fontId="74" fillId="75" borderId="163" applyNumberFormat="0" applyAlignment="0" applyProtection="0"/>
    <xf numFmtId="0" fontId="74" fillId="75" borderId="163" applyNumberFormat="0" applyAlignment="0" applyProtection="0"/>
    <xf numFmtId="0" fontId="74" fillId="92" borderId="163" applyNumberFormat="0" applyAlignment="0" applyProtection="0"/>
    <xf numFmtId="0" fontId="74" fillId="92" borderId="163" applyNumberFormat="0" applyAlignment="0" applyProtection="0"/>
    <xf numFmtId="0" fontId="66" fillId="92" borderId="163" applyNumberFormat="0" applyAlignment="0" applyProtection="0"/>
    <xf numFmtId="0" fontId="66" fillId="92" borderId="163" applyNumberFormat="0" applyAlignment="0" applyProtection="0"/>
    <xf numFmtId="0" fontId="66" fillId="92" borderId="163" applyNumberFormat="0" applyAlignment="0" applyProtection="0"/>
    <xf numFmtId="0" fontId="66" fillId="92" borderId="163" applyNumberFormat="0" applyAlignment="0" applyProtection="0"/>
    <xf numFmtId="0" fontId="66" fillId="92" borderId="163" applyNumberFormat="0" applyAlignment="0" applyProtection="0"/>
    <xf numFmtId="0" fontId="66" fillId="92" borderId="163" applyNumberFormat="0" applyAlignment="0" applyProtection="0"/>
    <xf numFmtId="0" fontId="66" fillId="92" borderId="163" applyNumberFormat="0" applyAlignment="0" applyProtection="0"/>
    <xf numFmtId="0" fontId="66" fillId="92" borderId="163" applyNumberFormat="0" applyAlignment="0" applyProtection="0"/>
    <xf numFmtId="0" fontId="74" fillId="92" borderId="163" applyNumberFormat="0" applyAlignment="0" applyProtection="0"/>
    <xf numFmtId="0" fontId="74" fillId="92" borderId="163" applyNumberFormat="0" applyAlignment="0" applyProtection="0"/>
    <xf numFmtId="0" fontId="74" fillId="92" borderId="163" applyNumberFormat="0" applyAlignment="0" applyProtection="0"/>
    <xf numFmtId="0" fontId="74" fillId="92" borderId="163" applyNumberFormat="0" applyAlignment="0" applyProtection="0"/>
    <xf numFmtId="0" fontId="74" fillId="92" borderId="163" applyNumberFormat="0" applyAlignment="0" applyProtection="0"/>
    <xf numFmtId="0" fontId="74" fillId="92" borderId="163" applyNumberFormat="0" applyAlignment="0" applyProtection="0"/>
    <xf numFmtId="0" fontId="66" fillId="92" borderId="163" applyNumberFormat="0" applyAlignment="0" applyProtection="0"/>
    <xf numFmtId="0" fontId="66" fillId="92" borderId="163" applyNumberFormat="0" applyAlignment="0" applyProtection="0"/>
    <xf numFmtId="0" fontId="74" fillId="75" borderId="163" applyNumberFormat="0" applyAlignment="0" applyProtection="0"/>
    <xf numFmtId="0" fontId="74" fillId="92" borderId="163" applyNumberFormat="0" applyAlignment="0" applyProtection="0"/>
    <xf numFmtId="0" fontId="74" fillId="92" borderId="163" applyNumberFormat="0" applyAlignment="0" applyProtection="0"/>
    <xf numFmtId="0" fontId="74" fillId="92" borderId="163" applyNumberFormat="0" applyAlignment="0" applyProtection="0"/>
    <xf numFmtId="0" fontId="74" fillId="92" borderId="163" applyNumberFormat="0" applyAlignment="0" applyProtection="0"/>
    <xf numFmtId="0" fontId="74" fillId="92" borderId="163" applyNumberFormat="0" applyAlignment="0" applyProtection="0"/>
    <xf numFmtId="0" fontId="74" fillId="92" borderId="163" applyNumberFormat="0" applyAlignment="0" applyProtection="0"/>
    <xf numFmtId="0" fontId="74" fillId="92" borderId="163" applyNumberFormat="0" applyAlignment="0" applyProtection="0"/>
    <xf numFmtId="0" fontId="74" fillId="92" borderId="163" applyNumberFormat="0" applyAlignment="0" applyProtection="0"/>
    <xf numFmtId="0" fontId="74" fillId="92" borderId="163" applyNumberFormat="0" applyAlignment="0" applyProtection="0"/>
    <xf numFmtId="0" fontId="74" fillId="92" borderId="163" applyNumberFormat="0" applyAlignment="0" applyProtection="0"/>
    <xf numFmtId="0" fontId="74" fillId="92" borderId="163" applyNumberFormat="0" applyAlignment="0" applyProtection="0"/>
    <xf numFmtId="0" fontId="74" fillId="92" borderId="163" applyNumberFormat="0" applyAlignment="0" applyProtection="0"/>
    <xf numFmtId="0" fontId="74" fillId="92" borderId="163" applyNumberFormat="0" applyAlignment="0" applyProtection="0"/>
    <xf numFmtId="0" fontId="74" fillId="75" borderId="163" applyNumberFormat="0" applyAlignment="0" applyProtection="0"/>
    <xf numFmtId="0" fontId="74" fillId="75" borderId="163" applyNumberFormat="0" applyAlignment="0" applyProtection="0"/>
    <xf numFmtId="0" fontId="66" fillId="75" borderId="163" applyNumberFormat="0" applyAlignment="0" applyProtection="0"/>
    <xf numFmtId="0" fontId="66" fillId="75" borderId="163" applyNumberFormat="0" applyAlignment="0" applyProtection="0"/>
    <xf numFmtId="0" fontId="74" fillId="75" borderId="163" applyNumberFormat="0" applyAlignment="0" applyProtection="0"/>
    <xf numFmtId="0" fontId="66" fillId="75" borderId="163" applyNumberFormat="0" applyAlignment="0" applyProtection="0"/>
    <xf numFmtId="0" fontId="74" fillId="75" borderId="163" applyNumberFormat="0" applyAlignment="0" applyProtection="0"/>
    <xf numFmtId="0" fontId="74" fillId="75" borderId="163" applyNumberFormat="0" applyAlignment="0" applyProtection="0"/>
    <xf numFmtId="0" fontId="74" fillId="75" borderId="163" applyNumberFormat="0" applyAlignment="0" applyProtection="0"/>
    <xf numFmtId="0" fontId="74" fillId="75" borderId="163" applyNumberFormat="0" applyAlignment="0" applyProtection="0"/>
    <xf numFmtId="0" fontId="74" fillId="75" borderId="163" applyNumberFormat="0" applyAlignment="0" applyProtection="0"/>
    <xf numFmtId="0" fontId="74" fillId="75" borderId="163" applyNumberFormat="0" applyAlignment="0" applyProtection="0"/>
    <xf numFmtId="0" fontId="74" fillId="75" borderId="163" applyNumberFormat="0" applyAlignment="0" applyProtection="0"/>
    <xf numFmtId="0" fontId="74" fillId="75" borderId="163" applyNumberFormat="0" applyAlignment="0" applyProtection="0"/>
    <xf numFmtId="0" fontId="74" fillId="75" borderId="163" applyNumberFormat="0" applyAlignment="0" applyProtection="0"/>
    <xf numFmtId="0" fontId="74" fillId="75" borderId="163" applyNumberFormat="0" applyAlignment="0" applyProtection="0"/>
    <xf numFmtId="0" fontId="74" fillId="75" borderId="163" applyNumberFormat="0" applyAlignment="0" applyProtection="0"/>
    <xf numFmtId="0" fontId="78" fillId="0" borderId="167" applyNumberFormat="0" applyFill="0" applyAlignment="0" applyProtection="0"/>
    <xf numFmtId="0" fontId="78" fillId="0" borderId="167" applyNumberFormat="0" applyFill="0" applyAlignment="0" applyProtection="0"/>
    <xf numFmtId="0" fontId="78" fillId="0" borderId="167" applyNumberFormat="0" applyFill="0" applyAlignment="0" applyProtection="0"/>
    <xf numFmtId="0" fontId="78" fillId="0" borderId="167" applyNumberFormat="0" applyFill="0" applyAlignment="0" applyProtection="0"/>
    <xf numFmtId="0" fontId="78" fillId="0" borderId="167" applyNumberFormat="0" applyFill="0" applyAlignment="0" applyProtection="0"/>
    <xf numFmtId="0" fontId="78" fillId="0" borderId="167" applyNumberFormat="0" applyFill="0" applyAlignment="0" applyProtection="0"/>
    <xf numFmtId="0" fontId="78" fillId="0" borderId="167" applyNumberFormat="0" applyFill="0" applyAlignment="0" applyProtection="0"/>
    <xf numFmtId="0" fontId="66" fillId="0" borderId="167" applyNumberFormat="0" applyFill="0" applyAlignment="0" applyProtection="0"/>
    <xf numFmtId="0" fontId="66" fillId="0" borderId="167" applyNumberFormat="0" applyFill="0" applyAlignment="0" applyProtection="0"/>
    <xf numFmtId="0" fontId="66" fillId="0" borderId="167" applyNumberFormat="0" applyFill="0" applyAlignment="0" applyProtection="0"/>
    <xf numFmtId="0" fontId="66" fillId="0" borderId="167" applyNumberFormat="0" applyFill="0" applyAlignment="0" applyProtection="0"/>
    <xf numFmtId="0" fontId="66" fillId="0" borderId="167" applyNumberFormat="0" applyFill="0" applyAlignment="0" applyProtection="0"/>
    <xf numFmtId="0" fontId="66" fillId="0" borderId="167" applyNumberFormat="0" applyFill="0" applyAlignment="0" applyProtection="0"/>
    <xf numFmtId="0" fontId="66" fillId="0" borderId="167" applyNumberFormat="0" applyFill="0" applyAlignment="0" applyProtection="0"/>
    <xf numFmtId="0" fontId="66" fillId="0" borderId="167" applyNumberFormat="0" applyFill="0" applyAlignment="0" applyProtection="0"/>
    <xf numFmtId="0" fontId="78" fillId="0" borderId="167" applyNumberFormat="0" applyFill="0" applyAlignment="0" applyProtection="0"/>
    <xf numFmtId="0" fontId="78" fillId="0" borderId="167" applyNumberFormat="0" applyFill="0" applyAlignment="0" applyProtection="0"/>
    <xf numFmtId="0" fontId="78" fillId="0" borderId="167" applyNumberFormat="0" applyFill="0" applyAlignment="0" applyProtection="0"/>
    <xf numFmtId="0" fontId="78" fillId="0" borderId="167" applyNumberFormat="0" applyFill="0" applyAlignment="0" applyProtection="0"/>
    <xf numFmtId="0" fontId="78" fillId="0" borderId="168" applyNumberFormat="0" applyFill="0" applyAlignment="0" applyProtection="0"/>
    <xf numFmtId="0" fontId="78" fillId="0" borderId="168" applyNumberFormat="0" applyFill="0" applyAlignment="0" applyProtection="0"/>
    <xf numFmtId="0" fontId="66" fillId="0" borderId="168" applyNumberFormat="0" applyFill="0" applyAlignment="0" applyProtection="0"/>
    <xf numFmtId="0" fontId="66" fillId="0" borderId="168" applyNumberFormat="0" applyFill="0" applyAlignment="0" applyProtection="0"/>
    <xf numFmtId="0" fontId="66" fillId="0" borderId="168" applyNumberFormat="0" applyFill="0" applyAlignment="0" applyProtection="0"/>
    <xf numFmtId="0" fontId="66" fillId="0" borderId="168" applyNumberFormat="0" applyFill="0" applyAlignment="0" applyProtection="0"/>
    <xf numFmtId="0" fontId="66" fillId="0" borderId="168" applyNumberFormat="0" applyFill="0" applyAlignment="0" applyProtection="0"/>
    <xf numFmtId="0" fontId="66" fillId="0" borderId="168" applyNumberFormat="0" applyFill="0" applyAlignment="0" applyProtection="0"/>
    <xf numFmtId="0" fontId="66" fillId="0" borderId="168" applyNumberFormat="0" applyFill="0" applyAlignment="0" applyProtection="0"/>
    <xf numFmtId="0" fontId="66" fillId="0" borderId="168" applyNumberFormat="0" applyFill="0" applyAlignment="0" applyProtection="0"/>
    <xf numFmtId="0" fontId="78" fillId="0" borderId="168" applyNumberFormat="0" applyFill="0" applyAlignment="0" applyProtection="0"/>
    <xf numFmtId="0" fontId="78" fillId="0" borderId="168" applyNumberFormat="0" applyFill="0" applyAlignment="0" applyProtection="0"/>
    <xf numFmtId="0" fontId="78" fillId="0" borderId="168" applyNumberFormat="0" applyFill="0" applyAlignment="0" applyProtection="0"/>
    <xf numFmtId="0" fontId="78" fillId="0" borderId="168" applyNumberFormat="0" applyFill="0" applyAlignment="0" applyProtection="0"/>
    <xf numFmtId="0" fontId="78" fillId="0" borderId="168" applyNumberFormat="0" applyFill="0" applyAlignment="0" applyProtection="0"/>
    <xf numFmtId="0" fontId="78" fillId="0" borderId="168" applyNumberFormat="0" applyFill="0" applyAlignment="0" applyProtection="0"/>
    <xf numFmtId="0" fontId="66" fillId="0" borderId="168" applyNumberFormat="0" applyFill="0" applyAlignment="0" applyProtection="0"/>
    <xf numFmtId="0" fontId="66" fillId="0" borderId="168" applyNumberFormat="0" applyFill="0" applyAlignment="0" applyProtection="0"/>
    <xf numFmtId="0" fontId="78" fillId="0" borderId="167" applyNumberFormat="0" applyFill="0" applyAlignment="0" applyProtection="0"/>
    <xf numFmtId="0" fontId="78" fillId="0" borderId="168" applyNumberFormat="0" applyFill="0" applyAlignment="0" applyProtection="0"/>
    <xf numFmtId="0" fontId="66" fillId="0" borderId="168" applyNumberFormat="0" applyFill="0" applyAlignment="0" applyProtection="0"/>
    <xf numFmtId="0" fontId="78" fillId="0" borderId="168" applyNumberFormat="0" applyFill="0" applyAlignment="0" applyProtection="0"/>
    <xf numFmtId="0" fontId="78" fillId="0" borderId="168" applyNumberFormat="0" applyFill="0" applyAlignment="0" applyProtection="0"/>
    <xf numFmtId="0" fontId="78" fillId="0" borderId="168" applyNumberFormat="0" applyFill="0" applyAlignment="0" applyProtection="0"/>
    <xf numFmtId="0" fontId="78" fillId="0" borderId="168" applyNumberFormat="0" applyFill="0" applyAlignment="0" applyProtection="0"/>
    <xf numFmtId="0" fontId="78" fillId="0" borderId="168" applyNumberFormat="0" applyFill="0" applyAlignment="0" applyProtection="0"/>
    <xf numFmtId="0" fontId="78" fillId="0" borderId="168" applyNumberFormat="0" applyFill="0" applyAlignment="0" applyProtection="0"/>
    <xf numFmtId="0" fontId="78" fillId="0" borderId="168" applyNumberFormat="0" applyFill="0" applyAlignment="0" applyProtection="0"/>
    <xf numFmtId="0" fontId="78" fillId="0" borderId="168" applyNumberFormat="0" applyFill="0" applyAlignment="0" applyProtection="0"/>
    <xf numFmtId="0" fontId="78" fillId="0" borderId="168" applyNumberFormat="0" applyFill="0" applyAlignment="0" applyProtection="0"/>
    <xf numFmtId="0" fontId="78" fillId="0" borderId="168" applyNumberFormat="0" applyFill="0" applyAlignment="0" applyProtection="0"/>
    <xf numFmtId="0" fontId="78" fillId="0" borderId="168" applyNumberFormat="0" applyFill="0" applyAlignment="0" applyProtection="0"/>
    <xf numFmtId="0" fontId="78" fillId="0" borderId="167" applyNumberFormat="0" applyFill="0" applyAlignment="0" applyProtection="0"/>
    <xf numFmtId="0" fontId="78" fillId="0" borderId="167" applyNumberFormat="0" applyFill="0" applyAlignment="0" applyProtection="0"/>
    <xf numFmtId="0" fontId="72" fillId="44" borderId="88" applyNumberFormat="0" applyAlignment="0" applyProtection="0"/>
    <xf numFmtId="0" fontId="72" fillId="44" borderId="88" applyNumberFormat="0" applyAlignment="0" applyProtection="0"/>
    <xf numFmtId="0" fontId="72" fillId="44" borderId="88" applyNumberFormat="0" applyAlignment="0" applyProtection="0"/>
    <xf numFmtId="0" fontId="72" fillId="44" borderId="88" applyNumberFormat="0" applyAlignment="0" applyProtection="0"/>
    <xf numFmtId="0" fontId="72" fillId="44" borderId="88" applyNumberFormat="0" applyAlignment="0" applyProtection="0"/>
    <xf numFmtId="0" fontId="72" fillId="44" borderId="88" applyNumberFormat="0" applyAlignment="0" applyProtection="0"/>
    <xf numFmtId="0" fontId="72" fillId="44" borderId="88" applyNumberFormat="0" applyAlignment="0" applyProtection="0"/>
    <xf numFmtId="0" fontId="72" fillId="44" borderId="88" applyNumberFormat="0" applyAlignment="0" applyProtection="0"/>
    <xf numFmtId="0" fontId="66" fillId="44" borderId="88" applyNumberFormat="0" applyAlignment="0" applyProtection="0"/>
    <xf numFmtId="0" fontId="66" fillId="44" borderId="88" applyNumberFormat="0" applyAlignment="0" applyProtection="0"/>
    <xf numFmtId="0" fontId="66" fillId="44" borderId="88" applyNumberFormat="0" applyAlignment="0" applyProtection="0"/>
    <xf numFmtId="0" fontId="66" fillId="44" borderId="88" applyNumberFormat="0" applyAlignment="0" applyProtection="0"/>
    <xf numFmtId="0" fontId="66" fillId="44" borderId="88" applyNumberFormat="0" applyAlignment="0" applyProtection="0"/>
    <xf numFmtId="0" fontId="66" fillId="44" borderId="88" applyNumberFormat="0" applyAlignment="0" applyProtection="0"/>
    <xf numFmtId="0" fontId="66" fillId="44" borderId="88" applyNumberFormat="0" applyAlignment="0" applyProtection="0"/>
    <xf numFmtId="0" fontId="66" fillId="44" borderId="88" applyNumberFormat="0" applyAlignment="0" applyProtection="0"/>
    <xf numFmtId="0" fontId="72" fillId="44" borderId="88" applyNumberFormat="0" applyAlignment="0" applyProtection="0"/>
    <xf numFmtId="0" fontId="72" fillId="44" borderId="88" applyNumberFormat="0" applyAlignment="0" applyProtection="0"/>
    <xf numFmtId="0" fontId="72" fillId="44" borderId="88" applyNumberFormat="0" applyAlignment="0" applyProtection="0"/>
    <xf numFmtId="0" fontId="72" fillId="44" borderId="88" applyNumberFormat="0" applyAlignment="0" applyProtection="0"/>
    <xf numFmtId="0" fontId="72" fillId="44" borderId="88" applyNumberFormat="0" applyAlignment="0" applyProtection="0"/>
    <xf numFmtId="0" fontId="72" fillId="44" borderId="88" applyNumberFormat="0" applyAlignment="0" applyProtection="0"/>
    <xf numFmtId="0" fontId="66" fillId="44" borderId="88" applyNumberFormat="0" applyAlignment="0" applyProtection="0"/>
    <xf numFmtId="0" fontId="66" fillId="44" borderId="88" applyNumberFormat="0" applyAlignment="0" applyProtection="0"/>
    <xf numFmtId="0" fontId="66" fillId="44" borderId="88" applyNumberFormat="0" applyAlignment="0" applyProtection="0"/>
    <xf numFmtId="0" fontId="66" fillId="44" borderId="88" applyNumberFormat="0" applyAlignment="0" applyProtection="0"/>
    <xf numFmtId="0" fontId="66" fillId="44" borderId="88" applyNumberFormat="0" applyAlignment="0" applyProtection="0"/>
    <xf numFmtId="0" fontId="66" fillId="44" borderId="88" applyNumberFormat="0" applyAlignment="0" applyProtection="0"/>
    <xf numFmtId="0" fontId="66" fillId="44" borderId="88" applyNumberFormat="0" applyAlignment="0" applyProtection="0"/>
    <xf numFmtId="0" fontId="66" fillId="44" borderId="88" applyNumberFormat="0" applyAlignment="0" applyProtection="0"/>
    <xf numFmtId="0" fontId="72" fillId="44" borderId="88" applyNumberFormat="0" applyAlignment="0" applyProtection="0"/>
    <xf numFmtId="0" fontId="72" fillId="44" borderId="88" applyNumberFormat="0" applyAlignment="0" applyProtection="0"/>
    <xf numFmtId="0" fontId="72" fillId="44" borderId="88" applyNumberFormat="0" applyAlignment="0" applyProtection="0"/>
    <xf numFmtId="0" fontId="72" fillId="44" borderId="88" applyNumberFormat="0" applyAlignment="0" applyProtection="0"/>
    <xf numFmtId="0" fontId="72" fillId="44" borderId="88" applyNumberFormat="0" applyAlignment="0" applyProtection="0"/>
    <xf numFmtId="0" fontId="72" fillId="44" borderId="88" applyNumberFormat="0" applyAlignment="0" applyProtection="0"/>
    <xf numFmtId="0" fontId="66" fillId="44" borderId="88" applyNumberFormat="0" applyAlignment="0" applyProtection="0"/>
    <xf numFmtId="0" fontId="66" fillId="44" borderId="88" applyNumberFormat="0" applyAlignment="0" applyProtection="0"/>
    <xf numFmtId="0" fontId="66" fillId="44" borderId="88" applyNumberFormat="0" applyAlignment="0" applyProtection="0"/>
    <xf numFmtId="0" fontId="72" fillId="44" borderId="88" applyNumberFormat="0" applyAlignment="0" applyProtection="0"/>
    <xf numFmtId="0" fontId="66" fillId="44" borderId="88" applyNumberFormat="0" applyAlignment="0" applyProtection="0"/>
    <xf numFmtId="0" fontId="72" fillId="44" borderId="88" applyNumberFormat="0" applyAlignment="0" applyProtection="0"/>
    <xf numFmtId="0" fontId="72" fillId="44" borderId="88" applyNumberFormat="0" applyAlignment="0" applyProtection="0"/>
    <xf numFmtId="0" fontId="72" fillId="44" borderId="88" applyNumberFormat="0" applyAlignment="0" applyProtection="0"/>
    <xf numFmtId="0" fontId="72" fillId="44" borderId="88" applyNumberFormat="0" applyAlignment="0" applyProtection="0"/>
    <xf numFmtId="0" fontId="72" fillId="44" borderId="88" applyNumberFormat="0" applyAlignment="0" applyProtection="0"/>
    <xf numFmtId="0" fontId="72" fillId="44" borderId="88" applyNumberFormat="0" applyAlignment="0" applyProtection="0"/>
    <xf numFmtId="0" fontId="72" fillId="44" borderId="88" applyNumberFormat="0" applyAlignment="0" applyProtection="0"/>
    <xf numFmtId="0" fontId="72" fillId="44" borderId="88" applyNumberFormat="0" applyAlignment="0" applyProtection="0"/>
    <xf numFmtId="0" fontId="72" fillId="44" borderId="88" applyNumberFormat="0" applyAlignment="0" applyProtection="0"/>
    <xf numFmtId="0" fontId="72" fillId="44" borderId="88" applyNumberFormat="0" applyAlignment="0" applyProtection="0"/>
    <xf numFmtId="0" fontId="72" fillId="44" borderId="88" applyNumberFormat="0" applyAlignment="0" applyProtection="0"/>
    <xf numFmtId="0" fontId="72" fillId="44" borderId="88" applyNumberFormat="0" applyAlignment="0" applyProtection="0"/>
    <xf numFmtId="0" fontId="72" fillId="44" borderId="88" applyNumberFormat="0" applyAlignment="0" applyProtection="0"/>
    <xf numFmtId="0" fontId="72" fillId="44" borderId="88" applyNumberFormat="0" applyAlignment="0" applyProtection="0"/>
    <xf numFmtId="0" fontId="66" fillId="44" borderId="88" applyNumberFormat="0" applyAlignment="0" applyProtection="0"/>
    <xf numFmtId="0" fontId="66" fillId="44" borderId="88" applyNumberFormat="0" applyAlignment="0" applyProtection="0"/>
    <xf numFmtId="0" fontId="66" fillId="44" borderId="88" applyNumberFormat="0" applyAlignment="0" applyProtection="0"/>
    <xf numFmtId="0" fontId="72" fillId="44" borderId="88" applyNumberFormat="0" applyAlignment="0" applyProtection="0"/>
    <xf numFmtId="0" fontId="66" fillId="44" borderId="88" applyNumberFormat="0" applyAlignment="0" applyProtection="0"/>
    <xf numFmtId="0" fontId="72" fillId="44" borderId="88" applyNumberFormat="0" applyAlignment="0" applyProtection="0"/>
    <xf numFmtId="0" fontId="72" fillId="44" borderId="88" applyNumberFormat="0" applyAlignment="0" applyProtection="0"/>
    <xf numFmtId="0" fontId="72" fillId="44" borderId="88" applyNumberFormat="0" applyAlignment="0" applyProtection="0"/>
    <xf numFmtId="0" fontId="72" fillId="44" borderId="88" applyNumberFormat="0" applyAlignment="0" applyProtection="0"/>
    <xf numFmtId="0" fontId="72" fillId="44" borderId="88" applyNumberFormat="0" applyAlignment="0" applyProtection="0"/>
    <xf numFmtId="0" fontId="72" fillId="44" borderId="88" applyNumberFormat="0" applyAlignment="0" applyProtection="0"/>
    <xf numFmtId="0" fontId="72" fillId="44" borderId="88" applyNumberFormat="0" applyAlignment="0" applyProtection="0"/>
    <xf numFmtId="0" fontId="72" fillId="44" borderId="88" applyNumberFormat="0" applyAlignment="0" applyProtection="0"/>
    <xf numFmtId="0" fontId="72" fillId="44" borderId="88" applyNumberFormat="0" applyAlignment="0" applyProtection="0"/>
    <xf numFmtId="0" fontId="72" fillId="44" borderId="88" applyNumberFormat="0" applyAlignment="0" applyProtection="0"/>
    <xf numFmtId="0" fontId="72" fillId="44" borderId="88" applyNumberFormat="0" applyAlignment="0" applyProtection="0"/>
    <xf numFmtId="0" fontId="73" fillId="75" borderId="110" applyNumberFormat="0" applyAlignment="0" applyProtection="0"/>
    <xf numFmtId="0" fontId="73" fillId="75" borderId="110" applyNumberFormat="0" applyAlignment="0" applyProtection="0"/>
    <xf numFmtId="0" fontId="73" fillId="75" borderId="110" applyNumberFormat="0" applyAlignment="0" applyProtection="0"/>
    <xf numFmtId="0" fontId="73" fillId="75" borderId="110" applyNumberFormat="0" applyAlignment="0" applyProtection="0"/>
    <xf numFmtId="0" fontId="73" fillId="75" borderId="110" applyNumberFormat="0" applyAlignment="0" applyProtection="0"/>
    <xf numFmtId="0" fontId="73" fillId="75" borderId="110" applyNumberFormat="0" applyAlignment="0" applyProtection="0"/>
    <xf numFmtId="0" fontId="73" fillId="75" borderId="110" applyNumberFormat="0" applyAlignment="0" applyProtection="0"/>
    <xf numFmtId="0" fontId="73" fillId="75" borderId="110" applyNumberFormat="0" applyAlignment="0" applyProtection="0"/>
    <xf numFmtId="0" fontId="66" fillId="75" borderId="110" applyNumberFormat="0" applyAlignment="0" applyProtection="0"/>
    <xf numFmtId="0" fontId="66" fillId="75" borderId="110" applyNumberFormat="0" applyAlignment="0" applyProtection="0"/>
    <xf numFmtId="0" fontId="66" fillId="75" borderId="110" applyNumberFormat="0" applyAlignment="0" applyProtection="0"/>
    <xf numFmtId="0" fontId="66" fillId="75" borderId="110" applyNumberFormat="0" applyAlignment="0" applyProtection="0"/>
    <xf numFmtId="0" fontId="66" fillId="75" borderId="110" applyNumberFormat="0" applyAlignment="0" applyProtection="0"/>
    <xf numFmtId="0" fontId="66" fillId="75" borderId="110" applyNumberFormat="0" applyAlignment="0" applyProtection="0"/>
    <xf numFmtId="0" fontId="66" fillId="75" borderId="110" applyNumberFormat="0" applyAlignment="0" applyProtection="0"/>
    <xf numFmtId="0" fontId="66" fillId="75" borderId="110" applyNumberFormat="0" applyAlignment="0" applyProtection="0"/>
    <xf numFmtId="0" fontId="73" fillId="75" borderId="110" applyNumberFormat="0" applyAlignment="0" applyProtection="0"/>
    <xf numFmtId="0" fontId="73" fillId="75" borderId="110" applyNumberFormat="0" applyAlignment="0" applyProtection="0"/>
    <xf numFmtId="0" fontId="73" fillId="75" borderId="110" applyNumberFormat="0" applyAlignment="0" applyProtection="0"/>
    <xf numFmtId="0" fontId="73" fillId="75" borderId="110" applyNumberFormat="0" applyAlignment="0" applyProtection="0"/>
    <xf numFmtId="0" fontId="73" fillId="92" borderId="110" applyNumberFormat="0" applyAlignment="0" applyProtection="0"/>
    <xf numFmtId="0" fontId="73" fillId="92" borderId="110" applyNumberFormat="0" applyAlignment="0" applyProtection="0"/>
    <xf numFmtId="0" fontId="66" fillId="92" borderId="110" applyNumberFormat="0" applyAlignment="0" applyProtection="0"/>
    <xf numFmtId="0" fontId="66" fillId="92" borderId="110" applyNumberFormat="0" applyAlignment="0" applyProtection="0"/>
    <xf numFmtId="0" fontId="66" fillId="92" borderId="110" applyNumberFormat="0" applyAlignment="0" applyProtection="0"/>
    <xf numFmtId="0" fontId="66" fillId="92" borderId="110" applyNumberFormat="0" applyAlignment="0" applyProtection="0"/>
    <xf numFmtId="0" fontId="66" fillId="92" borderId="110" applyNumberFormat="0" applyAlignment="0" applyProtection="0"/>
    <xf numFmtId="0" fontId="66" fillId="92" borderId="110" applyNumberFormat="0" applyAlignment="0" applyProtection="0"/>
    <xf numFmtId="0" fontId="66" fillId="92" borderId="110" applyNumberFormat="0" applyAlignment="0" applyProtection="0"/>
    <xf numFmtId="0" fontId="66" fillId="92" borderId="110" applyNumberFormat="0" applyAlignment="0" applyProtection="0"/>
    <xf numFmtId="0" fontId="73" fillId="92" borderId="110" applyNumberFormat="0" applyAlignment="0" applyProtection="0"/>
    <xf numFmtId="0" fontId="73" fillId="92" borderId="110" applyNumberFormat="0" applyAlignment="0" applyProtection="0"/>
    <xf numFmtId="0" fontId="73" fillId="92" borderId="110" applyNumberFormat="0" applyAlignment="0" applyProtection="0"/>
    <xf numFmtId="0" fontId="73" fillId="92" borderId="110" applyNumberFormat="0" applyAlignment="0" applyProtection="0"/>
    <xf numFmtId="0" fontId="73" fillId="92" borderId="110" applyNumberFormat="0" applyAlignment="0" applyProtection="0"/>
    <xf numFmtId="0" fontId="73" fillId="92" borderId="110" applyNumberFormat="0" applyAlignment="0" applyProtection="0"/>
    <xf numFmtId="0" fontId="66" fillId="92" borderId="110" applyNumberFormat="0" applyAlignment="0" applyProtection="0"/>
    <xf numFmtId="0" fontId="66" fillId="92" borderId="110" applyNumberFormat="0" applyAlignment="0" applyProtection="0"/>
    <xf numFmtId="0" fontId="73" fillId="75" borderId="110" applyNumberFormat="0" applyAlignment="0" applyProtection="0"/>
    <xf numFmtId="0" fontId="66" fillId="92" borderId="110" applyNumberFormat="0" applyAlignment="0" applyProtection="0"/>
    <xf numFmtId="0" fontId="73" fillId="92" borderId="110" applyNumberFormat="0" applyAlignment="0" applyProtection="0"/>
    <xf numFmtId="0" fontId="66" fillId="92" borderId="110" applyNumberFormat="0" applyAlignment="0" applyProtection="0"/>
    <xf numFmtId="0" fontId="73" fillId="92" borderId="110" applyNumberFormat="0" applyAlignment="0" applyProtection="0"/>
    <xf numFmtId="0" fontId="73" fillId="92" borderId="110" applyNumberFormat="0" applyAlignment="0" applyProtection="0"/>
    <xf numFmtId="0" fontId="73" fillId="92" borderId="110" applyNumberFormat="0" applyAlignment="0" applyProtection="0"/>
    <xf numFmtId="0" fontId="73" fillId="92" borderId="110" applyNumberFormat="0" applyAlignment="0" applyProtection="0"/>
    <xf numFmtId="0" fontId="73" fillId="92" borderId="110" applyNumberFormat="0" applyAlignment="0" applyProtection="0"/>
    <xf numFmtId="0" fontId="73" fillId="92" borderId="110" applyNumberFormat="0" applyAlignment="0" applyProtection="0"/>
    <xf numFmtId="0" fontId="73" fillId="92" borderId="110" applyNumberFormat="0" applyAlignment="0" applyProtection="0"/>
    <xf numFmtId="0" fontId="73" fillId="92" borderId="110" applyNumberFormat="0" applyAlignment="0" applyProtection="0"/>
    <xf numFmtId="0" fontId="73" fillId="92" borderId="110" applyNumberFormat="0" applyAlignment="0" applyProtection="0"/>
    <xf numFmtId="0" fontId="73" fillId="92" borderId="110" applyNumberFormat="0" applyAlignment="0" applyProtection="0"/>
    <xf numFmtId="0" fontId="73" fillId="92" borderId="110" applyNumberFormat="0" applyAlignment="0" applyProtection="0"/>
    <xf numFmtId="0" fontId="73" fillId="92" borderId="110" applyNumberFormat="0" applyAlignment="0" applyProtection="0"/>
    <xf numFmtId="0" fontId="73" fillId="75" borderId="110" applyNumberFormat="0" applyAlignment="0" applyProtection="0"/>
    <xf numFmtId="0" fontId="73" fillId="75" borderId="110" applyNumberFormat="0" applyAlignment="0" applyProtection="0"/>
    <xf numFmtId="0" fontId="66" fillId="75" borderId="110" applyNumberFormat="0" applyAlignment="0" applyProtection="0"/>
    <xf numFmtId="0" fontId="66" fillId="75" borderId="110" applyNumberFormat="0" applyAlignment="0" applyProtection="0"/>
    <xf numFmtId="0" fontId="66" fillId="75" borderId="110" applyNumberFormat="0" applyAlignment="0" applyProtection="0"/>
    <xf numFmtId="0" fontId="73" fillId="75" borderId="110" applyNumberFormat="0" applyAlignment="0" applyProtection="0"/>
    <xf numFmtId="0" fontId="66" fillId="75" borderId="110" applyNumberFormat="0" applyAlignment="0" applyProtection="0"/>
    <xf numFmtId="0" fontId="73" fillId="75" borderId="110" applyNumberFormat="0" applyAlignment="0" applyProtection="0"/>
    <xf numFmtId="0" fontId="73" fillId="75" borderId="110" applyNumberFormat="0" applyAlignment="0" applyProtection="0"/>
    <xf numFmtId="0" fontId="73" fillId="75" borderId="110" applyNumberFormat="0" applyAlignment="0" applyProtection="0"/>
    <xf numFmtId="0" fontId="73" fillId="75" borderId="110" applyNumberFormat="0" applyAlignment="0" applyProtection="0"/>
    <xf numFmtId="0" fontId="73" fillId="75" borderId="110" applyNumberFormat="0" applyAlignment="0" applyProtection="0"/>
    <xf numFmtId="0" fontId="73" fillId="75" borderId="110" applyNumberFormat="0" applyAlignment="0" applyProtection="0"/>
    <xf numFmtId="0" fontId="73" fillId="75" borderId="110" applyNumberFormat="0" applyAlignment="0" applyProtection="0"/>
    <xf numFmtId="0" fontId="73" fillId="75" borderId="110" applyNumberFormat="0" applyAlignment="0" applyProtection="0"/>
    <xf numFmtId="0" fontId="73" fillId="75" borderId="110" applyNumberFormat="0" applyAlignment="0" applyProtection="0"/>
    <xf numFmtId="0" fontId="73" fillId="75" borderId="110" applyNumberFormat="0" applyAlignment="0" applyProtection="0"/>
    <xf numFmtId="0" fontId="73" fillId="75" borderId="110" applyNumberFormat="0" applyAlignment="0" applyProtection="0"/>
    <xf numFmtId="0" fontId="74" fillId="75" borderId="88" applyNumberFormat="0" applyAlignment="0" applyProtection="0"/>
    <xf numFmtId="0" fontId="74" fillId="75" borderId="88" applyNumberFormat="0" applyAlignment="0" applyProtection="0"/>
    <xf numFmtId="0" fontId="74" fillId="75" borderId="88" applyNumberFormat="0" applyAlignment="0" applyProtection="0"/>
    <xf numFmtId="0" fontId="74" fillId="75" borderId="88" applyNumberFormat="0" applyAlignment="0" applyProtection="0"/>
    <xf numFmtId="0" fontId="74" fillId="75" borderId="88" applyNumberFormat="0" applyAlignment="0" applyProtection="0"/>
    <xf numFmtId="0" fontId="74" fillId="75" borderId="88" applyNumberFormat="0" applyAlignment="0" applyProtection="0"/>
    <xf numFmtId="0" fontId="74" fillId="75" borderId="88" applyNumberFormat="0" applyAlignment="0" applyProtection="0"/>
    <xf numFmtId="0" fontId="74" fillId="75" borderId="88" applyNumberFormat="0" applyAlignment="0" applyProtection="0"/>
    <xf numFmtId="0" fontId="66" fillId="75" borderId="88" applyNumberFormat="0" applyAlignment="0" applyProtection="0"/>
    <xf numFmtId="0" fontId="66" fillId="75" borderId="88" applyNumberFormat="0" applyAlignment="0" applyProtection="0"/>
    <xf numFmtId="0" fontId="66" fillId="75" borderId="88" applyNumberFormat="0" applyAlignment="0" applyProtection="0"/>
    <xf numFmtId="0" fontId="66" fillId="75" borderId="88" applyNumberFormat="0" applyAlignment="0" applyProtection="0"/>
    <xf numFmtId="0" fontId="66" fillId="75" borderId="88" applyNumberFormat="0" applyAlignment="0" applyProtection="0"/>
    <xf numFmtId="0" fontId="66" fillId="75" borderId="88" applyNumberFormat="0" applyAlignment="0" applyProtection="0"/>
    <xf numFmtId="0" fontId="66" fillId="75" borderId="88" applyNumberFormat="0" applyAlignment="0" applyProtection="0"/>
    <xf numFmtId="0" fontId="66" fillId="75" borderId="88" applyNumberFormat="0" applyAlignment="0" applyProtection="0"/>
    <xf numFmtId="0" fontId="74" fillId="75" borderId="88" applyNumberFormat="0" applyAlignment="0" applyProtection="0"/>
    <xf numFmtId="0" fontId="74" fillId="75" borderId="88" applyNumberFormat="0" applyAlignment="0" applyProtection="0"/>
    <xf numFmtId="0" fontId="74" fillId="75" borderId="88" applyNumberFormat="0" applyAlignment="0" applyProtection="0"/>
    <xf numFmtId="0" fontId="74" fillId="75" borderId="88" applyNumberFormat="0" applyAlignment="0" applyProtection="0"/>
    <xf numFmtId="0" fontId="74" fillId="92" borderId="88" applyNumberFormat="0" applyAlignment="0" applyProtection="0"/>
    <xf numFmtId="0" fontId="74" fillId="92" borderId="88" applyNumberFormat="0" applyAlignment="0" applyProtection="0"/>
    <xf numFmtId="0" fontId="66" fillId="92" borderId="88" applyNumberFormat="0" applyAlignment="0" applyProtection="0"/>
    <xf numFmtId="0" fontId="66" fillId="92" borderId="88" applyNumberFormat="0" applyAlignment="0" applyProtection="0"/>
    <xf numFmtId="0" fontId="66" fillId="92" borderId="88" applyNumberFormat="0" applyAlignment="0" applyProtection="0"/>
    <xf numFmtId="0" fontId="66" fillId="92" borderId="88" applyNumberFormat="0" applyAlignment="0" applyProtection="0"/>
    <xf numFmtId="0" fontId="66" fillId="92" borderId="88" applyNumberFormat="0" applyAlignment="0" applyProtection="0"/>
    <xf numFmtId="0" fontId="66" fillId="92" borderId="88" applyNumberFormat="0" applyAlignment="0" applyProtection="0"/>
    <xf numFmtId="0" fontId="66" fillId="92" borderId="88" applyNumberFormat="0" applyAlignment="0" applyProtection="0"/>
    <xf numFmtId="0" fontId="66" fillId="92" borderId="88" applyNumberFormat="0" applyAlignment="0" applyProtection="0"/>
    <xf numFmtId="0" fontId="74" fillId="92" borderId="88" applyNumberFormat="0" applyAlignment="0" applyProtection="0"/>
    <xf numFmtId="0" fontId="74" fillId="92" borderId="88" applyNumberFormat="0" applyAlignment="0" applyProtection="0"/>
    <xf numFmtId="0" fontId="74" fillId="92" borderId="88" applyNumberFormat="0" applyAlignment="0" applyProtection="0"/>
    <xf numFmtId="0" fontId="74" fillId="92" borderId="88" applyNumberFormat="0" applyAlignment="0" applyProtection="0"/>
    <xf numFmtId="0" fontId="74" fillId="92" borderId="88" applyNumberFormat="0" applyAlignment="0" applyProtection="0"/>
    <xf numFmtId="0" fontId="74" fillId="92" borderId="88" applyNumberFormat="0" applyAlignment="0" applyProtection="0"/>
    <xf numFmtId="0" fontId="66" fillId="92" borderId="88" applyNumberFormat="0" applyAlignment="0" applyProtection="0"/>
    <xf numFmtId="0" fontId="66" fillId="92" borderId="88" applyNumberFormat="0" applyAlignment="0" applyProtection="0"/>
    <xf numFmtId="0" fontId="74" fillId="75" borderId="88" applyNumberFormat="0" applyAlignment="0" applyProtection="0"/>
    <xf numFmtId="0" fontId="66" fillId="92" borderId="88" applyNumberFormat="0" applyAlignment="0" applyProtection="0"/>
    <xf numFmtId="0" fontId="74" fillId="92" borderId="88" applyNumberFormat="0" applyAlignment="0" applyProtection="0"/>
    <xf numFmtId="0" fontId="66" fillId="92" borderId="88" applyNumberFormat="0" applyAlignment="0" applyProtection="0"/>
    <xf numFmtId="0" fontId="74" fillId="92" borderId="88" applyNumberFormat="0" applyAlignment="0" applyProtection="0"/>
    <xf numFmtId="0" fontId="74" fillId="92" borderId="88" applyNumberFormat="0" applyAlignment="0" applyProtection="0"/>
    <xf numFmtId="0" fontId="74" fillId="92" borderId="88" applyNumberFormat="0" applyAlignment="0" applyProtection="0"/>
    <xf numFmtId="0" fontId="74" fillId="92" borderId="88" applyNumberFormat="0" applyAlignment="0" applyProtection="0"/>
    <xf numFmtId="0" fontId="74" fillId="92" borderId="88" applyNumberFormat="0" applyAlignment="0" applyProtection="0"/>
    <xf numFmtId="0" fontId="74" fillId="92" borderId="88" applyNumberFormat="0" applyAlignment="0" applyProtection="0"/>
    <xf numFmtId="0" fontId="74" fillId="92" borderId="88" applyNumberFormat="0" applyAlignment="0" applyProtection="0"/>
    <xf numFmtId="0" fontId="74" fillId="92" borderId="88" applyNumberFormat="0" applyAlignment="0" applyProtection="0"/>
    <xf numFmtId="0" fontId="74" fillId="92" borderId="88" applyNumberFormat="0" applyAlignment="0" applyProtection="0"/>
    <xf numFmtId="0" fontId="74" fillId="92" borderId="88" applyNumberFormat="0" applyAlignment="0" applyProtection="0"/>
    <xf numFmtId="0" fontId="74" fillId="92" borderId="88" applyNumberFormat="0" applyAlignment="0" applyProtection="0"/>
    <xf numFmtId="0" fontId="74" fillId="92" borderId="88" applyNumberFormat="0" applyAlignment="0" applyProtection="0"/>
    <xf numFmtId="0" fontId="74" fillId="75" borderId="88" applyNumberFormat="0" applyAlignment="0" applyProtection="0"/>
    <xf numFmtId="0" fontId="74" fillId="75" borderId="88" applyNumberFormat="0" applyAlignment="0" applyProtection="0"/>
    <xf numFmtId="0" fontId="66" fillId="75" borderId="88" applyNumberFormat="0" applyAlignment="0" applyProtection="0"/>
    <xf numFmtId="0" fontId="66" fillId="75" borderId="88" applyNumberFormat="0" applyAlignment="0" applyProtection="0"/>
    <xf numFmtId="0" fontId="66" fillId="75" borderId="88" applyNumberFormat="0" applyAlignment="0" applyProtection="0"/>
    <xf numFmtId="0" fontId="74" fillId="75" borderId="88" applyNumberFormat="0" applyAlignment="0" applyProtection="0"/>
    <xf numFmtId="0" fontId="66" fillId="75" borderId="88" applyNumberFormat="0" applyAlignment="0" applyProtection="0"/>
    <xf numFmtId="0" fontId="74" fillId="75" borderId="88" applyNumberFormat="0" applyAlignment="0" applyProtection="0"/>
    <xf numFmtId="0" fontId="74" fillId="75" borderId="88" applyNumberFormat="0" applyAlignment="0" applyProtection="0"/>
    <xf numFmtId="0" fontId="74" fillId="75" borderId="88" applyNumberFormat="0" applyAlignment="0" applyProtection="0"/>
    <xf numFmtId="0" fontId="74" fillId="75" borderId="88" applyNumberFormat="0" applyAlignment="0" applyProtection="0"/>
    <xf numFmtId="0" fontId="74" fillId="75" borderId="88" applyNumberFormat="0" applyAlignment="0" applyProtection="0"/>
    <xf numFmtId="0" fontId="74" fillId="75" borderId="88" applyNumberFormat="0" applyAlignment="0" applyProtection="0"/>
    <xf numFmtId="0" fontId="74" fillId="75" borderId="88" applyNumberFormat="0" applyAlignment="0" applyProtection="0"/>
    <xf numFmtId="0" fontId="74" fillId="75" borderId="88" applyNumberFormat="0" applyAlignment="0" applyProtection="0"/>
    <xf numFmtId="0" fontId="74" fillId="75" borderId="88" applyNumberFormat="0" applyAlignment="0" applyProtection="0"/>
    <xf numFmtId="0" fontId="74" fillId="75" borderId="88" applyNumberFormat="0" applyAlignment="0" applyProtection="0"/>
    <xf numFmtId="0" fontId="74" fillId="75" borderId="88" applyNumberFormat="0" applyAlignment="0" applyProtection="0"/>
    <xf numFmtId="0" fontId="66" fillId="0" borderId="167" applyNumberFormat="0" applyFill="0" applyAlignment="0" applyProtection="0"/>
    <xf numFmtId="0" fontId="66" fillId="0" borderId="167" applyNumberFormat="0" applyFill="0" applyAlignment="0" applyProtection="0"/>
    <xf numFmtId="0" fontId="78" fillId="0" borderId="167" applyNumberFormat="0" applyFill="0" applyAlignment="0" applyProtection="0"/>
    <xf numFmtId="0" fontId="66" fillId="0" borderId="167" applyNumberFormat="0" applyFill="0" applyAlignment="0" applyProtection="0"/>
    <xf numFmtId="0" fontId="78" fillId="0" borderId="167" applyNumberFormat="0" applyFill="0" applyAlignment="0" applyProtection="0"/>
    <xf numFmtId="0" fontId="78" fillId="0" borderId="167" applyNumberFormat="0" applyFill="0" applyAlignment="0" applyProtection="0"/>
    <xf numFmtId="0" fontId="78" fillId="0" borderId="167" applyNumberFormat="0" applyFill="0" applyAlignment="0" applyProtection="0"/>
    <xf numFmtId="0" fontId="78" fillId="0" borderId="167" applyNumberFormat="0" applyFill="0" applyAlignment="0" applyProtection="0"/>
    <xf numFmtId="0" fontId="78" fillId="0" borderId="167" applyNumberFormat="0" applyFill="0" applyAlignment="0" applyProtection="0"/>
    <xf numFmtId="0" fontId="78" fillId="0" borderId="167" applyNumberFormat="0" applyFill="0" applyAlignment="0" applyProtection="0"/>
    <xf numFmtId="0" fontId="78" fillId="0" borderId="167" applyNumberFormat="0" applyFill="0" applyAlignment="0" applyProtection="0"/>
    <xf numFmtId="0" fontId="78" fillId="0" borderId="167" applyNumberFormat="0" applyFill="0" applyAlignment="0" applyProtection="0"/>
    <xf numFmtId="0" fontId="78" fillId="0" borderId="167" applyNumberFormat="0" applyFill="0" applyAlignment="0" applyProtection="0"/>
    <xf numFmtId="0" fontId="78" fillId="0" borderId="167" applyNumberFormat="0" applyFill="0" applyAlignment="0" applyProtection="0"/>
    <xf numFmtId="0" fontId="78" fillId="0" borderId="167" applyNumberFormat="0" applyFill="0" applyAlignment="0" applyProtection="0"/>
    <xf numFmtId="0" fontId="66" fillId="86" borderId="164" applyNumberFormat="0" applyFont="0" applyAlignment="0" applyProtection="0"/>
    <xf numFmtId="0" fontId="66" fillId="86" borderId="164" applyNumberFormat="0" applyFont="0" applyAlignment="0" applyProtection="0"/>
    <xf numFmtId="0" fontId="66" fillId="86" borderId="164" applyNumberFormat="0" applyFont="0" applyAlignment="0" applyProtection="0"/>
    <xf numFmtId="0" fontId="66" fillId="86" borderId="164" applyNumberFormat="0" applyFont="0" applyAlignment="0" applyProtection="0"/>
    <xf numFmtId="0" fontId="66" fillId="86" borderId="164" applyNumberFormat="0" applyFont="0" applyAlignment="0" applyProtection="0"/>
    <xf numFmtId="0" fontId="66" fillId="86" borderId="164" applyNumberFormat="0" applyFont="0" applyAlignment="0" applyProtection="0"/>
    <xf numFmtId="0" fontId="66" fillId="86" borderId="164" applyNumberFormat="0" applyFont="0" applyAlignment="0" applyProtection="0"/>
    <xf numFmtId="0" fontId="66" fillId="86" borderId="164" applyNumberFormat="0" applyFont="0" applyAlignment="0" applyProtection="0"/>
    <xf numFmtId="0" fontId="66" fillId="86" borderId="164" applyNumberFormat="0" applyFont="0" applyAlignment="0" applyProtection="0"/>
    <xf numFmtId="0" fontId="66" fillId="86" borderId="164" applyNumberFormat="0" applyFont="0" applyAlignment="0" applyProtection="0"/>
    <xf numFmtId="0" fontId="66" fillId="86" borderId="164" applyNumberFormat="0" applyFont="0" applyAlignment="0" applyProtection="0"/>
    <xf numFmtId="0" fontId="66" fillId="86" borderId="164" applyNumberFormat="0" applyFont="0" applyAlignment="0" applyProtection="0"/>
    <xf numFmtId="0" fontId="66" fillId="86" borderId="164" applyNumberFormat="0" applyFont="0" applyAlignment="0" applyProtection="0"/>
    <xf numFmtId="0" fontId="66" fillId="86" borderId="164" applyNumberFormat="0" applyFont="0" applyAlignment="0" applyProtection="0"/>
    <xf numFmtId="0" fontId="66" fillId="86" borderId="164" applyNumberFormat="0" applyFont="0" applyAlignment="0" applyProtection="0"/>
    <xf numFmtId="0" fontId="66" fillId="86" borderId="164" applyNumberFormat="0" applyFont="0" applyAlignment="0" applyProtection="0"/>
    <xf numFmtId="0" fontId="66" fillId="86" borderId="164" applyNumberFormat="0" applyFont="0" applyAlignment="0" applyProtection="0"/>
    <xf numFmtId="0" fontId="66" fillId="86" borderId="164" applyNumberFormat="0" applyFont="0" applyAlignment="0" applyProtection="0"/>
    <xf numFmtId="0" fontId="66" fillId="86" borderId="164" applyNumberFormat="0" applyFont="0" applyAlignment="0" applyProtection="0"/>
    <xf numFmtId="0" fontId="66" fillId="86" borderId="164" applyNumberFormat="0" applyFont="0" applyAlignment="0" applyProtection="0"/>
    <xf numFmtId="0" fontId="66" fillId="86" borderId="164" applyNumberFormat="0" applyFont="0" applyAlignment="0" applyProtection="0"/>
    <xf numFmtId="0" fontId="66" fillId="86" borderId="164" applyNumberFormat="0" applyFont="0" applyAlignment="0" applyProtection="0"/>
    <xf numFmtId="0" fontId="66" fillId="86" borderId="164" applyNumberFormat="0" applyFont="0" applyAlignment="0" applyProtection="0"/>
    <xf numFmtId="0" fontId="66" fillId="86" borderId="164" applyNumberFormat="0" applyFont="0" applyAlignment="0" applyProtection="0"/>
    <xf numFmtId="0" fontId="66" fillId="86" borderId="164" applyNumberFormat="0" applyFont="0" applyAlignment="0" applyProtection="0"/>
    <xf numFmtId="0" fontId="66" fillId="86" borderId="164" applyNumberFormat="0" applyFont="0" applyAlignment="0" applyProtection="0"/>
    <xf numFmtId="0" fontId="66" fillId="86" borderId="164" applyNumberFormat="0" applyFont="0" applyAlignment="0" applyProtection="0"/>
    <xf numFmtId="0" fontId="66" fillId="86" borderId="164" applyNumberFormat="0" applyFont="0" applyAlignment="0" applyProtection="0"/>
    <xf numFmtId="0" fontId="66" fillId="86" borderId="164" applyNumberFormat="0" applyFont="0" applyAlignment="0" applyProtection="0"/>
    <xf numFmtId="0" fontId="66" fillId="86" borderId="164" applyNumberFormat="0" applyFont="0" applyAlignment="0" applyProtection="0"/>
    <xf numFmtId="0" fontId="66" fillId="86" borderId="164" applyNumberFormat="0" applyFont="0" applyAlignment="0" applyProtection="0"/>
    <xf numFmtId="0" fontId="66" fillId="86" borderId="164" applyNumberFormat="0" applyFont="0" applyAlignment="0" applyProtection="0"/>
    <xf numFmtId="0" fontId="66" fillId="86" borderId="164" applyNumberFormat="0" applyFont="0" applyAlignment="0" applyProtection="0"/>
    <xf numFmtId="0" fontId="66" fillId="86" borderId="164" applyNumberFormat="0" applyFont="0" applyAlignment="0" applyProtection="0"/>
    <xf numFmtId="0" fontId="66" fillId="86" borderId="164" applyNumberFormat="0" applyFont="0" applyAlignment="0" applyProtection="0"/>
    <xf numFmtId="0" fontId="66" fillId="86" borderId="164" applyNumberFormat="0" applyFont="0" applyAlignment="0" applyProtection="0"/>
    <xf numFmtId="0" fontId="66" fillId="86" borderId="164" applyNumberFormat="0" applyFont="0" applyAlignment="0" applyProtection="0"/>
    <xf numFmtId="0" fontId="66" fillId="86" borderId="164" applyNumberFormat="0" applyFont="0" applyAlignment="0" applyProtection="0"/>
    <xf numFmtId="0" fontId="66" fillId="86" borderId="164" applyNumberFormat="0" applyFont="0" applyAlignment="0" applyProtection="0"/>
    <xf numFmtId="0" fontId="66" fillId="86" borderId="164" applyNumberFormat="0" applyFont="0" applyAlignment="0" applyProtection="0"/>
    <xf numFmtId="0" fontId="66" fillId="86" borderId="164" applyNumberFormat="0" applyFont="0" applyAlignment="0" applyProtection="0"/>
    <xf numFmtId="0" fontId="66" fillId="86" borderId="164" applyNumberFormat="0" applyFont="0" applyAlignment="0" applyProtection="0"/>
    <xf numFmtId="0" fontId="66" fillId="86" borderId="164" applyNumberFormat="0" applyFont="0" applyAlignment="0" applyProtection="0"/>
    <xf numFmtId="0" fontId="66" fillId="86" borderId="164" applyNumberFormat="0" applyFont="0" applyAlignment="0" applyProtection="0"/>
    <xf numFmtId="0" fontId="66" fillId="86" borderId="164" applyNumberFormat="0" applyFont="0" applyAlignment="0" applyProtection="0"/>
    <xf numFmtId="0" fontId="66" fillId="86" borderId="164" applyNumberFormat="0" applyFont="0" applyAlignment="0" applyProtection="0"/>
    <xf numFmtId="0" fontId="66" fillId="86" borderId="164" applyNumberFormat="0" applyFont="0" applyAlignment="0" applyProtection="0"/>
    <xf numFmtId="0" fontId="66" fillId="86" borderId="164" applyNumberFormat="0" applyFont="0" applyAlignment="0" applyProtection="0"/>
    <xf numFmtId="0" fontId="66" fillId="86" borderId="164" applyNumberFormat="0" applyFont="0" applyAlignment="0" applyProtection="0"/>
    <xf numFmtId="0" fontId="66" fillId="86" borderId="164" applyNumberFormat="0" applyFont="0" applyAlignment="0" applyProtection="0"/>
    <xf numFmtId="0" fontId="66" fillId="86" borderId="164" applyNumberFormat="0" applyFont="0" applyAlignment="0" applyProtection="0"/>
    <xf numFmtId="0" fontId="66" fillId="86" borderId="164" applyNumberFormat="0" applyFont="0" applyAlignment="0" applyProtection="0"/>
    <xf numFmtId="0" fontId="66" fillId="86" borderId="164" applyNumberFormat="0" applyFont="0" applyAlignment="0" applyProtection="0"/>
    <xf numFmtId="0" fontId="66" fillId="86" borderId="164" applyNumberFormat="0" applyFont="0" applyAlignment="0" applyProtection="0"/>
    <xf numFmtId="0" fontId="66" fillId="86" borderId="164" applyNumberFormat="0" applyFont="0" applyAlignment="0" applyProtection="0"/>
    <xf numFmtId="0" fontId="66" fillId="86" borderId="164" applyNumberFormat="0" applyFont="0" applyAlignment="0" applyProtection="0"/>
    <xf numFmtId="0" fontId="66" fillId="86" borderId="164" applyNumberFormat="0" applyFont="0" applyAlignment="0" applyProtection="0"/>
    <xf numFmtId="0" fontId="66" fillId="86" borderId="164" applyNumberFormat="0" applyFont="0" applyAlignment="0" applyProtection="0"/>
    <xf numFmtId="0" fontId="66" fillId="86" borderId="164" applyNumberFormat="0" applyFont="0" applyAlignment="0" applyProtection="0"/>
    <xf numFmtId="0" fontId="66" fillId="86" borderId="164" applyNumberFormat="0" applyFont="0" applyAlignment="0" applyProtection="0"/>
    <xf numFmtId="0" fontId="66" fillId="86" borderId="164" applyNumberFormat="0" applyFont="0" applyAlignment="0" applyProtection="0"/>
    <xf numFmtId="0" fontId="66" fillId="86" borderId="164" applyNumberFormat="0" applyFont="0" applyAlignment="0" applyProtection="0"/>
    <xf numFmtId="0" fontId="66" fillId="86" borderId="164" applyNumberFormat="0" applyFont="0" applyAlignment="0" applyProtection="0"/>
    <xf numFmtId="0" fontId="66" fillId="86" borderId="164" applyNumberFormat="0" applyFont="0" applyAlignment="0" applyProtection="0"/>
    <xf numFmtId="0" fontId="66" fillId="86" borderId="164" applyNumberFormat="0" applyFont="0" applyAlignment="0" applyProtection="0"/>
    <xf numFmtId="0" fontId="66" fillId="86" borderId="164" applyNumberFormat="0" applyFont="0" applyAlignment="0" applyProtection="0"/>
    <xf numFmtId="0" fontId="66" fillId="86" borderId="164" applyNumberFormat="0" applyFont="0" applyAlignment="0" applyProtection="0"/>
    <xf numFmtId="0" fontId="78" fillId="0" borderId="111" applyNumberFormat="0" applyFill="0" applyAlignment="0" applyProtection="0"/>
    <xf numFmtId="0" fontId="78" fillId="0" borderId="111" applyNumberFormat="0" applyFill="0" applyAlignment="0" applyProtection="0"/>
    <xf numFmtId="0" fontId="78" fillId="0" borderId="111" applyNumberFormat="0" applyFill="0" applyAlignment="0" applyProtection="0"/>
    <xf numFmtId="0" fontId="78" fillId="0" borderId="111" applyNumberFormat="0" applyFill="0" applyAlignment="0" applyProtection="0"/>
    <xf numFmtId="0" fontId="78" fillId="0" borderId="111" applyNumberFormat="0" applyFill="0" applyAlignment="0" applyProtection="0"/>
    <xf numFmtId="0" fontId="78" fillId="0" borderId="111" applyNumberFormat="0" applyFill="0" applyAlignment="0" applyProtection="0"/>
    <xf numFmtId="0" fontId="78" fillId="0" borderId="111" applyNumberFormat="0" applyFill="0" applyAlignment="0" applyProtection="0"/>
    <xf numFmtId="0" fontId="78" fillId="0" borderId="111" applyNumberFormat="0" applyFill="0" applyAlignment="0" applyProtection="0"/>
    <xf numFmtId="0" fontId="66" fillId="0" borderId="111" applyNumberFormat="0" applyFill="0" applyAlignment="0" applyProtection="0"/>
    <xf numFmtId="0" fontId="66" fillId="0" borderId="111" applyNumberFormat="0" applyFill="0" applyAlignment="0" applyProtection="0"/>
    <xf numFmtId="0" fontId="66" fillId="0" borderId="111" applyNumberFormat="0" applyFill="0" applyAlignment="0" applyProtection="0"/>
    <xf numFmtId="0" fontId="66" fillId="0" borderId="111" applyNumberFormat="0" applyFill="0" applyAlignment="0" applyProtection="0"/>
    <xf numFmtId="0" fontId="66" fillId="0" borderId="111" applyNumberFormat="0" applyFill="0" applyAlignment="0" applyProtection="0"/>
    <xf numFmtId="0" fontId="66" fillId="0" borderId="111" applyNumberFormat="0" applyFill="0" applyAlignment="0" applyProtection="0"/>
    <xf numFmtId="0" fontId="66" fillId="0" borderId="111" applyNumberFormat="0" applyFill="0" applyAlignment="0" applyProtection="0"/>
    <xf numFmtId="0" fontId="66" fillId="0" borderId="111" applyNumberFormat="0" applyFill="0" applyAlignment="0" applyProtection="0"/>
    <xf numFmtId="0" fontId="78" fillId="0" borderId="111" applyNumberFormat="0" applyFill="0" applyAlignment="0" applyProtection="0"/>
    <xf numFmtId="0" fontId="78" fillId="0" borderId="111" applyNumberFormat="0" applyFill="0" applyAlignment="0" applyProtection="0"/>
    <xf numFmtId="0" fontId="78" fillId="0" borderId="111" applyNumberFormat="0" applyFill="0" applyAlignment="0" applyProtection="0"/>
    <xf numFmtId="0" fontId="78" fillId="0" borderId="111" applyNumberFormat="0" applyFill="0" applyAlignment="0" applyProtection="0"/>
    <xf numFmtId="0" fontId="78" fillId="0" borderId="111" applyNumberFormat="0" applyFill="0" applyAlignment="0" applyProtection="0"/>
    <xf numFmtId="0" fontId="66" fillId="0" borderId="100" applyNumberFormat="0" applyFill="0" applyAlignment="0" applyProtection="0"/>
    <xf numFmtId="0" fontId="66" fillId="86" borderId="134" applyNumberFormat="0" applyFont="0" applyAlignment="0" applyProtection="0"/>
    <xf numFmtId="0" fontId="78" fillId="0" borderId="111" applyNumberFormat="0" applyFill="0" applyAlignment="0" applyProtection="0"/>
    <xf numFmtId="0" fontId="78" fillId="0" borderId="111" applyNumberFormat="0" applyFill="0" applyAlignment="0" applyProtection="0"/>
    <xf numFmtId="0" fontId="66" fillId="0" borderId="111" applyNumberFormat="0" applyFill="0" applyAlignment="0" applyProtection="0"/>
    <xf numFmtId="0" fontId="66" fillId="0" borderId="111" applyNumberFormat="0" applyFill="0" applyAlignment="0" applyProtection="0"/>
    <xf numFmtId="0" fontId="66" fillId="0" borderId="111" applyNumberFormat="0" applyFill="0" applyAlignment="0" applyProtection="0"/>
    <xf numFmtId="0" fontId="78" fillId="0" borderId="111" applyNumberFormat="0" applyFill="0" applyAlignment="0" applyProtection="0"/>
    <xf numFmtId="0" fontId="66" fillId="0" borderId="111" applyNumberFormat="0" applyFill="0" applyAlignment="0" applyProtection="0"/>
    <xf numFmtId="0" fontId="78" fillId="0" borderId="111" applyNumberFormat="0" applyFill="0" applyAlignment="0" applyProtection="0"/>
    <xf numFmtId="0" fontId="78" fillId="0" borderId="111" applyNumberFormat="0" applyFill="0" applyAlignment="0" applyProtection="0"/>
    <xf numFmtId="0" fontId="78" fillId="0" borderId="111" applyNumberFormat="0" applyFill="0" applyAlignment="0" applyProtection="0"/>
    <xf numFmtId="0" fontId="78" fillId="0" borderId="111" applyNumberFormat="0" applyFill="0" applyAlignment="0" applyProtection="0"/>
    <xf numFmtId="0" fontId="78" fillId="0" borderId="111" applyNumberFormat="0" applyFill="0" applyAlignment="0" applyProtection="0"/>
    <xf numFmtId="0" fontId="78" fillId="0" borderId="111" applyNumberFormat="0" applyFill="0" applyAlignment="0" applyProtection="0"/>
    <xf numFmtId="0" fontId="78" fillId="0" borderId="111" applyNumberFormat="0" applyFill="0" applyAlignment="0" applyProtection="0"/>
    <xf numFmtId="0" fontId="78" fillId="0" borderId="111" applyNumberFormat="0" applyFill="0" applyAlignment="0" applyProtection="0"/>
    <xf numFmtId="0" fontId="78" fillId="0" borderId="111" applyNumberFormat="0" applyFill="0" applyAlignment="0" applyProtection="0"/>
    <xf numFmtId="0" fontId="78" fillId="0" borderId="111" applyNumberFormat="0" applyFill="0" applyAlignment="0" applyProtection="0"/>
    <xf numFmtId="0" fontId="78" fillId="0" borderId="111" applyNumberFormat="0" applyFill="0" applyAlignment="0" applyProtection="0"/>
    <xf numFmtId="0" fontId="74" fillId="92" borderId="127" applyNumberFormat="0" applyAlignment="0" applyProtection="0"/>
    <xf numFmtId="0" fontId="72" fillId="44" borderId="127" applyNumberFormat="0" applyAlignment="0" applyProtection="0"/>
    <xf numFmtId="0" fontId="66" fillId="86" borderId="156" applyNumberFormat="0" applyFont="0" applyAlignment="0" applyProtection="0"/>
    <xf numFmtId="0" fontId="73" fillId="75" borderId="157" applyNumberFormat="0" applyAlignment="0" applyProtection="0"/>
    <xf numFmtId="0" fontId="38" fillId="76" borderId="163" applyNumberFormat="0" applyAlignment="0" applyProtection="0"/>
    <xf numFmtId="0" fontId="66" fillId="92" borderId="166" applyNumberFormat="0" applyAlignment="0" applyProtection="0"/>
    <xf numFmtId="0" fontId="66" fillId="92" borderId="163" applyNumberFormat="0" applyAlignment="0" applyProtection="0"/>
    <xf numFmtId="0" fontId="78" fillId="0" borderId="168" applyNumberFormat="0" applyFill="0" applyAlignment="0" applyProtection="0"/>
    <xf numFmtId="0" fontId="66" fillId="86" borderId="164" applyNumberFormat="0" applyFont="0" applyAlignment="0" applyProtection="0"/>
    <xf numFmtId="0" fontId="50" fillId="0" borderId="129" applyNumberFormat="0" applyFill="0" applyAlignment="0" applyProtection="0"/>
    <xf numFmtId="0" fontId="48" fillId="75" borderId="128" applyNumberFormat="0" applyAlignment="0" applyProtection="0"/>
    <xf numFmtId="0" fontId="33" fillId="86" borderId="134" applyNumberFormat="0" applyFont="0" applyAlignment="0" applyProtection="0"/>
    <xf numFmtId="0" fontId="33" fillId="86" borderId="134" applyNumberFormat="0" applyFont="0" applyAlignment="0" applyProtection="0"/>
    <xf numFmtId="0" fontId="33" fillId="86" borderId="134" applyNumberFormat="0" applyFont="0" applyAlignment="0" applyProtection="0"/>
    <xf numFmtId="0" fontId="33" fillId="86" borderId="134" applyNumberFormat="0" applyFont="0" applyAlignment="0" applyProtection="0"/>
    <xf numFmtId="0" fontId="33" fillId="86" borderId="134" applyNumberFormat="0" applyFont="0" applyAlignment="0" applyProtection="0"/>
    <xf numFmtId="0" fontId="33" fillId="85" borderId="134" applyNumberFormat="0" applyAlignment="0" applyProtection="0"/>
    <xf numFmtId="0" fontId="33" fillId="86" borderId="134" applyNumberFormat="0" applyFont="0" applyAlignment="0" applyProtection="0"/>
    <xf numFmtId="0" fontId="33" fillId="85" borderId="134" applyNumberFormat="0" applyAlignment="0" applyProtection="0"/>
    <xf numFmtId="0" fontId="33" fillId="86" borderId="134" applyNumberFormat="0" applyFont="0" applyAlignment="0" applyProtection="0"/>
    <xf numFmtId="0" fontId="33" fillId="85" borderId="134" applyNumberFormat="0" applyAlignment="0" applyProtection="0"/>
    <xf numFmtId="0" fontId="33" fillId="86" borderId="134" applyNumberFormat="0" applyFont="0" applyAlignment="0" applyProtection="0"/>
    <xf numFmtId="0" fontId="33" fillId="85" borderId="134" applyNumberFormat="0" applyAlignment="0" applyProtection="0"/>
    <xf numFmtId="0" fontId="33" fillId="85" borderId="134" applyNumberFormat="0" applyAlignment="0" applyProtection="0"/>
    <xf numFmtId="0" fontId="33" fillId="85" borderId="134" applyNumberFormat="0" applyAlignment="0" applyProtection="0"/>
    <xf numFmtId="0" fontId="33" fillId="86" borderId="134" applyNumberFormat="0" applyFont="0" applyAlignment="0" applyProtection="0"/>
    <xf numFmtId="0" fontId="33" fillId="85" borderId="134" applyNumberFormat="0" applyAlignment="0" applyProtection="0"/>
    <xf numFmtId="0" fontId="33" fillId="86" borderId="134" applyNumberFormat="0" applyFont="0" applyAlignment="0" applyProtection="0"/>
    <xf numFmtId="0" fontId="33" fillId="85" borderId="134" applyNumberFormat="0" applyAlignment="0" applyProtection="0"/>
    <xf numFmtId="0" fontId="33" fillId="85" borderId="134" applyNumberFormat="0" applyAlignment="0" applyProtection="0"/>
    <xf numFmtId="0" fontId="33" fillId="85" borderId="134" applyNumberFormat="0" applyAlignment="0" applyProtection="0"/>
    <xf numFmtId="0" fontId="33" fillId="85" borderId="134" applyNumberFormat="0" applyAlignment="0" applyProtection="0"/>
    <xf numFmtId="0" fontId="33" fillId="85" borderId="134" applyNumberFormat="0" applyAlignment="0" applyProtection="0"/>
    <xf numFmtId="0" fontId="33" fillId="86" borderId="134" applyNumberFormat="0" applyFont="0" applyAlignment="0" applyProtection="0"/>
    <xf numFmtId="0" fontId="33" fillId="86" borderId="134" applyNumberFormat="0" applyFont="0" applyAlignment="0" applyProtection="0"/>
    <xf numFmtId="0" fontId="33" fillId="85" borderId="134" applyNumberFormat="0" applyAlignment="0" applyProtection="0"/>
    <xf numFmtId="0" fontId="33" fillId="85" borderId="134" applyNumberFormat="0" applyAlignment="0" applyProtection="0"/>
    <xf numFmtId="0" fontId="33" fillId="86" borderId="134" applyNumberFormat="0" applyFont="0" applyAlignment="0" applyProtection="0"/>
    <xf numFmtId="0" fontId="33" fillId="85" borderId="134" applyNumberFormat="0" applyAlignment="0" applyProtection="0"/>
    <xf numFmtId="0" fontId="33" fillId="85" borderId="134" applyNumberFormat="0" applyAlignment="0" applyProtection="0"/>
    <xf numFmtId="0" fontId="72" fillId="44" borderId="147" applyNumberFormat="0" applyAlignment="0" applyProtection="0"/>
    <xf numFmtId="0" fontId="72" fillId="44" borderId="147" applyNumberFormat="0" applyAlignment="0" applyProtection="0"/>
    <xf numFmtId="0" fontId="72" fillId="44" borderId="147" applyNumberFormat="0" applyAlignment="0" applyProtection="0"/>
    <xf numFmtId="0" fontId="72" fillId="44" borderId="147" applyNumberFormat="0" applyAlignment="0" applyProtection="0"/>
    <xf numFmtId="0" fontId="72" fillId="44" borderId="147" applyNumberFormat="0" applyAlignment="0" applyProtection="0"/>
    <xf numFmtId="0" fontId="72" fillId="44" borderId="147" applyNumberFormat="0" applyAlignment="0" applyProtection="0"/>
    <xf numFmtId="0" fontId="72" fillId="44" borderId="147" applyNumberFormat="0" applyAlignment="0" applyProtection="0"/>
    <xf numFmtId="0" fontId="66" fillId="44" borderId="147" applyNumberFormat="0" applyAlignment="0" applyProtection="0"/>
    <xf numFmtId="0" fontId="72" fillId="44" borderId="147" applyNumberFormat="0" applyAlignment="0" applyProtection="0"/>
    <xf numFmtId="0" fontId="72" fillId="44" borderId="147" applyNumberFormat="0" applyAlignment="0" applyProtection="0"/>
    <xf numFmtId="0" fontId="38" fillId="75" borderId="127" applyNumberFormat="0" applyAlignment="0" applyProtection="0"/>
    <xf numFmtId="0" fontId="38" fillId="75" borderId="147" applyNumberFormat="0" applyAlignment="0" applyProtection="0"/>
    <xf numFmtId="0" fontId="38" fillId="75" borderId="147" applyNumberFormat="0" applyAlignment="0" applyProtection="0"/>
    <xf numFmtId="0" fontId="38" fillId="75" borderId="147" applyNumberFormat="0" applyAlignment="0" applyProtection="0"/>
    <xf numFmtId="0" fontId="38" fillId="75" borderId="147" applyNumberFormat="0" applyAlignment="0" applyProtection="0"/>
    <xf numFmtId="0" fontId="38" fillId="75" borderId="147" applyNumberFormat="0" applyAlignment="0" applyProtection="0"/>
    <xf numFmtId="0" fontId="38" fillId="75" borderId="147" applyNumberFormat="0" applyAlignment="0" applyProtection="0"/>
    <xf numFmtId="0" fontId="38" fillId="75" borderId="147" applyNumberFormat="0" applyAlignment="0" applyProtection="0"/>
    <xf numFmtId="0" fontId="38" fillId="76" borderId="155" applyNumberFormat="0" applyAlignment="0" applyProtection="0"/>
    <xf numFmtId="0" fontId="45" fillId="49" borderId="155" applyNumberFormat="0" applyAlignment="0" applyProtection="0"/>
    <xf numFmtId="0" fontId="45" fillId="45" borderId="155" applyNumberFormat="0" applyAlignment="0" applyProtection="0"/>
    <xf numFmtId="0" fontId="38" fillId="76" borderId="155" applyNumberFormat="0" applyAlignment="0" applyProtection="0"/>
    <xf numFmtId="0" fontId="54" fillId="0" borderId="151">
      <alignment horizontal="left" vertical="center"/>
    </xf>
    <xf numFmtId="0" fontId="38" fillId="75" borderId="155" applyNumberFormat="0" applyAlignment="0" applyProtection="0"/>
    <xf numFmtId="0" fontId="45" fillId="44" borderId="155" applyNumberFormat="0" applyAlignment="0" applyProtection="0"/>
    <xf numFmtId="0" fontId="45" fillId="44" borderId="155" applyNumberFormat="0" applyAlignment="0" applyProtection="0"/>
    <xf numFmtId="0" fontId="72" fillId="44" borderId="155" applyNumberFormat="0" applyAlignment="0" applyProtection="0"/>
    <xf numFmtId="0" fontId="74" fillId="92" borderId="155" applyNumberFormat="0" applyAlignment="0" applyProtection="0"/>
    <xf numFmtId="0" fontId="66" fillId="86" borderId="156" applyNumberFormat="0" applyFont="0" applyAlignment="0" applyProtection="0"/>
    <xf numFmtId="0" fontId="72" fillId="44" borderId="155" applyNumberFormat="0" applyAlignment="0" applyProtection="0"/>
    <xf numFmtId="0" fontId="72" fillId="44" borderId="155" applyNumberFormat="0" applyAlignment="0" applyProtection="0"/>
    <xf numFmtId="0" fontId="72" fillId="44" borderId="155" applyNumberFormat="0" applyAlignment="0" applyProtection="0"/>
    <xf numFmtId="0" fontId="72" fillId="44" borderId="155" applyNumberFormat="0" applyAlignment="0" applyProtection="0"/>
    <xf numFmtId="0" fontId="72" fillId="44" borderId="155" applyNumberFormat="0" applyAlignment="0" applyProtection="0"/>
    <xf numFmtId="0" fontId="72" fillId="44" borderId="155" applyNumberFormat="0" applyAlignment="0" applyProtection="0"/>
    <xf numFmtId="0" fontId="66" fillId="44" borderId="155" applyNumberFormat="0" applyAlignment="0" applyProtection="0"/>
    <xf numFmtId="0" fontId="66" fillId="44" borderId="155" applyNumberFormat="0" applyAlignment="0" applyProtection="0"/>
    <xf numFmtId="0" fontId="66" fillId="44" borderId="155" applyNumberFormat="0" applyAlignment="0" applyProtection="0"/>
    <xf numFmtId="0" fontId="66" fillId="44" borderId="155" applyNumberFormat="0" applyAlignment="0" applyProtection="0"/>
    <xf numFmtId="0" fontId="66" fillId="44" borderId="155" applyNumberFormat="0" applyAlignment="0" applyProtection="0"/>
    <xf numFmtId="0" fontId="66" fillId="44" borderId="155" applyNumberFormat="0" applyAlignment="0" applyProtection="0"/>
    <xf numFmtId="0" fontId="66" fillId="44" borderId="155" applyNumberFormat="0" applyAlignment="0" applyProtection="0"/>
    <xf numFmtId="0" fontId="72" fillId="44" borderId="155" applyNumberFormat="0" applyAlignment="0" applyProtection="0"/>
    <xf numFmtId="0" fontId="72" fillId="44" borderId="155" applyNumberFormat="0" applyAlignment="0" applyProtection="0"/>
    <xf numFmtId="0" fontId="72" fillId="44" borderId="155" applyNumberFormat="0" applyAlignment="0" applyProtection="0"/>
    <xf numFmtId="0" fontId="72" fillId="44" borderId="155" applyNumberFormat="0" applyAlignment="0" applyProtection="0"/>
    <xf numFmtId="0" fontId="66" fillId="44" borderId="155" applyNumberFormat="0" applyAlignment="0" applyProtection="0"/>
    <xf numFmtId="0" fontId="66" fillId="44" borderId="155" applyNumberFormat="0" applyAlignment="0" applyProtection="0"/>
    <xf numFmtId="0" fontId="66" fillId="44" borderId="155" applyNumberFormat="0" applyAlignment="0" applyProtection="0"/>
    <xf numFmtId="0" fontId="66" fillId="44" borderId="155" applyNumberFormat="0" applyAlignment="0" applyProtection="0"/>
    <xf numFmtId="0" fontId="66" fillId="44" borderId="155" applyNumberFormat="0" applyAlignment="0" applyProtection="0"/>
    <xf numFmtId="0" fontId="66" fillId="44" borderId="155" applyNumberFormat="0" applyAlignment="0" applyProtection="0"/>
    <xf numFmtId="0" fontId="66" fillId="44" borderId="155" applyNumberFormat="0" applyAlignment="0" applyProtection="0"/>
    <xf numFmtId="0" fontId="66" fillId="44" borderId="155" applyNumberFormat="0" applyAlignment="0" applyProtection="0"/>
    <xf numFmtId="0" fontId="72" fillId="44" borderId="155" applyNumberFormat="0" applyAlignment="0" applyProtection="0"/>
    <xf numFmtId="0" fontId="72" fillId="44" borderId="155" applyNumberFormat="0" applyAlignment="0" applyProtection="0"/>
    <xf numFmtId="0" fontId="72" fillId="44" borderId="155" applyNumberFormat="0" applyAlignment="0" applyProtection="0"/>
    <xf numFmtId="0" fontId="72" fillId="44" borderId="155" applyNumberFormat="0" applyAlignment="0" applyProtection="0"/>
    <xf numFmtId="0" fontId="66" fillId="44" borderId="155" applyNumberFormat="0" applyAlignment="0" applyProtection="0"/>
    <xf numFmtId="0" fontId="66" fillId="44" borderId="155" applyNumberFormat="0" applyAlignment="0" applyProtection="0"/>
    <xf numFmtId="0" fontId="72" fillId="44" borderId="155" applyNumberFormat="0" applyAlignment="0" applyProtection="0"/>
    <xf numFmtId="0" fontId="66" fillId="44" borderId="155" applyNumberFormat="0" applyAlignment="0" applyProtection="0"/>
    <xf numFmtId="0" fontId="72" fillId="44" borderId="155" applyNumberFormat="0" applyAlignment="0" applyProtection="0"/>
    <xf numFmtId="0" fontId="72" fillId="44" borderId="155" applyNumberFormat="0" applyAlignment="0" applyProtection="0"/>
    <xf numFmtId="0" fontId="72" fillId="44" borderId="155" applyNumberFormat="0" applyAlignment="0" applyProtection="0"/>
    <xf numFmtId="0" fontId="72" fillId="44" borderId="155" applyNumberFormat="0" applyAlignment="0" applyProtection="0"/>
    <xf numFmtId="0" fontId="72" fillId="44" borderId="155" applyNumberFormat="0" applyAlignment="0" applyProtection="0"/>
    <xf numFmtId="0" fontId="72" fillId="44" borderId="155" applyNumberFormat="0" applyAlignment="0" applyProtection="0"/>
    <xf numFmtId="0" fontId="72" fillId="44" borderId="155" applyNumberFormat="0" applyAlignment="0" applyProtection="0"/>
    <xf numFmtId="0" fontId="72" fillId="44" borderId="155" applyNumberFormat="0" applyAlignment="0" applyProtection="0"/>
    <xf numFmtId="0" fontId="72" fillId="44" borderId="155" applyNumberFormat="0" applyAlignment="0" applyProtection="0"/>
    <xf numFmtId="0" fontId="72" fillId="44" borderId="155" applyNumberFormat="0" applyAlignment="0" applyProtection="0"/>
    <xf numFmtId="0" fontId="72" fillId="44" borderId="155" applyNumberFormat="0" applyAlignment="0" applyProtection="0"/>
    <xf numFmtId="0" fontId="66" fillId="44" borderId="155" applyNumberFormat="0" applyAlignment="0" applyProtection="0"/>
    <xf numFmtId="0" fontId="66" fillId="44" borderId="155" applyNumberFormat="0" applyAlignment="0" applyProtection="0"/>
    <xf numFmtId="0" fontId="66" fillId="44" borderId="155" applyNumberFormat="0" applyAlignment="0" applyProtection="0"/>
    <xf numFmtId="0" fontId="72" fillId="44" borderId="155" applyNumberFormat="0" applyAlignment="0" applyProtection="0"/>
    <xf numFmtId="0" fontId="66" fillId="44" borderId="155" applyNumberFormat="0" applyAlignment="0" applyProtection="0"/>
    <xf numFmtId="0" fontId="72" fillId="44" borderId="155" applyNumberFormat="0" applyAlignment="0" applyProtection="0"/>
    <xf numFmtId="0" fontId="72" fillId="44" borderId="155" applyNumberFormat="0" applyAlignment="0" applyProtection="0"/>
    <xf numFmtId="0" fontId="72" fillId="44" borderId="155" applyNumberFormat="0" applyAlignment="0" applyProtection="0"/>
    <xf numFmtId="0" fontId="72" fillId="44" borderId="155" applyNumberFormat="0" applyAlignment="0" applyProtection="0"/>
    <xf numFmtId="0" fontId="72" fillId="44" borderId="155" applyNumberFormat="0" applyAlignment="0" applyProtection="0"/>
    <xf numFmtId="0" fontId="72" fillId="44" borderId="155" applyNumberFormat="0" applyAlignment="0" applyProtection="0"/>
    <xf numFmtId="0" fontId="74" fillId="75" borderId="155" applyNumberFormat="0" applyAlignment="0" applyProtection="0"/>
    <xf numFmtId="0" fontId="74" fillId="75" borderId="155" applyNumberFormat="0" applyAlignment="0" applyProtection="0"/>
    <xf numFmtId="0" fontId="74" fillId="75" borderId="155" applyNumberFormat="0" applyAlignment="0" applyProtection="0"/>
    <xf numFmtId="0" fontId="74" fillId="75" borderId="155" applyNumberFormat="0" applyAlignment="0" applyProtection="0"/>
    <xf numFmtId="0" fontId="74" fillId="75" borderId="155" applyNumberFormat="0" applyAlignment="0" applyProtection="0"/>
    <xf numFmtId="0" fontId="162" fillId="131" borderId="145"/>
    <xf numFmtId="0" fontId="2" fillId="0" borderId="145">
      <alignment horizontal="left" vertical="top"/>
    </xf>
    <xf numFmtId="0" fontId="2" fillId="132" borderId="145"/>
    <xf numFmtId="0" fontId="2" fillId="0" borderId="145">
      <alignment horizontal="left" vertical="center"/>
    </xf>
    <xf numFmtId="0" fontId="162" fillId="133" borderId="145"/>
    <xf numFmtId="0" fontId="162" fillId="0" borderId="145">
      <alignment horizontal="right" vertical="center"/>
    </xf>
    <xf numFmtId="0" fontId="162" fillId="134" borderId="145">
      <alignment horizontal="right" vertical="center"/>
    </xf>
    <xf numFmtId="0" fontId="162" fillId="0" borderId="145">
      <alignment horizontal="center" vertical="center"/>
    </xf>
    <xf numFmtId="0" fontId="163" fillId="81" borderId="145"/>
    <xf numFmtId="0" fontId="163" fillId="135" borderId="145"/>
    <xf numFmtId="0" fontId="163" fillId="0" borderId="145">
      <alignment horizontal="center" vertical="center" wrapText="1"/>
    </xf>
    <xf numFmtId="0" fontId="2" fillId="130" borderId="145">
      <alignment horizontal="left" vertical="center"/>
    </xf>
    <xf numFmtId="0" fontId="163" fillId="130" borderId="145">
      <alignment horizontal="center" vertical="center"/>
    </xf>
    <xf numFmtId="0" fontId="3" fillId="81" borderId="145">
      <alignment horizontal="center" vertical="center"/>
    </xf>
    <xf numFmtId="0" fontId="3" fillId="135" borderId="145">
      <alignment horizontal="center" vertical="center"/>
    </xf>
    <xf numFmtId="0" fontId="3" fillId="81" borderId="145">
      <alignment horizontal="left" vertical="center"/>
    </xf>
    <xf numFmtId="0" fontId="3" fillId="135" borderId="145">
      <alignment horizontal="left" vertical="center"/>
    </xf>
    <xf numFmtId="0" fontId="167" fillId="0" borderId="145"/>
    <xf numFmtId="0" fontId="38" fillId="75" borderId="163" applyNumberFormat="0" applyAlignment="0" applyProtection="0"/>
    <xf numFmtId="0" fontId="38" fillId="76" borderId="163" applyNumberFormat="0" applyAlignment="0" applyProtection="0"/>
    <xf numFmtId="0" fontId="38" fillId="76" borderId="163" applyNumberFormat="0" applyAlignment="0" applyProtection="0"/>
    <xf numFmtId="0" fontId="38" fillId="76" borderId="163" applyNumberFormat="0" applyAlignment="0" applyProtection="0"/>
    <xf numFmtId="0" fontId="38" fillId="75" borderId="163" applyNumberFormat="0" applyAlignment="0" applyProtection="0"/>
    <xf numFmtId="0" fontId="38" fillId="76" borderId="163" applyNumberFormat="0" applyAlignment="0" applyProtection="0"/>
    <xf numFmtId="0" fontId="38" fillId="76" borderId="163" applyNumberFormat="0" applyAlignment="0" applyProtection="0"/>
    <xf numFmtId="0" fontId="38" fillId="75" borderId="163" applyNumberFormat="0" applyAlignment="0" applyProtection="0"/>
    <xf numFmtId="0" fontId="38" fillId="76" borderId="163" applyNumberFormat="0" applyAlignment="0" applyProtection="0"/>
    <xf numFmtId="0" fontId="38" fillId="75" borderId="163" applyNumberFormat="0" applyAlignment="0" applyProtection="0"/>
    <xf numFmtId="0" fontId="38" fillId="75" borderId="163" applyNumberFormat="0" applyAlignment="0" applyProtection="0"/>
    <xf numFmtId="0" fontId="38" fillId="75" borderId="163" applyNumberFormat="0" applyAlignment="0" applyProtection="0"/>
    <xf numFmtId="0" fontId="38" fillId="78" borderId="163" applyNumberFormat="0" applyAlignment="0" applyProtection="0"/>
    <xf numFmtId="0" fontId="38" fillId="78" borderId="163" applyNumberFormat="0" applyAlignment="0" applyProtection="0"/>
    <xf numFmtId="0" fontId="45" fillId="49" borderId="163" applyNumberFormat="0" applyAlignment="0" applyProtection="0"/>
    <xf numFmtId="0" fontId="54" fillId="0" borderId="161">
      <alignment horizontal="left" vertical="center"/>
    </xf>
    <xf numFmtId="0" fontId="54" fillId="0" borderId="161">
      <alignment horizontal="left" vertical="center"/>
    </xf>
    <xf numFmtId="0" fontId="45" fillId="45" borderId="163" applyNumberFormat="0" applyAlignment="0" applyProtection="0"/>
    <xf numFmtId="0" fontId="45" fillId="45" borderId="163" applyNumberFormat="0" applyAlignment="0" applyProtection="0"/>
    <xf numFmtId="0" fontId="45" fillId="45" borderId="163" applyNumberFormat="0" applyAlignment="0" applyProtection="0"/>
    <xf numFmtId="0" fontId="45" fillId="44" borderId="163" applyNumberFormat="0" applyAlignment="0" applyProtection="0"/>
    <xf numFmtId="0" fontId="45" fillId="45" borderId="163" applyNumberFormat="0" applyAlignment="0" applyProtection="0"/>
    <xf numFmtId="0" fontId="45" fillId="45" borderId="163" applyNumberFormat="0" applyAlignment="0" applyProtection="0"/>
    <xf numFmtId="0" fontId="45" fillId="44" borderId="163" applyNumberFormat="0" applyAlignment="0" applyProtection="0"/>
    <xf numFmtId="0" fontId="45" fillId="45" borderId="163" applyNumberFormat="0" applyAlignment="0" applyProtection="0"/>
    <xf numFmtId="0" fontId="45" fillId="45" borderId="163" applyNumberFormat="0" applyAlignment="0" applyProtection="0"/>
    <xf numFmtId="0" fontId="45" fillId="44" borderId="163" applyNumberFormat="0" applyAlignment="0" applyProtection="0"/>
    <xf numFmtId="0" fontId="45" fillId="44" borderId="163" applyNumberFormat="0" applyAlignment="0" applyProtection="0"/>
    <xf numFmtId="0" fontId="45" fillId="44" borderId="163" applyNumberFormat="0" applyAlignment="0" applyProtection="0"/>
    <xf numFmtId="0" fontId="45" fillId="44" borderId="163" applyNumberFormat="0" applyAlignment="0" applyProtection="0"/>
    <xf numFmtId="0" fontId="45" fillId="44" borderId="163" applyNumberFormat="0" applyAlignment="0" applyProtection="0"/>
    <xf numFmtId="0" fontId="48" fillId="75" borderId="166" applyNumberFormat="0" applyAlignment="0" applyProtection="0"/>
    <xf numFmtId="0" fontId="48" fillId="76" borderId="166" applyNumberFormat="0" applyAlignment="0" applyProtection="0"/>
    <xf numFmtId="0" fontId="48" fillId="75" borderId="166" applyNumberFormat="0" applyAlignment="0" applyProtection="0"/>
    <xf numFmtId="0" fontId="48" fillId="76" borderId="166" applyNumberFormat="0" applyAlignment="0" applyProtection="0"/>
    <xf numFmtId="0" fontId="48" fillId="76" borderId="166" applyNumberFormat="0" applyAlignment="0" applyProtection="0"/>
    <xf numFmtId="0" fontId="48" fillId="75" borderId="166" applyNumberFormat="0" applyAlignment="0" applyProtection="0"/>
    <xf numFmtId="0" fontId="48" fillId="76" borderId="166" applyNumberFormat="0" applyAlignment="0" applyProtection="0"/>
    <xf numFmtId="0" fontId="48" fillId="76" borderId="166" applyNumberFormat="0" applyAlignment="0" applyProtection="0"/>
    <xf numFmtId="0" fontId="50" fillId="0" borderId="167" applyNumberFormat="0" applyFill="0" applyAlignment="0" applyProtection="0"/>
    <xf numFmtId="0" fontId="50" fillId="0" borderId="167" applyNumberFormat="0" applyFill="0" applyAlignment="0" applyProtection="0"/>
    <xf numFmtId="0" fontId="50" fillId="0" borderId="167" applyNumberFormat="0" applyFill="0" applyAlignment="0" applyProtection="0"/>
    <xf numFmtId="10" fontId="52" fillId="82" borderId="165" applyNumberFormat="0" applyBorder="0" applyAlignment="0" applyProtection="0"/>
    <xf numFmtId="0" fontId="72" fillId="44" borderId="163" applyNumberFormat="0" applyAlignment="0" applyProtection="0"/>
    <xf numFmtId="0" fontId="72" fillId="44" borderId="163" applyNumberFormat="0" applyAlignment="0" applyProtection="0"/>
    <xf numFmtId="0" fontId="73" fillId="92" borderId="166" applyNumberFormat="0" applyAlignment="0" applyProtection="0"/>
    <xf numFmtId="0" fontId="73" fillId="92" borderId="166" applyNumberFormat="0" applyAlignment="0" applyProtection="0"/>
    <xf numFmtId="0" fontId="73" fillId="75" borderId="166" applyNumberFormat="0" applyAlignment="0" applyProtection="0"/>
    <xf numFmtId="0" fontId="74" fillId="92" borderId="163" applyNumberFormat="0" applyAlignment="0" applyProtection="0"/>
    <xf numFmtId="0" fontId="74" fillId="92" borderId="163" applyNumberFormat="0" applyAlignment="0" applyProtection="0"/>
    <xf numFmtId="0" fontId="74" fillId="75" borderId="163" applyNumberFormat="0" applyAlignment="0" applyProtection="0"/>
    <xf numFmtId="0" fontId="78" fillId="0" borderId="168" applyNumberFormat="0" applyFill="0" applyAlignment="0" applyProtection="0"/>
    <xf numFmtId="0" fontId="78" fillId="0" borderId="168" applyNumberFormat="0" applyFill="0" applyAlignment="0" applyProtection="0"/>
    <xf numFmtId="0" fontId="66" fillId="86" borderId="114" applyNumberFormat="0" applyFont="0" applyAlignment="0" applyProtection="0"/>
    <xf numFmtId="0" fontId="66" fillId="86" borderId="114" applyNumberFormat="0" applyFont="0" applyAlignment="0" applyProtection="0"/>
    <xf numFmtId="0" fontId="66" fillId="86" borderId="114" applyNumberFormat="0" applyFont="0" applyAlignment="0" applyProtection="0"/>
    <xf numFmtId="0" fontId="66" fillId="86" borderId="114" applyNumberFormat="0" applyFont="0" applyAlignment="0" applyProtection="0"/>
    <xf numFmtId="0" fontId="66" fillId="86" borderId="114" applyNumberFormat="0" applyFont="0" applyAlignment="0" applyProtection="0"/>
    <xf numFmtId="0" fontId="66" fillId="86" borderId="114" applyNumberFormat="0" applyFont="0" applyAlignment="0" applyProtection="0"/>
    <xf numFmtId="0" fontId="66" fillId="86" borderId="114" applyNumberFormat="0" applyFont="0" applyAlignment="0" applyProtection="0"/>
    <xf numFmtId="0" fontId="66" fillId="86" borderId="114" applyNumberFormat="0" applyFont="0" applyAlignment="0" applyProtection="0"/>
    <xf numFmtId="0" fontId="66" fillId="86" borderId="114" applyNumberFormat="0" applyFont="0" applyAlignment="0" applyProtection="0"/>
    <xf numFmtId="0" fontId="66" fillId="86" borderId="114" applyNumberFormat="0" applyFont="0" applyAlignment="0" applyProtection="0"/>
    <xf numFmtId="0" fontId="66" fillId="86" borderId="114" applyNumberFormat="0" applyFont="0" applyAlignment="0" applyProtection="0"/>
    <xf numFmtId="0" fontId="66" fillId="86" borderId="114" applyNumberFormat="0" applyFont="0" applyAlignment="0" applyProtection="0"/>
    <xf numFmtId="0" fontId="66" fillId="86" borderId="114" applyNumberFormat="0" applyFont="0" applyAlignment="0" applyProtection="0"/>
    <xf numFmtId="0" fontId="66" fillId="86" borderId="114" applyNumberFormat="0" applyFont="0" applyAlignment="0" applyProtection="0"/>
    <xf numFmtId="0" fontId="66" fillId="86" borderId="114" applyNumberFormat="0" applyFont="0" applyAlignment="0" applyProtection="0"/>
    <xf numFmtId="0" fontId="66" fillId="86" borderId="114" applyNumberFormat="0" applyFont="0" applyAlignment="0" applyProtection="0"/>
    <xf numFmtId="0" fontId="66" fillId="86" borderId="114" applyNumberFormat="0" applyFont="0" applyAlignment="0" applyProtection="0"/>
    <xf numFmtId="0" fontId="66" fillId="86" borderId="114" applyNumberFormat="0" applyFont="0" applyAlignment="0" applyProtection="0"/>
    <xf numFmtId="0" fontId="66" fillId="86" borderId="114" applyNumberFormat="0" applyFont="0" applyAlignment="0" applyProtection="0"/>
    <xf numFmtId="0" fontId="66" fillId="86" borderId="114" applyNumberFormat="0" applyFont="0" applyAlignment="0" applyProtection="0"/>
    <xf numFmtId="0" fontId="66" fillId="86" borderId="114" applyNumberFormat="0" applyFont="0" applyAlignment="0" applyProtection="0"/>
    <xf numFmtId="0" fontId="66" fillId="86" borderId="114" applyNumberFormat="0" applyFont="0" applyAlignment="0" applyProtection="0"/>
    <xf numFmtId="0" fontId="66" fillId="86" borderId="114" applyNumberFormat="0" applyFont="0" applyAlignment="0" applyProtection="0"/>
    <xf numFmtId="0" fontId="66" fillId="86" borderId="114" applyNumberFormat="0" applyFont="0" applyAlignment="0" applyProtection="0"/>
    <xf numFmtId="0" fontId="66" fillId="86" borderId="114" applyNumberFormat="0" applyFont="0" applyAlignment="0" applyProtection="0"/>
    <xf numFmtId="0" fontId="66" fillId="86" borderId="114" applyNumberFormat="0" applyFont="0" applyAlignment="0" applyProtection="0"/>
    <xf numFmtId="0" fontId="66" fillId="86" borderId="114" applyNumberFormat="0" applyFont="0" applyAlignment="0" applyProtection="0"/>
    <xf numFmtId="0" fontId="66" fillId="86" borderId="114" applyNumberFormat="0" applyFont="0" applyAlignment="0" applyProtection="0"/>
    <xf numFmtId="0" fontId="66" fillId="86" borderId="114" applyNumberFormat="0" applyFont="0" applyAlignment="0" applyProtection="0"/>
    <xf numFmtId="0" fontId="66" fillId="86" borderId="114" applyNumberFormat="0" applyFont="0" applyAlignment="0" applyProtection="0"/>
    <xf numFmtId="0" fontId="66" fillId="86" borderId="114" applyNumberFormat="0" applyFont="0" applyAlignment="0" applyProtection="0"/>
    <xf numFmtId="0" fontId="66" fillId="86" borderId="114" applyNumberFormat="0" applyFont="0" applyAlignment="0" applyProtection="0"/>
    <xf numFmtId="0" fontId="66" fillId="86" borderId="114" applyNumberFormat="0" applyFont="0" applyAlignment="0" applyProtection="0"/>
    <xf numFmtId="0" fontId="66" fillId="86" borderId="114" applyNumberFormat="0" applyFont="0" applyAlignment="0" applyProtection="0"/>
    <xf numFmtId="0" fontId="66" fillId="86" borderId="114" applyNumberFormat="0" applyFont="0" applyAlignment="0" applyProtection="0"/>
    <xf numFmtId="0" fontId="66" fillId="86" borderId="114" applyNumberFormat="0" applyFont="0" applyAlignment="0" applyProtection="0"/>
    <xf numFmtId="0" fontId="66" fillId="86" borderId="114" applyNumberFormat="0" applyFont="0" applyAlignment="0" applyProtection="0"/>
    <xf numFmtId="0" fontId="66" fillId="86" borderId="114" applyNumberFormat="0" applyFont="0" applyAlignment="0" applyProtection="0"/>
    <xf numFmtId="0" fontId="66" fillId="86" borderId="114" applyNumberFormat="0" applyFont="0" applyAlignment="0" applyProtection="0"/>
    <xf numFmtId="0" fontId="66" fillId="86" borderId="114" applyNumberFormat="0" applyFont="0" applyAlignment="0" applyProtection="0"/>
    <xf numFmtId="0" fontId="66" fillId="86" borderId="114" applyNumberFormat="0" applyFont="0" applyAlignment="0" applyProtection="0"/>
    <xf numFmtId="0" fontId="66" fillId="86" borderId="114" applyNumberFormat="0" applyFont="0" applyAlignment="0" applyProtection="0"/>
    <xf numFmtId="0" fontId="66" fillId="86" borderId="114" applyNumberFormat="0" applyFont="0" applyAlignment="0" applyProtection="0"/>
    <xf numFmtId="0" fontId="66" fillId="86" borderId="114" applyNumberFormat="0" applyFont="0" applyAlignment="0" applyProtection="0"/>
    <xf numFmtId="0" fontId="66" fillId="86" borderId="114" applyNumberFormat="0" applyFont="0" applyAlignment="0" applyProtection="0"/>
    <xf numFmtId="0" fontId="66" fillId="86" borderId="114" applyNumberFormat="0" applyFont="0" applyAlignment="0" applyProtection="0"/>
    <xf numFmtId="0" fontId="66" fillId="86" borderId="114" applyNumberFormat="0" applyFont="0" applyAlignment="0" applyProtection="0"/>
    <xf numFmtId="0" fontId="66" fillId="86" borderId="114" applyNumberFormat="0" applyFont="0" applyAlignment="0" applyProtection="0"/>
    <xf numFmtId="0" fontId="66" fillId="86" borderId="114" applyNumberFormat="0" applyFont="0" applyAlignment="0" applyProtection="0"/>
    <xf numFmtId="0" fontId="66" fillId="86" borderId="114" applyNumberFormat="0" applyFont="0" applyAlignment="0" applyProtection="0"/>
    <xf numFmtId="0" fontId="66" fillId="86" borderId="114" applyNumberFormat="0" applyFont="0" applyAlignment="0" applyProtection="0"/>
    <xf numFmtId="0" fontId="66" fillId="86" borderId="114" applyNumberFormat="0" applyFont="0" applyAlignment="0" applyProtection="0"/>
    <xf numFmtId="0" fontId="66" fillId="86" borderId="114" applyNumberFormat="0" applyFont="0" applyAlignment="0" applyProtection="0"/>
    <xf numFmtId="0" fontId="66" fillId="86" borderId="114" applyNumberFormat="0" applyFont="0" applyAlignment="0" applyProtection="0"/>
    <xf numFmtId="0" fontId="66" fillId="86" borderId="114" applyNumberFormat="0" applyFont="0" applyAlignment="0" applyProtection="0"/>
    <xf numFmtId="0" fontId="66" fillId="86" borderId="114" applyNumberFormat="0" applyFont="0" applyAlignment="0" applyProtection="0"/>
    <xf numFmtId="0" fontId="66" fillId="86" borderId="114" applyNumberFormat="0" applyFont="0" applyAlignment="0" applyProtection="0"/>
    <xf numFmtId="0" fontId="66" fillId="86" borderId="114" applyNumberFormat="0" applyFont="0" applyAlignment="0" applyProtection="0"/>
    <xf numFmtId="0" fontId="66" fillId="86" borderId="114" applyNumberFormat="0" applyFont="0" applyAlignment="0" applyProtection="0"/>
    <xf numFmtId="0" fontId="66" fillId="86" borderId="114" applyNumberFormat="0" applyFont="0" applyAlignment="0" applyProtection="0"/>
    <xf numFmtId="0" fontId="66" fillId="86" borderId="114" applyNumberFormat="0" applyFont="0" applyAlignment="0" applyProtection="0"/>
    <xf numFmtId="0" fontId="66" fillId="86" borderId="114" applyNumberFormat="0" applyFont="0" applyAlignment="0" applyProtection="0"/>
    <xf numFmtId="0" fontId="66" fillId="86" borderId="114" applyNumberFormat="0" applyFont="0" applyAlignment="0" applyProtection="0"/>
    <xf numFmtId="0" fontId="66" fillId="86" borderId="114" applyNumberFormat="0" applyFont="0" applyAlignment="0" applyProtection="0"/>
    <xf numFmtId="0" fontId="66" fillId="86" borderId="114" applyNumberFormat="0" applyFont="0" applyAlignment="0" applyProtection="0"/>
    <xf numFmtId="0" fontId="66" fillId="86" borderId="114" applyNumberFormat="0" applyFont="0" applyAlignment="0" applyProtection="0"/>
    <xf numFmtId="0" fontId="66" fillId="86" borderId="114" applyNumberFormat="0" applyFont="0" applyAlignment="0" applyProtection="0"/>
    <xf numFmtId="0" fontId="66" fillId="86" borderId="114" applyNumberFormat="0" applyFont="0" applyAlignment="0" applyProtection="0"/>
    <xf numFmtId="0" fontId="66" fillId="86" borderId="114" applyNumberFormat="0" applyFont="0" applyAlignment="0" applyProtection="0"/>
    <xf numFmtId="0" fontId="66" fillId="86" borderId="114" applyNumberFormat="0" applyFont="0" applyAlignment="0" applyProtection="0"/>
    <xf numFmtId="0" fontId="66" fillId="86" borderId="114" applyNumberFormat="0" applyFont="0" applyAlignment="0" applyProtection="0"/>
    <xf numFmtId="0" fontId="66" fillId="86" borderId="114" applyNumberFormat="0" applyFont="0" applyAlignment="0" applyProtection="0"/>
    <xf numFmtId="0" fontId="66" fillId="86" borderId="114" applyNumberFormat="0" applyFont="0" applyAlignment="0" applyProtection="0"/>
    <xf numFmtId="0" fontId="78" fillId="0" borderId="167" applyNumberFormat="0" applyFill="0" applyAlignment="0" applyProtection="0"/>
    <xf numFmtId="0" fontId="72" fillId="44" borderId="163" applyNumberFormat="0" applyAlignment="0" applyProtection="0"/>
    <xf numFmtId="0" fontId="72" fillId="44" borderId="163" applyNumberFormat="0" applyAlignment="0" applyProtection="0"/>
    <xf numFmtId="0" fontId="72" fillId="44" borderId="163" applyNumberFormat="0" applyAlignment="0" applyProtection="0"/>
    <xf numFmtId="0" fontId="66" fillId="44" borderId="163" applyNumberFormat="0" applyAlignment="0" applyProtection="0"/>
    <xf numFmtId="0" fontId="66" fillId="44" borderId="163" applyNumberFormat="0" applyAlignment="0" applyProtection="0"/>
    <xf numFmtId="0" fontId="66" fillId="44" borderId="163" applyNumberFormat="0" applyAlignment="0" applyProtection="0"/>
    <xf numFmtId="0" fontId="66" fillId="44" borderId="163" applyNumberFormat="0" applyAlignment="0" applyProtection="0"/>
    <xf numFmtId="0" fontId="66" fillId="44" borderId="163" applyNumberFormat="0" applyAlignment="0" applyProtection="0"/>
    <xf numFmtId="0" fontId="66" fillId="44" borderId="163" applyNumberFormat="0" applyAlignment="0" applyProtection="0"/>
    <xf numFmtId="0" fontId="66" fillId="44" borderId="163" applyNumberFormat="0" applyAlignment="0" applyProtection="0"/>
    <xf numFmtId="0" fontId="66" fillId="44" borderId="163" applyNumberFormat="0" applyAlignment="0" applyProtection="0"/>
    <xf numFmtId="0" fontId="72" fillId="44" borderId="163" applyNumberFormat="0" applyAlignment="0" applyProtection="0"/>
    <xf numFmtId="0" fontId="72" fillId="44" borderId="163" applyNumberFormat="0" applyAlignment="0" applyProtection="0"/>
    <xf numFmtId="0" fontId="72" fillId="44" borderId="163" applyNumberFormat="0" applyAlignment="0" applyProtection="0"/>
    <xf numFmtId="0" fontId="72" fillId="44" borderId="163" applyNumberFormat="0" applyAlignment="0" applyProtection="0"/>
    <xf numFmtId="0" fontId="72" fillId="44" borderId="163" applyNumberFormat="0" applyAlignment="0" applyProtection="0"/>
    <xf numFmtId="0" fontId="66" fillId="44" borderId="163" applyNumberFormat="0" applyAlignment="0" applyProtection="0"/>
    <xf numFmtId="0" fontId="66" fillId="44" borderId="163" applyNumberFormat="0" applyAlignment="0" applyProtection="0"/>
    <xf numFmtId="0" fontId="66" fillId="44" borderId="163" applyNumberFormat="0" applyAlignment="0" applyProtection="0"/>
    <xf numFmtId="0" fontId="66" fillId="44" borderId="163" applyNumberFormat="0" applyAlignment="0" applyProtection="0"/>
    <xf numFmtId="0" fontId="66" fillId="44" borderId="163" applyNumberFormat="0" applyAlignment="0" applyProtection="0"/>
    <xf numFmtId="0" fontId="66" fillId="44" borderId="163" applyNumberFormat="0" applyAlignment="0" applyProtection="0"/>
    <xf numFmtId="0" fontId="72" fillId="44" borderId="163" applyNumberFormat="0" applyAlignment="0" applyProtection="0"/>
    <xf numFmtId="0" fontId="72" fillId="44" borderId="163" applyNumberFormat="0" applyAlignment="0" applyProtection="0"/>
    <xf numFmtId="0" fontId="72" fillId="44" borderId="163" applyNumberFormat="0" applyAlignment="0" applyProtection="0"/>
    <xf numFmtId="0" fontId="72" fillId="44" borderId="163" applyNumberFormat="0" applyAlignment="0" applyProtection="0"/>
    <xf numFmtId="0" fontId="72" fillId="44" borderId="163" applyNumberFormat="0" applyAlignment="0" applyProtection="0"/>
    <xf numFmtId="0" fontId="72" fillId="44" borderId="163" applyNumberFormat="0" applyAlignment="0" applyProtection="0"/>
    <xf numFmtId="0" fontId="73" fillId="75" borderId="166" applyNumberFormat="0" applyAlignment="0" applyProtection="0"/>
    <xf numFmtId="0" fontId="73" fillId="75" borderId="166" applyNumberFormat="0" applyAlignment="0" applyProtection="0"/>
    <xf numFmtId="0" fontId="73" fillId="92" borderId="166" applyNumberFormat="0" applyAlignment="0" applyProtection="0"/>
    <xf numFmtId="0" fontId="66" fillId="92" borderId="166" applyNumberFormat="0" applyAlignment="0" applyProtection="0"/>
    <xf numFmtId="0" fontId="66" fillId="92" borderId="166" applyNumberFormat="0" applyAlignment="0" applyProtection="0"/>
    <xf numFmtId="0" fontId="73" fillId="92" borderId="166" applyNumberFormat="0" applyAlignment="0" applyProtection="0"/>
    <xf numFmtId="0" fontId="73" fillId="75" borderId="166" applyNumberFormat="0" applyAlignment="0" applyProtection="0"/>
    <xf numFmtId="0" fontId="73" fillId="75" borderId="166" applyNumberFormat="0" applyAlignment="0" applyProtection="0"/>
    <xf numFmtId="0" fontId="73" fillId="75" borderId="166" applyNumberFormat="0" applyAlignment="0" applyProtection="0"/>
    <xf numFmtId="0" fontId="73" fillId="75" borderId="166" applyNumberFormat="0" applyAlignment="0" applyProtection="0"/>
    <xf numFmtId="0" fontId="73" fillId="75" borderId="166" applyNumberFormat="0" applyAlignment="0" applyProtection="0"/>
    <xf numFmtId="0" fontId="73" fillId="75" borderId="166" applyNumberFormat="0" applyAlignment="0" applyProtection="0"/>
    <xf numFmtId="0" fontId="73" fillId="75" borderId="166" applyNumberFormat="0" applyAlignment="0" applyProtection="0"/>
    <xf numFmtId="0" fontId="73" fillId="75" borderId="166" applyNumberFormat="0" applyAlignment="0" applyProtection="0"/>
    <xf numFmtId="0" fontId="73" fillId="75" borderId="166" applyNumberFormat="0" applyAlignment="0" applyProtection="0"/>
    <xf numFmtId="0" fontId="73" fillId="75" borderId="166" applyNumberFormat="0" applyAlignment="0" applyProtection="0"/>
    <xf numFmtId="0" fontId="73" fillId="75" borderId="166" applyNumberFormat="0" applyAlignment="0" applyProtection="0"/>
    <xf numFmtId="0" fontId="78" fillId="0" borderId="167" applyNumberFormat="0" applyFill="0" applyAlignment="0" applyProtection="0"/>
    <xf numFmtId="0" fontId="78" fillId="0" borderId="167" applyNumberFormat="0" applyFill="0" applyAlignment="0" applyProtection="0"/>
    <xf numFmtId="0" fontId="78" fillId="0" borderId="167" applyNumberFormat="0" applyFill="0" applyAlignment="0" applyProtection="0"/>
    <xf numFmtId="0" fontId="78" fillId="0" borderId="167" applyNumberFormat="0" applyFill="0" applyAlignment="0" applyProtection="0"/>
    <xf numFmtId="0" fontId="78" fillId="0" borderId="167" applyNumberFormat="0" applyFill="0" applyAlignment="0" applyProtection="0"/>
    <xf numFmtId="0" fontId="78" fillId="0" borderId="167" applyNumberFormat="0" applyFill="0" applyAlignment="0" applyProtection="0"/>
    <xf numFmtId="0" fontId="78" fillId="0" borderId="167" applyNumberFormat="0" applyFill="0" applyAlignment="0" applyProtection="0"/>
    <xf numFmtId="0" fontId="78" fillId="0" borderId="167" applyNumberFormat="0" applyFill="0" applyAlignment="0" applyProtection="0"/>
    <xf numFmtId="0" fontId="66" fillId="0" borderId="167" applyNumberFormat="0" applyFill="0" applyAlignment="0" applyProtection="0"/>
    <xf numFmtId="0" fontId="66" fillId="0" borderId="167" applyNumberFormat="0" applyFill="0" applyAlignment="0" applyProtection="0"/>
    <xf numFmtId="0" fontId="66" fillId="0" borderId="167" applyNumberFormat="0" applyFill="0" applyAlignment="0" applyProtection="0"/>
    <xf numFmtId="0" fontId="66" fillId="0" borderId="167" applyNumberFormat="0" applyFill="0" applyAlignment="0" applyProtection="0"/>
    <xf numFmtId="0" fontId="66" fillId="0" borderId="167" applyNumberFormat="0" applyFill="0" applyAlignment="0" applyProtection="0"/>
    <xf numFmtId="0" fontId="66" fillId="0" borderId="167" applyNumberFormat="0" applyFill="0" applyAlignment="0" applyProtection="0"/>
    <xf numFmtId="0" fontId="66" fillId="0" borderId="167" applyNumberFormat="0" applyFill="0" applyAlignment="0" applyProtection="0"/>
    <xf numFmtId="0" fontId="78" fillId="0" borderId="167" applyNumberFormat="0" applyFill="0" applyAlignment="0" applyProtection="0"/>
    <xf numFmtId="0" fontId="78" fillId="0" borderId="167" applyNumberFormat="0" applyFill="0" applyAlignment="0" applyProtection="0"/>
    <xf numFmtId="0" fontId="78" fillId="0" borderId="167" applyNumberFormat="0" applyFill="0" applyAlignment="0" applyProtection="0"/>
    <xf numFmtId="0" fontId="78" fillId="0" borderId="167" applyNumberFormat="0" applyFill="0" applyAlignment="0" applyProtection="0"/>
    <xf numFmtId="0" fontId="66" fillId="0" borderId="168" applyNumberFormat="0" applyFill="0" applyAlignment="0" applyProtection="0"/>
    <xf numFmtId="0" fontId="66" fillId="0" borderId="168" applyNumberFormat="0" applyFill="0" applyAlignment="0" applyProtection="0"/>
    <xf numFmtId="0" fontId="66" fillId="0" borderId="168" applyNumberFormat="0" applyFill="0" applyAlignment="0" applyProtection="0"/>
    <xf numFmtId="0" fontId="66" fillId="0" borderId="168" applyNumberFormat="0" applyFill="0" applyAlignment="0" applyProtection="0"/>
    <xf numFmtId="0" fontId="78" fillId="0" borderId="168" applyNumberFormat="0" applyFill="0" applyAlignment="0" applyProtection="0"/>
    <xf numFmtId="0" fontId="78" fillId="0" borderId="168" applyNumberFormat="0" applyFill="0" applyAlignment="0" applyProtection="0"/>
    <xf numFmtId="0" fontId="78" fillId="0" borderId="168" applyNumberFormat="0" applyFill="0" applyAlignment="0" applyProtection="0"/>
    <xf numFmtId="0" fontId="78" fillId="0" borderId="168" applyNumberFormat="0" applyFill="0" applyAlignment="0" applyProtection="0"/>
    <xf numFmtId="0" fontId="78" fillId="0" borderId="168" applyNumberFormat="0" applyFill="0" applyAlignment="0" applyProtection="0"/>
    <xf numFmtId="0" fontId="66" fillId="0" borderId="168" applyNumberFormat="0" applyFill="0" applyAlignment="0" applyProtection="0"/>
    <xf numFmtId="0" fontId="66" fillId="0" borderId="168" applyNumberFormat="0" applyFill="0" applyAlignment="0" applyProtection="0"/>
    <xf numFmtId="0" fontId="78" fillId="0" borderId="167" applyNumberFormat="0" applyFill="0" applyAlignment="0" applyProtection="0"/>
    <xf numFmtId="0" fontId="78" fillId="0" borderId="168" applyNumberFormat="0" applyFill="0" applyAlignment="0" applyProtection="0"/>
    <xf numFmtId="0" fontId="66" fillId="0" borderId="168" applyNumberFormat="0" applyFill="0" applyAlignment="0" applyProtection="0"/>
    <xf numFmtId="0" fontId="78" fillId="0" borderId="168" applyNumberFormat="0" applyFill="0" applyAlignment="0" applyProtection="0"/>
    <xf numFmtId="0" fontId="78" fillId="0" borderId="168" applyNumberFormat="0" applyFill="0" applyAlignment="0" applyProtection="0"/>
    <xf numFmtId="0" fontId="78" fillId="0" borderId="168" applyNumberFormat="0" applyFill="0" applyAlignment="0" applyProtection="0"/>
    <xf numFmtId="0" fontId="78" fillId="0" borderId="168" applyNumberFormat="0" applyFill="0" applyAlignment="0" applyProtection="0"/>
    <xf numFmtId="0" fontId="78" fillId="0" borderId="168" applyNumberFormat="0" applyFill="0" applyAlignment="0" applyProtection="0"/>
    <xf numFmtId="0" fontId="78" fillId="0" borderId="168" applyNumberFormat="0" applyFill="0" applyAlignment="0" applyProtection="0"/>
    <xf numFmtId="0" fontId="78" fillId="0" borderId="167" applyNumberFormat="0" applyFill="0" applyAlignment="0" applyProtection="0"/>
    <xf numFmtId="0" fontId="66" fillId="0" borderId="167" applyNumberFormat="0" applyFill="0" applyAlignment="0" applyProtection="0"/>
    <xf numFmtId="0" fontId="66" fillId="0" borderId="167" applyNumberFormat="0" applyFill="0" applyAlignment="0" applyProtection="0"/>
    <xf numFmtId="0" fontId="78" fillId="0" borderId="167" applyNumberFormat="0" applyFill="0" applyAlignment="0" applyProtection="0"/>
    <xf numFmtId="0" fontId="78" fillId="0" borderId="167" applyNumberFormat="0" applyFill="0" applyAlignment="0" applyProtection="0"/>
    <xf numFmtId="0" fontId="78" fillId="0" borderId="167" applyNumberFormat="0" applyFill="0" applyAlignment="0" applyProtection="0"/>
    <xf numFmtId="0" fontId="78" fillId="0" borderId="167" applyNumberFormat="0" applyFill="0" applyAlignment="0" applyProtection="0"/>
    <xf numFmtId="0" fontId="72" fillId="44" borderId="163" applyNumberFormat="0" applyAlignment="0" applyProtection="0"/>
    <xf numFmtId="0" fontId="72" fillId="44" borderId="155" applyNumberFormat="0" applyAlignment="0" applyProtection="0"/>
    <xf numFmtId="0" fontId="45" fillId="44" borderId="155" applyNumberFormat="0" applyAlignment="0" applyProtection="0"/>
    <xf numFmtId="0" fontId="72" fillId="44" borderId="155" applyNumberFormat="0" applyAlignment="0" applyProtection="0"/>
    <xf numFmtId="0" fontId="74" fillId="75" borderId="155" applyNumberFormat="0" applyAlignment="0" applyProtection="0"/>
    <xf numFmtId="0" fontId="72" fillId="44" borderId="155" applyNumberFormat="0" applyAlignment="0" applyProtection="0"/>
    <xf numFmtId="0" fontId="74" fillId="75" borderId="155" applyNumberFormat="0" applyAlignment="0" applyProtection="0"/>
    <xf numFmtId="0" fontId="66" fillId="75" borderId="155" applyNumberFormat="0" applyAlignment="0" applyProtection="0"/>
    <xf numFmtId="0" fontId="72" fillId="44" borderId="155" applyNumberFormat="0" applyAlignment="0" applyProtection="0"/>
    <xf numFmtId="0" fontId="66" fillId="75" borderId="155" applyNumberFormat="0" applyAlignment="0" applyProtection="0"/>
    <xf numFmtId="0" fontId="66" fillId="75" borderId="155" applyNumberFormat="0" applyAlignment="0" applyProtection="0"/>
    <xf numFmtId="0" fontId="66" fillId="75" borderId="155" applyNumberFormat="0" applyAlignment="0" applyProtection="0"/>
    <xf numFmtId="0" fontId="74" fillId="75" borderId="155" applyNumberFormat="0" applyAlignment="0" applyProtection="0"/>
    <xf numFmtId="0" fontId="74" fillId="75" borderId="155" applyNumberFormat="0" applyAlignment="0" applyProtection="0"/>
    <xf numFmtId="0" fontId="66" fillId="92" borderId="155" applyNumberFormat="0" applyAlignment="0" applyProtection="0"/>
    <xf numFmtId="0" fontId="66" fillId="75" borderId="155" applyNumberFormat="0" applyAlignment="0" applyProtection="0"/>
    <xf numFmtId="0" fontId="66" fillId="75" borderId="155" applyNumberFormat="0" applyAlignment="0" applyProtection="0"/>
    <xf numFmtId="0" fontId="72" fillId="44" borderId="155" applyNumberFormat="0" applyAlignment="0" applyProtection="0"/>
    <xf numFmtId="0" fontId="66" fillId="86" borderId="154" applyNumberFormat="0" applyFont="0" applyAlignment="0" applyProtection="0"/>
    <xf numFmtId="0" fontId="66" fillId="92" borderId="147" applyNumberFormat="0" applyAlignment="0" applyProtection="0"/>
    <xf numFmtId="0" fontId="66" fillId="0" borderId="152" applyNumberFormat="0" applyFill="0" applyAlignment="0" applyProtection="0"/>
    <xf numFmtId="0" fontId="73" fillId="75" borderId="148" applyNumberFormat="0" applyAlignment="0" applyProtection="0"/>
    <xf numFmtId="0" fontId="66" fillId="92" borderId="148" applyNumberFormat="0" applyAlignment="0" applyProtection="0"/>
    <xf numFmtId="0" fontId="45" fillId="44" borderId="147" applyNumberFormat="0" applyAlignment="0" applyProtection="0"/>
    <xf numFmtId="0" fontId="45" fillId="44" borderId="147" applyNumberFormat="0" applyAlignment="0" applyProtection="0"/>
    <xf numFmtId="0" fontId="45" fillId="44" borderId="147" applyNumberFormat="0" applyAlignment="0" applyProtection="0"/>
    <xf numFmtId="0" fontId="45" fillId="44" borderId="147" applyNumberFormat="0" applyAlignment="0" applyProtection="0"/>
    <xf numFmtId="0" fontId="45" fillId="45" borderId="147" applyNumberFormat="0" applyAlignment="0" applyProtection="0"/>
    <xf numFmtId="0" fontId="45" fillId="45" borderId="147" applyNumberFormat="0" applyAlignment="0" applyProtection="0"/>
    <xf numFmtId="0" fontId="45" fillId="45" borderId="147" applyNumberFormat="0" applyAlignment="0" applyProtection="0"/>
    <xf numFmtId="0" fontId="48" fillId="75" borderId="166" applyNumberFormat="0" applyAlignment="0" applyProtection="0"/>
    <xf numFmtId="0" fontId="2" fillId="130" borderId="125">
      <alignment horizontal="center" vertical="center"/>
    </xf>
    <xf numFmtId="0" fontId="50" fillId="0" borderId="139" applyNumberFormat="0" applyFill="0" applyAlignment="0" applyProtection="0"/>
    <xf numFmtId="0" fontId="50" fillId="0" borderId="139" applyNumberFormat="0" applyFill="0" applyAlignment="0" applyProtection="0"/>
    <xf numFmtId="0" fontId="50" fillId="0" borderId="139" applyNumberFormat="0" applyFill="0" applyAlignment="0" applyProtection="0"/>
    <xf numFmtId="0" fontId="50" fillId="0" borderId="139" applyNumberFormat="0" applyFill="0" applyAlignment="0" applyProtection="0"/>
    <xf numFmtId="0" fontId="50" fillId="0" borderId="139" applyNumberFormat="0" applyFill="0" applyAlignment="0" applyProtection="0"/>
    <xf numFmtId="0" fontId="33" fillId="86" borderId="144" applyNumberFormat="0" applyFont="0" applyAlignment="0" applyProtection="0"/>
    <xf numFmtId="0" fontId="33" fillId="86" borderId="144" applyNumberFormat="0" applyFont="0" applyAlignment="0" applyProtection="0"/>
    <xf numFmtId="0" fontId="33" fillId="86" borderId="144" applyNumberFormat="0" applyFont="0" applyAlignment="0" applyProtection="0"/>
    <xf numFmtId="0" fontId="33" fillId="85" borderId="144" applyNumberFormat="0" applyAlignment="0" applyProtection="0"/>
    <xf numFmtId="0" fontId="33" fillId="86" borderId="144" applyNumberFormat="0" applyFont="0" applyAlignment="0" applyProtection="0"/>
    <xf numFmtId="0" fontId="33" fillId="85" borderId="144" applyNumberFormat="0" applyAlignment="0" applyProtection="0"/>
    <xf numFmtId="0" fontId="33" fillId="86" borderId="144" applyNumberFormat="0" applyFont="0" applyAlignment="0" applyProtection="0"/>
    <xf numFmtId="0" fontId="33" fillId="85" borderId="144" applyNumberFormat="0" applyAlignment="0" applyProtection="0"/>
    <xf numFmtId="0" fontId="33" fillId="86" borderId="144" applyNumberFormat="0" applyFont="0" applyAlignment="0" applyProtection="0"/>
    <xf numFmtId="0" fontId="33" fillId="85" borderId="144" applyNumberFormat="0" applyAlignment="0" applyProtection="0"/>
    <xf numFmtId="0" fontId="33" fillId="85" borderId="144" applyNumberFormat="0" applyAlignment="0" applyProtection="0"/>
    <xf numFmtId="0" fontId="33" fillId="85" borderId="144" applyNumberFormat="0" applyAlignment="0" applyProtection="0"/>
    <xf numFmtId="0" fontId="33" fillId="86" borderId="144" applyNumberFormat="0" applyFont="0" applyAlignment="0" applyProtection="0"/>
    <xf numFmtId="0" fontId="33" fillId="85" borderId="144" applyNumberFormat="0" applyAlignment="0" applyProtection="0"/>
    <xf numFmtId="0" fontId="33" fillId="86" borderId="144" applyNumberFormat="0" applyFont="0" applyAlignment="0" applyProtection="0"/>
    <xf numFmtId="0" fontId="33" fillId="85" borderId="144" applyNumberFormat="0" applyAlignment="0" applyProtection="0"/>
    <xf numFmtId="0" fontId="33" fillId="85" borderId="144" applyNumberFormat="0" applyAlignment="0" applyProtection="0"/>
    <xf numFmtId="0" fontId="33" fillId="85" borderId="144" applyNumberFormat="0" applyAlignment="0" applyProtection="0"/>
    <xf numFmtId="0" fontId="33" fillId="85" borderId="144" applyNumberFormat="0" applyAlignment="0" applyProtection="0"/>
    <xf numFmtId="0" fontId="33" fillId="86" borderId="144" applyNumberFormat="0" applyFont="0" applyAlignment="0" applyProtection="0"/>
    <xf numFmtId="0" fontId="33" fillId="85" borderId="144" applyNumberFormat="0" applyAlignment="0" applyProtection="0"/>
    <xf numFmtId="0" fontId="33" fillId="85" borderId="144" applyNumberFormat="0" applyAlignment="0" applyProtection="0"/>
    <xf numFmtId="0" fontId="33" fillId="86" borderId="144" applyNumberFormat="0" applyFont="0" applyAlignment="0" applyProtection="0"/>
    <xf numFmtId="0" fontId="33" fillId="85" borderId="144" applyNumberFormat="0" applyAlignment="0" applyProtection="0"/>
    <xf numFmtId="0" fontId="33" fillId="85" borderId="144" applyNumberFormat="0" applyAlignment="0" applyProtection="0"/>
    <xf numFmtId="0" fontId="45" fillId="44" borderId="143" applyNumberFormat="0" applyAlignment="0" applyProtection="0"/>
    <xf numFmtId="0" fontId="45" fillId="44" borderId="143" applyNumberFormat="0" applyAlignment="0" applyProtection="0"/>
    <xf numFmtId="0" fontId="45" fillId="44" borderId="143" applyNumberFormat="0" applyAlignment="0" applyProtection="0"/>
    <xf numFmtId="0" fontId="45" fillId="44" borderId="143" applyNumberFormat="0" applyAlignment="0" applyProtection="0"/>
    <xf numFmtId="0" fontId="45" fillId="44" borderId="143" applyNumberFormat="0" applyAlignment="0" applyProtection="0"/>
    <xf numFmtId="0" fontId="45" fillId="45" borderId="143" applyNumberFormat="0" applyAlignment="0" applyProtection="0"/>
    <xf numFmtId="0" fontId="45" fillId="45" borderId="143" applyNumberFormat="0" applyAlignment="0" applyProtection="0"/>
    <xf numFmtId="0" fontId="45" fillId="44" borderId="143" applyNumberFormat="0" applyAlignment="0" applyProtection="0"/>
    <xf numFmtId="0" fontId="45" fillId="45" borderId="143" applyNumberFormat="0" applyAlignment="0" applyProtection="0"/>
    <xf numFmtId="0" fontId="45" fillId="45" borderId="143" applyNumberFormat="0" applyAlignment="0" applyProtection="0"/>
    <xf numFmtId="0" fontId="45" fillId="44" borderId="143" applyNumberFormat="0" applyAlignment="0" applyProtection="0"/>
    <xf numFmtId="0" fontId="45" fillId="45" borderId="143" applyNumberFormat="0" applyAlignment="0" applyProtection="0"/>
    <xf numFmtId="0" fontId="45" fillId="49" borderId="143" applyNumberFormat="0" applyAlignment="0" applyProtection="0"/>
    <xf numFmtId="0" fontId="45" fillId="49" borderId="143" applyNumberFormat="0" applyAlignment="0" applyProtection="0"/>
    <xf numFmtId="0" fontId="45" fillId="49" borderId="143" applyNumberFormat="0" applyAlignment="0" applyProtection="0"/>
    <xf numFmtId="0" fontId="45" fillId="49" borderId="143" applyNumberFormat="0" applyAlignment="0" applyProtection="0"/>
    <xf numFmtId="0" fontId="38" fillId="78" borderId="143" applyNumberFormat="0" applyAlignment="0" applyProtection="0"/>
    <xf numFmtId="0" fontId="38" fillId="78" borderId="143" applyNumberFormat="0" applyAlignment="0" applyProtection="0"/>
    <xf numFmtId="0" fontId="38" fillId="78" borderId="143" applyNumberFormat="0" applyAlignment="0" applyProtection="0"/>
    <xf numFmtId="0" fontId="38" fillId="75" borderId="143" applyNumberFormat="0" applyAlignment="0" applyProtection="0"/>
    <xf numFmtId="0" fontId="38" fillId="75" borderId="143" applyNumberFormat="0" applyAlignment="0" applyProtection="0"/>
    <xf numFmtId="0" fontId="38" fillId="75" borderId="143" applyNumberFormat="0" applyAlignment="0" applyProtection="0"/>
    <xf numFmtId="0" fontId="38" fillId="75" borderId="143" applyNumberFormat="0" applyAlignment="0" applyProtection="0"/>
    <xf numFmtId="0" fontId="38" fillId="76" borderId="143" applyNumberFormat="0" applyAlignment="0" applyProtection="0"/>
    <xf numFmtId="0" fontId="38" fillId="76" borderId="143" applyNumberFormat="0" applyAlignment="0" applyProtection="0"/>
    <xf numFmtId="0" fontId="38" fillId="75" borderId="143" applyNumberFormat="0" applyAlignment="0" applyProtection="0"/>
    <xf numFmtId="0" fontId="38" fillId="76" borderId="143" applyNumberFormat="0" applyAlignment="0" applyProtection="0"/>
    <xf numFmtId="0" fontId="38" fillId="76" borderId="143" applyNumberFormat="0" applyAlignment="0" applyProtection="0"/>
    <xf numFmtId="0" fontId="38" fillId="76" borderId="143" applyNumberFormat="0" applyAlignment="0" applyProtection="0"/>
    <xf numFmtId="0" fontId="38" fillId="76" borderId="143" applyNumberFormat="0" applyAlignment="0" applyProtection="0"/>
    <xf numFmtId="0" fontId="38" fillId="75" borderId="143" applyNumberFormat="0" applyAlignment="0" applyProtection="0"/>
    <xf numFmtId="0" fontId="48" fillId="75" borderId="166" applyNumberFormat="0" applyAlignment="0" applyProtection="0"/>
    <xf numFmtId="0" fontId="66" fillId="86" borderId="164" applyNumberFormat="0" applyFont="0" applyAlignment="0" applyProtection="0"/>
    <xf numFmtId="0" fontId="72" fillId="44" borderId="163" applyNumberFormat="0" applyAlignment="0" applyProtection="0"/>
    <xf numFmtId="0" fontId="66" fillId="0" borderId="167" applyNumberFormat="0" applyFill="0" applyAlignment="0" applyProtection="0"/>
    <xf numFmtId="0" fontId="38" fillId="75" borderId="135" applyNumberFormat="0" applyAlignment="0" applyProtection="0"/>
    <xf numFmtId="0" fontId="54" fillId="0" borderId="131">
      <alignment horizontal="left" vertical="center"/>
    </xf>
    <xf numFmtId="0" fontId="38" fillId="76" borderId="135" applyNumberFormat="0" applyAlignment="0" applyProtection="0"/>
    <xf numFmtId="0" fontId="48" fillId="78" borderId="166" applyNumberFormat="0" applyAlignment="0" applyProtection="0"/>
    <xf numFmtId="0" fontId="66" fillId="44" borderId="163" applyNumberFormat="0" applyAlignment="0" applyProtection="0"/>
    <xf numFmtId="0" fontId="78" fillId="0" borderId="167" applyNumberFormat="0" applyFill="0" applyAlignment="0" applyProtection="0"/>
    <xf numFmtId="0" fontId="78" fillId="0" borderId="167" applyNumberFormat="0" applyFill="0" applyAlignment="0" applyProtection="0"/>
    <xf numFmtId="0" fontId="72" fillId="44" borderId="163" applyNumberFormat="0" applyAlignment="0" applyProtection="0"/>
    <xf numFmtId="0" fontId="48" fillId="78" borderId="166" applyNumberFormat="0" applyAlignment="0" applyProtection="0"/>
    <xf numFmtId="2" fontId="51" fillId="95" borderId="125">
      <alignment horizontal="center" vertical="center"/>
    </xf>
    <xf numFmtId="2" fontId="122" fillId="96" borderId="125">
      <alignment horizontal="center" vertical="center"/>
    </xf>
    <xf numFmtId="0" fontId="78" fillId="0" borderId="168" applyNumberFormat="0" applyFill="0" applyAlignment="0" applyProtection="0"/>
    <xf numFmtId="0" fontId="78" fillId="0" borderId="167" applyNumberFormat="0" applyFill="0" applyAlignment="0" applyProtection="0"/>
    <xf numFmtId="0" fontId="73" fillId="75" borderId="166" applyNumberFormat="0" applyAlignment="0" applyProtection="0"/>
    <xf numFmtId="0" fontId="73" fillId="75" borderId="166" applyNumberFormat="0" applyAlignment="0" applyProtection="0"/>
    <xf numFmtId="0" fontId="73" fillId="75" borderId="166" applyNumberFormat="0" applyAlignment="0" applyProtection="0"/>
    <xf numFmtId="0" fontId="73" fillId="75" borderId="166" applyNumberFormat="0" applyAlignment="0" applyProtection="0"/>
    <xf numFmtId="0" fontId="38" fillId="75" borderId="88" applyNumberFormat="0" applyAlignment="0" applyProtection="0"/>
    <xf numFmtId="0" fontId="38" fillId="75" borderId="88" applyNumberFormat="0" applyAlignment="0" applyProtection="0"/>
    <xf numFmtId="0" fontId="38" fillId="75" borderId="88" applyNumberFormat="0" applyAlignment="0" applyProtection="0"/>
    <xf numFmtId="0" fontId="38" fillId="75" borderId="88" applyNumberFormat="0" applyAlignment="0" applyProtection="0"/>
    <xf numFmtId="0" fontId="38" fillId="75" borderId="88" applyNumberFormat="0" applyAlignment="0" applyProtection="0"/>
    <xf numFmtId="0" fontId="38" fillId="75" borderId="88" applyNumberFormat="0" applyAlignment="0" applyProtection="0"/>
    <xf numFmtId="0" fontId="38" fillId="75" borderId="88" applyNumberFormat="0" applyAlignment="0" applyProtection="0"/>
    <xf numFmtId="0" fontId="66" fillId="92" borderId="166" applyNumberFormat="0" applyAlignment="0" applyProtection="0"/>
    <xf numFmtId="0" fontId="73" fillId="92" borderId="166" applyNumberFormat="0" applyAlignment="0" applyProtection="0"/>
    <xf numFmtId="0" fontId="73" fillId="92" borderId="166" applyNumberFormat="0" applyAlignment="0" applyProtection="0"/>
    <xf numFmtId="0" fontId="73" fillId="92" borderId="166" applyNumberFormat="0" applyAlignment="0" applyProtection="0"/>
    <xf numFmtId="0" fontId="73" fillId="92" borderId="166" applyNumberFormat="0" applyAlignment="0" applyProtection="0"/>
    <xf numFmtId="0" fontId="73" fillId="92" borderId="166" applyNumberFormat="0" applyAlignment="0" applyProtection="0"/>
    <xf numFmtId="0" fontId="66" fillId="92" borderId="166" applyNumberFormat="0" applyAlignment="0" applyProtection="0"/>
    <xf numFmtId="0" fontId="66" fillId="92" borderId="166" applyNumberFormat="0" applyAlignment="0" applyProtection="0"/>
    <xf numFmtId="0" fontId="73" fillId="75" borderId="166" applyNumberFormat="0" applyAlignment="0" applyProtection="0"/>
    <xf numFmtId="0" fontId="73" fillId="92" borderId="166" applyNumberFormat="0" applyAlignment="0" applyProtection="0"/>
    <xf numFmtId="0" fontId="73" fillId="92" borderId="166" applyNumberFormat="0" applyAlignment="0" applyProtection="0"/>
    <xf numFmtId="0" fontId="73" fillId="92" borderId="166" applyNumberFormat="0" applyAlignment="0" applyProtection="0"/>
    <xf numFmtId="0" fontId="45" fillId="44" borderId="88" applyNumberFormat="0" applyAlignment="0" applyProtection="0"/>
    <xf numFmtId="0" fontId="45" fillId="44" borderId="88" applyNumberFormat="0" applyAlignment="0" applyProtection="0"/>
    <xf numFmtId="0" fontId="45" fillId="44" borderId="88" applyNumberFormat="0" applyAlignment="0" applyProtection="0"/>
    <xf numFmtId="0" fontId="45" fillId="44" borderId="88" applyNumberFormat="0" applyAlignment="0" applyProtection="0"/>
    <xf numFmtId="0" fontId="45" fillId="44" borderId="88" applyNumberFormat="0" applyAlignment="0" applyProtection="0"/>
    <xf numFmtId="0" fontId="45" fillId="44" borderId="88" applyNumberFormat="0" applyAlignment="0" applyProtection="0"/>
    <xf numFmtId="201" fontId="101" fillId="0" borderId="107">
      <alignment horizontal="left"/>
      <protection locked="0"/>
    </xf>
    <xf numFmtId="0" fontId="66" fillId="86" borderId="134" applyNumberFormat="0" applyFont="0" applyAlignment="0" applyProtection="0"/>
    <xf numFmtId="0" fontId="66" fillId="86" borderId="134" applyNumberFormat="0" applyFont="0" applyAlignment="0" applyProtection="0"/>
    <xf numFmtId="0" fontId="66" fillId="86" borderId="134" applyNumberFormat="0" applyFont="0" applyAlignment="0" applyProtection="0"/>
    <xf numFmtId="0" fontId="66" fillId="86" borderId="134" applyNumberFormat="0" applyFont="0" applyAlignment="0" applyProtection="0"/>
    <xf numFmtId="0" fontId="66" fillId="86" borderId="134" applyNumberFormat="0" applyFont="0" applyAlignment="0" applyProtection="0"/>
    <xf numFmtId="0" fontId="66" fillId="86" borderId="134" applyNumberFormat="0" applyFont="0" applyAlignment="0" applyProtection="0"/>
    <xf numFmtId="0" fontId="66" fillId="86" borderId="134" applyNumberFormat="0" applyFont="0" applyAlignment="0" applyProtection="0"/>
    <xf numFmtId="0" fontId="66" fillId="86" borderId="134" applyNumberFormat="0" applyFont="0" applyAlignment="0" applyProtection="0"/>
    <xf numFmtId="0" fontId="66" fillId="86" borderId="134" applyNumberFormat="0" applyFont="0" applyAlignment="0" applyProtection="0"/>
    <xf numFmtId="0" fontId="66" fillId="86" borderId="134" applyNumberFormat="0" applyFont="0" applyAlignment="0" applyProtection="0"/>
    <xf numFmtId="0" fontId="66" fillId="86" borderId="134" applyNumberFormat="0" applyFont="0" applyAlignment="0" applyProtection="0"/>
    <xf numFmtId="0" fontId="66" fillId="86" borderId="134" applyNumberFormat="0" applyFont="0" applyAlignment="0" applyProtection="0"/>
    <xf numFmtId="0" fontId="66" fillId="86" borderId="134" applyNumberFormat="0" applyFont="0" applyAlignment="0" applyProtection="0"/>
    <xf numFmtId="0" fontId="66" fillId="86" borderId="134" applyNumberFormat="0" applyFont="0" applyAlignment="0" applyProtection="0"/>
    <xf numFmtId="0" fontId="66" fillId="86" borderId="134" applyNumberFormat="0" applyFont="0" applyAlignment="0" applyProtection="0"/>
    <xf numFmtId="0" fontId="66" fillId="86" borderId="134" applyNumberFormat="0" applyFont="0" applyAlignment="0" applyProtection="0"/>
    <xf numFmtId="0" fontId="66" fillId="86" borderId="134" applyNumberFormat="0" applyFont="0" applyAlignment="0" applyProtection="0"/>
    <xf numFmtId="0" fontId="66" fillId="86" borderId="134" applyNumberFormat="0" applyFont="0" applyAlignment="0" applyProtection="0"/>
    <xf numFmtId="0" fontId="66" fillId="86" borderId="134" applyNumberFormat="0" applyFont="0" applyAlignment="0" applyProtection="0"/>
    <xf numFmtId="0" fontId="66" fillId="86" borderId="134" applyNumberFormat="0" applyFont="0" applyAlignment="0" applyProtection="0"/>
    <xf numFmtId="0" fontId="66" fillId="86" borderId="134" applyNumberFormat="0" applyFont="0" applyAlignment="0" applyProtection="0"/>
    <xf numFmtId="0" fontId="72" fillId="44" borderId="127" applyNumberFormat="0" applyAlignment="0" applyProtection="0"/>
    <xf numFmtId="0" fontId="72" fillId="44" borderId="127" applyNumberFormat="0" applyAlignment="0" applyProtection="0"/>
    <xf numFmtId="0" fontId="72" fillId="44" borderId="127" applyNumberFormat="0" applyAlignment="0" applyProtection="0"/>
    <xf numFmtId="0" fontId="33" fillId="86" borderId="114" applyNumberFormat="0" applyFont="0" applyAlignment="0" applyProtection="0"/>
    <xf numFmtId="0" fontId="33" fillId="86" borderId="114" applyNumberFormat="0" applyFont="0" applyAlignment="0" applyProtection="0"/>
    <xf numFmtId="0" fontId="33" fillId="86" borderId="114" applyNumberFormat="0" applyFont="0" applyAlignment="0" applyProtection="0"/>
    <xf numFmtId="0" fontId="33" fillId="86" borderId="114" applyNumberFormat="0" applyFont="0" applyAlignment="0" applyProtection="0"/>
    <xf numFmtId="0" fontId="33" fillId="86" borderId="114" applyNumberFormat="0" applyFont="0" applyAlignment="0" applyProtection="0"/>
    <xf numFmtId="0" fontId="33" fillId="86" borderId="114" applyNumberFormat="0" applyFont="0" applyAlignment="0" applyProtection="0"/>
    <xf numFmtId="0" fontId="33" fillId="86" borderId="114" applyNumberFormat="0" applyFont="0" applyAlignment="0" applyProtection="0"/>
    <xf numFmtId="0" fontId="33" fillId="86" borderId="114" applyNumberFormat="0" applyFont="0" applyAlignment="0" applyProtection="0"/>
    <xf numFmtId="0" fontId="33" fillId="86" borderId="114" applyNumberFormat="0" applyFont="0" applyAlignment="0" applyProtection="0"/>
    <xf numFmtId="0" fontId="33" fillId="86" borderId="114" applyNumberFormat="0" applyFont="0" applyAlignment="0" applyProtection="0"/>
    <xf numFmtId="0" fontId="33" fillId="86" borderId="114" applyNumberFormat="0" applyFont="0" applyAlignment="0" applyProtection="0"/>
    <xf numFmtId="0" fontId="74" fillId="92" borderId="155" applyNumberFormat="0" applyAlignment="0" applyProtection="0"/>
    <xf numFmtId="0" fontId="74" fillId="92" borderId="155" applyNumberFormat="0" applyAlignment="0" applyProtection="0"/>
    <xf numFmtId="0" fontId="74" fillId="92" borderId="155" applyNumberFormat="0" applyAlignment="0" applyProtection="0"/>
    <xf numFmtId="0" fontId="74" fillId="92" borderId="155" applyNumberFormat="0" applyAlignment="0" applyProtection="0"/>
    <xf numFmtId="0" fontId="74" fillId="92" borderId="155" applyNumberFormat="0" applyAlignment="0" applyProtection="0"/>
    <xf numFmtId="0" fontId="74" fillId="92" borderId="155" applyNumberFormat="0" applyAlignment="0" applyProtection="0"/>
    <xf numFmtId="0" fontId="74" fillId="92" borderId="155" applyNumberFormat="0" applyAlignment="0" applyProtection="0"/>
    <xf numFmtId="0" fontId="74" fillId="75" borderId="155" applyNumberFormat="0" applyAlignment="0" applyProtection="0"/>
    <xf numFmtId="0" fontId="74" fillId="75" borderId="155" applyNumberFormat="0" applyAlignment="0" applyProtection="0"/>
    <xf numFmtId="0" fontId="66" fillId="75" borderId="155" applyNumberFormat="0" applyAlignment="0" applyProtection="0"/>
    <xf numFmtId="0" fontId="66" fillId="86" borderId="156" applyNumberFormat="0" applyFont="0" applyAlignment="0" applyProtection="0"/>
    <xf numFmtId="0" fontId="66" fillId="86" borderId="156" applyNumberFormat="0" applyFont="0" applyAlignment="0" applyProtection="0"/>
    <xf numFmtId="0" fontId="66" fillId="86" borderId="156" applyNumberFormat="0" applyFont="0" applyAlignment="0" applyProtection="0"/>
    <xf numFmtId="0" fontId="66" fillId="86" borderId="156" applyNumberFormat="0" applyFont="0" applyAlignment="0" applyProtection="0"/>
    <xf numFmtId="0" fontId="66" fillId="86" borderId="156" applyNumberFormat="0" applyFont="0" applyAlignment="0" applyProtection="0"/>
    <xf numFmtId="0" fontId="66" fillId="86" borderId="156" applyNumberFormat="0" applyFont="0" applyAlignment="0" applyProtection="0"/>
    <xf numFmtId="0" fontId="48" fillId="75" borderId="110" applyNumberFormat="0" applyAlignment="0" applyProtection="0"/>
    <xf numFmtId="0" fontId="48" fillId="75" borderId="110" applyNumberFormat="0" applyAlignment="0" applyProtection="0"/>
    <xf numFmtId="0" fontId="48" fillId="75" borderId="110" applyNumberFormat="0" applyAlignment="0" applyProtection="0"/>
    <xf numFmtId="0" fontId="48" fillId="75" borderId="110" applyNumberFormat="0" applyAlignment="0" applyProtection="0"/>
    <xf numFmtId="0" fontId="48" fillId="75" borderId="110" applyNumberFormat="0" applyAlignment="0" applyProtection="0"/>
    <xf numFmtId="0" fontId="48" fillId="75" borderId="110" applyNumberFormat="0" applyAlignment="0" applyProtection="0"/>
    <xf numFmtId="0" fontId="66" fillId="92" borderId="157" applyNumberFormat="0" applyAlignment="0" applyProtection="0"/>
    <xf numFmtId="0" fontId="66" fillId="92" borderId="157" applyNumberFormat="0" applyAlignment="0" applyProtection="0"/>
    <xf numFmtId="0" fontId="66" fillId="92" borderId="157" applyNumberFormat="0" applyAlignment="0" applyProtection="0"/>
    <xf numFmtId="0" fontId="66" fillId="92" borderId="157" applyNumberFormat="0" applyAlignment="0" applyProtection="0"/>
    <xf numFmtId="0" fontId="66" fillId="92" borderId="157" applyNumberFormat="0" applyAlignment="0" applyProtection="0"/>
    <xf numFmtId="0" fontId="66" fillId="92" borderId="157" applyNumberFormat="0" applyAlignment="0" applyProtection="0"/>
    <xf numFmtId="0" fontId="73" fillId="92" borderId="157" applyNumberFormat="0" applyAlignment="0" applyProtection="0"/>
    <xf numFmtId="0" fontId="73" fillId="75" borderId="157" applyNumberFormat="0" applyAlignment="0" applyProtection="0"/>
    <xf numFmtId="0" fontId="66" fillId="92" borderId="157" applyNumberFormat="0" applyAlignment="0" applyProtection="0"/>
    <xf numFmtId="0" fontId="73" fillId="92" borderId="157" applyNumberFormat="0" applyAlignment="0" applyProtection="0"/>
    <xf numFmtId="0" fontId="73" fillId="92" borderId="157" applyNumberFormat="0" applyAlignment="0" applyProtection="0"/>
    <xf numFmtId="0" fontId="73" fillId="92" borderId="157" applyNumberFormat="0" applyAlignment="0" applyProtection="0"/>
    <xf numFmtId="0" fontId="73" fillId="75" borderId="157" applyNumberFormat="0" applyAlignment="0" applyProtection="0"/>
    <xf numFmtId="0" fontId="66" fillId="75" borderId="157" applyNumberFormat="0" applyAlignment="0" applyProtection="0"/>
    <xf numFmtId="0" fontId="66" fillId="75" borderId="157" applyNumberFormat="0" applyAlignment="0" applyProtection="0"/>
    <xf numFmtId="0" fontId="73" fillId="75" borderId="157" applyNumberFormat="0" applyAlignment="0" applyProtection="0"/>
    <xf numFmtId="0" fontId="66" fillId="75" borderId="157" applyNumberFormat="0" applyAlignment="0" applyProtection="0"/>
    <xf numFmtId="0" fontId="73" fillId="75" borderId="157" applyNumberFormat="0" applyAlignment="0" applyProtection="0"/>
    <xf numFmtId="0" fontId="73" fillId="75" borderId="157" applyNumberFormat="0" applyAlignment="0" applyProtection="0"/>
    <xf numFmtId="0" fontId="73" fillId="75" borderId="157" applyNumberFormat="0" applyAlignment="0" applyProtection="0"/>
    <xf numFmtId="0" fontId="73" fillId="75" borderId="157" applyNumberFormat="0" applyAlignment="0" applyProtection="0"/>
    <xf numFmtId="0" fontId="73" fillId="75" borderId="157" applyNumberFormat="0" applyAlignment="0" applyProtection="0"/>
    <xf numFmtId="0" fontId="73" fillId="75" borderId="157" applyNumberFormat="0" applyAlignment="0" applyProtection="0"/>
    <xf numFmtId="0" fontId="78" fillId="0" borderId="159" applyNumberFormat="0" applyFill="0" applyAlignment="0" applyProtection="0"/>
    <xf numFmtId="0" fontId="78" fillId="0" borderId="159" applyNumberFormat="0" applyFill="0" applyAlignment="0" applyProtection="0"/>
    <xf numFmtId="0" fontId="78" fillId="0" borderId="159" applyNumberFormat="0" applyFill="0" applyAlignment="0" applyProtection="0"/>
    <xf numFmtId="0" fontId="78" fillId="0" borderId="159" applyNumberFormat="0" applyFill="0" applyAlignment="0" applyProtection="0"/>
    <xf numFmtId="0" fontId="66" fillId="0" borderId="159" applyNumberFormat="0" applyFill="0" applyAlignment="0" applyProtection="0"/>
    <xf numFmtId="0" fontId="66" fillId="0" borderId="159" applyNumberFormat="0" applyFill="0" applyAlignment="0" applyProtection="0"/>
    <xf numFmtId="0" fontId="50" fillId="0" borderId="111" applyNumberFormat="0" applyFill="0" applyAlignment="0" applyProtection="0"/>
    <xf numFmtId="0" fontId="50" fillId="0" borderId="111" applyNumberFormat="0" applyFill="0" applyAlignment="0" applyProtection="0"/>
    <xf numFmtId="0" fontId="78" fillId="0" borderId="168" applyNumberFormat="0" applyFill="0" applyAlignment="0" applyProtection="0"/>
    <xf numFmtId="0" fontId="110" fillId="0" borderId="111" applyNumberFormat="0" applyFill="0" applyAlignment="0" applyProtection="0">
      <alignment vertical="center"/>
    </xf>
    <xf numFmtId="0" fontId="111" fillId="86" borderId="114" applyNumberFormat="0" applyFont="0" applyAlignment="0" applyProtection="0">
      <alignment vertical="center"/>
    </xf>
    <xf numFmtId="0" fontId="114" fillId="75" borderId="88" applyNumberFormat="0" applyAlignment="0" applyProtection="0">
      <alignment vertical="center"/>
    </xf>
    <xf numFmtId="0" fontId="115" fillId="44" borderId="88" applyNumberFormat="0" applyAlignment="0" applyProtection="0">
      <alignment vertical="center"/>
    </xf>
    <xf numFmtId="0" fontId="116" fillId="75" borderId="110" applyNumberFormat="0" applyAlignment="0" applyProtection="0">
      <alignment vertical="center"/>
    </xf>
    <xf numFmtId="0" fontId="78" fillId="0" borderId="152" applyNumberFormat="0" applyFill="0" applyAlignment="0" applyProtection="0"/>
    <xf numFmtId="0" fontId="73" fillId="75" borderId="148" applyNumberFormat="0" applyAlignment="0" applyProtection="0"/>
    <xf numFmtId="0" fontId="66" fillId="92" borderId="148" applyNumberFormat="0" applyAlignment="0" applyProtection="0"/>
    <xf numFmtId="0" fontId="45" fillId="45" borderId="147" applyNumberFormat="0" applyAlignment="0" applyProtection="0"/>
    <xf numFmtId="0" fontId="66" fillId="86" borderId="164" applyNumberFormat="0" applyFont="0" applyAlignment="0" applyProtection="0"/>
    <xf numFmtId="0" fontId="2" fillId="130" borderId="125">
      <alignment horizontal="left" vertical="center"/>
    </xf>
    <xf numFmtId="0" fontId="66" fillId="75" borderId="155" applyNumberFormat="0" applyAlignment="0" applyProtection="0"/>
    <xf numFmtId="0" fontId="66" fillId="92" borderId="155" applyNumberFormat="0" applyAlignment="0" applyProtection="0"/>
    <xf numFmtId="0" fontId="66" fillId="44" borderId="155" applyNumberFormat="0" applyAlignment="0" applyProtection="0"/>
    <xf numFmtId="0" fontId="72" fillId="44" borderId="155" applyNumberFormat="0" applyAlignment="0" applyProtection="0"/>
    <xf numFmtId="0" fontId="72" fillId="44" borderId="155" applyNumberFormat="0" applyAlignment="0" applyProtection="0"/>
    <xf numFmtId="0" fontId="74" fillId="75" borderId="155" applyNumberFormat="0" applyAlignment="0" applyProtection="0"/>
    <xf numFmtId="0" fontId="74" fillId="92" borderId="155" applyNumberFormat="0" applyAlignment="0" applyProtection="0"/>
    <xf numFmtId="0" fontId="66" fillId="44" borderId="155" applyNumberFormat="0" applyAlignment="0" applyProtection="0"/>
    <xf numFmtId="0" fontId="74" fillId="75" borderId="155" applyNumberFormat="0" applyAlignment="0" applyProtection="0"/>
    <xf numFmtId="0" fontId="66" fillId="0" borderId="168" applyNumberFormat="0" applyFill="0" applyAlignment="0" applyProtection="0"/>
    <xf numFmtId="0" fontId="78" fillId="0" borderId="159" applyNumberFormat="0" applyFill="0" applyAlignment="0" applyProtection="0"/>
    <xf numFmtId="0" fontId="78" fillId="0" borderId="158" applyNumberFormat="0" applyFill="0" applyAlignment="0" applyProtection="0"/>
    <xf numFmtId="0" fontId="78" fillId="0" borderId="152" applyNumberFormat="0" applyFill="0" applyAlignment="0" applyProtection="0"/>
    <xf numFmtId="0" fontId="73" fillId="75" borderId="148" applyNumberFormat="0" applyAlignment="0" applyProtection="0"/>
    <xf numFmtId="0" fontId="66" fillId="92" borderId="148" applyNumberFormat="0" applyAlignment="0" applyProtection="0"/>
    <xf numFmtId="0" fontId="45" fillId="45" borderId="147" applyNumberFormat="0" applyAlignment="0" applyProtection="0"/>
    <xf numFmtId="0" fontId="72" fillId="44" borderId="163" applyNumberFormat="0" applyAlignment="0" applyProtection="0"/>
    <xf numFmtId="0" fontId="162" fillId="0" borderId="125">
      <alignment horizontal="right" vertical="center"/>
    </xf>
    <xf numFmtId="0" fontId="66" fillId="75" borderId="155" applyNumberFormat="0" applyAlignment="0" applyProtection="0"/>
    <xf numFmtId="165" fontId="41" fillId="94" borderId="77">
      <alignment horizontal="center" vertical="center"/>
    </xf>
    <xf numFmtId="165" fontId="41" fillId="94" borderId="145">
      <alignment horizontal="center" vertical="center"/>
    </xf>
    <xf numFmtId="0" fontId="66" fillId="86" borderId="134" applyNumberFormat="0" applyFont="0" applyAlignment="0" applyProtection="0"/>
    <xf numFmtId="2" fontId="122" fillId="96" borderId="77">
      <alignment horizontal="center" vertical="center"/>
    </xf>
    <xf numFmtId="2" fontId="51" fillId="95" borderId="77">
      <alignment horizontal="center" vertical="center"/>
    </xf>
    <xf numFmtId="0" fontId="2" fillId="130" borderId="125">
      <alignment horizontal="center" vertical="center"/>
    </xf>
    <xf numFmtId="0" fontId="78" fillId="0" borderId="168" applyNumberFormat="0" applyFill="0" applyAlignment="0" applyProtection="0"/>
    <xf numFmtId="10" fontId="52" fillId="82" borderId="145" applyNumberFormat="0" applyBorder="0" applyAlignment="0" applyProtection="0"/>
    <xf numFmtId="0" fontId="66" fillId="92" borderId="148" applyNumberFormat="0" applyAlignment="0" applyProtection="0"/>
    <xf numFmtId="0" fontId="73" fillId="75" borderId="148" applyNumberFormat="0" applyAlignment="0" applyProtection="0"/>
    <xf numFmtId="0" fontId="78" fillId="0" borderId="152" applyNumberFormat="0" applyFill="0" applyAlignment="0" applyProtection="0"/>
    <xf numFmtId="0" fontId="66" fillId="86" borderId="154" applyNumberFormat="0" applyFont="0" applyAlignment="0" applyProtection="0"/>
    <xf numFmtId="0" fontId="66" fillId="75" borderId="147" applyNumberFormat="0" applyAlignment="0" applyProtection="0"/>
    <xf numFmtId="0" fontId="78" fillId="0" borderId="152" applyNumberFormat="0" applyFill="0" applyAlignment="0" applyProtection="0"/>
    <xf numFmtId="0" fontId="73" fillId="75" borderId="148" applyNumberFormat="0" applyAlignment="0" applyProtection="0"/>
    <xf numFmtId="0" fontId="66" fillId="92" borderId="148" applyNumberFormat="0" applyAlignment="0" applyProtection="0"/>
    <xf numFmtId="10" fontId="52" fillId="82" borderId="145" applyNumberFormat="0" applyBorder="0" applyAlignment="0" applyProtection="0"/>
    <xf numFmtId="0" fontId="162" fillId="0" borderId="125">
      <alignment horizontal="right" vertical="center"/>
    </xf>
    <xf numFmtId="0" fontId="78" fillId="0" borderId="152" applyNumberFormat="0" applyFill="0" applyAlignment="0" applyProtection="0"/>
    <xf numFmtId="0" fontId="73" fillId="75" borderId="148" applyNumberFormat="0" applyAlignment="0" applyProtection="0"/>
    <xf numFmtId="0" fontId="66" fillId="92" borderId="148" applyNumberFormat="0" applyAlignment="0" applyProtection="0"/>
    <xf numFmtId="0" fontId="54" fillId="0" borderId="146">
      <alignment horizontal="left" vertical="center"/>
    </xf>
    <xf numFmtId="0" fontId="72" fillId="44" borderId="155" applyNumberFormat="0" applyAlignment="0" applyProtection="0"/>
    <xf numFmtId="0" fontId="72" fillId="44" borderId="155" applyNumberFormat="0" applyAlignment="0" applyProtection="0"/>
    <xf numFmtId="0" fontId="73" fillId="75" borderId="148" applyNumberFormat="0" applyAlignment="0" applyProtection="0"/>
    <xf numFmtId="0" fontId="73" fillId="75" borderId="148" applyNumberFormat="0" applyAlignment="0" applyProtection="0"/>
    <xf numFmtId="0" fontId="73" fillId="92" borderId="148" applyNumberFormat="0" applyAlignment="0" applyProtection="0"/>
    <xf numFmtId="0" fontId="54" fillId="0" borderId="146">
      <alignment horizontal="left" vertical="center"/>
    </xf>
    <xf numFmtId="0" fontId="72" fillId="44" borderId="155" applyNumberFormat="0" applyAlignment="0" applyProtection="0"/>
    <xf numFmtId="0" fontId="38" fillId="75" borderId="115" applyNumberFormat="0" applyAlignment="0" applyProtection="0"/>
    <xf numFmtId="0" fontId="38" fillId="76" borderId="115" applyNumberFormat="0" applyAlignment="0" applyProtection="0"/>
    <xf numFmtId="0" fontId="38" fillId="76" borderId="115" applyNumberFormat="0" applyAlignment="0" applyProtection="0"/>
    <xf numFmtId="0" fontId="38" fillId="75" borderId="115" applyNumberFormat="0" applyAlignment="0" applyProtection="0"/>
    <xf numFmtId="0" fontId="38" fillId="76" borderId="115" applyNumberFormat="0" applyAlignment="0" applyProtection="0"/>
    <xf numFmtId="0" fontId="38" fillId="76" borderId="115" applyNumberFormat="0" applyAlignment="0" applyProtection="0"/>
    <xf numFmtId="0" fontId="38" fillId="76" borderId="115" applyNumberFormat="0" applyAlignment="0" applyProtection="0"/>
    <xf numFmtId="0" fontId="78" fillId="0" borderId="149" applyNumberFormat="0" applyFill="0" applyAlignment="0" applyProtection="0"/>
    <xf numFmtId="0" fontId="78" fillId="0" borderId="152" applyNumberFormat="0" applyFill="0" applyAlignment="0" applyProtection="0"/>
    <xf numFmtId="0" fontId="78" fillId="0" borderId="149" applyNumberFormat="0" applyFill="0" applyAlignment="0" applyProtection="0"/>
    <xf numFmtId="0" fontId="66" fillId="0" borderId="152" applyNumberFormat="0" applyFill="0" applyAlignment="0" applyProtection="0"/>
    <xf numFmtId="0" fontId="73" fillId="92" borderId="148" applyNumberFormat="0" applyAlignment="0" applyProtection="0"/>
    <xf numFmtId="0" fontId="45" fillId="49" borderId="147" applyNumberFormat="0" applyAlignment="0" applyProtection="0"/>
    <xf numFmtId="0" fontId="38" fillId="76" borderId="115" applyNumberFormat="0" applyAlignment="0" applyProtection="0"/>
    <xf numFmtId="0" fontId="38" fillId="75" borderId="115" applyNumberFormat="0" applyAlignment="0" applyProtection="0"/>
    <xf numFmtId="0" fontId="38" fillId="75" borderId="115" applyNumberFormat="0" applyAlignment="0" applyProtection="0"/>
    <xf numFmtId="0" fontId="38" fillId="78" borderId="115" applyNumberFormat="0" applyAlignment="0" applyProtection="0"/>
    <xf numFmtId="0" fontId="38" fillId="78" borderId="115" applyNumberFormat="0" applyAlignment="0" applyProtection="0"/>
    <xf numFmtId="0" fontId="38" fillId="78" borderId="115" applyNumberFormat="0" applyAlignment="0" applyProtection="0"/>
    <xf numFmtId="0" fontId="45" fillId="49" borderId="115" applyNumberFormat="0" applyAlignment="0" applyProtection="0"/>
    <xf numFmtId="0" fontId="45" fillId="49" borderId="115" applyNumberFormat="0" applyAlignment="0" applyProtection="0"/>
    <xf numFmtId="0" fontId="45" fillId="49" borderId="115" applyNumberFormat="0" applyAlignment="0" applyProtection="0"/>
    <xf numFmtId="0" fontId="45" fillId="49" borderId="115" applyNumberFormat="0" applyAlignment="0" applyProtection="0"/>
    <xf numFmtId="0" fontId="54" fillId="0" borderId="92">
      <alignment horizontal="left" vertical="center"/>
    </xf>
    <xf numFmtId="10" fontId="52" fillId="82" borderId="91" applyNumberFormat="0" applyBorder="0" applyAlignment="0" applyProtection="0"/>
    <xf numFmtId="10" fontId="52" fillId="82" borderId="91" applyNumberFormat="0" applyBorder="0" applyAlignment="0" applyProtection="0"/>
    <xf numFmtId="0" fontId="45" fillId="45" borderId="115" applyNumberFormat="0" applyAlignment="0" applyProtection="0"/>
    <xf numFmtId="0" fontId="45" fillId="45" borderId="115" applyNumberFormat="0" applyAlignment="0" applyProtection="0"/>
    <xf numFmtId="0" fontId="45" fillId="45" borderId="115" applyNumberFormat="0" applyAlignment="0" applyProtection="0"/>
    <xf numFmtId="0" fontId="45" fillId="45" borderId="115" applyNumberFormat="0" applyAlignment="0" applyProtection="0"/>
    <xf numFmtId="0" fontId="45" fillId="45" borderId="115" applyNumberFormat="0" applyAlignment="0" applyProtection="0"/>
    <xf numFmtId="0" fontId="45" fillId="44" borderId="115" applyNumberFormat="0" applyAlignment="0" applyProtection="0"/>
    <xf numFmtId="0" fontId="45" fillId="45" borderId="115" applyNumberFormat="0" applyAlignment="0" applyProtection="0"/>
    <xf numFmtId="0" fontId="45" fillId="45" borderId="115" applyNumberFormat="0" applyAlignment="0" applyProtection="0"/>
    <xf numFmtId="0" fontId="45" fillId="44" borderId="115" applyNumberFormat="0" applyAlignment="0" applyProtection="0"/>
    <xf numFmtId="0" fontId="45" fillId="44" borderId="115" applyNumberFormat="0" applyAlignment="0" applyProtection="0"/>
    <xf numFmtId="0" fontId="45" fillId="44" borderId="115" applyNumberFormat="0" applyAlignment="0" applyProtection="0"/>
    <xf numFmtId="0" fontId="45" fillId="44" borderId="115" applyNumberFormat="0" applyAlignment="0" applyProtection="0"/>
    <xf numFmtId="0" fontId="74" fillId="75" borderId="155" applyNumberFormat="0" applyAlignment="0" applyProtection="0"/>
    <xf numFmtId="0" fontId="38" fillId="75" borderId="115" applyNumberFormat="0" applyAlignment="0" applyProtection="0"/>
    <xf numFmtId="0" fontId="38" fillId="75" borderId="115" applyNumberFormat="0" applyAlignment="0" applyProtection="0"/>
    <xf numFmtId="0" fontId="38" fillId="76" borderId="115" applyNumberFormat="0" applyAlignment="0" applyProtection="0"/>
    <xf numFmtId="0" fontId="54" fillId="0" borderId="92">
      <alignment horizontal="left" vertical="center"/>
    </xf>
    <xf numFmtId="0" fontId="38" fillId="75" borderId="115" applyNumberFormat="0" applyAlignment="0" applyProtection="0"/>
    <xf numFmtId="0" fontId="45" fillId="44" borderId="115" applyNumberFormat="0" applyAlignment="0" applyProtection="0"/>
    <xf numFmtId="0" fontId="45" fillId="44" borderId="115" applyNumberFormat="0" applyAlignment="0" applyProtection="0"/>
    <xf numFmtId="0" fontId="72" fillId="44" borderId="115" applyNumberFormat="0" applyAlignment="0" applyProtection="0"/>
    <xf numFmtId="0" fontId="74" fillId="92" borderId="115" applyNumberFormat="0" applyAlignment="0" applyProtection="0"/>
    <xf numFmtId="0" fontId="66" fillId="86" borderId="116" applyNumberFormat="0" applyFont="0" applyAlignment="0" applyProtection="0"/>
    <xf numFmtId="0" fontId="72" fillId="44" borderId="115" applyNumberFormat="0" applyAlignment="0" applyProtection="0"/>
    <xf numFmtId="0" fontId="72" fillId="44" borderId="115" applyNumberFormat="0" applyAlignment="0" applyProtection="0"/>
    <xf numFmtId="0" fontId="72" fillId="44" borderId="115" applyNumberFormat="0" applyAlignment="0" applyProtection="0"/>
    <xf numFmtId="0" fontId="72" fillId="44" borderId="115" applyNumberFormat="0" applyAlignment="0" applyProtection="0"/>
    <xf numFmtId="0" fontId="72" fillId="44" borderId="115" applyNumberFormat="0" applyAlignment="0" applyProtection="0"/>
    <xf numFmtId="0" fontId="72" fillId="44" borderId="115" applyNumberFormat="0" applyAlignment="0" applyProtection="0"/>
    <xf numFmtId="0" fontId="72" fillId="44" borderId="115" applyNumberFormat="0" applyAlignment="0" applyProtection="0"/>
    <xf numFmtId="0" fontId="72" fillId="44" borderId="115" applyNumberFormat="0" applyAlignment="0" applyProtection="0"/>
    <xf numFmtId="0" fontId="66" fillId="44" borderId="115" applyNumberFormat="0" applyAlignment="0" applyProtection="0"/>
    <xf numFmtId="0" fontId="66" fillId="44" borderId="115" applyNumberFormat="0" applyAlignment="0" applyProtection="0"/>
    <xf numFmtId="0" fontId="66" fillId="44" borderId="115" applyNumberFormat="0" applyAlignment="0" applyProtection="0"/>
    <xf numFmtId="0" fontId="66" fillId="44" borderId="115" applyNumberFormat="0" applyAlignment="0" applyProtection="0"/>
    <xf numFmtId="0" fontId="66" fillId="44" borderId="115" applyNumberFormat="0" applyAlignment="0" applyProtection="0"/>
    <xf numFmtId="0" fontId="66" fillId="44" borderId="115" applyNumberFormat="0" applyAlignment="0" applyProtection="0"/>
    <xf numFmtId="0" fontId="66" fillId="44" borderId="115" applyNumberFormat="0" applyAlignment="0" applyProtection="0"/>
    <xf numFmtId="0" fontId="66" fillId="44" borderId="115" applyNumberFormat="0" applyAlignment="0" applyProtection="0"/>
    <xf numFmtId="0" fontId="72" fillId="44" borderId="115" applyNumberFormat="0" applyAlignment="0" applyProtection="0"/>
    <xf numFmtId="0" fontId="72" fillId="44" borderId="115" applyNumberFormat="0" applyAlignment="0" applyProtection="0"/>
    <xf numFmtId="0" fontId="72" fillId="44" borderId="115" applyNumberFormat="0" applyAlignment="0" applyProtection="0"/>
    <xf numFmtId="0" fontId="72" fillId="44" borderId="115" applyNumberFormat="0" applyAlignment="0" applyProtection="0"/>
    <xf numFmtId="0" fontId="72" fillId="44" borderId="115" applyNumberFormat="0" applyAlignment="0" applyProtection="0"/>
    <xf numFmtId="0" fontId="72" fillId="44" borderId="115" applyNumberFormat="0" applyAlignment="0" applyProtection="0"/>
    <xf numFmtId="0" fontId="66" fillId="44" borderId="115" applyNumberFormat="0" applyAlignment="0" applyProtection="0"/>
    <xf numFmtId="0" fontId="66" fillId="44" borderId="115" applyNumberFormat="0" applyAlignment="0" applyProtection="0"/>
    <xf numFmtId="0" fontId="66" fillId="44" borderId="115" applyNumberFormat="0" applyAlignment="0" applyProtection="0"/>
    <xf numFmtId="0" fontId="66" fillId="44" borderId="115" applyNumberFormat="0" applyAlignment="0" applyProtection="0"/>
    <xf numFmtId="0" fontId="66" fillId="44" borderId="115" applyNumberFormat="0" applyAlignment="0" applyProtection="0"/>
    <xf numFmtId="0" fontId="66" fillId="44" borderId="115" applyNumberFormat="0" applyAlignment="0" applyProtection="0"/>
    <xf numFmtId="0" fontId="66" fillId="44" borderId="115" applyNumberFormat="0" applyAlignment="0" applyProtection="0"/>
    <xf numFmtId="0" fontId="66" fillId="44" borderId="115" applyNumberFormat="0" applyAlignment="0" applyProtection="0"/>
    <xf numFmtId="0" fontId="72" fillId="44" borderId="115" applyNumberFormat="0" applyAlignment="0" applyProtection="0"/>
    <xf numFmtId="0" fontId="72" fillId="44" borderId="115" applyNumberFormat="0" applyAlignment="0" applyProtection="0"/>
    <xf numFmtId="0" fontId="72" fillId="44" borderId="115" applyNumberFormat="0" applyAlignment="0" applyProtection="0"/>
    <xf numFmtId="0" fontId="72" fillId="44" borderId="115" applyNumberFormat="0" applyAlignment="0" applyProtection="0"/>
    <xf numFmtId="0" fontId="72" fillId="44" borderId="115" applyNumberFormat="0" applyAlignment="0" applyProtection="0"/>
    <xf numFmtId="0" fontId="72" fillId="44" borderId="115" applyNumberFormat="0" applyAlignment="0" applyProtection="0"/>
    <xf numFmtId="0" fontId="66" fillId="44" borderId="115" applyNumberFormat="0" applyAlignment="0" applyProtection="0"/>
    <xf numFmtId="0" fontId="66" fillId="44" borderId="115" applyNumberFormat="0" applyAlignment="0" applyProtection="0"/>
    <xf numFmtId="0" fontId="66" fillId="44" borderId="115" applyNumberFormat="0" applyAlignment="0" applyProtection="0"/>
    <xf numFmtId="0" fontId="72" fillId="44" borderId="115" applyNumberFormat="0" applyAlignment="0" applyProtection="0"/>
    <xf numFmtId="0" fontId="66" fillId="44" borderId="115" applyNumberFormat="0" applyAlignment="0" applyProtection="0"/>
    <xf numFmtId="0" fontId="72" fillId="44" borderId="115" applyNumberFormat="0" applyAlignment="0" applyProtection="0"/>
    <xf numFmtId="0" fontId="72" fillId="44" borderId="115" applyNumberFormat="0" applyAlignment="0" applyProtection="0"/>
    <xf numFmtId="0" fontId="72" fillId="44" borderId="115" applyNumberFormat="0" applyAlignment="0" applyProtection="0"/>
    <xf numFmtId="0" fontId="72" fillId="44" borderId="115" applyNumberFormat="0" applyAlignment="0" applyProtection="0"/>
    <xf numFmtId="0" fontId="72" fillId="44" borderId="115" applyNumberFormat="0" applyAlignment="0" applyProtection="0"/>
    <xf numFmtId="0" fontId="72" fillId="44" borderId="115" applyNumberFormat="0" applyAlignment="0" applyProtection="0"/>
    <xf numFmtId="0" fontId="72" fillId="44" borderId="115" applyNumberFormat="0" applyAlignment="0" applyProtection="0"/>
    <xf numFmtId="0" fontId="72" fillId="44" borderId="115" applyNumberFormat="0" applyAlignment="0" applyProtection="0"/>
    <xf numFmtId="0" fontId="72" fillId="44" borderId="115" applyNumberFormat="0" applyAlignment="0" applyProtection="0"/>
    <xf numFmtId="0" fontId="72" fillId="44" borderId="115" applyNumberFormat="0" applyAlignment="0" applyProtection="0"/>
    <xf numFmtId="0" fontId="72" fillId="44" borderId="115" applyNumberFormat="0" applyAlignment="0" applyProtection="0"/>
    <xf numFmtId="0" fontId="72" fillId="44" borderId="115" applyNumberFormat="0" applyAlignment="0" applyProtection="0"/>
    <xf numFmtId="0" fontId="72" fillId="44" borderId="115" applyNumberFormat="0" applyAlignment="0" applyProtection="0"/>
    <xf numFmtId="0" fontId="72" fillId="44" borderId="115" applyNumberFormat="0" applyAlignment="0" applyProtection="0"/>
    <xf numFmtId="0" fontId="66" fillId="44" borderId="115" applyNumberFormat="0" applyAlignment="0" applyProtection="0"/>
    <xf numFmtId="0" fontId="66" fillId="44" borderId="115" applyNumberFormat="0" applyAlignment="0" applyProtection="0"/>
    <xf numFmtId="0" fontId="66" fillId="44" borderId="115" applyNumberFormat="0" applyAlignment="0" applyProtection="0"/>
    <xf numFmtId="0" fontId="72" fillId="44" borderId="115" applyNumberFormat="0" applyAlignment="0" applyProtection="0"/>
    <xf numFmtId="0" fontId="66" fillId="44" borderId="115" applyNumberFormat="0" applyAlignment="0" applyProtection="0"/>
    <xf numFmtId="0" fontId="72" fillId="44" borderId="115" applyNumberFormat="0" applyAlignment="0" applyProtection="0"/>
    <xf numFmtId="0" fontId="72" fillId="44" borderId="115" applyNumberFormat="0" applyAlignment="0" applyProtection="0"/>
    <xf numFmtId="0" fontId="72" fillId="44" borderId="115" applyNumberFormat="0" applyAlignment="0" applyProtection="0"/>
    <xf numFmtId="0" fontId="72" fillId="44" borderId="115" applyNumberFormat="0" applyAlignment="0" applyProtection="0"/>
    <xf numFmtId="0" fontId="72" fillId="44" borderId="115" applyNumberFormat="0" applyAlignment="0" applyProtection="0"/>
    <xf numFmtId="0" fontId="72" fillId="44" borderId="115" applyNumberFormat="0" applyAlignment="0" applyProtection="0"/>
    <xf numFmtId="0" fontId="72" fillId="44" borderId="115" applyNumberFormat="0" applyAlignment="0" applyProtection="0"/>
    <xf numFmtId="0" fontId="72" fillId="44" borderId="115" applyNumberFormat="0" applyAlignment="0" applyProtection="0"/>
    <xf numFmtId="0" fontId="72" fillId="44" borderId="115" applyNumberFormat="0" applyAlignment="0" applyProtection="0"/>
    <xf numFmtId="0" fontId="72" fillId="44" borderId="115" applyNumberFormat="0" applyAlignment="0" applyProtection="0"/>
    <xf numFmtId="0" fontId="72" fillId="44" borderId="115" applyNumberFormat="0" applyAlignment="0" applyProtection="0"/>
    <xf numFmtId="0" fontId="74" fillId="75" borderId="115" applyNumberFormat="0" applyAlignment="0" applyProtection="0"/>
    <xf numFmtId="0" fontId="74" fillId="75" borderId="115" applyNumberFormat="0" applyAlignment="0" applyProtection="0"/>
    <xf numFmtId="0" fontId="74" fillId="75" borderId="115" applyNumberFormat="0" applyAlignment="0" applyProtection="0"/>
    <xf numFmtId="0" fontId="74" fillId="75" borderId="115" applyNumberFormat="0" applyAlignment="0" applyProtection="0"/>
    <xf numFmtId="0" fontId="74" fillId="75" borderId="115" applyNumberFormat="0" applyAlignment="0" applyProtection="0"/>
    <xf numFmtId="0" fontId="74" fillId="75" borderId="115" applyNumberFormat="0" applyAlignment="0" applyProtection="0"/>
    <xf numFmtId="0" fontId="74" fillId="75" borderId="115" applyNumberFormat="0" applyAlignment="0" applyProtection="0"/>
    <xf numFmtId="0" fontId="74" fillId="75" borderId="115" applyNumberFormat="0" applyAlignment="0" applyProtection="0"/>
    <xf numFmtId="0" fontId="66" fillId="75" borderId="115" applyNumberFormat="0" applyAlignment="0" applyProtection="0"/>
    <xf numFmtId="0" fontId="66" fillId="75" borderId="115" applyNumberFormat="0" applyAlignment="0" applyProtection="0"/>
    <xf numFmtId="0" fontId="66" fillId="75" borderId="115" applyNumberFormat="0" applyAlignment="0" applyProtection="0"/>
    <xf numFmtId="0" fontId="66" fillId="75" borderId="115" applyNumberFormat="0" applyAlignment="0" applyProtection="0"/>
    <xf numFmtId="0" fontId="66" fillId="75" borderId="115" applyNumberFormat="0" applyAlignment="0" applyProtection="0"/>
    <xf numFmtId="0" fontId="66" fillId="75" borderId="115" applyNumberFormat="0" applyAlignment="0" applyProtection="0"/>
    <xf numFmtId="0" fontId="66" fillId="75" borderId="115" applyNumberFormat="0" applyAlignment="0" applyProtection="0"/>
    <xf numFmtId="0" fontId="66" fillId="75" borderId="115" applyNumberFormat="0" applyAlignment="0" applyProtection="0"/>
    <xf numFmtId="0" fontId="74" fillId="75" borderId="115" applyNumberFormat="0" applyAlignment="0" applyProtection="0"/>
    <xf numFmtId="0" fontId="74" fillId="75" borderId="115" applyNumberFormat="0" applyAlignment="0" applyProtection="0"/>
    <xf numFmtId="0" fontId="74" fillId="75" borderId="115" applyNumberFormat="0" applyAlignment="0" applyProtection="0"/>
    <xf numFmtId="0" fontId="74" fillId="75" borderId="115" applyNumberFormat="0" applyAlignment="0" applyProtection="0"/>
    <xf numFmtId="0" fontId="74" fillId="92" borderId="115" applyNumberFormat="0" applyAlignment="0" applyProtection="0"/>
    <xf numFmtId="0" fontId="74" fillId="92" borderId="115" applyNumberFormat="0" applyAlignment="0" applyProtection="0"/>
    <xf numFmtId="0" fontId="66" fillId="92" borderId="115" applyNumberFormat="0" applyAlignment="0" applyProtection="0"/>
    <xf numFmtId="0" fontId="66" fillId="92" borderId="115" applyNumberFormat="0" applyAlignment="0" applyProtection="0"/>
    <xf numFmtId="0" fontId="66" fillId="92" borderId="115" applyNumberFormat="0" applyAlignment="0" applyProtection="0"/>
    <xf numFmtId="0" fontId="66" fillId="92" borderId="115" applyNumberFormat="0" applyAlignment="0" applyProtection="0"/>
    <xf numFmtId="0" fontId="66" fillId="92" borderId="115" applyNumberFormat="0" applyAlignment="0" applyProtection="0"/>
    <xf numFmtId="0" fontId="66" fillId="92" borderId="115" applyNumberFormat="0" applyAlignment="0" applyProtection="0"/>
    <xf numFmtId="0" fontId="66" fillId="92" borderId="115" applyNumberFormat="0" applyAlignment="0" applyProtection="0"/>
    <xf numFmtId="0" fontId="66" fillId="92" borderId="115" applyNumberFormat="0" applyAlignment="0" applyProtection="0"/>
    <xf numFmtId="0" fontId="74" fillId="92" borderId="115" applyNumberFormat="0" applyAlignment="0" applyProtection="0"/>
    <xf numFmtId="0" fontId="74" fillId="92" borderId="115" applyNumberFormat="0" applyAlignment="0" applyProtection="0"/>
    <xf numFmtId="0" fontId="74" fillId="92" borderId="115" applyNumberFormat="0" applyAlignment="0" applyProtection="0"/>
    <xf numFmtId="0" fontId="74" fillId="92" borderId="115" applyNumberFormat="0" applyAlignment="0" applyProtection="0"/>
    <xf numFmtId="0" fontId="74" fillId="92" borderId="115" applyNumberFormat="0" applyAlignment="0" applyProtection="0"/>
    <xf numFmtId="0" fontId="74" fillId="92" borderId="115" applyNumberFormat="0" applyAlignment="0" applyProtection="0"/>
    <xf numFmtId="0" fontId="66" fillId="92" borderId="115" applyNumberFormat="0" applyAlignment="0" applyProtection="0"/>
    <xf numFmtId="0" fontId="66" fillId="92" borderId="115" applyNumberFormat="0" applyAlignment="0" applyProtection="0"/>
    <xf numFmtId="0" fontId="74" fillId="75" borderId="115" applyNumberFormat="0" applyAlignment="0" applyProtection="0"/>
    <xf numFmtId="0" fontId="66" fillId="92" borderId="115" applyNumberFormat="0" applyAlignment="0" applyProtection="0"/>
    <xf numFmtId="0" fontId="74" fillId="92" borderId="115" applyNumberFormat="0" applyAlignment="0" applyProtection="0"/>
    <xf numFmtId="0" fontId="66" fillId="92" borderId="115" applyNumberFormat="0" applyAlignment="0" applyProtection="0"/>
    <xf numFmtId="0" fontId="74" fillId="92" borderId="115" applyNumberFormat="0" applyAlignment="0" applyProtection="0"/>
    <xf numFmtId="0" fontId="74" fillId="92" borderId="115" applyNumberFormat="0" applyAlignment="0" applyProtection="0"/>
    <xf numFmtId="0" fontId="74" fillId="92" borderId="115" applyNumberFormat="0" applyAlignment="0" applyProtection="0"/>
    <xf numFmtId="0" fontId="74" fillId="92" borderId="115" applyNumberFormat="0" applyAlignment="0" applyProtection="0"/>
    <xf numFmtId="0" fontId="74" fillId="92" borderId="115" applyNumberFormat="0" applyAlignment="0" applyProtection="0"/>
    <xf numFmtId="0" fontId="74" fillId="92" borderId="115" applyNumberFormat="0" applyAlignment="0" applyProtection="0"/>
    <xf numFmtId="0" fontId="74" fillId="92" borderId="115" applyNumberFormat="0" applyAlignment="0" applyProtection="0"/>
    <xf numFmtId="0" fontId="74" fillId="92" borderId="115" applyNumberFormat="0" applyAlignment="0" applyProtection="0"/>
    <xf numFmtId="0" fontId="74" fillId="92" borderId="115" applyNumberFormat="0" applyAlignment="0" applyProtection="0"/>
    <xf numFmtId="0" fontId="74" fillId="92" borderId="115" applyNumberFormat="0" applyAlignment="0" applyProtection="0"/>
    <xf numFmtId="0" fontId="74" fillId="92" borderId="115" applyNumberFormat="0" applyAlignment="0" applyProtection="0"/>
    <xf numFmtId="0" fontId="74" fillId="92" borderId="115" applyNumberFormat="0" applyAlignment="0" applyProtection="0"/>
    <xf numFmtId="0" fontId="74" fillId="75" borderId="115" applyNumberFormat="0" applyAlignment="0" applyProtection="0"/>
    <xf numFmtId="0" fontId="74" fillId="75" borderId="115" applyNumberFormat="0" applyAlignment="0" applyProtection="0"/>
    <xf numFmtId="0" fontId="66" fillId="75" borderId="115" applyNumberFormat="0" applyAlignment="0" applyProtection="0"/>
    <xf numFmtId="0" fontId="66" fillId="75" borderId="115" applyNumberFormat="0" applyAlignment="0" applyProtection="0"/>
    <xf numFmtId="0" fontId="66" fillId="75" borderId="115" applyNumberFormat="0" applyAlignment="0" applyProtection="0"/>
    <xf numFmtId="0" fontId="74" fillId="75" borderId="115" applyNumberFormat="0" applyAlignment="0" applyProtection="0"/>
    <xf numFmtId="0" fontId="66" fillId="75" borderId="115" applyNumberFormat="0" applyAlignment="0" applyProtection="0"/>
    <xf numFmtId="0" fontId="74" fillId="75" borderId="115" applyNumberFormat="0" applyAlignment="0" applyProtection="0"/>
    <xf numFmtId="0" fontId="74" fillId="75" borderId="115" applyNumberFormat="0" applyAlignment="0" applyProtection="0"/>
    <xf numFmtId="0" fontId="74" fillId="75" borderId="115" applyNumberFormat="0" applyAlignment="0" applyProtection="0"/>
    <xf numFmtId="0" fontId="74" fillId="75" borderId="115" applyNumberFormat="0" applyAlignment="0" applyProtection="0"/>
    <xf numFmtId="0" fontId="74" fillId="75" borderId="115" applyNumberFormat="0" applyAlignment="0" applyProtection="0"/>
    <xf numFmtId="0" fontId="74" fillId="75" borderId="115" applyNumberFormat="0" applyAlignment="0" applyProtection="0"/>
    <xf numFmtId="0" fontId="74" fillId="75" borderId="115" applyNumberFormat="0" applyAlignment="0" applyProtection="0"/>
    <xf numFmtId="0" fontId="74" fillId="75" borderId="115" applyNumberFormat="0" applyAlignment="0" applyProtection="0"/>
    <xf numFmtId="0" fontId="74" fillId="75" borderId="115" applyNumberFormat="0" applyAlignment="0" applyProtection="0"/>
    <xf numFmtId="0" fontId="74" fillId="75" borderId="115" applyNumberFormat="0" applyAlignment="0" applyProtection="0"/>
    <xf numFmtId="0" fontId="74" fillId="75" borderId="115" applyNumberFormat="0" applyAlignment="0" applyProtection="0"/>
    <xf numFmtId="0" fontId="66" fillId="86" borderId="116" applyNumberFormat="0" applyFont="0" applyAlignment="0" applyProtection="0"/>
    <xf numFmtId="0" fontId="66" fillId="86" borderId="116" applyNumberFormat="0" applyFont="0" applyAlignment="0" applyProtection="0"/>
    <xf numFmtId="0" fontId="66" fillId="86" borderId="116" applyNumberFormat="0" applyFont="0" applyAlignment="0" applyProtection="0"/>
    <xf numFmtId="0" fontId="66" fillId="86" borderId="116" applyNumberFormat="0" applyFont="0" applyAlignment="0" applyProtection="0"/>
    <xf numFmtId="0" fontId="66" fillId="86" borderId="116" applyNumberFormat="0" applyFont="0" applyAlignment="0" applyProtection="0"/>
    <xf numFmtId="0" fontId="66" fillId="86" borderId="116" applyNumberFormat="0" applyFont="0" applyAlignment="0" applyProtection="0"/>
    <xf numFmtId="0" fontId="66" fillId="86" borderId="116" applyNumberFormat="0" applyFont="0" applyAlignment="0" applyProtection="0"/>
    <xf numFmtId="0" fontId="66" fillId="86" borderId="116" applyNumberFormat="0" applyFont="0" applyAlignment="0" applyProtection="0"/>
    <xf numFmtId="0" fontId="66" fillId="86" borderId="116" applyNumberFormat="0" applyFont="0" applyAlignment="0" applyProtection="0"/>
    <xf numFmtId="0" fontId="66" fillId="86" borderId="116" applyNumberFormat="0" applyFont="0" applyAlignment="0" applyProtection="0"/>
    <xf numFmtId="0" fontId="66" fillId="86" borderId="116" applyNumberFormat="0" applyFont="0" applyAlignment="0" applyProtection="0"/>
    <xf numFmtId="0" fontId="66" fillId="86" borderId="116" applyNumberFormat="0" applyFont="0" applyAlignment="0" applyProtection="0"/>
    <xf numFmtId="0" fontId="66" fillId="86" borderId="116" applyNumberFormat="0" applyFont="0" applyAlignment="0" applyProtection="0"/>
    <xf numFmtId="0" fontId="66" fillId="86" borderId="116" applyNumberFormat="0" applyFont="0" applyAlignment="0" applyProtection="0"/>
    <xf numFmtId="0" fontId="66" fillId="86" borderId="116" applyNumberFormat="0" applyFont="0" applyAlignment="0" applyProtection="0"/>
    <xf numFmtId="0" fontId="66" fillId="86" borderId="116" applyNumberFormat="0" applyFont="0" applyAlignment="0" applyProtection="0"/>
    <xf numFmtId="0" fontId="66" fillId="86" borderId="116" applyNumberFormat="0" applyFont="0" applyAlignment="0" applyProtection="0"/>
    <xf numFmtId="0" fontId="66" fillId="86" borderId="116" applyNumberFormat="0" applyFont="0" applyAlignment="0" applyProtection="0"/>
    <xf numFmtId="0" fontId="66" fillId="86" borderId="116" applyNumberFormat="0" applyFont="0" applyAlignment="0" applyProtection="0"/>
    <xf numFmtId="0" fontId="66" fillId="86" borderId="116" applyNumberFormat="0" applyFont="0" applyAlignment="0" applyProtection="0"/>
    <xf numFmtId="0" fontId="66" fillId="86" borderId="116" applyNumberFormat="0" applyFont="0" applyAlignment="0" applyProtection="0"/>
    <xf numFmtId="0" fontId="66" fillId="86" borderId="116" applyNumberFormat="0" applyFont="0" applyAlignment="0" applyProtection="0"/>
    <xf numFmtId="0" fontId="66" fillId="86" borderId="116" applyNumberFormat="0" applyFont="0" applyAlignment="0" applyProtection="0"/>
    <xf numFmtId="0" fontId="66" fillId="86" borderId="116" applyNumberFormat="0" applyFont="0" applyAlignment="0" applyProtection="0"/>
    <xf numFmtId="0" fontId="66" fillId="86" borderId="116" applyNumberFormat="0" applyFont="0" applyAlignment="0" applyProtection="0"/>
    <xf numFmtId="0" fontId="66" fillId="86" borderId="116" applyNumberFormat="0" applyFont="0" applyAlignment="0" applyProtection="0"/>
    <xf numFmtId="0" fontId="66" fillId="86" borderId="116" applyNumberFormat="0" applyFont="0" applyAlignment="0" applyProtection="0"/>
    <xf numFmtId="0" fontId="66" fillId="86" borderId="116" applyNumberFormat="0" applyFont="0" applyAlignment="0" applyProtection="0"/>
    <xf numFmtId="0" fontId="66" fillId="86" borderId="116" applyNumberFormat="0" applyFont="0" applyAlignment="0" applyProtection="0"/>
    <xf numFmtId="0" fontId="66" fillId="86" borderId="116" applyNumberFormat="0" applyFont="0" applyAlignment="0" applyProtection="0"/>
    <xf numFmtId="0" fontId="66" fillId="86" borderId="116" applyNumberFormat="0" applyFont="0" applyAlignment="0" applyProtection="0"/>
    <xf numFmtId="0" fontId="66" fillId="86" borderId="116" applyNumberFormat="0" applyFont="0" applyAlignment="0" applyProtection="0"/>
    <xf numFmtId="0" fontId="66" fillId="86" borderId="116" applyNumberFormat="0" applyFont="0" applyAlignment="0" applyProtection="0"/>
    <xf numFmtId="0" fontId="66" fillId="86" borderId="116" applyNumberFormat="0" applyFont="0" applyAlignment="0" applyProtection="0"/>
    <xf numFmtId="0" fontId="66" fillId="86" borderId="116" applyNumberFormat="0" applyFont="0" applyAlignment="0" applyProtection="0"/>
    <xf numFmtId="0" fontId="66" fillId="86" borderId="116" applyNumberFormat="0" applyFont="0" applyAlignment="0" applyProtection="0"/>
    <xf numFmtId="0" fontId="66" fillId="86" borderId="116" applyNumberFormat="0" applyFont="0" applyAlignment="0" applyProtection="0"/>
    <xf numFmtId="0" fontId="66" fillId="86" borderId="116" applyNumberFormat="0" applyFont="0" applyAlignment="0" applyProtection="0"/>
    <xf numFmtId="0" fontId="66" fillId="86" borderId="116" applyNumberFormat="0" applyFont="0" applyAlignment="0" applyProtection="0"/>
    <xf numFmtId="0" fontId="66" fillId="86" borderId="116" applyNumberFormat="0" applyFont="0" applyAlignment="0" applyProtection="0"/>
    <xf numFmtId="0" fontId="66" fillId="86" borderId="116" applyNumberFormat="0" applyFont="0" applyAlignment="0" applyProtection="0"/>
    <xf numFmtId="0" fontId="66" fillId="86" borderId="116" applyNumberFormat="0" applyFont="0" applyAlignment="0" applyProtection="0"/>
    <xf numFmtId="0" fontId="66" fillId="86" borderId="116" applyNumberFormat="0" applyFont="0" applyAlignment="0" applyProtection="0"/>
    <xf numFmtId="0" fontId="66" fillId="86" borderId="116" applyNumberFormat="0" applyFont="0" applyAlignment="0" applyProtection="0"/>
    <xf numFmtId="0" fontId="66" fillId="86" borderId="116" applyNumberFormat="0" applyFont="0" applyAlignment="0" applyProtection="0"/>
    <xf numFmtId="0" fontId="66" fillId="86" borderId="116" applyNumberFormat="0" applyFont="0" applyAlignment="0" applyProtection="0"/>
    <xf numFmtId="0" fontId="66" fillId="86" borderId="116" applyNumberFormat="0" applyFont="0" applyAlignment="0" applyProtection="0"/>
    <xf numFmtId="0" fontId="66" fillId="86" borderId="116" applyNumberFormat="0" applyFont="0" applyAlignment="0" applyProtection="0"/>
    <xf numFmtId="0" fontId="66" fillId="86" borderId="116" applyNumberFormat="0" applyFont="0" applyAlignment="0" applyProtection="0"/>
    <xf numFmtId="0" fontId="66" fillId="86" borderId="116" applyNumberFormat="0" applyFont="0" applyAlignment="0" applyProtection="0"/>
    <xf numFmtId="0" fontId="66" fillId="86" borderId="116" applyNumberFormat="0" applyFont="0" applyAlignment="0" applyProtection="0"/>
    <xf numFmtId="0" fontId="66" fillId="86" borderId="116" applyNumberFormat="0" applyFont="0" applyAlignment="0" applyProtection="0"/>
    <xf numFmtId="0" fontId="66" fillId="86" borderId="116" applyNumberFormat="0" applyFont="0" applyAlignment="0" applyProtection="0"/>
    <xf numFmtId="0" fontId="66" fillId="86" borderId="116" applyNumberFormat="0" applyFont="0" applyAlignment="0" applyProtection="0"/>
    <xf numFmtId="0" fontId="66" fillId="86" borderId="116" applyNumberFormat="0" applyFont="0" applyAlignment="0" applyProtection="0"/>
    <xf numFmtId="0" fontId="66" fillId="86" borderId="116" applyNumberFormat="0" applyFont="0" applyAlignment="0" applyProtection="0"/>
    <xf numFmtId="0" fontId="66" fillId="86" borderId="116" applyNumberFormat="0" applyFont="0" applyAlignment="0" applyProtection="0"/>
    <xf numFmtId="0" fontId="66" fillId="86" borderId="116" applyNumberFormat="0" applyFont="0" applyAlignment="0" applyProtection="0"/>
    <xf numFmtId="0" fontId="66" fillId="86" borderId="116" applyNumberFormat="0" applyFont="0" applyAlignment="0" applyProtection="0"/>
    <xf numFmtId="0" fontId="66" fillId="86" borderId="116" applyNumberFormat="0" applyFont="0" applyAlignment="0" applyProtection="0"/>
    <xf numFmtId="0" fontId="66" fillId="86" borderId="116" applyNumberFormat="0" applyFont="0" applyAlignment="0" applyProtection="0"/>
    <xf numFmtId="0" fontId="66" fillId="86" borderId="116" applyNumberFormat="0" applyFont="0" applyAlignment="0" applyProtection="0"/>
    <xf numFmtId="0" fontId="66" fillId="86" borderId="116" applyNumberFormat="0" applyFont="0" applyAlignment="0" applyProtection="0"/>
    <xf numFmtId="0" fontId="66" fillId="86" borderId="116" applyNumberFormat="0" applyFont="0" applyAlignment="0" applyProtection="0"/>
    <xf numFmtId="0" fontId="66" fillId="86" borderId="116" applyNumberFormat="0" applyFont="0" applyAlignment="0" applyProtection="0"/>
    <xf numFmtId="0" fontId="66" fillId="86" borderId="116" applyNumberFormat="0" applyFont="0" applyAlignment="0" applyProtection="0"/>
    <xf numFmtId="0" fontId="66" fillId="86" borderId="116" applyNumberFormat="0" applyFont="0" applyAlignment="0" applyProtection="0"/>
    <xf numFmtId="0" fontId="66" fillId="86" borderId="116" applyNumberFormat="0" applyFont="0" applyAlignment="0" applyProtection="0"/>
    <xf numFmtId="0" fontId="66" fillId="86" borderId="116" applyNumberFormat="0" applyFont="0" applyAlignment="0" applyProtection="0"/>
    <xf numFmtId="0" fontId="66" fillId="86" borderId="116" applyNumberFormat="0" applyFont="0" applyAlignment="0" applyProtection="0"/>
    <xf numFmtId="0" fontId="66" fillId="86" borderId="116" applyNumberFormat="0" applyFont="0" applyAlignment="0" applyProtection="0"/>
    <xf numFmtId="0" fontId="66" fillId="86" borderId="116" applyNumberFormat="0" applyFont="0" applyAlignment="0" applyProtection="0"/>
    <xf numFmtId="0" fontId="66" fillId="86" borderId="116" applyNumberFormat="0" applyFont="0" applyAlignment="0" applyProtection="0"/>
    <xf numFmtId="0" fontId="45" fillId="44" borderId="147" applyNumberFormat="0" applyAlignment="0" applyProtection="0"/>
    <xf numFmtId="0" fontId="45" fillId="44" borderId="147" applyNumberFormat="0" applyAlignment="0" applyProtection="0"/>
    <xf numFmtId="0" fontId="73" fillId="92" borderId="117" applyNumberFormat="0" applyAlignment="0" applyProtection="0"/>
    <xf numFmtId="0" fontId="78" fillId="0" borderId="118" applyNumberFormat="0" applyFill="0" applyAlignment="0" applyProtection="0"/>
    <xf numFmtId="0" fontId="73" fillId="75" borderId="117" applyNumberFormat="0" applyAlignment="0" applyProtection="0"/>
    <xf numFmtId="0" fontId="73" fillId="75" borderId="117" applyNumberFormat="0" applyAlignment="0" applyProtection="0"/>
    <xf numFmtId="0" fontId="73" fillId="75" borderId="117" applyNumberFormat="0" applyAlignment="0" applyProtection="0"/>
    <xf numFmtId="0" fontId="73" fillId="75" borderId="117" applyNumberFormat="0" applyAlignment="0" applyProtection="0"/>
    <xf numFmtId="0" fontId="73" fillId="75" borderId="117" applyNumberFormat="0" applyAlignment="0" applyProtection="0"/>
    <xf numFmtId="0" fontId="73" fillId="75" borderId="117" applyNumberFormat="0" applyAlignment="0" applyProtection="0"/>
    <xf numFmtId="0" fontId="73" fillId="75" borderId="117" applyNumberFormat="0" applyAlignment="0" applyProtection="0"/>
    <xf numFmtId="0" fontId="73" fillId="75" borderId="117" applyNumberFormat="0" applyAlignment="0" applyProtection="0"/>
    <xf numFmtId="0" fontId="66" fillId="75" borderId="117" applyNumberFormat="0" applyAlignment="0" applyProtection="0"/>
    <xf numFmtId="0" fontId="66" fillId="75" borderId="117" applyNumberFormat="0" applyAlignment="0" applyProtection="0"/>
    <xf numFmtId="0" fontId="66" fillId="75" borderId="117" applyNumberFormat="0" applyAlignment="0" applyProtection="0"/>
    <xf numFmtId="0" fontId="66" fillId="75" borderId="117" applyNumberFormat="0" applyAlignment="0" applyProtection="0"/>
    <xf numFmtId="0" fontId="66" fillId="75" borderId="117" applyNumberFormat="0" applyAlignment="0" applyProtection="0"/>
    <xf numFmtId="0" fontId="66" fillId="75" borderId="117" applyNumberFormat="0" applyAlignment="0" applyProtection="0"/>
    <xf numFmtId="0" fontId="66" fillId="75" borderId="117" applyNumberFormat="0" applyAlignment="0" applyProtection="0"/>
    <xf numFmtId="0" fontId="66" fillId="75" borderId="117" applyNumberFormat="0" applyAlignment="0" applyProtection="0"/>
    <xf numFmtId="0" fontId="73" fillId="75" borderId="117" applyNumberFormat="0" applyAlignment="0" applyProtection="0"/>
    <xf numFmtId="0" fontId="73" fillId="75" borderId="117" applyNumberFormat="0" applyAlignment="0" applyProtection="0"/>
    <xf numFmtId="0" fontId="73" fillId="75" borderId="117" applyNumberFormat="0" applyAlignment="0" applyProtection="0"/>
    <xf numFmtId="0" fontId="73" fillId="75" borderId="117" applyNumberFormat="0" applyAlignment="0" applyProtection="0"/>
    <xf numFmtId="0" fontId="73" fillId="92" borderId="117" applyNumberFormat="0" applyAlignment="0" applyProtection="0"/>
    <xf numFmtId="0" fontId="73" fillId="92" borderId="117" applyNumberFormat="0" applyAlignment="0" applyProtection="0"/>
    <xf numFmtId="0" fontId="66" fillId="92" borderId="117" applyNumberFormat="0" applyAlignment="0" applyProtection="0"/>
    <xf numFmtId="0" fontId="66" fillId="92" borderId="117" applyNumberFormat="0" applyAlignment="0" applyProtection="0"/>
    <xf numFmtId="0" fontId="66" fillId="92" borderId="117" applyNumberFormat="0" applyAlignment="0" applyProtection="0"/>
    <xf numFmtId="0" fontId="66" fillId="92" borderId="117" applyNumberFormat="0" applyAlignment="0" applyProtection="0"/>
    <xf numFmtId="0" fontId="66" fillId="92" borderId="117" applyNumberFormat="0" applyAlignment="0" applyProtection="0"/>
    <xf numFmtId="0" fontId="66" fillId="92" borderId="117" applyNumberFormat="0" applyAlignment="0" applyProtection="0"/>
    <xf numFmtId="0" fontId="66" fillId="92" borderId="117" applyNumberFormat="0" applyAlignment="0" applyProtection="0"/>
    <xf numFmtId="0" fontId="66" fillId="92" borderId="117" applyNumberFormat="0" applyAlignment="0" applyProtection="0"/>
    <xf numFmtId="0" fontId="73" fillId="92" borderId="117" applyNumberFormat="0" applyAlignment="0" applyProtection="0"/>
    <xf numFmtId="0" fontId="73" fillId="92" borderId="117" applyNumberFormat="0" applyAlignment="0" applyProtection="0"/>
    <xf numFmtId="0" fontId="73" fillId="92" borderId="117" applyNumberFormat="0" applyAlignment="0" applyProtection="0"/>
    <xf numFmtId="0" fontId="73" fillId="92" borderId="117" applyNumberFormat="0" applyAlignment="0" applyProtection="0"/>
    <xf numFmtId="0" fontId="73" fillId="92" borderId="117" applyNumberFormat="0" applyAlignment="0" applyProtection="0"/>
    <xf numFmtId="0" fontId="73" fillId="92" borderId="117" applyNumberFormat="0" applyAlignment="0" applyProtection="0"/>
    <xf numFmtId="0" fontId="66" fillId="92" borderId="117" applyNumberFormat="0" applyAlignment="0" applyProtection="0"/>
    <xf numFmtId="0" fontId="66" fillId="92" borderId="117" applyNumberFormat="0" applyAlignment="0" applyProtection="0"/>
    <xf numFmtId="0" fontId="73" fillId="75" borderId="117" applyNumberFormat="0" applyAlignment="0" applyProtection="0"/>
    <xf numFmtId="0" fontId="66" fillId="92" borderId="117" applyNumberFormat="0" applyAlignment="0" applyProtection="0"/>
    <xf numFmtId="0" fontId="73" fillId="92" borderId="117" applyNumberFormat="0" applyAlignment="0" applyProtection="0"/>
    <xf numFmtId="0" fontId="66" fillId="92" borderId="117" applyNumberFormat="0" applyAlignment="0" applyProtection="0"/>
    <xf numFmtId="0" fontId="73" fillId="92" borderId="117" applyNumberFormat="0" applyAlignment="0" applyProtection="0"/>
    <xf numFmtId="0" fontId="73" fillId="92" borderId="117" applyNumberFormat="0" applyAlignment="0" applyProtection="0"/>
    <xf numFmtId="0" fontId="73" fillId="92" borderId="117" applyNumberFormat="0" applyAlignment="0" applyProtection="0"/>
    <xf numFmtId="0" fontId="73" fillId="92" borderId="117" applyNumberFormat="0" applyAlignment="0" applyProtection="0"/>
    <xf numFmtId="0" fontId="73" fillId="92" borderId="117" applyNumberFormat="0" applyAlignment="0" applyProtection="0"/>
    <xf numFmtId="0" fontId="73" fillId="92" borderId="117" applyNumberFormat="0" applyAlignment="0" applyProtection="0"/>
    <xf numFmtId="0" fontId="73" fillId="92" borderId="117" applyNumberFormat="0" applyAlignment="0" applyProtection="0"/>
    <xf numFmtId="0" fontId="73" fillId="92" borderId="117" applyNumberFormat="0" applyAlignment="0" applyProtection="0"/>
    <xf numFmtId="0" fontId="73" fillId="92" borderId="117" applyNumberFormat="0" applyAlignment="0" applyProtection="0"/>
    <xf numFmtId="0" fontId="73" fillId="92" borderId="117" applyNumberFormat="0" applyAlignment="0" applyProtection="0"/>
    <xf numFmtId="0" fontId="73" fillId="92" borderId="117" applyNumberFormat="0" applyAlignment="0" applyProtection="0"/>
    <xf numFmtId="0" fontId="73" fillId="92" borderId="117" applyNumberFormat="0" applyAlignment="0" applyProtection="0"/>
    <xf numFmtId="0" fontId="73" fillId="75" borderId="117" applyNumberFormat="0" applyAlignment="0" applyProtection="0"/>
    <xf numFmtId="0" fontId="73" fillId="75" borderId="117" applyNumberFormat="0" applyAlignment="0" applyProtection="0"/>
    <xf numFmtId="0" fontId="66" fillId="75" borderId="117" applyNumberFormat="0" applyAlignment="0" applyProtection="0"/>
    <xf numFmtId="0" fontId="66" fillId="75" borderId="117" applyNumberFormat="0" applyAlignment="0" applyProtection="0"/>
    <xf numFmtId="0" fontId="66" fillId="75" borderId="117" applyNumberFormat="0" applyAlignment="0" applyProtection="0"/>
    <xf numFmtId="0" fontId="73" fillId="75" borderId="117" applyNumberFormat="0" applyAlignment="0" applyProtection="0"/>
    <xf numFmtId="0" fontId="66" fillId="75" borderId="117" applyNumberFormat="0" applyAlignment="0" applyProtection="0"/>
    <xf numFmtId="0" fontId="73" fillId="75" borderId="117" applyNumberFormat="0" applyAlignment="0" applyProtection="0"/>
    <xf numFmtId="0" fontId="73" fillId="75" borderId="117" applyNumberFormat="0" applyAlignment="0" applyProtection="0"/>
    <xf numFmtId="0" fontId="73" fillId="75" borderId="117" applyNumberFormat="0" applyAlignment="0" applyProtection="0"/>
    <xf numFmtId="0" fontId="73" fillId="75" borderId="117" applyNumberFormat="0" applyAlignment="0" applyProtection="0"/>
    <xf numFmtId="0" fontId="73" fillId="75" borderId="117" applyNumberFormat="0" applyAlignment="0" applyProtection="0"/>
    <xf numFmtId="0" fontId="73" fillId="75" borderId="117" applyNumberFormat="0" applyAlignment="0" applyProtection="0"/>
    <xf numFmtId="0" fontId="73" fillId="75" borderId="117" applyNumberFormat="0" applyAlignment="0" applyProtection="0"/>
    <xf numFmtId="0" fontId="73" fillId="75" borderId="117" applyNumberFormat="0" applyAlignment="0" applyProtection="0"/>
    <xf numFmtId="0" fontId="73" fillId="75" borderId="117" applyNumberFormat="0" applyAlignment="0" applyProtection="0"/>
    <xf numFmtId="0" fontId="73" fillId="75" borderId="117" applyNumberFormat="0" applyAlignment="0" applyProtection="0"/>
    <xf numFmtId="0" fontId="73" fillId="75" borderId="117" applyNumberFormat="0" applyAlignment="0" applyProtection="0"/>
    <xf numFmtId="0" fontId="78" fillId="0" borderId="119" applyNumberFormat="0" applyFill="0" applyAlignment="0" applyProtection="0"/>
    <xf numFmtId="0" fontId="78" fillId="0" borderId="119" applyNumberFormat="0" applyFill="0" applyAlignment="0" applyProtection="0"/>
    <xf numFmtId="0" fontId="78" fillId="0" borderId="119" applyNumberFormat="0" applyFill="0" applyAlignment="0" applyProtection="0"/>
    <xf numFmtId="0" fontId="78" fillId="0" borderId="119" applyNumberFormat="0" applyFill="0" applyAlignment="0" applyProtection="0"/>
    <xf numFmtId="0" fontId="78" fillId="0" borderId="119" applyNumberFormat="0" applyFill="0" applyAlignment="0" applyProtection="0"/>
    <xf numFmtId="0" fontId="78" fillId="0" borderId="119" applyNumberFormat="0" applyFill="0" applyAlignment="0" applyProtection="0"/>
    <xf numFmtId="0" fontId="78" fillId="0" borderId="119" applyNumberFormat="0" applyFill="0" applyAlignment="0" applyProtection="0"/>
    <xf numFmtId="0" fontId="78" fillId="0" borderId="119" applyNumberFormat="0" applyFill="0" applyAlignment="0" applyProtection="0"/>
    <xf numFmtId="0" fontId="66" fillId="0" borderId="119" applyNumberFormat="0" applyFill="0" applyAlignment="0" applyProtection="0"/>
    <xf numFmtId="0" fontId="66" fillId="0" borderId="119" applyNumberFormat="0" applyFill="0" applyAlignment="0" applyProtection="0"/>
    <xf numFmtId="0" fontId="66" fillId="0" borderId="119" applyNumberFormat="0" applyFill="0" applyAlignment="0" applyProtection="0"/>
    <xf numFmtId="0" fontId="66" fillId="0" borderId="119" applyNumberFormat="0" applyFill="0" applyAlignment="0" applyProtection="0"/>
    <xf numFmtId="0" fontId="66" fillId="0" borderId="119" applyNumberFormat="0" applyFill="0" applyAlignment="0" applyProtection="0"/>
    <xf numFmtId="0" fontId="66" fillId="0" borderId="119" applyNumberFormat="0" applyFill="0" applyAlignment="0" applyProtection="0"/>
    <xf numFmtId="0" fontId="66" fillId="0" borderId="119" applyNumberFormat="0" applyFill="0" applyAlignment="0" applyProtection="0"/>
    <xf numFmtId="0" fontId="66" fillId="0" borderId="119" applyNumberFormat="0" applyFill="0" applyAlignment="0" applyProtection="0"/>
    <xf numFmtId="0" fontId="78" fillId="0" borderId="119" applyNumberFormat="0" applyFill="0" applyAlignment="0" applyProtection="0"/>
    <xf numFmtId="0" fontId="78" fillId="0" borderId="119" applyNumberFormat="0" applyFill="0" applyAlignment="0" applyProtection="0"/>
    <xf numFmtId="0" fontId="78" fillId="0" borderId="119" applyNumberFormat="0" applyFill="0" applyAlignment="0" applyProtection="0"/>
    <xf numFmtId="0" fontId="78" fillId="0" borderId="119" applyNumberFormat="0" applyFill="0" applyAlignment="0" applyProtection="0"/>
    <xf numFmtId="0" fontId="78" fillId="0" borderId="118" applyNumberFormat="0" applyFill="0" applyAlignment="0" applyProtection="0"/>
    <xf numFmtId="0" fontId="78" fillId="0" borderId="118" applyNumberFormat="0" applyFill="0" applyAlignment="0" applyProtection="0"/>
    <xf numFmtId="0" fontId="66" fillId="0" borderId="118" applyNumberFormat="0" applyFill="0" applyAlignment="0" applyProtection="0"/>
    <xf numFmtId="0" fontId="66" fillId="0" borderId="118" applyNumberFormat="0" applyFill="0" applyAlignment="0" applyProtection="0"/>
    <xf numFmtId="0" fontId="66" fillId="0" borderId="118" applyNumberFormat="0" applyFill="0" applyAlignment="0" applyProtection="0"/>
    <xf numFmtId="0" fontId="66" fillId="0" borderId="118" applyNumberFormat="0" applyFill="0" applyAlignment="0" applyProtection="0"/>
    <xf numFmtId="0" fontId="66" fillId="0" borderId="118" applyNumberFormat="0" applyFill="0" applyAlignment="0" applyProtection="0"/>
    <xf numFmtId="0" fontId="66" fillId="0" borderId="118" applyNumberFormat="0" applyFill="0" applyAlignment="0" applyProtection="0"/>
    <xf numFmtId="0" fontId="66" fillId="0" borderId="118" applyNumberFormat="0" applyFill="0" applyAlignment="0" applyProtection="0"/>
    <xf numFmtId="0" fontId="66" fillId="0" borderId="118" applyNumberFormat="0" applyFill="0" applyAlignment="0" applyProtection="0"/>
    <xf numFmtId="0" fontId="78" fillId="0" borderId="118" applyNumberFormat="0" applyFill="0" applyAlignment="0" applyProtection="0"/>
    <xf numFmtId="0" fontId="78" fillId="0" borderId="118" applyNumberFormat="0" applyFill="0" applyAlignment="0" applyProtection="0"/>
    <xf numFmtId="0" fontId="78" fillId="0" borderId="118" applyNumberFormat="0" applyFill="0" applyAlignment="0" applyProtection="0"/>
    <xf numFmtId="0" fontId="78" fillId="0" borderId="118" applyNumberFormat="0" applyFill="0" applyAlignment="0" applyProtection="0"/>
    <xf numFmtId="0" fontId="78" fillId="0" borderId="118" applyNumberFormat="0" applyFill="0" applyAlignment="0" applyProtection="0"/>
    <xf numFmtId="0" fontId="78" fillId="0" borderId="118" applyNumberFormat="0" applyFill="0" applyAlignment="0" applyProtection="0"/>
    <xf numFmtId="0" fontId="66" fillId="0" borderId="118" applyNumberFormat="0" applyFill="0" applyAlignment="0" applyProtection="0"/>
    <xf numFmtId="0" fontId="66" fillId="0" borderId="118" applyNumberFormat="0" applyFill="0" applyAlignment="0" applyProtection="0"/>
    <xf numFmtId="0" fontId="78" fillId="0" borderId="119" applyNumberFormat="0" applyFill="0" applyAlignment="0" applyProtection="0"/>
    <xf numFmtId="0" fontId="66" fillId="0" borderId="118" applyNumberFormat="0" applyFill="0" applyAlignment="0" applyProtection="0"/>
    <xf numFmtId="0" fontId="78" fillId="0" borderId="118" applyNumberFormat="0" applyFill="0" applyAlignment="0" applyProtection="0"/>
    <xf numFmtId="0" fontId="66" fillId="0" borderId="118" applyNumberFormat="0" applyFill="0" applyAlignment="0" applyProtection="0"/>
    <xf numFmtId="0" fontId="78" fillId="0" borderId="118" applyNumberFormat="0" applyFill="0" applyAlignment="0" applyProtection="0"/>
    <xf numFmtId="0" fontId="78" fillId="0" borderId="118" applyNumberFormat="0" applyFill="0" applyAlignment="0" applyProtection="0"/>
    <xf numFmtId="0" fontId="78" fillId="0" borderId="118" applyNumberFormat="0" applyFill="0" applyAlignment="0" applyProtection="0"/>
    <xf numFmtId="0" fontId="78" fillId="0" borderId="118" applyNumberFormat="0" applyFill="0" applyAlignment="0" applyProtection="0"/>
    <xf numFmtId="0" fontId="78" fillId="0" borderId="118" applyNumberFormat="0" applyFill="0" applyAlignment="0" applyProtection="0"/>
    <xf numFmtId="0" fontId="78" fillId="0" borderId="118" applyNumberFormat="0" applyFill="0" applyAlignment="0" applyProtection="0"/>
    <xf numFmtId="0" fontId="78" fillId="0" borderId="118" applyNumberFormat="0" applyFill="0" applyAlignment="0" applyProtection="0"/>
    <xf numFmtId="0" fontId="78" fillId="0" borderId="118" applyNumberFormat="0" applyFill="0" applyAlignment="0" applyProtection="0"/>
    <xf numFmtId="0" fontId="78" fillId="0" borderId="118" applyNumberFormat="0" applyFill="0" applyAlignment="0" applyProtection="0"/>
    <xf numFmtId="0" fontId="78" fillId="0" borderId="118" applyNumberFormat="0" applyFill="0" applyAlignment="0" applyProtection="0"/>
    <xf numFmtId="0" fontId="78" fillId="0" borderId="118" applyNumberFormat="0" applyFill="0" applyAlignment="0" applyProtection="0"/>
    <xf numFmtId="0" fontId="78" fillId="0" borderId="118" applyNumberFormat="0" applyFill="0" applyAlignment="0" applyProtection="0"/>
    <xf numFmtId="0" fontId="78" fillId="0" borderId="119" applyNumberFormat="0" applyFill="0" applyAlignment="0" applyProtection="0"/>
    <xf numFmtId="0" fontId="78" fillId="0" borderId="119" applyNumberFormat="0" applyFill="0" applyAlignment="0" applyProtection="0"/>
    <xf numFmtId="0" fontId="66" fillId="0" borderId="119" applyNumberFormat="0" applyFill="0" applyAlignment="0" applyProtection="0"/>
    <xf numFmtId="0" fontId="66" fillId="0" borderId="119" applyNumberFormat="0" applyFill="0" applyAlignment="0" applyProtection="0"/>
    <xf numFmtId="0" fontId="66" fillId="0" borderId="119" applyNumberFormat="0" applyFill="0" applyAlignment="0" applyProtection="0"/>
    <xf numFmtId="0" fontId="78" fillId="0" borderId="119" applyNumberFormat="0" applyFill="0" applyAlignment="0" applyProtection="0"/>
    <xf numFmtId="0" fontId="66" fillId="0" borderId="119" applyNumberFormat="0" applyFill="0" applyAlignment="0" applyProtection="0"/>
    <xf numFmtId="0" fontId="78" fillId="0" borderId="119" applyNumberFormat="0" applyFill="0" applyAlignment="0" applyProtection="0"/>
    <xf numFmtId="0" fontId="78" fillId="0" borderId="119" applyNumberFormat="0" applyFill="0" applyAlignment="0" applyProtection="0"/>
    <xf numFmtId="0" fontId="78" fillId="0" borderId="119" applyNumberFormat="0" applyFill="0" applyAlignment="0" applyProtection="0"/>
    <xf numFmtId="0" fontId="78" fillId="0" borderId="119" applyNumberFormat="0" applyFill="0" applyAlignment="0" applyProtection="0"/>
    <xf numFmtId="0" fontId="78" fillId="0" borderId="119" applyNumberFormat="0" applyFill="0" applyAlignment="0" applyProtection="0"/>
    <xf numFmtId="0" fontId="78" fillId="0" borderId="119" applyNumberFormat="0" applyFill="0" applyAlignment="0" applyProtection="0"/>
    <xf numFmtId="0" fontId="78" fillId="0" borderId="119" applyNumberFormat="0" applyFill="0" applyAlignment="0" applyProtection="0"/>
    <xf numFmtId="0" fontId="78" fillId="0" borderId="119" applyNumberFormat="0" applyFill="0" applyAlignment="0" applyProtection="0"/>
    <xf numFmtId="0" fontId="78" fillId="0" borderId="119" applyNumberFormat="0" applyFill="0" applyAlignment="0" applyProtection="0"/>
    <xf numFmtId="0" fontId="78" fillId="0" borderId="119" applyNumberFormat="0" applyFill="0" applyAlignment="0" applyProtection="0"/>
    <xf numFmtId="0" fontId="78" fillId="0" borderId="119" applyNumberFormat="0" applyFill="0" applyAlignment="0" applyProtection="0"/>
    <xf numFmtId="201" fontId="101" fillId="0" borderId="153">
      <alignment horizontal="left"/>
      <protection locked="0"/>
    </xf>
    <xf numFmtId="0" fontId="33" fillId="86" borderId="154" applyNumberFormat="0" applyFont="0" applyAlignment="0" applyProtection="0"/>
    <xf numFmtId="0" fontId="33" fillId="86" borderId="154" applyNumberFormat="0" applyFont="0" applyAlignment="0" applyProtection="0"/>
    <xf numFmtId="0" fontId="33" fillId="86" borderId="154" applyNumberFormat="0" applyFont="0" applyAlignment="0" applyProtection="0"/>
    <xf numFmtId="0" fontId="33" fillId="86" borderId="154" applyNumberFormat="0" applyFont="0" applyAlignment="0" applyProtection="0"/>
    <xf numFmtId="0" fontId="33" fillId="86" borderId="154" applyNumberFormat="0" applyFont="0" applyAlignment="0" applyProtection="0"/>
    <xf numFmtId="0" fontId="33" fillId="86" borderId="154" applyNumberFormat="0" applyFont="0" applyAlignment="0" applyProtection="0"/>
    <xf numFmtId="0" fontId="33" fillId="86" borderId="154" applyNumberFormat="0" applyFont="0" applyAlignment="0" applyProtection="0"/>
    <xf numFmtId="0" fontId="33" fillId="86" borderId="154" applyNumberFormat="0" applyFont="0" applyAlignment="0" applyProtection="0"/>
    <xf numFmtId="0" fontId="33" fillId="86" borderId="154" applyNumberFormat="0" applyFont="0" applyAlignment="0" applyProtection="0"/>
    <xf numFmtId="0" fontId="33" fillId="86" borderId="154" applyNumberFormat="0" applyFont="0" applyAlignment="0" applyProtection="0"/>
    <xf numFmtId="0" fontId="74" fillId="75" borderId="155" applyNumberFormat="0" applyAlignment="0" applyProtection="0"/>
    <xf numFmtId="0" fontId="50" fillId="0" borderId="122" applyNumberFormat="0" applyFill="0" applyAlignment="0" applyProtection="0"/>
    <xf numFmtId="0" fontId="74" fillId="75" borderId="155" applyNumberFormat="0" applyAlignment="0" applyProtection="0"/>
    <xf numFmtId="0" fontId="78" fillId="0" borderId="149" applyNumberFormat="0" applyFill="0" applyAlignment="0" applyProtection="0"/>
    <xf numFmtId="0" fontId="66" fillId="0" borderId="152" applyNumberFormat="0" applyFill="0" applyAlignment="0" applyProtection="0"/>
    <xf numFmtId="0" fontId="73" fillId="75" borderId="148" applyNumberFormat="0" applyAlignment="0" applyProtection="0"/>
    <xf numFmtId="0" fontId="73" fillId="75" borderId="148" applyNumberFormat="0" applyAlignment="0" applyProtection="0"/>
    <xf numFmtId="0" fontId="45" fillId="49" borderId="147" applyNumberFormat="0" applyAlignment="0" applyProtection="0"/>
    <xf numFmtId="0" fontId="72" fillId="44" borderId="155" applyNumberFormat="0" applyAlignment="0" applyProtection="0"/>
    <xf numFmtId="0" fontId="38" fillId="75" borderId="123" applyNumberFormat="0" applyAlignment="0" applyProtection="0"/>
    <xf numFmtId="0" fontId="38" fillId="76" borderId="123" applyNumberFormat="0" applyAlignment="0" applyProtection="0"/>
    <xf numFmtId="0" fontId="38" fillId="76" borderId="123" applyNumberFormat="0" applyAlignment="0" applyProtection="0"/>
    <xf numFmtId="0" fontId="38" fillId="76" borderId="123" applyNumberFormat="0" applyAlignment="0" applyProtection="0"/>
    <xf numFmtId="0" fontId="38" fillId="75" borderId="123" applyNumberFormat="0" applyAlignment="0" applyProtection="0"/>
    <xf numFmtId="0" fontId="38" fillId="76" borderId="123" applyNumberFormat="0" applyAlignment="0" applyProtection="0"/>
    <xf numFmtId="0" fontId="38" fillId="76" borderId="123" applyNumberFormat="0" applyAlignment="0" applyProtection="0"/>
    <xf numFmtId="0" fontId="38" fillId="75" borderId="123" applyNumberFormat="0" applyAlignment="0" applyProtection="0"/>
    <xf numFmtId="0" fontId="38" fillId="76" borderId="123" applyNumberFormat="0" applyAlignment="0" applyProtection="0"/>
    <xf numFmtId="0" fontId="38" fillId="76" borderId="123" applyNumberFormat="0" applyAlignment="0" applyProtection="0"/>
    <xf numFmtId="0" fontId="38" fillId="75" borderId="123" applyNumberFormat="0" applyAlignment="0" applyProtection="0"/>
    <xf numFmtId="0" fontId="38" fillId="75" borderId="123" applyNumberFormat="0" applyAlignment="0" applyProtection="0"/>
    <xf numFmtId="0" fontId="38" fillId="75" borderId="123" applyNumberFormat="0" applyAlignment="0" applyProtection="0"/>
    <xf numFmtId="0" fontId="38" fillId="75" borderId="123" applyNumberFormat="0" applyAlignment="0" applyProtection="0"/>
    <xf numFmtId="0" fontId="38" fillId="78" borderId="123" applyNumberFormat="0" applyAlignment="0" applyProtection="0"/>
    <xf numFmtId="0" fontId="38" fillId="78" borderId="123" applyNumberFormat="0" applyAlignment="0" applyProtection="0"/>
    <xf numFmtId="0" fontId="38" fillId="78" borderId="123" applyNumberFormat="0" applyAlignment="0" applyProtection="0"/>
    <xf numFmtId="0" fontId="45" fillId="49" borderId="123" applyNumberFormat="0" applyAlignment="0" applyProtection="0"/>
    <xf numFmtId="0" fontId="45" fillId="49" borderId="123" applyNumberFormat="0" applyAlignment="0" applyProtection="0"/>
    <xf numFmtId="0" fontId="45" fillId="49" borderId="123" applyNumberFormat="0" applyAlignment="0" applyProtection="0"/>
    <xf numFmtId="0" fontId="45" fillId="49" borderId="123" applyNumberFormat="0" applyAlignment="0" applyProtection="0"/>
    <xf numFmtId="0" fontId="45" fillId="45" borderId="123" applyNumberFormat="0" applyAlignment="0" applyProtection="0"/>
    <xf numFmtId="0" fontId="45" fillId="45" borderId="123" applyNumberFormat="0" applyAlignment="0" applyProtection="0"/>
    <xf numFmtId="0" fontId="45" fillId="45" borderId="123" applyNumberFormat="0" applyAlignment="0" applyProtection="0"/>
    <xf numFmtId="0" fontId="45" fillId="44" borderId="123" applyNumberFormat="0" applyAlignment="0" applyProtection="0"/>
    <xf numFmtId="0" fontId="45" fillId="45" borderId="123" applyNumberFormat="0" applyAlignment="0" applyProtection="0"/>
    <xf numFmtId="0" fontId="45" fillId="45" borderId="123" applyNumberFormat="0" applyAlignment="0" applyProtection="0"/>
    <xf numFmtId="0" fontId="45" fillId="44" borderId="123" applyNumberFormat="0" applyAlignment="0" applyProtection="0"/>
    <xf numFmtId="0" fontId="45" fillId="45" borderId="123" applyNumberFormat="0" applyAlignment="0" applyProtection="0"/>
    <xf numFmtId="0" fontId="45" fillId="45" borderId="123" applyNumberFormat="0" applyAlignment="0" applyProtection="0"/>
    <xf numFmtId="0" fontId="45" fillId="44" borderId="123" applyNumberFormat="0" applyAlignment="0" applyProtection="0"/>
    <xf numFmtId="0" fontId="45" fillId="44" borderId="123" applyNumberFormat="0" applyAlignment="0" applyProtection="0"/>
    <xf numFmtId="0" fontId="45" fillId="44" borderId="123" applyNumberFormat="0" applyAlignment="0" applyProtection="0"/>
    <xf numFmtId="0" fontId="45" fillId="44" borderId="123" applyNumberFormat="0" applyAlignment="0" applyProtection="0"/>
    <xf numFmtId="0" fontId="45" fillId="44" borderId="123" applyNumberFormat="0" applyAlignment="0" applyProtection="0"/>
    <xf numFmtId="0" fontId="33" fillId="85" borderId="124" applyNumberFormat="0" applyAlignment="0" applyProtection="0"/>
    <xf numFmtId="0" fontId="33" fillId="85" borderId="124" applyNumberFormat="0" applyAlignment="0" applyProtection="0"/>
    <xf numFmtId="0" fontId="33" fillId="86" borderId="124" applyNumberFormat="0" applyFont="0" applyAlignment="0" applyProtection="0"/>
    <xf numFmtId="0" fontId="33" fillId="85" borderId="124" applyNumberFormat="0" applyAlignment="0" applyProtection="0"/>
    <xf numFmtId="0" fontId="33" fillId="85" borderId="124" applyNumberFormat="0" applyAlignment="0" applyProtection="0"/>
    <xf numFmtId="0" fontId="33" fillId="86" borderId="124" applyNumberFormat="0" applyFont="0" applyAlignment="0" applyProtection="0"/>
    <xf numFmtId="0" fontId="33" fillId="86" borderId="124" applyNumberFormat="0" applyFont="0" applyAlignment="0" applyProtection="0"/>
    <xf numFmtId="0" fontId="33" fillId="85" borderId="124" applyNumberFormat="0" applyAlignment="0" applyProtection="0"/>
    <xf numFmtId="0" fontId="33" fillId="85" borderId="124" applyNumberFormat="0" applyAlignment="0" applyProtection="0"/>
    <xf numFmtId="0" fontId="33" fillId="85" borderId="124" applyNumberFormat="0" applyAlignment="0" applyProtection="0"/>
    <xf numFmtId="0" fontId="33" fillId="85" borderId="124" applyNumberFormat="0" applyAlignment="0" applyProtection="0"/>
    <xf numFmtId="0" fontId="33" fillId="85" borderId="124" applyNumberFormat="0" applyAlignment="0" applyProtection="0"/>
    <xf numFmtId="0" fontId="33" fillId="86" borderId="124" applyNumberFormat="0" applyFont="0" applyAlignment="0" applyProtection="0"/>
    <xf numFmtId="0" fontId="33" fillId="85" borderId="124" applyNumberFormat="0" applyAlignment="0" applyProtection="0"/>
    <xf numFmtId="0" fontId="33" fillId="86" borderId="124" applyNumberFormat="0" applyFont="0" applyAlignment="0" applyProtection="0"/>
    <xf numFmtId="0" fontId="33" fillId="85" borderId="124" applyNumberFormat="0" applyAlignment="0" applyProtection="0"/>
    <xf numFmtId="0" fontId="33" fillId="85" borderId="124" applyNumberFormat="0" applyAlignment="0" applyProtection="0"/>
    <xf numFmtId="0" fontId="33" fillId="85" borderId="124" applyNumberFormat="0" applyAlignment="0" applyProtection="0"/>
    <xf numFmtId="0" fontId="33" fillId="86" borderId="124" applyNumberFormat="0" applyFont="0" applyAlignment="0" applyProtection="0"/>
    <xf numFmtId="0" fontId="33" fillId="85" borderId="124" applyNumberFormat="0" applyAlignment="0" applyProtection="0"/>
    <xf numFmtId="0" fontId="33" fillId="86" borderId="124" applyNumberFormat="0" applyFont="0" applyAlignment="0" applyProtection="0"/>
    <xf numFmtId="0" fontId="33" fillId="85" borderId="124" applyNumberFormat="0" applyAlignment="0" applyProtection="0"/>
    <xf numFmtId="0" fontId="33" fillId="86" borderId="124" applyNumberFormat="0" applyFont="0" applyAlignment="0" applyProtection="0"/>
    <xf numFmtId="0" fontId="33" fillId="85" borderId="124" applyNumberFormat="0" applyAlignment="0" applyProtection="0"/>
    <xf numFmtId="0" fontId="33" fillId="86" borderId="124" applyNumberFormat="0" applyFont="0" applyAlignment="0" applyProtection="0"/>
    <xf numFmtId="0" fontId="33" fillId="86" borderId="124" applyNumberFormat="0" applyFont="0" applyAlignment="0" applyProtection="0"/>
    <xf numFmtId="0" fontId="33" fillId="86" borderId="124" applyNumberFormat="0" applyFont="0" applyAlignment="0" applyProtection="0"/>
    <xf numFmtId="0" fontId="33" fillId="86" borderId="124" applyNumberFormat="0" applyFont="0" applyAlignment="0" applyProtection="0"/>
    <xf numFmtId="0" fontId="33" fillId="86" borderId="124" applyNumberFormat="0" applyFont="0" applyAlignment="0" applyProtection="0"/>
    <xf numFmtId="0" fontId="74" fillId="75" borderId="155" applyNumberFormat="0" applyAlignment="0" applyProtection="0"/>
    <xf numFmtId="0" fontId="50" fillId="0" borderId="119" applyNumberFormat="0" applyFill="0" applyAlignment="0" applyProtection="0"/>
    <xf numFmtId="0" fontId="50" fillId="0" borderId="119" applyNumberFormat="0" applyFill="0" applyAlignment="0" applyProtection="0"/>
    <xf numFmtId="0" fontId="50" fillId="0" borderId="119" applyNumberFormat="0" applyFill="0" applyAlignment="0" applyProtection="0"/>
    <xf numFmtId="0" fontId="50" fillId="0" borderId="119" applyNumberFormat="0" applyFill="0" applyAlignment="0" applyProtection="0"/>
    <xf numFmtId="0" fontId="50" fillId="0" borderId="119" applyNumberFormat="0" applyFill="0" applyAlignment="0" applyProtection="0"/>
    <xf numFmtId="0" fontId="45" fillId="44" borderId="147" applyNumberFormat="0" applyAlignment="0" applyProtection="0"/>
    <xf numFmtId="0" fontId="45" fillId="44" borderId="147" applyNumberFormat="0" applyAlignment="0" applyProtection="0"/>
    <xf numFmtId="0" fontId="48" fillId="75" borderId="148" applyNumberFormat="0" applyAlignment="0" applyProtection="0"/>
    <xf numFmtId="0" fontId="66" fillId="86" borderId="134" applyNumberFormat="0" applyFont="0" applyAlignment="0" applyProtection="0"/>
    <xf numFmtId="0" fontId="73" fillId="75" borderId="166" applyNumberFormat="0" applyAlignment="0" applyProtection="0"/>
    <xf numFmtId="0" fontId="66" fillId="86" borderId="134" applyNumberFormat="0" applyFont="0" applyAlignment="0" applyProtection="0"/>
    <xf numFmtId="0" fontId="73" fillId="92" borderId="166" applyNumberFormat="0" applyAlignment="0" applyProtection="0"/>
    <xf numFmtId="0" fontId="78" fillId="0" borderId="158" applyNumberFormat="0" applyFill="0" applyAlignment="0" applyProtection="0"/>
    <xf numFmtId="0" fontId="66" fillId="0" borderId="159" applyNumberFormat="0" applyFill="0" applyAlignment="0" applyProtection="0"/>
    <xf numFmtId="0" fontId="45" fillId="44" borderId="147" applyNumberFormat="0" applyAlignment="0" applyProtection="0"/>
    <xf numFmtId="0" fontId="38" fillId="75" borderId="147" applyNumberFormat="0" applyAlignment="0" applyProtection="0"/>
    <xf numFmtId="0" fontId="2" fillId="130" borderId="125">
      <alignment horizontal="left" vertical="center"/>
    </xf>
    <xf numFmtId="0" fontId="2" fillId="130" borderId="145">
      <alignment horizontal="left" vertical="center"/>
    </xf>
    <xf numFmtId="0" fontId="66" fillId="0" borderId="152" applyNumberFormat="0" applyFill="0" applyAlignment="0" applyProtection="0"/>
    <xf numFmtId="0" fontId="72" fillId="44" borderId="163" applyNumberFormat="0" applyAlignment="0" applyProtection="0"/>
    <xf numFmtId="0" fontId="78" fillId="0" borderId="149" applyNumberFormat="0" applyFill="0" applyAlignment="0" applyProtection="0"/>
    <xf numFmtId="0" fontId="73" fillId="92" borderId="148" applyNumberFormat="0" applyAlignment="0" applyProtection="0"/>
    <xf numFmtId="0" fontId="45" fillId="45" borderId="135" applyNumberFormat="0" applyAlignment="0" applyProtection="0"/>
    <xf numFmtId="0" fontId="48" fillId="75" borderId="166" applyNumberFormat="0" applyAlignment="0" applyProtection="0"/>
    <xf numFmtId="0" fontId="38" fillId="76" borderId="135" applyNumberFormat="0" applyAlignment="0" applyProtection="0"/>
    <xf numFmtId="0" fontId="78" fillId="0" borderId="167" applyNumberFormat="0" applyFill="0" applyAlignment="0" applyProtection="0"/>
    <xf numFmtId="0" fontId="66" fillId="44" borderId="163" applyNumberFormat="0" applyAlignment="0" applyProtection="0"/>
    <xf numFmtId="0" fontId="162" fillId="0" borderId="77">
      <alignment horizontal="right" vertical="center"/>
    </xf>
    <xf numFmtId="0" fontId="2" fillId="130" borderId="77">
      <alignment horizontal="center" vertical="center"/>
    </xf>
    <xf numFmtId="0" fontId="162" fillId="0" borderId="77">
      <alignment horizontal="right" vertical="center"/>
    </xf>
    <xf numFmtId="0" fontId="2" fillId="130" borderId="77">
      <alignment horizontal="left" vertical="center"/>
    </xf>
    <xf numFmtId="0" fontId="2" fillId="130" borderId="77">
      <alignment horizontal="center" vertical="center"/>
    </xf>
    <xf numFmtId="0" fontId="163" fillId="130" borderId="77">
      <alignment horizontal="center" vertical="center"/>
    </xf>
    <xf numFmtId="0" fontId="162" fillId="131" borderId="77"/>
    <xf numFmtId="0" fontId="2" fillId="0" borderId="77">
      <alignment horizontal="left" vertical="top"/>
    </xf>
    <xf numFmtId="0" fontId="2" fillId="132" borderId="77"/>
    <xf numFmtId="0" fontId="66" fillId="86" borderId="134" applyNumberFormat="0" applyFont="0" applyAlignment="0" applyProtection="0"/>
    <xf numFmtId="0" fontId="2" fillId="0" borderId="77">
      <alignment horizontal="left" vertical="center"/>
    </xf>
    <xf numFmtId="0" fontId="162" fillId="133" borderId="77"/>
    <xf numFmtId="0" fontId="162" fillId="0" borderId="77">
      <alignment horizontal="right" vertical="center"/>
    </xf>
    <xf numFmtId="0" fontId="162" fillId="134" borderId="77">
      <alignment horizontal="right" vertical="center"/>
    </xf>
    <xf numFmtId="0" fontId="162" fillId="0" borderId="77">
      <alignment horizontal="center" vertical="center"/>
    </xf>
    <xf numFmtId="0" fontId="163" fillId="81" borderId="77"/>
    <xf numFmtId="0" fontId="163" fillId="135" borderId="77"/>
    <xf numFmtId="0" fontId="163" fillId="0" borderId="77">
      <alignment horizontal="center" vertical="center" wrapText="1"/>
    </xf>
    <xf numFmtId="0" fontId="164" fillId="130" borderId="77">
      <alignment horizontal="left" vertical="center" indent="1"/>
    </xf>
    <xf numFmtId="0" fontId="165" fillId="0" borderId="77"/>
    <xf numFmtId="0" fontId="74" fillId="75" borderId="155" applyNumberFormat="0" applyAlignment="0" applyProtection="0"/>
    <xf numFmtId="0" fontId="66" fillId="75" borderId="155" applyNumberFormat="0" applyAlignment="0" applyProtection="0"/>
    <xf numFmtId="0" fontId="74" fillId="75" borderId="155" applyNumberFormat="0" applyAlignment="0" applyProtection="0"/>
    <xf numFmtId="0" fontId="74" fillId="75" borderId="155" applyNumberFormat="0" applyAlignment="0" applyProtection="0"/>
    <xf numFmtId="0" fontId="74" fillId="75" borderId="155" applyNumberFormat="0" applyAlignment="0" applyProtection="0"/>
    <xf numFmtId="0" fontId="66" fillId="86" borderId="156" applyNumberFormat="0" applyFont="0" applyAlignment="0" applyProtection="0"/>
    <xf numFmtId="0" fontId="66" fillId="86" borderId="156" applyNumberFormat="0" applyFont="0" applyAlignment="0" applyProtection="0"/>
    <xf numFmtId="0" fontId="66" fillId="86" borderId="156" applyNumberFormat="0" applyFont="0" applyAlignment="0" applyProtection="0"/>
    <xf numFmtId="0" fontId="66" fillId="86" borderId="156" applyNumberFormat="0" applyFont="0" applyAlignment="0" applyProtection="0"/>
    <xf numFmtId="0" fontId="66" fillId="86" borderId="156" applyNumberFormat="0" applyFont="0" applyAlignment="0" applyProtection="0"/>
    <xf numFmtId="0" fontId="66" fillId="86" borderId="156" applyNumberFormat="0" applyFont="0" applyAlignment="0" applyProtection="0"/>
    <xf numFmtId="0" fontId="66" fillId="86" borderId="156" applyNumberFormat="0" applyFont="0" applyAlignment="0" applyProtection="0"/>
    <xf numFmtId="0" fontId="66" fillId="86" borderId="156" applyNumberFormat="0" applyFont="0" applyAlignment="0" applyProtection="0"/>
    <xf numFmtId="0" fontId="66" fillId="86" borderId="156" applyNumberFormat="0" applyFont="0" applyAlignment="0" applyProtection="0"/>
    <xf numFmtId="0" fontId="66" fillId="86" borderId="156" applyNumberFormat="0" applyFont="0" applyAlignment="0" applyProtection="0"/>
    <xf numFmtId="0" fontId="66" fillId="86" borderId="156" applyNumberFormat="0" applyFont="0" applyAlignment="0" applyProtection="0"/>
    <xf numFmtId="0" fontId="66" fillId="86" borderId="156" applyNumberFormat="0" applyFont="0" applyAlignment="0" applyProtection="0"/>
    <xf numFmtId="0" fontId="66" fillId="86" borderId="156" applyNumberFormat="0" applyFont="0" applyAlignment="0" applyProtection="0"/>
    <xf numFmtId="0" fontId="66" fillId="86" borderId="156" applyNumberFormat="0" applyFont="0" applyAlignment="0" applyProtection="0"/>
    <xf numFmtId="0" fontId="66" fillId="86" borderId="156" applyNumberFormat="0" applyFont="0" applyAlignment="0" applyProtection="0"/>
    <xf numFmtId="0" fontId="2" fillId="130" borderId="77">
      <alignment horizontal="left" vertical="center"/>
    </xf>
    <xf numFmtId="0" fontId="163" fillId="130" borderId="77">
      <alignment horizontal="center" vertical="center"/>
    </xf>
    <xf numFmtId="0" fontId="73" fillId="75" borderId="157" applyNumberFormat="0" applyAlignment="0" applyProtection="0"/>
    <xf numFmtId="0" fontId="73" fillId="75" borderId="157" applyNumberFormat="0" applyAlignment="0" applyProtection="0"/>
    <xf numFmtId="0" fontId="66" fillId="75" borderId="157" applyNumberFormat="0" applyAlignment="0" applyProtection="0"/>
    <xf numFmtId="0" fontId="66" fillId="75" borderId="157" applyNumberFormat="0" applyAlignment="0" applyProtection="0"/>
    <xf numFmtId="0" fontId="66" fillId="75" borderId="157" applyNumberFormat="0" applyAlignment="0" applyProtection="0"/>
    <xf numFmtId="0" fontId="66" fillId="75" borderId="157" applyNumberFormat="0" applyAlignment="0" applyProtection="0"/>
    <xf numFmtId="0" fontId="66" fillId="75" borderId="157" applyNumberFormat="0" applyAlignment="0" applyProtection="0"/>
    <xf numFmtId="0" fontId="66" fillId="75" borderId="157" applyNumberFormat="0" applyAlignment="0" applyProtection="0"/>
    <xf numFmtId="0" fontId="66" fillId="75" borderId="157" applyNumberFormat="0" applyAlignment="0" applyProtection="0"/>
    <xf numFmtId="0" fontId="66" fillId="75" borderId="157" applyNumberFormat="0" applyAlignment="0" applyProtection="0"/>
    <xf numFmtId="0" fontId="3" fillId="81" borderId="77">
      <alignment horizontal="center" vertical="center"/>
    </xf>
    <xf numFmtId="0" fontId="3" fillId="135" borderId="77">
      <alignment horizontal="center" vertical="center"/>
    </xf>
    <xf numFmtId="0" fontId="3" fillId="81" borderId="77">
      <alignment horizontal="left" vertical="center"/>
    </xf>
    <xf numFmtId="0" fontId="3" fillId="135" borderId="77">
      <alignment horizontal="left" vertical="center"/>
    </xf>
    <xf numFmtId="0" fontId="73" fillId="92" borderId="157" applyNumberFormat="0" applyAlignment="0" applyProtection="0"/>
    <xf numFmtId="0" fontId="167" fillId="0" borderId="77"/>
    <xf numFmtId="0" fontId="66" fillId="86" borderId="156" applyNumberFormat="0" applyFont="0" applyAlignment="0" applyProtection="0"/>
    <xf numFmtId="0" fontId="74" fillId="75" borderId="155" applyNumberFormat="0" applyAlignment="0" applyProtection="0"/>
    <xf numFmtId="0" fontId="74" fillId="75" borderId="155" applyNumberFormat="0" applyAlignment="0" applyProtection="0"/>
    <xf numFmtId="0" fontId="74" fillId="75" borderId="155" applyNumberFormat="0" applyAlignment="0" applyProtection="0"/>
    <xf numFmtId="0" fontId="48" fillId="75" borderId="148" applyNumberFormat="0" applyAlignment="0" applyProtection="0"/>
    <xf numFmtId="0" fontId="78" fillId="0" borderId="149" applyNumberFormat="0" applyFill="0" applyAlignment="0" applyProtection="0"/>
    <xf numFmtId="0" fontId="66" fillId="0" borderId="152" applyNumberFormat="0" applyFill="0" applyAlignment="0" applyProtection="0"/>
    <xf numFmtId="0" fontId="66" fillId="75" borderId="148" applyNumberFormat="0" applyAlignment="0" applyProtection="0"/>
    <xf numFmtId="0" fontId="73" fillId="75" borderId="148" applyNumberFormat="0" applyAlignment="0" applyProtection="0"/>
    <xf numFmtId="0" fontId="45" fillId="49" borderId="147" applyNumberFormat="0" applyAlignment="0" applyProtection="0"/>
    <xf numFmtId="0" fontId="72" fillId="44" borderId="155" applyNumberFormat="0" applyAlignment="0" applyProtection="0"/>
    <xf numFmtId="0" fontId="38" fillId="75" borderId="127" applyNumberFormat="0" applyAlignment="0" applyProtection="0"/>
    <xf numFmtId="0" fontId="38" fillId="76" borderId="127" applyNumberFormat="0" applyAlignment="0" applyProtection="0"/>
    <xf numFmtId="0" fontId="38" fillId="76" borderId="127" applyNumberFormat="0" applyAlignment="0" applyProtection="0"/>
    <xf numFmtId="0" fontId="38" fillId="76" borderId="127" applyNumberFormat="0" applyAlignment="0" applyProtection="0"/>
    <xf numFmtId="0" fontId="38" fillId="75" borderId="127" applyNumberFormat="0" applyAlignment="0" applyProtection="0"/>
    <xf numFmtId="0" fontId="38" fillId="76" borderId="127" applyNumberFormat="0" applyAlignment="0" applyProtection="0"/>
    <xf numFmtId="0" fontId="38" fillId="76" borderId="127" applyNumberFormat="0" applyAlignment="0" applyProtection="0"/>
    <xf numFmtId="0" fontId="38" fillId="75" borderId="127" applyNumberFormat="0" applyAlignment="0" applyProtection="0"/>
    <xf numFmtId="0" fontId="38" fillId="76" borderId="127" applyNumberFormat="0" applyAlignment="0" applyProtection="0"/>
    <xf numFmtId="0" fontId="38" fillId="76" borderId="127" applyNumberFormat="0" applyAlignment="0" applyProtection="0"/>
    <xf numFmtId="0" fontId="38" fillId="75" borderId="127" applyNumberFormat="0" applyAlignment="0" applyProtection="0"/>
    <xf numFmtId="0" fontId="38" fillId="75" borderId="127" applyNumberFormat="0" applyAlignment="0" applyProtection="0"/>
    <xf numFmtId="0" fontId="38" fillId="75" borderId="127" applyNumberFormat="0" applyAlignment="0" applyProtection="0"/>
    <xf numFmtId="0" fontId="38" fillId="75" borderId="127" applyNumberFormat="0" applyAlignment="0" applyProtection="0"/>
    <xf numFmtId="0" fontId="38" fillId="78" borderId="127" applyNumberFormat="0" applyAlignment="0" applyProtection="0"/>
    <xf numFmtId="0" fontId="38" fillId="78" borderId="127" applyNumberFormat="0" applyAlignment="0" applyProtection="0"/>
    <xf numFmtId="0" fontId="38" fillId="78" borderId="127" applyNumberFormat="0" applyAlignment="0" applyProtection="0"/>
    <xf numFmtId="0" fontId="45" fillId="49" borderId="127" applyNumberFormat="0" applyAlignment="0" applyProtection="0"/>
    <xf numFmtId="0" fontId="45" fillId="49" borderId="127" applyNumberFormat="0" applyAlignment="0" applyProtection="0"/>
    <xf numFmtId="0" fontId="45" fillId="49" borderId="127" applyNumberFormat="0" applyAlignment="0" applyProtection="0"/>
    <xf numFmtId="0" fontId="45" fillId="49" borderId="127" applyNumberFormat="0" applyAlignment="0" applyProtection="0"/>
    <xf numFmtId="0" fontId="54" fillId="0" borderId="126">
      <alignment horizontal="left" vertical="center"/>
    </xf>
    <xf numFmtId="0" fontId="54" fillId="0" borderId="126">
      <alignment horizontal="left" vertical="center"/>
    </xf>
    <xf numFmtId="10" fontId="52" fillId="82" borderId="125" applyNumberFormat="0" applyBorder="0" applyAlignment="0" applyProtection="0"/>
    <xf numFmtId="10" fontId="52" fillId="82" borderId="125" applyNumberFormat="0" applyBorder="0" applyAlignment="0" applyProtection="0"/>
    <xf numFmtId="0" fontId="45" fillId="45" borderId="127" applyNumberFormat="0" applyAlignment="0" applyProtection="0"/>
    <xf numFmtId="0" fontId="45" fillId="45" borderId="127" applyNumberFormat="0" applyAlignment="0" applyProtection="0"/>
    <xf numFmtId="0" fontId="45" fillId="45" borderId="127" applyNumberFormat="0" applyAlignment="0" applyProtection="0"/>
    <xf numFmtId="0" fontId="45" fillId="44" borderId="127" applyNumberFormat="0" applyAlignment="0" applyProtection="0"/>
    <xf numFmtId="0" fontId="45" fillId="45" borderId="127" applyNumberFormat="0" applyAlignment="0" applyProtection="0"/>
    <xf numFmtId="0" fontId="45" fillId="45" borderId="127" applyNumberFormat="0" applyAlignment="0" applyProtection="0"/>
    <xf numFmtId="0" fontId="45" fillId="44" borderId="127" applyNumberFormat="0" applyAlignment="0" applyProtection="0"/>
    <xf numFmtId="0" fontId="45" fillId="45" borderId="127" applyNumberFormat="0" applyAlignment="0" applyProtection="0"/>
    <xf numFmtId="0" fontId="45" fillId="45" borderId="127" applyNumberFormat="0" applyAlignment="0" applyProtection="0"/>
    <xf numFmtId="0" fontId="45" fillId="44" borderId="127" applyNumberFormat="0" applyAlignment="0" applyProtection="0"/>
    <xf numFmtId="0" fontId="45" fillId="44" borderId="127" applyNumberFormat="0" applyAlignment="0" applyProtection="0"/>
    <xf numFmtId="0" fontId="45" fillId="44" borderId="127" applyNumberFormat="0" applyAlignment="0" applyProtection="0"/>
    <xf numFmtId="0" fontId="45" fillId="44" borderId="127" applyNumberFormat="0" applyAlignment="0" applyProtection="0"/>
    <xf numFmtId="0" fontId="45" fillId="44" borderId="127" applyNumberFormat="0" applyAlignment="0" applyProtection="0"/>
    <xf numFmtId="0" fontId="48" fillId="75" borderId="128" applyNumberFormat="0" applyAlignment="0" applyProtection="0"/>
    <xf numFmtId="0" fontId="48" fillId="76" borderId="128" applyNumberFormat="0" applyAlignment="0" applyProtection="0"/>
    <xf numFmtId="0" fontId="48" fillId="76" borderId="128" applyNumberFormat="0" applyAlignment="0" applyProtection="0"/>
    <xf numFmtId="0" fontId="48" fillId="76" borderId="128" applyNumberFormat="0" applyAlignment="0" applyProtection="0"/>
    <xf numFmtId="0" fontId="48" fillId="75" borderId="128" applyNumberFormat="0" applyAlignment="0" applyProtection="0"/>
    <xf numFmtId="0" fontId="48" fillId="76" borderId="128" applyNumberFormat="0" applyAlignment="0" applyProtection="0"/>
    <xf numFmtId="0" fontId="48" fillId="76" borderId="128" applyNumberFormat="0" applyAlignment="0" applyProtection="0"/>
    <xf numFmtId="0" fontId="48" fillId="75" borderId="128" applyNumberFormat="0" applyAlignment="0" applyProtection="0"/>
    <xf numFmtId="0" fontId="48" fillId="76" borderId="128" applyNumberFormat="0" applyAlignment="0" applyProtection="0"/>
    <xf numFmtId="0" fontId="48" fillId="76" borderId="128" applyNumberFormat="0" applyAlignment="0" applyProtection="0"/>
    <xf numFmtId="0" fontId="48" fillId="75" borderId="128" applyNumberFormat="0" applyAlignment="0" applyProtection="0"/>
    <xf numFmtId="0" fontId="48" fillId="75" borderId="128" applyNumberFormat="0" applyAlignment="0" applyProtection="0"/>
    <xf numFmtId="0" fontId="48" fillId="75" borderId="128" applyNumberFormat="0" applyAlignment="0" applyProtection="0"/>
    <xf numFmtId="0" fontId="48" fillId="75" borderId="128" applyNumberFormat="0" applyAlignment="0" applyProtection="0"/>
    <xf numFmtId="0" fontId="74" fillId="75" borderId="155" applyNumberFormat="0" applyAlignment="0" applyProtection="0"/>
    <xf numFmtId="0" fontId="48" fillId="78" borderId="128" applyNumberFormat="0" applyAlignment="0" applyProtection="0"/>
    <xf numFmtId="0" fontId="48" fillId="78" borderId="128" applyNumberFormat="0" applyAlignment="0" applyProtection="0"/>
    <xf numFmtId="0" fontId="48" fillId="78" borderId="128" applyNumberFormat="0" applyAlignment="0" applyProtection="0"/>
    <xf numFmtId="0" fontId="48" fillId="75" borderId="128" applyNumberFormat="0" applyAlignment="0" applyProtection="0"/>
    <xf numFmtId="0" fontId="50" fillId="0" borderId="129" applyNumberFormat="0" applyFill="0" applyAlignment="0" applyProtection="0"/>
    <xf numFmtId="0" fontId="50" fillId="0" borderId="129" applyNumberFormat="0" applyFill="0" applyAlignment="0" applyProtection="0"/>
    <xf numFmtId="0" fontId="50" fillId="0" borderId="129" applyNumberFormat="0" applyFill="0" applyAlignment="0" applyProtection="0"/>
    <xf numFmtId="0" fontId="50" fillId="0" borderId="129" applyNumberFormat="0" applyFill="0" applyAlignment="0" applyProtection="0"/>
    <xf numFmtId="0" fontId="50" fillId="0" borderId="129" applyNumberFormat="0" applyFill="0" applyAlignment="0" applyProtection="0"/>
    <xf numFmtId="0" fontId="48" fillId="75" borderId="148" applyNumberFormat="0" applyAlignment="0" applyProtection="0"/>
    <xf numFmtId="0" fontId="72" fillId="44" borderId="123" applyNumberFormat="0" applyAlignment="0" applyProtection="0"/>
    <xf numFmtId="0" fontId="72" fillId="44" borderId="123" applyNumberFormat="0" applyAlignment="0" applyProtection="0"/>
    <xf numFmtId="0" fontId="72" fillId="44" borderId="123" applyNumberFormat="0" applyAlignment="0" applyProtection="0"/>
    <xf numFmtId="0" fontId="73" fillId="92" borderId="128" applyNumberFormat="0" applyAlignment="0" applyProtection="0"/>
    <xf numFmtId="0" fontId="73" fillId="92" borderId="128" applyNumberFormat="0" applyAlignment="0" applyProtection="0"/>
    <xf numFmtId="0" fontId="73" fillId="75" borderId="128" applyNumberFormat="0" applyAlignment="0" applyProtection="0"/>
    <xf numFmtId="0" fontId="74" fillId="92" borderId="123" applyNumberFormat="0" applyAlignment="0" applyProtection="0"/>
    <xf numFmtId="0" fontId="74" fillId="92" borderId="123" applyNumberFormat="0" applyAlignment="0" applyProtection="0"/>
    <xf numFmtId="0" fontId="74" fillId="75" borderId="123" applyNumberFormat="0" applyAlignment="0" applyProtection="0"/>
    <xf numFmtId="0" fontId="66" fillId="86" borderId="164" applyNumberFormat="0" applyFont="0" applyAlignment="0" applyProtection="0"/>
    <xf numFmtId="0" fontId="66" fillId="86" borderId="164" applyNumberFormat="0" applyFont="0" applyAlignment="0" applyProtection="0"/>
    <xf numFmtId="0" fontId="78" fillId="0" borderId="132" applyNumberFormat="0" applyFill="0" applyAlignment="0" applyProtection="0"/>
    <xf numFmtId="0" fontId="78" fillId="0" borderId="132" applyNumberFormat="0" applyFill="0" applyAlignment="0" applyProtection="0"/>
    <xf numFmtId="0" fontId="78" fillId="0" borderId="129" applyNumberFormat="0" applyFill="0" applyAlignment="0" applyProtection="0"/>
    <xf numFmtId="0" fontId="66" fillId="86" borderId="124" applyNumberFormat="0" applyFont="0" applyAlignment="0" applyProtection="0"/>
    <xf numFmtId="0" fontId="66" fillId="86" borderId="124" applyNumberFormat="0" applyFont="0" applyAlignment="0" applyProtection="0"/>
    <xf numFmtId="0" fontId="66" fillId="86" borderId="124" applyNumberFormat="0" applyFont="0" applyAlignment="0" applyProtection="0"/>
    <xf numFmtId="0" fontId="72" fillId="44" borderId="155" applyNumberFormat="0" applyAlignment="0" applyProtection="0"/>
    <xf numFmtId="0" fontId="74" fillId="92" borderId="155" applyNumberFormat="0" applyAlignment="0" applyProtection="0"/>
    <xf numFmtId="0" fontId="66" fillId="75" borderId="155" applyNumberFormat="0" applyAlignment="0" applyProtection="0"/>
    <xf numFmtId="0" fontId="72" fillId="44" borderId="123" applyNumberFormat="0" applyAlignment="0" applyProtection="0"/>
    <xf numFmtId="0" fontId="72" fillId="44" borderId="123" applyNumberFormat="0" applyAlignment="0" applyProtection="0"/>
    <xf numFmtId="0" fontId="72" fillId="44" borderId="123" applyNumberFormat="0" applyAlignment="0" applyProtection="0"/>
    <xf numFmtId="0" fontId="72" fillId="44" borderId="123" applyNumberFormat="0" applyAlignment="0" applyProtection="0"/>
    <xf numFmtId="0" fontId="72" fillId="44" borderId="123" applyNumberFormat="0" applyAlignment="0" applyProtection="0"/>
    <xf numFmtId="0" fontId="72" fillId="44" borderId="123" applyNumberFormat="0" applyAlignment="0" applyProtection="0"/>
    <xf numFmtId="0" fontId="72" fillId="44" borderId="123" applyNumberFormat="0" applyAlignment="0" applyProtection="0"/>
    <xf numFmtId="0" fontId="72" fillId="44" borderId="123" applyNumberFormat="0" applyAlignment="0" applyProtection="0"/>
    <xf numFmtId="0" fontId="66" fillId="44" borderId="123" applyNumberFormat="0" applyAlignment="0" applyProtection="0"/>
    <xf numFmtId="0" fontId="66" fillId="44" borderId="123" applyNumberFormat="0" applyAlignment="0" applyProtection="0"/>
    <xf numFmtId="0" fontId="66" fillId="44" borderId="123" applyNumberFormat="0" applyAlignment="0" applyProtection="0"/>
    <xf numFmtId="0" fontId="66" fillId="44" borderId="123" applyNumberFormat="0" applyAlignment="0" applyProtection="0"/>
    <xf numFmtId="0" fontId="66" fillId="44" borderId="123" applyNumberFormat="0" applyAlignment="0" applyProtection="0"/>
    <xf numFmtId="0" fontId="66" fillId="44" borderId="123" applyNumberFormat="0" applyAlignment="0" applyProtection="0"/>
    <xf numFmtId="0" fontId="66" fillId="44" borderId="123" applyNumberFormat="0" applyAlignment="0" applyProtection="0"/>
    <xf numFmtId="0" fontId="66" fillId="44" borderId="123" applyNumberFormat="0" applyAlignment="0" applyProtection="0"/>
    <xf numFmtId="0" fontId="72" fillId="44" borderId="123" applyNumberFormat="0" applyAlignment="0" applyProtection="0"/>
    <xf numFmtId="0" fontId="72" fillId="44" borderId="123" applyNumberFormat="0" applyAlignment="0" applyProtection="0"/>
    <xf numFmtId="0" fontId="72" fillId="44" borderId="123" applyNumberFormat="0" applyAlignment="0" applyProtection="0"/>
    <xf numFmtId="0" fontId="72" fillId="44" borderId="123" applyNumberFormat="0" applyAlignment="0" applyProtection="0"/>
    <xf numFmtId="0" fontId="72" fillId="44" borderId="123" applyNumberFormat="0" applyAlignment="0" applyProtection="0"/>
    <xf numFmtId="0" fontId="72" fillId="44" borderId="123" applyNumberFormat="0" applyAlignment="0" applyProtection="0"/>
    <xf numFmtId="0" fontId="66" fillId="44" borderId="123" applyNumberFormat="0" applyAlignment="0" applyProtection="0"/>
    <xf numFmtId="0" fontId="66" fillId="44" borderId="123" applyNumberFormat="0" applyAlignment="0" applyProtection="0"/>
    <xf numFmtId="0" fontId="66" fillId="44" borderId="123" applyNumberFormat="0" applyAlignment="0" applyProtection="0"/>
    <xf numFmtId="0" fontId="66" fillId="44" borderId="123" applyNumberFormat="0" applyAlignment="0" applyProtection="0"/>
    <xf numFmtId="0" fontId="66" fillId="44" borderId="123" applyNumberFormat="0" applyAlignment="0" applyProtection="0"/>
    <xf numFmtId="0" fontId="66" fillId="44" borderId="123" applyNumberFormat="0" applyAlignment="0" applyProtection="0"/>
    <xf numFmtId="0" fontId="66" fillId="44" borderId="123" applyNumberFormat="0" applyAlignment="0" applyProtection="0"/>
    <xf numFmtId="0" fontId="66" fillId="44" borderId="123" applyNumberFormat="0" applyAlignment="0" applyProtection="0"/>
    <xf numFmtId="0" fontId="72" fillId="44" borderId="123" applyNumberFormat="0" applyAlignment="0" applyProtection="0"/>
    <xf numFmtId="0" fontId="72" fillId="44" borderId="123" applyNumberFormat="0" applyAlignment="0" applyProtection="0"/>
    <xf numFmtId="0" fontId="72" fillId="44" borderId="123" applyNumberFormat="0" applyAlignment="0" applyProtection="0"/>
    <xf numFmtId="0" fontId="72" fillId="44" borderId="123" applyNumberFormat="0" applyAlignment="0" applyProtection="0"/>
    <xf numFmtId="0" fontId="72" fillId="44" borderId="123" applyNumberFormat="0" applyAlignment="0" applyProtection="0"/>
    <xf numFmtId="0" fontId="72" fillId="44" borderId="123" applyNumberFormat="0" applyAlignment="0" applyProtection="0"/>
    <xf numFmtId="0" fontId="66" fillId="44" borderId="123" applyNumberFormat="0" applyAlignment="0" applyProtection="0"/>
    <xf numFmtId="0" fontId="66" fillId="44" borderId="123" applyNumberFormat="0" applyAlignment="0" applyProtection="0"/>
    <xf numFmtId="0" fontId="72" fillId="44" borderId="123" applyNumberFormat="0" applyAlignment="0" applyProtection="0"/>
    <xf numFmtId="0" fontId="66" fillId="44" borderId="123" applyNumberFormat="0" applyAlignment="0" applyProtection="0"/>
    <xf numFmtId="0" fontId="72" fillId="44" borderId="123" applyNumberFormat="0" applyAlignment="0" applyProtection="0"/>
    <xf numFmtId="0" fontId="72" fillId="44" borderId="123" applyNumberFormat="0" applyAlignment="0" applyProtection="0"/>
    <xf numFmtId="0" fontId="72" fillId="44" borderId="123" applyNumberFormat="0" applyAlignment="0" applyProtection="0"/>
    <xf numFmtId="0" fontId="72" fillId="44" borderId="123" applyNumberFormat="0" applyAlignment="0" applyProtection="0"/>
    <xf numFmtId="0" fontId="72" fillId="44" borderId="123" applyNumberFormat="0" applyAlignment="0" applyProtection="0"/>
    <xf numFmtId="0" fontId="72" fillId="44" borderId="123" applyNumberFormat="0" applyAlignment="0" applyProtection="0"/>
    <xf numFmtId="0" fontId="72" fillId="44" borderId="123" applyNumberFormat="0" applyAlignment="0" applyProtection="0"/>
    <xf numFmtId="0" fontId="72" fillId="44" borderId="123" applyNumberFormat="0" applyAlignment="0" applyProtection="0"/>
    <xf numFmtId="0" fontId="72" fillId="44" borderId="123" applyNumberFormat="0" applyAlignment="0" applyProtection="0"/>
    <xf numFmtId="0" fontId="72" fillId="44" borderId="123" applyNumberFormat="0" applyAlignment="0" applyProtection="0"/>
    <xf numFmtId="0" fontId="72" fillId="44" borderId="123" applyNumberFormat="0" applyAlignment="0" applyProtection="0"/>
    <xf numFmtId="0" fontId="72" fillId="44" borderId="123" applyNumberFormat="0" applyAlignment="0" applyProtection="0"/>
    <xf numFmtId="0" fontId="72" fillId="44" borderId="123" applyNumberFormat="0" applyAlignment="0" applyProtection="0"/>
    <xf numFmtId="0" fontId="72" fillId="44" borderId="123" applyNumberFormat="0" applyAlignment="0" applyProtection="0"/>
    <xf numFmtId="0" fontId="66" fillId="44" borderId="123" applyNumberFormat="0" applyAlignment="0" applyProtection="0"/>
    <xf numFmtId="0" fontId="66" fillId="44" borderId="123" applyNumberFormat="0" applyAlignment="0" applyProtection="0"/>
    <xf numFmtId="0" fontId="72" fillId="44" borderId="123" applyNumberFormat="0" applyAlignment="0" applyProtection="0"/>
    <xf numFmtId="0" fontId="66" fillId="44" borderId="123" applyNumberFormat="0" applyAlignment="0" applyProtection="0"/>
    <xf numFmtId="0" fontId="72" fillId="44" borderId="123" applyNumberFormat="0" applyAlignment="0" applyProtection="0"/>
    <xf numFmtId="0" fontId="72" fillId="44" borderId="123" applyNumberFormat="0" applyAlignment="0" applyProtection="0"/>
    <xf numFmtId="0" fontId="72" fillId="44" borderId="123" applyNumberFormat="0" applyAlignment="0" applyProtection="0"/>
    <xf numFmtId="0" fontId="72" fillId="44" borderId="123" applyNumberFormat="0" applyAlignment="0" applyProtection="0"/>
    <xf numFmtId="0" fontId="72" fillId="44" borderId="123" applyNumberFormat="0" applyAlignment="0" applyProtection="0"/>
    <xf numFmtId="0" fontId="72" fillId="44" borderId="123" applyNumberFormat="0" applyAlignment="0" applyProtection="0"/>
    <xf numFmtId="0" fontId="72" fillId="44" borderId="123" applyNumberFormat="0" applyAlignment="0" applyProtection="0"/>
    <xf numFmtId="0" fontId="72" fillId="44" borderId="123" applyNumberFormat="0" applyAlignment="0" applyProtection="0"/>
    <xf numFmtId="0" fontId="72" fillId="44" borderId="123" applyNumberFormat="0" applyAlignment="0" applyProtection="0"/>
    <xf numFmtId="0" fontId="72" fillId="44" borderId="123" applyNumberFormat="0" applyAlignment="0" applyProtection="0"/>
    <xf numFmtId="0" fontId="72" fillId="44" borderId="123" applyNumberFormat="0" applyAlignment="0" applyProtection="0"/>
    <xf numFmtId="0" fontId="73" fillId="75" borderId="128" applyNumberFormat="0" applyAlignment="0" applyProtection="0"/>
    <xf numFmtId="0" fontId="73" fillId="75" borderId="128" applyNumberFormat="0" applyAlignment="0" applyProtection="0"/>
    <xf numFmtId="0" fontId="73" fillId="75" borderId="128" applyNumberFormat="0" applyAlignment="0" applyProtection="0"/>
    <xf numFmtId="0" fontId="73" fillId="75" borderId="128" applyNumberFormat="0" applyAlignment="0" applyProtection="0"/>
    <xf numFmtId="0" fontId="73" fillId="75" borderId="128" applyNumberFormat="0" applyAlignment="0" applyProtection="0"/>
    <xf numFmtId="0" fontId="73" fillId="75" borderId="128" applyNumberFormat="0" applyAlignment="0" applyProtection="0"/>
    <xf numFmtId="0" fontId="73" fillId="75" borderId="128" applyNumberFormat="0" applyAlignment="0" applyProtection="0"/>
    <xf numFmtId="0" fontId="73" fillId="75" borderId="128" applyNumberFormat="0" applyAlignment="0" applyProtection="0"/>
    <xf numFmtId="0" fontId="66" fillId="75" borderId="128" applyNumberFormat="0" applyAlignment="0" applyProtection="0"/>
    <xf numFmtId="0" fontId="66" fillId="75" borderId="128" applyNumberFormat="0" applyAlignment="0" applyProtection="0"/>
    <xf numFmtId="0" fontId="66" fillId="75" borderId="128" applyNumberFormat="0" applyAlignment="0" applyProtection="0"/>
    <xf numFmtId="0" fontId="66" fillId="75" borderId="128" applyNumberFormat="0" applyAlignment="0" applyProtection="0"/>
    <xf numFmtId="0" fontId="66" fillId="75" borderId="128" applyNumberFormat="0" applyAlignment="0" applyProtection="0"/>
    <xf numFmtId="0" fontId="66" fillId="75" borderId="128" applyNumberFormat="0" applyAlignment="0" applyProtection="0"/>
    <xf numFmtId="0" fontId="66" fillId="75" borderId="128" applyNumberFormat="0" applyAlignment="0" applyProtection="0"/>
    <xf numFmtId="0" fontId="66" fillId="75" borderId="128" applyNumberFormat="0" applyAlignment="0" applyProtection="0"/>
    <xf numFmtId="0" fontId="73" fillId="75" borderId="128" applyNumberFormat="0" applyAlignment="0" applyProtection="0"/>
    <xf numFmtId="0" fontId="73" fillId="75" borderId="128" applyNumberFormat="0" applyAlignment="0" applyProtection="0"/>
    <xf numFmtId="0" fontId="73" fillId="75" borderId="128" applyNumberFormat="0" applyAlignment="0" applyProtection="0"/>
    <xf numFmtId="0" fontId="73" fillId="75" borderId="128" applyNumberFormat="0" applyAlignment="0" applyProtection="0"/>
    <xf numFmtId="0" fontId="73" fillId="92" borderId="128" applyNumberFormat="0" applyAlignment="0" applyProtection="0"/>
    <xf numFmtId="0" fontId="73" fillId="92" borderId="128" applyNumberFormat="0" applyAlignment="0" applyProtection="0"/>
    <xf numFmtId="0" fontId="66" fillId="92" borderId="128" applyNumberFormat="0" applyAlignment="0" applyProtection="0"/>
    <xf numFmtId="0" fontId="66" fillId="92" borderId="128" applyNumberFormat="0" applyAlignment="0" applyProtection="0"/>
    <xf numFmtId="0" fontId="66" fillId="92" borderId="128" applyNumberFormat="0" applyAlignment="0" applyProtection="0"/>
    <xf numFmtId="0" fontId="66" fillId="92" borderId="128" applyNumberFormat="0" applyAlignment="0" applyProtection="0"/>
    <xf numFmtId="0" fontId="66" fillId="92" borderId="128" applyNumberFormat="0" applyAlignment="0" applyProtection="0"/>
    <xf numFmtId="0" fontId="66" fillId="92" borderId="128" applyNumberFormat="0" applyAlignment="0" applyProtection="0"/>
    <xf numFmtId="0" fontId="66" fillId="92" borderId="128" applyNumberFormat="0" applyAlignment="0" applyProtection="0"/>
    <xf numFmtId="0" fontId="66" fillId="92" borderId="128" applyNumberFormat="0" applyAlignment="0" applyProtection="0"/>
    <xf numFmtId="0" fontId="73" fillId="92" borderId="128" applyNumberFormat="0" applyAlignment="0" applyProtection="0"/>
    <xf numFmtId="0" fontId="73" fillId="92" borderId="128" applyNumberFormat="0" applyAlignment="0" applyProtection="0"/>
    <xf numFmtId="0" fontId="73" fillId="92" borderId="128" applyNumberFormat="0" applyAlignment="0" applyProtection="0"/>
    <xf numFmtId="0" fontId="73" fillId="92" borderId="128" applyNumberFormat="0" applyAlignment="0" applyProtection="0"/>
    <xf numFmtId="0" fontId="73" fillId="92" borderId="128" applyNumberFormat="0" applyAlignment="0" applyProtection="0"/>
    <xf numFmtId="0" fontId="73" fillId="92" borderId="128" applyNumberFormat="0" applyAlignment="0" applyProtection="0"/>
    <xf numFmtId="0" fontId="66" fillId="92" borderId="128" applyNumberFormat="0" applyAlignment="0" applyProtection="0"/>
    <xf numFmtId="0" fontId="66" fillId="92" borderId="128" applyNumberFormat="0" applyAlignment="0" applyProtection="0"/>
    <xf numFmtId="0" fontId="73" fillId="75" borderId="128" applyNumberFormat="0" applyAlignment="0" applyProtection="0"/>
    <xf numFmtId="0" fontId="73" fillId="92" borderId="128" applyNumberFormat="0" applyAlignment="0" applyProtection="0"/>
    <xf numFmtId="0" fontId="66" fillId="92" borderId="128" applyNumberFormat="0" applyAlignment="0" applyProtection="0"/>
    <xf numFmtId="0" fontId="73" fillId="92" borderId="128" applyNumberFormat="0" applyAlignment="0" applyProtection="0"/>
    <xf numFmtId="0" fontId="73" fillId="92" borderId="128" applyNumberFormat="0" applyAlignment="0" applyProtection="0"/>
    <xf numFmtId="0" fontId="73" fillId="92" borderId="128" applyNumberFormat="0" applyAlignment="0" applyProtection="0"/>
    <xf numFmtId="0" fontId="73" fillId="92" borderId="128" applyNumberFormat="0" applyAlignment="0" applyProtection="0"/>
    <xf numFmtId="0" fontId="73" fillId="92" borderId="128" applyNumberFormat="0" applyAlignment="0" applyProtection="0"/>
    <xf numFmtId="0" fontId="73" fillId="92" borderId="128" applyNumberFormat="0" applyAlignment="0" applyProtection="0"/>
    <xf numFmtId="0" fontId="73" fillId="92" borderId="128" applyNumberFormat="0" applyAlignment="0" applyProtection="0"/>
    <xf numFmtId="0" fontId="73" fillId="92" borderId="128" applyNumberFormat="0" applyAlignment="0" applyProtection="0"/>
    <xf numFmtId="0" fontId="73" fillId="92" borderId="128" applyNumberFormat="0" applyAlignment="0" applyProtection="0"/>
    <xf numFmtId="0" fontId="73" fillId="92" borderId="128" applyNumberFormat="0" applyAlignment="0" applyProtection="0"/>
    <xf numFmtId="0" fontId="73" fillId="92" borderId="128" applyNumberFormat="0" applyAlignment="0" applyProtection="0"/>
    <xf numFmtId="0" fontId="73" fillId="92" borderId="128" applyNumberFormat="0" applyAlignment="0" applyProtection="0"/>
    <xf numFmtId="0" fontId="73" fillId="75" borderId="128" applyNumberFormat="0" applyAlignment="0" applyProtection="0"/>
    <xf numFmtId="0" fontId="73" fillId="75" borderId="128" applyNumberFormat="0" applyAlignment="0" applyProtection="0"/>
    <xf numFmtId="0" fontId="66" fillId="75" borderId="128" applyNumberFormat="0" applyAlignment="0" applyProtection="0"/>
    <xf numFmtId="0" fontId="66" fillId="75" borderId="128" applyNumberFormat="0" applyAlignment="0" applyProtection="0"/>
    <xf numFmtId="0" fontId="73" fillId="75" borderId="128" applyNumberFormat="0" applyAlignment="0" applyProtection="0"/>
    <xf numFmtId="0" fontId="66" fillId="75" borderId="128" applyNumberFormat="0" applyAlignment="0" applyProtection="0"/>
    <xf numFmtId="0" fontId="73" fillId="75" borderId="128" applyNumberFormat="0" applyAlignment="0" applyProtection="0"/>
    <xf numFmtId="0" fontId="73" fillId="75" borderId="128" applyNumberFormat="0" applyAlignment="0" applyProtection="0"/>
    <xf numFmtId="0" fontId="73" fillId="75" borderId="128" applyNumberFormat="0" applyAlignment="0" applyProtection="0"/>
    <xf numFmtId="0" fontId="73" fillId="75" borderId="128" applyNumberFormat="0" applyAlignment="0" applyProtection="0"/>
    <xf numFmtId="0" fontId="73" fillId="75" borderId="128" applyNumberFormat="0" applyAlignment="0" applyProtection="0"/>
    <xf numFmtId="0" fontId="73" fillId="75" borderId="128" applyNumberFormat="0" applyAlignment="0" applyProtection="0"/>
    <xf numFmtId="0" fontId="73" fillId="75" borderId="128" applyNumberFormat="0" applyAlignment="0" applyProtection="0"/>
    <xf numFmtId="0" fontId="73" fillId="75" borderId="128" applyNumberFormat="0" applyAlignment="0" applyProtection="0"/>
    <xf numFmtId="0" fontId="73" fillId="75" borderId="128" applyNumberFormat="0" applyAlignment="0" applyProtection="0"/>
    <xf numFmtId="0" fontId="73" fillId="75" borderId="128" applyNumberFormat="0" applyAlignment="0" applyProtection="0"/>
    <xf numFmtId="0" fontId="73" fillId="75" borderId="128" applyNumberFormat="0" applyAlignment="0" applyProtection="0"/>
    <xf numFmtId="0" fontId="74" fillId="75" borderId="123" applyNumberFormat="0" applyAlignment="0" applyProtection="0"/>
    <xf numFmtId="0" fontId="74" fillId="75" borderId="123" applyNumberFormat="0" applyAlignment="0" applyProtection="0"/>
    <xf numFmtId="0" fontId="74" fillId="75" borderId="123" applyNumberFormat="0" applyAlignment="0" applyProtection="0"/>
    <xf numFmtId="0" fontId="74" fillId="75" borderId="123" applyNumberFormat="0" applyAlignment="0" applyProtection="0"/>
    <xf numFmtId="0" fontId="74" fillId="75" borderId="123" applyNumberFormat="0" applyAlignment="0" applyProtection="0"/>
    <xf numFmtId="0" fontId="74" fillId="75" borderId="123" applyNumberFormat="0" applyAlignment="0" applyProtection="0"/>
    <xf numFmtId="0" fontId="74" fillId="75" borderId="123" applyNumberFormat="0" applyAlignment="0" applyProtection="0"/>
    <xf numFmtId="0" fontId="74" fillId="75" borderId="123" applyNumberFormat="0" applyAlignment="0" applyProtection="0"/>
    <xf numFmtId="0" fontId="66" fillId="75" borderId="123" applyNumberFormat="0" applyAlignment="0" applyProtection="0"/>
    <xf numFmtId="0" fontId="66" fillId="75" borderId="123" applyNumberFormat="0" applyAlignment="0" applyProtection="0"/>
    <xf numFmtId="0" fontId="66" fillId="75" borderId="123" applyNumberFormat="0" applyAlignment="0" applyProtection="0"/>
    <xf numFmtId="0" fontId="66" fillId="75" borderId="123" applyNumberFormat="0" applyAlignment="0" applyProtection="0"/>
    <xf numFmtId="0" fontId="66" fillId="75" borderId="123" applyNumberFormat="0" applyAlignment="0" applyProtection="0"/>
    <xf numFmtId="0" fontId="66" fillId="75" borderId="123" applyNumberFormat="0" applyAlignment="0" applyProtection="0"/>
    <xf numFmtId="0" fontId="66" fillId="75" borderId="123" applyNumberFormat="0" applyAlignment="0" applyProtection="0"/>
    <xf numFmtId="0" fontId="66" fillId="75" borderId="123" applyNumberFormat="0" applyAlignment="0" applyProtection="0"/>
    <xf numFmtId="0" fontId="74" fillId="75" borderId="123" applyNumberFormat="0" applyAlignment="0" applyProtection="0"/>
    <xf numFmtId="0" fontId="74" fillId="75" borderId="123" applyNumberFormat="0" applyAlignment="0" applyProtection="0"/>
    <xf numFmtId="0" fontId="74" fillId="75" borderId="123" applyNumberFormat="0" applyAlignment="0" applyProtection="0"/>
    <xf numFmtId="0" fontId="74" fillId="75" borderId="123" applyNumberFormat="0" applyAlignment="0" applyProtection="0"/>
    <xf numFmtId="0" fontId="74" fillId="92" borderId="123" applyNumberFormat="0" applyAlignment="0" applyProtection="0"/>
    <xf numFmtId="0" fontId="74" fillId="92" borderId="123" applyNumberFormat="0" applyAlignment="0" applyProtection="0"/>
    <xf numFmtId="0" fontId="66" fillId="92" borderId="123" applyNumberFormat="0" applyAlignment="0" applyProtection="0"/>
    <xf numFmtId="0" fontId="66" fillId="92" borderId="123" applyNumberFormat="0" applyAlignment="0" applyProtection="0"/>
    <xf numFmtId="0" fontId="66" fillId="92" borderId="123" applyNumberFormat="0" applyAlignment="0" applyProtection="0"/>
    <xf numFmtId="0" fontId="66" fillId="92" borderId="123" applyNumberFormat="0" applyAlignment="0" applyProtection="0"/>
    <xf numFmtId="0" fontId="66" fillId="92" borderId="123" applyNumberFormat="0" applyAlignment="0" applyProtection="0"/>
    <xf numFmtId="0" fontId="66" fillId="92" borderId="123" applyNumberFormat="0" applyAlignment="0" applyProtection="0"/>
    <xf numFmtId="0" fontId="66" fillId="92" borderId="123" applyNumberFormat="0" applyAlignment="0" applyProtection="0"/>
    <xf numFmtId="0" fontId="66" fillId="92" borderId="123" applyNumberFormat="0" applyAlignment="0" applyProtection="0"/>
    <xf numFmtId="0" fontId="74" fillId="92" borderId="123" applyNumberFormat="0" applyAlignment="0" applyProtection="0"/>
    <xf numFmtId="0" fontId="74" fillId="92" borderId="123" applyNumberFormat="0" applyAlignment="0" applyProtection="0"/>
    <xf numFmtId="0" fontId="74" fillId="92" borderId="123" applyNumberFormat="0" applyAlignment="0" applyProtection="0"/>
    <xf numFmtId="0" fontId="74" fillId="92" borderId="123" applyNumberFormat="0" applyAlignment="0" applyProtection="0"/>
    <xf numFmtId="0" fontId="74" fillId="92" borderId="123" applyNumberFormat="0" applyAlignment="0" applyProtection="0"/>
    <xf numFmtId="0" fontId="74" fillId="92" borderId="123" applyNumberFormat="0" applyAlignment="0" applyProtection="0"/>
    <xf numFmtId="0" fontId="66" fillId="92" borderId="123" applyNumberFormat="0" applyAlignment="0" applyProtection="0"/>
    <xf numFmtId="0" fontId="66" fillId="92" borderId="123" applyNumberFormat="0" applyAlignment="0" applyProtection="0"/>
    <xf numFmtId="0" fontId="74" fillId="75" borderId="123" applyNumberFormat="0" applyAlignment="0" applyProtection="0"/>
    <xf numFmtId="0" fontId="74" fillId="92" borderId="123" applyNumberFormat="0" applyAlignment="0" applyProtection="0"/>
    <xf numFmtId="0" fontId="66" fillId="92" borderId="123" applyNumberFormat="0" applyAlignment="0" applyProtection="0"/>
    <xf numFmtId="0" fontId="74" fillId="92" borderId="123" applyNumberFormat="0" applyAlignment="0" applyProtection="0"/>
    <xf numFmtId="0" fontId="74" fillId="92" borderId="123" applyNumberFormat="0" applyAlignment="0" applyProtection="0"/>
    <xf numFmtId="0" fontId="74" fillId="92" borderId="123" applyNumberFormat="0" applyAlignment="0" applyProtection="0"/>
    <xf numFmtId="0" fontId="74" fillId="92" borderId="123" applyNumberFormat="0" applyAlignment="0" applyProtection="0"/>
    <xf numFmtId="0" fontId="74" fillId="92" borderId="123" applyNumberFormat="0" applyAlignment="0" applyProtection="0"/>
    <xf numFmtId="0" fontId="74" fillId="92" borderId="123" applyNumberFormat="0" applyAlignment="0" applyProtection="0"/>
    <xf numFmtId="0" fontId="74" fillId="92" borderId="123" applyNumberFormat="0" applyAlignment="0" applyProtection="0"/>
    <xf numFmtId="0" fontId="74" fillId="92" borderId="123" applyNumberFormat="0" applyAlignment="0" applyProtection="0"/>
    <xf numFmtId="0" fontId="74" fillId="92" borderId="123" applyNumberFormat="0" applyAlignment="0" applyProtection="0"/>
    <xf numFmtId="0" fontId="74" fillId="92" borderId="123" applyNumberFormat="0" applyAlignment="0" applyProtection="0"/>
    <xf numFmtId="0" fontId="74" fillId="92" borderId="123" applyNumberFormat="0" applyAlignment="0" applyProtection="0"/>
    <xf numFmtId="0" fontId="74" fillId="92" borderId="123" applyNumberFormat="0" applyAlignment="0" applyProtection="0"/>
    <xf numFmtId="0" fontId="74" fillId="75" borderId="123" applyNumberFormat="0" applyAlignment="0" applyProtection="0"/>
    <xf numFmtId="0" fontId="74" fillId="75" borderId="123" applyNumberFormat="0" applyAlignment="0" applyProtection="0"/>
    <xf numFmtId="0" fontId="66" fillId="75" borderId="123" applyNumberFormat="0" applyAlignment="0" applyProtection="0"/>
    <xf numFmtId="0" fontId="66" fillId="75" borderId="123" applyNumberFormat="0" applyAlignment="0" applyProtection="0"/>
    <xf numFmtId="0" fontId="74" fillId="75" borderId="123" applyNumberFormat="0" applyAlignment="0" applyProtection="0"/>
    <xf numFmtId="0" fontId="66" fillId="75" borderId="123" applyNumberFormat="0" applyAlignment="0" applyProtection="0"/>
    <xf numFmtId="0" fontId="74" fillId="75" borderId="123" applyNumberFormat="0" applyAlignment="0" applyProtection="0"/>
    <xf numFmtId="0" fontId="74" fillId="75" borderId="123" applyNumberFormat="0" applyAlignment="0" applyProtection="0"/>
    <xf numFmtId="0" fontId="74" fillId="75" borderId="123" applyNumberFormat="0" applyAlignment="0" applyProtection="0"/>
    <xf numFmtId="0" fontId="74" fillId="75" borderId="123" applyNumberFormat="0" applyAlignment="0" applyProtection="0"/>
    <xf numFmtId="0" fontId="74" fillId="75" borderId="123" applyNumberFormat="0" applyAlignment="0" applyProtection="0"/>
    <xf numFmtId="0" fontId="74" fillId="75" borderId="123" applyNumberFormat="0" applyAlignment="0" applyProtection="0"/>
    <xf numFmtId="0" fontId="74" fillId="75" borderId="123" applyNumberFormat="0" applyAlignment="0" applyProtection="0"/>
    <xf numFmtId="0" fontId="74" fillId="75" borderId="123" applyNumberFormat="0" applyAlignment="0" applyProtection="0"/>
    <xf numFmtId="0" fontId="74" fillId="75" borderId="123" applyNumberFormat="0" applyAlignment="0" applyProtection="0"/>
    <xf numFmtId="0" fontId="74" fillId="75" borderId="123" applyNumberFormat="0" applyAlignment="0" applyProtection="0"/>
    <xf numFmtId="0" fontId="74" fillId="75" borderId="123" applyNumberFormat="0" applyAlignment="0" applyProtection="0"/>
    <xf numFmtId="0" fontId="78" fillId="0" borderId="129" applyNumberFormat="0" applyFill="0" applyAlignment="0" applyProtection="0"/>
    <xf numFmtId="0" fontId="78" fillId="0" borderId="129" applyNumberFormat="0" applyFill="0" applyAlignment="0" applyProtection="0"/>
    <xf numFmtId="0" fontId="78" fillId="0" borderId="129" applyNumberFormat="0" applyFill="0" applyAlignment="0" applyProtection="0"/>
    <xf numFmtId="0" fontId="78" fillId="0" borderId="129" applyNumberFormat="0" applyFill="0" applyAlignment="0" applyProtection="0"/>
    <xf numFmtId="0" fontId="78" fillId="0" borderId="129" applyNumberFormat="0" applyFill="0" applyAlignment="0" applyProtection="0"/>
    <xf numFmtId="0" fontId="78" fillId="0" borderId="129" applyNumberFormat="0" applyFill="0" applyAlignment="0" applyProtection="0"/>
    <xf numFmtId="0" fontId="78" fillId="0" borderId="129" applyNumberFormat="0" applyFill="0" applyAlignment="0" applyProtection="0"/>
    <xf numFmtId="0" fontId="78" fillId="0" borderId="129" applyNumberFormat="0" applyFill="0" applyAlignment="0" applyProtection="0"/>
    <xf numFmtId="0" fontId="66" fillId="0" borderId="129" applyNumberFormat="0" applyFill="0" applyAlignment="0" applyProtection="0"/>
    <xf numFmtId="0" fontId="66" fillId="0" borderId="129" applyNumberFormat="0" applyFill="0" applyAlignment="0" applyProtection="0"/>
    <xf numFmtId="0" fontId="66" fillId="0" borderId="129" applyNumberFormat="0" applyFill="0" applyAlignment="0" applyProtection="0"/>
    <xf numFmtId="0" fontId="66" fillId="0" borderId="129" applyNumberFormat="0" applyFill="0" applyAlignment="0" applyProtection="0"/>
    <xf numFmtId="0" fontId="66" fillId="0" borderId="129" applyNumberFormat="0" applyFill="0" applyAlignment="0" applyProtection="0"/>
    <xf numFmtId="0" fontId="66" fillId="0" borderId="129" applyNumberFormat="0" applyFill="0" applyAlignment="0" applyProtection="0"/>
    <xf numFmtId="0" fontId="66" fillId="0" borderId="129" applyNumberFormat="0" applyFill="0" applyAlignment="0" applyProtection="0"/>
    <xf numFmtId="0" fontId="66" fillId="0" borderId="129" applyNumberFormat="0" applyFill="0" applyAlignment="0" applyProtection="0"/>
    <xf numFmtId="0" fontId="78" fillId="0" borderId="129" applyNumberFormat="0" applyFill="0" applyAlignment="0" applyProtection="0"/>
    <xf numFmtId="0" fontId="78" fillId="0" borderId="129" applyNumberFormat="0" applyFill="0" applyAlignment="0" applyProtection="0"/>
    <xf numFmtId="0" fontId="78" fillId="0" borderId="129" applyNumberFormat="0" applyFill="0" applyAlignment="0" applyProtection="0"/>
    <xf numFmtId="0" fontId="78" fillId="0" borderId="129" applyNumberFormat="0" applyFill="0" applyAlignment="0" applyProtection="0"/>
    <xf numFmtId="0" fontId="78" fillId="0" borderId="132" applyNumberFormat="0" applyFill="0" applyAlignment="0" applyProtection="0"/>
    <xf numFmtId="0" fontId="78" fillId="0" borderId="132" applyNumberFormat="0" applyFill="0" applyAlignment="0" applyProtection="0"/>
    <xf numFmtId="0" fontId="66" fillId="0" borderId="132" applyNumberFormat="0" applyFill="0" applyAlignment="0" applyProtection="0"/>
    <xf numFmtId="0" fontId="66" fillId="0" borderId="132" applyNumberFormat="0" applyFill="0" applyAlignment="0" applyProtection="0"/>
    <xf numFmtId="0" fontId="66" fillId="0" borderId="132" applyNumberFormat="0" applyFill="0" applyAlignment="0" applyProtection="0"/>
    <xf numFmtId="0" fontId="66" fillId="0" borderId="132" applyNumberFormat="0" applyFill="0" applyAlignment="0" applyProtection="0"/>
    <xf numFmtId="0" fontId="66" fillId="0" borderId="132" applyNumberFormat="0" applyFill="0" applyAlignment="0" applyProtection="0"/>
    <xf numFmtId="0" fontId="66" fillId="0" borderId="132" applyNumberFormat="0" applyFill="0" applyAlignment="0" applyProtection="0"/>
    <xf numFmtId="0" fontId="66" fillId="0" borderId="132" applyNumberFormat="0" applyFill="0" applyAlignment="0" applyProtection="0"/>
    <xf numFmtId="0" fontId="66" fillId="0" borderId="132" applyNumberFormat="0" applyFill="0" applyAlignment="0" applyProtection="0"/>
    <xf numFmtId="0" fontId="78" fillId="0" borderId="132" applyNumberFormat="0" applyFill="0" applyAlignment="0" applyProtection="0"/>
    <xf numFmtId="0" fontId="78" fillId="0" borderId="132" applyNumberFormat="0" applyFill="0" applyAlignment="0" applyProtection="0"/>
    <xf numFmtId="0" fontId="78" fillId="0" borderId="132" applyNumberFormat="0" applyFill="0" applyAlignment="0" applyProtection="0"/>
    <xf numFmtId="0" fontId="78" fillId="0" borderId="132" applyNumberFormat="0" applyFill="0" applyAlignment="0" applyProtection="0"/>
    <xf numFmtId="0" fontId="78" fillId="0" borderId="132" applyNumberFormat="0" applyFill="0" applyAlignment="0" applyProtection="0"/>
    <xf numFmtId="0" fontId="78" fillId="0" borderId="132" applyNumberFormat="0" applyFill="0" applyAlignment="0" applyProtection="0"/>
    <xf numFmtId="0" fontId="66" fillId="0" borderId="132" applyNumberFormat="0" applyFill="0" applyAlignment="0" applyProtection="0"/>
    <xf numFmtId="0" fontId="66" fillId="0" borderId="132" applyNumberFormat="0" applyFill="0" applyAlignment="0" applyProtection="0"/>
    <xf numFmtId="0" fontId="78" fillId="0" borderId="129" applyNumberFormat="0" applyFill="0" applyAlignment="0" applyProtection="0"/>
    <xf numFmtId="0" fontId="78" fillId="0" borderId="132" applyNumberFormat="0" applyFill="0" applyAlignment="0" applyProtection="0"/>
    <xf numFmtId="0" fontId="66" fillId="0" borderId="132" applyNumberFormat="0" applyFill="0" applyAlignment="0" applyProtection="0"/>
    <xf numFmtId="0" fontId="78" fillId="0" borderId="132" applyNumberFormat="0" applyFill="0" applyAlignment="0" applyProtection="0"/>
    <xf numFmtId="0" fontId="78" fillId="0" borderId="132" applyNumberFormat="0" applyFill="0" applyAlignment="0" applyProtection="0"/>
    <xf numFmtId="0" fontId="78" fillId="0" borderId="132" applyNumberFormat="0" applyFill="0" applyAlignment="0" applyProtection="0"/>
    <xf numFmtId="0" fontId="78" fillId="0" borderId="132" applyNumberFormat="0" applyFill="0" applyAlignment="0" applyProtection="0"/>
    <xf numFmtId="0" fontId="78" fillId="0" borderId="132" applyNumberFormat="0" applyFill="0" applyAlignment="0" applyProtection="0"/>
    <xf numFmtId="0" fontId="78" fillId="0" borderId="132" applyNumberFormat="0" applyFill="0" applyAlignment="0" applyProtection="0"/>
    <xf numFmtId="0" fontId="78" fillId="0" borderId="132" applyNumberFormat="0" applyFill="0" applyAlignment="0" applyProtection="0"/>
    <xf numFmtId="0" fontId="78" fillId="0" borderId="132" applyNumberFormat="0" applyFill="0" applyAlignment="0" applyProtection="0"/>
    <xf numFmtId="0" fontId="78" fillId="0" borderId="132" applyNumberFormat="0" applyFill="0" applyAlignment="0" applyProtection="0"/>
    <xf numFmtId="0" fontId="78" fillId="0" borderId="132" applyNumberFormat="0" applyFill="0" applyAlignment="0" applyProtection="0"/>
    <xf numFmtId="0" fontId="78" fillId="0" borderId="132" applyNumberFormat="0" applyFill="0" applyAlignment="0" applyProtection="0"/>
    <xf numFmtId="0" fontId="78" fillId="0" borderId="132" applyNumberFormat="0" applyFill="0" applyAlignment="0" applyProtection="0"/>
    <xf numFmtId="0" fontId="78" fillId="0" borderId="129" applyNumberFormat="0" applyFill="0" applyAlignment="0" applyProtection="0"/>
    <xf numFmtId="0" fontId="78" fillId="0" borderId="129" applyNumberFormat="0" applyFill="0" applyAlignment="0" applyProtection="0"/>
    <xf numFmtId="0" fontId="66" fillId="0" borderId="129" applyNumberFormat="0" applyFill="0" applyAlignment="0" applyProtection="0"/>
    <xf numFmtId="0" fontId="66" fillId="0" borderId="129" applyNumberFormat="0" applyFill="0" applyAlignment="0" applyProtection="0"/>
    <xf numFmtId="0" fontId="78" fillId="0" borderId="129" applyNumberFormat="0" applyFill="0" applyAlignment="0" applyProtection="0"/>
    <xf numFmtId="0" fontId="66" fillId="0" borderId="129" applyNumberFormat="0" applyFill="0" applyAlignment="0" applyProtection="0"/>
    <xf numFmtId="0" fontId="78" fillId="0" borderId="129" applyNumberFormat="0" applyFill="0" applyAlignment="0" applyProtection="0"/>
    <xf numFmtId="0" fontId="78" fillId="0" borderId="129" applyNumberFormat="0" applyFill="0" applyAlignment="0" applyProtection="0"/>
    <xf numFmtId="0" fontId="78" fillId="0" borderId="129" applyNumberFormat="0" applyFill="0" applyAlignment="0" applyProtection="0"/>
    <xf numFmtId="0" fontId="78" fillId="0" borderId="129" applyNumberFormat="0" applyFill="0" applyAlignment="0" applyProtection="0"/>
    <xf numFmtId="0" fontId="78" fillId="0" borderId="129" applyNumberFormat="0" applyFill="0" applyAlignment="0" applyProtection="0"/>
    <xf numFmtId="0" fontId="78" fillId="0" borderId="129" applyNumberFormat="0" applyFill="0" applyAlignment="0" applyProtection="0"/>
    <xf numFmtId="0" fontId="78" fillId="0" borderId="129" applyNumberFormat="0" applyFill="0" applyAlignment="0" applyProtection="0"/>
    <xf numFmtId="0" fontId="78" fillId="0" borderId="129" applyNumberFormat="0" applyFill="0" applyAlignment="0" applyProtection="0"/>
    <xf numFmtId="0" fontId="78" fillId="0" borderId="129" applyNumberFormat="0" applyFill="0" applyAlignment="0" applyProtection="0"/>
    <xf numFmtId="0" fontId="78" fillId="0" borderId="129" applyNumberFormat="0" applyFill="0" applyAlignment="0" applyProtection="0"/>
    <xf numFmtId="0" fontId="78" fillId="0" borderId="129" applyNumberFormat="0" applyFill="0" applyAlignment="0" applyProtection="0"/>
    <xf numFmtId="0" fontId="66" fillId="86" borderId="124" applyNumberFormat="0" applyFont="0" applyAlignment="0" applyProtection="0"/>
    <xf numFmtId="0" fontId="66" fillId="86" borderId="124" applyNumberFormat="0" applyFont="0" applyAlignment="0" applyProtection="0"/>
    <xf numFmtId="0" fontId="66" fillId="86" borderId="124" applyNumberFormat="0" applyFont="0" applyAlignment="0" applyProtection="0"/>
    <xf numFmtId="0" fontId="66" fillId="86" borderId="124" applyNumberFormat="0" applyFont="0" applyAlignment="0" applyProtection="0"/>
    <xf numFmtId="0" fontId="66" fillId="86" borderId="124" applyNumberFormat="0" applyFont="0" applyAlignment="0" applyProtection="0"/>
    <xf numFmtId="0" fontId="66" fillId="86" borderId="124" applyNumberFormat="0" applyFont="0" applyAlignment="0" applyProtection="0"/>
    <xf numFmtId="0" fontId="66" fillId="86" borderId="124" applyNumberFormat="0" applyFont="0" applyAlignment="0" applyProtection="0"/>
    <xf numFmtId="0" fontId="66" fillId="86" borderId="124" applyNumberFormat="0" applyFont="0" applyAlignment="0" applyProtection="0"/>
    <xf numFmtId="0" fontId="66" fillId="86" borderId="124" applyNumberFormat="0" applyFont="0" applyAlignment="0" applyProtection="0"/>
    <xf numFmtId="0" fontId="66" fillId="86" borderId="124" applyNumberFormat="0" applyFont="0" applyAlignment="0" applyProtection="0"/>
    <xf numFmtId="0" fontId="66" fillId="86" borderId="124" applyNumberFormat="0" applyFont="0" applyAlignment="0" applyProtection="0"/>
    <xf numFmtId="0" fontId="66" fillId="86" borderId="124" applyNumberFormat="0" applyFont="0" applyAlignment="0" applyProtection="0"/>
    <xf numFmtId="0" fontId="66" fillId="86" borderId="124" applyNumberFormat="0" applyFont="0" applyAlignment="0" applyProtection="0"/>
    <xf numFmtId="0" fontId="66" fillId="86" borderId="124" applyNumberFormat="0" applyFont="0" applyAlignment="0" applyProtection="0"/>
    <xf numFmtId="0" fontId="66" fillId="86" borderId="124" applyNumberFormat="0" applyFont="0" applyAlignment="0" applyProtection="0"/>
    <xf numFmtId="0" fontId="66" fillId="86" borderId="124" applyNumberFormat="0" applyFont="0" applyAlignment="0" applyProtection="0"/>
    <xf numFmtId="0" fontId="66" fillId="86" borderId="124" applyNumberFormat="0" applyFont="0" applyAlignment="0" applyProtection="0"/>
    <xf numFmtId="0" fontId="66" fillId="86" borderId="124" applyNumberFormat="0" applyFont="0" applyAlignment="0" applyProtection="0"/>
    <xf numFmtId="0" fontId="66" fillId="86" borderId="124" applyNumberFormat="0" applyFont="0" applyAlignment="0" applyProtection="0"/>
    <xf numFmtId="0" fontId="66" fillId="86" borderId="124" applyNumberFormat="0" applyFont="0" applyAlignment="0" applyProtection="0"/>
    <xf numFmtId="0" fontId="66" fillId="86" borderId="124" applyNumberFormat="0" applyFont="0" applyAlignment="0" applyProtection="0"/>
    <xf numFmtId="0" fontId="66" fillId="86" borderId="124" applyNumberFormat="0" applyFont="0" applyAlignment="0" applyProtection="0"/>
    <xf numFmtId="0" fontId="66" fillId="86" borderId="124" applyNumberFormat="0" applyFont="0" applyAlignment="0" applyProtection="0"/>
    <xf numFmtId="0" fontId="66" fillId="86" borderId="124" applyNumberFormat="0" applyFont="0" applyAlignment="0" applyProtection="0"/>
    <xf numFmtId="0" fontId="66" fillId="86" borderId="124" applyNumberFormat="0" applyFont="0" applyAlignment="0" applyProtection="0"/>
    <xf numFmtId="0" fontId="66" fillId="86" borderId="124" applyNumberFormat="0" applyFont="0" applyAlignment="0" applyProtection="0"/>
    <xf numFmtId="0" fontId="66" fillId="86" borderId="124" applyNumberFormat="0" applyFont="0" applyAlignment="0" applyProtection="0"/>
    <xf numFmtId="0" fontId="66" fillId="86" borderId="124" applyNumberFormat="0" applyFont="0" applyAlignment="0" applyProtection="0"/>
    <xf numFmtId="0" fontId="66" fillId="86" borderId="124" applyNumberFormat="0" applyFont="0" applyAlignment="0" applyProtection="0"/>
    <xf numFmtId="0" fontId="66" fillId="86" borderId="124" applyNumberFormat="0" applyFont="0" applyAlignment="0" applyProtection="0"/>
    <xf numFmtId="0" fontId="66" fillId="86" borderId="124" applyNumberFormat="0" applyFont="0" applyAlignment="0" applyProtection="0"/>
    <xf numFmtId="0" fontId="66" fillId="86" borderId="124" applyNumberFormat="0" applyFont="0" applyAlignment="0" applyProtection="0"/>
    <xf numFmtId="0" fontId="66" fillId="86" borderId="124" applyNumberFormat="0" applyFont="0" applyAlignment="0" applyProtection="0"/>
    <xf numFmtId="0" fontId="66" fillId="86" borderId="124" applyNumberFormat="0" applyFont="0" applyAlignment="0" applyProtection="0"/>
    <xf numFmtId="0" fontId="66" fillId="86" borderId="124" applyNumberFormat="0" applyFont="0" applyAlignment="0" applyProtection="0"/>
    <xf numFmtId="0" fontId="66" fillId="86" borderId="124" applyNumberFormat="0" applyFont="0" applyAlignment="0" applyProtection="0"/>
    <xf numFmtId="0" fontId="66" fillId="86" borderId="124" applyNumberFormat="0" applyFont="0" applyAlignment="0" applyProtection="0"/>
    <xf numFmtId="0" fontId="66" fillId="86" borderId="124" applyNumberFormat="0" applyFont="0" applyAlignment="0" applyProtection="0"/>
    <xf numFmtId="0" fontId="66" fillId="86" borderId="124" applyNumberFormat="0" applyFont="0" applyAlignment="0" applyProtection="0"/>
    <xf numFmtId="0" fontId="66" fillId="86" borderId="124" applyNumberFormat="0" applyFont="0" applyAlignment="0" applyProtection="0"/>
    <xf numFmtId="0" fontId="66" fillId="86" borderId="124" applyNumberFormat="0" applyFont="0" applyAlignment="0" applyProtection="0"/>
    <xf numFmtId="0" fontId="66" fillId="86" borderId="124" applyNumberFormat="0" applyFont="0" applyAlignment="0" applyProtection="0"/>
    <xf numFmtId="0" fontId="66" fillId="86" borderId="124" applyNumberFormat="0" applyFont="0" applyAlignment="0" applyProtection="0"/>
    <xf numFmtId="0" fontId="66" fillId="86" borderId="124" applyNumberFormat="0" applyFont="0" applyAlignment="0" applyProtection="0"/>
    <xf numFmtId="0" fontId="66" fillId="86" borderId="124" applyNumberFormat="0" applyFont="0" applyAlignment="0" applyProtection="0"/>
    <xf numFmtId="0" fontId="66" fillId="86" borderId="124" applyNumberFormat="0" applyFont="0" applyAlignment="0" applyProtection="0"/>
    <xf numFmtId="0" fontId="66" fillId="86" borderId="124" applyNumberFormat="0" applyFont="0" applyAlignment="0" applyProtection="0"/>
    <xf numFmtId="0" fontId="66" fillId="86" borderId="124" applyNumberFormat="0" applyFont="0" applyAlignment="0" applyProtection="0"/>
    <xf numFmtId="0" fontId="66" fillId="86" borderId="124" applyNumberFormat="0" applyFont="0" applyAlignment="0" applyProtection="0"/>
    <xf numFmtId="0" fontId="66" fillId="86" borderId="124" applyNumberFormat="0" applyFont="0" applyAlignment="0" applyProtection="0"/>
    <xf numFmtId="0" fontId="66" fillId="86" borderId="124" applyNumberFormat="0" applyFont="0" applyAlignment="0" applyProtection="0"/>
    <xf numFmtId="0" fontId="66" fillId="86" borderId="124" applyNumberFormat="0" applyFont="0" applyAlignment="0" applyProtection="0"/>
    <xf numFmtId="0" fontId="66" fillId="86" borderId="124" applyNumberFormat="0" applyFont="0" applyAlignment="0" applyProtection="0"/>
    <xf numFmtId="0" fontId="66" fillId="86" borderId="124" applyNumberFormat="0" applyFont="0" applyAlignment="0" applyProtection="0"/>
    <xf numFmtId="0" fontId="66" fillId="86" borderId="124" applyNumberFormat="0" applyFont="0" applyAlignment="0" applyProtection="0"/>
    <xf numFmtId="0" fontId="66" fillId="86" borderId="124" applyNumberFormat="0" applyFont="0" applyAlignment="0" applyProtection="0"/>
    <xf numFmtId="0" fontId="66" fillId="86" borderId="124" applyNumberFormat="0" applyFont="0" applyAlignment="0" applyProtection="0"/>
    <xf numFmtId="0" fontId="66" fillId="86" borderId="124" applyNumberFormat="0" applyFont="0" applyAlignment="0" applyProtection="0"/>
    <xf numFmtId="0" fontId="66" fillId="86" borderId="124" applyNumberFormat="0" applyFont="0" applyAlignment="0" applyProtection="0"/>
    <xf numFmtId="0" fontId="66" fillId="86" borderId="124" applyNumberFormat="0" applyFont="0" applyAlignment="0" applyProtection="0"/>
    <xf numFmtId="0" fontId="66" fillId="86" borderId="124" applyNumberFormat="0" applyFont="0" applyAlignment="0" applyProtection="0"/>
    <xf numFmtId="0" fontId="66" fillId="86" borderId="124" applyNumberFormat="0" applyFont="0" applyAlignment="0" applyProtection="0"/>
    <xf numFmtId="0" fontId="66" fillId="86" borderId="124" applyNumberFormat="0" applyFont="0" applyAlignment="0" applyProtection="0"/>
    <xf numFmtId="0" fontId="66" fillId="86" borderId="124" applyNumberFormat="0" applyFont="0" applyAlignment="0" applyProtection="0"/>
    <xf numFmtId="0" fontId="66" fillId="86" borderId="124" applyNumberFormat="0" applyFont="0" applyAlignment="0" applyProtection="0"/>
    <xf numFmtId="0" fontId="66" fillId="86" borderId="124" applyNumberFormat="0" applyFont="0" applyAlignment="0" applyProtection="0"/>
    <xf numFmtId="0" fontId="66" fillId="86" borderId="124" applyNumberFormat="0" applyFont="0" applyAlignment="0" applyProtection="0"/>
    <xf numFmtId="0" fontId="66" fillId="86" borderId="124" applyNumberFormat="0" applyFont="0" applyAlignment="0" applyProtection="0"/>
    <xf numFmtId="0" fontId="66" fillId="86" borderId="124" applyNumberFormat="0" applyFont="0" applyAlignment="0" applyProtection="0"/>
    <xf numFmtId="0" fontId="66" fillId="86" borderId="124" applyNumberFormat="0" applyFont="0" applyAlignment="0" applyProtection="0"/>
    <xf numFmtId="0" fontId="66" fillId="86" borderId="124" applyNumberFormat="0" applyFont="0" applyAlignment="0" applyProtection="0"/>
    <xf numFmtId="0" fontId="72" fillId="44" borderId="147" applyNumberFormat="0" applyAlignment="0" applyProtection="0"/>
    <xf numFmtId="0" fontId="66" fillId="44" borderId="147" applyNumberFormat="0" applyAlignment="0" applyProtection="0"/>
    <xf numFmtId="0" fontId="66" fillId="44" borderId="147" applyNumberFormat="0" applyAlignment="0" applyProtection="0"/>
    <xf numFmtId="0" fontId="72" fillId="44" borderId="147" applyNumberFormat="0" applyAlignment="0" applyProtection="0"/>
    <xf numFmtId="0" fontId="72" fillId="44" borderId="147" applyNumberFormat="0" applyAlignment="0" applyProtection="0"/>
    <xf numFmtId="0" fontId="66" fillId="44" borderId="147" applyNumberFormat="0" applyAlignment="0" applyProtection="0"/>
    <xf numFmtId="0" fontId="66" fillId="44" borderId="147" applyNumberFormat="0" applyAlignment="0" applyProtection="0"/>
    <xf numFmtId="0" fontId="66" fillId="44" borderId="147" applyNumberFormat="0" applyAlignment="0" applyProtection="0"/>
    <xf numFmtId="0" fontId="66" fillId="44" borderId="147" applyNumberFormat="0" applyAlignment="0" applyProtection="0"/>
    <xf numFmtId="0" fontId="66" fillId="44" borderId="147" applyNumberFormat="0" applyAlignment="0" applyProtection="0"/>
    <xf numFmtId="0" fontId="72" fillId="44" borderId="147" applyNumberFormat="0" applyAlignment="0" applyProtection="0"/>
    <xf numFmtId="0" fontId="72" fillId="44" borderId="147" applyNumberFormat="0" applyAlignment="0" applyProtection="0"/>
    <xf numFmtId="0" fontId="72" fillId="44" borderId="147" applyNumberFormat="0" applyAlignment="0" applyProtection="0"/>
    <xf numFmtId="0" fontId="66" fillId="44" borderId="147" applyNumberFormat="0" applyAlignment="0" applyProtection="0"/>
    <xf numFmtId="0" fontId="66" fillId="44" borderId="147" applyNumberFormat="0" applyAlignment="0" applyProtection="0"/>
    <xf numFmtId="0" fontId="66" fillId="44" borderId="147" applyNumberFormat="0" applyAlignment="0" applyProtection="0"/>
    <xf numFmtId="0" fontId="66" fillId="44" borderId="147" applyNumberFormat="0" applyAlignment="0" applyProtection="0"/>
    <xf numFmtId="0" fontId="66" fillId="44" borderId="147" applyNumberFormat="0" applyAlignment="0" applyProtection="0"/>
    <xf numFmtId="0" fontId="66" fillId="44" borderId="147" applyNumberFormat="0" applyAlignment="0" applyProtection="0"/>
    <xf numFmtId="0" fontId="66" fillId="44" borderId="147" applyNumberFormat="0" applyAlignment="0" applyProtection="0"/>
    <xf numFmtId="0" fontId="66" fillId="44" borderId="147" applyNumberFormat="0" applyAlignment="0" applyProtection="0"/>
    <xf numFmtId="0" fontId="72" fillId="44" borderId="147" applyNumberFormat="0" applyAlignment="0" applyProtection="0"/>
    <xf numFmtId="0" fontId="72" fillId="44" borderId="147" applyNumberFormat="0" applyAlignment="0" applyProtection="0"/>
    <xf numFmtId="0" fontId="72" fillId="44" borderId="147" applyNumberFormat="0" applyAlignment="0" applyProtection="0"/>
    <xf numFmtId="0" fontId="72" fillId="44" borderId="147" applyNumberFormat="0" applyAlignment="0" applyProtection="0"/>
    <xf numFmtId="0" fontId="66" fillId="44" borderId="147" applyNumberFormat="0" applyAlignment="0" applyProtection="0"/>
    <xf numFmtId="0" fontId="66" fillId="44" borderId="147" applyNumberFormat="0" applyAlignment="0" applyProtection="0"/>
    <xf numFmtId="0" fontId="66" fillId="44" borderId="147" applyNumberFormat="0" applyAlignment="0" applyProtection="0"/>
    <xf numFmtId="0" fontId="72" fillId="44" borderId="147" applyNumberFormat="0" applyAlignment="0" applyProtection="0"/>
    <xf numFmtId="0" fontId="66" fillId="44" borderId="147" applyNumberFormat="0" applyAlignment="0" applyProtection="0"/>
    <xf numFmtId="0" fontId="72" fillId="44" borderId="147" applyNumberFormat="0" applyAlignment="0" applyProtection="0"/>
    <xf numFmtId="0" fontId="72" fillId="44" borderId="147" applyNumberFormat="0" applyAlignment="0" applyProtection="0"/>
    <xf numFmtId="0" fontId="72" fillId="44" borderId="147" applyNumberFormat="0" applyAlignment="0" applyProtection="0"/>
    <xf numFmtId="0" fontId="72" fillId="44" borderId="147" applyNumberFormat="0" applyAlignment="0" applyProtection="0"/>
    <xf numFmtId="0" fontId="72" fillId="44" borderId="147" applyNumberFormat="0" applyAlignment="0" applyProtection="0"/>
    <xf numFmtId="0" fontId="72" fillId="44" borderId="147" applyNumberFormat="0" applyAlignment="0" applyProtection="0"/>
    <xf numFmtId="0" fontId="72" fillId="44" borderId="147" applyNumberFormat="0" applyAlignment="0" applyProtection="0"/>
    <xf numFmtId="0" fontId="72" fillId="44" borderId="147" applyNumberFormat="0" applyAlignment="0" applyProtection="0"/>
    <xf numFmtId="0" fontId="72" fillId="44" borderId="147" applyNumberFormat="0" applyAlignment="0" applyProtection="0"/>
    <xf numFmtId="0" fontId="72" fillId="44" borderId="147" applyNumberFormat="0" applyAlignment="0" applyProtection="0"/>
    <xf numFmtId="0" fontId="72" fillId="44" borderId="147" applyNumberFormat="0" applyAlignment="0" applyProtection="0"/>
    <xf numFmtId="0" fontId="72" fillId="44" borderId="147" applyNumberFormat="0" applyAlignment="0" applyProtection="0"/>
    <xf numFmtId="0" fontId="66" fillId="44" borderId="147" applyNumberFormat="0" applyAlignment="0" applyProtection="0"/>
    <xf numFmtId="0" fontId="66" fillId="44" borderId="147" applyNumberFormat="0" applyAlignment="0" applyProtection="0"/>
    <xf numFmtId="0" fontId="66" fillId="44" borderId="147" applyNumberFormat="0" applyAlignment="0" applyProtection="0"/>
    <xf numFmtId="0" fontId="72" fillId="44" borderId="147" applyNumberFormat="0" applyAlignment="0" applyProtection="0"/>
    <xf numFmtId="0" fontId="72" fillId="44" borderId="147" applyNumberFormat="0" applyAlignment="0" applyProtection="0"/>
    <xf numFmtId="0" fontId="72" fillId="44" borderId="147" applyNumberFormat="0" applyAlignment="0" applyProtection="0"/>
    <xf numFmtId="0" fontId="72" fillId="44" borderId="147" applyNumberFormat="0" applyAlignment="0" applyProtection="0"/>
    <xf numFmtId="0" fontId="72" fillId="44" borderId="147" applyNumberFormat="0" applyAlignment="0" applyProtection="0"/>
    <xf numFmtId="0" fontId="72" fillId="44" borderId="147" applyNumberFormat="0" applyAlignment="0" applyProtection="0"/>
    <xf numFmtId="0" fontId="72" fillId="44" borderId="147" applyNumberFormat="0" applyAlignment="0" applyProtection="0"/>
    <xf numFmtId="0" fontId="72" fillId="44" borderId="147" applyNumberFormat="0" applyAlignment="0" applyProtection="0"/>
    <xf numFmtId="0" fontId="45" fillId="44" borderId="147" applyNumberFormat="0" applyAlignment="0" applyProtection="0"/>
    <xf numFmtId="0" fontId="72" fillId="44" borderId="147" applyNumberFormat="0" applyAlignment="0" applyProtection="0"/>
    <xf numFmtId="0" fontId="66" fillId="92" borderId="148" applyNumberFormat="0" applyAlignment="0" applyProtection="0"/>
    <xf numFmtId="0" fontId="48" fillId="75" borderId="148" applyNumberFormat="0" applyAlignment="0" applyProtection="0"/>
    <xf numFmtId="0" fontId="73" fillId="92" borderId="128" applyNumberFormat="0" applyAlignment="0" applyProtection="0"/>
    <xf numFmtId="0" fontId="73" fillId="92" borderId="128" applyNumberFormat="0" applyAlignment="0" applyProtection="0"/>
    <xf numFmtId="0" fontId="73" fillId="75" borderId="128" applyNumberFormat="0" applyAlignment="0" applyProtection="0"/>
    <xf numFmtId="0" fontId="78" fillId="0" borderId="132" applyNumberFormat="0" applyFill="0" applyAlignment="0" applyProtection="0"/>
    <xf numFmtId="0" fontId="78" fillId="0" borderId="132" applyNumberFormat="0" applyFill="0" applyAlignment="0" applyProtection="0"/>
    <xf numFmtId="0" fontId="78" fillId="0" borderId="129" applyNumberFormat="0" applyFill="0" applyAlignment="0" applyProtection="0"/>
    <xf numFmtId="0" fontId="73" fillId="75" borderId="128" applyNumberFormat="0" applyAlignment="0" applyProtection="0"/>
    <xf numFmtId="0" fontId="73" fillId="75" borderId="128" applyNumberFormat="0" applyAlignment="0" applyProtection="0"/>
    <xf numFmtId="0" fontId="73" fillId="75" borderId="128" applyNumberFormat="0" applyAlignment="0" applyProtection="0"/>
    <xf numFmtId="0" fontId="73" fillId="75" borderId="128" applyNumberFormat="0" applyAlignment="0" applyProtection="0"/>
    <xf numFmtId="0" fontId="73" fillId="75" borderId="128" applyNumberFormat="0" applyAlignment="0" applyProtection="0"/>
    <xf numFmtId="0" fontId="73" fillId="75" borderId="128" applyNumberFormat="0" applyAlignment="0" applyProtection="0"/>
    <xf numFmtId="0" fontId="73" fillId="75" borderId="128" applyNumberFormat="0" applyAlignment="0" applyProtection="0"/>
    <xf numFmtId="0" fontId="73" fillId="75" borderId="128" applyNumberFormat="0" applyAlignment="0" applyProtection="0"/>
    <xf numFmtId="0" fontId="66" fillId="75" borderId="128" applyNumberFormat="0" applyAlignment="0" applyProtection="0"/>
    <xf numFmtId="0" fontId="66" fillId="75" borderId="128" applyNumberFormat="0" applyAlignment="0" applyProtection="0"/>
    <xf numFmtId="0" fontId="66" fillId="75" borderId="128" applyNumberFormat="0" applyAlignment="0" applyProtection="0"/>
    <xf numFmtId="0" fontId="66" fillId="75" borderId="128" applyNumberFormat="0" applyAlignment="0" applyProtection="0"/>
    <xf numFmtId="0" fontId="66" fillId="75" borderId="128" applyNumberFormat="0" applyAlignment="0" applyProtection="0"/>
    <xf numFmtId="0" fontId="66" fillId="75" borderId="128" applyNumberFormat="0" applyAlignment="0" applyProtection="0"/>
    <xf numFmtId="0" fontId="66" fillId="75" borderId="128" applyNumberFormat="0" applyAlignment="0" applyProtection="0"/>
    <xf numFmtId="0" fontId="66" fillId="75" borderId="128" applyNumberFormat="0" applyAlignment="0" applyProtection="0"/>
    <xf numFmtId="0" fontId="73" fillId="75" borderId="128" applyNumberFormat="0" applyAlignment="0" applyProtection="0"/>
    <xf numFmtId="0" fontId="73" fillId="75" borderId="128" applyNumberFormat="0" applyAlignment="0" applyProtection="0"/>
    <xf numFmtId="0" fontId="73" fillId="75" borderId="128" applyNumberFormat="0" applyAlignment="0" applyProtection="0"/>
    <xf numFmtId="0" fontId="73" fillId="75" borderId="128" applyNumberFormat="0" applyAlignment="0" applyProtection="0"/>
    <xf numFmtId="0" fontId="73" fillId="92" borderId="128" applyNumberFormat="0" applyAlignment="0" applyProtection="0"/>
    <xf numFmtId="0" fontId="73" fillId="92" borderId="128" applyNumberFormat="0" applyAlignment="0" applyProtection="0"/>
    <xf numFmtId="0" fontId="66" fillId="92" borderId="128" applyNumberFormat="0" applyAlignment="0" applyProtection="0"/>
    <xf numFmtId="0" fontId="66" fillId="92" borderId="128" applyNumberFormat="0" applyAlignment="0" applyProtection="0"/>
    <xf numFmtId="0" fontId="66" fillId="92" borderId="128" applyNumberFormat="0" applyAlignment="0" applyProtection="0"/>
    <xf numFmtId="0" fontId="66" fillId="92" borderId="128" applyNumberFormat="0" applyAlignment="0" applyProtection="0"/>
    <xf numFmtId="0" fontId="66" fillId="92" borderId="128" applyNumberFormat="0" applyAlignment="0" applyProtection="0"/>
    <xf numFmtId="0" fontId="66" fillId="92" borderId="128" applyNumberFormat="0" applyAlignment="0" applyProtection="0"/>
    <xf numFmtId="0" fontId="66" fillId="92" borderId="128" applyNumberFormat="0" applyAlignment="0" applyProtection="0"/>
    <xf numFmtId="0" fontId="66" fillId="92" borderId="128" applyNumberFormat="0" applyAlignment="0" applyProtection="0"/>
    <xf numFmtId="0" fontId="73" fillId="92" borderId="128" applyNumberFormat="0" applyAlignment="0" applyProtection="0"/>
    <xf numFmtId="0" fontId="73" fillId="92" borderId="128" applyNumberFormat="0" applyAlignment="0" applyProtection="0"/>
    <xf numFmtId="0" fontId="73" fillId="92" borderId="128" applyNumberFormat="0" applyAlignment="0" applyProtection="0"/>
    <xf numFmtId="0" fontId="73" fillId="92" borderId="128" applyNumberFormat="0" applyAlignment="0" applyProtection="0"/>
    <xf numFmtId="0" fontId="73" fillId="92" borderId="128" applyNumberFormat="0" applyAlignment="0" applyProtection="0"/>
    <xf numFmtId="0" fontId="73" fillId="92" borderId="128" applyNumberFormat="0" applyAlignment="0" applyProtection="0"/>
    <xf numFmtId="0" fontId="66" fillId="92" borderId="128" applyNumberFormat="0" applyAlignment="0" applyProtection="0"/>
    <xf numFmtId="0" fontId="66" fillId="92" borderId="128" applyNumberFormat="0" applyAlignment="0" applyProtection="0"/>
    <xf numFmtId="0" fontId="73" fillId="75" borderId="128" applyNumberFormat="0" applyAlignment="0" applyProtection="0"/>
    <xf numFmtId="0" fontId="73" fillId="92" borderId="128" applyNumberFormat="0" applyAlignment="0" applyProtection="0"/>
    <xf numFmtId="0" fontId="66" fillId="92" borderId="128" applyNumberFormat="0" applyAlignment="0" applyProtection="0"/>
    <xf numFmtId="0" fontId="73" fillId="92" borderId="128" applyNumberFormat="0" applyAlignment="0" applyProtection="0"/>
    <xf numFmtId="0" fontId="73" fillId="92" borderId="128" applyNumberFormat="0" applyAlignment="0" applyProtection="0"/>
    <xf numFmtId="0" fontId="73" fillId="92" borderId="128" applyNumberFormat="0" applyAlignment="0" applyProtection="0"/>
    <xf numFmtId="0" fontId="73" fillId="92" borderId="128" applyNumberFormat="0" applyAlignment="0" applyProtection="0"/>
    <xf numFmtId="0" fontId="73" fillId="92" borderId="128" applyNumberFormat="0" applyAlignment="0" applyProtection="0"/>
    <xf numFmtId="0" fontId="73" fillId="92" borderId="128" applyNumberFormat="0" applyAlignment="0" applyProtection="0"/>
    <xf numFmtId="0" fontId="73" fillId="92" borderId="128" applyNumberFormat="0" applyAlignment="0" applyProtection="0"/>
    <xf numFmtId="0" fontId="73" fillId="92" borderId="128" applyNumberFormat="0" applyAlignment="0" applyProtection="0"/>
    <xf numFmtId="0" fontId="73" fillId="92" borderId="128" applyNumberFormat="0" applyAlignment="0" applyProtection="0"/>
    <xf numFmtId="0" fontId="73" fillId="92" borderId="128" applyNumberFormat="0" applyAlignment="0" applyProtection="0"/>
    <xf numFmtId="0" fontId="73" fillId="92" borderId="128" applyNumberFormat="0" applyAlignment="0" applyProtection="0"/>
    <xf numFmtId="0" fontId="73" fillId="92" borderId="128" applyNumberFormat="0" applyAlignment="0" applyProtection="0"/>
    <xf numFmtId="0" fontId="73" fillId="75" borderId="128" applyNumberFormat="0" applyAlignment="0" applyProtection="0"/>
    <xf numFmtId="0" fontId="73" fillId="75" borderId="128" applyNumberFormat="0" applyAlignment="0" applyProtection="0"/>
    <xf numFmtId="0" fontId="66" fillId="75" borderId="128" applyNumberFormat="0" applyAlignment="0" applyProtection="0"/>
    <xf numFmtId="0" fontId="66" fillId="75" borderId="128" applyNumberFormat="0" applyAlignment="0" applyProtection="0"/>
    <xf numFmtId="0" fontId="73" fillId="75" borderId="128" applyNumberFormat="0" applyAlignment="0" applyProtection="0"/>
    <xf numFmtId="0" fontId="66" fillId="75" borderId="128" applyNumberFormat="0" applyAlignment="0" applyProtection="0"/>
    <xf numFmtId="0" fontId="73" fillId="75" borderId="128" applyNumberFormat="0" applyAlignment="0" applyProtection="0"/>
    <xf numFmtId="0" fontId="73" fillId="75" borderId="128" applyNumberFormat="0" applyAlignment="0" applyProtection="0"/>
    <xf numFmtId="0" fontId="73" fillId="75" borderId="128" applyNumberFormat="0" applyAlignment="0" applyProtection="0"/>
    <xf numFmtId="0" fontId="73" fillId="75" borderId="128" applyNumberFormat="0" applyAlignment="0" applyProtection="0"/>
    <xf numFmtId="0" fontId="73" fillId="75" borderId="128" applyNumberFormat="0" applyAlignment="0" applyProtection="0"/>
    <xf numFmtId="0" fontId="73" fillId="75" borderId="128" applyNumberFormat="0" applyAlignment="0" applyProtection="0"/>
    <xf numFmtId="0" fontId="73" fillId="75" borderId="128" applyNumberFormat="0" applyAlignment="0" applyProtection="0"/>
    <xf numFmtId="0" fontId="73" fillId="75" borderId="128" applyNumberFormat="0" applyAlignment="0" applyProtection="0"/>
    <xf numFmtId="0" fontId="73" fillId="75" borderId="128" applyNumberFormat="0" applyAlignment="0" applyProtection="0"/>
    <xf numFmtId="0" fontId="73" fillId="75" borderId="128" applyNumberFormat="0" applyAlignment="0" applyProtection="0"/>
    <xf numFmtId="0" fontId="73" fillId="75" borderId="128" applyNumberFormat="0" applyAlignment="0" applyProtection="0"/>
    <xf numFmtId="0" fontId="78" fillId="0" borderId="129" applyNumberFormat="0" applyFill="0" applyAlignment="0" applyProtection="0"/>
    <xf numFmtId="0" fontId="78" fillId="0" borderId="129" applyNumberFormat="0" applyFill="0" applyAlignment="0" applyProtection="0"/>
    <xf numFmtId="0" fontId="78" fillId="0" borderId="129" applyNumberFormat="0" applyFill="0" applyAlignment="0" applyProtection="0"/>
    <xf numFmtId="0" fontId="78" fillId="0" borderId="129" applyNumberFormat="0" applyFill="0" applyAlignment="0" applyProtection="0"/>
    <xf numFmtId="0" fontId="78" fillId="0" borderId="129" applyNumberFormat="0" applyFill="0" applyAlignment="0" applyProtection="0"/>
    <xf numFmtId="0" fontId="78" fillId="0" borderId="129" applyNumberFormat="0" applyFill="0" applyAlignment="0" applyProtection="0"/>
    <xf numFmtId="0" fontId="78" fillId="0" borderId="129" applyNumberFormat="0" applyFill="0" applyAlignment="0" applyProtection="0"/>
    <xf numFmtId="0" fontId="78" fillId="0" borderId="129" applyNumberFormat="0" applyFill="0" applyAlignment="0" applyProtection="0"/>
    <xf numFmtId="0" fontId="66" fillId="0" borderId="129" applyNumberFormat="0" applyFill="0" applyAlignment="0" applyProtection="0"/>
    <xf numFmtId="0" fontId="66" fillId="0" borderId="129" applyNumberFormat="0" applyFill="0" applyAlignment="0" applyProtection="0"/>
    <xf numFmtId="0" fontId="66" fillId="0" borderId="129" applyNumberFormat="0" applyFill="0" applyAlignment="0" applyProtection="0"/>
    <xf numFmtId="0" fontId="66" fillId="0" borderId="129" applyNumberFormat="0" applyFill="0" applyAlignment="0" applyProtection="0"/>
    <xf numFmtId="0" fontId="66" fillId="0" borderId="129" applyNumberFormat="0" applyFill="0" applyAlignment="0" applyProtection="0"/>
    <xf numFmtId="0" fontId="66" fillId="0" borderId="129" applyNumberFormat="0" applyFill="0" applyAlignment="0" applyProtection="0"/>
    <xf numFmtId="0" fontId="66" fillId="0" borderId="129" applyNumberFormat="0" applyFill="0" applyAlignment="0" applyProtection="0"/>
    <xf numFmtId="0" fontId="66" fillId="0" borderId="129" applyNumberFormat="0" applyFill="0" applyAlignment="0" applyProtection="0"/>
    <xf numFmtId="0" fontId="78" fillId="0" borderId="129" applyNumberFormat="0" applyFill="0" applyAlignment="0" applyProtection="0"/>
    <xf numFmtId="0" fontId="78" fillId="0" borderId="129" applyNumberFormat="0" applyFill="0" applyAlignment="0" applyProtection="0"/>
    <xf numFmtId="0" fontId="78" fillId="0" borderId="129" applyNumberFormat="0" applyFill="0" applyAlignment="0" applyProtection="0"/>
    <xf numFmtId="0" fontId="78" fillId="0" borderId="129" applyNumberFormat="0" applyFill="0" applyAlignment="0" applyProtection="0"/>
    <xf numFmtId="0" fontId="78" fillId="0" borderId="132" applyNumberFormat="0" applyFill="0" applyAlignment="0" applyProtection="0"/>
    <xf numFmtId="0" fontId="78" fillId="0" borderId="132" applyNumberFormat="0" applyFill="0" applyAlignment="0" applyProtection="0"/>
    <xf numFmtId="0" fontId="66" fillId="0" borderId="132" applyNumberFormat="0" applyFill="0" applyAlignment="0" applyProtection="0"/>
    <xf numFmtId="0" fontId="66" fillId="0" borderId="132" applyNumberFormat="0" applyFill="0" applyAlignment="0" applyProtection="0"/>
    <xf numFmtId="0" fontId="66" fillId="0" borderId="132" applyNumberFormat="0" applyFill="0" applyAlignment="0" applyProtection="0"/>
    <xf numFmtId="0" fontId="66" fillId="0" borderId="132" applyNumberFormat="0" applyFill="0" applyAlignment="0" applyProtection="0"/>
    <xf numFmtId="0" fontId="66" fillId="0" borderId="132" applyNumberFormat="0" applyFill="0" applyAlignment="0" applyProtection="0"/>
    <xf numFmtId="0" fontId="66" fillId="0" borderId="132" applyNumberFormat="0" applyFill="0" applyAlignment="0" applyProtection="0"/>
    <xf numFmtId="0" fontId="66" fillId="0" borderId="132" applyNumberFormat="0" applyFill="0" applyAlignment="0" applyProtection="0"/>
    <xf numFmtId="0" fontId="66" fillId="0" borderId="132" applyNumberFormat="0" applyFill="0" applyAlignment="0" applyProtection="0"/>
    <xf numFmtId="0" fontId="78" fillId="0" borderId="132" applyNumberFormat="0" applyFill="0" applyAlignment="0" applyProtection="0"/>
    <xf numFmtId="0" fontId="78" fillId="0" borderId="132" applyNumberFormat="0" applyFill="0" applyAlignment="0" applyProtection="0"/>
    <xf numFmtId="0" fontId="78" fillId="0" borderId="132" applyNumberFormat="0" applyFill="0" applyAlignment="0" applyProtection="0"/>
    <xf numFmtId="0" fontId="78" fillId="0" borderId="132" applyNumberFormat="0" applyFill="0" applyAlignment="0" applyProtection="0"/>
    <xf numFmtId="0" fontId="78" fillId="0" borderId="132" applyNumberFormat="0" applyFill="0" applyAlignment="0" applyProtection="0"/>
    <xf numFmtId="0" fontId="78" fillId="0" borderId="132" applyNumberFormat="0" applyFill="0" applyAlignment="0" applyProtection="0"/>
    <xf numFmtId="0" fontId="66" fillId="0" borderId="132" applyNumberFormat="0" applyFill="0" applyAlignment="0" applyProtection="0"/>
    <xf numFmtId="0" fontId="66" fillId="0" borderId="132" applyNumberFormat="0" applyFill="0" applyAlignment="0" applyProtection="0"/>
    <xf numFmtId="0" fontId="78" fillId="0" borderId="129" applyNumberFormat="0" applyFill="0" applyAlignment="0" applyProtection="0"/>
    <xf numFmtId="0" fontId="78" fillId="0" borderId="132" applyNumberFormat="0" applyFill="0" applyAlignment="0" applyProtection="0"/>
    <xf numFmtId="0" fontId="66" fillId="0" borderId="132" applyNumberFormat="0" applyFill="0" applyAlignment="0" applyProtection="0"/>
    <xf numFmtId="0" fontId="78" fillId="0" borderId="132" applyNumberFormat="0" applyFill="0" applyAlignment="0" applyProtection="0"/>
    <xf numFmtId="0" fontId="78" fillId="0" borderId="132" applyNumberFormat="0" applyFill="0" applyAlignment="0" applyProtection="0"/>
    <xf numFmtId="0" fontId="78" fillId="0" borderId="132" applyNumberFormat="0" applyFill="0" applyAlignment="0" applyProtection="0"/>
    <xf numFmtId="0" fontId="78" fillId="0" borderId="132" applyNumberFormat="0" applyFill="0" applyAlignment="0" applyProtection="0"/>
    <xf numFmtId="0" fontId="78" fillId="0" borderId="132" applyNumberFormat="0" applyFill="0" applyAlignment="0" applyProtection="0"/>
    <xf numFmtId="0" fontId="78" fillId="0" borderId="132" applyNumberFormat="0" applyFill="0" applyAlignment="0" applyProtection="0"/>
    <xf numFmtId="0" fontId="78" fillId="0" borderId="132" applyNumberFormat="0" applyFill="0" applyAlignment="0" applyProtection="0"/>
    <xf numFmtId="0" fontId="78" fillId="0" borderId="132" applyNumberFormat="0" applyFill="0" applyAlignment="0" applyProtection="0"/>
    <xf numFmtId="0" fontId="78" fillId="0" borderId="132" applyNumberFormat="0" applyFill="0" applyAlignment="0" applyProtection="0"/>
    <xf numFmtId="0" fontId="78" fillId="0" borderId="132" applyNumberFormat="0" applyFill="0" applyAlignment="0" applyProtection="0"/>
    <xf numFmtId="0" fontId="78" fillId="0" borderId="132" applyNumberFormat="0" applyFill="0" applyAlignment="0" applyProtection="0"/>
    <xf numFmtId="0" fontId="78" fillId="0" borderId="132" applyNumberFormat="0" applyFill="0" applyAlignment="0" applyProtection="0"/>
    <xf numFmtId="0" fontId="78" fillId="0" borderId="129" applyNumberFormat="0" applyFill="0" applyAlignment="0" applyProtection="0"/>
    <xf numFmtId="0" fontId="78" fillId="0" borderId="129" applyNumberFormat="0" applyFill="0" applyAlignment="0" applyProtection="0"/>
    <xf numFmtId="0" fontId="66" fillId="0" borderId="129" applyNumberFormat="0" applyFill="0" applyAlignment="0" applyProtection="0"/>
    <xf numFmtId="0" fontId="66" fillId="0" borderId="129" applyNumberFormat="0" applyFill="0" applyAlignment="0" applyProtection="0"/>
    <xf numFmtId="0" fontId="78" fillId="0" borderId="129" applyNumberFormat="0" applyFill="0" applyAlignment="0" applyProtection="0"/>
    <xf numFmtId="0" fontId="66" fillId="0" borderId="129" applyNumberFormat="0" applyFill="0" applyAlignment="0" applyProtection="0"/>
    <xf numFmtId="0" fontId="78" fillId="0" borderId="129" applyNumberFormat="0" applyFill="0" applyAlignment="0" applyProtection="0"/>
    <xf numFmtId="0" fontId="78" fillId="0" borderId="129" applyNumberFormat="0" applyFill="0" applyAlignment="0" applyProtection="0"/>
    <xf numFmtId="0" fontId="78" fillId="0" borderId="129" applyNumberFormat="0" applyFill="0" applyAlignment="0" applyProtection="0"/>
    <xf numFmtId="0" fontId="78" fillId="0" borderId="129" applyNumberFormat="0" applyFill="0" applyAlignment="0" applyProtection="0"/>
    <xf numFmtId="0" fontId="78" fillId="0" borderId="129" applyNumberFormat="0" applyFill="0" applyAlignment="0" applyProtection="0"/>
    <xf numFmtId="0" fontId="78" fillId="0" borderId="129" applyNumberFormat="0" applyFill="0" applyAlignment="0" applyProtection="0"/>
    <xf numFmtId="0" fontId="78" fillId="0" borderId="129" applyNumberFormat="0" applyFill="0" applyAlignment="0" applyProtection="0"/>
    <xf numFmtId="0" fontId="78" fillId="0" borderId="129" applyNumberFormat="0" applyFill="0" applyAlignment="0" applyProtection="0"/>
    <xf numFmtId="0" fontId="78" fillId="0" borderId="129" applyNumberFormat="0" applyFill="0" applyAlignment="0" applyProtection="0"/>
    <xf numFmtId="0" fontId="78" fillId="0" borderId="129" applyNumberFormat="0" applyFill="0" applyAlignment="0" applyProtection="0"/>
    <xf numFmtId="0" fontId="78" fillId="0" borderId="129" applyNumberFormat="0" applyFill="0" applyAlignment="0" applyProtection="0"/>
    <xf numFmtId="0" fontId="66" fillId="86" borderId="134" applyNumberFormat="0" applyFont="0" applyAlignment="0" applyProtection="0"/>
    <xf numFmtId="0" fontId="66" fillId="86" borderId="134" applyNumberFormat="0" applyFont="0" applyAlignment="0" applyProtection="0"/>
    <xf numFmtId="0" fontId="74" fillId="92" borderId="127" applyNumberFormat="0" applyAlignment="0" applyProtection="0"/>
    <xf numFmtId="0" fontId="74" fillId="92" borderId="127" applyNumberFormat="0" applyAlignment="0" applyProtection="0"/>
    <xf numFmtId="0" fontId="72" fillId="44" borderId="127" applyNumberFormat="0" applyAlignment="0" applyProtection="0"/>
    <xf numFmtId="0" fontId="66" fillId="75" borderId="127" applyNumberFormat="0" applyAlignment="0" applyProtection="0"/>
    <xf numFmtId="0" fontId="33" fillId="86" borderId="154" applyNumberFormat="0" applyFont="0" applyAlignment="0" applyProtection="0"/>
    <xf numFmtId="0" fontId="72" fillId="44" borderId="127" applyNumberFormat="0" applyAlignment="0" applyProtection="0"/>
    <xf numFmtId="0" fontId="74" fillId="92" borderId="127" applyNumberFormat="0" applyAlignment="0" applyProtection="0"/>
    <xf numFmtId="0" fontId="72" fillId="44" borderId="127" applyNumberFormat="0" applyAlignment="0" applyProtection="0"/>
    <xf numFmtId="0" fontId="66" fillId="75" borderId="127" applyNumberFormat="0" applyAlignment="0" applyProtection="0"/>
    <xf numFmtId="0" fontId="33" fillId="86" borderId="154" applyNumberFormat="0" applyFont="0" applyAlignment="0" applyProtection="0"/>
    <xf numFmtId="0" fontId="66" fillId="44" borderId="127" applyNumberFormat="0" applyAlignment="0" applyProtection="0"/>
    <xf numFmtId="0" fontId="74" fillId="75" borderId="127" applyNumberFormat="0" applyAlignment="0" applyProtection="0"/>
    <xf numFmtId="0" fontId="66" fillId="92" borderId="128" applyNumberFormat="0" applyAlignment="0" applyProtection="0"/>
    <xf numFmtId="0" fontId="74" fillId="92" borderId="127" applyNumberFormat="0" applyAlignment="0" applyProtection="0"/>
    <xf numFmtId="0" fontId="33" fillId="86" borderId="154" applyNumberFormat="0" applyFont="0" applyAlignment="0" applyProtection="0"/>
    <xf numFmtId="0" fontId="72" fillId="44" borderId="127" applyNumberFormat="0" applyAlignment="0" applyProtection="0"/>
    <xf numFmtId="0" fontId="72" fillId="44" borderId="127" applyNumberFormat="0" applyAlignment="0" applyProtection="0"/>
    <xf numFmtId="0" fontId="74" fillId="92" borderId="127" applyNumberFormat="0" applyAlignment="0" applyProtection="0"/>
    <xf numFmtId="0" fontId="72" fillId="44" borderId="127" applyNumberFormat="0" applyAlignment="0" applyProtection="0"/>
    <xf numFmtId="0" fontId="66" fillId="75" borderId="127" applyNumberFormat="0" applyAlignment="0" applyProtection="0"/>
    <xf numFmtId="0" fontId="33" fillId="86" borderId="154" applyNumberFormat="0" applyFont="0" applyAlignment="0" applyProtection="0"/>
    <xf numFmtId="0" fontId="66" fillId="86" borderId="134" applyNumberFormat="0" applyFont="0" applyAlignment="0" applyProtection="0"/>
    <xf numFmtId="0" fontId="74" fillId="75" borderId="127" applyNumberFormat="0" applyAlignment="0" applyProtection="0"/>
    <xf numFmtId="0" fontId="72" fillId="44" borderId="127" applyNumberFormat="0" applyAlignment="0" applyProtection="0"/>
    <xf numFmtId="0" fontId="66" fillId="92" borderId="127" applyNumberFormat="0" applyAlignment="0" applyProtection="0"/>
    <xf numFmtId="0" fontId="33" fillId="85" borderId="154" applyNumberFormat="0" applyAlignment="0" applyProtection="0"/>
    <xf numFmtId="0" fontId="66" fillId="44" borderId="127" applyNumberFormat="0" applyAlignment="0" applyProtection="0"/>
    <xf numFmtId="0" fontId="66" fillId="44" borderId="127" applyNumberFormat="0" applyAlignment="0" applyProtection="0"/>
    <xf numFmtId="0" fontId="74" fillId="75" borderId="127" applyNumberFormat="0" applyAlignment="0" applyProtection="0"/>
    <xf numFmtId="0" fontId="66" fillId="92" borderId="127" applyNumberFormat="0" applyAlignment="0" applyProtection="0"/>
    <xf numFmtId="0" fontId="33" fillId="86" borderId="154" applyNumberFormat="0" applyFont="0" applyAlignment="0" applyProtection="0"/>
    <xf numFmtId="0" fontId="74" fillId="92" borderId="147" applyNumberFormat="0" applyAlignment="0" applyProtection="0"/>
    <xf numFmtId="0" fontId="72" fillId="44" borderId="127" applyNumberFormat="0" applyAlignment="0" applyProtection="0"/>
    <xf numFmtId="0" fontId="74" fillId="75" borderId="127" applyNumberFormat="0" applyAlignment="0" applyProtection="0"/>
    <xf numFmtId="0" fontId="66" fillId="44" borderId="127" applyNumberFormat="0" applyAlignment="0" applyProtection="0"/>
    <xf numFmtId="0" fontId="74" fillId="75" borderId="127" applyNumberFormat="0" applyAlignment="0" applyProtection="0"/>
    <xf numFmtId="0" fontId="66" fillId="92" borderId="127" applyNumberFormat="0" applyAlignment="0" applyProtection="0"/>
    <xf numFmtId="0" fontId="33" fillId="85" borderId="154" applyNumberFormat="0" applyAlignment="0" applyProtection="0"/>
    <xf numFmtId="0" fontId="72" fillId="44" borderId="127" applyNumberFormat="0" applyAlignment="0" applyProtection="0"/>
    <xf numFmtId="0" fontId="66" fillId="44" borderId="127" applyNumberFormat="0" applyAlignment="0" applyProtection="0"/>
    <xf numFmtId="0" fontId="74" fillId="92" borderId="127" applyNumberFormat="0" applyAlignment="0" applyProtection="0"/>
    <xf numFmtId="0" fontId="72" fillId="44" borderId="127" applyNumberFormat="0" applyAlignment="0" applyProtection="0"/>
    <xf numFmtId="0" fontId="66" fillId="75" borderId="127" applyNumberFormat="0" applyAlignment="0" applyProtection="0"/>
    <xf numFmtId="0" fontId="74" fillId="92" borderId="127" applyNumberFormat="0" applyAlignment="0" applyProtection="0"/>
    <xf numFmtId="0" fontId="72" fillId="44" borderId="127" applyNumberFormat="0" applyAlignment="0" applyProtection="0"/>
    <xf numFmtId="0" fontId="74" fillId="92" borderId="127" applyNumberFormat="0" applyAlignment="0" applyProtection="0"/>
    <xf numFmtId="0" fontId="33" fillId="85" borderId="154" applyNumberFormat="0" applyAlignment="0" applyProtection="0"/>
    <xf numFmtId="0" fontId="66" fillId="0" borderId="129" applyNumberFormat="0" applyFill="0" applyAlignment="0" applyProtection="0"/>
    <xf numFmtId="0" fontId="66" fillId="44" borderId="127" applyNumberFormat="0" applyAlignment="0" applyProtection="0"/>
    <xf numFmtId="0" fontId="72" fillId="44" borderId="127" applyNumberFormat="0" applyAlignment="0" applyProtection="0"/>
    <xf numFmtId="0" fontId="74" fillId="75" borderId="127" applyNumberFormat="0" applyAlignment="0" applyProtection="0"/>
    <xf numFmtId="0" fontId="74" fillId="92" borderId="127" applyNumberFormat="0" applyAlignment="0" applyProtection="0"/>
    <xf numFmtId="0" fontId="33" fillId="85" borderId="154" applyNumberFormat="0" applyAlignment="0" applyProtection="0"/>
    <xf numFmtId="0" fontId="72" fillId="44" borderId="127" applyNumberFormat="0" applyAlignment="0" applyProtection="0"/>
    <xf numFmtId="0" fontId="74" fillId="75" borderId="127" applyNumberFormat="0" applyAlignment="0" applyProtection="0"/>
    <xf numFmtId="0" fontId="66" fillId="44" borderId="127" applyNumberFormat="0" applyAlignment="0" applyProtection="0"/>
    <xf numFmtId="0" fontId="74" fillId="75" borderId="127" applyNumberFormat="0" applyAlignment="0" applyProtection="0"/>
    <xf numFmtId="0" fontId="66" fillId="92" borderId="127" applyNumberFormat="0" applyAlignment="0" applyProtection="0"/>
    <xf numFmtId="0" fontId="72" fillId="44" borderId="127" applyNumberFormat="0" applyAlignment="0" applyProtection="0"/>
    <xf numFmtId="0" fontId="66" fillId="44" borderId="127" applyNumberFormat="0" applyAlignment="0" applyProtection="0"/>
    <xf numFmtId="0" fontId="74" fillId="92" borderId="127" applyNumberFormat="0" applyAlignment="0" applyProtection="0"/>
    <xf numFmtId="0" fontId="33" fillId="85" borderId="154" applyNumberFormat="0" applyAlignment="0" applyProtection="0"/>
    <xf numFmtId="0" fontId="72" fillId="44" borderId="127" applyNumberFormat="0" applyAlignment="0" applyProtection="0"/>
    <xf numFmtId="0" fontId="66" fillId="75" borderId="127" applyNumberFormat="0" applyAlignment="0" applyProtection="0"/>
    <xf numFmtId="0" fontId="74" fillId="92" borderId="127" applyNumberFormat="0" applyAlignment="0" applyProtection="0"/>
    <xf numFmtId="0" fontId="72" fillId="44" borderId="127" applyNumberFormat="0" applyAlignment="0" applyProtection="0"/>
    <xf numFmtId="0" fontId="74" fillId="75" borderId="127" applyNumberFormat="0" applyAlignment="0" applyProtection="0"/>
    <xf numFmtId="0" fontId="33" fillId="85" borderId="154" applyNumberFormat="0" applyAlignment="0" applyProtection="0"/>
    <xf numFmtId="0" fontId="72" fillId="44" borderId="127" applyNumberFormat="0" applyAlignment="0" applyProtection="0"/>
    <xf numFmtId="0" fontId="50" fillId="0" borderId="149" applyNumberFormat="0" applyFill="0" applyAlignment="0" applyProtection="0"/>
    <xf numFmtId="0" fontId="66" fillId="75" borderId="128" applyNumberFormat="0" applyAlignment="0" applyProtection="0"/>
    <xf numFmtId="0" fontId="72" fillId="44" borderId="127" applyNumberFormat="0" applyAlignment="0" applyProtection="0"/>
    <xf numFmtId="0" fontId="74" fillId="75" borderId="127" applyNumberFormat="0" applyAlignment="0" applyProtection="0"/>
    <xf numFmtId="0" fontId="74" fillId="92" borderId="127" applyNumberFormat="0" applyAlignment="0" applyProtection="0"/>
    <xf numFmtId="0" fontId="33" fillId="85" borderId="154" applyNumberFormat="0" applyAlignment="0" applyProtection="0"/>
    <xf numFmtId="0" fontId="72" fillId="44" borderId="127" applyNumberFormat="0" applyAlignment="0" applyProtection="0"/>
    <xf numFmtId="0" fontId="74" fillId="75" borderId="127" applyNumberFormat="0" applyAlignment="0" applyProtection="0"/>
    <xf numFmtId="0" fontId="66" fillId="0" borderId="132" applyNumberFormat="0" applyFill="0" applyAlignment="0" applyProtection="0"/>
    <xf numFmtId="0" fontId="66" fillId="44" borderId="127" applyNumberFormat="0" applyAlignment="0" applyProtection="0"/>
    <xf numFmtId="0" fontId="66" fillId="75" borderId="127" applyNumberFormat="0" applyAlignment="0" applyProtection="0"/>
    <xf numFmtId="0" fontId="66" fillId="92" borderId="127" applyNumberFormat="0" applyAlignment="0" applyProtection="0"/>
    <xf numFmtId="0" fontId="33" fillId="85" borderId="154" applyNumberFormat="0" applyAlignment="0" applyProtection="0"/>
    <xf numFmtId="0" fontId="72" fillId="44" borderId="127" applyNumberFormat="0" applyAlignment="0" applyProtection="0"/>
    <xf numFmtId="0" fontId="66" fillId="44" borderId="127" applyNumberFormat="0" applyAlignment="0" applyProtection="0"/>
    <xf numFmtId="0" fontId="74" fillId="92" borderId="127" applyNumberFormat="0" applyAlignment="0" applyProtection="0"/>
    <xf numFmtId="0" fontId="33" fillId="86" borderId="154" applyNumberFormat="0" applyFont="0" applyAlignment="0" applyProtection="0"/>
    <xf numFmtId="0" fontId="66" fillId="44" borderId="127" applyNumberFormat="0" applyAlignment="0" applyProtection="0"/>
    <xf numFmtId="0" fontId="66" fillId="75" borderId="127" applyNumberFormat="0" applyAlignment="0" applyProtection="0"/>
    <xf numFmtId="0" fontId="72" fillId="44" borderId="127" applyNumberFormat="0" applyAlignment="0" applyProtection="0"/>
    <xf numFmtId="0" fontId="74" fillId="75" borderId="127" applyNumberFormat="0" applyAlignment="0" applyProtection="0"/>
    <xf numFmtId="0" fontId="33" fillId="86" borderId="154" applyNumberFormat="0" applyFont="0" applyAlignment="0" applyProtection="0"/>
    <xf numFmtId="0" fontId="72" fillId="44" borderId="127" applyNumberFormat="0" applyAlignment="0" applyProtection="0"/>
    <xf numFmtId="0" fontId="72" fillId="44" borderId="127" applyNumberFormat="0" applyAlignment="0" applyProtection="0"/>
    <xf numFmtId="0" fontId="74" fillId="75" borderId="127" applyNumberFormat="0" applyAlignment="0" applyProtection="0"/>
    <xf numFmtId="0" fontId="74" fillId="92" borderId="127" applyNumberFormat="0" applyAlignment="0" applyProtection="0"/>
    <xf numFmtId="0" fontId="33" fillId="85" borderId="154" applyNumberFormat="0" applyAlignment="0" applyProtection="0"/>
    <xf numFmtId="0" fontId="72" fillId="44" borderId="127" applyNumberFormat="0" applyAlignment="0" applyProtection="0"/>
    <xf numFmtId="0" fontId="66" fillId="44" borderId="127" applyNumberFormat="0" applyAlignment="0" applyProtection="0"/>
    <xf numFmtId="0" fontId="74" fillId="75" borderId="127" applyNumberFormat="0" applyAlignment="0" applyProtection="0"/>
    <xf numFmtId="0" fontId="66" fillId="92" borderId="127" applyNumberFormat="0" applyAlignment="0" applyProtection="0"/>
    <xf numFmtId="0" fontId="33" fillId="86" borderId="154" applyNumberFormat="0" applyFont="0" applyAlignment="0" applyProtection="0"/>
    <xf numFmtId="0" fontId="72" fillId="44" borderId="127" applyNumberFormat="0" applyAlignment="0" applyProtection="0"/>
    <xf numFmtId="0" fontId="66" fillId="44" borderId="127" applyNumberFormat="0" applyAlignment="0" applyProtection="0"/>
    <xf numFmtId="0" fontId="74" fillId="75" borderId="127" applyNumberFormat="0" applyAlignment="0" applyProtection="0"/>
    <xf numFmtId="0" fontId="74" fillId="75" borderId="127" applyNumberFormat="0" applyAlignment="0" applyProtection="0"/>
    <xf numFmtId="0" fontId="33" fillId="85" borderId="154" applyNumberFormat="0" applyAlignment="0" applyProtection="0"/>
    <xf numFmtId="0" fontId="72" fillId="44" borderId="127" applyNumberFormat="0" applyAlignment="0" applyProtection="0"/>
    <xf numFmtId="0" fontId="74" fillId="75" borderId="127" applyNumberFormat="0" applyAlignment="0" applyProtection="0"/>
    <xf numFmtId="0" fontId="48" fillId="75" borderId="148" applyNumberFormat="0" applyAlignment="0" applyProtection="0"/>
    <xf numFmtId="0" fontId="66" fillId="86" borderId="134" applyNumberFormat="0" applyFont="0" applyAlignment="0" applyProtection="0"/>
    <xf numFmtId="0" fontId="74" fillId="92" borderId="127" applyNumberFormat="0" applyAlignment="0" applyProtection="0"/>
    <xf numFmtId="0" fontId="72" fillId="44" borderId="127" applyNumberFormat="0" applyAlignment="0" applyProtection="0"/>
    <xf numFmtId="0" fontId="74" fillId="92" borderId="127" applyNumberFormat="0" applyAlignment="0" applyProtection="0"/>
    <xf numFmtId="0" fontId="33" fillId="86" borderId="154" applyNumberFormat="0" applyFont="0" applyAlignment="0" applyProtection="0"/>
    <xf numFmtId="0" fontId="66" fillId="44" borderId="127" applyNumberFormat="0" applyAlignment="0" applyProtection="0"/>
    <xf numFmtId="0" fontId="72" fillId="44" borderId="127" applyNumberFormat="0" applyAlignment="0" applyProtection="0"/>
    <xf numFmtId="0" fontId="74" fillId="75" borderId="127" applyNumberFormat="0" applyAlignment="0" applyProtection="0"/>
    <xf numFmtId="0" fontId="66" fillId="92" borderId="127" applyNumberFormat="0" applyAlignment="0" applyProtection="0"/>
    <xf numFmtId="0" fontId="33" fillId="86" borderId="154" applyNumberFormat="0" applyFont="0" applyAlignment="0" applyProtection="0"/>
    <xf numFmtId="0" fontId="72" fillId="44" borderId="127" applyNumberFormat="0" applyAlignment="0" applyProtection="0"/>
    <xf numFmtId="0" fontId="74" fillId="75" borderId="127" applyNumberFormat="0" applyAlignment="0" applyProtection="0"/>
    <xf numFmtId="0" fontId="66" fillId="44" borderId="127" applyNumberFormat="0" applyAlignment="0" applyProtection="0"/>
    <xf numFmtId="0" fontId="66" fillId="75" borderId="127" applyNumberFormat="0" applyAlignment="0" applyProtection="0"/>
    <xf numFmtId="0" fontId="66" fillId="92" borderId="127" applyNumberFormat="0" applyAlignment="0" applyProtection="0"/>
    <xf numFmtId="0" fontId="33" fillId="86" borderId="154" applyNumberFormat="0" applyFont="0" applyAlignment="0" applyProtection="0"/>
    <xf numFmtId="0" fontId="72" fillId="44" borderId="127" applyNumberFormat="0" applyAlignment="0" applyProtection="0"/>
    <xf numFmtId="0" fontId="66" fillId="44" borderId="127" applyNumberFormat="0" applyAlignment="0" applyProtection="0"/>
    <xf numFmtId="0" fontId="74" fillId="92" borderId="127" applyNumberFormat="0" applyAlignment="0" applyProtection="0"/>
    <xf numFmtId="0" fontId="66" fillId="44" borderId="127" applyNumberFormat="0" applyAlignment="0" applyProtection="0"/>
    <xf numFmtId="0" fontId="66" fillId="75" borderId="127" applyNumberFormat="0" applyAlignment="0" applyProtection="0"/>
    <xf numFmtId="0" fontId="74" fillId="92" borderId="127" applyNumberFormat="0" applyAlignment="0" applyProtection="0"/>
    <xf numFmtId="0" fontId="72" fillId="44" borderId="127" applyNumberFormat="0" applyAlignment="0" applyProtection="0"/>
    <xf numFmtId="0" fontId="74" fillId="75" borderId="127" applyNumberFormat="0" applyAlignment="0" applyProtection="0"/>
    <xf numFmtId="0" fontId="33" fillId="86" borderId="154" applyNumberFormat="0" applyFont="0" applyAlignment="0" applyProtection="0"/>
    <xf numFmtId="0" fontId="72" fillId="44" borderId="127" applyNumberFormat="0" applyAlignment="0" applyProtection="0"/>
    <xf numFmtId="0" fontId="72" fillId="44" borderId="127" applyNumberFormat="0" applyAlignment="0" applyProtection="0"/>
    <xf numFmtId="0" fontId="74" fillId="75" borderId="127" applyNumberFormat="0" applyAlignment="0" applyProtection="0"/>
    <xf numFmtId="0" fontId="74" fillId="92" borderId="127" applyNumberFormat="0" applyAlignment="0" applyProtection="0"/>
    <xf numFmtId="0" fontId="33" fillId="85" borderId="154" applyNumberFormat="0" applyAlignment="0" applyProtection="0"/>
    <xf numFmtId="0" fontId="72" fillId="44" borderId="127" applyNumberFormat="0" applyAlignment="0" applyProtection="0"/>
    <xf numFmtId="0" fontId="74" fillId="75" borderId="127" applyNumberFormat="0" applyAlignment="0" applyProtection="0"/>
    <xf numFmtId="0" fontId="66" fillId="44" borderId="127" applyNumberFormat="0" applyAlignment="0" applyProtection="0"/>
    <xf numFmtId="0" fontId="66" fillId="75" borderId="127" applyNumberFormat="0" applyAlignment="0" applyProtection="0"/>
    <xf numFmtId="0" fontId="66" fillId="92" borderId="127" applyNumberFormat="0" applyAlignment="0" applyProtection="0"/>
    <xf numFmtId="0" fontId="33" fillId="85" borderId="154" applyNumberFormat="0" applyAlignment="0" applyProtection="0"/>
    <xf numFmtId="0" fontId="66" fillId="86" borderId="154" applyNumberFormat="0" applyFont="0" applyAlignment="0" applyProtection="0"/>
    <xf numFmtId="0" fontId="72" fillId="44" borderId="127" applyNumberFormat="0" applyAlignment="0" applyProtection="0"/>
    <xf numFmtId="0" fontId="66" fillId="44" borderId="127" applyNumberFormat="0" applyAlignment="0" applyProtection="0"/>
    <xf numFmtId="0" fontId="66" fillId="92" borderId="127" applyNumberFormat="0" applyAlignment="0" applyProtection="0"/>
    <xf numFmtId="0" fontId="33" fillId="85" borderId="154" applyNumberFormat="0" applyAlignment="0" applyProtection="0"/>
    <xf numFmtId="0" fontId="66" fillId="44" borderId="127" applyNumberFormat="0" applyAlignment="0" applyProtection="0"/>
    <xf numFmtId="0" fontId="66" fillId="75" borderId="127" applyNumberFormat="0" applyAlignment="0" applyProtection="0"/>
    <xf numFmtId="0" fontId="74" fillId="92" borderId="127" applyNumberFormat="0" applyAlignment="0" applyProtection="0"/>
    <xf numFmtId="0" fontId="72" fillId="44" borderId="127" applyNumberFormat="0" applyAlignment="0" applyProtection="0"/>
    <xf numFmtId="0" fontId="74" fillId="75" borderId="127" applyNumberFormat="0" applyAlignment="0" applyProtection="0"/>
    <xf numFmtId="0" fontId="33" fillId="86" borderId="154" applyNumberFormat="0" applyFont="0" applyAlignment="0" applyProtection="0"/>
    <xf numFmtId="0" fontId="72" fillId="44" borderId="127" applyNumberFormat="0" applyAlignment="0" applyProtection="0"/>
    <xf numFmtId="0" fontId="72" fillId="44" borderId="127" applyNumberFormat="0" applyAlignment="0" applyProtection="0"/>
    <xf numFmtId="0" fontId="74" fillId="75" borderId="127" applyNumberFormat="0" applyAlignment="0" applyProtection="0"/>
    <xf numFmtId="0" fontId="74" fillId="92" borderId="127" applyNumberFormat="0" applyAlignment="0" applyProtection="0"/>
    <xf numFmtId="0" fontId="33" fillId="85" borderId="154" applyNumberFormat="0" applyAlignment="0" applyProtection="0"/>
    <xf numFmtId="0" fontId="72" fillId="44" borderId="127" applyNumberFormat="0" applyAlignment="0" applyProtection="0"/>
    <xf numFmtId="0" fontId="74" fillId="75" borderId="127" applyNumberFormat="0" applyAlignment="0" applyProtection="0"/>
    <xf numFmtId="0" fontId="66" fillId="44" borderId="127" applyNumberFormat="0" applyAlignment="0" applyProtection="0"/>
    <xf numFmtId="0" fontId="66" fillId="75" borderId="127" applyNumberFormat="0" applyAlignment="0" applyProtection="0"/>
    <xf numFmtId="0" fontId="38" fillId="75" borderId="147" applyNumberFormat="0" applyAlignment="0" applyProtection="0"/>
    <xf numFmtId="0" fontId="66" fillId="92" borderId="127" applyNumberFormat="0" applyAlignment="0" applyProtection="0"/>
    <xf numFmtId="0" fontId="33" fillId="85" borderId="154" applyNumberFormat="0" applyAlignment="0" applyProtection="0"/>
    <xf numFmtId="0" fontId="66" fillId="44" borderId="127" applyNumberFormat="0" applyAlignment="0" applyProtection="0"/>
    <xf numFmtId="0" fontId="66" fillId="44" borderId="127" applyNumberFormat="0" applyAlignment="0" applyProtection="0"/>
    <xf numFmtId="0" fontId="74" fillId="75" borderId="127" applyNumberFormat="0" applyAlignment="0" applyProtection="0"/>
    <xf numFmtId="0" fontId="66" fillId="92" borderId="127" applyNumberFormat="0" applyAlignment="0" applyProtection="0"/>
    <xf numFmtId="0" fontId="33" fillId="85" borderId="154" applyNumberFormat="0" applyAlignment="0" applyProtection="0"/>
    <xf numFmtId="0" fontId="72" fillId="44" borderId="147" applyNumberFormat="0" applyAlignment="0" applyProtection="0"/>
    <xf numFmtId="0" fontId="66" fillId="44" borderId="127" applyNumberFormat="0" applyAlignment="0" applyProtection="0"/>
    <xf numFmtId="0" fontId="74" fillId="75" borderId="127" applyNumberFormat="0" applyAlignment="0" applyProtection="0"/>
    <xf numFmtId="0" fontId="48" fillId="75" borderId="148" applyNumberFormat="0" applyAlignment="0" applyProtection="0"/>
    <xf numFmtId="0" fontId="66" fillId="0" borderId="149" applyNumberFormat="0" applyFill="0" applyAlignment="0" applyProtection="0"/>
    <xf numFmtId="0" fontId="78" fillId="0" borderId="149" applyNumberFormat="0" applyFill="0" applyAlignment="0" applyProtection="0"/>
    <xf numFmtId="0" fontId="73" fillId="92" borderId="148" applyNumberFormat="0" applyAlignment="0" applyProtection="0"/>
    <xf numFmtId="0" fontId="73" fillId="75" borderId="148" applyNumberFormat="0" applyAlignment="0" applyProtection="0"/>
    <xf numFmtId="0" fontId="66" fillId="75" borderId="148" applyNumberFormat="0" applyAlignment="0" applyProtection="0"/>
    <xf numFmtId="0" fontId="66" fillId="75" borderId="148" applyNumberFormat="0" applyAlignment="0" applyProtection="0"/>
    <xf numFmtId="0" fontId="73" fillId="75" borderId="148" applyNumberFormat="0" applyAlignment="0" applyProtection="0"/>
    <xf numFmtId="0" fontId="73" fillId="92" borderId="148" applyNumberFormat="0" applyAlignment="0" applyProtection="0"/>
    <xf numFmtId="0" fontId="165" fillId="0" borderId="125"/>
    <xf numFmtId="0" fontId="66" fillId="92" borderId="166" applyNumberFormat="0" applyAlignment="0" applyProtection="0"/>
    <xf numFmtId="0" fontId="54" fillId="0" borderId="121">
      <alignment horizontal="left" vertical="center"/>
    </xf>
    <xf numFmtId="0" fontId="54" fillId="0" borderId="121">
      <alignment horizontal="left" vertical="center"/>
    </xf>
    <xf numFmtId="10" fontId="52" fillId="82" borderId="120" applyNumberFormat="0" applyBorder="0" applyAlignment="0" applyProtection="0"/>
    <xf numFmtId="10" fontId="52" fillId="82" borderId="120" applyNumberFormat="0" applyBorder="0" applyAlignment="0" applyProtection="0"/>
    <xf numFmtId="0" fontId="45" fillId="44" borderId="147" applyNumberFormat="0" applyAlignment="0" applyProtection="0"/>
    <xf numFmtId="0" fontId="33" fillId="86" borderId="154" applyNumberFormat="0" applyFont="0" applyAlignment="0" applyProtection="0"/>
    <xf numFmtId="0" fontId="50" fillId="0" borderId="149" applyNumberFormat="0" applyFill="0" applyAlignment="0" applyProtection="0"/>
    <xf numFmtId="0" fontId="114" fillId="75" borderId="147" applyNumberFormat="0" applyAlignment="0" applyProtection="0">
      <alignment vertical="center"/>
    </xf>
    <xf numFmtId="0" fontId="33" fillId="85" borderId="116" applyNumberFormat="0" applyAlignment="0" applyProtection="0"/>
    <xf numFmtId="0" fontId="33" fillId="85" borderId="116" applyNumberFormat="0" applyAlignment="0" applyProtection="0"/>
    <xf numFmtId="0" fontId="33" fillId="86" borderId="116" applyNumberFormat="0" applyFont="0" applyAlignment="0" applyProtection="0"/>
    <xf numFmtId="0" fontId="33" fillId="85" borderId="116" applyNumberFormat="0" applyAlignment="0" applyProtection="0"/>
    <xf numFmtId="0" fontId="33" fillId="85" borderId="116" applyNumberFormat="0" applyAlignment="0" applyProtection="0"/>
    <xf numFmtId="0" fontId="33" fillId="86" borderId="116" applyNumberFormat="0" applyFont="0" applyAlignment="0" applyProtection="0"/>
    <xf numFmtId="0" fontId="33" fillId="86" borderId="116" applyNumberFormat="0" applyFont="0" applyAlignment="0" applyProtection="0"/>
    <xf numFmtId="0" fontId="33" fillId="85" borderId="116" applyNumberFormat="0" applyAlignment="0" applyProtection="0"/>
    <xf numFmtId="0" fontId="33" fillId="85" borderId="116" applyNumberFormat="0" applyAlignment="0" applyProtection="0"/>
    <xf numFmtId="0" fontId="33" fillId="85" borderId="116" applyNumberFormat="0" applyAlignment="0" applyProtection="0"/>
    <xf numFmtId="0" fontId="33" fillId="85" borderId="116" applyNumberFormat="0" applyAlignment="0" applyProtection="0"/>
    <xf numFmtId="0" fontId="33" fillId="85" borderId="116" applyNumberFormat="0" applyAlignment="0" applyProtection="0"/>
    <xf numFmtId="0" fontId="33" fillId="86" borderId="116" applyNumberFormat="0" applyFont="0" applyAlignment="0" applyProtection="0"/>
    <xf numFmtId="0" fontId="33" fillId="85" borderId="116" applyNumberFormat="0" applyAlignment="0" applyProtection="0"/>
    <xf numFmtId="0" fontId="33" fillId="86" borderId="116" applyNumberFormat="0" applyFont="0" applyAlignment="0" applyProtection="0"/>
    <xf numFmtId="0" fontId="33" fillId="85" borderId="116" applyNumberFormat="0" applyAlignment="0" applyProtection="0"/>
    <xf numFmtId="0" fontId="33" fillId="85" borderId="116" applyNumberFormat="0" applyAlignment="0" applyProtection="0"/>
    <xf numFmtId="0" fontId="33" fillId="85" borderId="116" applyNumberFormat="0" applyAlignment="0" applyProtection="0"/>
    <xf numFmtId="0" fontId="33" fillId="86" borderId="116" applyNumberFormat="0" applyFont="0" applyAlignment="0" applyProtection="0"/>
    <xf numFmtId="0" fontId="33" fillId="85" borderId="116" applyNumberFormat="0" applyAlignment="0" applyProtection="0"/>
    <xf numFmtId="0" fontId="33" fillId="86" borderId="116" applyNumberFormat="0" applyFont="0" applyAlignment="0" applyProtection="0"/>
    <xf numFmtId="0" fontId="33" fillId="85" borderId="116" applyNumberFormat="0" applyAlignment="0" applyProtection="0"/>
    <xf numFmtId="0" fontId="33" fillId="86" borderId="116" applyNumberFormat="0" applyFont="0" applyAlignment="0" applyProtection="0"/>
    <xf numFmtId="0" fontId="33" fillId="85" borderId="116" applyNumberFormat="0" applyAlignment="0" applyProtection="0"/>
    <xf numFmtId="0" fontId="33" fillId="86" borderId="116" applyNumberFormat="0" applyFont="0" applyAlignment="0" applyProtection="0"/>
    <xf numFmtId="0" fontId="33" fillId="86" borderId="116" applyNumberFormat="0" applyFont="0" applyAlignment="0" applyProtection="0"/>
    <xf numFmtId="0" fontId="33" fillId="86" borderId="116" applyNumberFormat="0" applyFont="0" applyAlignment="0" applyProtection="0"/>
    <xf numFmtId="0" fontId="33" fillId="86" borderId="116" applyNumberFormat="0" applyFont="0" applyAlignment="0" applyProtection="0"/>
    <xf numFmtId="0" fontId="33" fillId="86" borderId="116" applyNumberFormat="0" applyFont="0" applyAlignment="0" applyProtection="0"/>
    <xf numFmtId="0" fontId="38" fillId="75" borderId="155" applyNumberFormat="0" applyAlignment="0" applyProtection="0"/>
    <xf numFmtId="0" fontId="38" fillId="76" borderId="155" applyNumberFormat="0" applyAlignment="0" applyProtection="0"/>
    <xf numFmtId="0" fontId="38" fillId="76" borderId="155" applyNumberFormat="0" applyAlignment="0" applyProtection="0"/>
    <xf numFmtId="0" fontId="48" fillId="75" borderId="117" applyNumberFormat="0" applyAlignment="0" applyProtection="0"/>
    <xf numFmtId="0" fontId="48" fillId="76" borderId="117" applyNumberFormat="0" applyAlignment="0" applyProtection="0"/>
    <xf numFmtId="0" fontId="48" fillId="76" borderId="117" applyNumberFormat="0" applyAlignment="0" applyProtection="0"/>
    <xf numFmtId="0" fontId="48" fillId="76" borderId="117" applyNumberFormat="0" applyAlignment="0" applyProtection="0"/>
    <xf numFmtId="0" fontId="48" fillId="75" borderId="117" applyNumberFormat="0" applyAlignment="0" applyProtection="0"/>
    <xf numFmtId="0" fontId="48" fillId="76" borderId="117" applyNumberFormat="0" applyAlignment="0" applyProtection="0"/>
    <xf numFmtId="0" fontId="48" fillId="76" borderId="117" applyNumberFormat="0" applyAlignment="0" applyProtection="0"/>
    <xf numFmtId="0" fontId="48" fillId="75" borderId="117" applyNumberFormat="0" applyAlignment="0" applyProtection="0"/>
    <xf numFmtId="0" fontId="48" fillId="76" borderId="117" applyNumberFormat="0" applyAlignment="0" applyProtection="0"/>
    <xf numFmtId="0" fontId="48" fillId="76" borderId="117" applyNumberFormat="0" applyAlignment="0" applyProtection="0"/>
    <xf numFmtId="0" fontId="48" fillId="75" borderId="117" applyNumberFormat="0" applyAlignment="0" applyProtection="0"/>
    <xf numFmtId="0" fontId="48" fillId="75" borderId="117" applyNumberFormat="0" applyAlignment="0" applyProtection="0"/>
    <xf numFmtId="0" fontId="48" fillId="75" borderId="117" applyNumberFormat="0" applyAlignment="0" applyProtection="0"/>
    <xf numFmtId="0" fontId="48" fillId="75" borderId="117" applyNumberFormat="0" applyAlignment="0" applyProtection="0"/>
    <xf numFmtId="0" fontId="66" fillId="86" borderId="156" applyNumberFormat="0" applyFont="0" applyAlignment="0" applyProtection="0"/>
    <xf numFmtId="0" fontId="48" fillId="78" borderId="117" applyNumberFormat="0" applyAlignment="0" applyProtection="0"/>
    <xf numFmtId="0" fontId="48" fillId="78" borderId="117" applyNumberFormat="0" applyAlignment="0" applyProtection="0"/>
    <xf numFmtId="0" fontId="48" fillId="78" borderId="117" applyNumberFormat="0" applyAlignment="0" applyProtection="0"/>
    <xf numFmtId="0" fontId="48" fillId="75" borderId="117" applyNumberFormat="0" applyAlignment="0" applyProtection="0"/>
    <xf numFmtId="0" fontId="73" fillId="75" borderId="157" applyNumberFormat="0" applyAlignment="0" applyProtection="0"/>
    <xf numFmtId="0" fontId="73" fillId="75" borderId="157" applyNumberFormat="0" applyAlignment="0" applyProtection="0"/>
    <xf numFmtId="0" fontId="48" fillId="75" borderId="148" applyNumberFormat="0" applyAlignment="0" applyProtection="0"/>
    <xf numFmtId="0" fontId="78" fillId="0" borderId="149" applyNumberFormat="0" applyFill="0" applyAlignment="0" applyProtection="0"/>
    <xf numFmtId="0" fontId="78" fillId="0" borderId="149" applyNumberFormat="0" applyFill="0" applyAlignment="0" applyProtection="0"/>
    <xf numFmtId="0" fontId="73" fillId="92" borderId="148" applyNumberFormat="0" applyAlignment="0" applyProtection="0"/>
    <xf numFmtId="0" fontId="73" fillId="75" borderId="148" applyNumberFormat="0" applyAlignment="0" applyProtection="0"/>
    <xf numFmtId="0" fontId="167" fillId="0" borderId="125"/>
    <xf numFmtId="10" fontId="52" fillId="82" borderId="165" applyNumberFormat="0" applyBorder="0" applyAlignment="0" applyProtection="0"/>
    <xf numFmtId="0" fontId="48" fillId="75" borderId="128" applyNumberFormat="0" applyAlignment="0" applyProtection="0"/>
    <xf numFmtId="0" fontId="48" fillId="76" borderId="128" applyNumberFormat="0" applyAlignment="0" applyProtection="0"/>
    <xf numFmtId="0" fontId="48" fillId="76" borderId="128" applyNumberFormat="0" applyAlignment="0" applyProtection="0"/>
    <xf numFmtId="0" fontId="48" fillId="76" borderId="128" applyNumberFormat="0" applyAlignment="0" applyProtection="0"/>
    <xf numFmtId="0" fontId="48" fillId="75" borderId="128" applyNumberFormat="0" applyAlignment="0" applyProtection="0"/>
    <xf numFmtId="0" fontId="48" fillId="76" borderId="128" applyNumberFormat="0" applyAlignment="0" applyProtection="0"/>
    <xf numFmtId="0" fontId="48" fillId="76" borderId="128" applyNumberFormat="0" applyAlignment="0" applyProtection="0"/>
    <xf numFmtId="0" fontId="48" fillId="75" borderId="128" applyNumberFormat="0" applyAlignment="0" applyProtection="0"/>
    <xf numFmtId="0" fontId="48" fillId="76" borderId="128" applyNumberFormat="0" applyAlignment="0" applyProtection="0"/>
    <xf numFmtId="0" fontId="48" fillId="76" borderId="128" applyNumberFormat="0" applyAlignment="0" applyProtection="0"/>
    <xf numFmtId="0" fontId="48" fillId="75" borderId="128" applyNumberFormat="0" applyAlignment="0" applyProtection="0"/>
    <xf numFmtId="0" fontId="48" fillId="75" borderId="128" applyNumberFormat="0" applyAlignment="0" applyProtection="0"/>
    <xf numFmtId="0" fontId="48" fillId="75" borderId="128" applyNumberFormat="0" applyAlignment="0" applyProtection="0"/>
    <xf numFmtId="0" fontId="48" fillId="75" borderId="128" applyNumberFormat="0" applyAlignment="0" applyProtection="0"/>
    <xf numFmtId="0" fontId="66" fillId="86" borderId="156" applyNumberFormat="0" applyFont="0" applyAlignment="0" applyProtection="0"/>
    <xf numFmtId="0" fontId="48" fillId="78" borderId="128" applyNumberFormat="0" applyAlignment="0" applyProtection="0"/>
    <xf numFmtId="0" fontId="48" fillId="78" borderId="128" applyNumberFormat="0" applyAlignment="0" applyProtection="0"/>
    <xf numFmtId="0" fontId="48" fillId="78" borderId="128" applyNumberFormat="0" applyAlignment="0" applyProtection="0"/>
    <xf numFmtId="0" fontId="48" fillId="75" borderId="128" applyNumberFormat="0" applyAlignment="0" applyProtection="0"/>
    <xf numFmtId="0" fontId="50" fillId="0" borderId="129" applyNumberFormat="0" applyFill="0" applyAlignment="0" applyProtection="0"/>
    <xf numFmtId="0" fontId="50" fillId="0" borderId="129" applyNumberFormat="0" applyFill="0" applyAlignment="0" applyProtection="0"/>
    <xf numFmtId="0" fontId="50" fillId="0" borderId="129" applyNumberFormat="0" applyFill="0" applyAlignment="0" applyProtection="0"/>
    <xf numFmtId="0" fontId="50" fillId="0" borderId="129" applyNumberFormat="0" applyFill="0" applyAlignment="0" applyProtection="0"/>
    <xf numFmtId="0" fontId="50" fillId="0" borderId="129" applyNumberFormat="0" applyFill="0" applyAlignment="0" applyProtection="0"/>
    <xf numFmtId="0" fontId="66" fillId="92" borderId="147" applyNumberFormat="0" applyAlignment="0" applyProtection="0"/>
    <xf numFmtId="0" fontId="66" fillId="86" borderId="154" applyNumberFormat="0" applyFont="0" applyAlignment="0" applyProtection="0"/>
    <xf numFmtId="0" fontId="74" fillId="75" borderId="147" applyNumberFormat="0" applyAlignment="0" applyProtection="0"/>
    <xf numFmtId="0" fontId="66" fillId="86" borderId="154" applyNumberFormat="0" applyFont="0" applyAlignment="0" applyProtection="0"/>
    <xf numFmtId="0" fontId="66" fillId="92" borderId="147" applyNumberFormat="0" applyAlignment="0" applyProtection="0"/>
    <xf numFmtId="0" fontId="74" fillId="75" borderId="147" applyNumberFormat="0" applyAlignment="0" applyProtection="0"/>
    <xf numFmtId="0" fontId="66" fillId="86" borderId="154" applyNumberFormat="0" applyFont="0" applyAlignment="0" applyProtection="0"/>
    <xf numFmtId="0" fontId="66" fillId="86" borderId="154" applyNumberFormat="0" applyFont="0" applyAlignment="0" applyProtection="0"/>
    <xf numFmtId="0" fontId="74" fillId="92" borderId="147" applyNumberFormat="0" applyAlignment="0" applyProtection="0"/>
    <xf numFmtId="0" fontId="74" fillId="75" borderId="147" applyNumberFormat="0" applyAlignment="0" applyProtection="0"/>
    <xf numFmtId="0" fontId="66" fillId="86" borderId="154" applyNumberFormat="0" applyFont="0" applyAlignment="0" applyProtection="0"/>
    <xf numFmtId="0" fontId="66" fillId="86" borderId="154" applyNumberFormat="0" applyFont="0" applyAlignment="0" applyProtection="0"/>
    <xf numFmtId="0" fontId="74" fillId="92" borderId="147" applyNumberFormat="0" applyAlignment="0" applyProtection="0"/>
    <xf numFmtId="0" fontId="66" fillId="75" borderId="147" applyNumberFormat="0" applyAlignment="0" applyProtection="0"/>
    <xf numFmtId="0" fontId="66" fillId="86" borderId="154" applyNumberFormat="0" applyFont="0" applyAlignment="0" applyProtection="0"/>
    <xf numFmtId="0" fontId="66" fillId="86" borderId="154" applyNumberFormat="0" applyFont="0" applyAlignment="0" applyProtection="0"/>
    <xf numFmtId="0" fontId="66" fillId="75" borderId="147" applyNumberFormat="0" applyAlignment="0" applyProtection="0"/>
    <xf numFmtId="0" fontId="66" fillId="86" borderId="154" applyNumberFormat="0" applyFont="0" applyAlignment="0" applyProtection="0"/>
    <xf numFmtId="0" fontId="66" fillId="92" borderId="147" applyNumberFormat="0" applyAlignment="0" applyProtection="0"/>
    <xf numFmtId="0" fontId="66" fillId="86" borderId="154" applyNumberFormat="0" applyFont="0" applyAlignment="0" applyProtection="0"/>
    <xf numFmtId="0" fontId="74" fillId="75" borderId="147" applyNumberFormat="0" applyAlignment="0" applyProtection="0"/>
    <xf numFmtId="0" fontId="66" fillId="86" borderId="154" applyNumberFormat="0" applyFont="0" applyAlignment="0" applyProtection="0"/>
    <xf numFmtId="0" fontId="74" fillId="92" borderId="147" applyNumberFormat="0" applyAlignment="0" applyProtection="0"/>
    <xf numFmtId="0" fontId="66" fillId="86" borderId="154" applyNumberFormat="0" applyFont="0" applyAlignment="0" applyProtection="0"/>
    <xf numFmtId="0" fontId="74" fillId="75" borderId="147" applyNumberFormat="0" applyAlignment="0" applyProtection="0"/>
    <xf numFmtId="0" fontId="66" fillId="86" borderId="154" applyNumberFormat="0" applyFont="0" applyAlignment="0" applyProtection="0"/>
    <xf numFmtId="0" fontId="66" fillId="75" borderId="148" applyNumberFormat="0" applyAlignment="0" applyProtection="0"/>
    <xf numFmtId="0" fontId="66" fillId="86" borderId="154" applyNumberFormat="0" applyFont="0" applyAlignment="0" applyProtection="0"/>
    <xf numFmtId="0" fontId="74" fillId="92" borderId="147" applyNumberFormat="0" applyAlignment="0" applyProtection="0"/>
    <xf numFmtId="0" fontId="74" fillId="75" borderId="147" applyNumberFormat="0" applyAlignment="0" applyProtection="0"/>
    <xf numFmtId="0" fontId="66" fillId="86" borderId="154" applyNumberFormat="0" applyFont="0" applyAlignment="0" applyProtection="0"/>
    <xf numFmtId="0" fontId="66" fillId="86" borderId="154" applyNumberFormat="0" applyFont="0" applyAlignment="0" applyProtection="0"/>
    <xf numFmtId="0" fontId="66" fillId="92" borderId="147" applyNumberFormat="0" applyAlignment="0" applyProtection="0"/>
    <xf numFmtId="0" fontId="66" fillId="75" borderId="147" applyNumberFormat="0" applyAlignment="0" applyProtection="0"/>
    <xf numFmtId="0" fontId="66" fillId="86" borderId="154" applyNumberFormat="0" applyFont="0" applyAlignment="0" applyProtection="0"/>
    <xf numFmtId="0" fontId="66" fillId="86" borderId="154" applyNumberFormat="0" applyFont="0" applyAlignment="0" applyProtection="0"/>
    <xf numFmtId="0" fontId="66" fillId="75" borderId="147" applyNumberFormat="0" applyAlignment="0" applyProtection="0"/>
    <xf numFmtId="0" fontId="66" fillId="92" borderId="147" applyNumberFormat="0" applyAlignment="0" applyProtection="0"/>
    <xf numFmtId="0" fontId="66" fillId="86" borderId="154" applyNumberFormat="0" applyFont="0" applyAlignment="0" applyProtection="0"/>
    <xf numFmtId="0" fontId="74" fillId="75" borderId="147" applyNumberFormat="0" applyAlignment="0" applyProtection="0"/>
    <xf numFmtId="0" fontId="66" fillId="86" borderId="154" applyNumberFormat="0" applyFont="0" applyAlignment="0" applyProtection="0"/>
    <xf numFmtId="0" fontId="74" fillId="92" borderId="147" applyNumberFormat="0" applyAlignment="0" applyProtection="0"/>
    <xf numFmtId="0" fontId="66" fillId="86" borderId="154" applyNumberFormat="0" applyFont="0" applyAlignment="0" applyProtection="0"/>
    <xf numFmtId="0" fontId="74" fillId="75" borderId="147" applyNumberFormat="0" applyAlignment="0" applyProtection="0"/>
    <xf numFmtId="0" fontId="66" fillId="86" borderId="154" applyNumberFormat="0" applyFont="0" applyAlignment="0" applyProtection="0"/>
    <xf numFmtId="0" fontId="66" fillId="86" borderId="154" applyNumberFormat="0" applyFont="0" applyAlignment="0" applyProtection="0"/>
    <xf numFmtId="0" fontId="74" fillId="92" borderId="147" applyNumberFormat="0" applyAlignment="0" applyProtection="0"/>
    <xf numFmtId="0" fontId="66" fillId="75" borderId="147" applyNumberFormat="0" applyAlignment="0" applyProtection="0"/>
    <xf numFmtId="0" fontId="66" fillId="86" borderId="154" applyNumberFormat="0" applyFont="0" applyAlignment="0" applyProtection="0"/>
    <xf numFmtId="0" fontId="74" fillId="75" borderId="147" applyNumberFormat="0" applyAlignment="0" applyProtection="0"/>
    <xf numFmtId="0" fontId="66" fillId="86" borderId="154" applyNumberFormat="0" applyFont="0" applyAlignment="0" applyProtection="0"/>
    <xf numFmtId="0" fontId="66" fillId="92" borderId="147" applyNumberFormat="0" applyAlignment="0" applyProtection="0"/>
    <xf numFmtId="0" fontId="74" fillId="75" borderId="147" applyNumberFormat="0" applyAlignment="0" applyProtection="0"/>
    <xf numFmtId="0" fontId="66" fillId="86" borderId="154" applyNumberFormat="0" applyFont="0" applyAlignment="0" applyProtection="0"/>
    <xf numFmtId="0" fontId="66" fillId="86" borderId="154" applyNumberFormat="0" applyFont="0" applyAlignment="0" applyProtection="0"/>
    <xf numFmtId="0" fontId="74" fillId="75" borderId="147" applyNumberFormat="0" applyAlignment="0" applyProtection="0"/>
    <xf numFmtId="0" fontId="66" fillId="92" borderId="147" applyNumberFormat="0" applyAlignment="0" applyProtection="0"/>
    <xf numFmtId="0" fontId="66" fillId="86" borderId="154" applyNumberFormat="0" applyFont="0" applyAlignment="0" applyProtection="0"/>
    <xf numFmtId="0" fontId="74" fillId="75" borderId="147" applyNumberFormat="0" applyAlignment="0" applyProtection="0"/>
    <xf numFmtId="0" fontId="66" fillId="86" borderId="154" applyNumberFormat="0" applyFont="0" applyAlignment="0" applyProtection="0"/>
    <xf numFmtId="0" fontId="74" fillId="92" borderId="147" applyNumberFormat="0" applyAlignment="0" applyProtection="0"/>
    <xf numFmtId="0" fontId="66" fillId="86" borderId="154" applyNumberFormat="0" applyFont="0" applyAlignment="0" applyProtection="0"/>
    <xf numFmtId="0" fontId="66" fillId="86" borderId="154" applyNumberFormat="0" applyFont="0" applyAlignment="0" applyProtection="0"/>
    <xf numFmtId="0" fontId="66" fillId="86" borderId="154" applyNumberFormat="0" applyFont="0" applyAlignment="0" applyProtection="0"/>
    <xf numFmtId="0" fontId="74" fillId="92" borderId="147" applyNumberFormat="0" applyAlignment="0" applyProtection="0"/>
    <xf numFmtId="0" fontId="66" fillId="75" borderId="147" applyNumberFormat="0" applyAlignment="0" applyProtection="0"/>
    <xf numFmtId="0" fontId="66" fillId="86" borderId="154" applyNumberFormat="0" applyFont="0" applyAlignment="0" applyProtection="0"/>
    <xf numFmtId="0" fontId="74" fillId="75" borderId="147" applyNumberFormat="0" applyAlignment="0" applyProtection="0"/>
    <xf numFmtId="0" fontId="66" fillId="86" borderId="154" applyNumberFormat="0" applyFont="0" applyAlignment="0" applyProtection="0"/>
    <xf numFmtId="0" fontId="66" fillId="92" borderId="147" applyNumberFormat="0" applyAlignment="0" applyProtection="0"/>
    <xf numFmtId="0" fontId="74" fillId="75" borderId="147" applyNumberFormat="0" applyAlignment="0" applyProtection="0"/>
    <xf numFmtId="0" fontId="66" fillId="86" borderId="154" applyNumberFormat="0" applyFont="0" applyAlignment="0" applyProtection="0"/>
    <xf numFmtId="0" fontId="66" fillId="86" borderId="154" applyNumberFormat="0" applyFont="0" applyAlignment="0" applyProtection="0"/>
    <xf numFmtId="0" fontId="74" fillId="92" borderId="147" applyNumberFormat="0" applyAlignment="0" applyProtection="0"/>
    <xf numFmtId="0" fontId="74" fillId="92" borderId="147" applyNumberFormat="0" applyAlignment="0" applyProtection="0"/>
    <xf numFmtId="0" fontId="66" fillId="0" borderId="149" applyNumberFormat="0" applyFill="0" applyAlignment="0" applyProtection="0"/>
    <xf numFmtId="0" fontId="66" fillId="86" borderId="154" applyNumberFormat="0" applyFont="0" applyAlignment="0" applyProtection="0"/>
    <xf numFmtId="0" fontId="74" fillId="75" borderId="147" applyNumberFormat="0" applyAlignment="0" applyProtection="0"/>
    <xf numFmtId="0" fontId="66" fillId="86" borderId="154" applyNumberFormat="0" applyFont="0" applyAlignment="0" applyProtection="0"/>
    <xf numFmtId="0" fontId="74" fillId="92" borderId="147" applyNumberFormat="0" applyAlignment="0" applyProtection="0"/>
    <xf numFmtId="0" fontId="66" fillId="86" borderId="154" applyNumberFormat="0" applyFont="0" applyAlignment="0" applyProtection="0"/>
    <xf numFmtId="0" fontId="74" fillId="75" borderId="147" applyNumberFormat="0" applyAlignment="0" applyProtection="0"/>
    <xf numFmtId="0" fontId="66" fillId="86" borderId="154" applyNumberFormat="0" applyFont="0" applyAlignment="0" applyProtection="0"/>
    <xf numFmtId="0" fontId="66" fillId="86" borderId="154" applyNumberFormat="0" applyFont="0" applyAlignment="0" applyProtection="0"/>
    <xf numFmtId="0" fontId="74" fillId="92" borderId="147" applyNumberFormat="0" applyAlignment="0" applyProtection="0"/>
    <xf numFmtId="0" fontId="74" fillId="75" borderId="147" applyNumberFormat="0" applyAlignment="0" applyProtection="0"/>
    <xf numFmtId="0" fontId="66" fillId="86" borderId="154" applyNumberFormat="0" applyFont="0" applyAlignment="0" applyProtection="0"/>
    <xf numFmtId="0" fontId="66" fillId="86" borderId="154" applyNumberFormat="0" applyFont="0" applyAlignment="0" applyProtection="0"/>
    <xf numFmtId="0" fontId="74" fillId="92" borderId="147" applyNumberFormat="0" applyAlignment="0" applyProtection="0"/>
    <xf numFmtId="0" fontId="66" fillId="75" borderId="147" applyNumberFormat="0" applyAlignment="0" applyProtection="0"/>
    <xf numFmtId="0" fontId="66" fillId="86" borderId="154" applyNumberFormat="0" applyFont="0" applyAlignment="0" applyProtection="0"/>
    <xf numFmtId="0" fontId="66" fillId="86" borderId="154" applyNumberFormat="0" applyFont="0" applyAlignment="0" applyProtection="0"/>
    <xf numFmtId="0" fontId="66" fillId="75" borderId="147" applyNumberFormat="0" applyAlignment="0" applyProtection="0"/>
    <xf numFmtId="0" fontId="66" fillId="92" borderId="147" applyNumberFormat="0" applyAlignment="0" applyProtection="0"/>
    <xf numFmtId="0" fontId="66" fillId="86" borderId="154" applyNumberFormat="0" applyFont="0" applyAlignment="0" applyProtection="0"/>
    <xf numFmtId="0" fontId="74" fillId="75" borderId="147" applyNumberFormat="0" applyAlignment="0" applyProtection="0"/>
    <xf numFmtId="0" fontId="66" fillId="86" borderId="154" applyNumberFormat="0" applyFont="0" applyAlignment="0" applyProtection="0"/>
    <xf numFmtId="0" fontId="74" fillId="92" borderId="147" applyNumberFormat="0" applyAlignment="0" applyProtection="0"/>
    <xf numFmtId="0" fontId="66" fillId="86" borderId="154" applyNumberFormat="0" applyFont="0" applyAlignment="0" applyProtection="0"/>
    <xf numFmtId="0" fontId="74" fillId="75" borderId="147" applyNumberFormat="0" applyAlignment="0" applyProtection="0"/>
    <xf numFmtId="0" fontId="66" fillId="0" borderId="152" applyNumberFormat="0" applyFill="0" applyAlignment="0" applyProtection="0"/>
    <xf numFmtId="0" fontId="66" fillId="86" borderId="154" applyNumberFormat="0" applyFont="0" applyAlignment="0" applyProtection="0"/>
    <xf numFmtId="0" fontId="66" fillId="86" borderId="154" applyNumberFormat="0" applyFont="0" applyAlignment="0" applyProtection="0"/>
    <xf numFmtId="0" fontId="74" fillId="92" borderId="147" applyNumberFormat="0" applyAlignment="0" applyProtection="0"/>
    <xf numFmtId="0" fontId="74" fillId="75" borderId="147" applyNumberFormat="0" applyAlignment="0" applyProtection="0"/>
    <xf numFmtId="0" fontId="66" fillId="86" borderId="154" applyNumberFormat="0" applyFont="0" applyAlignment="0" applyProtection="0"/>
    <xf numFmtId="0" fontId="66" fillId="86" borderId="154" applyNumberFormat="0" applyFont="0" applyAlignment="0" applyProtection="0"/>
    <xf numFmtId="0" fontId="74" fillId="92" borderId="147" applyNumberFormat="0" applyAlignment="0" applyProtection="0"/>
    <xf numFmtId="0" fontId="66" fillId="75" borderId="147" applyNumberFormat="0" applyAlignment="0" applyProtection="0"/>
    <xf numFmtId="0" fontId="66" fillId="86" borderId="154" applyNumberFormat="0" applyFont="0" applyAlignment="0" applyProtection="0"/>
    <xf numFmtId="0" fontId="66" fillId="86" borderId="154" applyNumberFormat="0" applyFont="0" applyAlignment="0" applyProtection="0"/>
    <xf numFmtId="0" fontId="74" fillId="75" borderId="147" applyNumberFormat="0" applyAlignment="0" applyProtection="0"/>
    <xf numFmtId="0" fontId="66" fillId="92" borderId="147" applyNumberFormat="0" applyAlignment="0" applyProtection="0"/>
    <xf numFmtId="0" fontId="66" fillId="86" borderId="154" applyNumberFormat="0" applyFont="0" applyAlignment="0" applyProtection="0"/>
    <xf numFmtId="0" fontId="74" fillId="75" borderId="147" applyNumberFormat="0" applyAlignment="0" applyProtection="0"/>
    <xf numFmtId="0" fontId="66" fillId="86" borderId="154" applyNumberFormat="0" applyFont="0" applyAlignment="0" applyProtection="0"/>
    <xf numFmtId="0" fontId="74" fillId="92" borderId="147" applyNumberFormat="0" applyAlignment="0" applyProtection="0"/>
    <xf numFmtId="0" fontId="66" fillId="86" borderId="154" applyNumberFormat="0" applyFont="0" applyAlignment="0" applyProtection="0"/>
    <xf numFmtId="0" fontId="66" fillId="86" borderId="154" applyNumberFormat="0" applyFont="0" applyAlignment="0" applyProtection="0"/>
    <xf numFmtId="0" fontId="66" fillId="86" borderId="154" applyNumberFormat="0" applyFont="0" applyAlignment="0" applyProtection="0"/>
    <xf numFmtId="0" fontId="74" fillId="92" borderId="147" applyNumberFormat="0" applyAlignment="0" applyProtection="0"/>
    <xf numFmtId="0" fontId="66" fillId="75" borderId="147" applyNumberFormat="0" applyAlignment="0" applyProtection="0"/>
    <xf numFmtId="0" fontId="66" fillId="86" borderId="154" applyNumberFormat="0" applyFont="0" applyAlignment="0" applyProtection="0"/>
    <xf numFmtId="0" fontId="74" fillId="75" borderId="147" applyNumberFormat="0" applyAlignment="0" applyProtection="0"/>
    <xf numFmtId="0" fontId="66" fillId="86" borderId="154" applyNumberFormat="0" applyFont="0" applyAlignment="0" applyProtection="0"/>
    <xf numFmtId="0" fontId="74" fillId="75" borderId="147" applyNumberFormat="0" applyAlignment="0" applyProtection="0"/>
    <xf numFmtId="0" fontId="74" fillId="75" borderId="147" applyNumberFormat="0" applyAlignment="0" applyProtection="0"/>
    <xf numFmtId="0" fontId="66" fillId="86" borderId="154" applyNumberFormat="0" applyFont="0" applyAlignment="0" applyProtection="0"/>
    <xf numFmtId="0" fontId="66" fillId="86" borderId="154" applyNumberFormat="0" applyFont="0" applyAlignment="0" applyProtection="0"/>
    <xf numFmtId="0" fontId="74" fillId="92" borderId="147" applyNumberFormat="0" applyAlignment="0" applyProtection="0"/>
    <xf numFmtId="0" fontId="74" fillId="92" borderId="147" applyNumberFormat="0" applyAlignment="0" applyProtection="0"/>
    <xf numFmtId="0" fontId="66" fillId="86" borderId="154" applyNumberFormat="0" applyFont="0" applyAlignment="0" applyProtection="0"/>
    <xf numFmtId="0" fontId="78" fillId="0" borderId="168" applyNumberFormat="0" applyFill="0" applyAlignment="0" applyProtection="0"/>
    <xf numFmtId="0" fontId="78" fillId="0" borderId="168" applyNumberFormat="0" applyFill="0" applyAlignment="0" applyProtection="0"/>
    <xf numFmtId="0" fontId="78" fillId="0" borderId="168" applyNumberFormat="0" applyFill="0" applyAlignment="0" applyProtection="0"/>
    <xf numFmtId="0" fontId="78" fillId="0" borderId="168" applyNumberFormat="0" applyFill="0" applyAlignment="0" applyProtection="0"/>
    <xf numFmtId="0" fontId="78" fillId="0" borderId="168" applyNumberFormat="0" applyFill="0" applyAlignment="0" applyProtection="0"/>
    <xf numFmtId="0" fontId="66" fillId="0" borderId="168" applyNumberFormat="0" applyFill="0" applyAlignment="0" applyProtection="0"/>
    <xf numFmtId="0" fontId="66" fillId="0" borderId="168" applyNumberFormat="0" applyFill="0" applyAlignment="0" applyProtection="0"/>
    <xf numFmtId="0" fontId="66" fillId="0" borderId="168" applyNumberFormat="0" applyFill="0" applyAlignment="0" applyProtection="0"/>
    <xf numFmtId="0" fontId="78" fillId="0" borderId="168" applyNumberFormat="0" applyFill="0" applyAlignment="0" applyProtection="0"/>
    <xf numFmtId="0" fontId="66" fillId="0" borderId="167" applyNumberFormat="0" applyFill="0" applyAlignment="0" applyProtection="0"/>
    <xf numFmtId="0" fontId="66" fillId="44" borderId="163" applyNumberFormat="0" applyAlignment="0" applyProtection="0"/>
    <xf numFmtId="0" fontId="48" fillId="76" borderId="166" applyNumberFormat="0" applyAlignment="0" applyProtection="0"/>
    <xf numFmtId="0" fontId="38" fillId="75" borderId="163" applyNumberFormat="0" applyAlignment="0" applyProtection="0"/>
    <xf numFmtId="0" fontId="54" fillId="0" borderId="141">
      <alignment horizontal="left" vertical="center"/>
    </xf>
    <xf numFmtId="0" fontId="54" fillId="0" borderId="141">
      <alignment horizontal="left" vertical="center"/>
    </xf>
    <xf numFmtId="10" fontId="52" fillId="82" borderId="140" applyNumberFormat="0" applyBorder="0" applyAlignment="0" applyProtection="0"/>
    <xf numFmtId="10" fontId="52" fillId="82" borderId="140" applyNumberFormat="0" applyBorder="0" applyAlignment="0" applyProtection="0"/>
    <xf numFmtId="0" fontId="66" fillId="44" borderId="147" applyNumberFormat="0" applyAlignment="0" applyProtection="0"/>
    <xf numFmtId="0" fontId="33" fillId="85" borderId="136" applyNumberFormat="0" applyAlignment="0" applyProtection="0"/>
    <xf numFmtId="0" fontId="33" fillId="85" borderId="136" applyNumberFormat="0" applyAlignment="0" applyProtection="0"/>
    <xf numFmtId="0" fontId="33" fillId="86" borderId="136" applyNumberFormat="0" applyFont="0" applyAlignment="0" applyProtection="0"/>
    <xf numFmtId="0" fontId="33" fillId="85" borderId="136" applyNumberFormat="0" applyAlignment="0" applyProtection="0"/>
    <xf numFmtId="0" fontId="33" fillId="85" borderId="136" applyNumberFormat="0" applyAlignment="0" applyProtection="0"/>
    <xf numFmtId="0" fontId="33" fillId="86" borderId="136" applyNumberFormat="0" applyFont="0" applyAlignment="0" applyProtection="0"/>
    <xf numFmtId="0" fontId="33" fillId="86" borderId="136" applyNumberFormat="0" applyFont="0" applyAlignment="0" applyProtection="0"/>
    <xf numFmtId="0" fontId="33" fillId="85" borderId="136" applyNumberFormat="0" applyAlignment="0" applyProtection="0"/>
    <xf numFmtId="0" fontId="33" fillId="85" borderId="136" applyNumberFormat="0" applyAlignment="0" applyProtection="0"/>
    <xf numFmtId="0" fontId="33" fillId="85" borderId="136" applyNumberFormat="0" applyAlignment="0" applyProtection="0"/>
    <xf numFmtId="0" fontId="33" fillId="85" borderId="136" applyNumberFormat="0" applyAlignment="0" applyProtection="0"/>
    <xf numFmtId="0" fontId="33" fillId="85" borderId="136" applyNumberFormat="0" applyAlignment="0" applyProtection="0"/>
    <xf numFmtId="0" fontId="33" fillId="86" borderId="136" applyNumberFormat="0" applyFont="0" applyAlignment="0" applyProtection="0"/>
    <xf numFmtId="0" fontId="33" fillId="85" borderId="136" applyNumberFormat="0" applyAlignment="0" applyProtection="0"/>
    <xf numFmtId="0" fontId="33" fillId="86" borderId="136" applyNumberFormat="0" applyFont="0" applyAlignment="0" applyProtection="0"/>
    <xf numFmtId="0" fontId="33" fillId="85" borderId="136" applyNumberFormat="0" applyAlignment="0" applyProtection="0"/>
    <xf numFmtId="0" fontId="33" fillId="85" borderId="136" applyNumberFormat="0" applyAlignment="0" applyProtection="0"/>
    <xf numFmtId="0" fontId="33" fillId="85" borderId="136" applyNumberFormat="0" applyAlignment="0" applyProtection="0"/>
    <xf numFmtId="0" fontId="33" fillId="86" borderId="136" applyNumberFormat="0" applyFont="0" applyAlignment="0" applyProtection="0"/>
    <xf numFmtId="0" fontId="33" fillId="85" borderId="136" applyNumberFormat="0" applyAlignment="0" applyProtection="0"/>
    <xf numFmtId="0" fontId="33" fillId="86" borderId="136" applyNumberFormat="0" applyFont="0" applyAlignment="0" applyProtection="0"/>
    <xf numFmtId="0" fontId="33" fillId="85" borderId="136" applyNumberFormat="0" applyAlignment="0" applyProtection="0"/>
    <xf numFmtId="0" fontId="33" fillId="86" borderId="136" applyNumberFormat="0" applyFont="0" applyAlignment="0" applyProtection="0"/>
    <xf numFmtId="0" fontId="33" fillId="85" borderId="136" applyNumberFormat="0" applyAlignment="0" applyProtection="0"/>
    <xf numFmtId="0" fontId="33" fillId="86" borderId="136" applyNumberFormat="0" applyFont="0" applyAlignment="0" applyProtection="0"/>
    <xf numFmtId="0" fontId="33" fillId="86" borderId="136" applyNumberFormat="0" applyFont="0" applyAlignment="0" applyProtection="0"/>
    <xf numFmtId="0" fontId="33" fillId="86" borderId="136" applyNumberFormat="0" applyFont="0" applyAlignment="0" applyProtection="0"/>
    <xf numFmtId="0" fontId="33" fillId="86" borderId="136" applyNumberFormat="0" applyFont="0" applyAlignment="0" applyProtection="0"/>
    <xf numFmtId="0" fontId="33" fillId="86" borderId="136" applyNumberFormat="0" applyFont="0" applyAlignment="0" applyProtection="0"/>
    <xf numFmtId="0" fontId="48" fillId="75" borderId="137" applyNumberFormat="0" applyAlignment="0" applyProtection="0"/>
    <xf numFmtId="0" fontId="48" fillId="76" borderId="137" applyNumberFormat="0" applyAlignment="0" applyProtection="0"/>
    <xf numFmtId="0" fontId="48" fillId="76" borderId="137" applyNumberFormat="0" applyAlignment="0" applyProtection="0"/>
    <xf numFmtId="0" fontId="48" fillId="76" borderId="137" applyNumberFormat="0" applyAlignment="0" applyProtection="0"/>
    <xf numFmtId="0" fontId="48" fillId="75" borderId="137" applyNumberFormat="0" applyAlignment="0" applyProtection="0"/>
    <xf numFmtId="0" fontId="48" fillId="76" borderId="137" applyNumberFormat="0" applyAlignment="0" applyProtection="0"/>
    <xf numFmtId="0" fontId="48" fillId="76" borderId="137" applyNumberFormat="0" applyAlignment="0" applyProtection="0"/>
    <xf numFmtId="0" fontId="48" fillId="75" borderId="137" applyNumberFormat="0" applyAlignment="0" applyProtection="0"/>
    <xf numFmtId="0" fontId="48" fillId="76" borderId="137" applyNumberFormat="0" applyAlignment="0" applyProtection="0"/>
    <xf numFmtId="0" fontId="48" fillId="76" borderId="137" applyNumberFormat="0" applyAlignment="0" applyProtection="0"/>
    <xf numFmtId="0" fontId="48" fillId="75" borderId="137" applyNumberFormat="0" applyAlignment="0" applyProtection="0"/>
    <xf numFmtId="0" fontId="48" fillId="75" borderId="137" applyNumberFormat="0" applyAlignment="0" applyProtection="0"/>
    <xf numFmtId="0" fontId="48" fillId="75" borderId="137" applyNumberFormat="0" applyAlignment="0" applyProtection="0"/>
    <xf numFmtId="0" fontId="48" fillId="75" borderId="137" applyNumberFormat="0" applyAlignment="0" applyProtection="0"/>
    <xf numFmtId="0" fontId="48" fillId="78" borderId="137" applyNumberFormat="0" applyAlignment="0" applyProtection="0"/>
    <xf numFmtId="0" fontId="48" fillId="78" borderId="137" applyNumberFormat="0" applyAlignment="0" applyProtection="0"/>
    <xf numFmtId="0" fontId="48" fillId="78" borderId="137" applyNumberFormat="0" applyAlignment="0" applyProtection="0"/>
    <xf numFmtId="0" fontId="48" fillId="75" borderId="137" applyNumberFormat="0" applyAlignment="0" applyProtection="0"/>
    <xf numFmtId="0" fontId="78" fillId="0" borderId="168" applyNumberFormat="0" applyFill="0" applyAlignment="0" applyProtection="0"/>
    <xf numFmtId="0" fontId="66" fillId="44" borderId="163" applyNumberFormat="0" applyAlignment="0" applyProtection="0"/>
    <xf numFmtId="0" fontId="48" fillId="76" borderId="166" applyNumberFormat="0" applyAlignment="0" applyProtection="0"/>
    <xf numFmtId="0" fontId="38" fillId="76" borderId="163" applyNumberFormat="0" applyAlignment="0" applyProtection="0"/>
    <xf numFmtId="0" fontId="164" fillId="130" borderId="145">
      <alignment horizontal="left" vertical="center" indent="1"/>
    </xf>
    <xf numFmtId="0" fontId="48" fillId="75" borderId="148" applyNumberFormat="0" applyAlignment="0" applyProtection="0"/>
    <xf numFmtId="0" fontId="48" fillId="76" borderId="148" applyNumberFormat="0" applyAlignment="0" applyProtection="0"/>
    <xf numFmtId="0" fontId="48" fillId="76" borderId="148" applyNumberFormat="0" applyAlignment="0" applyProtection="0"/>
    <xf numFmtId="0" fontId="48" fillId="76" borderId="148" applyNumberFormat="0" applyAlignment="0" applyProtection="0"/>
    <xf numFmtId="0" fontId="48" fillId="75" borderId="148" applyNumberFormat="0" applyAlignment="0" applyProtection="0"/>
    <xf numFmtId="0" fontId="48" fillId="76" borderId="148" applyNumberFormat="0" applyAlignment="0" applyProtection="0"/>
    <xf numFmtId="0" fontId="48" fillId="76" borderId="148" applyNumberFormat="0" applyAlignment="0" applyProtection="0"/>
    <xf numFmtId="0" fontId="48" fillId="75" borderId="148" applyNumberFormat="0" applyAlignment="0" applyProtection="0"/>
    <xf numFmtId="0" fontId="48" fillId="76" borderId="148" applyNumberFormat="0" applyAlignment="0" applyProtection="0"/>
    <xf numFmtId="0" fontId="48" fillId="76" borderId="148" applyNumberFormat="0" applyAlignment="0" applyProtection="0"/>
    <xf numFmtId="0" fontId="48" fillId="75" borderId="148" applyNumberFormat="0" applyAlignment="0" applyProtection="0"/>
    <xf numFmtId="0" fontId="48" fillId="75" borderId="148" applyNumberFormat="0" applyAlignment="0" applyProtection="0"/>
    <xf numFmtId="0" fontId="48" fillId="75" borderId="148" applyNumberFormat="0" applyAlignment="0" applyProtection="0"/>
    <xf numFmtId="0" fontId="48" fillId="75" borderId="148" applyNumberFormat="0" applyAlignment="0" applyProtection="0"/>
    <xf numFmtId="0" fontId="48" fillId="78" borderId="148" applyNumberFormat="0" applyAlignment="0" applyProtection="0"/>
    <xf numFmtId="0" fontId="48" fillId="78" borderId="148" applyNumberFormat="0" applyAlignment="0" applyProtection="0"/>
    <xf numFmtId="0" fontId="48" fillId="78" borderId="148" applyNumberFormat="0" applyAlignment="0" applyProtection="0"/>
    <xf numFmtId="0" fontId="48" fillId="75" borderId="148" applyNumberFormat="0" applyAlignment="0" applyProtection="0"/>
    <xf numFmtId="0" fontId="50" fillId="0" borderId="149" applyNumberFormat="0" applyFill="0" applyAlignment="0" applyProtection="0"/>
    <xf numFmtId="0" fontId="50" fillId="0" borderId="149" applyNumberFormat="0" applyFill="0" applyAlignment="0" applyProtection="0"/>
    <xf numFmtId="0" fontId="50" fillId="0" borderId="149" applyNumberFormat="0" applyFill="0" applyAlignment="0" applyProtection="0"/>
    <xf numFmtId="0" fontId="50" fillId="0" borderId="149" applyNumberFormat="0" applyFill="0" applyAlignment="0" applyProtection="0"/>
    <xf numFmtId="0" fontId="50" fillId="0" borderId="149" applyNumberFormat="0" applyFill="0" applyAlignment="0" applyProtection="0"/>
    <xf numFmtId="0" fontId="54" fillId="0" borderId="161">
      <alignment horizontal="left" vertical="center"/>
    </xf>
    <xf numFmtId="0" fontId="54" fillId="0" borderId="161">
      <alignment horizontal="left" vertical="center"/>
    </xf>
    <xf numFmtId="10" fontId="52" fillId="82" borderId="160" applyNumberFormat="0" applyBorder="0" applyAlignment="0" applyProtection="0"/>
    <xf numFmtId="10" fontId="52" fillId="82" borderId="160" applyNumberFormat="0" applyBorder="0" applyAlignment="0" applyProtection="0"/>
    <xf numFmtId="0" fontId="33" fillId="85" borderId="156" applyNumberFormat="0" applyAlignment="0" applyProtection="0"/>
    <xf numFmtId="0" fontId="33" fillId="85" borderId="156" applyNumberFormat="0" applyAlignment="0" applyProtection="0"/>
    <xf numFmtId="0" fontId="33" fillId="86" borderId="156" applyNumberFormat="0" applyFont="0" applyAlignment="0" applyProtection="0"/>
    <xf numFmtId="0" fontId="33" fillId="85" borderId="156" applyNumberFormat="0" applyAlignment="0" applyProtection="0"/>
    <xf numFmtId="0" fontId="33" fillId="85" borderId="156" applyNumberFormat="0" applyAlignment="0" applyProtection="0"/>
    <xf numFmtId="0" fontId="33" fillId="86" borderId="156" applyNumberFormat="0" applyFont="0" applyAlignment="0" applyProtection="0"/>
    <xf numFmtId="0" fontId="33" fillId="86" borderId="156" applyNumberFormat="0" applyFont="0" applyAlignment="0" applyProtection="0"/>
    <xf numFmtId="0" fontId="33" fillId="85" borderId="156" applyNumberFormat="0" applyAlignment="0" applyProtection="0"/>
    <xf numFmtId="0" fontId="33" fillId="85" borderId="156" applyNumberFormat="0" applyAlignment="0" applyProtection="0"/>
    <xf numFmtId="0" fontId="33" fillId="85" borderId="156" applyNumberFormat="0" applyAlignment="0" applyProtection="0"/>
    <xf numFmtId="0" fontId="33" fillId="85" borderId="156" applyNumberFormat="0" applyAlignment="0" applyProtection="0"/>
    <xf numFmtId="0" fontId="33" fillId="85" borderId="156" applyNumberFormat="0" applyAlignment="0" applyProtection="0"/>
    <xf numFmtId="0" fontId="33" fillId="86" borderId="156" applyNumberFormat="0" applyFont="0" applyAlignment="0" applyProtection="0"/>
    <xf numFmtId="0" fontId="33" fillId="85" borderId="156" applyNumberFormat="0" applyAlignment="0" applyProtection="0"/>
    <xf numFmtId="0" fontId="33" fillId="86" borderId="156" applyNumberFormat="0" applyFont="0" applyAlignment="0" applyProtection="0"/>
    <xf numFmtId="0" fontId="33" fillId="85" borderId="156" applyNumberFormat="0" applyAlignment="0" applyProtection="0"/>
    <xf numFmtId="0" fontId="33" fillId="85" borderId="156" applyNumberFormat="0" applyAlignment="0" applyProtection="0"/>
    <xf numFmtId="0" fontId="33" fillId="85" borderId="156" applyNumberFormat="0" applyAlignment="0" applyProtection="0"/>
    <xf numFmtId="0" fontId="33" fillId="86" borderId="156" applyNumberFormat="0" applyFont="0" applyAlignment="0" applyProtection="0"/>
    <xf numFmtId="0" fontId="33" fillId="85" borderId="156" applyNumberFormat="0" applyAlignment="0" applyProtection="0"/>
    <xf numFmtId="0" fontId="33" fillId="86" borderId="156" applyNumberFormat="0" applyFont="0" applyAlignment="0" applyProtection="0"/>
    <xf numFmtId="0" fontId="33" fillId="85" borderId="156" applyNumberFormat="0" applyAlignment="0" applyProtection="0"/>
    <xf numFmtId="0" fontId="33" fillId="86" borderId="156" applyNumberFormat="0" applyFont="0" applyAlignment="0" applyProtection="0"/>
    <xf numFmtId="0" fontId="33" fillId="85" borderId="156" applyNumberFormat="0" applyAlignment="0" applyProtection="0"/>
    <xf numFmtId="0" fontId="33" fillId="86" borderId="156" applyNumberFormat="0" applyFont="0" applyAlignment="0" applyProtection="0"/>
    <xf numFmtId="0" fontId="33" fillId="86" borderId="156" applyNumberFormat="0" applyFont="0" applyAlignment="0" applyProtection="0"/>
    <xf numFmtId="0" fontId="33" fillId="86" borderId="156" applyNumberFormat="0" applyFont="0" applyAlignment="0" applyProtection="0"/>
    <xf numFmtId="0" fontId="33" fillId="86" borderId="156" applyNumberFormat="0" applyFont="0" applyAlignment="0" applyProtection="0"/>
    <xf numFmtId="0" fontId="33" fillId="86" borderId="156" applyNumberFormat="0" applyFont="0" applyAlignment="0" applyProtection="0"/>
    <xf numFmtId="0" fontId="48" fillId="75" borderId="157" applyNumberFormat="0" applyAlignment="0" applyProtection="0"/>
    <xf numFmtId="0" fontId="48" fillId="76" borderId="157" applyNumberFormat="0" applyAlignment="0" applyProtection="0"/>
    <xf numFmtId="0" fontId="48" fillId="76" borderId="157" applyNumberFormat="0" applyAlignment="0" applyProtection="0"/>
    <xf numFmtId="0" fontId="48" fillId="76" borderId="157" applyNumberFormat="0" applyAlignment="0" applyProtection="0"/>
    <xf numFmtId="0" fontId="48" fillId="75" borderId="157" applyNumberFormat="0" applyAlignment="0" applyProtection="0"/>
    <xf numFmtId="0" fontId="48" fillId="76" borderId="157" applyNumberFormat="0" applyAlignment="0" applyProtection="0"/>
    <xf numFmtId="0" fontId="48" fillId="76" borderId="157" applyNumberFormat="0" applyAlignment="0" applyProtection="0"/>
    <xf numFmtId="0" fontId="48" fillId="75" borderId="157" applyNumberFormat="0" applyAlignment="0" applyProtection="0"/>
    <xf numFmtId="0" fontId="48" fillId="76" borderId="157" applyNumberFormat="0" applyAlignment="0" applyProtection="0"/>
    <xf numFmtId="0" fontId="48" fillId="76" borderId="157" applyNumberFormat="0" applyAlignment="0" applyProtection="0"/>
    <xf numFmtId="0" fontId="48" fillId="75" borderId="157" applyNumberFormat="0" applyAlignment="0" applyProtection="0"/>
    <xf numFmtId="0" fontId="48" fillId="75" borderId="157" applyNumberFormat="0" applyAlignment="0" applyProtection="0"/>
    <xf numFmtId="0" fontId="48" fillId="75" borderId="157" applyNumberFormat="0" applyAlignment="0" applyProtection="0"/>
    <xf numFmtId="0" fontId="48" fillId="75" borderId="157" applyNumberFormat="0" applyAlignment="0" applyProtection="0"/>
    <xf numFmtId="0" fontId="48" fillId="78" borderId="157" applyNumberFormat="0" applyAlignment="0" applyProtection="0"/>
    <xf numFmtId="0" fontId="48" fillId="78" borderId="157" applyNumberFormat="0" applyAlignment="0" applyProtection="0"/>
    <xf numFmtId="0" fontId="48" fillId="78" borderId="157" applyNumberFormat="0" applyAlignment="0" applyProtection="0"/>
    <xf numFmtId="0" fontId="48" fillId="75" borderId="157" applyNumberFormat="0" applyAlignment="0" applyProtection="0"/>
    <xf numFmtId="0" fontId="48" fillId="75" borderId="166" applyNumberFormat="0" applyAlignment="0" applyProtection="0"/>
    <xf numFmtId="0" fontId="48" fillId="76" borderId="166" applyNumberFormat="0" applyAlignment="0" applyProtection="0"/>
    <xf numFmtId="0" fontId="48" fillId="76" borderId="166" applyNumberFormat="0" applyAlignment="0" applyProtection="0"/>
    <xf numFmtId="0" fontId="48" fillId="76" borderId="166" applyNumberFormat="0" applyAlignment="0" applyProtection="0"/>
    <xf numFmtId="0" fontId="48" fillId="75" borderId="166" applyNumberFormat="0" applyAlignment="0" applyProtection="0"/>
    <xf numFmtId="0" fontId="48" fillId="76" borderId="166" applyNumberFormat="0" applyAlignment="0" applyProtection="0"/>
    <xf numFmtId="0" fontId="48" fillId="76" borderId="166" applyNumberFormat="0" applyAlignment="0" applyProtection="0"/>
    <xf numFmtId="0" fontId="48" fillId="75" borderId="166" applyNumberFormat="0" applyAlignment="0" applyProtection="0"/>
    <xf numFmtId="0" fontId="48" fillId="76" borderId="166" applyNumberFormat="0" applyAlignment="0" applyProtection="0"/>
    <xf numFmtId="0" fontId="48" fillId="76" borderId="166" applyNumberFormat="0" applyAlignment="0" applyProtection="0"/>
    <xf numFmtId="0" fontId="48" fillId="75" borderId="166" applyNumberFormat="0" applyAlignment="0" applyProtection="0"/>
    <xf numFmtId="0" fontId="48" fillId="75" borderId="166" applyNumberFormat="0" applyAlignment="0" applyProtection="0"/>
    <xf numFmtId="0" fontId="48" fillId="75" borderId="166" applyNumberFormat="0" applyAlignment="0" applyProtection="0"/>
    <xf numFmtId="0" fontId="48" fillId="75" borderId="166" applyNumberFormat="0" applyAlignment="0" applyProtection="0"/>
    <xf numFmtId="0" fontId="48" fillId="78" borderId="166" applyNumberFormat="0" applyAlignment="0" applyProtection="0"/>
    <xf numFmtId="0" fontId="48" fillId="78" borderId="166" applyNumberFormat="0" applyAlignment="0" applyProtection="0"/>
    <xf numFmtId="0" fontId="48" fillId="78" borderId="166" applyNumberFormat="0" applyAlignment="0" applyProtection="0"/>
    <xf numFmtId="0" fontId="48" fillId="75" borderId="166" applyNumberFormat="0" applyAlignment="0" applyProtection="0"/>
    <xf numFmtId="0" fontId="50" fillId="0" borderId="167" applyNumberFormat="0" applyFill="0" applyAlignment="0" applyProtection="0"/>
    <xf numFmtId="0" fontId="50" fillId="0" borderId="167" applyNumberFormat="0" applyFill="0" applyAlignment="0" applyProtection="0"/>
    <xf numFmtId="0" fontId="50" fillId="0" borderId="167" applyNumberFormat="0" applyFill="0" applyAlignment="0" applyProtection="0"/>
    <xf numFmtId="0" fontId="50" fillId="0" borderId="167" applyNumberFormat="0" applyFill="0" applyAlignment="0" applyProtection="0"/>
    <xf numFmtId="0" fontId="50" fillId="0" borderId="167" applyNumberFormat="0" applyFill="0" applyAlignment="0" applyProtection="0"/>
    <xf numFmtId="0" fontId="34" fillId="0" borderId="0"/>
  </cellStyleXfs>
  <cellXfs count="1485">
    <xf numFmtId="0" fontId="0" fillId="0" borderId="0" xfId="0"/>
    <xf numFmtId="0" fontId="4" fillId="2" borderId="3" xfId="0" applyFont="1" applyFill="1" applyBorder="1" applyAlignment="1">
      <alignment horizontal="center" wrapText="1"/>
    </xf>
    <xf numFmtId="0" fontId="4" fillId="2" borderId="0" xfId="0" applyFont="1" applyFill="1" applyAlignment="1">
      <alignment horizontal="center" wrapText="1"/>
    </xf>
    <xf numFmtId="0" fontId="5" fillId="0" borderId="5" xfId="0" applyFont="1" applyBorder="1" applyAlignment="1">
      <alignment horizontal="center"/>
    </xf>
    <xf numFmtId="0" fontId="5" fillId="0" borderId="0" xfId="0" applyFont="1" applyAlignment="1">
      <alignment horizontal="center"/>
    </xf>
    <xf numFmtId="0" fontId="5" fillId="0" borderId="0" xfId="0" applyFont="1"/>
    <xf numFmtId="0" fontId="5" fillId="0" borderId="6" xfId="0" applyFont="1" applyBorder="1"/>
    <xf numFmtId="17" fontId="5" fillId="0" borderId="0" xfId="0" applyNumberFormat="1" applyFont="1"/>
    <xf numFmtId="49" fontId="6" fillId="0" borderId="0" xfId="0" applyNumberFormat="1" applyFont="1"/>
    <xf numFmtId="0" fontId="5" fillId="0" borderId="7" xfId="0" applyFont="1" applyBorder="1" applyAlignment="1">
      <alignment horizontal="center" wrapText="1"/>
    </xf>
    <xf numFmtId="0" fontId="5" fillId="0" borderId="0" xfId="0" applyFont="1" applyAlignment="1">
      <alignment horizontal="center" wrapText="1"/>
    </xf>
    <xf numFmtId="164" fontId="7" fillId="0" borderId="12" xfId="0" applyNumberFormat="1" applyFont="1" applyBorder="1" applyAlignment="1">
      <alignment horizontal="center" vertical="center" wrapText="1"/>
    </xf>
    <xf numFmtId="0" fontId="7" fillId="0" borderId="13" xfId="0" applyFont="1" applyBorder="1" applyAlignment="1">
      <alignment vertical="center" wrapText="1"/>
    </xf>
    <xf numFmtId="0" fontId="5" fillId="0" borderId="5" xfId="0" applyFont="1" applyBorder="1" applyAlignment="1">
      <alignment horizontal="center" vertical="center" wrapText="1"/>
    </xf>
    <xf numFmtId="0" fontId="8" fillId="7" borderId="5" xfId="0" applyFont="1" applyFill="1" applyBorder="1" applyAlignment="1">
      <alignment horizontal="center" vertical="center" wrapText="1"/>
    </xf>
    <xf numFmtId="0" fontId="5" fillId="0" borderId="12" xfId="0" applyFont="1" applyBorder="1" applyAlignment="1">
      <alignment horizontal="center"/>
    </xf>
    <xf numFmtId="165" fontId="5" fillId="0" borderId="5" xfId="0" applyNumberFormat="1" applyFont="1" applyBorder="1" applyAlignment="1">
      <alignment horizontal="center"/>
    </xf>
    <xf numFmtId="1" fontId="5" fillId="0" borderId="5" xfId="0" applyNumberFormat="1" applyFont="1" applyBorder="1" applyAlignment="1">
      <alignment horizontal="center"/>
    </xf>
    <xf numFmtId="1" fontId="5" fillId="8" borderId="5" xfId="0" applyNumberFormat="1" applyFont="1" applyFill="1" applyBorder="1" applyAlignment="1">
      <alignment horizontal="center"/>
    </xf>
    <xf numFmtId="1" fontId="5" fillId="0" borderId="15" xfId="0" applyNumberFormat="1" applyFont="1" applyBorder="1" applyAlignment="1">
      <alignment horizontal="center" wrapText="1"/>
    </xf>
    <xf numFmtId="1" fontId="5" fillId="0" borderId="9" xfId="0" applyNumberFormat="1" applyFont="1" applyBorder="1" applyAlignment="1">
      <alignment horizontal="center" wrapText="1"/>
    </xf>
    <xf numFmtId="0" fontId="5" fillId="0" borderId="16" xfId="0" applyFont="1" applyBorder="1" applyAlignment="1">
      <alignment horizontal="center"/>
    </xf>
    <xf numFmtId="0" fontId="5" fillId="9" borderId="16" xfId="0" applyFont="1" applyFill="1" applyBorder="1" applyAlignment="1">
      <alignment horizontal="center"/>
    </xf>
    <xf numFmtId="0" fontId="5" fillId="9" borderId="5" xfId="0" applyFont="1" applyFill="1" applyBorder="1" applyAlignment="1">
      <alignment horizontal="center"/>
    </xf>
    <xf numFmtId="1" fontId="5" fillId="9" borderId="5" xfId="0" applyNumberFormat="1" applyFont="1" applyFill="1" applyBorder="1" applyAlignment="1">
      <alignment horizontal="center"/>
    </xf>
    <xf numFmtId="1" fontId="5" fillId="9" borderId="5" xfId="0" applyNumberFormat="1" applyFont="1" applyFill="1" applyBorder="1" applyAlignment="1">
      <alignment horizontal="center" wrapText="1"/>
    </xf>
    <xf numFmtId="1" fontId="5" fillId="9" borderId="10" xfId="0" applyNumberFormat="1" applyFont="1" applyFill="1" applyBorder="1" applyAlignment="1">
      <alignment horizontal="center" wrapText="1"/>
    </xf>
    <xf numFmtId="1" fontId="5" fillId="9" borderId="9" xfId="0" applyNumberFormat="1" applyFont="1" applyFill="1" applyBorder="1" applyAlignment="1">
      <alignment horizontal="center" wrapText="1"/>
    </xf>
    <xf numFmtId="1" fontId="5" fillId="0" borderId="5" xfId="0" applyNumberFormat="1" applyFont="1" applyBorder="1" applyAlignment="1">
      <alignment horizontal="center" wrapText="1"/>
    </xf>
    <xf numFmtId="1" fontId="5" fillId="0" borderId="10" xfId="0" applyNumberFormat="1" applyFont="1" applyBorder="1" applyAlignment="1">
      <alignment horizontal="center" wrapText="1"/>
    </xf>
    <xf numFmtId="1" fontId="5" fillId="0" borderId="5" xfId="0" applyNumberFormat="1" applyFont="1" applyBorder="1" applyAlignment="1" applyProtection="1">
      <alignment horizontal="center"/>
      <protection locked="0"/>
    </xf>
    <xf numFmtId="1" fontId="5" fillId="0" borderId="5" xfId="0" applyNumberFormat="1" applyFont="1" applyBorder="1" applyAlignment="1" applyProtection="1">
      <alignment horizontal="center" wrapText="1"/>
      <protection locked="0"/>
    </xf>
    <xf numFmtId="1" fontId="5" fillId="0" borderId="10" xfId="0" applyNumberFormat="1" applyFont="1" applyBorder="1" applyAlignment="1" applyProtection="1">
      <alignment horizontal="center" wrapText="1"/>
      <protection locked="0"/>
    </xf>
    <xf numFmtId="1" fontId="5" fillId="0" borderId="9" xfId="0" applyNumberFormat="1" applyFont="1" applyBorder="1" applyAlignment="1" applyProtection="1">
      <alignment horizontal="center" wrapText="1"/>
      <protection locked="0"/>
    </xf>
    <xf numFmtId="0" fontId="5" fillId="10" borderId="16" xfId="0" applyFont="1" applyFill="1" applyBorder="1" applyAlignment="1">
      <alignment horizontal="center"/>
    </xf>
    <xf numFmtId="0" fontId="5" fillId="10" borderId="5" xfId="0" applyFont="1" applyFill="1" applyBorder="1" applyAlignment="1">
      <alignment horizontal="center"/>
    </xf>
    <xf numFmtId="1" fontId="5" fillId="10" borderId="5" xfId="0" applyNumberFormat="1" applyFont="1" applyFill="1" applyBorder="1" applyAlignment="1">
      <alignment horizontal="center"/>
    </xf>
    <xf numFmtId="1" fontId="5" fillId="10" borderId="5" xfId="0" applyNumberFormat="1" applyFont="1" applyFill="1" applyBorder="1" applyAlignment="1">
      <alignment horizontal="center" wrapText="1"/>
    </xf>
    <xf numFmtId="1" fontId="5" fillId="10" borderId="10" xfId="0" applyNumberFormat="1" applyFont="1" applyFill="1" applyBorder="1" applyAlignment="1">
      <alignment horizontal="center" wrapText="1"/>
    </xf>
    <xf numFmtId="1" fontId="5" fillId="10" borderId="9" xfId="0" applyNumberFormat="1" applyFont="1" applyFill="1" applyBorder="1" applyAlignment="1">
      <alignment horizontal="center" wrapText="1"/>
    </xf>
    <xf numFmtId="165" fontId="5" fillId="0" borderId="5" xfId="0" applyNumberFormat="1" applyFont="1" applyBorder="1" applyAlignment="1" applyProtection="1">
      <alignment horizontal="center"/>
      <protection locked="0"/>
    </xf>
    <xf numFmtId="165" fontId="5" fillId="0" borderId="5" xfId="0" applyNumberFormat="1" applyFont="1" applyBorder="1" applyAlignment="1" applyProtection="1">
      <alignment horizontal="center" wrapText="1"/>
      <protection locked="0"/>
    </xf>
    <xf numFmtId="165" fontId="5" fillId="0" borderId="9" xfId="0" applyNumberFormat="1" applyFont="1" applyBorder="1" applyAlignment="1" applyProtection="1">
      <alignment horizontal="center" wrapText="1"/>
      <protection locked="0"/>
    </xf>
    <xf numFmtId="165" fontId="5" fillId="0" borderId="10" xfId="0" applyNumberFormat="1" applyFont="1" applyBorder="1" applyAlignment="1" applyProtection="1">
      <alignment horizontal="center" wrapText="1"/>
      <protection locked="0"/>
    </xf>
    <xf numFmtId="165" fontId="5" fillId="9" borderId="5" xfId="0" applyNumberFormat="1" applyFont="1" applyFill="1" applyBorder="1" applyAlignment="1">
      <alignment horizontal="center"/>
    </xf>
    <xf numFmtId="165" fontId="5" fillId="9" borderId="5" xfId="0" applyNumberFormat="1" applyFont="1" applyFill="1" applyBorder="1" applyAlignment="1">
      <alignment horizontal="center" wrapText="1"/>
    </xf>
    <xf numFmtId="165" fontId="5" fillId="9" borderId="10" xfId="0" applyNumberFormat="1" applyFont="1" applyFill="1" applyBorder="1" applyAlignment="1">
      <alignment horizontal="center" wrapText="1"/>
    </xf>
    <xf numFmtId="165" fontId="5" fillId="9" borderId="9" xfId="0" applyNumberFormat="1" applyFont="1" applyFill="1" applyBorder="1" applyAlignment="1">
      <alignment horizontal="center" wrapText="1"/>
    </xf>
    <xf numFmtId="165" fontId="5" fillId="10" borderId="5" xfId="0" applyNumberFormat="1" applyFont="1" applyFill="1" applyBorder="1" applyAlignment="1">
      <alignment horizontal="center"/>
    </xf>
    <xf numFmtId="165" fontId="5" fillId="10" borderId="5" xfId="0" applyNumberFormat="1" applyFont="1" applyFill="1" applyBorder="1" applyAlignment="1">
      <alignment horizontal="center" wrapText="1"/>
    </xf>
    <xf numFmtId="165" fontId="5" fillId="10" borderId="10" xfId="0" applyNumberFormat="1" applyFont="1" applyFill="1" applyBorder="1" applyAlignment="1">
      <alignment horizontal="center" wrapText="1"/>
    </xf>
    <xf numFmtId="165" fontId="5" fillId="10" borderId="9" xfId="0" applyNumberFormat="1" applyFont="1" applyFill="1" applyBorder="1" applyAlignment="1">
      <alignment horizontal="center" wrapText="1"/>
    </xf>
    <xf numFmtId="0" fontId="5" fillId="3" borderId="16" xfId="0" applyFont="1" applyFill="1" applyBorder="1" applyAlignment="1">
      <alignment horizontal="center"/>
    </xf>
    <xf numFmtId="0" fontId="5" fillId="3" borderId="5" xfId="0" applyFont="1" applyFill="1" applyBorder="1" applyAlignment="1">
      <alignment horizontal="center"/>
    </xf>
    <xf numFmtId="1" fontId="5" fillId="3" borderId="5" xfId="0" applyNumberFormat="1" applyFont="1" applyFill="1" applyBorder="1" applyAlignment="1">
      <alignment horizontal="center"/>
    </xf>
    <xf numFmtId="165" fontId="5" fillId="3" borderId="5" xfId="0" applyNumberFormat="1" applyFont="1" applyFill="1" applyBorder="1" applyAlignment="1">
      <alignment horizontal="center"/>
    </xf>
    <xf numFmtId="165" fontId="5" fillId="3" borderId="5" xfId="0" applyNumberFormat="1" applyFont="1" applyFill="1" applyBorder="1" applyAlignment="1">
      <alignment horizontal="center" vertical="center" wrapText="1"/>
    </xf>
    <xf numFmtId="165" fontId="5" fillId="3" borderId="10" xfId="0" applyNumberFormat="1" applyFont="1" applyFill="1" applyBorder="1" applyAlignment="1">
      <alignment horizontal="center" vertical="center" wrapText="1"/>
    </xf>
    <xf numFmtId="165" fontId="5" fillId="3" borderId="9" xfId="0" applyNumberFormat="1" applyFont="1" applyFill="1" applyBorder="1" applyAlignment="1">
      <alignment horizontal="center" vertical="center" wrapText="1"/>
    </xf>
    <xf numFmtId="0" fontId="5" fillId="8" borderId="0" xfId="0" applyFont="1" applyFill="1" applyAlignment="1">
      <alignment horizontal="center"/>
    </xf>
    <xf numFmtId="0" fontId="5" fillId="8" borderId="7" xfId="0" applyFont="1" applyFill="1" applyBorder="1"/>
    <xf numFmtId="0" fontId="5" fillId="8" borderId="0" xfId="0" applyFont="1" applyFill="1"/>
    <xf numFmtId="0" fontId="5" fillId="8" borderId="18" xfId="0" applyFont="1" applyFill="1" applyBorder="1"/>
    <xf numFmtId="0" fontId="5" fillId="8" borderId="19" xfId="0" applyFont="1" applyFill="1" applyBorder="1"/>
    <xf numFmtId="0" fontId="5" fillId="8" borderId="19" xfId="0" applyFont="1" applyFill="1" applyBorder="1" applyAlignment="1">
      <alignment horizontal="center"/>
    </xf>
    <xf numFmtId="167" fontId="5" fillId="8" borderId="19" xfId="0" applyNumberFormat="1" applyFont="1" applyFill="1" applyBorder="1" applyAlignment="1">
      <alignment horizontal="center"/>
    </xf>
    <xf numFmtId="167" fontId="5" fillId="0" borderId="19" xfId="0" applyNumberFormat="1" applyFont="1" applyBorder="1" applyAlignment="1">
      <alignment horizontal="center"/>
    </xf>
    <xf numFmtId="2" fontId="5" fillId="8" borderId="19" xfId="0" applyNumberFormat="1" applyFont="1" applyFill="1" applyBorder="1" applyAlignment="1">
      <alignment horizontal="center"/>
    </xf>
    <xf numFmtId="0" fontId="5" fillId="8" borderId="20" xfId="0" applyFont="1" applyFill="1" applyBorder="1"/>
    <xf numFmtId="0" fontId="7" fillId="8" borderId="0" xfId="0" applyFont="1" applyFill="1"/>
    <xf numFmtId="0" fontId="5" fillId="0" borderId="0" xfId="0" applyFont="1" applyAlignment="1" applyProtection="1">
      <alignment horizontal="center"/>
      <protection locked="0"/>
    </xf>
    <xf numFmtId="164" fontId="7" fillId="0" borderId="12" xfId="0" applyNumberFormat="1" applyFont="1" applyBorder="1" applyAlignment="1">
      <alignment horizontal="center" vertical="center"/>
    </xf>
    <xf numFmtId="0" fontId="7" fillId="0" borderId="4" xfId="0" applyFont="1" applyBorder="1" applyAlignment="1">
      <alignment vertical="center"/>
    </xf>
    <xf numFmtId="168" fontId="5" fillId="0" borderId="5" xfId="0" applyNumberFormat="1" applyFont="1" applyBorder="1" applyAlignment="1">
      <alignment horizontal="center"/>
    </xf>
    <xf numFmtId="1" fontId="11" fillId="0" borderId="5" xfId="0" applyNumberFormat="1" applyFont="1" applyBorder="1" applyAlignment="1">
      <alignment horizontal="center" wrapText="1"/>
    </xf>
    <xf numFmtId="168" fontId="5" fillId="9" borderId="5" xfId="0" applyNumberFormat="1" applyFont="1" applyFill="1" applyBorder="1" applyAlignment="1">
      <alignment horizontal="center"/>
    </xf>
    <xf numFmtId="165" fontId="5" fillId="8" borderId="5" xfId="0" applyNumberFormat="1" applyFont="1" applyFill="1" applyBorder="1" applyAlignment="1">
      <alignment horizontal="center"/>
    </xf>
    <xf numFmtId="1" fontId="5" fillId="8" borderId="5" xfId="0" applyNumberFormat="1" applyFont="1" applyFill="1" applyBorder="1" applyAlignment="1">
      <alignment horizontal="center" wrapText="1"/>
    </xf>
    <xf numFmtId="168" fontId="5" fillId="0" borderId="5" xfId="0" applyNumberFormat="1" applyFont="1" applyBorder="1" applyAlignment="1" applyProtection="1">
      <alignment horizontal="center"/>
      <protection locked="0"/>
    </xf>
    <xf numFmtId="1" fontId="11" fillId="0" borderId="5" xfId="0" applyNumberFormat="1" applyFont="1" applyBorder="1" applyAlignment="1" applyProtection="1">
      <alignment horizontal="center" wrapText="1"/>
      <protection locked="0"/>
    </xf>
    <xf numFmtId="1" fontId="5" fillId="8" borderId="5" xfId="0" applyNumberFormat="1" applyFont="1" applyFill="1" applyBorder="1" applyAlignment="1" applyProtection="1">
      <alignment horizontal="center" wrapText="1"/>
      <protection locked="0"/>
    </xf>
    <xf numFmtId="168" fontId="5" fillId="10" borderId="5" xfId="0" applyNumberFormat="1" applyFont="1" applyFill="1" applyBorder="1" applyAlignment="1">
      <alignment horizontal="center"/>
    </xf>
    <xf numFmtId="9" fontId="5" fillId="0" borderId="5" xfId="0" applyNumberFormat="1" applyFont="1" applyBorder="1" applyAlignment="1" applyProtection="1">
      <alignment horizontal="center"/>
      <protection locked="0"/>
    </xf>
    <xf numFmtId="165" fontId="5" fillId="3" borderId="5" xfId="0" applyNumberFormat="1" applyFont="1" applyFill="1" applyBorder="1" applyAlignment="1">
      <alignment horizontal="center" wrapText="1"/>
    </xf>
    <xf numFmtId="0" fontId="7" fillId="0" borderId="13" xfId="0" applyFont="1" applyBorder="1" applyAlignment="1">
      <alignment vertical="center"/>
    </xf>
    <xf numFmtId="1" fontId="8" fillId="8" borderId="5" xfId="0" applyNumberFormat="1" applyFont="1" applyFill="1" applyBorder="1" applyAlignment="1">
      <alignment horizontal="center"/>
    </xf>
    <xf numFmtId="1" fontId="12" fillId="8" borderId="5" xfId="0" applyNumberFormat="1" applyFont="1" applyFill="1" applyBorder="1" applyAlignment="1">
      <alignment horizontal="center"/>
    </xf>
    <xf numFmtId="1" fontId="12" fillId="8" borderId="15" xfId="0" applyNumberFormat="1" applyFont="1" applyFill="1" applyBorder="1" applyAlignment="1">
      <alignment horizontal="center"/>
    </xf>
    <xf numFmtId="1" fontId="12" fillId="8" borderId="5" xfId="0" applyNumberFormat="1" applyFont="1" applyFill="1" applyBorder="1" applyAlignment="1" applyProtection="1">
      <alignment horizontal="center"/>
      <protection locked="0"/>
    </xf>
    <xf numFmtId="1" fontId="12" fillId="8" borderId="15" xfId="0" applyNumberFormat="1" applyFont="1" applyFill="1" applyBorder="1" applyAlignment="1" applyProtection="1">
      <alignment horizontal="center"/>
      <protection locked="0"/>
    </xf>
    <xf numFmtId="165" fontId="12" fillId="8" borderId="5" xfId="0" applyNumberFormat="1" applyFont="1" applyFill="1" applyBorder="1" applyAlignment="1" applyProtection="1">
      <alignment horizontal="center"/>
      <protection locked="0"/>
    </xf>
    <xf numFmtId="165" fontId="12" fillId="8" borderId="15" xfId="0" applyNumberFormat="1" applyFont="1" applyFill="1" applyBorder="1" applyAlignment="1" applyProtection="1">
      <alignment horizontal="center"/>
      <protection locked="0"/>
    </xf>
    <xf numFmtId="165" fontId="12" fillId="8" borderId="5" xfId="0" applyNumberFormat="1" applyFont="1" applyFill="1" applyBorder="1" applyAlignment="1">
      <alignment horizontal="center"/>
    </xf>
    <xf numFmtId="165" fontId="12" fillId="8" borderId="15" xfId="0" applyNumberFormat="1" applyFont="1" applyFill="1" applyBorder="1" applyAlignment="1">
      <alignment horizontal="center"/>
    </xf>
    <xf numFmtId="0" fontId="5" fillId="3" borderId="22" xfId="0" applyFont="1" applyFill="1" applyBorder="1" applyAlignment="1">
      <alignment horizontal="center"/>
    </xf>
    <xf numFmtId="0" fontId="5" fillId="3" borderId="23" xfId="0" applyFont="1" applyFill="1" applyBorder="1" applyAlignment="1">
      <alignment horizontal="center"/>
    </xf>
    <xf numFmtId="1" fontId="5" fillId="3" borderId="23" xfId="0" applyNumberFormat="1" applyFont="1" applyFill="1" applyBorder="1" applyAlignment="1">
      <alignment horizontal="center"/>
    </xf>
    <xf numFmtId="165" fontId="5" fillId="3" borderId="23" xfId="0" applyNumberFormat="1" applyFont="1" applyFill="1" applyBorder="1" applyAlignment="1">
      <alignment horizontal="center"/>
    </xf>
    <xf numFmtId="165" fontId="12" fillId="8" borderId="23" xfId="0" applyNumberFormat="1" applyFont="1" applyFill="1" applyBorder="1" applyAlignment="1">
      <alignment horizontal="center"/>
    </xf>
    <xf numFmtId="165" fontId="12" fillId="8" borderId="24" xfId="0" applyNumberFormat="1" applyFont="1" applyFill="1" applyBorder="1" applyAlignment="1">
      <alignment horizontal="center"/>
    </xf>
    <xf numFmtId="167" fontId="5" fillId="8" borderId="0" xfId="0" applyNumberFormat="1" applyFont="1" applyFill="1" applyAlignment="1">
      <alignment horizontal="center"/>
    </xf>
    <xf numFmtId="167" fontId="5" fillId="0" borderId="0" xfId="0" applyNumberFormat="1" applyFont="1" applyAlignment="1">
      <alignment horizontal="center"/>
    </xf>
    <xf numFmtId="2" fontId="5" fillId="8" borderId="0" xfId="0" applyNumberFormat="1" applyFont="1" applyFill="1" applyAlignment="1">
      <alignment horizontal="center"/>
    </xf>
    <xf numFmtId="1" fontId="5" fillId="0" borderId="5" xfId="0" applyNumberFormat="1" applyFont="1" applyBorder="1" applyAlignment="1">
      <alignment horizontal="left" vertical="top" wrapText="1"/>
    </xf>
    <xf numFmtId="1" fontId="5" fillId="0" borderId="8" xfId="0" applyNumberFormat="1" applyFont="1" applyBorder="1" applyAlignment="1">
      <alignment horizontal="center"/>
    </xf>
    <xf numFmtId="1" fontId="8" fillId="0" borderId="5" xfId="0" applyNumberFormat="1" applyFont="1" applyBorder="1" applyAlignment="1">
      <alignment horizontal="center"/>
    </xf>
    <xf numFmtId="1" fontId="5" fillId="0" borderId="8" xfId="0" applyNumberFormat="1" applyFont="1" applyBorder="1" applyAlignment="1" applyProtection="1">
      <alignment horizontal="center"/>
      <protection locked="0"/>
    </xf>
    <xf numFmtId="1" fontId="5" fillId="9" borderId="8" xfId="0" applyNumberFormat="1" applyFont="1" applyFill="1" applyBorder="1" applyAlignment="1">
      <alignment horizontal="center"/>
    </xf>
    <xf numFmtId="1" fontId="5" fillId="10" borderId="8" xfId="0" applyNumberFormat="1" applyFont="1" applyFill="1" applyBorder="1" applyAlignment="1">
      <alignment horizontal="center"/>
    </xf>
    <xf numFmtId="1" fontId="5" fillId="3" borderId="26" xfId="0" applyNumberFormat="1" applyFont="1" applyFill="1" applyBorder="1" applyAlignment="1">
      <alignment horizontal="center"/>
    </xf>
    <xf numFmtId="2" fontId="8" fillId="8" borderId="5" xfId="0" applyNumberFormat="1" applyFont="1" applyFill="1" applyBorder="1" applyAlignment="1">
      <alignment horizontal="center"/>
    </xf>
    <xf numFmtId="165" fontId="5" fillId="8" borderId="5" xfId="0" applyNumberFormat="1" applyFont="1" applyFill="1" applyBorder="1" applyAlignment="1" applyProtection="1">
      <alignment horizontal="center"/>
      <protection locked="0"/>
    </xf>
    <xf numFmtId="1" fontId="5" fillId="8" borderId="5" xfId="0" applyNumberFormat="1" applyFont="1" applyFill="1" applyBorder="1" applyAlignment="1" applyProtection="1">
      <alignment horizontal="center"/>
      <protection locked="0"/>
    </xf>
    <xf numFmtId="9" fontId="5" fillId="0" borderId="5" xfId="1" applyFont="1" applyBorder="1" applyAlignment="1" applyProtection="1">
      <alignment horizontal="center"/>
    </xf>
    <xf numFmtId="1" fontId="12" fillId="0" borderId="5" xfId="0" applyNumberFormat="1" applyFont="1" applyBorder="1" applyAlignment="1">
      <alignment horizontal="center"/>
    </xf>
    <xf numFmtId="9" fontId="5" fillId="0" borderId="5" xfId="1" applyFont="1" applyBorder="1" applyAlignment="1" applyProtection="1">
      <alignment horizontal="center"/>
      <protection locked="0"/>
    </xf>
    <xf numFmtId="1" fontId="5" fillId="8" borderId="15" xfId="0" applyNumberFormat="1" applyFont="1" applyFill="1" applyBorder="1" applyAlignment="1">
      <alignment horizontal="center"/>
    </xf>
    <xf numFmtId="1" fontId="5" fillId="0" borderId="5" xfId="0" applyNumberFormat="1" applyFont="1" applyBorder="1" applyAlignment="1">
      <alignment horizontal="center" vertical="center"/>
    </xf>
    <xf numFmtId="1" fontId="5" fillId="8" borderId="5" xfId="0" applyNumberFormat="1" applyFont="1" applyFill="1" applyBorder="1" applyAlignment="1">
      <alignment horizontal="center" vertical="center"/>
    </xf>
    <xf numFmtId="1" fontId="5" fillId="8" borderId="5" xfId="0" applyNumberFormat="1" applyFont="1" applyFill="1" applyBorder="1" applyAlignment="1">
      <alignment horizontal="center" vertical="center" wrapText="1"/>
    </xf>
    <xf numFmtId="1" fontId="5" fillId="8" borderId="15" xfId="0" applyNumberFormat="1" applyFont="1" applyFill="1" applyBorder="1" applyAlignment="1">
      <alignment horizontal="center" vertical="center"/>
    </xf>
    <xf numFmtId="9" fontId="5" fillId="8" borderId="5" xfId="1" applyFont="1" applyFill="1" applyBorder="1" applyAlignment="1" applyProtection="1">
      <alignment horizontal="center" vertical="center"/>
    </xf>
    <xf numFmtId="1" fontId="5" fillId="8" borderId="15" xfId="0" applyNumberFormat="1" applyFont="1" applyFill="1" applyBorder="1" applyAlignment="1" applyProtection="1">
      <alignment horizontal="center"/>
      <protection locked="0"/>
    </xf>
    <xf numFmtId="1" fontId="5" fillId="0" borderId="5" xfId="0" applyNumberFormat="1" applyFont="1" applyBorder="1" applyAlignment="1" applyProtection="1">
      <alignment horizontal="center" vertical="center"/>
      <protection locked="0"/>
    </xf>
    <xf numFmtId="165" fontId="5" fillId="8" borderId="15" xfId="0" applyNumberFormat="1" applyFont="1" applyFill="1" applyBorder="1" applyAlignment="1" applyProtection="1">
      <alignment horizontal="center"/>
      <protection locked="0"/>
    </xf>
    <xf numFmtId="165" fontId="5" fillId="9" borderId="15" xfId="0" applyNumberFormat="1" applyFont="1" applyFill="1" applyBorder="1" applyAlignment="1">
      <alignment horizontal="center"/>
    </xf>
    <xf numFmtId="165" fontId="5" fillId="10" borderId="15" xfId="0" applyNumberFormat="1" applyFont="1" applyFill="1" applyBorder="1" applyAlignment="1">
      <alignment horizontal="center"/>
    </xf>
    <xf numFmtId="165" fontId="5" fillId="3" borderId="24" xfId="0" applyNumberFormat="1" applyFont="1" applyFill="1" applyBorder="1" applyAlignment="1">
      <alignment horizontal="center"/>
    </xf>
    <xf numFmtId="9" fontId="5" fillId="8" borderId="5" xfId="1" applyFont="1" applyFill="1" applyBorder="1" applyAlignment="1" applyProtection="1">
      <alignment horizontal="center"/>
    </xf>
    <xf numFmtId="9" fontId="5" fillId="8" borderId="5" xfId="1" applyFont="1" applyFill="1" applyBorder="1" applyAlignment="1" applyProtection="1">
      <alignment horizontal="center"/>
      <protection locked="0"/>
    </xf>
    <xf numFmtId="1" fontId="11" fillId="8" borderId="5" xfId="0" applyNumberFormat="1" applyFont="1" applyFill="1" applyBorder="1" applyAlignment="1" applyProtection="1">
      <alignment horizontal="center" wrapText="1"/>
      <protection locked="0"/>
    </xf>
    <xf numFmtId="1" fontId="13" fillId="8" borderId="15" xfId="0" applyNumberFormat="1" applyFont="1" applyFill="1" applyBorder="1" applyAlignment="1" applyProtection="1">
      <alignment horizontal="center" vertical="center" wrapText="1"/>
      <protection locked="0"/>
    </xf>
    <xf numFmtId="9" fontId="5" fillId="8" borderId="5" xfId="1" applyFont="1" applyFill="1" applyBorder="1" applyAlignment="1" applyProtection="1">
      <alignment horizontal="center" vertical="center"/>
      <protection locked="0"/>
    </xf>
    <xf numFmtId="165" fontId="5" fillId="8" borderId="5" xfId="0" applyNumberFormat="1" applyFont="1" applyFill="1" applyBorder="1" applyAlignment="1" applyProtection="1">
      <alignment horizontal="center" vertical="center"/>
      <protection locked="0"/>
    </xf>
    <xf numFmtId="0" fontId="7" fillId="7" borderId="5" xfId="0" applyFont="1" applyFill="1" applyBorder="1" applyAlignment="1">
      <alignment horizontal="center" vertical="center" wrapText="1"/>
    </xf>
    <xf numFmtId="164" fontId="7" fillId="0" borderId="29" xfId="0" applyNumberFormat="1" applyFont="1" applyBorder="1" applyAlignment="1">
      <alignment horizontal="center" vertical="center"/>
    </xf>
    <xf numFmtId="0" fontId="5" fillId="0" borderId="29" xfId="0" applyFont="1" applyBorder="1" applyAlignment="1">
      <alignment horizontal="center"/>
    </xf>
    <xf numFmtId="164" fontId="7" fillId="0" borderId="5" xfId="0" applyNumberFormat="1" applyFont="1" applyBorder="1" applyAlignment="1">
      <alignment horizontal="center" vertical="center"/>
    </xf>
    <xf numFmtId="0" fontId="7" fillId="0" borderId="5" xfId="0" applyFont="1" applyBorder="1" applyAlignment="1">
      <alignment vertical="center"/>
    </xf>
    <xf numFmtId="0" fontId="5" fillId="8" borderId="5" xfId="0" applyFont="1" applyFill="1" applyBorder="1" applyAlignment="1">
      <alignment horizontal="center"/>
    </xf>
    <xf numFmtId="172" fontId="0" fillId="0" borderId="0" xfId="0" applyNumberFormat="1"/>
    <xf numFmtId="172" fontId="15" fillId="0" borderId="5" xfId="0" applyNumberFormat="1" applyFont="1" applyBorder="1"/>
    <xf numFmtId="0" fontId="0" fillId="4" borderId="5" xfId="0" applyFill="1" applyBorder="1"/>
    <xf numFmtId="172" fontId="15" fillId="4" borderId="5" xfId="0" applyNumberFormat="1" applyFont="1" applyFill="1" applyBorder="1"/>
    <xf numFmtId="0" fontId="0" fillId="11" borderId="5" xfId="0" applyFill="1" applyBorder="1"/>
    <xf numFmtId="0" fontId="3" fillId="11" borderId="5" xfId="0" applyFont="1" applyFill="1" applyBorder="1"/>
    <xf numFmtId="171" fontId="15" fillId="0" borderId="5" xfId="0" applyNumberFormat="1" applyFont="1" applyBorder="1" applyAlignment="1">
      <alignment horizontal="right"/>
    </xf>
    <xf numFmtId="171" fontId="15" fillId="0" borderId="5" xfId="0" applyNumberFormat="1" applyFont="1" applyBorder="1"/>
    <xf numFmtId="0" fontId="0" fillId="12" borderId="5" xfId="0" applyFill="1" applyBorder="1"/>
    <xf numFmtId="171" fontId="15" fillId="12" borderId="5" xfId="0" applyNumberFormat="1" applyFont="1" applyFill="1" applyBorder="1"/>
    <xf numFmtId="171" fontId="15" fillId="4" borderId="5" xfId="0" applyNumberFormat="1" applyFont="1" applyFill="1" applyBorder="1"/>
    <xf numFmtId="171" fontId="3" fillId="0" borderId="5" xfId="0" applyNumberFormat="1" applyFont="1" applyBorder="1"/>
    <xf numFmtId="171" fontId="16" fillId="0" borderId="5" xfId="0" applyNumberFormat="1" applyFont="1" applyBorder="1" applyAlignment="1">
      <alignment horizontal="right"/>
    </xf>
    <xf numFmtId="171" fontId="16" fillId="12" borderId="5" xfId="0" applyNumberFormat="1" applyFont="1" applyFill="1" applyBorder="1"/>
    <xf numFmtId="0" fontId="0" fillId="13" borderId="5" xfId="0" applyFill="1" applyBorder="1"/>
    <xf numFmtId="171" fontId="15" fillId="13" borderId="5" xfId="0" applyNumberFormat="1" applyFont="1" applyFill="1" applyBorder="1"/>
    <xf numFmtId="0" fontId="0" fillId="14" borderId="5" xfId="0" applyFill="1" applyBorder="1"/>
    <xf numFmtId="171" fontId="15" fillId="14" borderId="5" xfId="0" applyNumberFormat="1" applyFont="1" applyFill="1" applyBorder="1"/>
    <xf numFmtId="171" fontId="16" fillId="0" borderId="5" xfId="0" applyNumberFormat="1" applyFont="1" applyBorder="1"/>
    <xf numFmtId="171" fontId="16" fillId="13" borderId="5" xfId="0" applyNumberFormat="1" applyFont="1" applyFill="1" applyBorder="1"/>
    <xf numFmtId="171" fontId="16" fillId="14" borderId="5" xfId="0" applyNumberFormat="1" applyFont="1" applyFill="1" applyBorder="1"/>
    <xf numFmtId="0" fontId="0" fillId="15" borderId="5" xfId="0" applyFill="1" applyBorder="1"/>
    <xf numFmtId="0" fontId="0" fillId="16" borderId="5" xfId="0" applyFill="1" applyBorder="1"/>
    <xf numFmtId="2" fontId="15" fillId="0" borderId="5" xfId="0" applyNumberFormat="1" applyFont="1" applyBorder="1"/>
    <xf numFmtId="2" fontId="15" fillId="15" borderId="5" xfId="0" applyNumberFormat="1" applyFont="1" applyFill="1" applyBorder="1"/>
    <xf numFmtId="2" fontId="15" fillId="16" borderId="5" xfId="0" applyNumberFormat="1" applyFont="1" applyFill="1" applyBorder="1"/>
    <xf numFmtId="0" fontId="0" fillId="17" borderId="5" xfId="0" applyFill="1" applyBorder="1"/>
    <xf numFmtId="172" fontId="15" fillId="17" borderId="5" xfId="0" applyNumberFormat="1" applyFont="1" applyFill="1" applyBorder="1"/>
    <xf numFmtId="0" fontId="3" fillId="17" borderId="5" xfId="0" applyFont="1" applyFill="1" applyBorder="1"/>
    <xf numFmtId="172" fontId="16" fillId="17" borderId="5" xfId="0" applyNumberFormat="1" applyFont="1" applyFill="1" applyBorder="1"/>
    <xf numFmtId="0" fontId="0" fillId="18" borderId="5" xfId="0" applyFill="1" applyBorder="1"/>
    <xf numFmtId="171" fontId="15" fillId="17" borderId="5" xfId="0" applyNumberFormat="1" applyFont="1" applyFill="1" applyBorder="1"/>
    <xf numFmtId="171" fontId="15" fillId="18" borderId="5" xfId="0" applyNumberFormat="1" applyFont="1" applyFill="1" applyBorder="1"/>
    <xf numFmtId="171" fontId="16" fillId="18" borderId="5" xfId="0" applyNumberFormat="1" applyFont="1" applyFill="1" applyBorder="1"/>
    <xf numFmtId="0" fontId="5" fillId="7" borderId="5" xfId="0" applyFont="1" applyFill="1" applyBorder="1" applyAlignment="1">
      <alignment horizontal="center" vertical="center" wrapText="1"/>
    </xf>
    <xf numFmtId="0" fontId="4" fillId="2" borderId="2" xfId="0" applyFont="1" applyFill="1" applyBorder="1" applyAlignment="1">
      <alignment horizontal="center"/>
    </xf>
    <xf numFmtId="0" fontId="7" fillId="4" borderId="5" xfId="0" applyFont="1" applyFill="1" applyBorder="1" applyAlignment="1">
      <alignment horizontal="center" vertical="center" wrapText="1"/>
    </xf>
    <xf numFmtId="0" fontId="7" fillId="4" borderId="5" xfId="0" applyFont="1" applyFill="1" applyBorder="1" applyAlignment="1">
      <alignment horizontal="center" vertical="center"/>
    </xf>
    <xf numFmtId="0" fontId="10" fillId="0" borderId="0" xfId="0" applyFont="1" applyAlignment="1">
      <alignment wrapText="1"/>
    </xf>
    <xf numFmtId="0" fontId="5" fillId="7" borderId="25" xfId="0" applyFont="1" applyFill="1" applyBorder="1" applyAlignment="1">
      <alignment horizontal="center" vertical="center" wrapText="1"/>
    </xf>
    <xf numFmtId="0" fontId="4" fillId="2" borderId="0" xfId="0" applyFont="1" applyFill="1" applyAlignment="1">
      <alignment horizontal="center"/>
    </xf>
    <xf numFmtId="43" fontId="15" fillId="12" borderId="5" xfId="0" applyNumberFormat="1" applyFont="1" applyFill="1" applyBorder="1"/>
    <xf numFmtId="43" fontId="15" fillId="18" borderId="5" xfId="0" applyNumberFormat="1" applyFont="1" applyFill="1" applyBorder="1"/>
    <xf numFmtId="43" fontId="15" fillId="0" borderId="5" xfId="0" applyNumberFormat="1" applyFont="1" applyBorder="1" applyAlignment="1">
      <alignment horizontal="right"/>
    </xf>
    <xf numFmtId="0" fontId="0" fillId="0" borderId="5" xfId="0" applyBorder="1"/>
    <xf numFmtId="171" fontId="16" fillId="4" borderId="5" xfId="0" applyNumberFormat="1" applyFont="1" applyFill="1" applyBorder="1"/>
    <xf numFmtId="171" fontId="16" fillId="17" borderId="5" xfId="0" applyNumberFormat="1" applyFont="1" applyFill="1" applyBorder="1"/>
    <xf numFmtId="0" fontId="0" fillId="20" borderId="0" xfId="0" applyFill="1"/>
    <xf numFmtId="172" fontId="16" fillId="0" borderId="5" xfId="0" applyNumberFormat="1" applyFont="1" applyBorder="1"/>
    <xf numFmtId="172" fontId="16" fillId="4" borderId="5" xfId="0" applyNumberFormat="1" applyFont="1" applyFill="1" applyBorder="1"/>
    <xf numFmtId="2" fontId="16" fillId="0" borderId="5" xfId="0" applyNumberFormat="1" applyFont="1" applyBorder="1"/>
    <xf numFmtId="2" fontId="16" fillId="15" borderId="5" xfId="0" applyNumberFormat="1" applyFont="1" applyFill="1" applyBorder="1"/>
    <xf numFmtId="2" fontId="16" fillId="16" borderId="5" xfId="0" applyNumberFormat="1" applyFont="1" applyFill="1" applyBorder="1"/>
    <xf numFmtId="0" fontId="0" fillId="2" borderId="5" xfId="0" applyFill="1" applyBorder="1"/>
    <xf numFmtId="168" fontId="0" fillId="0" borderId="5" xfId="1" applyNumberFormat="1" applyFont="1" applyBorder="1"/>
    <xf numFmtId="168" fontId="0" fillId="2" borderId="5" xfId="1" applyNumberFormat="1" applyFont="1" applyFill="1" applyBorder="1"/>
    <xf numFmtId="168" fontId="0" fillId="12" borderId="5" xfId="1" applyNumberFormat="1" applyFont="1" applyFill="1" applyBorder="1"/>
    <xf numFmtId="166" fontId="0" fillId="0" borderId="0" xfId="0" applyNumberFormat="1"/>
    <xf numFmtId="173" fontId="0" fillId="0" borderId="0" xfId="0" applyNumberFormat="1"/>
    <xf numFmtId="43" fontId="0" fillId="0" borderId="0" xfId="0" applyNumberFormat="1"/>
    <xf numFmtId="0" fontId="17" fillId="19" borderId="0" xfId="0" applyFont="1" applyFill="1" applyAlignment="1">
      <alignment horizontal="center" vertical="center"/>
    </xf>
    <xf numFmtId="9" fontId="0" fillId="0" borderId="0" xfId="1" applyFont="1" applyBorder="1"/>
    <xf numFmtId="0" fontId="17" fillId="13" borderId="5" xfId="0" applyFont="1" applyFill="1" applyBorder="1" applyAlignment="1">
      <alignment horizontal="center" vertical="center"/>
    </xf>
    <xf numFmtId="0" fontId="17" fillId="12" borderId="5" xfId="0" applyFont="1" applyFill="1" applyBorder="1" applyAlignment="1">
      <alignment horizontal="center" vertical="center"/>
    </xf>
    <xf numFmtId="43" fontId="16" fillId="0" borderId="5" xfId="0" applyNumberFormat="1" applyFont="1" applyBorder="1" applyAlignment="1">
      <alignment horizontal="right"/>
    </xf>
    <xf numFmtId="43" fontId="16" fillId="12" borderId="5" xfId="0" applyNumberFormat="1" applyFont="1" applyFill="1" applyBorder="1"/>
    <xf numFmtId="43" fontId="16" fillId="18" borderId="5" xfId="0" applyNumberFormat="1" applyFont="1" applyFill="1" applyBorder="1"/>
    <xf numFmtId="172" fontId="3" fillId="0" borderId="5" xfId="0" applyNumberFormat="1" applyFont="1" applyBorder="1"/>
    <xf numFmtId="0" fontId="17" fillId="13" borderId="8" xfId="0" applyFont="1" applyFill="1" applyBorder="1" applyAlignment="1">
      <alignment horizontal="center" vertical="center"/>
    </xf>
    <xf numFmtId="0" fontId="0" fillId="11" borderId="8" xfId="0" applyFill="1" applyBorder="1"/>
    <xf numFmtId="0" fontId="17" fillId="13" borderId="16" xfId="0" applyFont="1" applyFill="1" applyBorder="1" applyAlignment="1">
      <alignment horizontal="center" vertical="center"/>
    </xf>
    <xf numFmtId="0" fontId="17" fillId="13" borderId="15" xfId="0" applyFont="1" applyFill="1" applyBorder="1" applyAlignment="1">
      <alignment horizontal="center" vertical="center" wrapText="1"/>
    </xf>
    <xf numFmtId="172" fontId="15" fillId="0" borderId="16" xfId="0" applyNumberFormat="1" applyFont="1" applyBorder="1"/>
    <xf numFmtId="172" fontId="15" fillId="0" borderId="15" xfId="0" applyNumberFormat="1" applyFont="1" applyBorder="1"/>
    <xf numFmtId="172" fontId="15" fillId="3" borderId="22" xfId="0" applyNumberFormat="1" applyFont="1" applyFill="1" applyBorder="1"/>
    <xf numFmtId="172" fontId="15" fillId="3" borderId="23" xfId="0" applyNumberFormat="1" applyFont="1" applyFill="1" applyBorder="1"/>
    <xf numFmtId="172" fontId="15" fillId="3" borderId="24" xfId="0" applyNumberFormat="1" applyFont="1" applyFill="1" applyBorder="1"/>
    <xf numFmtId="171" fontId="15" fillId="0" borderId="16" xfId="0" applyNumberFormat="1" applyFont="1" applyBorder="1"/>
    <xf numFmtId="171" fontId="15" fillId="0" borderId="15" xfId="0" applyNumberFormat="1" applyFont="1" applyBorder="1"/>
    <xf numFmtId="171" fontId="15" fillId="3" borderId="22" xfId="0" applyNumberFormat="1" applyFont="1" applyFill="1" applyBorder="1"/>
    <xf numFmtId="171" fontId="15" fillId="3" borderId="23" xfId="0" applyNumberFormat="1" applyFont="1" applyFill="1" applyBorder="1"/>
    <xf numFmtId="171" fontId="15" fillId="3" borderId="24" xfId="0" applyNumberFormat="1" applyFont="1" applyFill="1" applyBorder="1"/>
    <xf numFmtId="0" fontId="17" fillId="12" borderId="8" xfId="0" applyFont="1" applyFill="1" applyBorder="1" applyAlignment="1">
      <alignment horizontal="center" vertical="center"/>
    </xf>
    <xf numFmtId="0" fontId="0" fillId="3" borderId="8" xfId="0" applyFill="1" applyBorder="1"/>
    <xf numFmtId="0" fontId="17" fillId="12" borderId="16" xfId="0" applyFont="1" applyFill="1" applyBorder="1" applyAlignment="1">
      <alignment horizontal="center" vertical="center"/>
    </xf>
    <xf numFmtId="0" fontId="17" fillId="12" borderId="15" xfId="0" applyFont="1" applyFill="1" applyBorder="1" applyAlignment="1">
      <alignment horizontal="center" vertical="center" wrapText="1"/>
    </xf>
    <xf numFmtId="174" fontId="15" fillId="3" borderId="22" xfId="0" applyNumberFormat="1" applyFont="1" applyFill="1" applyBorder="1"/>
    <xf numFmtId="174" fontId="15" fillId="3" borderId="23" xfId="0" applyNumberFormat="1" applyFont="1" applyFill="1" applyBorder="1"/>
    <xf numFmtId="174" fontId="15" fillId="3" borderId="24" xfId="0" applyNumberFormat="1" applyFont="1" applyFill="1" applyBorder="1"/>
    <xf numFmtId="0" fontId="0" fillId="21" borderId="5" xfId="0" applyFill="1" applyBorder="1" applyAlignment="1">
      <alignment wrapText="1"/>
    </xf>
    <xf numFmtId="0" fontId="0" fillId="21" borderId="5" xfId="0" applyFill="1" applyBorder="1"/>
    <xf numFmtId="0" fontId="18" fillId="0" borderId="0" xfId="0" applyFont="1"/>
    <xf numFmtId="0" fontId="19" fillId="0" borderId="0" xfId="0" applyFont="1"/>
    <xf numFmtId="0" fontId="3" fillId="0" borderId="0" xfId="0" applyFont="1"/>
    <xf numFmtId="0" fontId="20" fillId="0" borderId="0" xfId="0" applyFont="1"/>
    <xf numFmtId="15" fontId="0" fillId="0" borderId="5" xfId="0" applyNumberFormat="1" applyBorder="1"/>
    <xf numFmtId="0" fontId="15" fillId="0" borderId="5" xfId="0" applyFont="1" applyBorder="1" applyAlignment="1">
      <alignment horizontal="right"/>
    </xf>
    <xf numFmtId="15" fontId="0" fillId="6" borderId="5" xfId="0" applyNumberFormat="1" applyFill="1" applyBorder="1"/>
    <xf numFmtId="172" fontId="15" fillId="6" borderId="5" xfId="0" applyNumberFormat="1" applyFont="1" applyFill="1" applyBorder="1"/>
    <xf numFmtId="171" fontId="15" fillId="6" borderId="5" xfId="0" applyNumberFormat="1" applyFont="1" applyFill="1" applyBorder="1"/>
    <xf numFmtId="10" fontId="15" fillId="17" borderId="5" xfId="0" applyNumberFormat="1" applyFont="1" applyFill="1" applyBorder="1" applyAlignment="1">
      <alignment horizontal="right"/>
    </xf>
    <xf numFmtId="9" fontId="15" fillId="17" borderId="5" xfId="0" applyNumberFormat="1" applyFont="1" applyFill="1" applyBorder="1" applyAlignment="1">
      <alignment horizontal="right"/>
    </xf>
    <xf numFmtId="0" fontId="15" fillId="17" borderId="5" xfId="0" applyFont="1" applyFill="1" applyBorder="1" applyAlignment="1">
      <alignment horizontal="right"/>
    </xf>
    <xf numFmtId="10" fontId="15" fillId="18" borderId="5" xfId="0" applyNumberFormat="1" applyFont="1" applyFill="1" applyBorder="1" applyAlignment="1">
      <alignment horizontal="right"/>
    </xf>
    <xf numFmtId="9" fontId="15" fillId="18" borderId="5" xfId="0" applyNumberFormat="1" applyFont="1" applyFill="1" applyBorder="1" applyAlignment="1">
      <alignment horizontal="right"/>
    </xf>
    <xf numFmtId="0" fontId="15" fillId="18" borderId="5" xfId="0" applyFont="1" applyFill="1" applyBorder="1" applyAlignment="1">
      <alignment horizontal="right"/>
    </xf>
    <xf numFmtId="15" fontId="0" fillId="0" borderId="0" xfId="0" applyNumberFormat="1"/>
    <xf numFmtId="0" fontId="0" fillId="7" borderId="0" xfId="0" applyFill="1"/>
    <xf numFmtId="175" fontId="0" fillId="0" borderId="0" xfId="0" applyNumberFormat="1"/>
    <xf numFmtId="43" fontId="0" fillId="0" borderId="5" xfId="0" applyNumberFormat="1" applyBorder="1"/>
    <xf numFmtId="0" fontId="0" fillId="0" borderId="5" xfId="0" quotePrefix="1" applyBorder="1"/>
    <xf numFmtId="171" fontId="0" fillId="0" borderId="5" xfId="0" applyNumberFormat="1" applyBorder="1"/>
    <xf numFmtId="172" fontId="0" fillId="0" borderId="5" xfId="0" applyNumberFormat="1" applyBorder="1"/>
    <xf numFmtId="0" fontId="15" fillId="0" borderId="5" xfId="0" applyFont="1" applyBorder="1"/>
    <xf numFmtId="0" fontId="15" fillId="11" borderId="5" xfId="0" applyFont="1" applyFill="1" applyBorder="1"/>
    <xf numFmtId="0" fontId="15" fillId="23" borderId="5" xfId="0" applyFont="1" applyFill="1" applyBorder="1" applyAlignment="1">
      <alignment wrapText="1"/>
    </xf>
    <xf numFmtId="171" fontId="15" fillId="23" borderId="5" xfId="0" applyNumberFormat="1" applyFont="1" applyFill="1" applyBorder="1"/>
    <xf numFmtId="172" fontId="15" fillId="23" borderId="5" xfId="0" applyNumberFormat="1" applyFont="1" applyFill="1" applyBorder="1"/>
    <xf numFmtId="0" fontId="15" fillId="2" borderId="5" xfId="0" applyFont="1" applyFill="1" applyBorder="1" applyAlignment="1">
      <alignment wrapText="1"/>
    </xf>
    <xf numFmtId="172" fontId="15" fillId="2" borderId="5" xfId="0" applyNumberFormat="1" applyFont="1" applyFill="1" applyBorder="1"/>
    <xf numFmtId="171" fontId="15" fillId="2" borderId="5" xfId="0" applyNumberFormat="1" applyFont="1" applyFill="1" applyBorder="1"/>
    <xf numFmtId="0" fontId="21" fillId="24" borderId="5" xfId="0" applyFont="1" applyFill="1" applyBorder="1" applyAlignment="1">
      <alignment vertical="center"/>
    </xf>
    <xf numFmtId="0" fontId="15" fillId="0" borderId="0" xfId="0" applyFont="1"/>
    <xf numFmtId="0" fontId="15" fillId="2" borderId="35" xfId="0" applyFont="1" applyFill="1" applyBorder="1" applyAlignment="1">
      <alignment wrapText="1"/>
    </xf>
    <xf numFmtId="176" fontId="0" fillId="0" borderId="0" xfId="0" applyNumberFormat="1"/>
    <xf numFmtId="0" fontId="22" fillId="0" borderId="0" xfId="0" applyFont="1"/>
    <xf numFmtId="2" fontId="0" fillId="0" borderId="5" xfId="0" applyNumberFormat="1" applyBorder="1"/>
    <xf numFmtId="166" fontId="0" fillId="0" borderId="5" xfId="0" applyNumberFormat="1" applyBorder="1"/>
    <xf numFmtId="0" fontId="0" fillId="26" borderId="0" xfId="0" applyFill="1"/>
    <xf numFmtId="0" fontId="27" fillId="0" borderId="0" xfId="0" applyFont="1"/>
    <xf numFmtId="0" fontId="0" fillId="0" borderId="17" xfId="0" applyBorder="1"/>
    <xf numFmtId="0" fontId="0" fillId="0" borderId="21" xfId="0" applyBorder="1"/>
    <xf numFmtId="0" fontId="0" fillId="0" borderId="35" xfId="0" applyBorder="1"/>
    <xf numFmtId="0" fontId="0" fillId="0" borderId="37" xfId="0" applyBorder="1"/>
    <xf numFmtId="168" fontId="15" fillId="0" borderId="5" xfId="1" applyNumberFormat="1" applyFont="1" applyBorder="1"/>
    <xf numFmtId="0" fontId="16" fillId="11" borderId="5" xfId="0" applyFont="1" applyFill="1" applyBorder="1"/>
    <xf numFmtId="168" fontId="16" fillId="0" borderId="5" xfId="1" applyNumberFormat="1" applyFont="1" applyBorder="1"/>
    <xf numFmtId="0" fontId="0" fillId="0" borderId="25" xfId="0" applyBorder="1" applyAlignment="1">
      <alignment horizontal="right"/>
    </xf>
    <xf numFmtId="15" fontId="0" fillId="0" borderId="29" xfId="0" applyNumberFormat="1" applyBorder="1"/>
    <xf numFmtId="0" fontId="0" fillId="11" borderId="35" xfId="0" applyFill="1" applyBorder="1"/>
    <xf numFmtId="0" fontId="0" fillId="0" borderId="36" xfId="0" applyBorder="1"/>
    <xf numFmtId="0" fontId="0" fillId="0" borderId="38" xfId="0" applyBorder="1"/>
    <xf numFmtId="0" fontId="0" fillId="0" borderId="33" xfId="0" applyBorder="1"/>
    <xf numFmtId="0" fontId="0" fillId="0" borderId="13" xfId="0" applyBorder="1"/>
    <xf numFmtId="0" fontId="25" fillId="0" borderId="0" xfId="2" applyFont="1" applyBorder="1" applyAlignment="1"/>
    <xf numFmtId="0" fontId="26" fillId="0" borderId="0" xfId="2" applyFont="1" applyBorder="1" applyAlignment="1"/>
    <xf numFmtId="0" fontId="0" fillId="93" borderId="0" xfId="0" applyFill="1"/>
    <xf numFmtId="0" fontId="0" fillId="0" borderId="0" xfId="0" applyProtection="1">
      <protection locked="0"/>
    </xf>
    <xf numFmtId="0" fontId="0" fillId="0" borderId="5" xfId="0" applyBorder="1" applyAlignment="1">
      <alignment horizontal="center"/>
    </xf>
    <xf numFmtId="168" fontId="0" fillId="0" borderId="0" xfId="1" applyNumberFormat="1" applyFont="1" applyFill="1" applyBorder="1"/>
    <xf numFmtId="0" fontId="0" fillId="97" borderId="36" xfId="0" applyFill="1" applyBorder="1"/>
    <xf numFmtId="0" fontId="0" fillId="97" borderId="17" xfId="0" applyFill="1" applyBorder="1"/>
    <xf numFmtId="0" fontId="0" fillId="97" borderId="21" xfId="0" applyFill="1" applyBorder="1"/>
    <xf numFmtId="0" fontId="0" fillId="97" borderId="35" xfId="0" applyFill="1" applyBorder="1"/>
    <xf numFmtId="0" fontId="0" fillId="97" borderId="0" xfId="0" applyFill="1"/>
    <xf numFmtId="0" fontId="0" fillId="97" borderId="37" xfId="0" applyFill="1" applyBorder="1"/>
    <xf numFmtId="0" fontId="0" fillId="97" borderId="8" xfId="0" applyFill="1" applyBorder="1"/>
    <xf numFmtId="0" fontId="0" fillId="97" borderId="38" xfId="0" applyFill="1" applyBorder="1"/>
    <xf numFmtId="0" fontId="0" fillId="97" borderId="33" xfId="0" applyFill="1" applyBorder="1"/>
    <xf numFmtId="0" fontId="0" fillId="97" borderId="13" xfId="0" applyFill="1" applyBorder="1"/>
    <xf numFmtId="0" fontId="126" fillId="0" borderId="0" xfId="0" applyFont="1"/>
    <xf numFmtId="0" fontId="0" fillId="0" borderId="0" xfId="0" applyAlignment="1">
      <alignment wrapText="1"/>
    </xf>
    <xf numFmtId="176" fontId="127" fillId="0" borderId="0" xfId="0" applyNumberFormat="1" applyFont="1" applyAlignment="1" applyProtection="1">
      <alignment horizontal="center" vertical="center" wrapText="1"/>
      <protection locked="0"/>
    </xf>
    <xf numFmtId="176" fontId="127" fillId="0" borderId="5" xfId="0" applyNumberFormat="1" applyFont="1" applyBorder="1" applyAlignment="1" applyProtection="1">
      <alignment horizontal="center" vertical="center" wrapText="1"/>
      <protection locked="0"/>
    </xf>
    <xf numFmtId="176" fontId="127" fillId="98" borderId="5" xfId="0" applyNumberFormat="1" applyFont="1" applyFill="1" applyBorder="1" applyAlignment="1" applyProtection="1">
      <alignment horizontal="center" vertical="center" wrapText="1"/>
      <protection locked="0"/>
    </xf>
    <xf numFmtId="166" fontId="127" fillId="99" borderId="5" xfId="0" applyNumberFormat="1" applyFont="1" applyFill="1" applyBorder="1" applyAlignment="1" applyProtection="1">
      <alignment horizontal="right" vertical="top" wrapText="1"/>
      <protection locked="0"/>
    </xf>
    <xf numFmtId="166" fontId="127" fillId="0" borderId="0" xfId="0" applyNumberFormat="1" applyFont="1" applyAlignment="1" applyProtection="1">
      <alignment horizontal="right" vertical="top" wrapText="1"/>
      <protection locked="0"/>
    </xf>
    <xf numFmtId="207" fontId="0" fillId="97" borderId="0" xfId="0" applyNumberFormat="1" applyFill="1"/>
    <xf numFmtId="0" fontId="0" fillId="7" borderId="0" xfId="0" applyFill="1" applyAlignment="1">
      <alignment vertical="top" wrapText="1"/>
    </xf>
    <xf numFmtId="0" fontId="0" fillId="0" borderId="0" xfId="0" quotePrefix="1"/>
    <xf numFmtId="0" fontId="16" fillId="0" borderId="0" xfId="0" applyFont="1"/>
    <xf numFmtId="171" fontId="16" fillId="23" borderId="0" xfId="0" applyNumberFormat="1" applyFont="1" applyFill="1"/>
    <xf numFmtId="172" fontId="16" fillId="23" borderId="5" xfId="0" applyNumberFormat="1" applyFont="1" applyFill="1" applyBorder="1"/>
    <xf numFmtId="172" fontId="16" fillId="2" borderId="5" xfId="0" applyNumberFormat="1" applyFont="1" applyFill="1" applyBorder="1"/>
    <xf numFmtId="171" fontId="16" fillId="2" borderId="5" xfId="0" applyNumberFormat="1" applyFont="1" applyFill="1" applyBorder="1"/>
    <xf numFmtId="0" fontId="3" fillId="7" borderId="0" xfId="0" applyFont="1" applyFill="1"/>
    <xf numFmtId="0" fontId="16" fillId="11" borderId="34" xfId="0" applyFont="1" applyFill="1" applyBorder="1"/>
    <xf numFmtId="171" fontId="16" fillId="23" borderId="5" xfId="0" applyNumberFormat="1" applyFont="1" applyFill="1" applyBorder="1"/>
    <xf numFmtId="208" fontId="0" fillId="0" borderId="0" xfId="1" applyNumberFormat="1" applyFont="1"/>
    <xf numFmtId="208" fontId="0" fillId="0" borderId="0" xfId="1" applyNumberFormat="1" applyFont="1" applyFill="1"/>
    <xf numFmtId="0" fontId="3" fillId="18" borderId="5" xfId="0" applyFont="1" applyFill="1" applyBorder="1"/>
    <xf numFmtId="0" fontId="0" fillId="99" borderId="0" xfId="0" applyFill="1"/>
    <xf numFmtId="0" fontId="0" fillId="99" borderId="17" xfId="0" applyFill="1" applyBorder="1"/>
    <xf numFmtId="0" fontId="0" fillId="100" borderId="17" xfId="0" applyFill="1" applyBorder="1"/>
    <xf numFmtId="0" fontId="0" fillId="100" borderId="0" xfId="0" applyFill="1"/>
    <xf numFmtId="0" fontId="0" fillId="6" borderId="17" xfId="0" applyFill="1" applyBorder="1"/>
    <xf numFmtId="0" fontId="0" fillId="6" borderId="0" xfId="0" applyFill="1"/>
    <xf numFmtId="0" fontId="126" fillId="0" borderId="5" xfId="0" applyFont="1" applyBorder="1"/>
    <xf numFmtId="0" fontId="0" fillId="0" borderId="34" xfId="0" applyBorder="1"/>
    <xf numFmtId="0" fontId="0" fillId="99" borderId="21" xfId="0" applyFill="1" applyBorder="1"/>
    <xf numFmtId="0" fontId="0" fillId="99" borderId="37" xfId="0" applyFill="1" applyBorder="1"/>
    <xf numFmtId="0" fontId="0" fillId="6" borderId="62" xfId="0" applyFill="1" applyBorder="1"/>
    <xf numFmtId="171" fontId="15" fillId="7" borderId="5" xfId="0" applyNumberFormat="1" applyFont="1" applyFill="1" applyBorder="1"/>
    <xf numFmtId="0" fontId="24" fillId="0" borderId="0" xfId="2" applyBorder="1" applyAlignment="1">
      <alignment wrapText="1"/>
    </xf>
    <xf numFmtId="171" fontId="15" fillId="0" borderId="0" xfId="0" applyNumberFormat="1" applyFont="1"/>
    <xf numFmtId="0" fontId="15" fillId="0" borderId="0" xfId="0" applyFont="1" applyAlignment="1">
      <alignment horizontal="left"/>
    </xf>
    <xf numFmtId="172" fontId="15" fillId="17" borderId="8" xfId="0" applyNumberFormat="1" applyFont="1" applyFill="1" applyBorder="1"/>
    <xf numFmtId="0" fontId="0" fillId="101" borderId="0" xfId="0" applyFill="1"/>
    <xf numFmtId="0" fontId="0" fillId="0" borderId="0" xfId="0" applyAlignment="1">
      <alignment horizontal="center" vertical="center" wrapText="1"/>
    </xf>
    <xf numFmtId="0" fontId="0" fillId="0" borderId="0" xfId="0" applyAlignment="1">
      <alignment vertical="center"/>
    </xf>
    <xf numFmtId="0" fontId="0" fillId="4" borderId="0" xfId="0" applyFill="1"/>
    <xf numFmtId="0" fontId="133" fillId="8" borderId="0" xfId="0" applyFont="1" applyFill="1"/>
    <xf numFmtId="17" fontId="0" fillId="0" borderId="0" xfId="0" applyNumberFormat="1"/>
    <xf numFmtId="0" fontId="22" fillId="17" borderId="66" xfId="0" applyFont="1" applyFill="1" applyBorder="1" applyAlignment="1">
      <alignment horizontal="center"/>
    </xf>
    <xf numFmtId="0" fontId="22" fillId="11" borderId="66" xfId="0" applyFont="1" applyFill="1" applyBorder="1" applyAlignment="1">
      <alignment vertical="center"/>
    </xf>
    <xf numFmtId="166" fontId="22" fillId="0" borderId="66" xfId="0" applyNumberFormat="1" applyFont="1" applyBorder="1" applyAlignment="1">
      <alignment horizontal="center" vertical="center"/>
    </xf>
    <xf numFmtId="9" fontId="22" fillId="0" borderId="66" xfId="1" applyFont="1" applyBorder="1" applyAlignment="1">
      <alignment horizontal="center" vertical="center"/>
    </xf>
    <xf numFmtId="0" fontId="136" fillId="11" borderId="66" xfId="0" applyFont="1" applyFill="1" applyBorder="1"/>
    <xf numFmtId="9" fontId="136" fillId="0" borderId="66" xfId="1" applyFont="1" applyBorder="1" applyAlignment="1">
      <alignment horizontal="center" vertical="center"/>
    </xf>
    <xf numFmtId="0" fontId="22" fillId="11" borderId="66" xfId="0" applyFont="1" applyFill="1" applyBorder="1"/>
    <xf numFmtId="166" fontId="136" fillId="0" borderId="66" xfId="0" applyNumberFormat="1" applyFont="1" applyBorder="1" applyAlignment="1">
      <alignment horizontal="center" vertical="center"/>
    </xf>
    <xf numFmtId="0" fontId="0" fillId="0" borderId="71" xfId="0" applyBorder="1"/>
    <xf numFmtId="0" fontId="0" fillId="0" borderId="72" xfId="0" applyBorder="1"/>
    <xf numFmtId="0" fontId="0" fillId="0" borderId="73" xfId="0" applyBorder="1"/>
    <xf numFmtId="209" fontId="0" fillId="0" borderId="37" xfId="0" applyNumberFormat="1" applyBorder="1"/>
    <xf numFmtId="0" fontId="134" fillId="0" borderId="0" xfId="0" applyFont="1"/>
    <xf numFmtId="0" fontId="22" fillId="17" borderId="66" xfId="0" applyFont="1" applyFill="1" applyBorder="1"/>
    <xf numFmtId="0" fontId="22" fillId="17" borderId="66" xfId="0" applyFont="1" applyFill="1" applyBorder="1" applyAlignment="1">
      <alignment horizontal="center" vertical="center"/>
    </xf>
    <xf numFmtId="9" fontId="22" fillId="0" borderId="66" xfId="1" applyFont="1" applyBorder="1" applyAlignment="1">
      <alignment horizontal="center"/>
    </xf>
    <xf numFmtId="9" fontId="136" fillId="0" borderId="66" xfId="1" applyFont="1" applyBorder="1" applyAlignment="1">
      <alignment horizontal="center"/>
    </xf>
    <xf numFmtId="0" fontId="136" fillId="17" borderId="72" xfId="0" applyFont="1" applyFill="1" applyBorder="1" applyAlignment="1">
      <alignment vertical="center"/>
    </xf>
    <xf numFmtId="0" fontId="136" fillId="17" borderId="73" xfId="0" applyFont="1" applyFill="1" applyBorder="1" applyAlignment="1">
      <alignment vertical="center"/>
    </xf>
    <xf numFmtId="0" fontId="136" fillId="17" borderId="33" xfId="0" applyFont="1" applyFill="1" applyBorder="1" applyAlignment="1">
      <alignment vertical="center"/>
    </xf>
    <xf numFmtId="0" fontId="136" fillId="17" borderId="13" xfId="0" applyFont="1" applyFill="1" applyBorder="1" applyAlignment="1">
      <alignment vertical="center"/>
    </xf>
    <xf numFmtId="0" fontId="0" fillId="0" borderId="5" xfId="0" applyBorder="1" applyAlignment="1">
      <alignment wrapText="1"/>
    </xf>
    <xf numFmtId="0" fontId="0" fillId="0" borderId="0" xfId="0" applyAlignment="1">
      <alignment horizontal="left"/>
    </xf>
    <xf numFmtId="0" fontId="22" fillId="13" borderId="66" xfId="0" applyFont="1" applyFill="1" applyBorder="1" applyAlignment="1">
      <alignment horizontal="center" vertical="center" wrapText="1"/>
    </xf>
    <xf numFmtId="166" fontId="22" fillId="13" borderId="66" xfId="0" applyNumberFormat="1" applyFont="1" applyFill="1" applyBorder="1" applyAlignment="1">
      <alignment horizontal="center" vertical="center"/>
    </xf>
    <xf numFmtId="166" fontId="136" fillId="13" borderId="66" xfId="0" applyNumberFormat="1" applyFont="1" applyFill="1" applyBorder="1" applyAlignment="1">
      <alignment horizontal="center" vertical="center"/>
    </xf>
    <xf numFmtId="0" fontId="22" fillId="13" borderId="66" xfId="0" applyFont="1" applyFill="1" applyBorder="1" applyAlignment="1">
      <alignment horizontal="center" wrapText="1"/>
    </xf>
    <xf numFmtId="1" fontId="22" fillId="13" borderId="66" xfId="0" applyNumberFormat="1" applyFont="1" applyFill="1" applyBorder="1" applyAlignment="1">
      <alignment horizontal="center" vertical="center"/>
    </xf>
    <xf numFmtId="1" fontId="136" fillId="13" borderId="66" xfId="0" applyNumberFormat="1" applyFont="1" applyFill="1" applyBorder="1" applyAlignment="1">
      <alignment horizontal="center" vertical="center"/>
    </xf>
    <xf numFmtId="0" fontId="22" fillId="2" borderId="66" xfId="0" applyFont="1" applyFill="1" applyBorder="1" applyAlignment="1">
      <alignment horizontal="center" vertical="center" wrapText="1"/>
    </xf>
    <xf numFmtId="0" fontId="22" fillId="2" borderId="66" xfId="0" applyFont="1" applyFill="1" applyBorder="1" applyAlignment="1">
      <alignment horizontal="center" wrapText="1"/>
    </xf>
    <xf numFmtId="166" fontId="22" fillId="2" borderId="66" xfId="0" applyNumberFormat="1" applyFont="1" applyFill="1" applyBorder="1" applyAlignment="1">
      <alignment horizontal="center" vertical="center"/>
    </xf>
    <xf numFmtId="166" fontId="136" fillId="2" borderId="66" xfId="0" applyNumberFormat="1" applyFont="1" applyFill="1" applyBorder="1" applyAlignment="1">
      <alignment horizontal="center" vertical="center"/>
    </xf>
    <xf numFmtId="0" fontId="0" fillId="13" borderId="0" xfId="0" applyFill="1"/>
    <xf numFmtId="169" fontId="0" fillId="0" borderId="0" xfId="0" applyNumberFormat="1"/>
    <xf numFmtId="1" fontId="0" fillId="0" borderId="0" xfId="0" applyNumberFormat="1"/>
    <xf numFmtId="9" fontId="0" fillId="12" borderId="5" xfId="1" applyFont="1" applyFill="1" applyBorder="1"/>
    <xf numFmtId="0" fontId="15" fillId="12" borderId="5" xfId="0" applyFont="1" applyFill="1" applyBorder="1"/>
    <xf numFmtId="0" fontId="16" fillId="12" borderId="5" xfId="0" applyFont="1" applyFill="1" applyBorder="1"/>
    <xf numFmtId="15" fontId="15" fillId="3" borderId="5" xfId="0" applyNumberFormat="1" applyFont="1" applyFill="1" applyBorder="1" applyAlignment="1">
      <alignment horizontal="left"/>
    </xf>
    <xf numFmtId="172" fontId="15" fillId="21" borderId="8" xfId="0" applyNumberFormat="1" applyFont="1" applyFill="1" applyBorder="1"/>
    <xf numFmtId="171" fontId="15" fillId="21" borderId="8" xfId="0" applyNumberFormat="1" applyFont="1" applyFill="1" applyBorder="1"/>
    <xf numFmtId="0" fontId="15" fillId="21" borderId="5" xfId="0" applyFont="1" applyFill="1" applyBorder="1"/>
    <xf numFmtId="171" fontId="15" fillId="17" borderId="8" xfId="0" applyNumberFormat="1" applyFont="1" applyFill="1" applyBorder="1"/>
    <xf numFmtId="0" fontId="16" fillId="21" borderId="5" xfId="0" applyFont="1" applyFill="1" applyBorder="1" applyAlignment="1">
      <alignment horizontal="right" wrapText="1"/>
    </xf>
    <xf numFmtId="0" fontId="136" fillId="17" borderId="72" xfId="0" applyFont="1" applyFill="1" applyBorder="1" applyAlignment="1">
      <alignment horizontal="right" vertical="center"/>
    </xf>
    <xf numFmtId="0" fontId="136" fillId="17" borderId="33" xfId="0" applyFont="1" applyFill="1" applyBorder="1" applyAlignment="1">
      <alignment horizontal="right" vertical="center"/>
    </xf>
    <xf numFmtId="15" fontId="15" fillId="0" borderId="0" xfId="0" applyNumberFormat="1" applyFont="1" applyAlignment="1">
      <alignment horizontal="left"/>
    </xf>
    <xf numFmtId="15" fontId="16" fillId="17" borderId="5" xfId="0" applyNumberFormat="1" applyFont="1" applyFill="1" applyBorder="1" applyAlignment="1">
      <alignment horizontal="right" wrapText="1"/>
    </xf>
    <xf numFmtId="0" fontId="22" fillId="17" borderId="29" xfId="0" applyFont="1" applyFill="1" applyBorder="1" applyAlignment="1">
      <alignment horizontal="center" vertical="center"/>
    </xf>
    <xf numFmtId="0" fontId="22" fillId="13" borderId="67" xfId="0" applyFont="1" applyFill="1" applyBorder="1" applyAlignment="1">
      <alignment horizontal="center" vertical="center" wrapText="1"/>
    </xf>
    <xf numFmtId="0" fontId="22" fillId="13" borderId="29" xfId="0" applyFont="1" applyFill="1" applyBorder="1" applyAlignment="1">
      <alignment horizontal="center" wrapText="1"/>
    </xf>
    <xf numFmtId="1" fontId="22" fillId="13" borderId="5" xfId="0" applyNumberFormat="1" applyFont="1" applyFill="1" applyBorder="1" applyAlignment="1">
      <alignment horizontal="center" vertical="center"/>
    </xf>
    <xf numFmtId="1" fontId="136" fillId="13" borderId="5" xfId="0" applyNumberFormat="1" applyFont="1" applyFill="1" applyBorder="1" applyAlignment="1">
      <alignment horizontal="center" vertical="center"/>
    </xf>
    <xf numFmtId="0" fontId="22" fillId="13" borderId="29" xfId="0" applyFont="1" applyFill="1" applyBorder="1" applyAlignment="1">
      <alignment horizontal="center" vertical="center" wrapText="1"/>
    </xf>
    <xf numFmtId="166" fontId="22" fillId="13" borderId="5" xfId="0" applyNumberFormat="1" applyFont="1" applyFill="1" applyBorder="1" applyAlignment="1">
      <alignment horizontal="center" vertical="center"/>
    </xf>
    <xf numFmtId="166" fontId="136" fillId="13" borderId="5" xfId="0" applyNumberFormat="1" applyFont="1" applyFill="1" applyBorder="1" applyAlignment="1">
      <alignment horizontal="center" vertical="center"/>
    </xf>
    <xf numFmtId="166" fontId="22" fillId="2" borderId="5" xfId="0" applyNumberFormat="1" applyFont="1" applyFill="1" applyBorder="1" applyAlignment="1">
      <alignment horizontal="center" vertical="center"/>
    </xf>
    <xf numFmtId="166" fontId="136" fillId="2" borderId="5" xfId="0" applyNumberFormat="1" applyFont="1" applyFill="1" applyBorder="1" applyAlignment="1">
      <alignment horizontal="center" vertical="center"/>
    </xf>
    <xf numFmtId="0" fontId="0" fillId="0" borderId="0" xfId="0" applyAlignment="1">
      <alignment horizontal="right"/>
    </xf>
    <xf numFmtId="0" fontId="15" fillId="17" borderId="5" xfId="0" applyFont="1" applyFill="1" applyBorder="1" applyAlignment="1">
      <alignment horizontal="right" wrapText="1"/>
    </xf>
    <xf numFmtId="0" fontId="0" fillId="0" borderId="0" xfId="0" applyAlignment="1">
      <alignment vertical="center" wrapText="1"/>
    </xf>
    <xf numFmtId="171" fontId="15" fillId="0" borderId="5" xfId="0" applyNumberFormat="1" applyFont="1" applyBorder="1" applyAlignment="1">
      <alignment vertical="center"/>
    </xf>
    <xf numFmtId="172" fontId="15" fillId="0" borderId="5" xfId="0" applyNumberFormat="1" applyFont="1" applyBorder="1" applyAlignment="1">
      <alignment vertical="center"/>
    </xf>
    <xf numFmtId="0" fontId="0" fillId="103" borderId="5" xfId="0" applyFill="1" applyBorder="1"/>
    <xf numFmtId="172" fontId="15" fillId="103" borderId="5" xfId="0" applyNumberFormat="1" applyFont="1" applyFill="1" applyBorder="1"/>
    <xf numFmtId="10" fontId="3" fillId="13" borderId="5" xfId="0" applyNumberFormat="1" applyFont="1" applyFill="1" applyBorder="1" applyAlignment="1">
      <alignment horizontal="center"/>
    </xf>
    <xf numFmtId="172" fontId="136" fillId="0" borderId="5" xfId="0" applyNumberFormat="1" applyFont="1" applyBorder="1" applyAlignment="1">
      <alignment vertical="center"/>
    </xf>
    <xf numFmtId="171" fontId="15" fillId="103" borderId="5" xfId="0" applyNumberFormat="1" applyFont="1" applyFill="1" applyBorder="1"/>
    <xf numFmtId="171" fontId="136" fillId="0" borderId="5" xfId="0" applyNumberFormat="1" applyFont="1" applyBorder="1" applyAlignment="1">
      <alignment vertical="center"/>
    </xf>
    <xf numFmtId="0" fontId="136" fillId="14" borderId="33" xfId="0" applyFont="1" applyFill="1" applyBorder="1" applyAlignment="1">
      <alignment horizontal="center"/>
    </xf>
    <xf numFmtId="172" fontId="134" fillId="16" borderId="5" xfId="0" applyNumberFormat="1" applyFont="1" applyFill="1" applyBorder="1"/>
    <xf numFmtId="171" fontId="134" fillId="16" borderId="5" xfId="0" applyNumberFormat="1" applyFont="1" applyFill="1" applyBorder="1"/>
    <xf numFmtId="210" fontId="0" fillId="4" borderId="5" xfId="0" applyNumberFormat="1" applyFill="1" applyBorder="1" applyProtection="1">
      <protection locked="0"/>
    </xf>
    <xf numFmtId="0" fontId="0" fillId="16" borderId="0" xfId="0" applyFill="1"/>
    <xf numFmtId="0" fontId="0" fillId="23" borderId="0" xfId="0" applyFill="1"/>
    <xf numFmtId="0" fontId="0" fillId="0" borderId="5" xfId="0" applyBorder="1" applyAlignment="1">
      <alignment horizontal="left" wrapText="1"/>
    </xf>
    <xf numFmtId="0" fontId="0" fillId="23" borderId="5" xfId="0" applyFill="1" applyBorder="1"/>
    <xf numFmtId="168" fontId="15" fillId="0" borderId="5" xfId="1" applyNumberFormat="1" applyFont="1" applyBorder="1" applyAlignment="1">
      <alignment horizontal="right"/>
    </xf>
    <xf numFmtId="0" fontId="15" fillId="18" borderId="5" xfId="0" applyFont="1" applyFill="1" applyBorder="1" applyAlignment="1">
      <alignment horizontal="right" wrapText="1"/>
    </xf>
    <xf numFmtId="0" fontId="15" fillId="14" borderId="5" xfId="0" applyFont="1" applyFill="1" applyBorder="1"/>
    <xf numFmtId="0" fontId="15" fillId="17" borderId="5" xfId="0" applyFont="1" applyFill="1" applyBorder="1"/>
    <xf numFmtId="0" fontId="15" fillId="18" borderId="5" xfId="0" applyFont="1" applyFill="1" applyBorder="1"/>
    <xf numFmtId="0" fontId="16" fillId="17" borderId="5" xfId="0" applyFont="1" applyFill="1" applyBorder="1"/>
    <xf numFmtId="168" fontId="16" fillId="0" borderId="5" xfId="1" applyNumberFormat="1" applyFont="1" applyBorder="1" applyAlignment="1">
      <alignment horizontal="right"/>
    </xf>
    <xf numFmtId="0" fontId="16" fillId="18" borderId="5" xfId="0" applyFont="1" applyFill="1" applyBorder="1"/>
    <xf numFmtId="0" fontId="15" fillId="14" borderId="5" xfId="0" applyFont="1" applyFill="1" applyBorder="1" applyAlignment="1">
      <alignment horizontal="right"/>
    </xf>
    <xf numFmtId="171" fontId="15" fillId="5" borderId="5" xfId="0" applyNumberFormat="1" applyFont="1" applyFill="1" applyBorder="1"/>
    <xf numFmtId="172" fontId="15" fillId="5" borderId="5" xfId="0" applyNumberFormat="1" applyFont="1" applyFill="1" applyBorder="1"/>
    <xf numFmtId="171" fontId="16" fillId="5" borderId="5" xfId="0" applyNumberFormat="1" applyFont="1" applyFill="1" applyBorder="1"/>
    <xf numFmtId="172" fontId="16" fillId="5" borderId="5" xfId="0" applyNumberFormat="1" applyFont="1" applyFill="1" applyBorder="1"/>
    <xf numFmtId="172" fontId="15" fillId="11" borderId="5" xfId="0" applyNumberFormat="1" applyFont="1" applyFill="1" applyBorder="1"/>
    <xf numFmtId="171" fontId="15" fillId="11" borderId="5" xfId="0" applyNumberFormat="1" applyFont="1" applyFill="1" applyBorder="1"/>
    <xf numFmtId="172" fontId="16" fillId="11" borderId="5" xfId="0" applyNumberFormat="1" applyFont="1" applyFill="1" applyBorder="1"/>
    <xf numFmtId="171" fontId="16" fillId="11" borderId="5" xfId="0" applyNumberFormat="1" applyFont="1" applyFill="1" applyBorder="1"/>
    <xf numFmtId="171" fontId="15" fillId="5" borderId="5" xfId="0" applyNumberFormat="1" applyFont="1" applyFill="1" applyBorder="1" applyAlignment="1">
      <alignment horizontal="right"/>
    </xf>
    <xf numFmtId="171" fontId="16" fillId="5" borderId="5" xfId="0" applyNumberFormat="1" applyFont="1" applyFill="1" applyBorder="1" applyAlignment="1">
      <alignment horizontal="right"/>
    </xf>
    <xf numFmtId="171" fontId="15" fillId="11" borderId="5" xfId="0" applyNumberFormat="1" applyFont="1" applyFill="1" applyBorder="1" applyAlignment="1">
      <alignment horizontal="right"/>
    </xf>
    <xf numFmtId="171" fontId="16" fillId="11" borderId="5" xfId="0" applyNumberFormat="1" applyFont="1" applyFill="1" applyBorder="1" applyAlignment="1">
      <alignment horizontal="right"/>
    </xf>
    <xf numFmtId="0" fontId="16" fillId="14" borderId="5" xfId="0" applyFont="1" applyFill="1" applyBorder="1"/>
    <xf numFmtId="0" fontId="0" fillId="2" borderId="0" xfId="0" applyFill="1"/>
    <xf numFmtId="0" fontId="0" fillId="2" borderId="34" xfId="0" applyFill="1" applyBorder="1"/>
    <xf numFmtId="0" fontId="130" fillId="0" borderId="0" xfId="0" applyFont="1"/>
    <xf numFmtId="15" fontId="0" fillId="0" borderId="5" xfId="0" applyNumberFormat="1" applyBorder="1" applyAlignment="1">
      <alignment wrapText="1"/>
    </xf>
    <xf numFmtId="0" fontId="140" fillId="0" borderId="0" xfId="2" applyFont="1"/>
    <xf numFmtId="1" fontId="0" fillId="0" borderId="5" xfId="0" applyNumberFormat="1" applyBorder="1"/>
    <xf numFmtId="1" fontId="0" fillId="0" borderId="0" xfId="0" applyNumberFormat="1" applyAlignment="1">
      <alignment horizontal="center" vertical="center"/>
    </xf>
    <xf numFmtId="0" fontId="0" fillId="0" borderId="0" xfId="0" applyAlignment="1">
      <alignment horizontal="center" vertical="center"/>
    </xf>
    <xf numFmtId="0" fontId="133" fillId="0" borderId="0" xfId="0" applyFont="1" applyAlignment="1">
      <alignment horizontal="center" vertical="center"/>
    </xf>
    <xf numFmtId="0" fontId="3" fillId="0" borderId="5" xfId="0" applyFont="1" applyBorder="1" applyAlignment="1">
      <alignment horizontal="center" vertical="center"/>
    </xf>
    <xf numFmtId="0" fontId="0" fillId="0" borderId="5" xfId="0" applyBorder="1" applyAlignment="1" applyProtection="1">
      <alignment horizontal="center" vertical="center"/>
      <protection locked="0"/>
    </xf>
    <xf numFmtId="166" fontId="0" fillId="0" borderId="0" xfId="0" applyNumberFormat="1" applyAlignment="1">
      <alignment horizontal="center"/>
    </xf>
    <xf numFmtId="0" fontId="3" fillId="12" borderId="5" xfId="0" applyFont="1" applyFill="1" applyBorder="1"/>
    <xf numFmtId="0" fontId="0" fillId="0" borderId="1" xfId="0" applyBorder="1"/>
    <xf numFmtId="0" fontId="0" fillId="0" borderId="2" xfId="0" applyBorder="1"/>
    <xf numFmtId="0" fontId="0" fillId="0" borderId="3" xfId="0" applyBorder="1"/>
    <xf numFmtId="0" fontId="0" fillId="0" borderId="6" xfId="0" applyBorder="1"/>
    <xf numFmtId="0" fontId="0" fillId="0" borderId="7" xfId="0" applyBorder="1"/>
    <xf numFmtId="0" fontId="0" fillId="0" borderId="18" xfId="0" applyBorder="1"/>
    <xf numFmtId="0" fontId="0" fillId="0" borderId="19" xfId="0" applyBorder="1"/>
    <xf numFmtId="0" fontId="0" fillId="0" borderId="20" xfId="0" applyBorder="1"/>
    <xf numFmtId="0" fontId="3" fillId="4" borderId="5" xfId="0" applyFont="1" applyFill="1" applyBorder="1" applyProtection="1">
      <protection locked="0"/>
    </xf>
    <xf numFmtId="15" fontId="0" fillId="0" borderId="5" xfId="0" applyNumberFormat="1" applyBorder="1" applyProtection="1">
      <protection locked="0"/>
    </xf>
    <xf numFmtId="172" fontId="16" fillId="0" borderId="5" xfId="0" applyNumberFormat="1" applyFont="1" applyBorder="1" applyAlignment="1">
      <alignment horizontal="center" vertical="center"/>
    </xf>
    <xf numFmtId="171" fontId="16" fillId="0" borderId="5" xfId="0" applyNumberFormat="1" applyFont="1" applyBorder="1" applyAlignment="1">
      <alignment vertical="center"/>
    </xf>
    <xf numFmtId="15" fontId="3" fillId="0" borderId="0" xfId="0" applyNumberFormat="1" applyFont="1" applyAlignment="1">
      <alignment vertical="center"/>
    </xf>
    <xf numFmtId="172" fontId="15" fillId="0" borderId="77" xfId="0" applyNumberFormat="1" applyFont="1" applyBorder="1"/>
    <xf numFmtId="172" fontId="15" fillId="7" borderId="77" xfId="0" applyNumberFormat="1" applyFont="1" applyFill="1" applyBorder="1"/>
    <xf numFmtId="172" fontId="15" fillId="6" borderId="77" xfId="0" applyNumberFormat="1" applyFont="1" applyFill="1" applyBorder="1"/>
    <xf numFmtId="171" fontId="15" fillId="0" borderId="77" xfId="0" applyNumberFormat="1" applyFont="1" applyBorder="1"/>
    <xf numFmtId="171" fontId="15" fillId="6" borderId="77" xfId="0" applyNumberFormat="1" applyFont="1" applyFill="1" applyBorder="1"/>
    <xf numFmtId="15" fontId="0" fillId="0" borderId="35" xfId="0" applyNumberFormat="1" applyBorder="1"/>
    <xf numFmtId="15" fontId="0" fillId="0" borderId="37" xfId="0" applyNumberFormat="1" applyBorder="1"/>
    <xf numFmtId="0" fontId="0" fillId="0" borderId="25" xfId="0" applyBorder="1"/>
    <xf numFmtId="15" fontId="0" fillId="0" borderId="34" xfId="0" applyNumberFormat="1" applyBorder="1"/>
    <xf numFmtId="15" fontId="0" fillId="23" borderId="5" xfId="0" applyNumberFormat="1" applyFill="1" applyBorder="1"/>
    <xf numFmtId="0" fontId="0" fillId="23" borderId="4" xfId="0" applyFill="1" applyBorder="1"/>
    <xf numFmtId="0" fontId="0" fillId="17" borderId="0" xfId="0" applyFill="1"/>
    <xf numFmtId="0" fontId="143" fillId="22" borderId="0" xfId="0" applyFont="1" applyFill="1"/>
    <xf numFmtId="0" fontId="134" fillId="22" borderId="0" xfId="0" applyFont="1" applyFill="1"/>
    <xf numFmtId="0" fontId="4" fillId="2" borderId="1" xfId="0" applyFont="1" applyFill="1" applyBorder="1"/>
    <xf numFmtId="0" fontId="4" fillId="2" borderId="2" xfId="0" applyFont="1" applyFill="1" applyBorder="1"/>
    <xf numFmtId="0" fontId="144" fillId="22" borderId="2" xfId="0" applyFont="1" applyFill="1" applyBorder="1"/>
    <xf numFmtId="0" fontId="146" fillId="22" borderId="2" xfId="0" applyFont="1" applyFill="1" applyBorder="1"/>
    <xf numFmtId="0" fontId="125" fillId="2" borderId="0" xfId="0" applyFont="1" applyFill="1"/>
    <xf numFmtId="0" fontId="125" fillId="2" borderId="1" xfId="0" applyFont="1" applyFill="1" applyBorder="1"/>
    <xf numFmtId="0" fontId="125" fillId="2" borderId="2" xfId="0" applyFont="1" applyFill="1" applyBorder="1"/>
    <xf numFmtId="0" fontId="144" fillId="22" borderId="0" xfId="0" applyFont="1" applyFill="1"/>
    <xf numFmtId="0" fontId="141" fillId="22" borderId="0" xfId="0" applyFont="1" applyFill="1"/>
    <xf numFmtId="0" fontId="147" fillId="22" borderId="0" xfId="0" applyFont="1" applyFill="1"/>
    <xf numFmtId="0" fontId="134" fillId="22" borderId="4" xfId="0" applyFont="1" applyFill="1" applyBorder="1"/>
    <xf numFmtId="0" fontId="134" fillId="22" borderId="37" xfId="0" applyFont="1" applyFill="1" applyBorder="1"/>
    <xf numFmtId="0" fontId="134" fillId="22" borderId="5" xfId="0" applyFont="1" applyFill="1" applyBorder="1"/>
    <xf numFmtId="15" fontId="0" fillId="0" borderId="0" xfId="0" applyNumberFormat="1" applyAlignment="1">
      <alignment horizontal="left"/>
    </xf>
    <xf numFmtId="1" fontId="0" fillId="17" borderId="5" xfId="0" applyNumberFormat="1" applyFill="1" applyBorder="1"/>
    <xf numFmtId="166" fontId="0" fillId="17" borderId="0" xfId="0" applyNumberFormat="1" applyFill="1"/>
    <xf numFmtId="211" fontId="0" fillId="0" borderId="5" xfId="0" applyNumberFormat="1" applyBorder="1"/>
    <xf numFmtId="0" fontId="3" fillId="3" borderId="0" xfId="0" applyFont="1" applyFill="1"/>
    <xf numFmtId="15" fontId="134" fillId="22" borderId="0" xfId="0" applyNumberFormat="1" applyFont="1" applyFill="1"/>
    <xf numFmtId="0" fontId="134" fillId="23" borderId="5" xfId="0" applyFont="1" applyFill="1" applyBorder="1"/>
    <xf numFmtId="1" fontId="127" fillId="0" borderId="0" xfId="0" applyNumberFormat="1" applyFont="1" applyAlignment="1" applyProtection="1">
      <alignment horizontal="right" vertical="top" wrapText="1"/>
      <protection locked="0"/>
    </xf>
    <xf numFmtId="0" fontId="136" fillId="0" borderId="0" xfId="0" applyFont="1"/>
    <xf numFmtId="0" fontId="134" fillId="23" borderId="0" xfId="0" applyFont="1" applyFill="1"/>
    <xf numFmtId="0" fontId="147" fillId="0" borderId="0" xfId="0" applyFont="1"/>
    <xf numFmtId="0" fontId="134" fillId="105" borderId="0" xfId="0" applyFont="1" applyFill="1"/>
    <xf numFmtId="0" fontId="16" fillId="105" borderId="0" xfId="0" applyFont="1" applyFill="1"/>
    <xf numFmtId="0" fontId="3" fillId="105" borderId="0" xfId="0" applyFont="1" applyFill="1"/>
    <xf numFmtId="0" fontId="148" fillId="25" borderId="0" xfId="0" applyFont="1" applyFill="1"/>
    <xf numFmtId="0" fontId="3" fillId="15" borderId="0" xfId="0" applyFont="1" applyFill="1"/>
    <xf numFmtId="0" fontId="141" fillId="23" borderId="0" xfId="0" applyFont="1" applyFill="1"/>
    <xf numFmtId="0" fontId="136" fillId="23" borderId="0" xfId="0" applyFont="1" applyFill="1"/>
    <xf numFmtId="0" fontId="136" fillId="0" borderId="0" xfId="0" applyFont="1" applyAlignment="1">
      <alignment horizontal="right"/>
    </xf>
    <xf numFmtId="15" fontId="15" fillId="0" borderId="0" xfId="0" applyNumberFormat="1" applyFont="1" applyAlignment="1">
      <alignment horizontal="right"/>
    </xf>
    <xf numFmtId="0" fontId="0" fillId="102" borderId="0" xfId="0" applyFill="1"/>
    <xf numFmtId="0" fontId="149" fillId="0" borderId="0" xfId="0" applyFont="1"/>
    <xf numFmtId="1" fontId="0" fillId="2" borderId="5" xfId="0" applyNumberFormat="1" applyFill="1" applyBorder="1"/>
    <xf numFmtId="166" fontId="0" fillId="2" borderId="5" xfId="0" applyNumberFormat="1" applyFill="1" applyBorder="1"/>
    <xf numFmtId="1" fontId="3" fillId="2" borderId="0" xfId="0" applyNumberFormat="1" applyFont="1" applyFill="1"/>
    <xf numFmtId="166" fontId="3" fillId="2" borderId="0" xfId="0" applyNumberFormat="1" applyFont="1" applyFill="1"/>
    <xf numFmtId="1" fontId="0" fillId="25" borderId="5" xfId="0" applyNumberFormat="1" applyFill="1" applyBorder="1"/>
    <xf numFmtId="2" fontId="0" fillId="25" borderId="5" xfId="0" applyNumberFormat="1" applyFill="1" applyBorder="1"/>
    <xf numFmtId="1" fontId="3" fillId="0" borderId="0" xfId="0" applyNumberFormat="1" applyFont="1"/>
    <xf numFmtId="166" fontId="3" fillId="0" borderId="0" xfId="0" applyNumberFormat="1" applyFont="1"/>
    <xf numFmtId="0" fontId="0" fillId="6" borderId="1" xfId="0" applyFill="1" applyBorder="1"/>
    <xf numFmtId="0" fontId="0" fillId="6" borderId="2" xfId="0" applyFill="1" applyBorder="1"/>
    <xf numFmtId="0" fontId="0" fillId="6" borderId="3" xfId="0" applyFill="1" applyBorder="1"/>
    <xf numFmtId="0" fontId="0" fillId="6" borderId="6" xfId="0" applyFill="1" applyBorder="1"/>
    <xf numFmtId="0" fontId="20" fillId="6" borderId="0" xfId="0" applyFont="1" applyFill="1"/>
    <xf numFmtId="0" fontId="0" fillId="6" borderId="7" xfId="0" applyFill="1" applyBorder="1"/>
    <xf numFmtId="15" fontId="0" fillId="6" borderId="15" xfId="0" applyNumberFormat="1" applyFill="1" applyBorder="1"/>
    <xf numFmtId="0" fontId="0" fillId="6" borderId="5" xfId="0" applyFill="1" applyBorder="1"/>
    <xf numFmtId="0" fontId="0" fillId="6" borderId="19" xfId="0" applyFill="1" applyBorder="1"/>
    <xf numFmtId="0" fontId="0" fillId="6" borderId="20" xfId="0" applyFill="1" applyBorder="1"/>
    <xf numFmtId="0" fontId="150" fillId="6" borderId="0" xfId="0" applyFont="1" applyFill="1"/>
    <xf numFmtId="0" fontId="0" fillId="0" borderId="0" xfId="0" applyAlignment="1">
      <alignment vertical="top"/>
    </xf>
    <xf numFmtId="0" fontId="151" fillId="0" borderId="0" xfId="0" applyFont="1"/>
    <xf numFmtId="0" fontId="152" fillId="23" borderId="0" xfId="0" applyFont="1" applyFill="1"/>
    <xf numFmtId="14" fontId="0" fillId="0" borderId="0" xfId="0" applyNumberFormat="1"/>
    <xf numFmtId="0" fontId="0" fillId="23" borderId="1" xfId="0" applyFill="1" applyBorder="1"/>
    <xf numFmtId="0" fontId="0" fillId="23" borderId="6" xfId="0" applyFill="1" applyBorder="1"/>
    <xf numFmtId="0" fontId="0" fillId="23" borderId="18" xfId="0" applyFill="1" applyBorder="1"/>
    <xf numFmtId="0" fontId="0" fillId="4" borderId="1" xfId="0" applyFill="1" applyBorder="1"/>
    <xf numFmtId="0" fontId="0" fillId="4" borderId="6" xfId="0" applyFill="1" applyBorder="1"/>
    <xf numFmtId="0" fontId="0" fillId="4" borderId="18" xfId="0" applyFill="1" applyBorder="1"/>
    <xf numFmtId="0" fontId="0" fillId="12" borderId="1" xfId="0" applyFill="1" applyBorder="1"/>
    <xf numFmtId="0" fontId="0" fillId="12" borderId="6" xfId="0" applyFill="1" applyBorder="1"/>
    <xf numFmtId="0" fontId="0" fillId="12" borderId="0" xfId="0" applyFill="1"/>
    <xf numFmtId="0" fontId="0" fillId="12" borderId="18" xfId="0" applyFill="1" applyBorder="1"/>
    <xf numFmtId="166" fontId="0" fillId="97" borderId="0" xfId="0" applyNumberFormat="1" applyFill="1"/>
    <xf numFmtId="0" fontId="0" fillId="3" borderId="0" xfId="0" applyFill="1" applyProtection="1">
      <protection locked="0"/>
    </xf>
    <xf numFmtId="171" fontId="15" fillId="0" borderId="84" xfId="0" applyNumberFormat="1" applyFont="1" applyBorder="1"/>
    <xf numFmtId="0" fontId="0" fillId="11" borderId="77" xfId="0" applyFill="1" applyBorder="1"/>
    <xf numFmtId="1" fontId="22" fillId="11" borderId="77" xfId="0" applyNumberFormat="1" applyFont="1" applyFill="1" applyBorder="1"/>
    <xf numFmtId="15" fontId="136" fillId="17" borderId="77" xfId="0" applyNumberFormat="1" applyFont="1" applyFill="1" applyBorder="1" applyAlignment="1">
      <alignment horizontal="center" vertical="center" wrapText="1"/>
    </xf>
    <xf numFmtId="0" fontId="0" fillId="22" borderId="0" xfId="0" applyFill="1"/>
    <xf numFmtId="166" fontId="168" fillId="99" borderId="5" xfId="0" applyNumberFormat="1" applyFont="1" applyFill="1" applyBorder="1" applyAlignment="1" applyProtection="1">
      <alignment horizontal="right" vertical="top" wrapText="1"/>
      <protection locked="0"/>
    </xf>
    <xf numFmtId="171" fontId="15" fillId="7" borderId="77" xfId="0" applyNumberFormat="1" applyFont="1" applyFill="1" applyBorder="1"/>
    <xf numFmtId="0" fontId="169" fillId="17" borderId="0" xfId="0" applyFont="1" applyFill="1" applyAlignment="1">
      <alignment vertical="center"/>
    </xf>
    <xf numFmtId="171" fontId="15" fillId="101" borderId="77" xfId="0" applyNumberFormat="1" applyFont="1" applyFill="1" applyBorder="1"/>
    <xf numFmtId="0" fontId="170" fillId="0" borderId="1" xfId="0" applyFont="1" applyBorder="1"/>
    <xf numFmtId="166" fontId="22" fillId="0" borderId="91" xfId="0" applyNumberFormat="1" applyFont="1" applyBorder="1"/>
    <xf numFmtId="166" fontId="136" fillId="104" borderId="91" xfId="0" applyNumberFormat="1" applyFont="1" applyFill="1" applyBorder="1"/>
    <xf numFmtId="0" fontId="0" fillId="7" borderId="5" xfId="0" applyFill="1" applyBorder="1"/>
    <xf numFmtId="1" fontId="0" fillId="7" borderId="5" xfId="0" applyNumberFormat="1" applyFill="1" applyBorder="1"/>
    <xf numFmtId="0" fontId="0" fillId="7" borderId="35" xfId="0" applyFill="1" applyBorder="1"/>
    <xf numFmtId="166" fontId="0" fillId="7" borderId="0" xfId="0" applyNumberFormat="1" applyFill="1"/>
    <xf numFmtId="0" fontId="21" fillId="24" borderId="85" xfId="0" applyFont="1" applyFill="1" applyBorder="1" applyAlignment="1">
      <alignment vertical="center"/>
    </xf>
    <xf numFmtId="0" fontId="15" fillId="11" borderId="85" xfId="0" applyFont="1" applyFill="1" applyBorder="1"/>
    <xf numFmtId="0" fontId="0" fillId="0" borderId="77" xfId="0" applyBorder="1"/>
    <xf numFmtId="2" fontId="0" fillId="0" borderId="77" xfId="0" applyNumberFormat="1" applyBorder="1"/>
    <xf numFmtId="1" fontId="0" fillId="0" borderId="77" xfId="0" applyNumberFormat="1" applyBorder="1"/>
    <xf numFmtId="166" fontId="0" fillId="0" borderId="77" xfId="0" applyNumberFormat="1" applyBorder="1"/>
    <xf numFmtId="0" fontId="0" fillId="0" borderId="91" xfId="0" applyBorder="1"/>
    <xf numFmtId="0" fontId="0" fillId="0" borderId="94" xfId="0" applyBorder="1"/>
    <xf numFmtId="166" fontId="0" fillId="0" borderId="92" xfId="0" applyNumberFormat="1" applyBorder="1"/>
    <xf numFmtId="166" fontId="0" fillId="0" borderId="93" xfId="0" applyNumberFormat="1" applyBorder="1"/>
    <xf numFmtId="1" fontId="0" fillId="0" borderId="92" xfId="0" applyNumberFormat="1" applyBorder="1"/>
    <xf numFmtId="1" fontId="0" fillId="0" borderId="93" xfId="0" applyNumberFormat="1" applyBorder="1"/>
    <xf numFmtId="0" fontId="0" fillId="0" borderId="92" xfId="0" applyBorder="1"/>
    <xf numFmtId="1" fontId="22" fillId="22" borderId="77" xfId="0" applyNumberFormat="1" applyFont="1" applyFill="1" applyBorder="1"/>
    <xf numFmtId="0" fontId="22" fillId="22" borderId="77" xfId="0" applyFont="1" applyFill="1" applyBorder="1" applyAlignment="1">
      <alignment horizontal="center"/>
    </xf>
    <xf numFmtId="1" fontId="22" fillId="104" borderId="29" xfId="0" applyNumberFormat="1" applyFont="1" applyFill="1" applyBorder="1"/>
    <xf numFmtId="1" fontId="22" fillId="104" borderId="77" xfId="0" applyNumberFormat="1" applyFont="1" applyFill="1" applyBorder="1"/>
    <xf numFmtId="0" fontId="22" fillId="4" borderId="77" xfId="0" applyFont="1" applyFill="1" applyBorder="1" applyAlignment="1">
      <alignment horizontal="center"/>
    </xf>
    <xf numFmtId="166" fontId="22" fillId="22" borderId="77" xfId="0" applyNumberFormat="1" applyFont="1" applyFill="1" applyBorder="1"/>
    <xf numFmtId="166" fontId="22" fillId="104" borderId="77" xfId="0" applyNumberFormat="1" applyFont="1" applyFill="1" applyBorder="1"/>
    <xf numFmtId="0" fontId="136" fillId="104" borderId="38" xfId="0" applyFont="1" applyFill="1" applyBorder="1" applyAlignment="1">
      <alignment horizontal="center"/>
    </xf>
    <xf numFmtId="0" fontId="136" fillId="104" borderId="33" xfId="0" applyFont="1" applyFill="1" applyBorder="1" applyAlignment="1">
      <alignment horizontal="center"/>
    </xf>
    <xf numFmtId="0" fontId="136" fillId="104" borderId="13" xfId="0" applyFont="1" applyFill="1" applyBorder="1" applyAlignment="1">
      <alignment horizontal="center"/>
    </xf>
    <xf numFmtId="0" fontId="18" fillId="0" borderId="0" xfId="0" applyFont="1" applyAlignment="1">
      <alignment vertical="center"/>
    </xf>
    <xf numFmtId="172" fontId="0" fillId="25" borderId="77" xfId="0" applyNumberFormat="1" applyFill="1" applyBorder="1" applyAlignment="1">
      <alignment horizontal="center"/>
    </xf>
    <xf numFmtId="172" fontId="0" fillId="25" borderId="77" xfId="0" applyNumberFormat="1" applyFill="1" applyBorder="1"/>
    <xf numFmtId="171" fontId="0" fillId="25" borderId="77" xfId="0" applyNumberFormat="1" applyFill="1" applyBorder="1"/>
    <xf numFmtId="0" fontId="16" fillId="4" borderId="77" xfId="0" applyFont="1" applyFill="1" applyBorder="1" applyAlignment="1">
      <alignment vertical="center"/>
    </xf>
    <xf numFmtId="0" fontId="18" fillId="0" borderId="35" xfId="0" applyFont="1" applyBorder="1" applyAlignment="1">
      <alignment vertical="center"/>
    </xf>
    <xf numFmtId="0" fontId="18" fillId="0" borderId="37" xfId="0" applyFont="1" applyBorder="1" applyAlignment="1">
      <alignment vertical="center"/>
    </xf>
    <xf numFmtId="0" fontId="171" fillId="0" borderId="0" xfId="0" applyFont="1" applyAlignment="1">
      <alignment horizontal="center"/>
    </xf>
    <xf numFmtId="166" fontId="22" fillId="4" borderId="91" xfId="0" applyNumberFormat="1" applyFont="1" applyFill="1" applyBorder="1"/>
    <xf numFmtId="166" fontId="22" fillId="104" borderId="91" xfId="0" applyNumberFormat="1" applyFont="1" applyFill="1" applyBorder="1"/>
    <xf numFmtId="166" fontId="136" fillId="4" borderId="91" xfId="0" applyNumberFormat="1" applyFont="1" applyFill="1" applyBorder="1"/>
    <xf numFmtId="0" fontId="172" fillId="0" borderId="0" xfId="0" applyFont="1" applyAlignment="1">
      <alignment horizontal="center"/>
    </xf>
    <xf numFmtId="0" fontId="136" fillId="4" borderId="91" xfId="0" applyFont="1" applyFill="1" applyBorder="1" applyAlignment="1">
      <alignment horizontal="center" wrapText="1"/>
    </xf>
    <xf numFmtId="0" fontId="136" fillId="104" borderId="91" xfId="0" applyFont="1" applyFill="1" applyBorder="1" applyAlignment="1">
      <alignment horizontal="center" wrapText="1"/>
    </xf>
    <xf numFmtId="0" fontId="136" fillId="11" borderId="94" xfId="0" applyFont="1" applyFill="1" applyBorder="1"/>
    <xf numFmtId="0" fontId="136" fillId="11" borderId="91" xfId="0" applyFont="1" applyFill="1" applyBorder="1"/>
    <xf numFmtId="0" fontId="136" fillId="137" borderId="77" xfId="0" applyFont="1" applyFill="1" applyBorder="1" applyAlignment="1">
      <alignment wrapText="1"/>
    </xf>
    <xf numFmtId="0" fontId="136" fillId="11" borderId="35" xfId="0" applyFont="1" applyFill="1" applyBorder="1"/>
    <xf numFmtId="0" fontId="136" fillId="137" borderId="94" xfId="0" applyFont="1" applyFill="1" applyBorder="1"/>
    <xf numFmtId="0" fontId="136" fillId="137" borderId="91" xfId="0" applyFont="1" applyFill="1" applyBorder="1"/>
    <xf numFmtId="0" fontId="3" fillId="11" borderId="94" xfId="0" applyFont="1" applyFill="1" applyBorder="1"/>
    <xf numFmtId="0" fontId="3" fillId="11" borderId="93" xfId="0" applyFont="1" applyFill="1" applyBorder="1"/>
    <xf numFmtId="0" fontId="3" fillId="11" borderId="71" xfId="0" applyFont="1" applyFill="1" applyBorder="1" applyAlignment="1">
      <alignment vertical="center"/>
    </xf>
    <xf numFmtId="0" fontId="3" fillId="11" borderId="73" xfId="0" applyFont="1" applyFill="1" applyBorder="1" applyAlignment="1">
      <alignment vertical="center"/>
    </xf>
    <xf numFmtId="0" fontId="3" fillId="11" borderId="0" xfId="0" applyFont="1" applyFill="1"/>
    <xf numFmtId="15" fontId="3" fillId="3" borderId="77" xfId="0" applyNumberFormat="1" applyFont="1" applyFill="1" applyBorder="1"/>
    <xf numFmtId="0" fontId="0" fillId="3" borderId="0" xfId="0" applyFill="1"/>
    <xf numFmtId="0" fontId="3" fillId="3" borderId="94" xfId="0" applyFont="1" applyFill="1" applyBorder="1" applyAlignment="1">
      <alignment vertical="center"/>
    </xf>
    <xf numFmtId="0" fontId="3" fillId="3" borderId="93" xfId="0" applyFont="1" applyFill="1" applyBorder="1"/>
    <xf numFmtId="15" fontId="3" fillId="3" borderId="29" xfId="0" applyNumberFormat="1" applyFont="1" applyFill="1" applyBorder="1" applyAlignment="1">
      <alignment vertical="center"/>
    </xf>
    <xf numFmtId="166" fontId="169" fillId="22" borderId="77" xfId="0" applyNumberFormat="1" applyFont="1" applyFill="1" applyBorder="1"/>
    <xf numFmtId="0" fontId="22" fillId="22" borderId="77" xfId="0" applyFont="1" applyFill="1" applyBorder="1"/>
    <xf numFmtId="166" fontId="169" fillId="25" borderId="77" xfId="0" applyNumberFormat="1" applyFont="1" applyFill="1" applyBorder="1"/>
    <xf numFmtId="166" fontId="174" fillId="99" borderId="5" xfId="0" applyNumberFormat="1" applyFont="1" applyFill="1" applyBorder="1" applyAlignment="1" applyProtection="1">
      <alignment horizontal="right" vertical="top" wrapText="1"/>
      <protection locked="0"/>
    </xf>
    <xf numFmtId="166" fontId="169" fillId="7" borderId="77" xfId="0" applyNumberFormat="1" applyFont="1" applyFill="1" applyBorder="1"/>
    <xf numFmtId="166" fontId="136" fillId="104" borderId="35" xfId="0" applyNumberFormat="1" applyFont="1" applyFill="1" applyBorder="1" applyAlignment="1">
      <alignment horizontal="center"/>
    </xf>
    <xf numFmtId="166" fontId="136" fillId="104" borderId="0" xfId="0" applyNumberFormat="1" applyFont="1" applyFill="1" applyAlignment="1">
      <alignment horizontal="center"/>
    </xf>
    <xf numFmtId="166" fontId="136" fillId="104" borderId="37" xfId="0" applyNumberFormat="1" applyFont="1" applyFill="1" applyBorder="1" applyAlignment="1">
      <alignment horizontal="center"/>
    </xf>
    <xf numFmtId="0" fontId="176" fillId="0" borderId="0" xfId="0" applyFont="1"/>
    <xf numFmtId="0" fontId="0" fillId="17" borderId="3" xfId="0" applyFill="1" applyBorder="1"/>
    <xf numFmtId="0" fontId="0" fillId="17" borderId="7" xfId="0" applyFill="1" applyBorder="1"/>
    <xf numFmtId="166" fontId="0" fillId="0" borderId="6" xfId="0" applyNumberFormat="1" applyBorder="1"/>
    <xf numFmtId="166" fontId="0" fillId="0" borderId="7" xfId="0" applyNumberFormat="1" applyBorder="1"/>
    <xf numFmtId="166" fontId="0" fillId="0" borderId="18" xfId="0" applyNumberFormat="1" applyBorder="1"/>
    <xf numFmtId="166" fontId="0" fillId="0" borderId="19" xfId="0" applyNumberFormat="1" applyBorder="1"/>
    <xf numFmtId="166" fontId="0" fillId="0" borderId="20" xfId="0" applyNumberFormat="1" applyBorder="1"/>
    <xf numFmtId="0" fontId="16" fillId="11" borderId="77" xfId="0" applyFont="1" applyFill="1" applyBorder="1"/>
    <xf numFmtId="0" fontId="16" fillId="0" borderId="77" xfId="0" applyFont="1" applyBorder="1"/>
    <xf numFmtId="0" fontId="15" fillId="11" borderId="77" xfId="0" applyFont="1" applyFill="1" applyBorder="1"/>
    <xf numFmtId="166" fontId="15" fillId="0" borderId="77" xfId="0" applyNumberFormat="1" applyFont="1" applyBorder="1"/>
    <xf numFmtId="9" fontId="15" fillId="0" borderId="77" xfId="1" applyFont="1" applyBorder="1"/>
    <xf numFmtId="166" fontId="22" fillId="0" borderId="77" xfId="0" applyNumberFormat="1" applyFont="1" applyBorder="1" applyAlignment="1">
      <alignment horizontal="center"/>
    </xf>
    <xf numFmtId="0" fontId="16" fillId="11" borderId="77" xfId="0" applyFont="1" applyFill="1" applyBorder="1" applyAlignment="1">
      <alignment horizontal="center" vertical="center"/>
    </xf>
    <xf numFmtId="172" fontId="15" fillId="0" borderId="91" xfId="0" applyNumberFormat="1" applyFont="1" applyBorder="1"/>
    <xf numFmtId="172" fontId="15" fillId="7" borderId="91" xfId="0" applyNumberFormat="1" applyFont="1" applyFill="1" applyBorder="1"/>
    <xf numFmtId="171" fontId="15" fillId="101" borderId="91" xfId="0" applyNumberFormat="1" applyFont="1" applyFill="1" applyBorder="1"/>
    <xf numFmtId="171" fontId="15" fillId="0" borderId="91" xfId="0" applyNumberFormat="1" applyFont="1" applyBorder="1"/>
    <xf numFmtId="15" fontId="0" fillId="0" borderId="77" xfId="0" applyNumberFormat="1" applyBorder="1"/>
    <xf numFmtId="0" fontId="0" fillId="138" borderId="0" xfId="0" applyFill="1"/>
    <xf numFmtId="0" fontId="178" fillId="0" borderId="0" xfId="0" applyFont="1"/>
    <xf numFmtId="0" fontId="136" fillId="17" borderId="0" xfId="0" applyFont="1" applyFill="1"/>
    <xf numFmtId="0" fontId="179" fillId="17" borderId="0" xfId="0" applyFont="1" applyFill="1"/>
    <xf numFmtId="0" fontId="180" fillId="0" borderId="0" xfId="2" applyFont="1" applyBorder="1" applyAlignment="1"/>
    <xf numFmtId="172" fontId="15" fillId="6" borderId="91" xfId="0" applyNumberFormat="1" applyFont="1" applyFill="1" applyBorder="1"/>
    <xf numFmtId="0" fontId="15" fillId="17" borderId="5" xfId="0" applyFont="1" applyFill="1" applyBorder="1" applyAlignment="1">
      <alignment horizontal="center"/>
    </xf>
    <xf numFmtId="0" fontId="15" fillId="18" borderId="5" xfId="0" applyFont="1" applyFill="1" applyBorder="1" applyAlignment="1">
      <alignment horizontal="center"/>
    </xf>
    <xf numFmtId="0" fontId="15" fillId="17" borderId="5" xfId="0" applyFont="1" applyFill="1" applyBorder="1" applyAlignment="1">
      <alignment horizontal="center" vertical="center"/>
    </xf>
    <xf numFmtId="0" fontId="15" fillId="18" borderId="5" xfId="0" applyFont="1" applyFill="1" applyBorder="1" applyAlignment="1">
      <alignment horizontal="center" vertical="center"/>
    </xf>
    <xf numFmtId="10" fontId="15" fillId="17" borderId="5" xfId="0" applyNumberFormat="1" applyFont="1" applyFill="1" applyBorder="1" applyAlignment="1">
      <alignment horizontal="center"/>
    </xf>
    <xf numFmtId="9" fontId="15" fillId="17" borderId="5" xfId="0" applyNumberFormat="1" applyFont="1" applyFill="1" applyBorder="1" applyAlignment="1">
      <alignment horizontal="center"/>
    </xf>
    <xf numFmtId="10" fontId="15" fillId="18" borderId="5" xfId="0" applyNumberFormat="1" applyFont="1" applyFill="1" applyBorder="1" applyAlignment="1">
      <alignment horizontal="center"/>
    </xf>
    <xf numFmtId="9" fontId="15" fillId="18" borderId="5" xfId="0" applyNumberFormat="1" applyFont="1" applyFill="1" applyBorder="1" applyAlignment="1">
      <alignment horizontal="center"/>
    </xf>
    <xf numFmtId="172" fontId="181" fillId="6" borderId="91" xfId="0" applyNumberFormat="1" applyFont="1" applyFill="1" applyBorder="1"/>
    <xf numFmtId="15" fontId="0" fillId="6" borderId="77" xfId="0" applyNumberFormat="1" applyFill="1" applyBorder="1"/>
    <xf numFmtId="172" fontId="181" fillId="6" borderId="77" xfId="0" applyNumberFormat="1" applyFont="1" applyFill="1" applyBorder="1"/>
    <xf numFmtId="0" fontId="15" fillId="0" borderId="77" xfId="0" applyFont="1" applyBorder="1"/>
    <xf numFmtId="171" fontId="15" fillId="139" borderId="77" xfId="0" applyNumberFormat="1" applyFont="1" applyFill="1" applyBorder="1"/>
    <xf numFmtId="172" fontId="15" fillId="6" borderId="34" xfId="0" applyNumberFormat="1" applyFont="1" applyFill="1" applyBorder="1"/>
    <xf numFmtId="10" fontId="15" fillId="17" borderId="5" xfId="0" applyNumberFormat="1" applyFont="1" applyFill="1" applyBorder="1" applyAlignment="1">
      <alignment horizontal="center" vertical="center"/>
    </xf>
    <xf numFmtId="9" fontId="15" fillId="17" borderId="5" xfId="0" applyNumberFormat="1" applyFont="1" applyFill="1" applyBorder="1" applyAlignment="1">
      <alignment horizontal="center" vertical="center"/>
    </xf>
    <xf numFmtId="10" fontId="15" fillId="18" borderId="5" xfId="0" applyNumberFormat="1" applyFont="1" applyFill="1" applyBorder="1" applyAlignment="1">
      <alignment horizontal="center" vertical="center"/>
    </xf>
    <xf numFmtId="9" fontId="15" fillId="18" borderId="5" xfId="0" applyNumberFormat="1" applyFont="1" applyFill="1" applyBorder="1" applyAlignment="1">
      <alignment horizontal="center" vertical="center"/>
    </xf>
    <xf numFmtId="171" fontId="15" fillId="0" borderId="85" xfId="0" applyNumberFormat="1" applyFont="1" applyBorder="1"/>
    <xf numFmtId="0" fontId="182" fillId="0" borderId="0" xfId="0" applyFont="1"/>
    <xf numFmtId="0" fontId="183" fillId="0" borderId="0" xfId="0" applyFont="1"/>
    <xf numFmtId="172" fontId="15" fillId="0" borderId="34" xfId="0" applyNumberFormat="1" applyFont="1" applyBorder="1"/>
    <xf numFmtId="0" fontId="142" fillId="0" borderId="0" xfId="0" applyFont="1"/>
    <xf numFmtId="0" fontId="136" fillId="136" borderId="91" xfId="0" applyFont="1" applyFill="1" applyBorder="1"/>
    <xf numFmtId="171" fontId="15" fillId="7" borderId="91" xfId="0" applyNumberFormat="1" applyFont="1" applyFill="1" applyBorder="1"/>
    <xf numFmtId="1" fontId="185" fillId="140" borderId="77" xfId="0" applyNumberFormat="1" applyFont="1" applyFill="1" applyBorder="1"/>
    <xf numFmtId="166" fontId="185" fillId="140" borderId="0" xfId="0" applyNumberFormat="1" applyFont="1" applyFill="1"/>
    <xf numFmtId="172" fontId="175" fillId="0" borderId="91" xfId="0" applyNumberFormat="1" applyFont="1" applyBorder="1"/>
    <xf numFmtId="172" fontId="175" fillId="141" borderId="91" xfId="0" applyNumberFormat="1" applyFont="1" applyFill="1" applyBorder="1"/>
    <xf numFmtId="171" fontId="175" fillId="0" borderId="91" xfId="0" applyNumberFormat="1" applyFont="1" applyBorder="1"/>
    <xf numFmtId="171" fontId="175" fillId="141" borderId="91" xfId="0" applyNumberFormat="1" applyFont="1" applyFill="1" applyBorder="1"/>
    <xf numFmtId="0" fontId="0" fillId="0" borderId="30" xfId="0" applyBorder="1" applyAlignment="1">
      <alignment vertical="center"/>
    </xf>
    <xf numFmtId="15" fontId="0" fillId="25" borderId="31" xfId="0" applyNumberFormat="1" applyFill="1" applyBorder="1" applyAlignment="1" applyProtection="1">
      <alignment vertical="center"/>
      <protection locked="0"/>
    </xf>
    <xf numFmtId="0" fontId="128" fillId="0" borderId="2" xfId="0" applyFont="1" applyBorder="1" applyAlignment="1">
      <alignment vertical="center"/>
    </xf>
    <xf numFmtId="0" fontId="0" fillId="0" borderId="31" xfId="0" applyBorder="1" applyAlignment="1">
      <alignment vertical="center" wrapText="1"/>
    </xf>
    <xf numFmtId="0" fontId="15" fillId="15" borderId="31" xfId="0" applyFont="1" applyFill="1" applyBorder="1" applyAlignment="1" applyProtection="1">
      <alignment vertical="center"/>
      <protection locked="0"/>
    </xf>
    <xf numFmtId="0" fontId="128" fillId="0" borderId="2" xfId="0" applyFont="1" applyBorder="1" applyProtection="1">
      <protection locked="0"/>
    </xf>
    <xf numFmtId="0" fontId="22" fillId="4" borderId="77" xfId="0" applyFont="1" applyFill="1" applyBorder="1"/>
    <xf numFmtId="172" fontId="0" fillId="25" borderId="85" xfId="0" applyNumberFormat="1" applyFill="1" applyBorder="1"/>
    <xf numFmtId="0" fontId="129" fillId="25" borderId="87" xfId="0" applyFont="1" applyFill="1" applyBorder="1"/>
    <xf numFmtId="204" fontId="0" fillId="15" borderId="85" xfId="0" applyNumberFormat="1" applyFill="1" applyBorder="1"/>
    <xf numFmtId="0" fontId="129" fillId="15" borderId="87" xfId="0" applyFont="1" applyFill="1" applyBorder="1"/>
    <xf numFmtId="0" fontId="22" fillId="0" borderId="87" xfId="0" applyFont="1" applyBorder="1"/>
    <xf numFmtId="0" fontId="129" fillId="22" borderId="85" xfId="0" applyFont="1" applyFill="1" applyBorder="1"/>
    <xf numFmtId="0" fontId="129" fillId="15" borderId="106" xfId="0" applyFont="1" applyFill="1" applyBorder="1"/>
    <xf numFmtId="171" fontId="0" fillId="25" borderId="85" xfId="0" applyNumberFormat="1" applyFill="1" applyBorder="1"/>
    <xf numFmtId="171" fontId="0" fillId="15" borderId="85" xfId="0" applyNumberFormat="1" applyFill="1" applyBorder="1"/>
    <xf numFmtId="0" fontId="129" fillId="22" borderId="107" xfId="0" applyFont="1" applyFill="1" applyBorder="1"/>
    <xf numFmtId="171" fontId="0" fillId="25" borderId="107" xfId="0" applyNumberFormat="1" applyFill="1" applyBorder="1"/>
    <xf numFmtId="0" fontId="129" fillId="25" borderId="104" xfId="0" applyFont="1" applyFill="1" applyBorder="1"/>
    <xf numFmtId="171" fontId="0" fillId="15" borderId="107" xfId="0" applyNumberFormat="1" applyFill="1" applyBorder="1"/>
    <xf numFmtId="0" fontId="129" fillId="15" borderId="108" xfId="0" applyFont="1" applyFill="1" applyBorder="1"/>
    <xf numFmtId="0" fontId="22" fillId="0" borderId="86" xfId="0" applyFont="1" applyBorder="1"/>
    <xf numFmtId="0" fontId="3" fillId="4" borderId="106" xfId="0" applyFont="1" applyFill="1" applyBorder="1"/>
    <xf numFmtId="0" fontId="22" fillId="4" borderId="85" xfId="0" applyFont="1" applyFill="1" applyBorder="1"/>
    <xf numFmtId="0" fontId="0" fillId="22" borderId="102" xfId="0" applyFill="1" applyBorder="1"/>
    <xf numFmtId="0" fontId="129" fillId="25" borderId="86" xfId="0" applyFont="1" applyFill="1" applyBorder="1"/>
    <xf numFmtId="0" fontId="22" fillId="0" borderId="85" xfId="0" applyFont="1" applyBorder="1"/>
    <xf numFmtId="3" fontId="0" fillId="2" borderId="15" xfId="0" applyNumberFormat="1" applyFill="1" applyBorder="1" applyAlignment="1">
      <alignment horizontal="center" vertical="center"/>
    </xf>
    <xf numFmtId="166" fontId="0" fillId="2" borderId="15" xfId="0" applyNumberFormat="1" applyFill="1" applyBorder="1" applyAlignment="1">
      <alignment horizontal="center" vertical="center"/>
    </xf>
    <xf numFmtId="0" fontId="0" fillId="22" borderId="77" xfId="0" applyFill="1" applyBorder="1"/>
    <xf numFmtId="0" fontId="0" fillId="13" borderId="77" xfId="0" applyFill="1" applyBorder="1"/>
    <xf numFmtId="0" fontId="22" fillId="13" borderId="77" xfId="0" applyFont="1" applyFill="1" applyBorder="1"/>
    <xf numFmtId="166" fontId="194" fillId="142" borderId="77" xfId="0" applyNumberFormat="1" applyFont="1" applyFill="1" applyBorder="1" applyAlignment="1">
      <alignment horizontal="right" vertical="top" wrapText="1"/>
    </xf>
    <xf numFmtId="176" fontId="127" fillId="99" borderId="5" xfId="0" applyNumberFormat="1" applyFont="1" applyFill="1" applyBorder="1" applyAlignment="1" applyProtection="1">
      <alignment horizontal="right" vertical="top" wrapText="1"/>
      <protection locked="0"/>
    </xf>
    <xf numFmtId="166" fontId="185" fillId="0" borderId="91" xfId="0" applyNumberFormat="1" applyFont="1" applyBorder="1" applyAlignment="1">
      <alignment horizontal="center" vertical="center" wrapText="1"/>
    </xf>
    <xf numFmtId="171" fontId="175" fillId="141" borderId="34" xfId="0" applyNumberFormat="1" applyFont="1" applyFill="1" applyBorder="1"/>
    <xf numFmtId="171" fontId="175" fillId="140" borderId="91" xfId="0" applyNumberFormat="1" applyFont="1" applyFill="1" applyBorder="1"/>
    <xf numFmtId="172" fontId="175" fillId="140" borderId="91" xfId="0" applyNumberFormat="1" applyFont="1" applyFill="1" applyBorder="1"/>
    <xf numFmtId="171" fontId="175" fillId="7" borderId="91" xfId="0" applyNumberFormat="1" applyFont="1" applyFill="1" applyBorder="1"/>
    <xf numFmtId="166" fontId="169" fillId="99" borderId="5" xfId="0" applyNumberFormat="1" applyFont="1" applyFill="1" applyBorder="1" applyAlignment="1" applyProtection="1">
      <alignment horizontal="right" vertical="top" wrapText="1"/>
      <protection locked="0"/>
    </xf>
    <xf numFmtId="0" fontId="195" fillId="0" borderId="0" xfId="0" applyFont="1"/>
    <xf numFmtId="166" fontId="195" fillId="0" borderId="0" xfId="0" applyNumberFormat="1" applyFont="1"/>
    <xf numFmtId="0" fontId="170" fillId="0" borderId="0" xfId="0" applyFont="1" applyAlignment="1">
      <alignment horizontal="center" vertical="center"/>
    </xf>
    <xf numFmtId="0" fontId="170" fillId="7" borderId="0" xfId="0" applyFont="1" applyFill="1" applyAlignment="1">
      <alignment horizontal="center" vertical="center"/>
    </xf>
    <xf numFmtId="0" fontId="196" fillId="0" borderId="0" xfId="0" applyFont="1"/>
    <xf numFmtId="166" fontId="196" fillId="0" borderId="0" xfId="0" applyNumberFormat="1" applyFont="1"/>
    <xf numFmtId="0" fontId="197" fillId="0" borderId="0" xfId="0" applyFont="1" applyAlignment="1">
      <alignment horizontal="center" vertical="center"/>
    </xf>
    <xf numFmtId="0" fontId="197" fillId="7" borderId="0" xfId="0" applyFont="1" applyFill="1" applyAlignment="1">
      <alignment horizontal="center" vertical="center"/>
    </xf>
    <xf numFmtId="166" fontId="195" fillId="0" borderId="33" xfId="0" applyNumberFormat="1" applyFont="1" applyBorder="1"/>
    <xf numFmtId="15" fontId="195" fillId="0" borderId="71" xfId="0" applyNumberFormat="1" applyFont="1" applyBorder="1"/>
    <xf numFmtId="15" fontId="196" fillId="0" borderId="72" xfId="0" applyNumberFormat="1" applyFont="1" applyBorder="1"/>
    <xf numFmtId="0" fontId="195" fillId="0" borderId="35" xfId="0" applyFont="1" applyBorder="1"/>
    <xf numFmtId="0" fontId="126" fillId="0" borderId="38" xfId="0" applyFont="1" applyBorder="1"/>
    <xf numFmtId="166" fontId="196" fillId="0" borderId="13" xfId="0" applyNumberFormat="1" applyFont="1" applyBorder="1"/>
    <xf numFmtId="172" fontId="175" fillId="8" borderId="91" xfId="0" applyNumberFormat="1" applyFont="1" applyFill="1" applyBorder="1"/>
    <xf numFmtId="171" fontId="15" fillId="8" borderId="91" xfId="0" applyNumberFormat="1" applyFont="1" applyFill="1" applyBorder="1"/>
    <xf numFmtId="171" fontId="175" fillId="8" borderId="91" xfId="0" applyNumberFormat="1" applyFont="1" applyFill="1" applyBorder="1"/>
    <xf numFmtId="171" fontId="15" fillId="8" borderId="77" xfId="0" applyNumberFormat="1" applyFont="1" applyFill="1" applyBorder="1"/>
    <xf numFmtId="172" fontId="175" fillId="16" borderId="91" xfId="0" applyNumberFormat="1" applyFont="1" applyFill="1" applyBorder="1"/>
    <xf numFmtId="171" fontId="175" fillId="16" borderId="91" xfId="0" applyNumberFormat="1" applyFont="1" applyFill="1" applyBorder="1"/>
    <xf numFmtId="171" fontId="15" fillId="16" borderId="91" xfId="0" applyNumberFormat="1" applyFont="1" applyFill="1" applyBorder="1"/>
    <xf numFmtId="172" fontId="15" fillId="16" borderId="91" xfId="0" applyNumberFormat="1" applyFont="1" applyFill="1" applyBorder="1"/>
    <xf numFmtId="172" fontId="15" fillId="8" borderId="91" xfId="0" applyNumberFormat="1" applyFont="1" applyFill="1" applyBorder="1"/>
    <xf numFmtId="171" fontId="15" fillId="16" borderId="77" xfId="0" applyNumberFormat="1" applyFont="1" applyFill="1" applyBorder="1"/>
    <xf numFmtId="0" fontId="0" fillId="8" borderId="0" xfId="0" applyFill="1"/>
    <xf numFmtId="171" fontId="198" fillId="16" borderId="91" xfId="0" applyNumberFormat="1" applyFont="1" applyFill="1" applyBorder="1"/>
    <xf numFmtId="171" fontId="198" fillId="8" borderId="91" xfId="0" applyNumberFormat="1" applyFont="1" applyFill="1" applyBorder="1"/>
    <xf numFmtId="10" fontId="0" fillId="0" borderId="0" xfId="0" applyNumberFormat="1"/>
    <xf numFmtId="1" fontId="3" fillId="2" borderId="91" xfId="0" applyNumberFormat="1" applyFont="1" applyFill="1" applyBorder="1"/>
    <xf numFmtId="212" fontId="0" fillId="0" borderId="0" xfId="0" applyNumberFormat="1"/>
    <xf numFmtId="43" fontId="16" fillId="2" borderId="5" xfId="0" applyNumberFormat="1" applyFont="1" applyFill="1" applyBorder="1"/>
    <xf numFmtId="0" fontId="196" fillId="143" borderId="0" xfId="0" applyFont="1" applyFill="1"/>
    <xf numFmtId="0" fontId="195" fillId="143" borderId="0" xfId="0" applyFont="1" applyFill="1"/>
    <xf numFmtId="213" fontId="196" fillId="143" borderId="0" xfId="0" applyNumberFormat="1" applyFont="1" applyFill="1"/>
    <xf numFmtId="172" fontId="198" fillId="16" borderId="91" xfId="0" applyNumberFormat="1" applyFont="1" applyFill="1" applyBorder="1"/>
    <xf numFmtId="172" fontId="198" fillId="8" borderId="91" xfId="0" applyNumberFormat="1" applyFont="1" applyFill="1" applyBorder="1"/>
    <xf numFmtId="0" fontId="3" fillId="10" borderId="0" xfId="0" applyFont="1" applyFill="1" applyAlignment="1">
      <alignment horizontal="center" vertical="center"/>
    </xf>
    <xf numFmtId="175" fontId="5" fillId="8" borderId="0" xfId="0" applyNumberFormat="1" applyFont="1" applyFill="1" applyAlignment="1">
      <alignment horizontal="center"/>
    </xf>
    <xf numFmtId="3" fontId="5" fillId="8" borderId="0" xfId="0" applyNumberFormat="1" applyFont="1" applyFill="1" applyAlignment="1">
      <alignment horizontal="center"/>
    </xf>
    <xf numFmtId="0" fontId="5" fillId="8" borderId="72" xfId="0" applyFont="1" applyFill="1" applyBorder="1"/>
    <xf numFmtId="0" fontId="5" fillId="8" borderId="73" xfId="0" applyFont="1" applyFill="1" applyBorder="1"/>
    <xf numFmtId="208" fontId="0" fillId="0" borderId="0" xfId="0" applyNumberFormat="1"/>
    <xf numFmtId="0" fontId="22" fillId="4" borderId="98" xfId="0" applyFont="1" applyFill="1" applyBorder="1"/>
    <xf numFmtId="0" fontId="22" fillId="4" borderId="29" xfId="0" applyFont="1" applyFill="1" applyBorder="1"/>
    <xf numFmtId="171" fontId="15" fillId="13" borderId="91" xfId="0" applyNumberFormat="1" applyFont="1" applyFill="1" applyBorder="1"/>
    <xf numFmtId="171" fontId="0" fillId="7" borderId="0" xfId="0" applyNumberFormat="1" applyFill="1"/>
    <xf numFmtId="172" fontId="175" fillId="8" borderId="84" xfId="0" applyNumberFormat="1" applyFont="1" applyFill="1" applyBorder="1"/>
    <xf numFmtId="172" fontId="15" fillId="8" borderId="84" xfId="0" applyNumberFormat="1" applyFont="1" applyFill="1" applyBorder="1"/>
    <xf numFmtId="15" fontId="0" fillId="0" borderId="84" xfId="0" applyNumberFormat="1" applyBorder="1"/>
    <xf numFmtId="172" fontId="198" fillId="8" borderId="84" xfId="0" applyNumberFormat="1" applyFont="1" applyFill="1" applyBorder="1"/>
    <xf numFmtId="172" fontId="15" fillId="17" borderId="84" xfId="0" applyNumberFormat="1" applyFont="1" applyFill="1" applyBorder="1"/>
    <xf numFmtId="0" fontId="0" fillId="101" borderId="77" xfId="0" applyFill="1" applyBorder="1"/>
    <xf numFmtId="172" fontId="15" fillId="16" borderId="77" xfId="0" applyNumberFormat="1" applyFont="1" applyFill="1" applyBorder="1"/>
    <xf numFmtId="172" fontId="198" fillId="16" borderId="77" xfId="0" applyNumberFormat="1" applyFont="1" applyFill="1" applyBorder="1"/>
    <xf numFmtId="172" fontId="175" fillId="16" borderId="77" xfId="0" applyNumberFormat="1" applyFont="1" applyFill="1" applyBorder="1"/>
    <xf numFmtId="172" fontId="175" fillId="16" borderId="84" xfId="0" applyNumberFormat="1" applyFont="1" applyFill="1" applyBorder="1"/>
    <xf numFmtId="172" fontId="15" fillId="17" borderId="91" xfId="0" applyNumberFormat="1" applyFont="1" applyFill="1" applyBorder="1"/>
    <xf numFmtId="0" fontId="0" fillId="101" borderId="91" xfId="0" applyFill="1" applyBorder="1"/>
    <xf numFmtId="172" fontId="198" fillId="16" borderId="84" xfId="0" applyNumberFormat="1" applyFont="1" applyFill="1" applyBorder="1"/>
    <xf numFmtId="171" fontId="175" fillId="144" borderId="91" xfId="0" applyNumberFormat="1" applyFont="1" applyFill="1" applyBorder="1"/>
    <xf numFmtId="171" fontId="15" fillId="144" borderId="91" xfId="0" applyNumberFormat="1" applyFont="1" applyFill="1" applyBorder="1"/>
    <xf numFmtId="171" fontId="198" fillId="144" borderId="91" xfId="0" applyNumberFormat="1" applyFont="1" applyFill="1" applyBorder="1"/>
    <xf numFmtId="172" fontId="175" fillId="144" borderId="91" xfId="0" applyNumberFormat="1" applyFont="1" applyFill="1" applyBorder="1"/>
    <xf numFmtId="172" fontId="198" fillId="144" borderId="91" xfId="0" applyNumberFormat="1" applyFont="1" applyFill="1" applyBorder="1"/>
    <xf numFmtId="172" fontId="15" fillId="144" borderId="91" xfId="0" applyNumberFormat="1" applyFont="1" applyFill="1" applyBorder="1"/>
    <xf numFmtId="172" fontId="198" fillId="139" borderId="91" xfId="0" applyNumberFormat="1" applyFont="1" applyFill="1" applyBorder="1"/>
    <xf numFmtId="171" fontId="175" fillId="139" borderId="91" xfId="0" applyNumberFormat="1" applyFont="1" applyFill="1" applyBorder="1"/>
    <xf numFmtId="172" fontId="175" fillId="139" borderId="91" xfId="0" applyNumberFormat="1" applyFont="1" applyFill="1" applyBorder="1"/>
    <xf numFmtId="172" fontId="175" fillId="144" borderId="84" xfId="0" applyNumberFormat="1" applyFont="1" applyFill="1" applyBorder="1"/>
    <xf numFmtId="0" fontId="16" fillId="4" borderId="77" xfId="0" applyFont="1" applyFill="1" applyBorder="1" applyAlignment="1">
      <alignment horizontal="center" vertical="center"/>
    </xf>
    <xf numFmtId="172" fontId="175" fillId="8" borderId="91" xfId="0" applyNumberFormat="1" applyFont="1" applyFill="1" applyBorder="1" applyAlignment="1">
      <alignment wrapText="1"/>
    </xf>
    <xf numFmtId="0" fontId="0" fillId="4" borderId="38" xfId="0" applyFill="1" applyBorder="1"/>
    <xf numFmtId="0" fontId="0" fillId="4" borderId="33" xfId="0" applyFill="1" applyBorder="1"/>
    <xf numFmtId="0" fontId="0" fillId="4" borderId="109" xfId="0" applyFill="1" applyBorder="1"/>
    <xf numFmtId="0" fontId="0" fillId="4" borderId="71" xfId="0" applyFill="1" applyBorder="1"/>
    <xf numFmtId="0" fontId="0" fillId="4" borderId="72" xfId="0" applyFill="1" applyBorder="1"/>
    <xf numFmtId="0" fontId="0" fillId="4" borderId="112" xfId="0" applyFill="1" applyBorder="1"/>
    <xf numFmtId="172" fontId="175" fillId="16" borderId="91" xfId="0" applyNumberFormat="1" applyFont="1" applyFill="1" applyBorder="1" applyAlignment="1">
      <alignment wrapText="1"/>
    </xf>
    <xf numFmtId="172" fontId="175" fillId="144" borderId="77" xfId="0" applyNumberFormat="1" applyFont="1" applyFill="1" applyBorder="1"/>
    <xf numFmtId="172" fontId="15" fillId="144" borderId="77" xfId="0" applyNumberFormat="1" applyFont="1" applyFill="1" applyBorder="1"/>
    <xf numFmtId="172" fontId="175" fillId="16" borderId="77" xfId="0" applyNumberFormat="1" applyFont="1" applyFill="1" applyBorder="1" applyAlignment="1">
      <alignment wrapText="1"/>
    </xf>
    <xf numFmtId="172" fontId="198" fillId="144" borderId="77" xfId="0" applyNumberFormat="1" applyFont="1" applyFill="1" applyBorder="1"/>
    <xf numFmtId="172" fontId="175" fillId="8" borderId="77" xfId="0" applyNumberFormat="1" applyFont="1" applyFill="1" applyBorder="1"/>
    <xf numFmtId="172" fontId="15" fillId="8" borderId="77" xfId="0" applyNumberFormat="1" applyFont="1" applyFill="1" applyBorder="1"/>
    <xf numFmtId="172" fontId="175" fillId="8" borderId="77" xfId="0" applyNumberFormat="1" applyFont="1" applyFill="1" applyBorder="1" applyAlignment="1">
      <alignment wrapText="1"/>
    </xf>
    <xf numFmtId="172" fontId="198" fillId="8" borderId="77" xfId="0" applyNumberFormat="1" applyFont="1" applyFill="1" applyBorder="1"/>
    <xf numFmtId="171" fontId="175" fillId="16" borderId="77" xfId="0" applyNumberFormat="1" applyFont="1" applyFill="1" applyBorder="1"/>
    <xf numFmtId="171" fontId="175" fillId="144" borderId="77" xfId="0" applyNumberFormat="1" applyFont="1" applyFill="1" applyBorder="1"/>
    <xf numFmtId="171" fontId="198" fillId="144" borderId="77" xfId="0" applyNumberFormat="1" applyFont="1" applyFill="1" applyBorder="1"/>
    <xf numFmtId="171" fontId="175" fillId="8" borderId="77" xfId="0" applyNumberFormat="1" applyFont="1" applyFill="1" applyBorder="1"/>
    <xf numFmtId="171" fontId="198" fillId="8" borderId="77" xfId="0" applyNumberFormat="1" applyFont="1" applyFill="1" applyBorder="1"/>
    <xf numFmtId="171" fontId="198" fillId="16" borderId="77" xfId="0" applyNumberFormat="1" applyFont="1" applyFill="1" applyBorder="1"/>
    <xf numFmtId="172" fontId="175" fillId="144" borderId="77" xfId="0" applyNumberFormat="1" applyFont="1" applyFill="1" applyBorder="1" applyAlignment="1">
      <alignment wrapText="1"/>
    </xf>
    <xf numFmtId="171" fontId="15" fillId="144" borderId="77" xfId="0" applyNumberFormat="1" applyFont="1" applyFill="1" applyBorder="1"/>
    <xf numFmtId="171" fontId="127" fillId="99" borderId="5" xfId="0" applyNumberFormat="1" applyFont="1" applyFill="1" applyBorder="1" applyAlignment="1" applyProtection="1">
      <alignment horizontal="right" vertical="top" wrapText="1"/>
      <protection locked="0"/>
    </xf>
    <xf numFmtId="171" fontId="194" fillId="142" borderId="77" xfId="0" applyNumberFormat="1" applyFont="1" applyFill="1" applyBorder="1" applyAlignment="1">
      <alignment horizontal="right" vertical="top" wrapText="1"/>
    </xf>
    <xf numFmtId="171" fontId="15" fillId="0" borderId="34" xfId="0" applyNumberFormat="1" applyFont="1" applyBorder="1"/>
    <xf numFmtId="208" fontId="15" fillId="17" borderId="5" xfId="0" applyNumberFormat="1" applyFont="1" applyFill="1" applyBorder="1" applyAlignment="1">
      <alignment horizontal="center"/>
    </xf>
    <xf numFmtId="208" fontId="15" fillId="18" borderId="5" xfId="0" applyNumberFormat="1" applyFont="1" applyFill="1" applyBorder="1" applyAlignment="1">
      <alignment horizontal="center"/>
    </xf>
    <xf numFmtId="0" fontId="0" fillId="0" borderId="0" xfId="0" applyAlignment="1">
      <alignment horizontal="center"/>
    </xf>
    <xf numFmtId="0" fontId="0" fillId="144" borderId="0" xfId="0" applyFill="1"/>
    <xf numFmtId="0" fontId="201" fillId="0" borderId="0" xfId="0" applyFont="1"/>
    <xf numFmtId="171" fontId="15" fillId="13" borderId="77" xfId="0" applyNumberFormat="1" applyFont="1" applyFill="1" applyBorder="1"/>
    <xf numFmtId="171" fontId="175" fillId="139" borderId="77" xfId="0" applyNumberFormat="1" applyFont="1" applyFill="1" applyBorder="1"/>
    <xf numFmtId="171" fontId="181" fillId="144" borderId="77" xfId="0" applyNumberFormat="1" applyFont="1" applyFill="1" applyBorder="1"/>
    <xf numFmtId="171" fontId="181" fillId="8" borderId="77" xfId="0" applyNumberFormat="1" applyFont="1" applyFill="1" applyBorder="1"/>
    <xf numFmtId="172" fontId="15" fillId="144" borderId="84" xfId="0" applyNumberFormat="1" applyFont="1" applyFill="1" applyBorder="1"/>
    <xf numFmtId="172" fontId="175" fillId="144" borderId="84" xfId="0" applyNumberFormat="1" applyFont="1" applyFill="1" applyBorder="1" applyAlignment="1">
      <alignment wrapText="1"/>
    </xf>
    <xf numFmtId="172" fontId="198" fillId="144" borderId="84" xfId="0" applyNumberFormat="1" applyFont="1" applyFill="1" applyBorder="1"/>
    <xf numFmtId="171" fontId="175" fillId="144" borderId="84" xfId="0" applyNumberFormat="1" applyFont="1" applyFill="1" applyBorder="1"/>
    <xf numFmtId="171" fontId="15" fillId="7" borderId="84" xfId="0" applyNumberFormat="1" applyFont="1" applyFill="1" applyBorder="1"/>
    <xf numFmtId="171" fontId="181" fillId="144" borderId="84" xfId="0" applyNumberFormat="1" applyFont="1" applyFill="1" applyBorder="1"/>
    <xf numFmtId="171" fontId="15" fillId="13" borderId="84" xfId="0" applyNumberFormat="1" applyFont="1" applyFill="1" applyBorder="1"/>
    <xf numFmtId="171" fontId="198" fillId="144" borderId="84" xfId="0" applyNumberFormat="1" applyFont="1" applyFill="1" applyBorder="1"/>
    <xf numFmtId="171" fontId="15" fillId="18" borderId="84" xfId="0" applyNumberFormat="1" applyFont="1" applyFill="1" applyBorder="1"/>
    <xf numFmtId="0" fontId="15" fillId="0" borderId="84" xfId="0" applyFont="1" applyBorder="1"/>
    <xf numFmtId="171" fontId="175" fillId="8" borderId="84" xfId="0" applyNumberFormat="1" applyFont="1" applyFill="1" applyBorder="1"/>
    <xf numFmtId="171" fontId="198" fillId="8" borderId="84" xfId="0" applyNumberFormat="1" applyFont="1" applyFill="1" applyBorder="1"/>
    <xf numFmtId="172" fontId="15" fillId="139" borderId="84" xfId="0" applyNumberFormat="1" applyFont="1" applyFill="1" applyBorder="1"/>
    <xf numFmtId="172" fontId="175" fillId="139" borderId="84" xfId="0" applyNumberFormat="1" applyFont="1" applyFill="1" applyBorder="1"/>
    <xf numFmtId="171" fontId="0" fillId="0" borderId="0" xfId="0" applyNumberFormat="1"/>
    <xf numFmtId="172" fontId="175" fillId="8" borderId="84" xfId="0" applyNumberFormat="1" applyFont="1" applyFill="1" applyBorder="1" applyAlignment="1">
      <alignment wrapText="1"/>
    </xf>
    <xf numFmtId="171" fontId="181" fillId="8" borderId="84" xfId="0" applyNumberFormat="1" applyFont="1" applyFill="1" applyBorder="1"/>
    <xf numFmtId="172" fontId="175" fillId="144" borderId="165" xfId="0" applyNumberFormat="1" applyFont="1" applyFill="1" applyBorder="1"/>
    <xf numFmtId="172" fontId="15" fillId="7" borderId="165" xfId="0" applyNumberFormat="1" applyFont="1" applyFill="1" applyBorder="1"/>
    <xf numFmtId="172" fontId="198" fillId="144" borderId="165" xfId="0" applyNumberFormat="1" applyFont="1" applyFill="1" applyBorder="1"/>
    <xf numFmtId="0" fontId="0" fillId="101" borderId="165" xfId="0" applyFill="1" applyBorder="1"/>
    <xf numFmtId="172" fontId="15" fillId="17" borderId="165" xfId="0" applyNumberFormat="1" applyFont="1" applyFill="1" applyBorder="1"/>
    <xf numFmtId="172" fontId="175" fillId="8" borderId="165" xfId="0" applyNumberFormat="1" applyFont="1" applyFill="1" applyBorder="1"/>
    <xf numFmtId="172" fontId="15" fillId="8" borderId="165" xfId="0" applyNumberFormat="1" applyFont="1" applyFill="1" applyBorder="1"/>
    <xf numFmtId="172" fontId="198" fillId="8" borderId="165" xfId="0" applyNumberFormat="1" applyFont="1" applyFill="1" applyBorder="1"/>
    <xf numFmtId="171" fontId="175" fillId="144" borderId="165" xfId="0" applyNumberFormat="1" applyFont="1" applyFill="1" applyBorder="1"/>
    <xf numFmtId="171" fontId="15" fillId="7" borderId="165" xfId="0" applyNumberFormat="1" applyFont="1" applyFill="1" applyBorder="1"/>
    <xf numFmtId="171" fontId="15" fillId="13" borderId="165" xfId="0" applyNumberFormat="1" applyFont="1" applyFill="1" applyBorder="1"/>
    <xf numFmtId="171" fontId="198" fillId="144" borderId="165" xfId="0" applyNumberFormat="1" applyFont="1" applyFill="1" applyBorder="1"/>
    <xf numFmtId="171" fontId="15" fillId="18" borderId="165" xfId="0" applyNumberFormat="1" applyFont="1" applyFill="1" applyBorder="1"/>
    <xf numFmtId="171" fontId="175" fillId="8" borderId="165" xfId="0" applyNumberFormat="1" applyFont="1" applyFill="1" applyBorder="1"/>
    <xf numFmtId="171" fontId="198" fillId="8" borderId="165" xfId="0" applyNumberFormat="1" applyFont="1" applyFill="1" applyBorder="1"/>
    <xf numFmtId="172" fontId="15" fillId="144" borderId="165" xfId="0" applyNumberFormat="1" applyFont="1" applyFill="1" applyBorder="1"/>
    <xf numFmtId="172" fontId="175" fillId="144" borderId="165" xfId="0" applyNumberFormat="1" applyFont="1" applyFill="1" applyBorder="1" applyAlignment="1">
      <alignment wrapText="1"/>
    </xf>
    <xf numFmtId="171" fontId="181" fillId="144" borderId="165" xfId="0" applyNumberFormat="1" applyFont="1" applyFill="1" applyBorder="1"/>
    <xf numFmtId="172" fontId="175" fillId="8" borderId="165" xfId="0" applyNumberFormat="1" applyFont="1" applyFill="1" applyBorder="1" applyAlignment="1">
      <alignment wrapText="1"/>
    </xf>
    <xf numFmtId="171" fontId="181" fillId="8" borderId="165" xfId="0" applyNumberFormat="1" applyFont="1" applyFill="1" applyBorder="1"/>
    <xf numFmtId="172" fontId="175" fillId="8" borderId="160" xfId="0" applyNumberFormat="1" applyFont="1" applyFill="1" applyBorder="1"/>
    <xf numFmtId="172" fontId="15" fillId="8" borderId="160" xfId="0" applyNumberFormat="1" applyFont="1" applyFill="1" applyBorder="1"/>
    <xf numFmtId="172" fontId="175" fillId="8" borderId="160" xfId="0" applyNumberFormat="1" applyFont="1" applyFill="1" applyBorder="1" applyAlignment="1">
      <alignment wrapText="1"/>
    </xf>
    <xf numFmtId="172" fontId="198" fillId="8" borderId="160" xfId="0" applyNumberFormat="1" applyFont="1" applyFill="1" applyBorder="1"/>
    <xf numFmtId="172" fontId="175" fillId="144" borderId="160" xfId="0" applyNumberFormat="1" applyFont="1" applyFill="1" applyBorder="1"/>
    <xf numFmtId="172" fontId="15" fillId="144" borderId="160" xfId="0" applyNumberFormat="1" applyFont="1" applyFill="1" applyBorder="1"/>
    <xf numFmtId="172" fontId="175" fillId="144" borderId="160" xfId="0" applyNumberFormat="1" applyFont="1" applyFill="1" applyBorder="1" applyAlignment="1">
      <alignment wrapText="1"/>
    </xf>
    <xf numFmtId="172" fontId="198" fillId="144" borderId="160" xfId="0" applyNumberFormat="1" applyFont="1" applyFill="1" applyBorder="1"/>
    <xf numFmtId="171" fontId="175" fillId="8" borderId="160" xfId="0" applyNumberFormat="1" applyFont="1" applyFill="1" applyBorder="1"/>
    <xf numFmtId="171" fontId="15" fillId="7" borderId="160" xfId="0" applyNumberFormat="1" applyFont="1" applyFill="1" applyBorder="1"/>
    <xf numFmtId="171" fontId="181" fillId="8" borderId="160" xfId="0" applyNumberFormat="1" applyFont="1" applyFill="1" applyBorder="1"/>
    <xf numFmtId="171" fontId="15" fillId="13" borderId="160" xfId="0" applyNumberFormat="1" applyFont="1" applyFill="1" applyBorder="1"/>
    <xf numFmtId="0" fontId="0" fillId="101" borderId="160" xfId="0" applyFill="1" applyBorder="1"/>
    <xf numFmtId="171" fontId="198" fillId="8" borderId="160" xfId="0" applyNumberFormat="1" applyFont="1" applyFill="1" applyBorder="1"/>
    <xf numFmtId="171" fontId="175" fillId="144" borderId="160" xfId="0" applyNumberFormat="1" applyFont="1" applyFill="1" applyBorder="1"/>
    <xf numFmtId="171" fontId="181" fillId="144" borderId="160" xfId="0" applyNumberFormat="1" applyFont="1" applyFill="1" applyBorder="1"/>
    <xf numFmtId="171" fontId="198" fillId="144" borderId="160" xfId="0" applyNumberFormat="1" applyFont="1" applyFill="1" applyBorder="1"/>
    <xf numFmtId="0" fontId="0" fillId="144" borderId="160" xfId="0" applyFill="1" applyBorder="1"/>
    <xf numFmtId="0" fontId="15" fillId="0" borderId="160" xfId="0" applyFont="1" applyBorder="1"/>
    <xf numFmtId="172" fontId="15" fillId="7" borderId="160" xfId="0" applyNumberFormat="1" applyFont="1" applyFill="1" applyBorder="1"/>
    <xf numFmtId="0" fontId="15" fillId="0" borderId="150" xfId="0" applyFont="1" applyBorder="1"/>
    <xf numFmtId="171" fontId="175" fillId="139" borderId="160" xfId="0" applyNumberFormat="1" applyFont="1" applyFill="1" applyBorder="1"/>
    <xf numFmtId="172" fontId="175" fillId="139" borderId="160" xfId="0" applyNumberFormat="1" applyFont="1" applyFill="1" applyBorder="1"/>
    <xf numFmtId="171" fontId="198" fillId="139" borderId="160" xfId="0" applyNumberFormat="1" applyFont="1" applyFill="1" applyBorder="1"/>
    <xf numFmtId="0" fontId="15" fillId="0" borderId="29" xfId="0" applyFont="1" applyBorder="1" applyAlignment="1">
      <alignment horizontal="center" vertical="center"/>
    </xf>
    <xf numFmtId="0" fontId="15" fillId="18" borderId="29" xfId="0" applyFont="1" applyFill="1" applyBorder="1" applyAlignment="1">
      <alignment horizontal="center" vertical="center" wrapText="1"/>
    </xf>
    <xf numFmtId="0" fontId="15" fillId="17" borderId="29" xfId="0" applyFont="1" applyFill="1" applyBorder="1" applyAlignment="1">
      <alignment horizontal="center" vertical="center" wrapText="1"/>
    </xf>
    <xf numFmtId="208" fontId="15" fillId="17" borderId="160" xfId="0" applyNumberFormat="1" applyFont="1" applyFill="1" applyBorder="1" applyAlignment="1">
      <alignment horizontal="center"/>
    </xf>
    <xf numFmtId="9" fontId="15" fillId="17" borderId="160" xfId="0" applyNumberFormat="1" applyFont="1" applyFill="1" applyBorder="1" applyAlignment="1">
      <alignment horizontal="center"/>
    </xf>
    <xf numFmtId="10" fontId="15" fillId="17" borderId="160" xfId="0" applyNumberFormat="1" applyFont="1" applyFill="1" applyBorder="1" applyAlignment="1">
      <alignment horizontal="center"/>
    </xf>
    <xf numFmtId="9" fontId="15" fillId="17" borderId="160" xfId="0" applyNumberFormat="1" applyFont="1" applyFill="1" applyBorder="1" applyAlignment="1">
      <alignment horizontal="right"/>
    </xf>
    <xf numFmtId="208" fontId="15" fillId="18" borderId="160" xfId="0" applyNumberFormat="1" applyFont="1" applyFill="1" applyBorder="1" applyAlignment="1">
      <alignment horizontal="center"/>
    </xf>
    <xf numFmtId="9" fontId="15" fillId="18" borderId="160" xfId="0" applyNumberFormat="1" applyFont="1" applyFill="1" applyBorder="1" applyAlignment="1">
      <alignment horizontal="center"/>
    </xf>
    <xf numFmtId="10" fontId="15" fillId="18" borderId="160" xfId="0" applyNumberFormat="1" applyFont="1" applyFill="1" applyBorder="1" applyAlignment="1">
      <alignment horizontal="center"/>
    </xf>
    <xf numFmtId="0" fontId="15" fillId="17" borderId="160" xfId="0" applyFont="1" applyFill="1" applyBorder="1" applyAlignment="1">
      <alignment horizontal="center"/>
    </xf>
    <xf numFmtId="0" fontId="15" fillId="17" borderId="160" xfId="0" applyFont="1" applyFill="1" applyBorder="1" applyAlignment="1">
      <alignment horizontal="right"/>
    </xf>
    <xf numFmtId="0" fontId="15" fillId="18" borderId="160" xfId="0" applyFont="1" applyFill="1" applyBorder="1" applyAlignment="1">
      <alignment horizontal="center"/>
    </xf>
    <xf numFmtId="0" fontId="0" fillId="0" borderId="160" xfId="0" applyBorder="1" applyAlignment="1">
      <alignment horizontal="center"/>
    </xf>
    <xf numFmtId="0" fontId="15" fillId="17" borderId="160" xfId="0" applyFont="1" applyFill="1" applyBorder="1" applyAlignment="1">
      <alignment horizontal="center" vertical="center"/>
    </xf>
    <xf numFmtId="0" fontId="15" fillId="18" borderId="160" xfId="0" applyFont="1" applyFill="1" applyBorder="1" applyAlignment="1">
      <alignment horizontal="center" vertical="center"/>
    </xf>
    <xf numFmtId="0" fontId="3" fillId="12" borderId="160" xfId="0" applyFont="1" applyFill="1" applyBorder="1" applyAlignment="1">
      <alignment horizontal="center"/>
    </xf>
    <xf numFmtId="0" fontId="15" fillId="17" borderId="0" xfId="0" applyFont="1" applyFill="1" applyAlignment="1">
      <alignment horizontal="right"/>
    </xf>
    <xf numFmtId="0" fontId="15" fillId="18" borderId="0" xfId="0" applyFont="1" applyFill="1" applyAlignment="1">
      <alignment horizontal="center" vertical="center"/>
    </xf>
    <xf numFmtId="0" fontId="3" fillId="12" borderId="160" xfId="0" applyFont="1" applyFill="1" applyBorder="1" applyAlignment="1">
      <alignment horizontal="center" wrapText="1"/>
    </xf>
    <xf numFmtId="1" fontId="15" fillId="17" borderId="160" xfId="0" applyNumberFormat="1" applyFont="1" applyFill="1" applyBorder="1" applyAlignment="1">
      <alignment horizontal="center" vertical="center"/>
    </xf>
    <xf numFmtId="166" fontId="15" fillId="18" borderId="160" xfId="0" applyNumberFormat="1" applyFont="1" applyFill="1" applyBorder="1" applyAlignment="1">
      <alignment horizontal="center" vertical="center"/>
    </xf>
    <xf numFmtId="166" fontId="15" fillId="18" borderId="0" xfId="0" applyNumberFormat="1" applyFont="1" applyFill="1" applyAlignment="1">
      <alignment horizontal="center" vertical="center"/>
    </xf>
    <xf numFmtId="166" fontId="15" fillId="18" borderId="29" xfId="0" applyNumberFormat="1" applyFont="1" applyFill="1" applyBorder="1" applyAlignment="1">
      <alignment horizontal="center" vertical="center" wrapText="1"/>
    </xf>
    <xf numFmtId="15" fontId="0" fillId="0" borderId="160" xfId="0" applyNumberFormat="1" applyBorder="1"/>
    <xf numFmtId="172" fontId="15" fillId="17" borderId="160" xfId="0" applyNumberFormat="1" applyFont="1" applyFill="1" applyBorder="1"/>
    <xf numFmtId="171" fontId="15" fillId="18" borderId="160" xfId="0" applyNumberFormat="1" applyFont="1" applyFill="1" applyBorder="1"/>
    <xf numFmtId="0" fontId="0" fillId="8" borderId="160" xfId="0" applyFill="1" applyBorder="1"/>
    <xf numFmtId="0" fontId="0" fillId="17" borderId="2" xfId="0" applyFill="1" applyBorder="1"/>
    <xf numFmtId="166" fontId="15" fillId="0" borderId="5" xfId="0" applyNumberFormat="1" applyFont="1" applyBorder="1" applyAlignment="1">
      <alignment horizontal="right"/>
    </xf>
    <xf numFmtId="166" fontId="15" fillId="12" borderId="5" xfId="0" applyNumberFormat="1" applyFont="1" applyFill="1" applyBorder="1"/>
    <xf numFmtId="166" fontId="15" fillId="18" borderId="5" xfId="0" applyNumberFormat="1" applyFont="1" applyFill="1" applyBorder="1"/>
    <xf numFmtId="166" fontId="16" fillId="18" borderId="5" xfId="0" applyNumberFormat="1" applyFont="1" applyFill="1" applyBorder="1"/>
    <xf numFmtId="166" fontId="16" fillId="0" borderId="5" xfId="0" applyNumberFormat="1" applyFont="1" applyBorder="1" applyAlignment="1">
      <alignment horizontal="right"/>
    </xf>
    <xf numFmtId="166" fontId="16" fillId="12" borderId="5" xfId="0" applyNumberFormat="1" applyFont="1" applyFill="1" applyBorder="1"/>
    <xf numFmtId="2" fontId="0" fillId="7" borderId="0" xfId="0" applyNumberFormat="1" applyFill="1" applyAlignment="1">
      <alignment horizontal="center" vertical="center" wrapText="1"/>
    </xf>
    <xf numFmtId="0" fontId="0" fillId="139" borderId="160" xfId="0" applyFill="1" applyBorder="1"/>
    <xf numFmtId="0" fontId="1" fillId="0" borderId="0" xfId="0" applyFont="1"/>
    <xf numFmtId="0" fontId="0" fillId="0" borderId="150" xfId="0" applyBorder="1"/>
    <xf numFmtId="171" fontId="127" fillId="99" borderId="150" xfId="0" applyNumberFormat="1" applyFont="1" applyFill="1" applyBorder="1" applyAlignment="1" applyProtection="1">
      <alignment horizontal="right" vertical="top" wrapText="1"/>
      <protection locked="0"/>
    </xf>
    <xf numFmtId="0" fontId="0" fillId="0" borderId="171" xfId="0" applyBorder="1"/>
    <xf numFmtId="0" fontId="0" fillId="0" borderId="173" xfId="0" applyBorder="1"/>
    <xf numFmtId="0" fontId="0" fillId="0" borderId="172" xfId="0" applyBorder="1"/>
    <xf numFmtId="0" fontId="0" fillId="0" borderId="174" xfId="0" applyBorder="1"/>
    <xf numFmtId="0" fontId="0" fillId="0" borderId="175" xfId="0" applyBorder="1"/>
    <xf numFmtId="0" fontId="0" fillId="0" borderId="176" xfId="0" applyBorder="1"/>
    <xf numFmtId="0" fontId="0" fillId="0" borderId="177" xfId="0" applyBorder="1"/>
    <xf numFmtId="166" fontId="127" fillId="99" borderId="0" xfId="0" applyNumberFormat="1" applyFont="1" applyFill="1" applyAlignment="1" applyProtection="1">
      <alignment horizontal="right" vertical="top" wrapText="1"/>
      <protection locked="0"/>
    </xf>
    <xf numFmtId="172" fontId="1" fillId="0" borderId="5" xfId="0" applyNumberFormat="1" applyFont="1" applyBorder="1"/>
    <xf numFmtId="0" fontId="136" fillId="104" borderId="29" xfId="0" applyFont="1" applyFill="1" applyBorder="1" applyAlignment="1">
      <alignment vertical="center" wrapText="1"/>
    </xf>
    <xf numFmtId="0" fontId="136" fillId="104" borderId="29" xfId="0" applyFont="1" applyFill="1" applyBorder="1"/>
    <xf numFmtId="166" fontId="136" fillId="104" borderId="29" xfId="0" applyNumberFormat="1" applyFont="1" applyFill="1" applyBorder="1"/>
    <xf numFmtId="166" fontId="136" fillId="104" borderId="29" xfId="0" applyNumberFormat="1" applyFont="1" applyFill="1" applyBorder="1" applyAlignment="1">
      <alignment horizontal="right" vertical="center"/>
    </xf>
    <xf numFmtId="0" fontId="16" fillId="4" borderId="183" xfId="0" applyFont="1" applyFill="1" applyBorder="1"/>
    <xf numFmtId="0" fontId="0" fillId="11" borderId="182" xfId="0" applyFill="1" applyBorder="1"/>
    <xf numFmtId="1" fontId="22" fillId="0" borderId="28" xfId="0" applyNumberFormat="1" applyFont="1" applyBorder="1"/>
    <xf numFmtId="1" fontId="136" fillId="0" borderId="181" xfId="0" applyNumberFormat="1" applyFont="1" applyBorder="1"/>
    <xf numFmtId="0" fontId="136" fillId="104" borderId="120" xfId="0" applyFont="1" applyFill="1" applyBorder="1" applyAlignment="1">
      <alignment horizontal="center"/>
    </xf>
    <xf numFmtId="166" fontId="136" fillId="104" borderId="120" xfId="0" applyNumberFormat="1" applyFont="1" applyFill="1" applyBorder="1" applyAlignment="1">
      <alignment horizontal="center" vertical="center"/>
    </xf>
    <xf numFmtId="166" fontId="136" fillId="104" borderId="181" xfId="0" applyNumberFormat="1" applyFont="1" applyFill="1" applyBorder="1" applyAlignment="1">
      <alignment horizontal="center" vertical="center"/>
    </xf>
    <xf numFmtId="0" fontId="0" fillId="4" borderId="182" xfId="0" applyFill="1" applyBorder="1"/>
    <xf numFmtId="166" fontId="22" fillId="0" borderId="28" xfId="0" applyNumberFormat="1" applyFont="1" applyBorder="1"/>
    <xf numFmtId="166" fontId="136" fillId="0" borderId="181" xfId="0" applyNumberFormat="1" applyFont="1" applyBorder="1"/>
    <xf numFmtId="0" fontId="136" fillId="104" borderId="182" xfId="0" applyFont="1" applyFill="1" applyBorder="1" applyAlignment="1">
      <alignment vertical="center"/>
    </xf>
    <xf numFmtId="166" fontId="136" fillId="104" borderId="181" xfId="0" applyNumberFormat="1" applyFont="1" applyFill="1" applyBorder="1" applyAlignment="1">
      <alignment horizontal="right"/>
    </xf>
    <xf numFmtId="0" fontId="136" fillId="104" borderId="182" xfId="0" applyFont="1" applyFill="1" applyBorder="1" applyAlignment="1">
      <alignment vertical="center" wrapText="1"/>
    </xf>
    <xf numFmtId="166" fontId="136" fillId="104" borderId="181" xfId="0" applyNumberFormat="1" applyFont="1" applyFill="1" applyBorder="1" applyAlignment="1">
      <alignment horizontal="right" vertical="center"/>
    </xf>
    <xf numFmtId="0" fontId="136" fillId="104" borderId="22" xfId="0" applyFont="1" applyFill="1" applyBorder="1" applyAlignment="1">
      <alignment vertical="center"/>
    </xf>
    <xf numFmtId="166" fontId="136" fillId="104" borderId="24" xfId="0" applyNumberFormat="1" applyFont="1" applyFill="1" applyBorder="1" applyAlignment="1">
      <alignment horizontal="right"/>
    </xf>
    <xf numFmtId="166" fontId="136" fillId="104" borderId="183" xfId="0" applyNumberFormat="1" applyFont="1" applyFill="1" applyBorder="1" applyAlignment="1">
      <alignment horizontal="center"/>
    </xf>
    <xf numFmtId="0" fontId="136" fillId="104" borderId="12" xfId="0" applyFont="1" applyFill="1" applyBorder="1" applyAlignment="1">
      <alignment horizontal="center" wrapText="1"/>
    </xf>
    <xf numFmtId="0" fontId="136" fillId="104" borderId="29" xfId="0" applyFont="1" applyFill="1" applyBorder="1" applyAlignment="1">
      <alignment horizontal="center"/>
    </xf>
    <xf numFmtId="166" fontId="136" fillId="104" borderId="29" xfId="0" applyNumberFormat="1" applyFont="1" applyFill="1" applyBorder="1" applyAlignment="1">
      <alignment horizontal="center" vertical="center"/>
    </xf>
    <xf numFmtId="0" fontId="0" fillId="11" borderId="120" xfId="0" applyFill="1" applyBorder="1"/>
    <xf numFmtId="0" fontId="0" fillId="11" borderId="29" xfId="0" applyFill="1" applyBorder="1"/>
    <xf numFmtId="0" fontId="136" fillId="17" borderId="120" xfId="0" applyFont="1" applyFill="1" applyBorder="1" applyAlignment="1">
      <alignment horizontal="center" vertical="center" wrapText="1"/>
    </xf>
    <xf numFmtId="15" fontId="136" fillId="17" borderId="120" xfId="0" applyNumberFormat="1" applyFont="1" applyFill="1" applyBorder="1" applyAlignment="1">
      <alignment horizontal="center" vertical="center" wrapText="1"/>
    </xf>
    <xf numFmtId="15" fontId="136" fillId="17" borderId="120" xfId="0" applyNumberFormat="1" applyFont="1" applyFill="1" applyBorder="1" applyAlignment="1">
      <alignment horizontal="center"/>
    </xf>
    <xf numFmtId="0" fontId="0" fillId="4" borderId="120" xfId="0" applyFill="1" applyBorder="1"/>
    <xf numFmtId="0" fontId="16" fillId="4" borderId="120" xfId="0" applyFont="1" applyFill="1" applyBorder="1"/>
    <xf numFmtId="0" fontId="0" fillId="11" borderId="178" xfId="0" applyFill="1" applyBorder="1"/>
    <xf numFmtId="3" fontId="202" fillId="0" borderId="13" xfId="0" applyNumberFormat="1" applyFont="1" applyBorder="1" applyAlignment="1">
      <alignment horizontal="center"/>
    </xf>
    <xf numFmtId="3" fontId="202" fillId="0" borderId="169" xfId="0" applyNumberFormat="1" applyFont="1" applyBorder="1" applyAlignment="1">
      <alignment horizontal="center"/>
    </xf>
    <xf numFmtId="1" fontId="22" fillId="0" borderId="29" xfId="0" applyNumberFormat="1" applyFont="1" applyBorder="1" applyAlignment="1">
      <alignment horizontal="center"/>
    </xf>
    <xf numFmtId="214" fontId="202" fillId="0" borderId="169" xfId="0" applyNumberFormat="1" applyFont="1" applyBorder="1" applyAlignment="1">
      <alignment horizontal="center"/>
    </xf>
    <xf numFmtId="1" fontId="22" fillId="0" borderId="120" xfId="0" applyNumberFormat="1" applyFont="1" applyBorder="1" applyAlignment="1">
      <alignment horizontal="center"/>
    </xf>
    <xf numFmtId="172" fontId="22" fillId="0" borderId="180" xfId="0" applyNumberFormat="1" applyFont="1" applyBorder="1" applyAlignment="1">
      <alignment horizontal="center"/>
    </xf>
    <xf numFmtId="0" fontId="202" fillId="0" borderId="13" xfId="0" applyFont="1" applyBorder="1" applyAlignment="1">
      <alignment horizontal="center"/>
    </xf>
    <xf numFmtId="172" fontId="22" fillId="0" borderId="120" xfId="0" applyNumberFormat="1" applyFont="1" applyBorder="1" applyAlignment="1">
      <alignment horizontal="center"/>
    </xf>
    <xf numFmtId="1" fontId="22" fillId="11" borderId="73" xfId="0" applyNumberFormat="1" applyFont="1" applyFill="1" applyBorder="1" applyAlignment="1">
      <alignment horizontal="center"/>
    </xf>
    <xf numFmtId="1" fontId="22" fillId="11" borderId="178" xfId="0" applyNumberFormat="1" applyFont="1" applyFill="1" applyBorder="1" applyAlignment="1">
      <alignment horizontal="center"/>
    </xf>
    <xf numFmtId="1" fontId="136" fillId="0" borderId="178" xfId="0" applyNumberFormat="1" applyFont="1" applyBorder="1" applyAlignment="1">
      <alignment horizontal="center"/>
    </xf>
    <xf numFmtId="166" fontId="22" fillId="11" borderId="178" xfId="0" applyNumberFormat="1" applyFont="1" applyFill="1" applyBorder="1" applyAlignment="1">
      <alignment horizontal="center"/>
    </xf>
    <xf numFmtId="0" fontId="203" fillId="145" borderId="120" xfId="0" applyFont="1" applyFill="1" applyBorder="1" applyAlignment="1">
      <alignment horizontal="center"/>
    </xf>
    <xf numFmtId="166" fontId="136" fillId="104" borderId="120" xfId="0" applyNumberFormat="1" applyFont="1" applyFill="1" applyBorder="1" applyAlignment="1">
      <alignment horizontal="center"/>
    </xf>
    <xf numFmtId="166" fontId="203" fillId="145" borderId="120" xfId="0" applyNumberFormat="1" applyFont="1" applyFill="1" applyBorder="1" applyAlignment="1">
      <alignment horizontal="center"/>
    </xf>
    <xf numFmtId="0" fontId="202" fillId="146" borderId="184" xfId="0" applyFont="1" applyFill="1" applyBorder="1" applyAlignment="1">
      <alignment horizontal="center" vertical="center" wrapText="1"/>
    </xf>
    <xf numFmtId="166" fontId="202" fillId="0" borderId="13" xfId="0" applyNumberFormat="1" applyFont="1" applyBorder="1" applyAlignment="1">
      <alignment horizontal="center"/>
    </xf>
    <xf numFmtId="166" fontId="22" fillId="0" borderId="29" xfId="0" applyNumberFormat="1" applyFont="1" applyBorder="1" applyAlignment="1">
      <alignment horizontal="center"/>
    </xf>
    <xf numFmtId="166" fontId="22" fillId="0" borderId="120" xfId="0" applyNumberFormat="1" applyFont="1" applyBorder="1" applyAlignment="1">
      <alignment horizontal="center"/>
    </xf>
    <xf numFmtId="171" fontId="22" fillId="0" borderId="120" xfId="0" applyNumberFormat="1" applyFont="1" applyBorder="1" applyAlignment="1">
      <alignment horizontal="center"/>
    </xf>
    <xf numFmtId="166" fontId="22" fillId="11" borderId="120" xfId="0" applyNumberFormat="1" applyFont="1" applyFill="1" applyBorder="1" applyAlignment="1">
      <alignment horizontal="center"/>
    </xf>
    <xf numFmtId="166" fontId="136" fillId="0" borderId="120" xfId="0" applyNumberFormat="1" applyFont="1" applyBorder="1" applyAlignment="1">
      <alignment horizontal="center"/>
    </xf>
    <xf numFmtId="0" fontId="203" fillId="145" borderId="13" xfId="0" applyFont="1" applyFill="1" applyBorder="1" applyAlignment="1">
      <alignment horizontal="center"/>
    </xf>
    <xf numFmtId="166" fontId="203" fillId="145" borderId="13" xfId="0" applyNumberFormat="1" applyFont="1" applyFill="1" applyBorder="1" applyAlignment="1">
      <alignment horizontal="center"/>
    </xf>
    <xf numFmtId="166" fontId="136" fillId="104" borderId="23" xfId="0" applyNumberFormat="1" applyFont="1" applyFill="1" applyBorder="1" applyAlignment="1">
      <alignment horizontal="center"/>
    </xf>
    <xf numFmtId="172" fontId="175" fillId="7" borderId="140" xfId="0" applyNumberFormat="1" applyFont="1" applyFill="1" applyBorder="1"/>
    <xf numFmtId="172" fontId="175" fillId="144" borderId="140" xfId="0" applyNumberFormat="1" applyFont="1" applyFill="1" applyBorder="1"/>
    <xf numFmtId="172" fontId="1" fillId="144" borderId="140" xfId="0" applyNumberFormat="1" applyFont="1" applyFill="1" applyBorder="1"/>
    <xf numFmtId="172" fontId="198" fillId="144" borderId="140" xfId="0" applyNumberFormat="1" applyFont="1" applyFill="1" applyBorder="1"/>
    <xf numFmtId="172" fontId="175" fillId="8" borderId="140" xfId="0" applyNumberFormat="1" applyFont="1" applyFill="1" applyBorder="1"/>
    <xf numFmtId="172" fontId="1" fillId="8" borderId="140" xfId="0" applyNumberFormat="1" applyFont="1" applyFill="1" applyBorder="1"/>
    <xf numFmtId="172" fontId="198" fillId="8" borderId="140" xfId="0" applyNumberFormat="1" applyFont="1" applyFill="1" applyBorder="1"/>
    <xf numFmtId="171" fontId="175" fillId="144" borderId="140" xfId="0" applyNumberFormat="1" applyFont="1" applyFill="1" applyBorder="1"/>
    <xf numFmtId="171" fontId="1" fillId="7" borderId="140" xfId="0" applyNumberFormat="1" applyFont="1" applyFill="1" applyBorder="1"/>
    <xf numFmtId="171" fontId="181" fillId="144" borderId="140" xfId="0" applyNumberFormat="1" applyFont="1" applyFill="1" applyBorder="1"/>
    <xf numFmtId="171" fontId="1" fillId="13" borderId="140" xfId="0" applyNumberFormat="1" applyFont="1" applyFill="1" applyBorder="1"/>
    <xf numFmtId="0" fontId="0" fillId="101" borderId="140" xfId="0" applyFill="1" applyBorder="1"/>
    <xf numFmtId="171" fontId="198" fillId="144" borderId="140" xfId="0" applyNumberFormat="1" applyFont="1" applyFill="1" applyBorder="1"/>
    <xf numFmtId="171" fontId="1" fillId="18" borderId="140" xfId="0" applyNumberFormat="1" applyFont="1" applyFill="1" applyBorder="1"/>
    <xf numFmtId="0" fontId="1" fillId="0" borderId="140" xfId="0" applyFont="1" applyBorder="1"/>
    <xf numFmtId="171" fontId="175" fillId="8" borderId="140" xfId="0" applyNumberFormat="1" applyFont="1" applyFill="1" applyBorder="1"/>
    <xf numFmtId="171" fontId="181" fillId="8" borderId="140" xfId="0" applyNumberFormat="1" applyFont="1" applyFill="1" applyBorder="1"/>
    <xf numFmtId="0" fontId="0" fillId="8" borderId="140" xfId="0" applyFill="1" applyBorder="1"/>
    <xf numFmtId="171" fontId="198" fillId="8" borderId="140" xfId="0" applyNumberFormat="1" applyFont="1" applyFill="1" applyBorder="1"/>
    <xf numFmtId="0" fontId="0" fillId="144" borderId="140" xfId="0" applyFill="1" applyBorder="1"/>
    <xf numFmtId="0" fontId="15" fillId="0" borderId="0" xfId="0" applyFont="1" applyAlignment="1">
      <alignment wrapText="1"/>
    </xf>
    <xf numFmtId="171" fontId="175" fillId="101" borderId="140" xfId="0" applyNumberFormat="1" applyFont="1" applyFill="1" applyBorder="1"/>
    <xf numFmtId="171" fontId="198" fillId="101" borderId="140" xfId="0" applyNumberFormat="1" applyFont="1" applyFill="1" applyBorder="1"/>
    <xf numFmtId="171" fontId="1" fillId="8" borderId="140" xfId="0" applyNumberFormat="1" applyFont="1" applyFill="1" applyBorder="1"/>
    <xf numFmtId="172" fontId="175" fillId="144" borderId="140" xfId="0" applyNumberFormat="1" applyFont="1" applyFill="1" applyBorder="1" applyAlignment="1">
      <alignment wrapText="1"/>
    </xf>
    <xf numFmtId="15" fontId="0" fillId="0" borderId="77" xfId="0" applyNumberFormat="1" applyBorder="1" applyAlignment="1">
      <alignment wrapText="1"/>
    </xf>
    <xf numFmtId="171" fontId="181" fillId="101" borderId="140" xfId="0" applyNumberFormat="1" applyFont="1" applyFill="1" applyBorder="1"/>
    <xf numFmtId="171" fontId="1" fillId="101" borderId="140" xfId="0" applyNumberFormat="1" applyFont="1" applyFill="1" applyBorder="1"/>
    <xf numFmtId="171" fontId="181" fillId="7" borderId="140" xfId="0" applyNumberFormat="1" applyFont="1" applyFill="1" applyBorder="1"/>
    <xf numFmtId="172" fontId="1" fillId="7" borderId="140" xfId="0" applyNumberFormat="1" applyFont="1" applyFill="1" applyBorder="1"/>
    <xf numFmtId="171" fontId="1" fillId="144" borderId="140" xfId="0" applyNumberFormat="1" applyFont="1" applyFill="1" applyBorder="1"/>
    <xf numFmtId="171" fontId="1" fillId="7" borderId="140" xfId="0" applyNumberFormat="1" applyFont="1" applyFill="1" applyBorder="1" applyAlignment="1">
      <alignment horizontal="left" indent="1"/>
    </xf>
    <xf numFmtId="15" fontId="0" fillId="0" borderId="140" xfId="0" applyNumberFormat="1" applyBorder="1" applyAlignment="1">
      <alignment wrapText="1"/>
    </xf>
    <xf numFmtId="15" fontId="0" fillId="0" borderId="178" xfId="0" applyNumberFormat="1" applyBorder="1" applyAlignment="1">
      <alignment wrapText="1"/>
    </xf>
    <xf numFmtId="172" fontId="175" fillId="7" borderId="178" xfId="0" applyNumberFormat="1" applyFont="1" applyFill="1" applyBorder="1"/>
    <xf numFmtId="172" fontId="15" fillId="17" borderId="178" xfId="0" applyNumberFormat="1" applyFont="1" applyFill="1" applyBorder="1"/>
    <xf numFmtId="171" fontId="1" fillId="7" borderId="178" xfId="0" applyNumberFormat="1" applyFont="1" applyFill="1" applyBorder="1" applyAlignment="1">
      <alignment horizontal="left" indent="1"/>
    </xf>
    <xf numFmtId="171" fontId="1" fillId="13" borderId="178" xfId="0" applyNumberFormat="1" applyFont="1" applyFill="1" applyBorder="1"/>
    <xf numFmtId="171" fontId="181" fillId="7" borderId="178" xfId="0" applyNumberFormat="1" applyFont="1" applyFill="1" applyBorder="1"/>
    <xf numFmtId="171" fontId="1" fillId="18" borderId="178" xfId="0" applyNumberFormat="1" applyFont="1" applyFill="1" applyBorder="1"/>
    <xf numFmtId="0" fontId="1" fillId="0" borderId="178" xfId="0" applyFont="1" applyBorder="1"/>
    <xf numFmtId="172" fontId="175" fillId="8" borderId="178" xfId="0" applyNumberFormat="1" applyFont="1" applyFill="1" applyBorder="1"/>
    <xf numFmtId="171" fontId="175" fillId="8" borderId="178" xfId="0" applyNumberFormat="1" applyFont="1" applyFill="1" applyBorder="1"/>
    <xf numFmtId="171" fontId="181" fillId="101" borderId="178" xfId="0" applyNumberFormat="1" applyFont="1" applyFill="1" applyBorder="1"/>
    <xf numFmtId="171" fontId="181" fillId="8" borderId="178" xfId="0" applyNumberFormat="1" applyFont="1" applyFill="1" applyBorder="1"/>
    <xf numFmtId="0" fontId="1" fillId="8" borderId="140" xfId="0" applyFont="1" applyFill="1" applyBorder="1"/>
    <xf numFmtId="172" fontId="15" fillId="17" borderId="140" xfId="0" applyNumberFormat="1" applyFont="1" applyFill="1" applyBorder="1"/>
    <xf numFmtId="172" fontId="175" fillId="147" borderId="140" xfId="0" applyNumberFormat="1" applyFont="1" applyFill="1" applyBorder="1"/>
    <xf numFmtId="171" fontId="1" fillId="8" borderId="140" xfId="0" applyNumberFormat="1" applyFont="1" applyFill="1" applyBorder="1" applyAlignment="1">
      <alignment horizontal="left" indent="1"/>
    </xf>
    <xf numFmtId="171" fontId="1" fillId="144" borderId="140" xfId="0" applyNumberFormat="1" applyFont="1" applyFill="1" applyBorder="1" applyAlignment="1">
      <alignment horizontal="left" indent="1"/>
    </xf>
    <xf numFmtId="171" fontId="1" fillId="13" borderId="140" xfId="0" applyNumberFormat="1" applyFont="1" applyFill="1" applyBorder="1" applyAlignment="1">
      <alignment horizontal="left" indent="1"/>
    </xf>
    <xf numFmtId="172" fontId="1" fillId="17" borderId="140" xfId="0" applyNumberFormat="1" applyFont="1" applyFill="1" applyBorder="1"/>
    <xf numFmtId="0" fontId="1" fillId="0" borderId="0" xfId="0" applyFont="1" applyAlignment="1">
      <alignment wrapText="1"/>
    </xf>
    <xf numFmtId="171" fontId="1" fillId="101" borderId="140" xfId="0" applyNumberFormat="1" applyFont="1" applyFill="1" applyBorder="1" applyAlignment="1">
      <alignment horizontal="left" indent="1"/>
    </xf>
    <xf numFmtId="171" fontId="175" fillId="7" borderId="140" xfId="0" applyNumberFormat="1" applyFont="1" applyFill="1" applyBorder="1"/>
    <xf numFmtId="0" fontId="0" fillId="0" borderId="140" xfId="0" applyBorder="1" applyAlignment="1">
      <alignment horizontal="center" vertical="center" wrapText="1"/>
    </xf>
    <xf numFmtId="2" fontId="0" fillId="0" borderId="140" xfId="0" applyNumberFormat="1" applyBorder="1" applyAlignment="1">
      <alignment horizontal="center" vertical="center" wrapText="1"/>
    </xf>
    <xf numFmtId="1" fontId="0" fillId="0" borderId="140" xfId="0" applyNumberFormat="1" applyBorder="1" applyAlignment="1">
      <alignment horizontal="center" vertical="center" wrapText="1"/>
    </xf>
    <xf numFmtId="166" fontId="0" fillId="0" borderId="140" xfId="0" applyNumberFormat="1" applyBorder="1" applyAlignment="1">
      <alignment horizontal="center" vertical="center" wrapText="1"/>
    </xf>
    <xf numFmtId="0" fontId="0" fillId="9" borderId="140" xfId="0" applyFill="1" applyBorder="1" applyAlignment="1">
      <alignment horizontal="center" vertical="center" wrapText="1"/>
    </xf>
    <xf numFmtId="2" fontId="0" fillId="9" borderId="140" xfId="0" applyNumberFormat="1" applyFill="1" applyBorder="1" applyAlignment="1">
      <alignment horizontal="center" vertical="center" wrapText="1"/>
    </xf>
    <xf numFmtId="1" fontId="0" fillId="9" borderId="140" xfId="0" applyNumberFormat="1" applyFill="1" applyBorder="1" applyAlignment="1">
      <alignment horizontal="center" vertical="center" wrapText="1"/>
    </xf>
    <xf numFmtId="166" fontId="0" fillId="9" borderId="140" xfId="0" applyNumberFormat="1" applyFill="1" applyBorder="1" applyAlignment="1">
      <alignment horizontal="center" vertical="center" wrapText="1"/>
    </xf>
    <xf numFmtId="0" fontId="0" fillId="10" borderId="140" xfId="0" applyFill="1" applyBorder="1" applyAlignment="1">
      <alignment horizontal="center" vertical="center" wrapText="1"/>
    </xf>
    <xf numFmtId="2" fontId="0" fillId="10" borderId="140" xfId="0" applyNumberFormat="1" applyFill="1" applyBorder="1" applyAlignment="1">
      <alignment horizontal="center" vertical="center" wrapText="1"/>
    </xf>
    <xf numFmtId="1" fontId="0" fillId="10" borderId="140" xfId="0" applyNumberFormat="1" applyFill="1" applyBorder="1" applyAlignment="1">
      <alignment horizontal="center" vertical="center" wrapText="1"/>
    </xf>
    <xf numFmtId="166" fontId="0" fillId="10" borderId="140" xfId="0" applyNumberFormat="1" applyFill="1" applyBorder="1" applyAlignment="1">
      <alignment horizontal="center" vertical="center" wrapText="1"/>
    </xf>
    <xf numFmtId="0" fontId="0" fillId="3" borderId="140" xfId="0" applyFill="1" applyBorder="1" applyAlignment="1">
      <alignment horizontal="center" vertical="center" wrapText="1"/>
    </xf>
    <xf numFmtId="2" fontId="0" fillId="3" borderId="140" xfId="0" applyNumberFormat="1" applyFill="1" applyBorder="1" applyAlignment="1">
      <alignment horizontal="center" vertical="center" wrapText="1"/>
    </xf>
    <xf numFmtId="1" fontId="0" fillId="3" borderId="140" xfId="0" applyNumberFormat="1" applyFill="1" applyBorder="1" applyAlignment="1">
      <alignment horizontal="center" vertical="center" wrapText="1"/>
    </xf>
    <xf numFmtId="166" fontId="0" fillId="3" borderId="140" xfId="0" applyNumberFormat="1" applyFill="1" applyBorder="1" applyAlignment="1">
      <alignment horizontal="center" vertical="center" wrapText="1"/>
    </xf>
    <xf numFmtId="0" fontId="184" fillId="0" borderId="5" xfId="0" applyFont="1" applyBorder="1" applyAlignment="1">
      <alignment horizontal="center" vertical="center" wrapText="1"/>
    </xf>
    <xf numFmtId="0" fontId="13" fillId="0" borderId="5" xfId="0" applyFont="1" applyBorder="1" applyAlignment="1">
      <alignment horizontal="center" vertical="center" wrapText="1"/>
    </xf>
    <xf numFmtId="0" fontId="205" fillId="0" borderId="5" xfId="0" applyFont="1" applyBorder="1" applyAlignment="1">
      <alignment horizontal="center" vertical="center" wrapText="1"/>
    </xf>
    <xf numFmtId="0" fontId="13" fillId="7" borderId="5" xfId="0" applyFont="1" applyFill="1" applyBorder="1" applyAlignment="1">
      <alignment horizontal="center" vertical="center" wrapText="1"/>
    </xf>
    <xf numFmtId="215" fontId="0" fillId="0" borderId="0" xfId="0" applyNumberFormat="1"/>
    <xf numFmtId="216" fontId="0" fillId="0" borderId="0" xfId="0" applyNumberFormat="1"/>
    <xf numFmtId="2" fontId="127" fillId="98" borderId="5" xfId="0" applyNumberFormat="1" applyFont="1" applyFill="1" applyBorder="1" applyAlignment="1" applyProtection="1">
      <alignment horizontal="center" vertical="center" wrapText="1"/>
      <protection locked="0"/>
    </xf>
    <xf numFmtId="2" fontId="169" fillId="22" borderId="77" xfId="0" applyNumberFormat="1" applyFont="1" applyFill="1" applyBorder="1"/>
    <xf numFmtId="2" fontId="127" fillId="99" borderId="5" xfId="0" applyNumberFormat="1" applyFont="1" applyFill="1" applyBorder="1" applyAlignment="1" applyProtection="1">
      <alignment horizontal="right" vertical="top" wrapText="1"/>
      <protection locked="0"/>
    </xf>
    <xf numFmtId="2" fontId="22" fillId="22" borderId="77" xfId="0" applyNumberFormat="1" applyFont="1" applyFill="1" applyBorder="1"/>
    <xf numFmtId="2" fontId="127" fillId="98" borderId="34" xfId="0" applyNumberFormat="1" applyFont="1" applyFill="1" applyBorder="1" applyAlignment="1" applyProtection="1">
      <alignment horizontal="center" vertical="center" wrapText="1"/>
      <protection locked="0"/>
    </xf>
    <xf numFmtId="2" fontId="127" fillId="99" borderId="150" xfId="0" applyNumberFormat="1" applyFont="1" applyFill="1" applyBorder="1" applyAlignment="1" applyProtection="1">
      <alignment horizontal="right" vertical="top" wrapText="1"/>
      <protection locked="0"/>
    </xf>
    <xf numFmtId="15" fontId="0" fillId="0" borderId="0" xfId="0" applyNumberFormat="1" applyAlignment="1">
      <alignment wrapText="1"/>
    </xf>
    <xf numFmtId="0" fontId="1" fillId="8" borderId="0" xfId="0" applyFont="1" applyFill="1"/>
    <xf numFmtId="172" fontId="198" fillId="8" borderId="0" xfId="0" applyNumberFormat="1" applyFont="1" applyFill="1"/>
    <xf numFmtId="172" fontId="175" fillId="8" borderId="0" xfId="0" applyNumberFormat="1" applyFont="1" applyFill="1"/>
    <xf numFmtId="172" fontId="1" fillId="8" borderId="0" xfId="0" applyNumberFormat="1" applyFont="1" applyFill="1"/>
    <xf numFmtId="171" fontId="175" fillId="8" borderId="0" xfId="0" applyNumberFormat="1" applyFont="1" applyFill="1"/>
    <xf numFmtId="171" fontId="1" fillId="8" borderId="0" xfId="0" applyNumberFormat="1" applyFont="1" applyFill="1" applyAlignment="1">
      <alignment horizontal="left" indent="1"/>
    </xf>
    <xf numFmtId="171" fontId="1" fillId="8" borderId="0" xfId="0" applyNumberFormat="1" applyFont="1" applyFill="1"/>
    <xf numFmtId="172" fontId="198" fillId="139" borderId="140" xfId="0" applyNumberFormat="1" applyFont="1" applyFill="1" applyBorder="1"/>
    <xf numFmtId="172" fontId="175" fillId="139" borderId="140" xfId="0" applyNumberFormat="1" applyFont="1" applyFill="1" applyBorder="1"/>
    <xf numFmtId="171" fontId="175" fillId="139" borderId="140" xfId="0" applyNumberFormat="1" applyFont="1" applyFill="1" applyBorder="1"/>
    <xf numFmtId="0" fontId="0" fillId="101" borderId="0" xfId="0" applyFill="1" applyAlignment="1">
      <alignment wrapText="1"/>
    </xf>
    <xf numFmtId="172" fontId="1" fillId="17" borderId="140" xfId="0" applyNumberFormat="1" applyFont="1" applyFill="1" applyBorder="1" applyAlignment="1">
      <alignment wrapText="1"/>
    </xf>
    <xf numFmtId="171" fontId="1" fillId="18" borderId="140" xfId="0" applyNumberFormat="1" applyFont="1" applyFill="1" applyBorder="1" applyAlignment="1">
      <alignment wrapText="1"/>
    </xf>
    <xf numFmtId="0" fontId="1" fillId="8" borderId="140" xfId="0" applyFont="1" applyFill="1" applyBorder="1" applyAlignment="1">
      <alignment wrapText="1"/>
    </xf>
    <xf numFmtId="172" fontId="198" fillId="144" borderId="140" xfId="0" applyNumberFormat="1" applyFont="1" applyFill="1" applyBorder="1" applyAlignment="1">
      <alignment wrapText="1"/>
    </xf>
    <xf numFmtId="171" fontId="175" fillId="144" borderId="140" xfId="0" applyNumberFormat="1" applyFont="1" applyFill="1" applyBorder="1" applyAlignment="1">
      <alignment wrapText="1"/>
    </xf>
    <xf numFmtId="172" fontId="175" fillId="8" borderId="140" xfId="0" applyNumberFormat="1" applyFont="1" applyFill="1" applyBorder="1" applyAlignment="1">
      <alignment wrapText="1"/>
    </xf>
    <xf numFmtId="172" fontId="198" fillId="8" borderId="140" xfId="0" applyNumberFormat="1" applyFont="1" applyFill="1" applyBorder="1" applyAlignment="1">
      <alignment wrapText="1"/>
    </xf>
    <xf numFmtId="171" fontId="175" fillId="8" borderId="140" xfId="0" applyNumberFormat="1" applyFont="1" applyFill="1" applyBorder="1" applyAlignment="1">
      <alignment wrapText="1"/>
    </xf>
    <xf numFmtId="171" fontId="1" fillId="13" borderId="140" xfId="0" applyNumberFormat="1" applyFont="1" applyFill="1" applyBorder="1" applyAlignment="1">
      <alignment wrapText="1"/>
    </xf>
    <xf numFmtId="171" fontId="175" fillId="101" borderId="140" xfId="0" applyNumberFormat="1" applyFont="1" applyFill="1" applyBorder="1" applyAlignment="1">
      <alignment wrapText="1"/>
    </xf>
    <xf numFmtId="171" fontId="1" fillId="144" borderId="140" xfId="0" applyNumberFormat="1" applyFont="1" applyFill="1" applyBorder="1" applyAlignment="1">
      <alignment horizontal="left" wrapText="1"/>
    </xf>
    <xf numFmtId="171" fontId="1" fillId="8" borderId="140" xfId="0" applyNumberFormat="1" applyFont="1" applyFill="1" applyBorder="1" applyAlignment="1">
      <alignment horizontal="left" wrapText="1"/>
    </xf>
    <xf numFmtId="0" fontId="0" fillId="8" borderId="140" xfId="0" applyFill="1" applyBorder="1" applyAlignment="1">
      <alignment wrapText="1"/>
    </xf>
    <xf numFmtId="172" fontId="175" fillId="7" borderId="140" xfId="0" applyNumberFormat="1" applyFont="1" applyFill="1" applyBorder="1" applyAlignment="1">
      <alignment wrapText="1"/>
    </xf>
    <xf numFmtId="0" fontId="1" fillId="0" borderId="0" xfId="0" applyFont="1" applyAlignment="1"/>
    <xf numFmtId="0" fontId="0" fillId="4" borderId="8" xfId="0" applyFill="1" applyBorder="1" applyAlignment="1">
      <alignment horizontal="center"/>
    </xf>
    <xf numFmtId="0" fontId="0" fillId="4" borderId="9" xfId="0" applyFill="1" applyBorder="1" applyAlignment="1">
      <alignment horizontal="center"/>
    </xf>
    <xf numFmtId="0" fontId="0" fillId="4" borderId="4" xfId="0" applyFill="1" applyBorder="1" applyAlignment="1">
      <alignment horizontal="center"/>
    </xf>
    <xf numFmtId="0" fontId="0" fillId="12" borderId="5" xfId="0" applyFill="1" applyBorder="1" applyAlignment="1">
      <alignment horizontal="center"/>
    </xf>
    <xf numFmtId="0" fontId="17" fillId="13" borderId="30" xfId="0" applyFont="1" applyFill="1" applyBorder="1" applyAlignment="1">
      <alignment horizontal="center" vertical="center" wrapText="1"/>
    </xf>
    <xf numFmtId="0" fontId="17" fillId="13" borderId="31" xfId="0" applyFont="1" applyFill="1" applyBorder="1" applyAlignment="1">
      <alignment horizontal="center" vertical="center" wrapText="1"/>
    </xf>
    <xf numFmtId="0" fontId="17" fillId="13" borderId="32" xfId="0" applyFont="1" applyFill="1" applyBorder="1" applyAlignment="1">
      <alignment horizontal="center" vertical="center" wrapText="1"/>
    </xf>
    <xf numFmtId="0" fontId="17" fillId="12" borderId="30" xfId="0" applyFont="1" applyFill="1" applyBorder="1" applyAlignment="1">
      <alignment horizontal="center" vertical="center" wrapText="1"/>
    </xf>
    <xf numFmtId="0" fontId="17" fillId="12" borderId="31" xfId="0" applyFont="1" applyFill="1" applyBorder="1" applyAlignment="1">
      <alignment horizontal="center" vertical="center" wrapText="1"/>
    </xf>
    <xf numFmtId="0" fontId="17" fillId="12" borderId="32" xfId="0" applyFont="1" applyFill="1" applyBorder="1" applyAlignment="1">
      <alignment horizontal="center" vertical="center" wrapText="1"/>
    </xf>
    <xf numFmtId="0" fontId="5" fillId="7" borderId="11" xfId="0" applyFont="1" applyFill="1" applyBorder="1" applyAlignment="1">
      <alignment horizontal="center" vertical="center" wrapText="1"/>
    </xf>
    <xf numFmtId="0" fontId="5" fillId="7" borderId="14" xfId="0" applyFont="1" applyFill="1" applyBorder="1" applyAlignment="1">
      <alignment horizontal="center" vertical="center" wrapText="1"/>
    </xf>
    <xf numFmtId="0" fontId="7" fillId="6" borderId="5" xfId="0" applyFont="1" applyFill="1" applyBorder="1" applyAlignment="1">
      <alignment horizontal="center" vertical="center" wrapText="1"/>
    </xf>
    <xf numFmtId="0" fontId="9" fillId="8" borderId="11" xfId="0" applyFont="1" applyFill="1" applyBorder="1" applyAlignment="1">
      <alignment wrapText="1"/>
    </xf>
    <xf numFmtId="0" fontId="9" fillId="8" borderId="17" xfId="0" applyFont="1" applyFill="1" applyBorder="1" applyAlignment="1">
      <alignment wrapText="1"/>
    </xf>
    <xf numFmtId="0" fontId="7" fillId="0" borderId="5" xfId="0" applyFont="1" applyBorder="1" applyAlignment="1">
      <alignment horizontal="center" vertical="center" wrapText="1"/>
    </xf>
    <xf numFmtId="0" fontId="7" fillId="3" borderId="5" xfId="0" applyFont="1" applyFill="1" applyBorder="1" applyAlignment="1">
      <alignment horizontal="center" vertical="center" wrapText="1"/>
    </xf>
    <xf numFmtId="0" fontId="7" fillId="4" borderId="5" xfId="0" applyFont="1" applyFill="1" applyBorder="1" applyAlignment="1">
      <alignment horizontal="center" vertical="center" wrapText="1"/>
    </xf>
    <xf numFmtId="0" fontId="7" fillId="5" borderId="8" xfId="0" applyFont="1" applyFill="1" applyBorder="1" applyAlignment="1">
      <alignment horizontal="center" vertical="center" wrapText="1"/>
    </xf>
    <xf numFmtId="0" fontId="7" fillId="5" borderId="9" xfId="0" applyFont="1" applyFill="1" applyBorder="1" applyAlignment="1">
      <alignment horizontal="center" vertical="center" wrapText="1"/>
    </xf>
    <xf numFmtId="0" fontId="7" fillId="5" borderId="4" xfId="0" applyFont="1" applyFill="1" applyBorder="1" applyAlignment="1">
      <alignment horizontal="center" vertical="center" wrapText="1"/>
    </xf>
    <xf numFmtId="0" fontId="13" fillId="8" borderId="94" xfId="0" applyFont="1" applyFill="1" applyBorder="1" applyAlignment="1">
      <alignment horizontal="left" vertical="top" wrapText="1"/>
    </xf>
    <xf numFmtId="0" fontId="13" fillId="8" borderId="92" xfId="0" applyFont="1" applyFill="1" applyBorder="1" applyAlignment="1">
      <alignment horizontal="left" vertical="top" wrapText="1"/>
    </xf>
    <xf numFmtId="0" fontId="13" fillId="8" borderId="93" xfId="0" applyFont="1" applyFill="1" applyBorder="1" applyAlignment="1">
      <alignment horizontal="left" vertical="top" wrapText="1"/>
    </xf>
    <xf numFmtId="0" fontId="145" fillId="2" borderId="2" xfId="0" applyFont="1" applyFill="1" applyBorder="1" applyAlignment="1">
      <alignment horizontal="center"/>
    </xf>
    <xf numFmtId="0" fontId="7" fillId="4" borderId="8" xfId="0" applyFont="1" applyFill="1" applyBorder="1" applyAlignment="1">
      <alignment horizontal="center" vertical="center" wrapText="1"/>
    </xf>
    <xf numFmtId="0" fontId="7" fillId="4" borderId="4" xfId="0" applyFont="1" applyFill="1" applyBorder="1" applyAlignment="1">
      <alignment horizontal="center" vertical="center" wrapText="1"/>
    </xf>
    <xf numFmtId="0" fontId="5" fillId="7" borderId="5" xfId="0" applyFont="1" applyFill="1" applyBorder="1" applyAlignment="1">
      <alignment horizontal="center" vertical="center" wrapText="1"/>
    </xf>
    <xf numFmtId="0" fontId="5" fillId="7" borderId="10" xfId="0" applyFont="1" applyFill="1" applyBorder="1" applyAlignment="1">
      <alignment horizontal="center" vertical="center" wrapText="1"/>
    </xf>
    <xf numFmtId="0" fontId="10" fillId="0" borderId="11" xfId="0" applyFont="1" applyBorder="1" applyAlignment="1">
      <alignment wrapText="1"/>
    </xf>
    <xf numFmtId="0" fontId="10" fillId="0" borderId="17" xfId="0" applyFont="1" applyBorder="1" applyAlignment="1">
      <alignment wrapText="1"/>
    </xf>
    <xf numFmtId="0" fontId="7" fillId="4" borderId="4" xfId="0" applyFont="1" applyFill="1" applyBorder="1" applyAlignment="1">
      <alignment horizontal="center" vertical="center"/>
    </xf>
    <xf numFmtId="0" fontId="7" fillId="0" borderId="11" xfId="0" applyFont="1" applyBorder="1" applyAlignment="1">
      <alignment horizontal="center" vertical="center"/>
    </xf>
    <xf numFmtId="0" fontId="7" fillId="0" borderId="21" xfId="0" applyFont="1" applyBorder="1" applyAlignment="1">
      <alignment horizontal="center" vertical="center"/>
    </xf>
    <xf numFmtId="0" fontId="7" fillId="3" borderId="5" xfId="0" applyFont="1" applyFill="1" applyBorder="1" applyAlignment="1">
      <alignment horizontal="center" vertical="center"/>
    </xf>
    <xf numFmtId="0" fontId="7" fillId="4" borderId="5" xfId="0" applyFont="1" applyFill="1" applyBorder="1" applyAlignment="1">
      <alignment horizontal="center" vertical="center"/>
    </xf>
    <xf numFmtId="0" fontId="7" fillId="5" borderId="8" xfId="0" applyFont="1" applyFill="1" applyBorder="1" applyAlignment="1">
      <alignment horizontal="center" vertical="center"/>
    </xf>
    <xf numFmtId="0" fontId="7" fillId="5" borderId="9" xfId="0" applyFont="1" applyFill="1" applyBorder="1" applyAlignment="1">
      <alignment horizontal="center" vertical="center"/>
    </xf>
    <xf numFmtId="0" fontId="7" fillId="5" borderId="4" xfId="0" applyFont="1" applyFill="1" applyBorder="1" applyAlignment="1">
      <alignment horizontal="center" vertical="center"/>
    </xf>
    <xf numFmtId="0" fontId="7" fillId="6" borderId="5" xfId="0" applyFont="1" applyFill="1" applyBorder="1" applyAlignment="1">
      <alignment horizontal="center" vertical="center"/>
    </xf>
    <xf numFmtId="0" fontId="4" fillId="2" borderId="2" xfId="0" applyFont="1" applyFill="1" applyBorder="1" applyAlignment="1">
      <alignment horizontal="center"/>
    </xf>
    <xf numFmtId="0" fontId="5" fillId="7" borderId="15" xfId="0" applyFont="1" applyFill="1" applyBorder="1" applyAlignment="1">
      <alignment horizontal="center" vertical="center" wrapText="1"/>
    </xf>
    <xf numFmtId="0" fontId="7" fillId="0" borderId="5" xfId="0" applyFont="1" applyBorder="1" applyAlignment="1">
      <alignment horizontal="center" vertical="center"/>
    </xf>
    <xf numFmtId="0" fontId="10" fillId="0" borderId="0" xfId="0" applyFont="1" applyAlignment="1">
      <alignment wrapText="1"/>
    </xf>
    <xf numFmtId="0" fontId="5" fillId="7" borderId="25" xfId="0" applyFont="1" applyFill="1" applyBorder="1" applyAlignment="1">
      <alignment horizontal="center" vertical="center" wrapText="1"/>
    </xf>
    <xf numFmtId="0" fontId="9" fillId="7" borderId="0" xfId="0" applyFont="1" applyFill="1" applyAlignment="1">
      <alignment wrapText="1"/>
    </xf>
    <xf numFmtId="0" fontId="125" fillId="2" borderId="2" xfId="0" applyFont="1" applyFill="1" applyBorder="1" applyAlignment="1">
      <alignment horizontal="center"/>
    </xf>
    <xf numFmtId="0" fontId="5" fillId="7" borderId="27" xfId="0" applyFont="1" applyFill="1" applyBorder="1" applyAlignment="1">
      <alignment horizontal="center" vertical="center" wrapText="1"/>
    </xf>
    <xf numFmtId="0" fontId="5" fillId="7" borderId="28" xfId="0" applyFont="1" applyFill="1" applyBorder="1" applyAlignment="1">
      <alignment horizontal="center" vertical="center" wrapText="1"/>
    </xf>
    <xf numFmtId="0" fontId="9" fillId="7" borderId="17" xfId="0" applyFont="1" applyFill="1" applyBorder="1" applyAlignment="1">
      <alignment wrapText="1"/>
    </xf>
    <xf numFmtId="0" fontId="125" fillId="2" borderId="0" xfId="0" applyFont="1" applyFill="1" applyAlignment="1">
      <alignment horizontal="center"/>
    </xf>
    <xf numFmtId="0" fontId="7" fillId="7" borderId="8" xfId="0" applyFont="1" applyFill="1" applyBorder="1" applyAlignment="1">
      <alignment horizontal="center" vertical="center" wrapText="1"/>
    </xf>
    <xf numFmtId="0" fontId="7" fillId="7" borderId="4" xfId="0" applyFont="1" applyFill="1" applyBorder="1" applyAlignment="1">
      <alignment horizontal="center" vertical="center" wrapText="1"/>
    </xf>
    <xf numFmtId="0" fontId="5" fillId="7" borderId="29" xfId="0" applyFont="1" applyFill="1" applyBorder="1" applyAlignment="1">
      <alignment horizontal="center" vertical="center" wrapText="1"/>
    </xf>
    <xf numFmtId="0" fontId="5" fillId="7" borderId="25" xfId="0" applyFont="1" applyFill="1" applyBorder="1" applyAlignment="1">
      <alignment horizontal="center" vertical="center"/>
    </xf>
    <xf numFmtId="0" fontId="5" fillId="7" borderId="29" xfId="0" applyFont="1" applyFill="1" applyBorder="1" applyAlignment="1">
      <alignment horizontal="center" vertical="center"/>
    </xf>
    <xf numFmtId="0" fontId="15" fillId="17" borderId="5" xfId="0" applyFont="1" applyFill="1" applyBorder="1" applyAlignment="1">
      <alignment horizontal="center"/>
    </xf>
    <xf numFmtId="0" fontId="15" fillId="18" borderId="5" xfId="0" applyFont="1" applyFill="1" applyBorder="1" applyAlignment="1">
      <alignment horizontal="center"/>
    </xf>
    <xf numFmtId="0" fontId="0" fillId="22" borderId="0" xfId="0" applyFill="1" applyAlignment="1">
      <alignment horizontal="center"/>
    </xf>
    <xf numFmtId="0" fontId="0" fillId="15" borderId="5" xfId="0" applyFill="1" applyBorder="1" applyAlignment="1">
      <alignment horizontal="center"/>
    </xf>
    <xf numFmtId="0" fontId="0" fillId="13" borderId="5" xfId="0" applyFill="1" applyBorder="1" applyAlignment="1">
      <alignment horizontal="center"/>
    </xf>
    <xf numFmtId="0" fontId="0" fillId="4" borderId="59" xfId="0" applyFill="1" applyBorder="1" applyAlignment="1">
      <alignment horizontal="center"/>
    </xf>
    <xf numFmtId="0" fontId="0" fillId="12" borderId="8" xfId="0" applyFill="1" applyBorder="1" applyAlignment="1">
      <alignment horizontal="center"/>
    </xf>
    <xf numFmtId="0" fontId="0" fillId="12" borderId="59" xfId="0" applyFill="1" applyBorder="1" applyAlignment="1">
      <alignment horizontal="center"/>
    </xf>
    <xf numFmtId="0" fontId="0" fillId="12" borderId="4" xfId="0" applyFill="1" applyBorder="1" applyAlignment="1">
      <alignment horizontal="center"/>
    </xf>
    <xf numFmtId="0" fontId="0" fillId="13" borderId="8" xfId="0" applyFill="1" applyBorder="1" applyAlignment="1">
      <alignment horizontal="center"/>
    </xf>
    <xf numFmtId="0" fontId="0" fillId="13" borderId="59" xfId="0" applyFill="1" applyBorder="1" applyAlignment="1">
      <alignment horizontal="center"/>
    </xf>
    <xf numFmtId="0" fontId="0" fillId="13" borderId="4" xfId="0" applyFill="1" applyBorder="1" applyAlignment="1">
      <alignment horizontal="center"/>
    </xf>
    <xf numFmtId="0" fontId="15" fillId="23" borderId="5" xfId="0" applyFont="1" applyFill="1" applyBorder="1" applyAlignment="1">
      <alignment horizontal="center"/>
    </xf>
    <xf numFmtId="0" fontId="15" fillId="2" borderId="5" xfId="0" applyFont="1" applyFill="1" applyBorder="1" applyAlignment="1">
      <alignment horizontal="center"/>
    </xf>
    <xf numFmtId="0" fontId="15" fillId="17" borderId="25" xfId="0" applyFont="1" applyFill="1" applyBorder="1" applyAlignment="1">
      <alignment horizontal="center" wrapText="1"/>
    </xf>
    <xf numFmtId="0" fontId="15" fillId="17" borderId="29" xfId="0" applyFont="1" applyFill="1" applyBorder="1" applyAlignment="1">
      <alignment horizontal="center" wrapText="1"/>
    </xf>
    <xf numFmtId="0" fontId="15" fillId="18" borderId="25" xfId="0" applyFont="1" applyFill="1" applyBorder="1" applyAlignment="1">
      <alignment horizontal="center" wrapText="1"/>
    </xf>
    <xf numFmtId="0" fontId="15" fillId="18" borderId="29" xfId="0" applyFont="1" applyFill="1" applyBorder="1" applyAlignment="1">
      <alignment horizontal="center" wrapText="1"/>
    </xf>
    <xf numFmtId="0" fontId="22" fillId="25" borderId="94" xfId="0" applyFont="1" applyFill="1" applyBorder="1" applyAlignment="1">
      <alignment horizontal="center"/>
    </xf>
    <xf numFmtId="0" fontId="22" fillId="25" borderId="93" xfId="0" applyFont="1" applyFill="1" applyBorder="1" applyAlignment="1">
      <alignment horizontal="center"/>
    </xf>
    <xf numFmtId="0" fontId="0" fillId="0" borderId="94" xfId="0" applyBorder="1" applyAlignment="1">
      <alignment horizontal="center"/>
    </xf>
    <xf numFmtId="0" fontId="0" fillId="0" borderId="93" xfId="0" applyBorder="1" applyAlignment="1">
      <alignment horizontal="center"/>
    </xf>
    <xf numFmtId="0" fontId="18" fillId="104" borderId="71" xfId="0" applyFont="1" applyFill="1" applyBorder="1" applyAlignment="1">
      <alignment horizontal="center"/>
    </xf>
    <xf numFmtId="0" fontId="18" fillId="104" borderId="72" xfId="0" applyFont="1" applyFill="1" applyBorder="1" applyAlignment="1">
      <alignment horizontal="center"/>
    </xf>
    <xf numFmtId="0" fontId="18" fillId="104" borderId="73" xfId="0" applyFont="1" applyFill="1" applyBorder="1" applyAlignment="1">
      <alignment horizontal="center"/>
    </xf>
    <xf numFmtId="0" fontId="22" fillId="5" borderId="91" xfId="0" applyFont="1" applyFill="1" applyBorder="1" applyAlignment="1">
      <alignment horizontal="center" vertical="center" wrapText="1"/>
    </xf>
    <xf numFmtId="0" fontId="136" fillId="4" borderId="94" xfId="0" applyFont="1" applyFill="1" applyBorder="1" applyAlignment="1">
      <alignment horizontal="center"/>
    </xf>
    <xf numFmtId="0" fontId="136" fillId="4" borderId="92" xfId="0" applyFont="1" applyFill="1" applyBorder="1" applyAlignment="1">
      <alignment horizontal="center"/>
    </xf>
    <xf numFmtId="15" fontId="136" fillId="4" borderId="71" xfId="0" applyNumberFormat="1" applyFont="1" applyFill="1" applyBorder="1" applyAlignment="1">
      <alignment horizontal="center" vertical="center"/>
    </xf>
    <xf numFmtId="15" fontId="136" fillId="4" borderId="72" xfId="0" applyNumberFormat="1" applyFont="1" applyFill="1" applyBorder="1" applyAlignment="1">
      <alignment horizontal="center" vertical="center"/>
    </xf>
    <xf numFmtId="15" fontId="136" fillId="4" borderId="73" xfId="0" applyNumberFormat="1" applyFont="1" applyFill="1" applyBorder="1" applyAlignment="1">
      <alignment horizontal="center" vertical="center"/>
    </xf>
    <xf numFmtId="15" fontId="136" fillId="4" borderId="38" xfId="0" applyNumberFormat="1" applyFont="1" applyFill="1" applyBorder="1" applyAlignment="1">
      <alignment horizontal="center" vertical="center"/>
    </xf>
    <xf numFmtId="15" fontId="136" fillId="4" borderId="33" xfId="0" applyNumberFormat="1" applyFont="1" applyFill="1" applyBorder="1" applyAlignment="1">
      <alignment horizontal="center" vertical="center"/>
    </xf>
    <xf numFmtId="15" fontId="136" fillId="4" borderId="13" xfId="0" applyNumberFormat="1" applyFont="1" applyFill="1" applyBorder="1" applyAlignment="1">
      <alignment horizontal="center" vertical="center"/>
    </xf>
    <xf numFmtId="0" fontId="22" fillId="4" borderId="84" xfId="0" applyFont="1" applyFill="1" applyBorder="1" applyAlignment="1">
      <alignment horizontal="center" vertical="center"/>
    </xf>
    <xf numFmtId="0" fontId="22" fillId="4" borderId="29" xfId="0" applyFont="1" applyFill="1" applyBorder="1" applyAlignment="1">
      <alignment horizontal="center" vertical="center"/>
    </xf>
    <xf numFmtId="0" fontId="137" fillId="0" borderId="0" xfId="0" applyFont="1" applyAlignment="1">
      <alignment horizontal="center"/>
    </xf>
    <xf numFmtId="0" fontId="18" fillId="0" borderId="33" xfId="0" applyFont="1" applyBorder="1" applyAlignment="1">
      <alignment horizontal="center" vertical="center"/>
    </xf>
    <xf numFmtId="0" fontId="3" fillId="11" borderId="71" xfId="0" applyFont="1" applyFill="1" applyBorder="1" applyAlignment="1">
      <alignment horizontal="center" vertical="center"/>
    </xf>
    <xf numFmtId="0" fontId="3" fillId="11" borderId="35" xfId="0" applyFont="1" applyFill="1" applyBorder="1" applyAlignment="1">
      <alignment horizontal="center" vertical="center"/>
    </xf>
    <xf numFmtId="0" fontId="3" fillId="11" borderId="77" xfId="0" applyFont="1" applyFill="1" applyBorder="1" applyAlignment="1">
      <alignment horizontal="left" vertical="center" wrapText="1"/>
    </xf>
    <xf numFmtId="0" fontId="3" fillId="136" borderId="77" xfId="0" applyFont="1" applyFill="1" applyBorder="1" applyAlignment="1">
      <alignment horizontal="center"/>
    </xf>
    <xf numFmtId="0" fontId="3" fillId="137" borderId="77" xfId="0" applyFont="1" applyFill="1" applyBorder="1" applyAlignment="1">
      <alignment horizontal="center"/>
    </xf>
    <xf numFmtId="0" fontId="172" fillId="0" borderId="0" xfId="0" applyFont="1" applyAlignment="1">
      <alignment horizontal="right"/>
    </xf>
    <xf numFmtId="0" fontId="136" fillId="11" borderId="84" xfId="0" applyFont="1" applyFill="1" applyBorder="1" applyAlignment="1">
      <alignment horizontal="center" vertical="center" wrapText="1"/>
    </xf>
    <xf numFmtId="0" fontId="136" fillId="11" borderId="29" xfId="0" applyFont="1" applyFill="1" applyBorder="1" applyAlignment="1">
      <alignment horizontal="center" vertical="center" wrapText="1"/>
    </xf>
    <xf numFmtId="0" fontId="172" fillId="0" borderId="0" xfId="0" applyFont="1" applyAlignment="1">
      <alignment horizontal="center"/>
    </xf>
    <xf numFmtId="0" fontId="136" fillId="13" borderId="16" xfId="0" applyFont="1" applyFill="1" applyBorder="1" applyAlignment="1">
      <alignment horizontal="center"/>
    </xf>
    <xf numFmtId="0" fontId="136" fillId="13" borderId="77" xfId="0" applyFont="1" applyFill="1" applyBorder="1" applyAlignment="1">
      <alignment horizontal="center"/>
    </xf>
    <xf numFmtId="0" fontId="22" fillId="22" borderId="85" xfId="0" applyFont="1" applyFill="1" applyBorder="1" applyAlignment="1">
      <alignment horizontal="center" wrapText="1"/>
    </xf>
    <xf numFmtId="0" fontId="22" fillId="22" borderId="106" xfId="0" applyFont="1" applyFill="1" applyBorder="1" applyAlignment="1">
      <alignment horizontal="center" wrapText="1"/>
    </xf>
    <xf numFmtId="0" fontId="0" fillId="25" borderId="16" xfId="0" applyFill="1" applyBorder="1" applyAlignment="1">
      <alignment horizontal="center"/>
    </xf>
    <xf numFmtId="0" fontId="0" fillId="25" borderId="77" xfId="0" applyFill="1" applyBorder="1" applyAlignment="1">
      <alignment horizontal="center"/>
    </xf>
    <xf numFmtId="0" fontId="0" fillId="22" borderId="102" xfId="0" applyFill="1" applyBorder="1" applyAlignment="1">
      <alignment horizontal="left" vertical="center"/>
    </xf>
    <xf numFmtId="0" fontId="130" fillId="25" borderId="107" xfId="0" applyFont="1" applyFill="1" applyBorder="1" applyAlignment="1">
      <alignment horizontal="left"/>
    </xf>
    <xf numFmtId="0" fontId="130" fillId="25" borderId="103" xfId="0" applyFont="1" applyFill="1" applyBorder="1" applyAlignment="1">
      <alignment horizontal="left"/>
    </xf>
    <xf numFmtId="0" fontId="130" fillId="25" borderId="104" xfId="0" applyFont="1" applyFill="1" applyBorder="1" applyAlignment="1">
      <alignment horizontal="left"/>
    </xf>
    <xf numFmtId="0" fontId="22" fillId="13" borderId="77" xfId="0" applyFont="1" applyFill="1" applyBorder="1" applyAlignment="1">
      <alignment horizontal="center"/>
    </xf>
    <xf numFmtId="0" fontId="18" fillId="0" borderId="16" xfId="0" applyFont="1" applyBorder="1" applyAlignment="1">
      <alignment horizontal="center"/>
    </xf>
    <xf numFmtId="0" fontId="18" fillId="0" borderId="77" xfId="0" applyFont="1" applyBorder="1" applyAlignment="1">
      <alignment horizontal="center"/>
    </xf>
    <xf numFmtId="0" fontId="18" fillId="0" borderId="15" xfId="0" applyFont="1" applyBorder="1" applyAlignment="1">
      <alignment horizontal="center"/>
    </xf>
    <xf numFmtId="0" fontId="22" fillId="13" borderId="85" xfId="0" applyFont="1" applyFill="1" applyBorder="1" applyAlignment="1">
      <alignment horizontal="center"/>
    </xf>
    <xf numFmtId="0" fontId="22" fillId="13" borderId="106" xfId="0" applyFont="1" applyFill="1" applyBorder="1" applyAlignment="1">
      <alignment horizontal="center"/>
    </xf>
    <xf numFmtId="0" fontId="22" fillId="22" borderId="77" xfId="0" applyFont="1" applyFill="1" applyBorder="1" applyAlignment="1">
      <alignment horizontal="center"/>
    </xf>
    <xf numFmtId="0" fontId="22" fillId="11" borderId="77" xfId="0" applyFont="1" applyFill="1" applyBorder="1" applyAlignment="1">
      <alignment horizontal="center"/>
    </xf>
    <xf numFmtId="0" fontId="22" fillId="11" borderId="15" xfId="0" applyFont="1" applyFill="1" applyBorder="1" applyAlignment="1">
      <alignment horizontal="center"/>
    </xf>
    <xf numFmtId="0" fontId="136" fillId="22" borderId="16" xfId="0" applyFont="1" applyFill="1" applyBorder="1" applyAlignment="1">
      <alignment horizontal="center"/>
    </xf>
    <xf numFmtId="0" fontId="136" fillId="22" borderId="77" xfId="0" applyFont="1" applyFill="1" applyBorder="1" applyAlignment="1">
      <alignment horizontal="center"/>
    </xf>
    <xf numFmtId="0" fontId="136" fillId="11" borderId="16" xfId="0" applyFont="1" applyFill="1" applyBorder="1" applyAlignment="1">
      <alignment horizontal="center"/>
    </xf>
    <xf numFmtId="0" fontId="136" fillId="11" borderId="77" xfId="0" applyFont="1" applyFill="1" applyBorder="1" applyAlignment="1">
      <alignment horizontal="center"/>
    </xf>
    <xf numFmtId="0" fontId="22" fillId="11" borderId="85" xfId="0" applyFont="1" applyFill="1" applyBorder="1" applyAlignment="1">
      <alignment horizontal="center" wrapText="1"/>
    </xf>
    <xf numFmtId="0" fontId="22" fillId="11" borderId="106" xfId="0" applyFont="1" applyFill="1" applyBorder="1" applyAlignment="1">
      <alignment horizontal="center" wrapText="1"/>
    </xf>
    <xf numFmtId="0" fontId="131" fillId="0" borderId="2" xfId="0" applyFont="1" applyBorder="1" applyAlignment="1">
      <alignment horizontal="center" vertical="center" wrapText="1"/>
    </xf>
    <xf numFmtId="0" fontId="131" fillId="0" borderId="3" xfId="0" applyFont="1" applyBorder="1" applyAlignment="1">
      <alignment horizontal="center" vertical="center" wrapText="1"/>
    </xf>
    <xf numFmtId="0" fontId="0" fillId="4" borderId="102" xfId="0" applyFill="1" applyBorder="1" applyAlignment="1">
      <alignment horizontal="left"/>
    </xf>
    <xf numFmtId="0" fontId="0" fillId="4" borderId="0" xfId="0" applyFill="1" applyAlignment="1">
      <alignment horizontal="left"/>
    </xf>
    <xf numFmtId="0" fontId="0" fillId="4" borderId="37" xfId="0" applyFill="1" applyBorder="1" applyAlignment="1">
      <alignment horizontal="left"/>
    </xf>
    <xf numFmtId="10" fontId="0" fillId="22" borderId="102" xfId="0" applyNumberFormat="1" applyFill="1" applyBorder="1" applyAlignment="1">
      <alignment horizontal="left" vertical="center"/>
    </xf>
    <xf numFmtId="0" fontId="0" fillId="15" borderId="77" xfId="0" applyFill="1" applyBorder="1" applyAlignment="1">
      <alignment horizontal="center"/>
    </xf>
    <xf numFmtId="0" fontId="0" fillId="15" borderId="15" xfId="0" applyFill="1" applyBorder="1" applyAlignment="1">
      <alignment horizontal="center"/>
    </xf>
    <xf numFmtId="0" fontId="3" fillId="4" borderId="77" xfId="0" applyFont="1" applyFill="1" applyBorder="1" applyAlignment="1">
      <alignment horizontal="left"/>
    </xf>
    <xf numFmtId="0" fontId="3" fillId="4" borderId="98" xfId="0" applyFont="1" applyFill="1" applyBorder="1" applyAlignment="1">
      <alignment horizontal="left"/>
    </xf>
    <xf numFmtId="0" fontId="3" fillId="4" borderId="105" xfId="0" applyFont="1" applyFill="1" applyBorder="1" applyAlignment="1">
      <alignment horizontal="left"/>
    </xf>
    <xf numFmtId="0" fontId="0" fillId="4" borderId="103" xfId="0" applyFill="1" applyBorder="1" applyAlignment="1">
      <alignment horizontal="left"/>
    </xf>
    <xf numFmtId="0" fontId="0" fillId="4" borderId="104" xfId="0" applyFill="1" applyBorder="1" applyAlignment="1">
      <alignment horizontal="left"/>
    </xf>
    <xf numFmtId="0" fontId="0" fillId="25" borderId="35" xfId="0" applyFill="1" applyBorder="1" applyAlignment="1">
      <alignment horizontal="left" vertical="top" wrapText="1"/>
    </xf>
    <xf numFmtId="0" fontId="0" fillId="25" borderId="0" xfId="0" applyFill="1" applyAlignment="1">
      <alignment horizontal="left" vertical="top" wrapText="1"/>
    </xf>
    <xf numFmtId="0" fontId="0" fillId="25" borderId="7" xfId="0" applyFill="1" applyBorder="1" applyAlignment="1">
      <alignment horizontal="left" vertical="top" wrapText="1"/>
    </xf>
    <xf numFmtId="0" fontId="0" fillId="25" borderId="38" xfId="0" applyFill="1" applyBorder="1" applyAlignment="1">
      <alignment horizontal="left" vertical="top" wrapText="1"/>
    </xf>
    <xf numFmtId="0" fontId="0" fillId="25" borderId="33" xfId="0" applyFill="1" applyBorder="1" applyAlignment="1">
      <alignment horizontal="left" vertical="top" wrapText="1"/>
    </xf>
    <xf numFmtId="0" fontId="0" fillId="25" borderId="109" xfId="0" applyFill="1" applyBorder="1" applyAlignment="1">
      <alignment horizontal="left" vertical="top" wrapText="1"/>
    </xf>
    <xf numFmtId="0" fontId="138" fillId="0" borderId="0" xfId="0" applyFont="1" applyAlignment="1" applyProtection="1">
      <alignment horizontal="left" vertical="top"/>
      <protection locked="0"/>
    </xf>
    <xf numFmtId="0" fontId="18" fillId="0" borderId="35" xfId="0" applyFont="1" applyBorder="1" applyAlignment="1">
      <alignment horizontal="center" vertical="center"/>
    </xf>
    <xf numFmtId="0" fontId="18" fillId="0" borderId="0" xfId="0" applyFont="1" applyAlignment="1">
      <alignment horizontal="center" vertical="center"/>
    </xf>
    <xf numFmtId="0" fontId="18" fillId="0" borderId="37" xfId="0" applyFont="1" applyBorder="1" applyAlignment="1">
      <alignment horizontal="center" vertical="center"/>
    </xf>
    <xf numFmtId="0" fontId="16" fillId="4" borderId="94" xfId="0" applyFont="1" applyFill="1" applyBorder="1" applyAlignment="1">
      <alignment horizontal="center"/>
    </xf>
    <xf numFmtId="0" fontId="16" fillId="4" borderId="92" xfId="0" applyFont="1" applyFill="1" applyBorder="1" applyAlignment="1">
      <alignment horizontal="center"/>
    </xf>
    <xf numFmtId="0" fontId="16" fillId="4" borderId="113" xfId="0" applyFont="1" applyFill="1" applyBorder="1" applyAlignment="1">
      <alignment horizontal="center"/>
    </xf>
    <xf numFmtId="0" fontId="16" fillId="2" borderId="71" xfId="0" applyFont="1" applyFill="1" applyBorder="1" applyAlignment="1">
      <alignment horizontal="center" vertical="center" wrapText="1"/>
    </xf>
    <xf numFmtId="0" fontId="16" fillId="2" borderId="112" xfId="0" applyFont="1" applyFill="1" applyBorder="1" applyAlignment="1">
      <alignment horizontal="center" vertical="center" wrapText="1"/>
    </xf>
    <xf numFmtId="0" fontId="16" fillId="2" borderId="38" xfId="0" applyFont="1" applyFill="1" applyBorder="1" applyAlignment="1">
      <alignment horizontal="center" vertical="center" wrapText="1"/>
    </xf>
    <xf numFmtId="0" fontId="16" fillId="2" borderId="109" xfId="0" applyFont="1" applyFill="1" applyBorder="1" applyAlignment="1">
      <alignment horizontal="center" vertical="center" wrapText="1"/>
    </xf>
    <xf numFmtId="0" fontId="16" fillId="25" borderId="71" xfId="0" applyFont="1" applyFill="1" applyBorder="1" applyAlignment="1">
      <alignment horizontal="center" vertical="center" wrapText="1"/>
    </xf>
    <xf numFmtId="0" fontId="16" fillId="25" borderId="73" xfId="0" applyFont="1" applyFill="1" applyBorder="1" applyAlignment="1">
      <alignment horizontal="center" vertical="center" wrapText="1"/>
    </xf>
    <xf numFmtId="0" fontId="16" fillId="25" borderId="38" xfId="0" applyFont="1" applyFill="1" applyBorder="1" applyAlignment="1">
      <alignment horizontal="center" vertical="center" wrapText="1"/>
    </xf>
    <xf numFmtId="0" fontId="16" fillId="25" borderId="13" xfId="0" applyFont="1" applyFill="1" applyBorder="1" applyAlignment="1">
      <alignment horizontal="center" vertical="center" wrapText="1"/>
    </xf>
    <xf numFmtId="0" fontId="16" fillId="4" borderId="84" xfId="0" applyFont="1" applyFill="1" applyBorder="1" applyAlignment="1">
      <alignment horizontal="center" vertical="center"/>
    </xf>
    <xf numFmtId="0" fontId="16" fillId="4" borderId="29" xfId="0" applyFont="1" applyFill="1" applyBorder="1" applyAlignment="1">
      <alignment horizontal="center" vertical="center"/>
    </xf>
    <xf numFmtId="0" fontId="0" fillId="22" borderId="94" xfId="0" applyFill="1" applyBorder="1" applyAlignment="1">
      <alignment horizontal="center"/>
    </xf>
    <xf numFmtId="0" fontId="0" fillId="22" borderId="93" xfId="0" applyFill="1" applyBorder="1" applyAlignment="1">
      <alignment horizontal="center"/>
    </xf>
    <xf numFmtId="0" fontId="192" fillId="18" borderId="5" xfId="0" applyFont="1" applyFill="1" applyBorder="1" applyAlignment="1">
      <alignment horizontal="center" vertical="center"/>
    </xf>
    <xf numFmtId="0" fontId="193" fillId="18" borderId="5" xfId="0" applyFont="1" applyFill="1" applyBorder="1" applyAlignment="1">
      <alignment horizontal="center" vertical="center"/>
    </xf>
    <xf numFmtId="0" fontId="192" fillId="17" borderId="77" xfId="0" applyFont="1" applyFill="1" applyBorder="1" applyAlignment="1">
      <alignment horizontal="center" vertical="center"/>
    </xf>
    <xf numFmtId="0" fontId="193" fillId="17" borderId="77" xfId="0" applyFont="1" applyFill="1" applyBorder="1" applyAlignment="1">
      <alignment horizontal="center" vertical="center"/>
    </xf>
    <xf numFmtId="0" fontId="15" fillId="18" borderId="5" xfId="0" applyFont="1" applyFill="1" applyBorder="1" applyAlignment="1">
      <alignment horizontal="center" vertical="center"/>
    </xf>
    <xf numFmtId="0" fontId="15" fillId="0" borderId="98" xfId="0" applyFont="1" applyBorder="1" applyAlignment="1">
      <alignment horizontal="center" vertical="center"/>
    </xf>
    <xf numFmtId="0" fontId="15" fillId="0" borderId="34" xfId="0" applyFont="1" applyBorder="1" applyAlignment="1">
      <alignment horizontal="center" vertical="center"/>
    </xf>
    <xf numFmtId="0" fontId="15" fillId="0" borderId="29" xfId="0" applyFont="1" applyBorder="1" applyAlignment="1">
      <alignment horizontal="center" vertical="center"/>
    </xf>
    <xf numFmtId="0" fontId="15" fillId="18" borderId="98" xfId="0" applyFont="1" applyFill="1" applyBorder="1" applyAlignment="1">
      <alignment horizontal="center" vertical="center" wrapText="1"/>
    </xf>
    <xf numFmtId="0" fontId="15" fillId="18" borderId="34" xfId="0" applyFont="1" applyFill="1" applyBorder="1" applyAlignment="1">
      <alignment horizontal="center" vertical="center" wrapText="1"/>
    </xf>
    <xf numFmtId="0" fontId="15" fillId="18" borderId="29" xfId="0" applyFont="1" applyFill="1" applyBorder="1" applyAlignment="1">
      <alignment horizontal="center" vertical="center" wrapText="1"/>
    </xf>
    <xf numFmtId="0" fontId="15" fillId="17" borderId="98" xfId="0" applyFont="1" applyFill="1" applyBorder="1" applyAlignment="1">
      <alignment horizontal="center" vertical="center" wrapText="1"/>
    </xf>
    <xf numFmtId="0" fontId="15" fillId="17" borderId="34" xfId="0" applyFont="1" applyFill="1" applyBorder="1" applyAlignment="1">
      <alignment horizontal="center" vertical="center" wrapText="1"/>
    </xf>
    <xf numFmtId="0" fontId="15" fillId="17" borderId="29" xfId="0" applyFont="1" applyFill="1" applyBorder="1" applyAlignment="1">
      <alignment horizontal="center" vertical="center" wrapText="1"/>
    </xf>
    <xf numFmtId="0" fontId="15" fillId="18" borderId="160" xfId="0" applyFont="1" applyFill="1" applyBorder="1" applyAlignment="1">
      <alignment horizontal="center" vertical="center"/>
    </xf>
    <xf numFmtId="0" fontId="192" fillId="17" borderId="160" xfId="0" applyFont="1" applyFill="1" applyBorder="1" applyAlignment="1">
      <alignment horizontal="center" vertical="center"/>
    </xf>
    <xf numFmtId="0" fontId="193" fillId="17" borderId="160" xfId="0" applyFont="1" applyFill="1" applyBorder="1" applyAlignment="1">
      <alignment horizontal="center" vertical="center"/>
    </xf>
    <xf numFmtId="0" fontId="192" fillId="18" borderId="160" xfId="0" applyFont="1" applyFill="1" applyBorder="1" applyAlignment="1">
      <alignment horizontal="center" vertical="center"/>
    </xf>
    <xf numFmtId="0" fontId="193" fillId="18" borderId="160" xfId="0" applyFont="1" applyFill="1" applyBorder="1" applyAlignment="1">
      <alignment horizontal="center" vertical="center"/>
    </xf>
    <xf numFmtId="0" fontId="15" fillId="17" borderId="84" xfId="0" applyFont="1" applyFill="1" applyBorder="1" applyAlignment="1">
      <alignment horizontal="center" vertical="center" wrapText="1"/>
    </xf>
    <xf numFmtId="0" fontId="15" fillId="18" borderId="84" xfId="0" applyFont="1" applyFill="1" applyBorder="1" applyAlignment="1">
      <alignment horizontal="center" vertical="center" wrapText="1"/>
    </xf>
    <xf numFmtId="0" fontId="15" fillId="0" borderId="84" xfId="0" applyFont="1" applyBorder="1" applyAlignment="1">
      <alignment horizontal="center" vertical="center"/>
    </xf>
    <xf numFmtId="0" fontId="16" fillId="4" borderId="120" xfId="0" applyFont="1" applyFill="1" applyBorder="1" applyAlignment="1">
      <alignment horizontal="center"/>
    </xf>
    <xf numFmtId="0" fontId="16" fillId="4" borderId="179" xfId="0" applyFont="1" applyFill="1" applyBorder="1" applyAlignment="1">
      <alignment horizontal="center"/>
    </xf>
    <xf numFmtId="0" fontId="16" fillId="4" borderId="141" xfId="0" applyFont="1" applyFill="1" applyBorder="1" applyAlignment="1">
      <alignment horizontal="center"/>
    </xf>
    <xf numFmtId="0" fontId="16" fillId="4" borderId="180" xfId="0" applyFont="1" applyFill="1" applyBorder="1" applyAlignment="1">
      <alignment horizontal="center"/>
    </xf>
    <xf numFmtId="0" fontId="136" fillId="104" borderId="94" xfId="0" applyFont="1" applyFill="1" applyBorder="1" applyAlignment="1">
      <alignment horizontal="left" vertical="center" wrapText="1"/>
    </xf>
    <xf numFmtId="0" fontId="136" fillId="104" borderId="92" xfId="0" applyFont="1" applyFill="1" applyBorder="1" applyAlignment="1">
      <alignment horizontal="left" vertical="center" wrapText="1"/>
    </xf>
    <xf numFmtId="0" fontId="136" fillId="104" borderId="170" xfId="0" applyFont="1" applyFill="1" applyBorder="1" applyAlignment="1">
      <alignment horizontal="left" vertical="center" wrapText="1"/>
    </xf>
    <xf numFmtId="0" fontId="136" fillId="104" borderId="141" xfId="0" applyFont="1" applyFill="1" applyBorder="1" applyAlignment="1">
      <alignment horizontal="left" vertical="center" wrapText="1"/>
    </xf>
    <xf numFmtId="0" fontId="136" fillId="104" borderId="93" xfId="0" applyFont="1" applyFill="1" applyBorder="1" applyAlignment="1">
      <alignment horizontal="left" vertical="center" wrapText="1"/>
    </xf>
    <xf numFmtId="0" fontId="27" fillId="0" borderId="120" xfId="0" applyFont="1" applyBorder="1" applyAlignment="1">
      <alignment horizontal="center"/>
    </xf>
    <xf numFmtId="0" fontId="136" fillId="17" borderId="120" xfId="0" applyFont="1" applyFill="1" applyBorder="1" applyAlignment="1">
      <alignment horizontal="center" vertical="center" wrapText="1"/>
    </xf>
    <xf numFmtId="0" fontId="136" fillId="17" borderId="120" xfId="0" applyFont="1" applyFill="1" applyBorder="1" applyAlignment="1">
      <alignment horizontal="center" vertical="center"/>
    </xf>
    <xf numFmtId="0" fontId="15" fillId="17" borderId="98" xfId="0" applyFont="1" applyFill="1" applyBorder="1" applyAlignment="1">
      <alignment horizontal="center" wrapText="1"/>
    </xf>
    <xf numFmtId="0" fontId="15" fillId="17" borderId="34" xfId="0" applyFont="1" applyFill="1" applyBorder="1" applyAlignment="1">
      <alignment horizontal="center" wrapText="1"/>
    </xf>
    <xf numFmtId="0" fontId="16" fillId="0" borderId="0" xfId="0" applyFont="1" applyAlignment="1">
      <alignment horizontal="center"/>
    </xf>
    <xf numFmtId="0" fontId="15" fillId="0" borderId="0" xfId="0" applyFont="1" applyAlignment="1">
      <alignment horizontal="center"/>
    </xf>
    <xf numFmtId="0" fontId="169" fillId="17" borderId="0" xfId="0" applyFont="1" applyFill="1" applyAlignment="1">
      <alignment horizontal="center" vertical="center"/>
    </xf>
    <xf numFmtId="0" fontId="0" fillId="0" borderId="0" xfId="0" applyAlignment="1">
      <alignment horizontal="center" vertical="center" wrapText="1"/>
    </xf>
    <xf numFmtId="0" fontId="16" fillId="17" borderId="5" xfId="0" applyFont="1" applyFill="1" applyBorder="1" applyAlignment="1">
      <alignment horizontal="center"/>
    </xf>
    <xf numFmtId="0" fontId="16" fillId="18" borderId="5" xfId="0" applyFont="1" applyFill="1" applyBorder="1" applyAlignment="1">
      <alignment horizontal="center"/>
    </xf>
    <xf numFmtId="0" fontId="16" fillId="14" borderId="5" xfId="0" applyFont="1" applyFill="1" applyBorder="1" applyAlignment="1">
      <alignment horizontal="center"/>
    </xf>
    <xf numFmtId="0" fontId="3" fillId="12" borderId="8" xfId="0" applyFont="1" applyFill="1" applyBorder="1" applyAlignment="1">
      <alignment horizontal="center"/>
    </xf>
    <xf numFmtId="0" fontId="3" fillId="12" borderId="59" xfId="0" applyFont="1" applyFill="1" applyBorder="1" applyAlignment="1">
      <alignment horizontal="center"/>
    </xf>
    <xf numFmtId="0" fontId="3" fillId="12" borderId="4" xfId="0" applyFont="1" applyFill="1" applyBorder="1" applyAlignment="1">
      <alignment horizontal="center"/>
    </xf>
    <xf numFmtId="0" fontId="3" fillId="4" borderId="8" xfId="0" applyFont="1" applyFill="1" applyBorder="1" applyAlignment="1">
      <alignment horizontal="center"/>
    </xf>
    <xf numFmtId="0" fontId="3" fillId="4" borderId="59" xfId="0" applyFont="1" applyFill="1" applyBorder="1" applyAlignment="1">
      <alignment horizontal="center"/>
    </xf>
    <xf numFmtId="0" fontId="3" fillId="4" borderId="4" xfId="0" applyFont="1" applyFill="1" applyBorder="1" applyAlignment="1">
      <alignment horizontal="center"/>
    </xf>
    <xf numFmtId="0" fontId="3" fillId="13" borderId="8" xfId="0" applyFont="1" applyFill="1" applyBorder="1" applyAlignment="1">
      <alignment horizontal="center"/>
    </xf>
    <xf numFmtId="0" fontId="3" fillId="13" borderId="59" xfId="0" applyFont="1" applyFill="1" applyBorder="1" applyAlignment="1">
      <alignment horizontal="center"/>
    </xf>
    <xf numFmtId="0" fontId="3" fillId="13" borderId="4" xfId="0" applyFont="1" applyFill="1" applyBorder="1" applyAlignment="1">
      <alignment horizontal="center"/>
    </xf>
    <xf numFmtId="171" fontId="133" fillId="21" borderId="8" xfId="0" applyNumberFormat="1" applyFont="1" applyFill="1" applyBorder="1" applyAlignment="1">
      <alignment horizontal="center"/>
    </xf>
    <xf numFmtId="171" fontId="133" fillId="21" borderId="4" xfId="0" applyNumberFormat="1" applyFont="1" applyFill="1" applyBorder="1" applyAlignment="1">
      <alignment horizontal="center"/>
    </xf>
    <xf numFmtId="171" fontId="133" fillId="17" borderId="8" xfId="0" applyNumberFormat="1" applyFont="1" applyFill="1" applyBorder="1" applyAlignment="1">
      <alignment horizontal="center"/>
    </xf>
    <xf numFmtId="171" fontId="133" fillId="17" borderId="4" xfId="0" applyNumberFormat="1" applyFont="1" applyFill="1" applyBorder="1" applyAlignment="1">
      <alignment horizontal="center"/>
    </xf>
    <xf numFmtId="0" fontId="16" fillId="21" borderId="8" xfId="0" applyFont="1" applyFill="1" applyBorder="1" applyAlignment="1">
      <alignment horizontal="center" wrapText="1"/>
    </xf>
    <xf numFmtId="0" fontId="16" fillId="21" borderId="4" xfId="0" applyFont="1" applyFill="1" applyBorder="1" applyAlignment="1">
      <alignment horizontal="center" wrapText="1"/>
    </xf>
    <xf numFmtId="0" fontId="16" fillId="0" borderId="25" xfId="0" applyFont="1" applyBorder="1" applyAlignment="1">
      <alignment horizontal="center"/>
    </xf>
    <xf numFmtId="0" fontId="16" fillId="0" borderId="29" xfId="0" applyFont="1" applyBorder="1" applyAlignment="1">
      <alignment horizontal="center"/>
    </xf>
    <xf numFmtId="0" fontId="137" fillId="0" borderId="5" xfId="0" applyFont="1" applyBorder="1" applyAlignment="1">
      <alignment horizontal="center"/>
    </xf>
    <xf numFmtId="0" fontId="137" fillId="0" borderId="25" xfId="0" applyFont="1" applyBorder="1" applyAlignment="1">
      <alignment horizontal="center"/>
    </xf>
    <xf numFmtId="0" fontId="15" fillId="3" borderId="5" xfId="0" applyFont="1" applyFill="1" applyBorder="1" applyAlignment="1">
      <alignment horizontal="center"/>
    </xf>
    <xf numFmtId="0" fontId="0" fillId="0" borderId="5" xfId="0" applyBorder="1" applyAlignment="1">
      <alignment horizontal="center"/>
    </xf>
    <xf numFmtId="0" fontId="0" fillId="0" borderId="29" xfId="0" applyBorder="1" applyAlignment="1">
      <alignment horizontal="center"/>
    </xf>
    <xf numFmtId="0" fontId="16" fillId="12" borderId="5" xfId="0" applyFont="1" applyFill="1" applyBorder="1" applyAlignment="1">
      <alignment horizontal="center"/>
    </xf>
    <xf numFmtId="15" fontId="16" fillId="17" borderId="8" xfId="0" applyNumberFormat="1" applyFont="1" applyFill="1" applyBorder="1" applyAlignment="1">
      <alignment horizontal="center"/>
    </xf>
    <xf numFmtId="15" fontId="16" fillId="17" borderId="4" xfId="0" applyNumberFormat="1" applyFont="1" applyFill="1" applyBorder="1" applyAlignment="1">
      <alignment horizontal="center"/>
    </xf>
    <xf numFmtId="0" fontId="0" fillId="12" borderId="5" xfId="0" applyFill="1" applyBorder="1" applyAlignment="1">
      <alignment horizontal="right"/>
    </xf>
    <xf numFmtId="0" fontId="0" fillId="12" borderId="5" xfId="0" applyFill="1" applyBorder="1" applyAlignment="1">
      <alignment horizontal="left"/>
    </xf>
    <xf numFmtId="0" fontId="0" fillId="12" borderId="25" xfId="0" applyFill="1" applyBorder="1" applyAlignment="1">
      <alignment horizontal="right"/>
    </xf>
    <xf numFmtId="0" fontId="0" fillId="12" borderId="34" xfId="0" applyFill="1" applyBorder="1" applyAlignment="1">
      <alignment horizontal="right"/>
    </xf>
    <xf numFmtId="0" fontId="0" fillId="12" borderId="29" xfId="0" applyFill="1" applyBorder="1" applyAlignment="1">
      <alignment horizontal="right"/>
    </xf>
    <xf numFmtId="0" fontId="0" fillId="12" borderId="25" xfId="0" applyFill="1" applyBorder="1" applyAlignment="1">
      <alignment horizontal="left"/>
    </xf>
    <xf numFmtId="0" fontId="0" fillId="12" borderId="34" xfId="0" applyFill="1" applyBorder="1" applyAlignment="1">
      <alignment horizontal="left"/>
    </xf>
    <xf numFmtId="0" fontId="0" fillId="12" borderId="29" xfId="0" applyFill="1" applyBorder="1" applyAlignment="1">
      <alignment horizontal="left"/>
    </xf>
    <xf numFmtId="0" fontId="0" fillId="0" borderId="8" xfId="0" applyBorder="1" applyAlignment="1">
      <alignment horizontal="center"/>
    </xf>
    <xf numFmtId="0" fontId="0" fillId="0" borderId="9" xfId="0" applyBorder="1" applyAlignment="1">
      <alignment horizontal="center"/>
    </xf>
    <xf numFmtId="0" fontId="0" fillId="0" borderId="4" xfId="0" applyBorder="1" applyAlignment="1">
      <alignment horizontal="center"/>
    </xf>
    <xf numFmtId="0" fontId="16" fillId="12" borderId="8" xfId="0" applyFont="1" applyFill="1" applyBorder="1" applyAlignment="1">
      <alignment horizontal="center"/>
    </xf>
    <xf numFmtId="0" fontId="16" fillId="12" borderId="9" xfId="0" applyFont="1" applyFill="1" applyBorder="1" applyAlignment="1">
      <alignment horizontal="center"/>
    </xf>
    <xf numFmtId="0" fontId="16" fillId="12" borderId="4" xfId="0" applyFont="1" applyFill="1" applyBorder="1" applyAlignment="1">
      <alignment horizontal="center"/>
    </xf>
    <xf numFmtId="172" fontId="133" fillId="21" borderId="8" xfId="0" applyNumberFormat="1" applyFont="1" applyFill="1" applyBorder="1" applyAlignment="1">
      <alignment horizontal="center"/>
    </xf>
    <xf numFmtId="172" fontId="133" fillId="21" borderId="4" xfId="0" applyNumberFormat="1" applyFont="1" applyFill="1" applyBorder="1" applyAlignment="1">
      <alignment horizontal="center"/>
    </xf>
    <xf numFmtId="172" fontId="133" fillId="17" borderId="8" xfId="0" applyNumberFormat="1" applyFont="1" applyFill="1" applyBorder="1" applyAlignment="1">
      <alignment horizontal="center"/>
    </xf>
    <xf numFmtId="172" fontId="133" fillId="17" borderId="4" xfId="0" applyNumberFormat="1" applyFont="1" applyFill="1" applyBorder="1" applyAlignment="1">
      <alignment horizontal="center"/>
    </xf>
    <xf numFmtId="0" fontId="22" fillId="0" borderId="66" xfId="0" applyFont="1" applyBorder="1" applyAlignment="1">
      <alignment horizontal="left" vertical="center" wrapText="1"/>
    </xf>
    <xf numFmtId="0" fontId="22" fillId="0" borderId="5" xfId="0" applyFont="1" applyBorder="1" applyAlignment="1">
      <alignment horizontal="left" vertical="center" wrapText="1"/>
    </xf>
    <xf numFmtId="0" fontId="22" fillId="0" borderId="66" xfId="0" applyFont="1" applyBorder="1" applyAlignment="1">
      <alignment horizontal="center" wrapText="1"/>
    </xf>
    <xf numFmtId="0" fontId="22" fillId="17" borderId="66" xfId="0" applyFont="1" applyFill="1" applyBorder="1" applyAlignment="1">
      <alignment horizontal="center"/>
    </xf>
    <xf numFmtId="0" fontId="22" fillId="17" borderId="5" xfId="0" applyFont="1" applyFill="1" applyBorder="1" applyAlignment="1">
      <alignment horizontal="center"/>
    </xf>
    <xf numFmtId="0" fontId="136" fillId="17" borderId="71" xfId="0" applyFont="1" applyFill="1" applyBorder="1" applyAlignment="1">
      <alignment horizontal="right" vertical="center"/>
    </xf>
    <xf numFmtId="0" fontId="136" fillId="17" borderId="72" xfId="0" applyFont="1" applyFill="1" applyBorder="1" applyAlignment="1">
      <alignment horizontal="right" vertical="center"/>
    </xf>
    <xf numFmtId="0" fontId="136" fillId="17" borderId="38" xfId="0" applyFont="1" applyFill="1" applyBorder="1" applyAlignment="1">
      <alignment horizontal="right" vertical="center"/>
    </xf>
    <xf numFmtId="0" fontId="136" fillId="17" borderId="33" xfId="0" applyFont="1" applyFill="1" applyBorder="1" applyAlignment="1">
      <alignment horizontal="right" vertical="center"/>
    </xf>
    <xf numFmtId="0" fontId="136" fillId="17" borderId="72" xfId="0" applyFont="1" applyFill="1" applyBorder="1" applyAlignment="1">
      <alignment horizontal="center" vertical="center"/>
    </xf>
    <xf numFmtId="0" fontId="136" fillId="17" borderId="33" xfId="0" applyFont="1" applyFill="1" applyBorder="1" applyAlignment="1">
      <alignment horizontal="center" vertical="center"/>
    </xf>
    <xf numFmtId="0" fontId="135" fillId="17" borderId="67" xfId="0" applyFont="1" applyFill="1" applyBorder="1" applyAlignment="1">
      <alignment horizontal="center" vertical="center"/>
    </xf>
    <xf numFmtId="0" fontId="135" fillId="17" borderId="34" xfId="0" applyFont="1" applyFill="1" applyBorder="1" applyAlignment="1">
      <alignment horizontal="center" vertical="center"/>
    </xf>
    <xf numFmtId="0" fontId="135" fillId="17" borderId="29" xfId="0" applyFont="1" applyFill="1" applyBorder="1" applyAlignment="1">
      <alignment horizontal="center" vertical="center"/>
    </xf>
    <xf numFmtId="0" fontId="22" fillId="17" borderId="67" xfId="0" applyFont="1" applyFill="1" applyBorder="1" applyAlignment="1">
      <alignment horizontal="center" vertical="center"/>
    </xf>
    <xf numFmtId="0" fontId="22" fillId="17" borderId="34" xfId="0" applyFont="1" applyFill="1" applyBorder="1" applyAlignment="1">
      <alignment horizontal="center" vertical="center"/>
    </xf>
    <xf numFmtId="0" fontId="22" fillId="17" borderId="29" xfId="0" applyFont="1" applyFill="1" applyBorder="1" applyAlignment="1">
      <alignment horizontal="center" vertical="center"/>
    </xf>
    <xf numFmtId="0" fontId="22" fillId="17" borderId="71" xfId="0" applyFont="1" applyFill="1" applyBorder="1" applyAlignment="1">
      <alignment horizontal="center" vertical="center" wrapText="1"/>
    </xf>
    <xf numFmtId="0" fontId="22" fillId="17" borderId="72" xfId="0" applyFont="1" applyFill="1" applyBorder="1" applyAlignment="1">
      <alignment horizontal="center" vertical="center" wrapText="1"/>
    </xf>
    <xf numFmtId="0" fontId="22" fillId="17" borderId="73" xfId="0" applyFont="1" applyFill="1" applyBorder="1" applyAlignment="1">
      <alignment horizontal="center" vertical="center" wrapText="1"/>
    </xf>
    <xf numFmtId="0" fontId="22" fillId="17" borderId="35" xfId="0" applyFont="1" applyFill="1" applyBorder="1" applyAlignment="1">
      <alignment horizontal="center" vertical="center" wrapText="1"/>
    </xf>
    <xf numFmtId="0" fontId="22" fillId="17" borderId="0" xfId="0" applyFont="1" applyFill="1" applyAlignment="1">
      <alignment horizontal="center" vertical="center" wrapText="1"/>
    </xf>
    <xf numFmtId="0" fontId="22" fillId="17" borderId="37" xfId="0" applyFont="1" applyFill="1" applyBorder="1" applyAlignment="1">
      <alignment horizontal="center" vertical="center" wrapText="1"/>
    </xf>
    <xf numFmtId="0" fontId="22" fillId="17" borderId="38" xfId="0" applyFont="1" applyFill="1" applyBorder="1" applyAlignment="1">
      <alignment horizontal="center" vertical="center" wrapText="1"/>
    </xf>
    <xf numFmtId="0" fontId="22" fillId="17" borderId="33" xfId="0" applyFont="1" applyFill="1" applyBorder="1" applyAlignment="1">
      <alignment horizontal="center" vertical="center" wrapText="1"/>
    </xf>
    <xf numFmtId="0" fontId="22" fillId="17" borderId="13" xfId="0" applyFont="1" applyFill="1" applyBorder="1" applyAlignment="1">
      <alignment horizontal="center" vertical="center" wrapText="1"/>
    </xf>
    <xf numFmtId="0" fontId="22" fillId="13" borderId="67" xfId="0" applyFont="1" applyFill="1" applyBorder="1" applyAlignment="1">
      <alignment horizontal="center" vertical="center"/>
    </xf>
    <xf numFmtId="0" fontId="22" fillId="13" borderId="29" xfId="0" applyFont="1" applyFill="1" applyBorder="1" applyAlignment="1">
      <alignment horizontal="center" vertical="center"/>
    </xf>
    <xf numFmtId="0" fontId="22" fillId="2" borderId="67" xfId="0" applyFont="1" applyFill="1" applyBorder="1" applyAlignment="1">
      <alignment horizontal="center" vertical="center"/>
    </xf>
    <xf numFmtId="0" fontId="22" fillId="2" borderId="29" xfId="0" applyFont="1" applyFill="1" applyBorder="1" applyAlignment="1">
      <alignment horizontal="center" vertical="center"/>
    </xf>
    <xf numFmtId="0" fontId="22" fillId="17" borderId="71" xfId="0" applyFont="1" applyFill="1" applyBorder="1" applyAlignment="1">
      <alignment horizontal="center"/>
    </xf>
    <xf numFmtId="0" fontId="22" fillId="17" borderId="72" xfId="0" applyFont="1" applyFill="1" applyBorder="1" applyAlignment="1">
      <alignment horizontal="center"/>
    </xf>
    <xf numFmtId="0" fontId="22" fillId="17" borderId="73" xfId="0" applyFont="1" applyFill="1" applyBorder="1" applyAlignment="1">
      <alignment horizontal="center"/>
    </xf>
    <xf numFmtId="0" fontId="22" fillId="0" borderId="66" xfId="0" applyFont="1" applyBorder="1" applyAlignment="1">
      <alignment horizontal="left" wrapText="1"/>
    </xf>
    <xf numFmtId="0" fontId="22" fillId="0" borderId="66" xfId="0" applyFont="1" applyBorder="1" applyAlignment="1">
      <alignment horizontal="center"/>
    </xf>
    <xf numFmtId="0" fontId="22" fillId="2" borderId="5" xfId="0" applyFont="1" applyFill="1" applyBorder="1" applyAlignment="1">
      <alignment horizontal="center" vertical="center"/>
    </xf>
    <xf numFmtId="0" fontId="0" fillId="0" borderId="0" xfId="0" applyAlignment="1">
      <alignment horizontal="center" wrapText="1"/>
    </xf>
    <xf numFmtId="0" fontId="132" fillId="14" borderId="68" xfId="0" applyFont="1" applyFill="1" applyBorder="1" applyAlignment="1">
      <alignment horizontal="center"/>
    </xf>
    <xf numFmtId="0" fontId="132" fillId="14" borderId="69" xfId="0" applyFont="1" applyFill="1" applyBorder="1" applyAlignment="1">
      <alignment horizontal="center"/>
    </xf>
    <xf numFmtId="0" fontId="132" fillId="14" borderId="9" xfId="0" applyFont="1" applyFill="1" applyBorder="1" applyAlignment="1">
      <alignment horizontal="center"/>
    </xf>
    <xf numFmtId="0" fontId="132" fillId="14" borderId="70" xfId="0" applyFont="1" applyFill="1" applyBorder="1" applyAlignment="1">
      <alignment horizontal="center"/>
    </xf>
    <xf numFmtId="9" fontId="22" fillId="17" borderId="67" xfId="1" applyFont="1" applyFill="1" applyBorder="1" applyAlignment="1">
      <alignment horizontal="center" vertical="center"/>
    </xf>
    <xf numFmtId="9" fontId="22" fillId="17" borderId="34" xfId="1" applyFont="1" applyFill="1" applyBorder="1" applyAlignment="1">
      <alignment horizontal="center" vertical="center"/>
    </xf>
    <xf numFmtId="9" fontId="22" fillId="17" borderId="29" xfId="1" applyFont="1" applyFill="1" applyBorder="1" applyAlignment="1">
      <alignment horizontal="center" vertical="center"/>
    </xf>
    <xf numFmtId="0" fontId="22" fillId="0" borderId="68" xfId="0" applyFont="1" applyBorder="1" applyAlignment="1">
      <alignment horizontal="left" wrapText="1"/>
    </xf>
    <xf numFmtId="0" fontId="22" fillId="0" borderId="69" xfId="0" applyFont="1" applyBorder="1" applyAlignment="1">
      <alignment horizontal="left" wrapText="1"/>
    </xf>
    <xf numFmtId="0" fontId="22" fillId="0" borderId="70" xfId="0" applyFont="1" applyBorder="1" applyAlignment="1">
      <alignment horizontal="left" wrapText="1"/>
    </xf>
    <xf numFmtId="0" fontId="22" fillId="2" borderId="71" xfId="0" applyFont="1" applyFill="1" applyBorder="1" applyAlignment="1">
      <alignment horizontal="center" vertical="center" wrapText="1"/>
    </xf>
    <xf numFmtId="0" fontId="22" fillId="2" borderId="73" xfId="0" applyFont="1" applyFill="1" applyBorder="1" applyAlignment="1">
      <alignment horizontal="center" vertical="center" wrapText="1"/>
    </xf>
    <xf numFmtId="0" fontId="22" fillId="17" borderId="66" xfId="0" applyFont="1" applyFill="1" applyBorder="1" applyAlignment="1">
      <alignment horizontal="center" vertical="center"/>
    </xf>
    <xf numFmtId="0" fontId="22" fillId="17" borderId="38" xfId="0" applyFont="1" applyFill="1" applyBorder="1" applyAlignment="1">
      <alignment horizontal="center"/>
    </xf>
    <xf numFmtId="0" fontId="22" fillId="17" borderId="33" xfId="0" applyFont="1" applyFill="1" applyBorder="1" applyAlignment="1">
      <alignment horizontal="center"/>
    </xf>
    <xf numFmtId="0" fontId="22" fillId="17" borderId="8" xfId="0" applyFont="1" applyFill="1" applyBorder="1" applyAlignment="1">
      <alignment horizontal="center"/>
    </xf>
    <xf numFmtId="0" fontId="22" fillId="17" borderId="9" xfId="0" applyFont="1" applyFill="1" applyBorder="1" applyAlignment="1">
      <alignment horizontal="center"/>
    </xf>
    <xf numFmtId="0" fontId="22" fillId="17" borderId="4" xfId="0" applyFont="1" applyFill="1" applyBorder="1" applyAlignment="1">
      <alignment horizontal="center"/>
    </xf>
    <xf numFmtId="0" fontId="137" fillId="104" borderId="77" xfId="0" applyFont="1" applyFill="1" applyBorder="1" applyAlignment="1">
      <alignment horizontal="center" vertical="center"/>
    </xf>
    <xf numFmtId="0" fontId="137" fillId="104" borderId="84" xfId="0" applyFont="1" applyFill="1" applyBorder="1" applyAlignment="1">
      <alignment horizontal="center" vertical="center"/>
    </xf>
    <xf numFmtId="0" fontId="137" fillId="104" borderId="29" xfId="0" applyFont="1" applyFill="1" applyBorder="1" applyAlignment="1">
      <alignment horizontal="center" vertical="center"/>
    </xf>
    <xf numFmtId="0" fontId="177" fillId="0" borderId="0" xfId="0" applyFont="1" applyAlignment="1">
      <alignment horizontal="center"/>
    </xf>
    <xf numFmtId="0" fontId="16" fillId="11" borderId="84" xfId="0" applyFont="1" applyFill="1" applyBorder="1" applyAlignment="1">
      <alignment horizontal="center" vertical="center"/>
    </xf>
    <xf numFmtId="0" fontId="16" fillId="11" borderId="29" xfId="0" applyFont="1" applyFill="1" applyBorder="1" applyAlignment="1">
      <alignment horizontal="center" vertical="center"/>
    </xf>
    <xf numFmtId="15" fontId="22" fillId="0" borderId="0" xfId="0" applyNumberFormat="1" applyFont="1" applyAlignment="1">
      <alignment horizontal="center"/>
    </xf>
    <xf numFmtId="0" fontId="15" fillId="17" borderId="5" xfId="0" applyFont="1" applyFill="1" applyBorder="1" applyAlignment="1">
      <alignment horizontal="center" vertical="center"/>
    </xf>
    <xf numFmtId="0" fontId="15" fillId="17" borderId="25" xfId="0" applyFont="1" applyFill="1" applyBorder="1" applyAlignment="1">
      <alignment horizontal="right" vertical="center" wrapText="1"/>
    </xf>
    <xf numFmtId="0" fontId="15" fillId="17" borderId="34" xfId="0" applyFont="1" applyFill="1" applyBorder="1" applyAlignment="1">
      <alignment horizontal="right" vertical="center" wrapText="1"/>
    </xf>
    <xf numFmtId="0" fontId="15" fillId="17" borderId="29" xfId="0" applyFont="1" applyFill="1" applyBorder="1" applyAlignment="1">
      <alignment horizontal="right" vertical="center" wrapText="1"/>
    </xf>
    <xf numFmtId="0" fontId="15" fillId="18" borderId="25" xfId="0" applyFont="1" applyFill="1" applyBorder="1" applyAlignment="1">
      <alignment horizontal="right" vertical="center" wrapText="1"/>
    </xf>
    <xf numFmtId="0" fontId="15" fillId="18" borderId="34" xfId="0" applyFont="1" applyFill="1" applyBorder="1" applyAlignment="1">
      <alignment horizontal="right" vertical="center" wrapText="1"/>
    </xf>
    <xf numFmtId="0" fontId="15" fillId="18" borderId="29" xfId="0" applyFont="1" applyFill="1" applyBorder="1" applyAlignment="1">
      <alignment horizontal="right" vertical="center" wrapText="1"/>
    </xf>
    <xf numFmtId="0" fontId="0" fillId="0" borderId="36" xfId="0" applyBorder="1" applyAlignment="1">
      <alignment horizontal="center"/>
    </xf>
    <xf numFmtId="0" fontId="0" fillId="0" borderId="17" xfId="0" applyBorder="1" applyAlignment="1">
      <alignment horizontal="center"/>
    </xf>
    <xf numFmtId="0" fontId="0" fillId="0" borderId="21" xfId="0" applyBorder="1" applyAlignment="1">
      <alignment horizontal="center"/>
    </xf>
    <xf numFmtId="0" fontId="0" fillId="0" borderId="38" xfId="0" applyBorder="1" applyAlignment="1">
      <alignment horizontal="center"/>
    </xf>
    <xf numFmtId="0" fontId="0" fillId="0" borderId="33" xfId="0" applyBorder="1" applyAlignment="1">
      <alignment horizontal="center"/>
    </xf>
    <xf numFmtId="0" fontId="0" fillId="0" borderId="13" xfId="0" applyBorder="1" applyAlignment="1">
      <alignment horizontal="center"/>
    </xf>
    <xf numFmtId="0" fontId="15" fillId="17" borderId="25" xfId="0" applyFont="1" applyFill="1" applyBorder="1" applyAlignment="1">
      <alignment horizontal="center" vertical="center"/>
    </xf>
    <xf numFmtId="0" fontId="15" fillId="17" borderId="34" xfId="0" applyFont="1" applyFill="1" applyBorder="1" applyAlignment="1">
      <alignment horizontal="center" vertical="center"/>
    </xf>
    <xf numFmtId="0" fontId="15" fillId="17" borderId="29" xfId="0" applyFont="1" applyFill="1" applyBorder="1" applyAlignment="1">
      <alignment horizontal="center" vertical="center"/>
    </xf>
    <xf numFmtId="0" fontId="15" fillId="18" borderId="25" xfId="0" applyFont="1" applyFill="1" applyBorder="1" applyAlignment="1">
      <alignment horizontal="center" vertical="center"/>
    </xf>
    <xf numFmtId="0" fontId="15" fillId="18" borderId="34" xfId="0" applyFont="1" applyFill="1" applyBorder="1" applyAlignment="1">
      <alignment horizontal="center" vertical="center"/>
    </xf>
    <xf numFmtId="0" fontId="15" fillId="18" borderId="29" xfId="0" applyFont="1" applyFill="1" applyBorder="1" applyAlignment="1">
      <alignment horizontal="center" vertical="center"/>
    </xf>
    <xf numFmtId="0" fontId="15" fillId="14" borderId="5" xfId="0" applyFont="1" applyFill="1" applyBorder="1" applyAlignment="1">
      <alignment horizontal="center" vertical="center" wrapText="1"/>
    </xf>
    <xf numFmtId="0" fontId="15" fillId="14" borderId="5" xfId="0" applyFont="1" applyFill="1" applyBorder="1" applyAlignment="1">
      <alignment horizontal="center" vertical="center"/>
    </xf>
    <xf numFmtId="0" fontId="15" fillId="14" borderId="5" xfId="0" applyFont="1" applyFill="1" applyBorder="1" applyAlignment="1">
      <alignment horizontal="right" vertical="center" wrapText="1"/>
    </xf>
    <xf numFmtId="0" fontId="22" fillId="16" borderId="5" xfId="0" applyFont="1" applyFill="1" applyBorder="1" applyAlignment="1">
      <alignment horizontal="center"/>
    </xf>
    <xf numFmtId="0" fontId="16" fillId="17" borderId="8" xfId="0" applyFont="1" applyFill="1" applyBorder="1" applyAlignment="1">
      <alignment horizontal="center"/>
    </xf>
    <xf numFmtId="0" fontId="16" fillId="17" borderId="9" xfId="0" applyFont="1" applyFill="1" applyBorder="1" applyAlignment="1">
      <alignment horizontal="center"/>
    </xf>
    <xf numFmtId="0" fontId="16" fillId="17" borderId="4" xfId="0" applyFont="1" applyFill="1" applyBorder="1" applyAlignment="1">
      <alignment horizontal="center"/>
    </xf>
    <xf numFmtId="0" fontId="136" fillId="14" borderId="0" xfId="0" applyFont="1" applyFill="1" applyAlignment="1">
      <alignment horizontal="center"/>
    </xf>
    <xf numFmtId="210" fontId="136" fillId="14" borderId="0" xfId="0" applyNumberFormat="1" applyFont="1" applyFill="1" applyAlignment="1">
      <alignment horizontal="center"/>
    </xf>
    <xf numFmtId="0" fontId="3" fillId="13" borderId="36" xfId="0" applyFont="1" applyFill="1" applyBorder="1" applyAlignment="1">
      <alignment horizontal="center" vertical="center"/>
    </xf>
    <xf numFmtId="0" fontId="3" fillId="13" borderId="21" xfId="0" applyFont="1" applyFill="1" applyBorder="1" applyAlignment="1">
      <alignment horizontal="center" vertical="center"/>
    </xf>
    <xf numFmtId="0" fontId="3" fillId="13" borderId="35" xfId="0" applyFont="1" applyFill="1" applyBorder="1" applyAlignment="1">
      <alignment horizontal="center" vertical="center"/>
    </xf>
    <xf numFmtId="0" fontId="3" fillId="13" borderId="37" xfId="0" applyFont="1" applyFill="1" applyBorder="1" applyAlignment="1">
      <alignment horizontal="center" vertical="center"/>
    </xf>
    <xf numFmtId="0" fontId="3" fillId="13" borderId="38" xfId="0" applyFont="1" applyFill="1" applyBorder="1" applyAlignment="1">
      <alignment horizontal="center" vertical="center"/>
    </xf>
    <xf numFmtId="0" fontId="3" fillId="13" borderId="13" xfId="0" applyFont="1" applyFill="1" applyBorder="1" applyAlignment="1">
      <alignment horizontal="center" vertical="center"/>
    </xf>
    <xf numFmtId="210" fontId="3" fillId="103" borderId="5" xfId="0" applyNumberFormat="1" applyFont="1" applyFill="1" applyBorder="1" applyAlignment="1">
      <alignment horizontal="center" vertical="center"/>
    </xf>
    <xf numFmtId="10" fontId="3" fillId="13" borderId="5" xfId="0" applyNumberFormat="1" applyFont="1" applyFill="1" applyBorder="1" applyAlignment="1">
      <alignment horizontal="center" vertical="center" wrapText="1"/>
    </xf>
    <xf numFmtId="172" fontId="15" fillId="16" borderId="25" xfId="0" applyNumberFormat="1" applyFont="1" applyFill="1" applyBorder="1" applyAlignment="1">
      <alignment horizontal="center" vertical="center"/>
    </xf>
    <xf numFmtId="172" fontId="15" fillId="16" borderId="29" xfId="0" applyNumberFormat="1" applyFont="1" applyFill="1" applyBorder="1" applyAlignment="1">
      <alignment horizontal="center" vertical="center"/>
    </xf>
    <xf numFmtId="0" fontId="0" fillId="13" borderId="8" xfId="0" applyFill="1" applyBorder="1" applyAlignment="1">
      <alignment horizontal="center" vertical="center" wrapText="1"/>
    </xf>
    <xf numFmtId="0" fontId="0" fillId="13" borderId="4" xfId="0" applyFill="1" applyBorder="1" applyAlignment="1">
      <alignment horizontal="center" vertical="center" wrapText="1"/>
    </xf>
    <xf numFmtId="171" fontId="15" fillId="16" borderId="25" xfId="0" applyNumberFormat="1" applyFont="1" applyFill="1" applyBorder="1" applyAlignment="1">
      <alignment horizontal="center" vertical="center"/>
    </xf>
    <xf numFmtId="171" fontId="15" fillId="16" borderId="29" xfId="0" applyNumberFormat="1" applyFont="1" applyFill="1" applyBorder="1" applyAlignment="1">
      <alignment horizontal="center" vertical="center"/>
    </xf>
    <xf numFmtId="0" fontId="16" fillId="18" borderId="8" xfId="0" applyFont="1" applyFill="1" applyBorder="1" applyAlignment="1">
      <alignment horizontal="center"/>
    </xf>
    <xf numFmtId="0" fontId="16" fillId="18" borderId="9" xfId="0" applyFont="1" applyFill="1" applyBorder="1" applyAlignment="1">
      <alignment horizontal="center"/>
    </xf>
    <xf numFmtId="0" fontId="16" fillId="18" borderId="4" xfId="0" applyFont="1" applyFill="1" applyBorder="1" applyAlignment="1">
      <alignment horizontal="center"/>
    </xf>
    <xf numFmtId="0" fontId="0" fillId="25" borderId="0" xfId="0" applyFill="1" applyAlignment="1">
      <alignment horizontal="center"/>
    </xf>
    <xf numFmtId="0" fontId="0" fillId="2" borderId="0" xfId="0" applyFill="1" applyAlignment="1">
      <alignment horizontal="center"/>
    </xf>
    <xf numFmtId="0" fontId="0" fillId="4" borderId="0" xfId="0" applyFill="1" applyAlignment="1">
      <alignment horizontal="center"/>
    </xf>
    <xf numFmtId="0" fontId="137" fillId="0" borderId="0" xfId="0" applyFont="1" applyAlignment="1">
      <alignment horizontal="center" vertical="center"/>
    </xf>
    <xf numFmtId="171" fontId="16" fillId="21" borderId="8" xfId="0" applyNumberFormat="1" applyFont="1" applyFill="1" applyBorder="1" applyAlignment="1">
      <alignment horizontal="center" vertical="center"/>
    </xf>
    <xf numFmtId="171" fontId="16" fillId="21" borderId="4" xfId="0" applyNumberFormat="1" applyFont="1" applyFill="1" applyBorder="1" applyAlignment="1">
      <alignment horizontal="center" vertical="center"/>
    </xf>
    <xf numFmtId="171" fontId="16" fillId="17" borderId="8" xfId="0" applyNumberFormat="1" applyFont="1" applyFill="1" applyBorder="1" applyAlignment="1">
      <alignment horizontal="center" vertical="center"/>
    </xf>
    <xf numFmtId="171" fontId="16" fillId="17" borderId="4" xfId="0" applyNumberFormat="1" applyFont="1" applyFill="1" applyBorder="1" applyAlignment="1">
      <alignment horizontal="center" vertical="center"/>
    </xf>
    <xf numFmtId="172" fontId="15" fillId="21" borderId="8" xfId="0" applyNumberFormat="1" applyFont="1" applyFill="1" applyBorder="1" applyAlignment="1">
      <alignment horizontal="center" vertical="center"/>
    </xf>
    <xf numFmtId="172" fontId="15" fillId="21" borderId="4" xfId="0" applyNumberFormat="1" applyFont="1" applyFill="1" applyBorder="1" applyAlignment="1">
      <alignment horizontal="center" vertical="center"/>
    </xf>
    <xf numFmtId="172" fontId="15" fillId="17" borderId="8" xfId="0" applyNumberFormat="1" applyFont="1" applyFill="1" applyBorder="1" applyAlignment="1">
      <alignment vertical="center"/>
    </xf>
    <xf numFmtId="172" fontId="15" fillId="17" borderId="4" xfId="0" applyNumberFormat="1" applyFont="1" applyFill="1" applyBorder="1" applyAlignment="1">
      <alignment vertical="center"/>
    </xf>
    <xf numFmtId="15" fontId="16" fillId="21" borderId="8" xfId="0" applyNumberFormat="1" applyFont="1" applyFill="1" applyBorder="1" applyAlignment="1">
      <alignment horizontal="center" wrapText="1"/>
    </xf>
    <xf numFmtId="0" fontId="0" fillId="7" borderId="0" xfId="0" applyFill="1" applyAlignment="1">
      <alignment horizontal="center" wrapText="1"/>
    </xf>
    <xf numFmtId="171" fontId="1" fillId="7" borderId="140" xfId="0" applyNumberFormat="1" applyFont="1" applyFill="1" applyBorder="1" applyAlignment="1">
      <alignment wrapText="1"/>
    </xf>
    <xf numFmtId="172" fontId="198" fillId="7" borderId="140" xfId="0" applyNumberFormat="1" applyFont="1" applyFill="1" applyBorder="1"/>
  </cellXfs>
  <cellStyles count="13827">
    <cellStyle name="_~0985588" xfId="5294"/>
    <cellStyle name="_129" xfId="1574"/>
    <cellStyle name="_131" xfId="1575"/>
    <cellStyle name="_43" xfId="1522"/>
    <cellStyle name="_43 10" xfId="1576"/>
    <cellStyle name="_43 10 2" xfId="1577"/>
    <cellStyle name="_43 11" xfId="1578"/>
    <cellStyle name="_43 11 2" xfId="1579"/>
    <cellStyle name="_43 12" xfId="1580"/>
    <cellStyle name="_43 12 2" xfId="1581"/>
    <cellStyle name="_43 13" xfId="1582"/>
    <cellStyle name="_43 13 2" xfId="1583"/>
    <cellStyle name="_43 14" xfId="1584"/>
    <cellStyle name="_43 14 2" xfId="1585"/>
    <cellStyle name="_43 15" xfId="1586"/>
    <cellStyle name="_43 15 2" xfId="1587"/>
    <cellStyle name="_43 16" xfId="1588"/>
    <cellStyle name="_43 16 2" xfId="1589"/>
    <cellStyle name="_43 17" xfId="1590"/>
    <cellStyle name="_43 17 2" xfId="1591"/>
    <cellStyle name="_43 2" xfId="1592"/>
    <cellStyle name="_43 2 2" xfId="1593"/>
    <cellStyle name="_43 3" xfId="1594"/>
    <cellStyle name="_43 3 2" xfId="1595"/>
    <cellStyle name="_43 4" xfId="1596"/>
    <cellStyle name="_43 4 2" xfId="1597"/>
    <cellStyle name="_43 5" xfId="1598"/>
    <cellStyle name="_43 5 2" xfId="1599"/>
    <cellStyle name="_43 6" xfId="1600"/>
    <cellStyle name="_43 6 2" xfId="1601"/>
    <cellStyle name="_43 7" xfId="1602"/>
    <cellStyle name="_43 7 2" xfId="1603"/>
    <cellStyle name="_43 8" xfId="1604"/>
    <cellStyle name="_43 8 2" xfId="1605"/>
    <cellStyle name="_43 9" xfId="1606"/>
    <cellStyle name="_43 9 2" xfId="1607"/>
    <cellStyle name="_54" xfId="1523"/>
    <cellStyle name="_54 10" xfId="1608"/>
    <cellStyle name="_54 10 2" xfId="1609"/>
    <cellStyle name="_54 11" xfId="1610"/>
    <cellStyle name="_54 11 2" xfId="1611"/>
    <cellStyle name="_54 12" xfId="1612"/>
    <cellStyle name="_54 12 2" xfId="1613"/>
    <cellStyle name="_54 13" xfId="1614"/>
    <cellStyle name="_54 13 2" xfId="1615"/>
    <cellStyle name="_54 14" xfId="1616"/>
    <cellStyle name="_54 14 2" xfId="1617"/>
    <cellStyle name="_54 15" xfId="1618"/>
    <cellStyle name="_54 15 2" xfId="1619"/>
    <cellStyle name="_54 16" xfId="1620"/>
    <cellStyle name="_54 16 2" xfId="1621"/>
    <cellStyle name="_54 17" xfId="1622"/>
    <cellStyle name="_54 17 2" xfId="1623"/>
    <cellStyle name="_54 2" xfId="1624"/>
    <cellStyle name="_54 2 2" xfId="1625"/>
    <cellStyle name="_54 3" xfId="1626"/>
    <cellStyle name="_54 3 2" xfId="1627"/>
    <cellStyle name="_54 4" xfId="1628"/>
    <cellStyle name="_54 4 2" xfId="1629"/>
    <cellStyle name="_54 5" xfId="1630"/>
    <cellStyle name="_54 5 2" xfId="1631"/>
    <cellStyle name="_54 6" xfId="1632"/>
    <cellStyle name="_54 6 2" xfId="1633"/>
    <cellStyle name="_54 7" xfId="1634"/>
    <cellStyle name="_54 7 2" xfId="1635"/>
    <cellStyle name="_54 8" xfId="1636"/>
    <cellStyle name="_54 8 2" xfId="1637"/>
    <cellStyle name="_54 9" xfId="1638"/>
    <cellStyle name="_54 9 2" xfId="1639"/>
    <cellStyle name="_97" xfId="1640"/>
    <cellStyle name="_99" xfId="1641"/>
    <cellStyle name="_BALANCE GUARDIA (AGOSTO'11)" xfId="5295"/>
    <cellStyle name="_BASE DE DATOS FAJA (NUEVA ESTRUCTURA) 27-03-11" xfId="5296"/>
    <cellStyle name="_EXPLICACIONES DE VARIACION DE PRODUCION DIARIA JUNIN" xfId="5297"/>
    <cellStyle name="_GRAFICA DE PRODUCCIÓN" xfId="5298"/>
    <cellStyle name="_Hoja2" xfId="5299"/>
    <cellStyle name="_Hoja2_DETALLE 2009 PESADO 61,81 MBD 20-05-08" xfId="5300"/>
    <cellStyle name="_Hoja2_DETALLE 2009 PESADO 61,81 MBD 20-05-08_CRONOGRAMA DE TALADRO 29-06-09" xfId="5301"/>
    <cellStyle name="_Hoja2_DETALLE 2009 PESADO 61,81 MBD 20-05-08_EJERCICIO PLAN 2010 CON CRONOGRAMA 19-10-09" xfId="5302"/>
    <cellStyle name="_Hoja2_DETALLE 2009 PESADO 61,81 MBD 20-05-08_TABLA OPERACIONAL  2010 109,9 CON RECORTE CABRUTICA INCLUYENDO RA-RC" xfId="5303"/>
    <cellStyle name="_Hoja2_DETALLE 2009 PESADO 61,81 MBD 20-05-08_tabla operacional cierre junio M.V julio_Diciembre 2009 (29-06-09)" xfId="5304"/>
    <cellStyle name="_Hoja2_Libro1" xfId="5305"/>
    <cellStyle name="_Hoja2_Libro1_CRONOGRAMA DE TALADRO 29-06-09" xfId="5306"/>
    <cellStyle name="_Hoja2_Libro1_EJERCICIO PLAN 2010 CON CRONOGRAMA 19-10-09" xfId="5307"/>
    <cellStyle name="_Hoja2_Libro1_TABLA OPERACIONAL  2010 109,9 CON RECORTE CABRUTICA INCLUYENDO RA-RC" xfId="5308"/>
    <cellStyle name="_Hoja2_Libro1_tabla operacional cierre junio M.V julio_Diciembre 2009 (29-06-09)" xfId="5309"/>
    <cellStyle name="_INDOVENEZOLANA" xfId="5310"/>
    <cellStyle name="_Inf_Prod_Gas_Faja 30-06-2011" xfId="5311"/>
    <cellStyle name="_INFORME PRODUCCION DIARIO CRUDO Division Ayacucho 2011 LORENZO" xfId="5312"/>
    <cellStyle name="_NUEVO FORMATO GERENTE DIVISIÓN  30-03-2011" xfId="5313"/>
    <cellStyle name="_PETROANZOATEGUI" xfId="5314"/>
    <cellStyle name="_PLAN DIARIO" xfId="5315"/>
    <cellStyle name="_PLAN-DIARIO" xfId="5316"/>
    <cellStyle name="_REPORTE CONSOL_CONTROL PRODUC_DIARIA_CRUDO 2011" xfId="5317"/>
    <cellStyle name="_VARIACION" xfId="5318"/>
    <cellStyle name="20% - Accent1" xfId="6712" builtinId="30" customBuiltin="1"/>
    <cellStyle name="20% - Accent1 1" xfId="6"/>
    <cellStyle name="20% - Accent1 1 2" xfId="7"/>
    <cellStyle name="20% - Accent1 1_DPE-2011-11-22" xfId="8"/>
    <cellStyle name="20% - Accent1 10" xfId="5319"/>
    <cellStyle name="20% - Accent1 11" xfId="5853"/>
    <cellStyle name="20% - Accent1 12" xfId="5901"/>
    <cellStyle name="20% - Accent1 13" xfId="5953"/>
    <cellStyle name="20% - Accent1 14" xfId="5961"/>
    <cellStyle name="20% - Accent1 15" xfId="5983"/>
    <cellStyle name="20% - Accent1 16" xfId="6029"/>
    <cellStyle name="20% - Accent1 17" xfId="6014"/>
    <cellStyle name="20% - Accent1 18" xfId="6530"/>
    <cellStyle name="20% - Accent1 19" xfId="6849"/>
    <cellStyle name="20% - Accent1 2" xfId="9"/>
    <cellStyle name="20% - Accent1 2 2" xfId="10"/>
    <cellStyle name="20% - Accent1 2 2 2" xfId="11"/>
    <cellStyle name="20% - Accent1 2 2 3" xfId="12"/>
    <cellStyle name="20% - Accent1 2 3" xfId="13"/>
    <cellStyle name="20% - Accent1 2 4" xfId="14"/>
    <cellStyle name="20% - Accent1 2_DPE-2011-11-22" xfId="15"/>
    <cellStyle name="20% - Accent1 20" xfId="9204"/>
    <cellStyle name="20% - Accent1 21" xfId="9344"/>
    <cellStyle name="20% - Accent1 3" xfId="16"/>
    <cellStyle name="20% - Accent1 3 2" xfId="17"/>
    <cellStyle name="20% - Accent1 3 2 2" xfId="18"/>
    <cellStyle name="20% - Accent1 3 2 3" xfId="19"/>
    <cellStyle name="20% - Accent1 3 3" xfId="20"/>
    <cellStyle name="20% - Accent1 3 4" xfId="21"/>
    <cellStyle name="20% - Accent1 3_DPE-2011-11-22" xfId="22"/>
    <cellStyle name="20% - Accent1 4" xfId="23"/>
    <cellStyle name="20% - Accent1 4 2" xfId="24"/>
    <cellStyle name="20% - Accent1 4 3" xfId="25"/>
    <cellStyle name="20% - Accent1 4 4" xfId="26"/>
    <cellStyle name="20% - Accent1 5" xfId="27"/>
    <cellStyle name="20% - Accent1 6" xfId="28"/>
    <cellStyle name="20% - Accent1 7" xfId="29"/>
    <cellStyle name="20% - Accent1 8" xfId="30"/>
    <cellStyle name="20% - Accent1 9" xfId="5"/>
    <cellStyle name="20% - Accent2" xfId="6715" builtinId="34" customBuiltin="1"/>
    <cellStyle name="20% - Accent2 1" xfId="32"/>
    <cellStyle name="20% - Accent2 1 2" xfId="33"/>
    <cellStyle name="20% - Accent2 1_DPE-2011-11-22" xfId="34"/>
    <cellStyle name="20% - Accent2 10" xfId="5320"/>
    <cellStyle name="20% - Accent2 11" xfId="5854"/>
    <cellStyle name="20% - Accent2 12" xfId="5902"/>
    <cellStyle name="20% - Accent2 13" xfId="5952"/>
    <cellStyle name="20% - Accent2 14" xfId="5962"/>
    <cellStyle name="20% - Accent2 15" xfId="5984"/>
    <cellStyle name="20% - Accent2 16" xfId="6040"/>
    <cellStyle name="20% - Accent2 17" xfId="6043"/>
    <cellStyle name="20% - Accent2 18" xfId="6531"/>
    <cellStyle name="20% - Accent2 19" xfId="6850"/>
    <cellStyle name="20% - Accent2 2" xfId="35"/>
    <cellStyle name="20% - Accent2 2 2" xfId="36"/>
    <cellStyle name="20% - Accent2 2 2 2" xfId="37"/>
    <cellStyle name="20% - Accent2 2 2 3" xfId="38"/>
    <cellStyle name="20% - Accent2 2 3" xfId="39"/>
    <cellStyle name="20% - Accent2 2 4" xfId="40"/>
    <cellStyle name="20% - Accent2 2_DPE-2011-11-22" xfId="41"/>
    <cellStyle name="20% - Accent2 20" xfId="9205"/>
    <cellStyle name="20% - Accent2 21" xfId="9345"/>
    <cellStyle name="20% - Accent2 3" xfId="42"/>
    <cellStyle name="20% - Accent2 3 2" xfId="43"/>
    <cellStyle name="20% - Accent2 3 2 2" xfId="44"/>
    <cellStyle name="20% - Accent2 3 2 3" xfId="45"/>
    <cellStyle name="20% - Accent2 3 3" xfId="46"/>
    <cellStyle name="20% - Accent2 3 4" xfId="47"/>
    <cellStyle name="20% - Accent2 3_DPE-2011-11-22" xfId="48"/>
    <cellStyle name="20% - Accent2 4" xfId="49"/>
    <cellStyle name="20% - Accent2 4 2" xfId="50"/>
    <cellStyle name="20% - Accent2 4 3" xfId="51"/>
    <cellStyle name="20% - Accent2 4 4" xfId="52"/>
    <cellStyle name="20% - Accent2 5" xfId="53"/>
    <cellStyle name="20% - Accent2 6" xfId="54"/>
    <cellStyle name="20% - Accent2 7" xfId="55"/>
    <cellStyle name="20% - Accent2 8" xfId="56"/>
    <cellStyle name="20% - Accent2 9" xfId="31"/>
    <cellStyle name="20% - Accent3" xfId="6718" builtinId="38" customBuiltin="1"/>
    <cellStyle name="20% - Accent3 1" xfId="58"/>
    <cellStyle name="20% - Accent3 1 2" xfId="59"/>
    <cellStyle name="20% - Accent3 1_DPE-2011-11-22" xfId="60"/>
    <cellStyle name="20% - Accent3 10" xfId="5321"/>
    <cellStyle name="20% - Accent3 11" xfId="5855"/>
    <cellStyle name="20% - Accent3 12" xfId="5903"/>
    <cellStyle name="20% - Accent3 13" xfId="5951"/>
    <cellStyle name="20% - Accent3 14" xfId="5963"/>
    <cellStyle name="20% - Accent3 15" xfId="5985"/>
    <cellStyle name="20% - Accent3 16" xfId="6041"/>
    <cellStyle name="20% - Accent3 17" xfId="6044"/>
    <cellStyle name="20% - Accent3 18" xfId="6532"/>
    <cellStyle name="20% - Accent3 19" xfId="6851"/>
    <cellStyle name="20% - Accent3 2" xfId="61"/>
    <cellStyle name="20% - Accent3 2 2" xfId="62"/>
    <cellStyle name="20% - Accent3 2 2 2" xfId="63"/>
    <cellStyle name="20% - Accent3 2 2 3" xfId="64"/>
    <cellStyle name="20% - Accent3 2 3" xfId="65"/>
    <cellStyle name="20% - Accent3 2 4" xfId="66"/>
    <cellStyle name="20% - Accent3 2_DPE-2011-11-22" xfId="67"/>
    <cellStyle name="20% - Accent3 20" xfId="9206"/>
    <cellStyle name="20% - Accent3 21" xfId="9346"/>
    <cellStyle name="20% - Accent3 3" xfId="68"/>
    <cellStyle name="20% - Accent3 3 2" xfId="69"/>
    <cellStyle name="20% - Accent3 3 2 2" xfId="70"/>
    <cellStyle name="20% - Accent3 3 2 3" xfId="71"/>
    <cellStyle name="20% - Accent3 3 3" xfId="72"/>
    <cellStyle name="20% - Accent3 3 4" xfId="73"/>
    <cellStyle name="20% - Accent3 3_DPE-2011-11-22" xfId="74"/>
    <cellStyle name="20% - Accent3 4" xfId="75"/>
    <cellStyle name="20% - Accent3 4 2" xfId="76"/>
    <cellStyle name="20% - Accent3 4 3" xfId="77"/>
    <cellStyle name="20% - Accent3 4 4" xfId="78"/>
    <cellStyle name="20% - Accent3 5" xfId="79"/>
    <cellStyle name="20% - Accent3 6" xfId="80"/>
    <cellStyle name="20% - Accent3 7" xfId="81"/>
    <cellStyle name="20% - Accent3 8" xfId="82"/>
    <cellStyle name="20% - Accent3 9" xfId="57"/>
    <cellStyle name="20% - Accent4" xfId="6721" builtinId="42" customBuiltin="1"/>
    <cellStyle name="20% - Accent4 1" xfId="84"/>
    <cellStyle name="20% - Accent4 1 2" xfId="85"/>
    <cellStyle name="20% - Accent4 1_DPE-2011-11-22" xfId="86"/>
    <cellStyle name="20% - Accent4 10" xfId="5322"/>
    <cellStyle name="20% - Accent4 11" xfId="5856"/>
    <cellStyle name="20% - Accent4 12" xfId="5904"/>
    <cellStyle name="20% - Accent4 13" xfId="5950"/>
    <cellStyle name="20% - Accent4 14" xfId="5964"/>
    <cellStyle name="20% - Accent4 15" xfId="5986"/>
    <cellStyle name="20% - Accent4 16" xfId="6042"/>
    <cellStyle name="20% - Accent4 17" xfId="6045"/>
    <cellStyle name="20% - Accent4 18" xfId="6533"/>
    <cellStyle name="20% - Accent4 19" xfId="6852"/>
    <cellStyle name="20% - Accent4 2" xfId="87"/>
    <cellStyle name="20% - Accent4 2 2" xfId="88"/>
    <cellStyle name="20% - Accent4 2 2 2" xfId="89"/>
    <cellStyle name="20% - Accent4 2 2 3" xfId="90"/>
    <cellStyle name="20% - Accent4 2 3" xfId="91"/>
    <cellStyle name="20% - Accent4 2 4" xfId="92"/>
    <cellStyle name="20% - Accent4 2_DPE-2011-11-22" xfId="93"/>
    <cellStyle name="20% - Accent4 20" xfId="9207"/>
    <cellStyle name="20% - Accent4 21" xfId="9347"/>
    <cellStyle name="20% - Accent4 3" xfId="94"/>
    <cellStyle name="20% - Accent4 3 2" xfId="95"/>
    <cellStyle name="20% - Accent4 3 2 2" xfId="96"/>
    <cellStyle name="20% - Accent4 3 2 3" xfId="97"/>
    <cellStyle name="20% - Accent4 3 3" xfId="98"/>
    <cellStyle name="20% - Accent4 3 4" xfId="99"/>
    <cellStyle name="20% - Accent4 3_DPE-2011-11-22" xfId="100"/>
    <cellStyle name="20% - Accent4 4" xfId="101"/>
    <cellStyle name="20% - Accent4 4 2" xfId="102"/>
    <cellStyle name="20% - Accent4 4 3" xfId="103"/>
    <cellStyle name="20% - Accent4 4 4" xfId="104"/>
    <cellStyle name="20% - Accent4 5" xfId="105"/>
    <cellStyle name="20% - Accent4 6" xfId="106"/>
    <cellStyle name="20% - Accent4 7" xfId="107"/>
    <cellStyle name="20% - Accent4 8" xfId="108"/>
    <cellStyle name="20% - Accent4 9" xfId="83"/>
    <cellStyle name="20% - Accent5" xfId="6724" builtinId="46" customBuiltin="1"/>
    <cellStyle name="20% - Accent5 1" xfId="110"/>
    <cellStyle name="20% - Accent5 1 2" xfId="111"/>
    <cellStyle name="20% - Accent5 1_DPE-2011-11-22" xfId="112"/>
    <cellStyle name="20% - Accent5 10" xfId="5323"/>
    <cellStyle name="20% - Accent5 11" xfId="5857"/>
    <cellStyle name="20% - Accent5 12" xfId="5905"/>
    <cellStyle name="20% - Accent5 13" xfId="5949"/>
    <cellStyle name="20% - Accent5 14" xfId="5965"/>
    <cellStyle name="20% - Accent5 15" xfId="5987"/>
    <cellStyle name="20% - Accent5 16" xfId="6018"/>
    <cellStyle name="20% - Accent5 17" xfId="6017"/>
    <cellStyle name="20% - Accent5 18" xfId="6534"/>
    <cellStyle name="20% - Accent5 19" xfId="6853"/>
    <cellStyle name="20% - Accent5 2" xfId="113"/>
    <cellStyle name="20% - Accent5 2 2" xfId="114"/>
    <cellStyle name="20% - Accent5 2 2 2" xfId="115"/>
    <cellStyle name="20% - Accent5 2 2 3" xfId="116"/>
    <cellStyle name="20% - Accent5 2 3" xfId="117"/>
    <cellStyle name="20% - Accent5 2 4" xfId="118"/>
    <cellStyle name="20% - Accent5 2_DPE-2011-11-22" xfId="119"/>
    <cellStyle name="20% - Accent5 20" xfId="9208"/>
    <cellStyle name="20% - Accent5 21" xfId="9348"/>
    <cellStyle name="20% - Accent5 3" xfId="120"/>
    <cellStyle name="20% - Accent5 3 2" xfId="121"/>
    <cellStyle name="20% - Accent5 3 2 2" xfId="122"/>
    <cellStyle name="20% - Accent5 3 2 3" xfId="123"/>
    <cellStyle name="20% - Accent5 3 3" xfId="124"/>
    <cellStyle name="20% - Accent5 3 4" xfId="125"/>
    <cellStyle name="20% - Accent5 3_DPE-2011-11-22" xfId="126"/>
    <cellStyle name="20% - Accent5 4" xfId="127"/>
    <cellStyle name="20% - Accent5 4 2" xfId="128"/>
    <cellStyle name="20% - Accent5 4 3" xfId="129"/>
    <cellStyle name="20% - Accent5 4 4" xfId="130"/>
    <cellStyle name="20% - Accent5 5" xfId="131"/>
    <cellStyle name="20% - Accent5 6" xfId="132"/>
    <cellStyle name="20% - Accent5 7" xfId="133"/>
    <cellStyle name="20% - Accent5 8" xfId="134"/>
    <cellStyle name="20% - Accent5 9" xfId="109"/>
    <cellStyle name="20% - Accent6" xfId="6727" builtinId="50" customBuiltin="1"/>
    <cellStyle name="20% - Accent6 1" xfId="136"/>
    <cellStyle name="20% - Accent6 1 2" xfId="137"/>
    <cellStyle name="20% - Accent6 1_DPE-2011-11-22" xfId="138"/>
    <cellStyle name="20% - Accent6 10" xfId="135"/>
    <cellStyle name="20% - Accent6 11" xfId="5324"/>
    <cellStyle name="20% - Accent6 12" xfId="5858"/>
    <cellStyle name="20% - Accent6 13" xfId="5906"/>
    <cellStyle name="20% - Accent6 14" xfId="5948"/>
    <cellStyle name="20% - Accent6 15" xfId="5966"/>
    <cellStyle name="20% - Accent6 16" xfId="5988"/>
    <cellStyle name="20% - Accent6 17" xfId="6019"/>
    <cellStyle name="20% - Accent6 18" xfId="6046"/>
    <cellStyle name="20% - Accent6 19" xfId="6535"/>
    <cellStyle name="20% - Accent6 2" xfId="139"/>
    <cellStyle name="20% - Accent6 2 2" xfId="140"/>
    <cellStyle name="20% - Accent6 2 2 2" xfId="141"/>
    <cellStyle name="20% - Accent6 2 2 3" xfId="142"/>
    <cellStyle name="20% - Accent6 2 2 4" xfId="143"/>
    <cellStyle name="20% - Accent6 2 2 4 2" xfId="9210"/>
    <cellStyle name="20% - Accent6 2 3" xfId="144"/>
    <cellStyle name="20% - Accent6 2 3 2" xfId="145"/>
    <cellStyle name="20% - Accent6 2 3 2 2" xfId="9211"/>
    <cellStyle name="20% - Accent6 2 4" xfId="146"/>
    <cellStyle name="20% - Accent6 2 5" xfId="147"/>
    <cellStyle name="20% - Accent6 2 5 2" xfId="9212"/>
    <cellStyle name="20% - Accent6 2_DPE-2011-11-22" xfId="148"/>
    <cellStyle name="20% - Accent6 20" xfId="6854"/>
    <cellStyle name="20% - Accent6 21" xfId="9209"/>
    <cellStyle name="20% - Accent6 22" xfId="9349"/>
    <cellStyle name="20% - Accent6 3" xfId="149"/>
    <cellStyle name="20% - Accent6 3 2" xfId="150"/>
    <cellStyle name="20% - Accent6 3 2 2" xfId="151"/>
    <cellStyle name="20% - Accent6 3 2 3" xfId="152"/>
    <cellStyle name="20% - Accent6 3 3" xfId="153"/>
    <cellStyle name="20% - Accent6 3 4" xfId="154"/>
    <cellStyle name="20% - Accent6 3 5" xfId="155"/>
    <cellStyle name="20% - Accent6 3 5 2" xfId="9213"/>
    <cellStyle name="20% - Accent6 3_DPE-2011-11-22" xfId="156"/>
    <cellStyle name="20% - Accent6 4" xfId="157"/>
    <cellStyle name="20% - Accent6 4 2" xfId="158"/>
    <cellStyle name="20% - Accent6 4 3" xfId="159"/>
    <cellStyle name="20% - Accent6 4 4" xfId="160"/>
    <cellStyle name="20% - Accent6 5" xfId="161"/>
    <cellStyle name="20% - Accent6 5 2" xfId="162"/>
    <cellStyle name="20% - Accent6 5 2 2" xfId="163"/>
    <cellStyle name="20% - Accent6 5 2 2 2" xfId="9215"/>
    <cellStyle name="20% - Accent6 5 2 3" xfId="9214"/>
    <cellStyle name="20% - Accent6 5 3" xfId="164"/>
    <cellStyle name="20% - Accent6 5 3 2" xfId="9216"/>
    <cellStyle name="20% - Accent6 5 4" xfId="165"/>
    <cellStyle name="20% - Accent6 5 4 2" xfId="9217"/>
    <cellStyle name="20% - Accent6 6" xfId="166"/>
    <cellStyle name="20% - Accent6 7" xfId="167"/>
    <cellStyle name="20% - Accent6 8" xfId="168"/>
    <cellStyle name="20% - Accent6 9" xfId="169"/>
    <cellStyle name="20% - Accent6 9 2" xfId="9218"/>
    <cellStyle name="20% - Ênfase1 2" xfId="170"/>
    <cellStyle name="20% - Ênfase1 3" xfId="171"/>
    <cellStyle name="20% - Ênfase1 4" xfId="172"/>
    <cellStyle name="20% - Ênfase1 5" xfId="173"/>
    <cellStyle name="20% - Ênfase2 2" xfId="174"/>
    <cellStyle name="20% - Ênfase2 3" xfId="175"/>
    <cellStyle name="20% - Ênfase2 4" xfId="176"/>
    <cellStyle name="20% - Ênfase2 5" xfId="177"/>
    <cellStyle name="20% - Ênfase3 2" xfId="178"/>
    <cellStyle name="20% - Ênfase3 3" xfId="179"/>
    <cellStyle name="20% - Ênfase3 4" xfId="180"/>
    <cellStyle name="20% - Ênfase3 5" xfId="181"/>
    <cellStyle name="20% - Ênfase4 2" xfId="182"/>
    <cellStyle name="20% - Ênfase4 3" xfId="183"/>
    <cellStyle name="20% - Ênfase4 4" xfId="184"/>
    <cellStyle name="20% - Ênfase4 5" xfId="185"/>
    <cellStyle name="20% - Ênfase5 2" xfId="186"/>
    <cellStyle name="20% - Ênfase5 3" xfId="187"/>
    <cellStyle name="20% - Ênfase5 4" xfId="188"/>
    <cellStyle name="20% - Ênfase5 5" xfId="189"/>
    <cellStyle name="20% - Ênfase6 2" xfId="190"/>
    <cellStyle name="20% - Ênfase6 3" xfId="191"/>
    <cellStyle name="20% - Ênfase6 4" xfId="192"/>
    <cellStyle name="20% - Ênfase6 5" xfId="193"/>
    <cellStyle name="20% - Énfasis1" xfId="194"/>
    <cellStyle name="20% - Énfasis1 2" xfId="195"/>
    <cellStyle name="20% - Énfasis1 2 2" xfId="5325"/>
    <cellStyle name="20% - Énfasis1 2_PRODUCCION VS POTENCIAL" xfId="5326"/>
    <cellStyle name="20% - Énfasis1 3" xfId="5327"/>
    <cellStyle name="20% - Énfasis1 3 2" xfId="5328"/>
    <cellStyle name="20% - Énfasis1 3_PRODUCCION VS POTENCIAL" xfId="5329"/>
    <cellStyle name="20% - Énfasis1 4" xfId="5330"/>
    <cellStyle name="20% - Énfasis1 4 2" xfId="5331"/>
    <cellStyle name="20% - Énfasis1 4_PRODUCCION VS POTENCIAL" xfId="5332"/>
    <cellStyle name="20% - Énfasis1 5" xfId="5333"/>
    <cellStyle name="20% - Énfasis1 5 2" xfId="5334"/>
    <cellStyle name="20% - Énfasis1 5_PRODUCCION VS POTENCIAL" xfId="5335"/>
    <cellStyle name="20% - Énfasis1 6" xfId="5336"/>
    <cellStyle name="20% - Énfasis1 6 2" xfId="5337"/>
    <cellStyle name="20% - Énfasis1 6_PRODUCCION VS POTENCIAL" xfId="5338"/>
    <cellStyle name="20% - Énfasis1 7" xfId="5339"/>
    <cellStyle name="20% - Énfasis1 7 2" xfId="5340"/>
    <cellStyle name="20% - Énfasis1 7_PRODUCCION VS POTENCIAL" xfId="5341"/>
    <cellStyle name="20% - Énfasis2" xfId="196"/>
    <cellStyle name="20% - Énfasis2 2" xfId="197"/>
    <cellStyle name="20% - Énfasis2 2 2" xfId="5342"/>
    <cellStyle name="20% - Énfasis2 2_PRODUCCION VS POTENCIAL" xfId="5343"/>
    <cellStyle name="20% - Énfasis2 3" xfId="5344"/>
    <cellStyle name="20% - Énfasis2 3 2" xfId="5345"/>
    <cellStyle name="20% - Énfasis2 3_PRODUCCION VS POTENCIAL" xfId="5346"/>
    <cellStyle name="20% - Énfasis2 4" xfId="5347"/>
    <cellStyle name="20% - Énfasis2 4 2" xfId="5348"/>
    <cellStyle name="20% - Énfasis2 4_PRODUCCION VS POTENCIAL" xfId="5349"/>
    <cellStyle name="20% - Énfasis2 5" xfId="5350"/>
    <cellStyle name="20% - Énfasis2 5 2" xfId="5351"/>
    <cellStyle name="20% - Énfasis2 5_PRODUCCION VS POTENCIAL" xfId="5352"/>
    <cellStyle name="20% - Énfasis2 6" xfId="5353"/>
    <cellStyle name="20% - Énfasis2 6 2" xfId="5354"/>
    <cellStyle name="20% - Énfasis2 6_PRODUCCION VS POTENCIAL" xfId="5355"/>
    <cellStyle name="20% - Énfasis2 7" xfId="5356"/>
    <cellStyle name="20% - Énfasis2 7 2" xfId="5357"/>
    <cellStyle name="20% - Énfasis2 7_PRODUCCION VS POTENCIAL" xfId="5358"/>
    <cellStyle name="20% - Énfasis3" xfId="198"/>
    <cellStyle name="20% - Énfasis3 2" xfId="199"/>
    <cellStyle name="20% - Énfasis3 2 2" xfId="5359"/>
    <cellStyle name="20% - Énfasis3 2_PRODUCCION VS POTENCIAL" xfId="5360"/>
    <cellStyle name="20% - Énfasis3 3" xfId="5361"/>
    <cellStyle name="20% - Énfasis3 3 2" xfId="5362"/>
    <cellStyle name="20% - Énfasis3 3_PRODUCCION VS POTENCIAL" xfId="5363"/>
    <cellStyle name="20% - Énfasis3 4" xfId="5364"/>
    <cellStyle name="20% - Énfasis3 4 2" xfId="5365"/>
    <cellStyle name="20% - Énfasis3 4_PRODUCCION VS POTENCIAL" xfId="5366"/>
    <cellStyle name="20% - Énfasis3 5" xfId="5367"/>
    <cellStyle name="20% - Énfasis3 5 2" xfId="5368"/>
    <cellStyle name="20% - Énfasis3 5_PRODUCCION VS POTENCIAL" xfId="5369"/>
    <cellStyle name="20% - Énfasis3 6" xfId="5370"/>
    <cellStyle name="20% - Énfasis3 6 2" xfId="5371"/>
    <cellStyle name="20% - Énfasis3 6_PRODUCCION VS POTENCIAL" xfId="5372"/>
    <cellStyle name="20% - Énfasis3 7" xfId="5373"/>
    <cellStyle name="20% - Énfasis3 7 2" xfId="5374"/>
    <cellStyle name="20% - Énfasis3 7_PRODUCCION VS POTENCIAL" xfId="5375"/>
    <cellStyle name="20% - Énfasis4" xfId="200"/>
    <cellStyle name="20% - Énfasis4 2" xfId="201"/>
    <cellStyle name="20% - Énfasis4 2 2" xfId="5376"/>
    <cellStyle name="20% - Énfasis4 2_PRODUCCION VS POTENCIAL" xfId="5377"/>
    <cellStyle name="20% - Énfasis4 3" xfId="5378"/>
    <cellStyle name="20% - Énfasis4 3 2" xfId="5379"/>
    <cellStyle name="20% - Énfasis4 3_PRODUCCION VS POTENCIAL" xfId="5380"/>
    <cellStyle name="20% - Énfasis4 4" xfId="5381"/>
    <cellStyle name="20% - Énfasis4 4 2" xfId="5382"/>
    <cellStyle name="20% - Énfasis4 4_PRODUCCION VS POTENCIAL" xfId="5383"/>
    <cellStyle name="20% - Énfasis4 5" xfId="5384"/>
    <cellStyle name="20% - Énfasis4 5 2" xfId="5385"/>
    <cellStyle name="20% - Énfasis4 5_PRODUCCION VS POTENCIAL" xfId="5386"/>
    <cellStyle name="20% - Énfasis4 6" xfId="5387"/>
    <cellStyle name="20% - Énfasis4 6 2" xfId="5388"/>
    <cellStyle name="20% - Énfasis4 6_PRODUCCION VS POTENCIAL" xfId="5389"/>
    <cellStyle name="20% - Énfasis4 7" xfId="5390"/>
    <cellStyle name="20% - Énfasis4 7 2" xfId="5391"/>
    <cellStyle name="20% - Énfasis4 7_PRODUCCION VS POTENCIAL" xfId="5392"/>
    <cellStyle name="20% - Énfasis5" xfId="202"/>
    <cellStyle name="20% - Énfasis5 2" xfId="203"/>
    <cellStyle name="20% - Énfasis5 2 2" xfId="5393"/>
    <cellStyle name="20% - Énfasis5 2_PRODUCCION VS POTENCIAL" xfId="5394"/>
    <cellStyle name="20% - Énfasis5 3" xfId="5395"/>
    <cellStyle name="20% - Énfasis5 3 2" xfId="5396"/>
    <cellStyle name="20% - Énfasis5 3_PRODUCCION VS POTENCIAL" xfId="5397"/>
    <cellStyle name="20% - Énfasis5 4" xfId="5398"/>
    <cellStyle name="20% - Énfasis5 4 2" xfId="5399"/>
    <cellStyle name="20% - Énfasis5 4_PRODUCCION VS POTENCIAL" xfId="5400"/>
    <cellStyle name="20% - Énfasis5 5" xfId="5401"/>
    <cellStyle name="20% - Énfasis5 5 2" xfId="5402"/>
    <cellStyle name="20% - Énfasis5 5_PRODUCCION VS POTENCIAL" xfId="5403"/>
    <cellStyle name="20% - Énfasis5 6" xfId="5404"/>
    <cellStyle name="20% - Énfasis5 6 2" xfId="5405"/>
    <cellStyle name="20% - Énfasis5 6_PRODUCCION VS POTENCIAL" xfId="5406"/>
    <cellStyle name="20% - Énfasis5 7" xfId="5407"/>
    <cellStyle name="20% - Énfasis5 7 2" xfId="5408"/>
    <cellStyle name="20% - Énfasis5 7_PRODUCCION VS POTENCIAL" xfId="5409"/>
    <cellStyle name="20% - Énfasis6" xfId="204"/>
    <cellStyle name="20% - Énfasis6 2" xfId="205"/>
    <cellStyle name="20% - Énfasis6 2 2" xfId="5410"/>
    <cellStyle name="20% - Énfasis6 2_PRODUCCION VS POTENCIAL" xfId="5411"/>
    <cellStyle name="20% - Énfasis6 3" xfId="5412"/>
    <cellStyle name="20% - Énfasis6 3 2" xfId="5413"/>
    <cellStyle name="20% - Énfasis6 3_PRODUCCION VS POTENCIAL" xfId="5414"/>
    <cellStyle name="20% - Énfasis6 4" xfId="5415"/>
    <cellStyle name="20% - Énfasis6 4 2" xfId="5416"/>
    <cellStyle name="20% - Énfasis6 4_PRODUCCION VS POTENCIAL" xfId="5417"/>
    <cellStyle name="20% - Énfasis6 5" xfId="5418"/>
    <cellStyle name="20% - Énfasis6 5 2" xfId="5419"/>
    <cellStyle name="20% - Énfasis6 5_PRODUCCION VS POTENCIAL" xfId="5420"/>
    <cellStyle name="20% - Énfasis6 6" xfId="5421"/>
    <cellStyle name="20% - Énfasis6 6 2" xfId="5422"/>
    <cellStyle name="20% - Énfasis6 6_PRODUCCION VS POTENCIAL" xfId="5423"/>
    <cellStyle name="20% - Énfasis6 7" xfId="5424"/>
    <cellStyle name="20% - Énfasis6 7 2" xfId="5425"/>
    <cellStyle name="20% - Énfasis6 7_PRODUCCION VS POTENCIAL" xfId="5426"/>
    <cellStyle name="20% - Акцент1 10" xfId="1642"/>
    <cellStyle name="20% - Акцент1 10 2" xfId="1643"/>
    <cellStyle name="20% - Акцент1 11" xfId="1644"/>
    <cellStyle name="20% - Акцент1 11 2" xfId="1645"/>
    <cellStyle name="20% - Акцент1 12" xfId="1646"/>
    <cellStyle name="20% - Акцент1 12 2" xfId="1647"/>
    <cellStyle name="20% - Акцент1 13" xfId="1648"/>
    <cellStyle name="20% - Акцент1 13 2" xfId="1649"/>
    <cellStyle name="20% - Акцент1 14" xfId="1650"/>
    <cellStyle name="20% - Акцент1 14 2" xfId="1651"/>
    <cellStyle name="20% - Акцент1 15" xfId="1652"/>
    <cellStyle name="20% - Акцент1 15 2" xfId="1653"/>
    <cellStyle name="20% - Акцент1 16" xfId="1654"/>
    <cellStyle name="20% - Акцент1 16 2" xfId="1655"/>
    <cellStyle name="20% - Акцент1 17" xfId="1656"/>
    <cellStyle name="20% - Акцент1 17 2" xfId="1657"/>
    <cellStyle name="20% - Акцент1 18" xfId="1658"/>
    <cellStyle name="20% - Акцент1 18 2" xfId="1659"/>
    <cellStyle name="20% - Акцент1 19" xfId="1660"/>
    <cellStyle name="20% - Акцент1 19 2" xfId="1661"/>
    <cellStyle name="20% - Акцент1 2" xfId="1524"/>
    <cellStyle name="20% - Акцент1 2 10" xfId="1662"/>
    <cellStyle name="20% - Акцент1 2 10 2" xfId="1663"/>
    <cellStyle name="20% - Акцент1 2 11" xfId="1664"/>
    <cellStyle name="20% - Акцент1 2 11 2" xfId="1665"/>
    <cellStyle name="20% - Акцент1 2 12" xfId="1666"/>
    <cellStyle name="20% - Акцент1 2 12 2" xfId="1667"/>
    <cellStyle name="20% - Акцент1 2 13" xfId="1668"/>
    <cellStyle name="20% - Акцент1 2 13 2" xfId="1669"/>
    <cellStyle name="20% - Акцент1 2 14" xfId="1670"/>
    <cellStyle name="20% - Акцент1 2 14 2" xfId="1671"/>
    <cellStyle name="20% - Акцент1 2 15" xfId="1672"/>
    <cellStyle name="20% - Акцент1 2 15 2" xfId="1673"/>
    <cellStyle name="20% - Акцент1 2 16" xfId="1674"/>
    <cellStyle name="20% - Акцент1 2 16 2" xfId="1675"/>
    <cellStyle name="20% - Акцент1 2 17" xfId="1676"/>
    <cellStyle name="20% - Акцент1 2 17 2" xfId="1677"/>
    <cellStyle name="20% - Акцент1 2 18" xfId="1678"/>
    <cellStyle name="20% - Акцент1 2 18 2" xfId="1679"/>
    <cellStyle name="20% - Акцент1 2 19" xfId="1680"/>
    <cellStyle name="20% - Акцент1 2 2" xfId="1681"/>
    <cellStyle name="20% - Акцент1 2 2 2" xfId="1682"/>
    <cellStyle name="20% - Акцент1 2 3" xfId="1683"/>
    <cellStyle name="20% - Акцент1 2 3 2" xfId="1684"/>
    <cellStyle name="20% - Акцент1 2 4" xfId="1685"/>
    <cellStyle name="20% - Акцент1 2 4 2" xfId="1686"/>
    <cellStyle name="20% - Акцент1 2 5" xfId="1687"/>
    <cellStyle name="20% - Акцент1 2 5 2" xfId="1688"/>
    <cellStyle name="20% - Акцент1 2 6" xfId="1689"/>
    <cellStyle name="20% - Акцент1 2 6 2" xfId="1690"/>
    <cellStyle name="20% - Акцент1 2 7" xfId="1691"/>
    <cellStyle name="20% - Акцент1 2 7 2" xfId="1692"/>
    <cellStyle name="20% - Акцент1 2 8" xfId="1693"/>
    <cellStyle name="20% - Акцент1 2 8 2" xfId="1694"/>
    <cellStyle name="20% - Акцент1 2 9" xfId="1695"/>
    <cellStyle name="20% - Акцент1 2 9 2" xfId="1696"/>
    <cellStyle name="20% - Акцент1 20" xfId="1697"/>
    <cellStyle name="20% - Акцент1 20 2" xfId="1698"/>
    <cellStyle name="20% - Акцент1 21" xfId="1699"/>
    <cellStyle name="20% - Акцент1 21 2" xfId="1700"/>
    <cellStyle name="20% - Акцент1 3" xfId="1701"/>
    <cellStyle name="20% - Акцент1 3 2" xfId="1702"/>
    <cellStyle name="20% - Акцент1 4" xfId="1703"/>
    <cellStyle name="20% - Акцент1 4 2" xfId="1704"/>
    <cellStyle name="20% - Акцент1 5" xfId="1705"/>
    <cellStyle name="20% - Акцент1 5 2" xfId="1706"/>
    <cellStyle name="20% - Акцент1 6" xfId="1707"/>
    <cellStyle name="20% - Акцент1 6 2" xfId="1708"/>
    <cellStyle name="20% - Акцент1 7" xfId="1709"/>
    <cellStyle name="20% - Акцент1 7 2" xfId="1710"/>
    <cellStyle name="20% - Акцент1 8" xfId="1711"/>
    <cellStyle name="20% - Акцент1 8 2" xfId="1712"/>
    <cellStyle name="20% - Акцент1 9" xfId="1713"/>
    <cellStyle name="20% - Акцент1 9 2" xfId="1714"/>
    <cellStyle name="20% - Акцент2 10" xfId="1715"/>
    <cellStyle name="20% - Акцент2 10 2" xfId="1716"/>
    <cellStyle name="20% - Акцент2 11" xfId="1717"/>
    <cellStyle name="20% - Акцент2 11 2" xfId="1718"/>
    <cellStyle name="20% - Акцент2 12" xfId="1719"/>
    <cellStyle name="20% - Акцент2 12 2" xfId="1720"/>
    <cellStyle name="20% - Акцент2 13" xfId="1721"/>
    <cellStyle name="20% - Акцент2 13 2" xfId="1722"/>
    <cellStyle name="20% - Акцент2 14" xfId="1723"/>
    <cellStyle name="20% - Акцент2 14 2" xfId="1724"/>
    <cellStyle name="20% - Акцент2 15" xfId="1725"/>
    <cellStyle name="20% - Акцент2 15 2" xfId="1726"/>
    <cellStyle name="20% - Акцент2 16" xfId="1727"/>
    <cellStyle name="20% - Акцент2 16 2" xfId="1728"/>
    <cellStyle name="20% - Акцент2 17" xfId="1729"/>
    <cellStyle name="20% - Акцент2 17 2" xfId="1730"/>
    <cellStyle name="20% - Акцент2 18" xfId="1731"/>
    <cellStyle name="20% - Акцент2 18 2" xfId="1732"/>
    <cellStyle name="20% - Акцент2 19" xfId="1733"/>
    <cellStyle name="20% - Акцент2 19 2" xfId="1734"/>
    <cellStyle name="20% - Акцент2 2" xfId="1525"/>
    <cellStyle name="20% - Акцент2 2 10" xfId="1735"/>
    <cellStyle name="20% - Акцент2 2 10 2" xfId="1736"/>
    <cellStyle name="20% - Акцент2 2 11" xfId="1737"/>
    <cellStyle name="20% - Акцент2 2 11 2" xfId="1738"/>
    <cellStyle name="20% - Акцент2 2 12" xfId="1739"/>
    <cellStyle name="20% - Акцент2 2 12 2" xfId="1740"/>
    <cellStyle name="20% - Акцент2 2 13" xfId="1741"/>
    <cellStyle name="20% - Акцент2 2 13 2" xfId="1742"/>
    <cellStyle name="20% - Акцент2 2 14" xfId="1743"/>
    <cellStyle name="20% - Акцент2 2 14 2" xfId="1744"/>
    <cellStyle name="20% - Акцент2 2 15" xfId="1745"/>
    <cellStyle name="20% - Акцент2 2 15 2" xfId="1746"/>
    <cellStyle name="20% - Акцент2 2 16" xfId="1747"/>
    <cellStyle name="20% - Акцент2 2 16 2" xfId="1748"/>
    <cellStyle name="20% - Акцент2 2 17" xfId="1749"/>
    <cellStyle name="20% - Акцент2 2 17 2" xfId="1750"/>
    <cellStyle name="20% - Акцент2 2 18" xfId="1751"/>
    <cellStyle name="20% - Акцент2 2 18 2" xfId="1752"/>
    <cellStyle name="20% - Акцент2 2 19" xfId="1753"/>
    <cellStyle name="20% - Акцент2 2 2" xfId="1754"/>
    <cellStyle name="20% - Акцент2 2 2 2" xfId="1755"/>
    <cellStyle name="20% - Акцент2 2 3" xfId="1756"/>
    <cellStyle name="20% - Акцент2 2 3 2" xfId="1757"/>
    <cellStyle name="20% - Акцент2 2 4" xfId="1758"/>
    <cellStyle name="20% - Акцент2 2 4 2" xfId="1759"/>
    <cellStyle name="20% - Акцент2 2 5" xfId="1760"/>
    <cellStyle name="20% - Акцент2 2 5 2" xfId="1761"/>
    <cellStyle name="20% - Акцент2 2 6" xfId="1762"/>
    <cellStyle name="20% - Акцент2 2 6 2" xfId="1763"/>
    <cellStyle name="20% - Акцент2 2 7" xfId="1764"/>
    <cellStyle name="20% - Акцент2 2 7 2" xfId="1765"/>
    <cellStyle name="20% - Акцент2 2 8" xfId="1766"/>
    <cellStyle name="20% - Акцент2 2 8 2" xfId="1767"/>
    <cellStyle name="20% - Акцент2 2 9" xfId="1768"/>
    <cellStyle name="20% - Акцент2 2 9 2" xfId="1769"/>
    <cellStyle name="20% - Акцент2 20" xfId="1770"/>
    <cellStyle name="20% - Акцент2 20 2" xfId="1771"/>
    <cellStyle name="20% - Акцент2 21" xfId="1772"/>
    <cellStyle name="20% - Акцент2 21 2" xfId="1773"/>
    <cellStyle name="20% - Акцент2 3" xfId="1774"/>
    <cellStyle name="20% - Акцент2 3 2" xfId="1775"/>
    <cellStyle name="20% - Акцент2 4" xfId="1776"/>
    <cellStyle name="20% - Акцент2 4 2" xfId="1777"/>
    <cellStyle name="20% - Акцент2 5" xfId="1778"/>
    <cellStyle name="20% - Акцент2 5 2" xfId="1779"/>
    <cellStyle name="20% - Акцент2 6" xfId="1780"/>
    <cellStyle name="20% - Акцент2 6 2" xfId="1781"/>
    <cellStyle name="20% - Акцент2 7" xfId="1782"/>
    <cellStyle name="20% - Акцент2 7 2" xfId="1783"/>
    <cellStyle name="20% - Акцент2 8" xfId="1784"/>
    <cellStyle name="20% - Акцент2 8 2" xfId="1785"/>
    <cellStyle name="20% - Акцент2 9" xfId="1786"/>
    <cellStyle name="20% - Акцент2 9 2" xfId="1787"/>
    <cellStyle name="20% - Акцент3 10" xfId="1788"/>
    <cellStyle name="20% - Акцент3 10 2" xfId="1789"/>
    <cellStyle name="20% - Акцент3 11" xfId="1790"/>
    <cellStyle name="20% - Акцент3 11 2" xfId="1791"/>
    <cellStyle name="20% - Акцент3 12" xfId="1792"/>
    <cellStyle name="20% - Акцент3 12 2" xfId="1793"/>
    <cellStyle name="20% - Акцент3 13" xfId="1794"/>
    <cellStyle name="20% - Акцент3 13 2" xfId="1795"/>
    <cellStyle name="20% - Акцент3 14" xfId="1796"/>
    <cellStyle name="20% - Акцент3 14 2" xfId="1797"/>
    <cellStyle name="20% - Акцент3 15" xfId="1798"/>
    <cellStyle name="20% - Акцент3 15 2" xfId="1799"/>
    <cellStyle name="20% - Акцент3 16" xfId="1800"/>
    <cellStyle name="20% - Акцент3 16 2" xfId="1801"/>
    <cellStyle name="20% - Акцент3 17" xfId="1802"/>
    <cellStyle name="20% - Акцент3 17 2" xfId="1803"/>
    <cellStyle name="20% - Акцент3 18" xfId="1804"/>
    <cellStyle name="20% - Акцент3 18 2" xfId="1805"/>
    <cellStyle name="20% - Акцент3 19" xfId="1806"/>
    <cellStyle name="20% - Акцент3 19 2" xfId="1807"/>
    <cellStyle name="20% - Акцент3 2" xfId="1526"/>
    <cellStyle name="20% - Акцент3 2 10" xfId="1808"/>
    <cellStyle name="20% - Акцент3 2 10 2" xfId="1809"/>
    <cellStyle name="20% - Акцент3 2 11" xfId="1810"/>
    <cellStyle name="20% - Акцент3 2 11 2" xfId="1811"/>
    <cellStyle name="20% - Акцент3 2 12" xfId="1812"/>
    <cellStyle name="20% - Акцент3 2 12 2" xfId="1813"/>
    <cellStyle name="20% - Акцент3 2 13" xfId="1814"/>
    <cellStyle name="20% - Акцент3 2 13 2" xfId="1815"/>
    <cellStyle name="20% - Акцент3 2 14" xfId="1816"/>
    <cellStyle name="20% - Акцент3 2 14 2" xfId="1817"/>
    <cellStyle name="20% - Акцент3 2 15" xfId="1818"/>
    <cellStyle name="20% - Акцент3 2 15 2" xfId="1819"/>
    <cellStyle name="20% - Акцент3 2 16" xfId="1820"/>
    <cellStyle name="20% - Акцент3 2 16 2" xfId="1821"/>
    <cellStyle name="20% - Акцент3 2 17" xfId="1822"/>
    <cellStyle name="20% - Акцент3 2 17 2" xfId="1823"/>
    <cellStyle name="20% - Акцент3 2 18" xfId="1824"/>
    <cellStyle name="20% - Акцент3 2 18 2" xfId="1825"/>
    <cellStyle name="20% - Акцент3 2 19" xfId="1826"/>
    <cellStyle name="20% - Акцент3 2 2" xfId="1827"/>
    <cellStyle name="20% - Акцент3 2 2 2" xfId="1828"/>
    <cellStyle name="20% - Акцент3 2 3" xfId="1829"/>
    <cellStyle name="20% - Акцент3 2 3 2" xfId="1830"/>
    <cellStyle name="20% - Акцент3 2 4" xfId="1831"/>
    <cellStyle name="20% - Акцент3 2 4 2" xfId="1832"/>
    <cellStyle name="20% - Акцент3 2 5" xfId="1833"/>
    <cellStyle name="20% - Акцент3 2 5 2" xfId="1834"/>
    <cellStyle name="20% - Акцент3 2 6" xfId="1835"/>
    <cellStyle name="20% - Акцент3 2 6 2" xfId="1836"/>
    <cellStyle name="20% - Акцент3 2 7" xfId="1837"/>
    <cellStyle name="20% - Акцент3 2 7 2" xfId="1838"/>
    <cellStyle name="20% - Акцент3 2 8" xfId="1839"/>
    <cellStyle name="20% - Акцент3 2 8 2" xfId="1840"/>
    <cellStyle name="20% - Акцент3 2 9" xfId="1841"/>
    <cellStyle name="20% - Акцент3 2 9 2" xfId="1842"/>
    <cellStyle name="20% - Акцент3 20" xfId="1843"/>
    <cellStyle name="20% - Акцент3 20 2" xfId="1844"/>
    <cellStyle name="20% - Акцент3 21" xfId="1845"/>
    <cellStyle name="20% - Акцент3 21 2" xfId="1846"/>
    <cellStyle name="20% - Акцент3 3" xfId="1847"/>
    <cellStyle name="20% - Акцент3 3 2" xfId="1848"/>
    <cellStyle name="20% - Акцент3 4" xfId="1849"/>
    <cellStyle name="20% - Акцент3 4 2" xfId="1850"/>
    <cellStyle name="20% - Акцент3 5" xfId="1851"/>
    <cellStyle name="20% - Акцент3 5 2" xfId="1852"/>
    <cellStyle name="20% - Акцент3 6" xfId="1853"/>
    <cellStyle name="20% - Акцент3 6 2" xfId="1854"/>
    <cellStyle name="20% - Акцент3 7" xfId="1855"/>
    <cellStyle name="20% - Акцент3 7 2" xfId="1856"/>
    <cellStyle name="20% - Акцент3 8" xfId="1857"/>
    <cellStyle name="20% - Акцент3 8 2" xfId="1858"/>
    <cellStyle name="20% - Акцент3 9" xfId="1859"/>
    <cellStyle name="20% - Акцент3 9 2" xfId="1860"/>
    <cellStyle name="20% - Акцент4 10" xfId="1861"/>
    <cellStyle name="20% - Акцент4 10 2" xfId="1862"/>
    <cellStyle name="20% - Акцент4 11" xfId="1863"/>
    <cellStyle name="20% - Акцент4 11 2" xfId="1864"/>
    <cellStyle name="20% - Акцент4 12" xfId="1865"/>
    <cellStyle name="20% - Акцент4 12 2" xfId="1866"/>
    <cellStyle name="20% - Акцент4 13" xfId="1867"/>
    <cellStyle name="20% - Акцент4 13 2" xfId="1868"/>
    <cellStyle name="20% - Акцент4 14" xfId="1869"/>
    <cellStyle name="20% - Акцент4 14 2" xfId="1870"/>
    <cellStyle name="20% - Акцент4 15" xfId="1871"/>
    <cellStyle name="20% - Акцент4 15 2" xfId="1872"/>
    <cellStyle name="20% - Акцент4 16" xfId="1873"/>
    <cellStyle name="20% - Акцент4 16 2" xfId="1874"/>
    <cellStyle name="20% - Акцент4 17" xfId="1875"/>
    <cellStyle name="20% - Акцент4 17 2" xfId="1876"/>
    <cellStyle name="20% - Акцент4 18" xfId="1877"/>
    <cellStyle name="20% - Акцент4 18 2" xfId="1878"/>
    <cellStyle name="20% - Акцент4 19" xfId="1879"/>
    <cellStyle name="20% - Акцент4 19 2" xfId="1880"/>
    <cellStyle name="20% - Акцент4 2" xfId="1527"/>
    <cellStyle name="20% - Акцент4 2 10" xfId="1881"/>
    <cellStyle name="20% - Акцент4 2 10 2" xfId="1882"/>
    <cellStyle name="20% - Акцент4 2 11" xfId="1883"/>
    <cellStyle name="20% - Акцент4 2 11 2" xfId="1884"/>
    <cellStyle name="20% - Акцент4 2 12" xfId="1885"/>
    <cellStyle name="20% - Акцент4 2 12 2" xfId="1886"/>
    <cellStyle name="20% - Акцент4 2 13" xfId="1887"/>
    <cellStyle name="20% - Акцент4 2 13 2" xfId="1888"/>
    <cellStyle name="20% - Акцент4 2 14" xfId="1889"/>
    <cellStyle name="20% - Акцент4 2 14 2" xfId="1890"/>
    <cellStyle name="20% - Акцент4 2 15" xfId="1891"/>
    <cellStyle name="20% - Акцент4 2 15 2" xfId="1892"/>
    <cellStyle name="20% - Акцент4 2 16" xfId="1893"/>
    <cellStyle name="20% - Акцент4 2 16 2" xfId="1894"/>
    <cellStyle name="20% - Акцент4 2 17" xfId="1895"/>
    <cellStyle name="20% - Акцент4 2 17 2" xfId="1896"/>
    <cellStyle name="20% - Акцент4 2 18" xfId="1897"/>
    <cellStyle name="20% - Акцент4 2 18 2" xfId="1898"/>
    <cellStyle name="20% - Акцент4 2 19" xfId="1899"/>
    <cellStyle name="20% - Акцент4 2 2" xfId="1900"/>
    <cellStyle name="20% - Акцент4 2 2 2" xfId="1901"/>
    <cellStyle name="20% - Акцент4 2 3" xfId="1902"/>
    <cellStyle name="20% - Акцент4 2 3 2" xfId="1903"/>
    <cellStyle name="20% - Акцент4 2 4" xfId="1904"/>
    <cellStyle name="20% - Акцент4 2 4 2" xfId="1905"/>
    <cellStyle name="20% - Акцент4 2 5" xfId="1906"/>
    <cellStyle name="20% - Акцент4 2 5 2" xfId="1907"/>
    <cellStyle name="20% - Акцент4 2 6" xfId="1908"/>
    <cellStyle name="20% - Акцент4 2 6 2" xfId="1909"/>
    <cellStyle name="20% - Акцент4 2 7" xfId="1910"/>
    <cellStyle name="20% - Акцент4 2 7 2" xfId="1911"/>
    <cellStyle name="20% - Акцент4 2 8" xfId="1912"/>
    <cellStyle name="20% - Акцент4 2 8 2" xfId="1913"/>
    <cellStyle name="20% - Акцент4 2 9" xfId="1914"/>
    <cellStyle name="20% - Акцент4 2 9 2" xfId="1915"/>
    <cellStyle name="20% - Акцент4 20" xfId="1916"/>
    <cellStyle name="20% - Акцент4 20 2" xfId="1917"/>
    <cellStyle name="20% - Акцент4 21" xfId="1918"/>
    <cellStyle name="20% - Акцент4 21 2" xfId="1919"/>
    <cellStyle name="20% - Акцент4 3" xfId="1920"/>
    <cellStyle name="20% - Акцент4 3 2" xfId="1921"/>
    <cellStyle name="20% - Акцент4 4" xfId="1922"/>
    <cellStyle name="20% - Акцент4 4 2" xfId="1923"/>
    <cellStyle name="20% - Акцент4 5" xfId="1924"/>
    <cellStyle name="20% - Акцент4 5 2" xfId="1925"/>
    <cellStyle name="20% - Акцент4 6" xfId="1926"/>
    <cellStyle name="20% - Акцент4 6 2" xfId="1927"/>
    <cellStyle name="20% - Акцент4 7" xfId="1928"/>
    <cellStyle name="20% - Акцент4 7 2" xfId="1929"/>
    <cellStyle name="20% - Акцент4 8" xfId="1930"/>
    <cellStyle name="20% - Акцент4 8 2" xfId="1931"/>
    <cellStyle name="20% - Акцент4 9" xfId="1932"/>
    <cellStyle name="20% - Акцент4 9 2" xfId="1933"/>
    <cellStyle name="20% - Акцент5 10" xfId="1934"/>
    <cellStyle name="20% - Акцент5 10 2" xfId="1935"/>
    <cellStyle name="20% - Акцент5 11" xfId="1936"/>
    <cellStyle name="20% - Акцент5 11 2" xfId="1937"/>
    <cellStyle name="20% - Акцент5 12" xfId="1938"/>
    <cellStyle name="20% - Акцент5 12 2" xfId="1939"/>
    <cellStyle name="20% - Акцент5 13" xfId="1940"/>
    <cellStyle name="20% - Акцент5 13 2" xfId="1941"/>
    <cellStyle name="20% - Акцент5 14" xfId="1942"/>
    <cellStyle name="20% - Акцент5 14 2" xfId="1943"/>
    <cellStyle name="20% - Акцент5 15" xfId="1944"/>
    <cellStyle name="20% - Акцент5 15 2" xfId="1945"/>
    <cellStyle name="20% - Акцент5 16" xfId="1946"/>
    <cellStyle name="20% - Акцент5 16 2" xfId="1947"/>
    <cellStyle name="20% - Акцент5 17" xfId="1948"/>
    <cellStyle name="20% - Акцент5 17 2" xfId="1949"/>
    <cellStyle name="20% - Акцент5 18" xfId="1950"/>
    <cellStyle name="20% - Акцент5 18 2" xfId="1951"/>
    <cellStyle name="20% - Акцент5 19" xfId="1952"/>
    <cellStyle name="20% - Акцент5 19 2" xfId="1953"/>
    <cellStyle name="20% - Акцент5 2" xfId="1528"/>
    <cellStyle name="20% - Акцент5 2 10" xfId="1954"/>
    <cellStyle name="20% - Акцент5 2 10 2" xfId="1955"/>
    <cellStyle name="20% - Акцент5 2 11" xfId="1956"/>
    <cellStyle name="20% - Акцент5 2 11 2" xfId="1957"/>
    <cellStyle name="20% - Акцент5 2 12" xfId="1958"/>
    <cellStyle name="20% - Акцент5 2 12 2" xfId="1959"/>
    <cellStyle name="20% - Акцент5 2 13" xfId="1960"/>
    <cellStyle name="20% - Акцент5 2 13 2" xfId="1961"/>
    <cellStyle name="20% - Акцент5 2 14" xfId="1962"/>
    <cellStyle name="20% - Акцент5 2 14 2" xfId="1963"/>
    <cellStyle name="20% - Акцент5 2 15" xfId="1964"/>
    <cellStyle name="20% - Акцент5 2 15 2" xfId="1965"/>
    <cellStyle name="20% - Акцент5 2 16" xfId="1966"/>
    <cellStyle name="20% - Акцент5 2 16 2" xfId="1967"/>
    <cellStyle name="20% - Акцент5 2 17" xfId="1968"/>
    <cellStyle name="20% - Акцент5 2 17 2" xfId="1969"/>
    <cellStyle name="20% - Акцент5 2 18" xfId="1970"/>
    <cellStyle name="20% - Акцент5 2 18 2" xfId="1971"/>
    <cellStyle name="20% - Акцент5 2 19" xfId="1972"/>
    <cellStyle name="20% - Акцент5 2 2" xfId="1973"/>
    <cellStyle name="20% - Акцент5 2 2 2" xfId="1974"/>
    <cellStyle name="20% - Акцент5 2 3" xfId="1975"/>
    <cellStyle name="20% - Акцент5 2 3 2" xfId="1976"/>
    <cellStyle name="20% - Акцент5 2 4" xfId="1977"/>
    <cellStyle name="20% - Акцент5 2 4 2" xfId="1978"/>
    <cellStyle name="20% - Акцент5 2 5" xfId="1979"/>
    <cellStyle name="20% - Акцент5 2 5 2" xfId="1980"/>
    <cellStyle name="20% - Акцент5 2 6" xfId="1981"/>
    <cellStyle name="20% - Акцент5 2 6 2" xfId="1982"/>
    <cellStyle name="20% - Акцент5 2 7" xfId="1983"/>
    <cellStyle name="20% - Акцент5 2 7 2" xfId="1984"/>
    <cellStyle name="20% - Акцент5 2 8" xfId="1985"/>
    <cellStyle name="20% - Акцент5 2 8 2" xfId="1986"/>
    <cellStyle name="20% - Акцент5 2 9" xfId="1987"/>
    <cellStyle name="20% - Акцент5 2 9 2" xfId="1988"/>
    <cellStyle name="20% - Акцент5 20" xfId="1989"/>
    <cellStyle name="20% - Акцент5 20 2" xfId="1990"/>
    <cellStyle name="20% - Акцент5 21" xfId="1991"/>
    <cellStyle name="20% - Акцент5 21 2" xfId="1992"/>
    <cellStyle name="20% - Акцент5 3" xfId="1993"/>
    <cellStyle name="20% - Акцент5 3 2" xfId="1994"/>
    <cellStyle name="20% - Акцент5 4" xfId="1995"/>
    <cellStyle name="20% - Акцент5 4 2" xfId="1996"/>
    <cellStyle name="20% - Акцент5 5" xfId="1997"/>
    <cellStyle name="20% - Акцент5 5 2" xfId="1998"/>
    <cellStyle name="20% - Акцент5 6" xfId="1999"/>
    <cellStyle name="20% - Акцент5 6 2" xfId="2000"/>
    <cellStyle name="20% - Акцент5 7" xfId="2001"/>
    <cellStyle name="20% - Акцент5 7 2" xfId="2002"/>
    <cellStyle name="20% - Акцент5 8" xfId="2003"/>
    <cellStyle name="20% - Акцент5 8 2" xfId="2004"/>
    <cellStyle name="20% - Акцент5 9" xfId="2005"/>
    <cellStyle name="20% - Акцент5 9 2" xfId="2006"/>
    <cellStyle name="20% - Акцент6 10" xfId="2007"/>
    <cellStyle name="20% - Акцент6 10 2" xfId="2008"/>
    <cellStyle name="20% - Акцент6 11" xfId="2009"/>
    <cellStyle name="20% - Акцент6 11 2" xfId="2010"/>
    <cellStyle name="20% - Акцент6 12" xfId="2011"/>
    <cellStyle name="20% - Акцент6 12 2" xfId="2012"/>
    <cellStyle name="20% - Акцент6 13" xfId="2013"/>
    <cellStyle name="20% - Акцент6 13 2" xfId="2014"/>
    <cellStyle name="20% - Акцент6 14" xfId="2015"/>
    <cellStyle name="20% - Акцент6 14 2" xfId="2016"/>
    <cellStyle name="20% - Акцент6 15" xfId="2017"/>
    <cellStyle name="20% - Акцент6 15 2" xfId="2018"/>
    <cellStyle name="20% - Акцент6 16" xfId="2019"/>
    <cellStyle name="20% - Акцент6 16 2" xfId="2020"/>
    <cellStyle name="20% - Акцент6 17" xfId="2021"/>
    <cellStyle name="20% - Акцент6 17 2" xfId="2022"/>
    <cellStyle name="20% - Акцент6 18" xfId="2023"/>
    <cellStyle name="20% - Акцент6 18 2" xfId="2024"/>
    <cellStyle name="20% - Акцент6 19" xfId="2025"/>
    <cellStyle name="20% - Акцент6 19 2" xfId="2026"/>
    <cellStyle name="20% - Акцент6 2" xfId="1529"/>
    <cellStyle name="20% - Акцент6 2 10" xfId="2027"/>
    <cellStyle name="20% - Акцент6 2 10 2" xfId="2028"/>
    <cellStyle name="20% - Акцент6 2 11" xfId="2029"/>
    <cellStyle name="20% - Акцент6 2 11 2" xfId="2030"/>
    <cellStyle name="20% - Акцент6 2 12" xfId="2031"/>
    <cellStyle name="20% - Акцент6 2 12 2" xfId="2032"/>
    <cellStyle name="20% - Акцент6 2 13" xfId="2033"/>
    <cellStyle name="20% - Акцент6 2 13 2" xfId="2034"/>
    <cellStyle name="20% - Акцент6 2 14" xfId="2035"/>
    <cellStyle name="20% - Акцент6 2 14 2" xfId="2036"/>
    <cellStyle name="20% - Акцент6 2 15" xfId="2037"/>
    <cellStyle name="20% - Акцент6 2 15 2" xfId="2038"/>
    <cellStyle name="20% - Акцент6 2 16" xfId="2039"/>
    <cellStyle name="20% - Акцент6 2 16 2" xfId="2040"/>
    <cellStyle name="20% - Акцент6 2 17" xfId="2041"/>
    <cellStyle name="20% - Акцент6 2 17 2" xfId="2042"/>
    <cellStyle name="20% - Акцент6 2 18" xfId="2043"/>
    <cellStyle name="20% - Акцент6 2 18 2" xfId="2044"/>
    <cellStyle name="20% - Акцент6 2 19" xfId="2045"/>
    <cellStyle name="20% - Акцент6 2 2" xfId="2046"/>
    <cellStyle name="20% - Акцент6 2 2 2" xfId="2047"/>
    <cellStyle name="20% - Акцент6 2 3" xfId="2048"/>
    <cellStyle name="20% - Акцент6 2 3 2" xfId="2049"/>
    <cellStyle name="20% - Акцент6 2 4" xfId="2050"/>
    <cellStyle name="20% - Акцент6 2 4 2" xfId="2051"/>
    <cellStyle name="20% - Акцент6 2 5" xfId="2052"/>
    <cellStyle name="20% - Акцент6 2 5 2" xfId="2053"/>
    <cellStyle name="20% - Акцент6 2 6" xfId="2054"/>
    <cellStyle name="20% - Акцент6 2 6 2" xfId="2055"/>
    <cellStyle name="20% - Акцент6 2 7" xfId="2056"/>
    <cellStyle name="20% - Акцент6 2 7 2" xfId="2057"/>
    <cellStyle name="20% - Акцент6 2 8" xfId="2058"/>
    <cellStyle name="20% - Акцент6 2 8 2" xfId="2059"/>
    <cellStyle name="20% - Акцент6 2 9" xfId="2060"/>
    <cellStyle name="20% - Акцент6 2 9 2" xfId="2061"/>
    <cellStyle name="20% - Акцент6 20" xfId="2062"/>
    <cellStyle name="20% - Акцент6 20 2" xfId="2063"/>
    <cellStyle name="20% - Акцент6 21" xfId="2064"/>
    <cellStyle name="20% - Акцент6 21 2" xfId="2065"/>
    <cellStyle name="20% - Акцент6 3" xfId="2066"/>
    <cellStyle name="20% - Акцент6 3 2" xfId="2067"/>
    <cellStyle name="20% - Акцент6 4" xfId="2068"/>
    <cellStyle name="20% - Акцент6 4 2" xfId="2069"/>
    <cellStyle name="20% - Акцент6 5" xfId="2070"/>
    <cellStyle name="20% - Акцент6 5 2" xfId="2071"/>
    <cellStyle name="20% - Акцент6 6" xfId="2072"/>
    <cellStyle name="20% - Акцент6 6 2" xfId="2073"/>
    <cellStyle name="20% - Акцент6 7" xfId="2074"/>
    <cellStyle name="20% - Акцент6 7 2" xfId="2075"/>
    <cellStyle name="20% - Акцент6 8" xfId="2076"/>
    <cellStyle name="20% - Акцент6 8 2" xfId="2077"/>
    <cellStyle name="20% - Акцент6 9" xfId="2078"/>
    <cellStyle name="20% - Акцент6 9 2" xfId="2079"/>
    <cellStyle name="20% - 强调文字颜色 1" xfId="5427"/>
    <cellStyle name="20% - 强调文字颜色 2" xfId="5428"/>
    <cellStyle name="20% - 强调文字颜色 3" xfId="5429"/>
    <cellStyle name="20% - 强调文字颜色 4" xfId="5430"/>
    <cellStyle name="20% - 强调文字颜色 5" xfId="5431"/>
    <cellStyle name="20% - 强调文字颜色 6" xfId="5432"/>
    <cellStyle name="40% - Accent1" xfId="6713" builtinId="31" customBuiltin="1"/>
    <cellStyle name="40% - Accent1 1" xfId="207"/>
    <cellStyle name="40% - Accent1 1 2" xfId="208"/>
    <cellStyle name="40% - Accent1 1_DPE-2011-11-22" xfId="209"/>
    <cellStyle name="40% - Accent1 10" xfId="5433"/>
    <cellStyle name="40% - Accent1 11" xfId="5859"/>
    <cellStyle name="40% - Accent1 12" xfId="5907"/>
    <cellStyle name="40% - Accent1 13" xfId="5947"/>
    <cellStyle name="40% - Accent1 14" xfId="5967"/>
    <cellStyle name="40% - Accent1 15" xfId="5989"/>
    <cellStyle name="40% - Accent1 16" xfId="6020"/>
    <cellStyle name="40% - Accent1 17" xfId="6047"/>
    <cellStyle name="40% - Accent1 18" xfId="6536"/>
    <cellStyle name="40% - Accent1 19" xfId="6855"/>
    <cellStyle name="40% - Accent1 2" xfId="210"/>
    <cellStyle name="40% - Accent1 2 2" xfId="211"/>
    <cellStyle name="40% - Accent1 2 2 2" xfId="212"/>
    <cellStyle name="40% - Accent1 2 2 3" xfId="213"/>
    <cellStyle name="40% - Accent1 2 3" xfId="214"/>
    <cellStyle name="40% - Accent1 2 4" xfId="215"/>
    <cellStyle name="40% - Accent1 2_DPE-2011-11-22" xfId="216"/>
    <cellStyle name="40% - Accent1 20" xfId="9219"/>
    <cellStyle name="40% - Accent1 21" xfId="9350"/>
    <cellStyle name="40% - Accent1 3" xfId="217"/>
    <cellStyle name="40% - Accent1 3 2" xfId="218"/>
    <cellStyle name="40% - Accent1 3 2 2" xfId="219"/>
    <cellStyle name="40% - Accent1 3 2 3" xfId="220"/>
    <cellStyle name="40% - Accent1 3 3" xfId="221"/>
    <cellStyle name="40% - Accent1 3 4" xfId="222"/>
    <cellStyle name="40% - Accent1 3_DPE-2011-11-22" xfId="223"/>
    <cellStyle name="40% - Accent1 4" xfId="224"/>
    <cellStyle name="40% - Accent1 4 2" xfId="225"/>
    <cellStyle name="40% - Accent1 4 3" xfId="226"/>
    <cellStyle name="40% - Accent1 4 4" xfId="227"/>
    <cellStyle name="40% - Accent1 5" xfId="228"/>
    <cellStyle name="40% - Accent1 6" xfId="229"/>
    <cellStyle name="40% - Accent1 7" xfId="230"/>
    <cellStyle name="40% - Accent1 8" xfId="231"/>
    <cellStyle name="40% - Accent1 9" xfId="206"/>
    <cellStyle name="40% - Accent2" xfId="6716" builtinId="35" customBuiltin="1"/>
    <cellStyle name="40% - Accent2 1" xfId="233"/>
    <cellStyle name="40% - Accent2 1 2" xfId="234"/>
    <cellStyle name="40% - Accent2 1_DPE-2011-11-22" xfId="235"/>
    <cellStyle name="40% - Accent2 10" xfId="5434"/>
    <cellStyle name="40% - Accent2 11" xfId="5860"/>
    <cellStyle name="40% - Accent2 12" xfId="5908"/>
    <cellStyle name="40% - Accent2 13" xfId="5946"/>
    <cellStyle name="40% - Accent2 14" xfId="5968"/>
    <cellStyle name="40% - Accent2 15" xfId="5990"/>
    <cellStyle name="40% - Accent2 16" xfId="6027"/>
    <cellStyle name="40% - Accent2 17" xfId="6048"/>
    <cellStyle name="40% - Accent2 18" xfId="6537"/>
    <cellStyle name="40% - Accent2 19" xfId="6856"/>
    <cellStyle name="40% - Accent2 2" xfId="236"/>
    <cellStyle name="40% - Accent2 2 2" xfId="237"/>
    <cellStyle name="40% - Accent2 2 2 2" xfId="238"/>
    <cellStyle name="40% - Accent2 2 2 3" xfId="239"/>
    <cellStyle name="40% - Accent2 2 3" xfId="240"/>
    <cellStyle name="40% - Accent2 2 4" xfId="241"/>
    <cellStyle name="40% - Accent2 2_DPE-2011-11-22" xfId="242"/>
    <cellStyle name="40% - Accent2 20" xfId="9220"/>
    <cellStyle name="40% - Accent2 21" xfId="9351"/>
    <cellStyle name="40% - Accent2 3" xfId="243"/>
    <cellStyle name="40% - Accent2 3 2" xfId="244"/>
    <cellStyle name="40% - Accent2 3 2 2" xfId="245"/>
    <cellStyle name="40% - Accent2 3 2 3" xfId="246"/>
    <cellStyle name="40% - Accent2 3 3" xfId="247"/>
    <cellStyle name="40% - Accent2 3 4" xfId="248"/>
    <cellStyle name="40% - Accent2 3_DPE-2011-11-22" xfId="249"/>
    <cellStyle name="40% - Accent2 4" xfId="250"/>
    <cellStyle name="40% - Accent2 4 2" xfId="251"/>
    <cellStyle name="40% - Accent2 4 3" xfId="252"/>
    <cellStyle name="40% - Accent2 4 4" xfId="253"/>
    <cellStyle name="40% - Accent2 5" xfId="254"/>
    <cellStyle name="40% - Accent2 6" xfId="255"/>
    <cellStyle name="40% - Accent2 7" xfId="256"/>
    <cellStyle name="40% - Accent2 8" xfId="257"/>
    <cellStyle name="40% - Accent2 9" xfId="232"/>
    <cellStyle name="40% - Accent3" xfId="6719" builtinId="39" customBuiltin="1"/>
    <cellStyle name="40% - Accent3 1" xfId="259"/>
    <cellStyle name="40% - Accent3 1 2" xfId="260"/>
    <cellStyle name="40% - Accent3 1_DPE-2011-11-22" xfId="261"/>
    <cellStyle name="40% - Accent3 10" xfId="5435"/>
    <cellStyle name="40% - Accent3 11" xfId="5861"/>
    <cellStyle name="40% - Accent3 12" xfId="5909"/>
    <cellStyle name="40% - Accent3 13" xfId="5945"/>
    <cellStyle name="40% - Accent3 14" xfId="5969"/>
    <cellStyle name="40% - Accent3 15" xfId="5991"/>
    <cellStyle name="40% - Accent3 16" xfId="6021"/>
    <cellStyle name="40% - Accent3 17" xfId="6049"/>
    <cellStyle name="40% - Accent3 18" xfId="6538"/>
    <cellStyle name="40% - Accent3 19" xfId="6857"/>
    <cellStyle name="40% - Accent3 2" xfId="262"/>
    <cellStyle name="40% - Accent3 2 2" xfId="263"/>
    <cellStyle name="40% - Accent3 2 2 2" xfId="264"/>
    <cellStyle name="40% - Accent3 2 2 3" xfId="265"/>
    <cellStyle name="40% - Accent3 2 3" xfId="266"/>
    <cellStyle name="40% - Accent3 2 4" xfId="267"/>
    <cellStyle name="40% - Accent3 2_DPE-2011-11-22" xfId="268"/>
    <cellStyle name="40% - Accent3 20" xfId="9221"/>
    <cellStyle name="40% - Accent3 21" xfId="9352"/>
    <cellStyle name="40% - Accent3 3" xfId="269"/>
    <cellStyle name="40% - Accent3 3 2" xfId="270"/>
    <cellStyle name="40% - Accent3 3 2 2" xfId="271"/>
    <cellStyle name="40% - Accent3 3 2 3" xfId="272"/>
    <cellStyle name="40% - Accent3 3 3" xfId="273"/>
    <cellStyle name="40% - Accent3 3 4" xfId="274"/>
    <cellStyle name="40% - Accent3 3_DPE-2011-11-22" xfId="275"/>
    <cellStyle name="40% - Accent3 4" xfId="276"/>
    <cellStyle name="40% - Accent3 4 2" xfId="277"/>
    <cellStyle name="40% - Accent3 4 3" xfId="278"/>
    <cellStyle name="40% - Accent3 4 4" xfId="279"/>
    <cellStyle name="40% - Accent3 5" xfId="280"/>
    <cellStyle name="40% - Accent3 6" xfId="281"/>
    <cellStyle name="40% - Accent3 7" xfId="282"/>
    <cellStyle name="40% - Accent3 8" xfId="283"/>
    <cellStyle name="40% - Accent3 9" xfId="258"/>
    <cellStyle name="40% - Accent4" xfId="6722" builtinId="43" customBuiltin="1"/>
    <cellStyle name="40% - Accent4 1" xfId="285"/>
    <cellStyle name="40% - Accent4 1 2" xfId="286"/>
    <cellStyle name="40% - Accent4 1_DPE-2011-11-22" xfId="287"/>
    <cellStyle name="40% - Accent4 10" xfId="5436"/>
    <cellStyle name="40% - Accent4 11" xfId="5862"/>
    <cellStyle name="40% - Accent4 12" xfId="5910"/>
    <cellStyle name="40% - Accent4 13" xfId="5944"/>
    <cellStyle name="40% - Accent4 14" xfId="5970"/>
    <cellStyle name="40% - Accent4 15" xfId="5992"/>
    <cellStyle name="40% - Accent4 16" xfId="6022"/>
    <cellStyle name="40% - Accent4 17" xfId="6050"/>
    <cellStyle name="40% - Accent4 18" xfId="6539"/>
    <cellStyle name="40% - Accent4 19" xfId="6858"/>
    <cellStyle name="40% - Accent4 2" xfId="288"/>
    <cellStyle name="40% - Accent4 2 2" xfId="289"/>
    <cellStyle name="40% - Accent4 2 2 2" xfId="290"/>
    <cellStyle name="40% - Accent4 2 2 3" xfId="291"/>
    <cellStyle name="40% - Accent4 2 3" xfId="292"/>
    <cellStyle name="40% - Accent4 2 4" xfId="293"/>
    <cellStyle name="40% - Accent4 2_DPE-2011-11-22" xfId="294"/>
    <cellStyle name="40% - Accent4 20" xfId="9222"/>
    <cellStyle name="40% - Accent4 21" xfId="9353"/>
    <cellStyle name="40% - Accent4 3" xfId="295"/>
    <cellStyle name="40% - Accent4 3 2" xfId="296"/>
    <cellStyle name="40% - Accent4 3 2 2" xfId="297"/>
    <cellStyle name="40% - Accent4 3 2 3" xfId="298"/>
    <cellStyle name="40% - Accent4 3 3" xfId="299"/>
    <cellStyle name="40% - Accent4 3 4" xfId="300"/>
    <cellStyle name="40% - Accent4 3_DPE-2011-11-22" xfId="301"/>
    <cellStyle name="40% - Accent4 4" xfId="302"/>
    <cellStyle name="40% - Accent4 4 2" xfId="303"/>
    <cellStyle name="40% - Accent4 4 3" xfId="304"/>
    <cellStyle name="40% - Accent4 4 4" xfId="305"/>
    <cellStyle name="40% - Accent4 5" xfId="306"/>
    <cellStyle name="40% - Accent4 6" xfId="307"/>
    <cellStyle name="40% - Accent4 7" xfId="308"/>
    <cellStyle name="40% - Accent4 8" xfId="309"/>
    <cellStyle name="40% - Accent4 9" xfId="284"/>
    <cellStyle name="40% - Accent5" xfId="6725" builtinId="47" customBuiltin="1"/>
    <cellStyle name="40% - Accent5 1" xfId="311"/>
    <cellStyle name="40% - Accent5 1 2" xfId="312"/>
    <cellStyle name="40% - Accent5 1_DPE-2011-11-22" xfId="313"/>
    <cellStyle name="40% - Accent5 10" xfId="5437"/>
    <cellStyle name="40% - Accent5 11" xfId="5863"/>
    <cellStyle name="40% - Accent5 12" xfId="5911"/>
    <cellStyle name="40% - Accent5 13" xfId="5943"/>
    <cellStyle name="40% - Accent5 14" xfId="5971"/>
    <cellStyle name="40% - Accent5 15" xfId="5993"/>
    <cellStyle name="40% - Accent5 16" xfId="6023"/>
    <cellStyle name="40% - Accent5 17" xfId="6012"/>
    <cellStyle name="40% - Accent5 18" xfId="6540"/>
    <cellStyle name="40% - Accent5 19" xfId="6859"/>
    <cellStyle name="40% - Accent5 2" xfId="314"/>
    <cellStyle name="40% - Accent5 2 2" xfId="315"/>
    <cellStyle name="40% - Accent5 2 2 2" xfId="316"/>
    <cellStyle name="40% - Accent5 2 2 3" xfId="317"/>
    <cellStyle name="40% - Accent5 2 3" xfId="318"/>
    <cellStyle name="40% - Accent5 2 4" xfId="319"/>
    <cellStyle name="40% - Accent5 2_DPE-2011-11-22" xfId="320"/>
    <cellStyle name="40% - Accent5 20" xfId="9223"/>
    <cellStyle name="40% - Accent5 21" xfId="9354"/>
    <cellStyle name="40% - Accent5 3" xfId="321"/>
    <cellStyle name="40% - Accent5 3 2" xfId="322"/>
    <cellStyle name="40% - Accent5 3 2 2" xfId="323"/>
    <cellStyle name="40% - Accent5 3 2 3" xfId="324"/>
    <cellStyle name="40% - Accent5 3 3" xfId="325"/>
    <cellStyle name="40% - Accent5 3 4" xfId="326"/>
    <cellStyle name="40% - Accent5 3_DPE-2011-11-22" xfId="327"/>
    <cellStyle name="40% - Accent5 4" xfId="328"/>
    <cellStyle name="40% - Accent5 4 2" xfId="329"/>
    <cellStyle name="40% - Accent5 4 3" xfId="330"/>
    <cellStyle name="40% - Accent5 4 4" xfId="331"/>
    <cellStyle name="40% - Accent5 5" xfId="332"/>
    <cellStyle name="40% - Accent5 6" xfId="333"/>
    <cellStyle name="40% - Accent5 7" xfId="334"/>
    <cellStyle name="40% - Accent5 8" xfId="335"/>
    <cellStyle name="40% - Accent5 9" xfId="310"/>
    <cellStyle name="40% - Accent6" xfId="6728" builtinId="51" customBuiltin="1"/>
    <cellStyle name="40% - Accent6 1" xfId="337"/>
    <cellStyle name="40% - Accent6 1 2" xfId="338"/>
    <cellStyle name="40% - Accent6 1_DPE-2011-11-22" xfId="339"/>
    <cellStyle name="40% - Accent6 10" xfId="5438"/>
    <cellStyle name="40% - Accent6 11" xfId="5864"/>
    <cellStyle name="40% - Accent6 12" xfId="5912"/>
    <cellStyle name="40% - Accent6 13" xfId="5942"/>
    <cellStyle name="40% - Accent6 14" xfId="5972"/>
    <cellStyle name="40% - Accent6 15" xfId="5994"/>
    <cellStyle name="40% - Accent6 16" xfId="6024"/>
    <cellStyle name="40% - Accent6 17" xfId="6013"/>
    <cellStyle name="40% - Accent6 18" xfId="6541"/>
    <cellStyle name="40% - Accent6 19" xfId="6860"/>
    <cellStyle name="40% - Accent6 2" xfId="340"/>
    <cellStyle name="40% - Accent6 2 2" xfId="341"/>
    <cellStyle name="40% - Accent6 2 2 2" xfId="342"/>
    <cellStyle name="40% - Accent6 2 2 3" xfId="343"/>
    <cellStyle name="40% - Accent6 2 3" xfId="344"/>
    <cellStyle name="40% - Accent6 2 4" xfId="345"/>
    <cellStyle name="40% - Accent6 2_DPE-2011-11-22" xfId="346"/>
    <cellStyle name="40% - Accent6 20" xfId="9224"/>
    <cellStyle name="40% - Accent6 21" xfId="9355"/>
    <cellStyle name="40% - Accent6 3" xfId="347"/>
    <cellStyle name="40% - Accent6 3 2" xfId="348"/>
    <cellStyle name="40% - Accent6 3 2 2" xfId="349"/>
    <cellStyle name="40% - Accent6 3 2 3" xfId="350"/>
    <cellStyle name="40% - Accent6 3 3" xfId="351"/>
    <cellStyle name="40% - Accent6 3 4" xfId="352"/>
    <cellStyle name="40% - Accent6 3_DPE-2011-11-22" xfId="353"/>
    <cellStyle name="40% - Accent6 4" xfId="354"/>
    <cellStyle name="40% - Accent6 4 2" xfId="355"/>
    <cellStyle name="40% - Accent6 4 3" xfId="356"/>
    <cellStyle name="40% - Accent6 4 4" xfId="357"/>
    <cellStyle name="40% - Accent6 5" xfId="358"/>
    <cellStyle name="40% - Accent6 6" xfId="359"/>
    <cellStyle name="40% - Accent6 7" xfId="360"/>
    <cellStyle name="40% - Accent6 8" xfId="361"/>
    <cellStyle name="40% - Accent6 9" xfId="336"/>
    <cellStyle name="40% - Ênfase1 2" xfId="362"/>
    <cellStyle name="40% - Ênfase1 3" xfId="363"/>
    <cellStyle name="40% - Ênfase1 4" xfId="364"/>
    <cellStyle name="40% - Ênfase1 5" xfId="365"/>
    <cellStyle name="40% - Ênfase2 2" xfId="366"/>
    <cellStyle name="40% - Ênfase2 3" xfId="367"/>
    <cellStyle name="40% - Ênfase2 4" xfId="368"/>
    <cellStyle name="40% - Ênfase2 5" xfId="369"/>
    <cellStyle name="40% - Ênfase3 2" xfId="370"/>
    <cellStyle name="40% - Ênfase3 3" xfId="371"/>
    <cellStyle name="40% - Ênfase3 4" xfId="372"/>
    <cellStyle name="40% - Ênfase3 5" xfId="373"/>
    <cellStyle name="40% - Ênfase4 2" xfId="374"/>
    <cellStyle name="40% - Ênfase4 3" xfId="375"/>
    <cellStyle name="40% - Ênfase4 4" xfId="376"/>
    <cellStyle name="40% - Ênfase4 5" xfId="377"/>
    <cellStyle name="40% - Ênfase5 2" xfId="378"/>
    <cellStyle name="40% - Ênfase5 3" xfId="379"/>
    <cellStyle name="40% - Ênfase5 4" xfId="380"/>
    <cellStyle name="40% - Ênfase5 5" xfId="381"/>
    <cellStyle name="40% - Ênfase6 2" xfId="382"/>
    <cellStyle name="40% - Ênfase6 3" xfId="383"/>
    <cellStyle name="40% - Ênfase6 4" xfId="384"/>
    <cellStyle name="40% - Ênfase6 5" xfId="385"/>
    <cellStyle name="40% - Énfasis1" xfId="386"/>
    <cellStyle name="40% - Énfasis1 2" xfId="387"/>
    <cellStyle name="40% - Énfasis1 2 2" xfId="5439"/>
    <cellStyle name="40% - Énfasis1 2_PRODUCCION VS POTENCIAL" xfId="5440"/>
    <cellStyle name="40% - Énfasis1 3" xfId="5441"/>
    <cellStyle name="40% - Énfasis1 3 2" xfId="5442"/>
    <cellStyle name="40% - Énfasis1 3_PRODUCCION VS POTENCIAL" xfId="5443"/>
    <cellStyle name="40% - Énfasis1 4" xfId="5444"/>
    <cellStyle name="40% - Énfasis1 4 2" xfId="5445"/>
    <cellStyle name="40% - Énfasis1 4_PRODUCCION VS POTENCIAL" xfId="5446"/>
    <cellStyle name="40% - Énfasis1 5" xfId="5447"/>
    <cellStyle name="40% - Énfasis1 5 2" xfId="5448"/>
    <cellStyle name="40% - Énfasis1 5_PRODUCCION VS POTENCIAL" xfId="5449"/>
    <cellStyle name="40% - Énfasis1 6" xfId="5450"/>
    <cellStyle name="40% - Énfasis1 6 2" xfId="5451"/>
    <cellStyle name="40% - Énfasis1 6_PRODUCCION VS POTENCIAL" xfId="5452"/>
    <cellStyle name="40% - Énfasis1 7" xfId="5453"/>
    <cellStyle name="40% - Énfasis1 7 2" xfId="5454"/>
    <cellStyle name="40% - Énfasis1 7_PRODUCCION VS POTENCIAL" xfId="5455"/>
    <cellStyle name="40% - Énfasis2" xfId="388"/>
    <cellStyle name="40% - Énfasis2 2" xfId="389"/>
    <cellStyle name="40% - Énfasis2 2 2" xfId="5456"/>
    <cellStyle name="40% - Énfasis2 2_PRODUCCION VS POTENCIAL" xfId="5457"/>
    <cellStyle name="40% - Énfasis2 3" xfId="5458"/>
    <cellStyle name="40% - Énfasis2 3 2" xfId="5459"/>
    <cellStyle name="40% - Énfasis2 3_PRODUCCION VS POTENCIAL" xfId="5460"/>
    <cellStyle name="40% - Énfasis2 4" xfId="5461"/>
    <cellStyle name="40% - Énfasis2 4 2" xfId="5462"/>
    <cellStyle name="40% - Énfasis2 4_PRODUCCION VS POTENCIAL" xfId="5463"/>
    <cellStyle name="40% - Énfasis2 5" xfId="5464"/>
    <cellStyle name="40% - Énfasis2 5 2" xfId="5465"/>
    <cellStyle name="40% - Énfasis2 5_PRODUCCION VS POTENCIAL" xfId="5466"/>
    <cellStyle name="40% - Énfasis2 6" xfId="5467"/>
    <cellStyle name="40% - Énfasis2 6 2" xfId="5468"/>
    <cellStyle name="40% - Énfasis2 6_PRODUCCION VS POTENCIAL" xfId="5469"/>
    <cellStyle name="40% - Énfasis2 7" xfId="5470"/>
    <cellStyle name="40% - Énfasis2 7 2" xfId="5471"/>
    <cellStyle name="40% - Énfasis2 7_PRODUCCION VS POTENCIAL" xfId="5472"/>
    <cellStyle name="40% - Énfasis3" xfId="390"/>
    <cellStyle name="40% - Énfasis3 2" xfId="391"/>
    <cellStyle name="40% - Énfasis3 2 2" xfId="5473"/>
    <cellStyle name="40% - Énfasis3 2_PRODUCCION VS POTENCIAL" xfId="5474"/>
    <cellStyle name="40% - Énfasis3 3" xfId="5475"/>
    <cellStyle name="40% - Énfasis3 3 2" xfId="5476"/>
    <cellStyle name="40% - Énfasis3 3_PRODUCCION VS POTENCIAL" xfId="5477"/>
    <cellStyle name="40% - Énfasis3 4" xfId="5478"/>
    <cellStyle name="40% - Énfasis3 4 2" xfId="5479"/>
    <cellStyle name="40% - Énfasis3 4_PRODUCCION VS POTENCIAL" xfId="5480"/>
    <cellStyle name="40% - Énfasis3 5" xfId="5481"/>
    <cellStyle name="40% - Énfasis3 5 2" xfId="5482"/>
    <cellStyle name="40% - Énfasis3 5_PRODUCCION VS POTENCIAL" xfId="5483"/>
    <cellStyle name="40% - Énfasis3 6" xfId="5484"/>
    <cellStyle name="40% - Énfasis3 6 2" xfId="5485"/>
    <cellStyle name="40% - Énfasis3 6_PRODUCCION VS POTENCIAL" xfId="5486"/>
    <cellStyle name="40% - Énfasis3 7" xfId="5487"/>
    <cellStyle name="40% - Énfasis3 7 2" xfId="5488"/>
    <cellStyle name="40% - Énfasis3 7_PRODUCCION VS POTENCIAL" xfId="5489"/>
    <cellStyle name="40% - Énfasis4" xfId="392"/>
    <cellStyle name="40% - Énfasis4 2" xfId="393"/>
    <cellStyle name="40% - Énfasis4 2 2" xfId="5490"/>
    <cellStyle name="40% - Énfasis4 2_PRODUCCION VS POTENCIAL" xfId="5491"/>
    <cellStyle name="40% - Énfasis4 3" xfId="5492"/>
    <cellStyle name="40% - Énfasis4 3 2" xfId="5493"/>
    <cellStyle name="40% - Énfasis4 3_PRODUCCION VS POTENCIAL" xfId="5494"/>
    <cellStyle name="40% - Énfasis4 4" xfId="5495"/>
    <cellStyle name="40% - Énfasis4 4 2" xfId="5496"/>
    <cellStyle name="40% - Énfasis4 4_PRODUCCION VS POTENCIAL" xfId="5497"/>
    <cellStyle name="40% - Énfasis4 5" xfId="5498"/>
    <cellStyle name="40% - Énfasis4 5 2" xfId="5499"/>
    <cellStyle name="40% - Énfasis4 5_PRODUCCION VS POTENCIAL" xfId="5500"/>
    <cellStyle name="40% - Énfasis4 6" xfId="5501"/>
    <cellStyle name="40% - Énfasis4 6 2" xfId="5502"/>
    <cellStyle name="40% - Énfasis4 6_PRODUCCION VS POTENCIAL" xfId="5503"/>
    <cellStyle name="40% - Énfasis4 7" xfId="5504"/>
    <cellStyle name="40% - Énfasis4 7 2" xfId="5505"/>
    <cellStyle name="40% - Énfasis4 7_PRODUCCION VS POTENCIAL" xfId="5506"/>
    <cellStyle name="40% - Énfasis5" xfId="394"/>
    <cellStyle name="40% - Énfasis5 2" xfId="395"/>
    <cellStyle name="40% - Énfasis5 2 2" xfId="5507"/>
    <cellStyle name="40% - Énfasis5 2_PRODUCCION VS POTENCIAL" xfId="5508"/>
    <cellStyle name="40% - Énfasis5 3" xfId="5509"/>
    <cellStyle name="40% - Énfasis5 3 2" xfId="5510"/>
    <cellStyle name="40% - Énfasis5 3_PRODUCCION VS POTENCIAL" xfId="5511"/>
    <cellStyle name="40% - Énfasis5 4" xfId="5512"/>
    <cellStyle name="40% - Énfasis5 4 2" xfId="5513"/>
    <cellStyle name="40% - Énfasis5 4_PRODUCCION VS POTENCIAL" xfId="5514"/>
    <cellStyle name="40% - Énfasis5 5" xfId="5515"/>
    <cellStyle name="40% - Énfasis5 5 2" xfId="5516"/>
    <cellStyle name="40% - Énfasis5 5_PRODUCCION VS POTENCIAL" xfId="5517"/>
    <cellStyle name="40% - Énfasis5 6" xfId="5518"/>
    <cellStyle name="40% - Énfasis5 6 2" xfId="5519"/>
    <cellStyle name="40% - Énfasis5 6_PRODUCCION VS POTENCIAL" xfId="5520"/>
    <cellStyle name="40% - Énfasis5 7" xfId="5521"/>
    <cellStyle name="40% - Énfasis5 7 2" xfId="5522"/>
    <cellStyle name="40% - Énfasis5 7_PRODUCCION VS POTENCIAL" xfId="5523"/>
    <cellStyle name="40% - Énfasis6" xfId="396"/>
    <cellStyle name="40% - Énfasis6 2" xfId="397"/>
    <cellStyle name="40% - Énfasis6 2 2" xfId="5524"/>
    <cellStyle name="40% - Énfasis6 2_PRODUCCION VS POTENCIAL" xfId="5525"/>
    <cellStyle name="40% - Énfasis6 3" xfId="5526"/>
    <cellStyle name="40% - Énfasis6 3 2" xfId="5527"/>
    <cellStyle name="40% - Énfasis6 3_PRODUCCION VS POTENCIAL" xfId="5528"/>
    <cellStyle name="40% - Énfasis6 4" xfId="5529"/>
    <cellStyle name="40% - Énfasis6 4 2" xfId="5530"/>
    <cellStyle name="40% - Énfasis6 4_PRODUCCION VS POTENCIAL" xfId="5531"/>
    <cellStyle name="40% - Énfasis6 5" xfId="5532"/>
    <cellStyle name="40% - Énfasis6 5 2" xfId="5533"/>
    <cellStyle name="40% - Énfasis6 5_PRODUCCION VS POTENCIAL" xfId="5534"/>
    <cellStyle name="40% - Énfasis6 6" xfId="5535"/>
    <cellStyle name="40% - Énfasis6 6 2" xfId="5536"/>
    <cellStyle name="40% - Énfasis6 6_PRODUCCION VS POTENCIAL" xfId="5537"/>
    <cellStyle name="40% - Énfasis6 7" xfId="5538"/>
    <cellStyle name="40% - Énfasis6 7 2" xfId="5539"/>
    <cellStyle name="40% - Énfasis6 7_PRODUCCION VS POTENCIAL" xfId="5540"/>
    <cellStyle name="40% - Акцент1 10" xfId="2080"/>
    <cellStyle name="40% - Акцент1 10 2" xfId="2081"/>
    <cellStyle name="40% - Акцент1 11" xfId="2082"/>
    <cellStyle name="40% - Акцент1 11 2" xfId="2083"/>
    <cellStyle name="40% - Акцент1 12" xfId="2084"/>
    <cellStyle name="40% - Акцент1 12 2" xfId="2085"/>
    <cellStyle name="40% - Акцент1 13" xfId="2086"/>
    <cellStyle name="40% - Акцент1 13 2" xfId="2087"/>
    <cellStyle name="40% - Акцент1 14" xfId="2088"/>
    <cellStyle name="40% - Акцент1 14 2" xfId="2089"/>
    <cellStyle name="40% - Акцент1 15" xfId="2090"/>
    <cellStyle name="40% - Акцент1 15 2" xfId="2091"/>
    <cellStyle name="40% - Акцент1 16" xfId="2092"/>
    <cellStyle name="40% - Акцент1 16 2" xfId="2093"/>
    <cellStyle name="40% - Акцент1 17" xfId="2094"/>
    <cellStyle name="40% - Акцент1 17 2" xfId="2095"/>
    <cellStyle name="40% - Акцент1 18" xfId="2096"/>
    <cellStyle name="40% - Акцент1 18 2" xfId="2097"/>
    <cellStyle name="40% - Акцент1 19" xfId="2098"/>
    <cellStyle name="40% - Акцент1 19 2" xfId="2099"/>
    <cellStyle name="40% - Акцент1 2" xfId="1530"/>
    <cellStyle name="40% - Акцент1 2 10" xfId="2100"/>
    <cellStyle name="40% - Акцент1 2 10 2" xfId="2101"/>
    <cellStyle name="40% - Акцент1 2 11" xfId="2102"/>
    <cellStyle name="40% - Акцент1 2 11 2" xfId="2103"/>
    <cellStyle name="40% - Акцент1 2 12" xfId="2104"/>
    <cellStyle name="40% - Акцент1 2 12 2" xfId="2105"/>
    <cellStyle name="40% - Акцент1 2 13" xfId="2106"/>
    <cellStyle name="40% - Акцент1 2 13 2" xfId="2107"/>
    <cellStyle name="40% - Акцент1 2 14" xfId="2108"/>
    <cellStyle name="40% - Акцент1 2 14 2" xfId="2109"/>
    <cellStyle name="40% - Акцент1 2 15" xfId="2110"/>
    <cellStyle name="40% - Акцент1 2 15 2" xfId="2111"/>
    <cellStyle name="40% - Акцент1 2 16" xfId="2112"/>
    <cellStyle name="40% - Акцент1 2 16 2" xfId="2113"/>
    <cellStyle name="40% - Акцент1 2 17" xfId="2114"/>
    <cellStyle name="40% - Акцент1 2 17 2" xfId="2115"/>
    <cellStyle name="40% - Акцент1 2 18" xfId="2116"/>
    <cellStyle name="40% - Акцент1 2 18 2" xfId="2117"/>
    <cellStyle name="40% - Акцент1 2 19" xfId="2118"/>
    <cellStyle name="40% - Акцент1 2 2" xfId="2119"/>
    <cellStyle name="40% - Акцент1 2 2 2" xfId="2120"/>
    <cellStyle name="40% - Акцент1 2 3" xfId="2121"/>
    <cellStyle name="40% - Акцент1 2 3 2" xfId="2122"/>
    <cellStyle name="40% - Акцент1 2 4" xfId="2123"/>
    <cellStyle name="40% - Акцент1 2 4 2" xfId="2124"/>
    <cellStyle name="40% - Акцент1 2 5" xfId="2125"/>
    <cellStyle name="40% - Акцент1 2 5 2" xfId="2126"/>
    <cellStyle name="40% - Акцент1 2 6" xfId="2127"/>
    <cellStyle name="40% - Акцент1 2 6 2" xfId="2128"/>
    <cellStyle name="40% - Акцент1 2 7" xfId="2129"/>
    <cellStyle name="40% - Акцент1 2 7 2" xfId="2130"/>
    <cellStyle name="40% - Акцент1 2 8" xfId="2131"/>
    <cellStyle name="40% - Акцент1 2 8 2" xfId="2132"/>
    <cellStyle name="40% - Акцент1 2 9" xfId="2133"/>
    <cellStyle name="40% - Акцент1 2 9 2" xfId="2134"/>
    <cellStyle name="40% - Акцент1 20" xfId="2135"/>
    <cellStyle name="40% - Акцент1 20 2" xfId="2136"/>
    <cellStyle name="40% - Акцент1 21" xfId="2137"/>
    <cellStyle name="40% - Акцент1 21 2" xfId="2138"/>
    <cellStyle name="40% - Акцент1 3" xfId="2139"/>
    <cellStyle name="40% - Акцент1 3 2" xfId="2140"/>
    <cellStyle name="40% - Акцент1 4" xfId="2141"/>
    <cellStyle name="40% - Акцент1 4 2" xfId="2142"/>
    <cellStyle name="40% - Акцент1 5" xfId="2143"/>
    <cellStyle name="40% - Акцент1 5 2" xfId="2144"/>
    <cellStyle name="40% - Акцент1 6" xfId="2145"/>
    <cellStyle name="40% - Акцент1 6 2" xfId="2146"/>
    <cellStyle name="40% - Акцент1 7" xfId="2147"/>
    <cellStyle name="40% - Акцент1 7 2" xfId="2148"/>
    <cellStyle name="40% - Акцент1 8" xfId="2149"/>
    <cellStyle name="40% - Акцент1 8 2" xfId="2150"/>
    <cellStyle name="40% - Акцент1 9" xfId="2151"/>
    <cellStyle name="40% - Акцент1 9 2" xfId="2152"/>
    <cellStyle name="40% - Акцент2 10" xfId="2153"/>
    <cellStyle name="40% - Акцент2 10 2" xfId="2154"/>
    <cellStyle name="40% - Акцент2 11" xfId="2155"/>
    <cellStyle name="40% - Акцент2 11 2" xfId="2156"/>
    <cellStyle name="40% - Акцент2 12" xfId="2157"/>
    <cellStyle name="40% - Акцент2 12 2" xfId="2158"/>
    <cellStyle name="40% - Акцент2 13" xfId="2159"/>
    <cellStyle name="40% - Акцент2 13 2" xfId="2160"/>
    <cellStyle name="40% - Акцент2 14" xfId="2161"/>
    <cellStyle name="40% - Акцент2 14 2" xfId="2162"/>
    <cellStyle name="40% - Акцент2 15" xfId="2163"/>
    <cellStyle name="40% - Акцент2 15 2" xfId="2164"/>
    <cellStyle name="40% - Акцент2 16" xfId="2165"/>
    <cellStyle name="40% - Акцент2 16 2" xfId="2166"/>
    <cellStyle name="40% - Акцент2 17" xfId="2167"/>
    <cellStyle name="40% - Акцент2 17 2" xfId="2168"/>
    <cellStyle name="40% - Акцент2 18" xfId="2169"/>
    <cellStyle name="40% - Акцент2 18 2" xfId="2170"/>
    <cellStyle name="40% - Акцент2 19" xfId="2171"/>
    <cellStyle name="40% - Акцент2 19 2" xfId="2172"/>
    <cellStyle name="40% - Акцент2 2" xfId="1531"/>
    <cellStyle name="40% - Акцент2 2 10" xfId="2173"/>
    <cellStyle name="40% - Акцент2 2 10 2" xfId="2174"/>
    <cellStyle name="40% - Акцент2 2 11" xfId="2175"/>
    <cellStyle name="40% - Акцент2 2 11 2" xfId="2176"/>
    <cellStyle name="40% - Акцент2 2 12" xfId="2177"/>
    <cellStyle name="40% - Акцент2 2 12 2" xfId="2178"/>
    <cellStyle name="40% - Акцент2 2 13" xfId="2179"/>
    <cellStyle name="40% - Акцент2 2 13 2" xfId="2180"/>
    <cellStyle name="40% - Акцент2 2 14" xfId="2181"/>
    <cellStyle name="40% - Акцент2 2 14 2" xfId="2182"/>
    <cellStyle name="40% - Акцент2 2 15" xfId="2183"/>
    <cellStyle name="40% - Акцент2 2 15 2" xfId="2184"/>
    <cellStyle name="40% - Акцент2 2 16" xfId="2185"/>
    <cellStyle name="40% - Акцент2 2 16 2" xfId="2186"/>
    <cellStyle name="40% - Акцент2 2 17" xfId="2187"/>
    <cellStyle name="40% - Акцент2 2 17 2" xfId="2188"/>
    <cellStyle name="40% - Акцент2 2 18" xfId="2189"/>
    <cellStyle name="40% - Акцент2 2 18 2" xfId="2190"/>
    <cellStyle name="40% - Акцент2 2 19" xfId="2191"/>
    <cellStyle name="40% - Акцент2 2 2" xfId="2192"/>
    <cellStyle name="40% - Акцент2 2 2 2" xfId="2193"/>
    <cellStyle name="40% - Акцент2 2 3" xfId="2194"/>
    <cellStyle name="40% - Акцент2 2 3 2" xfId="2195"/>
    <cellStyle name="40% - Акцент2 2 4" xfId="2196"/>
    <cellStyle name="40% - Акцент2 2 4 2" xfId="2197"/>
    <cellStyle name="40% - Акцент2 2 5" xfId="2198"/>
    <cellStyle name="40% - Акцент2 2 5 2" xfId="2199"/>
    <cellStyle name="40% - Акцент2 2 6" xfId="2200"/>
    <cellStyle name="40% - Акцент2 2 6 2" xfId="2201"/>
    <cellStyle name="40% - Акцент2 2 7" xfId="2202"/>
    <cellStyle name="40% - Акцент2 2 7 2" xfId="2203"/>
    <cellStyle name="40% - Акцент2 2 8" xfId="2204"/>
    <cellStyle name="40% - Акцент2 2 8 2" xfId="2205"/>
    <cellStyle name="40% - Акцент2 2 9" xfId="2206"/>
    <cellStyle name="40% - Акцент2 2 9 2" xfId="2207"/>
    <cellStyle name="40% - Акцент2 20" xfId="2208"/>
    <cellStyle name="40% - Акцент2 20 2" xfId="2209"/>
    <cellStyle name="40% - Акцент2 21" xfId="2210"/>
    <cellStyle name="40% - Акцент2 21 2" xfId="2211"/>
    <cellStyle name="40% - Акцент2 3" xfId="2212"/>
    <cellStyle name="40% - Акцент2 3 2" xfId="2213"/>
    <cellStyle name="40% - Акцент2 4" xfId="2214"/>
    <cellStyle name="40% - Акцент2 4 2" xfId="2215"/>
    <cellStyle name="40% - Акцент2 5" xfId="2216"/>
    <cellStyle name="40% - Акцент2 5 2" xfId="2217"/>
    <cellStyle name="40% - Акцент2 6" xfId="2218"/>
    <cellStyle name="40% - Акцент2 6 2" xfId="2219"/>
    <cellStyle name="40% - Акцент2 7" xfId="2220"/>
    <cellStyle name="40% - Акцент2 7 2" xfId="2221"/>
    <cellStyle name="40% - Акцент2 8" xfId="2222"/>
    <cellStyle name="40% - Акцент2 8 2" xfId="2223"/>
    <cellStyle name="40% - Акцент2 9" xfId="2224"/>
    <cellStyle name="40% - Акцент2 9 2" xfId="2225"/>
    <cellStyle name="40% - Акцент3 10" xfId="2226"/>
    <cellStyle name="40% - Акцент3 10 2" xfId="2227"/>
    <cellStyle name="40% - Акцент3 11" xfId="2228"/>
    <cellStyle name="40% - Акцент3 11 2" xfId="2229"/>
    <cellStyle name="40% - Акцент3 12" xfId="2230"/>
    <cellStyle name="40% - Акцент3 12 2" xfId="2231"/>
    <cellStyle name="40% - Акцент3 13" xfId="2232"/>
    <cellStyle name="40% - Акцент3 13 2" xfId="2233"/>
    <cellStyle name="40% - Акцент3 14" xfId="2234"/>
    <cellStyle name="40% - Акцент3 14 2" xfId="2235"/>
    <cellStyle name="40% - Акцент3 15" xfId="2236"/>
    <cellStyle name="40% - Акцент3 15 2" xfId="2237"/>
    <cellStyle name="40% - Акцент3 16" xfId="2238"/>
    <cellStyle name="40% - Акцент3 16 2" xfId="2239"/>
    <cellStyle name="40% - Акцент3 17" xfId="2240"/>
    <cellStyle name="40% - Акцент3 17 2" xfId="2241"/>
    <cellStyle name="40% - Акцент3 18" xfId="2242"/>
    <cellStyle name="40% - Акцент3 18 2" xfId="2243"/>
    <cellStyle name="40% - Акцент3 19" xfId="2244"/>
    <cellStyle name="40% - Акцент3 19 2" xfId="2245"/>
    <cellStyle name="40% - Акцент3 2" xfId="1532"/>
    <cellStyle name="40% - Акцент3 2 10" xfId="2246"/>
    <cellStyle name="40% - Акцент3 2 10 2" xfId="2247"/>
    <cellStyle name="40% - Акцент3 2 11" xfId="2248"/>
    <cellStyle name="40% - Акцент3 2 11 2" xfId="2249"/>
    <cellStyle name="40% - Акцент3 2 12" xfId="2250"/>
    <cellStyle name="40% - Акцент3 2 12 2" xfId="2251"/>
    <cellStyle name="40% - Акцент3 2 13" xfId="2252"/>
    <cellStyle name="40% - Акцент3 2 13 2" xfId="2253"/>
    <cellStyle name="40% - Акцент3 2 14" xfId="2254"/>
    <cellStyle name="40% - Акцент3 2 14 2" xfId="2255"/>
    <cellStyle name="40% - Акцент3 2 15" xfId="2256"/>
    <cellStyle name="40% - Акцент3 2 15 2" xfId="2257"/>
    <cellStyle name="40% - Акцент3 2 16" xfId="2258"/>
    <cellStyle name="40% - Акцент3 2 16 2" xfId="2259"/>
    <cellStyle name="40% - Акцент3 2 17" xfId="2260"/>
    <cellStyle name="40% - Акцент3 2 17 2" xfId="2261"/>
    <cellStyle name="40% - Акцент3 2 18" xfId="2262"/>
    <cellStyle name="40% - Акцент3 2 18 2" xfId="2263"/>
    <cellStyle name="40% - Акцент3 2 19" xfId="2264"/>
    <cellStyle name="40% - Акцент3 2 2" xfId="2265"/>
    <cellStyle name="40% - Акцент3 2 2 2" xfId="2266"/>
    <cellStyle name="40% - Акцент3 2 3" xfId="2267"/>
    <cellStyle name="40% - Акцент3 2 3 2" xfId="2268"/>
    <cellStyle name="40% - Акцент3 2 4" xfId="2269"/>
    <cellStyle name="40% - Акцент3 2 4 2" xfId="2270"/>
    <cellStyle name="40% - Акцент3 2 5" xfId="2271"/>
    <cellStyle name="40% - Акцент3 2 5 2" xfId="2272"/>
    <cellStyle name="40% - Акцент3 2 6" xfId="2273"/>
    <cellStyle name="40% - Акцент3 2 6 2" xfId="2274"/>
    <cellStyle name="40% - Акцент3 2 7" xfId="2275"/>
    <cellStyle name="40% - Акцент3 2 7 2" xfId="2276"/>
    <cellStyle name="40% - Акцент3 2 8" xfId="2277"/>
    <cellStyle name="40% - Акцент3 2 8 2" xfId="2278"/>
    <cellStyle name="40% - Акцент3 2 9" xfId="2279"/>
    <cellStyle name="40% - Акцент3 2 9 2" xfId="2280"/>
    <cellStyle name="40% - Акцент3 20" xfId="2281"/>
    <cellStyle name="40% - Акцент3 20 2" xfId="2282"/>
    <cellStyle name="40% - Акцент3 21" xfId="2283"/>
    <cellStyle name="40% - Акцент3 21 2" xfId="2284"/>
    <cellStyle name="40% - Акцент3 3" xfId="2285"/>
    <cellStyle name="40% - Акцент3 3 2" xfId="2286"/>
    <cellStyle name="40% - Акцент3 4" xfId="2287"/>
    <cellStyle name="40% - Акцент3 4 2" xfId="2288"/>
    <cellStyle name="40% - Акцент3 5" xfId="2289"/>
    <cellStyle name="40% - Акцент3 5 2" xfId="2290"/>
    <cellStyle name="40% - Акцент3 6" xfId="2291"/>
    <cellStyle name="40% - Акцент3 6 2" xfId="2292"/>
    <cellStyle name="40% - Акцент3 7" xfId="2293"/>
    <cellStyle name="40% - Акцент3 7 2" xfId="2294"/>
    <cellStyle name="40% - Акцент3 8" xfId="2295"/>
    <cellStyle name="40% - Акцент3 8 2" xfId="2296"/>
    <cellStyle name="40% - Акцент3 9" xfId="2297"/>
    <cellStyle name="40% - Акцент3 9 2" xfId="2298"/>
    <cellStyle name="40% - Акцент4 10" xfId="2299"/>
    <cellStyle name="40% - Акцент4 10 2" xfId="2300"/>
    <cellStyle name="40% - Акцент4 11" xfId="2301"/>
    <cellStyle name="40% - Акцент4 11 2" xfId="2302"/>
    <cellStyle name="40% - Акцент4 12" xfId="2303"/>
    <cellStyle name="40% - Акцент4 12 2" xfId="2304"/>
    <cellStyle name="40% - Акцент4 13" xfId="2305"/>
    <cellStyle name="40% - Акцент4 13 2" xfId="2306"/>
    <cellStyle name="40% - Акцент4 14" xfId="2307"/>
    <cellStyle name="40% - Акцент4 14 2" xfId="2308"/>
    <cellStyle name="40% - Акцент4 15" xfId="2309"/>
    <cellStyle name="40% - Акцент4 15 2" xfId="2310"/>
    <cellStyle name="40% - Акцент4 16" xfId="2311"/>
    <cellStyle name="40% - Акцент4 16 2" xfId="2312"/>
    <cellStyle name="40% - Акцент4 17" xfId="2313"/>
    <cellStyle name="40% - Акцент4 17 2" xfId="2314"/>
    <cellStyle name="40% - Акцент4 18" xfId="2315"/>
    <cellStyle name="40% - Акцент4 18 2" xfId="2316"/>
    <cellStyle name="40% - Акцент4 19" xfId="2317"/>
    <cellStyle name="40% - Акцент4 19 2" xfId="2318"/>
    <cellStyle name="40% - Акцент4 2" xfId="1533"/>
    <cellStyle name="40% - Акцент4 2 10" xfId="2319"/>
    <cellStyle name="40% - Акцент4 2 10 2" xfId="2320"/>
    <cellStyle name="40% - Акцент4 2 11" xfId="2321"/>
    <cellStyle name="40% - Акцент4 2 11 2" xfId="2322"/>
    <cellStyle name="40% - Акцент4 2 12" xfId="2323"/>
    <cellStyle name="40% - Акцент4 2 12 2" xfId="2324"/>
    <cellStyle name="40% - Акцент4 2 13" xfId="2325"/>
    <cellStyle name="40% - Акцент4 2 13 2" xfId="2326"/>
    <cellStyle name="40% - Акцент4 2 14" xfId="2327"/>
    <cellStyle name="40% - Акцент4 2 14 2" xfId="2328"/>
    <cellStyle name="40% - Акцент4 2 15" xfId="2329"/>
    <cellStyle name="40% - Акцент4 2 15 2" xfId="2330"/>
    <cellStyle name="40% - Акцент4 2 16" xfId="2331"/>
    <cellStyle name="40% - Акцент4 2 16 2" xfId="2332"/>
    <cellStyle name="40% - Акцент4 2 17" xfId="2333"/>
    <cellStyle name="40% - Акцент4 2 17 2" xfId="2334"/>
    <cellStyle name="40% - Акцент4 2 18" xfId="2335"/>
    <cellStyle name="40% - Акцент4 2 18 2" xfId="2336"/>
    <cellStyle name="40% - Акцент4 2 19" xfId="2337"/>
    <cellStyle name="40% - Акцент4 2 2" xfId="2338"/>
    <cellStyle name="40% - Акцент4 2 2 2" xfId="2339"/>
    <cellStyle name="40% - Акцент4 2 3" xfId="2340"/>
    <cellStyle name="40% - Акцент4 2 3 2" xfId="2341"/>
    <cellStyle name="40% - Акцент4 2 4" xfId="2342"/>
    <cellStyle name="40% - Акцент4 2 4 2" xfId="2343"/>
    <cellStyle name="40% - Акцент4 2 5" xfId="2344"/>
    <cellStyle name="40% - Акцент4 2 5 2" xfId="2345"/>
    <cellStyle name="40% - Акцент4 2 6" xfId="2346"/>
    <cellStyle name="40% - Акцент4 2 6 2" xfId="2347"/>
    <cellStyle name="40% - Акцент4 2 7" xfId="2348"/>
    <cellStyle name="40% - Акцент4 2 7 2" xfId="2349"/>
    <cellStyle name="40% - Акцент4 2 8" xfId="2350"/>
    <cellStyle name="40% - Акцент4 2 8 2" xfId="2351"/>
    <cellStyle name="40% - Акцент4 2 9" xfId="2352"/>
    <cellStyle name="40% - Акцент4 2 9 2" xfId="2353"/>
    <cellStyle name="40% - Акцент4 20" xfId="2354"/>
    <cellStyle name="40% - Акцент4 20 2" xfId="2355"/>
    <cellStyle name="40% - Акцент4 21" xfId="2356"/>
    <cellStyle name="40% - Акцент4 21 2" xfId="2357"/>
    <cellStyle name="40% - Акцент4 3" xfId="2358"/>
    <cellStyle name="40% - Акцент4 3 2" xfId="2359"/>
    <cellStyle name="40% - Акцент4 4" xfId="2360"/>
    <cellStyle name="40% - Акцент4 4 2" xfId="2361"/>
    <cellStyle name="40% - Акцент4 5" xfId="2362"/>
    <cellStyle name="40% - Акцент4 5 2" xfId="2363"/>
    <cellStyle name="40% - Акцент4 6" xfId="2364"/>
    <cellStyle name="40% - Акцент4 6 2" xfId="2365"/>
    <cellStyle name="40% - Акцент4 7" xfId="2366"/>
    <cellStyle name="40% - Акцент4 7 2" xfId="2367"/>
    <cellStyle name="40% - Акцент4 8" xfId="2368"/>
    <cellStyle name="40% - Акцент4 8 2" xfId="2369"/>
    <cellStyle name="40% - Акцент4 9" xfId="2370"/>
    <cellStyle name="40% - Акцент4 9 2" xfId="2371"/>
    <cellStyle name="40% - Акцент5 10" xfId="2372"/>
    <cellStyle name="40% - Акцент5 10 2" xfId="2373"/>
    <cellStyle name="40% - Акцент5 11" xfId="2374"/>
    <cellStyle name="40% - Акцент5 11 2" xfId="2375"/>
    <cellStyle name="40% - Акцент5 12" xfId="2376"/>
    <cellStyle name="40% - Акцент5 12 2" xfId="2377"/>
    <cellStyle name="40% - Акцент5 13" xfId="2378"/>
    <cellStyle name="40% - Акцент5 13 2" xfId="2379"/>
    <cellStyle name="40% - Акцент5 14" xfId="2380"/>
    <cellStyle name="40% - Акцент5 14 2" xfId="2381"/>
    <cellStyle name="40% - Акцент5 15" xfId="2382"/>
    <cellStyle name="40% - Акцент5 15 2" xfId="2383"/>
    <cellStyle name="40% - Акцент5 16" xfId="2384"/>
    <cellStyle name="40% - Акцент5 16 2" xfId="2385"/>
    <cellStyle name="40% - Акцент5 17" xfId="2386"/>
    <cellStyle name="40% - Акцент5 17 2" xfId="2387"/>
    <cellStyle name="40% - Акцент5 18" xfId="2388"/>
    <cellStyle name="40% - Акцент5 18 2" xfId="2389"/>
    <cellStyle name="40% - Акцент5 19" xfId="2390"/>
    <cellStyle name="40% - Акцент5 19 2" xfId="2391"/>
    <cellStyle name="40% - Акцент5 2" xfId="1534"/>
    <cellStyle name="40% - Акцент5 2 10" xfId="2392"/>
    <cellStyle name="40% - Акцент5 2 10 2" xfId="2393"/>
    <cellStyle name="40% - Акцент5 2 11" xfId="2394"/>
    <cellStyle name="40% - Акцент5 2 11 2" xfId="2395"/>
    <cellStyle name="40% - Акцент5 2 12" xfId="2396"/>
    <cellStyle name="40% - Акцент5 2 12 2" xfId="2397"/>
    <cellStyle name="40% - Акцент5 2 13" xfId="2398"/>
    <cellStyle name="40% - Акцент5 2 13 2" xfId="2399"/>
    <cellStyle name="40% - Акцент5 2 14" xfId="2400"/>
    <cellStyle name="40% - Акцент5 2 14 2" xfId="2401"/>
    <cellStyle name="40% - Акцент5 2 15" xfId="2402"/>
    <cellStyle name="40% - Акцент5 2 15 2" xfId="2403"/>
    <cellStyle name="40% - Акцент5 2 16" xfId="2404"/>
    <cellStyle name="40% - Акцент5 2 16 2" xfId="2405"/>
    <cellStyle name="40% - Акцент5 2 17" xfId="2406"/>
    <cellStyle name="40% - Акцент5 2 17 2" xfId="2407"/>
    <cellStyle name="40% - Акцент5 2 18" xfId="2408"/>
    <cellStyle name="40% - Акцент5 2 18 2" xfId="2409"/>
    <cellStyle name="40% - Акцент5 2 19" xfId="2410"/>
    <cellStyle name="40% - Акцент5 2 2" xfId="2411"/>
    <cellStyle name="40% - Акцент5 2 2 2" xfId="2412"/>
    <cellStyle name="40% - Акцент5 2 3" xfId="2413"/>
    <cellStyle name="40% - Акцент5 2 3 2" xfId="2414"/>
    <cellStyle name="40% - Акцент5 2 4" xfId="2415"/>
    <cellStyle name="40% - Акцент5 2 4 2" xfId="2416"/>
    <cellStyle name="40% - Акцент5 2 5" xfId="2417"/>
    <cellStyle name="40% - Акцент5 2 5 2" xfId="2418"/>
    <cellStyle name="40% - Акцент5 2 6" xfId="2419"/>
    <cellStyle name="40% - Акцент5 2 6 2" xfId="2420"/>
    <cellStyle name="40% - Акцент5 2 7" xfId="2421"/>
    <cellStyle name="40% - Акцент5 2 7 2" xfId="2422"/>
    <cellStyle name="40% - Акцент5 2 8" xfId="2423"/>
    <cellStyle name="40% - Акцент5 2 8 2" xfId="2424"/>
    <cellStyle name="40% - Акцент5 2 9" xfId="2425"/>
    <cellStyle name="40% - Акцент5 2 9 2" xfId="2426"/>
    <cellStyle name="40% - Акцент5 20" xfId="2427"/>
    <cellStyle name="40% - Акцент5 20 2" xfId="2428"/>
    <cellStyle name="40% - Акцент5 21" xfId="2429"/>
    <cellStyle name="40% - Акцент5 21 2" xfId="2430"/>
    <cellStyle name="40% - Акцент5 3" xfId="2431"/>
    <cellStyle name="40% - Акцент5 3 2" xfId="2432"/>
    <cellStyle name="40% - Акцент5 4" xfId="2433"/>
    <cellStyle name="40% - Акцент5 4 2" xfId="2434"/>
    <cellStyle name="40% - Акцент5 5" xfId="2435"/>
    <cellStyle name="40% - Акцент5 5 2" xfId="2436"/>
    <cellStyle name="40% - Акцент5 6" xfId="2437"/>
    <cellStyle name="40% - Акцент5 6 2" xfId="2438"/>
    <cellStyle name="40% - Акцент5 7" xfId="2439"/>
    <cellStyle name="40% - Акцент5 7 2" xfId="2440"/>
    <cellStyle name="40% - Акцент5 8" xfId="2441"/>
    <cellStyle name="40% - Акцент5 8 2" xfId="2442"/>
    <cellStyle name="40% - Акцент5 9" xfId="2443"/>
    <cellStyle name="40% - Акцент5 9 2" xfId="2444"/>
    <cellStyle name="40% - Акцент6 10" xfId="2445"/>
    <cellStyle name="40% - Акцент6 10 2" xfId="2446"/>
    <cellStyle name="40% - Акцент6 11" xfId="2447"/>
    <cellStyle name="40% - Акцент6 11 2" xfId="2448"/>
    <cellStyle name="40% - Акцент6 12" xfId="2449"/>
    <cellStyle name="40% - Акцент6 12 2" xfId="2450"/>
    <cellStyle name="40% - Акцент6 13" xfId="2451"/>
    <cellStyle name="40% - Акцент6 13 2" xfId="2452"/>
    <cellStyle name="40% - Акцент6 14" xfId="2453"/>
    <cellStyle name="40% - Акцент6 14 2" xfId="2454"/>
    <cellStyle name="40% - Акцент6 15" xfId="2455"/>
    <cellStyle name="40% - Акцент6 15 2" xfId="2456"/>
    <cellStyle name="40% - Акцент6 16" xfId="2457"/>
    <cellStyle name="40% - Акцент6 16 2" xfId="2458"/>
    <cellStyle name="40% - Акцент6 17" xfId="2459"/>
    <cellStyle name="40% - Акцент6 17 2" xfId="2460"/>
    <cellStyle name="40% - Акцент6 18" xfId="2461"/>
    <cellStyle name="40% - Акцент6 18 2" xfId="2462"/>
    <cellStyle name="40% - Акцент6 19" xfId="2463"/>
    <cellStyle name="40% - Акцент6 19 2" xfId="2464"/>
    <cellStyle name="40% - Акцент6 2" xfId="1535"/>
    <cellStyle name="40% - Акцент6 2 10" xfId="2465"/>
    <cellStyle name="40% - Акцент6 2 10 2" xfId="2466"/>
    <cellStyle name="40% - Акцент6 2 11" xfId="2467"/>
    <cellStyle name="40% - Акцент6 2 11 2" xfId="2468"/>
    <cellStyle name="40% - Акцент6 2 12" xfId="2469"/>
    <cellStyle name="40% - Акцент6 2 12 2" xfId="2470"/>
    <cellStyle name="40% - Акцент6 2 13" xfId="2471"/>
    <cellStyle name="40% - Акцент6 2 13 2" xfId="2472"/>
    <cellStyle name="40% - Акцент6 2 14" xfId="2473"/>
    <cellStyle name="40% - Акцент6 2 14 2" xfId="2474"/>
    <cellStyle name="40% - Акцент6 2 15" xfId="2475"/>
    <cellStyle name="40% - Акцент6 2 15 2" xfId="2476"/>
    <cellStyle name="40% - Акцент6 2 16" xfId="2477"/>
    <cellStyle name="40% - Акцент6 2 16 2" xfId="2478"/>
    <cellStyle name="40% - Акцент6 2 17" xfId="2479"/>
    <cellStyle name="40% - Акцент6 2 17 2" xfId="2480"/>
    <cellStyle name="40% - Акцент6 2 18" xfId="2481"/>
    <cellStyle name="40% - Акцент6 2 18 2" xfId="2482"/>
    <cellStyle name="40% - Акцент6 2 19" xfId="2483"/>
    <cellStyle name="40% - Акцент6 2 2" xfId="2484"/>
    <cellStyle name="40% - Акцент6 2 2 2" xfId="2485"/>
    <cellStyle name="40% - Акцент6 2 3" xfId="2486"/>
    <cellStyle name="40% - Акцент6 2 3 2" xfId="2487"/>
    <cellStyle name="40% - Акцент6 2 4" xfId="2488"/>
    <cellStyle name="40% - Акцент6 2 4 2" xfId="2489"/>
    <cellStyle name="40% - Акцент6 2 5" xfId="2490"/>
    <cellStyle name="40% - Акцент6 2 5 2" xfId="2491"/>
    <cellStyle name="40% - Акцент6 2 6" xfId="2492"/>
    <cellStyle name="40% - Акцент6 2 6 2" xfId="2493"/>
    <cellStyle name="40% - Акцент6 2 7" xfId="2494"/>
    <cellStyle name="40% - Акцент6 2 7 2" xfId="2495"/>
    <cellStyle name="40% - Акцент6 2 8" xfId="2496"/>
    <cellStyle name="40% - Акцент6 2 8 2" xfId="2497"/>
    <cellStyle name="40% - Акцент6 2 9" xfId="2498"/>
    <cellStyle name="40% - Акцент6 2 9 2" xfId="2499"/>
    <cellStyle name="40% - Акцент6 20" xfId="2500"/>
    <cellStyle name="40% - Акцент6 20 2" xfId="2501"/>
    <cellStyle name="40% - Акцент6 21" xfId="2502"/>
    <cellStyle name="40% - Акцент6 21 2" xfId="2503"/>
    <cellStyle name="40% - Акцент6 3" xfId="2504"/>
    <cellStyle name="40% - Акцент6 3 2" xfId="2505"/>
    <cellStyle name="40% - Акцент6 4" xfId="2506"/>
    <cellStyle name="40% - Акцент6 4 2" xfId="2507"/>
    <cellStyle name="40% - Акцент6 5" xfId="2508"/>
    <cellStyle name="40% - Акцент6 5 2" xfId="2509"/>
    <cellStyle name="40% - Акцент6 6" xfId="2510"/>
    <cellStyle name="40% - Акцент6 6 2" xfId="2511"/>
    <cellStyle name="40% - Акцент6 7" xfId="2512"/>
    <cellStyle name="40% - Акцент6 7 2" xfId="2513"/>
    <cellStyle name="40% - Акцент6 8" xfId="2514"/>
    <cellStyle name="40% - Акцент6 8 2" xfId="2515"/>
    <cellStyle name="40% - Акцент6 9" xfId="2516"/>
    <cellStyle name="40% - Акцент6 9 2" xfId="2517"/>
    <cellStyle name="40% - 强调文字颜色 1" xfId="5541"/>
    <cellStyle name="40% - 强调文字颜色 2" xfId="5542"/>
    <cellStyle name="40% - 强调文字颜色 3" xfId="5543"/>
    <cellStyle name="40% - 强调文字颜色 4" xfId="5544"/>
    <cellStyle name="40% - 强调文字颜色 5" xfId="5545"/>
    <cellStyle name="40% - 强调文字颜色 6" xfId="5546"/>
    <cellStyle name="60% - Accent1 1" xfId="399"/>
    <cellStyle name="60% - Accent1 2" xfId="400"/>
    <cellStyle name="60% - Accent1 2 2" xfId="401"/>
    <cellStyle name="60% - Accent1 2 3" xfId="402"/>
    <cellStyle name="60% - Accent1 3" xfId="403"/>
    <cellStyle name="60% - Accent1 3 2" xfId="404"/>
    <cellStyle name="60% - Accent1 3 3" xfId="405"/>
    <cellStyle name="60% - Accent1 4" xfId="406"/>
    <cellStyle name="60% - Accent1 4 2" xfId="407"/>
    <cellStyle name="60% - Accent1 4 3" xfId="408"/>
    <cellStyle name="60% - Accent1 5" xfId="409"/>
    <cellStyle name="60% - Accent1 6" xfId="410"/>
    <cellStyle name="60% - Accent1 7" xfId="411"/>
    <cellStyle name="60% - Accent1 8" xfId="398"/>
    <cellStyle name="60% - Accent1 9" xfId="6730"/>
    <cellStyle name="60% - Accent2 1" xfId="413"/>
    <cellStyle name="60% - Accent2 2" xfId="414"/>
    <cellStyle name="60% - Accent2 2 2" xfId="415"/>
    <cellStyle name="60% - Accent2 2 3" xfId="416"/>
    <cellStyle name="60% - Accent2 3" xfId="417"/>
    <cellStyle name="60% - Accent2 3 2" xfId="418"/>
    <cellStyle name="60% - Accent2 3 3" xfId="419"/>
    <cellStyle name="60% - Accent2 4" xfId="420"/>
    <cellStyle name="60% - Accent2 4 2" xfId="421"/>
    <cellStyle name="60% - Accent2 4 3" xfId="422"/>
    <cellStyle name="60% - Accent2 5" xfId="423"/>
    <cellStyle name="60% - Accent2 6" xfId="424"/>
    <cellStyle name="60% - Accent2 7" xfId="425"/>
    <cellStyle name="60% - Accent2 8" xfId="412"/>
    <cellStyle name="60% - Accent2 9" xfId="6731"/>
    <cellStyle name="60% - Accent3 1" xfId="427"/>
    <cellStyle name="60% - Accent3 2" xfId="428"/>
    <cellStyle name="60% - Accent3 2 2" xfId="429"/>
    <cellStyle name="60% - Accent3 2 3" xfId="430"/>
    <cellStyle name="60% - Accent3 3" xfId="431"/>
    <cellStyle name="60% - Accent3 3 2" xfId="432"/>
    <cellStyle name="60% - Accent3 3 3" xfId="433"/>
    <cellStyle name="60% - Accent3 4" xfId="434"/>
    <cellStyle name="60% - Accent3 4 2" xfId="435"/>
    <cellStyle name="60% - Accent3 4 3" xfId="436"/>
    <cellStyle name="60% - Accent3 5" xfId="437"/>
    <cellStyle name="60% - Accent3 6" xfId="438"/>
    <cellStyle name="60% - Accent3 7" xfId="439"/>
    <cellStyle name="60% - Accent3 8" xfId="426"/>
    <cellStyle name="60% - Accent3 9" xfId="6732"/>
    <cellStyle name="60% - Accent4 1" xfId="441"/>
    <cellStyle name="60% - Accent4 2" xfId="442"/>
    <cellStyle name="60% - Accent4 2 2" xfId="443"/>
    <cellStyle name="60% - Accent4 2 3" xfId="444"/>
    <cellStyle name="60% - Accent4 3" xfId="445"/>
    <cellStyle name="60% - Accent4 3 2" xfId="446"/>
    <cellStyle name="60% - Accent4 3 3" xfId="447"/>
    <cellStyle name="60% - Accent4 4" xfId="448"/>
    <cellStyle name="60% - Accent4 4 2" xfId="449"/>
    <cellStyle name="60% - Accent4 4 3" xfId="450"/>
    <cellStyle name="60% - Accent4 5" xfId="451"/>
    <cellStyle name="60% - Accent4 6" xfId="452"/>
    <cellStyle name="60% - Accent4 7" xfId="453"/>
    <cellStyle name="60% - Accent4 8" xfId="440"/>
    <cellStyle name="60% - Accent4 9" xfId="6733"/>
    <cellStyle name="60% - Accent5 1" xfId="455"/>
    <cellStyle name="60% - Accent5 2" xfId="456"/>
    <cellStyle name="60% - Accent5 2 2" xfId="457"/>
    <cellStyle name="60% - Accent5 2 3" xfId="458"/>
    <cellStyle name="60% - Accent5 3" xfId="459"/>
    <cellStyle name="60% - Accent5 3 2" xfId="460"/>
    <cellStyle name="60% - Accent5 3 3" xfId="461"/>
    <cellStyle name="60% - Accent5 4" xfId="462"/>
    <cellStyle name="60% - Accent5 4 2" xfId="463"/>
    <cellStyle name="60% - Accent5 4 3" xfId="464"/>
    <cellStyle name="60% - Accent5 5" xfId="465"/>
    <cellStyle name="60% - Accent5 6" xfId="466"/>
    <cellStyle name="60% - Accent5 7" xfId="467"/>
    <cellStyle name="60% - Accent5 8" xfId="454"/>
    <cellStyle name="60% - Accent5 9" xfId="6734"/>
    <cellStyle name="60% - Accent6 1" xfId="469"/>
    <cellStyle name="60% - Accent6 2" xfId="470"/>
    <cellStyle name="60% - Accent6 2 2" xfId="471"/>
    <cellStyle name="60% - Accent6 2 3" xfId="472"/>
    <cellStyle name="60% - Accent6 3" xfId="473"/>
    <cellStyle name="60% - Accent6 3 2" xfId="474"/>
    <cellStyle name="60% - Accent6 3 3" xfId="475"/>
    <cellStyle name="60% - Accent6 4" xfId="476"/>
    <cellStyle name="60% - Accent6 4 2" xfId="477"/>
    <cellStyle name="60% - Accent6 4 3" xfId="478"/>
    <cellStyle name="60% - Accent6 5" xfId="479"/>
    <cellStyle name="60% - Accent6 6" xfId="480"/>
    <cellStyle name="60% - Accent6 7" xfId="481"/>
    <cellStyle name="60% - Accent6 8" xfId="468"/>
    <cellStyle name="60% - Accent6 9" xfId="6735"/>
    <cellStyle name="60% - Ênfase1 2" xfId="482"/>
    <cellStyle name="60% - Ênfase1 3" xfId="483"/>
    <cellStyle name="60% - Ênfase1 4" xfId="484"/>
    <cellStyle name="60% - Ênfase2 2" xfId="485"/>
    <cellStyle name="60% - Ênfase2 3" xfId="486"/>
    <cellStyle name="60% - Ênfase2 4" xfId="487"/>
    <cellStyle name="60% - Ênfase3 2" xfId="488"/>
    <cellStyle name="60% - Ênfase3 3" xfId="489"/>
    <cellStyle name="60% - Ênfase3 4" xfId="490"/>
    <cellStyle name="60% - Ênfase4 2" xfId="491"/>
    <cellStyle name="60% - Ênfase4 3" xfId="492"/>
    <cellStyle name="60% - Ênfase4 4" xfId="493"/>
    <cellStyle name="60% - Ênfase5 2" xfId="494"/>
    <cellStyle name="60% - Ênfase5 3" xfId="495"/>
    <cellStyle name="60% - Ênfase5 4" xfId="496"/>
    <cellStyle name="60% - Ênfase6 2" xfId="497"/>
    <cellStyle name="60% - Ênfase6 3" xfId="498"/>
    <cellStyle name="60% - Ênfase6 4" xfId="499"/>
    <cellStyle name="60% - Énfasis1" xfId="500"/>
    <cellStyle name="60% - Énfasis1 2" xfId="5547"/>
    <cellStyle name="60% - Énfasis1 3" xfId="5548"/>
    <cellStyle name="60% - Énfasis1 4" xfId="5549"/>
    <cellStyle name="60% - Énfasis1 5" xfId="5550"/>
    <cellStyle name="60% - Énfasis1 6" xfId="5551"/>
    <cellStyle name="60% - Énfasis1 7" xfId="5552"/>
    <cellStyle name="60% - Énfasis2" xfId="501"/>
    <cellStyle name="60% - Énfasis2 2" xfId="5553"/>
    <cellStyle name="60% - Énfasis2 3" xfId="5554"/>
    <cellStyle name="60% - Énfasis2 4" xfId="5555"/>
    <cellStyle name="60% - Énfasis2 5" xfId="5556"/>
    <cellStyle name="60% - Énfasis2 6" xfId="5557"/>
    <cellStyle name="60% - Énfasis2 7" xfId="5558"/>
    <cellStyle name="60% - Énfasis3" xfId="502"/>
    <cellStyle name="60% - Énfasis3 2" xfId="5559"/>
    <cellStyle name="60% - Énfasis3 3" xfId="5560"/>
    <cellStyle name="60% - Énfasis3 4" xfId="5561"/>
    <cellStyle name="60% - Énfasis3 5" xfId="5562"/>
    <cellStyle name="60% - Énfasis3 6" xfId="5563"/>
    <cellStyle name="60% - Énfasis3 7" xfId="5564"/>
    <cellStyle name="60% - Énfasis4" xfId="503"/>
    <cellStyle name="60% - Énfasis4 2" xfId="5565"/>
    <cellStyle name="60% - Énfasis4 3" xfId="5566"/>
    <cellStyle name="60% - Énfasis4 4" xfId="5567"/>
    <cellStyle name="60% - Énfasis4 5" xfId="5568"/>
    <cellStyle name="60% - Énfasis4 6" xfId="5569"/>
    <cellStyle name="60% - Énfasis4 7" xfId="5570"/>
    <cellStyle name="60% - Énfasis5" xfId="504"/>
    <cellStyle name="60% - Énfasis5 2" xfId="5571"/>
    <cellStyle name="60% - Énfasis5 3" xfId="5572"/>
    <cellStyle name="60% - Énfasis5 4" xfId="5573"/>
    <cellStyle name="60% - Énfasis5 5" xfId="5574"/>
    <cellStyle name="60% - Énfasis5 6" xfId="5575"/>
    <cellStyle name="60% - Énfasis5 7" xfId="5576"/>
    <cellStyle name="60% - Énfasis6" xfId="505"/>
    <cellStyle name="60% - Énfasis6 2" xfId="5577"/>
    <cellStyle name="60% - Énfasis6 3" xfId="5578"/>
    <cellStyle name="60% - Énfasis6 4" xfId="5579"/>
    <cellStyle name="60% - Énfasis6 5" xfId="5580"/>
    <cellStyle name="60% - Énfasis6 6" xfId="5581"/>
    <cellStyle name="60% - Énfasis6 7" xfId="5582"/>
    <cellStyle name="60% - Акцент1 10" xfId="2518"/>
    <cellStyle name="60% - Акцент1 10 2" xfId="2519"/>
    <cellStyle name="60% - Акцент1 11" xfId="2520"/>
    <cellStyle name="60% - Акцент1 11 2" xfId="2521"/>
    <cellStyle name="60% - Акцент1 12" xfId="2522"/>
    <cellStyle name="60% - Акцент1 12 2" xfId="2523"/>
    <cellStyle name="60% - Акцент1 13" xfId="2524"/>
    <cellStyle name="60% - Акцент1 13 2" xfId="2525"/>
    <cellStyle name="60% - Акцент1 14" xfId="2526"/>
    <cellStyle name="60% - Акцент1 14 2" xfId="2527"/>
    <cellStyle name="60% - Акцент1 15" xfId="2528"/>
    <cellStyle name="60% - Акцент1 15 2" xfId="2529"/>
    <cellStyle name="60% - Акцент1 16" xfId="2530"/>
    <cellStyle name="60% - Акцент1 16 2" xfId="2531"/>
    <cellStyle name="60% - Акцент1 17" xfId="2532"/>
    <cellStyle name="60% - Акцент1 17 2" xfId="2533"/>
    <cellStyle name="60% - Акцент1 18" xfId="2534"/>
    <cellStyle name="60% - Акцент1 18 2" xfId="2535"/>
    <cellStyle name="60% - Акцент1 19" xfId="2536"/>
    <cellStyle name="60% - Акцент1 19 2" xfId="2537"/>
    <cellStyle name="60% - Акцент1 2" xfId="1536"/>
    <cellStyle name="60% - Акцент1 2 10" xfId="2538"/>
    <cellStyle name="60% - Акцент1 2 10 2" xfId="2539"/>
    <cellStyle name="60% - Акцент1 2 11" xfId="2540"/>
    <cellStyle name="60% - Акцент1 2 11 2" xfId="2541"/>
    <cellStyle name="60% - Акцент1 2 12" xfId="2542"/>
    <cellStyle name="60% - Акцент1 2 12 2" xfId="2543"/>
    <cellStyle name="60% - Акцент1 2 13" xfId="2544"/>
    <cellStyle name="60% - Акцент1 2 13 2" xfId="2545"/>
    <cellStyle name="60% - Акцент1 2 14" xfId="2546"/>
    <cellStyle name="60% - Акцент1 2 14 2" xfId="2547"/>
    <cellStyle name="60% - Акцент1 2 15" xfId="2548"/>
    <cellStyle name="60% - Акцент1 2 15 2" xfId="2549"/>
    <cellStyle name="60% - Акцент1 2 16" xfId="2550"/>
    <cellStyle name="60% - Акцент1 2 16 2" xfId="2551"/>
    <cellStyle name="60% - Акцент1 2 17" xfId="2552"/>
    <cellStyle name="60% - Акцент1 2 17 2" xfId="2553"/>
    <cellStyle name="60% - Акцент1 2 18" xfId="2554"/>
    <cellStyle name="60% - Акцент1 2 19" xfId="2555"/>
    <cellStyle name="60% - Акцент1 2 2" xfId="2556"/>
    <cellStyle name="60% - Акцент1 2 2 2" xfId="2557"/>
    <cellStyle name="60% - Акцент1 2 3" xfId="2558"/>
    <cellStyle name="60% - Акцент1 2 4" xfId="2559"/>
    <cellStyle name="60% - Акцент1 2 4 2" xfId="2560"/>
    <cellStyle name="60% - Акцент1 2 5" xfId="2561"/>
    <cellStyle name="60% - Акцент1 2 5 2" xfId="2562"/>
    <cellStyle name="60% - Акцент1 2 6" xfId="2563"/>
    <cellStyle name="60% - Акцент1 2 6 2" xfId="2564"/>
    <cellStyle name="60% - Акцент1 2 7" xfId="2565"/>
    <cellStyle name="60% - Акцент1 2 7 2" xfId="2566"/>
    <cellStyle name="60% - Акцент1 2 8" xfId="2567"/>
    <cellStyle name="60% - Акцент1 2 8 2" xfId="2568"/>
    <cellStyle name="60% - Акцент1 2 9" xfId="2569"/>
    <cellStyle name="60% - Акцент1 2 9 2" xfId="2570"/>
    <cellStyle name="60% - Акцент1 20" xfId="2571"/>
    <cellStyle name="60% - Акцент1 20 2" xfId="2572"/>
    <cellStyle name="60% - Акцент1 21" xfId="2573"/>
    <cellStyle name="60% - Акцент1 3" xfId="2574"/>
    <cellStyle name="60% - Акцент1 3 2" xfId="2575"/>
    <cellStyle name="60% - Акцент1 4" xfId="2576"/>
    <cellStyle name="60% - Акцент1 4 2" xfId="2577"/>
    <cellStyle name="60% - Акцент1 5" xfId="2578"/>
    <cellStyle name="60% - Акцент1 5 2" xfId="2579"/>
    <cellStyle name="60% - Акцент1 6" xfId="2580"/>
    <cellStyle name="60% - Акцент1 6 2" xfId="2581"/>
    <cellStyle name="60% - Акцент1 7" xfId="2582"/>
    <cellStyle name="60% - Акцент1 7 2" xfId="2583"/>
    <cellStyle name="60% - Акцент1 8" xfId="2584"/>
    <cellStyle name="60% - Акцент1 8 2" xfId="2585"/>
    <cellStyle name="60% - Акцент1 9" xfId="2586"/>
    <cellStyle name="60% - Акцент1 9 2" xfId="2587"/>
    <cellStyle name="60% - Акцент2 10" xfId="2588"/>
    <cellStyle name="60% - Акцент2 10 2" xfId="2589"/>
    <cellStyle name="60% - Акцент2 11" xfId="2590"/>
    <cellStyle name="60% - Акцент2 11 2" xfId="2591"/>
    <cellStyle name="60% - Акцент2 12" xfId="2592"/>
    <cellStyle name="60% - Акцент2 12 2" xfId="2593"/>
    <cellStyle name="60% - Акцент2 13" xfId="2594"/>
    <cellStyle name="60% - Акцент2 13 2" xfId="2595"/>
    <cellStyle name="60% - Акцент2 14" xfId="2596"/>
    <cellStyle name="60% - Акцент2 14 2" xfId="2597"/>
    <cellStyle name="60% - Акцент2 15" xfId="2598"/>
    <cellStyle name="60% - Акцент2 15 2" xfId="2599"/>
    <cellStyle name="60% - Акцент2 16" xfId="2600"/>
    <cellStyle name="60% - Акцент2 16 2" xfId="2601"/>
    <cellStyle name="60% - Акцент2 17" xfId="2602"/>
    <cellStyle name="60% - Акцент2 17 2" xfId="2603"/>
    <cellStyle name="60% - Акцент2 18" xfId="2604"/>
    <cellStyle name="60% - Акцент2 18 2" xfId="2605"/>
    <cellStyle name="60% - Акцент2 19" xfId="2606"/>
    <cellStyle name="60% - Акцент2 19 2" xfId="2607"/>
    <cellStyle name="60% - Акцент2 2" xfId="1537"/>
    <cellStyle name="60% - Акцент2 2 10" xfId="2608"/>
    <cellStyle name="60% - Акцент2 2 10 2" xfId="2609"/>
    <cellStyle name="60% - Акцент2 2 11" xfId="2610"/>
    <cellStyle name="60% - Акцент2 2 11 2" xfId="2611"/>
    <cellStyle name="60% - Акцент2 2 12" xfId="2612"/>
    <cellStyle name="60% - Акцент2 2 12 2" xfId="2613"/>
    <cellStyle name="60% - Акцент2 2 13" xfId="2614"/>
    <cellStyle name="60% - Акцент2 2 13 2" xfId="2615"/>
    <cellStyle name="60% - Акцент2 2 14" xfId="2616"/>
    <cellStyle name="60% - Акцент2 2 14 2" xfId="2617"/>
    <cellStyle name="60% - Акцент2 2 15" xfId="2618"/>
    <cellStyle name="60% - Акцент2 2 15 2" xfId="2619"/>
    <cellStyle name="60% - Акцент2 2 16" xfId="2620"/>
    <cellStyle name="60% - Акцент2 2 16 2" xfId="2621"/>
    <cellStyle name="60% - Акцент2 2 17" xfId="2622"/>
    <cellStyle name="60% - Акцент2 2 17 2" xfId="2623"/>
    <cellStyle name="60% - Акцент2 2 18" xfId="2624"/>
    <cellStyle name="60% - Акцент2 2 2" xfId="2625"/>
    <cellStyle name="60% - Акцент2 2 2 2" xfId="2626"/>
    <cellStyle name="60% - Акцент2 2 3" xfId="2627"/>
    <cellStyle name="60% - Акцент2 2 4" xfId="2628"/>
    <cellStyle name="60% - Акцент2 2 4 2" xfId="2629"/>
    <cellStyle name="60% - Акцент2 2 5" xfId="2630"/>
    <cellStyle name="60% - Акцент2 2 5 2" xfId="2631"/>
    <cellStyle name="60% - Акцент2 2 6" xfId="2632"/>
    <cellStyle name="60% - Акцент2 2 6 2" xfId="2633"/>
    <cellStyle name="60% - Акцент2 2 7" xfId="2634"/>
    <cellStyle name="60% - Акцент2 2 7 2" xfId="2635"/>
    <cellStyle name="60% - Акцент2 2 8" xfId="2636"/>
    <cellStyle name="60% - Акцент2 2 8 2" xfId="2637"/>
    <cellStyle name="60% - Акцент2 2 9" xfId="2638"/>
    <cellStyle name="60% - Акцент2 2 9 2" xfId="2639"/>
    <cellStyle name="60% - Акцент2 20" xfId="2640"/>
    <cellStyle name="60% - Акцент2 20 2" xfId="2641"/>
    <cellStyle name="60% - Акцент2 21" xfId="2642"/>
    <cellStyle name="60% - Акцент2 3" xfId="2643"/>
    <cellStyle name="60% - Акцент2 3 2" xfId="2644"/>
    <cellStyle name="60% - Акцент2 4" xfId="2645"/>
    <cellStyle name="60% - Акцент2 4 2" xfId="2646"/>
    <cellStyle name="60% - Акцент2 5" xfId="2647"/>
    <cellStyle name="60% - Акцент2 5 2" xfId="2648"/>
    <cellStyle name="60% - Акцент2 6" xfId="2649"/>
    <cellStyle name="60% - Акцент2 6 2" xfId="2650"/>
    <cellStyle name="60% - Акцент2 7" xfId="2651"/>
    <cellStyle name="60% - Акцент2 7 2" xfId="2652"/>
    <cellStyle name="60% - Акцент2 8" xfId="2653"/>
    <cellStyle name="60% - Акцент2 8 2" xfId="2654"/>
    <cellStyle name="60% - Акцент2 9" xfId="2655"/>
    <cellStyle name="60% - Акцент2 9 2" xfId="2656"/>
    <cellStyle name="60% - Акцент3 10" xfId="2657"/>
    <cellStyle name="60% - Акцент3 10 2" xfId="2658"/>
    <cellStyle name="60% - Акцент3 11" xfId="2659"/>
    <cellStyle name="60% - Акцент3 11 2" xfId="2660"/>
    <cellStyle name="60% - Акцент3 12" xfId="2661"/>
    <cellStyle name="60% - Акцент3 12 2" xfId="2662"/>
    <cellStyle name="60% - Акцент3 13" xfId="2663"/>
    <cellStyle name="60% - Акцент3 13 2" xfId="2664"/>
    <cellStyle name="60% - Акцент3 14" xfId="2665"/>
    <cellStyle name="60% - Акцент3 14 2" xfId="2666"/>
    <cellStyle name="60% - Акцент3 15" xfId="2667"/>
    <cellStyle name="60% - Акцент3 15 2" xfId="2668"/>
    <cellStyle name="60% - Акцент3 16" xfId="2669"/>
    <cellStyle name="60% - Акцент3 16 2" xfId="2670"/>
    <cellStyle name="60% - Акцент3 17" xfId="2671"/>
    <cellStyle name="60% - Акцент3 17 2" xfId="2672"/>
    <cellStyle name="60% - Акцент3 18" xfId="2673"/>
    <cellStyle name="60% - Акцент3 18 2" xfId="2674"/>
    <cellStyle name="60% - Акцент3 19" xfId="2675"/>
    <cellStyle name="60% - Акцент3 19 2" xfId="2676"/>
    <cellStyle name="60% - Акцент3 2" xfId="1538"/>
    <cellStyle name="60% - Акцент3 2 10" xfId="2677"/>
    <cellStyle name="60% - Акцент3 2 10 2" xfId="2678"/>
    <cellStyle name="60% - Акцент3 2 11" xfId="2679"/>
    <cellStyle name="60% - Акцент3 2 11 2" xfId="2680"/>
    <cellStyle name="60% - Акцент3 2 12" xfId="2681"/>
    <cellStyle name="60% - Акцент3 2 12 2" xfId="2682"/>
    <cellStyle name="60% - Акцент3 2 13" xfId="2683"/>
    <cellStyle name="60% - Акцент3 2 13 2" xfId="2684"/>
    <cellStyle name="60% - Акцент3 2 14" xfId="2685"/>
    <cellStyle name="60% - Акцент3 2 14 2" xfId="2686"/>
    <cellStyle name="60% - Акцент3 2 15" xfId="2687"/>
    <cellStyle name="60% - Акцент3 2 15 2" xfId="2688"/>
    <cellStyle name="60% - Акцент3 2 16" xfId="2689"/>
    <cellStyle name="60% - Акцент3 2 16 2" xfId="2690"/>
    <cellStyle name="60% - Акцент3 2 17" xfId="2691"/>
    <cellStyle name="60% - Акцент3 2 17 2" xfId="2692"/>
    <cellStyle name="60% - Акцент3 2 18" xfId="2693"/>
    <cellStyle name="60% - Акцент3 2 19" xfId="2694"/>
    <cellStyle name="60% - Акцент3 2 2" xfId="2695"/>
    <cellStyle name="60% - Акцент3 2 2 2" xfId="2696"/>
    <cellStyle name="60% - Акцент3 2 3" xfId="2697"/>
    <cellStyle name="60% - Акцент3 2 4" xfId="2698"/>
    <cellStyle name="60% - Акцент3 2 4 2" xfId="2699"/>
    <cellStyle name="60% - Акцент3 2 5" xfId="2700"/>
    <cellStyle name="60% - Акцент3 2 5 2" xfId="2701"/>
    <cellStyle name="60% - Акцент3 2 6" xfId="2702"/>
    <cellStyle name="60% - Акцент3 2 6 2" xfId="2703"/>
    <cellStyle name="60% - Акцент3 2 7" xfId="2704"/>
    <cellStyle name="60% - Акцент3 2 7 2" xfId="2705"/>
    <cellStyle name="60% - Акцент3 2 8" xfId="2706"/>
    <cellStyle name="60% - Акцент3 2 8 2" xfId="2707"/>
    <cellStyle name="60% - Акцент3 2 9" xfId="2708"/>
    <cellStyle name="60% - Акцент3 2 9 2" xfId="2709"/>
    <cellStyle name="60% - Акцент3 20" xfId="2710"/>
    <cellStyle name="60% - Акцент3 20 2" xfId="2711"/>
    <cellStyle name="60% - Акцент3 21" xfId="2712"/>
    <cellStyle name="60% - Акцент3 3" xfId="2713"/>
    <cellStyle name="60% - Акцент3 3 2" xfId="2714"/>
    <cellStyle name="60% - Акцент3 4" xfId="2715"/>
    <cellStyle name="60% - Акцент3 4 2" xfId="2716"/>
    <cellStyle name="60% - Акцент3 5" xfId="2717"/>
    <cellStyle name="60% - Акцент3 5 2" xfId="2718"/>
    <cellStyle name="60% - Акцент3 6" xfId="2719"/>
    <cellStyle name="60% - Акцент3 6 2" xfId="2720"/>
    <cellStyle name="60% - Акцент3 7" xfId="2721"/>
    <cellStyle name="60% - Акцент3 7 2" xfId="2722"/>
    <cellStyle name="60% - Акцент3 8" xfId="2723"/>
    <cellStyle name="60% - Акцент3 8 2" xfId="2724"/>
    <cellStyle name="60% - Акцент3 9" xfId="2725"/>
    <cellStyle name="60% - Акцент3 9 2" xfId="2726"/>
    <cellStyle name="60% - Акцент4 10" xfId="2727"/>
    <cellStyle name="60% - Акцент4 10 2" xfId="2728"/>
    <cellStyle name="60% - Акцент4 11" xfId="2729"/>
    <cellStyle name="60% - Акцент4 11 2" xfId="2730"/>
    <cellStyle name="60% - Акцент4 12" xfId="2731"/>
    <cellStyle name="60% - Акцент4 12 2" xfId="2732"/>
    <cellStyle name="60% - Акцент4 13" xfId="2733"/>
    <cellStyle name="60% - Акцент4 13 2" xfId="2734"/>
    <cellStyle name="60% - Акцент4 14" xfId="2735"/>
    <cellStyle name="60% - Акцент4 14 2" xfId="2736"/>
    <cellStyle name="60% - Акцент4 15" xfId="2737"/>
    <cellStyle name="60% - Акцент4 15 2" xfId="2738"/>
    <cellStyle name="60% - Акцент4 16" xfId="2739"/>
    <cellStyle name="60% - Акцент4 16 2" xfId="2740"/>
    <cellStyle name="60% - Акцент4 17" xfId="2741"/>
    <cellStyle name="60% - Акцент4 17 2" xfId="2742"/>
    <cellStyle name="60% - Акцент4 18" xfId="2743"/>
    <cellStyle name="60% - Акцент4 18 2" xfId="2744"/>
    <cellStyle name="60% - Акцент4 19" xfId="2745"/>
    <cellStyle name="60% - Акцент4 19 2" xfId="2746"/>
    <cellStyle name="60% - Акцент4 2" xfId="1539"/>
    <cellStyle name="60% - Акцент4 2 10" xfId="2747"/>
    <cellStyle name="60% - Акцент4 2 10 2" xfId="2748"/>
    <cellStyle name="60% - Акцент4 2 11" xfId="2749"/>
    <cellStyle name="60% - Акцент4 2 11 2" xfId="2750"/>
    <cellStyle name="60% - Акцент4 2 12" xfId="2751"/>
    <cellStyle name="60% - Акцент4 2 12 2" xfId="2752"/>
    <cellStyle name="60% - Акцент4 2 13" xfId="2753"/>
    <cellStyle name="60% - Акцент4 2 13 2" xfId="2754"/>
    <cellStyle name="60% - Акцент4 2 14" xfId="2755"/>
    <cellStyle name="60% - Акцент4 2 14 2" xfId="2756"/>
    <cellStyle name="60% - Акцент4 2 15" xfId="2757"/>
    <cellStyle name="60% - Акцент4 2 15 2" xfId="2758"/>
    <cellStyle name="60% - Акцент4 2 16" xfId="2759"/>
    <cellStyle name="60% - Акцент4 2 16 2" xfId="2760"/>
    <cellStyle name="60% - Акцент4 2 17" xfId="2761"/>
    <cellStyle name="60% - Акцент4 2 17 2" xfId="2762"/>
    <cellStyle name="60% - Акцент4 2 18" xfId="2763"/>
    <cellStyle name="60% - Акцент4 2 19" xfId="2764"/>
    <cellStyle name="60% - Акцент4 2 2" xfId="2765"/>
    <cellStyle name="60% - Акцент4 2 2 2" xfId="2766"/>
    <cellStyle name="60% - Акцент4 2 3" xfId="2767"/>
    <cellStyle name="60% - Акцент4 2 4" xfId="2768"/>
    <cellStyle name="60% - Акцент4 2 4 2" xfId="2769"/>
    <cellStyle name="60% - Акцент4 2 5" xfId="2770"/>
    <cellStyle name="60% - Акцент4 2 5 2" xfId="2771"/>
    <cellStyle name="60% - Акцент4 2 6" xfId="2772"/>
    <cellStyle name="60% - Акцент4 2 6 2" xfId="2773"/>
    <cellStyle name="60% - Акцент4 2 7" xfId="2774"/>
    <cellStyle name="60% - Акцент4 2 7 2" xfId="2775"/>
    <cellStyle name="60% - Акцент4 2 8" xfId="2776"/>
    <cellStyle name="60% - Акцент4 2 8 2" xfId="2777"/>
    <cellStyle name="60% - Акцент4 2 9" xfId="2778"/>
    <cellStyle name="60% - Акцент4 2 9 2" xfId="2779"/>
    <cellStyle name="60% - Акцент4 20" xfId="2780"/>
    <cellStyle name="60% - Акцент4 20 2" xfId="2781"/>
    <cellStyle name="60% - Акцент4 21" xfId="2782"/>
    <cellStyle name="60% - Акцент4 3" xfId="2783"/>
    <cellStyle name="60% - Акцент4 3 2" xfId="2784"/>
    <cellStyle name="60% - Акцент4 4" xfId="2785"/>
    <cellStyle name="60% - Акцент4 4 2" xfId="2786"/>
    <cellStyle name="60% - Акцент4 5" xfId="2787"/>
    <cellStyle name="60% - Акцент4 5 2" xfId="2788"/>
    <cellStyle name="60% - Акцент4 6" xfId="2789"/>
    <cellStyle name="60% - Акцент4 6 2" xfId="2790"/>
    <cellStyle name="60% - Акцент4 7" xfId="2791"/>
    <cellStyle name="60% - Акцент4 7 2" xfId="2792"/>
    <cellStyle name="60% - Акцент4 8" xfId="2793"/>
    <cellStyle name="60% - Акцент4 8 2" xfId="2794"/>
    <cellStyle name="60% - Акцент4 9" xfId="2795"/>
    <cellStyle name="60% - Акцент4 9 2" xfId="2796"/>
    <cellStyle name="60% - Акцент5 10" xfId="2797"/>
    <cellStyle name="60% - Акцент5 10 2" xfId="2798"/>
    <cellStyle name="60% - Акцент5 11" xfId="2799"/>
    <cellStyle name="60% - Акцент5 11 2" xfId="2800"/>
    <cellStyle name="60% - Акцент5 12" xfId="2801"/>
    <cellStyle name="60% - Акцент5 12 2" xfId="2802"/>
    <cellStyle name="60% - Акцент5 13" xfId="2803"/>
    <cellStyle name="60% - Акцент5 13 2" xfId="2804"/>
    <cellStyle name="60% - Акцент5 14" xfId="2805"/>
    <cellStyle name="60% - Акцент5 14 2" xfId="2806"/>
    <cellStyle name="60% - Акцент5 15" xfId="2807"/>
    <cellStyle name="60% - Акцент5 15 2" xfId="2808"/>
    <cellStyle name="60% - Акцент5 16" xfId="2809"/>
    <cellStyle name="60% - Акцент5 16 2" xfId="2810"/>
    <cellStyle name="60% - Акцент5 17" xfId="2811"/>
    <cellStyle name="60% - Акцент5 17 2" xfId="2812"/>
    <cellStyle name="60% - Акцент5 18" xfId="2813"/>
    <cellStyle name="60% - Акцент5 18 2" xfId="2814"/>
    <cellStyle name="60% - Акцент5 19" xfId="2815"/>
    <cellStyle name="60% - Акцент5 19 2" xfId="2816"/>
    <cellStyle name="60% - Акцент5 2" xfId="1540"/>
    <cellStyle name="60% - Акцент5 2 10" xfId="2817"/>
    <cellStyle name="60% - Акцент5 2 10 2" xfId="2818"/>
    <cellStyle name="60% - Акцент5 2 11" xfId="2819"/>
    <cellStyle name="60% - Акцент5 2 11 2" xfId="2820"/>
    <cellStyle name="60% - Акцент5 2 12" xfId="2821"/>
    <cellStyle name="60% - Акцент5 2 12 2" xfId="2822"/>
    <cellStyle name="60% - Акцент5 2 13" xfId="2823"/>
    <cellStyle name="60% - Акцент5 2 13 2" xfId="2824"/>
    <cellStyle name="60% - Акцент5 2 14" xfId="2825"/>
    <cellStyle name="60% - Акцент5 2 14 2" xfId="2826"/>
    <cellStyle name="60% - Акцент5 2 15" xfId="2827"/>
    <cellStyle name="60% - Акцент5 2 15 2" xfId="2828"/>
    <cellStyle name="60% - Акцент5 2 16" xfId="2829"/>
    <cellStyle name="60% - Акцент5 2 16 2" xfId="2830"/>
    <cellStyle name="60% - Акцент5 2 17" xfId="2831"/>
    <cellStyle name="60% - Акцент5 2 17 2" xfId="2832"/>
    <cellStyle name="60% - Акцент5 2 18" xfId="2833"/>
    <cellStyle name="60% - Акцент5 2 19" xfId="2834"/>
    <cellStyle name="60% - Акцент5 2 2" xfId="2835"/>
    <cellStyle name="60% - Акцент5 2 2 2" xfId="2836"/>
    <cellStyle name="60% - Акцент5 2 3" xfId="2837"/>
    <cellStyle name="60% - Акцент5 2 4" xfId="2838"/>
    <cellStyle name="60% - Акцент5 2 4 2" xfId="2839"/>
    <cellStyle name="60% - Акцент5 2 5" xfId="2840"/>
    <cellStyle name="60% - Акцент5 2 5 2" xfId="2841"/>
    <cellStyle name="60% - Акцент5 2 6" xfId="2842"/>
    <cellStyle name="60% - Акцент5 2 6 2" xfId="2843"/>
    <cellStyle name="60% - Акцент5 2 7" xfId="2844"/>
    <cellStyle name="60% - Акцент5 2 7 2" xfId="2845"/>
    <cellStyle name="60% - Акцент5 2 8" xfId="2846"/>
    <cellStyle name="60% - Акцент5 2 8 2" xfId="2847"/>
    <cellStyle name="60% - Акцент5 2 9" xfId="2848"/>
    <cellStyle name="60% - Акцент5 2 9 2" xfId="2849"/>
    <cellStyle name="60% - Акцент5 20" xfId="2850"/>
    <cellStyle name="60% - Акцент5 20 2" xfId="2851"/>
    <cellStyle name="60% - Акцент5 21" xfId="2852"/>
    <cellStyle name="60% - Акцент5 3" xfId="2853"/>
    <cellStyle name="60% - Акцент5 3 2" xfId="2854"/>
    <cellStyle name="60% - Акцент5 4" xfId="2855"/>
    <cellStyle name="60% - Акцент5 4 2" xfId="2856"/>
    <cellStyle name="60% - Акцент5 5" xfId="2857"/>
    <cellStyle name="60% - Акцент5 5 2" xfId="2858"/>
    <cellStyle name="60% - Акцент5 6" xfId="2859"/>
    <cellStyle name="60% - Акцент5 6 2" xfId="2860"/>
    <cellStyle name="60% - Акцент5 7" xfId="2861"/>
    <cellStyle name="60% - Акцент5 7 2" xfId="2862"/>
    <cellStyle name="60% - Акцент5 8" xfId="2863"/>
    <cellStyle name="60% - Акцент5 8 2" xfId="2864"/>
    <cellStyle name="60% - Акцент5 9" xfId="2865"/>
    <cellStyle name="60% - Акцент5 9 2" xfId="2866"/>
    <cellStyle name="60% - Акцент6 10" xfId="2867"/>
    <cellStyle name="60% - Акцент6 10 2" xfId="2868"/>
    <cellStyle name="60% - Акцент6 11" xfId="2869"/>
    <cellStyle name="60% - Акцент6 11 2" xfId="2870"/>
    <cellStyle name="60% - Акцент6 12" xfId="2871"/>
    <cellStyle name="60% - Акцент6 12 2" xfId="2872"/>
    <cellStyle name="60% - Акцент6 13" xfId="2873"/>
    <cellStyle name="60% - Акцент6 13 2" xfId="2874"/>
    <cellStyle name="60% - Акцент6 14" xfId="2875"/>
    <cellStyle name="60% - Акцент6 14 2" xfId="2876"/>
    <cellStyle name="60% - Акцент6 15" xfId="2877"/>
    <cellStyle name="60% - Акцент6 15 2" xfId="2878"/>
    <cellStyle name="60% - Акцент6 16" xfId="2879"/>
    <cellStyle name="60% - Акцент6 16 2" xfId="2880"/>
    <cellStyle name="60% - Акцент6 17" xfId="2881"/>
    <cellStyle name="60% - Акцент6 17 2" xfId="2882"/>
    <cellStyle name="60% - Акцент6 18" xfId="2883"/>
    <cellStyle name="60% - Акцент6 18 2" xfId="2884"/>
    <cellStyle name="60% - Акцент6 19" xfId="2885"/>
    <cellStyle name="60% - Акцент6 19 2" xfId="2886"/>
    <cellStyle name="60% - Акцент6 2" xfId="1541"/>
    <cellStyle name="60% - Акцент6 2 10" xfId="2887"/>
    <cellStyle name="60% - Акцент6 2 10 2" xfId="2888"/>
    <cellStyle name="60% - Акцент6 2 11" xfId="2889"/>
    <cellStyle name="60% - Акцент6 2 11 2" xfId="2890"/>
    <cellStyle name="60% - Акцент6 2 12" xfId="2891"/>
    <cellStyle name="60% - Акцент6 2 12 2" xfId="2892"/>
    <cellStyle name="60% - Акцент6 2 13" xfId="2893"/>
    <cellStyle name="60% - Акцент6 2 13 2" xfId="2894"/>
    <cellStyle name="60% - Акцент6 2 14" xfId="2895"/>
    <cellStyle name="60% - Акцент6 2 14 2" xfId="2896"/>
    <cellStyle name="60% - Акцент6 2 15" xfId="2897"/>
    <cellStyle name="60% - Акцент6 2 15 2" xfId="2898"/>
    <cellStyle name="60% - Акцент6 2 16" xfId="2899"/>
    <cellStyle name="60% - Акцент6 2 16 2" xfId="2900"/>
    <cellStyle name="60% - Акцент6 2 17" xfId="2901"/>
    <cellStyle name="60% - Акцент6 2 17 2" xfId="2902"/>
    <cellStyle name="60% - Акцент6 2 18" xfId="2903"/>
    <cellStyle name="60% - Акцент6 2 19" xfId="2904"/>
    <cellStyle name="60% - Акцент6 2 2" xfId="2905"/>
    <cellStyle name="60% - Акцент6 2 2 2" xfId="2906"/>
    <cellStyle name="60% - Акцент6 2 3" xfId="2907"/>
    <cellStyle name="60% - Акцент6 2 4" xfId="2908"/>
    <cellStyle name="60% - Акцент6 2 4 2" xfId="2909"/>
    <cellStyle name="60% - Акцент6 2 5" xfId="2910"/>
    <cellStyle name="60% - Акцент6 2 5 2" xfId="2911"/>
    <cellStyle name="60% - Акцент6 2 6" xfId="2912"/>
    <cellStyle name="60% - Акцент6 2 6 2" xfId="2913"/>
    <cellStyle name="60% - Акцент6 2 7" xfId="2914"/>
    <cellStyle name="60% - Акцент6 2 7 2" xfId="2915"/>
    <cellStyle name="60% - Акцент6 2 8" xfId="2916"/>
    <cellStyle name="60% - Акцент6 2 8 2" xfId="2917"/>
    <cellStyle name="60% - Акцент6 2 9" xfId="2918"/>
    <cellStyle name="60% - Акцент6 2 9 2" xfId="2919"/>
    <cellStyle name="60% - Акцент6 20" xfId="2920"/>
    <cellStyle name="60% - Акцент6 20 2" xfId="2921"/>
    <cellStyle name="60% - Акцент6 21" xfId="2922"/>
    <cellStyle name="60% - Акцент6 3" xfId="2923"/>
    <cellStyle name="60% - Акцент6 3 2" xfId="2924"/>
    <cellStyle name="60% - Акцент6 4" xfId="2925"/>
    <cellStyle name="60% - Акцент6 4 2" xfId="2926"/>
    <cellStyle name="60% - Акцент6 5" xfId="2927"/>
    <cellStyle name="60% - Акцент6 5 2" xfId="2928"/>
    <cellStyle name="60% - Акцент6 6" xfId="2929"/>
    <cellStyle name="60% - Акцент6 6 2" xfId="2930"/>
    <cellStyle name="60% - Акцент6 7" xfId="2931"/>
    <cellStyle name="60% - Акцент6 7 2" xfId="2932"/>
    <cellStyle name="60% - Акцент6 8" xfId="2933"/>
    <cellStyle name="60% - Акцент6 8 2" xfId="2934"/>
    <cellStyle name="60% - Акцент6 9" xfId="2935"/>
    <cellStyle name="60% - Акцент6 9 2" xfId="2936"/>
    <cellStyle name="60% - 强调文字颜色 1" xfId="5583"/>
    <cellStyle name="60% - 强调文字颜色 2" xfId="5584"/>
    <cellStyle name="60% - 强调文字颜色 3" xfId="5585"/>
    <cellStyle name="60% - 强调文字颜色 4" xfId="5586"/>
    <cellStyle name="60% - 强调文字颜色 5" xfId="5587"/>
    <cellStyle name="60% - 强调文字颜色 6" xfId="5588"/>
    <cellStyle name="À‰" xfId="506"/>
    <cellStyle name="À‰ 2" xfId="507"/>
    <cellStyle name="À‰_DPE-2011-11-22" xfId="508"/>
    <cellStyle name="Accent1" xfId="6711" builtinId="29" customBuiltin="1"/>
    <cellStyle name="Accent1 1" xfId="510"/>
    <cellStyle name="Accent1 2" xfId="511"/>
    <cellStyle name="Accent1 2 2" xfId="512"/>
    <cellStyle name="Accent1 2 3" xfId="513"/>
    <cellStyle name="Accent1 3" xfId="514"/>
    <cellStyle name="Accent1 3 2" xfId="515"/>
    <cellStyle name="Accent1 3 3" xfId="516"/>
    <cellStyle name="Accent1 4" xfId="517"/>
    <cellStyle name="Accent1 4 2" xfId="518"/>
    <cellStyle name="Accent1 4 3" xfId="519"/>
    <cellStyle name="Accent1 5" xfId="520"/>
    <cellStyle name="Accent1 6" xfId="521"/>
    <cellStyle name="Accent1 7" xfId="522"/>
    <cellStyle name="Accent1 8" xfId="509"/>
    <cellStyle name="Accent2" xfId="6714" builtinId="33" customBuiltin="1"/>
    <cellStyle name="Accent2 1" xfId="524"/>
    <cellStyle name="Accent2 2" xfId="525"/>
    <cellStyle name="Accent2 2 2" xfId="526"/>
    <cellStyle name="Accent2 2 3" xfId="527"/>
    <cellStyle name="Accent2 3" xfId="528"/>
    <cellStyle name="Accent2 3 2" xfId="529"/>
    <cellStyle name="Accent2 3 3" xfId="530"/>
    <cellStyle name="Accent2 4" xfId="531"/>
    <cellStyle name="Accent2 4 2" xfId="532"/>
    <cellStyle name="Accent2 4 3" xfId="533"/>
    <cellStyle name="Accent2 5" xfId="534"/>
    <cellStyle name="Accent2 6" xfId="535"/>
    <cellStyle name="Accent2 7" xfId="536"/>
    <cellStyle name="Accent2 8" xfId="523"/>
    <cellStyle name="Accent3" xfId="6717" builtinId="37" customBuiltin="1"/>
    <cellStyle name="Accent3 1" xfId="538"/>
    <cellStyle name="Accent3 2" xfId="539"/>
    <cellStyle name="Accent3 2 2" xfId="540"/>
    <cellStyle name="Accent3 2 3" xfId="541"/>
    <cellStyle name="Accent3 3" xfId="542"/>
    <cellStyle name="Accent3 3 2" xfId="543"/>
    <cellStyle name="Accent3 3 3" xfId="544"/>
    <cellStyle name="Accent3 4" xfId="545"/>
    <cellStyle name="Accent3 4 2" xfId="546"/>
    <cellStyle name="Accent3 4 3" xfId="547"/>
    <cellStyle name="Accent3 5" xfId="548"/>
    <cellStyle name="Accent3 6" xfId="549"/>
    <cellStyle name="Accent3 7" xfId="550"/>
    <cellStyle name="Accent3 8" xfId="537"/>
    <cellStyle name="Accent4" xfId="6720" builtinId="41" customBuiltin="1"/>
    <cellStyle name="Accent4 1" xfId="552"/>
    <cellStyle name="Accent4 2" xfId="553"/>
    <cellStyle name="Accent4 2 2" xfId="554"/>
    <cellStyle name="Accent4 2 3" xfId="555"/>
    <cellStyle name="Accent4 3" xfId="556"/>
    <cellStyle name="Accent4 3 2" xfId="557"/>
    <cellStyle name="Accent4 3 3" xfId="558"/>
    <cellStyle name="Accent4 4" xfId="559"/>
    <cellStyle name="Accent4 4 2" xfId="560"/>
    <cellStyle name="Accent4 4 3" xfId="561"/>
    <cellStyle name="Accent4 5" xfId="562"/>
    <cellStyle name="Accent4 6" xfId="563"/>
    <cellStyle name="Accent4 7" xfId="564"/>
    <cellStyle name="Accent4 8" xfId="551"/>
    <cellStyle name="Accent5" xfId="6723" builtinId="45" customBuiltin="1"/>
    <cellStyle name="Accent5 1" xfId="566"/>
    <cellStyle name="Accent5 2" xfId="567"/>
    <cellStyle name="Accent5 2 2" xfId="568"/>
    <cellStyle name="Accent5 2 3" xfId="569"/>
    <cellStyle name="Accent5 3" xfId="570"/>
    <cellStyle name="Accent5 3 2" xfId="571"/>
    <cellStyle name="Accent5 3 3" xfId="572"/>
    <cellStyle name="Accent5 4" xfId="573"/>
    <cellStyle name="Accent5 4 2" xfId="574"/>
    <cellStyle name="Accent5 4 3" xfId="575"/>
    <cellStyle name="Accent5 5" xfId="576"/>
    <cellStyle name="Accent5 6" xfId="577"/>
    <cellStyle name="Accent5 7" xfId="578"/>
    <cellStyle name="Accent5 8" xfId="565"/>
    <cellStyle name="Accent6" xfId="6726" builtinId="49" customBuiltin="1"/>
    <cellStyle name="Accent6 1" xfId="580"/>
    <cellStyle name="Accent6 2" xfId="581"/>
    <cellStyle name="Accent6 2 2" xfId="582"/>
    <cellStyle name="Accent6 2 3" xfId="583"/>
    <cellStyle name="Accent6 3" xfId="584"/>
    <cellStyle name="Accent6 3 2" xfId="585"/>
    <cellStyle name="Accent6 3 3" xfId="586"/>
    <cellStyle name="Accent6 4" xfId="587"/>
    <cellStyle name="Accent6 4 2" xfId="588"/>
    <cellStyle name="Accent6 4 3" xfId="589"/>
    <cellStyle name="Accent6 5" xfId="590"/>
    <cellStyle name="Accent6 6" xfId="591"/>
    <cellStyle name="Accent6 7" xfId="592"/>
    <cellStyle name="Accent6 8" xfId="593"/>
    <cellStyle name="Accent6 8 2" xfId="9225"/>
    <cellStyle name="Accent6 9" xfId="579"/>
    <cellStyle name="args.style" xfId="594"/>
    <cellStyle name="art" xfId="5941"/>
    <cellStyle name="art1" xfId="5940"/>
    <cellStyle name="Bad" xfId="6702" builtinId="27" customBuiltin="1"/>
    <cellStyle name="Bad 1" xfId="596"/>
    <cellStyle name="Bad 2" xfId="597"/>
    <cellStyle name="Bad 2 2" xfId="598"/>
    <cellStyle name="Bad 2 3" xfId="599"/>
    <cellStyle name="Bad 3" xfId="600"/>
    <cellStyle name="Bad 3 2" xfId="601"/>
    <cellStyle name="Bad 3 3" xfId="602"/>
    <cellStyle name="Bad 4" xfId="603"/>
    <cellStyle name="Bad 4 2" xfId="604"/>
    <cellStyle name="Bad 4 3" xfId="605"/>
    <cellStyle name="Bad 5" xfId="606"/>
    <cellStyle name="Bad 6" xfId="607"/>
    <cellStyle name="Bad 7" xfId="608"/>
    <cellStyle name="Bad 8" xfId="595"/>
    <cellStyle name="Bom" xfId="609"/>
    <cellStyle name="Bom 2" xfId="610"/>
    <cellStyle name="Bom 3" xfId="611"/>
    <cellStyle name="Bom 4" xfId="612"/>
    <cellStyle name="Buena" xfId="613"/>
    <cellStyle name="Buena 2" xfId="5589"/>
    <cellStyle name="Buena 3" xfId="5590"/>
    <cellStyle name="Buena 4" xfId="5591"/>
    <cellStyle name="Buena 5" xfId="5592"/>
    <cellStyle name="Buena 6" xfId="5593"/>
    <cellStyle name="Buena 7" xfId="5594"/>
    <cellStyle name="Calc Units (2)" xfId="614"/>
    <cellStyle name="Calculated Column - IBM Cognos" xfId="6736"/>
    <cellStyle name="Calculated Column - IBM Cognos 2" xfId="12540"/>
    <cellStyle name="Calculated Column - IBM Cognos 3" xfId="12003"/>
    <cellStyle name="Calculated Column - IBM Cognos 4" xfId="9582"/>
    <cellStyle name="Calculated Column Name - IBM Cognos" xfId="6737"/>
    <cellStyle name="Calculated Column Name - IBM Cognos 2" xfId="12541"/>
    <cellStyle name="Calculated Column Name - IBM Cognos 3" xfId="11991"/>
    <cellStyle name="Calculated Column Name - IBM Cognos 4" xfId="9583"/>
    <cellStyle name="Calculated Row - IBM Cognos" xfId="6738"/>
    <cellStyle name="Calculated Row - IBM Cognos 2" xfId="12542"/>
    <cellStyle name="Calculated Row - IBM Cognos 3" xfId="11984"/>
    <cellStyle name="Calculated Row - IBM Cognos 4" xfId="9581"/>
    <cellStyle name="Calculated Row Name - IBM Cognos" xfId="6739"/>
    <cellStyle name="Calculated Row Name - IBM Cognos 2" xfId="12543"/>
    <cellStyle name="Calculated Row Name - IBM Cognos 3" xfId="11966"/>
    <cellStyle name="Calculated Row Name - IBM Cognos 4" xfId="12530"/>
    <cellStyle name="Calculation" xfId="6705" builtinId="22" customBuiltin="1"/>
    <cellStyle name="Calculation 1" xfId="616"/>
    <cellStyle name="Calculation 1 2" xfId="6037"/>
    <cellStyle name="Calculation 1 2 2" xfId="12021"/>
    <cellStyle name="Calculation 1 2 3" xfId="9573"/>
    <cellStyle name="Calculation 1 2 4" xfId="9723"/>
    <cellStyle name="Calculation 1 3" xfId="6543"/>
    <cellStyle name="Calculation 1 3 2" xfId="12449"/>
    <cellStyle name="Calculation 1 3 3" xfId="11818"/>
    <cellStyle name="Calculation 1 3 4" xfId="11366"/>
    <cellStyle name="Calculation 1 4" xfId="6862"/>
    <cellStyle name="Calculation 1 4 2" xfId="12610"/>
    <cellStyle name="Calculation 1 4 3" xfId="9492"/>
    <cellStyle name="Calculation 1 4 4" xfId="11510"/>
    <cellStyle name="Calculation 10" xfId="6030"/>
    <cellStyle name="Calculation 10 2" xfId="12015"/>
    <cellStyle name="Calculation 10 3" xfId="9578"/>
    <cellStyle name="Calculation 10 4" xfId="9719"/>
    <cellStyle name="Calculation 11" xfId="6542"/>
    <cellStyle name="Calculation 11 2" xfId="12448"/>
    <cellStyle name="Calculation 11 3" xfId="11819"/>
    <cellStyle name="Calculation 11 4" xfId="10751"/>
    <cellStyle name="Calculation 12" xfId="6861"/>
    <cellStyle name="Calculation 12 2" xfId="12609"/>
    <cellStyle name="Calculation 12 3" xfId="12528"/>
    <cellStyle name="Calculation 12 4" xfId="11509"/>
    <cellStyle name="Calculation 2" xfId="617"/>
    <cellStyle name="Calculation 2 2" xfId="618"/>
    <cellStyle name="Calculation 2 2 2" xfId="6032"/>
    <cellStyle name="Calculation 2 2 2 2" xfId="12017"/>
    <cellStyle name="Calculation 2 2 2 3" xfId="9576"/>
    <cellStyle name="Calculation 2 2 2 4" xfId="13473"/>
    <cellStyle name="Calculation 2 2 3" xfId="6545"/>
    <cellStyle name="Calculation 2 2 3 2" xfId="12451"/>
    <cellStyle name="Calculation 2 2 3 3" xfId="11816"/>
    <cellStyle name="Calculation 2 2 3 4" xfId="10753"/>
    <cellStyle name="Calculation 2 2 4" xfId="6864"/>
    <cellStyle name="Calculation 2 2 4 2" xfId="12612"/>
    <cellStyle name="Calculation 2 2 4 3" xfId="9510"/>
    <cellStyle name="Calculation 2 2 4 4" xfId="11512"/>
    <cellStyle name="Calculation 2 3" xfId="619"/>
    <cellStyle name="Calculation 2 3 2" xfId="6033"/>
    <cellStyle name="Calculation 2 3 2 2" xfId="12018"/>
    <cellStyle name="Calculation 2 3 2 3" xfId="9575"/>
    <cellStyle name="Calculation 2 3 2 4" xfId="13472"/>
    <cellStyle name="Calculation 2 3 3" xfId="6546"/>
    <cellStyle name="Calculation 2 3 3 2" xfId="12452"/>
    <cellStyle name="Calculation 2 3 3 3" xfId="9542"/>
    <cellStyle name="Calculation 2 3 3 4" xfId="10754"/>
    <cellStyle name="Calculation 2 3 4" xfId="6865"/>
    <cellStyle name="Calculation 2 3 4 2" xfId="12613"/>
    <cellStyle name="Calculation 2 3 4 3" xfId="9509"/>
    <cellStyle name="Calculation 2 3 4 4" xfId="11513"/>
    <cellStyle name="Calculation 2 4" xfId="6031"/>
    <cellStyle name="Calculation 2 4 2" xfId="12016"/>
    <cellStyle name="Calculation 2 4 3" xfId="9577"/>
    <cellStyle name="Calculation 2 4 4" xfId="9720"/>
    <cellStyle name="Calculation 2 5" xfId="6544"/>
    <cellStyle name="Calculation 2 5 2" xfId="12450"/>
    <cellStyle name="Calculation 2 5 3" xfId="11817"/>
    <cellStyle name="Calculation 2 5 4" xfId="10752"/>
    <cellStyle name="Calculation 2 6" xfId="6863"/>
    <cellStyle name="Calculation 2 6 2" xfId="12611"/>
    <cellStyle name="Calculation 2 6 3" xfId="9511"/>
    <cellStyle name="Calculation 2 6 4" xfId="11511"/>
    <cellStyle name="Calculation 3" xfId="620"/>
    <cellStyle name="Calculation 3 2" xfId="621"/>
    <cellStyle name="Calculation 3 2 2" xfId="6035"/>
    <cellStyle name="Calculation 3 2 2 2" xfId="12020"/>
    <cellStyle name="Calculation 3 2 2 3" xfId="9569"/>
    <cellStyle name="Calculation 3 2 2 4" xfId="13474"/>
    <cellStyle name="Calculation 3 2 3" xfId="6548"/>
    <cellStyle name="Calculation 3 2 3 2" xfId="12454"/>
    <cellStyle name="Calculation 3 2 3 3" xfId="11815"/>
    <cellStyle name="Calculation 3 2 3 4" xfId="10756"/>
    <cellStyle name="Calculation 3 2 4" xfId="6867"/>
    <cellStyle name="Calculation 3 2 4 2" xfId="12615"/>
    <cellStyle name="Calculation 3 2 4 3" xfId="9507"/>
    <cellStyle name="Calculation 3 2 4 4" xfId="11515"/>
    <cellStyle name="Calculation 3 3" xfId="622"/>
    <cellStyle name="Calculation 3 3 2" xfId="6084"/>
    <cellStyle name="Calculation 3 3 2 2" xfId="12058"/>
    <cellStyle name="Calculation 3 3 2 3" xfId="11824"/>
    <cellStyle name="Calculation 3 3 2 4" xfId="11425"/>
    <cellStyle name="Calculation 3 3 3" xfId="6549"/>
    <cellStyle name="Calculation 3 3 3 2" xfId="12455"/>
    <cellStyle name="Calculation 3 3 3 3" xfId="11814"/>
    <cellStyle name="Calculation 3 3 3 4" xfId="10757"/>
    <cellStyle name="Calculation 3 3 4" xfId="6868"/>
    <cellStyle name="Calculation 3 3 4 2" xfId="12616"/>
    <cellStyle name="Calculation 3 3 4 3" xfId="9506"/>
    <cellStyle name="Calculation 3 3 4 4" xfId="11516"/>
    <cellStyle name="Calculation 3 4" xfId="6034"/>
    <cellStyle name="Calculation 3 4 2" xfId="12019"/>
    <cellStyle name="Calculation 3 4 3" xfId="12537"/>
    <cellStyle name="Calculation 3 4 4" xfId="9721"/>
    <cellStyle name="Calculation 3 5" xfId="6547"/>
    <cellStyle name="Calculation 3 5 2" xfId="12453"/>
    <cellStyle name="Calculation 3 5 3" xfId="9541"/>
    <cellStyle name="Calculation 3 5 4" xfId="10755"/>
    <cellStyle name="Calculation 3 6" xfId="6866"/>
    <cellStyle name="Calculation 3 6 2" xfId="12614"/>
    <cellStyle name="Calculation 3 6 3" xfId="9508"/>
    <cellStyle name="Calculation 3 6 4" xfId="11514"/>
    <cellStyle name="Calculation 4" xfId="623"/>
    <cellStyle name="Calculation 4 2" xfId="624"/>
    <cellStyle name="Calculation 4 2 2" xfId="6051"/>
    <cellStyle name="Calculation 4 2 2 2" xfId="12028"/>
    <cellStyle name="Calculation 4 2 2 3" xfId="9568"/>
    <cellStyle name="Calculation 4 2 2 4" xfId="11420"/>
    <cellStyle name="Calculation 4 2 3" xfId="6551"/>
    <cellStyle name="Calculation 4 2 3 2" xfId="12457"/>
    <cellStyle name="Calculation 4 2 3 3" xfId="11812"/>
    <cellStyle name="Calculation 4 2 3 4" xfId="10759"/>
    <cellStyle name="Calculation 4 2 4" xfId="6870"/>
    <cellStyle name="Calculation 4 2 4 2" xfId="12618"/>
    <cellStyle name="Calculation 4 2 4 3" xfId="9504"/>
    <cellStyle name="Calculation 4 2 4 4" xfId="13727"/>
    <cellStyle name="Calculation 4 3" xfId="625"/>
    <cellStyle name="Calculation 4 3 2" xfId="6052"/>
    <cellStyle name="Calculation 4 3 2 2" xfId="12029"/>
    <cellStyle name="Calculation 4 3 2 3" xfId="9567"/>
    <cellStyle name="Calculation 4 3 2 4" xfId="10680"/>
    <cellStyle name="Calculation 4 3 3" xfId="6552"/>
    <cellStyle name="Calculation 4 3 3 2" xfId="12458"/>
    <cellStyle name="Calculation 4 3 3 3" xfId="11811"/>
    <cellStyle name="Calculation 4 3 3 4" xfId="10760"/>
    <cellStyle name="Calculation 4 3 4" xfId="6871"/>
    <cellStyle name="Calculation 4 3 4 2" xfId="12619"/>
    <cellStyle name="Calculation 4 3 4 3" xfId="9503"/>
    <cellStyle name="Calculation 4 3 4 4" xfId="13671"/>
    <cellStyle name="Calculation 4 4" xfId="6080"/>
    <cellStyle name="Calculation 4 4 2" xfId="12056"/>
    <cellStyle name="Calculation 4 4 3" xfId="11826"/>
    <cellStyle name="Calculation 4 4 4" xfId="11423"/>
    <cellStyle name="Calculation 4 5" xfId="6550"/>
    <cellStyle name="Calculation 4 5 2" xfId="12456"/>
    <cellStyle name="Calculation 4 5 3" xfId="11813"/>
    <cellStyle name="Calculation 4 5 4" xfId="10758"/>
    <cellStyle name="Calculation 4 6" xfId="6869"/>
    <cellStyle name="Calculation 4 6 2" xfId="12617"/>
    <cellStyle name="Calculation 4 6 3" xfId="9505"/>
    <cellStyle name="Calculation 4 6 4" xfId="11517"/>
    <cellStyle name="Calculation 5" xfId="626"/>
    <cellStyle name="Calculation 5 2" xfId="6077"/>
    <cellStyle name="Calculation 5 2 2" xfId="12054"/>
    <cellStyle name="Calculation 5 2 3" xfId="9545"/>
    <cellStyle name="Calculation 5 2 4" xfId="10700"/>
    <cellStyle name="Calculation 5 3" xfId="6553"/>
    <cellStyle name="Calculation 5 3 2" xfId="12459"/>
    <cellStyle name="Calculation 5 3 3" xfId="11810"/>
    <cellStyle name="Calculation 5 3 4" xfId="10761"/>
    <cellStyle name="Calculation 5 4" xfId="6872"/>
    <cellStyle name="Calculation 5 4 2" xfId="12620"/>
    <cellStyle name="Calculation 5 4 3" xfId="9502"/>
    <cellStyle name="Calculation 5 4 4" xfId="11518"/>
    <cellStyle name="Calculation 6" xfId="627"/>
    <cellStyle name="Calculation 6 2" xfId="6053"/>
    <cellStyle name="Calculation 6 2 2" xfId="12030"/>
    <cellStyle name="Calculation 6 2 3" xfId="9566"/>
    <cellStyle name="Calculation 6 2 4" xfId="10681"/>
    <cellStyle name="Calculation 6 3" xfId="6554"/>
    <cellStyle name="Calculation 6 3 2" xfId="12460"/>
    <cellStyle name="Calculation 6 3 3" xfId="11809"/>
    <cellStyle name="Calculation 6 3 4" xfId="10762"/>
    <cellStyle name="Calculation 6 4" xfId="6873"/>
    <cellStyle name="Calculation 6 4 2" xfId="12621"/>
    <cellStyle name="Calculation 6 4 3" xfId="9501"/>
    <cellStyle name="Calculation 6 4 4" xfId="11519"/>
    <cellStyle name="Calculation 7" xfId="628"/>
    <cellStyle name="Calculation 7 2" xfId="6078"/>
    <cellStyle name="Calculation 7 2 2" xfId="12055"/>
    <cellStyle name="Calculation 7 2 3" xfId="9544"/>
    <cellStyle name="Calculation 7 2 4" xfId="10701"/>
    <cellStyle name="Calculation 7 3" xfId="6555"/>
    <cellStyle name="Calculation 7 3 2" xfId="12461"/>
    <cellStyle name="Calculation 7 3 3" xfId="11808"/>
    <cellStyle name="Calculation 7 3 4" xfId="10763"/>
    <cellStyle name="Calculation 7 4" xfId="6874"/>
    <cellStyle name="Calculation 7 4 2" xfId="12622"/>
    <cellStyle name="Calculation 7 4 3" xfId="9500"/>
    <cellStyle name="Calculation 7 4 4" xfId="11520"/>
    <cellStyle name="Calculation 8" xfId="629"/>
    <cellStyle name="Calculation 8 2" xfId="9226"/>
    <cellStyle name="Calculation 9" xfId="615"/>
    <cellStyle name="Calculation 9 2" xfId="9600"/>
    <cellStyle name="Calculation 9 3" xfId="11412"/>
    <cellStyle name="Calculation 9 4" xfId="13413"/>
    <cellStyle name="Cálculo" xfId="5595"/>
    <cellStyle name="Cálculo 10" xfId="11413"/>
    <cellStyle name="Cálculo 2" xfId="630"/>
    <cellStyle name="Cálculo 2 2" xfId="5596"/>
    <cellStyle name="Cálculo 2 2 2" xfId="11842"/>
    <cellStyle name="Cálculo 2 2 3" xfId="10678"/>
    <cellStyle name="Cálculo 2 2 4" xfId="11414"/>
    <cellStyle name="Cálculo 2 3" xfId="6054"/>
    <cellStyle name="Cálculo 2 3 2" xfId="12031"/>
    <cellStyle name="Cálculo 2 3 3" xfId="9565"/>
    <cellStyle name="Cálculo 2 3 4" xfId="10682"/>
    <cellStyle name="Cálculo 2 4" xfId="6556"/>
    <cellStyle name="Cálculo 2 4 2" xfId="12462"/>
    <cellStyle name="Cálculo 2 4 3" xfId="11807"/>
    <cellStyle name="Cálculo 2 4 4" xfId="10764"/>
    <cellStyle name="Cálculo 2 5" xfId="6875"/>
    <cellStyle name="Cálculo 2 5 2" xfId="12623"/>
    <cellStyle name="Cálculo 2 5 3" xfId="9499"/>
    <cellStyle name="Cálculo 2 5 4" xfId="9866"/>
    <cellStyle name="Cálculo 3" xfId="631"/>
    <cellStyle name="Cálculo 3 2" xfId="5597"/>
    <cellStyle name="Cálculo 3 2 2" xfId="11843"/>
    <cellStyle name="Cálculo 3 2 3" xfId="10677"/>
    <cellStyle name="Cálculo 3 2 4" xfId="11415"/>
    <cellStyle name="Cálculo 3 3" xfId="6055"/>
    <cellStyle name="Cálculo 3 3 2" xfId="12032"/>
    <cellStyle name="Cálculo 3 3 3" xfId="9564"/>
    <cellStyle name="Cálculo 3 3 4" xfId="10683"/>
    <cellStyle name="Cálculo 3 4" xfId="6557"/>
    <cellStyle name="Cálculo 3 4 2" xfId="12463"/>
    <cellStyle name="Cálculo 3 4 3" xfId="11806"/>
    <cellStyle name="Cálculo 3 4 4" xfId="10765"/>
    <cellStyle name="Cálculo 3 5" xfId="6876"/>
    <cellStyle name="Cálculo 3 5 2" xfId="12624"/>
    <cellStyle name="Cálculo 3 5 3" xfId="9498"/>
    <cellStyle name="Cálculo 3 5 4" xfId="11521"/>
    <cellStyle name="Cálculo 4" xfId="632"/>
    <cellStyle name="Cálculo 4 2" xfId="5598"/>
    <cellStyle name="Cálculo 4 2 2" xfId="11844"/>
    <cellStyle name="Cálculo 4 2 3" xfId="10676"/>
    <cellStyle name="Cálculo 4 2 4" xfId="11416"/>
    <cellStyle name="Cálculo 4 3" xfId="6056"/>
    <cellStyle name="Cálculo 4 3 2" xfId="12033"/>
    <cellStyle name="Cálculo 4 3 3" xfId="9563"/>
    <cellStyle name="Cálculo 4 3 4" xfId="10684"/>
    <cellStyle name="Cálculo 4 4" xfId="6558"/>
    <cellStyle name="Cálculo 4 4 2" xfId="12464"/>
    <cellStyle name="Cálculo 4 4 3" xfId="11805"/>
    <cellStyle name="Cálculo 4 4 4" xfId="10766"/>
    <cellStyle name="Cálculo 4 5" xfId="6877"/>
    <cellStyle name="Cálculo 4 5 2" xfId="12625"/>
    <cellStyle name="Cálculo 4 5 3" xfId="9497"/>
    <cellStyle name="Cálculo 4 5 4" xfId="11522"/>
    <cellStyle name="Cálculo 5" xfId="5599"/>
    <cellStyle name="Cálculo 5 2" xfId="11845"/>
    <cellStyle name="Cálculo 5 3" xfId="10675"/>
    <cellStyle name="Cálculo 5 4" xfId="11417"/>
    <cellStyle name="Cálculo 6" xfId="5600"/>
    <cellStyle name="Cálculo 6 2" xfId="11846"/>
    <cellStyle name="Cálculo 6 3" xfId="10674"/>
    <cellStyle name="Cálculo 6 4" xfId="11418"/>
    <cellStyle name="Cálculo 7" xfId="5601"/>
    <cellStyle name="Cálculo 7 2" xfId="11847"/>
    <cellStyle name="Cálculo 7 3" xfId="10673"/>
    <cellStyle name="Cálculo 7 4" xfId="11419"/>
    <cellStyle name="Cálculo 8" xfId="11841"/>
    <cellStyle name="Cálculo 9" xfId="10679"/>
    <cellStyle name="Celda de comprobación" xfId="633"/>
    <cellStyle name="Celda de comprobación 2" xfId="5602"/>
    <cellStyle name="Celda de comprobación 3" xfId="5603"/>
    <cellStyle name="Celda de comprobación 4" xfId="5604"/>
    <cellStyle name="Celda de comprobación 5" xfId="5605"/>
    <cellStyle name="Celda de comprobación 6" xfId="5606"/>
    <cellStyle name="Celda de comprobación 7" xfId="5607"/>
    <cellStyle name="Celda vinculada" xfId="634"/>
    <cellStyle name="Celda vinculada 2" xfId="5608"/>
    <cellStyle name="Celda vinculada 3" xfId="5609"/>
    <cellStyle name="Celda vinculada 4" xfId="5610"/>
    <cellStyle name="Celda vinculada 5" xfId="5611"/>
    <cellStyle name="Celda vinculada 6" xfId="5612"/>
    <cellStyle name="Celda vinculada 7" xfId="5613"/>
    <cellStyle name="Célula de Verificação" xfId="635"/>
    <cellStyle name="Célula de Verificação 2" xfId="636"/>
    <cellStyle name="Célula de Verificação 3" xfId="637"/>
    <cellStyle name="Célula de Verificação 4" xfId="638"/>
    <cellStyle name="Célula Vinculada" xfId="639"/>
    <cellStyle name="Célula Vinculada 2" xfId="640"/>
    <cellStyle name="Célula Vinculada 3" xfId="641"/>
    <cellStyle name="Célula Vinculada 4" xfId="642"/>
    <cellStyle name="Check Cell" xfId="6707" builtinId="23" customBuiltin="1"/>
    <cellStyle name="Check Cell 1" xfId="643"/>
    <cellStyle name="Check Cell 2" xfId="644"/>
    <cellStyle name="Check Cell 2 2" xfId="645"/>
    <cellStyle name="Check Cell 2 3" xfId="646"/>
    <cellStyle name="Check Cell 3" xfId="647"/>
    <cellStyle name="Check Cell 3 2" xfId="648"/>
    <cellStyle name="Check Cell 3 3" xfId="649"/>
    <cellStyle name="Check Cell 4" xfId="650"/>
    <cellStyle name="Check Cell 4 2" xfId="651"/>
    <cellStyle name="Check Cell 4 3" xfId="652"/>
    <cellStyle name="Check Cell 5" xfId="653"/>
    <cellStyle name="Check Cell 6" xfId="654"/>
    <cellStyle name="Check Cell 7" xfId="655"/>
    <cellStyle name="Check Cell 8" xfId="656"/>
    <cellStyle name="Check Cell 8 2" xfId="9227"/>
    <cellStyle name="Column Name - IBM Cognos" xfId="6740"/>
    <cellStyle name="Column Name - IBM Cognos 2" xfId="12544"/>
    <cellStyle name="Column Name - IBM Cognos 3" xfId="11758"/>
    <cellStyle name="Column Name - IBM Cognos 4" xfId="9585"/>
    <cellStyle name="Column Template - IBM Cognos" xfId="6741"/>
    <cellStyle name="Column Template - IBM Cognos 2" xfId="12545"/>
    <cellStyle name="Column Template - IBM Cognos 3" xfId="9530"/>
    <cellStyle name="Column Template - IBM Cognos 4" xfId="9586"/>
    <cellStyle name="Comma  - Style1" xfId="5614"/>
    <cellStyle name="Comma  - Style2" xfId="5615"/>
    <cellStyle name="Comma  - Style3" xfId="5616"/>
    <cellStyle name="Comma  - Style4" xfId="5617"/>
    <cellStyle name="Comma  - Style5" xfId="5618"/>
    <cellStyle name="Comma  - Style6" xfId="5619"/>
    <cellStyle name="Comma  - Style7" xfId="5620"/>
    <cellStyle name="Comma  - Style8" xfId="5621"/>
    <cellStyle name="Comma [0] 2" xfId="5622"/>
    <cellStyle name="Comma [0] 2 2" xfId="6743"/>
    <cellStyle name="Comma [00]" xfId="658"/>
    <cellStyle name="Comma 10" xfId="5709"/>
    <cellStyle name="Comma 10 2" xfId="6745"/>
    <cellStyle name="Comma 10 3" xfId="6744"/>
    <cellStyle name="Comma 11" xfId="5866"/>
    <cellStyle name="Comma 11 2" xfId="6747"/>
    <cellStyle name="Comma 11 3" xfId="6746"/>
    <cellStyle name="Comma 12" xfId="5913"/>
    <cellStyle name="Comma 12 2" xfId="6749"/>
    <cellStyle name="Comma 12 3" xfId="6748"/>
    <cellStyle name="Comma 13" xfId="5933"/>
    <cellStyle name="Comma 13 2" xfId="6750"/>
    <cellStyle name="Comma 14" xfId="5973"/>
    <cellStyle name="Comma 14 2" xfId="6751"/>
    <cellStyle name="Comma 15" xfId="5995"/>
    <cellStyle name="Comma 15 2" xfId="6752"/>
    <cellStyle name="Comma 16" xfId="6025"/>
    <cellStyle name="Comma 16 2" xfId="6742"/>
    <cellStyle name="Comma 17" xfId="6038"/>
    <cellStyle name="Comma 18" xfId="6519"/>
    <cellStyle name="Comma 19" xfId="6526"/>
    <cellStyle name="Comma 2" xfId="659"/>
    <cellStyle name="Comma 2 2" xfId="660"/>
    <cellStyle name="Comma 2 2 2" xfId="5624"/>
    <cellStyle name="Comma 2 2 3" xfId="5938"/>
    <cellStyle name="Comma 2 2 4" xfId="6754"/>
    <cellStyle name="Comma 2 3" xfId="661"/>
    <cellStyle name="Comma 2 4" xfId="662"/>
    <cellStyle name="Comma 2 5" xfId="5623"/>
    <cellStyle name="Comma 2 6" xfId="5939"/>
    <cellStyle name="Comma 2 7" xfId="6753"/>
    <cellStyle name="Comma 20" xfId="6559"/>
    <cellStyle name="Comma 21" xfId="6690"/>
    <cellStyle name="Comma 22" xfId="6691"/>
    <cellStyle name="Comma 23" xfId="6692"/>
    <cellStyle name="Comma 24" xfId="6693"/>
    <cellStyle name="Comma 25" xfId="6694"/>
    <cellStyle name="Comma 26" xfId="6695"/>
    <cellStyle name="Comma 27" xfId="6696"/>
    <cellStyle name="Comma 28" xfId="6846"/>
    <cellStyle name="Comma 29" xfId="6847"/>
    <cellStyle name="Comma 3" xfId="663"/>
    <cellStyle name="Comma 3 2" xfId="664"/>
    <cellStyle name="Comma 3 2 2" xfId="5626"/>
    <cellStyle name="Comma 3 2 3" xfId="6880"/>
    <cellStyle name="Comma 3 2 4" xfId="9230"/>
    <cellStyle name="Comma 3 2 5" xfId="9358"/>
    <cellStyle name="Comma 3 3" xfId="5625"/>
    <cellStyle name="Comma 3 4" xfId="5937"/>
    <cellStyle name="Comma 3 5" xfId="6879"/>
    <cellStyle name="Comma 3 6" xfId="9229"/>
    <cellStyle name="Comma 3 7" xfId="9357"/>
    <cellStyle name="Comma 30" xfId="6878"/>
    <cellStyle name="Comma 31" xfId="6932"/>
    <cellStyle name="Comma 32" xfId="7505"/>
    <cellStyle name="Comma 33" xfId="7662"/>
    <cellStyle name="Comma 34" xfId="7660"/>
    <cellStyle name="Comma 35" xfId="9228"/>
    <cellStyle name="Comma 36" xfId="9356"/>
    <cellStyle name="Comma 4" xfId="665"/>
    <cellStyle name="Comma 4 2" xfId="666"/>
    <cellStyle name="Comma 4 2 2" xfId="5628"/>
    <cellStyle name="Comma 4 2 3" xfId="6882"/>
    <cellStyle name="Comma 4 2 4" xfId="9232"/>
    <cellStyle name="Comma 4 2 5" xfId="9360"/>
    <cellStyle name="Comma 4 3" xfId="5627"/>
    <cellStyle name="Comma 4 4" xfId="6755"/>
    <cellStyle name="Comma 4 5" xfId="6881"/>
    <cellStyle name="Comma 4 6" xfId="9231"/>
    <cellStyle name="Comma 4 7" xfId="9359"/>
    <cellStyle name="Comma 5" xfId="667"/>
    <cellStyle name="Comma 5 2" xfId="6757"/>
    <cellStyle name="Comma 5 3" xfId="6756"/>
    <cellStyle name="Comma 5 4" xfId="6883"/>
    <cellStyle name="Comma 5 5" xfId="9233"/>
    <cellStyle name="Comma 5 6" xfId="9361"/>
    <cellStyle name="Comma 6" xfId="668"/>
    <cellStyle name="Comma 6 2" xfId="6759"/>
    <cellStyle name="Comma 6 3" xfId="6758"/>
    <cellStyle name="Comma 6 4" xfId="6884"/>
    <cellStyle name="Comma 6 5" xfId="9234"/>
    <cellStyle name="Comma 6 6" xfId="9362"/>
    <cellStyle name="Comma 7" xfId="669"/>
    <cellStyle name="Comma 7 2" xfId="6761"/>
    <cellStyle name="Comma 7 3" xfId="6760"/>
    <cellStyle name="Comma 7 4" xfId="6885"/>
    <cellStyle name="Comma 7 5" xfId="9235"/>
    <cellStyle name="Comma 7 6" xfId="9363"/>
    <cellStyle name="Comma 8" xfId="670"/>
    <cellStyle name="Comma 8 2" xfId="6763"/>
    <cellStyle name="Comma 8 3" xfId="6762"/>
    <cellStyle name="Comma 9" xfId="657"/>
    <cellStyle name="Comma 9 2" xfId="6764"/>
    <cellStyle name="Currency [0] 2" xfId="5629"/>
    <cellStyle name="Currency [0] 2 2" xfId="6765"/>
    <cellStyle name="Currency [00]" xfId="671"/>
    <cellStyle name="Currency 10" xfId="6527"/>
    <cellStyle name="Currency 2" xfId="672"/>
    <cellStyle name="Currency 2 2" xfId="673"/>
    <cellStyle name="Currency 2 2 2" xfId="674"/>
    <cellStyle name="Currency 2 2 3" xfId="6767"/>
    <cellStyle name="Currency 2 3" xfId="675"/>
    <cellStyle name="Currency 2 4" xfId="676"/>
    <cellStyle name="Currency 2 5" xfId="6766"/>
    <cellStyle name="Currency 3" xfId="677"/>
    <cellStyle name="Currency 3 10" xfId="678"/>
    <cellStyle name="Currency 3 10 2" xfId="679"/>
    <cellStyle name="Currency 3 11" xfId="680"/>
    <cellStyle name="Currency 3 11 2" xfId="681"/>
    <cellStyle name="Currency 3 12" xfId="682"/>
    <cellStyle name="Currency 3 12 2" xfId="683"/>
    <cellStyle name="Currency 3 13" xfId="684"/>
    <cellStyle name="Currency 3 13 2" xfId="685"/>
    <cellStyle name="Currency 3 14" xfId="686"/>
    <cellStyle name="Currency 3 14 2" xfId="687"/>
    <cellStyle name="Currency 3 15" xfId="688"/>
    <cellStyle name="Currency 3 15 2" xfId="689"/>
    <cellStyle name="Currency 3 16" xfId="690"/>
    <cellStyle name="Currency 3 16 2" xfId="691"/>
    <cellStyle name="Currency 3 17" xfId="692"/>
    <cellStyle name="Currency 3 18" xfId="693"/>
    <cellStyle name="Currency 3 19" xfId="6768"/>
    <cellStyle name="Currency 3 2" xfId="694"/>
    <cellStyle name="Currency 3 3" xfId="695"/>
    <cellStyle name="Currency 3 3 2" xfId="696"/>
    <cellStyle name="Currency 3 4" xfId="697"/>
    <cellStyle name="Currency 3 4 2" xfId="698"/>
    <cellStyle name="Currency 3 5" xfId="699"/>
    <cellStyle name="Currency 3 5 2" xfId="700"/>
    <cellStyle name="Currency 3 6" xfId="701"/>
    <cellStyle name="Currency 3 6 2" xfId="702"/>
    <cellStyle name="Currency 3 7" xfId="703"/>
    <cellStyle name="Currency 3 7 2" xfId="704"/>
    <cellStyle name="Currency 3 8" xfId="705"/>
    <cellStyle name="Currency 3 8 2" xfId="706"/>
    <cellStyle name="Currency 3 9" xfId="707"/>
    <cellStyle name="Currency 3 9 2" xfId="708"/>
    <cellStyle name="Currency 4" xfId="709"/>
    <cellStyle name="Currency 4 2" xfId="710"/>
    <cellStyle name="Currency 4 2 2" xfId="6770"/>
    <cellStyle name="Currency 4 3" xfId="6769"/>
    <cellStyle name="Currency 5" xfId="711"/>
    <cellStyle name="Currency 5 2" xfId="6772"/>
    <cellStyle name="Currency 5 3" xfId="6771"/>
    <cellStyle name="Currency 6" xfId="5729"/>
    <cellStyle name="Currency 6 2" xfId="6774"/>
    <cellStyle name="Currency 6 3" xfId="6773"/>
    <cellStyle name="Currency 7" xfId="5868"/>
    <cellStyle name="Currency 7 2" xfId="6776"/>
    <cellStyle name="Currency 7 3" xfId="6777"/>
    <cellStyle name="Currency 7 4" xfId="6775"/>
    <cellStyle name="Currency 8" xfId="5914"/>
    <cellStyle name="Currency 8 2" xfId="6778"/>
    <cellStyle name="Currency 9" xfId="6520"/>
    <cellStyle name="Currency 9 2" xfId="6779"/>
    <cellStyle name="custom" xfId="712"/>
    <cellStyle name="Date" xfId="713"/>
    <cellStyle name="Date Short" xfId="714"/>
    <cellStyle name="Differs From Base - IBM Cognos" xfId="6780"/>
    <cellStyle name="Differs From Base - IBM Cognos 2" xfId="12546"/>
    <cellStyle name="Differs From Base - IBM Cognos 3" xfId="9529"/>
    <cellStyle name="Differs From Base - IBM Cognos 4" xfId="11491"/>
    <cellStyle name="Encabezado 1" xfId="5630"/>
    <cellStyle name="Encabezado 4" xfId="715"/>
    <cellStyle name="Encabezado 4 2" xfId="5631"/>
    <cellStyle name="Encabezado 4 3" xfId="5632"/>
    <cellStyle name="Encabezado 4 4" xfId="5633"/>
    <cellStyle name="Encabezado 4 5" xfId="5634"/>
    <cellStyle name="Encabezado 4 6" xfId="5635"/>
    <cellStyle name="Encabezado 4 7" xfId="5636"/>
    <cellStyle name="Ênfase1 2" xfId="716"/>
    <cellStyle name="Ênfase1 3" xfId="717"/>
    <cellStyle name="Ênfase1 4" xfId="718"/>
    <cellStyle name="Ênfase2 2" xfId="719"/>
    <cellStyle name="Ênfase2 3" xfId="720"/>
    <cellStyle name="Ênfase2 4" xfId="721"/>
    <cellStyle name="Ênfase3 2" xfId="722"/>
    <cellStyle name="Ênfase3 3" xfId="723"/>
    <cellStyle name="Ênfase3 4" xfId="724"/>
    <cellStyle name="Ênfase4 2" xfId="725"/>
    <cellStyle name="Ênfase4 3" xfId="726"/>
    <cellStyle name="Ênfase4 4" xfId="727"/>
    <cellStyle name="Ênfase5 2" xfId="728"/>
    <cellStyle name="Ênfase5 3" xfId="729"/>
    <cellStyle name="Ênfase5 4" xfId="730"/>
    <cellStyle name="Ênfase6 2" xfId="731"/>
    <cellStyle name="Ênfase6 3" xfId="732"/>
    <cellStyle name="Ênfase6 4" xfId="733"/>
    <cellStyle name="Énfasis1" xfId="734"/>
    <cellStyle name="Énfasis1 2" xfId="5637"/>
    <cellStyle name="Énfasis1 3" xfId="5638"/>
    <cellStyle name="Énfasis1 4" xfId="5639"/>
    <cellStyle name="Énfasis1 5" xfId="5640"/>
    <cellStyle name="Énfasis1 6" xfId="5641"/>
    <cellStyle name="Énfasis1 7" xfId="5642"/>
    <cellStyle name="Énfasis2" xfId="735"/>
    <cellStyle name="Énfasis2 2" xfId="5643"/>
    <cellStyle name="Énfasis2 3" xfId="5644"/>
    <cellStyle name="Énfasis2 4" xfId="5645"/>
    <cellStyle name="Énfasis2 5" xfId="5646"/>
    <cellStyle name="Énfasis2 6" xfId="5647"/>
    <cellStyle name="Énfasis2 7" xfId="5648"/>
    <cellStyle name="Énfasis3" xfId="736"/>
    <cellStyle name="Énfasis3 2" xfId="5649"/>
    <cellStyle name="Énfasis3 3" xfId="5650"/>
    <cellStyle name="Énfasis3 4" xfId="5651"/>
    <cellStyle name="Énfasis3 5" xfId="5652"/>
    <cellStyle name="Énfasis3 6" xfId="5653"/>
    <cellStyle name="Énfasis3 7" xfId="5654"/>
    <cellStyle name="Énfasis4" xfId="737"/>
    <cellStyle name="Énfasis4 2" xfId="5655"/>
    <cellStyle name="Énfasis4 3" xfId="5656"/>
    <cellStyle name="Énfasis4 4" xfId="5657"/>
    <cellStyle name="Énfasis4 5" xfId="5658"/>
    <cellStyle name="Énfasis4 6" xfId="5659"/>
    <cellStyle name="Énfasis4 7" xfId="5660"/>
    <cellStyle name="Énfasis5" xfId="738"/>
    <cellStyle name="Énfasis5 2" xfId="5661"/>
    <cellStyle name="Énfasis5 3" xfId="5662"/>
    <cellStyle name="Énfasis5 4" xfId="5663"/>
    <cellStyle name="Énfasis5 5" xfId="5664"/>
    <cellStyle name="Énfasis5 6" xfId="5665"/>
    <cellStyle name="Énfasis5 7" xfId="5666"/>
    <cellStyle name="Énfasis6" xfId="739"/>
    <cellStyle name="Énfasis6 2" xfId="5667"/>
    <cellStyle name="Énfasis6 3" xfId="5668"/>
    <cellStyle name="Énfasis6 4" xfId="5669"/>
    <cellStyle name="Énfasis6 5" xfId="5670"/>
    <cellStyle name="Énfasis6 6" xfId="5671"/>
    <cellStyle name="Énfasis6 7" xfId="5672"/>
    <cellStyle name="Enter Currency (0)" xfId="740"/>
    <cellStyle name="Enter Currency (2)" xfId="741"/>
    <cellStyle name="Enter Units (0)" xfId="742"/>
    <cellStyle name="Enter Units (1)" xfId="743"/>
    <cellStyle name="Enter Units (2)" xfId="744"/>
    <cellStyle name="Entrada" xfId="745"/>
    <cellStyle name="Entrada 10" xfId="6886"/>
    <cellStyle name="Entrada 10 2" xfId="12626"/>
    <cellStyle name="Entrada 10 3" xfId="9496"/>
    <cellStyle name="Entrada 10 4" xfId="10628"/>
    <cellStyle name="Entrada 2" xfId="746"/>
    <cellStyle name="Entrada 2 2" xfId="5673"/>
    <cellStyle name="Entrada 2 2 2" xfId="11860"/>
    <cellStyle name="Entrada 2 2 3" xfId="10672"/>
    <cellStyle name="Entrada 2 2 4" xfId="12519"/>
    <cellStyle name="Entrada 2 3" xfId="6058"/>
    <cellStyle name="Entrada 2 3 2" xfId="12035"/>
    <cellStyle name="Entrada 2 3 3" xfId="9561"/>
    <cellStyle name="Entrada 2 3 4" xfId="11421"/>
    <cellStyle name="Entrada 2 4" xfId="6561"/>
    <cellStyle name="Entrada 2 4 2" xfId="12466"/>
    <cellStyle name="Entrada 2 4 3" xfId="11803"/>
    <cellStyle name="Entrada 2 4 4" xfId="10768"/>
    <cellStyle name="Entrada 2 5" xfId="6887"/>
    <cellStyle name="Entrada 2 5 2" xfId="12627"/>
    <cellStyle name="Entrada 2 5 3" xfId="12607"/>
    <cellStyle name="Entrada 2 5 4" xfId="10632"/>
    <cellStyle name="Entrada 3" xfId="747"/>
    <cellStyle name="Entrada 3 2" xfId="5674"/>
    <cellStyle name="Entrada 3 2 2" xfId="11861"/>
    <cellStyle name="Entrada 3 2 3" xfId="10671"/>
    <cellStyle name="Entrada 3 2 4" xfId="12518"/>
    <cellStyle name="Entrada 3 3" xfId="6059"/>
    <cellStyle name="Entrada 3 3 2" xfId="12036"/>
    <cellStyle name="Entrada 3 3 3" xfId="9560"/>
    <cellStyle name="Entrada 3 3 4" xfId="10686"/>
    <cellStyle name="Entrada 3 4" xfId="6562"/>
    <cellStyle name="Entrada 3 4 2" xfId="12467"/>
    <cellStyle name="Entrada 3 4 3" xfId="11802"/>
    <cellStyle name="Entrada 3 4 4" xfId="10769"/>
    <cellStyle name="Entrada 3 5" xfId="6888"/>
    <cellStyle name="Entrada 3 5 2" xfId="12628"/>
    <cellStyle name="Entrada 3 5 3" xfId="12446"/>
    <cellStyle name="Entrada 3 5 4" xfId="9587"/>
    <cellStyle name="Entrada 4" xfId="748"/>
    <cellStyle name="Entrada 4 2" xfId="5675"/>
    <cellStyle name="Entrada 4 2 2" xfId="11862"/>
    <cellStyle name="Entrada 4 2 3" xfId="10670"/>
    <cellStyle name="Entrada 4 2 4" xfId="13096"/>
    <cellStyle name="Entrada 4 3" xfId="6060"/>
    <cellStyle name="Entrada 4 3 2" xfId="12037"/>
    <cellStyle name="Entrada 4 3 3" xfId="9559"/>
    <cellStyle name="Entrada 4 3 4" xfId="10687"/>
    <cellStyle name="Entrada 4 4" xfId="6563"/>
    <cellStyle name="Entrada 4 4 2" xfId="12468"/>
    <cellStyle name="Entrada 4 4 3" xfId="11801"/>
    <cellStyle name="Entrada 4 4 4" xfId="10770"/>
    <cellStyle name="Entrada 4 5" xfId="6889"/>
    <cellStyle name="Entrada 4 5 2" xfId="12629"/>
    <cellStyle name="Entrada 4 5 3" xfId="12027"/>
    <cellStyle name="Entrada 4 5 4" xfId="11523"/>
    <cellStyle name="Entrada 5" xfId="5676"/>
    <cellStyle name="Entrada 5 2" xfId="11863"/>
    <cellStyle name="Entrada 5 3" xfId="10669"/>
    <cellStyle name="Entrada 5 4" xfId="13439"/>
    <cellStyle name="Entrada 6" xfId="5677"/>
    <cellStyle name="Entrada 6 2" xfId="11864"/>
    <cellStyle name="Entrada 6 3" xfId="10668"/>
    <cellStyle name="Entrada 6 4" xfId="12280"/>
    <cellStyle name="Entrada 7" xfId="5678"/>
    <cellStyle name="Entrada 7 2" xfId="11865"/>
    <cellStyle name="Entrada 7 3" xfId="10667"/>
    <cellStyle name="Entrada 7 4" xfId="12281"/>
    <cellStyle name="Entrada 8" xfId="6057"/>
    <cellStyle name="Entrada 8 2" xfId="12034"/>
    <cellStyle name="Entrada 8 3" xfId="9562"/>
    <cellStyle name="Entrada 8 4" xfId="10685"/>
    <cellStyle name="Entrada 9" xfId="6560"/>
    <cellStyle name="Entrada 9 2" xfId="12465"/>
    <cellStyle name="Entrada 9 3" xfId="11804"/>
    <cellStyle name="Entrada 9 4" xfId="10767"/>
    <cellStyle name="Estatico" xfId="5936"/>
    <cellStyle name="Estatico 2" xfId="11990"/>
    <cellStyle name="Estatico 3" xfId="11833"/>
    <cellStyle name="Estatico 4" xfId="9689"/>
    <cellStyle name="Estilo 1" xfId="5679"/>
    <cellStyle name="Estilo 1 2" xfId="5680"/>
    <cellStyle name="Estilo 1 2 2" xfId="5681"/>
    <cellStyle name="Estilo 1 3" xfId="5682"/>
    <cellStyle name="Estilo 1 3 2" xfId="5683"/>
    <cellStyle name="Estilo 1 4" xfId="5684"/>
    <cellStyle name="Estilo 1 4 2" xfId="5685"/>
    <cellStyle name="Estilo 1 5" xfId="5686"/>
    <cellStyle name="Estilo 1 5 2" xfId="5687"/>
    <cellStyle name="Estilo 1 6" xfId="5688"/>
    <cellStyle name="Estilo 1 6 2" xfId="5689"/>
    <cellStyle name="Estilo 1 7" xfId="6518"/>
    <cellStyle name="Estilo 1_~5368843" xfId="5690"/>
    <cellStyle name="Estilo 2" xfId="5691"/>
    <cellStyle name="Euro" xfId="5692"/>
    <cellStyle name="Euro 2" xfId="5693"/>
    <cellStyle name="Euro 2 2" xfId="5694"/>
    <cellStyle name="Euro 2 3" xfId="5935"/>
    <cellStyle name="Euro 2 4" xfId="7665"/>
    <cellStyle name="Euro 3" xfId="5695"/>
    <cellStyle name="Euro 3 2" xfId="5696"/>
    <cellStyle name="Euro 4" xfId="5697"/>
    <cellStyle name="Euro 4 2" xfId="5698"/>
    <cellStyle name="Euro 5" xfId="5699"/>
    <cellStyle name="Euro 5 2" xfId="5700"/>
    <cellStyle name="Euro_BALANCE GUARDIA (AGOSTO'11)" xfId="5701"/>
    <cellStyle name="Excel Built-in Explanatory Text" xfId="1517"/>
    <cellStyle name="Explanatory Text" xfId="6709" builtinId="53" customBuiltin="1"/>
    <cellStyle name="Explanatory Text 1" xfId="750"/>
    <cellStyle name="Explanatory Text 2" xfId="751"/>
    <cellStyle name="Explanatory Text 3" xfId="752"/>
    <cellStyle name="Explanatory Text 4" xfId="753"/>
    <cellStyle name="Explanatory Text 5" xfId="754"/>
    <cellStyle name="Explanatory Text 6" xfId="755"/>
    <cellStyle name="Explanatory Text 7" xfId="756"/>
    <cellStyle name="Explanatory Text 8" xfId="749"/>
    <cellStyle name="FED" xfId="5702"/>
    <cellStyle name="FED 2" xfId="11866"/>
    <cellStyle name="FED 3" xfId="10666"/>
    <cellStyle name="FED 4" xfId="12428"/>
    <cellStyle name="Good" xfId="6701" builtinId="26" customBuiltin="1"/>
    <cellStyle name="Good 1" xfId="757"/>
    <cellStyle name="Good 2" xfId="758"/>
    <cellStyle name="Good 2 2" xfId="759"/>
    <cellStyle name="Good 2 3" xfId="760"/>
    <cellStyle name="Good 2 4" xfId="2937"/>
    <cellStyle name="Good 3" xfId="761"/>
    <cellStyle name="Good 3 2" xfId="762"/>
    <cellStyle name="Good 3 3" xfId="763"/>
    <cellStyle name="Good 4" xfId="764"/>
    <cellStyle name="Good 4 2" xfId="765"/>
    <cellStyle name="Good 4 3" xfId="766"/>
    <cellStyle name="Good 5" xfId="767"/>
    <cellStyle name="Good 6" xfId="768"/>
    <cellStyle name="Good 7" xfId="769"/>
    <cellStyle name="Grey" xfId="770"/>
    <cellStyle name="Group Name - IBM Cognos" xfId="6781"/>
    <cellStyle name="Group Name - IBM Cognos 2" xfId="12547"/>
    <cellStyle name="Group Name - IBM Cognos 3" xfId="9528"/>
    <cellStyle name="Group Name - IBM Cognos 4" xfId="11492"/>
    <cellStyle name="Header1" xfId="771"/>
    <cellStyle name="Header1 2" xfId="772"/>
    <cellStyle name="Header1 3" xfId="773"/>
    <cellStyle name="Header1 4" xfId="774"/>
    <cellStyle name="Header1 5" xfId="775"/>
    <cellStyle name="Header1 6" xfId="776"/>
    <cellStyle name="Header2" xfId="777"/>
    <cellStyle name="Header2 2" xfId="778"/>
    <cellStyle name="Header2 2 2" xfId="6061"/>
    <cellStyle name="Header2 2 2 2" xfId="12038"/>
    <cellStyle name="Header2 2 2 3" xfId="9558"/>
    <cellStyle name="Header2 2 2 4" xfId="10688"/>
    <cellStyle name="Header2 2 3" xfId="6891"/>
    <cellStyle name="Header2 2 3 2" xfId="12631"/>
    <cellStyle name="Header2 2 3 3" xfId="12007"/>
    <cellStyle name="Header2 2 3 4" xfId="11525"/>
    <cellStyle name="Header2 2 4" xfId="9237"/>
    <cellStyle name="Header2 2 4 2" xfId="13436"/>
    <cellStyle name="Header2 2 4 3" xfId="13673"/>
    <cellStyle name="Header2 2 4 4" xfId="13753"/>
    <cellStyle name="Header2 3" xfId="6082"/>
    <cellStyle name="Header2 3 2" xfId="12057"/>
    <cellStyle name="Header2 3 3" xfId="11825"/>
    <cellStyle name="Header2 3 4" xfId="11424"/>
    <cellStyle name="Header2 4" xfId="6890"/>
    <cellStyle name="Header2 4 2" xfId="12630"/>
    <cellStyle name="Header2 4 3" xfId="12013"/>
    <cellStyle name="Header2 4 4" xfId="11524"/>
    <cellStyle name="Header2 5" xfId="9236"/>
    <cellStyle name="Header2 5 2" xfId="13435"/>
    <cellStyle name="Header2 5 3" xfId="13672"/>
    <cellStyle name="Header2 5 4" xfId="13752"/>
    <cellStyle name="Heading 1" xfId="6697" builtinId="16" customBuiltin="1"/>
    <cellStyle name="Heading 1 1" xfId="780"/>
    <cellStyle name="Heading 1 2" xfId="781"/>
    <cellStyle name="Heading 1 3" xfId="782"/>
    <cellStyle name="Heading 1 4" xfId="783"/>
    <cellStyle name="Heading 1 5" xfId="784"/>
    <cellStyle name="Heading 1 6" xfId="785"/>
    <cellStyle name="Heading 1 7" xfId="786"/>
    <cellStyle name="Heading 1 8" xfId="779"/>
    <cellStyle name="Heading 2" xfId="6698" builtinId="17" customBuiltin="1"/>
    <cellStyle name="Heading 2 1" xfId="788"/>
    <cellStyle name="Heading 2 2" xfId="789"/>
    <cellStyle name="Heading 2 3" xfId="790"/>
    <cellStyle name="Heading 2 4" xfId="791"/>
    <cellStyle name="Heading 2 5" xfId="792"/>
    <cellStyle name="Heading 2 6" xfId="793"/>
    <cellStyle name="Heading 2 7" xfId="794"/>
    <cellStyle name="Heading 2 8" xfId="787"/>
    <cellStyle name="Heading 3" xfId="6699" builtinId="18" customBuiltin="1"/>
    <cellStyle name="Heading 3 1" xfId="796"/>
    <cellStyle name="Heading 3 2" xfId="797"/>
    <cellStyle name="Heading 3 3" xfId="798"/>
    <cellStyle name="Heading 3 4" xfId="799"/>
    <cellStyle name="Heading 3 5" xfId="800"/>
    <cellStyle name="Heading 3 6" xfId="801"/>
    <cellStyle name="Heading 3 7" xfId="802"/>
    <cellStyle name="Heading 3 8" xfId="795"/>
    <cellStyle name="Heading 4" xfId="6700" builtinId="19" customBuiltin="1"/>
    <cellStyle name="Heading 4 1" xfId="804"/>
    <cellStyle name="Heading 4 2" xfId="805"/>
    <cellStyle name="Heading 4 3" xfId="806"/>
    <cellStyle name="Heading 4 4" xfId="807"/>
    <cellStyle name="Heading 4 5" xfId="808"/>
    <cellStyle name="Heading 4 6" xfId="809"/>
    <cellStyle name="Heading 4 7" xfId="810"/>
    <cellStyle name="Heading 4 8" xfId="803"/>
    <cellStyle name="Hiperlink 2" xfId="811"/>
    <cellStyle name="Hold Values - IBM Cognos" xfId="6782"/>
    <cellStyle name="Hold Values - IBM Cognos 2" xfId="12548"/>
    <cellStyle name="Hold Values - IBM Cognos 3" xfId="9527"/>
    <cellStyle name="Hold Values - IBM Cognos 4" xfId="11493"/>
    <cellStyle name="Hyperlink" xfId="2" builtinId="8"/>
    <cellStyle name="Hyperlink 2" xfId="812"/>
    <cellStyle name="Hyperlink 2 2" xfId="813"/>
    <cellStyle name="Hyperlink 2 3" xfId="814"/>
    <cellStyle name="Hyperlink 2 4" xfId="6783"/>
    <cellStyle name="Hyperlink 3" xfId="815"/>
    <cellStyle name="Incorrecto" xfId="816"/>
    <cellStyle name="Incorrecto 2" xfId="5703"/>
    <cellStyle name="Incorrecto 3" xfId="5704"/>
    <cellStyle name="Incorrecto 4" xfId="5705"/>
    <cellStyle name="Incorrecto 5" xfId="5706"/>
    <cellStyle name="Incorrecto 6" xfId="5707"/>
    <cellStyle name="Incorrecto 7" xfId="5708"/>
    <cellStyle name="Incorreto 2" xfId="817"/>
    <cellStyle name="Incorreto 3" xfId="818"/>
    <cellStyle name="Incorreto 4" xfId="819"/>
    <cellStyle name="Input" xfId="6703" builtinId="20" customBuiltin="1"/>
    <cellStyle name="Input [yellow]" xfId="820"/>
    <cellStyle name="Input [yellow] 2" xfId="821"/>
    <cellStyle name="Input [yellow] 2 2" xfId="6063"/>
    <cellStyle name="Input [yellow] 2 2 2" xfId="12040"/>
    <cellStyle name="Input [yellow] 2 2 3" xfId="9556"/>
    <cellStyle name="Input [yellow] 2 2 4" xfId="10690"/>
    <cellStyle name="Input [yellow] 2 3" xfId="6893"/>
    <cellStyle name="Input [yellow] 2 3 2" xfId="12633"/>
    <cellStyle name="Input [yellow] 2 3 3" xfId="11993"/>
    <cellStyle name="Input [yellow] 2 3 4" xfId="11551"/>
    <cellStyle name="Input [yellow] 2 4" xfId="9239"/>
    <cellStyle name="Input [yellow] 2 4 2" xfId="13438"/>
    <cellStyle name="Input [yellow] 2 4 3" xfId="13675"/>
    <cellStyle name="Input [yellow] 2 4 4" xfId="13755"/>
    <cellStyle name="Input [yellow] 3" xfId="6062"/>
    <cellStyle name="Input [yellow] 3 2" xfId="12039"/>
    <cellStyle name="Input [yellow] 3 3" xfId="9557"/>
    <cellStyle name="Input [yellow] 3 4" xfId="10689"/>
    <cellStyle name="Input [yellow] 4" xfId="6892"/>
    <cellStyle name="Input [yellow] 4 2" xfId="12632"/>
    <cellStyle name="Input [yellow] 4 3" xfId="12002"/>
    <cellStyle name="Input [yellow] 4 4" xfId="13502"/>
    <cellStyle name="Input [yellow] 5" xfId="9238"/>
    <cellStyle name="Input [yellow] 5 2" xfId="13437"/>
    <cellStyle name="Input [yellow] 5 3" xfId="13674"/>
    <cellStyle name="Input [yellow] 5 4" xfId="13754"/>
    <cellStyle name="Input 1" xfId="822"/>
    <cellStyle name="Input 1 2" xfId="6064"/>
    <cellStyle name="Input 1 2 2" xfId="12041"/>
    <cellStyle name="Input 1 2 3" xfId="12535"/>
    <cellStyle name="Input 1 2 4" xfId="10691"/>
    <cellStyle name="Input 1 3" xfId="6564"/>
    <cellStyle name="Input 1 3 2" xfId="12469"/>
    <cellStyle name="Input 1 3 3" xfId="11800"/>
    <cellStyle name="Input 1 3 4" xfId="10771"/>
    <cellStyle name="Input 1 4" xfId="6894"/>
    <cellStyle name="Input 1 4 2" xfId="12634"/>
    <cellStyle name="Input 1 4 3" xfId="11982"/>
    <cellStyle name="Input 1 4 4" xfId="11526"/>
    <cellStyle name="Input 2" xfId="823"/>
    <cellStyle name="Input 2 2" xfId="824"/>
    <cellStyle name="Input 2 2 2" xfId="6066"/>
    <cellStyle name="Input 2 2 2 2" xfId="12043"/>
    <cellStyle name="Input 2 2 2 3" xfId="9555"/>
    <cellStyle name="Input 2 2 2 4" xfId="10692"/>
    <cellStyle name="Input 2 2 3" xfId="6566"/>
    <cellStyle name="Input 2 2 3 2" xfId="12471"/>
    <cellStyle name="Input 2 2 3 3" xfId="9539"/>
    <cellStyle name="Input 2 2 3 4" xfId="10773"/>
    <cellStyle name="Input 2 2 4" xfId="6896"/>
    <cellStyle name="Input 2 2 4 2" xfId="12636"/>
    <cellStyle name="Input 2 2 4 3" xfId="11756"/>
    <cellStyle name="Input 2 2 4 4" xfId="11528"/>
    <cellStyle name="Input 2 3" xfId="825"/>
    <cellStyle name="Input 2 3 2" xfId="6087"/>
    <cellStyle name="Input 2 3 2 2" xfId="12060"/>
    <cellStyle name="Input 2 3 2 3" xfId="10625"/>
    <cellStyle name="Input 2 3 2 4" xfId="11427"/>
    <cellStyle name="Input 2 3 3" xfId="6567"/>
    <cellStyle name="Input 2 3 3 2" xfId="12472"/>
    <cellStyle name="Input 2 3 3 3" xfId="11799"/>
    <cellStyle name="Input 2 3 3 4" xfId="10774"/>
    <cellStyle name="Input 2 3 4" xfId="6897"/>
    <cellStyle name="Input 2 3 4 2" xfId="12637"/>
    <cellStyle name="Input 2 3 4 3" xfId="9495"/>
    <cellStyle name="Input 2 3 4 4" xfId="11529"/>
    <cellStyle name="Input 2 4" xfId="6065"/>
    <cellStyle name="Input 2 4 2" xfId="12042"/>
    <cellStyle name="Input 2 4 3" xfId="9543"/>
    <cellStyle name="Input 2 4 4" xfId="11422"/>
    <cellStyle name="Input 2 5" xfId="6565"/>
    <cellStyle name="Input 2 5 2" xfId="12470"/>
    <cellStyle name="Input 2 5 3" xfId="9540"/>
    <cellStyle name="Input 2 5 4" xfId="10772"/>
    <cellStyle name="Input 2 6" xfId="6895"/>
    <cellStyle name="Input 2 6 2" xfId="12635"/>
    <cellStyle name="Input 2 6 3" xfId="11964"/>
    <cellStyle name="Input 2 6 4" xfId="11527"/>
    <cellStyle name="Input 3" xfId="826"/>
    <cellStyle name="Input 3 2" xfId="827"/>
    <cellStyle name="Input 3 2 2" xfId="6068"/>
    <cellStyle name="Input 3 2 2 2" xfId="12045"/>
    <cellStyle name="Input 3 2 2 3" xfId="9553"/>
    <cellStyle name="Input 3 2 2 4" xfId="10694"/>
    <cellStyle name="Input 3 2 3" xfId="6569"/>
    <cellStyle name="Input 3 2 3 2" xfId="12474"/>
    <cellStyle name="Input 3 2 3 3" xfId="11797"/>
    <cellStyle name="Input 3 2 3 4" xfId="10776"/>
    <cellStyle name="Input 3 2 4" xfId="6899"/>
    <cellStyle name="Input 3 2 4 2" xfId="12639"/>
    <cellStyle name="Input 3 2 4 3" xfId="9493"/>
    <cellStyle name="Input 3 2 4 4" xfId="11531"/>
    <cellStyle name="Input 3 3" xfId="828"/>
    <cellStyle name="Input 3 3 2" xfId="6069"/>
    <cellStyle name="Input 3 3 2 2" xfId="12046"/>
    <cellStyle name="Input 3 3 2 3" xfId="9552"/>
    <cellStyle name="Input 3 3 2 4" xfId="10695"/>
    <cellStyle name="Input 3 3 3" xfId="6570"/>
    <cellStyle name="Input 3 3 3 2" xfId="12475"/>
    <cellStyle name="Input 3 3 3 3" xfId="11796"/>
    <cellStyle name="Input 3 3 3 4" xfId="10777"/>
    <cellStyle name="Input 3 3 4" xfId="6900"/>
    <cellStyle name="Input 3 3 4 2" xfId="12640"/>
    <cellStyle name="Input 3 3 4 3" xfId="12527"/>
    <cellStyle name="Input 3 3 4 4" xfId="11532"/>
    <cellStyle name="Input 3 4" xfId="6067"/>
    <cellStyle name="Input 3 4 2" xfId="12044"/>
    <cellStyle name="Input 3 4 3" xfId="9554"/>
    <cellStyle name="Input 3 4 4" xfId="10693"/>
    <cellStyle name="Input 3 5" xfId="6568"/>
    <cellStyle name="Input 3 5 2" xfId="12473"/>
    <cellStyle name="Input 3 5 3" xfId="11798"/>
    <cellStyle name="Input 3 5 4" xfId="10775"/>
    <cellStyle name="Input 3 6" xfId="6898"/>
    <cellStyle name="Input 3 6 2" xfId="12638"/>
    <cellStyle name="Input 3 6 3" xfId="9494"/>
    <cellStyle name="Input 3 6 4" xfId="11530"/>
    <cellStyle name="Input 4" xfId="829"/>
    <cellStyle name="Input 4 2" xfId="830"/>
    <cellStyle name="Input 4 2 2" xfId="6071"/>
    <cellStyle name="Input 4 2 2 2" xfId="12048"/>
    <cellStyle name="Input 4 2 2 3" xfId="9550"/>
    <cellStyle name="Input 4 2 2 4" xfId="10696"/>
    <cellStyle name="Input 4 2 3" xfId="6572"/>
    <cellStyle name="Input 4 2 3 2" xfId="12477"/>
    <cellStyle name="Input 4 2 3 3" xfId="11794"/>
    <cellStyle name="Input 4 2 3 4" xfId="10779"/>
    <cellStyle name="Input 4 2 4" xfId="6902"/>
    <cellStyle name="Input 4 2 4 2" xfId="12642"/>
    <cellStyle name="Input 4 2 4 3" xfId="11754"/>
    <cellStyle name="Input 4 2 4 4" xfId="11534"/>
    <cellStyle name="Input 4 3" xfId="831"/>
    <cellStyle name="Input 4 3 2" xfId="6085"/>
    <cellStyle name="Input 4 3 2 2" xfId="12059"/>
    <cellStyle name="Input 4 3 2 3" xfId="10626"/>
    <cellStyle name="Input 4 3 2 4" xfId="11426"/>
    <cellStyle name="Input 4 3 3" xfId="6573"/>
    <cellStyle name="Input 4 3 3 2" xfId="12478"/>
    <cellStyle name="Input 4 3 3 3" xfId="11793"/>
    <cellStyle name="Input 4 3 3 4" xfId="10780"/>
    <cellStyle name="Input 4 3 4" xfId="6903"/>
    <cellStyle name="Input 4 3 4 2" xfId="12643"/>
    <cellStyle name="Input 4 3 4 3" xfId="11753"/>
    <cellStyle name="Input 4 3 4 4" xfId="11535"/>
    <cellStyle name="Input 4 4" xfId="6070"/>
    <cellStyle name="Input 4 4 2" xfId="12047"/>
    <cellStyle name="Input 4 4 3" xfId="9551"/>
    <cellStyle name="Input 4 4 4" xfId="9855"/>
    <cellStyle name="Input 4 5" xfId="6571"/>
    <cellStyle name="Input 4 5 2" xfId="12476"/>
    <cellStyle name="Input 4 5 3" xfId="11795"/>
    <cellStyle name="Input 4 5 4" xfId="10778"/>
    <cellStyle name="Input 4 6" xfId="6901"/>
    <cellStyle name="Input 4 6 2" xfId="12641"/>
    <cellStyle name="Input 4 6 3" xfId="11755"/>
    <cellStyle name="Input 4 6 4" xfId="11533"/>
    <cellStyle name="Input 5" xfId="832"/>
    <cellStyle name="Input 5 2" xfId="6072"/>
    <cellStyle name="Input 5 2 2" xfId="12049"/>
    <cellStyle name="Input 5 2 3" xfId="9549"/>
    <cellStyle name="Input 5 2 4" xfId="11729"/>
    <cellStyle name="Input 5 3" xfId="6574"/>
    <cellStyle name="Input 5 3 2" xfId="12479"/>
    <cellStyle name="Input 5 3 3" xfId="11792"/>
    <cellStyle name="Input 5 3 4" xfId="10781"/>
    <cellStyle name="Input 5 4" xfId="6904"/>
    <cellStyle name="Input 5 4 2" xfId="12644"/>
    <cellStyle name="Input 5 4 3" xfId="11752"/>
    <cellStyle name="Input 5 4 4" xfId="11536"/>
    <cellStyle name="Input 6" xfId="833"/>
    <cellStyle name="Input 6 2" xfId="6073"/>
    <cellStyle name="Input 6 2 2" xfId="12050"/>
    <cellStyle name="Input 6 2 3" xfId="9548"/>
    <cellStyle name="Input 6 2 4" xfId="10697"/>
    <cellStyle name="Input 6 3" xfId="6575"/>
    <cellStyle name="Input 6 3 2" xfId="12480"/>
    <cellStyle name="Input 6 3 3" xfId="11791"/>
    <cellStyle name="Input 6 3 4" xfId="10782"/>
    <cellStyle name="Input 6 4" xfId="6905"/>
    <cellStyle name="Input 6 4 2" xfId="12645"/>
    <cellStyle name="Input 6 4 3" xfId="11751"/>
    <cellStyle name="Input 6 4 4" xfId="11537"/>
    <cellStyle name="Input 7" xfId="834"/>
    <cellStyle name="Input 7 2" xfId="6074"/>
    <cellStyle name="Input 7 2 2" xfId="12051"/>
    <cellStyle name="Input 7 2 3" xfId="9547"/>
    <cellStyle name="Input 7 2 4" xfId="10698"/>
    <cellStyle name="Input 7 3" xfId="6576"/>
    <cellStyle name="Input 7 3 2" xfId="12481"/>
    <cellStyle name="Input 7 3 3" xfId="11790"/>
    <cellStyle name="Input 7 3 4" xfId="10783"/>
    <cellStyle name="Input 7 4" xfId="6906"/>
    <cellStyle name="Input 7 4 2" xfId="12646"/>
    <cellStyle name="Input 7 4 3" xfId="11750"/>
    <cellStyle name="Input 7 4 4" xfId="11538"/>
    <cellStyle name="Input 8" xfId="835"/>
    <cellStyle name="Input 8 2" xfId="6075"/>
    <cellStyle name="Input 8 2 2" xfId="12052"/>
    <cellStyle name="Input 8 2 3" xfId="9546"/>
    <cellStyle name="Input 8 2 4" xfId="10699"/>
    <cellStyle name="Input 8 3" xfId="6577"/>
    <cellStyle name="Input 8 3 2" xfId="12482"/>
    <cellStyle name="Input 8 3 3" xfId="11789"/>
    <cellStyle name="Input 8 3 4" xfId="10784"/>
    <cellStyle name="Input 8 4" xfId="6907"/>
    <cellStyle name="Input 8 4 2" xfId="12647"/>
    <cellStyle name="Input 8 4 3" xfId="10263"/>
    <cellStyle name="Input 8 4 4" xfId="11539"/>
    <cellStyle name="Link Currency (0)" xfId="836"/>
    <cellStyle name="Link Currency (2)" xfId="837"/>
    <cellStyle name="Link Units (0)" xfId="838"/>
    <cellStyle name="Link Units (1)" xfId="839"/>
    <cellStyle name="Link Units (2)" xfId="840"/>
    <cellStyle name="Linked Cell" xfId="6706" builtinId="24" customBuiltin="1"/>
    <cellStyle name="Linked Cell 1" xfId="841"/>
    <cellStyle name="Linked Cell 2" xfId="842"/>
    <cellStyle name="Linked Cell 3" xfId="843"/>
    <cellStyle name="Linked Cell 4" xfId="844"/>
    <cellStyle name="Linked Cell 5" xfId="845"/>
    <cellStyle name="Linked Cell 6" xfId="846"/>
    <cellStyle name="Linked Cell 7" xfId="847"/>
    <cellStyle name="List Name - IBM Cognos" xfId="6784"/>
    <cellStyle name="List Name - IBM Cognos 2" xfId="12550"/>
    <cellStyle name="List Name - IBM Cognos 3" xfId="9518"/>
    <cellStyle name="List Name - IBM Cognos 4" xfId="11494"/>
    <cellStyle name="Llenando" xfId="5934"/>
    <cellStyle name="Llenando 2" xfId="11989"/>
    <cellStyle name="Llenando 3" xfId="11834"/>
    <cellStyle name="Llenando 4" xfId="9688"/>
    <cellStyle name="Locked - IBM Cognos" xfId="6785"/>
    <cellStyle name="Locked - IBM Cognos 2" xfId="12551"/>
    <cellStyle name="Locked - IBM Cognos 3" xfId="9526"/>
    <cellStyle name="Locked - IBM Cognos 4" xfId="11495"/>
    <cellStyle name="Measure - IBM Cognos" xfId="6786"/>
    <cellStyle name="Measure - IBM Cognos 2" xfId="12552"/>
    <cellStyle name="Measure - IBM Cognos 3" xfId="9525"/>
    <cellStyle name="Measure - IBM Cognos 4" xfId="11496"/>
    <cellStyle name="Measure Header - IBM Cognos" xfId="6787"/>
    <cellStyle name="Measure Header - IBM Cognos 2" xfId="12553"/>
    <cellStyle name="Measure Header - IBM Cognos 3" xfId="9524"/>
    <cellStyle name="Measure Header - IBM Cognos 4" xfId="11497"/>
    <cellStyle name="Measure Name - IBM Cognos" xfId="6788"/>
    <cellStyle name="Measure Name - IBM Cognos 2" xfId="12554"/>
    <cellStyle name="Measure Name - IBM Cognos 3" xfId="9523"/>
    <cellStyle name="Measure Name - IBM Cognos 4" xfId="11498"/>
    <cellStyle name="Measure Summary - IBM Cognos" xfId="6789"/>
    <cellStyle name="Measure Summary - IBM Cognos 2" xfId="12555"/>
    <cellStyle name="Measure Summary - IBM Cognos 3" xfId="9522"/>
    <cellStyle name="Measure Summary - IBM Cognos 4" xfId="11499"/>
    <cellStyle name="Measure Summary TM1 - IBM Cognos" xfId="6790"/>
    <cellStyle name="Measure Summary TM1 - IBM Cognos 2" xfId="12556"/>
    <cellStyle name="Measure Summary TM1 - IBM Cognos 3" xfId="9521"/>
    <cellStyle name="Measure Summary TM1 - IBM Cognos 4" xfId="11500"/>
    <cellStyle name="Measure Template - IBM Cognos" xfId="6791"/>
    <cellStyle name="Measure Template - IBM Cognos 2" xfId="12557"/>
    <cellStyle name="Measure Template - IBM Cognos 3" xfId="9520"/>
    <cellStyle name="Measure Template - IBM Cognos 4" xfId="11501"/>
    <cellStyle name="Millares 2" xfId="5710"/>
    <cellStyle name="Millares 2 10" xfId="7663"/>
    <cellStyle name="Millares 2 2" xfId="5711"/>
    <cellStyle name="Millares 2 2 2" xfId="5712"/>
    <cellStyle name="Millares 2 2 3" xfId="7666"/>
    <cellStyle name="Millares 2 3" xfId="5713"/>
    <cellStyle name="Millares 2 3 2" xfId="5714"/>
    <cellStyle name="Millares 2 4" xfId="5715"/>
    <cellStyle name="Millares 2 4 2" xfId="5716"/>
    <cellStyle name="Millares 2 5" xfId="5717"/>
    <cellStyle name="Millares 2 5 2" xfId="5718"/>
    <cellStyle name="Millares 2 6" xfId="5719"/>
    <cellStyle name="Millares 2 6 2" xfId="5720"/>
    <cellStyle name="Millares 2 7" xfId="5721"/>
    <cellStyle name="Millares 2 7 2" xfId="5722"/>
    <cellStyle name="Millares 2 8" xfId="5723"/>
    <cellStyle name="Millares 2 9" xfId="5932"/>
    <cellStyle name="Millares 3" xfId="5724"/>
    <cellStyle name="Millares 3 10" xfId="7859"/>
    <cellStyle name="Millares 3 10 2" xfId="8627"/>
    <cellStyle name="Millares 3 11" xfId="8051"/>
    <cellStyle name="Millares 3 11 2" xfId="8819"/>
    <cellStyle name="Millares 3 12" xfId="8243"/>
    <cellStyle name="Millares 3 12 2" xfId="9011"/>
    <cellStyle name="Millares 3 13" xfId="8435"/>
    <cellStyle name="Millares 3 14" xfId="7667"/>
    <cellStyle name="Millares 3 2" xfId="5931"/>
    <cellStyle name="Millares 3 2 10" xfId="8437"/>
    <cellStyle name="Millares 3 2 11" xfId="7669"/>
    <cellStyle name="Millares 3 2 2" xfId="7677"/>
    <cellStyle name="Millares 3 2 2 2" xfId="7693"/>
    <cellStyle name="Millares 3 2 2 2 2" xfId="7741"/>
    <cellStyle name="Millares 3 2 2 2 2 2" xfId="7837"/>
    <cellStyle name="Millares 3 2 2 2 2 2 2" xfId="8029"/>
    <cellStyle name="Millares 3 2 2 2 2 2 2 2" xfId="8797"/>
    <cellStyle name="Millares 3 2 2 2 2 2 3" xfId="8221"/>
    <cellStyle name="Millares 3 2 2 2 2 2 3 2" xfId="8989"/>
    <cellStyle name="Millares 3 2 2 2 2 2 4" xfId="8413"/>
    <cellStyle name="Millares 3 2 2 2 2 2 4 2" xfId="9181"/>
    <cellStyle name="Millares 3 2 2 2 2 2 5" xfId="8605"/>
    <cellStyle name="Millares 3 2 2 2 2 3" xfId="7933"/>
    <cellStyle name="Millares 3 2 2 2 2 3 2" xfId="8701"/>
    <cellStyle name="Millares 3 2 2 2 2 4" xfId="8125"/>
    <cellStyle name="Millares 3 2 2 2 2 4 2" xfId="8893"/>
    <cellStyle name="Millares 3 2 2 2 2 5" xfId="8317"/>
    <cellStyle name="Millares 3 2 2 2 2 5 2" xfId="9085"/>
    <cellStyle name="Millares 3 2 2 2 2 6" xfId="8509"/>
    <cellStyle name="Millares 3 2 2 2 3" xfId="7789"/>
    <cellStyle name="Millares 3 2 2 2 3 2" xfId="7981"/>
    <cellStyle name="Millares 3 2 2 2 3 2 2" xfId="8749"/>
    <cellStyle name="Millares 3 2 2 2 3 3" xfId="8173"/>
    <cellStyle name="Millares 3 2 2 2 3 3 2" xfId="8941"/>
    <cellStyle name="Millares 3 2 2 2 3 4" xfId="8365"/>
    <cellStyle name="Millares 3 2 2 2 3 4 2" xfId="9133"/>
    <cellStyle name="Millares 3 2 2 2 3 5" xfId="8557"/>
    <cellStyle name="Millares 3 2 2 2 4" xfId="7885"/>
    <cellStyle name="Millares 3 2 2 2 4 2" xfId="8653"/>
    <cellStyle name="Millares 3 2 2 2 5" xfId="8077"/>
    <cellStyle name="Millares 3 2 2 2 5 2" xfId="8845"/>
    <cellStyle name="Millares 3 2 2 2 6" xfId="8269"/>
    <cellStyle name="Millares 3 2 2 2 6 2" xfId="9037"/>
    <cellStyle name="Millares 3 2 2 2 7" xfId="8461"/>
    <cellStyle name="Millares 3 2 2 3" xfId="7709"/>
    <cellStyle name="Millares 3 2 2 3 2" xfId="7757"/>
    <cellStyle name="Millares 3 2 2 3 2 2" xfId="7853"/>
    <cellStyle name="Millares 3 2 2 3 2 2 2" xfId="8045"/>
    <cellStyle name="Millares 3 2 2 3 2 2 2 2" xfId="8813"/>
    <cellStyle name="Millares 3 2 2 3 2 2 3" xfId="8237"/>
    <cellStyle name="Millares 3 2 2 3 2 2 3 2" xfId="9005"/>
    <cellStyle name="Millares 3 2 2 3 2 2 4" xfId="8429"/>
    <cellStyle name="Millares 3 2 2 3 2 2 4 2" xfId="9197"/>
    <cellStyle name="Millares 3 2 2 3 2 2 5" xfId="8621"/>
    <cellStyle name="Millares 3 2 2 3 2 3" xfId="7949"/>
    <cellStyle name="Millares 3 2 2 3 2 3 2" xfId="8717"/>
    <cellStyle name="Millares 3 2 2 3 2 4" xfId="8141"/>
    <cellStyle name="Millares 3 2 2 3 2 4 2" xfId="8909"/>
    <cellStyle name="Millares 3 2 2 3 2 5" xfId="8333"/>
    <cellStyle name="Millares 3 2 2 3 2 5 2" xfId="9101"/>
    <cellStyle name="Millares 3 2 2 3 2 6" xfId="8525"/>
    <cellStyle name="Millares 3 2 2 3 3" xfId="7805"/>
    <cellStyle name="Millares 3 2 2 3 3 2" xfId="7997"/>
    <cellStyle name="Millares 3 2 2 3 3 2 2" xfId="8765"/>
    <cellStyle name="Millares 3 2 2 3 3 3" xfId="8189"/>
    <cellStyle name="Millares 3 2 2 3 3 3 2" xfId="8957"/>
    <cellStyle name="Millares 3 2 2 3 3 4" xfId="8381"/>
    <cellStyle name="Millares 3 2 2 3 3 4 2" xfId="9149"/>
    <cellStyle name="Millares 3 2 2 3 3 5" xfId="8573"/>
    <cellStyle name="Millares 3 2 2 3 4" xfId="7901"/>
    <cellStyle name="Millares 3 2 2 3 4 2" xfId="8669"/>
    <cellStyle name="Millares 3 2 2 3 5" xfId="8093"/>
    <cellStyle name="Millares 3 2 2 3 5 2" xfId="8861"/>
    <cellStyle name="Millares 3 2 2 3 6" xfId="8285"/>
    <cellStyle name="Millares 3 2 2 3 6 2" xfId="9053"/>
    <cellStyle name="Millares 3 2 2 3 7" xfId="8477"/>
    <cellStyle name="Millares 3 2 2 4" xfId="7725"/>
    <cellStyle name="Millares 3 2 2 4 2" xfId="7821"/>
    <cellStyle name="Millares 3 2 2 4 2 2" xfId="8013"/>
    <cellStyle name="Millares 3 2 2 4 2 2 2" xfId="8781"/>
    <cellStyle name="Millares 3 2 2 4 2 3" xfId="8205"/>
    <cellStyle name="Millares 3 2 2 4 2 3 2" xfId="8973"/>
    <cellStyle name="Millares 3 2 2 4 2 4" xfId="8397"/>
    <cellStyle name="Millares 3 2 2 4 2 4 2" xfId="9165"/>
    <cellStyle name="Millares 3 2 2 4 2 5" xfId="8589"/>
    <cellStyle name="Millares 3 2 2 4 3" xfId="7917"/>
    <cellStyle name="Millares 3 2 2 4 3 2" xfId="8685"/>
    <cellStyle name="Millares 3 2 2 4 4" xfId="8109"/>
    <cellStyle name="Millares 3 2 2 4 4 2" xfId="8877"/>
    <cellStyle name="Millares 3 2 2 4 5" xfId="8301"/>
    <cellStyle name="Millares 3 2 2 4 5 2" xfId="9069"/>
    <cellStyle name="Millares 3 2 2 4 6" xfId="8493"/>
    <cellStyle name="Millares 3 2 2 5" xfId="7773"/>
    <cellStyle name="Millares 3 2 2 5 2" xfId="7965"/>
    <cellStyle name="Millares 3 2 2 5 2 2" xfId="8733"/>
    <cellStyle name="Millares 3 2 2 5 3" xfId="8157"/>
    <cellStyle name="Millares 3 2 2 5 3 2" xfId="8925"/>
    <cellStyle name="Millares 3 2 2 5 4" xfId="8349"/>
    <cellStyle name="Millares 3 2 2 5 4 2" xfId="9117"/>
    <cellStyle name="Millares 3 2 2 5 5" xfId="8541"/>
    <cellStyle name="Millares 3 2 2 6" xfId="7869"/>
    <cellStyle name="Millares 3 2 2 6 2" xfId="8637"/>
    <cellStyle name="Millares 3 2 2 7" xfId="8061"/>
    <cellStyle name="Millares 3 2 2 7 2" xfId="8829"/>
    <cellStyle name="Millares 3 2 2 8" xfId="8253"/>
    <cellStyle name="Millares 3 2 2 8 2" xfId="9021"/>
    <cellStyle name="Millares 3 2 2 9" xfId="8445"/>
    <cellStyle name="Millares 3 2 3" xfId="7685"/>
    <cellStyle name="Millares 3 2 3 2" xfId="7733"/>
    <cellStyle name="Millares 3 2 3 2 2" xfId="7829"/>
    <cellStyle name="Millares 3 2 3 2 2 2" xfId="8021"/>
    <cellStyle name="Millares 3 2 3 2 2 2 2" xfId="8789"/>
    <cellStyle name="Millares 3 2 3 2 2 3" xfId="8213"/>
    <cellStyle name="Millares 3 2 3 2 2 3 2" xfId="8981"/>
    <cellStyle name="Millares 3 2 3 2 2 4" xfId="8405"/>
    <cellStyle name="Millares 3 2 3 2 2 4 2" xfId="9173"/>
    <cellStyle name="Millares 3 2 3 2 2 5" xfId="8597"/>
    <cellStyle name="Millares 3 2 3 2 3" xfId="7925"/>
    <cellStyle name="Millares 3 2 3 2 3 2" xfId="8693"/>
    <cellStyle name="Millares 3 2 3 2 4" xfId="8117"/>
    <cellStyle name="Millares 3 2 3 2 4 2" xfId="8885"/>
    <cellStyle name="Millares 3 2 3 2 5" xfId="8309"/>
    <cellStyle name="Millares 3 2 3 2 5 2" xfId="9077"/>
    <cellStyle name="Millares 3 2 3 2 6" xfId="8501"/>
    <cellStyle name="Millares 3 2 3 3" xfId="7781"/>
    <cellStyle name="Millares 3 2 3 3 2" xfId="7973"/>
    <cellStyle name="Millares 3 2 3 3 2 2" xfId="8741"/>
    <cellStyle name="Millares 3 2 3 3 3" xfId="8165"/>
    <cellStyle name="Millares 3 2 3 3 3 2" xfId="8933"/>
    <cellStyle name="Millares 3 2 3 3 4" xfId="8357"/>
    <cellStyle name="Millares 3 2 3 3 4 2" xfId="9125"/>
    <cellStyle name="Millares 3 2 3 3 5" xfId="8549"/>
    <cellStyle name="Millares 3 2 3 4" xfId="7877"/>
    <cellStyle name="Millares 3 2 3 4 2" xfId="8645"/>
    <cellStyle name="Millares 3 2 3 5" xfId="8069"/>
    <cellStyle name="Millares 3 2 3 5 2" xfId="8837"/>
    <cellStyle name="Millares 3 2 3 6" xfId="8261"/>
    <cellStyle name="Millares 3 2 3 6 2" xfId="9029"/>
    <cellStyle name="Millares 3 2 3 7" xfId="8453"/>
    <cellStyle name="Millares 3 2 4" xfId="7701"/>
    <cellStyle name="Millares 3 2 4 2" xfId="7749"/>
    <cellStyle name="Millares 3 2 4 2 2" xfId="7845"/>
    <cellStyle name="Millares 3 2 4 2 2 2" xfId="8037"/>
    <cellStyle name="Millares 3 2 4 2 2 2 2" xfId="8805"/>
    <cellStyle name="Millares 3 2 4 2 2 3" xfId="8229"/>
    <cellStyle name="Millares 3 2 4 2 2 3 2" xfId="8997"/>
    <cellStyle name="Millares 3 2 4 2 2 4" xfId="8421"/>
    <cellStyle name="Millares 3 2 4 2 2 4 2" xfId="9189"/>
    <cellStyle name="Millares 3 2 4 2 2 5" xfId="8613"/>
    <cellStyle name="Millares 3 2 4 2 3" xfId="7941"/>
    <cellStyle name="Millares 3 2 4 2 3 2" xfId="8709"/>
    <cellStyle name="Millares 3 2 4 2 4" xfId="8133"/>
    <cellStyle name="Millares 3 2 4 2 4 2" xfId="8901"/>
    <cellStyle name="Millares 3 2 4 2 5" xfId="8325"/>
    <cellStyle name="Millares 3 2 4 2 5 2" xfId="9093"/>
    <cellStyle name="Millares 3 2 4 2 6" xfId="8517"/>
    <cellStyle name="Millares 3 2 4 3" xfId="7797"/>
    <cellStyle name="Millares 3 2 4 3 2" xfId="7989"/>
    <cellStyle name="Millares 3 2 4 3 2 2" xfId="8757"/>
    <cellStyle name="Millares 3 2 4 3 3" xfId="8181"/>
    <cellStyle name="Millares 3 2 4 3 3 2" xfId="8949"/>
    <cellStyle name="Millares 3 2 4 3 4" xfId="8373"/>
    <cellStyle name="Millares 3 2 4 3 4 2" xfId="9141"/>
    <cellStyle name="Millares 3 2 4 3 5" xfId="8565"/>
    <cellStyle name="Millares 3 2 4 4" xfId="7893"/>
    <cellStyle name="Millares 3 2 4 4 2" xfId="8661"/>
    <cellStyle name="Millares 3 2 4 5" xfId="8085"/>
    <cellStyle name="Millares 3 2 4 5 2" xfId="8853"/>
    <cellStyle name="Millares 3 2 4 6" xfId="8277"/>
    <cellStyle name="Millares 3 2 4 6 2" xfId="9045"/>
    <cellStyle name="Millares 3 2 4 7" xfId="8469"/>
    <cellStyle name="Millares 3 2 5" xfId="7717"/>
    <cellStyle name="Millares 3 2 5 2" xfId="7813"/>
    <cellStyle name="Millares 3 2 5 2 2" xfId="8005"/>
    <cellStyle name="Millares 3 2 5 2 2 2" xfId="8773"/>
    <cellStyle name="Millares 3 2 5 2 3" xfId="8197"/>
    <cellStyle name="Millares 3 2 5 2 3 2" xfId="8965"/>
    <cellStyle name="Millares 3 2 5 2 4" xfId="8389"/>
    <cellStyle name="Millares 3 2 5 2 4 2" xfId="9157"/>
    <cellStyle name="Millares 3 2 5 2 5" xfId="8581"/>
    <cellStyle name="Millares 3 2 5 3" xfId="7909"/>
    <cellStyle name="Millares 3 2 5 3 2" xfId="8677"/>
    <cellStyle name="Millares 3 2 5 4" xfId="8101"/>
    <cellStyle name="Millares 3 2 5 4 2" xfId="8869"/>
    <cellStyle name="Millares 3 2 5 5" xfId="8293"/>
    <cellStyle name="Millares 3 2 5 5 2" xfId="9061"/>
    <cellStyle name="Millares 3 2 5 6" xfId="8485"/>
    <cellStyle name="Millares 3 2 6" xfId="7765"/>
    <cellStyle name="Millares 3 2 6 2" xfId="7957"/>
    <cellStyle name="Millares 3 2 6 2 2" xfId="8725"/>
    <cellStyle name="Millares 3 2 6 3" xfId="8149"/>
    <cellStyle name="Millares 3 2 6 3 2" xfId="8917"/>
    <cellStyle name="Millares 3 2 6 4" xfId="8341"/>
    <cellStyle name="Millares 3 2 6 4 2" xfId="9109"/>
    <cellStyle name="Millares 3 2 6 5" xfId="8533"/>
    <cellStyle name="Millares 3 2 7" xfId="7861"/>
    <cellStyle name="Millares 3 2 7 2" xfId="8629"/>
    <cellStyle name="Millares 3 2 8" xfId="8053"/>
    <cellStyle name="Millares 3 2 8 2" xfId="8821"/>
    <cellStyle name="Millares 3 2 9" xfId="8245"/>
    <cellStyle name="Millares 3 2 9 2" xfId="9013"/>
    <cellStyle name="Millares 3 3" xfId="7671"/>
    <cellStyle name="Millares 3 3 10" xfId="8439"/>
    <cellStyle name="Millares 3 3 2" xfId="7679"/>
    <cellStyle name="Millares 3 3 2 2" xfId="7695"/>
    <cellStyle name="Millares 3 3 2 2 2" xfId="7743"/>
    <cellStyle name="Millares 3 3 2 2 2 2" xfId="7839"/>
    <cellStyle name="Millares 3 3 2 2 2 2 2" xfId="8031"/>
    <cellStyle name="Millares 3 3 2 2 2 2 2 2" xfId="8799"/>
    <cellStyle name="Millares 3 3 2 2 2 2 3" xfId="8223"/>
    <cellStyle name="Millares 3 3 2 2 2 2 3 2" xfId="8991"/>
    <cellStyle name="Millares 3 3 2 2 2 2 4" xfId="8415"/>
    <cellStyle name="Millares 3 3 2 2 2 2 4 2" xfId="9183"/>
    <cellStyle name="Millares 3 3 2 2 2 2 5" xfId="8607"/>
    <cellStyle name="Millares 3 3 2 2 2 3" xfId="7935"/>
    <cellStyle name="Millares 3 3 2 2 2 3 2" xfId="8703"/>
    <cellStyle name="Millares 3 3 2 2 2 4" xfId="8127"/>
    <cellStyle name="Millares 3 3 2 2 2 4 2" xfId="8895"/>
    <cellStyle name="Millares 3 3 2 2 2 5" xfId="8319"/>
    <cellStyle name="Millares 3 3 2 2 2 5 2" xfId="9087"/>
    <cellStyle name="Millares 3 3 2 2 2 6" xfId="8511"/>
    <cellStyle name="Millares 3 3 2 2 3" xfId="7791"/>
    <cellStyle name="Millares 3 3 2 2 3 2" xfId="7983"/>
    <cellStyle name="Millares 3 3 2 2 3 2 2" xfId="8751"/>
    <cellStyle name="Millares 3 3 2 2 3 3" xfId="8175"/>
    <cellStyle name="Millares 3 3 2 2 3 3 2" xfId="8943"/>
    <cellStyle name="Millares 3 3 2 2 3 4" xfId="8367"/>
    <cellStyle name="Millares 3 3 2 2 3 4 2" xfId="9135"/>
    <cellStyle name="Millares 3 3 2 2 3 5" xfId="8559"/>
    <cellStyle name="Millares 3 3 2 2 4" xfId="7887"/>
    <cellStyle name="Millares 3 3 2 2 4 2" xfId="8655"/>
    <cellStyle name="Millares 3 3 2 2 5" xfId="8079"/>
    <cellStyle name="Millares 3 3 2 2 5 2" xfId="8847"/>
    <cellStyle name="Millares 3 3 2 2 6" xfId="8271"/>
    <cellStyle name="Millares 3 3 2 2 6 2" xfId="9039"/>
    <cellStyle name="Millares 3 3 2 2 7" xfId="8463"/>
    <cellStyle name="Millares 3 3 2 3" xfId="7711"/>
    <cellStyle name="Millares 3 3 2 3 2" xfId="7759"/>
    <cellStyle name="Millares 3 3 2 3 2 2" xfId="7855"/>
    <cellStyle name="Millares 3 3 2 3 2 2 2" xfId="8047"/>
    <cellStyle name="Millares 3 3 2 3 2 2 2 2" xfId="8815"/>
    <cellStyle name="Millares 3 3 2 3 2 2 3" xfId="8239"/>
    <cellStyle name="Millares 3 3 2 3 2 2 3 2" xfId="9007"/>
    <cellStyle name="Millares 3 3 2 3 2 2 4" xfId="8431"/>
    <cellStyle name="Millares 3 3 2 3 2 2 4 2" xfId="9199"/>
    <cellStyle name="Millares 3 3 2 3 2 2 5" xfId="8623"/>
    <cellStyle name="Millares 3 3 2 3 2 3" xfId="7951"/>
    <cellStyle name="Millares 3 3 2 3 2 3 2" xfId="8719"/>
    <cellStyle name="Millares 3 3 2 3 2 4" xfId="8143"/>
    <cellStyle name="Millares 3 3 2 3 2 4 2" xfId="8911"/>
    <cellStyle name="Millares 3 3 2 3 2 5" xfId="8335"/>
    <cellStyle name="Millares 3 3 2 3 2 5 2" xfId="9103"/>
    <cellStyle name="Millares 3 3 2 3 2 6" xfId="8527"/>
    <cellStyle name="Millares 3 3 2 3 3" xfId="7807"/>
    <cellStyle name="Millares 3 3 2 3 3 2" xfId="7999"/>
    <cellStyle name="Millares 3 3 2 3 3 2 2" xfId="8767"/>
    <cellStyle name="Millares 3 3 2 3 3 3" xfId="8191"/>
    <cellStyle name="Millares 3 3 2 3 3 3 2" xfId="8959"/>
    <cellStyle name="Millares 3 3 2 3 3 4" xfId="8383"/>
    <cellStyle name="Millares 3 3 2 3 3 4 2" xfId="9151"/>
    <cellStyle name="Millares 3 3 2 3 3 5" xfId="8575"/>
    <cellStyle name="Millares 3 3 2 3 4" xfId="7903"/>
    <cellStyle name="Millares 3 3 2 3 4 2" xfId="8671"/>
    <cellStyle name="Millares 3 3 2 3 5" xfId="8095"/>
    <cellStyle name="Millares 3 3 2 3 5 2" xfId="8863"/>
    <cellStyle name="Millares 3 3 2 3 6" xfId="8287"/>
    <cellStyle name="Millares 3 3 2 3 6 2" xfId="9055"/>
    <cellStyle name="Millares 3 3 2 3 7" xfId="8479"/>
    <cellStyle name="Millares 3 3 2 4" xfId="7727"/>
    <cellStyle name="Millares 3 3 2 4 2" xfId="7823"/>
    <cellStyle name="Millares 3 3 2 4 2 2" xfId="8015"/>
    <cellStyle name="Millares 3 3 2 4 2 2 2" xfId="8783"/>
    <cellStyle name="Millares 3 3 2 4 2 3" xfId="8207"/>
    <cellStyle name="Millares 3 3 2 4 2 3 2" xfId="8975"/>
    <cellStyle name="Millares 3 3 2 4 2 4" xfId="8399"/>
    <cellStyle name="Millares 3 3 2 4 2 4 2" xfId="9167"/>
    <cellStyle name="Millares 3 3 2 4 2 5" xfId="8591"/>
    <cellStyle name="Millares 3 3 2 4 3" xfId="7919"/>
    <cellStyle name="Millares 3 3 2 4 3 2" xfId="8687"/>
    <cellStyle name="Millares 3 3 2 4 4" xfId="8111"/>
    <cellStyle name="Millares 3 3 2 4 4 2" xfId="8879"/>
    <cellStyle name="Millares 3 3 2 4 5" xfId="8303"/>
    <cellStyle name="Millares 3 3 2 4 5 2" xfId="9071"/>
    <cellStyle name="Millares 3 3 2 4 6" xfId="8495"/>
    <cellStyle name="Millares 3 3 2 5" xfId="7775"/>
    <cellStyle name="Millares 3 3 2 5 2" xfId="7967"/>
    <cellStyle name="Millares 3 3 2 5 2 2" xfId="8735"/>
    <cellStyle name="Millares 3 3 2 5 3" xfId="8159"/>
    <cellStyle name="Millares 3 3 2 5 3 2" xfId="8927"/>
    <cellStyle name="Millares 3 3 2 5 4" xfId="8351"/>
    <cellStyle name="Millares 3 3 2 5 4 2" xfId="9119"/>
    <cellStyle name="Millares 3 3 2 5 5" xfId="8543"/>
    <cellStyle name="Millares 3 3 2 6" xfId="7871"/>
    <cellStyle name="Millares 3 3 2 6 2" xfId="8639"/>
    <cellStyle name="Millares 3 3 2 7" xfId="8063"/>
    <cellStyle name="Millares 3 3 2 7 2" xfId="8831"/>
    <cellStyle name="Millares 3 3 2 8" xfId="8255"/>
    <cellStyle name="Millares 3 3 2 8 2" xfId="9023"/>
    <cellStyle name="Millares 3 3 2 9" xfId="8447"/>
    <cellStyle name="Millares 3 3 3" xfId="7687"/>
    <cellStyle name="Millares 3 3 3 2" xfId="7735"/>
    <cellStyle name="Millares 3 3 3 2 2" xfId="7831"/>
    <cellStyle name="Millares 3 3 3 2 2 2" xfId="8023"/>
    <cellStyle name="Millares 3 3 3 2 2 2 2" xfId="8791"/>
    <cellStyle name="Millares 3 3 3 2 2 3" xfId="8215"/>
    <cellStyle name="Millares 3 3 3 2 2 3 2" xfId="8983"/>
    <cellStyle name="Millares 3 3 3 2 2 4" xfId="8407"/>
    <cellStyle name="Millares 3 3 3 2 2 4 2" xfId="9175"/>
    <cellStyle name="Millares 3 3 3 2 2 5" xfId="8599"/>
    <cellStyle name="Millares 3 3 3 2 3" xfId="7927"/>
    <cellStyle name="Millares 3 3 3 2 3 2" xfId="8695"/>
    <cellStyle name="Millares 3 3 3 2 4" xfId="8119"/>
    <cellStyle name="Millares 3 3 3 2 4 2" xfId="8887"/>
    <cellStyle name="Millares 3 3 3 2 5" xfId="8311"/>
    <cellStyle name="Millares 3 3 3 2 5 2" xfId="9079"/>
    <cellStyle name="Millares 3 3 3 2 6" xfId="8503"/>
    <cellStyle name="Millares 3 3 3 3" xfId="7783"/>
    <cellStyle name="Millares 3 3 3 3 2" xfId="7975"/>
    <cellStyle name="Millares 3 3 3 3 2 2" xfId="8743"/>
    <cellStyle name="Millares 3 3 3 3 3" xfId="8167"/>
    <cellStyle name="Millares 3 3 3 3 3 2" xfId="8935"/>
    <cellStyle name="Millares 3 3 3 3 4" xfId="8359"/>
    <cellStyle name="Millares 3 3 3 3 4 2" xfId="9127"/>
    <cellStyle name="Millares 3 3 3 3 5" xfId="8551"/>
    <cellStyle name="Millares 3 3 3 4" xfId="7879"/>
    <cellStyle name="Millares 3 3 3 4 2" xfId="8647"/>
    <cellStyle name="Millares 3 3 3 5" xfId="8071"/>
    <cellStyle name="Millares 3 3 3 5 2" xfId="8839"/>
    <cellStyle name="Millares 3 3 3 6" xfId="8263"/>
    <cellStyle name="Millares 3 3 3 6 2" xfId="9031"/>
    <cellStyle name="Millares 3 3 3 7" xfId="8455"/>
    <cellStyle name="Millares 3 3 4" xfId="7703"/>
    <cellStyle name="Millares 3 3 4 2" xfId="7751"/>
    <cellStyle name="Millares 3 3 4 2 2" xfId="7847"/>
    <cellStyle name="Millares 3 3 4 2 2 2" xfId="8039"/>
    <cellStyle name="Millares 3 3 4 2 2 2 2" xfId="8807"/>
    <cellStyle name="Millares 3 3 4 2 2 3" xfId="8231"/>
    <cellStyle name="Millares 3 3 4 2 2 3 2" xfId="8999"/>
    <cellStyle name="Millares 3 3 4 2 2 4" xfId="8423"/>
    <cellStyle name="Millares 3 3 4 2 2 4 2" xfId="9191"/>
    <cellStyle name="Millares 3 3 4 2 2 5" xfId="8615"/>
    <cellStyle name="Millares 3 3 4 2 3" xfId="7943"/>
    <cellStyle name="Millares 3 3 4 2 3 2" xfId="8711"/>
    <cellStyle name="Millares 3 3 4 2 4" xfId="8135"/>
    <cellStyle name="Millares 3 3 4 2 4 2" xfId="8903"/>
    <cellStyle name="Millares 3 3 4 2 5" xfId="8327"/>
    <cellStyle name="Millares 3 3 4 2 5 2" xfId="9095"/>
    <cellStyle name="Millares 3 3 4 2 6" xfId="8519"/>
    <cellStyle name="Millares 3 3 4 3" xfId="7799"/>
    <cellStyle name="Millares 3 3 4 3 2" xfId="7991"/>
    <cellStyle name="Millares 3 3 4 3 2 2" xfId="8759"/>
    <cellStyle name="Millares 3 3 4 3 3" xfId="8183"/>
    <cellStyle name="Millares 3 3 4 3 3 2" xfId="8951"/>
    <cellStyle name="Millares 3 3 4 3 4" xfId="8375"/>
    <cellStyle name="Millares 3 3 4 3 4 2" xfId="9143"/>
    <cellStyle name="Millares 3 3 4 3 5" xfId="8567"/>
    <cellStyle name="Millares 3 3 4 4" xfId="7895"/>
    <cellStyle name="Millares 3 3 4 4 2" xfId="8663"/>
    <cellStyle name="Millares 3 3 4 5" xfId="8087"/>
    <cellStyle name="Millares 3 3 4 5 2" xfId="8855"/>
    <cellStyle name="Millares 3 3 4 6" xfId="8279"/>
    <cellStyle name="Millares 3 3 4 6 2" xfId="9047"/>
    <cellStyle name="Millares 3 3 4 7" xfId="8471"/>
    <cellStyle name="Millares 3 3 5" xfId="7719"/>
    <cellStyle name="Millares 3 3 5 2" xfId="7815"/>
    <cellStyle name="Millares 3 3 5 2 2" xfId="8007"/>
    <cellStyle name="Millares 3 3 5 2 2 2" xfId="8775"/>
    <cellStyle name="Millares 3 3 5 2 3" xfId="8199"/>
    <cellStyle name="Millares 3 3 5 2 3 2" xfId="8967"/>
    <cellStyle name="Millares 3 3 5 2 4" xfId="8391"/>
    <cellStyle name="Millares 3 3 5 2 4 2" xfId="9159"/>
    <cellStyle name="Millares 3 3 5 2 5" xfId="8583"/>
    <cellStyle name="Millares 3 3 5 3" xfId="7911"/>
    <cellStyle name="Millares 3 3 5 3 2" xfId="8679"/>
    <cellStyle name="Millares 3 3 5 4" xfId="8103"/>
    <cellStyle name="Millares 3 3 5 4 2" xfId="8871"/>
    <cellStyle name="Millares 3 3 5 5" xfId="8295"/>
    <cellStyle name="Millares 3 3 5 5 2" xfId="9063"/>
    <cellStyle name="Millares 3 3 5 6" xfId="8487"/>
    <cellStyle name="Millares 3 3 6" xfId="7767"/>
    <cellStyle name="Millares 3 3 6 2" xfId="7959"/>
    <cellStyle name="Millares 3 3 6 2 2" xfId="8727"/>
    <cellStyle name="Millares 3 3 6 3" xfId="8151"/>
    <cellStyle name="Millares 3 3 6 3 2" xfId="8919"/>
    <cellStyle name="Millares 3 3 6 4" xfId="8343"/>
    <cellStyle name="Millares 3 3 6 4 2" xfId="9111"/>
    <cellStyle name="Millares 3 3 6 5" xfId="8535"/>
    <cellStyle name="Millares 3 3 7" xfId="7863"/>
    <cellStyle name="Millares 3 3 7 2" xfId="8631"/>
    <cellStyle name="Millares 3 3 8" xfId="8055"/>
    <cellStyle name="Millares 3 3 8 2" xfId="8823"/>
    <cellStyle name="Millares 3 3 9" xfId="8247"/>
    <cellStyle name="Millares 3 3 9 2" xfId="9015"/>
    <cellStyle name="Millares 3 4" xfId="7673"/>
    <cellStyle name="Millares 3 4 10" xfId="8441"/>
    <cellStyle name="Millares 3 4 2" xfId="7681"/>
    <cellStyle name="Millares 3 4 2 2" xfId="7697"/>
    <cellStyle name="Millares 3 4 2 2 2" xfId="7745"/>
    <cellStyle name="Millares 3 4 2 2 2 2" xfId="7841"/>
    <cellStyle name="Millares 3 4 2 2 2 2 2" xfId="8033"/>
    <cellStyle name="Millares 3 4 2 2 2 2 2 2" xfId="8801"/>
    <cellStyle name="Millares 3 4 2 2 2 2 3" xfId="8225"/>
    <cellStyle name="Millares 3 4 2 2 2 2 3 2" xfId="8993"/>
    <cellStyle name="Millares 3 4 2 2 2 2 4" xfId="8417"/>
    <cellStyle name="Millares 3 4 2 2 2 2 4 2" xfId="9185"/>
    <cellStyle name="Millares 3 4 2 2 2 2 5" xfId="8609"/>
    <cellStyle name="Millares 3 4 2 2 2 3" xfId="7937"/>
    <cellStyle name="Millares 3 4 2 2 2 3 2" xfId="8705"/>
    <cellStyle name="Millares 3 4 2 2 2 4" xfId="8129"/>
    <cellStyle name="Millares 3 4 2 2 2 4 2" xfId="8897"/>
    <cellStyle name="Millares 3 4 2 2 2 5" xfId="8321"/>
    <cellStyle name="Millares 3 4 2 2 2 5 2" xfId="9089"/>
    <cellStyle name="Millares 3 4 2 2 2 6" xfId="8513"/>
    <cellStyle name="Millares 3 4 2 2 3" xfId="7793"/>
    <cellStyle name="Millares 3 4 2 2 3 2" xfId="7985"/>
    <cellStyle name="Millares 3 4 2 2 3 2 2" xfId="8753"/>
    <cellStyle name="Millares 3 4 2 2 3 3" xfId="8177"/>
    <cellStyle name="Millares 3 4 2 2 3 3 2" xfId="8945"/>
    <cellStyle name="Millares 3 4 2 2 3 4" xfId="8369"/>
    <cellStyle name="Millares 3 4 2 2 3 4 2" xfId="9137"/>
    <cellStyle name="Millares 3 4 2 2 3 5" xfId="8561"/>
    <cellStyle name="Millares 3 4 2 2 4" xfId="7889"/>
    <cellStyle name="Millares 3 4 2 2 4 2" xfId="8657"/>
    <cellStyle name="Millares 3 4 2 2 5" xfId="8081"/>
    <cellStyle name="Millares 3 4 2 2 5 2" xfId="8849"/>
    <cellStyle name="Millares 3 4 2 2 6" xfId="8273"/>
    <cellStyle name="Millares 3 4 2 2 6 2" xfId="9041"/>
    <cellStyle name="Millares 3 4 2 2 7" xfId="8465"/>
    <cellStyle name="Millares 3 4 2 3" xfId="7713"/>
    <cellStyle name="Millares 3 4 2 3 2" xfId="7761"/>
    <cellStyle name="Millares 3 4 2 3 2 2" xfId="7857"/>
    <cellStyle name="Millares 3 4 2 3 2 2 2" xfId="8049"/>
    <cellStyle name="Millares 3 4 2 3 2 2 2 2" xfId="8817"/>
    <cellStyle name="Millares 3 4 2 3 2 2 3" xfId="8241"/>
    <cellStyle name="Millares 3 4 2 3 2 2 3 2" xfId="9009"/>
    <cellStyle name="Millares 3 4 2 3 2 2 4" xfId="8433"/>
    <cellStyle name="Millares 3 4 2 3 2 2 4 2" xfId="9201"/>
    <cellStyle name="Millares 3 4 2 3 2 2 5" xfId="8625"/>
    <cellStyle name="Millares 3 4 2 3 2 3" xfId="7953"/>
    <cellStyle name="Millares 3 4 2 3 2 3 2" xfId="8721"/>
    <cellStyle name="Millares 3 4 2 3 2 4" xfId="8145"/>
    <cellStyle name="Millares 3 4 2 3 2 4 2" xfId="8913"/>
    <cellStyle name="Millares 3 4 2 3 2 5" xfId="8337"/>
    <cellStyle name="Millares 3 4 2 3 2 5 2" xfId="9105"/>
    <cellStyle name="Millares 3 4 2 3 2 6" xfId="8529"/>
    <cellStyle name="Millares 3 4 2 3 3" xfId="7809"/>
    <cellStyle name="Millares 3 4 2 3 3 2" xfId="8001"/>
    <cellStyle name="Millares 3 4 2 3 3 2 2" xfId="8769"/>
    <cellStyle name="Millares 3 4 2 3 3 3" xfId="8193"/>
    <cellStyle name="Millares 3 4 2 3 3 3 2" xfId="8961"/>
    <cellStyle name="Millares 3 4 2 3 3 4" xfId="8385"/>
    <cellStyle name="Millares 3 4 2 3 3 4 2" xfId="9153"/>
    <cellStyle name="Millares 3 4 2 3 3 5" xfId="8577"/>
    <cellStyle name="Millares 3 4 2 3 4" xfId="7905"/>
    <cellStyle name="Millares 3 4 2 3 4 2" xfId="8673"/>
    <cellStyle name="Millares 3 4 2 3 5" xfId="8097"/>
    <cellStyle name="Millares 3 4 2 3 5 2" xfId="8865"/>
    <cellStyle name="Millares 3 4 2 3 6" xfId="8289"/>
    <cellStyle name="Millares 3 4 2 3 6 2" xfId="9057"/>
    <cellStyle name="Millares 3 4 2 3 7" xfId="8481"/>
    <cellStyle name="Millares 3 4 2 4" xfId="7729"/>
    <cellStyle name="Millares 3 4 2 4 2" xfId="7825"/>
    <cellStyle name="Millares 3 4 2 4 2 2" xfId="8017"/>
    <cellStyle name="Millares 3 4 2 4 2 2 2" xfId="8785"/>
    <cellStyle name="Millares 3 4 2 4 2 3" xfId="8209"/>
    <cellStyle name="Millares 3 4 2 4 2 3 2" xfId="8977"/>
    <cellStyle name="Millares 3 4 2 4 2 4" xfId="8401"/>
    <cellStyle name="Millares 3 4 2 4 2 4 2" xfId="9169"/>
    <cellStyle name="Millares 3 4 2 4 2 5" xfId="8593"/>
    <cellStyle name="Millares 3 4 2 4 3" xfId="7921"/>
    <cellStyle name="Millares 3 4 2 4 3 2" xfId="8689"/>
    <cellStyle name="Millares 3 4 2 4 4" xfId="8113"/>
    <cellStyle name="Millares 3 4 2 4 4 2" xfId="8881"/>
    <cellStyle name="Millares 3 4 2 4 5" xfId="8305"/>
    <cellStyle name="Millares 3 4 2 4 5 2" xfId="9073"/>
    <cellStyle name="Millares 3 4 2 4 6" xfId="8497"/>
    <cellStyle name="Millares 3 4 2 5" xfId="7777"/>
    <cellStyle name="Millares 3 4 2 5 2" xfId="7969"/>
    <cellStyle name="Millares 3 4 2 5 2 2" xfId="8737"/>
    <cellStyle name="Millares 3 4 2 5 3" xfId="8161"/>
    <cellStyle name="Millares 3 4 2 5 3 2" xfId="8929"/>
    <cellStyle name="Millares 3 4 2 5 4" xfId="8353"/>
    <cellStyle name="Millares 3 4 2 5 4 2" xfId="9121"/>
    <cellStyle name="Millares 3 4 2 5 5" xfId="8545"/>
    <cellStyle name="Millares 3 4 2 6" xfId="7873"/>
    <cellStyle name="Millares 3 4 2 6 2" xfId="8641"/>
    <cellStyle name="Millares 3 4 2 7" xfId="8065"/>
    <cellStyle name="Millares 3 4 2 7 2" xfId="8833"/>
    <cellStyle name="Millares 3 4 2 8" xfId="8257"/>
    <cellStyle name="Millares 3 4 2 8 2" xfId="9025"/>
    <cellStyle name="Millares 3 4 2 9" xfId="8449"/>
    <cellStyle name="Millares 3 4 3" xfId="7689"/>
    <cellStyle name="Millares 3 4 3 2" xfId="7737"/>
    <cellStyle name="Millares 3 4 3 2 2" xfId="7833"/>
    <cellStyle name="Millares 3 4 3 2 2 2" xfId="8025"/>
    <cellStyle name="Millares 3 4 3 2 2 2 2" xfId="8793"/>
    <cellStyle name="Millares 3 4 3 2 2 3" xfId="8217"/>
    <cellStyle name="Millares 3 4 3 2 2 3 2" xfId="8985"/>
    <cellStyle name="Millares 3 4 3 2 2 4" xfId="8409"/>
    <cellStyle name="Millares 3 4 3 2 2 4 2" xfId="9177"/>
    <cellStyle name="Millares 3 4 3 2 2 5" xfId="8601"/>
    <cellStyle name="Millares 3 4 3 2 3" xfId="7929"/>
    <cellStyle name="Millares 3 4 3 2 3 2" xfId="8697"/>
    <cellStyle name="Millares 3 4 3 2 4" xfId="8121"/>
    <cellStyle name="Millares 3 4 3 2 4 2" xfId="8889"/>
    <cellStyle name="Millares 3 4 3 2 5" xfId="8313"/>
    <cellStyle name="Millares 3 4 3 2 5 2" xfId="9081"/>
    <cellStyle name="Millares 3 4 3 2 6" xfId="8505"/>
    <cellStyle name="Millares 3 4 3 3" xfId="7785"/>
    <cellStyle name="Millares 3 4 3 3 2" xfId="7977"/>
    <cellStyle name="Millares 3 4 3 3 2 2" xfId="8745"/>
    <cellStyle name="Millares 3 4 3 3 3" xfId="8169"/>
    <cellStyle name="Millares 3 4 3 3 3 2" xfId="8937"/>
    <cellStyle name="Millares 3 4 3 3 4" xfId="8361"/>
    <cellStyle name="Millares 3 4 3 3 4 2" xfId="9129"/>
    <cellStyle name="Millares 3 4 3 3 5" xfId="8553"/>
    <cellStyle name="Millares 3 4 3 4" xfId="7881"/>
    <cellStyle name="Millares 3 4 3 4 2" xfId="8649"/>
    <cellStyle name="Millares 3 4 3 5" xfId="8073"/>
    <cellStyle name="Millares 3 4 3 5 2" xfId="8841"/>
    <cellStyle name="Millares 3 4 3 6" xfId="8265"/>
    <cellStyle name="Millares 3 4 3 6 2" xfId="9033"/>
    <cellStyle name="Millares 3 4 3 7" xfId="8457"/>
    <cellStyle name="Millares 3 4 4" xfId="7705"/>
    <cellStyle name="Millares 3 4 4 2" xfId="7753"/>
    <cellStyle name="Millares 3 4 4 2 2" xfId="7849"/>
    <cellStyle name="Millares 3 4 4 2 2 2" xfId="8041"/>
    <cellStyle name="Millares 3 4 4 2 2 2 2" xfId="8809"/>
    <cellStyle name="Millares 3 4 4 2 2 3" xfId="8233"/>
    <cellStyle name="Millares 3 4 4 2 2 3 2" xfId="9001"/>
    <cellStyle name="Millares 3 4 4 2 2 4" xfId="8425"/>
    <cellStyle name="Millares 3 4 4 2 2 4 2" xfId="9193"/>
    <cellStyle name="Millares 3 4 4 2 2 5" xfId="8617"/>
    <cellStyle name="Millares 3 4 4 2 3" xfId="7945"/>
    <cellStyle name="Millares 3 4 4 2 3 2" xfId="8713"/>
    <cellStyle name="Millares 3 4 4 2 4" xfId="8137"/>
    <cellStyle name="Millares 3 4 4 2 4 2" xfId="8905"/>
    <cellStyle name="Millares 3 4 4 2 5" xfId="8329"/>
    <cellStyle name="Millares 3 4 4 2 5 2" xfId="9097"/>
    <cellStyle name="Millares 3 4 4 2 6" xfId="8521"/>
    <cellStyle name="Millares 3 4 4 3" xfId="7801"/>
    <cellStyle name="Millares 3 4 4 3 2" xfId="7993"/>
    <cellStyle name="Millares 3 4 4 3 2 2" xfId="8761"/>
    <cellStyle name="Millares 3 4 4 3 3" xfId="8185"/>
    <cellStyle name="Millares 3 4 4 3 3 2" xfId="8953"/>
    <cellStyle name="Millares 3 4 4 3 4" xfId="8377"/>
    <cellStyle name="Millares 3 4 4 3 4 2" xfId="9145"/>
    <cellStyle name="Millares 3 4 4 3 5" xfId="8569"/>
    <cellStyle name="Millares 3 4 4 4" xfId="7897"/>
    <cellStyle name="Millares 3 4 4 4 2" xfId="8665"/>
    <cellStyle name="Millares 3 4 4 5" xfId="8089"/>
    <cellStyle name="Millares 3 4 4 5 2" xfId="8857"/>
    <cellStyle name="Millares 3 4 4 6" xfId="8281"/>
    <cellStyle name="Millares 3 4 4 6 2" xfId="9049"/>
    <cellStyle name="Millares 3 4 4 7" xfId="8473"/>
    <cellStyle name="Millares 3 4 5" xfId="7721"/>
    <cellStyle name="Millares 3 4 5 2" xfId="7817"/>
    <cellStyle name="Millares 3 4 5 2 2" xfId="8009"/>
    <cellStyle name="Millares 3 4 5 2 2 2" xfId="8777"/>
    <cellStyle name="Millares 3 4 5 2 3" xfId="8201"/>
    <cellStyle name="Millares 3 4 5 2 3 2" xfId="8969"/>
    <cellStyle name="Millares 3 4 5 2 4" xfId="8393"/>
    <cellStyle name="Millares 3 4 5 2 4 2" xfId="9161"/>
    <cellStyle name="Millares 3 4 5 2 5" xfId="8585"/>
    <cellStyle name="Millares 3 4 5 3" xfId="7913"/>
    <cellStyle name="Millares 3 4 5 3 2" xfId="8681"/>
    <cellStyle name="Millares 3 4 5 4" xfId="8105"/>
    <cellStyle name="Millares 3 4 5 4 2" xfId="8873"/>
    <cellStyle name="Millares 3 4 5 5" xfId="8297"/>
    <cellStyle name="Millares 3 4 5 5 2" xfId="9065"/>
    <cellStyle name="Millares 3 4 5 6" xfId="8489"/>
    <cellStyle name="Millares 3 4 6" xfId="7769"/>
    <cellStyle name="Millares 3 4 6 2" xfId="7961"/>
    <cellStyle name="Millares 3 4 6 2 2" xfId="8729"/>
    <cellStyle name="Millares 3 4 6 3" xfId="8153"/>
    <cellStyle name="Millares 3 4 6 3 2" xfId="8921"/>
    <cellStyle name="Millares 3 4 6 4" xfId="8345"/>
    <cellStyle name="Millares 3 4 6 4 2" xfId="9113"/>
    <cellStyle name="Millares 3 4 6 5" xfId="8537"/>
    <cellStyle name="Millares 3 4 7" xfId="7865"/>
    <cellStyle name="Millares 3 4 7 2" xfId="8633"/>
    <cellStyle name="Millares 3 4 8" xfId="8057"/>
    <cellStyle name="Millares 3 4 8 2" xfId="8825"/>
    <cellStyle name="Millares 3 4 9" xfId="8249"/>
    <cellStyle name="Millares 3 4 9 2" xfId="9017"/>
    <cellStyle name="Millares 3 5" xfId="7675"/>
    <cellStyle name="Millares 3 5 2" xfId="7691"/>
    <cellStyle name="Millares 3 5 2 2" xfId="7739"/>
    <cellStyle name="Millares 3 5 2 2 2" xfId="7835"/>
    <cellStyle name="Millares 3 5 2 2 2 2" xfId="8027"/>
    <cellStyle name="Millares 3 5 2 2 2 2 2" xfId="8795"/>
    <cellStyle name="Millares 3 5 2 2 2 3" xfId="8219"/>
    <cellStyle name="Millares 3 5 2 2 2 3 2" xfId="8987"/>
    <cellStyle name="Millares 3 5 2 2 2 4" xfId="8411"/>
    <cellStyle name="Millares 3 5 2 2 2 4 2" xfId="9179"/>
    <cellStyle name="Millares 3 5 2 2 2 5" xfId="8603"/>
    <cellStyle name="Millares 3 5 2 2 3" xfId="7931"/>
    <cellStyle name="Millares 3 5 2 2 3 2" xfId="8699"/>
    <cellStyle name="Millares 3 5 2 2 4" xfId="8123"/>
    <cellStyle name="Millares 3 5 2 2 4 2" xfId="8891"/>
    <cellStyle name="Millares 3 5 2 2 5" xfId="8315"/>
    <cellStyle name="Millares 3 5 2 2 5 2" xfId="9083"/>
    <cellStyle name="Millares 3 5 2 2 6" xfId="8507"/>
    <cellStyle name="Millares 3 5 2 3" xfId="7787"/>
    <cellStyle name="Millares 3 5 2 3 2" xfId="7979"/>
    <cellStyle name="Millares 3 5 2 3 2 2" xfId="8747"/>
    <cellStyle name="Millares 3 5 2 3 3" xfId="8171"/>
    <cellStyle name="Millares 3 5 2 3 3 2" xfId="8939"/>
    <cellStyle name="Millares 3 5 2 3 4" xfId="8363"/>
    <cellStyle name="Millares 3 5 2 3 4 2" xfId="9131"/>
    <cellStyle name="Millares 3 5 2 3 5" xfId="8555"/>
    <cellStyle name="Millares 3 5 2 4" xfId="7883"/>
    <cellStyle name="Millares 3 5 2 4 2" xfId="8651"/>
    <cellStyle name="Millares 3 5 2 5" xfId="8075"/>
    <cellStyle name="Millares 3 5 2 5 2" xfId="8843"/>
    <cellStyle name="Millares 3 5 2 6" xfId="8267"/>
    <cellStyle name="Millares 3 5 2 6 2" xfId="9035"/>
    <cellStyle name="Millares 3 5 2 7" xfId="8459"/>
    <cellStyle name="Millares 3 5 3" xfId="7707"/>
    <cellStyle name="Millares 3 5 3 2" xfId="7755"/>
    <cellStyle name="Millares 3 5 3 2 2" xfId="7851"/>
    <cellStyle name="Millares 3 5 3 2 2 2" xfId="8043"/>
    <cellStyle name="Millares 3 5 3 2 2 2 2" xfId="8811"/>
    <cellStyle name="Millares 3 5 3 2 2 3" xfId="8235"/>
    <cellStyle name="Millares 3 5 3 2 2 3 2" xfId="9003"/>
    <cellStyle name="Millares 3 5 3 2 2 4" xfId="8427"/>
    <cellStyle name="Millares 3 5 3 2 2 4 2" xfId="9195"/>
    <cellStyle name="Millares 3 5 3 2 2 5" xfId="8619"/>
    <cellStyle name="Millares 3 5 3 2 3" xfId="7947"/>
    <cellStyle name="Millares 3 5 3 2 3 2" xfId="8715"/>
    <cellStyle name="Millares 3 5 3 2 4" xfId="8139"/>
    <cellStyle name="Millares 3 5 3 2 4 2" xfId="8907"/>
    <cellStyle name="Millares 3 5 3 2 5" xfId="8331"/>
    <cellStyle name="Millares 3 5 3 2 5 2" xfId="9099"/>
    <cellStyle name="Millares 3 5 3 2 6" xfId="8523"/>
    <cellStyle name="Millares 3 5 3 3" xfId="7803"/>
    <cellStyle name="Millares 3 5 3 3 2" xfId="7995"/>
    <cellStyle name="Millares 3 5 3 3 2 2" xfId="8763"/>
    <cellStyle name="Millares 3 5 3 3 3" xfId="8187"/>
    <cellStyle name="Millares 3 5 3 3 3 2" xfId="8955"/>
    <cellStyle name="Millares 3 5 3 3 4" xfId="8379"/>
    <cellStyle name="Millares 3 5 3 3 4 2" xfId="9147"/>
    <cellStyle name="Millares 3 5 3 3 5" xfId="8571"/>
    <cellStyle name="Millares 3 5 3 4" xfId="7899"/>
    <cellStyle name="Millares 3 5 3 4 2" xfId="8667"/>
    <cellStyle name="Millares 3 5 3 5" xfId="8091"/>
    <cellStyle name="Millares 3 5 3 5 2" xfId="8859"/>
    <cellStyle name="Millares 3 5 3 6" xfId="8283"/>
    <cellStyle name="Millares 3 5 3 6 2" xfId="9051"/>
    <cellStyle name="Millares 3 5 3 7" xfId="8475"/>
    <cellStyle name="Millares 3 5 4" xfId="7723"/>
    <cellStyle name="Millares 3 5 4 2" xfId="7819"/>
    <cellStyle name="Millares 3 5 4 2 2" xfId="8011"/>
    <cellStyle name="Millares 3 5 4 2 2 2" xfId="8779"/>
    <cellStyle name="Millares 3 5 4 2 3" xfId="8203"/>
    <cellStyle name="Millares 3 5 4 2 3 2" xfId="8971"/>
    <cellStyle name="Millares 3 5 4 2 4" xfId="8395"/>
    <cellStyle name="Millares 3 5 4 2 4 2" xfId="9163"/>
    <cellStyle name="Millares 3 5 4 2 5" xfId="8587"/>
    <cellStyle name="Millares 3 5 4 3" xfId="7915"/>
    <cellStyle name="Millares 3 5 4 3 2" xfId="8683"/>
    <cellStyle name="Millares 3 5 4 4" xfId="8107"/>
    <cellStyle name="Millares 3 5 4 4 2" xfId="8875"/>
    <cellStyle name="Millares 3 5 4 5" xfId="8299"/>
    <cellStyle name="Millares 3 5 4 5 2" xfId="9067"/>
    <cellStyle name="Millares 3 5 4 6" xfId="8491"/>
    <cellStyle name="Millares 3 5 5" xfId="7771"/>
    <cellStyle name="Millares 3 5 5 2" xfId="7963"/>
    <cellStyle name="Millares 3 5 5 2 2" xfId="8731"/>
    <cellStyle name="Millares 3 5 5 3" xfId="8155"/>
    <cellStyle name="Millares 3 5 5 3 2" xfId="8923"/>
    <cellStyle name="Millares 3 5 5 4" xfId="8347"/>
    <cellStyle name="Millares 3 5 5 4 2" xfId="9115"/>
    <cellStyle name="Millares 3 5 5 5" xfId="8539"/>
    <cellStyle name="Millares 3 5 6" xfId="7867"/>
    <cellStyle name="Millares 3 5 6 2" xfId="8635"/>
    <cellStyle name="Millares 3 5 7" xfId="8059"/>
    <cellStyle name="Millares 3 5 7 2" xfId="8827"/>
    <cellStyle name="Millares 3 5 8" xfId="8251"/>
    <cellStyle name="Millares 3 5 8 2" xfId="9019"/>
    <cellStyle name="Millares 3 5 9" xfId="8443"/>
    <cellStyle name="Millares 3 6" xfId="7683"/>
    <cellStyle name="Millares 3 6 2" xfId="7731"/>
    <cellStyle name="Millares 3 6 2 2" xfId="7827"/>
    <cellStyle name="Millares 3 6 2 2 2" xfId="8019"/>
    <cellStyle name="Millares 3 6 2 2 2 2" xfId="8787"/>
    <cellStyle name="Millares 3 6 2 2 3" xfId="8211"/>
    <cellStyle name="Millares 3 6 2 2 3 2" xfId="8979"/>
    <cellStyle name="Millares 3 6 2 2 4" xfId="8403"/>
    <cellStyle name="Millares 3 6 2 2 4 2" xfId="9171"/>
    <cellStyle name="Millares 3 6 2 2 5" xfId="8595"/>
    <cellStyle name="Millares 3 6 2 3" xfId="7923"/>
    <cellStyle name="Millares 3 6 2 3 2" xfId="8691"/>
    <cellStyle name="Millares 3 6 2 4" xfId="8115"/>
    <cellStyle name="Millares 3 6 2 4 2" xfId="8883"/>
    <cellStyle name="Millares 3 6 2 5" xfId="8307"/>
    <cellStyle name="Millares 3 6 2 5 2" xfId="9075"/>
    <cellStyle name="Millares 3 6 2 6" xfId="8499"/>
    <cellStyle name="Millares 3 6 3" xfId="7779"/>
    <cellStyle name="Millares 3 6 3 2" xfId="7971"/>
    <cellStyle name="Millares 3 6 3 2 2" xfId="8739"/>
    <cellStyle name="Millares 3 6 3 3" xfId="8163"/>
    <cellStyle name="Millares 3 6 3 3 2" xfId="8931"/>
    <cellStyle name="Millares 3 6 3 4" xfId="8355"/>
    <cellStyle name="Millares 3 6 3 4 2" xfId="9123"/>
    <cellStyle name="Millares 3 6 3 5" xfId="8547"/>
    <cellStyle name="Millares 3 6 4" xfId="7875"/>
    <cellStyle name="Millares 3 6 4 2" xfId="8643"/>
    <cellStyle name="Millares 3 6 5" xfId="8067"/>
    <cellStyle name="Millares 3 6 5 2" xfId="8835"/>
    <cellStyle name="Millares 3 6 6" xfId="8259"/>
    <cellStyle name="Millares 3 6 6 2" xfId="9027"/>
    <cellStyle name="Millares 3 6 7" xfId="8451"/>
    <cellStyle name="Millares 3 7" xfId="7699"/>
    <cellStyle name="Millares 3 7 2" xfId="7747"/>
    <cellStyle name="Millares 3 7 2 2" xfId="7843"/>
    <cellStyle name="Millares 3 7 2 2 2" xfId="8035"/>
    <cellStyle name="Millares 3 7 2 2 2 2" xfId="8803"/>
    <cellStyle name="Millares 3 7 2 2 3" xfId="8227"/>
    <cellStyle name="Millares 3 7 2 2 3 2" xfId="8995"/>
    <cellStyle name="Millares 3 7 2 2 4" xfId="8419"/>
    <cellStyle name="Millares 3 7 2 2 4 2" xfId="9187"/>
    <cellStyle name="Millares 3 7 2 2 5" xfId="8611"/>
    <cellStyle name="Millares 3 7 2 3" xfId="7939"/>
    <cellStyle name="Millares 3 7 2 3 2" xfId="8707"/>
    <cellStyle name="Millares 3 7 2 4" xfId="8131"/>
    <cellStyle name="Millares 3 7 2 4 2" xfId="8899"/>
    <cellStyle name="Millares 3 7 2 5" xfId="8323"/>
    <cellStyle name="Millares 3 7 2 5 2" xfId="9091"/>
    <cellStyle name="Millares 3 7 2 6" xfId="8515"/>
    <cellStyle name="Millares 3 7 3" xfId="7795"/>
    <cellStyle name="Millares 3 7 3 2" xfId="7987"/>
    <cellStyle name="Millares 3 7 3 2 2" xfId="8755"/>
    <cellStyle name="Millares 3 7 3 3" xfId="8179"/>
    <cellStyle name="Millares 3 7 3 3 2" xfId="8947"/>
    <cellStyle name="Millares 3 7 3 4" xfId="8371"/>
    <cellStyle name="Millares 3 7 3 4 2" xfId="9139"/>
    <cellStyle name="Millares 3 7 3 5" xfId="8563"/>
    <cellStyle name="Millares 3 7 4" xfId="7891"/>
    <cellStyle name="Millares 3 7 4 2" xfId="8659"/>
    <cellStyle name="Millares 3 7 5" xfId="8083"/>
    <cellStyle name="Millares 3 7 5 2" xfId="8851"/>
    <cellStyle name="Millares 3 7 6" xfId="8275"/>
    <cellStyle name="Millares 3 7 6 2" xfId="9043"/>
    <cellStyle name="Millares 3 7 7" xfId="8467"/>
    <cellStyle name="Millares 3 8" xfId="7715"/>
    <cellStyle name="Millares 3 8 2" xfId="7811"/>
    <cellStyle name="Millares 3 8 2 2" xfId="8003"/>
    <cellStyle name="Millares 3 8 2 2 2" xfId="8771"/>
    <cellStyle name="Millares 3 8 2 3" xfId="8195"/>
    <cellStyle name="Millares 3 8 2 3 2" xfId="8963"/>
    <cellStyle name="Millares 3 8 2 4" xfId="8387"/>
    <cellStyle name="Millares 3 8 2 4 2" xfId="9155"/>
    <cellStyle name="Millares 3 8 2 5" xfId="8579"/>
    <cellStyle name="Millares 3 8 3" xfId="7907"/>
    <cellStyle name="Millares 3 8 3 2" xfId="8675"/>
    <cellStyle name="Millares 3 8 4" xfId="8099"/>
    <cellStyle name="Millares 3 8 4 2" xfId="8867"/>
    <cellStyle name="Millares 3 8 5" xfId="8291"/>
    <cellStyle name="Millares 3 8 5 2" xfId="9059"/>
    <cellStyle name="Millares 3 8 6" xfId="8483"/>
    <cellStyle name="Millares 3 9" xfId="7763"/>
    <cellStyle name="Millares 3 9 2" xfId="7955"/>
    <cellStyle name="Millares 3 9 2 2" xfId="8723"/>
    <cellStyle name="Millares 3 9 3" xfId="8147"/>
    <cellStyle name="Millares 3 9 3 2" xfId="8915"/>
    <cellStyle name="Millares 3 9 4" xfId="8339"/>
    <cellStyle name="Millares 3 9 4 2" xfId="9107"/>
    <cellStyle name="Millares 3 9 5" xfId="8531"/>
    <cellStyle name="Millares 4" xfId="5725"/>
    <cellStyle name="Millares 4 10" xfId="7860"/>
    <cellStyle name="Millares 4 10 2" xfId="8628"/>
    <cellStyle name="Millares 4 11" xfId="8052"/>
    <cellStyle name="Millares 4 11 2" xfId="8820"/>
    <cellStyle name="Millares 4 12" xfId="8244"/>
    <cellStyle name="Millares 4 12 2" xfId="9012"/>
    <cellStyle name="Millares 4 13" xfId="8436"/>
    <cellStyle name="Millares 4 14" xfId="7668"/>
    <cellStyle name="Millares 4 2" xfId="7670"/>
    <cellStyle name="Millares 4 2 10" xfId="8438"/>
    <cellStyle name="Millares 4 2 2" xfId="7678"/>
    <cellStyle name="Millares 4 2 2 2" xfId="7694"/>
    <cellStyle name="Millares 4 2 2 2 2" xfId="7742"/>
    <cellStyle name="Millares 4 2 2 2 2 2" xfId="7838"/>
    <cellStyle name="Millares 4 2 2 2 2 2 2" xfId="8030"/>
    <cellStyle name="Millares 4 2 2 2 2 2 2 2" xfId="8798"/>
    <cellStyle name="Millares 4 2 2 2 2 2 3" xfId="8222"/>
    <cellStyle name="Millares 4 2 2 2 2 2 3 2" xfId="8990"/>
    <cellStyle name="Millares 4 2 2 2 2 2 4" xfId="8414"/>
    <cellStyle name="Millares 4 2 2 2 2 2 4 2" xfId="9182"/>
    <cellStyle name="Millares 4 2 2 2 2 2 5" xfId="8606"/>
    <cellStyle name="Millares 4 2 2 2 2 3" xfId="7934"/>
    <cellStyle name="Millares 4 2 2 2 2 3 2" xfId="8702"/>
    <cellStyle name="Millares 4 2 2 2 2 4" xfId="8126"/>
    <cellStyle name="Millares 4 2 2 2 2 4 2" xfId="8894"/>
    <cellStyle name="Millares 4 2 2 2 2 5" xfId="8318"/>
    <cellStyle name="Millares 4 2 2 2 2 5 2" xfId="9086"/>
    <cellStyle name="Millares 4 2 2 2 2 6" xfId="8510"/>
    <cellStyle name="Millares 4 2 2 2 3" xfId="7790"/>
    <cellStyle name="Millares 4 2 2 2 3 2" xfId="7982"/>
    <cellStyle name="Millares 4 2 2 2 3 2 2" xfId="8750"/>
    <cellStyle name="Millares 4 2 2 2 3 3" xfId="8174"/>
    <cellStyle name="Millares 4 2 2 2 3 3 2" xfId="8942"/>
    <cellStyle name="Millares 4 2 2 2 3 4" xfId="8366"/>
    <cellStyle name="Millares 4 2 2 2 3 4 2" xfId="9134"/>
    <cellStyle name="Millares 4 2 2 2 3 5" xfId="8558"/>
    <cellStyle name="Millares 4 2 2 2 4" xfId="7886"/>
    <cellStyle name="Millares 4 2 2 2 4 2" xfId="8654"/>
    <cellStyle name="Millares 4 2 2 2 5" xfId="8078"/>
    <cellStyle name="Millares 4 2 2 2 5 2" xfId="8846"/>
    <cellStyle name="Millares 4 2 2 2 6" xfId="8270"/>
    <cellStyle name="Millares 4 2 2 2 6 2" xfId="9038"/>
    <cellStyle name="Millares 4 2 2 2 7" xfId="8462"/>
    <cellStyle name="Millares 4 2 2 3" xfId="7710"/>
    <cellStyle name="Millares 4 2 2 3 2" xfId="7758"/>
    <cellStyle name="Millares 4 2 2 3 2 2" xfId="7854"/>
    <cellStyle name="Millares 4 2 2 3 2 2 2" xfId="8046"/>
    <cellStyle name="Millares 4 2 2 3 2 2 2 2" xfId="8814"/>
    <cellStyle name="Millares 4 2 2 3 2 2 3" xfId="8238"/>
    <cellStyle name="Millares 4 2 2 3 2 2 3 2" xfId="9006"/>
    <cellStyle name="Millares 4 2 2 3 2 2 4" xfId="8430"/>
    <cellStyle name="Millares 4 2 2 3 2 2 4 2" xfId="9198"/>
    <cellStyle name="Millares 4 2 2 3 2 2 5" xfId="8622"/>
    <cellStyle name="Millares 4 2 2 3 2 3" xfId="7950"/>
    <cellStyle name="Millares 4 2 2 3 2 3 2" xfId="8718"/>
    <cellStyle name="Millares 4 2 2 3 2 4" xfId="8142"/>
    <cellStyle name="Millares 4 2 2 3 2 4 2" xfId="8910"/>
    <cellStyle name="Millares 4 2 2 3 2 5" xfId="8334"/>
    <cellStyle name="Millares 4 2 2 3 2 5 2" xfId="9102"/>
    <cellStyle name="Millares 4 2 2 3 2 6" xfId="8526"/>
    <cellStyle name="Millares 4 2 2 3 3" xfId="7806"/>
    <cellStyle name="Millares 4 2 2 3 3 2" xfId="7998"/>
    <cellStyle name="Millares 4 2 2 3 3 2 2" xfId="8766"/>
    <cellStyle name="Millares 4 2 2 3 3 3" xfId="8190"/>
    <cellStyle name="Millares 4 2 2 3 3 3 2" xfId="8958"/>
    <cellStyle name="Millares 4 2 2 3 3 4" xfId="8382"/>
    <cellStyle name="Millares 4 2 2 3 3 4 2" xfId="9150"/>
    <cellStyle name="Millares 4 2 2 3 3 5" xfId="8574"/>
    <cellStyle name="Millares 4 2 2 3 4" xfId="7902"/>
    <cellStyle name="Millares 4 2 2 3 4 2" xfId="8670"/>
    <cellStyle name="Millares 4 2 2 3 5" xfId="8094"/>
    <cellStyle name="Millares 4 2 2 3 5 2" xfId="8862"/>
    <cellStyle name="Millares 4 2 2 3 6" xfId="8286"/>
    <cellStyle name="Millares 4 2 2 3 6 2" xfId="9054"/>
    <cellStyle name="Millares 4 2 2 3 7" xfId="8478"/>
    <cellStyle name="Millares 4 2 2 4" xfId="7726"/>
    <cellStyle name="Millares 4 2 2 4 2" xfId="7822"/>
    <cellStyle name="Millares 4 2 2 4 2 2" xfId="8014"/>
    <cellStyle name="Millares 4 2 2 4 2 2 2" xfId="8782"/>
    <cellStyle name="Millares 4 2 2 4 2 3" xfId="8206"/>
    <cellStyle name="Millares 4 2 2 4 2 3 2" xfId="8974"/>
    <cellStyle name="Millares 4 2 2 4 2 4" xfId="8398"/>
    <cellStyle name="Millares 4 2 2 4 2 4 2" xfId="9166"/>
    <cellStyle name="Millares 4 2 2 4 2 5" xfId="8590"/>
    <cellStyle name="Millares 4 2 2 4 3" xfId="7918"/>
    <cellStyle name="Millares 4 2 2 4 3 2" xfId="8686"/>
    <cellStyle name="Millares 4 2 2 4 4" xfId="8110"/>
    <cellStyle name="Millares 4 2 2 4 4 2" xfId="8878"/>
    <cellStyle name="Millares 4 2 2 4 5" xfId="8302"/>
    <cellStyle name="Millares 4 2 2 4 5 2" xfId="9070"/>
    <cellStyle name="Millares 4 2 2 4 6" xfId="8494"/>
    <cellStyle name="Millares 4 2 2 5" xfId="7774"/>
    <cellStyle name="Millares 4 2 2 5 2" xfId="7966"/>
    <cellStyle name="Millares 4 2 2 5 2 2" xfId="8734"/>
    <cellStyle name="Millares 4 2 2 5 3" xfId="8158"/>
    <cellStyle name="Millares 4 2 2 5 3 2" xfId="8926"/>
    <cellStyle name="Millares 4 2 2 5 4" xfId="8350"/>
    <cellStyle name="Millares 4 2 2 5 4 2" xfId="9118"/>
    <cellStyle name="Millares 4 2 2 5 5" xfId="8542"/>
    <cellStyle name="Millares 4 2 2 6" xfId="7870"/>
    <cellStyle name="Millares 4 2 2 6 2" xfId="8638"/>
    <cellStyle name="Millares 4 2 2 7" xfId="8062"/>
    <cellStyle name="Millares 4 2 2 7 2" xfId="8830"/>
    <cellStyle name="Millares 4 2 2 8" xfId="8254"/>
    <cellStyle name="Millares 4 2 2 8 2" xfId="9022"/>
    <cellStyle name="Millares 4 2 2 9" xfId="8446"/>
    <cellStyle name="Millares 4 2 3" xfId="7686"/>
    <cellStyle name="Millares 4 2 3 2" xfId="7734"/>
    <cellStyle name="Millares 4 2 3 2 2" xfId="7830"/>
    <cellStyle name="Millares 4 2 3 2 2 2" xfId="8022"/>
    <cellStyle name="Millares 4 2 3 2 2 2 2" xfId="8790"/>
    <cellStyle name="Millares 4 2 3 2 2 3" xfId="8214"/>
    <cellStyle name="Millares 4 2 3 2 2 3 2" xfId="8982"/>
    <cellStyle name="Millares 4 2 3 2 2 4" xfId="8406"/>
    <cellStyle name="Millares 4 2 3 2 2 4 2" xfId="9174"/>
    <cellStyle name="Millares 4 2 3 2 2 5" xfId="8598"/>
    <cellStyle name="Millares 4 2 3 2 3" xfId="7926"/>
    <cellStyle name="Millares 4 2 3 2 3 2" xfId="8694"/>
    <cellStyle name="Millares 4 2 3 2 4" xfId="8118"/>
    <cellStyle name="Millares 4 2 3 2 4 2" xfId="8886"/>
    <cellStyle name="Millares 4 2 3 2 5" xfId="8310"/>
    <cellStyle name="Millares 4 2 3 2 5 2" xfId="9078"/>
    <cellStyle name="Millares 4 2 3 2 6" xfId="8502"/>
    <cellStyle name="Millares 4 2 3 3" xfId="7782"/>
    <cellStyle name="Millares 4 2 3 3 2" xfId="7974"/>
    <cellStyle name="Millares 4 2 3 3 2 2" xfId="8742"/>
    <cellStyle name="Millares 4 2 3 3 3" xfId="8166"/>
    <cellStyle name="Millares 4 2 3 3 3 2" xfId="8934"/>
    <cellStyle name="Millares 4 2 3 3 4" xfId="8358"/>
    <cellStyle name="Millares 4 2 3 3 4 2" xfId="9126"/>
    <cellStyle name="Millares 4 2 3 3 5" xfId="8550"/>
    <cellStyle name="Millares 4 2 3 4" xfId="7878"/>
    <cellStyle name="Millares 4 2 3 4 2" xfId="8646"/>
    <cellStyle name="Millares 4 2 3 5" xfId="8070"/>
    <cellStyle name="Millares 4 2 3 5 2" xfId="8838"/>
    <cellStyle name="Millares 4 2 3 6" xfId="8262"/>
    <cellStyle name="Millares 4 2 3 6 2" xfId="9030"/>
    <cellStyle name="Millares 4 2 3 7" xfId="8454"/>
    <cellStyle name="Millares 4 2 4" xfId="7702"/>
    <cellStyle name="Millares 4 2 4 2" xfId="7750"/>
    <cellStyle name="Millares 4 2 4 2 2" xfId="7846"/>
    <cellStyle name="Millares 4 2 4 2 2 2" xfId="8038"/>
    <cellStyle name="Millares 4 2 4 2 2 2 2" xfId="8806"/>
    <cellStyle name="Millares 4 2 4 2 2 3" xfId="8230"/>
    <cellStyle name="Millares 4 2 4 2 2 3 2" xfId="8998"/>
    <cellStyle name="Millares 4 2 4 2 2 4" xfId="8422"/>
    <cellStyle name="Millares 4 2 4 2 2 4 2" xfId="9190"/>
    <cellStyle name="Millares 4 2 4 2 2 5" xfId="8614"/>
    <cellStyle name="Millares 4 2 4 2 3" xfId="7942"/>
    <cellStyle name="Millares 4 2 4 2 3 2" xfId="8710"/>
    <cellStyle name="Millares 4 2 4 2 4" xfId="8134"/>
    <cellStyle name="Millares 4 2 4 2 4 2" xfId="8902"/>
    <cellStyle name="Millares 4 2 4 2 5" xfId="8326"/>
    <cellStyle name="Millares 4 2 4 2 5 2" xfId="9094"/>
    <cellStyle name="Millares 4 2 4 2 6" xfId="8518"/>
    <cellStyle name="Millares 4 2 4 3" xfId="7798"/>
    <cellStyle name="Millares 4 2 4 3 2" xfId="7990"/>
    <cellStyle name="Millares 4 2 4 3 2 2" xfId="8758"/>
    <cellStyle name="Millares 4 2 4 3 3" xfId="8182"/>
    <cellStyle name="Millares 4 2 4 3 3 2" xfId="8950"/>
    <cellStyle name="Millares 4 2 4 3 4" xfId="8374"/>
    <cellStyle name="Millares 4 2 4 3 4 2" xfId="9142"/>
    <cellStyle name="Millares 4 2 4 3 5" xfId="8566"/>
    <cellStyle name="Millares 4 2 4 4" xfId="7894"/>
    <cellStyle name="Millares 4 2 4 4 2" xfId="8662"/>
    <cellStyle name="Millares 4 2 4 5" xfId="8086"/>
    <cellStyle name="Millares 4 2 4 5 2" xfId="8854"/>
    <cellStyle name="Millares 4 2 4 6" xfId="8278"/>
    <cellStyle name="Millares 4 2 4 6 2" xfId="9046"/>
    <cellStyle name="Millares 4 2 4 7" xfId="8470"/>
    <cellStyle name="Millares 4 2 5" xfId="7718"/>
    <cellStyle name="Millares 4 2 5 2" xfId="7814"/>
    <cellStyle name="Millares 4 2 5 2 2" xfId="8006"/>
    <cellStyle name="Millares 4 2 5 2 2 2" xfId="8774"/>
    <cellStyle name="Millares 4 2 5 2 3" xfId="8198"/>
    <cellStyle name="Millares 4 2 5 2 3 2" xfId="8966"/>
    <cellStyle name="Millares 4 2 5 2 4" xfId="8390"/>
    <cellStyle name="Millares 4 2 5 2 4 2" xfId="9158"/>
    <cellStyle name="Millares 4 2 5 2 5" xfId="8582"/>
    <cellStyle name="Millares 4 2 5 3" xfId="7910"/>
    <cellStyle name="Millares 4 2 5 3 2" xfId="8678"/>
    <cellStyle name="Millares 4 2 5 4" xfId="8102"/>
    <cellStyle name="Millares 4 2 5 4 2" xfId="8870"/>
    <cellStyle name="Millares 4 2 5 5" xfId="8294"/>
    <cellStyle name="Millares 4 2 5 5 2" xfId="9062"/>
    <cellStyle name="Millares 4 2 5 6" xfId="8486"/>
    <cellStyle name="Millares 4 2 6" xfId="7766"/>
    <cellStyle name="Millares 4 2 6 2" xfId="7958"/>
    <cellStyle name="Millares 4 2 6 2 2" xfId="8726"/>
    <cellStyle name="Millares 4 2 6 3" xfId="8150"/>
    <cellStyle name="Millares 4 2 6 3 2" xfId="8918"/>
    <cellStyle name="Millares 4 2 6 4" xfId="8342"/>
    <cellStyle name="Millares 4 2 6 4 2" xfId="9110"/>
    <cellStyle name="Millares 4 2 6 5" xfId="8534"/>
    <cellStyle name="Millares 4 2 7" xfId="7862"/>
    <cellStyle name="Millares 4 2 7 2" xfId="8630"/>
    <cellStyle name="Millares 4 2 8" xfId="8054"/>
    <cellStyle name="Millares 4 2 8 2" xfId="8822"/>
    <cellStyle name="Millares 4 2 9" xfId="8246"/>
    <cellStyle name="Millares 4 2 9 2" xfId="9014"/>
    <cellStyle name="Millares 4 3" xfId="7672"/>
    <cellStyle name="Millares 4 3 10" xfId="8440"/>
    <cellStyle name="Millares 4 3 2" xfId="7680"/>
    <cellStyle name="Millares 4 3 2 2" xfId="7696"/>
    <cellStyle name="Millares 4 3 2 2 2" xfId="7744"/>
    <cellStyle name="Millares 4 3 2 2 2 2" xfId="7840"/>
    <cellStyle name="Millares 4 3 2 2 2 2 2" xfId="8032"/>
    <cellStyle name="Millares 4 3 2 2 2 2 2 2" xfId="8800"/>
    <cellStyle name="Millares 4 3 2 2 2 2 3" xfId="8224"/>
    <cellStyle name="Millares 4 3 2 2 2 2 3 2" xfId="8992"/>
    <cellStyle name="Millares 4 3 2 2 2 2 4" xfId="8416"/>
    <cellStyle name="Millares 4 3 2 2 2 2 4 2" xfId="9184"/>
    <cellStyle name="Millares 4 3 2 2 2 2 5" xfId="8608"/>
    <cellStyle name="Millares 4 3 2 2 2 3" xfId="7936"/>
    <cellStyle name="Millares 4 3 2 2 2 3 2" xfId="8704"/>
    <cellStyle name="Millares 4 3 2 2 2 4" xfId="8128"/>
    <cellStyle name="Millares 4 3 2 2 2 4 2" xfId="8896"/>
    <cellStyle name="Millares 4 3 2 2 2 5" xfId="8320"/>
    <cellStyle name="Millares 4 3 2 2 2 5 2" xfId="9088"/>
    <cellStyle name="Millares 4 3 2 2 2 6" xfId="8512"/>
    <cellStyle name="Millares 4 3 2 2 3" xfId="7792"/>
    <cellStyle name="Millares 4 3 2 2 3 2" xfId="7984"/>
    <cellStyle name="Millares 4 3 2 2 3 2 2" xfId="8752"/>
    <cellStyle name="Millares 4 3 2 2 3 3" xfId="8176"/>
    <cellStyle name="Millares 4 3 2 2 3 3 2" xfId="8944"/>
    <cellStyle name="Millares 4 3 2 2 3 4" xfId="8368"/>
    <cellStyle name="Millares 4 3 2 2 3 4 2" xfId="9136"/>
    <cellStyle name="Millares 4 3 2 2 3 5" xfId="8560"/>
    <cellStyle name="Millares 4 3 2 2 4" xfId="7888"/>
    <cellStyle name="Millares 4 3 2 2 4 2" xfId="8656"/>
    <cellStyle name="Millares 4 3 2 2 5" xfId="8080"/>
    <cellStyle name="Millares 4 3 2 2 5 2" xfId="8848"/>
    <cellStyle name="Millares 4 3 2 2 6" xfId="8272"/>
    <cellStyle name="Millares 4 3 2 2 6 2" xfId="9040"/>
    <cellStyle name="Millares 4 3 2 2 7" xfId="8464"/>
    <cellStyle name="Millares 4 3 2 3" xfId="7712"/>
    <cellStyle name="Millares 4 3 2 3 2" xfId="7760"/>
    <cellStyle name="Millares 4 3 2 3 2 2" xfId="7856"/>
    <cellStyle name="Millares 4 3 2 3 2 2 2" xfId="8048"/>
    <cellStyle name="Millares 4 3 2 3 2 2 2 2" xfId="8816"/>
    <cellStyle name="Millares 4 3 2 3 2 2 3" xfId="8240"/>
    <cellStyle name="Millares 4 3 2 3 2 2 3 2" xfId="9008"/>
    <cellStyle name="Millares 4 3 2 3 2 2 4" xfId="8432"/>
    <cellStyle name="Millares 4 3 2 3 2 2 4 2" xfId="9200"/>
    <cellStyle name="Millares 4 3 2 3 2 2 5" xfId="8624"/>
    <cellStyle name="Millares 4 3 2 3 2 3" xfId="7952"/>
    <cellStyle name="Millares 4 3 2 3 2 3 2" xfId="8720"/>
    <cellStyle name="Millares 4 3 2 3 2 4" xfId="8144"/>
    <cellStyle name="Millares 4 3 2 3 2 4 2" xfId="8912"/>
    <cellStyle name="Millares 4 3 2 3 2 5" xfId="8336"/>
    <cellStyle name="Millares 4 3 2 3 2 5 2" xfId="9104"/>
    <cellStyle name="Millares 4 3 2 3 2 6" xfId="8528"/>
    <cellStyle name="Millares 4 3 2 3 3" xfId="7808"/>
    <cellStyle name="Millares 4 3 2 3 3 2" xfId="8000"/>
    <cellStyle name="Millares 4 3 2 3 3 2 2" xfId="8768"/>
    <cellStyle name="Millares 4 3 2 3 3 3" xfId="8192"/>
    <cellStyle name="Millares 4 3 2 3 3 3 2" xfId="8960"/>
    <cellStyle name="Millares 4 3 2 3 3 4" xfId="8384"/>
    <cellStyle name="Millares 4 3 2 3 3 4 2" xfId="9152"/>
    <cellStyle name="Millares 4 3 2 3 3 5" xfId="8576"/>
    <cellStyle name="Millares 4 3 2 3 4" xfId="7904"/>
    <cellStyle name="Millares 4 3 2 3 4 2" xfId="8672"/>
    <cellStyle name="Millares 4 3 2 3 5" xfId="8096"/>
    <cellStyle name="Millares 4 3 2 3 5 2" xfId="8864"/>
    <cellStyle name="Millares 4 3 2 3 6" xfId="8288"/>
    <cellStyle name="Millares 4 3 2 3 6 2" xfId="9056"/>
    <cellStyle name="Millares 4 3 2 3 7" xfId="8480"/>
    <cellStyle name="Millares 4 3 2 4" xfId="7728"/>
    <cellStyle name="Millares 4 3 2 4 2" xfId="7824"/>
    <cellStyle name="Millares 4 3 2 4 2 2" xfId="8016"/>
    <cellStyle name="Millares 4 3 2 4 2 2 2" xfId="8784"/>
    <cellStyle name="Millares 4 3 2 4 2 3" xfId="8208"/>
    <cellStyle name="Millares 4 3 2 4 2 3 2" xfId="8976"/>
    <cellStyle name="Millares 4 3 2 4 2 4" xfId="8400"/>
    <cellStyle name="Millares 4 3 2 4 2 4 2" xfId="9168"/>
    <cellStyle name="Millares 4 3 2 4 2 5" xfId="8592"/>
    <cellStyle name="Millares 4 3 2 4 3" xfId="7920"/>
    <cellStyle name="Millares 4 3 2 4 3 2" xfId="8688"/>
    <cellStyle name="Millares 4 3 2 4 4" xfId="8112"/>
    <cellStyle name="Millares 4 3 2 4 4 2" xfId="8880"/>
    <cellStyle name="Millares 4 3 2 4 5" xfId="8304"/>
    <cellStyle name="Millares 4 3 2 4 5 2" xfId="9072"/>
    <cellStyle name="Millares 4 3 2 4 6" xfId="8496"/>
    <cellStyle name="Millares 4 3 2 5" xfId="7776"/>
    <cellStyle name="Millares 4 3 2 5 2" xfId="7968"/>
    <cellStyle name="Millares 4 3 2 5 2 2" xfId="8736"/>
    <cellStyle name="Millares 4 3 2 5 3" xfId="8160"/>
    <cellStyle name="Millares 4 3 2 5 3 2" xfId="8928"/>
    <cellStyle name="Millares 4 3 2 5 4" xfId="8352"/>
    <cellStyle name="Millares 4 3 2 5 4 2" xfId="9120"/>
    <cellStyle name="Millares 4 3 2 5 5" xfId="8544"/>
    <cellStyle name="Millares 4 3 2 6" xfId="7872"/>
    <cellStyle name="Millares 4 3 2 6 2" xfId="8640"/>
    <cellStyle name="Millares 4 3 2 7" xfId="8064"/>
    <cellStyle name="Millares 4 3 2 7 2" xfId="8832"/>
    <cellStyle name="Millares 4 3 2 8" xfId="8256"/>
    <cellStyle name="Millares 4 3 2 8 2" xfId="9024"/>
    <cellStyle name="Millares 4 3 2 9" xfId="8448"/>
    <cellStyle name="Millares 4 3 3" xfId="7688"/>
    <cellStyle name="Millares 4 3 3 2" xfId="7736"/>
    <cellStyle name="Millares 4 3 3 2 2" xfId="7832"/>
    <cellStyle name="Millares 4 3 3 2 2 2" xfId="8024"/>
    <cellStyle name="Millares 4 3 3 2 2 2 2" xfId="8792"/>
    <cellStyle name="Millares 4 3 3 2 2 3" xfId="8216"/>
    <cellStyle name="Millares 4 3 3 2 2 3 2" xfId="8984"/>
    <cellStyle name="Millares 4 3 3 2 2 4" xfId="8408"/>
    <cellStyle name="Millares 4 3 3 2 2 4 2" xfId="9176"/>
    <cellStyle name="Millares 4 3 3 2 2 5" xfId="8600"/>
    <cellStyle name="Millares 4 3 3 2 3" xfId="7928"/>
    <cellStyle name="Millares 4 3 3 2 3 2" xfId="8696"/>
    <cellStyle name="Millares 4 3 3 2 4" xfId="8120"/>
    <cellStyle name="Millares 4 3 3 2 4 2" xfId="8888"/>
    <cellStyle name="Millares 4 3 3 2 5" xfId="8312"/>
    <cellStyle name="Millares 4 3 3 2 5 2" xfId="9080"/>
    <cellStyle name="Millares 4 3 3 2 6" xfId="8504"/>
    <cellStyle name="Millares 4 3 3 3" xfId="7784"/>
    <cellStyle name="Millares 4 3 3 3 2" xfId="7976"/>
    <cellStyle name="Millares 4 3 3 3 2 2" xfId="8744"/>
    <cellStyle name="Millares 4 3 3 3 3" xfId="8168"/>
    <cellStyle name="Millares 4 3 3 3 3 2" xfId="8936"/>
    <cellStyle name="Millares 4 3 3 3 4" xfId="8360"/>
    <cellStyle name="Millares 4 3 3 3 4 2" xfId="9128"/>
    <cellStyle name="Millares 4 3 3 3 5" xfId="8552"/>
    <cellStyle name="Millares 4 3 3 4" xfId="7880"/>
    <cellStyle name="Millares 4 3 3 4 2" xfId="8648"/>
    <cellStyle name="Millares 4 3 3 5" xfId="8072"/>
    <cellStyle name="Millares 4 3 3 5 2" xfId="8840"/>
    <cellStyle name="Millares 4 3 3 6" xfId="8264"/>
    <cellStyle name="Millares 4 3 3 6 2" xfId="9032"/>
    <cellStyle name="Millares 4 3 3 7" xfId="8456"/>
    <cellStyle name="Millares 4 3 4" xfId="7704"/>
    <cellStyle name="Millares 4 3 4 2" xfId="7752"/>
    <cellStyle name="Millares 4 3 4 2 2" xfId="7848"/>
    <cellStyle name="Millares 4 3 4 2 2 2" xfId="8040"/>
    <cellStyle name="Millares 4 3 4 2 2 2 2" xfId="8808"/>
    <cellStyle name="Millares 4 3 4 2 2 3" xfId="8232"/>
    <cellStyle name="Millares 4 3 4 2 2 3 2" xfId="9000"/>
    <cellStyle name="Millares 4 3 4 2 2 4" xfId="8424"/>
    <cellStyle name="Millares 4 3 4 2 2 4 2" xfId="9192"/>
    <cellStyle name="Millares 4 3 4 2 2 5" xfId="8616"/>
    <cellStyle name="Millares 4 3 4 2 3" xfId="7944"/>
    <cellStyle name="Millares 4 3 4 2 3 2" xfId="8712"/>
    <cellStyle name="Millares 4 3 4 2 4" xfId="8136"/>
    <cellStyle name="Millares 4 3 4 2 4 2" xfId="8904"/>
    <cellStyle name="Millares 4 3 4 2 5" xfId="8328"/>
    <cellStyle name="Millares 4 3 4 2 5 2" xfId="9096"/>
    <cellStyle name="Millares 4 3 4 2 6" xfId="8520"/>
    <cellStyle name="Millares 4 3 4 3" xfId="7800"/>
    <cellStyle name="Millares 4 3 4 3 2" xfId="7992"/>
    <cellStyle name="Millares 4 3 4 3 2 2" xfId="8760"/>
    <cellStyle name="Millares 4 3 4 3 3" xfId="8184"/>
    <cellStyle name="Millares 4 3 4 3 3 2" xfId="8952"/>
    <cellStyle name="Millares 4 3 4 3 4" xfId="8376"/>
    <cellStyle name="Millares 4 3 4 3 4 2" xfId="9144"/>
    <cellStyle name="Millares 4 3 4 3 5" xfId="8568"/>
    <cellStyle name="Millares 4 3 4 4" xfId="7896"/>
    <cellStyle name="Millares 4 3 4 4 2" xfId="8664"/>
    <cellStyle name="Millares 4 3 4 5" xfId="8088"/>
    <cellStyle name="Millares 4 3 4 5 2" xfId="8856"/>
    <cellStyle name="Millares 4 3 4 6" xfId="8280"/>
    <cellStyle name="Millares 4 3 4 6 2" xfId="9048"/>
    <cellStyle name="Millares 4 3 4 7" xfId="8472"/>
    <cellStyle name="Millares 4 3 5" xfId="7720"/>
    <cellStyle name="Millares 4 3 5 2" xfId="7816"/>
    <cellStyle name="Millares 4 3 5 2 2" xfId="8008"/>
    <cellStyle name="Millares 4 3 5 2 2 2" xfId="8776"/>
    <cellStyle name="Millares 4 3 5 2 3" xfId="8200"/>
    <cellStyle name="Millares 4 3 5 2 3 2" xfId="8968"/>
    <cellStyle name="Millares 4 3 5 2 4" xfId="8392"/>
    <cellStyle name="Millares 4 3 5 2 4 2" xfId="9160"/>
    <cellStyle name="Millares 4 3 5 2 5" xfId="8584"/>
    <cellStyle name="Millares 4 3 5 3" xfId="7912"/>
    <cellStyle name="Millares 4 3 5 3 2" xfId="8680"/>
    <cellStyle name="Millares 4 3 5 4" xfId="8104"/>
    <cellStyle name="Millares 4 3 5 4 2" xfId="8872"/>
    <cellStyle name="Millares 4 3 5 5" xfId="8296"/>
    <cellStyle name="Millares 4 3 5 5 2" xfId="9064"/>
    <cellStyle name="Millares 4 3 5 6" xfId="8488"/>
    <cellStyle name="Millares 4 3 6" xfId="7768"/>
    <cellStyle name="Millares 4 3 6 2" xfId="7960"/>
    <cellStyle name="Millares 4 3 6 2 2" xfId="8728"/>
    <cellStyle name="Millares 4 3 6 3" xfId="8152"/>
    <cellStyle name="Millares 4 3 6 3 2" xfId="8920"/>
    <cellStyle name="Millares 4 3 6 4" xfId="8344"/>
    <cellStyle name="Millares 4 3 6 4 2" xfId="9112"/>
    <cellStyle name="Millares 4 3 6 5" xfId="8536"/>
    <cellStyle name="Millares 4 3 7" xfId="7864"/>
    <cellStyle name="Millares 4 3 7 2" xfId="8632"/>
    <cellStyle name="Millares 4 3 8" xfId="8056"/>
    <cellStyle name="Millares 4 3 8 2" xfId="8824"/>
    <cellStyle name="Millares 4 3 9" xfId="8248"/>
    <cellStyle name="Millares 4 3 9 2" xfId="9016"/>
    <cellStyle name="Millares 4 4" xfId="7674"/>
    <cellStyle name="Millares 4 4 10" xfId="8442"/>
    <cellStyle name="Millares 4 4 2" xfId="7682"/>
    <cellStyle name="Millares 4 4 2 2" xfId="7698"/>
    <cellStyle name="Millares 4 4 2 2 2" xfId="7746"/>
    <cellStyle name="Millares 4 4 2 2 2 2" xfId="7842"/>
    <cellStyle name="Millares 4 4 2 2 2 2 2" xfId="8034"/>
    <cellStyle name="Millares 4 4 2 2 2 2 2 2" xfId="8802"/>
    <cellStyle name="Millares 4 4 2 2 2 2 3" xfId="8226"/>
    <cellStyle name="Millares 4 4 2 2 2 2 3 2" xfId="8994"/>
    <cellStyle name="Millares 4 4 2 2 2 2 4" xfId="8418"/>
    <cellStyle name="Millares 4 4 2 2 2 2 4 2" xfId="9186"/>
    <cellStyle name="Millares 4 4 2 2 2 2 5" xfId="8610"/>
    <cellStyle name="Millares 4 4 2 2 2 3" xfId="7938"/>
    <cellStyle name="Millares 4 4 2 2 2 3 2" xfId="8706"/>
    <cellStyle name="Millares 4 4 2 2 2 4" xfId="8130"/>
    <cellStyle name="Millares 4 4 2 2 2 4 2" xfId="8898"/>
    <cellStyle name="Millares 4 4 2 2 2 5" xfId="8322"/>
    <cellStyle name="Millares 4 4 2 2 2 5 2" xfId="9090"/>
    <cellStyle name="Millares 4 4 2 2 2 6" xfId="8514"/>
    <cellStyle name="Millares 4 4 2 2 3" xfId="7794"/>
    <cellStyle name="Millares 4 4 2 2 3 2" xfId="7986"/>
    <cellStyle name="Millares 4 4 2 2 3 2 2" xfId="8754"/>
    <cellStyle name="Millares 4 4 2 2 3 3" xfId="8178"/>
    <cellStyle name="Millares 4 4 2 2 3 3 2" xfId="8946"/>
    <cellStyle name="Millares 4 4 2 2 3 4" xfId="8370"/>
    <cellStyle name="Millares 4 4 2 2 3 4 2" xfId="9138"/>
    <cellStyle name="Millares 4 4 2 2 3 5" xfId="8562"/>
    <cellStyle name="Millares 4 4 2 2 4" xfId="7890"/>
    <cellStyle name="Millares 4 4 2 2 4 2" xfId="8658"/>
    <cellStyle name="Millares 4 4 2 2 5" xfId="8082"/>
    <cellStyle name="Millares 4 4 2 2 5 2" xfId="8850"/>
    <cellStyle name="Millares 4 4 2 2 6" xfId="8274"/>
    <cellStyle name="Millares 4 4 2 2 6 2" xfId="9042"/>
    <cellStyle name="Millares 4 4 2 2 7" xfId="8466"/>
    <cellStyle name="Millares 4 4 2 3" xfId="7714"/>
    <cellStyle name="Millares 4 4 2 3 2" xfId="7762"/>
    <cellStyle name="Millares 4 4 2 3 2 2" xfId="7858"/>
    <cellStyle name="Millares 4 4 2 3 2 2 2" xfId="8050"/>
    <cellStyle name="Millares 4 4 2 3 2 2 2 2" xfId="8818"/>
    <cellStyle name="Millares 4 4 2 3 2 2 3" xfId="8242"/>
    <cellStyle name="Millares 4 4 2 3 2 2 3 2" xfId="9010"/>
    <cellStyle name="Millares 4 4 2 3 2 2 4" xfId="8434"/>
    <cellStyle name="Millares 4 4 2 3 2 2 4 2" xfId="9202"/>
    <cellStyle name="Millares 4 4 2 3 2 2 5" xfId="8626"/>
    <cellStyle name="Millares 4 4 2 3 2 3" xfId="7954"/>
    <cellStyle name="Millares 4 4 2 3 2 3 2" xfId="8722"/>
    <cellStyle name="Millares 4 4 2 3 2 4" xfId="8146"/>
    <cellStyle name="Millares 4 4 2 3 2 4 2" xfId="8914"/>
    <cellStyle name="Millares 4 4 2 3 2 5" xfId="8338"/>
    <cellStyle name="Millares 4 4 2 3 2 5 2" xfId="9106"/>
    <cellStyle name="Millares 4 4 2 3 2 6" xfId="8530"/>
    <cellStyle name="Millares 4 4 2 3 3" xfId="7810"/>
    <cellStyle name="Millares 4 4 2 3 3 2" xfId="8002"/>
    <cellStyle name="Millares 4 4 2 3 3 2 2" xfId="8770"/>
    <cellStyle name="Millares 4 4 2 3 3 3" xfId="8194"/>
    <cellStyle name="Millares 4 4 2 3 3 3 2" xfId="8962"/>
    <cellStyle name="Millares 4 4 2 3 3 4" xfId="8386"/>
    <cellStyle name="Millares 4 4 2 3 3 4 2" xfId="9154"/>
    <cellStyle name="Millares 4 4 2 3 3 5" xfId="8578"/>
    <cellStyle name="Millares 4 4 2 3 4" xfId="7906"/>
    <cellStyle name="Millares 4 4 2 3 4 2" xfId="8674"/>
    <cellStyle name="Millares 4 4 2 3 5" xfId="8098"/>
    <cellStyle name="Millares 4 4 2 3 5 2" xfId="8866"/>
    <cellStyle name="Millares 4 4 2 3 6" xfId="8290"/>
    <cellStyle name="Millares 4 4 2 3 6 2" xfId="9058"/>
    <cellStyle name="Millares 4 4 2 3 7" xfId="8482"/>
    <cellStyle name="Millares 4 4 2 4" xfId="7730"/>
    <cellStyle name="Millares 4 4 2 4 2" xfId="7826"/>
    <cellStyle name="Millares 4 4 2 4 2 2" xfId="8018"/>
    <cellStyle name="Millares 4 4 2 4 2 2 2" xfId="8786"/>
    <cellStyle name="Millares 4 4 2 4 2 3" xfId="8210"/>
    <cellStyle name="Millares 4 4 2 4 2 3 2" xfId="8978"/>
    <cellStyle name="Millares 4 4 2 4 2 4" xfId="8402"/>
    <cellStyle name="Millares 4 4 2 4 2 4 2" xfId="9170"/>
    <cellStyle name="Millares 4 4 2 4 2 5" xfId="8594"/>
    <cellStyle name="Millares 4 4 2 4 3" xfId="7922"/>
    <cellStyle name="Millares 4 4 2 4 3 2" xfId="8690"/>
    <cellStyle name="Millares 4 4 2 4 4" xfId="8114"/>
    <cellStyle name="Millares 4 4 2 4 4 2" xfId="8882"/>
    <cellStyle name="Millares 4 4 2 4 5" xfId="8306"/>
    <cellStyle name="Millares 4 4 2 4 5 2" xfId="9074"/>
    <cellStyle name="Millares 4 4 2 4 6" xfId="8498"/>
    <cellStyle name="Millares 4 4 2 5" xfId="7778"/>
    <cellStyle name="Millares 4 4 2 5 2" xfId="7970"/>
    <cellStyle name="Millares 4 4 2 5 2 2" xfId="8738"/>
    <cellStyle name="Millares 4 4 2 5 3" xfId="8162"/>
    <cellStyle name="Millares 4 4 2 5 3 2" xfId="8930"/>
    <cellStyle name="Millares 4 4 2 5 4" xfId="8354"/>
    <cellStyle name="Millares 4 4 2 5 4 2" xfId="9122"/>
    <cellStyle name="Millares 4 4 2 5 5" xfId="8546"/>
    <cellStyle name="Millares 4 4 2 6" xfId="7874"/>
    <cellStyle name="Millares 4 4 2 6 2" xfId="8642"/>
    <cellStyle name="Millares 4 4 2 7" xfId="8066"/>
    <cellStyle name="Millares 4 4 2 7 2" xfId="8834"/>
    <cellStyle name="Millares 4 4 2 8" xfId="8258"/>
    <cellStyle name="Millares 4 4 2 8 2" xfId="9026"/>
    <cellStyle name="Millares 4 4 2 9" xfId="8450"/>
    <cellStyle name="Millares 4 4 3" xfId="7690"/>
    <cellStyle name="Millares 4 4 3 2" xfId="7738"/>
    <cellStyle name="Millares 4 4 3 2 2" xfId="7834"/>
    <cellStyle name="Millares 4 4 3 2 2 2" xfId="8026"/>
    <cellStyle name="Millares 4 4 3 2 2 2 2" xfId="8794"/>
    <cellStyle name="Millares 4 4 3 2 2 3" xfId="8218"/>
    <cellStyle name="Millares 4 4 3 2 2 3 2" xfId="8986"/>
    <cellStyle name="Millares 4 4 3 2 2 4" xfId="8410"/>
    <cellStyle name="Millares 4 4 3 2 2 4 2" xfId="9178"/>
    <cellStyle name="Millares 4 4 3 2 2 5" xfId="8602"/>
    <cellStyle name="Millares 4 4 3 2 3" xfId="7930"/>
    <cellStyle name="Millares 4 4 3 2 3 2" xfId="8698"/>
    <cellStyle name="Millares 4 4 3 2 4" xfId="8122"/>
    <cellStyle name="Millares 4 4 3 2 4 2" xfId="8890"/>
    <cellStyle name="Millares 4 4 3 2 5" xfId="8314"/>
    <cellStyle name="Millares 4 4 3 2 5 2" xfId="9082"/>
    <cellStyle name="Millares 4 4 3 2 6" xfId="8506"/>
    <cellStyle name="Millares 4 4 3 3" xfId="7786"/>
    <cellStyle name="Millares 4 4 3 3 2" xfId="7978"/>
    <cellStyle name="Millares 4 4 3 3 2 2" xfId="8746"/>
    <cellStyle name="Millares 4 4 3 3 3" xfId="8170"/>
    <cellStyle name="Millares 4 4 3 3 3 2" xfId="8938"/>
    <cellStyle name="Millares 4 4 3 3 4" xfId="8362"/>
    <cellStyle name="Millares 4 4 3 3 4 2" xfId="9130"/>
    <cellStyle name="Millares 4 4 3 3 5" xfId="8554"/>
    <cellStyle name="Millares 4 4 3 4" xfId="7882"/>
    <cellStyle name="Millares 4 4 3 4 2" xfId="8650"/>
    <cellStyle name="Millares 4 4 3 5" xfId="8074"/>
    <cellStyle name="Millares 4 4 3 5 2" xfId="8842"/>
    <cellStyle name="Millares 4 4 3 6" xfId="8266"/>
    <cellStyle name="Millares 4 4 3 6 2" xfId="9034"/>
    <cellStyle name="Millares 4 4 3 7" xfId="8458"/>
    <cellStyle name="Millares 4 4 4" xfId="7706"/>
    <cellStyle name="Millares 4 4 4 2" xfId="7754"/>
    <cellStyle name="Millares 4 4 4 2 2" xfId="7850"/>
    <cellStyle name="Millares 4 4 4 2 2 2" xfId="8042"/>
    <cellStyle name="Millares 4 4 4 2 2 2 2" xfId="8810"/>
    <cellStyle name="Millares 4 4 4 2 2 3" xfId="8234"/>
    <cellStyle name="Millares 4 4 4 2 2 3 2" xfId="9002"/>
    <cellStyle name="Millares 4 4 4 2 2 4" xfId="8426"/>
    <cellStyle name="Millares 4 4 4 2 2 4 2" xfId="9194"/>
    <cellStyle name="Millares 4 4 4 2 2 5" xfId="8618"/>
    <cellStyle name="Millares 4 4 4 2 3" xfId="7946"/>
    <cellStyle name="Millares 4 4 4 2 3 2" xfId="8714"/>
    <cellStyle name="Millares 4 4 4 2 4" xfId="8138"/>
    <cellStyle name="Millares 4 4 4 2 4 2" xfId="8906"/>
    <cellStyle name="Millares 4 4 4 2 5" xfId="8330"/>
    <cellStyle name="Millares 4 4 4 2 5 2" xfId="9098"/>
    <cellStyle name="Millares 4 4 4 2 6" xfId="8522"/>
    <cellStyle name="Millares 4 4 4 3" xfId="7802"/>
    <cellStyle name="Millares 4 4 4 3 2" xfId="7994"/>
    <cellStyle name="Millares 4 4 4 3 2 2" xfId="8762"/>
    <cellStyle name="Millares 4 4 4 3 3" xfId="8186"/>
    <cellStyle name="Millares 4 4 4 3 3 2" xfId="8954"/>
    <cellStyle name="Millares 4 4 4 3 4" xfId="8378"/>
    <cellStyle name="Millares 4 4 4 3 4 2" xfId="9146"/>
    <cellStyle name="Millares 4 4 4 3 5" xfId="8570"/>
    <cellStyle name="Millares 4 4 4 4" xfId="7898"/>
    <cellStyle name="Millares 4 4 4 4 2" xfId="8666"/>
    <cellStyle name="Millares 4 4 4 5" xfId="8090"/>
    <cellStyle name="Millares 4 4 4 5 2" xfId="8858"/>
    <cellStyle name="Millares 4 4 4 6" xfId="8282"/>
    <cellStyle name="Millares 4 4 4 6 2" xfId="9050"/>
    <cellStyle name="Millares 4 4 4 7" xfId="8474"/>
    <cellStyle name="Millares 4 4 5" xfId="7722"/>
    <cellStyle name="Millares 4 4 5 2" xfId="7818"/>
    <cellStyle name="Millares 4 4 5 2 2" xfId="8010"/>
    <cellStyle name="Millares 4 4 5 2 2 2" xfId="8778"/>
    <cellStyle name="Millares 4 4 5 2 3" xfId="8202"/>
    <cellStyle name="Millares 4 4 5 2 3 2" xfId="8970"/>
    <cellStyle name="Millares 4 4 5 2 4" xfId="8394"/>
    <cellStyle name="Millares 4 4 5 2 4 2" xfId="9162"/>
    <cellStyle name="Millares 4 4 5 2 5" xfId="8586"/>
    <cellStyle name="Millares 4 4 5 3" xfId="7914"/>
    <cellStyle name="Millares 4 4 5 3 2" xfId="8682"/>
    <cellStyle name="Millares 4 4 5 4" xfId="8106"/>
    <cellStyle name="Millares 4 4 5 4 2" xfId="8874"/>
    <cellStyle name="Millares 4 4 5 5" xfId="8298"/>
    <cellStyle name="Millares 4 4 5 5 2" xfId="9066"/>
    <cellStyle name="Millares 4 4 5 6" xfId="8490"/>
    <cellStyle name="Millares 4 4 6" xfId="7770"/>
    <cellStyle name="Millares 4 4 6 2" xfId="7962"/>
    <cellStyle name="Millares 4 4 6 2 2" xfId="8730"/>
    <cellStyle name="Millares 4 4 6 3" xfId="8154"/>
    <cellStyle name="Millares 4 4 6 3 2" xfId="8922"/>
    <cellStyle name="Millares 4 4 6 4" xfId="8346"/>
    <cellStyle name="Millares 4 4 6 4 2" xfId="9114"/>
    <cellStyle name="Millares 4 4 6 5" xfId="8538"/>
    <cellStyle name="Millares 4 4 7" xfId="7866"/>
    <cellStyle name="Millares 4 4 7 2" xfId="8634"/>
    <cellStyle name="Millares 4 4 8" xfId="8058"/>
    <cellStyle name="Millares 4 4 8 2" xfId="8826"/>
    <cellStyle name="Millares 4 4 9" xfId="8250"/>
    <cellStyle name="Millares 4 4 9 2" xfId="9018"/>
    <cellStyle name="Millares 4 5" xfId="7676"/>
    <cellStyle name="Millares 4 5 2" xfId="7692"/>
    <cellStyle name="Millares 4 5 2 2" xfId="7740"/>
    <cellStyle name="Millares 4 5 2 2 2" xfId="7836"/>
    <cellStyle name="Millares 4 5 2 2 2 2" xfId="8028"/>
    <cellStyle name="Millares 4 5 2 2 2 2 2" xfId="8796"/>
    <cellStyle name="Millares 4 5 2 2 2 3" xfId="8220"/>
    <cellStyle name="Millares 4 5 2 2 2 3 2" xfId="8988"/>
    <cellStyle name="Millares 4 5 2 2 2 4" xfId="8412"/>
    <cellStyle name="Millares 4 5 2 2 2 4 2" xfId="9180"/>
    <cellStyle name="Millares 4 5 2 2 2 5" xfId="8604"/>
    <cellStyle name="Millares 4 5 2 2 3" xfId="7932"/>
    <cellStyle name="Millares 4 5 2 2 3 2" xfId="8700"/>
    <cellStyle name="Millares 4 5 2 2 4" xfId="8124"/>
    <cellStyle name="Millares 4 5 2 2 4 2" xfId="8892"/>
    <cellStyle name="Millares 4 5 2 2 5" xfId="8316"/>
    <cellStyle name="Millares 4 5 2 2 5 2" xfId="9084"/>
    <cellStyle name="Millares 4 5 2 2 6" xfId="8508"/>
    <cellStyle name="Millares 4 5 2 3" xfId="7788"/>
    <cellStyle name="Millares 4 5 2 3 2" xfId="7980"/>
    <cellStyle name="Millares 4 5 2 3 2 2" xfId="8748"/>
    <cellStyle name="Millares 4 5 2 3 3" xfId="8172"/>
    <cellStyle name="Millares 4 5 2 3 3 2" xfId="8940"/>
    <cellStyle name="Millares 4 5 2 3 4" xfId="8364"/>
    <cellStyle name="Millares 4 5 2 3 4 2" xfId="9132"/>
    <cellStyle name="Millares 4 5 2 3 5" xfId="8556"/>
    <cellStyle name="Millares 4 5 2 4" xfId="7884"/>
    <cellStyle name="Millares 4 5 2 4 2" xfId="8652"/>
    <cellStyle name="Millares 4 5 2 5" xfId="8076"/>
    <cellStyle name="Millares 4 5 2 5 2" xfId="8844"/>
    <cellStyle name="Millares 4 5 2 6" xfId="8268"/>
    <cellStyle name="Millares 4 5 2 6 2" xfId="9036"/>
    <cellStyle name="Millares 4 5 2 7" xfId="8460"/>
    <cellStyle name="Millares 4 5 3" xfId="7708"/>
    <cellStyle name="Millares 4 5 3 2" xfId="7756"/>
    <cellStyle name="Millares 4 5 3 2 2" xfId="7852"/>
    <cellStyle name="Millares 4 5 3 2 2 2" xfId="8044"/>
    <cellStyle name="Millares 4 5 3 2 2 2 2" xfId="8812"/>
    <cellStyle name="Millares 4 5 3 2 2 3" xfId="8236"/>
    <cellStyle name="Millares 4 5 3 2 2 3 2" xfId="9004"/>
    <cellStyle name="Millares 4 5 3 2 2 4" xfId="8428"/>
    <cellStyle name="Millares 4 5 3 2 2 4 2" xfId="9196"/>
    <cellStyle name="Millares 4 5 3 2 2 5" xfId="8620"/>
    <cellStyle name="Millares 4 5 3 2 3" xfId="7948"/>
    <cellStyle name="Millares 4 5 3 2 3 2" xfId="8716"/>
    <cellStyle name="Millares 4 5 3 2 4" xfId="8140"/>
    <cellStyle name="Millares 4 5 3 2 4 2" xfId="8908"/>
    <cellStyle name="Millares 4 5 3 2 5" xfId="8332"/>
    <cellStyle name="Millares 4 5 3 2 5 2" xfId="9100"/>
    <cellStyle name="Millares 4 5 3 2 6" xfId="8524"/>
    <cellStyle name="Millares 4 5 3 3" xfId="7804"/>
    <cellStyle name="Millares 4 5 3 3 2" xfId="7996"/>
    <cellStyle name="Millares 4 5 3 3 2 2" xfId="8764"/>
    <cellStyle name="Millares 4 5 3 3 3" xfId="8188"/>
    <cellStyle name="Millares 4 5 3 3 3 2" xfId="8956"/>
    <cellStyle name="Millares 4 5 3 3 4" xfId="8380"/>
    <cellStyle name="Millares 4 5 3 3 4 2" xfId="9148"/>
    <cellStyle name="Millares 4 5 3 3 5" xfId="8572"/>
    <cellStyle name="Millares 4 5 3 4" xfId="7900"/>
    <cellStyle name="Millares 4 5 3 4 2" xfId="8668"/>
    <cellStyle name="Millares 4 5 3 5" xfId="8092"/>
    <cellStyle name="Millares 4 5 3 5 2" xfId="8860"/>
    <cellStyle name="Millares 4 5 3 6" xfId="8284"/>
    <cellStyle name="Millares 4 5 3 6 2" xfId="9052"/>
    <cellStyle name="Millares 4 5 3 7" xfId="8476"/>
    <cellStyle name="Millares 4 5 4" xfId="7724"/>
    <cellStyle name="Millares 4 5 4 2" xfId="7820"/>
    <cellStyle name="Millares 4 5 4 2 2" xfId="8012"/>
    <cellStyle name="Millares 4 5 4 2 2 2" xfId="8780"/>
    <cellStyle name="Millares 4 5 4 2 3" xfId="8204"/>
    <cellStyle name="Millares 4 5 4 2 3 2" xfId="8972"/>
    <cellStyle name="Millares 4 5 4 2 4" xfId="8396"/>
    <cellStyle name="Millares 4 5 4 2 4 2" xfId="9164"/>
    <cellStyle name="Millares 4 5 4 2 5" xfId="8588"/>
    <cellStyle name="Millares 4 5 4 3" xfId="7916"/>
    <cellStyle name="Millares 4 5 4 3 2" xfId="8684"/>
    <cellStyle name="Millares 4 5 4 4" xfId="8108"/>
    <cellStyle name="Millares 4 5 4 4 2" xfId="8876"/>
    <cellStyle name="Millares 4 5 4 5" xfId="8300"/>
    <cellStyle name="Millares 4 5 4 5 2" xfId="9068"/>
    <cellStyle name="Millares 4 5 4 6" xfId="8492"/>
    <cellStyle name="Millares 4 5 5" xfId="7772"/>
    <cellStyle name="Millares 4 5 5 2" xfId="7964"/>
    <cellStyle name="Millares 4 5 5 2 2" xfId="8732"/>
    <cellStyle name="Millares 4 5 5 3" xfId="8156"/>
    <cellStyle name="Millares 4 5 5 3 2" xfId="8924"/>
    <cellStyle name="Millares 4 5 5 4" xfId="8348"/>
    <cellStyle name="Millares 4 5 5 4 2" xfId="9116"/>
    <cellStyle name="Millares 4 5 5 5" xfId="8540"/>
    <cellStyle name="Millares 4 5 6" xfId="7868"/>
    <cellStyle name="Millares 4 5 6 2" xfId="8636"/>
    <cellStyle name="Millares 4 5 7" xfId="8060"/>
    <cellStyle name="Millares 4 5 7 2" xfId="8828"/>
    <cellStyle name="Millares 4 5 8" xfId="8252"/>
    <cellStyle name="Millares 4 5 8 2" xfId="9020"/>
    <cellStyle name="Millares 4 5 9" xfId="8444"/>
    <cellStyle name="Millares 4 6" xfId="7684"/>
    <cellStyle name="Millares 4 6 2" xfId="7732"/>
    <cellStyle name="Millares 4 6 2 2" xfId="7828"/>
    <cellStyle name="Millares 4 6 2 2 2" xfId="8020"/>
    <cellStyle name="Millares 4 6 2 2 2 2" xfId="8788"/>
    <cellStyle name="Millares 4 6 2 2 3" xfId="8212"/>
    <cellStyle name="Millares 4 6 2 2 3 2" xfId="8980"/>
    <cellStyle name="Millares 4 6 2 2 4" xfId="8404"/>
    <cellStyle name="Millares 4 6 2 2 4 2" xfId="9172"/>
    <cellStyle name="Millares 4 6 2 2 5" xfId="8596"/>
    <cellStyle name="Millares 4 6 2 3" xfId="7924"/>
    <cellStyle name="Millares 4 6 2 3 2" xfId="8692"/>
    <cellStyle name="Millares 4 6 2 4" xfId="8116"/>
    <cellStyle name="Millares 4 6 2 4 2" xfId="8884"/>
    <cellStyle name="Millares 4 6 2 5" xfId="8308"/>
    <cellStyle name="Millares 4 6 2 5 2" xfId="9076"/>
    <cellStyle name="Millares 4 6 2 6" xfId="8500"/>
    <cellStyle name="Millares 4 6 3" xfId="7780"/>
    <cellStyle name="Millares 4 6 3 2" xfId="7972"/>
    <cellStyle name="Millares 4 6 3 2 2" xfId="8740"/>
    <cellStyle name="Millares 4 6 3 3" xfId="8164"/>
    <cellStyle name="Millares 4 6 3 3 2" xfId="8932"/>
    <cellStyle name="Millares 4 6 3 4" xfId="8356"/>
    <cellStyle name="Millares 4 6 3 4 2" xfId="9124"/>
    <cellStyle name="Millares 4 6 3 5" xfId="8548"/>
    <cellStyle name="Millares 4 6 4" xfId="7876"/>
    <cellStyle name="Millares 4 6 4 2" xfId="8644"/>
    <cellStyle name="Millares 4 6 5" xfId="8068"/>
    <cellStyle name="Millares 4 6 5 2" xfId="8836"/>
    <cellStyle name="Millares 4 6 6" xfId="8260"/>
    <cellStyle name="Millares 4 6 6 2" xfId="9028"/>
    <cellStyle name="Millares 4 6 7" xfId="8452"/>
    <cellStyle name="Millares 4 7" xfId="7700"/>
    <cellStyle name="Millares 4 7 2" xfId="7748"/>
    <cellStyle name="Millares 4 7 2 2" xfId="7844"/>
    <cellStyle name="Millares 4 7 2 2 2" xfId="8036"/>
    <cellStyle name="Millares 4 7 2 2 2 2" xfId="8804"/>
    <cellStyle name="Millares 4 7 2 2 3" xfId="8228"/>
    <cellStyle name="Millares 4 7 2 2 3 2" xfId="8996"/>
    <cellStyle name="Millares 4 7 2 2 4" xfId="8420"/>
    <cellStyle name="Millares 4 7 2 2 4 2" xfId="9188"/>
    <cellStyle name="Millares 4 7 2 2 5" xfId="8612"/>
    <cellStyle name="Millares 4 7 2 3" xfId="7940"/>
    <cellStyle name="Millares 4 7 2 3 2" xfId="8708"/>
    <cellStyle name="Millares 4 7 2 4" xfId="8132"/>
    <cellStyle name="Millares 4 7 2 4 2" xfId="8900"/>
    <cellStyle name="Millares 4 7 2 5" xfId="8324"/>
    <cellStyle name="Millares 4 7 2 5 2" xfId="9092"/>
    <cellStyle name="Millares 4 7 2 6" xfId="8516"/>
    <cellStyle name="Millares 4 7 3" xfId="7796"/>
    <cellStyle name="Millares 4 7 3 2" xfId="7988"/>
    <cellStyle name="Millares 4 7 3 2 2" xfId="8756"/>
    <cellStyle name="Millares 4 7 3 3" xfId="8180"/>
    <cellStyle name="Millares 4 7 3 3 2" xfId="8948"/>
    <cellStyle name="Millares 4 7 3 4" xfId="8372"/>
    <cellStyle name="Millares 4 7 3 4 2" xfId="9140"/>
    <cellStyle name="Millares 4 7 3 5" xfId="8564"/>
    <cellStyle name="Millares 4 7 4" xfId="7892"/>
    <cellStyle name="Millares 4 7 4 2" xfId="8660"/>
    <cellStyle name="Millares 4 7 5" xfId="8084"/>
    <cellStyle name="Millares 4 7 5 2" xfId="8852"/>
    <cellStyle name="Millares 4 7 6" xfId="8276"/>
    <cellStyle name="Millares 4 7 6 2" xfId="9044"/>
    <cellStyle name="Millares 4 7 7" xfId="8468"/>
    <cellStyle name="Millares 4 8" xfId="7716"/>
    <cellStyle name="Millares 4 8 2" xfId="7812"/>
    <cellStyle name="Millares 4 8 2 2" xfId="8004"/>
    <cellStyle name="Millares 4 8 2 2 2" xfId="8772"/>
    <cellStyle name="Millares 4 8 2 3" xfId="8196"/>
    <cellStyle name="Millares 4 8 2 3 2" xfId="8964"/>
    <cellStyle name="Millares 4 8 2 4" xfId="8388"/>
    <cellStyle name="Millares 4 8 2 4 2" xfId="9156"/>
    <cellStyle name="Millares 4 8 2 5" xfId="8580"/>
    <cellStyle name="Millares 4 8 3" xfId="7908"/>
    <cellStyle name="Millares 4 8 3 2" xfId="8676"/>
    <cellStyle name="Millares 4 8 4" xfId="8100"/>
    <cellStyle name="Millares 4 8 4 2" xfId="8868"/>
    <cellStyle name="Millares 4 8 5" xfId="8292"/>
    <cellStyle name="Millares 4 8 5 2" xfId="9060"/>
    <cellStyle name="Millares 4 8 6" xfId="8484"/>
    <cellStyle name="Millares 4 9" xfId="7764"/>
    <cellStyle name="Millares 4 9 2" xfId="7956"/>
    <cellStyle name="Millares 4 9 2 2" xfId="8724"/>
    <cellStyle name="Millares 4 9 3" xfId="8148"/>
    <cellStyle name="Millares 4 9 3 2" xfId="8916"/>
    <cellStyle name="Millares 4 9 4" xfId="8340"/>
    <cellStyle name="Millares 4 9 4 2" xfId="9108"/>
    <cellStyle name="Millares 4 9 5" xfId="8532"/>
    <cellStyle name="Millares 5" xfId="5726"/>
    <cellStyle name="Millares 6" xfId="5727"/>
    <cellStyle name="Millares 7" xfId="5728"/>
    <cellStyle name="Milliers [0]_!!!GO" xfId="848"/>
    <cellStyle name="Milliers_!!!GO" xfId="849"/>
    <cellStyle name="Moeda 10" xfId="850"/>
    <cellStyle name="Moeda 10 2" xfId="851"/>
    <cellStyle name="Moeda 11" xfId="852"/>
    <cellStyle name="Moeda 11 2" xfId="853"/>
    <cellStyle name="Moeda 12" xfId="854"/>
    <cellStyle name="Moeda 12 2" xfId="855"/>
    <cellStyle name="Moeda 13" xfId="856"/>
    <cellStyle name="Moeda 13 2" xfId="857"/>
    <cellStyle name="Moeda 14" xfId="858"/>
    <cellStyle name="Moeda 14 2" xfId="859"/>
    <cellStyle name="Moeda 15" xfId="860"/>
    <cellStyle name="Moeda 15 2" xfId="861"/>
    <cellStyle name="Moeda 16" xfId="862"/>
    <cellStyle name="Moeda 16 2" xfId="863"/>
    <cellStyle name="Moeda 17" xfId="864"/>
    <cellStyle name="Moeda 17 2" xfId="865"/>
    <cellStyle name="Moeda 18" xfId="866"/>
    <cellStyle name="Moeda 18 2" xfId="867"/>
    <cellStyle name="Moeda 2" xfId="868"/>
    <cellStyle name="Moeda 2 10" xfId="869"/>
    <cellStyle name="Moeda 2 10 2" xfId="870"/>
    <cellStyle name="Moeda 2 11" xfId="871"/>
    <cellStyle name="Moeda 2 11 2" xfId="872"/>
    <cellStyle name="Moeda 2 12" xfId="873"/>
    <cellStyle name="Moeda 2 12 2" xfId="874"/>
    <cellStyle name="Moeda 2 13" xfId="875"/>
    <cellStyle name="Moeda 2 13 2" xfId="876"/>
    <cellStyle name="Moeda 2 14" xfId="877"/>
    <cellStyle name="Moeda 2 14 2" xfId="878"/>
    <cellStyle name="Moeda 2 15" xfId="879"/>
    <cellStyle name="Moeda 2 15 2" xfId="880"/>
    <cellStyle name="Moeda 2 16" xfId="881"/>
    <cellStyle name="Moeda 2 17" xfId="882"/>
    <cellStyle name="Moeda 2 2" xfId="883"/>
    <cellStyle name="Moeda 2 2 2" xfId="884"/>
    <cellStyle name="Moeda 2 3" xfId="885"/>
    <cellStyle name="Moeda 2 3 2" xfId="886"/>
    <cellStyle name="Moeda 2 4" xfId="887"/>
    <cellStyle name="Moeda 2 4 2" xfId="888"/>
    <cellStyle name="Moeda 2 5" xfId="889"/>
    <cellStyle name="Moeda 2 5 2" xfId="890"/>
    <cellStyle name="Moeda 2 6" xfId="891"/>
    <cellStyle name="Moeda 2 6 2" xfId="892"/>
    <cellStyle name="Moeda 2 7" xfId="893"/>
    <cellStyle name="Moeda 2 7 2" xfId="894"/>
    <cellStyle name="Moeda 2 8" xfId="895"/>
    <cellStyle name="Moeda 2 8 2" xfId="896"/>
    <cellStyle name="Moeda 2 9" xfId="897"/>
    <cellStyle name="Moeda 2 9 2" xfId="898"/>
    <cellStyle name="Moeda 3" xfId="899"/>
    <cellStyle name="Moeda 3 10" xfId="900"/>
    <cellStyle name="Moeda 3 10 2" xfId="901"/>
    <cellStyle name="Moeda 3 11" xfId="902"/>
    <cellStyle name="Moeda 3 11 2" xfId="903"/>
    <cellStyle name="Moeda 3 12" xfId="904"/>
    <cellStyle name="Moeda 3 12 2" xfId="905"/>
    <cellStyle name="Moeda 3 13" xfId="906"/>
    <cellStyle name="Moeda 3 13 2" xfId="907"/>
    <cellStyle name="Moeda 3 14" xfId="908"/>
    <cellStyle name="Moeda 3 14 2" xfId="909"/>
    <cellStyle name="Moeda 3 15" xfId="910"/>
    <cellStyle name="Moeda 3 15 2" xfId="911"/>
    <cellStyle name="Moeda 3 16" xfId="912"/>
    <cellStyle name="Moeda 3 17" xfId="913"/>
    <cellStyle name="Moeda 3 2" xfId="914"/>
    <cellStyle name="Moeda 3 2 2" xfId="915"/>
    <cellStyle name="Moeda 3 3" xfId="916"/>
    <cellStyle name="Moeda 3 3 2" xfId="917"/>
    <cellStyle name="Moeda 3 4" xfId="918"/>
    <cellStyle name="Moeda 3 4 2" xfId="919"/>
    <cellStyle name="Moeda 3 5" xfId="920"/>
    <cellStyle name="Moeda 3 5 2" xfId="921"/>
    <cellStyle name="Moeda 3 6" xfId="922"/>
    <cellStyle name="Moeda 3 6 2" xfId="923"/>
    <cellStyle name="Moeda 3 7" xfId="924"/>
    <cellStyle name="Moeda 3 7 2" xfId="925"/>
    <cellStyle name="Moeda 3 8" xfId="926"/>
    <cellStyle name="Moeda 3 8 2" xfId="927"/>
    <cellStyle name="Moeda 3 9" xfId="928"/>
    <cellStyle name="Moeda 3 9 2" xfId="929"/>
    <cellStyle name="Moeda 4" xfId="930"/>
    <cellStyle name="Moeda 4 2" xfId="931"/>
    <cellStyle name="Moeda 5" xfId="932"/>
    <cellStyle name="Moeda 5 2" xfId="933"/>
    <cellStyle name="Moeda 6" xfId="934"/>
    <cellStyle name="Moeda 6 2" xfId="935"/>
    <cellStyle name="Moeda 7" xfId="936"/>
    <cellStyle name="Moeda 7 2" xfId="937"/>
    <cellStyle name="Moeda 8" xfId="938"/>
    <cellStyle name="Moeda 8 2" xfId="939"/>
    <cellStyle name="Moeda 9" xfId="940"/>
    <cellStyle name="Moeda 9 2" xfId="941"/>
    <cellStyle name="Moneda 2" xfId="5730"/>
    <cellStyle name="Monétaire [0]_!!!GO" xfId="942"/>
    <cellStyle name="Monétaire_!!!GO" xfId="943"/>
    <cellStyle name="More - IBM Cognos" xfId="6792"/>
    <cellStyle name="More - IBM Cognos 2" xfId="12558"/>
    <cellStyle name="More - IBM Cognos 3" xfId="9519"/>
    <cellStyle name="More - IBM Cognos 4" xfId="13728"/>
    <cellStyle name="N/A" xfId="944"/>
    <cellStyle name="N/A 2" xfId="9240"/>
    <cellStyle name="Neutra" xfId="945"/>
    <cellStyle name="Neutra 2" xfId="946"/>
    <cellStyle name="Neutra 3" xfId="947"/>
    <cellStyle name="Neutra 4" xfId="948"/>
    <cellStyle name="Neutral 1" xfId="949"/>
    <cellStyle name="Neutral 2" xfId="950"/>
    <cellStyle name="Neutral 2 2" xfId="951"/>
    <cellStyle name="Neutral 2 3" xfId="952"/>
    <cellStyle name="Neutral 3" xfId="953"/>
    <cellStyle name="Neutral 3 2" xfId="5731"/>
    <cellStyle name="Neutral 4" xfId="954"/>
    <cellStyle name="Neutral 4 2" xfId="5732"/>
    <cellStyle name="Neutral 5" xfId="5733"/>
    <cellStyle name="Neutral 6" xfId="5734"/>
    <cellStyle name="Neutral 7" xfId="5735"/>
    <cellStyle name="Neutral 8" xfId="6521"/>
    <cellStyle name="Neutral 9" xfId="6729"/>
    <cellStyle name="Normal" xfId="0" builtinId="0"/>
    <cellStyle name="Normal - Style1" xfId="955"/>
    <cellStyle name="Normal - Style1 2" xfId="956"/>
    <cellStyle name="Normal - Style1 3" xfId="5736"/>
    <cellStyle name="Normal - Style1 4" xfId="5930"/>
    <cellStyle name="Normal 10" xfId="957"/>
    <cellStyle name="Normal 10 2" xfId="958"/>
    <cellStyle name="Normal 10 2 2" xfId="6616"/>
    <cellStyle name="Normal 10 2 3" xfId="9242"/>
    <cellStyle name="Normal 10 3" xfId="5201"/>
    <cellStyle name="Normal 10 4" xfId="5929"/>
    <cellStyle name="Normal 10 5" xfId="6615"/>
    <cellStyle name="Normal 10 6" xfId="9241"/>
    <cellStyle name="Normal 100" xfId="5284"/>
    <cellStyle name="Normal 101" xfId="5285"/>
    <cellStyle name="Normal 102" xfId="5290"/>
    <cellStyle name="Normal 103" xfId="5286"/>
    <cellStyle name="Normal 104" xfId="5289"/>
    <cellStyle name="Normal 105" xfId="5287"/>
    <cellStyle name="Normal 106" xfId="5288"/>
    <cellStyle name="Normal 107" xfId="5291"/>
    <cellStyle name="Normal 108" xfId="5292"/>
    <cellStyle name="Normal 109" xfId="5293"/>
    <cellStyle name="Normal 11" xfId="959"/>
    <cellStyle name="Normal 11 2" xfId="960"/>
    <cellStyle name="Normal 11 2 2" xfId="961"/>
    <cellStyle name="Normal 11 2 3" xfId="6618"/>
    <cellStyle name="Normal 11 3" xfId="962"/>
    <cellStyle name="Normal 11 3 2" xfId="6619"/>
    <cellStyle name="Normal 11 4" xfId="5221"/>
    <cellStyle name="Normal 11 5" xfId="5928"/>
    <cellStyle name="Normal 11 6" xfId="6617"/>
    <cellStyle name="Normal 110" xfId="5852"/>
    <cellStyle name="Normal 111" xfId="5870"/>
    <cellStyle name="Normal 112" xfId="5873"/>
    <cellStyle name="Normal 113" xfId="5867"/>
    <cellStyle name="Normal 114" xfId="5872"/>
    <cellStyle name="Normal 115" xfId="5865"/>
    <cellStyle name="Normal 116" xfId="5871"/>
    <cellStyle name="Normal 117" xfId="5875"/>
    <cellStyle name="Normal 118" xfId="5876"/>
    <cellStyle name="Normal 119" xfId="5877"/>
    <cellStyle name="Normal 12" xfId="963"/>
    <cellStyle name="Normal 12 2" xfId="5233"/>
    <cellStyle name="Normal 12 2 2" xfId="6621"/>
    <cellStyle name="Normal 12 3" xfId="6622"/>
    <cellStyle name="Normal 12 4" xfId="6620"/>
    <cellStyle name="Normal 12 5" xfId="9243"/>
    <cellStyle name="Normal 120" xfId="5894"/>
    <cellStyle name="Normal 121" xfId="5879"/>
    <cellStyle name="Normal 122" xfId="5893"/>
    <cellStyle name="Normal 123" xfId="5895"/>
    <cellStyle name="Normal 124" xfId="5896"/>
    <cellStyle name="Normal 125" xfId="5897"/>
    <cellStyle name="Normal 126" xfId="5956"/>
    <cellStyle name="Normal 127" xfId="5900"/>
    <cellStyle name="Normal 128" xfId="5954"/>
    <cellStyle name="Normal 129" xfId="5958"/>
    <cellStyle name="Normal 13" xfId="964"/>
    <cellStyle name="Normal 13 2" xfId="5252"/>
    <cellStyle name="Normal 13 2 2" xfId="6624"/>
    <cellStyle name="Normal 13 3" xfId="6623"/>
    <cellStyle name="Normal 13 4" xfId="6613"/>
    <cellStyle name="Normal 130" xfId="5959"/>
    <cellStyle name="Normal 131" xfId="5960"/>
    <cellStyle name="Normal 131 2" xfId="7664"/>
    <cellStyle name="Normal 132" xfId="5974"/>
    <cellStyle name="Normal 133" xfId="5979"/>
    <cellStyle name="Normal 134" xfId="5975"/>
    <cellStyle name="Normal 135" xfId="5978"/>
    <cellStyle name="Normal 136" xfId="5976"/>
    <cellStyle name="Normal 137" xfId="5977"/>
    <cellStyle name="Normal 138" xfId="5980"/>
    <cellStyle name="Normal 139" xfId="5981"/>
    <cellStyle name="Normal 14" xfId="965"/>
    <cellStyle name="Normal 14 2" xfId="966"/>
    <cellStyle name="Normal 14 2 2" xfId="6626"/>
    <cellStyle name="Normal 14 3" xfId="6625"/>
    <cellStyle name="Normal 14 4" xfId="7336"/>
    <cellStyle name="Normal 140" xfId="5982"/>
    <cellStyle name="Normal 141" xfId="5996"/>
    <cellStyle name="Normal 142" xfId="5997"/>
    <cellStyle name="Normal 143" xfId="5999"/>
    <cellStyle name="Normal 144" xfId="6000"/>
    <cellStyle name="Normal 145" xfId="6002"/>
    <cellStyle name="Normal 146" xfId="6009"/>
    <cellStyle name="Normal 147" xfId="6003"/>
    <cellStyle name="Normal 148" xfId="6008"/>
    <cellStyle name="Normal 148 2" xfId="7661"/>
    <cellStyle name="Normal 149" xfId="6004"/>
    <cellStyle name="Normal 15" xfId="967"/>
    <cellStyle name="Normal 15 10" xfId="6627"/>
    <cellStyle name="Normal 15 11" xfId="7406"/>
    <cellStyle name="Normal 15 2" xfId="968"/>
    <cellStyle name="Normal 15 2 2" xfId="969"/>
    <cellStyle name="Normal 15 2 2 2" xfId="970"/>
    <cellStyle name="Normal 15 2 2 2 2" xfId="971"/>
    <cellStyle name="Normal 15 2 2 2 2 2" xfId="972"/>
    <cellStyle name="Normal 15 2 2 2 2 2 2" xfId="973"/>
    <cellStyle name="Normal 15 2 2 2 2 2 2 2" xfId="974"/>
    <cellStyle name="Normal 15 2 2 2 2 2 2 2 2" xfId="975"/>
    <cellStyle name="Normal 15 2 2 2 2 2 2 3" xfId="976"/>
    <cellStyle name="Normal 15 2 2 2 2 2 3" xfId="977"/>
    <cellStyle name="Normal 15 2 2 2 2 2 3 2" xfId="978"/>
    <cellStyle name="Normal 15 2 2 2 2 2 4" xfId="979"/>
    <cellStyle name="Normal 15 2 2 2 2 3" xfId="980"/>
    <cellStyle name="Normal 15 2 2 2 2 3 2" xfId="981"/>
    <cellStyle name="Normal 15 2 2 2 2 3 2 2" xfId="982"/>
    <cellStyle name="Normal 15 2 2 2 2 3 3" xfId="983"/>
    <cellStyle name="Normal 15 2 2 2 2 4" xfId="984"/>
    <cellStyle name="Normal 15 2 2 2 2 4 2" xfId="985"/>
    <cellStyle name="Normal 15 2 2 2 2 5" xfId="986"/>
    <cellStyle name="Normal 15 2 2 2 3" xfId="987"/>
    <cellStyle name="Normal 15 2 2 2 3 2" xfId="988"/>
    <cellStyle name="Normal 15 2 2 2 3 2 2" xfId="989"/>
    <cellStyle name="Normal 15 2 2 2 3 2 2 2" xfId="990"/>
    <cellStyle name="Normal 15 2 2 2 3 2 3" xfId="991"/>
    <cellStyle name="Normal 15 2 2 2 3 3" xfId="992"/>
    <cellStyle name="Normal 15 2 2 2 3 3 2" xfId="993"/>
    <cellStyle name="Normal 15 2 2 2 3 4" xfId="994"/>
    <cellStyle name="Normal 15 2 2 2 4" xfId="995"/>
    <cellStyle name="Normal 15 2 2 2 4 2" xfId="996"/>
    <cellStyle name="Normal 15 2 2 2 4 2 2" xfId="997"/>
    <cellStyle name="Normal 15 2 2 2 4 3" xfId="998"/>
    <cellStyle name="Normal 15 2 2 2 5" xfId="999"/>
    <cellStyle name="Normal 15 2 2 2 5 2" xfId="1000"/>
    <cellStyle name="Normal 15 2 2 2 6" xfId="1001"/>
    <cellStyle name="Normal 15 2 2 3" xfId="1002"/>
    <cellStyle name="Normal 15 2 2 3 2" xfId="1003"/>
    <cellStyle name="Normal 15 2 2 3 2 2" xfId="1004"/>
    <cellStyle name="Normal 15 2 2 3 2 2 2" xfId="1005"/>
    <cellStyle name="Normal 15 2 2 3 2 2 2 2" xfId="1006"/>
    <cellStyle name="Normal 15 2 2 3 2 2 3" xfId="1007"/>
    <cellStyle name="Normal 15 2 2 3 2 3" xfId="1008"/>
    <cellStyle name="Normal 15 2 2 3 2 3 2" xfId="1009"/>
    <cellStyle name="Normal 15 2 2 3 2 4" xfId="1010"/>
    <cellStyle name="Normal 15 2 2 3 3" xfId="1011"/>
    <cellStyle name="Normal 15 2 2 3 3 2" xfId="1012"/>
    <cellStyle name="Normal 15 2 2 3 3 2 2" xfId="1013"/>
    <cellStyle name="Normal 15 2 2 3 3 3" xfId="1014"/>
    <cellStyle name="Normal 15 2 2 3 4" xfId="1015"/>
    <cellStyle name="Normal 15 2 2 3 4 2" xfId="1016"/>
    <cellStyle name="Normal 15 2 2 3 5" xfId="1017"/>
    <cellStyle name="Normal 15 2 2 4" xfId="1018"/>
    <cellStyle name="Normal 15 2 2 4 2" xfId="1019"/>
    <cellStyle name="Normal 15 2 2 4 2 2" xfId="1020"/>
    <cellStyle name="Normal 15 2 2 4 2 2 2" xfId="1021"/>
    <cellStyle name="Normal 15 2 2 4 2 3" xfId="1022"/>
    <cellStyle name="Normal 15 2 2 4 3" xfId="1023"/>
    <cellStyle name="Normal 15 2 2 4 3 2" xfId="1024"/>
    <cellStyle name="Normal 15 2 2 4 4" xfId="1025"/>
    <cellStyle name="Normal 15 2 2 5" xfId="1026"/>
    <cellStyle name="Normal 15 2 2 5 2" xfId="1027"/>
    <cellStyle name="Normal 15 2 2 5 2 2" xfId="1028"/>
    <cellStyle name="Normal 15 2 2 5 3" xfId="1029"/>
    <cellStyle name="Normal 15 2 2 6" xfId="1030"/>
    <cellStyle name="Normal 15 2 2 6 2" xfId="1031"/>
    <cellStyle name="Normal 15 2 2 7" xfId="1032"/>
    <cellStyle name="Normal 15 2 3" xfId="1033"/>
    <cellStyle name="Normal 15 2 3 2" xfId="1034"/>
    <cellStyle name="Normal 15 2 3 2 2" xfId="1035"/>
    <cellStyle name="Normal 15 2 3 2 2 2" xfId="1036"/>
    <cellStyle name="Normal 15 2 3 2 2 2 2" xfId="1037"/>
    <cellStyle name="Normal 15 2 3 2 2 2 2 2" xfId="1038"/>
    <cellStyle name="Normal 15 2 3 2 2 2 3" xfId="1039"/>
    <cellStyle name="Normal 15 2 3 2 2 3" xfId="1040"/>
    <cellStyle name="Normal 15 2 3 2 2 3 2" xfId="1041"/>
    <cellStyle name="Normal 15 2 3 2 2 4" xfId="1042"/>
    <cellStyle name="Normal 15 2 3 2 3" xfId="1043"/>
    <cellStyle name="Normal 15 2 3 2 3 2" xfId="1044"/>
    <cellStyle name="Normal 15 2 3 2 3 2 2" xfId="1045"/>
    <cellStyle name="Normal 15 2 3 2 3 3" xfId="1046"/>
    <cellStyle name="Normal 15 2 3 2 4" xfId="1047"/>
    <cellStyle name="Normal 15 2 3 2 4 2" xfId="1048"/>
    <cellStyle name="Normal 15 2 3 2 5" xfId="1049"/>
    <cellStyle name="Normal 15 2 3 3" xfId="1050"/>
    <cellStyle name="Normal 15 2 3 3 2" xfId="1051"/>
    <cellStyle name="Normal 15 2 3 3 2 2" xfId="1052"/>
    <cellStyle name="Normal 15 2 3 3 2 2 2" xfId="1053"/>
    <cellStyle name="Normal 15 2 3 3 2 3" xfId="1054"/>
    <cellStyle name="Normal 15 2 3 3 3" xfId="1055"/>
    <cellStyle name="Normal 15 2 3 3 3 2" xfId="1056"/>
    <cellStyle name="Normal 15 2 3 3 4" xfId="1057"/>
    <cellStyle name="Normal 15 2 3 4" xfId="1058"/>
    <cellStyle name="Normal 15 2 3 4 2" xfId="1059"/>
    <cellStyle name="Normal 15 2 3 4 2 2" xfId="1060"/>
    <cellStyle name="Normal 15 2 3 4 3" xfId="1061"/>
    <cellStyle name="Normal 15 2 3 5" xfId="1062"/>
    <cellStyle name="Normal 15 2 3 5 2" xfId="1063"/>
    <cellStyle name="Normal 15 2 3 6" xfId="1064"/>
    <cellStyle name="Normal 15 2 4" xfId="1065"/>
    <cellStyle name="Normal 15 2 4 2" xfId="1066"/>
    <cellStyle name="Normal 15 2 4 2 2" xfId="1067"/>
    <cellStyle name="Normal 15 2 4 2 2 2" xfId="1068"/>
    <cellStyle name="Normal 15 2 4 2 2 2 2" xfId="1069"/>
    <cellStyle name="Normal 15 2 4 2 2 3" xfId="1070"/>
    <cellStyle name="Normal 15 2 4 2 3" xfId="1071"/>
    <cellStyle name="Normal 15 2 4 2 3 2" xfId="1072"/>
    <cellStyle name="Normal 15 2 4 2 4" xfId="1073"/>
    <cellStyle name="Normal 15 2 4 3" xfId="1074"/>
    <cellStyle name="Normal 15 2 4 3 2" xfId="1075"/>
    <cellStyle name="Normal 15 2 4 3 2 2" xfId="1076"/>
    <cellStyle name="Normal 15 2 4 3 3" xfId="1077"/>
    <cellStyle name="Normal 15 2 4 4" xfId="1078"/>
    <cellStyle name="Normal 15 2 4 4 2" xfId="1079"/>
    <cellStyle name="Normal 15 2 4 5" xfId="1080"/>
    <cellStyle name="Normal 15 2 5" xfId="1081"/>
    <cellStyle name="Normal 15 2 5 2" xfId="1082"/>
    <cellStyle name="Normal 15 2 5 2 2" xfId="1083"/>
    <cellStyle name="Normal 15 2 5 2 2 2" xfId="1084"/>
    <cellStyle name="Normal 15 2 5 2 3" xfId="1085"/>
    <cellStyle name="Normal 15 2 5 3" xfId="1086"/>
    <cellStyle name="Normal 15 2 5 3 2" xfId="1087"/>
    <cellStyle name="Normal 15 2 5 4" xfId="1088"/>
    <cellStyle name="Normal 15 2 6" xfId="1089"/>
    <cellStyle name="Normal 15 2 6 2" xfId="1090"/>
    <cellStyle name="Normal 15 2 6 2 2" xfId="1091"/>
    <cellStyle name="Normal 15 2 6 3" xfId="1092"/>
    <cellStyle name="Normal 15 2 7" xfId="1093"/>
    <cellStyle name="Normal 15 2 7 2" xfId="1094"/>
    <cellStyle name="Normal 15 2 8" xfId="1095"/>
    <cellStyle name="Normal 15 2 9" xfId="6628"/>
    <cellStyle name="Normal 15 3" xfId="1096"/>
    <cellStyle name="Normal 15 3 2" xfId="1097"/>
    <cellStyle name="Normal 15 3 2 2" xfId="1098"/>
    <cellStyle name="Normal 15 3 2 2 2" xfId="1099"/>
    <cellStyle name="Normal 15 3 2 2 2 2" xfId="1100"/>
    <cellStyle name="Normal 15 3 2 2 2 2 2" xfId="1101"/>
    <cellStyle name="Normal 15 3 2 2 2 2 2 2" xfId="1102"/>
    <cellStyle name="Normal 15 3 2 2 2 2 3" xfId="1103"/>
    <cellStyle name="Normal 15 3 2 2 2 3" xfId="1104"/>
    <cellStyle name="Normal 15 3 2 2 2 3 2" xfId="1105"/>
    <cellStyle name="Normal 15 3 2 2 2 4" xfId="1106"/>
    <cellStyle name="Normal 15 3 2 2 3" xfId="1107"/>
    <cellStyle name="Normal 15 3 2 2 3 2" xfId="1108"/>
    <cellStyle name="Normal 15 3 2 2 3 2 2" xfId="1109"/>
    <cellStyle name="Normal 15 3 2 2 3 3" xfId="1110"/>
    <cellStyle name="Normal 15 3 2 2 4" xfId="1111"/>
    <cellStyle name="Normal 15 3 2 2 4 2" xfId="1112"/>
    <cellStyle name="Normal 15 3 2 2 5" xfId="1113"/>
    <cellStyle name="Normal 15 3 2 3" xfId="1114"/>
    <cellStyle name="Normal 15 3 2 3 2" xfId="1115"/>
    <cellStyle name="Normal 15 3 2 3 2 2" xfId="1116"/>
    <cellStyle name="Normal 15 3 2 3 2 2 2" xfId="1117"/>
    <cellStyle name="Normal 15 3 2 3 2 3" xfId="1118"/>
    <cellStyle name="Normal 15 3 2 3 3" xfId="1119"/>
    <cellStyle name="Normal 15 3 2 3 3 2" xfId="1120"/>
    <cellStyle name="Normal 15 3 2 3 4" xfId="1121"/>
    <cellStyle name="Normal 15 3 2 4" xfId="1122"/>
    <cellStyle name="Normal 15 3 2 4 2" xfId="1123"/>
    <cellStyle name="Normal 15 3 2 4 2 2" xfId="1124"/>
    <cellStyle name="Normal 15 3 2 4 3" xfId="1125"/>
    <cellStyle name="Normal 15 3 2 5" xfId="1126"/>
    <cellStyle name="Normal 15 3 2 5 2" xfId="1127"/>
    <cellStyle name="Normal 15 3 2 6" xfId="1128"/>
    <cellStyle name="Normal 15 3 3" xfId="1129"/>
    <cellStyle name="Normal 15 3 3 2" xfId="1130"/>
    <cellStyle name="Normal 15 3 3 2 2" xfId="1131"/>
    <cellStyle name="Normal 15 3 3 2 2 2" xfId="1132"/>
    <cellStyle name="Normal 15 3 3 2 2 2 2" xfId="1133"/>
    <cellStyle name="Normal 15 3 3 2 2 3" xfId="1134"/>
    <cellStyle name="Normal 15 3 3 2 3" xfId="1135"/>
    <cellStyle name="Normal 15 3 3 2 3 2" xfId="1136"/>
    <cellStyle name="Normal 15 3 3 2 4" xfId="1137"/>
    <cellStyle name="Normal 15 3 3 3" xfId="1138"/>
    <cellStyle name="Normal 15 3 3 3 2" xfId="1139"/>
    <cellStyle name="Normal 15 3 3 3 2 2" xfId="1140"/>
    <cellStyle name="Normal 15 3 3 3 3" xfId="1141"/>
    <cellStyle name="Normal 15 3 3 4" xfId="1142"/>
    <cellStyle name="Normal 15 3 3 4 2" xfId="1143"/>
    <cellStyle name="Normal 15 3 3 5" xfId="1144"/>
    <cellStyle name="Normal 15 3 4" xfId="1145"/>
    <cellStyle name="Normal 15 3 4 2" xfId="1146"/>
    <cellStyle name="Normal 15 3 4 2 2" xfId="1147"/>
    <cellStyle name="Normal 15 3 4 2 2 2" xfId="1148"/>
    <cellStyle name="Normal 15 3 4 2 3" xfId="1149"/>
    <cellStyle name="Normal 15 3 4 3" xfId="1150"/>
    <cellStyle name="Normal 15 3 4 3 2" xfId="1151"/>
    <cellStyle name="Normal 15 3 4 4" xfId="1152"/>
    <cellStyle name="Normal 15 3 5" xfId="1153"/>
    <cellStyle name="Normal 15 3 5 2" xfId="1154"/>
    <cellStyle name="Normal 15 3 5 2 2" xfId="1155"/>
    <cellStyle name="Normal 15 3 5 3" xfId="1156"/>
    <cellStyle name="Normal 15 3 6" xfId="1157"/>
    <cellStyle name="Normal 15 3 6 2" xfId="1158"/>
    <cellStyle name="Normal 15 3 7" xfId="1159"/>
    <cellStyle name="Normal 15 4" xfId="1160"/>
    <cellStyle name="Normal 15 4 2" xfId="1161"/>
    <cellStyle name="Normal 15 4 2 2" xfId="1162"/>
    <cellStyle name="Normal 15 4 2 2 2" xfId="1163"/>
    <cellStyle name="Normal 15 4 2 2 2 2" xfId="1164"/>
    <cellStyle name="Normal 15 4 2 2 2 2 2" xfId="1165"/>
    <cellStyle name="Normal 15 4 2 2 2 3" xfId="1166"/>
    <cellStyle name="Normal 15 4 2 2 3" xfId="1167"/>
    <cellStyle name="Normal 15 4 2 2 3 2" xfId="1168"/>
    <cellStyle name="Normal 15 4 2 2 4" xfId="1169"/>
    <cellStyle name="Normal 15 4 2 3" xfId="1170"/>
    <cellStyle name="Normal 15 4 2 3 2" xfId="1171"/>
    <cellStyle name="Normal 15 4 2 3 2 2" xfId="1172"/>
    <cellStyle name="Normal 15 4 2 3 3" xfId="1173"/>
    <cellStyle name="Normal 15 4 2 4" xfId="1174"/>
    <cellStyle name="Normal 15 4 2 4 2" xfId="1175"/>
    <cellStyle name="Normal 15 4 2 5" xfId="1176"/>
    <cellStyle name="Normal 15 4 3" xfId="1177"/>
    <cellStyle name="Normal 15 4 3 2" xfId="1178"/>
    <cellStyle name="Normal 15 4 3 2 2" xfId="1179"/>
    <cellStyle name="Normal 15 4 3 2 2 2" xfId="1180"/>
    <cellStyle name="Normal 15 4 3 2 3" xfId="1181"/>
    <cellStyle name="Normal 15 4 3 3" xfId="1182"/>
    <cellStyle name="Normal 15 4 3 3 2" xfId="1183"/>
    <cellStyle name="Normal 15 4 3 4" xfId="1184"/>
    <cellStyle name="Normal 15 4 4" xfId="1185"/>
    <cellStyle name="Normal 15 4 4 2" xfId="1186"/>
    <cellStyle name="Normal 15 4 4 2 2" xfId="1187"/>
    <cellStyle name="Normal 15 4 4 3" xfId="1188"/>
    <cellStyle name="Normal 15 4 5" xfId="1189"/>
    <cellStyle name="Normal 15 4 5 2" xfId="1190"/>
    <cellStyle name="Normal 15 4 6" xfId="1191"/>
    <cellStyle name="Normal 15 5" xfId="1192"/>
    <cellStyle name="Normal 15 5 2" xfId="1193"/>
    <cellStyle name="Normal 15 5 2 2" xfId="1194"/>
    <cellStyle name="Normal 15 5 2 2 2" xfId="1195"/>
    <cellStyle name="Normal 15 5 2 2 2 2" xfId="1196"/>
    <cellStyle name="Normal 15 5 2 2 3" xfId="1197"/>
    <cellStyle name="Normal 15 5 2 3" xfId="1198"/>
    <cellStyle name="Normal 15 5 2 3 2" xfId="1199"/>
    <cellStyle name="Normal 15 5 2 4" xfId="1200"/>
    <cellStyle name="Normal 15 5 3" xfId="1201"/>
    <cellStyle name="Normal 15 5 3 2" xfId="1202"/>
    <cellStyle name="Normal 15 5 3 2 2" xfId="1203"/>
    <cellStyle name="Normal 15 5 3 3" xfId="1204"/>
    <cellStyle name="Normal 15 5 4" xfId="1205"/>
    <cellStyle name="Normal 15 5 4 2" xfId="1206"/>
    <cellStyle name="Normal 15 5 5" xfId="1207"/>
    <cellStyle name="Normal 15 6" xfId="1208"/>
    <cellStyle name="Normal 15 6 2" xfId="1209"/>
    <cellStyle name="Normal 15 6 2 2" xfId="1210"/>
    <cellStyle name="Normal 15 6 2 2 2" xfId="1211"/>
    <cellStyle name="Normal 15 6 2 3" xfId="1212"/>
    <cellStyle name="Normal 15 6 3" xfId="1213"/>
    <cellStyle name="Normal 15 6 3 2" xfId="1214"/>
    <cellStyle name="Normal 15 6 4" xfId="1215"/>
    <cellStyle name="Normal 15 7" xfId="1216"/>
    <cellStyle name="Normal 15 7 2" xfId="1217"/>
    <cellStyle name="Normal 15 7 2 2" xfId="1218"/>
    <cellStyle name="Normal 15 7 3" xfId="1219"/>
    <cellStyle name="Normal 15 8" xfId="1220"/>
    <cellStyle name="Normal 15 8 2" xfId="1221"/>
    <cellStyle name="Normal 15 9" xfId="1222"/>
    <cellStyle name="Normal 150" xfId="6007"/>
    <cellStyle name="Normal 151" xfId="6005"/>
    <cellStyle name="Normal 152" xfId="6006"/>
    <cellStyle name="Normal 153" xfId="6011"/>
    <cellStyle name="Normal 154" xfId="6088"/>
    <cellStyle name="Normal 155" xfId="6016"/>
    <cellStyle name="Normal 156" xfId="6086"/>
    <cellStyle name="Normal 157" xfId="6026"/>
    <cellStyle name="Normal 158" xfId="6083"/>
    <cellStyle name="Normal 159" xfId="6028"/>
    <cellStyle name="Normal 16" xfId="1223"/>
    <cellStyle name="Normal 16 2" xfId="6630"/>
    <cellStyle name="Normal 16 3" xfId="6629"/>
    <cellStyle name="Normal 16 4" xfId="7425"/>
    <cellStyle name="Normal 16 5" xfId="9244"/>
    <cellStyle name="Normal 160" xfId="6081"/>
    <cellStyle name="Normal 161" xfId="6036"/>
    <cellStyle name="Normal 162" xfId="6079"/>
    <cellStyle name="Normal 163" xfId="6039"/>
    <cellStyle name="Normal 164" xfId="6015"/>
    <cellStyle name="Normal 165" xfId="6089"/>
    <cellStyle name="Normal 166" xfId="6309"/>
    <cellStyle name="Normal 167" xfId="6313"/>
    <cellStyle name="Normal 168" xfId="6316"/>
    <cellStyle name="Normal 169" xfId="6314"/>
    <cellStyle name="Normal 17" xfId="1224"/>
    <cellStyle name="Normal 17 2" xfId="6632"/>
    <cellStyle name="Normal 17 3" xfId="6631"/>
    <cellStyle name="Normal 17 4" xfId="7443"/>
    <cellStyle name="Normal 17 5" xfId="9245"/>
    <cellStyle name="Normal 170" xfId="6315"/>
    <cellStyle name="Normal 171" xfId="6318"/>
    <cellStyle name="Normal 172" xfId="6466"/>
    <cellStyle name="Normal 173" xfId="6467"/>
    <cellStyle name="Normal 174" xfId="6465"/>
    <cellStyle name="Normal 175" xfId="6468"/>
    <cellStyle name="Normal 176" xfId="6469"/>
    <cellStyle name="Normal 177" xfId="6470"/>
    <cellStyle name="Normal 178" xfId="6471"/>
    <cellStyle name="Normal 179" xfId="6472"/>
    <cellStyle name="Normal 18" xfId="1225"/>
    <cellStyle name="Normal 18 2" xfId="1226"/>
    <cellStyle name="Normal 18 2 2" xfId="1227"/>
    <cellStyle name="Normal 18 2 3" xfId="6634"/>
    <cellStyle name="Normal 18 3" xfId="1228"/>
    <cellStyle name="Normal 18 4" xfId="6633"/>
    <cellStyle name="Normal 18 5" xfId="7444"/>
    <cellStyle name="Normal 180" xfId="6473"/>
    <cellStyle name="Normal 181" xfId="6474"/>
    <cellStyle name="Normal 182" xfId="6479"/>
    <cellStyle name="Normal 183" xfId="6475"/>
    <cellStyle name="Normal 184" xfId="6478"/>
    <cellStyle name="Normal 185" xfId="6476"/>
    <cellStyle name="Normal 186" xfId="6477"/>
    <cellStyle name="Normal 187" xfId="6480"/>
    <cellStyle name="Normal 188" xfId="6481"/>
    <cellStyle name="Normal 189" xfId="6483"/>
    <cellStyle name="Normal 19" xfId="1229"/>
    <cellStyle name="Normal 19 2" xfId="1230"/>
    <cellStyle name="Normal 19 2 2" xfId="1231"/>
    <cellStyle name="Normal 19 2 3" xfId="6636"/>
    <cellStyle name="Normal 19 3" xfId="1232"/>
    <cellStyle name="Normal 19 4" xfId="6635"/>
    <cellStyle name="Normal 19 5" xfId="7503"/>
    <cellStyle name="Normal 190" xfId="6484"/>
    <cellStyle name="Normal 191" xfId="6486"/>
    <cellStyle name="Normal 192" xfId="6491"/>
    <cellStyle name="Normal 193" xfId="6487"/>
    <cellStyle name="Normal 194" xfId="6490"/>
    <cellStyle name="Normal 195" xfId="6488"/>
    <cellStyle name="Normal 196" xfId="6489"/>
    <cellStyle name="Normal 197" xfId="6494"/>
    <cellStyle name="Normal 198" xfId="6497"/>
    <cellStyle name="Normal 199" xfId="6495"/>
    <cellStyle name="Normal 2" xfId="1233"/>
    <cellStyle name="Normal 2 10" xfId="5887"/>
    <cellStyle name="Normal 2 11" xfId="5927"/>
    <cellStyle name="Normal 2 2" xfId="3"/>
    <cellStyle name="Normal 2 2 2" xfId="1235"/>
    <cellStyle name="Normal 2 2 2 2" xfId="5739"/>
    <cellStyle name="Normal 2 2 2 2 2" xfId="6795"/>
    <cellStyle name="Normal 2 2 2 3" xfId="6522"/>
    <cellStyle name="Normal 2 2 2 4" xfId="6639"/>
    <cellStyle name="Normal 2 2 3" xfId="1234"/>
    <cellStyle name="Normal 2 2 3 2" xfId="6794"/>
    <cellStyle name="Normal 2 2 4" xfId="5738"/>
    <cellStyle name="Normal 2 2 5" xfId="5926"/>
    <cellStyle name="Normal 2 2 6" xfId="6638"/>
    <cellStyle name="Normal 2 2 7" xfId="9246"/>
    <cellStyle name="Normal 2 3" xfId="1236"/>
    <cellStyle name="Normal 2 3 2" xfId="1237"/>
    <cellStyle name="Normal 2 3 2 2" xfId="5741"/>
    <cellStyle name="Normal 2 3 3" xfId="5740"/>
    <cellStyle name="Normal 2 3 4" xfId="6640"/>
    <cellStyle name="Normal 2 4" xfId="1565"/>
    <cellStyle name="Normal 2 4 2" xfId="5743"/>
    <cellStyle name="Normal 2 4 3" xfId="5742"/>
    <cellStyle name="Normal 2 4 4" xfId="6641"/>
    <cellStyle name="Normal 2 5" xfId="5744"/>
    <cellStyle name="Normal 2 5 2" xfId="5745"/>
    <cellStyle name="Normal 2 5 3" xfId="6637"/>
    <cellStyle name="Normal 2 6" xfId="5746"/>
    <cellStyle name="Normal 2 6 2" xfId="5747"/>
    <cellStyle name="Normal 2 6 3" xfId="6793"/>
    <cellStyle name="Normal 2 7" xfId="5748"/>
    <cellStyle name="Normal 2 7 2" xfId="5749"/>
    <cellStyle name="Normal 2 8" xfId="5750"/>
    <cellStyle name="Normal 2 9" xfId="5737"/>
    <cellStyle name="Normal 2_PRUEBAS A POZOS SEMANA 18" xfId="5751"/>
    <cellStyle name="Normal 20" xfId="1238"/>
    <cellStyle name="Normal 20 2" xfId="6643"/>
    <cellStyle name="Normal 20 3" xfId="6642"/>
    <cellStyle name="Normal 20 4" xfId="7653"/>
    <cellStyle name="Normal 20 5" xfId="9247"/>
    <cellStyle name="Normal 200" xfId="6496"/>
    <cellStyle name="Normal 201" xfId="6498"/>
    <cellStyle name="Normal 202" xfId="6501"/>
    <cellStyle name="Normal 203" xfId="6499"/>
    <cellStyle name="Normal 204" xfId="6500"/>
    <cellStyle name="Normal 205" xfId="6502"/>
    <cellStyle name="Normal 206" xfId="6510"/>
    <cellStyle name="Normal 207" xfId="6504"/>
    <cellStyle name="Normal 208" xfId="6508"/>
    <cellStyle name="Normal 209" xfId="6506"/>
    <cellStyle name="Normal 21" xfId="1239"/>
    <cellStyle name="Normal 21 2" xfId="6645"/>
    <cellStyle name="Normal 21 3" xfId="6644"/>
    <cellStyle name="Normal 21 4" xfId="9248"/>
    <cellStyle name="Normal 210" xfId="6511"/>
    <cellStyle name="Normal 211" xfId="6503"/>
    <cellStyle name="Normal 212" xfId="6509"/>
    <cellStyle name="Normal 213" xfId="6505"/>
    <cellStyle name="Normal 214" xfId="6507"/>
    <cellStyle name="Normal 215" xfId="6515"/>
    <cellStyle name="Normal 216" xfId="6516"/>
    <cellStyle name="Normal 217" xfId="6517"/>
    <cellStyle name="Normal 218" xfId="6525"/>
    <cellStyle name="Normal 219" xfId="6529"/>
    <cellStyle name="Normal 22" xfId="1240"/>
    <cellStyle name="Normal 22 2" xfId="6647"/>
    <cellStyle name="Normal 22 3" xfId="6646"/>
    <cellStyle name="Normal 220" xfId="6848"/>
    <cellStyle name="Normal 221" xfId="6933"/>
    <cellStyle name="Normal 222" xfId="7506"/>
    <cellStyle name="Normal 223" xfId="9203"/>
    <cellStyle name="Normal 224" xfId="9343"/>
    <cellStyle name="Normal 23" xfId="1241"/>
    <cellStyle name="Normal 23 2" xfId="6649"/>
    <cellStyle name="Normal 23 3" xfId="6648"/>
    <cellStyle name="Normal 24" xfId="1242"/>
    <cellStyle name="Normal 24 2" xfId="6650"/>
    <cellStyle name="Normal 25" xfId="1243"/>
    <cellStyle name="Normal 25 2" xfId="6651"/>
    <cellStyle name="Normal 26" xfId="1244"/>
    <cellStyle name="Normal 26 2" xfId="6652"/>
    <cellStyle name="Normal 27" xfId="1245"/>
    <cellStyle name="Normal 27 2" xfId="6653"/>
    <cellStyle name="Normal 28" xfId="1246"/>
    <cellStyle name="Normal 28 2" xfId="6654"/>
    <cellStyle name="Normal 29" xfId="1247"/>
    <cellStyle name="Normal 29 2" xfId="6655"/>
    <cellStyle name="Normal 3" xfId="1248"/>
    <cellStyle name="Normal 3 10" xfId="6656"/>
    <cellStyle name="Normal 3 11" xfId="9249"/>
    <cellStyle name="Normal 3 2" xfId="1249"/>
    <cellStyle name="Normal 3 2 2" xfId="1250"/>
    <cellStyle name="Normal 3 2 2 2" xfId="6796"/>
    <cellStyle name="Normal 3 2 3" xfId="1251"/>
    <cellStyle name="Normal 3 2 4" xfId="1252"/>
    <cellStyle name="Normal 3 2 4 2" xfId="9250"/>
    <cellStyle name="Normal 3 2 5" xfId="5753"/>
    <cellStyle name="Normal 3 2 6" xfId="6657"/>
    <cellStyle name="Normal 3 3" xfId="1253"/>
    <cellStyle name="Normal 3 3 2" xfId="6658"/>
    <cellStyle name="Normal 3 4" xfId="1254"/>
    <cellStyle name="Normal 3 4 2" xfId="9251"/>
    <cellStyle name="Normal 3 5" xfId="1255"/>
    <cellStyle name="Normal 3 6" xfId="1256"/>
    <cellStyle name="Normal 3 7" xfId="2939"/>
    <cellStyle name="Normal 3 8" xfId="5752"/>
    <cellStyle name="Normal 3 9" xfId="5925"/>
    <cellStyle name="Normal 3_Maersk Peregrino FPSO_Daily Report Champion - 24 e 25 April-11(1)" xfId="1257"/>
    <cellStyle name="Normal 30" xfId="1258"/>
    <cellStyle name="Normal 30 2" xfId="6614"/>
    <cellStyle name="Normal 31" xfId="1259"/>
    <cellStyle name="Normal 32" xfId="1260"/>
    <cellStyle name="Normal 32 2" xfId="1261"/>
    <cellStyle name="Normal 32 3" xfId="1262"/>
    <cellStyle name="Normal 32 3 2" xfId="1263"/>
    <cellStyle name="Normal 33" xfId="1264"/>
    <cellStyle name="Normal 33 2" xfId="1265"/>
    <cellStyle name="Normal 33 3" xfId="1266"/>
    <cellStyle name="Normal 33 3 2" xfId="1267"/>
    <cellStyle name="Normal 34" xfId="1268"/>
    <cellStyle name="Normal 34 2" xfId="1269"/>
    <cellStyle name="Normal 34 3" xfId="1270"/>
    <cellStyle name="Normal 34 3 2" xfId="1271"/>
    <cellStyle name="Normal 35" xfId="1272"/>
    <cellStyle name="Normal 35 2" xfId="9252"/>
    <cellStyle name="Normal 36" xfId="1273"/>
    <cellStyle name="Normal 37" xfId="1274"/>
    <cellStyle name="Normal 38" xfId="1275"/>
    <cellStyle name="Normal 39" xfId="1276"/>
    <cellStyle name="Normal 4" xfId="1277"/>
    <cellStyle name="Normal 4 2" xfId="1278"/>
    <cellStyle name="Normal 4 2 2" xfId="1279"/>
    <cellStyle name="Normal 4 2 2 2" xfId="5923"/>
    <cellStyle name="Normal 4 2 3" xfId="5755"/>
    <cellStyle name="Normal 4 2 4" xfId="9254"/>
    <cellStyle name="Normal 4 3" xfId="2940"/>
    <cellStyle name="Normal 4 3 2" xfId="6797"/>
    <cellStyle name="Normal 4 4" xfId="5754"/>
    <cellStyle name="Normal 4 5" xfId="5924"/>
    <cellStyle name="Normal 4 6" xfId="6659"/>
    <cellStyle name="Normal 4 7" xfId="9253"/>
    <cellStyle name="Normal 4_PLANTA" xfId="5922"/>
    <cellStyle name="Normal 40" xfId="1280"/>
    <cellStyle name="Normal 41" xfId="1281"/>
    <cellStyle name="Normal 42" xfId="1282"/>
    <cellStyle name="Normal 43" xfId="1283"/>
    <cellStyle name="Normal 44" xfId="1284"/>
    <cellStyle name="Normal 45" xfId="1285"/>
    <cellStyle name="Normal 46" xfId="1286"/>
    <cellStyle name="Normal 47" xfId="1287"/>
    <cellStyle name="Normal 48" xfId="1288"/>
    <cellStyle name="Normal 49" xfId="1289"/>
    <cellStyle name="Normal 5" xfId="1290"/>
    <cellStyle name="Normal 5 10" xfId="6660"/>
    <cellStyle name="Normal 5 10 2" xfId="6798"/>
    <cellStyle name="Normal 5 11" xfId="9255"/>
    <cellStyle name="Normal 5 2" xfId="1291"/>
    <cellStyle name="Normal 5 2 2" xfId="5920"/>
    <cellStyle name="Normal 5 2 3" xfId="6661"/>
    <cellStyle name="Normal 5 2 4" xfId="9256"/>
    <cellStyle name="Normal 5 3" xfId="1292"/>
    <cellStyle name="Normal 5 3 2" xfId="6662"/>
    <cellStyle name="Normal 5 4" xfId="2941"/>
    <cellStyle name="Normal 5 4 2" xfId="6663"/>
    <cellStyle name="Normal 5 5" xfId="5756"/>
    <cellStyle name="Normal 5 5 2" xfId="6664"/>
    <cellStyle name="Normal 5 6" xfId="5921"/>
    <cellStyle name="Normal 5 6 2" xfId="6665"/>
    <cellStyle name="Normal 5 7" xfId="6666"/>
    <cellStyle name="Normal 5 8" xfId="6667"/>
    <cellStyle name="Normal 5 9" xfId="6668"/>
    <cellStyle name="Normal 50" xfId="1293"/>
    <cellStyle name="Normal 51" xfId="1294"/>
    <cellStyle name="Normal 52" xfId="1295"/>
    <cellStyle name="Normal 53" xfId="1296"/>
    <cellStyle name="Normal 54" xfId="1297"/>
    <cellStyle name="Normal 55" xfId="1298"/>
    <cellStyle name="Normal 56" xfId="1299"/>
    <cellStyle name="Normal 57" xfId="1300"/>
    <cellStyle name="Normal 58" xfId="1301"/>
    <cellStyle name="Normal 59" xfId="1302"/>
    <cellStyle name="Normal 6" xfId="1303"/>
    <cellStyle name="Normal 6 10" xfId="9257"/>
    <cellStyle name="Normal 6 2" xfId="1304"/>
    <cellStyle name="Normal 6 2 2" xfId="6670"/>
    <cellStyle name="Normal 6 2 3" xfId="9258"/>
    <cellStyle name="Normal 6 3" xfId="1305"/>
    <cellStyle name="Normal 6 3 2" xfId="6671"/>
    <cellStyle name="Normal 6 4" xfId="2942"/>
    <cellStyle name="Normal 6 4 2" xfId="6672"/>
    <cellStyle name="Normal 6 5" xfId="5757"/>
    <cellStyle name="Normal 6 5 2" xfId="6673"/>
    <cellStyle name="Normal 6 6" xfId="5919"/>
    <cellStyle name="Normal 6 6 2" xfId="6674"/>
    <cellStyle name="Normal 6 7" xfId="6675"/>
    <cellStyle name="Normal 6 8" xfId="6676"/>
    <cellStyle name="Normal 6 9" xfId="6669"/>
    <cellStyle name="Normal 6 9 2" xfId="6799"/>
    <cellStyle name="Normal 60" xfId="1306"/>
    <cellStyle name="Normal 61" xfId="1307"/>
    <cellStyle name="Normal 62" xfId="1308"/>
    <cellStyle name="Normal 63" xfId="1309"/>
    <cellStyle name="Normal 64" xfId="1310"/>
    <cellStyle name="Normal 65" xfId="1311"/>
    <cellStyle name="Normal 66" xfId="1312"/>
    <cellStyle name="Normal 67" xfId="1313"/>
    <cellStyle name="Normal 68" xfId="1314"/>
    <cellStyle name="Normal 68 2" xfId="9259"/>
    <cellStyle name="Normal 69" xfId="1315"/>
    <cellStyle name="Normal 69 2" xfId="9260"/>
    <cellStyle name="Normal 7" xfId="1316"/>
    <cellStyle name="Normal 7 10" xfId="9261"/>
    <cellStyle name="Normal 7 2" xfId="1317"/>
    <cellStyle name="Normal 7 2 2" xfId="2944"/>
    <cellStyle name="Normal 7 2 3" xfId="6678"/>
    <cellStyle name="Normal 7 2 4" xfId="9262"/>
    <cellStyle name="Normal 7 3" xfId="2943"/>
    <cellStyle name="Normal 7 3 2" xfId="6679"/>
    <cellStyle name="Normal 7 4" xfId="5758"/>
    <cellStyle name="Normal 7 4 2" xfId="6680"/>
    <cellStyle name="Normal 7 5" xfId="5918"/>
    <cellStyle name="Normal 7 5 2" xfId="6681"/>
    <cellStyle name="Normal 7 6" xfId="6682"/>
    <cellStyle name="Normal 7 7" xfId="6683"/>
    <cellStyle name="Normal 7 8" xfId="6684"/>
    <cellStyle name="Normal 7 9" xfId="6677"/>
    <cellStyle name="Normal 70" xfId="1318"/>
    <cellStyle name="Normal 70 2" xfId="9263"/>
    <cellStyle name="Normal 71" xfId="1319"/>
    <cellStyle name="Normal 71 2" xfId="9264"/>
    <cellStyle name="Normal 72" xfId="1320"/>
    <cellStyle name="Normal 72 2" xfId="9265"/>
    <cellStyle name="Normal 73" xfId="1321"/>
    <cellStyle name="Normal 73 2" xfId="9266"/>
    <cellStyle name="Normal 74" xfId="1322"/>
    <cellStyle name="Normal 74 2" xfId="9267"/>
    <cellStyle name="Normal 75" xfId="1323"/>
    <cellStyle name="Normal 75 2" xfId="9268"/>
    <cellStyle name="Normal 76" xfId="1324"/>
    <cellStyle name="Normal 76 2" xfId="9269"/>
    <cellStyle name="Normal 77" xfId="1325"/>
    <cellStyle name="Normal 77 2" xfId="9270"/>
    <cellStyle name="Normal 78" xfId="1326"/>
    <cellStyle name="Normal 78 2" xfId="9271"/>
    <cellStyle name="Normal 79" xfId="1327"/>
    <cellStyle name="Normal 79 2" xfId="9272"/>
    <cellStyle name="Normal 8" xfId="1328"/>
    <cellStyle name="Normal 8 2" xfId="1329"/>
    <cellStyle name="Normal 8 2 2" xfId="6686"/>
    <cellStyle name="Normal 8 2 3" xfId="9274"/>
    <cellStyle name="Normal 8 3" xfId="2945"/>
    <cellStyle name="Normal 8 3 2" xfId="6687"/>
    <cellStyle name="Normal 8 4" xfId="5759"/>
    <cellStyle name="Normal 8 4 2" xfId="6688"/>
    <cellStyle name="Normal 8 5" xfId="5917"/>
    <cellStyle name="Normal 8 6" xfId="6685"/>
    <cellStyle name="Normal 8 7" xfId="9273"/>
    <cellStyle name="Normal 80" xfId="1330"/>
    <cellStyle name="Normal 80 2" xfId="9275"/>
    <cellStyle name="Normal 81" xfId="1331"/>
    <cellStyle name="Normal 81 2" xfId="9276"/>
    <cellStyle name="Normal 82" xfId="1332"/>
    <cellStyle name="Normal 82 2" xfId="9277"/>
    <cellStyle name="Normal 83" xfId="1333"/>
    <cellStyle name="Normal 83 2" xfId="9278"/>
    <cellStyle name="Normal 84" xfId="1334"/>
    <cellStyle name="Normal 84 2" xfId="9279"/>
    <cellStyle name="Normal 85" xfId="1335"/>
    <cellStyle name="Normal 86" xfId="1336"/>
    <cellStyle name="Normal 86 2" xfId="9280"/>
    <cellStyle name="Normal 87" xfId="1337"/>
    <cellStyle name="Normal 87 2" xfId="9281"/>
    <cellStyle name="Normal 88" xfId="1338"/>
    <cellStyle name="Normal 88 2" xfId="9282"/>
    <cellStyle name="Normal 89" xfId="1339"/>
    <cellStyle name="Normal 89 2" xfId="9283"/>
    <cellStyle name="Normal 9" xfId="1340"/>
    <cellStyle name="Normal 9 2" xfId="1341"/>
    <cellStyle name="Normal 9 2 2" xfId="2947"/>
    <cellStyle name="Normal 9 2 3" xfId="9285"/>
    <cellStyle name="Normal 9 3" xfId="2946"/>
    <cellStyle name="Normal 9 4" xfId="5760"/>
    <cellStyle name="Normal 9 5" xfId="5955"/>
    <cellStyle name="Normal 9 6" xfId="6689"/>
    <cellStyle name="Normal 9 7" xfId="9284"/>
    <cellStyle name="Normal 90" xfId="1342"/>
    <cellStyle name="Normal 90 2" xfId="9286"/>
    <cellStyle name="Normal 91" xfId="1343"/>
    <cellStyle name="Normal 92" xfId="1344"/>
    <cellStyle name="Normal 92 2" xfId="9287"/>
    <cellStyle name="Normal 93" xfId="1345"/>
    <cellStyle name="Normal 94" xfId="1346"/>
    <cellStyle name="Normal 94 2" xfId="9288"/>
    <cellStyle name="Normal 95" xfId="1347"/>
    <cellStyle name="Normal 95 2" xfId="9289"/>
    <cellStyle name="Normal 96" xfId="4"/>
    <cellStyle name="Normal 97" xfId="1516"/>
    <cellStyle name="Normal 98" xfId="2938"/>
    <cellStyle name="Normal 99" xfId="5283"/>
    <cellStyle name="Nota" xfId="1348"/>
    <cellStyle name="Nota 10" xfId="13309"/>
    <cellStyle name="Nota 2" xfId="1349"/>
    <cellStyle name="Nota 2 2" xfId="6579"/>
    <cellStyle name="Nota 2 2 2" xfId="12484"/>
    <cellStyle name="Nota 2 2 3" xfId="11787"/>
    <cellStyle name="Nota 2 2 4" xfId="10786"/>
    <cellStyle name="Nota 2 3" xfId="9291"/>
    <cellStyle name="Nota 2 3 2" xfId="13444"/>
    <cellStyle name="Nota 2 3 3" xfId="13678"/>
    <cellStyle name="Nota 2 3 4" xfId="13757"/>
    <cellStyle name="Nota 2 4" xfId="9691"/>
    <cellStyle name="Nota 2 5" xfId="11400"/>
    <cellStyle name="Nota 2 6" xfId="13397"/>
    <cellStyle name="Nota 3" xfId="1350"/>
    <cellStyle name="Nota 3 2" xfId="6580"/>
    <cellStyle name="Nota 3 2 2" xfId="12485"/>
    <cellStyle name="Nota 3 2 3" xfId="11786"/>
    <cellStyle name="Nota 3 2 4" xfId="10787"/>
    <cellStyle name="Nota 3 3" xfId="9292"/>
    <cellStyle name="Nota 3 3 2" xfId="13445"/>
    <cellStyle name="Nota 3 3 3" xfId="13679"/>
    <cellStyle name="Nota 3 3 4" xfId="13758"/>
    <cellStyle name="Nota 3 4" xfId="9692"/>
    <cellStyle name="Nota 3 5" xfId="11399"/>
    <cellStyle name="Nota 3 6" xfId="13333"/>
    <cellStyle name="Nota 4" xfId="1351"/>
    <cellStyle name="Nota 4 2" xfId="6581"/>
    <cellStyle name="Nota 4 2 2" xfId="12486"/>
    <cellStyle name="Nota 4 2 3" xfId="11785"/>
    <cellStyle name="Nota 4 2 4" xfId="10788"/>
    <cellStyle name="Nota 4 3" xfId="9293"/>
    <cellStyle name="Nota 4 3 2" xfId="13446"/>
    <cellStyle name="Nota 4 3 3" xfId="13680"/>
    <cellStyle name="Nota 4 3 4" xfId="13759"/>
    <cellStyle name="Nota 4 4" xfId="9693"/>
    <cellStyle name="Nota 4 5" xfId="11398"/>
    <cellStyle name="Nota 4 6" xfId="13420"/>
    <cellStyle name="Nota 5" xfId="1352"/>
    <cellStyle name="Nota 5 2" xfId="6582"/>
    <cellStyle name="Nota 5 2 2" xfId="12487"/>
    <cellStyle name="Nota 5 2 3" xfId="11784"/>
    <cellStyle name="Nota 5 2 4" xfId="10789"/>
    <cellStyle name="Nota 5 3" xfId="9294"/>
    <cellStyle name="Nota 5 3 2" xfId="13447"/>
    <cellStyle name="Nota 5 3 3" xfId="13681"/>
    <cellStyle name="Nota 5 3 4" xfId="13760"/>
    <cellStyle name="Nota 5 4" xfId="9694"/>
    <cellStyle name="Nota 5 5" xfId="11397"/>
    <cellStyle name="Nota 5 6" xfId="13353"/>
    <cellStyle name="Nota 6" xfId="6578"/>
    <cellStyle name="Nota 6 2" xfId="12483"/>
    <cellStyle name="Nota 6 3" xfId="11788"/>
    <cellStyle name="Nota 6 4" xfId="10785"/>
    <cellStyle name="Nota 7" xfId="9290"/>
    <cellStyle name="Nota 7 2" xfId="13443"/>
    <cellStyle name="Nota 7 3" xfId="13677"/>
    <cellStyle name="Nota 7 4" xfId="13756"/>
    <cellStyle name="Nota 8" xfId="9690"/>
    <cellStyle name="Nota 9" xfId="11401"/>
    <cellStyle name="Notas" xfId="1353"/>
    <cellStyle name="Notas 10" xfId="9695"/>
    <cellStyle name="Notas 11" xfId="11396"/>
    <cellStyle name="Notas 12" xfId="13278"/>
    <cellStyle name="Notas 2" xfId="1354"/>
    <cellStyle name="Notas 2 2" xfId="5761"/>
    <cellStyle name="Notas 2 2 2" xfId="11891"/>
    <cellStyle name="Notas 2 2 3" xfId="10659"/>
    <cellStyle name="Notas 2 2 4" xfId="13440"/>
    <cellStyle name="Notas 2 3" xfId="6584"/>
    <cellStyle name="Notas 2 3 2" xfId="12489"/>
    <cellStyle name="Notas 2 3 3" xfId="9538"/>
    <cellStyle name="Notas 2 3 4" xfId="10791"/>
    <cellStyle name="Notas 2 4" xfId="9296"/>
    <cellStyle name="Notas 2 4 2" xfId="13449"/>
    <cellStyle name="Notas 2 4 3" xfId="13683"/>
    <cellStyle name="Notas 2 4 4" xfId="13762"/>
    <cellStyle name="Notas 2 5" xfId="9696"/>
    <cellStyle name="Notas 2 6" xfId="11395"/>
    <cellStyle name="Notas 2 7" xfId="13366"/>
    <cellStyle name="Notas 3" xfId="5762"/>
    <cellStyle name="Notas 3 2" xfId="5763"/>
    <cellStyle name="Notas 3 2 2" xfId="11893"/>
    <cellStyle name="Notas 3 2 3" xfId="10657"/>
    <cellStyle name="Notas 3 2 4" xfId="12430"/>
    <cellStyle name="Notas 3 3" xfId="11892"/>
    <cellStyle name="Notas 3 4" xfId="10658"/>
    <cellStyle name="Notas 3 5" xfId="12429"/>
    <cellStyle name="Notas 4" xfId="5764"/>
    <cellStyle name="Notas 4 2" xfId="5765"/>
    <cellStyle name="Notas 4 2 2" xfId="11895"/>
    <cellStyle name="Notas 4 2 3" xfId="10655"/>
    <cellStyle name="Notas 4 2 4" xfId="12431"/>
    <cellStyle name="Notas 4 3" xfId="11894"/>
    <cellStyle name="Notas 4 4" xfId="10656"/>
    <cellStyle name="Notas 4 5" xfId="12433"/>
    <cellStyle name="Notas 5" xfId="5766"/>
    <cellStyle name="Notas 5 2" xfId="5767"/>
    <cellStyle name="Notas 5 2 2" xfId="11897"/>
    <cellStyle name="Notas 5 2 3" xfId="9854"/>
    <cellStyle name="Notas 5 2 4" xfId="12434"/>
    <cellStyle name="Notas 5 3" xfId="11896"/>
    <cellStyle name="Notas 5 4" xfId="10654"/>
    <cellStyle name="Notas 5 5" xfId="12432"/>
    <cellStyle name="Notas 6" xfId="5768"/>
    <cellStyle name="Notas 6 2" xfId="5769"/>
    <cellStyle name="Notas 6 2 2" xfId="11899"/>
    <cellStyle name="Notas 6 2 3" xfId="10652"/>
    <cellStyle name="Notas 6 2 4" xfId="12435"/>
    <cellStyle name="Notas 6 3" xfId="11898"/>
    <cellStyle name="Notas 6 4" xfId="10653"/>
    <cellStyle name="Notas 6 5" xfId="12438"/>
    <cellStyle name="Notas 7" xfId="5770"/>
    <cellStyle name="Notas 7 2" xfId="5771"/>
    <cellStyle name="Notas 7 2 2" xfId="11901"/>
    <cellStyle name="Notas 7 2 3" xfId="10650"/>
    <cellStyle name="Notas 7 2 4" xfId="12436"/>
    <cellStyle name="Notas 7 3" xfId="11900"/>
    <cellStyle name="Notas 7 4" xfId="10651"/>
    <cellStyle name="Notas 7 5" xfId="12437"/>
    <cellStyle name="Notas 8" xfId="6583"/>
    <cellStyle name="Notas 8 2" xfId="12488"/>
    <cellStyle name="Notas 8 3" xfId="11783"/>
    <cellStyle name="Notas 8 4" xfId="10790"/>
    <cellStyle name="Notas 9" xfId="9295"/>
    <cellStyle name="Notas 9 2" xfId="13448"/>
    <cellStyle name="Notas 9 3" xfId="13682"/>
    <cellStyle name="Notas 9 4" xfId="13761"/>
    <cellStyle name="Note 1" xfId="1355"/>
    <cellStyle name="Note 1 2" xfId="1356"/>
    <cellStyle name="Note 1 2 2" xfId="6586"/>
    <cellStyle name="Note 1 2 2 2" xfId="12491"/>
    <cellStyle name="Note 1 2 2 3" xfId="11782"/>
    <cellStyle name="Note 1 2 2 4" xfId="10792"/>
    <cellStyle name="Note 1 2 3" xfId="9298"/>
    <cellStyle name="Note 1 2 3 2" xfId="13451"/>
    <cellStyle name="Note 1 2 3 3" xfId="13685"/>
    <cellStyle name="Note 1 2 3 4" xfId="13764"/>
    <cellStyle name="Note 1 2 4" xfId="9698"/>
    <cellStyle name="Note 1 2 5" xfId="11393"/>
    <cellStyle name="Note 1 2 6" xfId="13386"/>
    <cellStyle name="Note 1 3" xfId="6585"/>
    <cellStyle name="Note 1 3 2" xfId="12490"/>
    <cellStyle name="Note 1 3 3" xfId="9537"/>
    <cellStyle name="Note 1 3 4" xfId="9857"/>
    <cellStyle name="Note 1 4" xfId="9297"/>
    <cellStyle name="Note 1 4 2" xfId="13450"/>
    <cellStyle name="Note 1 4 3" xfId="13684"/>
    <cellStyle name="Note 1 4 4" xfId="13763"/>
    <cellStyle name="Note 1 5" xfId="9697"/>
    <cellStyle name="Note 1 6" xfId="11394"/>
    <cellStyle name="Note 1 7" xfId="13300"/>
    <cellStyle name="Note 2" xfId="1357"/>
    <cellStyle name="Note 2 10" xfId="11392"/>
    <cellStyle name="Note 2 11" xfId="13322"/>
    <cellStyle name="Note 2 2" xfId="1358"/>
    <cellStyle name="Note 2 2 2" xfId="1359"/>
    <cellStyle name="Note 2 2 2 2" xfId="6589"/>
    <cellStyle name="Note 2 2 2 2 2" xfId="12494"/>
    <cellStyle name="Note 2 2 2 2 3" xfId="11779"/>
    <cellStyle name="Note 2 2 2 2 4" xfId="10795"/>
    <cellStyle name="Note 2 2 2 3" xfId="9301"/>
    <cellStyle name="Note 2 2 2 3 2" xfId="13454"/>
    <cellStyle name="Note 2 2 2 3 3" xfId="13688"/>
    <cellStyle name="Note 2 2 2 3 4" xfId="13767"/>
    <cellStyle name="Note 2 2 2 4" xfId="9701"/>
    <cellStyle name="Note 2 2 2 5" xfId="11390"/>
    <cellStyle name="Note 2 2 2 6" xfId="13343"/>
    <cellStyle name="Note 2 2 3" xfId="1360"/>
    <cellStyle name="Note 2 2 3 2" xfId="6590"/>
    <cellStyle name="Note 2 2 3 2 2" xfId="12495"/>
    <cellStyle name="Note 2 2 3 2 3" xfId="11778"/>
    <cellStyle name="Note 2 2 3 2 4" xfId="10796"/>
    <cellStyle name="Note 2 2 3 3" xfId="9302"/>
    <cellStyle name="Note 2 2 3 3 2" xfId="13455"/>
    <cellStyle name="Note 2 2 3 3 3" xfId="13689"/>
    <cellStyle name="Note 2 2 3 3 4" xfId="13768"/>
    <cellStyle name="Note 2 2 3 4" xfId="9702"/>
    <cellStyle name="Note 2 2 3 5" xfId="11389"/>
    <cellStyle name="Note 2 2 3 6" xfId="13262"/>
    <cellStyle name="Note 2 2 4" xfId="6588"/>
    <cellStyle name="Note 2 2 4 2" xfId="12493"/>
    <cellStyle name="Note 2 2 4 3" xfId="11780"/>
    <cellStyle name="Note 2 2 4 4" xfId="10794"/>
    <cellStyle name="Note 2 2 5" xfId="9300"/>
    <cellStyle name="Note 2 2 5 2" xfId="13453"/>
    <cellStyle name="Note 2 2 5 3" xfId="13687"/>
    <cellStyle name="Note 2 2 5 4" xfId="13766"/>
    <cellStyle name="Note 2 2 6" xfId="9700"/>
    <cellStyle name="Note 2 2 7" xfId="11391"/>
    <cellStyle name="Note 2 2 8" xfId="13408"/>
    <cellStyle name="Note 2 3" xfId="1361"/>
    <cellStyle name="Note 2 3 2" xfId="6591"/>
    <cellStyle name="Note 2 3 2 2" xfId="12496"/>
    <cellStyle name="Note 2 3 2 3" xfId="11777"/>
    <cellStyle name="Note 2 3 2 4" xfId="10797"/>
    <cellStyle name="Note 2 3 3" xfId="9303"/>
    <cellStyle name="Note 2 3 3 2" xfId="13456"/>
    <cellStyle name="Note 2 3 3 3" xfId="13690"/>
    <cellStyle name="Note 2 3 3 4" xfId="13769"/>
    <cellStyle name="Note 2 3 4" xfId="9703"/>
    <cellStyle name="Note 2 3 5" xfId="11388"/>
    <cellStyle name="Note 2 3 6" xfId="13285"/>
    <cellStyle name="Note 2 4" xfId="1362"/>
    <cellStyle name="Note 2 4 2" xfId="6592"/>
    <cellStyle name="Note 2 4 2 2" xfId="12497"/>
    <cellStyle name="Note 2 4 2 3" xfId="11776"/>
    <cellStyle name="Note 2 4 2 4" xfId="10798"/>
    <cellStyle name="Note 2 4 3" xfId="9304"/>
    <cellStyle name="Note 2 4 3 2" xfId="13457"/>
    <cellStyle name="Note 2 4 3 3" xfId="13691"/>
    <cellStyle name="Note 2 4 3 4" xfId="13770"/>
    <cellStyle name="Note 2 4 4" xfId="9704"/>
    <cellStyle name="Note 2 4 5" xfId="11387"/>
    <cellStyle name="Note 2 4 6" xfId="13372"/>
    <cellStyle name="Note 2 5" xfId="1363"/>
    <cellStyle name="Note 2 6" xfId="6587"/>
    <cellStyle name="Note 2 6 2" xfId="12492"/>
    <cellStyle name="Note 2 6 3" xfId="11781"/>
    <cellStyle name="Note 2 6 4" xfId="10793"/>
    <cellStyle name="Note 2 7" xfId="6800"/>
    <cellStyle name="Note 2 8" xfId="9299"/>
    <cellStyle name="Note 2 8 2" xfId="13452"/>
    <cellStyle name="Note 2 8 3" xfId="13686"/>
    <cellStyle name="Note 2 8 4" xfId="13765"/>
    <cellStyle name="Note 2 9" xfId="9699"/>
    <cellStyle name="Note 3" xfId="1364"/>
    <cellStyle name="Note 3 2" xfId="1365"/>
    <cellStyle name="Note 3 2 2" xfId="1366"/>
    <cellStyle name="Note 3 2 2 2" xfId="6595"/>
    <cellStyle name="Note 3 2 2 2 2" xfId="12500"/>
    <cellStyle name="Note 3 2 2 2 3" xfId="11773"/>
    <cellStyle name="Note 3 2 2 2 4" xfId="10801"/>
    <cellStyle name="Note 3 2 2 3" xfId="9307"/>
    <cellStyle name="Note 3 2 2 3 2" xfId="13460"/>
    <cellStyle name="Note 3 2 2 3 3" xfId="13694"/>
    <cellStyle name="Note 3 2 2 3 4" xfId="13773"/>
    <cellStyle name="Note 3 2 2 4" xfId="9707"/>
    <cellStyle name="Note 3 2 2 5" xfId="11384"/>
    <cellStyle name="Note 3 2 2 6" xfId="13415"/>
    <cellStyle name="Note 3 2 3" xfId="1367"/>
    <cellStyle name="Note 3 2 3 2" xfId="6596"/>
    <cellStyle name="Note 3 2 3 2 2" xfId="12501"/>
    <cellStyle name="Note 3 2 3 2 3" xfId="11772"/>
    <cellStyle name="Note 3 2 3 2 4" xfId="10802"/>
    <cellStyle name="Note 3 2 3 3" xfId="9308"/>
    <cellStyle name="Note 3 2 3 3 2" xfId="13461"/>
    <cellStyle name="Note 3 2 3 3 3" xfId="13695"/>
    <cellStyle name="Note 3 2 3 3 4" xfId="13774"/>
    <cellStyle name="Note 3 2 3 4" xfId="9708"/>
    <cellStyle name="Note 3 2 3 5" xfId="11383"/>
    <cellStyle name="Note 3 2 3 6" xfId="13348"/>
    <cellStyle name="Note 3 2 4" xfId="6594"/>
    <cellStyle name="Note 3 2 4 2" xfId="12499"/>
    <cellStyle name="Note 3 2 4 3" xfId="11774"/>
    <cellStyle name="Note 3 2 4 4" xfId="10800"/>
    <cellStyle name="Note 3 2 5" xfId="9306"/>
    <cellStyle name="Note 3 2 5 2" xfId="13459"/>
    <cellStyle name="Note 3 2 5 3" xfId="13693"/>
    <cellStyle name="Note 3 2 5 4" xfId="13772"/>
    <cellStyle name="Note 3 2 6" xfId="9706"/>
    <cellStyle name="Note 3 2 7" xfId="11385"/>
    <cellStyle name="Note 3 2 8" xfId="13329"/>
    <cellStyle name="Note 3 3" xfId="1368"/>
    <cellStyle name="Note 3 3 2" xfId="6597"/>
    <cellStyle name="Note 3 3 2 2" xfId="12502"/>
    <cellStyle name="Note 3 3 2 3" xfId="11771"/>
    <cellStyle name="Note 3 3 2 4" xfId="10803"/>
    <cellStyle name="Note 3 3 3" xfId="9309"/>
    <cellStyle name="Note 3 3 3 2" xfId="13462"/>
    <cellStyle name="Note 3 3 3 3" xfId="13696"/>
    <cellStyle name="Note 3 3 3 4" xfId="13775"/>
    <cellStyle name="Note 3 3 4" xfId="9709"/>
    <cellStyle name="Note 3 3 5" xfId="11382"/>
    <cellStyle name="Note 3 3 6" xfId="13273"/>
    <cellStyle name="Note 3 4" xfId="1369"/>
    <cellStyle name="Note 3 4 2" xfId="6598"/>
    <cellStyle name="Note 3 4 2 2" xfId="12503"/>
    <cellStyle name="Note 3 4 2 3" xfId="11770"/>
    <cellStyle name="Note 3 4 2 4" xfId="10804"/>
    <cellStyle name="Note 3 4 3" xfId="9310"/>
    <cellStyle name="Note 3 4 3 2" xfId="13463"/>
    <cellStyle name="Note 3 4 3 3" xfId="13697"/>
    <cellStyle name="Note 3 4 3 4" xfId="13776"/>
    <cellStyle name="Note 3 4 4" xfId="9710"/>
    <cellStyle name="Note 3 4 5" xfId="11381"/>
    <cellStyle name="Note 3 4 6" xfId="13361"/>
    <cellStyle name="Note 3 5" xfId="6593"/>
    <cellStyle name="Note 3 5 2" xfId="12498"/>
    <cellStyle name="Note 3 5 3" xfId="11775"/>
    <cellStyle name="Note 3 5 4" xfId="10799"/>
    <cellStyle name="Note 3 6" xfId="9305"/>
    <cellStyle name="Note 3 6 2" xfId="13458"/>
    <cellStyle name="Note 3 6 3" xfId="13692"/>
    <cellStyle name="Note 3 6 4" xfId="13771"/>
    <cellStyle name="Note 3 7" xfId="9705"/>
    <cellStyle name="Note 3 8" xfId="11386"/>
    <cellStyle name="Note 3 9" xfId="13392"/>
    <cellStyle name="Note 4" xfId="1370"/>
    <cellStyle name="Note 4 2" xfId="1371"/>
    <cellStyle name="Note 4 2 2" xfId="6600"/>
    <cellStyle name="Note 4 2 2 2" xfId="12505"/>
    <cellStyle name="Note 4 2 2 3" xfId="11768"/>
    <cellStyle name="Note 4 2 2 4" xfId="10806"/>
    <cellStyle name="Note 4 2 3" xfId="9312"/>
    <cellStyle name="Note 4 2 3 2" xfId="13465"/>
    <cellStyle name="Note 4 2 3 3" xfId="13699"/>
    <cellStyle name="Note 4 2 3 4" xfId="13778"/>
    <cellStyle name="Note 4 2 4" xfId="9712"/>
    <cellStyle name="Note 4 2 5" xfId="11379"/>
    <cellStyle name="Note 4 2 6" xfId="13381"/>
    <cellStyle name="Note 4 3" xfId="1372"/>
    <cellStyle name="Note 4 3 2" xfId="6601"/>
    <cellStyle name="Note 4 3 2 2" xfId="12506"/>
    <cellStyle name="Note 4 3 2 3" xfId="11767"/>
    <cellStyle name="Note 4 3 2 4" xfId="10807"/>
    <cellStyle name="Note 4 3 3" xfId="9313"/>
    <cellStyle name="Note 4 3 3 2" xfId="13466"/>
    <cellStyle name="Note 4 3 3 3" xfId="13700"/>
    <cellStyle name="Note 4 3 3 4" xfId="13779"/>
    <cellStyle name="Note 4 3 4" xfId="9713"/>
    <cellStyle name="Note 4 3 5" xfId="11378"/>
    <cellStyle name="Note 4 3 6" xfId="13315"/>
    <cellStyle name="Note 4 4" xfId="1373"/>
    <cellStyle name="Note 4 4 2" xfId="6602"/>
    <cellStyle name="Note 4 4 2 2" xfId="12507"/>
    <cellStyle name="Note 4 4 2 3" xfId="11766"/>
    <cellStyle name="Note 4 4 2 4" xfId="10808"/>
    <cellStyle name="Note 4 4 3" xfId="9314"/>
    <cellStyle name="Note 4 4 3 2" xfId="13467"/>
    <cellStyle name="Note 4 4 3 3" xfId="13701"/>
    <cellStyle name="Note 4 4 3 4" xfId="13780"/>
    <cellStyle name="Note 4 4 4" xfId="9714"/>
    <cellStyle name="Note 4 4 5" xfId="11377"/>
    <cellStyle name="Note 4 4 6" xfId="13403"/>
    <cellStyle name="Note 4 5" xfId="6599"/>
    <cellStyle name="Note 4 5 2" xfId="12504"/>
    <cellStyle name="Note 4 5 3" xfId="11769"/>
    <cellStyle name="Note 4 5 4" xfId="10805"/>
    <cellStyle name="Note 4 6" xfId="9311"/>
    <cellStyle name="Note 4 6 2" xfId="13464"/>
    <cellStyle name="Note 4 6 3" xfId="13698"/>
    <cellStyle name="Note 4 6 4" xfId="13777"/>
    <cellStyle name="Note 4 7" xfId="9711"/>
    <cellStyle name="Note 4 8" xfId="11380"/>
    <cellStyle name="Note 4 9" xfId="13294"/>
    <cellStyle name="Note 5" xfId="1374"/>
    <cellStyle name="Note 5 2" xfId="6603"/>
    <cellStyle name="Note 5 2 2" xfId="12508"/>
    <cellStyle name="Note 5 2 3" xfId="9536"/>
    <cellStyle name="Note 5 2 4" xfId="10809"/>
    <cellStyle name="Note 5 3" xfId="9315"/>
    <cellStyle name="Note 5 3 2" xfId="13468"/>
    <cellStyle name="Note 5 3 3" xfId="13702"/>
    <cellStyle name="Note 5 3 4" xfId="13781"/>
    <cellStyle name="Note 5 4" xfId="9715"/>
    <cellStyle name="Note 5 5" xfId="11376"/>
    <cellStyle name="Note 5 6" xfId="13338"/>
    <cellStyle name="Note 6" xfId="1375"/>
    <cellStyle name="Note 6 2" xfId="6604"/>
    <cellStyle name="Note 6 2 2" xfId="12509"/>
    <cellStyle name="Note 6 2 3" xfId="9535"/>
    <cellStyle name="Note 6 2 4" xfId="10810"/>
    <cellStyle name="Note 6 3" xfId="9316"/>
    <cellStyle name="Note 6 3 2" xfId="13469"/>
    <cellStyle name="Note 6 3 3" xfId="13703"/>
    <cellStyle name="Note 6 3 4" xfId="13782"/>
    <cellStyle name="Note 6 4" xfId="9716"/>
    <cellStyle name="Note 6 5" xfId="11375"/>
    <cellStyle name="Note 6 6" xfId="13252"/>
    <cellStyle name="Note 7" xfId="1376"/>
    <cellStyle name="Note 7 2" xfId="6605"/>
    <cellStyle name="Note 7 2 2" xfId="12510"/>
    <cellStyle name="Note 7 2 3" xfId="11765"/>
    <cellStyle name="Note 7 2 4" xfId="10811"/>
    <cellStyle name="Note 7 3" xfId="9317"/>
    <cellStyle name="Note 7 3 2" xfId="13470"/>
    <cellStyle name="Note 7 3 3" xfId="13704"/>
    <cellStyle name="Note 7 3 4" xfId="13783"/>
    <cellStyle name="Note 7 4" xfId="9717"/>
    <cellStyle name="Note 7 5" xfId="11374"/>
    <cellStyle name="Note 7 6" xfId="13257"/>
    <cellStyle name="Note 8" xfId="1377"/>
    <cellStyle name="Note 8 2" xfId="6606"/>
    <cellStyle name="Note 8 2 2" xfId="12511"/>
    <cellStyle name="Note 8 2 3" xfId="11764"/>
    <cellStyle name="Note 8 2 4" xfId="10812"/>
    <cellStyle name="Note 8 3" xfId="9318"/>
    <cellStyle name="Note 8 3 2" xfId="13471"/>
    <cellStyle name="Note 8 3 3" xfId="13705"/>
    <cellStyle name="Note 8 3 4" xfId="13784"/>
    <cellStyle name="Note 8 4" xfId="9718"/>
    <cellStyle name="Note 8 5" xfId="11373"/>
    <cellStyle name="Note 8 6" xfId="13268"/>
    <cellStyle name="Note 9" xfId="1378"/>
    <cellStyle name="Œ…‹æØ‚è [0.00]_!!!GO" xfId="1379"/>
    <cellStyle name="Œ…‹æØ‚è_!!!GO" xfId="1380"/>
    <cellStyle name="OFF" xfId="1381"/>
    <cellStyle name="OFF 2" xfId="1382"/>
    <cellStyle name="OFF 2 2" xfId="9320"/>
    <cellStyle name="OFF 3" xfId="9319"/>
    <cellStyle name="ON / Running" xfId="1383"/>
    <cellStyle name="ON / Running 2" xfId="9321"/>
    <cellStyle name="Output" xfId="6704" builtinId="21" customBuiltin="1"/>
    <cellStyle name="Output 1" xfId="1385"/>
    <cellStyle name="Output 1 2" xfId="6909"/>
    <cellStyle name="Output 1 2 2" xfId="12649"/>
    <cellStyle name="Output 1 2 3" xfId="10261"/>
    <cellStyle name="Output 1 2 4" xfId="13726"/>
    <cellStyle name="Output 1 3" xfId="9323"/>
    <cellStyle name="Output 1 3 2" xfId="13476"/>
    <cellStyle name="Output 1 3 3" xfId="13707"/>
    <cellStyle name="Output 1 3 4" xfId="13786"/>
    <cellStyle name="Output 1 4" xfId="9365"/>
    <cellStyle name="Output 1 4 2" xfId="13504"/>
    <cellStyle name="Output 1 4 3" xfId="13730"/>
    <cellStyle name="Output 1 4 4" xfId="13804"/>
    <cellStyle name="Output 10" xfId="9322"/>
    <cellStyle name="Output 10 2" xfId="13475"/>
    <cellStyle name="Output 10 3" xfId="13706"/>
    <cellStyle name="Output 10 4" xfId="13785"/>
    <cellStyle name="Output 11" xfId="9364"/>
    <cellStyle name="Output 11 2" xfId="13503"/>
    <cellStyle name="Output 11 3" xfId="13729"/>
    <cellStyle name="Output 11 4" xfId="13803"/>
    <cellStyle name="Output 2" xfId="1386"/>
    <cellStyle name="Output 2 2" xfId="1387"/>
    <cellStyle name="Output 2 2 2" xfId="6911"/>
    <cellStyle name="Output 2 2 2 2" xfId="12651"/>
    <cellStyle name="Output 2 2 2 3" xfId="10259"/>
    <cellStyle name="Output 2 2 2 4" xfId="11541"/>
    <cellStyle name="Output 2 2 3" xfId="9325"/>
    <cellStyle name="Output 2 2 3 2" xfId="13478"/>
    <cellStyle name="Output 2 2 3 3" xfId="13709"/>
    <cellStyle name="Output 2 2 3 4" xfId="13788"/>
    <cellStyle name="Output 2 2 4" xfId="9367"/>
    <cellStyle name="Output 2 2 4 2" xfId="13506"/>
    <cellStyle name="Output 2 2 4 3" xfId="13732"/>
    <cellStyle name="Output 2 2 4 4" xfId="13806"/>
    <cellStyle name="Output 2 3" xfId="1388"/>
    <cellStyle name="Output 2 3 2" xfId="6912"/>
    <cellStyle name="Output 2 3 2 2" xfId="12652"/>
    <cellStyle name="Output 2 3 2 3" xfId="10258"/>
    <cellStyle name="Output 2 3 2 4" xfId="11542"/>
    <cellStyle name="Output 2 3 3" xfId="9326"/>
    <cellStyle name="Output 2 3 3 2" xfId="13479"/>
    <cellStyle name="Output 2 3 3 3" xfId="13710"/>
    <cellStyle name="Output 2 3 3 4" xfId="13789"/>
    <cellStyle name="Output 2 3 4" xfId="9368"/>
    <cellStyle name="Output 2 3 4 2" xfId="13507"/>
    <cellStyle name="Output 2 3 4 3" xfId="13733"/>
    <cellStyle name="Output 2 3 4 4" xfId="13807"/>
    <cellStyle name="Output 2 4" xfId="6910"/>
    <cellStyle name="Output 2 4 2" xfId="12650"/>
    <cellStyle name="Output 2 4 3" xfId="10260"/>
    <cellStyle name="Output 2 4 4" xfId="13670"/>
    <cellStyle name="Output 2 5" xfId="9324"/>
    <cellStyle name="Output 2 5 2" xfId="13477"/>
    <cellStyle name="Output 2 5 3" xfId="13708"/>
    <cellStyle name="Output 2 5 4" xfId="13787"/>
    <cellStyle name="Output 2 6" xfId="9366"/>
    <cellStyle name="Output 2 6 2" xfId="13505"/>
    <cellStyle name="Output 2 6 3" xfId="13731"/>
    <cellStyle name="Output 2 6 4" xfId="13805"/>
    <cellStyle name="Output 3" xfId="1389"/>
    <cellStyle name="Output 3 2" xfId="1390"/>
    <cellStyle name="Output 3 2 2" xfId="6914"/>
    <cellStyle name="Output 3 2 2 2" xfId="12654"/>
    <cellStyle name="Output 3 2 2 3" xfId="10256"/>
    <cellStyle name="Output 3 2 2 4" xfId="11544"/>
    <cellStyle name="Output 3 2 3" xfId="9328"/>
    <cellStyle name="Output 3 2 3 2" xfId="13481"/>
    <cellStyle name="Output 3 2 3 3" xfId="13712"/>
    <cellStyle name="Output 3 2 3 4" xfId="13791"/>
    <cellStyle name="Output 3 2 4" xfId="9370"/>
    <cellStyle name="Output 3 2 4 2" xfId="13509"/>
    <cellStyle name="Output 3 2 4 3" xfId="13735"/>
    <cellStyle name="Output 3 2 4 4" xfId="13809"/>
    <cellStyle name="Output 3 3" xfId="1391"/>
    <cellStyle name="Output 3 3 2" xfId="6915"/>
    <cellStyle name="Output 3 3 2 2" xfId="12655"/>
    <cellStyle name="Output 3 3 2 3" xfId="10255"/>
    <cellStyle name="Output 3 3 2 4" xfId="11545"/>
    <cellStyle name="Output 3 3 3" xfId="9329"/>
    <cellStyle name="Output 3 3 3 2" xfId="13482"/>
    <cellStyle name="Output 3 3 3 3" xfId="13713"/>
    <cellStyle name="Output 3 3 3 4" xfId="13792"/>
    <cellStyle name="Output 3 3 4" xfId="9371"/>
    <cellStyle name="Output 3 3 4 2" xfId="13510"/>
    <cellStyle name="Output 3 3 4 3" xfId="13736"/>
    <cellStyle name="Output 3 3 4 4" xfId="13810"/>
    <cellStyle name="Output 3 4" xfId="6913"/>
    <cellStyle name="Output 3 4 2" xfId="12653"/>
    <cellStyle name="Output 3 4 3" xfId="10257"/>
    <cellStyle name="Output 3 4 4" xfId="11543"/>
    <cellStyle name="Output 3 5" xfId="9327"/>
    <cellStyle name="Output 3 5 2" xfId="13480"/>
    <cellStyle name="Output 3 5 3" xfId="13711"/>
    <cellStyle name="Output 3 5 4" xfId="13790"/>
    <cellStyle name="Output 3 6" xfId="9369"/>
    <cellStyle name="Output 3 6 2" xfId="13508"/>
    <cellStyle name="Output 3 6 3" xfId="13734"/>
    <cellStyle name="Output 3 6 4" xfId="13808"/>
    <cellStyle name="Output 4" xfId="1392"/>
    <cellStyle name="Output 4 2" xfId="1393"/>
    <cellStyle name="Output 4 2 2" xfId="6917"/>
    <cellStyle name="Output 4 2 2 2" xfId="12657"/>
    <cellStyle name="Output 4 2 2 3" xfId="10253"/>
    <cellStyle name="Output 4 2 2 4" xfId="11547"/>
    <cellStyle name="Output 4 2 3" xfId="9331"/>
    <cellStyle name="Output 4 2 3 2" xfId="13484"/>
    <cellStyle name="Output 4 2 3 3" xfId="13715"/>
    <cellStyle name="Output 4 2 3 4" xfId="13794"/>
    <cellStyle name="Output 4 2 4" xfId="9373"/>
    <cellStyle name="Output 4 2 4 2" xfId="13512"/>
    <cellStyle name="Output 4 2 4 3" xfId="13738"/>
    <cellStyle name="Output 4 2 4 4" xfId="13812"/>
    <cellStyle name="Output 4 3" xfId="1394"/>
    <cellStyle name="Output 4 3 2" xfId="6918"/>
    <cellStyle name="Output 4 3 2 2" xfId="12658"/>
    <cellStyle name="Output 4 3 2 3" xfId="10252"/>
    <cellStyle name="Output 4 3 2 4" xfId="11757"/>
    <cellStyle name="Output 4 3 3" xfId="9332"/>
    <cellStyle name="Output 4 3 3 2" xfId="13485"/>
    <cellStyle name="Output 4 3 3 3" xfId="13716"/>
    <cellStyle name="Output 4 3 3 4" xfId="13795"/>
    <cellStyle name="Output 4 3 4" xfId="9374"/>
    <cellStyle name="Output 4 3 4 2" xfId="13513"/>
    <cellStyle name="Output 4 3 4 3" xfId="13739"/>
    <cellStyle name="Output 4 3 4 4" xfId="13813"/>
    <cellStyle name="Output 4 4" xfId="6916"/>
    <cellStyle name="Output 4 4 2" xfId="12656"/>
    <cellStyle name="Output 4 4 3" xfId="10254"/>
    <cellStyle name="Output 4 4 4" xfId="11546"/>
    <cellStyle name="Output 4 5" xfId="9330"/>
    <cellStyle name="Output 4 5 2" xfId="13483"/>
    <cellStyle name="Output 4 5 3" xfId="13714"/>
    <cellStyle name="Output 4 5 4" xfId="13793"/>
    <cellStyle name="Output 4 6" xfId="9372"/>
    <cellStyle name="Output 4 6 2" xfId="13511"/>
    <cellStyle name="Output 4 6 3" xfId="13737"/>
    <cellStyle name="Output 4 6 4" xfId="13811"/>
    <cellStyle name="Output 5" xfId="1395"/>
    <cellStyle name="Output 5 2" xfId="6919"/>
    <cellStyle name="Output 5 2 2" xfId="12659"/>
    <cellStyle name="Output 5 2 3" xfId="10251"/>
    <cellStyle name="Output 5 2 4" xfId="11820"/>
    <cellStyle name="Output 5 3" xfId="9333"/>
    <cellStyle name="Output 5 3 2" xfId="13486"/>
    <cellStyle name="Output 5 3 3" xfId="13717"/>
    <cellStyle name="Output 5 3 4" xfId="13796"/>
    <cellStyle name="Output 5 4" xfId="9375"/>
    <cellStyle name="Output 5 4 2" xfId="13514"/>
    <cellStyle name="Output 5 4 3" xfId="13740"/>
    <cellStyle name="Output 5 4 4" xfId="13814"/>
    <cellStyle name="Output 6" xfId="1396"/>
    <cellStyle name="Output 6 2" xfId="6920"/>
    <cellStyle name="Output 6 2 2" xfId="12660"/>
    <cellStyle name="Output 6 2 3" xfId="10250"/>
    <cellStyle name="Output 6 2 4" xfId="12536"/>
    <cellStyle name="Output 6 3" xfId="9334"/>
    <cellStyle name="Output 6 3 2" xfId="13487"/>
    <cellStyle name="Output 6 3 3" xfId="13718"/>
    <cellStyle name="Output 6 3 4" xfId="13797"/>
    <cellStyle name="Output 6 4" xfId="9376"/>
    <cellStyle name="Output 6 4 2" xfId="13515"/>
    <cellStyle name="Output 6 4 3" xfId="13741"/>
    <cellStyle name="Output 6 4 4" xfId="13815"/>
    <cellStyle name="Output 7" xfId="1397"/>
    <cellStyle name="Output 7 2" xfId="6921"/>
    <cellStyle name="Output 7 2 2" xfId="12661"/>
    <cellStyle name="Output 7 2 3" xfId="10249"/>
    <cellStyle name="Output 7 2 4" xfId="9579"/>
    <cellStyle name="Output 7 3" xfId="9335"/>
    <cellStyle name="Output 7 3 2" xfId="13488"/>
    <cellStyle name="Output 7 3 3" xfId="13719"/>
    <cellStyle name="Output 7 3 4" xfId="13798"/>
    <cellStyle name="Output 7 4" xfId="9377"/>
    <cellStyle name="Output 7 4 2" xfId="13516"/>
    <cellStyle name="Output 7 4 3" xfId="13742"/>
    <cellStyle name="Output 7 4 4" xfId="13816"/>
    <cellStyle name="Output 8" xfId="1384"/>
    <cellStyle name="Output 8 2" xfId="9722"/>
    <cellStyle name="Output 8 3" xfId="11372"/>
    <cellStyle name="Output 8 4" xfId="13356"/>
    <cellStyle name="Output 9" xfId="6908"/>
    <cellStyle name="Output 9 2" xfId="12648"/>
    <cellStyle name="Output 9 3" xfId="10262"/>
    <cellStyle name="Output 9 4" xfId="11540"/>
    <cellStyle name="Pending Change - IBM Cognos" xfId="6801"/>
    <cellStyle name="Pending Change - IBM Cognos 2" xfId="12559"/>
    <cellStyle name="Pending Change - IBM Cognos 3" xfId="13433"/>
    <cellStyle name="Pending Change - IBM Cognos 4" xfId="9513"/>
    <cellStyle name="per.style" xfId="1398"/>
    <cellStyle name="Percent" xfId="1" builtinId="5"/>
    <cellStyle name="Percent [0]" xfId="1400"/>
    <cellStyle name="Percent [00]" xfId="1401"/>
    <cellStyle name="Percent [2]" xfId="1402"/>
    <cellStyle name="Percent [2] 2" xfId="5772"/>
    <cellStyle name="Percent [2] 2 2" xfId="5773"/>
    <cellStyle name="Percent [2] 3" xfId="5774"/>
    <cellStyle name="Percent [2] 3 2" xfId="5775"/>
    <cellStyle name="Percent [2] 4" xfId="5776"/>
    <cellStyle name="Percent [2] 4 2" xfId="5777"/>
    <cellStyle name="Percent [2] 5" xfId="5778"/>
    <cellStyle name="Percent [2] 5 2" xfId="5779"/>
    <cellStyle name="Percent [2]_DIV CARABOBO" xfId="5780"/>
    <cellStyle name="Percent 10" xfId="5781"/>
    <cellStyle name="Percent 10 2" xfId="6803"/>
    <cellStyle name="Percent 11" xfId="5869"/>
    <cellStyle name="Percent 11 2" xfId="6804"/>
    <cellStyle name="Percent 12" xfId="5915"/>
    <cellStyle name="Percent 13" xfId="6076"/>
    <cellStyle name="Percent 13 2" xfId="6805"/>
    <cellStyle name="Percent 14" xfId="6523"/>
    <cellStyle name="Percent 14 2" xfId="6806"/>
    <cellStyle name="Percent 15" xfId="6528"/>
    <cellStyle name="Percent 15 2" xfId="6843"/>
    <cellStyle name="Percent 16" xfId="6607"/>
    <cellStyle name="Percent 16 2" xfId="6844"/>
    <cellStyle name="Percent 17" xfId="6845"/>
    <cellStyle name="Percent 18" xfId="6802"/>
    <cellStyle name="Percent 19" xfId="6922"/>
    <cellStyle name="Percent 2" xfId="1403"/>
    <cellStyle name="Percent 2 2" xfId="1404"/>
    <cellStyle name="Percent 2 2 2" xfId="6808"/>
    <cellStyle name="Percent 2 3" xfId="1405"/>
    <cellStyle name="Percent 2 4" xfId="1406"/>
    <cellStyle name="Percent 2 5" xfId="6807"/>
    <cellStyle name="Percent 20" xfId="9336"/>
    <cellStyle name="Percent 21" xfId="9378"/>
    <cellStyle name="Percent 3" xfId="1407"/>
    <cellStyle name="Percent 3 2" xfId="1408"/>
    <cellStyle name="Percent 3 2 2" xfId="6810"/>
    <cellStyle name="Percent 3 3" xfId="6811"/>
    <cellStyle name="Percent 3 4" xfId="6842"/>
    <cellStyle name="Percent 3 5" xfId="6809"/>
    <cellStyle name="Percent 4" xfId="1409"/>
    <cellStyle name="Percent 4 2" xfId="6813"/>
    <cellStyle name="Percent 4 3" xfId="6812"/>
    <cellStyle name="Percent 5" xfId="1410"/>
    <cellStyle name="Percent 5 2" xfId="6814"/>
    <cellStyle name="Percent 6" xfId="1411"/>
    <cellStyle name="Percent 6 2" xfId="6816"/>
    <cellStyle name="Percent 6 3" xfId="6815"/>
    <cellStyle name="Percent 7" xfId="1412"/>
    <cellStyle name="Percent 7 2" xfId="6817"/>
    <cellStyle name="Percent 8" xfId="1413"/>
    <cellStyle name="Percent 8 2" xfId="6819"/>
    <cellStyle name="Percent 8 3" xfId="6818"/>
    <cellStyle name="Percent 9" xfId="1399"/>
    <cellStyle name="Percent 9 2" xfId="6821"/>
    <cellStyle name="Percent 9 3" xfId="6820"/>
    <cellStyle name="Porcentagem 10" xfId="1414"/>
    <cellStyle name="Porcentagem 10 2" xfId="1415"/>
    <cellStyle name="Porcentagem 11" xfId="1416"/>
    <cellStyle name="Porcentagem 11 2" xfId="1417"/>
    <cellStyle name="Porcentagem 12" xfId="1418"/>
    <cellStyle name="Porcentagem 12 2" xfId="1419"/>
    <cellStyle name="Porcentagem 13" xfId="1420"/>
    <cellStyle name="Porcentagem 13 2" xfId="1421"/>
    <cellStyle name="Porcentagem 14" xfId="1422"/>
    <cellStyle name="Porcentagem 14 2" xfId="1423"/>
    <cellStyle name="Porcentagem 15" xfId="1424"/>
    <cellStyle name="Porcentagem 15 2" xfId="1425"/>
    <cellStyle name="Porcentagem 16" xfId="1426"/>
    <cellStyle name="Porcentagem 16 2" xfId="1427"/>
    <cellStyle name="Porcentagem 17" xfId="1428"/>
    <cellStyle name="Porcentagem 17 2" xfId="1429"/>
    <cellStyle name="Porcentagem 2" xfId="1430"/>
    <cellStyle name="Porcentagem 3" xfId="1431"/>
    <cellStyle name="Porcentagem 3 2" xfId="1432"/>
    <cellStyle name="Porcentagem 4" xfId="1433"/>
    <cellStyle name="Porcentagem 4 2" xfId="1434"/>
    <cellStyle name="Porcentagem 5" xfId="1435"/>
    <cellStyle name="Porcentagem 5 2" xfId="1436"/>
    <cellStyle name="Porcentagem 6" xfId="1437"/>
    <cellStyle name="Porcentagem 6 2" xfId="1438"/>
    <cellStyle name="Porcentagem 7" xfId="1439"/>
    <cellStyle name="Porcentagem 7 2" xfId="1440"/>
    <cellStyle name="Porcentagem 8" xfId="1441"/>
    <cellStyle name="Porcentagem 8 2" xfId="1442"/>
    <cellStyle name="Porcentagem 9" xfId="1443"/>
    <cellStyle name="Porcentagem 9 2" xfId="1444"/>
    <cellStyle name="Porcentual 2" xfId="5782"/>
    <cellStyle name="Porcentual 3" xfId="5783"/>
    <cellStyle name="Porcentual 4" xfId="5784"/>
    <cellStyle name="Porcentual 5" xfId="5785"/>
    <cellStyle name="Porcentual 6" xfId="5786"/>
    <cellStyle name="Porcentual 7" xfId="5787"/>
    <cellStyle name="PrePop Currency (0)" xfId="1445"/>
    <cellStyle name="PrePop Currency (2)" xfId="1446"/>
    <cellStyle name="PrePop Units (0)" xfId="1447"/>
    <cellStyle name="PrePop Units (1)" xfId="1448"/>
    <cellStyle name="PrePop Units (2)" xfId="1449"/>
    <cellStyle name="PSChar" xfId="1450"/>
    <cellStyle name="PSDate" xfId="1451"/>
    <cellStyle name="PSDec" xfId="1452"/>
    <cellStyle name="PSHeading" xfId="1453"/>
    <cellStyle name="PSInt" xfId="1454"/>
    <cellStyle name="PSSpacer" xfId="1455"/>
    <cellStyle name="Row Name - IBM Cognos" xfId="6822"/>
    <cellStyle name="Row Name - IBM Cognos 2" xfId="12580"/>
    <cellStyle name="Row Name - IBM Cognos 3" xfId="12529"/>
    <cellStyle name="Row Name - IBM Cognos 4" xfId="11502"/>
    <cellStyle name="Row Template - IBM Cognos" xfId="6823"/>
    <cellStyle name="Row Template - IBM Cognos 2" xfId="12581"/>
    <cellStyle name="Row Template - IBM Cognos 3" xfId="9512"/>
    <cellStyle name="Row Template - IBM Cognos 4" xfId="11503"/>
    <cellStyle name="Saída 2" xfId="1456"/>
    <cellStyle name="Saída 2 2" xfId="6923"/>
    <cellStyle name="Saída 2 2 2" xfId="12663"/>
    <cellStyle name="Saída 2 2 3" xfId="10248"/>
    <cellStyle name="Saída 2 2 4" xfId="11827"/>
    <cellStyle name="Saída 2 3" xfId="9337"/>
    <cellStyle name="Saída 2 3 2" xfId="13490"/>
    <cellStyle name="Saída 2 3 3" xfId="13720"/>
    <cellStyle name="Saída 2 3 4" xfId="13799"/>
    <cellStyle name="Saída 2 4" xfId="9379"/>
    <cellStyle name="Saída 2 4 2" xfId="13518"/>
    <cellStyle name="Saída 2 4 3" xfId="13743"/>
    <cellStyle name="Saída 2 4 4" xfId="13817"/>
    <cellStyle name="Saída 3" xfId="1457"/>
    <cellStyle name="Saída 3 2" xfId="6924"/>
    <cellStyle name="Saída 3 2 2" xfId="12664"/>
    <cellStyle name="Saída 3 2 3" xfId="10247"/>
    <cellStyle name="Saída 3 2 4" xfId="11832"/>
    <cellStyle name="Saída 3 3" xfId="9338"/>
    <cellStyle name="Saída 3 3 2" xfId="13491"/>
    <cellStyle name="Saída 3 3 3" xfId="13721"/>
    <cellStyle name="Saída 3 3 4" xfId="13800"/>
    <cellStyle name="Saída 3 4" xfId="9380"/>
    <cellStyle name="Saída 3 4 2" xfId="13519"/>
    <cellStyle name="Saída 3 4 3" xfId="13744"/>
    <cellStyle name="Saída 3 4 4" xfId="13818"/>
    <cellStyle name="Saída 4" xfId="1458"/>
    <cellStyle name="Saída 4 2" xfId="6925"/>
    <cellStyle name="Saída 4 2 2" xfId="12665"/>
    <cellStyle name="Saída 4 2 3" xfId="10246"/>
    <cellStyle name="Saída 4 2 4" xfId="10629"/>
    <cellStyle name="Saída 4 3" xfId="9339"/>
    <cellStyle name="Saída 4 3 2" xfId="13492"/>
    <cellStyle name="Saída 4 3 3" xfId="13722"/>
    <cellStyle name="Saída 4 3 4" xfId="13801"/>
    <cellStyle name="Saída 4 4" xfId="9381"/>
    <cellStyle name="Saída 4 4 2" xfId="13520"/>
    <cellStyle name="Saída 4 4 3" xfId="13745"/>
    <cellStyle name="Saída 4 4 4" xfId="13819"/>
    <cellStyle name="Salida" xfId="1459"/>
    <cellStyle name="Salida 10" xfId="9382"/>
    <cellStyle name="Salida 10 2" xfId="13521"/>
    <cellStyle name="Salida 10 3" xfId="13746"/>
    <cellStyle name="Salida 10 4" xfId="13820"/>
    <cellStyle name="Salida 2" xfId="5788"/>
    <cellStyle name="Salida 2 2" xfId="11918"/>
    <cellStyle name="Salida 2 3" xfId="10649"/>
    <cellStyle name="Salida 2 4" xfId="12520"/>
    <cellStyle name="Salida 3" xfId="5789"/>
    <cellStyle name="Salida 3 2" xfId="11919"/>
    <cellStyle name="Salida 3 3" xfId="10648"/>
    <cellStyle name="Salida 3 4" xfId="12602"/>
    <cellStyle name="Salida 4" xfId="5790"/>
    <cellStyle name="Salida 4 2" xfId="11920"/>
    <cellStyle name="Salida 4 3" xfId="10647"/>
    <cellStyle name="Salida 4 4" xfId="12672"/>
    <cellStyle name="Salida 5" xfId="5791"/>
    <cellStyle name="Salida 5 2" xfId="11921"/>
    <cellStyle name="Salida 5 3" xfId="10646"/>
    <cellStyle name="Salida 5 4" xfId="13099"/>
    <cellStyle name="Salida 6" xfId="5792"/>
    <cellStyle name="Salida 6 2" xfId="11922"/>
    <cellStyle name="Salida 6 3" xfId="10645"/>
    <cellStyle name="Salida 6 4" xfId="13424"/>
    <cellStyle name="Salida 7" xfId="5793"/>
    <cellStyle name="Salida 7 2" xfId="11923"/>
    <cellStyle name="Salida 7 3" xfId="10644"/>
    <cellStyle name="Salida 7 4" xfId="13496"/>
    <cellStyle name="Salida 8" xfId="6926"/>
    <cellStyle name="Salida 8 2" xfId="12666"/>
    <cellStyle name="Salida 8 3" xfId="10245"/>
    <cellStyle name="Salida 8 4" xfId="10633"/>
    <cellStyle name="Salida 9" xfId="9340"/>
    <cellStyle name="Salida 9 2" xfId="13493"/>
    <cellStyle name="Salida 9 3" xfId="13723"/>
    <cellStyle name="Salida 9 4" xfId="13802"/>
    <cellStyle name="SHADE" xfId="1460"/>
    <cellStyle name="Smalltxt" xfId="5899"/>
    <cellStyle name="STANDARD" xfId="1461"/>
    <cellStyle name="StandBy" xfId="1462"/>
    <cellStyle name="StandBy 2" xfId="1463"/>
    <cellStyle name="StandBy 2 2" xfId="9342"/>
    <cellStyle name="StandBy 3" xfId="9341"/>
    <cellStyle name="Style 1" xfId="6824"/>
    <cellStyle name="Style 1 2" xfId="6825"/>
    <cellStyle name="Style 1 3" xfId="6826"/>
    <cellStyle name="Style 1 3 2" xfId="6827"/>
    <cellStyle name="Style 1 4" xfId="6828"/>
    <cellStyle name="Style 1 4 2" xfId="6829"/>
    <cellStyle name="Style 1 5" xfId="6830"/>
    <cellStyle name="Style 1 5 2" xfId="6831"/>
    <cellStyle name="Style 1 6" xfId="6832"/>
    <cellStyle name="Style 1 7" xfId="6833"/>
    <cellStyle name="STYLE1 - Style1" xfId="1464"/>
    <cellStyle name="STYLE2 - Style2" xfId="1465"/>
    <cellStyle name="STYLE3 - Style3" xfId="1466"/>
    <cellStyle name="STYLE4 - Style4" xfId="1467"/>
    <cellStyle name="Summary Column Name - IBM Cognos" xfId="6834"/>
    <cellStyle name="Summary Column Name - IBM Cognos 2" xfId="12592"/>
    <cellStyle name="Summary Column Name - IBM Cognos 3" xfId="9517"/>
    <cellStyle name="Summary Column Name - IBM Cognos 4" xfId="11504"/>
    <cellStyle name="Summary Column Name TM1 - IBM Cognos" xfId="6835"/>
    <cellStyle name="Summary Column Name TM1 - IBM Cognos 2" xfId="12593"/>
    <cellStyle name="Summary Column Name TM1 - IBM Cognos 3" xfId="9516"/>
    <cellStyle name="Summary Column Name TM1 - IBM Cognos 4" xfId="11505"/>
    <cellStyle name="Summary Row Name - IBM Cognos" xfId="6836"/>
    <cellStyle name="Summary Row Name - IBM Cognos 2" xfId="12594"/>
    <cellStyle name="Summary Row Name - IBM Cognos 3" xfId="9515"/>
    <cellStyle name="Summary Row Name - IBM Cognos 4" xfId="11506"/>
    <cellStyle name="Summary Row Name TM1 - IBM Cognos" xfId="6837"/>
    <cellStyle name="Summary Row Name TM1 - IBM Cognos 2" xfId="12595"/>
    <cellStyle name="Summary Row Name TM1 - IBM Cognos 3" xfId="9514"/>
    <cellStyle name="Summary Row Name TM1 - IBM Cognos 4" xfId="11507"/>
    <cellStyle name="Text Indent A" xfId="1468"/>
    <cellStyle name="Text Indent B" xfId="1469"/>
    <cellStyle name="Text Indent C" xfId="1470"/>
    <cellStyle name="Texto de advertencia" xfId="1471"/>
    <cellStyle name="Texto de advertencia 2" xfId="5794"/>
    <cellStyle name="Texto de advertencia 3" xfId="5795"/>
    <cellStyle name="Texto de advertencia 4" xfId="5796"/>
    <cellStyle name="Texto de advertencia 5" xfId="5797"/>
    <cellStyle name="Texto de advertencia 6" xfId="5798"/>
    <cellStyle name="Texto de advertencia 7" xfId="5799"/>
    <cellStyle name="Texto de Aviso" xfId="1472"/>
    <cellStyle name="Texto de Aviso 2" xfId="1473"/>
    <cellStyle name="Texto de Aviso 3" xfId="1474"/>
    <cellStyle name="Texto de Aviso 4" xfId="1475"/>
    <cellStyle name="Texto explicativo" xfId="5800"/>
    <cellStyle name="Texto Explicativo 2" xfId="1476"/>
    <cellStyle name="Texto Explicativo 3" xfId="1477"/>
    <cellStyle name="Texto Explicativo 4" xfId="1478"/>
    <cellStyle name="Texto explicativo 5" xfId="5801"/>
    <cellStyle name="Texto explicativo 6" xfId="5802"/>
    <cellStyle name="Texto explicativo 7" xfId="5803"/>
    <cellStyle name="Title 1" xfId="1480"/>
    <cellStyle name="Title 2" xfId="1481"/>
    <cellStyle name="Title 2 2" xfId="6838"/>
    <cellStyle name="Title 3" xfId="1482"/>
    <cellStyle name="Title 4" xfId="1483"/>
    <cellStyle name="Title 5" xfId="1484"/>
    <cellStyle name="Title 6" xfId="1485"/>
    <cellStyle name="Title 7" xfId="1486"/>
    <cellStyle name="Title 8" xfId="1479"/>
    <cellStyle name="Título" xfId="5804"/>
    <cellStyle name="Título 1" xfId="5805"/>
    <cellStyle name="Título 1 1" xfId="1487"/>
    <cellStyle name="Título 1 2" xfId="1488"/>
    <cellStyle name="Título 1 2 2" xfId="5806"/>
    <cellStyle name="Título 1 3" xfId="1489"/>
    <cellStyle name="Título 1 3 2" xfId="5807"/>
    <cellStyle name="Título 1 4" xfId="1490"/>
    <cellStyle name="Título 1 4 2" xfId="5808"/>
    <cellStyle name="Título 1 5" xfId="5809"/>
    <cellStyle name="Título 1 6" xfId="5810"/>
    <cellStyle name="Título 1 7" xfId="5811"/>
    <cellStyle name="Título 2" xfId="5812"/>
    <cellStyle name="Título 2 2" xfId="1491"/>
    <cellStyle name="Título 2 3" xfId="1492"/>
    <cellStyle name="Título 2 4" xfId="1493"/>
    <cellStyle name="Título 2 5" xfId="5813"/>
    <cellStyle name="Título 2 6" xfId="5814"/>
    <cellStyle name="Título 2 7" xfId="5815"/>
    <cellStyle name="Título 3" xfId="5816"/>
    <cellStyle name="Título 3 2" xfId="1494"/>
    <cellStyle name="Título 3 3" xfId="1495"/>
    <cellStyle name="Título 3 4" xfId="1496"/>
    <cellStyle name="Título 3 5" xfId="5817"/>
    <cellStyle name="Título 3 6" xfId="5818"/>
    <cellStyle name="Título 3 7" xfId="5819"/>
    <cellStyle name="Título 4" xfId="5820"/>
    <cellStyle name="Título 4 2" xfId="1497"/>
    <cellStyle name="Título 4 3" xfId="1498"/>
    <cellStyle name="Título 4 4" xfId="1499"/>
    <cellStyle name="Título 5" xfId="1500"/>
    <cellStyle name="Título 6" xfId="1501"/>
    <cellStyle name="Título 7" xfId="1502"/>
    <cellStyle name="Título 8" xfId="5821"/>
    <cellStyle name="Título 9" xfId="5822"/>
    <cellStyle name="Total" xfId="6710" builtinId="25" customBuiltin="1"/>
    <cellStyle name="Total 1" xfId="1504"/>
    <cellStyle name="Total 1 2" xfId="6609"/>
    <cellStyle name="Total 1 2 2" xfId="12514"/>
    <cellStyle name="Total 1 2 3" xfId="11762"/>
    <cellStyle name="Total 1 2 4" xfId="10814"/>
    <cellStyle name="Total 1 3" xfId="6928"/>
    <cellStyle name="Total 1 3 2" xfId="12668"/>
    <cellStyle name="Total 1 3 3" xfId="10243"/>
    <cellStyle name="Total 1 3 4" xfId="11548"/>
    <cellStyle name="Total 1 4" xfId="9384"/>
    <cellStyle name="Total 1 4 2" xfId="13523"/>
    <cellStyle name="Total 1 4 3" xfId="13748"/>
    <cellStyle name="Total 1 4 4" xfId="13822"/>
    <cellStyle name="Total 10" xfId="6927"/>
    <cellStyle name="Total 10 2" xfId="12667"/>
    <cellStyle name="Total 10 3" xfId="10244"/>
    <cellStyle name="Total 10 4" xfId="9584"/>
    <cellStyle name="Total 11" xfId="9383"/>
    <cellStyle name="Total 11 2" xfId="13522"/>
    <cellStyle name="Total 11 3" xfId="13747"/>
    <cellStyle name="Total 11 4" xfId="13821"/>
    <cellStyle name="Total 2" xfId="1505"/>
    <cellStyle name="Total 2 2" xfId="6610"/>
    <cellStyle name="Total 2 2 2" xfId="12515"/>
    <cellStyle name="Total 2 2 3" xfId="11761"/>
    <cellStyle name="Total 2 2 4" xfId="10815"/>
    <cellStyle name="Total 2 3" xfId="6929"/>
    <cellStyle name="Total 2 3 2" xfId="12669"/>
    <cellStyle name="Total 2 3 3" xfId="10242"/>
    <cellStyle name="Total 2 3 4" xfId="11549"/>
    <cellStyle name="Total 2 4" xfId="9385"/>
    <cellStyle name="Total 2 4 2" xfId="13524"/>
    <cellStyle name="Total 2 4 3" xfId="13749"/>
    <cellStyle name="Total 2 4 4" xfId="13823"/>
    <cellStyle name="Total 3" xfId="1506"/>
    <cellStyle name="Total 3 2" xfId="6611"/>
    <cellStyle name="Total 3 2 2" xfId="12516"/>
    <cellStyle name="Total 3 2 3" xfId="11760"/>
    <cellStyle name="Total 3 2 4" xfId="10816"/>
    <cellStyle name="Total 3 3" xfId="6930"/>
    <cellStyle name="Total 3 3 2" xfId="12670"/>
    <cellStyle name="Total 3 3 3" xfId="10241"/>
    <cellStyle name="Total 3 3 4" xfId="11550"/>
    <cellStyle name="Total 3 4" xfId="9386"/>
    <cellStyle name="Total 3 4 2" xfId="13525"/>
    <cellStyle name="Total 3 4 3" xfId="13750"/>
    <cellStyle name="Total 3 4 4" xfId="13824"/>
    <cellStyle name="Total 4" xfId="1507"/>
    <cellStyle name="Total 4 2" xfId="6612"/>
    <cellStyle name="Total 4 2 2" xfId="12517"/>
    <cellStyle name="Total 4 2 3" xfId="11759"/>
    <cellStyle name="Total 4 2 4" xfId="10817"/>
    <cellStyle name="Total 4 3" xfId="6931"/>
    <cellStyle name="Total 4 3 2" xfId="12671"/>
    <cellStyle name="Total 4 3 3" xfId="10240"/>
    <cellStyle name="Total 4 3 4" xfId="9532"/>
    <cellStyle name="Total 4 4" xfId="9387"/>
    <cellStyle name="Total 4 4 2" xfId="13526"/>
    <cellStyle name="Total 4 4 3" xfId="13751"/>
    <cellStyle name="Total 4 4 4" xfId="13825"/>
    <cellStyle name="Total 5" xfId="1503"/>
    <cellStyle name="Total 5 2" xfId="9831"/>
    <cellStyle name="Total 5 3" xfId="11371"/>
    <cellStyle name="Total 5 4" xfId="13317"/>
    <cellStyle name="Total 6" xfId="5823"/>
    <cellStyle name="Total 6 2" xfId="11953"/>
    <cellStyle name="Total 6 3" xfId="10643"/>
    <cellStyle name="Total 6 4" xfId="9683"/>
    <cellStyle name="Total 7" xfId="5824"/>
    <cellStyle name="Total 7 2" xfId="11954"/>
    <cellStyle name="Total 7 3" xfId="10642"/>
    <cellStyle name="Total 7 4" xfId="13441"/>
    <cellStyle name="Total 8" xfId="6524"/>
    <cellStyle name="Total 8 2" xfId="12440"/>
    <cellStyle name="Total 8 3" xfId="10264"/>
    <cellStyle name="Total 8 4" xfId="10750"/>
    <cellStyle name="Total 9" xfId="6608"/>
    <cellStyle name="Total 9 2" xfId="12513"/>
    <cellStyle name="Total 9 3" xfId="11763"/>
    <cellStyle name="Total 9 4" xfId="10813"/>
    <cellStyle name="type" xfId="5898"/>
    <cellStyle name="Unsaved Change - IBM Cognos" xfId="6839"/>
    <cellStyle name="Unsaved Change - IBM Cognos 2" xfId="12597"/>
    <cellStyle name="Unsaved Change - IBM Cognos 3" xfId="13501"/>
    <cellStyle name="Unsaved Change - IBM Cognos 4" xfId="11508"/>
    <cellStyle name="Vaciando" xfId="5916"/>
    <cellStyle name="Vaciando 2" xfId="11986"/>
    <cellStyle name="Vaciando 3" xfId="10627"/>
    <cellStyle name="Vaciando 4" xfId="11987"/>
    <cellStyle name="Vírgula 2" xfId="1508"/>
    <cellStyle name="Warning Text" xfId="6708" builtinId="11" customBuiltin="1"/>
    <cellStyle name="Warning Text 1" xfId="1509"/>
    <cellStyle name="Warning Text 2" xfId="1510"/>
    <cellStyle name="Warning Text 3" xfId="1511"/>
    <cellStyle name="Warning Text 4" xfId="1512"/>
    <cellStyle name="Warning Text 5" xfId="1513"/>
    <cellStyle name="Warning Text 6" xfId="1514"/>
    <cellStyle name="Warning Text 7" xfId="1515"/>
    <cellStyle name="Акцент1 10" xfId="2948"/>
    <cellStyle name="Акцент1 10 2" xfId="2949"/>
    <cellStyle name="Акцент1 11" xfId="2950"/>
    <cellStyle name="Акцент1 11 2" xfId="2951"/>
    <cellStyle name="Акцент1 12" xfId="2952"/>
    <cellStyle name="Акцент1 12 2" xfId="2953"/>
    <cellStyle name="Акцент1 13" xfId="2954"/>
    <cellStyle name="Акцент1 13 2" xfId="2955"/>
    <cellStyle name="Акцент1 14" xfId="2956"/>
    <cellStyle name="Акцент1 14 2" xfId="2957"/>
    <cellStyle name="Акцент1 15" xfId="2958"/>
    <cellStyle name="Акцент1 15 2" xfId="2959"/>
    <cellStyle name="Акцент1 16" xfId="2960"/>
    <cellStyle name="Акцент1 16 2" xfId="2961"/>
    <cellStyle name="Акцент1 17" xfId="2962"/>
    <cellStyle name="Акцент1 17 2" xfId="2963"/>
    <cellStyle name="Акцент1 18" xfId="2964"/>
    <cellStyle name="Акцент1 18 2" xfId="2965"/>
    <cellStyle name="Акцент1 19" xfId="2966"/>
    <cellStyle name="Акцент1 19 2" xfId="2967"/>
    <cellStyle name="Акцент1 2" xfId="1542"/>
    <cellStyle name="Акцент1 2 10" xfId="2968"/>
    <cellStyle name="Акцент1 2 10 2" xfId="2969"/>
    <cellStyle name="Акцент1 2 11" xfId="2970"/>
    <cellStyle name="Акцент1 2 11 2" xfId="2971"/>
    <cellStyle name="Акцент1 2 12" xfId="2972"/>
    <cellStyle name="Акцент1 2 12 2" xfId="2973"/>
    <cellStyle name="Акцент1 2 13" xfId="2974"/>
    <cellStyle name="Акцент1 2 13 2" xfId="2975"/>
    <cellStyle name="Акцент1 2 14" xfId="2976"/>
    <cellStyle name="Акцент1 2 14 2" xfId="2977"/>
    <cellStyle name="Акцент1 2 15" xfId="2978"/>
    <cellStyle name="Акцент1 2 15 2" xfId="2979"/>
    <cellStyle name="Акцент1 2 16" xfId="2980"/>
    <cellStyle name="Акцент1 2 16 2" xfId="2981"/>
    <cellStyle name="Акцент1 2 17" xfId="2982"/>
    <cellStyle name="Акцент1 2 17 2" xfId="2983"/>
    <cellStyle name="Акцент1 2 18" xfId="2984"/>
    <cellStyle name="Акцент1 2 19" xfId="2985"/>
    <cellStyle name="Акцент1 2 2" xfId="2986"/>
    <cellStyle name="Акцент1 2 2 2" xfId="2987"/>
    <cellStyle name="Акцент1 2 3" xfId="2988"/>
    <cellStyle name="Акцент1 2 4" xfId="2989"/>
    <cellStyle name="Акцент1 2 4 2" xfId="2990"/>
    <cellStyle name="Акцент1 2 5" xfId="2991"/>
    <cellStyle name="Акцент1 2 5 2" xfId="2992"/>
    <cellStyle name="Акцент1 2 6" xfId="2993"/>
    <cellStyle name="Акцент1 2 6 2" xfId="2994"/>
    <cellStyle name="Акцент1 2 7" xfId="2995"/>
    <cellStyle name="Акцент1 2 7 2" xfId="2996"/>
    <cellStyle name="Акцент1 2 8" xfId="2997"/>
    <cellStyle name="Акцент1 2 8 2" xfId="2998"/>
    <cellStyle name="Акцент1 2 9" xfId="2999"/>
    <cellStyle name="Акцент1 2 9 2" xfId="3000"/>
    <cellStyle name="Акцент1 20" xfId="3001"/>
    <cellStyle name="Акцент1 20 2" xfId="3002"/>
    <cellStyle name="Акцент1 21" xfId="3003"/>
    <cellStyle name="Акцент1 3" xfId="3004"/>
    <cellStyle name="Акцент1 3 2" xfId="3005"/>
    <cellStyle name="Акцент1 4" xfId="3006"/>
    <cellStyle name="Акцент1 4 2" xfId="3007"/>
    <cellStyle name="Акцент1 5" xfId="3008"/>
    <cellStyle name="Акцент1 5 2" xfId="3009"/>
    <cellStyle name="Акцент1 6" xfId="3010"/>
    <cellStyle name="Акцент1 6 2" xfId="3011"/>
    <cellStyle name="Акцент1 7" xfId="3012"/>
    <cellStyle name="Акцент1 7 2" xfId="3013"/>
    <cellStyle name="Акцент1 8" xfId="3014"/>
    <cellStyle name="Акцент1 8 2" xfId="3015"/>
    <cellStyle name="Акцент1 9" xfId="3016"/>
    <cellStyle name="Акцент1 9 2" xfId="3017"/>
    <cellStyle name="Акцент2 10" xfId="3018"/>
    <cellStyle name="Акцент2 10 2" xfId="3019"/>
    <cellStyle name="Акцент2 11" xfId="3020"/>
    <cellStyle name="Акцент2 11 2" xfId="3021"/>
    <cellStyle name="Акцент2 12" xfId="3022"/>
    <cellStyle name="Акцент2 12 2" xfId="3023"/>
    <cellStyle name="Акцент2 13" xfId="3024"/>
    <cellStyle name="Акцент2 13 2" xfId="3025"/>
    <cellStyle name="Акцент2 14" xfId="3026"/>
    <cellStyle name="Акцент2 14 2" xfId="3027"/>
    <cellStyle name="Акцент2 15" xfId="3028"/>
    <cellStyle name="Акцент2 15 2" xfId="3029"/>
    <cellStyle name="Акцент2 16" xfId="3030"/>
    <cellStyle name="Акцент2 16 2" xfId="3031"/>
    <cellStyle name="Акцент2 17" xfId="3032"/>
    <cellStyle name="Акцент2 17 2" xfId="3033"/>
    <cellStyle name="Акцент2 18" xfId="3034"/>
    <cellStyle name="Акцент2 18 2" xfId="3035"/>
    <cellStyle name="Акцент2 19" xfId="3036"/>
    <cellStyle name="Акцент2 19 2" xfId="3037"/>
    <cellStyle name="Акцент2 2" xfId="1543"/>
    <cellStyle name="Акцент2 2 10" xfId="3038"/>
    <cellStyle name="Акцент2 2 10 2" xfId="3039"/>
    <cellStyle name="Акцент2 2 11" xfId="3040"/>
    <cellStyle name="Акцент2 2 11 2" xfId="3041"/>
    <cellStyle name="Акцент2 2 12" xfId="3042"/>
    <cellStyle name="Акцент2 2 12 2" xfId="3043"/>
    <cellStyle name="Акцент2 2 13" xfId="3044"/>
    <cellStyle name="Акцент2 2 13 2" xfId="3045"/>
    <cellStyle name="Акцент2 2 14" xfId="3046"/>
    <cellStyle name="Акцент2 2 14 2" xfId="3047"/>
    <cellStyle name="Акцент2 2 15" xfId="3048"/>
    <cellStyle name="Акцент2 2 15 2" xfId="3049"/>
    <cellStyle name="Акцент2 2 16" xfId="3050"/>
    <cellStyle name="Акцент2 2 16 2" xfId="3051"/>
    <cellStyle name="Акцент2 2 17" xfId="3052"/>
    <cellStyle name="Акцент2 2 17 2" xfId="3053"/>
    <cellStyle name="Акцент2 2 18" xfId="3054"/>
    <cellStyle name="Акцент2 2 2" xfId="3055"/>
    <cellStyle name="Акцент2 2 2 2" xfId="3056"/>
    <cellStyle name="Акцент2 2 3" xfId="3057"/>
    <cellStyle name="Акцент2 2 4" xfId="3058"/>
    <cellStyle name="Акцент2 2 4 2" xfId="3059"/>
    <cellStyle name="Акцент2 2 5" xfId="3060"/>
    <cellStyle name="Акцент2 2 5 2" xfId="3061"/>
    <cellStyle name="Акцент2 2 6" xfId="3062"/>
    <cellStyle name="Акцент2 2 6 2" xfId="3063"/>
    <cellStyle name="Акцент2 2 7" xfId="3064"/>
    <cellStyle name="Акцент2 2 7 2" xfId="3065"/>
    <cellStyle name="Акцент2 2 8" xfId="3066"/>
    <cellStyle name="Акцент2 2 8 2" xfId="3067"/>
    <cellStyle name="Акцент2 2 9" xfId="3068"/>
    <cellStyle name="Акцент2 2 9 2" xfId="3069"/>
    <cellStyle name="Акцент2 20" xfId="3070"/>
    <cellStyle name="Акцент2 20 2" xfId="3071"/>
    <cellStyle name="Акцент2 21" xfId="3072"/>
    <cellStyle name="Акцент2 3" xfId="3073"/>
    <cellStyle name="Акцент2 3 2" xfId="3074"/>
    <cellStyle name="Акцент2 4" xfId="3075"/>
    <cellStyle name="Акцент2 4 2" xfId="3076"/>
    <cellStyle name="Акцент2 5" xfId="3077"/>
    <cellStyle name="Акцент2 5 2" xfId="3078"/>
    <cellStyle name="Акцент2 6" xfId="3079"/>
    <cellStyle name="Акцент2 6 2" xfId="3080"/>
    <cellStyle name="Акцент2 7" xfId="3081"/>
    <cellStyle name="Акцент2 7 2" xfId="3082"/>
    <cellStyle name="Акцент2 8" xfId="3083"/>
    <cellStyle name="Акцент2 8 2" xfId="3084"/>
    <cellStyle name="Акцент2 9" xfId="3085"/>
    <cellStyle name="Акцент2 9 2" xfId="3086"/>
    <cellStyle name="Акцент3 10" xfId="3087"/>
    <cellStyle name="Акцент3 10 2" xfId="3088"/>
    <cellStyle name="Акцент3 11" xfId="3089"/>
    <cellStyle name="Акцент3 11 2" xfId="3090"/>
    <cellStyle name="Акцент3 12" xfId="3091"/>
    <cellStyle name="Акцент3 12 2" xfId="3092"/>
    <cellStyle name="Акцент3 13" xfId="3093"/>
    <cellStyle name="Акцент3 13 2" xfId="3094"/>
    <cellStyle name="Акцент3 14" xfId="3095"/>
    <cellStyle name="Акцент3 14 2" xfId="3096"/>
    <cellStyle name="Акцент3 15" xfId="3097"/>
    <cellStyle name="Акцент3 15 2" xfId="3098"/>
    <cellStyle name="Акцент3 16" xfId="3099"/>
    <cellStyle name="Акцент3 16 2" xfId="3100"/>
    <cellStyle name="Акцент3 17" xfId="3101"/>
    <cellStyle name="Акцент3 17 2" xfId="3102"/>
    <cellStyle name="Акцент3 18" xfId="3103"/>
    <cellStyle name="Акцент3 18 2" xfId="3104"/>
    <cellStyle name="Акцент3 19" xfId="3105"/>
    <cellStyle name="Акцент3 19 2" xfId="3106"/>
    <cellStyle name="Акцент3 2" xfId="1544"/>
    <cellStyle name="Акцент3 2 10" xfId="3107"/>
    <cellStyle name="Акцент3 2 10 2" xfId="3108"/>
    <cellStyle name="Акцент3 2 11" xfId="3109"/>
    <cellStyle name="Акцент3 2 11 2" xfId="3110"/>
    <cellStyle name="Акцент3 2 12" xfId="3111"/>
    <cellStyle name="Акцент3 2 12 2" xfId="3112"/>
    <cellStyle name="Акцент3 2 13" xfId="3113"/>
    <cellStyle name="Акцент3 2 13 2" xfId="3114"/>
    <cellStyle name="Акцент3 2 14" xfId="3115"/>
    <cellStyle name="Акцент3 2 14 2" xfId="3116"/>
    <cellStyle name="Акцент3 2 15" xfId="3117"/>
    <cellStyle name="Акцент3 2 15 2" xfId="3118"/>
    <cellStyle name="Акцент3 2 16" xfId="3119"/>
    <cellStyle name="Акцент3 2 16 2" xfId="3120"/>
    <cellStyle name="Акцент3 2 17" xfId="3121"/>
    <cellStyle name="Акцент3 2 17 2" xfId="3122"/>
    <cellStyle name="Акцент3 2 18" xfId="3123"/>
    <cellStyle name="Акцент3 2 2" xfId="3124"/>
    <cellStyle name="Акцент3 2 2 2" xfId="3125"/>
    <cellStyle name="Акцент3 2 3" xfId="3126"/>
    <cellStyle name="Акцент3 2 4" xfId="3127"/>
    <cellStyle name="Акцент3 2 4 2" xfId="3128"/>
    <cellStyle name="Акцент3 2 5" xfId="3129"/>
    <cellStyle name="Акцент3 2 5 2" xfId="3130"/>
    <cellStyle name="Акцент3 2 6" xfId="3131"/>
    <cellStyle name="Акцент3 2 6 2" xfId="3132"/>
    <cellStyle name="Акцент3 2 7" xfId="3133"/>
    <cellStyle name="Акцент3 2 7 2" xfId="3134"/>
    <cellStyle name="Акцент3 2 8" xfId="3135"/>
    <cellStyle name="Акцент3 2 8 2" xfId="3136"/>
    <cellStyle name="Акцент3 2 9" xfId="3137"/>
    <cellStyle name="Акцент3 2 9 2" xfId="3138"/>
    <cellStyle name="Акцент3 20" xfId="3139"/>
    <cellStyle name="Акцент3 20 2" xfId="3140"/>
    <cellStyle name="Акцент3 21" xfId="3141"/>
    <cellStyle name="Акцент3 3" xfId="3142"/>
    <cellStyle name="Акцент3 3 2" xfId="3143"/>
    <cellStyle name="Акцент3 4" xfId="3144"/>
    <cellStyle name="Акцент3 4 2" xfId="3145"/>
    <cellStyle name="Акцент3 5" xfId="3146"/>
    <cellStyle name="Акцент3 5 2" xfId="3147"/>
    <cellStyle name="Акцент3 6" xfId="3148"/>
    <cellStyle name="Акцент3 6 2" xfId="3149"/>
    <cellStyle name="Акцент3 7" xfId="3150"/>
    <cellStyle name="Акцент3 7 2" xfId="3151"/>
    <cellStyle name="Акцент3 8" xfId="3152"/>
    <cellStyle name="Акцент3 8 2" xfId="3153"/>
    <cellStyle name="Акцент3 9" xfId="3154"/>
    <cellStyle name="Акцент3 9 2" xfId="3155"/>
    <cellStyle name="Акцент4 10" xfId="3156"/>
    <cellStyle name="Акцент4 10 2" xfId="3157"/>
    <cellStyle name="Акцент4 11" xfId="3158"/>
    <cellStyle name="Акцент4 11 2" xfId="3159"/>
    <cellStyle name="Акцент4 12" xfId="3160"/>
    <cellStyle name="Акцент4 12 2" xfId="3161"/>
    <cellStyle name="Акцент4 13" xfId="3162"/>
    <cellStyle name="Акцент4 13 2" xfId="3163"/>
    <cellStyle name="Акцент4 14" xfId="3164"/>
    <cellStyle name="Акцент4 14 2" xfId="3165"/>
    <cellStyle name="Акцент4 15" xfId="3166"/>
    <cellStyle name="Акцент4 15 2" xfId="3167"/>
    <cellStyle name="Акцент4 16" xfId="3168"/>
    <cellStyle name="Акцент4 16 2" xfId="3169"/>
    <cellStyle name="Акцент4 17" xfId="3170"/>
    <cellStyle name="Акцент4 17 2" xfId="3171"/>
    <cellStyle name="Акцент4 18" xfId="3172"/>
    <cellStyle name="Акцент4 18 2" xfId="3173"/>
    <cellStyle name="Акцент4 19" xfId="3174"/>
    <cellStyle name="Акцент4 19 2" xfId="3175"/>
    <cellStyle name="Акцент4 2" xfId="1545"/>
    <cellStyle name="Акцент4 2 10" xfId="3176"/>
    <cellStyle name="Акцент4 2 10 2" xfId="3177"/>
    <cellStyle name="Акцент4 2 11" xfId="3178"/>
    <cellStyle name="Акцент4 2 11 2" xfId="3179"/>
    <cellStyle name="Акцент4 2 12" xfId="3180"/>
    <cellStyle name="Акцент4 2 12 2" xfId="3181"/>
    <cellStyle name="Акцент4 2 13" xfId="3182"/>
    <cellStyle name="Акцент4 2 13 2" xfId="3183"/>
    <cellStyle name="Акцент4 2 14" xfId="3184"/>
    <cellStyle name="Акцент4 2 14 2" xfId="3185"/>
    <cellStyle name="Акцент4 2 15" xfId="3186"/>
    <cellStyle name="Акцент4 2 15 2" xfId="3187"/>
    <cellStyle name="Акцент4 2 16" xfId="3188"/>
    <cellStyle name="Акцент4 2 16 2" xfId="3189"/>
    <cellStyle name="Акцент4 2 17" xfId="3190"/>
    <cellStyle name="Акцент4 2 17 2" xfId="3191"/>
    <cellStyle name="Акцент4 2 18" xfId="3192"/>
    <cellStyle name="Акцент4 2 19" xfId="3193"/>
    <cellStyle name="Акцент4 2 2" xfId="3194"/>
    <cellStyle name="Акцент4 2 2 2" xfId="3195"/>
    <cellStyle name="Акцент4 2 3" xfId="3196"/>
    <cellStyle name="Акцент4 2 4" xfId="3197"/>
    <cellStyle name="Акцент4 2 4 2" xfId="3198"/>
    <cellStyle name="Акцент4 2 5" xfId="3199"/>
    <cellStyle name="Акцент4 2 5 2" xfId="3200"/>
    <cellStyle name="Акцент4 2 6" xfId="3201"/>
    <cellStyle name="Акцент4 2 6 2" xfId="3202"/>
    <cellStyle name="Акцент4 2 7" xfId="3203"/>
    <cellStyle name="Акцент4 2 7 2" xfId="3204"/>
    <cellStyle name="Акцент4 2 8" xfId="3205"/>
    <cellStyle name="Акцент4 2 8 2" xfId="3206"/>
    <cellStyle name="Акцент4 2 9" xfId="3207"/>
    <cellStyle name="Акцент4 2 9 2" xfId="3208"/>
    <cellStyle name="Акцент4 20" xfId="3209"/>
    <cellStyle name="Акцент4 20 2" xfId="3210"/>
    <cellStyle name="Акцент4 21" xfId="3211"/>
    <cellStyle name="Акцент4 3" xfId="3212"/>
    <cellStyle name="Акцент4 3 2" xfId="3213"/>
    <cellStyle name="Акцент4 4" xfId="3214"/>
    <cellStyle name="Акцент4 4 2" xfId="3215"/>
    <cellStyle name="Акцент4 5" xfId="3216"/>
    <cellStyle name="Акцент4 5 2" xfId="3217"/>
    <cellStyle name="Акцент4 6" xfId="3218"/>
    <cellStyle name="Акцент4 6 2" xfId="3219"/>
    <cellStyle name="Акцент4 7" xfId="3220"/>
    <cellStyle name="Акцент4 7 2" xfId="3221"/>
    <cellStyle name="Акцент4 8" xfId="3222"/>
    <cellStyle name="Акцент4 8 2" xfId="3223"/>
    <cellStyle name="Акцент4 9" xfId="3224"/>
    <cellStyle name="Акцент4 9 2" xfId="3225"/>
    <cellStyle name="Акцент5 10" xfId="3226"/>
    <cellStyle name="Акцент5 10 2" xfId="3227"/>
    <cellStyle name="Акцент5 11" xfId="3228"/>
    <cellStyle name="Акцент5 11 2" xfId="3229"/>
    <cellStyle name="Акцент5 12" xfId="3230"/>
    <cellStyle name="Акцент5 12 2" xfId="3231"/>
    <cellStyle name="Акцент5 13" xfId="3232"/>
    <cellStyle name="Акцент5 13 2" xfId="3233"/>
    <cellStyle name="Акцент5 14" xfId="3234"/>
    <cellStyle name="Акцент5 14 2" xfId="3235"/>
    <cellStyle name="Акцент5 15" xfId="3236"/>
    <cellStyle name="Акцент5 15 2" xfId="3237"/>
    <cellStyle name="Акцент5 16" xfId="3238"/>
    <cellStyle name="Акцент5 16 2" xfId="3239"/>
    <cellStyle name="Акцент5 17" xfId="3240"/>
    <cellStyle name="Акцент5 17 2" xfId="3241"/>
    <cellStyle name="Акцент5 18" xfId="3242"/>
    <cellStyle name="Акцент5 18 2" xfId="3243"/>
    <cellStyle name="Акцент5 19" xfId="3244"/>
    <cellStyle name="Акцент5 19 2" xfId="3245"/>
    <cellStyle name="Акцент5 2" xfId="1546"/>
    <cellStyle name="Акцент5 2 10" xfId="3246"/>
    <cellStyle name="Акцент5 2 10 2" xfId="3247"/>
    <cellStyle name="Акцент5 2 11" xfId="3248"/>
    <cellStyle name="Акцент5 2 11 2" xfId="3249"/>
    <cellStyle name="Акцент5 2 12" xfId="3250"/>
    <cellStyle name="Акцент5 2 12 2" xfId="3251"/>
    <cellStyle name="Акцент5 2 13" xfId="3252"/>
    <cellStyle name="Акцент5 2 13 2" xfId="3253"/>
    <cellStyle name="Акцент5 2 14" xfId="3254"/>
    <cellStyle name="Акцент5 2 14 2" xfId="3255"/>
    <cellStyle name="Акцент5 2 15" xfId="3256"/>
    <cellStyle name="Акцент5 2 15 2" xfId="3257"/>
    <cellStyle name="Акцент5 2 16" xfId="3258"/>
    <cellStyle name="Акцент5 2 16 2" xfId="3259"/>
    <cellStyle name="Акцент5 2 17" xfId="3260"/>
    <cellStyle name="Акцент5 2 17 2" xfId="3261"/>
    <cellStyle name="Акцент5 2 18" xfId="3262"/>
    <cellStyle name="Акцент5 2 2" xfId="3263"/>
    <cellStyle name="Акцент5 2 2 2" xfId="3264"/>
    <cellStyle name="Акцент5 2 3" xfId="3265"/>
    <cellStyle name="Акцент5 2 4" xfId="3266"/>
    <cellStyle name="Акцент5 2 4 2" xfId="3267"/>
    <cellStyle name="Акцент5 2 5" xfId="3268"/>
    <cellStyle name="Акцент5 2 5 2" xfId="3269"/>
    <cellStyle name="Акцент5 2 6" xfId="3270"/>
    <cellStyle name="Акцент5 2 6 2" xfId="3271"/>
    <cellStyle name="Акцент5 2 7" xfId="3272"/>
    <cellStyle name="Акцент5 2 7 2" xfId="3273"/>
    <cellStyle name="Акцент5 2 8" xfId="3274"/>
    <cellStyle name="Акцент5 2 8 2" xfId="3275"/>
    <cellStyle name="Акцент5 2 9" xfId="3276"/>
    <cellStyle name="Акцент5 2 9 2" xfId="3277"/>
    <cellStyle name="Акцент5 20" xfId="3278"/>
    <cellStyle name="Акцент5 20 2" xfId="3279"/>
    <cellStyle name="Акцент5 21" xfId="3280"/>
    <cellStyle name="Акцент5 3" xfId="3281"/>
    <cellStyle name="Акцент5 3 2" xfId="3282"/>
    <cellStyle name="Акцент5 4" xfId="3283"/>
    <cellStyle name="Акцент5 4 2" xfId="3284"/>
    <cellStyle name="Акцент5 5" xfId="3285"/>
    <cellStyle name="Акцент5 5 2" xfId="3286"/>
    <cellStyle name="Акцент5 6" xfId="3287"/>
    <cellStyle name="Акцент5 6 2" xfId="3288"/>
    <cellStyle name="Акцент5 7" xfId="3289"/>
    <cellStyle name="Акцент5 7 2" xfId="3290"/>
    <cellStyle name="Акцент5 8" xfId="3291"/>
    <cellStyle name="Акцент5 8 2" xfId="3292"/>
    <cellStyle name="Акцент5 9" xfId="3293"/>
    <cellStyle name="Акцент5 9 2" xfId="3294"/>
    <cellStyle name="Акцент6 10" xfId="3295"/>
    <cellStyle name="Акцент6 10 2" xfId="3296"/>
    <cellStyle name="Акцент6 11" xfId="3297"/>
    <cellStyle name="Акцент6 11 2" xfId="3298"/>
    <cellStyle name="Акцент6 12" xfId="3299"/>
    <cellStyle name="Акцент6 12 2" xfId="3300"/>
    <cellStyle name="Акцент6 13" xfId="3301"/>
    <cellStyle name="Акцент6 13 2" xfId="3302"/>
    <cellStyle name="Акцент6 14" xfId="3303"/>
    <cellStyle name="Акцент6 14 2" xfId="3304"/>
    <cellStyle name="Акцент6 15" xfId="3305"/>
    <cellStyle name="Акцент6 15 2" xfId="3306"/>
    <cellStyle name="Акцент6 16" xfId="3307"/>
    <cellStyle name="Акцент6 16 2" xfId="3308"/>
    <cellStyle name="Акцент6 17" xfId="3309"/>
    <cellStyle name="Акцент6 17 2" xfId="3310"/>
    <cellStyle name="Акцент6 18" xfId="3311"/>
    <cellStyle name="Акцент6 18 2" xfId="3312"/>
    <cellStyle name="Акцент6 19" xfId="3313"/>
    <cellStyle name="Акцент6 19 2" xfId="3314"/>
    <cellStyle name="Акцент6 2" xfId="1547"/>
    <cellStyle name="Акцент6 2 10" xfId="3315"/>
    <cellStyle name="Акцент6 2 10 2" xfId="3316"/>
    <cellStyle name="Акцент6 2 11" xfId="3317"/>
    <cellStyle name="Акцент6 2 11 2" xfId="3318"/>
    <cellStyle name="Акцент6 2 12" xfId="3319"/>
    <cellStyle name="Акцент6 2 12 2" xfId="3320"/>
    <cellStyle name="Акцент6 2 13" xfId="3321"/>
    <cellStyle name="Акцент6 2 13 2" xfId="3322"/>
    <cellStyle name="Акцент6 2 14" xfId="3323"/>
    <cellStyle name="Акцент6 2 14 2" xfId="3324"/>
    <cellStyle name="Акцент6 2 15" xfId="3325"/>
    <cellStyle name="Акцент6 2 15 2" xfId="3326"/>
    <cellStyle name="Акцент6 2 16" xfId="3327"/>
    <cellStyle name="Акцент6 2 16 2" xfId="3328"/>
    <cellStyle name="Акцент6 2 17" xfId="3329"/>
    <cellStyle name="Акцент6 2 17 2" xfId="3330"/>
    <cellStyle name="Акцент6 2 18" xfId="3331"/>
    <cellStyle name="Акцент6 2 2" xfId="3332"/>
    <cellStyle name="Акцент6 2 2 2" xfId="3333"/>
    <cellStyle name="Акцент6 2 3" xfId="3334"/>
    <cellStyle name="Акцент6 2 4" xfId="3335"/>
    <cellStyle name="Акцент6 2 4 2" xfId="3336"/>
    <cellStyle name="Акцент6 2 5" xfId="3337"/>
    <cellStyle name="Акцент6 2 5 2" xfId="3338"/>
    <cellStyle name="Акцент6 2 6" xfId="3339"/>
    <cellStyle name="Акцент6 2 6 2" xfId="3340"/>
    <cellStyle name="Акцент6 2 7" xfId="3341"/>
    <cellStyle name="Акцент6 2 7 2" xfId="3342"/>
    <cellStyle name="Акцент6 2 8" xfId="3343"/>
    <cellStyle name="Акцент6 2 8 2" xfId="3344"/>
    <cellStyle name="Акцент6 2 9" xfId="3345"/>
    <cellStyle name="Акцент6 2 9 2" xfId="3346"/>
    <cellStyle name="Акцент6 20" xfId="3347"/>
    <cellStyle name="Акцент6 20 2" xfId="3348"/>
    <cellStyle name="Акцент6 21" xfId="3349"/>
    <cellStyle name="Акцент6 3" xfId="3350"/>
    <cellStyle name="Акцент6 3 2" xfId="3351"/>
    <cellStyle name="Акцент6 4" xfId="3352"/>
    <cellStyle name="Акцент6 4 2" xfId="3353"/>
    <cellStyle name="Акцент6 5" xfId="3354"/>
    <cellStyle name="Акцент6 5 2" xfId="3355"/>
    <cellStyle name="Акцент6 6" xfId="3356"/>
    <cellStyle name="Акцент6 6 2" xfId="3357"/>
    <cellStyle name="Акцент6 7" xfId="3358"/>
    <cellStyle name="Акцент6 7 2" xfId="3359"/>
    <cellStyle name="Акцент6 8" xfId="3360"/>
    <cellStyle name="Акцент6 8 2" xfId="3361"/>
    <cellStyle name="Акцент6 9" xfId="3362"/>
    <cellStyle name="Акцент6 9 2" xfId="3363"/>
    <cellStyle name="Ввод  10" xfId="3364"/>
    <cellStyle name="Ввод  10 2" xfId="3365"/>
    <cellStyle name="Ввод  10 2 2" xfId="6094"/>
    <cellStyle name="Ввод  10 2 2 2" xfId="12065"/>
    <cellStyle name="Ввод  10 2 2 3" xfId="10620"/>
    <cellStyle name="Ввод  10 2 2 4" xfId="11432"/>
    <cellStyle name="Ввод  10 2 3" xfId="6965"/>
    <cellStyle name="Ввод  10 2 3 2" xfId="12694"/>
    <cellStyle name="Ввод  10 2 3 3" xfId="10223"/>
    <cellStyle name="Ввод  10 2 3 4" xfId="10634"/>
    <cellStyle name="Ввод  10 2 4" xfId="11025"/>
    <cellStyle name="Ввод  10 2 5" xfId="9681"/>
    <cellStyle name="Ввод  10 2 6" xfId="10661"/>
    <cellStyle name="Ввод  10 3" xfId="6093"/>
    <cellStyle name="Ввод  10 3 2" xfId="12064"/>
    <cellStyle name="Ввод  10 3 3" xfId="10621"/>
    <cellStyle name="Ввод  10 3 4" xfId="11431"/>
    <cellStyle name="Ввод  10 4" xfId="6964"/>
    <cellStyle name="Ввод  10 4 2" xfId="12693"/>
    <cellStyle name="Ввод  10 4 3" xfId="10224"/>
    <cellStyle name="Ввод  10 4 4" xfId="9853"/>
    <cellStyle name="Ввод  10 5" xfId="11024"/>
    <cellStyle name="Ввод  10 6" xfId="9682"/>
    <cellStyle name="Ввод  10 7" xfId="10660"/>
    <cellStyle name="Ввод  11" xfId="3366"/>
    <cellStyle name="Ввод  11 2" xfId="3367"/>
    <cellStyle name="Ввод  11 2 2" xfId="6096"/>
    <cellStyle name="Ввод  11 2 2 2" xfId="12067"/>
    <cellStyle name="Ввод  11 2 2 3" xfId="10618"/>
    <cellStyle name="Ввод  11 2 2 4" xfId="11434"/>
    <cellStyle name="Ввод  11 2 3" xfId="6967"/>
    <cellStyle name="Ввод  11 2 3 2" xfId="12696"/>
    <cellStyle name="Ввод  11 2 3 3" xfId="10221"/>
    <cellStyle name="Ввод  11 2 3 4" xfId="11636"/>
    <cellStyle name="Ввод  11 2 4" xfId="11027"/>
    <cellStyle name="Ввод  11 2 5" xfId="9679"/>
    <cellStyle name="Ввод  11 2 6" xfId="10663"/>
    <cellStyle name="Ввод  11 3" xfId="6095"/>
    <cellStyle name="Ввод  11 3 2" xfId="12066"/>
    <cellStyle name="Ввод  11 3 3" xfId="10619"/>
    <cellStyle name="Ввод  11 3 4" xfId="11433"/>
    <cellStyle name="Ввод  11 4" xfId="6966"/>
    <cellStyle name="Ввод  11 4 2" xfId="12695"/>
    <cellStyle name="Ввод  11 4 3" xfId="10222"/>
    <cellStyle name="Ввод  11 4 4" xfId="12532"/>
    <cellStyle name="Ввод  11 5" xfId="11026"/>
    <cellStyle name="Ввод  11 6" xfId="9680"/>
    <cellStyle name="Ввод  11 7" xfId="10662"/>
    <cellStyle name="Ввод  12" xfId="3368"/>
    <cellStyle name="Ввод  12 2" xfId="3369"/>
    <cellStyle name="Ввод  12 2 2" xfId="6098"/>
    <cellStyle name="Ввод  12 2 2 2" xfId="12069"/>
    <cellStyle name="Ввод  12 2 2 3" xfId="10616"/>
    <cellStyle name="Ввод  12 2 2 4" xfId="12008"/>
    <cellStyle name="Ввод  12 2 3" xfId="6969"/>
    <cellStyle name="Ввод  12 2 3 2" xfId="12698"/>
    <cellStyle name="Ввод  12 2 3 3" xfId="10219"/>
    <cellStyle name="Ввод  12 2 3 4" xfId="11638"/>
    <cellStyle name="Ввод  12 2 4" xfId="11029"/>
    <cellStyle name="Ввод  12 2 5" xfId="11890"/>
    <cellStyle name="Ввод  12 2 6" xfId="10664"/>
    <cellStyle name="Ввод  12 3" xfId="6097"/>
    <cellStyle name="Ввод  12 3 2" xfId="12068"/>
    <cellStyle name="Ввод  12 3 3" xfId="10617"/>
    <cellStyle name="Ввод  12 3 4" xfId="11435"/>
    <cellStyle name="Ввод  12 4" xfId="6968"/>
    <cellStyle name="Ввод  12 4 2" xfId="12697"/>
    <cellStyle name="Ввод  12 4 3" xfId="10220"/>
    <cellStyle name="Ввод  12 4 4" xfId="11637"/>
    <cellStyle name="Ввод  12 5" xfId="11028"/>
    <cellStyle name="Ввод  12 6" xfId="9678"/>
    <cellStyle name="Ввод  12 7" xfId="13047"/>
    <cellStyle name="Ввод  13" xfId="3370"/>
    <cellStyle name="Ввод  13 2" xfId="3371"/>
    <cellStyle name="Ввод  13 2 2" xfId="6100"/>
    <cellStyle name="Ввод  13 2 2 2" xfId="12071"/>
    <cellStyle name="Ввод  13 2 2 3" xfId="10614"/>
    <cellStyle name="Ввод  13 2 2 4" xfId="11436"/>
    <cellStyle name="Ввод  13 2 3" xfId="6971"/>
    <cellStyle name="Ввод  13 2 3 2" xfId="12700"/>
    <cellStyle name="Ввод  13 2 3 3" xfId="10217"/>
    <cellStyle name="Ввод  13 2 3 4" xfId="11663"/>
    <cellStyle name="Ввод  13 2 4" xfId="11031"/>
    <cellStyle name="Ввод  13 2 5" xfId="11888"/>
    <cellStyle name="Ввод  13 2 6" xfId="13046"/>
    <cellStyle name="Ввод  13 3" xfId="6099"/>
    <cellStyle name="Ввод  13 3 2" xfId="12070"/>
    <cellStyle name="Ввод  13 3 3" xfId="10615"/>
    <cellStyle name="Ввод  13 3 4" xfId="11447"/>
    <cellStyle name="Ввод  13 4" xfId="6970"/>
    <cellStyle name="Ввод  13 4 2" xfId="12699"/>
    <cellStyle name="Ввод  13 4 3" xfId="10218"/>
    <cellStyle name="Ввод  13 4 4" xfId="9533"/>
    <cellStyle name="Ввод  13 5" xfId="11030"/>
    <cellStyle name="Ввод  13 6" xfId="11889"/>
    <cellStyle name="Ввод  13 7" xfId="13043"/>
    <cellStyle name="Ввод  14" xfId="3372"/>
    <cellStyle name="Ввод  14 2" xfId="3373"/>
    <cellStyle name="Ввод  14 2 2" xfId="6102"/>
    <cellStyle name="Ввод  14 2 2 2" xfId="12073"/>
    <cellStyle name="Ввод  14 2 2 3" xfId="10612"/>
    <cellStyle name="Ввод  14 2 2 4" xfId="11438"/>
    <cellStyle name="Ввод  14 2 3" xfId="6973"/>
    <cellStyle name="Ввод  14 2 3 2" xfId="12702"/>
    <cellStyle name="Ввод  14 2 3 3" xfId="10215"/>
    <cellStyle name="Ввод  14 2 3 4" xfId="11640"/>
    <cellStyle name="Ввод  14 2 4" xfId="11033"/>
    <cellStyle name="Ввод  14 2 5" xfId="13411"/>
    <cellStyle name="Ввод  14 2 6" xfId="13045"/>
    <cellStyle name="Ввод  14 3" xfId="6101"/>
    <cellStyle name="Ввод  14 3 2" xfId="12072"/>
    <cellStyle name="Ввод  14 3 3" xfId="10613"/>
    <cellStyle name="Ввод  14 3 4" xfId="11437"/>
    <cellStyle name="Ввод  14 4" xfId="6972"/>
    <cellStyle name="Ввод  14 4 2" xfId="12701"/>
    <cellStyle name="Ввод  14 4 3" xfId="10216"/>
    <cellStyle name="Ввод  14 4 4" xfId="11639"/>
    <cellStyle name="Ввод  14 5" xfId="11032"/>
    <cellStyle name="Ввод  14 6" xfId="13345"/>
    <cellStyle name="Ввод  14 7" xfId="13044"/>
    <cellStyle name="Ввод  15" xfId="3374"/>
    <cellStyle name="Ввод  15 2" xfId="3375"/>
    <cellStyle name="Ввод  15 2 2" xfId="6104"/>
    <cellStyle name="Ввод  15 2 2 2" xfId="12075"/>
    <cellStyle name="Ввод  15 2 2 3" xfId="10610"/>
    <cellStyle name="Ввод  15 2 2 4" xfId="11440"/>
    <cellStyle name="Ввод  15 2 3" xfId="6975"/>
    <cellStyle name="Ввод  15 2 3 2" xfId="12704"/>
    <cellStyle name="Ввод  15 2 3 3" xfId="10213"/>
    <cellStyle name="Ввод  15 2 3 4" xfId="11642"/>
    <cellStyle name="Ввод  15 2 4" xfId="11035"/>
    <cellStyle name="Ввод  15 2 5" xfId="13389"/>
    <cellStyle name="Ввод  15 2 6" xfId="13048"/>
    <cellStyle name="Ввод  15 3" xfId="6103"/>
    <cellStyle name="Ввод  15 3 2" xfId="12074"/>
    <cellStyle name="Ввод  15 3 3" xfId="10611"/>
    <cellStyle name="Ввод  15 3 4" xfId="11439"/>
    <cellStyle name="Ввод  15 4" xfId="6974"/>
    <cellStyle name="Ввод  15 4 2" xfId="12703"/>
    <cellStyle name="Ввод  15 4 3" xfId="10214"/>
    <cellStyle name="Ввод  15 4 4" xfId="11641"/>
    <cellStyle name="Ввод  15 5" xfId="11034"/>
    <cellStyle name="Ввод  15 6" xfId="13326"/>
    <cellStyle name="Ввод  15 7" xfId="13049"/>
    <cellStyle name="Ввод  16" xfId="3376"/>
    <cellStyle name="Ввод  16 2" xfId="3377"/>
    <cellStyle name="Ввод  16 2 2" xfId="6106"/>
    <cellStyle name="Ввод  16 2 2 2" xfId="12077"/>
    <cellStyle name="Ввод  16 2 2 3" xfId="10608"/>
    <cellStyle name="Ввод  16 2 2 4" xfId="11969"/>
    <cellStyle name="Ввод  16 2 3" xfId="6977"/>
    <cellStyle name="Ввод  16 2 3 2" xfId="12706"/>
    <cellStyle name="Ввод  16 2 3 3" xfId="10211"/>
    <cellStyle name="Ввод  16 2 3 4" xfId="11644"/>
    <cellStyle name="Ввод  16 2 4" xfId="11037"/>
    <cellStyle name="Ввод  16 2 5" xfId="13369"/>
    <cellStyle name="Ввод  16 2 6" xfId="13051"/>
    <cellStyle name="Ввод  16 3" xfId="6105"/>
    <cellStyle name="Ввод  16 3 2" xfId="12076"/>
    <cellStyle name="Ввод  16 3 3" xfId="10609"/>
    <cellStyle name="Ввод  16 3 4" xfId="11441"/>
    <cellStyle name="Ввод  16 4" xfId="6976"/>
    <cellStyle name="Ввод  16 4 2" xfId="12705"/>
    <cellStyle name="Ввод  16 4 3" xfId="10212"/>
    <cellStyle name="Ввод  16 4 4" xfId="11643"/>
    <cellStyle name="Ввод  16 5" xfId="11036"/>
    <cellStyle name="Ввод  16 6" xfId="13303"/>
    <cellStyle name="Ввод  16 7" xfId="13050"/>
    <cellStyle name="Ввод  17" xfId="3378"/>
    <cellStyle name="Ввод  17 2" xfId="3379"/>
    <cellStyle name="Ввод  17 2 2" xfId="6108"/>
    <cellStyle name="Ввод  17 2 2 2" xfId="12079"/>
    <cellStyle name="Ввод  17 2 2 3" xfId="10606"/>
    <cellStyle name="Ввод  17 2 2 4" xfId="11443"/>
    <cellStyle name="Ввод  17 2 3" xfId="6979"/>
    <cellStyle name="Ввод  17 2 3 2" xfId="12708"/>
    <cellStyle name="Ввод  17 2 3 3" xfId="10209"/>
    <cellStyle name="Ввод  17 2 3 4" xfId="11646"/>
    <cellStyle name="Ввод  17 2 4" xfId="11039"/>
    <cellStyle name="Ввод  17 2 5" xfId="13258"/>
    <cellStyle name="Ввод  17 2 6" xfId="13676"/>
    <cellStyle name="Ввод  17 3" xfId="6107"/>
    <cellStyle name="Ввод  17 3 2" xfId="12078"/>
    <cellStyle name="Ввод  17 3 3" xfId="10607"/>
    <cellStyle name="Ввод  17 3 4" xfId="11442"/>
    <cellStyle name="Ввод  17 4" xfId="6978"/>
    <cellStyle name="Ввод  17 4 2" xfId="12707"/>
    <cellStyle name="Ввод  17 4 3" xfId="10210"/>
    <cellStyle name="Ввод  17 4 4" xfId="11645"/>
    <cellStyle name="Ввод  17 5" xfId="11038"/>
    <cellStyle name="Ввод  17 6" xfId="13282"/>
    <cellStyle name="Ввод  17 7" xfId="13052"/>
    <cellStyle name="Ввод  18" xfId="3380"/>
    <cellStyle name="Ввод  18 2" xfId="3381"/>
    <cellStyle name="Ввод  18 2 2" xfId="6110"/>
    <cellStyle name="Ввод  18 2 2 2" xfId="12081"/>
    <cellStyle name="Ввод  18 2 2 3" xfId="10604"/>
    <cellStyle name="Ввод  18 2 2 4" xfId="11444"/>
    <cellStyle name="Ввод  18 2 3" xfId="6981"/>
    <cellStyle name="Ввод  18 2 3 2" xfId="12710"/>
    <cellStyle name="Ввод  18 2 3 3" xfId="10207"/>
    <cellStyle name="Ввод  18 2 3 4" xfId="11648"/>
    <cellStyle name="Ввод  18 2 4" xfId="11041"/>
    <cellStyle name="Ввод  18 2 5" xfId="13405"/>
    <cellStyle name="Ввод  18 2 6" xfId="13054"/>
    <cellStyle name="Ввод  18 3" xfId="6109"/>
    <cellStyle name="Ввод  18 3 2" xfId="12080"/>
    <cellStyle name="Ввод  18 3 3" xfId="10605"/>
    <cellStyle name="Ввод  18 3 4" xfId="9871"/>
    <cellStyle name="Ввод  18 4" xfId="6980"/>
    <cellStyle name="Ввод  18 4 2" xfId="12709"/>
    <cellStyle name="Ввод  18 4 3" xfId="10208"/>
    <cellStyle name="Ввод  18 4 4" xfId="11647"/>
    <cellStyle name="Ввод  18 5" xfId="11040"/>
    <cellStyle name="Ввод  18 6" xfId="13340"/>
    <cellStyle name="Ввод  18 7" xfId="13053"/>
    <cellStyle name="Ввод  19" xfId="3382"/>
    <cellStyle name="Ввод  19 2" xfId="3383"/>
    <cellStyle name="Ввод  19 2 2" xfId="6112"/>
    <cellStyle name="Ввод  19 2 2 2" xfId="12083"/>
    <cellStyle name="Ввод  19 2 2 3" xfId="10602"/>
    <cellStyle name="Ввод  19 2 2 4" xfId="11446"/>
    <cellStyle name="Ввод  19 2 3" xfId="6983"/>
    <cellStyle name="Ввод  19 2 3 2" xfId="12712"/>
    <cellStyle name="Ввод  19 2 3 3" xfId="10205"/>
    <cellStyle name="Ввод  19 2 3 4" xfId="11650"/>
    <cellStyle name="Ввод  19 2 4" xfId="11043"/>
    <cellStyle name="Ввод  19 2 5" xfId="13383"/>
    <cellStyle name="Ввод  19 2 6" xfId="10665"/>
    <cellStyle name="Ввод  19 3" xfId="6111"/>
    <cellStyle name="Ввод  19 3 2" xfId="12082"/>
    <cellStyle name="Ввод  19 3 3" xfId="10603"/>
    <cellStyle name="Ввод  19 3 4" xfId="11445"/>
    <cellStyle name="Ввод  19 4" xfId="6982"/>
    <cellStyle name="Ввод  19 4 2" xfId="12711"/>
    <cellStyle name="Ввод  19 4 3" xfId="10206"/>
    <cellStyle name="Ввод  19 4 4" xfId="11649"/>
    <cellStyle name="Ввод  19 5" xfId="11042"/>
    <cellStyle name="Ввод  19 6" xfId="13319"/>
    <cellStyle name="Ввод  19 7" xfId="13055"/>
    <cellStyle name="Ввод  2" xfId="1548"/>
    <cellStyle name="Ввод  2 10" xfId="3384"/>
    <cellStyle name="Ввод  2 10 2" xfId="3385"/>
    <cellStyle name="Ввод  2 10 2 2" xfId="6114"/>
    <cellStyle name="Ввод  2 10 2 2 2" xfId="12085"/>
    <cellStyle name="Ввод  2 10 2 2 3" xfId="10600"/>
    <cellStyle name="Ввод  2 10 2 2 4" xfId="11459"/>
    <cellStyle name="Ввод  2 10 2 3" xfId="6985"/>
    <cellStyle name="Ввод  2 10 2 3 2" xfId="12714"/>
    <cellStyle name="Ввод  2 10 2 3 3" xfId="10203"/>
    <cellStyle name="Ввод  2 10 2 3 4" xfId="9868"/>
    <cellStyle name="Ввод  2 10 2 4" xfId="11045"/>
    <cellStyle name="Ввод  2 10 2 5" xfId="13363"/>
    <cellStyle name="Ввод  2 10 2 6" xfId="11403"/>
    <cellStyle name="Ввод  2 10 3" xfId="6113"/>
    <cellStyle name="Ввод  2 10 3 2" xfId="12084"/>
    <cellStyle name="Ввод  2 10 3 3" xfId="10601"/>
    <cellStyle name="Ввод  2 10 3 4" xfId="12014"/>
    <cellStyle name="Ввод  2 10 4" xfId="6984"/>
    <cellStyle name="Ввод  2 10 4 2" xfId="12713"/>
    <cellStyle name="Ввод  2 10 4 3" xfId="10204"/>
    <cellStyle name="Ввод  2 10 4 4" xfId="11651"/>
    <cellStyle name="Ввод  2 10 5" xfId="11044"/>
    <cellStyle name="Ввод  2 10 6" xfId="13297"/>
    <cellStyle name="Ввод  2 10 7" xfId="11402"/>
    <cellStyle name="Ввод  2 11" xfId="3386"/>
    <cellStyle name="Ввод  2 11 2" xfId="3387"/>
    <cellStyle name="Ввод  2 11 2 2" xfId="6116"/>
    <cellStyle name="Ввод  2 11 2 2 2" xfId="12087"/>
    <cellStyle name="Ввод  2 11 2 2 3" xfId="10598"/>
    <cellStyle name="Ввод  2 11 2 2 4" xfId="11449"/>
    <cellStyle name="Ввод  2 11 2 3" xfId="6987"/>
    <cellStyle name="Ввод  2 11 2 3 2" xfId="12716"/>
    <cellStyle name="Ввод  2 11 2 3 3" xfId="10201"/>
    <cellStyle name="Ввод  2 11 2 3 4" xfId="13725"/>
    <cellStyle name="Ввод  2 11 2 4" xfId="11047"/>
    <cellStyle name="Ввод  2 11 2 5" xfId="13350"/>
    <cellStyle name="Ввод  2 11 2 6" xfId="13057"/>
    <cellStyle name="Ввод  2 11 3" xfId="6115"/>
    <cellStyle name="Ввод  2 11 3 2" xfId="12086"/>
    <cellStyle name="Ввод  2 11 3 3" xfId="10599"/>
    <cellStyle name="Ввод  2 11 3 4" xfId="11448"/>
    <cellStyle name="Ввод  2 11 4" xfId="6986"/>
    <cellStyle name="Ввод  2 11 4 2" xfId="12715"/>
    <cellStyle name="Ввод  2 11 4 3" xfId="10202"/>
    <cellStyle name="Ввод  2 11 4 4" xfId="11652"/>
    <cellStyle name="Ввод  2 11 5" xfId="11046"/>
    <cellStyle name="Ввод  2 11 6" xfId="13275"/>
    <cellStyle name="Ввод  2 11 7" xfId="13056"/>
    <cellStyle name="Ввод  2 12" xfId="3388"/>
    <cellStyle name="Ввод  2 12 2" xfId="3389"/>
    <cellStyle name="Ввод  2 12 2 2" xfId="6118"/>
    <cellStyle name="Ввод  2 12 2 2 2" xfId="12089"/>
    <cellStyle name="Ввод  2 12 2 2 3" xfId="10596"/>
    <cellStyle name="Ввод  2 12 2 2 4" xfId="11451"/>
    <cellStyle name="Ввод  2 12 2 3" xfId="6989"/>
    <cellStyle name="Ввод  2 12 2 3 2" xfId="12718"/>
    <cellStyle name="Ввод  2 12 2 3 3" xfId="10199"/>
    <cellStyle name="Ввод  2 12 2 3 4" xfId="11653"/>
    <cellStyle name="Ввод  2 12 2 4" xfId="11049"/>
    <cellStyle name="Ввод  2 12 2 5" xfId="13331"/>
    <cellStyle name="Ввод  2 12 2 6" xfId="13059"/>
    <cellStyle name="Ввод  2 12 3" xfId="6117"/>
    <cellStyle name="Ввод  2 12 3 2" xfId="12088"/>
    <cellStyle name="Ввод  2 12 3 3" xfId="10597"/>
    <cellStyle name="Ввод  2 12 3 4" xfId="11450"/>
    <cellStyle name="Ввод  2 12 4" xfId="6988"/>
    <cellStyle name="Ввод  2 12 4 2" xfId="12717"/>
    <cellStyle name="Ввод  2 12 4 3" xfId="10200"/>
    <cellStyle name="Ввод  2 12 4 4" xfId="13669"/>
    <cellStyle name="Ввод  2 12 5" xfId="11048"/>
    <cellStyle name="Ввод  2 12 6" xfId="13417"/>
    <cellStyle name="Ввод  2 12 7" xfId="13058"/>
    <cellStyle name="Ввод  2 13" xfId="3390"/>
    <cellStyle name="Ввод  2 13 2" xfId="3391"/>
    <cellStyle name="Ввод  2 13 2 2" xfId="6120"/>
    <cellStyle name="Ввод  2 13 2 2 2" xfId="12091"/>
    <cellStyle name="Ввод  2 13 2 2 3" xfId="10594"/>
    <cellStyle name="Ввод  2 13 2 2 4" xfId="11453"/>
    <cellStyle name="Ввод  2 13 2 3" xfId="6991"/>
    <cellStyle name="Ввод  2 13 2 3 2" xfId="12720"/>
    <cellStyle name="Ввод  2 13 2 3 3" xfId="10197"/>
    <cellStyle name="Ввод  2 13 2 3 4" xfId="11655"/>
    <cellStyle name="Ввод  2 13 2 4" xfId="11051"/>
    <cellStyle name="Ввод  2 13 2 5" xfId="13307"/>
    <cellStyle name="Ввод  2 13 2 6" xfId="13061"/>
    <cellStyle name="Ввод  2 13 3" xfId="6119"/>
    <cellStyle name="Ввод  2 13 3 2" xfId="12090"/>
    <cellStyle name="Ввод  2 13 3 3" xfId="10595"/>
    <cellStyle name="Ввод  2 13 3 4" xfId="11452"/>
    <cellStyle name="Ввод  2 13 4" xfId="6990"/>
    <cellStyle name="Ввод  2 13 4 2" xfId="12719"/>
    <cellStyle name="Ввод  2 13 4 3" xfId="10198"/>
    <cellStyle name="Ввод  2 13 4 4" xfId="11654"/>
    <cellStyle name="Ввод  2 13 5" xfId="11050"/>
    <cellStyle name="Ввод  2 13 6" xfId="13395"/>
    <cellStyle name="Ввод  2 13 7" xfId="13060"/>
    <cellStyle name="Ввод  2 14" xfId="3392"/>
    <cellStyle name="Ввод  2 14 2" xfId="3393"/>
    <cellStyle name="Ввод  2 14 2 2" xfId="6122"/>
    <cellStyle name="Ввод  2 14 2 2 2" xfId="12093"/>
    <cellStyle name="Ввод  2 14 2 2 3" xfId="10592"/>
    <cellStyle name="Ввод  2 14 2 2 4" xfId="11455"/>
    <cellStyle name="Ввод  2 14 2 3" xfId="6993"/>
    <cellStyle name="Ввод  2 14 2 3 2" xfId="12722"/>
    <cellStyle name="Ввод  2 14 2 3 3" xfId="10195"/>
    <cellStyle name="Ввод  2 14 2 3 4" xfId="11657"/>
    <cellStyle name="Ввод  2 14 2 4" xfId="11053"/>
    <cellStyle name="Ввод  2 14 2 5" xfId="13287"/>
    <cellStyle name="Ввод  2 14 2 6" xfId="13063"/>
    <cellStyle name="Ввод  2 14 3" xfId="6121"/>
    <cellStyle name="Ввод  2 14 3 2" xfId="12092"/>
    <cellStyle name="Ввод  2 14 3 3" xfId="10593"/>
    <cellStyle name="Ввод  2 14 3 4" xfId="11454"/>
    <cellStyle name="Ввод  2 14 4" xfId="6992"/>
    <cellStyle name="Ввод  2 14 4 2" xfId="12721"/>
    <cellStyle name="Ввод  2 14 4 3" xfId="10196"/>
    <cellStyle name="Ввод  2 14 4 4" xfId="11656"/>
    <cellStyle name="Ввод  2 14 5" xfId="11052"/>
    <cellStyle name="Ввод  2 14 6" xfId="13374"/>
    <cellStyle name="Ввод  2 14 7" xfId="13062"/>
    <cellStyle name="Ввод  2 15" xfId="3394"/>
    <cellStyle name="Ввод  2 15 2" xfId="3395"/>
    <cellStyle name="Ввод  2 15 2 2" xfId="6124"/>
    <cellStyle name="Ввод  2 15 2 2 2" xfId="12095"/>
    <cellStyle name="Ввод  2 15 2 2 3" xfId="10590"/>
    <cellStyle name="Ввод  2 15 2 2 4" xfId="11457"/>
    <cellStyle name="Ввод  2 15 2 3" xfId="6995"/>
    <cellStyle name="Ввод  2 15 2 3 2" xfId="12724"/>
    <cellStyle name="Ввод  2 15 2 3 3" xfId="10193"/>
    <cellStyle name="Ввод  2 15 2 3 4" xfId="11659"/>
    <cellStyle name="Ввод  2 15 2 4" xfId="11055"/>
    <cellStyle name="Ввод  2 15 2 5" xfId="13253"/>
    <cellStyle name="Ввод  2 15 2 6" xfId="13065"/>
    <cellStyle name="Ввод  2 15 3" xfId="6123"/>
    <cellStyle name="Ввод  2 15 3 2" xfId="12094"/>
    <cellStyle name="Ввод  2 15 3 3" xfId="10591"/>
    <cellStyle name="Ввод  2 15 3 4" xfId="11456"/>
    <cellStyle name="Ввод  2 15 4" xfId="6994"/>
    <cellStyle name="Ввод  2 15 4 2" xfId="12723"/>
    <cellStyle name="Ввод  2 15 4 3" xfId="10194"/>
    <cellStyle name="Ввод  2 15 4 4" xfId="11658"/>
    <cellStyle name="Ввод  2 15 5" xfId="11054"/>
    <cellStyle name="Ввод  2 15 6" xfId="13264"/>
    <cellStyle name="Ввод  2 15 7" xfId="13064"/>
    <cellStyle name="Ввод  2 16" xfId="3396"/>
    <cellStyle name="Ввод  2 16 2" xfId="3397"/>
    <cellStyle name="Ввод  2 16 2 2" xfId="6126"/>
    <cellStyle name="Ввод  2 16 2 2 2" xfId="12097"/>
    <cellStyle name="Ввод  2 16 2 2 3" xfId="10588"/>
    <cellStyle name="Ввод  2 16 2 2 4" xfId="11970"/>
    <cellStyle name="Ввод  2 16 2 3" xfId="6997"/>
    <cellStyle name="Ввод  2 16 2 3 2" xfId="12726"/>
    <cellStyle name="Ввод  2 16 2 3 3" xfId="10191"/>
    <cellStyle name="Ввод  2 16 2 3 4" xfId="11822"/>
    <cellStyle name="Ввод  2 16 2 4" xfId="11057"/>
    <cellStyle name="Ввод  2 16 2 5" xfId="13404"/>
    <cellStyle name="Ввод  2 16 2 6" xfId="11405"/>
    <cellStyle name="Ввод  2 16 3" xfId="6125"/>
    <cellStyle name="Ввод  2 16 3 2" xfId="12096"/>
    <cellStyle name="Ввод  2 16 3 3" xfId="10589"/>
    <cellStyle name="Ввод  2 16 3 4" xfId="11458"/>
    <cellStyle name="Ввод  2 16 4" xfId="6996"/>
    <cellStyle name="Ввод  2 16 4 2" xfId="12725"/>
    <cellStyle name="Ввод  2 16 4 3" xfId="10192"/>
    <cellStyle name="Ввод  2 16 4 4" xfId="11983"/>
    <cellStyle name="Ввод  2 16 5" xfId="11056"/>
    <cellStyle name="Ввод  2 16 6" xfId="13339"/>
    <cellStyle name="Ввод  2 16 7" xfId="11404"/>
    <cellStyle name="Ввод  2 17" xfId="3398"/>
    <cellStyle name="Ввод  2 17 2" xfId="3399"/>
    <cellStyle name="Ввод  2 17 2 2" xfId="6128"/>
    <cellStyle name="Ввод  2 17 2 2 2" xfId="12099"/>
    <cellStyle name="Ввод  2 17 2 2 3" xfId="10586"/>
    <cellStyle name="Ввод  2 17 2 2 4" xfId="12009"/>
    <cellStyle name="Ввод  2 17 2 3" xfId="6999"/>
    <cellStyle name="Ввод  2 17 2 3 2" xfId="12728"/>
    <cellStyle name="Ввод  2 17 2 3 3" xfId="10189"/>
    <cellStyle name="Ввод  2 17 2 3 4" xfId="9574"/>
    <cellStyle name="Ввод  2 17 2 4" xfId="11059"/>
    <cellStyle name="Ввод  2 17 2 5" xfId="13382"/>
    <cellStyle name="Ввод  2 17 2 6" xfId="13067"/>
    <cellStyle name="Ввод  2 17 3" xfId="6127"/>
    <cellStyle name="Ввод  2 17 3 2" xfId="12098"/>
    <cellStyle name="Ввод  2 17 3 3" xfId="10587"/>
    <cellStyle name="Ввод  2 17 3 4" xfId="12690"/>
    <cellStyle name="Ввод  2 17 4" xfId="6998"/>
    <cellStyle name="Ввод  2 17 4 2" xfId="12727"/>
    <cellStyle name="Ввод  2 17 4 3" xfId="10190"/>
    <cellStyle name="Ввод  2 17 4 4" xfId="9571"/>
    <cellStyle name="Ввод  2 17 5" xfId="11058"/>
    <cellStyle name="Ввод  2 17 6" xfId="13316"/>
    <cellStyle name="Ввод  2 17 7" xfId="13066"/>
    <cellStyle name="Ввод  2 18" xfId="3400"/>
    <cellStyle name="Ввод  2 18 2" xfId="3401"/>
    <cellStyle name="Ввод  2 18 2 2" xfId="6130"/>
    <cellStyle name="Ввод  2 18 2 2 2" xfId="12101"/>
    <cellStyle name="Ввод  2 18 2 2 3" xfId="10584"/>
    <cellStyle name="Ввод  2 18 2 2 4" xfId="11460"/>
    <cellStyle name="Ввод  2 18 2 3" xfId="7001"/>
    <cellStyle name="Ввод  2 18 2 3 2" xfId="12730"/>
    <cellStyle name="Ввод  2 18 2 3 3" xfId="10187"/>
    <cellStyle name="Ввод  2 18 2 3 4" xfId="11828"/>
    <cellStyle name="Ввод  2 18 2 4" xfId="11061"/>
    <cellStyle name="Ввод  2 18 2 5" xfId="13362"/>
    <cellStyle name="Ввод  2 18 2 6" xfId="13069"/>
    <cellStyle name="Ввод  2 18 3" xfId="6129"/>
    <cellStyle name="Ввод  2 18 3 2" xfId="12100"/>
    <cellStyle name="Ввод  2 18 3 3" xfId="10585"/>
    <cellStyle name="Ввод  2 18 3 4" xfId="11974"/>
    <cellStyle name="Ввод  2 18 4" xfId="7000"/>
    <cellStyle name="Ввод  2 18 4 2" xfId="12729"/>
    <cellStyle name="Ввод  2 18 4 3" xfId="10188"/>
    <cellStyle name="Ввод  2 18 4 4" xfId="12539"/>
    <cellStyle name="Ввод  2 18 5" xfId="11060"/>
    <cellStyle name="Ввод  2 18 6" xfId="13296"/>
    <cellStyle name="Ввод  2 18 7" xfId="13068"/>
    <cellStyle name="Ввод  2 19" xfId="6090"/>
    <cellStyle name="Ввод  2 19 2" xfId="12061"/>
    <cellStyle name="Ввод  2 19 3" xfId="10624"/>
    <cellStyle name="Ввод  2 19 4" xfId="11428"/>
    <cellStyle name="Ввод  2 2" xfId="3402"/>
    <cellStyle name="Ввод  2 2 2" xfId="3403"/>
    <cellStyle name="Ввод  2 2 2 2" xfId="6132"/>
    <cellStyle name="Ввод  2 2 2 2 2" xfId="12103"/>
    <cellStyle name="Ввод  2 2 2 2 3" xfId="10582"/>
    <cellStyle name="Ввод  2 2 2 2 4" xfId="11462"/>
    <cellStyle name="Ввод  2 2 2 3" xfId="7002"/>
    <cellStyle name="Ввод  2 2 2 3 2" xfId="12731"/>
    <cellStyle name="Ввод  2 2 2 3 3" xfId="10186"/>
    <cellStyle name="Ввод  2 2 2 3 4" xfId="11831"/>
    <cellStyle name="Ввод  2 2 2 4" xfId="11063"/>
    <cellStyle name="Ввод  2 2 2 5" xfId="13349"/>
    <cellStyle name="Ввод  2 2 2 6" xfId="13071"/>
    <cellStyle name="Ввод  2 2 3" xfId="6131"/>
    <cellStyle name="Ввод  2 2 3 2" xfId="12102"/>
    <cellStyle name="Ввод  2 2 3 3" xfId="10583"/>
    <cellStyle name="Ввод  2 2 3 4" xfId="11461"/>
    <cellStyle name="Ввод  2 2 4" xfId="6936"/>
    <cellStyle name="Ввод  2 2 4 2" xfId="12674"/>
    <cellStyle name="Ввод  2 2 4 3" xfId="10238"/>
    <cellStyle name="Ввод  2 2 4 4" xfId="11553"/>
    <cellStyle name="Ввод  2 2 5" xfId="11062"/>
    <cellStyle name="Ввод  2 2 6" xfId="13274"/>
    <cellStyle name="Ввод  2 2 7" xfId="13070"/>
    <cellStyle name="Ввод  2 20" xfId="6935"/>
    <cellStyle name="Ввод  2 20 2" xfId="12673"/>
    <cellStyle name="Ввод  2 20 3" xfId="10239"/>
    <cellStyle name="Ввод  2 20 4" xfId="11552"/>
    <cellStyle name="Ввод  2 21" xfId="9861"/>
    <cellStyle name="Ввод  2 22" xfId="11363"/>
    <cellStyle name="Ввод  2 23" xfId="13421"/>
    <cellStyle name="Ввод  2 3" xfId="3404"/>
    <cellStyle name="Ввод  2 3 2" xfId="6133"/>
    <cellStyle name="Ввод  2 3 2 2" xfId="12104"/>
    <cellStyle name="Ввод  2 3 2 3" xfId="10581"/>
    <cellStyle name="Ввод  2 3 2 4" xfId="11463"/>
    <cellStyle name="Ввод  2 3 3" xfId="7003"/>
    <cellStyle name="Ввод  2 3 3 2" xfId="12732"/>
    <cellStyle name="Ввод  2 3 3 3" xfId="10185"/>
    <cellStyle name="Ввод  2 3 3 4" xfId="10630"/>
    <cellStyle name="Ввод  2 3 4" xfId="11064"/>
    <cellStyle name="Ввод  2 3 5" xfId="13416"/>
    <cellStyle name="Ввод  2 3 6" xfId="13072"/>
    <cellStyle name="Ввод  2 4" xfId="3405"/>
    <cellStyle name="Ввод  2 4 2" xfId="3406"/>
    <cellStyle name="Ввод  2 4 2 2" xfId="6135"/>
    <cellStyle name="Ввод  2 4 2 2 2" xfId="12106"/>
    <cellStyle name="Ввод  2 4 2 2 3" xfId="10579"/>
    <cellStyle name="Ввод  2 4 2 2 4" xfId="11465"/>
    <cellStyle name="Ввод  2 4 2 3" xfId="7005"/>
    <cellStyle name="Ввод  2 4 2 3 2" xfId="12734"/>
    <cellStyle name="Ввод  2 4 2 3 3" xfId="10183"/>
    <cellStyle name="Ввод  2 4 2 3 4" xfId="9588"/>
    <cellStyle name="Ввод  2 4 2 4" xfId="11066"/>
    <cellStyle name="Ввод  2 4 2 5" xfId="13394"/>
    <cellStyle name="Ввод  2 4 2 6" xfId="13074"/>
    <cellStyle name="Ввод  2 4 3" xfId="6134"/>
    <cellStyle name="Ввод  2 4 3 2" xfId="12105"/>
    <cellStyle name="Ввод  2 4 3 3" xfId="10580"/>
    <cellStyle name="Ввод  2 4 3 4" xfId="11464"/>
    <cellStyle name="Ввод  2 4 4" xfId="7004"/>
    <cellStyle name="Ввод  2 4 4 2" xfId="12733"/>
    <cellStyle name="Ввод  2 4 4 3" xfId="10184"/>
    <cellStyle name="Ввод  2 4 4 4" xfId="10635"/>
    <cellStyle name="Ввод  2 4 5" xfId="11065"/>
    <cellStyle name="Ввод  2 4 6" xfId="13330"/>
    <cellStyle name="Ввод  2 4 7" xfId="13073"/>
    <cellStyle name="Ввод  2 5" xfId="3407"/>
    <cellStyle name="Ввод  2 5 2" xfId="3408"/>
    <cellStyle name="Ввод  2 5 2 2" xfId="6137"/>
    <cellStyle name="Ввод  2 5 2 2 2" xfId="12108"/>
    <cellStyle name="Ввод  2 5 2 2 3" xfId="10577"/>
    <cellStyle name="Ввод  2 5 2 2 4" xfId="11467"/>
    <cellStyle name="Ввод  2 5 2 3" xfId="7007"/>
    <cellStyle name="Ввод  2 5 2 3 2" xfId="12736"/>
    <cellStyle name="Ввод  2 5 2 3 3" xfId="10181"/>
    <cellStyle name="Ввод  2 5 2 3 4" xfId="11661"/>
    <cellStyle name="Ввод  2 5 2 4" xfId="11068"/>
    <cellStyle name="Ввод  2 5 2 5" xfId="13373"/>
    <cellStyle name="Ввод  2 5 2 6" xfId="13075"/>
    <cellStyle name="Ввод  2 5 3" xfId="6136"/>
    <cellStyle name="Ввод  2 5 3 2" xfId="12107"/>
    <cellStyle name="Ввод  2 5 3 3" xfId="10578"/>
    <cellStyle name="Ввод  2 5 3 4" xfId="11466"/>
    <cellStyle name="Ввод  2 5 4" xfId="7006"/>
    <cellStyle name="Ввод  2 5 4 2" xfId="12735"/>
    <cellStyle name="Ввод  2 5 4 3" xfId="10182"/>
    <cellStyle name="Ввод  2 5 4 4" xfId="11660"/>
    <cellStyle name="Ввод  2 5 5" xfId="11067"/>
    <cellStyle name="Ввод  2 5 6" xfId="13306"/>
    <cellStyle name="Ввод  2 5 7" xfId="13077"/>
    <cellStyle name="Ввод  2 6" xfId="3409"/>
    <cellStyle name="Ввод  2 6 2" xfId="3410"/>
    <cellStyle name="Ввод  2 6 2 2" xfId="6139"/>
    <cellStyle name="Ввод  2 6 2 2 2" xfId="12110"/>
    <cellStyle name="Ввод  2 6 2 2 3" xfId="10576"/>
    <cellStyle name="Ввод  2 6 2 2 4" xfId="11469"/>
    <cellStyle name="Ввод  2 6 2 3" xfId="7009"/>
    <cellStyle name="Ввод  2 6 2 3 2" xfId="12738"/>
    <cellStyle name="Ввод  2 6 2 3 3" xfId="10179"/>
    <cellStyle name="Ввод  2 6 2 3 4" xfId="9534"/>
    <cellStyle name="Ввод  2 6 2 4" xfId="11070"/>
    <cellStyle name="Ввод  2 6 2 5" xfId="13263"/>
    <cellStyle name="Ввод  2 6 2 6" xfId="11406"/>
    <cellStyle name="Ввод  2 6 3" xfId="6138"/>
    <cellStyle name="Ввод  2 6 3 2" xfId="12109"/>
    <cellStyle name="Ввод  2 6 3 3" xfId="9852"/>
    <cellStyle name="Ввод  2 6 3 4" xfId="11468"/>
    <cellStyle name="Ввод  2 6 4" xfId="7008"/>
    <cellStyle name="Ввод  2 6 4 2" xfId="12737"/>
    <cellStyle name="Ввод  2 6 4 3" xfId="10180"/>
    <cellStyle name="Ввод  2 6 4 4" xfId="11662"/>
    <cellStyle name="Ввод  2 6 5" xfId="11069"/>
    <cellStyle name="Ввод  2 6 6" xfId="13286"/>
    <cellStyle name="Ввод  2 6 7" xfId="13078"/>
    <cellStyle name="Ввод  2 7" xfId="3411"/>
    <cellStyle name="Ввод  2 7 2" xfId="3412"/>
    <cellStyle name="Ввод  2 7 2 2" xfId="6141"/>
    <cellStyle name="Ввод  2 7 2 2 2" xfId="12112"/>
    <cellStyle name="Ввод  2 7 2 2 3" xfId="10574"/>
    <cellStyle name="Ввод  2 7 2 2 4" xfId="11471"/>
    <cellStyle name="Ввод  2 7 2 3" xfId="7011"/>
    <cellStyle name="Ввод  2 7 2 3 2" xfId="12740"/>
    <cellStyle name="Ввод  2 7 2 3 3" xfId="10177"/>
    <cellStyle name="Ввод  2 7 2 3 4" xfId="9590"/>
    <cellStyle name="Ввод  2 7 2 4" xfId="11072"/>
    <cellStyle name="Ввод  2 7 2 5" xfId="13409"/>
    <cellStyle name="Ввод  2 7 2 6" xfId="13076"/>
    <cellStyle name="Ввод  2 7 3" xfId="6140"/>
    <cellStyle name="Ввод  2 7 3 2" xfId="12111"/>
    <cellStyle name="Ввод  2 7 3 3" xfId="10575"/>
    <cellStyle name="Ввод  2 7 3 4" xfId="11470"/>
    <cellStyle name="Ввод  2 7 4" xfId="7010"/>
    <cellStyle name="Ввод  2 7 4 2" xfId="12739"/>
    <cellStyle name="Ввод  2 7 4 3" xfId="10178"/>
    <cellStyle name="Ввод  2 7 4 4" xfId="9589"/>
    <cellStyle name="Ввод  2 7 5" xfId="11071"/>
    <cellStyle name="Ввод  2 7 6" xfId="13344"/>
    <cellStyle name="Ввод  2 7 7" xfId="11407"/>
    <cellStyle name="Ввод  2 8" xfId="3413"/>
    <cellStyle name="Ввод  2 8 2" xfId="3414"/>
    <cellStyle name="Ввод  2 8 2 2" xfId="6143"/>
    <cellStyle name="Ввод  2 8 2 2 2" xfId="12114"/>
    <cellStyle name="Ввод  2 8 2 2 3" xfId="10572"/>
    <cellStyle name="Ввод  2 8 2 2 4" xfId="12447"/>
    <cellStyle name="Ввод  2 8 2 3" xfId="7013"/>
    <cellStyle name="Ввод  2 8 2 3 2" xfId="12742"/>
    <cellStyle name="Ввод  2 8 2 3 3" xfId="10175"/>
    <cellStyle name="Ввод  2 8 2 3 4" xfId="9592"/>
    <cellStyle name="Ввод  2 8 2 4" xfId="11074"/>
    <cellStyle name="Ввод  2 8 2 5" xfId="13387"/>
    <cellStyle name="Ввод  2 8 2 6" xfId="13080"/>
    <cellStyle name="Ввод  2 8 3" xfId="6142"/>
    <cellStyle name="Ввод  2 8 3 2" xfId="12113"/>
    <cellStyle name="Ввод  2 8 3 3" xfId="10573"/>
    <cellStyle name="Ввод  2 8 3 4" xfId="11472"/>
    <cellStyle name="Ввод  2 8 4" xfId="7012"/>
    <cellStyle name="Ввод  2 8 4 2" xfId="12741"/>
    <cellStyle name="Ввод  2 8 4 3" xfId="10176"/>
    <cellStyle name="Ввод  2 8 4 4" xfId="9591"/>
    <cellStyle name="Ввод  2 8 5" xfId="11073"/>
    <cellStyle name="Ввод  2 8 6" xfId="13323"/>
    <cellStyle name="Ввод  2 8 7" xfId="13079"/>
    <cellStyle name="Ввод  2 9" xfId="3415"/>
    <cellStyle name="Ввод  2 9 2" xfId="3416"/>
    <cellStyle name="Ввод  2 9 2 2" xfId="6145"/>
    <cellStyle name="Ввод  2 9 2 2 2" xfId="12116"/>
    <cellStyle name="Ввод  2 9 2 2 3" xfId="10570"/>
    <cellStyle name="Ввод  2 9 2 2 4" xfId="11473"/>
    <cellStyle name="Ввод  2 9 2 3" xfId="7015"/>
    <cellStyle name="Ввод  2 9 2 3 2" xfId="12744"/>
    <cellStyle name="Ввод  2 9 2 3 3" xfId="10173"/>
    <cellStyle name="Ввод  2 9 2 3 4" xfId="9594"/>
    <cellStyle name="Ввод  2 9 2 4" xfId="11076"/>
    <cellStyle name="Ввод  2 9 2 5" xfId="13367"/>
    <cellStyle name="Ввод  2 9 2 6" xfId="13082"/>
    <cellStyle name="Ввод  2 9 3" xfId="6144"/>
    <cellStyle name="Ввод  2 9 3 2" xfId="12115"/>
    <cellStyle name="Ввод  2 9 3 3" xfId="10571"/>
    <cellStyle name="Ввод  2 9 3 4" xfId="11730"/>
    <cellStyle name="Ввод  2 9 4" xfId="7014"/>
    <cellStyle name="Ввод  2 9 4 2" xfId="12743"/>
    <cellStyle name="Ввод  2 9 4 3" xfId="10174"/>
    <cellStyle name="Ввод  2 9 4 4" xfId="9593"/>
    <cellStyle name="Ввод  2 9 5" xfId="11075"/>
    <cellStyle name="Ввод  2 9 6" xfId="13301"/>
    <cellStyle name="Ввод  2 9 7" xfId="13081"/>
    <cellStyle name="Ввод  20" xfId="3417"/>
    <cellStyle name="Ввод  20 2" xfId="3418"/>
    <cellStyle name="Ввод  20 2 2" xfId="6147"/>
    <cellStyle name="Ввод  20 2 2 2" xfId="12118"/>
    <cellStyle name="Ввод  20 2 2 3" xfId="10568"/>
    <cellStyle name="Ввод  20 2 2 4" xfId="11474"/>
    <cellStyle name="Ввод  20 2 3" xfId="7017"/>
    <cellStyle name="Ввод  20 2 3 2" xfId="12746"/>
    <cellStyle name="Ввод  20 2 3 3" xfId="10171"/>
    <cellStyle name="Ввод  20 2 3 4" xfId="10819"/>
    <cellStyle name="Ввод  20 2 4" xfId="11078"/>
    <cellStyle name="Ввод  20 2 5" xfId="13354"/>
    <cellStyle name="Ввод  20 2 6" xfId="13084"/>
    <cellStyle name="Ввод  20 3" xfId="6146"/>
    <cellStyle name="Ввод  20 3 2" xfId="12117"/>
    <cellStyle name="Ввод  20 3 3" xfId="10569"/>
    <cellStyle name="Ввод  20 3 4" xfId="11971"/>
    <cellStyle name="Ввод  20 4" xfId="7016"/>
    <cellStyle name="Ввод  20 4 2" xfId="12745"/>
    <cellStyle name="Ввод  20 4 3" xfId="10172"/>
    <cellStyle name="Ввод  20 4 4" xfId="10818"/>
    <cellStyle name="Ввод  20 5" xfId="11077"/>
    <cellStyle name="Ввод  20 6" xfId="13280"/>
    <cellStyle name="Ввод  20 7" xfId="13083"/>
    <cellStyle name="Ввод  21" xfId="3419"/>
    <cellStyle name="Ввод  21 2" xfId="3420"/>
    <cellStyle name="Ввод  21 2 2" xfId="6149"/>
    <cellStyle name="Ввод  21 2 2 2" xfId="12120"/>
    <cellStyle name="Ввод  21 2 2 3" xfId="10566"/>
    <cellStyle name="Ввод  21 2 2 4" xfId="11476"/>
    <cellStyle name="Ввод  21 2 3" xfId="7019"/>
    <cellStyle name="Ввод  21 2 3 2" xfId="12748"/>
    <cellStyle name="Ввод  21 2 3 3" xfId="10169"/>
    <cellStyle name="Ввод  21 2 3 4" xfId="10821"/>
    <cellStyle name="Ввод  21 2 4" xfId="11080"/>
    <cellStyle name="Ввод  21 2 5" xfId="13334"/>
    <cellStyle name="Ввод  21 2 6" xfId="13086"/>
    <cellStyle name="Ввод  21 3" xfId="6148"/>
    <cellStyle name="Ввод  21 3 2" xfId="12119"/>
    <cellStyle name="Ввод  21 3 3" xfId="10567"/>
    <cellStyle name="Ввод  21 3 4" xfId="11475"/>
    <cellStyle name="Ввод  21 4" xfId="7018"/>
    <cellStyle name="Ввод  21 4 2" xfId="12747"/>
    <cellStyle name="Ввод  21 4 3" xfId="10170"/>
    <cellStyle name="Ввод  21 4 4" xfId="10820"/>
    <cellStyle name="Ввод  21 5" xfId="11079"/>
    <cellStyle name="Ввод  21 6" xfId="13422"/>
    <cellStyle name="Ввод  21 7" xfId="13085"/>
    <cellStyle name="Ввод  3" xfId="3421"/>
    <cellStyle name="Ввод  3 2" xfId="3422"/>
    <cellStyle name="Ввод  3 2 2" xfId="6151"/>
    <cellStyle name="Ввод  3 2 2 2" xfId="12122"/>
    <cellStyle name="Ввод  3 2 2 3" xfId="10564"/>
    <cellStyle name="Ввод  3 2 2 4" xfId="11478"/>
    <cellStyle name="Ввод  3 2 3" xfId="7020"/>
    <cellStyle name="Ввод  3 2 3 2" xfId="12749"/>
    <cellStyle name="Ввод  3 2 3 3" xfId="10168"/>
    <cellStyle name="Ввод  3 2 3 4" xfId="10822"/>
    <cellStyle name="Ввод  3 2 4" xfId="11082"/>
    <cellStyle name="Ввод  3 2 5" xfId="13310"/>
    <cellStyle name="Ввод  3 2 6" xfId="11408"/>
    <cellStyle name="Ввод  3 3" xfId="6150"/>
    <cellStyle name="Ввод  3 3 2" xfId="12121"/>
    <cellStyle name="Ввод  3 3 3" xfId="10565"/>
    <cellStyle name="Ввод  3 3 4" xfId="11477"/>
    <cellStyle name="Ввод  3 4" xfId="6937"/>
    <cellStyle name="Ввод  3 4 2" xfId="12675"/>
    <cellStyle name="Ввод  3 4 3" xfId="10237"/>
    <cellStyle name="Ввод  3 4 4" xfId="11727"/>
    <cellStyle name="Ввод  3 5" xfId="11081"/>
    <cellStyle name="Ввод  3 6" xfId="13398"/>
    <cellStyle name="Ввод  3 7" xfId="13087"/>
    <cellStyle name="Ввод  4" xfId="3423"/>
    <cellStyle name="Ввод  4 2" xfId="3424"/>
    <cellStyle name="Ввод  4 2 2" xfId="6153"/>
    <cellStyle name="Ввод  4 2 2 2" xfId="12124"/>
    <cellStyle name="Ввод  4 2 2 3" xfId="10562"/>
    <cellStyle name="Ввод  4 2 2 4" xfId="11480"/>
    <cellStyle name="Ввод  4 2 3" xfId="7022"/>
    <cellStyle name="Ввод  4 2 3 2" xfId="12751"/>
    <cellStyle name="Ввод  4 2 3 3" xfId="10166"/>
    <cellStyle name="Ввод  4 2 3 4" xfId="10824"/>
    <cellStyle name="Ввод  4 2 4" xfId="11084"/>
    <cellStyle name="Ввод  4 2 5" xfId="13289"/>
    <cellStyle name="Ввод  4 2 6" xfId="11410"/>
    <cellStyle name="Ввод  4 3" xfId="6152"/>
    <cellStyle name="Ввод  4 3 2" xfId="12123"/>
    <cellStyle name="Ввод  4 3 3" xfId="10563"/>
    <cellStyle name="Ввод  4 3 4" xfId="11479"/>
    <cellStyle name="Ввод  4 4" xfId="7021"/>
    <cellStyle name="Ввод  4 4 2" xfId="12750"/>
    <cellStyle name="Ввод  4 4 3" xfId="10167"/>
    <cellStyle name="Ввод  4 4 4" xfId="10823"/>
    <cellStyle name="Ввод  4 5" xfId="11083"/>
    <cellStyle name="Ввод  4 6" xfId="13376"/>
    <cellStyle name="Ввод  4 7" xfId="11409"/>
    <cellStyle name="Ввод  5" xfId="3425"/>
    <cellStyle name="Ввод  5 2" xfId="3426"/>
    <cellStyle name="Ввод  5 2 2" xfId="6155"/>
    <cellStyle name="Ввод  5 2 2 2" xfId="12126"/>
    <cellStyle name="Ввод  5 2 2 3" xfId="10560"/>
    <cellStyle name="Ввод  5 2 2 4" xfId="11482"/>
    <cellStyle name="Ввод  5 2 3" xfId="7024"/>
    <cellStyle name="Ввод  5 2 3 2" xfId="12753"/>
    <cellStyle name="Ввод  5 2 3 3" xfId="10164"/>
    <cellStyle name="Ввод  5 2 3 4" xfId="10826"/>
    <cellStyle name="Ввод  5 2 4" xfId="11086"/>
    <cellStyle name="Ввод  5 2 5" xfId="13255"/>
    <cellStyle name="Ввод  5 2 6" xfId="13088"/>
    <cellStyle name="Ввод  5 3" xfId="6154"/>
    <cellStyle name="Ввод  5 3 2" xfId="12125"/>
    <cellStyle name="Ввод  5 3 3" xfId="10561"/>
    <cellStyle name="Ввод  5 3 4" xfId="11481"/>
    <cellStyle name="Ввод  5 4" xfId="7023"/>
    <cellStyle name="Ввод  5 4 2" xfId="12752"/>
    <cellStyle name="Ввод  5 4 3" xfId="10165"/>
    <cellStyle name="Ввод  5 4 4" xfId="10825"/>
    <cellStyle name="Ввод  5 5" xfId="11085"/>
    <cellStyle name="Ввод  5 6" xfId="13266"/>
    <cellStyle name="Ввод  5 7" xfId="11411"/>
    <cellStyle name="Ввод  6" xfId="3427"/>
    <cellStyle name="Ввод  6 2" xfId="3428"/>
    <cellStyle name="Ввод  6 2 2" xfId="6157"/>
    <cellStyle name="Ввод  6 2 2 2" xfId="12128"/>
    <cellStyle name="Ввод  6 2 2 3" xfId="10558"/>
    <cellStyle name="Ввод  6 2 2 4" xfId="11728"/>
    <cellStyle name="Ввод  6 2 3" xfId="7026"/>
    <cellStyle name="Ввод  6 2 3 2" xfId="12755"/>
    <cellStyle name="Ввод  6 2 3 3" xfId="10162"/>
    <cellStyle name="Ввод  6 2 3 4" xfId="10828"/>
    <cellStyle name="Ввод  6 2 4" xfId="11088"/>
    <cellStyle name="Ввод  6 2 5" xfId="13336"/>
    <cellStyle name="Ввод  6 2 6" xfId="13090"/>
    <cellStyle name="Ввод  6 3" xfId="6156"/>
    <cellStyle name="Ввод  6 3 2" xfId="12127"/>
    <cellStyle name="Ввод  6 3 3" xfId="10559"/>
    <cellStyle name="Ввод  6 3 4" xfId="11483"/>
    <cellStyle name="Ввод  6 4" xfId="7025"/>
    <cellStyle name="Ввод  6 4 2" xfId="12754"/>
    <cellStyle name="Ввод  6 4 3" xfId="10163"/>
    <cellStyle name="Ввод  6 4 4" xfId="10827"/>
    <cellStyle name="Ввод  6 5" xfId="11087"/>
    <cellStyle name="Ввод  6 6" xfId="13250"/>
    <cellStyle name="Ввод  6 7" xfId="13089"/>
    <cellStyle name="Ввод  7" xfId="3429"/>
    <cellStyle name="Ввод  7 2" xfId="3430"/>
    <cellStyle name="Ввод  7 2 2" xfId="6159"/>
    <cellStyle name="Ввод  7 2 2 2" xfId="12130"/>
    <cellStyle name="Ввод  7 2 2 3" xfId="10556"/>
    <cellStyle name="Ввод  7 2 2 4" xfId="11744"/>
    <cellStyle name="Ввод  7 2 3" xfId="7028"/>
    <cellStyle name="Ввод  7 2 3 2" xfId="12757"/>
    <cellStyle name="Ввод  7 2 3 3" xfId="10160"/>
    <cellStyle name="Ввод  7 2 3 4" xfId="10830"/>
    <cellStyle name="Ввод  7 2 4" xfId="11090"/>
    <cellStyle name="Ввод  7 2 5" xfId="13313"/>
    <cellStyle name="Ввод  7 2 6" xfId="13097"/>
    <cellStyle name="Ввод  7 3" xfId="6158"/>
    <cellStyle name="Ввод  7 3 2" xfId="12129"/>
    <cellStyle name="Ввод  7 3 3" xfId="10557"/>
    <cellStyle name="Ввод  7 3 4" xfId="12608"/>
    <cellStyle name="Ввод  7 4" xfId="7027"/>
    <cellStyle name="Ввод  7 4 2" xfId="12756"/>
    <cellStyle name="Ввод  7 4 3" xfId="10161"/>
    <cellStyle name="Ввод  7 4 4" xfId="10829"/>
    <cellStyle name="Ввод  7 5" xfId="11089"/>
    <cellStyle name="Ввод  7 6" xfId="13401"/>
    <cellStyle name="Ввод  7 7" xfId="13091"/>
    <cellStyle name="Ввод  8" xfId="3431"/>
    <cellStyle name="Ввод  8 2" xfId="3432"/>
    <cellStyle name="Ввод  8 2 2" xfId="6161"/>
    <cellStyle name="Ввод  8 2 2 2" xfId="12132"/>
    <cellStyle name="Ввод  8 2 2 3" xfId="10554"/>
    <cellStyle name="Ввод  8 2 2 4" xfId="11735"/>
    <cellStyle name="Ввод  8 2 3" xfId="7030"/>
    <cellStyle name="Ввод  8 2 3 2" xfId="12759"/>
    <cellStyle name="Ввод  8 2 3 3" xfId="10158"/>
    <cellStyle name="Ввод  8 2 3 4" xfId="10832"/>
    <cellStyle name="Ввод  8 2 4" xfId="11092"/>
    <cellStyle name="Ввод  8 2 5" xfId="13292"/>
    <cellStyle name="Ввод  8 2 6" xfId="13095"/>
    <cellStyle name="Ввод  8 3" xfId="6160"/>
    <cellStyle name="Ввод  8 3 2" xfId="12131"/>
    <cellStyle name="Ввод  8 3 3" xfId="10555"/>
    <cellStyle name="Ввод  8 3 4" xfId="11732"/>
    <cellStyle name="Ввод  8 4" xfId="7029"/>
    <cellStyle name="Ввод  8 4 2" xfId="12758"/>
    <cellStyle name="Ввод  8 4 3" xfId="10159"/>
    <cellStyle name="Ввод  8 4 4" xfId="10831"/>
    <cellStyle name="Ввод  8 5" xfId="11091"/>
    <cellStyle name="Ввод  8 6" xfId="13379"/>
    <cellStyle name="Ввод  8 7" xfId="13092"/>
    <cellStyle name="Ввод  9" xfId="3433"/>
    <cellStyle name="Ввод  9 2" xfId="3434"/>
    <cellStyle name="Ввод  9 2 2" xfId="6163"/>
    <cellStyle name="Ввод  9 2 2 2" xfId="12134"/>
    <cellStyle name="Ввод  9 2 2 3" xfId="10552"/>
    <cellStyle name="Ввод  9 2 2 4" xfId="11485"/>
    <cellStyle name="Ввод  9 2 3" xfId="7032"/>
    <cellStyle name="Ввод  9 2 3 2" xfId="12761"/>
    <cellStyle name="Ввод  9 2 3 3" xfId="10156"/>
    <cellStyle name="Ввод  9 2 3 4" xfId="10834"/>
    <cellStyle name="Ввод  9 2 4" xfId="11094"/>
    <cellStyle name="Ввод  9 2 5" xfId="13271"/>
    <cellStyle name="Ввод  9 2 6" xfId="13094"/>
    <cellStyle name="Ввод  9 3" xfId="6162"/>
    <cellStyle name="Ввод  9 3 2" xfId="12133"/>
    <cellStyle name="Ввод  9 3 3" xfId="10553"/>
    <cellStyle name="Ввод  9 3 4" xfId="11484"/>
    <cellStyle name="Ввод  9 4" xfId="7031"/>
    <cellStyle name="Ввод  9 4 2" xfId="12760"/>
    <cellStyle name="Ввод  9 4 3" xfId="10157"/>
    <cellStyle name="Ввод  9 4 4" xfId="10833"/>
    <cellStyle name="Ввод  9 5" xfId="11093"/>
    <cellStyle name="Ввод  9 6" xfId="13359"/>
    <cellStyle name="Ввод  9 7" xfId="13093"/>
    <cellStyle name="Вывод 10" xfId="3435"/>
    <cellStyle name="Вывод 10 2" xfId="3436"/>
    <cellStyle name="Вывод 10 2 2" xfId="6322"/>
    <cellStyle name="Вывод 10 2 2 2" xfId="12285"/>
    <cellStyle name="Вывод 10 2 2 3" xfId="10405"/>
    <cellStyle name="Вывод 10 2 2 4" xfId="9789"/>
    <cellStyle name="Вывод 10 2 3" xfId="7034"/>
    <cellStyle name="Вывод 10 2 3 2" xfId="12763"/>
    <cellStyle name="Вывод 10 2 3 3" xfId="9847"/>
    <cellStyle name="Вывод 10 2 3 4" xfId="9858"/>
    <cellStyle name="Вывод 10 2 4" xfId="7514"/>
    <cellStyle name="Вывод 10 2 4 2" xfId="13107"/>
    <cellStyle name="Вывод 10 2 4 3" xfId="9485"/>
    <cellStyle name="Вывод 10 2 4 4" xfId="11838"/>
    <cellStyle name="Вывод 10 2 5" xfId="11096"/>
    <cellStyle name="Вывод 10 3" xfId="6321"/>
    <cellStyle name="Вывод 10 3 2" xfId="12284"/>
    <cellStyle name="Вывод 10 3 3" xfId="10406"/>
    <cellStyle name="Вывод 10 3 4" xfId="11365"/>
    <cellStyle name="Вывод 10 4" xfId="7033"/>
    <cellStyle name="Вывод 10 4 2" xfId="12762"/>
    <cellStyle name="Вывод 10 4 3" xfId="10155"/>
    <cellStyle name="Вывод 10 4 4" xfId="10835"/>
    <cellStyle name="Вывод 10 5" xfId="7513"/>
    <cellStyle name="Вывод 10 5 2" xfId="13106"/>
    <cellStyle name="Вывод 10 5 3" xfId="9486"/>
    <cellStyle name="Вывод 10 5 4" xfId="11837"/>
    <cellStyle name="Вывод 10 6" xfId="11095"/>
    <cellStyle name="Вывод 11" xfId="3437"/>
    <cellStyle name="Вывод 11 2" xfId="3438"/>
    <cellStyle name="Вывод 11 2 2" xfId="6324"/>
    <cellStyle name="Вывод 11 2 2 2" xfId="12287"/>
    <cellStyle name="Вывод 11 2 2 3" xfId="10403"/>
    <cellStyle name="Вывод 11 2 2 4" xfId="9791"/>
    <cellStyle name="Вывод 11 2 3" xfId="7036"/>
    <cellStyle name="Вывод 11 2 3 2" xfId="12765"/>
    <cellStyle name="Вывод 11 2 3 3" xfId="10153"/>
    <cellStyle name="Вывод 11 2 3 4" xfId="10837"/>
    <cellStyle name="Вывод 11 2 4" xfId="7516"/>
    <cellStyle name="Вывод 11 2 4 2" xfId="13109"/>
    <cellStyle name="Вывод 11 2 4 3" xfId="13500"/>
    <cellStyle name="Вывод 11 2 4 4" xfId="11665"/>
    <cellStyle name="Вывод 11 2 5" xfId="11098"/>
    <cellStyle name="Вывод 11 3" xfId="6323"/>
    <cellStyle name="Вывод 11 3 2" xfId="12286"/>
    <cellStyle name="Вывод 11 3 3" xfId="10404"/>
    <cellStyle name="Вывод 11 3 4" xfId="9790"/>
    <cellStyle name="Вывод 11 4" xfId="7035"/>
    <cellStyle name="Вывод 11 4 2" xfId="12764"/>
    <cellStyle name="Вывод 11 4 3" xfId="10154"/>
    <cellStyle name="Вывод 11 4 4" xfId="10836"/>
    <cellStyle name="Вывод 11 5" xfId="7515"/>
    <cellStyle name="Вывод 11 5 2" xfId="13108"/>
    <cellStyle name="Вывод 11 5 3" xfId="9484"/>
    <cellStyle name="Вывод 11 5 4" xfId="11664"/>
    <cellStyle name="Вывод 11 6" xfId="11097"/>
    <cellStyle name="Вывод 12" xfId="3439"/>
    <cellStyle name="Вывод 12 2" xfId="3440"/>
    <cellStyle name="Вывод 12 2 2" xfId="6326"/>
    <cellStyle name="Вывод 12 2 2 2" xfId="12289"/>
    <cellStyle name="Вывод 12 2 2 3" xfId="10401"/>
    <cellStyle name="Вывод 12 2 2 4" xfId="13494"/>
    <cellStyle name="Вывод 12 2 3" xfId="7038"/>
    <cellStyle name="Вывод 12 2 3 2" xfId="12767"/>
    <cellStyle name="Вывод 12 2 3 3" xfId="10151"/>
    <cellStyle name="Вывод 12 2 3 4" xfId="10839"/>
    <cellStyle name="Вывод 12 2 4" xfId="7518"/>
    <cellStyle name="Вывод 12 2 4 2" xfId="13111"/>
    <cellStyle name="Вывод 12 2 4 3" xfId="12606"/>
    <cellStyle name="Вывод 12 2 4 4" xfId="11840"/>
    <cellStyle name="Вывод 12 2 5" xfId="11100"/>
    <cellStyle name="Вывод 12 3" xfId="6325"/>
    <cellStyle name="Вывод 12 3 2" xfId="12288"/>
    <cellStyle name="Вывод 12 3 3" xfId="10402"/>
    <cellStyle name="Вывод 12 3 4" xfId="13495"/>
    <cellStyle name="Вывод 12 4" xfId="7037"/>
    <cellStyle name="Вывод 12 4 2" xfId="12766"/>
    <cellStyle name="Вывод 12 4 3" xfId="10152"/>
    <cellStyle name="Вывод 12 4 4" xfId="10838"/>
    <cellStyle name="Вывод 12 5" xfId="7517"/>
    <cellStyle name="Вывод 12 5 2" xfId="13110"/>
    <cellStyle name="Вывод 12 5 3" xfId="13428"/>
    <cellStyle name="Вывод 12 5 4" xfId="11839"/>
    <cellStyle name="Вывод 12 6" xfId="11099"/>
    <cellStyle name="Вывод 13" xfId="3441"/>
    <cellStyle name="Вывод 13 2" xfId="3442"/>
    <cellStyle name="Вывод 13 2 2" xfId="6328"/>
    <cellStyle name="Вывод 13 2 2 2" xfId="12291"/>
    <cellStyle name="Вывод 13 2 2 3" xfId="10399"/>
    <cellStyle name="Вывод 13 2 2 4" xfId="12583"/>
    <cellStyle name="Вывод 13 2 3" xfId="7040"/>
    <cellStyle name="Вывод 13 2 3 2" xfId="12769"/>
    <cellStyle name="Вывод 13 2 3 3" xfId="10149"/>
    <cellStyle name="Вывод 13 2 3 4" xfId="10841"/>
    <cellStyle name="Вывод 13 2 4" xfId="7520"/>
    <cellStyle name="Вывод 13 2 4 2" xfId="13113"/>
    <cellStyle name="Вывод 13 2 4 3" xfId="13431"/>
    <cellStyle name="Вывод 13 2 4 4" xfId="12522"/>
    <cellStyle name="Вывод 13 2 5" xfId="11102"/>
    <cellStyle name="Вывод 13 3" xfId="6327"/>
    <cellStyle name="Вывод 13 3 2" xfId="12290"/>
    <cellStyle name="Вывод 13 3 3" xfId="10400"/>
    <cellStyle name="Вывод 13 3 4" xfId="12582"/>
    <cellStyle name="Вывод 13 4" xfId="7039"/>
    <cellStyle name="Вывод 13 4 2" xfId="12768"/>
    <cellStyle name="Вывод 13 4 3" xfId="10150"/>
    <cellStyle name="Вывод 13 4 4" xfId="10840"/>
    <cellStyle name="Вывод 13 5" xfId="7519"/>
    <cellStyle name="Вывод 13 5 2" xfId="13112"/>
    <cellStyle name="Вывод 13 5 3" xfId="9483"/>
    <cellStyle name="Вывод 13 5 4" xfId="9599"/>
    <cellStyle name="Вывод 13 6" xfId="11101"/>
    <cellStyle name="Вывод 14" xfId="3443"/>
    <cellStyle name="Вывод 14 2" xfId="3444"/>
    <cellStyle name="Вывод 14 2 2" xfId="6330"/>
    <cellStyle name="Вывод 14 2 2 2" xfId="12293"/>
    <cellStyle name="Вывод 14 2 2 3" xfId="10397"/>
    <cellStyle name="Вывод 14 2 2 4" xfId="12585"/>
    <cellStyle name="Вывод 14 2 3" xfId="7042"/>
    <cellStyle name="Вывод 14 2 3 2" xfId="12771"/>
    <cellStyle name="Вывод 14 2 3 3" xfId="10147"/>
    <cellStyle name="Вывод 14 2 3 4" xfId="10843"/>
    <cellStyle name="Вывод 14 2 4" xfId="7522"/>
    <cellStyle name="Вывод 14 2 4 2" xfId="13115"/>
    <cellStyle name="Вывод 14 2 4 3" xfId="9481"/>
    <cellStyle name="Вывод 14 2 4 4" xfId="9602"/>
    <cellStyle name="Вывод 14 2 5" xfId="11104"/>
    <cellStyle name="Вывод 14 3" xfId="6329"/>
    <cellStyle name="Вывод 14 3 2" xfId="12292"/>
    <cellStyle name="Вывод 14 3 3" xfId="10398"/>
    <cellStyle name="Вывод 14 3 4" xfId="12584"/>
    <cellStyle name="Вывод 14 4" xfId="7041"/>
    <cellStyle name="Вывод 14 4 2" xfId="12770"/>
    <cellStyle name="Вывод 14 4 3" xfId="10148"/>
    <cellStyle name="Вывод 14 4 4" xfId="10842"/>
    <cellStyle name="Вывод 14 5" xfId="7521"/>
    <cellStyle name="Вывод 14 5 2" xfId="13114"/>
    <cellStyle name="Вывод 14 5 3" xfId="9482"/>
    <cellStyle name="Вывод 14 5 4" xfId="9601"/>
    <cellStyle name="Вывод 14 6" xfId="11103"/>
    <cellStyle name="Вывод 15" xfId="3445"/>
    <cellStyle name="Вывод 15 2" xfId="3446"/>
    <cellStyle name="Вывод 15 2 2" xfId="6332"/>
    <cellStyle name="Вывод 15 2 2 2" xfId="12295"/>
    <cellStyle name="Вывод 15 2 2 3" xfId="10395"/>
    <cellStyle name="Вывод 15 2 2 4" xfId="12587"/>
    <cellStyle name="Вывод 15 2 3" xfId="7044"/>
    <cellStyle name="Вывод 15 2 3 2" xfId="12773"/>
    <cellStyle name="Вывод 15 2 3 3" xfId="10145"/>
    <cellStyle name="Вывод 15 2 3 4" xfId="10845"/>
    <cellStyle name="Вывод 15 2 4" xfId="7524"/>
    <cellStyle name="Вывод 15 2 4 2" xfId="13117"/>
    <cellStyle name="Вывод 15 2 4 3" xfId="9480"/>
    <cellStyle name="Вывод 15 2 4 4" xfId="9604"/>
    <cellStyle name="Вывод 15 2 5" xfId="11106"/>
    <cellStyle name="Вывод 15 3" xfId="6331"/>
    <cellStyle name="Вывод 15 3 2" xfId="12294"/>
    <cellStyle name="Вывод 15 3 3" xfId="10396"/>
    <cellStyle name="Вывод 15 3 4" xfId="12586"/>
    <cellStyle name="Вывод 15 4" xfId="7043"/>
    <cellStyle name="Вывод 15 4 2" xfId="12772"/>
    <cellStyle name="Вывод 15 4 3" xfId="10146"/>
    <cellStyle name="Вывод 15 4 4" xfId="10844"/>
    <cellStyle name="Вывод 15 5" xfId="7523"/>
    <cellStyle name="Вывод 15 5 2" xfId="13116"/>
    <cellStyle name="Вывод 15 5 3" xfId="13430"/>
    <cellStyle name="Вывод 15 5 4" xfId="9603"/>
    <cellStyle name="Вывод 15 6" xfId="11105"/>
    <cellStyle name="Вывод 16" xfId="3447"/>
    <cellStyle name="Вывод 16 2" xfId="3448"/>
    <cellStyle name="Вывод 16 2 2" xfId="6334"/>
    <cellStyle name="Вывод 16 2 2 2" xfId="12297"/>
    <cellStyle name="Вывод 16 2 2 3" xfId="10393"/>
    <cellStyle name="Вывод 16 2 2 4" xfId="12589"/>
    <cellStyle name="Вывод 16 2 3" xfId="7046"/>
    <cellStyle name="Вывод 16 2 3 2" xfId="12775"/>
    <cellStyle name="Вывод 16 2 3 3" xfId="10143"/>
    <cellStyle name="Вывод 16 2 3 4" xfId="10847"/>
    <cellStyle name="Вывод 16 2 4" xfId="7526"/>
    <cellStyle name="Вывод 16 2 4 2" xfId="13119"/>
    <cellStyle name="Вывод 16 2 4 3" xfId="13429"/>
    <cellStyle name="Вывод 16 2 4 4" xfId="9606"/>
    <cellStyle name="Вывод 16 2 5" xfId="11108"/>
    <cellStyle name="Вывод 16 3" xfId="6333"/>
    <cellStyle name="Вывод 16 3 2" xfId="12296"/>
    <cellStyle name="Вывод 16 3 3" xfId="10394"/>
    <cellStyle name="Вывод 16 3 4" xfId="12588"/>
    <cellStyle name="Вывод 16 4" xfId="7045"/>
    <cellStyle name="Вывод 16 4 2" xfId="12774"/>
    <cellStyle name="Вывод 16 4 3" xfId="10144"/>
    <cellStyle name="Вывод 16 4 4" xfId="10846"/>
    <cellStyle name="Вывод 16 5" xfId="7525"/>
    <cellStyle name="Вывод 16 5 2" xfId="13118"/>
    <cellStyle name="Вывод 16 5 3" xfId="9479"/>
    <cellStyle name="Вывод 16 5 4" xfId="9605"/>
    <cellStyle name="Вывод 16 6" xfId="11107"/>
    <cellStyle name="Вывод 17" xfId="3449"/>
    <cellStyle name="Вывод 17 2" xfId="3450"/>
    <cellStyle name="Вывод 17 2 2" xfId="6336"/>
    <cellStyle name="Вывод 17 2 2 2" xfId="12299"/>
    <cellStyle name="Вывод 17 2 2 3" xfId="10391"/>
    <cellStyle name="Вывод 17 2 2 4" xfId="12591"/>
    <cellStyle name="Вывод 17 2 3" xfId="7048"/>
    <cellStyle name="Вывод 17 2 3 2" xfId="12777"/>
    <cellStyle name="Вывод 17 2 3 3" xfId="10141"/>
    <cellStyle name="Вывод 17 2 3 4" xfId="10849"/>
    <cellStyle name="Вывод 17 2 4" xfId="7528"/>
    <cellStyle name="Вывод 17 2 4 2" xfId="13121"/>
    <cellStyle name="Вывод 17 2 4 3" xfId="9477"/>
    <cellStyle name="Вывод 17 2 4 4" xfId="9608"/>
    <cellStyle name="Вывод 17 2 5" xfId="11110"/>
    <cellStyle name="Вывод 17 3" xfId="6335"/>
    <cellStyle name="Вывод 17 3 2" xfId="12298"/>
    <cellStyle name="Вывод 17 3 3" xfId="10392"/>
    <cellStyle name="Вывод 17 3 4" xfId="12590"/>
    <cellStyle name="Вывод 17 4" xfId="7047"/>
    <cellStyle name="Вывод 17 4 2" xfId="12776"/>
    <cellStyle name="Вывод 17 4 3" xfId="10142"/>
    <cellStyle name="Вывод 17 4 4" xfId="10848"/>
    <cellStyle name="Вывод 17 5" xfId="7527"/>
    <cellStyle name="Вывод 17 5 2" xfId="13120"/>
    <cellStyle name="Вывод 17 5 3" xfId="9478"/>
    <cellStyle name="Вывод 17 5 4" xfId="9607"/>
    <cellStyle name="Вывод 17 6" xfId="11109"/>
    <cellStyle name="Вывод 18" xfId="3451"/>
    <cellStyle name="Вывод 18 2" xfId="3452"/>
    <cellStyle name="Вывод 18 2 2" xfId="6338"/>
    <cellStyle name="Вывод 18 2 2 2" xfId="12301"/>
    <cellStyle name="Вывод 18 2 2 3" xfId="10389"/>
    <cellStyle name="Вывод 18 2 2 4" xfId="9793"/>
    <cellStyle name="Вывод 18 2 3" xfId="7050"/>
    <cellStyle name="Вывод 18 2 3 2" xfId="12779"/>
    <cellStyle name="Вывод 18 2 3 3" xfId="10139"/>
    <cellStyle name="Вывод 18 2 3 4" xfId="10851"/>
    <cellStyle name="Вывод 18 2 4" xfId="7530"/>
    <cellStyle name="Вывод 18 2 4 2" xfId="13123"/>
    <cellStyle name="Вывод 18 2 4 3" xfId="9475"/>
    <cellStyle name="Вывод 18 2 4 4" xfId="9610"/>
    <cellStyle name="Вывод 18 2 5" xfId="11112"/>
    <cellStyle name="Вывод 18 3" xfId="6337"/>
    <cellStyle name="Вывод 18 3 2" xfId="12300"/>
    <cellStyle name="Вывод 18 3 3" xfId="10390"/>
    <cellStyle name="Вывод 18 3 4" xfId="9792"/>
    <cellStyle name="Вывод 18 4" xfId="7049"/>
    <cellStyle name="Вывод 18 4 2" xfId="12778"/>
    <cellStyle name="Вывод 18 4 3" xfId="10140"/>
    <cellStyle name="Вывод 18 4 4" xfId="10850"/>
    <cellStyle name="Вывод 18 5" xfId="7529"/>
    <cellStyle name="Вывод 18 5 2" xfId="13122"/>
    <cellStyle name="Вывод 18 5 3" xfId="9476"/>
    <cellStyle name="Вывод 18 5 4" xfId="9609"/>
    <cellStyle name="Вывод 18 6" xfId="11111"/>
    <cellStyle name="Вывод 19" xfId="3453"/>
    <cellStyle name="Вывод 19 2" xfId="3454"/>
    <cellStyle name="Вывод 19 2 2" xfId="6340"/>
    <cellStyle name="Вывод 19 2 2 2" xfId="12303"/>
    <cellStyle name="Вывод 19 2 2 3" xfId="10387"/>
    <cellStyle name="Вывод 19 2 2 4" xfId="9795"/>
    <cellStyle name="Вывод 19 2 3" xfId="7052"/>
    <cellStyle name="Вывод 19 2 3 2" xfId="12781"/>
    <cellStyle name="Вывод 19 2 3 3" xfId="10137"/>
    <cellStyle name="Вывод 19 2 3 4" xfId="10853"/>
    <cellStyle name="Вывод 19 2 4" xfId="7532"/>
    <cellStyle name="Вывод 19 2 4 2" xfId="13125"/>
    <cellStyle name="Вывод 19 2 4 3" xfId="12445"/>
    <cellStyle name="Вывод 19 2 4 4" xfId="9612"/>
    <cellStyle name="Вывод 19 2 5" xfId="11114"/>
    <cellStyle name="Вывод 19 3" xfId="6339"/>
    <cellStyle name="Вывод 19 3 2" xfId="12302"/>
    <cellStyle name="Вывод 19 3 3" xfId="10388"/>
    <cellStyle name="Вывод 19 3 4" xfId="9794"/>
    <cellStyle name="Вывод 19 4" xfId="7051"/>
    <cellStyle name="Вывод 19 4 2" xfId="12780"/>
    <cellStyle name="Вывод 19 4 3" xfId="10138"/>
    <cellStyle name="Вывод 19 4 4" xfId="10852"/>
    <cellStyle name="Вывод 19 5" xfId="7531"/>
    <cellStyle name="Вывод 19 5 2" xfId="13124"/>
    <cellStyle name="Вывод 19 5 3" xfId="9474"/>
    <cellStyle name="Вывод 19 5 4" xfId="9611"/>
    <cellStyle name="Вывод 19 6" xfId="11113"/>
    <cellStyle name="Вывод 2" xfId="1549"/>
    <cellStyle name="Вывод 2 10" xfId="3455"/>
    <cellStyle name="Вывод 2 10 2" xfId="3456"/>
    <cellStyle name="Вывод 2 10 2 2" xfId="6342"/>
    <cellStyle name="Вывод 2 10 2 2 2" xfId="12305"/>
    <cellStyle name="Вывод 2 10 2 2 3" xfId="10385"/>
    <cellStyle name="Вывод 2 10 2 2 4" xfId="9797"/>
    <cellStyle name="Вывод 2 10 2 3" xfId="7054"/>
    <cellStyle name="Вывод 2 10 2 3 2" xfId="12783"/>
    <cellStyle name="Вывод 2 10 2 3 3" xfId="10135"/>
    <cellStyle name="Вывод 2 10 2 3 4" xfId="10855"/>
    <cellStyle name="Вывод 2 10 2 4" xfId="7534"/>
    <cellStyle name="Вывод 2 10 2 4 2" xfId="13127"/>
    <cellStyle name="Вывод 2 10 2 4 3" xfId="12012"/>
    <cellStyle name="Вывод 2 10 2 4 4" xfId="11666"/>
    <cellStyle name="Вывод 2 10 2 5" xfId="11116"/>
    <cellStyle name="Вывод 2 10 3" xfId="6341"/>
    <cellStyle name="Вывод 2 10 3 2" xfId="12304"/>
    <cellStyle name="Вывод 2 10 3 3" xfId="10386"/>
    <cellStyle name="Вывод 2 10 3 4" xfId="9796"/>
    <cellStyle name="Вывод 2 10 4" xfId="7053"/>
    <cellStyle name="Вывод 2 10 4 2" xfId="12782"/>
    <cellStyle name="Вывод 2 10 4 3" xfId="10136"/>
    <cellStyle name="Вывод 2 10 4 4" xfId="10854"/>
    <cellStyle name="Вывод 2 10 5" xfId="7533"/>
    <cellStyle name="Вывод 2 10 5 2" xfId="13126"/>
    <cellStyle name="Вывод 2 10 5 3" xfId="12026"/>
    <cellStyle name="Вывод 2 10 5 4" xfId="9613"/>
    <cellStyle name="Вывод 2 10 6" xfId="11115"/>
    <cellStyle name="Вывод 2 11" xfId="3457"/>
    <cellStyle name="Вывод 2 11 2" xfId="3458"/>
    <cellStyle name="Вывод 2 11 2 2" xfId="6344"/>
    <cellStyle name="Вывод 2 11 2 2 2" xfId="12307"/>
    <cellStyle name="Вывод 2 11 2 2 3" xfId="10383"/>
    <cellStyle name="Вывод 2 11 2 2 4" xfId="9799"/>
    <cellStyle name="Вывод 2 11 2 3" xfId="7056"/>
    <cellStyle name="Вывод 2 11 2 3 2" xfId="12785"/>
    <cellStyle name="Вывод 2 11 2 3 3" xfId="10133"/>
    <cellStyle name="Вывод 2 11 2 3 4" xfId="10857"/>
    <cellStyle name="Вывод 2 11 2 4" xfId="7536"/>
    <cellStyle name="Вывод 2 11 2 4 2" xfId="13129"/>
    <cellStyle name="Вывод 2 11 2 4 3" xfId="12001"/>
    <cellStyle name="Вывод 2 11 2 4 4" xfId="9614"/>
    <cellStyle name="Вывод 2 11 2 5" xfId="11118"/>
    <cellStyle name="Вывод 2 11 3" xfId="6343"/>
    <cellStyle name="Вывод 2 11 3 2" xfId="12306"/>
    <cellStyle name="Вывод 2 11 3 3" xfId="10384"/>
    <cellStyle name="Вывод 2 11 3 4" xfId="9798"/>
    <cellStyle name="Вывод 2 11 4" xfId="7055"/>
    <cellStyle name="Вывод 2 11 4 2" xfId="12784"/>
    <cellStyle name="Вывод 2 11 4 3" xfId="10134"/>
    <cellStyle name="Вывод 2 11 4 4" xfId="10856"/>
    <cellStyle name="Вывод 2 11 5" xfId="7535"/>
    <cellStyle name="Вывод 2 11 5 2" xfId="13128"/>
    <cellStyle name="Вывод 2 11 5 3" xfId="12006"/>
    <cellStyle name="Вывод 2 11 5 4" xfId="11667"/>
    <cellStyle name="Вывод 2 11 6" xfId="11117"/>
    <cellStyle name="Вывод 2 12" xfId="3459"/>
    <cellStyle name="Вывод 2 12 2" xfId="3460"/>
    <cellStyle name="Вывод 2 12 2 2" xfId="6346"/>
    <cellStyle name="Вывод 2 12 2 2 2" xfId="12309"/>
    <cellStyle name="Вывод 2 12 2 2 3" xfId="10381"/>
    <cellStyle name="Вывод 2 12 2 2 4" xfId="11925"/>
    <cellStyle name="Вывод 2 12 2 3" xfId="7058"/>
    <cellStyle name="Вывод 2 12 2 3 2" xfId="12787"/>
    <cellStyle name="Вывод 2 12 2 3 3" xfId="10131"/>
    <cellStyle name="Вывод 2 12 2 3 4" xfId="10859"/>
    <cellStyle name="Вывод 2 12 2 4" xfId="7538"/>
    <cellStyle name="Вывод 2 12 2 4 2" xfId="13131"/>
    <cellStyle name="Вывод 2 12 2 4 3" xfId="11981"/>
    <cellStyle name="Вывод 2 12 2 4 4" xfId="9615"/>
    <cellStyle name="Вывод 2 12 2 5" xfId="11120"/>
    <cellStyle name="Вывод 2 12 3" xfId="6345"/>
    <cellStyle name="Вывод 2 12 3 2" xfId="12308"/>
    <cellStyle name="Вывод 2 12 3 3" xfId="10382"/>
    <cellStyle name="Вывод 2 12 3 4" xfId="11924"/>
    <cellStyle name="Вывод 2 12 4" xfId="7057"/>
    <cellStyle name="Вывод 2 12 4 2" xfId="12786"/>
    <cellStyle name="Вывод 2 12 4 3" xfId="10132"/>
    <cellStyle name="Вывод 2 12 4 4" xfId="10858"/>
    <cellStyle name="Вывод 2 12 5" xfId="7537"/>
    <cellStyle name="Вывод 2 12 5 2" xfId="13130"/>
    <cellStyle name="Вывод 2 12 5 3" xfId="11994"/>
    <cellStyle name="Вывод 2 12 5 4" xfId="13434"/>
    <cellStyle name="Вывод 2 12 6" xfId="11119"/>
    <cellStyle name="Вывод 2 13" xfId="3461"/>
    <cellStyle name="Вывод 2 13 2" xfId="3462"/>
    <cellStyle name="Вывод 2 13 2 2" xfId="6348"/>
    <cellStyle name="Вывод 2 13 2 2 2" xfId="12311"/>
    <cellStyle name="Вывод 2 13 2 2 3" xfId="10379"/>
    <cellStyle name="Вывод 2 13 2 2 4" xfId="11927"/>
    <cellStyle name="Вывод 2 13 2 3" xfId="7060"/>
    <cellStyle name="Вывод 2 13 2 3 2" xfId="12789"/>
    <cellStyle name="Вывод 2 13 2 3 3" xfId="10129"/>
    <cellStyle name="Вывод 2 13 2 3 4" xfId="10861"/>
    <cellStyle name="Вывод 2 13 2 4" xfId="7540"/>
    <cellStyle name="Вывод 2 13 2 4 2" xfId="13133"/>
    <cellStyle name="Вывод 2 13 2 4 3" xfId="11749"/>
    <cellStyle name="Вывод 2 13 2 4 4" xfId="9617"/>
    <cellStyle name="Вывод 2 13 2 5" xfId="11122"/>
    <cellStyle name="Вывод 2 13 3" xfId="6347"/>
    <cellStyle name="Вывод 2 13 3 2" xfId="12310"/>
    <cellStyle name="Вывод 2 13 3 3" xfId="10380"/>
    <cellStyle name="Вывод 2 13 3 4" xfId="11926"/>
    <cellStyle name="Вывод 2 13 4" xfId="7059"/>
    <cellStyle name="Вывод 2 13 4 2" xfId="12788"/>
    <cellStyle name="Вывод 2 13 4 3" xfId="10130"/>
    <cellStyle name="Вывод 2 13 4 4" xfId="10860"/>
    <cellStyle name="Вывод 2 13 5" xfId="7539"/>
    <cellStyle name="Вывод 2 13 5 2" xfId="13132"/>
    <cellStyle name="Вывод 2 13 5 3" xfId="11963"/>
    <cellStyle name="Вывод 2 13 5 4" xfId="9616"/>
    <cellStyle name="Вывод 2 13 6" xfId="11121"/>
    <cellStyle name="Вывод 2 14" xfId="3463"/>
    <cellStyle name="Вывод 2 14 2" xfId="3464"/>
    <cellStyle name="Вывод 2 14 2 2" xfId="6350"/>
    <cellStyle name="Вывод 2 14 2 2 2" xfId="12313"/>
    <cellStyle name="Вывод 2 14 2 2 3" xfId="10377"/>
    <cellStyle name="Вывод 2 14 2 2 4" xfId="11929"/>
    <cellStyle name="Вывод 2 14 2 3" xfId="7062"/>
    <cellStyle name="Вывод 2 14 2 3 2" xfId="12791"/>
    <cellStyle name="Вывод 2 14 2 3 3" xfId="10127"/>
    <cellStyle name="Вывод 2 14 2 3 4" xfId="10863"/>
    <cellStyle name="Вывод 2 14 2 4" xfId="7542"/>
    <cellStyle name="Вывод 2 14 2 4 2" xfId="13135"/>
    <cellStyle name="Вывод 2 14 2 4 3" xfId="9473"/>
    <cellStyle name="Вывод 2 14 2 4 4" xfId="11848"/>
    <cellStyle name="Вывод 2 14 2 5" xfId="11124"/>
    <cellStyle name="Вывод 2 14 3" xfId="6349"/>
    <cellStyle name="Вывод 2 14 3 2" xfId="12312"/>
    <cellStyle name="Вывод 2 14 3 3" xfId="10378"/>
    <cellStyle name="Вывод 2 14 3 4" xfId="11928"/>
    <cellStyle name="Вывод 2 14 4" xfId="7061"/>
    <cellStyle name="Вывод 2 14 4 2" xfId="12790"/>
    <cellStyle name="Вывод 2 14 4 3" xfId="10128"/>
    <cellStyle name="Вывод 2 14 4 4" xfId="10862"/>
    <cellStyle name="Вывод 2 14 5" xfId="7541"/>
    <cellStyle name="Вывод 2 14 5 2" xfId="13134"/>
    <cellStyle name="Вывод 2 14 5 3" xfId="9470"/>
    <cellStyle name="Вывод 2 14 5 4" xfId="9618"/>
    <cellStyle name="Вывод 2 14 6" xfId="11123"/>
    <cellStyle name="Вывод 2 15" xfId="3465"/>
    <cellStyle name="Вывод 2 15 2" xfId="3466"/>
    <cellStyle name="Вывод 2 15 2 2" xfId="6352"/>
    <cellStyle name="Вывод 2 15 2 2 2" xfId="12315"/>
    <cellStyle name="Вывод 2 15 2 2 3" xfId="10375"/>
    <cellStyle name="Вывод 2 15 2 2 4" xfId="9801"/>
    <cellStyle name="Вывод 2 15 2 3" xfId="7064"/>
    <cellStyle name="Вывод 2 15 2 3 2" xfId="12793"/>
    <cellStyle name="Вывод 2 15 2 3 3" xfId="10125"/>
    <cellStyle name="Вывод 2 15 2 3 4" xfId="10865"/>
    <cellStyle name="Вывод 2 15 2 4" xfId="7544"/>
    <cellStyle name="Вывод 2 15 2 4 2" xfId="13137"/>
    <cellStyle name="Вывод 2 15 2 4 3" xfId="9471"/>
    <cellStyle name="Вывод 2 15 2 4 4" xfId="11850"/>
    <cellStyle name="Вывод 2 15 2 5" xfId="11126"/>
    <cellStyle name="Вывод 2 15 3" xfId="6351"/>
    <cellStyle name="Вывод 2 15 3 2" xfId="12314"/>
    <cellStyle name="Вывод 2 15 3 3" xfId="10376"/>
    <cellStyle name="Вывод 2 15 3 4" xfId="9800"/>
    <cellStyle name="Вывод 2 15 4" xfId="7063"/>
    <cellStyle name="Вывод 2 15 4 2" xfId="12792"/>
    <cellStyle name="Вывод 2 15 4 3" xfId="10126"/>
    <cellStyle name="Вывод 2 15 4 4" xfId="10864"/>
    <cellStyle name="Вывод 2 15 5" xfId="7543"/>
    <cellStyle name="Вывод 2 15 5 2" xfId="13136"/>
    <cellStyle name="Вывод 2 15 5 3" xfId="9472"/>
    <cellStyle name="Вывод 2 15 5 4" xfId="11849"/>
    <cellStyle name="Вывод 2 15 6" xfId="11125"/>
    <cellStyle name="Вывод 2 16" xfId="3467"/>
    <cellStyle name="Вывод 2 16 2" xfId="3468"/>
    <cellStyle name="Вывод 2 16 2 2" xfId="6354"/>
    <cellStyle name="Вывод 2 16 2 2 2" xfId="12317"/>
    <cellStyle name="Вывод 2 16 2 2 3" xfId="10373"/>
    <cellStyle name="Вывод 2 16 2 2 4" xfId="9803"/>
    <cellStyle name="Вывод 2 16 2 3" xfId="7066"/>
    <cellStyle name="Вывод 2 16 2 3 2" xfId="12795"/>
    <cellStyle name="Вывод 2 16 2 3 3" xfId="10123"/>
    <cellStyle name="Вывод 2 16 2 3 4" xfId="10867"/>
    <cellStyle name="Вывод 2 16 2 4" xfId="7546"/>
    <cellStyle name="Вывод 2 16 2 4 2" xfId="13139"/>
    <cellStyle name="Вывод 2 16 2 4 3" xfId="9444"/>
    <cellStyle name="Вывод 2 16 2 4 4" xfId="11852"/>
    <cellStyle name="Вывод 2 16 2 5" xfId="11128"/>
    <cellStyle name="Вывод 2 16 3" xfId="6353"/>
    <cellStyle name="Вывод 2 16 3 2" xfId="12316"/>
    <cellStyle name="Вывод 2 16 3 3" xfId="10374"/>
    <cellStyle name="Вывод 2 16 3 4" xfId="9802"/>
    <cellStyle name="Вывод 2 16 4" xfId="7065"/>
    <cellStyle name="Вывод 2 16 4 2" xfId="12794"/>
    <cellStyle name="Вывод 2 16 4 3" xfId="10124"/>
    <cellStyle name="Вывод 2 16 4 4" xfId="10866"/>
    <cellStyle name="Вывод 2 16 5" xfId="7545"/>
    <cellStyle name="Вывод 2 16 5 2" xfId="13138"/>
    <cellStyle name="Вывод 2 16 5 3" xfId="12534"/>
    <cellStyle name="Вывод 2 16 5 4" xfId="11851"/>
    <cellStyle name="Вывод 2 16 6" xfId="11127"/>
    <cellStyle name="Вывод 2 17" xfId="3469"/>
    <cellStyle name="Вывод 2 17 2" xfId="3470"/>
    <cellStyle name="Вывод 2 17 2 2" xfId="6356"/>
    <cellStyle name="Вывод 2 17 2 2 2" xfId="12319"/>
    <cellStyle name="Вывод 2 17 2 2 3" xfId="10371"/>
    <cellStyle name="Вывод 2 17 2 2 4" xfId="9804"/>
    <cellStyle name="Вывод 2 17 2 3" xfId="7068"/>
    <cellStyle name="Вывод 2 17 2 3 2" xfId="12797"/>
    <cellStyle name="Вывод 2 17 2 3 3" xfId="10121"/>
    <cellStyle name="Вывод 2 17 2 3 4" xfId="10869"/>
    <cellStyle name="Вывод 2 17 2 4" xfId="7548"/>
    <cellStyle name="Вывод 2 17 2 4 2" xfId="13141"/>
    <cellStyle name="Вывод 2 17 2 4 3" xfId="9468"/>
    <cellStyle name="Вывод 2 17 2 4 4" xfId="9619"/>
    <cellStyle name="Вывод 2 17 2 5" xfId="11130"/>
    <cellStyle name="Вывод 2 17 3" xfId="6355"/>
    <cellStyle name="Вывод 2 17 3 2" xfId="12318"/>
    <cellStyle name="Вывод 2 17 3 3" xfId="10372"/>
    <cellStyle name="Вывод 2 17 3 4" xfId="11930"/>
    <cellStyle name="Вывод 2 17 4" xfId="7067"/>
    <cellStyle name="Вывод 2 17 4 2" xfId="12796"/>
    <cellStyle name="Вывод 2 17 4 3" xfId="10122"/>
    <cellStyle name="Вывод 2 17 4 4" xfId="10868"/>
    <cellStyle name="Вывод 2 17 5" xfId="7547"/>
    <cellStyle name="Вывод 2 17 5 2" xfId="13140"/>
    <cellStyle name="Вывод 2 17 5 3" xfId="9469"/>
    <cellStyle name="Вывод 2 17 5 4" xfId="11853"/>
    <cellStyle name="Вывод 2 17 6" xfId="11129"/>
    <cellStyle name="Вывод 2 18" xfId="3471"/>
    <cellStyle name="Вывод 2 18 2" xfId="3472"/>
    <cellStyle name="Вывод 2 18 2 2" xfId="6358"/>
    <cellStyle name="Вывод 2 18 2 2 2" xfId="12321"/>
    <cellStyle name="Вывод 2 18 2 2 3" xfId="10369"/>
    <cellStyle name="Вывод 2 18 2 2 4" xfId="9806"/>
    <cellStyle name="Вывод 2 18 2 3" xfId="7070"/>
    <cellStyle name="Вывод 2 18 2 3 2" xfId="12799"/>
    <cellStyle name="Вывод 2 18 2 3 3" xfId="10119"/>
    <cellStyle name="Вывод 2 18 2 3 4" xfId="10870"/>
    <cellStyle name="Вывод 2 18 2 4" xfId="7550"/>
    <cellStyle name="Вывод 2 18 2 4 2" xfId="13143"/>
    <cellStyle name="Вывод 2 18 2 4 3" xfId="9466"/>
    <cellStyle name="Вывод 2 18 2 4 4" xfId="11855"/>
    <cellStyle name="Вывод 2 18 2 5" xfId="11132"/>
    <cellStyle name="Вывод 2 18 3" xfId="6357"/>
    <cellStyle name="Вывод 2 18 3 2" xfId="12320"/>
    <cellStyle name="Вывод 2 18 3 3" xfId="10370"/>
    <cellStyle name="Вывод 2 18 3 4" xfId="9805"/>
    <cellStyle name="Вывод 2 18 4" xfId="7069"/>
    <cellStyle name="Вывод 2 18 4 2" xfId="12798"/>
    <cellStyle name="Вывод 2 18 4 3" xfId="10120"/>
    <cellStyle name="Вывод 2 18 4 4" xfId="11367"/>
    <cellStyle name="Вывод 2 18 5" xfId="7549"/>
    <cellStyle name="Вывод 2 18 5 2" xfId="13142"/>
    <cellStyle name="Вывод 2 18 5 3" xfId="9467"/>
    <cellStyle name="Вывод 2 18 5 4" xfId="11854"/>
    <cellStyle name="Вывод 2 18 6" xfId="11131"/>
    <cellStyle name="Вывод 2 19" xfId="3473"/>
    <cellStyle name="Вывод 2 19 2" xfId="6359"/>
    <cellStyle name="Вывод 2 19 2 2" xfId="12322"/>
    <cellStyle name="Вывод 2 19 2 3" xfId="10368"/>
    <cellStyle name="Вывод 2 19 2 4" xfId="11931"/>
    <cellStyle name="Вывод 2 19 3" xfId="7071"/>
    <cellStyle name="Вывод 2 19 3 2" xfId="12800"/>
    <cellStyle name="Вывод 2 19 3 3" xfId="10118"/>
    <cellStyle name="Вывод 2 19 3 4" xfId="10871"/>
    <cellStyle name="Вывод 2 19 4" xfId="7551"/>
    <cellStyle name="Вывод 2 19 4 2" xfId="13144"/>
    <cellStyle name="Вывод 2 19 4 3" xfId="9465"/>
    <cellStyle name="Вывод 2 19 4 4" xfId="11856"/>
    <cellStyle name="Вывод 2 19 5" xfId="11133"/>
    <cellStyle name="Вывод 2 2" xfId="3474"/>
    <cellStyle name="Вывод 2 2 2" xfId="3475"/>
    <cellStyle name="Вывод 2 2 2 2" xfId="6361"/>
    <cellStyle name="Вывод 2 2 2 2 2" xfId="12324"/>
    <cellStyle name="Вывод 2 2 2 2 3" xfId="10367"/>
    <cellStyle name="Вывод 2 2 2 2 4" xfId="11933"/>
    <cellStyle name="Вывод 2 2 2 3" xfId="7072"/>
    <cellStyle name="Вывод 2 2 2 3 2" xfId="12801"/>
    <cellStyle name="Вывод 2 2 2 3 3" xfId="10117"/>
    <cellStyle name="Вывод 2 2 2 3 4" xfId="10872"/>
    <cellStyle name="Вывод 2 2 2 4" xfId="7552"/>
    <cellStyle name="Вывод 2 2 2 4 2" xfId="13145"/>
    <cellStyle name="Вывод 2 2 2 4 3" xfId="9464"/>
    <cellStyle name="Вывод 2 2 2 4 4" xfId="11857"/>
    <cellStyle name="Вывод 2 2 2 5" xfId="11135"/>
    <cellStyle name="Вывод 2 2 3" xfId="6360"/>
    <cellStyle name="Вывод 2 2 3 2" xfId="12323"/>
    <cellStyle name="Вывод 2 2 3 3" xfId="9849"/>
    <cellStyle name="Вывод 2 2 3 4" xfId="11932"/>
    <cellStyle name="Вывод 2 2 4" xfId="6939"/>
    <cellStyle name="Вывод 2 2 4 2" xfId="12677"/>
    <cellStyle name="Вывод 2 2 4 3" xfId="10235"/>
    <cellStyle name="Вывод 2 2 4 4" xfId="11555"/>
    <cellStyle name="Вывод 2 2 5" xfId="7508"/>
    <cellStyle name="Вывод 2 2 5 2" xfId="13101"/>
    <cellStyle name="Вывод 2 2 5 3" xfId="13432"/>
    <cellStyle name="Вывод 2 2 5 4" xfId="9596"/>
    <cellStyle name="Вывод 2 2 6" xfId="11134"/>
    <cellStyle name="Вывод 2 2 7" xfId="13260"/>
    <cellStyle name="Вывод 2 2 8" xfId="13098"/>
    <cellStyle name="Вывод 2 20" xfId="6319"/>
    <cellStyle name="Вывод 2 20 2" xfId="12282"/>
    <cellStyle name="Вывод 2 20 3" xfId="10408"/>
    <cellStyle name="Вывод 2 20 4" xfId="9788"/>
    <cellStyle name="Вывод 2 21" xfId="6938"/>
    <cellStyle name="Вывод 2 21 2" xfId="12676"/>
    <cellStyle name="Вывод 2 21 3" xfId="10236"/>
    <cellStyle name="Вывод 2 21 4" xfId="11554"/>
    <cellStyle name="Вывод 2 22" xfId="7507"/>
    <cellStyle name="Вывод 2 22 2" xfId="13100"/>
    <cellStyle name="Вывод 2 22 3" xfId="9491"/>
    <cellStyle name="Вывод 2 22 4" xfId="9595"/>
    <cellStyle name="Вывод 2 23" xfId="9862"/>
    <cellStyle name="Вывод 2 3" xfId="3476"/>
    <cellStyle name="Вывод 2 3 2" xfId="6362"/>
    <cellStyle name="Вывод 2 3 2 2" xfId="12325"/>
    <cellStyle name="Вывод 2 3 2 3" xfId="10366"/>
    <cellStyle name="Вывод 2 3 2 4" xfId="9808"/>
    <cellStyle name="Вывод 2 3 3" xfId="7073"/>
    <cellStyle name="Вывод 2 3 3 2" xfId="12802"/>
    <cellStyle name="Вывод 2 3 3 3" xfId="10116"/>
    <cellStyle name="Вывод 2 3 3 4" xfId="10873"/>
    <cellStyle name="Вывод 2 3 4" xfId="7553"/>
    <cellStyle name="Вывод 2 3 4 2" xfId="13146"/>
    <cellStyle name="Вывод 2 3 4 3" xfId="9463"/>
    <cellStyle name="Вывод 2 3 4 4" xfId="11668"/>
    <cellStyle name="Вывод 2 3 5" xfId="11136"/>
    <cellStyle name="Вывод 2 4" xfId="3477"/>
    <cellStyle name="Вывод 2 4 2" xfId="3478"/>
    <cellStyle name="Вывод 2 4 2 2" xfId="6364"/>
    <cellStyle name="Вывод 2 4 2 2 2" xfId="12327"/>
    <cellStyle name="Вывод 2 4 2 2 3" xfId="10364"/>
    <cellStyle name="Вывод 2 4 2 2 4" xfId="12596"/>
    <cellStyle name="Вывод 2 4 2 3" xfId="7075"/>
    <cellStyle name="Вывод 2 4 2 3 2" xfId="12804"/>
    <cellStyle name="Вывод 2 4 2 3 3" xfId="10114"/>
    <cellStyle name="Вывод 2 4 2 3 4" xfId="10875"/>
    <cellStyle name="Вывод 2 4 2 4" xfId="7555"/>
    <cellStyle name="Вывод 2 4 2 4 2" xfId="13148"/>
    <cellStyle name="Вывод 2 4 2 4 3" xfId="9461"/>
    <cellStyle name="Вывод 2 4 2 4 4" xfId="11858"/>
    <cellStyle name="Вывод 2 4 2 5" xfId="11138"/>
    <cellStyle name="Вывод 2 4 3" xfId="6363"/>
    <cellStyle name="Вывод 2 4 3 2" xfId="12326"/>
    <cellStyle name="Вывод 2 4 3 3" xfId="10365"/>
    <cellStyle name="Вывод 2 4 3 4" xfId="9809"/>
    <cellStyle name="Вывод 2 4 4" xfId="7074"/>
    <cellStyle name="Вывод 2 4 4 2" xfId="12803"/>
    <cellStyle name="Вывод 2 4 4 3" xfId="10115"/>
    <cellStyle name="Вывод 2 4 4 4" xfId="10874"/>
    <cellStyle name="Вывод 2 4 5" xfId="7554"/>
    <cellStyle name="Вывод 2 4 5 2" xfId="13147"/>
    <cellStyle name="Вывод 2 4 5 3" xfId="9462"/>
    <cellStyle name="Вывод 2 4 5 4" xfId="11669"/>
    <cellStyle name="Вывод 2 4 6" xfId="11137"/>
    <cellStyle name="Вывод 2 5" xfId="3479"/>
    <cellStyle name="Вывод 2 5 2" xfId="3480"/>
    <cellStyle name="Вывод 2 5 2 2" xfId="6366"/>
    <cellStyle name="Вывод 2 5 2 2 2" xfId="12329"/>
    <cellStyle name="Вывод 2 5 2 2 3" xfId="10362"/>
    <cellStyle name="Вывод 2 5 2 2 4" xfId="9811"/>
    <cellStyle name="Вывод 2 5 2 3" xfId="7077"/>
    <cellStyle name="Вывод 2 5 2 3 2" xfId="12806"/>
    <cellStyle name="Вывод 2 5 2 3 3" xfId="10112"/>
    <cellStyle name="Вывод 2 5 2 3 4" xfId="10877"/>
    <cellStyle name="Вывод 2 5 2 4" xfId="7557"/>
    <cellStyle name="Вывод 2 5 2 4 2" xfId="13150"/>
    <cellStyle name="Вывод 2 5 2 4 3" xfId="9459"/>
    <cellStyle name="Вывод 2 5 2 4 4" xfId="9620"/>
    <cellStyle name="Вывод 2 5 2 5" xfId="11140"/>
    <cellStyle name="Вывод 2 5 3" xfId="6365"/>
    <cellStyle name="Вывод 2 5 3 2" xfId="12328"/>
    <cellStyle name="Вывод 2 5 3 3" xfId="10363"/>
    <cellStyle name="Вывод 2 5 3 4" xfId="9810"/>
    <cellStyle name="Вывод 2 5 4" xfId="7076"/>
    <cellStyle name="Вывод 2 5 4 2" xfId="12805"/>
    <cellStyle name="Вывод 2 5 4 3" xfId="10113"/>
    <cellStyle name="Вывод 2 5 4 4" xfId="10876"/>
    <cellStyle name="Вывод 2 5 5" xfId="7556"/>
    <cellStyle name="Вывод 2 5 5 2" xfId="13149"/>
    <cellStyle name="Вывод 2 5 5 3" xfId="9460"/>
    <cellStyle name="Вывод 2 5 5 4" xfId="11859"/>
    <cellStyle name="Вывод 2 5 6" xfId="11139"/>
    <cellStyle name="Вывод 2 6" xfId="3481"/>
    <cellStyle name="Вывод 2 6 2" xfId="3482"/>
    <cellStyle name="Вывод 2 6 2 2" xfId="6368"/>
    <cellStyle name="Вывод 2 6 2 2 2" xfId="12331"/>
    <cellStyle name="Вывод 2 6 2 2 3" xfId="10360"/>
    <cellStyle name="Вывод 2 6 2 2 4" xfId="9813"/>
    <cellStyle name="Вывод 2 6 2 3" xfId="7079"/>
    <cellStyle name="Вывод 2 6 2 3 2" xfId="12808"/>
    <cellStyle name="Вывод 2 6 2 3 3" xfId="10110"/>
    <cellStyle name="Вывод 2 6 2 3 4" xfId="10879"/>
    <cellStyle name="Вывод 2 6 2 4" xfId="7559"/>
    <cellStyle name="Вывод 2 6 2 4 2" xfId="13152"/>
    <cellStyle name="Вывод 2 6 2 4 3" xfId="9457"/>
    <cellStyle name="Вывод 2 6 2 4 4" xfId="9622"/>
    <cellStyle name="Вывод 2 6 2 5" xfId="11142"/>
    <cellStyle name="Вывод 2 6 3" xfId="6367"/>
    <cellStyle name="Вывод 2 6 3 2" xfId="12330"/>
    <cellStyle name="Вывод 2 6 3 3" xfId="10361"/>
    <cellStyle name="Вывод 2 6 3 4" xfId="9812"/>
    <cellStyle name="Вывод 2 6 4" xfId="7078"/>
    <cellStyle name="Вывод 2 6 4 2" xfId="12807"/>
    <cellStyle name="Вывод 2 6 4 3" xfId="10111"/>
    <cellStyle name="Вывод 2 6 4 4" xfId="10878"/>
    <cellStyle name="Вывод 2 6 5" xfId="7558"/>
    <cellStyle name="Вывод 2 6 5 2" xfId="13151"/>
    <cellStyle name="Вывод 2 6 5 3" xfId="9458"/>
    <cellStyle name="Вывод 2 6 5 4" xfId="9621"/>
    <cellStyle name="Вывод 2 6 6" xfId="11141"/>
    <cellStyle name="Вывод 2 7" xfId="3483"/>
    <cellStyle name="Вывод 2 7 2" xfId="3484"/>
    <cellStyle name="Вывод 2 7 2 2" xfId="6370"/>
    <cellStyle name="Вывод 2 7 2 2 2" xfId="12333"/>
    <cellStyle name="Вывод 2 7 2 2 3" xfId="10358"/>
    <cellStyle name="Вывод 2 7 2 2 4" xfId="9807"/>
    <cellStyle name="Вывод 2 7 2 3" xfId="7081"/>
    <cellStyle name="Вывод 2 7 2 3 2" xfId="12810"/>
    <cellStyle name="Вывод 2 7 2 3 3" xfId="10108"/>
    <cellStyle name="Вывод 2 7 2 3 4" xfId="10881"/>
    <cellStyle name="Вывод 2 7 2 4" xfId="7561"/>
    <cellStyle name="Вывод 2 7 2 4 2" xfId="13154"/>
    <cellStyle name="Вывод 2 7 2 4 3" xfId="9455"/>
    <cellStyle name="Вывод 2 7 2 4 4" xfId="9624"/>
    <cellStyle name="Вывод 2 7 2 5" xfId="11144"/>
    <cellStyle name="Вывод 2 7 3" xfId="6369"/>
    <cellStyle name="Вывод 2 7 3 2" xfId="12332"/>
    <cellStyle name="Вывод 2 7 3 3" xfId="10359"/>
    <cellStyle name="Вывод 2 7 3 4" xfId="9814"/>
    <cellStyle name="Вывод 2 7 4" xfId="7080"/>
    <cellStyle name="Вывод 2 7 4 2" xfId="12809"/>
    <cellStyle name="Вывод 2 7 4 3" xfId="10109"/>
    <cellStyle name="Вывод 2 7 4 4" xfId="10880"/>
    <cellStyle name="Вывод 2 7 5" xfId="7560"/>
    <cellStyle name="Вывод 2 7 5 2" xfId="13153"/>
    <cellStyle name="Вывод 2 7 5 3" xfId="9456"/>
    <cellStyle name="Вывод 2 7 5 4" xfId="9623"/>
    <cellStyle name="Вывод 2 7 6" xfId="11143"/>
    <cellStyle name="Вывод 2 8" xfId="3485"/>
    <cellStyle name="Вывод 2 8 2" xfId="3486"/>
    <cellStyle name="Вывод 2 8 2 2" xfId="6372"/>
    <cellStyle name="Вывод 2 8 2 2 2" xfId="12335"/>
    <cellStyle name="Вывод 2 8 2 2 3" xfId="10356"/>
    <cellStyle name="Вывод 2 8 2 2 4" xfId="11935"/>
    <cellStyle name="Вывод 2 8 2 3" xfId="7083"/>
    <cellStyle name="Вывод 2 8 2 3 2" xfId="12812"/>
    <cellStyle name="Вывод 2 8 2 3 3" xfId="10106"/>
    <cellStyle name="Вывод 2 8 2 3 4" xfId="10883"/>
    <cellStyle name="Вывод 2 8 2 4" xfId="7563"/>
    <cellStyle name="Вывод 2 8 2 4 2" xfId="13156"/>
    <cellStyle name="Вывод 2 8 2 4 3" xfId="13427"/>
    <cellStyle name="Вывод 2 8 2 4 4" xfId="9626"/>
    <cellStyle name="Вывод 2 8 2 5" xfId="11146"/>
    <cellStyle name="Вывод 2 8 3" xfId="6371"/>
    <cellStyle name="Вывод 2 8 3 2" xfId="12334"/>
    <cellStyle name="Вывод 2 8 3 3" xfId="10357"/>
    <cellStyle name="Вывод 2 8 3 4" xfId="11934"/>
    <cellStyle name="Вывод 2 8 4" xfId="7082"/>
    <cellStyle name="Вывод 2 8 4 2" xfId="12811"/>
    <cellStyle name="Вывод 2 8 4 3" xfId="10107"/>
    <cellStyle name="Вывод 2 8 4 4" xfId="10882"/>
    <cellStyle name="Вывод 2 8 5" xfId="7562"/>
    <cellStyle name="Вывод 2 8 5 2" xfId="13155"/>
    <cellStyle name="Вывод 2 8 5 3" xfId="13499"/>
    <cellStyle name="Вывод 2 8 5 4" xfId="9625"/>
    <cellStyle name="Вывод 2 8 6" xfId="11145"/>
    <cellStyle name="Вывод 2 9" xfId="3487"/>
    <cellStyle name="Вывод 2 9 2" xfId="3488"/>
    <cellStyle name="Вывод 2 9 2 2" xfId="6374"/>
    <cellStyle name="Вывод 2 9 2 2 2" xfId="12337"/>
    <cellStyle name="Вывод 2 9 2 2 3" xfId="10354"/>
    <cellStyle name="Вывод 2 9 2 2 4" xfId="9816"/>
    <cellStyle name="Вывод 2 9 2 3" xfId="7085"/>
    <cellStyle name="Вывод 2 9 2 3 2" xfId="12814"/>
    <cellStyle name="Вывод 2 9 2 3 3" xfId="10104"/>
    <cellStyle name="Вывод 2 9 2 3 4" xfId="10885"/>
    <cellStyle name="Вывод 2 9 2 4" xfId="7565"/>
    <cellStyle name="Вывод 2 9 2 4 2" xfId="13158"/>
    <cellStyle name="Вывод 2 9 2 4 3" xfId="9453"/>
    <cellStyle name="Вывод 2 9 2 4 4" xfId="12524"/>
    <cellStyle name="Вывод 2 9 2 5" xfId="11148"/>
    <cellStyle name="Вывод 2 9 3" xfId="6373"/>
    <cellStyle name="Вывод 2 9 3 2" xfId="12336"/>
    <cellStyle name="Вывод 2 9 3 3" xfId="10355"/>
    <cellStyle name="Вывод 2 9 3 4" xfId="9815"/>
    <cellStyle name="Вывод 2 9 4" xfId="7084"/>
    <cellStyle name="Вывод 2 9 4 2" xfId="12813"/>
    <cellStyle name="Вывод 2 9 4 3" xfId="10105"/>
    <cellStyle name="Вывод 2 9 4 4" xfId="10884"/>
    <cellStyle name="Вывод 2 9 5" xfId="7564"/>
    <cellStyle name="Вывод 2 9 5 2" xfId="13157"/>
    <cellStyle name="Вывод 2 9 5 3" xfId="9454"/>
    <cellStyle name="Вывод 2 9 5 4" xfId="9627"/>
    <cellStyle name="Вывод 2 9 6" xfId="11147"/>
    <cellStyle name="Вывод 20" xfId="3489"/>
    <cellStyle name="Вывод 20 2" xfId="3490"/>
    <cellStyle name="Вывод 20 2 2" xfId="6376"/>
    <cellStyle name="Вывод 20 2 2 2" xfId="12339"/>
    <cellStyle name="Вывод 20 2 2 3" xfId="10352"/>
    <cellStyle name="Вывод 20 2 2 4" xfId="9817"/>
    <cellStyle name="Вывод 20 2 3" xfId="7087"/>
    <cellStyle name="Вывод 20 2 3 2" xfId="12816"/>
    <cellStyle name="Вывод 20 2 3 3" xfId="10102"/>
    <cellStyle name="Вывод 20 2 3 4" xfId="10887"/>
    <cellStyle name="Вывод 20 2 4" xfId="7567"/>
    <cellStyle name="Вывод 20 2 4 2" xfId="13160"/>
    <cellStyle name="Вывод 20 2 4 3" xfId="9451"/>
    <cellStyle name="Вывод 20 2 4 4" xfId="9629"/>
    <cellStyle name="Вывод 20 2 5" xfId="11150"/>
    <cellStyle name="Вывод 20 3" xfId="6375"/>
    <cellStyle name="Вывод 20 3 2" xfId="12338"/>
    <cellStyle name="Вывод 20 3 3" xfId="10353"/>
    <cellStyle name="Вывод 20 3 4" xfId="11936"/>
    <cellStyle name="Вывод 20 4" xfId="7086"/>
    <cellStyle name="Вывод 20 4 2" xfId="12815"/>
    <cellStyle name="Вывод 20 4 3" xfId="10103"/>
    <cellStyle name="Вывод 20 4 4" xfId="10886"/>
    <cellStyle name="Вывод 20 5" xfId="7566"/>
    <cellStyle name="Вывод 20 5 2" xfId="13159"/>
    <cellStyle name="Вывод 20 5 3" xfId="9452"/>
    <cellStyle name="Вывод 20 5 4" xfId="9628"/>
    <cellStyle name="Вывод 20 6" xfId="11149"/>
    <cellStyle name="Вывод 21" xfId="3491"/>
    <cellStyle name="Вывод 21 2" xfId="3492"/>
    <cellStyle name="Вывод 21 2 2" xfId="6378"/>
    <cellStyle name="Вывод 21 2 2 2" xfId="12341"/>
    <cellStyle name="Вывод 21 2 2 3" xfId="10350"/>
    <cellStyle name="Вывод 21 2 2 4" xfId="9818"/>
    <cellStyle name="Вывод 21 2 3" xfId="7089"/>
    <cellStyle name="Вывод 21 2 3 2" xfId="12818"/>
    <cellStyle name="Вывод 21 2 3 3" xfId="10100"/>
    <cellStyle name="Вывод 21 2 3 4" xfId="10889"/>
    <cellStyle name="Вывод 21 2 4" xfId="7569"/>
    <cellStyle name="Вывод 21 2 4 2" xfId="13162"/>
    <cellStyle name="Вывод 21 2 4 3" xfId="9449"/>
    <cellStyle name="Вывод 21 2 4 4" xfId="9631"/>
    <cellStyle name="Вывод 21 2 5" xfId="11152"/>
    <cellStyle name="Вывод 21 3" xfId="6377"/>
    <cellStyle name="Вывод 21 3 2" xfId="12340"/>
    <cellStyle name="Вывод 21 3 3" xfId="10351"/>
    <cellStyle name="Вывод 21 3 4" xfId="11937"/>
    <cellStyle name="Вывод 21 4" xfId="7088"/>
    <cellStyle name="Вывод 21 4 2" xfId="12817"/>
    <cellStyle name="Вывод 21 4 3" xfId="10101"/>
    <cellStyle name="Вывод 21 4 4" xfId="10888"/>
    <cellStyle name="Вывод 21 5" xfId="7568"/>
    <cellStyle name="Вывод 21 5 2" xfId="13161"/>
    <cellStyle name="Вывод 21 5 3" xfId="9450"/>
    <cellStyle name="Вывод 21 5 4" xfId="9630"/>
    <cellStyle name="Вывод 21 6" xfId="11151"/>
    <cellStyle name="Вывод 3" xfId="3493"/>
    <cellStyle name="Вывод 3 2" xfId="3494"/>
    <cellStyle name="Вывод 3 2 2" xfId="6380"/>
    <cellStyle name="Вывод 3 2 2 2" xfId="12343"/>
    <cellStyle name="Вывод 3 2 2 3" xfId="10348"/>
    <cellStyle name="Вывод 3 2 2 4" xfId="11939"/>
    <cellStyle name="Вывод 3 2 3" xfId="7090"/>
    <cellStyle name="Вывод 3 2 3 2" xfId="12819"/>
    <cellStyle name="Вывод 3 2 3 3" xfId="10099"/>
    <cellStyle name="Вывод 3 2 3 4" xfId="10890"/>
    <cellStyle name="Вывод 3 2 4" xfId="7570"/>
    <cellStyle name="Вывод 3 2 4 2" xfId="13163"/>
    <cellStyle name="Вывод 3 2 4 3" xfId="9448"/>
    <cellStyle name="Вывод 3 2 4 4" xfId="9632"/>
    <cellStyle name="Вывод 3 2 5" xfId="11154"/>
    <cellStyle name="Вывод 3 3" xfId="6379"/>
    <cellStyle name="Вывод 3 3 2" xfId="12342"/>
    <cellStyle name="Вывод 3 3 3" xfId="10349"/>
    <cellStyle name="Вывод 3 3 4" xfId="11938"/>
    <cellStyle name="Вывод 3 4" xfId="6940"/>
    <cellStyle name="Вывод 3 4 2" xfId="12678"/>
    <cellStyle name="Вывод 3 4 3" xfId="10234"/>
    <cellStyle name="Вывод 3 4 4" xfId="11556"/>
    <cellStyle name="Вывод 3 5" xfId="7509"/>
    <cellStyle name="Вывод 3 5 2" xfId="13102"/>
    <cellStyle name="Вывод 3 5 3" xfId="9490"/>
    <cellStyle name="Вывод 3 5 4" xfId="9597"/>
    <cellStyle name="Вывод 3 6" xfId="11153"/>
    <cellStyle name="Вывод 3 7" xfId="13318"/>
    <cellStyle name="Вывод 3 8" xfId="13553"/>
    <cellStyle name="Вывод 4" xfId="3495"/>
    <cellStyle name="Вывод 4 2" xfId="3496"/>
    <cellStyle name="Вывод 4 2 2" xfId="6382"/>
    <cellStyle name="Вывод 4 2 2 2" xfId="12345"/>
    <cellStyle name="Вывод 4 2 2 3" xfId="10346"/>
    <cellStyle name="Вывод 4 2 2 4" xfId="11941"/>
    <cellStyle name="Вывод 4 2 3" xfId="7092"/>
    <cellStyle name="Вывод 4 2 3 2" xfId="12821"/>
    <cellStyle name="Вывод 4 2 3 3" xfId="10097"/>
    <cellStyle name="Вывод 4 2 3 4" xfId="10892"/>
    <cellStyle name="Вывод 4 2 4" xfId="7572"/>
    <cellStyle name="Вывод 4 2 4 2" xfId="13165"/>
    <cellStyle name="Вывод 4 2 4 3" xfId="12444"/>
    <cellStyle name="Вывод 4 2 4 4" xfId="11670"/>
    <cellStyle name="Вывод 4 2 5" xfId="11156"/>
    <cellStyle name="Вывод 4 3" xfId="6381"/>
    <cellStyle name="Вывод 4 3 2" xfId="12344"/>
    <cellStyle name="Вывод 4 3 3" xfId="10347"/>
    <cellStyle name="Вывод 4 3 4" xfId="11940"/>
    <cellStyle name="Вывод 4 4" xfId="7091"/>
    <cellStyle name="Вывод 4 4 2" xfId="12820"/>
    <cellStyle name="Вывод 4 4 3" xfId="10098"/>
    <cellStyle name="Вывод 4 4 4" xfId="10891"/>
    <cellStyle name="Вывод 4 5" xfId="7571"/>
    <cellStyle name="Вывод 4 5 2" xfId="13164"/>
    <cellStyle name="Вывод 4 5 3" xfId="12605"/>
    <cellStyle name="Вывод 4 5 4" xfId="9633"/>
    <cellStyle name="Вывод 4 6" xfId="11155"/>
    <cellStyle name="Вывод 5" xfId="3497"/>
    <cellStyle name="Вывод 5 2" xfId="3498"/>
    <cellStyle name="Вывод 5 2 2" xfId="6384"/>
    <cellStyle name="Вывод 5 2 2 2" xfId="12347"/>
    <cellStyle name="Вывод 5 2 2 3" xfId="10344"/>
    <cellStyle name="Вывод 5 2 2 4" xfId="9819"/>
    <cellStyle name="Вывод 5 2 3" xfId="7094"/>
    <cellStyle name="Вывод 5 2 3 2" xfId="12823"/>
    <cellStyle name="Вывод 5 2 3 3" xfId="10095"/>
    <cellStyle name="Вывод 5 2 3 4" xfId="10894"/>
    <cellStyle name="Вывод 5 2 4" xfId="7574"/>
    <cellStyle name="Вывод 5 2 4 2" xfId="13167"/>
    <cellStyle name="Вывод 5 2 4 3" xfId="12011"/>
    <cellStyle name="Вывод 5 2 4 4" xfId="11672"/>
    <cellStyle name="Вывод 5 2 5" xfId="11158"/>
    <cellStyle name="Вывод 5 3" xfId="6383"/>
    <cellStyle name="Вывод 5 3 2" xfId="12346"/>
    <cellStyle name="Вывод 5 3 3" xfId="10345"/>
    <cellStyle name="Вывод 5 3 4" xfId="11942"/>
    <cellStyle name="Вывод 5 4" xfId="7093"/>
    <cellStyle name="Вывод 5 4 2" xfId="12822"/>
    <cellStyle name="Вывод 5 4 3" xfId="10096"/>
    <cellStyle name="Вывод 5 4 4" xfId="10893"/>
    <cellStyle name="Вывод 5 5" xfId="7573"/>
    <cellStyle name="Вывод 5 5 2" xfId="13166"/>
    <cellStyle name="Вывод 5 5 3" xfId="12010"/>
    <cellStyle name="Вывод 5 5 4" xfId="11671"/>
    <cellStyle name="Вывод 5 6" xfId="11157"/>
    <cellStyle name="Вывод 6" xfId="3499"/>
    <cellStyle name="Вывод 6 2" xfId="3500"/>
    <cellStyle name="Вывод 6 2 2" xfId="6386"/>
    <cellStyle name="Вывод 6 2 2 2" xfId="12349"/>
    <cellStyle name="Вывод 6 2 2 3" xfId="10342"/>
    <cellStyle name="Вывод 6 2 2 4" xfId="9821"/>
    <cellStyle name="Вывод 6 2 3" xfId="7096"/>
    <cellStyle name="Вывод 6 2 3 2" xfId="12825"/>
    <cellStyle name="Вывод 6 2 3 3" xfId="10093"/>
    <cellStyle name="Вывод 6 2 3 4" xfId="10896"/>
    <cellStyle name="Вывод 6 2 4" xfId="7576"/>
    <cellStyle name="Вывод 6 2 4 2" xfId="13169"/>
    <cellStyle name="Вывод 6 2 4 3" xfId="12000"/>
    <cellStyle name="Вывод 6 2 4 4" xfId="11674"/>
    <cellStyle name="Вывод 6 2 5" xfId="11160"/>
    <cellStyle name="Вывод 6 3" xfId="6385"/>
    <cellStyle name="Вывод 6 3 2" xfId="12348"/>
    <cellStyle name="Вывод 6 3 3" xfId="10343"/>
    <cellStyle name="Вывод 6 3 4" xfId="9820"/>
    <cellStyle name="Вывод 6 4" xfId="7095"/>
    <cellStyle name="Вывод 6 4 2" xfId="12824"/>
    <cellStyle name="Вывод 6 4 3" xfId="10094"/>
    <cellStyle name="Вывод 6 4 4" xfId="10895"/>
    <cellStyle name="Вывод 6 5" xfId="7575"/>
    <cellStyle name="Вывод 6 5 2" xfId="13168"/>
    <cellStyle name="Вывод 6 5 3" xfId="12005"/>
    <cellStyle name="Вывод 6 5 4" xfId="11673"/>
    <cellStyle name="Вывод 6 6" xfId="11159"/>
    <cellStyle name="Вывод 7" xfId="3501"/>
    <cellStyle name="Вывод 7 2" xfId="3502"/>
    <cellStyle name="Вывод 7 2 2" xfId="6388"/>
    <cellStyle name="Вывод 7 2 2 2" xfId="12351"/>
    <cellStyle name="Вывод 7 2 2 3" xfId="10340"/>
    <cellStyle name="Вывод 7 2 2 4" xfId="11944"/>
    <cellStyle name="Вывод 7 2 3" xfId="7098"/>
    <cellStyle name="Вывод 7 2 3 2" xfId="12827"/>
    <cellStyle name="Вывод 7 2 3 3" xfId="10091"/>
    <cellStyle name="Вывод 7 2 3 4" xfId="10898"/>
    <cellStyle name="Вывод 7 2 4" xfId="7578"/>
    <cellStyle name="Вывод 7 2 4 2" xfId="13171"/>
    <cellStyle name="Вывод 7 2 4 3" xfId="11980"/>
    <cellStyle name="Вывод 7 2 4 4" xfId="11676"/>
    <cellStyle name="Вывод 7 2 5" xfId="11162"/>
    <cellStyle name="Вывод 7 3" xfId="6387"/>
    <cellStyle name="Вывод 7 3 2" xfId="12350"/>
    <cellStyle name="Вывод 7 3 3" xfId="10341"/>
    <cellStyle name="Вывод 7 3 4" xfId="11943"/>
    <cellStyle name="Вывод 7 4" xfId="7097"/>
    <cellStyle name="Вывод 7 4 2" xfId="12826"/>
    <cellStyle name="Вывод 7 4 3" xfId="10092"/>
    <cellStyle name="Вывод 7 4 4" xfId="10897"/>
    <cellStyle name="Вывод 7 5" xfId="7577"/>
    <cellStyle name="Вывод 7 5 2" xfId="13170"/>
    <cellStyle name="Вывод 7 5 3" xfId="11995"/>
    <cellStyle name="Вывод 7 5 4" xfId="11675"/>
    <cellStyle name="Вывод 7 6" xfId="11161"/>
    <cellStyle name="Вывод 8" xfId="3503"/>
    <cellStyle name="Вывод 8 2" xfId="3504"/>
    <cellStyle name="Вывод 8 2 2" xfId="6390"/>
    <cellStyle name="Вывод 8 2 2 2" xfId="12353"/>
    <cellStyle name="Вывод 8 2 2 3" xfId="10338"/>
    <cellStyle name="Вывод 8 2 2 4" xfId="11946"/>
    <cellStyle name="Вывод 8 2 3" xfId="7100"/>
    <cellStyle name="Вывод 8 2 3 2" xfId="12829"/>
    <cellStyle name="Вывод 8 2 3 3" xfId="10089"/>
    <cellStyle name="Вывод 8 2 3 4" xfId="10900"/>
    <cellStyle name="Вывод 8 2 4" xfId="7580"/>
    <cellStyle name="Вывод 8 2 4 2" xfId="13173"/>
    <cellStyle name="Вывод 8 2 4 3" xfId="11748"/>
    <cellStyle name="Вывод 8 2 4 4" xfId="11678"/>
    <cellStyle name="Вывод 8 2 5" xfId="11164"/>
    <cellStyle name="Вывод 8 3" xfId="6389"/>
    <cellStyle name="Вывод 8 3 2" xfId="12352"/>
    <cellStyle name="Вывод 8 3 3" xfId="10339"/>
    <cellStyle name="Вывод 8 3 4" xfId="11945"/>
    <cellStyle name="Вывод 8 4" xfId="7099"/>
    <cellStyle name="Вывод 8 4 2" xfId="12828"/>
    <cellStyle name="Вывод 8 4 3" xfId="10090"/>
    <cellStyle name="Вывод 8 4 4" xfId="10899"/>
    <cellStyle name="Вывод 8 5" xfId="7579"/>
    <cellStyle name="Вывод 8 5 2" xfId="13172"/>
    <cellStyle name="Вывод 8 5 3" xfId="11962"/>
    <cellStyle name="Вывод 8 5 4" xfId="11677"/>
    <cellStyle name="Вывод 8 6" xfId="11163"/>
    <cellStyle name="Вывод 9" xfId="3505"/>
    <cellStyle name="Вывод 9 2" xfId="3506"/>
    <cellStyle name="Вывод 9 2 2" xfId="6392"/>
    <cellStyle name="Вывод 9 2 2 2" xfId="12355"/>
    <cellStyle name="Вывод 9 2 2 3" xfId="10336"/>
    <cellStyle name="Вывод 9 2 2 4" xfId="9823"/>
    <cellStyle name="Вывод 9 2 3" xfId="7102"/>
    <cellStyle name="Вывод 9 2 3 2" xfId="12831"/>
    <cellStyle name="Вывод 9 2 3 3" xfId="10087"/>
    <cellStyle name="Вывод 9 2 3 4" xfId="10902"/>
    <cellStyle name="Вывод 9 2 4" xfId="7582"/>
    <cellStyle name="Вывод 9 2 4 2" xfId="13175"/>
    <cellStyle name="Вывод 9 2 4 3" xfId="9446"/>
    <cellStyle name="Вывод 9 2 4 4" xfId="11680"/>
    <cellStyle name="Вывод 9 2 5" xfId="11166"/>
    <cellStyle name="Вывод 9 3" xfId="6391"/>
    <cellStyle name="Вывод 9 3 2" xfId="12354"/>
    <cellStyle name="Вывод 9 3 3" xfId="10337"/>
    <cellStyle name="Вывод 9 3 4" xfId="9822"/>
    <cellStyle name="Вывод 9 4" xfId="7101"/>
    <cellStyle name="Вывод 9 4 2" xfId="12830"/>
    <cellStyle name="Вывод 9 4 3" xfId="10088"/>
    <cellStyle name="Вывод 9 4 4" xfId="10901"/>
    <cellStyle name="Вывод 9 5" xfId="7581"/>
    <cellStyle name="Вывод 9 5 2" xfId="13174"/>
    <cellStyle name="Вывод 9 5 3" xfId="9447"/>
    <cellStyle name="Вывод 9 5 4" xfId="11679"/>
    <cellStyle name="Вывод 9 6" xfId="11165"/>
    <cellStyle name="Вычисление 10" xfId="3507"/>
    <cellStyle name="Вычисление 10 2" xfId="3508"/>
    <cellStyle name="Вычисление 10 2 2" xfId="6165"/>
    <cellStyle name="Вычисление 10 2 2 2" xfId="12136"/>
    <cellStyle name="Вычисление 10 2 2 3" xfId="10550"/>
    <cellStyle name="Вычисление 10 2 2 4" xfId="11975"/>
    <cellStyle name="Вычисление 10 2 3" xfId="7104"/>
    <cellStyle name="Вычисление 10 2 3 2" xfId="12833"/>
    <cellStyle name="Вычисление 10 2 3 3" xfId="10085"/>
    <cellStyle name="Вычисление 10 2 3 4" xfId="10904"/>
    <cellStyle name="Вычисление 10 2 4" xfId="11168"/>
    <cellStyle name="Вычисление 10 2 5" xfId="13324"/>
    <cellStyle name="Вычисление 10 2 6" xfId="13626"/>
    <cellStyle name="Вычисление 10 3" xfId="6164"/>
    <cellStyle name="Вычисление 10 3 2" xfId="12135"/>
    <cellStyle name="Вычисление 10 3 3" xfId="10551"/>
    <cellStyle name="Вычисление 10 3 4" xfId="11486"/>
    <cellStyle name="Вычисление 10 4" xfId="7103"/>
    <cellStyle name="Вычисление 10 4 2" xfId="12832"/>
    <cellStyle name="Вычисление 10 4 3" xfId="10086"/>
    <cellStyle name="Вычисление 10 4 4" xfId="10903"/>
    <cellStyle name="Вычисление 10 5" xfId="11167"/>
    <cellStyle name="Вычисление 10 6" xfId="13410"/>
    <cellStyle name="Вычисление 10 7" xfId="13570"/>
    <cellStyle name="Вычисление 11" xfId="3509"/>
    <cellStyle name="Вычисление 11 2" xfId="3510"/>
    <cellStyle name="Вычисление 11 2 2" xfId="6167"/>
    <cellStyle name="Вычисление 11 2 2 2" xfId="12138"/>
    <cellStyle name="Вычисление 11 2 2 3" xfId="10548"/>
    <cellStyle name="Вычисление 11 2 2 4" xfId="11972"/>
    <cellStyle name="Вычисление 11 2 3" xfId="7106"/>
    <cellStyle name="Вычисление 11 2 3 2" xfId="12835"/>
    <cellStyle name="Вычисление 11 2 3 3" xfId="10083"/>
    <cellStyle name="Вычисление 11 2 3 4" xfId="9859"/>
    <cellStyle name="Вычисление 11 2 4" xfId="11170"/>
    <cellStyle name="Вычисление 11 2 5" xfId="13302"/>
    <cellStyle name="Вычисление 11 2 6" xfId="13608"/>
    <cellStyle name="Вычисление 11 3" xfId="6166"/>
    <cellStyle name="Вычисление 11 3 2" xfId="12137"/>
    <cellStyle name="Вычисление 11 3 3" xfId="10549"/>
    <cellStyle name="Вычисление 11 3 4" xfId="11487"/>
    <cellStyle name="Вычисление 11 4" xfId="7105"/>
    <cellStyle name="Вычисление 11 4 2" xfId="12834"/>
    <cellStyle name="Вычисление 11 4 3" xfId="10084"/>
    <cellStyle name="Вычисление 11 4 4" xfId="10905"/>
    <cellStyle name="Вычисление 11 5" xfId="11169"/>
    <cellStyle name="Вычисление 11 6" xfId="13388"/>
    <cellStyle name="Вычисление 11 7" xfId="13551"/>
    <cellStyle name="Вычисление 12" xfId="3511"/>
    <cellStyle name="Вычисление 12 2" xfId="3512"/>
    <cellStyle name="Вычисление 12 2 2" xfId="6169"/>
    <cellStyle name="Вычисление 12 2 2 2" xfId="12140"/>
    <cellStyle name="Вычисление 12 2 2 3" xfId="10546"/>
    <cellStyle name="Вычисление 12 2 2 4" xfId="11488"/>
    <cellStyle name="Вычисление 12 2 3" xfId="7108"/>
    <cellStyle name="Вычисление 12 2 3 2" xfId="12837"/>
    <cellStyle name="Вычисление 12 2 3 3" xfId="9846"/>
    <cellStyle name="Вычисление 12 2 3 4" xfId="10907"/>
    <cellStyle name="Вычисление 12 2 4" xfId="11172"/>
    <cellStyle name="Вычисление 12 2 5" xfId="13281"/>
    <cellStyle name="Вычисление 12 2 6" xfId="13597"/>
    <cellStyle name="Вычисление 12 3" xfId="6168"/>
    <cellStyle name="Вычисление 12 3 2" xfId="12139"/>
    <cellStyle name="Вычисление 12 3 3" xfId="10547"/>
    <cellStyle name="Вычисление 12 3 4" xfId="11731"/>
    <cellStyle name="Вычисление 12 4" xfId="7107"/>
    <cellStyle name="Вычисление 12 4 2" xfId="12836"/>
    <cellStyle name="Вычисление 12 4 3" xfId="10082"/>
    <cellStyle name="Вычисление 12 4 4" xfId="10906"/>
    <cellStyle name="Вычисление 12 5" xfId="11171"/>
    <cellStyle name="Вычисление 12 6" xfId="13368"/>
    <cellStyle name="Вычисление 12 7" xfId="13532"/>
    <cellStyle name="Вычисление 13" xfId="3513"/>
    <cellStyle name="Вычисление 13 2" xfId="3514"/>
    <cellStyle name="Вычисление 13 2 2" xfId="6171"/>
    <cellStyle name="Вычисление 13 2 2 2" xfId="12142"/>
    <cellStyle name="Вычисление 13 2 2 3" xfId="10544"/>
    <cellStyle name="Вычисление 13 2 2 4" xfId="11489"/>
    <cellStyle name="Вычисление 13 2 3" xfId="7110"/>
    <cellStyle name="Вычисление 13 2 3 2" xfId="12839"/>
    <cellStyle name="Вычисление 13 2 3 3" xfId="10080"/>
    <cellStyle name="Вычисление 13 2 3 4" xfId="10909"/>
    <cellStyle name="Вычисление 13 2 4" xfId="11174"/>
    <cellStyle name="Вычисление 13 2 5" xfId="13423"/>
    <cellStyle name="Вычисление 13 2 6" xfId="13579"/>
    <cellStyle name="Вычисление 13 3" xfId="6170"/>
    <cellStyle name="Вычисление 13 3 2" xfId="12141"/>
    <cellStyle name="Вычисление 13 3 3" xfId="10545"/>
    <cellStyle name="Вычисление 13 3 4" xfId="11733"/>
    <cellStyle name="Вычисление 13 4" xfId="7109"/>
    <cellStyle name="Вычисление 13 4 2" xfId="12838"/>
    <cellStyle name="Вычисление 13 4 3" xfId="10081"/>
    <cellStyle name="Вычисление 13 4 4" xfId="10908"/>
    <cellStyle name="Вычисление 13 5" xfId="11173"/>
    <cellStyle name="Вычисление 13 6" xfId="13355"/>
    <cellStyle name="Вычисление 13 7" xfId="13653"/>
    <cellStyle name="Вычисление 14" xfId="3515"/>
    <cellStyle name="Вычисление 14 2" xfId="3516"/>
    <cellStyle name="Вычисление 14 2 2" xfId="6173"/>
    <cellStyle name="Вычисление 14 2 2 2" xfId="12144"/>
    <cellStyle name="Вычисление 14 2 2 3" xfId="10542"/>
    <cellStyle name="Вычисление 14 2 2 4" xfId="9531"/>
    <cellStyle name="Вычисление 14 2 3" xfId="7112"/>
    <cellStyle name="Вычисление 14 2 3 2" xfId="12841"/>
    <cellStyle name="Вычисление 14 2 3 3" xfId="10078"/>
    <cellStyle name="Вычисление 14 2 3 4" xfId="10911"/>
    <cellStyle name="Вычисление 14 2 4" xfId="11176"/>
    <cellStyle name="Вычисление 14 2 5" xfId="13399"/>
    <cellStyle name="Вычисление 14 2 6" xfId="13560"/>
    <cellStyle name="Вычисление 14 3" xfId="6172"/>
    <cellStyle name="Вычисление 14 3 2" xfId="12143"/>
    <cellStyle name="Вычисление 14 3 3" xfId="10543"/>
    <cellStyle name="Вычисление 14 3 4" xfId="11734"/>
    <cellStyle name="Вычисление 14 4" xfId="7111"/>
    <cellStyle name="Вычисление 14 4 2" xfId="12840"/>
    <cellStyle name="Вычисление 14 4 3" xfId="10079"/>
    <cellStyle name="Вычисление 14 4 4" xfId="10910"/>
    <cellStyle name="Вычисление 14 5" xfId="11175"/>
    <cellStyle name="Вычисление 14 6" xfId="13335"/>
    <cellStyle name="Вычисление 14 7" xfId="13635"/>
    <cellStyle name="Вычисление 15" xfId="3517"/>
    <cellStyle name="Вычисление 15 2" xfId="3518"/>
    <cellStyle name="Вычисление 15 2 2" xfId="6175"/>
    <cellStyle name="Вычисление 15 2 2 2" xfId="12146"/>
    <cellStyle name="Вычисление 15 2 2 3" xfId="10540"/>
    <cellStyle name="Вычисление 15 2 2 4" xfId="11736"/>
    <cellStyle name="Вычисление 15 2 3" xfId="7114"/>
    <cellStyle name="Вычисление 15 2 3 2" xfId="12843"/>
    <cellStyle name="Вычисление 15 2 3 3" xfId="10076"/>
    <cellStyle name="Вычисление 15 2 3 4" xfId="10913"/>
    <cellStyle name="Вычисление 15 2 4" xfId="11178"/>
    <cellStyle name="Вычисление 15 2 5" xfId="13377"/>
    <cellStyle name="Вычисление 15 2 6" xfId="13540"/>
    <cellStyle name="Вычисление 15 3" xfId="6174"/>
    <cellStyle name="Вычисление 15 3 2" xfId="12145"/>
    <cellStyle name="Вычисление 15 3 3" xfId="10541"/>
    <cellStyle name="Вычисление 15 3 4" xfId="11742"/>
    <cellStyle name="Вычисление 15 4" xfId="7113"/>
    <cellStyle name="Вычисление 15 4 2" xfId="12842"/>
    <cellStyle name="Вычисление 15 4 3" xfId="10077"/>
    <cellStyle name="Вычисление 15 4 4" xfId="10912"/>
    <cellStyle name="Вычисление 15 5" xfId="11177"/>
    <cellStyle name="Вычисление 15 6" xfId="13311"/>
    <cellStyle name="Вычисление 15 7" xfId="13616"/>
    <cellStyle name="Вычисление 16" xfId="3519"/>
    <cellStyle name="Вычисление 16 2" xfId="3520"/>
    <cellStyle name="Вычисление 16 2 2" xfId="6177"/>
    <cellStyle name="Вычисление 16 2 2 2" xfId="12148"/>
    <cellStyle name="Вычисление 16 2 2 3" xfId="10538"/>
    <cellStyle name="Вычисление 16 2 2 4" xfId="12692"/>
    <cellStyle name="Вычисление 16 2 3" xfId="7116"/>
    <cellStyle name="Вычисление 16 2 3 2" xfId="12845"/>
    <cellStyle name="Вычисление 16 2 3 3" xfId="10074"/>
    <cellStyle name="Вычисление 16 2 3 4" xfId="10915"/>
    <cellStyle name="Вычисление 16 2 4" xfId="11180"/>
    <cellStyle name="Вычисление 16 2 5" xfId="13267"/>
    <cellStyle name="Вычисление 16 2 6" xfId="13592"/>
    <cellStyle name="Вычисление 16 3" xfId="6176"/>
    <cellStyle name="Вычисление 16 3 2" xfId="12147"/>
    <cellStyle name="Вычисление 16 3 3" xfId="10539"/>
    <cellStyle name="Вычисление 16 3 4" xfId="11743"/>
    <cellStyle name="Вычисление 16 4" xfId="7115"/>
    <cellStyle name="Вычисление 16 4 2" xfId="12844"/>
    <cellStyle name="Вычисление 16 4 3" xfId="10075"/>
    <cellStyle name="Вычисление 16 4 4" xfId="10914"/>
    <cellStyle name="Вычисление 16 5" xfId="11179"/>
    <cellStyle name="Вычисление 16 6" xfId="13290"/>
    <cellStyle name="Вычисление 16 7" xfId="9876"/>
    <cellStyle name="Вычисление 17" xfId="3521"/>
    <cellStyle name="Вычисление 17 2" xfId="3522"/>
    <cellStyle name="Вычисление 17 2 2" xfId="6179"/>
    <cellStyle name="Вычисление 17 2 2 2" xfId="12150"/>
    <cellStyle name="Вычисление 17 2 2 3" xfId="10536"/>
    <cellStyle name="Вычисление 17 2 2 4" xfId="11738"/>
    <cellStyle name="Вычисление 17 2 3" xfId="7118"/>
    <cellStyle name="Вычисление 17 2 3 2" xfId="12847"/>
    <cellStyle name="Вычисление 17 2 3 3" xfId="10072"/>
    <cellStyle name="Вычисление 17 2 3 4" xfId="10917"/>
    <cellStyle name="Вычисление 17 2 4" xfId="11182"/>
    <cellStyle name="Вычисление 17 2 5" xfId="13251"/>
    <cellStyle name="Вычисление 17 2 6" xfId="13574"/>
    <cellStyle name="Вычисление 17 3" xfId="6178"/>
    <cellStyle name="Вычисление 17 3 2" xfId="12149"/>
    <cellStyle name="Вычисление 17 3 3" xfId="10537"/>
    <cellStyle name="Вычисление 17 3 4" xfId="11737"/>
    <cellStyle name="Вычисление 17 4" xfId="7117"/>
    <cellStyle name="Вычисление 17 4 2" xfId="12846"/>
    <cellStyle name="Вычисление 17 4 3" xfId="10073"/>
    <cellStyle name="Вычисление 17 4 4" xfId="10916"/>
    <cellStyle name="Вычисление 17 5" xfId="11181"/>
    <cellStyle name="Вычисление 17 6" xfId="13256"/>
    <cellStyle name="Вычисление 17 7" xfId="13648"/>
    <cellStyle name="Вычисление 18" xfId="3523"/>
    <cellStyle name="Вычисление 18 2" xfId="3524"/>
    <cellStyle name="Вычисление 18 2 2" xfId="6181"/>
    <cellStyle name="Вычисление 18 2 2 2" xfId="12152"/>
    <cellStyle name="Вычисление 18 2 2 3" xfId="10534"/>
    <cellStyle name="Вычисление 18 2 2 4" xfId="11740"/>
    <cellStyle name="Вычисление 18 2 3" xfId="7120"/>
    <cellStyle name="Вычисление 18 2 3 2" xfId="12849"/>
    <cellStyle name="Вычисление 18 2 3 3" xfId="10070"/>
    <cellStyle name="Вычисление 18 2 3 4" xfId="10919"/>
    <cellStyle name="Вычисление 18 2 4" xfId="11184"/>
    <cellStyle name="Вычисление 18 2 5" xfId="13402"/>
    <cellStyle name="Вычисление 18 2 6" xfId="13556"/>
    <cellStyle name="Вычисление 18 3" xfId="6180"/>
    <cellStyle name="Вычисление 18 3 2" xfId="12151"/>
    <cellStyle name="Вычисление 18 3 3" xfId="10535"/>
    <cellStyle name="Вычисление 18 3 4" xfId="11739"/>
    <cellStyle name="Вычисление 18 4" xfId="7119"/>
    <cellStyle name="Вычисление 18 4 2" xfId="12848"/>
    <cellStyle name="Вычисление 18 4 3" xfId="10071"/>
    <cellStyle name="Вычисление 18 4 4" xfId="10918"/>
    <cellStyle name="Вычисление 18 5" xfId="11183"/>
    <cellStyle name="Вычисление 18 6" xfId="13337"/>
    <cellStyle name="Вычисление 18 7" xfId="13631"/>
    <cellStyle name="Вычисление 19" xfId="3525"/>
    <cellStyle name="Вычисление 19 2" xfId="3526"/>
    <cellStyle name="Вычисление 19 2 2" xfId="6183"/>
    <cellStyle name="Вычисление 19 2 2 2" xfId="12154"/>
    <cellStyle name="Вычисление 19 2 2 3" xfId="10532"/>
    <cellStyle name="Вычисление 19 2 2 4" xfId="9870"/>
    <cellStyle name="Вычисление 19 2 3" xfId="7122"/>
    <cellStyle name="Вычисление 19 2 3 2" xfId="12851"/>
    <cellStyle name="Вычисление 19 2 3 3" xfId="10068"/>
    <cellStyle name="Вычисление 19 2 3 4" xfId="10921"/>
    <cellStyle name="Вычисление 19 2 4" xfId="11186"/>
    <cellStyle name="Вычисление 19 2 5" xfId="13380"/>
    <cellStyle name="Вычисление 19 2 6" xfId="13536"/>
    <cellStyle name="Вычисление 19 3" xfId="6182"/>
    <cellStyle name="Вычисление 19 3 2" xfId="12153"/>
    <cellStyle name="Вычисление 19 3 3" xfId="10533"/>
    <cellStyle name="Вычисление 19 3 4" xfId="11490"/>
    <cellStyle name="Вычисление 19 4" xfId="7121"/>
    <cellStyle name="Вычисление 19 4 2" xfId="12850"/>
    <cellStyle name="Вычисление 19 4 3" xfId="10069"/>
    <cellStyle name="Вычисление 19 4 4" xfId="10920"/>
    <cellStyle name="Вычисление 19 5" xfId="11185"/>
    <cellStyle name="Вычисление 19 6" xfId="13314"/>
    <cellStyle name="Вычисление 19 7" xfId="13612"/>
    <cellStyle name="Вычисление 2" xfId="1550"/>
    <cellStyle name="Вычисление 2 10" xfId="3527"/>
    <cellStyle name="Вычисление 2 10 2" xfId="3528"/>
    <cellStyle name="Вычисление 2 10 2 2" xfId="6185"/>
    <cellStyle name="Вычисление 2 10 2 2 2" xfId="12156"/>
    <cellStyle name="Вычисление 2 10 2 2 3" xfId="10530"/>
    <cellStyle name="Вычисление 2 10 2 2 4" xfId="12691"/>
    <cellStyle name="Вычисление 2 10 2 3" xfId="7124"/>
    <cellStyle name="Вычисление 2 10 2 3 2" xfId="12853"/>
    <cellStyle name="Вычисление 2 10 2 3 3" xfId="10066"/>
    <cellStyle name="Вычисление 2 10 2 3 4" xfId="10923"/>
    <cellStyle name="Вычисление 2 10 2 4" xfId="11188"/>
    <cellStyle name="Вычисление 2 10 2 5" xfId="13360"/>
    <cellStyle name="Вычисление 2 10 2 6" xfId="13657"/>
    <cellStyle name="Вычисление 2 10 3" xfId="6184"/>
    <cellStyle name="Вычисление 2 10 3 2" xfId="12155"/>
    <cellStyle name="Вычисление 2 10 3 3" xfId="10531"/>
    <cellStyle name="Вычисление 2 10 3 4" xfId="11973"/>
    <cellStyle name="Вычисление 2 10 4" xfId="7123"/>
    <cellStyle name="Вычисление 2 10 4 2" xfId="12852"/>
    <cellStyle name="Вычисление 2 10 4 3" xfId="10067"/>
    <cellStyle name="Вычисление 2 10 4 4" xfId="10922"/>
    <cellStyle name="Вычисление 2 10 5" xfId="11187"/>
    <cellStyle name="Вычисление 2 10 6" xfId="13293"/>
    <cellStyle name="Вычисление 2 10 7" xfId="13601"/>
    <cellStyle name="Вычисление 2 11" xfId="3529"/>
    <cellStyle name="Вычисление 2 11 2" xfId="3530"/>
    <cellStyle name="Вычисление 2 11 2 2" xfId="6187"/>
    <cellStyle name="Вычисление 2 11 2 2 2" xfId="12158"/>
    <cellStyle name="Вычисление 2 11 2 2 3" xfId="10528"/>
    <cellStyle name="Вычисление 2 11 2 2 4" xfId="11741"/>
    <cellStyle name="Вычисление 2 11 2 3" xfId="7126"/>
    <cellStyle name="Вычисление 2 11 2 3 2" xfId="12855"/>
    <cellStyle name="Вычисление 2 11 2 3 3" xfId="10064"/>
    <cellStyle name="Вычисление 2 11 2 3 4" xfId="10925"/>
    <cellStyle name="Вычисление 2 11 2 4" xfId="11190"/>
    <cellStyle name="Вычисление 2 11 2 5" xfId="13347"/>
    <cellStyle name="Вычисление 2 11 2 6" xfId="13639"/>
    <cellStyle name="Вычисление 2 11 3" xfId="6186"/>
    <cellStyle name="Вычисление 2 11 3 2" xfId="12157"/>
    <cellStyle name="Вычисление 2 11 3 3" xfId="10529"/>
    <cellStyle name="Вычисление 2 11 3 4" xfId="11968"/>
    <cellStyle name="Вычисление 2 11 4" xfId="7125"/>
    <cellStyle name="Вычисление 2 11 4 2" xfId="12854"/>
    <cellStyle name="Вычисление 2 11 4 3" xfId="10065"/>
    <cellStyle name="Вычисление 2 11 4 4" xfId="10924"/>
    <cellStyle name="Вычисление 2 11 5" xfId="11189"/>
    <cellStyle name="Вычисление 2 11 6" xfId="13272"/>
    <cellStyle name="Вычисление 2 11 7" xfId="13583"/>
    <cellStyle name="Вычисление 2 12" xfId="3531"/>
    <cellStyle name="Вычисление 2 12 2" xfId="3532"/>
    <cellStyle name="Вычисление 2 12 2 2" xfId="6189"/>
    <cellStyle name="Вычисление 2 12 2 2 2" xfId="12160"/>
    <cellStyle name="Вычисление 2 12 2 2 3" xfId="10526"/>
    <cellStyle name="Вычисление 2 12 2 2 4" xfId="10703"/>
    <cellStyle name="Вычисление 2 12 2 3" xfId="7128"/>
    <cellStyle name="Вычисление 2 12 2 3 2" xfId="12857"/>
    <cellStyle name="Вычисление 2 12 2 3 3" xfId="10062"/>
    <cellStyle name="Вычисление 2 12 2 3 4" xfId="10927"/>
    <cellStyle name="Вычисление 2 12 2 4" xfId="11192"/>
    <cellStyle name="Вычисление 2 12 2 5" xfId="13328"/>
    <cellStyle name="Вычисление 2 12 2 6" xfId="13620"/>
    <cellStyle name="Вычисление 2 12 3" xfId="6188"/>
    <cellStyle name="Вычисление 2 12 3 2" xfId="12159"/>
    <cellStyle name="Вычисление 2 12 3 3" xfId="10527"/>
    <cellStyle name="Вычисление 2 12 3 4" xfId="10702"/>
    <cellStyle name="Вычисление 2 12 4" xfId="7127"/>
    <cellStyle name="Вычисление 2 12 4 2" xfId="12856"/>
    <cellStyle name="Вычисление 2 12 4 3" xfId="10063"/>
    <cellStyle name="Вычисление 2 12 4 4" xfId="10926"/>
    <cellStyle name="Вычисление 2 12 5" xfId="11191"/>
    <cellStyle name="Вычисление 2 12 6" xfId="13414"/>
    <cellStyle name="Вычисление 2 12 7" xfId="13564"/>
    <cellStyle name="Вычисление 2 13" xfId="3533"/>
    <cellStyle name="Вычисление 2 13 2" xfId="3534"/>
    <cellStyle name="Вычисление 2 13 2 2" xfId="6191"/>
    <cellStyle name="Вычисление 2 13 2 2 2" xfId="12162"/>
    <cellStyle name="Вычисление 2 13 2 2 3" xfId="10524"/>
    <cellStyle name="Вычисление 2 13 2 2 4" xfId="10705"/>
    <cellStyle name="Вычисление 2 13 2 3" xfId="7130"/>
    <cellStyle name="Вычисление 2 13 2 3 2" xfId="12859"/>
    <cellStyle name="Вычисление 2 13 2 3 3" xfId="10060"/>
    <cellStyle name="Вычисление 2 13 2 3 4" xfId="10929"/>
    <cellStyle name="Вычисление 2 13 2 4" xfId="11194"/>
    <cellStyle name="Вычисление 2 13 2 5" xfId="13305"/>
    <cellStyle name="Вычисление 2 13 2 6" xfId="13527"/>
    <cellStyle name="Вычисление 2 13 3" xfId="6190"/>
    <cellStyle name="Вычисление 2 13 3 2" xfId="12161"/>
    <cellStyle name="Вычисление 2 13 3 3" xfId="10525"/>
    <cellStyle name="Вычисление 2 13 3 4" xfId="10704"/>
    <cellStyle name="Вычисление 2 13 4" xfId="7129"/>
    <cellStyle name="Вычисление 2 13 4 2" xfId="12858"/>
    <cellStyle name="Вычисление 2 13 4 3" xfId="10061"/>
    <cellStyle name="Вычисление 2 13 4 4" xfId="10928"/>
    <cellStyle name="Вычисление 2 13 5" xfId="11193"/>
    <cellStyle name="Вычисление 2 13 6" xfId="13391"/>
    <cellStyle name="Вычисление 2 13 7" xfId="13545"/>
    <cellStyle name="Вычисление 2 14" xfId="3535"/>
    <cellStyle name="Вычисление 2 14 2" xfId="3536"/>
    <cellStyle name="Вычисление 2 14 2 2" xfId="6193"/>
    <cellStyle name="Вычисление 2 14 2 2 2" xfId="12164"/>
    <cellStyle name="Вычисление 2 14 2 2 3" xfId="10522"/>
    <cellStyle name="Вычисление 2 14 2 2 4" xfId="10707"/>
    <cellStyle name="Вычисление 2 14 2 3" xfId="7132"/>
    <cellStyle name="Вычисление 2 14 2 3 2" xfId="12861"/>
    <cellStyle name="Вычисление 2 14 2 3 3" xfId="10058"/>
    <cellStyle name="Вычисление 2 14 2 3 4" xfId="10931"/>
    <cellStyle name="Вычисление 2 14 2 4" xfId="11196"/>
    <cellStyle name="Вычисление 2 14 2 5" xfId="13284"/>
    <cellStyle name="Вычисление 2 14 2 6" xfId="9392"/>
    <cellStyle name="Вычисление 2 14 3" xfId="6192"/>
    <cellStyle name="Вычисление 2 14 3 2" xfId="12163"/>
    <cellStyle name="Вычисление 2 14 3 3" xfId="10523"/>
    <cellStyle name="Вычисление 2 14 3 4" xfId="10706"/>
    <cellStyle name="Вычисление 2 14 4" xfId="7131"/>
    <cellStyle name="Вычисление 2 14 4 2" xfId="12860"/>
    <cellStyle name="Вычисление 2 14 4 3" xfId="10059"/>
    <cellStyle name="Вычисление 2 14 4 4" xfId="10930"/>
    <cellStyle name="Вычисление 2 14 5" xfId="11195"/>
    <cellStyle name="Вычисление 2 14 6" xfId="13371"/>
    <cellStyle name="Вычисление 2 14 7" xfId="11746"/>
    <cellStyle name="Вычисление 2 15" xfId="3537"/>
    <cellStyle name="Вычисление 2 15 2" xfId="3538"/>
    <cellStyle name="Вычисление 2 15 2 2" xfId="6195"/>
    <cellStyle name="Вычисление 2 15 2 2 2" xfId="12166"/>
    <cellStyle name="Вычисление 2 15 2 2 3" xfId="10520"/>
    <cellStyle name="Вычисление 2 15 2 2 4" xfId="9725"/>
    <cellStyle name="Вычисление 2 15 2 3" xfId="7134"/>
    <cellStyle name="Вычисление 2 15 2 3 2" xfId="12863"/>
    <cellStyle name="Вычисление 2 15 2 3 3" xfId="10056"/>
    <cellStyle name="Вычисление 2 15 2 3 4" xfId="10933"/>
    <cellStyle name="Вычисление 2 15 2 4" xfId="11198"/>
    <cellStyle name="Вычисление 2 15 2 5" xfId="13342"/>
    <cellStyle name="Вычисление 2 15 2 6" xfId="13643"/>
    <cellStyle name="Вычисление 2 15 3" xfId="6194"/>
    <cellStyle name="Вычисление 2 15 3 2" xfId="12165"/>
    <cellStyle name="Вычисление 2 15 3 3" xfId="10521"/>
    <cellStyle name="Вычисление 2 15 3 4" xfId="9724"/>
    <cellStyle name="Вычисление 2 15 4" xfId="7133"/>
    <cellStyle name="Вычисление 2 15 4 2" xfId="12862"/>
    <cellStyle name="Вычисление 2 15 4 3" xfId="10057"/>
    <cellStyle name="Вычисление 2 15 4 4" xfId="10932"/>
    <cellStyle name="Вычисление 2 15 5" xfId="11197"/>
    <cellStyle name="Вычисление 2 15 6" xfId="13261"/>
    <cellStyle name="Вычисление 2 15 7" xfId="13587"/>
    <cellStyle name="Вычисление 2 16" xfId="3539"/>
    <cellStyle name="Вычисление 2 16 2" xfId="3540"/>
    <cellStyle name="Вычисление 2 16 2 2" xfId="6197"/>
    <cellStyle name="Вычисление 2 16 2 2 2" xfId="12168"/>
    <cellStyle name="Вычисление 2 16 2 2 3" xfId="10518"/>
    <cellStyle name="Вычисление 2 16 2 2 4" xfId="9727"/>
    <cellStyle name="Вычисление 2 16 2 3" xfId="7136"/>
    <cellStyle name="Вычисление 2 16 2 3 2" xfId="12865"/>
    <cellStyle name="Вычисление 2 16 2 3 3" xfId="10054"/>
    <cellStyle name="Вычисление 2 16 2 3 4" xfId="10935"/>
    <cellStyle name="Вычисление 2 16 2 4" xfId="11200"/>
    <cellStyle name="Вычисление 2 16 2 5" xfId="13321"/>
    <cellStyle name="Вычисление 2 16 2 6" xfId="13624"/>
    <cellStyle name="Вычисление 2 16 3" xfId="6196"/>
    <cellStyle name="Вычисление 2 16 3 2" xfId="12167"/>
    <cellStyle name="Вычисление 2 16 3 3" xfId="10519"/>
    <cellStyle name="Вычисление 2 16 3 4" xfId="9726"/>
    <cellStyle name="Вычисление 2 16 4" xfId="7135"/>
    <cellStyle name="Вычисление 2 16 4 2" xfId="12864"/>
    <cellStyle name="Вычисление 2 16 4 3" xfId="10055"/>
    <cellStyle name="Вычисление 2 16 4 4" xfId="10934"/>
    <cellStyle name="Вычисление 2 16 5" xfId="11199"/>
    <cellStyle name="Вычисление 2 16 6" xfId="13407"/>
    <cellStyle name="Вычисление 2 16 7" xfId="13568"/>
    <cellStyle name="Вычисление 2 17" xfId="3541"/>
    <cellStyle name="Вычисление 2 17 2" xfId="3542"/>
    <cellStyle name="Вычисление 2 17 2 2" xfId="6199"/>
    <cellStyle name="Вычисление 2 17 2 2 2" xfId="12170"/>
    <cellStyle name="Вычисление 2 17 2 2 3" xfId="10516"/>
    <cellStyle name="Вычисление 2 17 2 2 4" xfId="9729"/>
    <cellStyle name="Вычисление 2 17 2 3" xfId="7138"/>
    <cellStyle name="Вычисление 2 17 2 3 2" xfId="12867"/>
    <cellStyle name="Вычисление 2 17 2 3 3" xfId="10052"/>
    <cellStyle name="Вычисление 2 17 2 3 4" xfId="10937"/>
    <cellStyle name="Вычисление 2 17 2 4" xfId="11202"/>
    <cellStyle name="Вычисление 2 17 2 5" xfId="13299"/>
    <cellStyle name="Вычисление 2 17 2 6" xfId="13606"/>
    <cellStyle name="Вычисление 2 17 3" xfId="6198"/>
    <cellStyle name="Вычисление 2 17 3 2" xfId="12169"/>
    <cellStyle name="Вычисление 2 17 3 3" xfId="10517"/>
    <cellStyle name="Вычисление 2 17 3 4" xfId="9728"/>
    <cellStyle name="Вычисление 2 17 4" xfId="7137"/>
    <cellStyle name="Вычисление 2 17 4 2" xfId="12866"/>
    <cellStyle name="Вычисление 2 17 4 3" xfId="10053"/>
    <cellStyle name="Вычисление 2 17 4 4" xfId="10936"/>
    <cellStyle name="Вычисление 2 17 5" xfId="11201"/>
    <cellStyle name="Вычисление 2 17 6" xfId="13385"/>
    <cellStyle name="Вычисление 2 17 7" xfId="13549"/>
    <cellStyle name="Вычисление 2 18" xfId="3543"/>
    <cellStyle name="Вычисление 2 18 2" xfId="3544"/>
    <cellStyle name="Вычисление 2 18 2 2" xfId="6201"/>
    <cellStyle name="Вычисление 2 18 2 2 2" xfId="12172"/>
    <cellStyle name="Вычисление 2 18 2 2 3" xfId="10514"/>
    <cellStyle name="Вычисление 2 18 2 2 4" xfId="9731"/>
    <cellStyle name="Вычисление 2 18 2 3" xfId="7140"/>
    <cellStyle name="Вычисление 2 18 2 3 2" xfId="12869"/>
    <cellStyle name="Вычисление 2 18 2 3 3" xfId="10050"/>
    <cellStyle name="Вычисление 2 18 2 3 4" xfId="10939"/>
    <cellStyle name="Вычисление 2 18 2 4" xfId="11204"/>
    <cellStyle name="Вычисление 2 18 2 5" xfId="13277"/>
    <cellStyle name="Вычисление 2 18 2 6" xfId="13596"/>
    <cellStyle name="Вычисление 2 18 3" xfId="6200"/>
    <cellStyle name="Вычисление 2 18 3 2" xfId="12171"/>
    <cellStyle name="Вычисление 2 18 3 3" xfId="10515"/>
    <cellStyle name="Вычисление 2 18 3 4" xfId="9730"/>
    <cellStyle name="Вычисление 2 18 4" xfId="7139"/>
    <cellStyle name="Вычисление 2 18 4 2" xfId="12868"/>
    <cellStyle name="Вычисление 2 18 4 3" xfId="10051"/>
    <cellStyle name="Вычисление 2 18 4 4" xfId="10938"/>
    <cellStyle name="Вычисление 2 18 5" xfId="11203"/>
    <cellStyle name="Вычисление 2 18 6" xfId="13365"/>
    <cellStyle name="Вычисление 2 18 7" xfId="13531"/>
    <cellStyle name="Вычисление 2 19" xfId="3545"/>
    <cellStyle name="Вычисление 2 19 2" xfId="6202"/>
    <cellStyle name="Вычисление 2 19 2 2" xfId="12173"/>
    <cellStyle name="Вычисление 2 19 2 3" xfId="10513"/>
    <cellStyle name="Вычисление 2 19 2 4" xfId="9732"/>
    <cellStyle name="Вычисление 2 19 3" xfId="7141"/>
    <cellStyle name="Вычисление 2 19 3 2" xfId="12870"/>
    <cellStyle name="Вычисление 2 19 3 3" xfId="10049"/>
    <cellStyle name="Вычисление 2 19 3 4" xfId="10940"/>
    <cellStyle name="Вычисление 2 19 4" xfId="11205"/>
    <cellStyle name="Вычисление 2 19 5" xfId="13352"/>
    <cellStyle name="Вычисление 2 19 6" xfId="13652"/>
    <cellStyle name="Вычисление 2 2" xfId="3546"/>
    <cellStyle name="Вычисление 2 2 2" xfId="3547"/>
    <cellStyle name="Вычисление 2 2 2 2" xfId="6204"/>
    <cellStyle name="Вычисление 2 2 2 2 2" xfId="12175"/>
    <cellStyle name="Вычисление 2 2 2 2 3" xfId="10511"/>
    <cellStyle name="Вычисление 2 2 2 2 4" xfId="9734"/>
    <cellStyle name="Вычисление 2 2 2 3" xfId="7142"/>
    <cellStyle name="Вычисление 2 2 2 3 2" xfId="12871"/>
    <cellStyle name="Вычисление 2 2 2 3 3" xfId="10048"/>
    <cellStyle name="Вычисление 2 2 2 3 4" xfId="10941"/>
    <cellStyle name="Вычисление 2 2 2 4" xfId="11207"/>
    <cellStyle name="Вычисление 2 2 2 5" xfId="13332"/>
    <cellStyle name="Вычисление 2 2 2 6" xfId="13634"/>
    <cellStyle name="Вычисление 2 2 3" xfId="6203"/>
    <cellStyle name="Вычисление 2 2 3 2" xfId="12174"/>
    <cellStyle name="Вычисление 2 2 3 3" xfId="10512"/>
    <cellStyle name="Вычисление 2 2 3 4" xfId="9733"/>
    <cellStyle name="Вычисление 2 2 4" xfId="6942"/>
    <cellStyle name="Вычисление 2 2 4 2" xfId="12680"/>
    <cellStyle name="Вычисление 2 2 4 3" xfId="10232"/>
    <cellStyle name="Вычисление 2 2 4 4" xfId="11558"/>
    <cellStyle name="Вычисление 2 2 5" xfId="11206"/>
    <cellStyle name="Вычисление 2 2 6" xfId="13419"/>
    <cellStyle name="Вычисление 2 2 7" xfId="13578"/>
    <cellStyle name="Вычисление 2 20" xfId="6091"/>
    <cellStyle name="Вычисление 2 20 2" xfId="12062"/>
    <cellStyle name="Вычисление 2 20 3" xfId="10623"/>
    <cellStyle name="Вычисление 2 20 4" xfId="11429"/>
    <cellStyle name="Вычисление 2 21" xfId="6941"/>
    <cellStyle name="Вычисление 2 21 2" xfId="12679"/>
    <cellStyle name="Вычисление 2 21 3" xfId="10233"/>
    <cellStyle name="Вычисление 2 21 4" xfId="11557"/>
    <cellStyle name="Вычисление 2 22" xfId="9863"/>
    <cellStyle name="Вычисление 2 23" xfId="11362"/>
    <cellStyle name="Вычисление 2 24" xfId="13279"/>
    <cellStyle name="Вычисление 2 3" xfId="3548"/>
    <cellStyle name="Вычисление 2 3 2" xfId="6205"/>
    <cellStyle name="Вычисление 2 3 2 2" xfId="12176"/>
    <cellStyle name="Вычисление 2 3 2 3" xfId="10510"/>
    <cellStyle name="Вычисление 2 3 2 4" xfId="9735"/>
    <cellStyle name="Вычисление 2 3 3" xfId="7143"/>
    <cellStyle name="Вычисление 2 3 3 2" xfId="12872"/>
    <cellStyle name="Вычисление 2 3 3 3" xfId="10047"/>
    <cellStyle name="Вычисление 2 3 3 4" xfId="11368"/>
    <cellStyle name="Вычисление 2 3 4" xfId="11208"/>
    <cellStyle name="Вычисление 2 3 5" xfId="13396"/>
    <cellStyle name="Вычисление 2 3 6" xfId="13559"/>
    <cellStyle name="Вычисление 2 4" xfId="3549"/>
    <cellStyle name="Вычисление 2 4 2" xfId="3550"/>
    <cellStyle name="Вычисление 2 4 2 2" xfId="6207"/>
    <cellStyle name="Вычисление 2 4 2 2 2" xfId="12178"/>
    <cellStyle name="Вычисление 2 4 2 2 3" xfId="10508"/>
    <cellStyle name="Вычисление 2 4 2 2 4" xfId="9388"/>
    <cellStyle name="Вычисление 2 4 2 3" xfId="7145"/>
    <cellStyle name="Вычисление 2 4 2 3 2" xfId="12874"/>
    <cellStyle name="Вычисление 2 4 2 3 3" xfId="10045"/>
    <cellStyle name="Вычисление 2 4 2 3 4" xfId="10943"/>
    <cellStyle name="Вычисление 2 4 2 4" xfId="11210"/>
    <cellStyle name="Вычисление 2 4 2 5" xfId="13375"/>
    <cellStyle name="Вычисление 2 4 2 6" xfId="13539"/>
    <cellStyle name="Вычисление 2 4 3" xfId="6206"/>
    <cellStyle name="Вычисление 2 4 3 2" xfId="12177"/>
    <cellStyle name="Вычисление 2 4 3 3" xfId="10509"/>
    <cellStyle name="Вычисление 2 4 3 4" xfId="9736"/>
    <cellStyle name="Вычисление 2 4 4" xfId="7144"/>
    <cellStyle name="Вычисление 2 4 4 2" xfId="12873"/>
    <cellStyle name="Вычисление 2 4 4 3" xfId="10046"/>
    <cellStyle name="Вычисление 2 4 4 4" xfId="10942"/>
    <cellStyle name="Вычисление 2 4 5" xfId="11209"/>
    <cellStyle name="Вычисление 2 4 6" xfId="13308"/>
    <cellStyle name="Вычисление 2 4 7" xfId="13615"/>
    <cellStyle name="Вычисление 2 5" xfId="3551"/>
    <cellStyle name="Вычисление 2 5 2" xfId="3552"/>
    <cellStyle name="Вычисление 2 5 2 2" xfId="6209"/>
    <cellStyle name="Вычисление 2 5 2 2 2" xfId="12180"/>
    <cellStyle name="Вычисление 2 5 2 2 3" xfId="10506"/>
    <cellStyle name="Вычисление 2 5 2 2 4" xfId="9739"/>
    <cellStyle name="Вычисление 2 5 2 3" xfId="7147"/>
    <cellStyle name="Вычисление 2 5 2 3 2" xfId="12876"/>
    <cellStyle name="Вычисление 2 5 2 3 3" xfId="10043"/>
    <cellStyle name="Вычисление 2 5 2 3 4" xfId="10945"/>
    <cellStyle name="Вычисление 2 5 2 4" xfId="11212"/>
    <cellStyle name="Вычисление 2 5 2 5" xfId="13265"/>
    <cellStyle name="Вычисление 2 5 2 6" xfId="13591"/>
    <cellStyle name="Вычисление 2 5 3" xfId="6208"/>
    <cellStyle name="Вычисление 2 5 3 2" xfId="12179"/>
    <cellStyle name="Вычисление 2 5 3 3" xfId="10507"/>
    <cellStyle name="Вычисление 2 5 3 4" xfId="9738"/>
    <cellStyle name="Вычисление 2 5 4" xfId="7146"/>
    <cellStyle name="Вычисление 2 5 4 2" xfId="12875"/>
    <cellStyle name="Вычисление 2 5 4 3" xfId="10044"/>
    <cellStyle name="Вычисление 2 5 4 4" xfId="10944"/>
    <cellStyle name="Вычисление 2 5 5" xfId="11211"/>
    <cellStyle name="Вычисление 2 5 6" xfId="13288"/>
    <cellStyle name="Вычисление 2 5 7" xfId="9877"/>
    <cellStyle name="Вычисление 2 6" xfId="3553"/>
    <cellStyle name="Вычисление 2 6 2" xfId="3554"/>
    <cellStyle name="Вычисление 2 6 2 2" xfId="6211"/>
    <cellStyle name="Вычисление 2 6 2 2 2" xfId="12182"/>
    <cellStyle name="Вычисление 2 6 2 2 3" xfId="10504"/>
    <cellStyle name="Вычисление 2 6 2 2 4" xfId="11902"/>
    <cellStyle name="Вычисление 2 6 2 3" xfId="7149"/>
    <cellStyle name="Вычисление 2 6 2 3 2" xfId="12878"/>
    <cellStyle name="Вычисление 2 6 2 3 3" xfId="10041"/>
    <cellStyle name="Вычисление 2 6 2 3 4" xfId="10947"/>
    <cellStyle name="Вычисление 2 6 2 4" xfId="11214"/>
    <cellStyle name="Вычисление 2 6 2 5" xfId="13249"/>
    <cellStyle name="Вычисление 2 6 2 6" xfId="13573"/>
    <cellStyle name="Вычисление 2 6 3" xfId="6210"/>
    <cellStyle name="Вычисление 2 6 3 2" xfId="12181"/>
    <cellStyle name="Вычисление 2 6 3 3" xfId="10505"/>
    <cellStyle name="Вычисление 2 6 3 4" xfId="9740"/>
    <cellStyle name="Вычисление 2 6 4" xfId="7148"/>
    <cellStyle name="Вычисление 2 6 4 2" xfId="12877"/>
    <cellStyle name="Вычисление 2 6 4 3" xfId="10042"/>
    <cellStyle name="Вычисление 2 6 4 4" xfId="10946"/>
    <cellStyle name="Вычисление 2 6 5" xfId="11213"/>
    <cellStyle name="Вычисление 2 6 6" xfId="13254"/>
    <cellStyle name="Вычисление 2 6 7" xfId="13647"/>
    <cellStyle name="Вычисление 2 7" xfId="3555"/>
    <cellStyle name="Вычисление 2 7 2" xfId="3556"/>
    <cellStyle name="Вычисление 2 7 2 2" xfId="6213"/>
    <cellStyle name="Вычисление 2 7 2 2 2" xfId="12184"/>
    <cellStyle name="Вычисление 2 7 2 2 3" xfId="10503"/>
    <cellStyle name="Вычисление 2 7 2 2 4" xfId="11904"/>
    <cellStyle name="Вычисление 2 7 2 3" xfId="7151"/>
    <cellStyle name="Вычисление 2 7 2 3 2" xfId="12880"/>
    <cellStyle name="Вычисление 2 7 2 3 3" xfId="10039"/>
    <cellStyle name="Вычисление 2 7 2 3 4" xfId="10949"/>
    <cellStyle name="Вычисление 2 7 2 4" xfId="11216"/>
    <cellStyle name="Вычисление 2 7 2 5" xfId="13400"/>
    <cellStyle name="Вычисление 2 7 2 6" xfId="13555"/>
    <cellStyle name="Вычисление 2 7 3" xfId="6212"/>
    <cellStyle name="Вычисление 2 7 3 2" xfId="12183"/>
    <cellStyle name="Вычисление 2 7 3 3" xfId="9851"/>
    <cellStyle name="Вычисление 2 7 3 4" xfId="11903"/>
    <cellStyle name="Вычисление 2 7 4" xfId="7150"/>
    <cellStyle name="Вычисление 2 7 4 2" xfId="12879"/>
    <cellStyle name="Вычисление 2 7 4 3" xfId="10040"/>
    <cellStyle name="Вычисление 2 7 4 4" xfId="10948"/>
    <cellStyle name="Вычисление 2 7 5" xfId="11215"/>
    <cellStyle name="Вычисление 2 7 6" xfId="13248"/>
    <cellStyle name="Вычисление 2 7 7" xfId="13630"/>
    <cellStyle name="Вычисление 2 8" xfId="3557"/>
    <cellStyle name="Вычисление 2 8 2" xfId="3558"/>
    <cellStyle name="Вычисление 2 8 2 2" xfId="6215"/>
    <cellStyle name="Вычисление 2 8 2 2 2" xfId="12186"/>
    <cellStyle name="Вычисление 2 8 2 2 3" xfId="10501"/>
    <cellStyle name="Вычисление 2 8 2 2 4" xfId="11906"/>
    <cellStyle name="Вычисление 2 8 2 3" xfId="7153"/>
    <cellStyle name="Вычисление 2 8 2 3 2" xfId="12882"/>
    <cellStyle name="Вычисление 2 8 2 3 3" xfId="10037"/>
    <cellStyle name="Вычисление 2 8 2 3 4" xfId="10951"/>
    <cellStyle name="Вычисление 2 8 2 4" xfId="11218"/>
    <cellStyle name="Вычисление 2 8 2 5" xfId="13378"/>
    <cellStyle name="Вычисление 2 8 2 6" xfId="13535"/>
    <cellStyle name="Вычисление 2 8 3" xfId="6214"/>
    <cellStyle name="Вычисление 2 8 3 2" xfId="12185"/>
    <cellStyle name="Вычисление 2 8 3 3" xfId="10502"/>
    <cellStyle name="Вычисление 2 8 3 4" xfId="11905"/>
    <cellStyle name="Вычисление 2 8 4" xfId="7152"/>
    <cellStyle name="Вычисление 2 8 4 2" xfId="12881"/>
    <cellStyle name="Вычисление 2 8 4 3" xfId="10038"/>
    <cellStyle name="Вычисление 2 8 4 4" xfId="10950"/>
    <cellStyle name="Вычисление 2 8 5" xfId="11217"/>
    <cellStyle name="Вычисление 2 8 6" xfId="13312"/>
    <cellStyle name="Вычисление 2 8 7" xfId="13611"/>
    <cellStyle name="Вычисление 2 9" xfId="3559"/>
    <cellStyle name="Вычисление 2 9 2" xfId="3560"/>
    <cellStyle name="Вычисление 2 9 2 2" xfId="6217"/>
    <cellStyle name="Вычисление 2 9 2 2 2" xfId="12188"/>
    <cellStyle name="Вычисление 2 9 2 2 3" xfId="10499"/>
    <cellStyle name="Вычисление 2 9 2 2 4" xfId="11908"/>
    <cellStyle name="Вычисление 2 9 2 3" xfId="7155"/>
    <cellStyle name="Вычисление 2 9 2 3 2" xfId="12884"/>
    <cellStyle name="Вычисление 2 9 2 3 3" xfId="10035"/>
    <cellStyle name="Вычисление 2 9 2 3 4" xfId="10953"/>
    <cellStyle name="Вычисление 2 9 2 4" xfId="11220"/>
    <cellStyle name="Вычисление 2 9 2 5" xfId="13358"/>
    <cellStyle name="Вычисление 2 9 2 6" xfId="13656"/>
    <cellStyle name="Вычисление 2 9 3" xfId="6216"/>
    <cellStyle name="Вычисление 2 9 3 2" xfId="12187"/>
    <cellStyle name="Вычисление 2 9 3 3" xfId="10500"/>
    <cellStyle name="Вычисление 2 9 3 4" xfId="11907"/>
    <cellStyle name="Вычисление 2 9 4" xfId="7154"/>
    <cellStyle name="Вычисление 2 9 4 2" xfId="12883"/>
    <cellStyle name="Вычисление 2 9 4 3" xfId="10036"/>
    <cellStyle name="Вычисление 2 9 4 4" xfId="10952"/>
    <cellStyle name="Вычисление 2 9 5" xfId="11219"/>
    <cellStyle name="Вычисление 2 9 6" xfId="13291"/>
    <cellStyle name="Вычисление 2 9 7" xfId="13600"/>
    <cellStyle name="Вычисление 20" xfId="3561"/>
    <cellStyle name="Вычисление 20 2" xfId="3562"/>
    <cellStyle name="Вычисление 20 2 2" xfId="6219"/>
    <cellStyle name="Вычисление 20 2 2 2" xfId="12190"/>
    <cellStyle name="Вычисление 20 2 2 3" xfId="10497"/>
    <cellStyle name="Вычисление 20 2 2 4" xfId="11910"/>
    <cellStyle name="Вычисление 20 2 3" xfId="7157"/>
    <cellStyle name="Вычисление 20 2 3 2" xfId="12886"/>
    <cellStyle name="Вычисление 20 2 3 3" xfId="10033"/>
    <cellStyle name="Вычисление 20 2 3 4" xfId="10955"/>
    <cellStyle name="Вычисление 20 2 4" xfId="11222"/>
    <cellStyle name="Вычисление 20 2 5" xfId="13346"/>
    <cellStyle name="Вычисление 20 2 6" xfId="13638"/>
    <cellStyle name="Вычисление 20 3" xfId="6218"/>
    <cellStyle name="Вычисление 20 3 2" xfId="12189"/>
    <cellStyle name="Вычисление 20 3 3" xfId="10498"/>
    <cellStyle name="Вычисление 20 3 4" xfId="11909"/>
    <cellStyle name="Вычисление 20 4" xfId="7156"/>
    <cellStyle name="Вычисление 20 4 2" xfId="12885"/>
    <cellStyle name="Вычисление 20 4 3" xfId="10034"/>
    <cellStyle name="Вычисление 20 4 4" xfId="10954"/>
    <cellStyle name="Вычисление 20 5" xfId="11221"/>
    <cellStyle name="Вычисление 20 6" xfId="13270"/>
    <cellStyle name="Вычисление 20 7" xfId="13582"/>
    <cellStyle name="Вычисление 21" xfId="3563"/>
    <cellStyle name="Вычисление 21 2" xfId="3564"/>
    <cellStyle name="Вычисление 21 2 2" xfId="6221"/>
    <cellStyle name="Вычисление 21 2 2 2" xfId="12192"/>
    <cellStyle name="Вычисление 21 2 2 3" xfId="10495"/>
    <cellStyle name="Вычисление 21 2 2 4" xfId="12561"/>
    <cellStyle name="Вычисление 21 2 3" xfId="7159"/>
    <cellStyle name="Вычисление 21 2 3 2" xfId="12888"/>
    <cellStyle name="Вычисление 21 2 3 3" xfId="10031"/>
    <cellStyle name="Вычисление 21 2 3 4" xfId="10957"/>
    <cellStyle name="Вычисление 21 2 4" xfId="11224"/>
    <cellStyle name="Вычисление 21 2 5" xfId="13327"/>
    <cellStyle name="Вычисление 21 2 6" xfId="13619"/>
    <cellStyle name="Вычисление 21 3" xfId="6220"/>
    <cellStyle name="Вычисление 21 3 2" xfId="12191"/>
    <cellStyle name="Вычисление 21 3 3" xfId="10496"/>
    <cellStyle name="Вычисление 21 3 4" xfId="11911"/>
    <cellStyle name="Вычисление 21 4" xfId="7158"/>
    <cellStyle name="Вычисление 21 4 2" xfId="12887"/>
    <cellStyle name="Вычисление 21 4 3" xfId="10032"/>
    <cellStyle name="Вычисление 21 4 4" xfId="10956"/>
    <cellStyle name="Вычисление 21 5" xfId="11223"/>
    <cellStyle name="Вычисление 21 6" xfId="13412"/>
    <cellStyle name="Вычисление 21 7" xfId="13563"/>
    <cellStyle name="Вычисление 3" xfId="3565"/>
    <cellStyle name="Вычисление 3 2" xfId="3566"/>
    <cellStyle name="Вычисление 3 2 2" xfId="6223"/>
    <cellStyle name="Вычисление 3 2 2 2" xfId="12194"/>
    <cellStyle name="Вычисление 3 2 2 3" xfId="10493"/>
    <cellStyle name="Вычисление 3 2 2 4" xfId="12562"/>
    <cellStyle name="Вычисление 3 2 3" xfId="7160"/>
    <cellStyle name="Вычисление 3 2 3 2" xfId="12889"/>
    <cellStyle name="Вычисление 3 2 3 3" xfId="10030"/>
    <cellStyle name="Вычисление 3 2 3 4" xfId="10958"/>
    <cellStyle name="Вычисление 3 2 4" xfId="11226"/>
    <cellStyle name="Вычисление 3 2 5" xfId="13304"/>
    <cellStyle name="Вычисление 3 2 6" xfId="9873"/>
    <cellStyle name="Вычисление 3 3" xfId="6222"/>
    <cellStyle name="Вычисление 3 3 2" xfId="12193"/>
    <cellStyle name="Вычисление 3 3 3" xfId="10494"/>
    <cellStyle name="Вычисление 3 3 4" xfId="11967"/>
    <cellStyle name="Вычисление 3 4" xfId="6943"/>
    <cellStyle name="Вычисление 3 4 2" xfId="12681"/>
    <cellStyle name="Вычисление 3 4 3" xfId="10231"/>
    <cellStyle name="Вычисление 3 4 4" xfId="11559"/>
    <cellStyle name="Вычисление 3 5" xfId="11225"/>
    <cellStyle name="Вычисление 3 6" xfId="13390"/>
    <cellStyle name="Вычисление 3 7" xfId="13543"/>
    <cellStyle name="Вычисление 4" xfId="3567"/>
    <cellStyle name="Вычисление 4 2" xfId="3568"/>
    <cellStyle name="Вычисление 4 2 2" xfId="6225"/>
    <cellStyle name="Вычисление 4 2 2 2" xfId="12196"/>
    <cellStyle name="Вычисление 4 2 2 3" xfId="10491"/>
    <cellStyle name="Вычисление 4 2 2 4" xfId="12053"/>
    <cellStyle name="Вычисление 4 2 3" xfId="7162"/>
    <cellStyle name="Вычисление 4 2 3 2" xfId="12891"/>
    <cellStyle name="Вычисление 4 2 3 3" xfId="10028"/>
    <cellStyle name="Вычисление 4 2 3 4" xfId="10960"/>
    <cellStyle name="Вычисление 4 2 4" xfId="11228"/>
    <cellStyle name="Вычисление 4 2 5" xfId="13283"/>
    <cellStyle name="Вычисление 4 2 6" xfId="9394"/>
    <cellStyle name="Вычисление 4 3" xfId="6224"/>
    <cellStyle name="Вычисление 4 3 2" xfId="12195"/>
    <cellStyle name="Вычисление 4 3 3" xfId="10492"/>
    <cellStyle name="Вычисление 4 3 4" xfId="11985"/>
    <cellStyle name="Вычисление 4 4" xfId="7161"/>
    <cellStyle name="Вычисление 4 4 2" xfId="12890"/>
    <cellStyle name="Вычисление 4 4 3" xfId="10029"/>
    <cellStyle name="Вычисление 4 4 4" xfId="10959"/>
    <cellStyle name="Вычисление 4 5" xfId="11227"/>
    <cellStyle name="Вычисление 4 6" xfId="13370"/>
    <cellStyle name="Вычисление 4 7" xfId="11998"/>
    <cellStyle name="Вычисление 5" xfId="3569"/>
    <cellStyle name="Вычисление 5 2" xfId="3570"/>
    <cellStyle name="Вычисление 5 2 2" xfId="6227"/>
    <cellStyle name="Вычисление 5 2 2 2" xfId="12198"/>
    <cellStyle name="Вычисление 5 2 2 3" xfId="10489"/>
    <cellStyle name="Вычисление 5 2 2 4" xfId="12439"/>
    <cellStyle name="Вычисление 5 2 3" xfId="7164"/>
    <cellStyle name="Вычисление 5 2 3 2" xfId="12893"/>
    <cellStyle name="Вычисление 5 2 3 3" xfId="10026"/>
    <cellStyle name="Вычисление 5 2 3 4" xfId="10962"/>
    <cellStyle name="Вычисление 5 2 4" xfId="11230"/>
    <cellStyle name="Вычисление 5 2 5" xfId="13341"/>
    <cellStyle name="Вычисление 5 2 6" xfId="13641"/>
    <cellStyle name="Вычисление 5 3" xfId="6226"/>
    <cellStyle name="Вычисление 5 3 2" xfId="12197"/>
    <cellStyle name="Вычисление 5 3 3" xfId="10490"/>
    <cellStyle name="Вычисление 5 3 4" xfId="12563"/>
    <cellStyle name="Вычисление 5 4" xfId="7163"/>
    <cellStyle name="Вычисление 5 4 2" xfId="12892"/>
    <cellStyle name="Вычисление 5 4 3" xfId="10027"/>
    <cellStyle name="Вычисление 5 4 4" xfId="10961"/>
    <cellStyle name="Вычисление 5 5" xfId="11229"/>
    <cellStyle name="Вычисление 5 6" xfId="13259"/>
    <cellStyle name="Вычисление 5 7" xfId="13585"/>
    <cellStyle name="Вычисление 6" xfId="3571"/>
    <cellStyle name="Вычисление 6 2" xfId="3572"/>
    <cellStyle name="Вычисление 6 2 2" xfId="6229"/>
    <cellStyle name="Вычисление 6 2 2 2" xfId="12200"/>
    <cellStyle name="Вычисление 6 2 2 3" xfId="10487"/>
    <cellStyle name="Вычисление 6 2 2 4" xfId="12441"/>
    <cellStyle name="Вычисление 6 2 3" xfId="7166"/>
    <cellStyle name="Вычисление 6 2 3 2" xfId="12895"/>
    <cellStyle name="Вычисление 6 2 3 3" xfId="10024"/>
    <cellStyle name="Вычисление 6 2 3 4" xfId="10964"/>
    <cellStyle name="Вычисление 6 2 4" xfId="11232"/>
    <cellStyle name="Вычисление 6 2 5" xfId="13320"/>
    <cellStyle name="Вычисление 6 2 6" xfId="13622"/>
    <cellStyle name="Вычисление 6 3" xfId="6228"/>
    <cellStyle name="Вычисление 6 3 2" xfId="12199"/>
    <cellStyle name="Вычисление 6 3 3" xfId="10488"/>
    <cellStyle name="Вычисление 6 3 4" xfId="12564"/>
    <cellStyle name="Вычисление 6 4" xfId="7165"/>
    <cellStyle name="Вычисление 6 4 2" xfId="12894"/>
    <cellStyle name="Вычисление 6 4 3" xfId="10025"/>
    <cellStyle name="Вычисление 6 4 4" xfId="10963"/>
    <cellStyle name="Вычисление 6 5" xfId="11231"/>
    <cellStyle name="Вычисление 6 6" xfId="13406"/>
    <cellStyle name="Вычисление 6 7" xfId="13566"/>
    <cellStyle name="Вычисление 7" xfId="3573"/>
    <cellStyle name="Вычисление 7 2" xfId="3574"/>
    <cellStyle name="Вычисление 7 2 2" xfId="6231"/>
    <cellStyle name="Вычисление 7 2 2 2" xfId="12202"/>
    <cellStyle name="Вычисление 7 2 2 3" xfId="10485"/>
    <cellStyle name="Вычисление 7 2 2 4" xfId="12512"/>
    <cellStyle name="Вычисление 7 2 3" xfId="7168"/>
    <cellStyle name="Вычисление 7 2 3 2" xfId="12897"/>
    <cellStyle name="Вычисление 7 2 3 3" xfId="10022"/>
    <cellStyle name="Вычисление 7 2 3 4" xfId="10966"/>
    <cellStyle name="Вычисление 7 2 4" xfId="11234"/>
    <cellStyle name="Вычисление 7 2 5" xfId="13298"/>
    <cellStyle name="Вычисление 7 2 6" xfId="13604"/>
    <cellStyle name="Вычисление 7 3" xfId="6230"/>
    <cellStyle name="Вычисление 7 3 2" xfId="12201"/>
    <cellStyle name="Вычисление 7 3 3" xfId="10486"/>
    <cellStyle name="Вычисление 7 3 4" xfId="12599"/>
    <cellStyle name="Вычисление 7 4" xfId="7167"/>
    <cellStyle name="Вычисление 7 4 2" xfId="12896"/>
    <cellStyle name="Вычисление 7 4 3" xfId="10023"/>
    <cellStyle name="Вычисление 7 4 4" xfId="10965"/>
    <cellStyle name="Вычисление 7 5" xfId="11233"/>
    <cellStyle name="Вычисление 7 6" xfId="13384"/>
    <cellStyle name="Вычисление 7 7" xfId="13547"/>
    <cellStyle name="Вычисление 8" xfId="3575"/>
    <cellStyle name="Вычисление 8 2" xfId="3576"/>
    <cellStyle name="Вычисление 8 2 2" xfId="6233"/>
    <cellStyle name="Вычисление 8 2 2 2" xfId="12204"/>
    <cellStyle name="Вычисление 8 2 2 3" xfId="10483"/>
    <cellStyle name="Вычисление 8 2 2 4" xfId="12601"/>
    <cellStyle name="Вычисление 8 2 3" xfId="7170"/>
    <cellStyle name="Вычисление 8 2 3 2" xfId="12899"/>
    <cellStyle name="Вычисление 8 2 3 3" xfId="10020"/>
    <cellStyle name="Вычисление 8 2 3 4" xfId="10968"/>
    <cellStyle name="Вычисление 8 2 4" xfId="11236"/>
    <cellStyle name="Вычисление 8 2 5" xfId="13276"/>
    <cellStyle name="Вычисление 8 2 6" xfId="13594"/>
    <cellStyle name="Вычисление 8 3" xfId="6232"/>
    <cellStyle name="Вычисление 8 3 2" xfId="12203"/>
    <cellStyle name="Вычисление 8 3 3" xfId="10484"/>
    <cellStyle name="Вычисление 8 3 4" xfId="12600"/>
    <cellStyle name="Вычисление 8 4" xfId="7169"/>
    <cellStyle name="Вычисление 8 4 2" xfId="12898"/>
    <cellStyle name="Вычисление 8 4 3" xfId="10021"/>
    <cellStyle name="Вычисление 8 4 4" xfId="10967"/>
    <cellStyle name="Вычисление 8 5" xfId="11235"/>
    <cellStyle name="Вычисление 8 6" xfId="13364"/>
    <cellStyle name="Вычисление 8 7" xfId="13529"/>
    <cellStyle name="Вычисление 9" xfId="3577"/>
    <cellStyle name="Вычисление 9 2" xfId="3578"/>
    <cellStyle name="Вычисление 9 2 2" xfId="6235"/>
    <cellStyle name="Вычисление 9 2 2 2" xfId="12206"/>
    <cellStyle name="Вычисление 9 2 2 3" xfId="10481"/>
    <cellStyle name="Вычисление 9 2 2 4" xfId="12662"/>
    <cellStyle name="Вычисление 9 2 3" xfId="7172"/>
    <cellStyle name="Вычисление 9 2 3 2" xfId="12901"/>
    <cellStyle name="Вычисление 9 2 3 3" xfId="10018"/>
    <cellStyle name="Вычисление 9 2 3 4" xfId="10970"/>
    <cellStyle name="Вычисление 9 2 4" xfId="11238"/>
    <cellStyle name="Вычисление 9 2 5" xfId="13418"/>
    <cellStyle name="Вычисление 9 2 6" xfId="13576"/>
    <cellStyle name="Вычисление 9 3" xfId="6234"/>
    <cellStyle name="Вычисление 9 3 2" xfId="12205"/>
    <cellStyle name="Вычисление 9 3 3" xfId="10482"/>
    <cellStyle name="Вычисление 9 3 4" xfId="12560"/>
    <cellStyle name="Вычисление 9 4" xfId="7171"/>
    <cellStyle name="Вычисление 9 4 2" xfId="12900"/>
    <cellStyle name="Вычисление 9 4 3" xfId="10019"/>
    <cellStyle name="Вычисление 9 4 4" xfId="10969"/>
    <cellStyle name="Вычисление 9 5" xfId="11237"/>
    <cellStyle name="Вычисление 9 6" xfId="13351"/>
    <cellStyle name="Вычисление 9 7" xfId="13650"/>
    <cellStyle name="Заголовок 1 10" xfId="3579"/>
    <cellStyle name="Заголовок 1 10 2" xfId="3580"/>
    <cellStyle name="Заголовок 1 11" xfId="3581"/>
    <cellStyle name="Заголовок 1 11 2" xfId="3582"/>
    <cellStyle name="Заголовок 1 12" xfId="3583"/>
    <cellStyle name="Заголовок 1 12 2" xfId="3584"/>
    <cellStyle name="Заголовок 1 13" xfId="3585"/>
    <cellStyle name="Заголовок 1 13 2" xfId="3586"/>
    <cellStyle name="Заголовок 1 14" xfId="3587"/>
    <cellStyle name="Заголовок 1 14 2" xfId="3588"/>
    <cellStyle name="Заголовок 1 15" xfId="3589"/>
    <cellStyle name="Заголовок 1 15 2" xfId="3590"/>
    <cellStyle name="Заголовок 1 16" xfId="3591"/>
    <cellStyle name="Заголовок 1 16 2" xfId="3592"/>
    <cellStyle name="Заголовок 1 17" xfId="3593"/>
    <cellStyle name="Заголовок 1 17 2" xfId="3594"/>
    <cellStyle name="Заголовок 1 18" xfId="3595"/>
    <cellStyle name="Заголовок 1 18 2" xfId="3596"/>
    <cellStyle name="Заголовок 1 19" xfId="3597"/>
    <cellStyle name="Заголовок 1 19 2" xfId="3598"/>
    <cellStyle name="Заголовок 1 2" xfId="1551"/>
    <cellStyle name="Заголовок 1 2 10" xfId="3599"/>
    <cellStyle name="Заголовок 1 2 10 2" xfId="3600"/>
    <cellStyle name="Заголовок 1 2 11" xfId="3601"/>
    <cellStyle name="Заголовок 1 2 11 2" xfId="3602"/>
    <cellStyle name="Заголовок 1 2 12" xfId="3603"/>
    <cellStyle name="Заголовок 1 2 12 2" xfId="3604"/>
    <cellStyle name="Заголовок 1 2 13" xfId="3605"/>
    <cellStyle name="Заголовок 1 2 13 2" xfId="3606"/>
    <cellStyle name="Заголовок 1 2 14" xfId="3607"/>
    <cellStyle name="Заголовок 1 2 14 2" xfId="3608"/>
    <cellStyle name="Заголовок 1 2 15" xfId="3609"/>
    <cellStyle name="Заголовок 1 2 15 2" xfId="3610"/>
    <cellStyle name="Заголовок 1 2 16" xfId="3611"/>
    <cellStyle name="Заголовок 1 2 16 2" xfId="3612"/>
    <cellStyle name="Заголовок 1 2 17" xfId="3613"/>
    <cellStyle name="Заголовок 1 2 17 2" xfId="3614"/>
    <cellStyle name="Заголовок 1 2 18" xfId="3615"/>
    <cellStyle name="Заголовок 1 2 18 2" xfId="3616"/>
    <cellStyle name="Заголовок 1 2 2" xfId="3617"/>
    <cellStyle name="Заголовок 1 2 2 2" xfId="6944"/>
    <cellStyle name="Заголовок 1 2 3" xfId="3618"/>
    <cellStyle name="Заголовок 1 2 3 2" xfId="3619"/>
    <cellStyle name="Заголовок 1 2 4" xfId="3620"/>
    <cellStyle name="Заголовок 1 2 4 2" xfId="3621"/>
    <cellStyle name="Заголовок 1 2 5" xfId="3622"/>
    <cellStyle name="Заголовок 1 2 5 2" xfId="3623"/>
    <cellStyle name="Заголовок 1 2 6" xfId="3624"/>
    <cellStyle name="Заголовок 1 2 6 2" xfId="3625"/>
    <cellStyle name="Заголовок 1 2 7" xfId="3626"/>
    <cellStyle name="Заголовок 1 2 7 2" xfId="3627"/>
    <cellStyle name="Заголовок 1 2 8" xfId="3628"/>
    <cellStyle name="Заголовок 1 2 8 2" xfId="3629"/>
    <cellStyle name="Заголовок 1 2 9" xfId="3630"/>
    <cellStyle name="Заголовок 1 2 9 2" xfId="3631"/>
    <cellStyle name="Заголовок 1 20" xfId="3632"/>
    <cellStyle name="Заголовок 1 20 2" xfId="3633"/>
    <cellStyle name="Заголовок 1 21" xfId="3634"/>
    <cellStyle name="Заголовок 1 21 2" xfId="3635"/>
    <cellStyle name="Заголовок 1 3" xfId="3636"/>
    <cellStyle name="Заголовок 1 3 2" xfId="6945"/>
    <cellStyle name="Заголовок 1 4" xfId="3637"/>
    <cellStyle name="Заголовок 1 5" xfId="3638"/>
    <cellStyle name="Заголовок 1 6" xfId="3639"/>
    <cellStyle name="Заголовок 1 6 2" xfId="3640"/>
    <cellStyle name="Заголовок 1 7" xfId="3641"/>
    <cellStyle name="Заголовок 1 7 2" xfId="3642"/>
    <cellStyle name="Заголовок 1 8" xfId="3643"/>
    <cellStyle name="Заголовок 1 8 2" xfId="3644"/>
    <cellStyle name="Заголовок 1 9" xfId="3645"/>
    <cellStyle name="Заголовок 1 9 2" xfId="3646"/>
    <cellStyle name="Заголовок 2 10" xfId="3647"/>
    <cellStyle name="Заголовок 2 10 2" xfId="3648"/>
    <cellStyle name="Заголовок 2 11" xfId="3649"/>
    <cellStyle name="Заголовок 2 11 2" xfId="3650"/>
    <cellStyle name="Заголовок 2 12" xfId="3651"/>
    <cellStyle name="Заголовок 2 12 2" xfId="3652"/>
    <cellStyle name="Заголовок 2 13" xfId="3653"/>
    <cellStyle name="Заголовок 2 13 2" xfId="3654"/>
    <cellStyle name="Заголовок 2 14" xfId="3655"/>
    <cellStyle name="Заголовок 2 14 2" xfId="3656"/>
    <cellStyle name="Заголовок 2 15" xfId="3657"/>
    <cellStyle name="Заголовок 2 15 2" xfId="3658"/>
    <cellStyle name="Заголовок 2 16" xfId="3659"/>
    <cellStyle name="Заголовок 2 16 2" xfId="3660"/>
    <cellStyle name="Заголовок 2 17" xfId="3661"/>
    <cellStyle name="Заголовок 2 17 2" xfId="3662"/>
    <cellStyle name="Заголовок 2 18" xfId="3663"/>
    <cellStyle name="Заголовок 2 18 2" xfId="3664"/>
    <cellStyle name="Заголовок 2 19" xfId="3665"/>
    <cellStyle name="Заголовок 2 19 2" xfId="3666"/>
    <cellStyle name="Заголовок 2 2" xfId="1552"/>
    <cellStyle name="Заголовок 2 2 10" xfId="3667"/>
    <cellStyle name="Заголовок 2 2 10 2" xfId="3668"/>
    <cellStyle name="Заголовок 2 2 11" xfId="3669"/>
    <cellStyle name="Заголовок 2 2 11 2" xfId="3670"/>
    <cellStyle name="Заголовок 2 2 12" xfId="3671"/>
    <cellStyle name="Заголовок 2 2 12 2" xfId="3672"/>
    <cellStyle name="Заголовок 2 2 13" xfId="3673"/>
    <cellStyle name="Заголовок 2 2 13 2" xfId="3674"/>
    <cellStyle name="Заголовок 2 2 14" xfId="3675"/>
    <cellStyle name="Заголовок 2 2 14 2" xfId="3676"/>
    <cellStyle name="Заголовок 2 2 15" xfId="3677"/>
    <cellStyle name="Заголовок 2 2 15 2" xfId="3678"/>
    <cellStyle name="Заголовок 2 2 16" xfId="3679"/>
    <cellStyle name="Заголовок 2 2 16 2" xfId="3680"/>
    <cellStyle name="Заголовок 2 2 17" xfId="3681"/>
    <cellStyle name="Заголовок 2 2 17 2" xfId="3682"/>
    <cellStyle name="Заголовок 2 2 18" xfId="3683"/>
    <cellStyle name="Заголовок 2 2 18 2" xfId="3684"/>
    <cellStyle name="Заголовок 2 2 2" xfId="3685"/>
    <cellStyle name="Заголовок 2 2 2 2" xfId="6946"/>
    <cellStyle name="Заголовок 2 2 3" xfId="3686"/>
    <cellStyle name="Заголовок 2 2 3 2" xfId="3687"/>
    <cellStyle name="Заголовок 2 2 4" xfId="3688"/>
    <cellStyle name="Заголовок 2 2 4 2" xfId="3689"/>
    <cellStyle name="Заголовок 2 2 5" xfId="3690"/>
    <cellStyle name="Заголовок 2 2 5 2" xfId="3691"/>
    <cellStyle name="Заголовок 2 2 6" xfId="3692"/>
    <cellStyle name="Заголовок 2 2 6 2" xfId="3693"/>
    <cellStyle name="Заголовок 2 2 7" xfId="3694"/>
    <cellStyle name="Заголовок 2 2 7 2" xfId="3695"/>
    <cellStyle name="Заголовок 2 2 8" xfId="3696"/>
    <cellStyle name="Заголовок 2 2 8 2" xfId="3697"/>
    <cellStyle name="Заголовок 2 2 9" xfId="3698"/>
    <cellStyle name="Заголовок 2 2 9 2" xfId="3699"/>
    <cellStyle name="Заголовок 2 20" xfId="3700"/>
    <cellStyle name="Заголовок 2 20 2" xfId="3701"/>
    <cellStyle name="Заголовок 2 21" xfId="3702"/>
    <cellStyle name="Заголовок 2 21 2" xfId="3703"/>
    <cellStyle name="Заголовок 2 3" xfId="3704"/>
    <cellStyle name="Заголовок 2 3 2" xfId="6947"/>
    <cellStyle name="Заголовок 2 4" xfId="3705"/>
    <cellStyle name="Заголовок 2 5" xfId="3706"/>
    <cellStyle name="Заголовок 2 6" xfId="3707"/>
    <cellStyle name="Заголовок 2 6 2" xfId="3708"/>
    <cellStyle name="Заголовок 2 7" xfId="3709"/>
    <cellStyle name="Заголовок 2 7 2" xfId="3710"/>
    <cellStyle name="Заголовок 2 8" xfId="3711"/>
    <cellStyle name="Заголовок 2 8 2" xfId="3712"/>
    <cellStyle name="Заголовок 2 9" xfId="3713"/>
    <cellStyle name="Заголовок 2 9 2" xfId="3714"/>
    <cellStyle name="Заголовок 3 10" xfId="3715"/>
    <cellStyle name="Заголовок 3 10 2" xfId="3716"/>
    <cellStyle name="Заголовок 3 11" xfId="3717"/>
    <cellStyle name="Заголовок 3 11 2" xfId="3718"/>
    <cellStyle name="Заголовок 3 12" xfId="3719"/>
    <cellStyle name="Заголовок 3 12 2" xfId="3720"/>
    <cellStyle name="Заголовок 3 13" xfId="3721"/>
    <cellStyle name="Заголовок 3 13 2" xfId="3722"/>
    <cellStyle name="Заголовок 3 14" xfId="3723"/>
    <cellStyle name="Заголовок 3 14 2" xfId="3724"/>
    <cellStyle name="Заголовок 3 15" xfId="3725"/>
    <cellStyle name="Заголовок 3 15 2" xfId="3726"/>
    <cellStyle name="Заголовок 3 16" xfId="3727"/>
    <cellStyle name="Заголовок 3 16 2" xfId="3728"/>
    <cellStyle name="Заголовок 3 17" xfId="3729"/>
    <cellStyle name="Заголовок 3 17 2" xfId="3730"/>
    <cellStyle name="Заголовок 3 18" xfId="3731"/>
    <cellStyle name="Заголовок 3 18 2" xfId="3732"/>
    <cellStyle name="Заголовок 3 19" xfId="3733"/>
    <cellStyle name="Заголовок 3 19 2" xfId="3734"/>
    <cellStyle name="Заголовок 3 2" xfId="1553"/>
    <cellStyle name="Заголовок 3 2 10" xfId="3735"/>
    <cellStyle name="Заголовок 3 2 10 2" xfId="3736"/>
    <cellStyle name="Заголовок 3 2 11" xfId="3737"/>
    <cellStyle name="Заголовок 3 2 11 2" xfId="3738"/>
    <cellStyle name="Заголовок 3 2 12" xfId="3739"/>
    <cellStyle name="Заголовок 3 2 12 2" xfId="3740"/>
    <cellStyle name="Заголовок 3 2 13" xfId="3741"/>
    <cellStyle name="Заголовок 3 2 13 2" xfId="3742"/>
    <cellStyle name="Заголовок 3 2 14" xfId="3743"/>
    <cellStyle name="Заголовок 3 2 14 2" xfId="3744"/>
    <cellStyle name="Заголовок 3 2 15" xfId="3745"/>
    <cellStyle name="Заголовок 3 2 15 2" xfId="3746"/>
    <cellStyle name="Заголовок 3 2 16" xfId="3747"/>
    <cellStyle name="Заголовок 3 2 16 2" xfId="3748"/>
    <cellStyle name="Заголовок 3 2 17" xfId="3749"/>
    <cellStyle name="Заголовок 3 2 17 2" xfId="3750"/>
    <cellStyle name="Заголовок 3 2 18" xfId="3751"/>
    <cellStyle name="Заголовок 3 2 18 2" xfId="3752"/>
    <cellStyle name="Заголовок 3 2 2" xfId="3753"/>
    <cellStyle name="Заголовок 3 2 2 2" xfId="6948"/>
    <cellStyle name="Заголовок 3 2 3" xfId="3754"/>
    <cellStyle name="Заголовок 3 2 3 2" xfId="3755"/>
    <cellStyle name="Заголовок 3 2 4" xfId="3756"/>
    <cellStyle name="Заголовок 3 2 4 2" xfId="3757"/>
    <cellStyle name="Заголовок 3 2 5" xfId="3758"/>
    <cellStyle name="Заголовок 3 2 5 2" xfId="3759"/>
    <cellStyle name="Заголовок 3 2 6" xfId="3760"/>
    <cellStyle name="Заголовок 3 2 6 2" xfId="3761"/>
    <cellStyle name="Заголовок 3 2 7" xfId="3762"/>
    <cellStyle name="Заголовок 3 2 7 2" xfId="3763"/>
    <cellStyle name="Заголовок 3 2 8" xfId="3764"/>
    <cellStyle name="Заголовок 3 2 8 2" xfId="3765"/>
    <cellStyle name="Заголовок 3 2 9" xfId="3766"/>
    <cellStyle name="Заголовок 3 2 9 2" xfId="3767"/>
    <cellStyle name="Заголовок 3 20" xfId="3768"/>
    <cellStyle name="Заголовок 3 20 2" xfId="3769"/>
    <cellStyle name="Заголовок 3 21" xfId="3770"/>
    <cellStyle name="Заголовок 3 21 2" xfId="3771"/>
    <cellStyle name="Заголовок 3 3" xfId="3772"/>
    <cellStyle name="Заголовок 3 3 2" xfId="6949"/>
    <cellStyle name="Заголовок 3 4" xfId="3773"/>
    <cellStyle name="Заголовок 3 5" xfId="3774"/>
    <cellStyle name="Заголовок 3 6" xfId="3775"/>
    <cellStyle name="Заголовок 3 6 2" xfId="3776"/>
    <cellStyle name="Заголовок 3 7" xfId="3777"/>
    <cellStyle name="Заголовок 3 7 2" xfId="3778"/>
    <cellStyle name="Заголовок 3 8" xfId="3779"/>
    <cellStyle name="Заголовок 3 8 2" xfId="3780"/>
    <cellStyle name="Заголовок 3 9" xfId="3781"/>
    <cellStyle name="Заголовок 3 9 2" xfId="3782"/>
    <cellStyle name="Заголовок 4 10" xfId="3783"/>
    <cellStyle name="Заголовок 4 10 2" xfId="3784"/>
    <cellStyle name="Заголовок 4 11" xfId="3785"/>
    <cellStyle name="Заголовок 4 11 2" xfId="3786"/>
    <cellStyle name="Заголовок 4 12" xfId="3787"/>
    <cellStyle name="Заголовок 4 12 2" xfId="3788"/>
    <cellStyle name="Заголовок 4 13" xfId="3789"/>
    <cellStyle name="Заголовок 4 13 2" xfId="3790"/>
    <cellStyle name="Заголовок 4 14" xfId="3791"/>
    <cellStyle name="Заголовок 4 14 2" xfId="3792"/>
    <cellStyle name="Заголовок 4 15" xfId="3793"/>
    <cellStyle name="Заголовок 4 15 2" xfId="3794"/>
    <cellStyle name="Заголовок 4 16" xfId="3795"/>
    <cellStyle name="Заголовок 4 16 2" xfId="3796"/>
    <cellStyle name="Заголовок 4 17" xfId="3797"/>
    <cellStyle name="Заголовок 4 17 2" xfId="3798"/>
    <cellStyle name="Заголовок 4 18" xfId="3799"/>
    <cellStyle name="Заголовок 4 18 2" xfId="3800"/>
    <cellStyle name="Заголовок 4 19" xfId="3801"/>
    <cellStyle name="Заголовок 4 19 2" xfId="3802"/>
    <cellStyle name="Заголовок 4 2" xfId="1554"/>
    <cellStyle name="Заголовок 4 2 10" xfId="3803"/>
    <cellStyle name="Заголовок 4 2 10 2" xfId="3804"/>
    <cellStyle name="Заголовок 4 2 11" xfId="3805"/>
    <cellStyle name="Заголовок 4 2 11 2" xfId="3806"/>
    <cellStyle name="Заголовок 4 2 12" xfId="3807"/>
    <cellStyle name="Заголовок 4 2 12 2" xfId="3808"/>
    <cellStyle name="Заголовок 4 2 13" xfId="3809"/>
    <cellStyle name="Заголовок 4 2 13 2" xfId="3810"/>
    <cellStyle name="Заголовок 4 2 14" xfId="3811"/>
    <cellStyle name="Заголовок 4 2 14 2" xfId="3812"/>
    <cellStyle name="Заголовок 4 2 15" xfId="3813"/>
    <cellStyle name="Заголовок 4 2 15 2" xfId="3814"/>
    <cellStyle name="Заголовок 4 2 16" xfId="3815"/>
    <cellStyle name="Заголовок 4 2 16 2" xfId="3816"/>
    <cellStyle name="Заголовок 4 2 17" xfId="3817"/>
    <cellStyle name="Заголовок 4 2 17 2" xfId="3818"/>
    <cellStyle name="Заголовок 4 2 18" xfId="3819"/>
    <cellStyle name="Заголовок 4 2 18 2" xfId="3820"/>
    <cellStyle name="Заголовок 4 2 2" xfId="3821"/>
    <cellStyle name="Заголовок 4 2 2 2" xfId="6950"/>
    <cellStyle name="Заголовок 4 2 3" xfId="3822"/>
    <cellStyle name="Заголовок 4 2 3 2" xfId="3823"/>
    <cellStyle name="Заголовок 4 2 4" xfId="3824"/>
    <cellStyle name="Заголовок 4 2 4 2" xfId="3825"/>
    <cellStyle name="Заголовок 4 2 5" xfId="3826"/>
    <cellStyle name="Заголовок 4 2 5 2" xfId="3827"/>
    <cellStyle name="Заголовок 4 2 6" xfId="3828"/>
    <cellStyle name="Заголовок 4 2 6 2" xfId="3829"/>
    <cellStyle name="Заголовок 4 2 7" xfId="3830"/>
    <cellStyle name="Заголовок 4 2 7 2" xfId="3831"/>
    <cellStyle name="Заголовок 4 2 8" xfId="3832"/>
    <cellStyle name="Заголовок 4 2 8 2" xfId="3833"/>
    <cellStyle name="Заголовок 4 2 9" xfId="3834"/>
    <cellStyle name="Заголовок 4 2 9 2" xfId="3835"/>
    <cellStyle name="Заголовок 4 20" xfId="3836"/>
    <cellStyle name="Заголовок 4 20 2" xfId="3837"/>
    <cellStyle name="Заголовок 4 21" xfId="3838"/>
    <cellStyle name="Заголовок 4 21 2" xfId="3839"/>
    <cellStyle name="Заголовок 4 3" xfId="3840"/>
    <cellStyle name="Заголовок 4 3 2" xfId="6951"/>
    <cellStyle name="Заголовок 4 4" xfId="3841"/>
    <cellStyle name="Заголовок 4 5" xfId="3842"/>
    <cellStyle name="Заголовок 4 6" xfId="3843"/>
    <cellStyle name="Заголовок 4 6 2" xfId="3844"/>
    <cellStyle name="Заголовок 4 7" xfId="3845"/>
    <cellStyle name="Заголовок 4 7 2" xfId="3846"/>
    <cellStyle name="Заголовок 4 8" xfId="3847"/>
    <cellStyle name="Заголовок 4 8 2" xfId="3848"/>
    <cellStyle name="Заголовок 4 9" xfId="3849"/>
    <cellStyle name="Заголовок 4 9 2" xfId="3850"/>
    <cellStyle name="Итог 10" xfId="3851"/>
    <cellStyle name="Итог 10 2" xfId="3852"/>
    <cellStyle name="Итог 10 2 2" xfId="6394"/>
    <cellStyle name="Итог 10 2 2 2" xfId="12357"/>
    <cellStyle name="Итог 10 2 2 3" xfId="10334"/>
    <cellStyle name="Итог 10 2 2 4" xfId="11947"/>
    <cellStyle name="Итог 10 2 3" xfId="7174"/>
    <cellStyle name="Итог 10 2 3 2" xfId="12903"/>
    <cellStyle name="Итог 10 2 3 3" xfId="10016"/>
    <cellStyle name="Итог 10 2 3 4" xfId="10972"/>
    <cellStyle name="Итог 10 2 4" xfId="7584"/>
    <cellStyle name="Итог 10 2 4 2" xfId="13177"/>
    <cellStyle name="Итог 10 2 4 3" xfId="12533"/>
    <cellStyle name="Итог 10 2 4 4" xfId="11682"/>
    <cellStyle name="Итог 10 2 5" xfId="11322"/>
    <cellStyle name="Итог 10 3" xfId="6393"/>
    <cellStyle name="Итог 10 3 2" xfId="12356"/>
    <cellStyle name="Итог 10 3 3" xfId="10335"/>
    <cellStyle name="Итог 10 3 4" xfId="9824"/>
    <cellStyle name="Итог 10 4" xfId="7173"/>
    <cellStyle name="Итог 10 4 2" xfId="12902"/>
    <cellStyle name="Итог 10 4 3" xfId="10017"/>
    <cellStyle name="Итог 10 4 4" xfId="10971"/>
    <cellStyle name="Итог 10 5" xfId="7583"/>
    <cellStyle name="Итог 10 5 2" xfId="13176"/>
    <cellStyle name="Итог 10 5 3" xfId="9445"/>
    <cellStyle name="Итог 10 5 4" xfId="11681"/>
    <cellStyle name="Итог 10 6" xfId="11321"/>
    <cellStyle name="Итог 11" xfId="3853"/>
    <cellStyle name="Итог 11 2" xfId="3854"/>
    <cellStyle name="Итог 11 2 2" xfId="6396"/>
    <cellStyle name="Итог 11 2 2 2" xfId="12359"/>
    <cellStyle name="Итог 11 2 2 3" xfId="10332"/>
    <cellStyle name="Итог 11 2 2 4" xfId="11948"/>
    <cellStyle name="Итог 11 2 3" xfId="7176"/>
    <cellStyle name="Итог 11 2 3 2" xfId="12905"/>
    <cellStyle name="Итог 11 2 3 3" xfId="10014"/>
    <cellStyle name="Итог 11 2 3 4" xfId="10974"/>
    <cellStyle name="Итог 11 2 4" xfId="7586"/>
    <cellStyle name="Итог 11 2 4 2" xfId="13179"/>
    <cellStyle name="Итог 11 2 4 3" xfId="9443"/>
    <cellStyle name="Итог 11 2 4 4" xfId="11684"/>
    <cellStyle name="Итог 11 2 5" xfId="11324"/>
    <cellStyle name="Итог 11 3" xfId="6395"/>
    <cellStyle name="Итог 11 3 2" xfId="12358"/>
    <cellStyle name="Итог 11 3 3" xfId="10333"/>
    <cellStyle name="Итог 11 3 4" xfId="9865"/>
    <cellStyle name="Итог 11 4" xfId="7175"/>
    <cellStyle name="Итог 11 4 2" xfId="12904"/>
    <cellStyle name="Итог 11 4 3" xfId="10015"/>
    <cellStyle name="Итог 11 4 4" xfId="10973"/>
    <cellStyle name="Итог 11 5" xfId="7585"/>
    <cellStyle name="Итог 11 5 2" xfId="13178"/>
    <cellStyle name="Итог 11 5 3" xfId="9418"/>
    <cellStyle name="Итог 11 5 4" xfId="11683"/>
    <cellStyle name="Итог 11 6" xfId="11323"/>
    <cellStyle name="Итог 12" xfId="3855"/>
    <cellStyle name="Итог 12 2" xfId="3856"/>
    <cellStyle name="Итог 12 2 2" xfId="6398"/>
    <cellStyle name="Итог 12 2 2 2" xfId="12361"/>
    <cellStyle name="Итог 12 2 2 3" xfId="10330"/>
    <cellStyle name="Итог 12 2 2 4" xfId="11950"/>
    <cellStyle name="Итог 12 2 3" xfId="7178"/>
    <cellStyle name="Итог 12 2 3 2" xfId="12907"/>
    <cellStyle name="Итог 12 2 3 3" xfId="10012"/>
    <cellStyle name="Итог 12 2 3 4" xfId="10975"/>
    <cellStyle name="Итог 12 2 4" xfId="7588"/>
    <cellStyle name="Итог 12 2 4 2" xfId="13181"/>
    <cellStyle name="Итог 12 2 4 3" xfId="9441"/>
    <cellStyle name="Итог 12 2 4 4" xfId="11686"/>
    <cellStyle name="Итог 12 2 5" xfId="11326"/>
    <cellStyle name="Итог 12 3" xfId="6397"/>
    <cellStyle name="Итог 12 3 2" xfId="12360"/>
    <cellStyle name="Итог 12 3 3" xfId="10331"/>
    <cellStyle name="Итог 12 3 4" xfId="11949"/>
    <cellStyle name="Итог 12 4" xfId="7177"/>
    <cellStyle name="Итог 12 4 2" xfId="12906"/>
    <cellStyle name="Итог 12 4 3" xfId="10013"/>
    <cellStyle name="Итог 12 4 4" xfId="9860"/>
    <cellStyle name="Итог 12 5" xfId="7587"/>
    <cellStyle name="Итог 12 5 2" xfId="13180"/>
    <cellStyle name="Итог 12 5 3" xfId="9442"/>
    <cellStyle name="Итог 12 5 4" xfId="11685"/>
    <cellStyle name="Итог 12 6" xfId="11325"/>
    <cellStyle name="Итог 13" xfId="3857"/>
    <cellStyle name="Итог 13 2" xfId="3858"/>
    <cellStyle name="Итог 13 2 2" xfId="6400"/>
    <cellStyle name="Итог 13 2 2 2" xfId="12363"/>
    <cellStyle name="Итог 13 2 2 3" xfId="10328"/>
    <cellStyle name="Итог 13 2 2 4" xfId="9826"/>
    <cellStyle name="Итог 13 2 3" xfId="7180"/>
    <cellStyle name="Итог 13 2 3 2" xfId="12909"/>
    <cellStyle name="Итог 13 2 3 3" xfId="10010"/>
    <cellStyle name="Итог 13 2 3 4" xfId="10977"/>
    <cellStyle name="Итог 13 2 4" xfId="7590"/>
    <cellStyle name="Итог 13 2 4 2" xfId="13183"/>
    <cellStyle name="Итог 13 2 4 3" xfId="9439"/>
    <cellStyle name="Итог 13 2 4 4" xfId="11688"/>
    <cellStyle name="Итог 13 2 5" xfId="11328"/>
    <cellStyle name="Итог 13 3" xfId="6399"/>
    <cellStyle name="Итог 13 3 2" xfId="12362"/>
    <cellStyle name="Итог 13 3 3" xfId="10329"/>
    <cellStyle name="Итог 13 3 4" xfId="9825"/>
    <cellStyle name="Итог 13 4" xfId="7179"/>
    <cellStyle name="Итог 13 4 2" xfId="12908"/>
    <cellStyle name="Итог 13 4 3" xfId="10011"/>
    <cellStyle name="Итог 13 4 4" xfId="10976"/>
    <cellStyle name="Итог 13 5" xfId="7589"/>
    <cellStyle name="Итог 13 5 2" xfId="13182"/>
    <cellStyle name="Итог 13 5 3" xfId="9440"/>
    <cellStyle name="Итог 13 5 4" xfId="11687"/>
    <cellStyle name="Итог 13 6" xfId="11327"/>
    <cellStyle name="Итог 14" xfId="3859"/>
    <cellStyle name="Итог 14 2" xfId="3860"/>
    <cellStyle name="Итог 14 2 2" xfId="6402"/>
    <cellStyle name="Итог 14 2 2 2" xfId="12365"/>
    <cellStyle name="Итог 14 2 2 3" xfId="10326"/>
    <cellStyle name="Итог 14 2 2 4" xfId="9828"/>
    <cellStyle name="Итог 14 2 3" xfId="7182"/>
    <cellStyle name="Итог 14 2 3 2" xfId="12911"/>
    <cellStyle name="Итог 14 2 3 3" xfId="9845"/>
    <cellStyle name="Итог 14 2 3 4" xfId="10979"/>
    <cellStyle name="Итог 14 2 4" xfId="7592"/>
    <cellStyle name="Итог 14 2 4 2" xfId="13185"/>
    <cellStyle name="Итог 14 2 4 3" xfId="9437"/>
    <cellStyle name="Итог 14 2 4 4" xfId="11690"/>
    <cellStyle name="Итог 14 2 5" xfId="11330"/>
    <cellStyle name="Итог 14 3" xfId="6401"/>
    <cellStyle name="Итог 14 3 2" xfId="12364"/>
    <cellStyle name="Итог 14 3 3" xfId="10327"/>
    <cellStyle name="Итог 14 3 4" xfId="9827"/>
    <cellStyle name="Итог 14 4" xfId="7181"/>
    <cellStyle name="Итог 14 4 2" xfId="12910"/>
    <cellStyle name="Итог 14 4 3" xfId="10009"/>
    <cellStyle name="Итог 14 4 4" xfId="10978"/>
    <cellStyle name="Итог 14 5" xfId="7591"/>
    <cellStyle name="Итог 14 5 2" xfId="13184"/>
    <cellStyle name="Итог 14 5 3" xfId="9438"/>
    <cellStyle name="Итог 14 5 4" xfId="11689"/>
    <cellStyle name="Итог 14 6" xfId="11329"/>
    <cellStyle name="Итог 15" xfId="3861"/>
    <cellStyle name="Итог 15 2" xfId="3862"/>
    <cellStyle name="Итог 15 2 2" xfId="6404"/>
    <cellStyle name="Итог 15 2 2 2" xfId="12367"/>
    <cellStyle name="Итог 15 2 2 3" xfId="10324"/>
    <cellStyle name="Итог 15 2 2 4" xfId="9830"/>
    <cellStyle name="Итог 15 2 3" xfId="7184"/>
    <cellStyle name="Итог 15 2 3 2" xfId="12913"/>
    <cellStyle name="Итог 15 2 3 3" xfId="10007"/>
    <cellStyle name="Итог 15 2 3 4" xfId="10981"/>
    <cellStyle name="Итог 15 2 4" xfId="7594"/>
    <cellStyle name="Итог 15 2 4 2" xfId="13187"/>
    <cellStyle name="Итог 15 2 4 3" xfId="9435"/>
    <cellStyle name="Итог 15 2 4 4" xfId="11692"/>
    <cellStyle name="Итог 15 2 5" xfId="11332"/>
    <cellStyle name="Итог 15 3" xfId="6403"/>
    <cellStyle name="Итог 15 3 2" xfId="12366"/>
    <cellStyle name="Итог 15 3 3" xfId="10325"/>
    <cellStyle name="Итог 15 3 4" xfId="9829"/>
    <cellStyle name="Итог 15 4" xfId="7183"/>
    <cellStyle name="Итог 15 4 2" xfId="12912"/>
    <cellStyle name="Итог 15 4 3" xfId="10008"/>
    <cellStyle name="Итог 15 4 4" xfId="10980"/>
    <cellStyle name="Итог 15 5" xfId="7593"/>
    <cellStyle name="Итог 15 5 2" xfId="13186"/>
    <cellStyle name="Итог 15 5 3" xfId="9436"/>
    <cellStyle name="Итог 15 5 4" xfId="11691"/>
    <cellStyle name="Итог 15 6" xfId="11331"/>
    <cellStyle name="Итог 16" xfId="3863"/>
    <cellStyle name="Итог 16 2" xfId="3864"/>
    <cellStyle name="Итог 16 2 2" xfId="6406"/>
    <cellStyle name="Итог 16 2 2 2" xfId="12369"/>
    <cellStyle name="Итог 16 2 2 3" xfId="10322"/>
    <cellStyle name="Итог 16 2 2 4" xfId="11952"/>
    <cellStyle name="Итог 16 2 3" xfId="7186"/>
    <cellStyle name="Итог 16 2 3 2" xfId="12915"/>
    <cellStyle name="Итог 16 2 3 3" xfId="10005"/>
    <cellStyle name="Итог 16 2 3 4" xfId="10983"/>
    <cellStyle name="Итог 16 2 4" xfId="7596"/>
    <cellStyle name="Итог 16 2 4 2" xfId="13189"/>
    <cellStyle name="Итог 16 2 4 3" xfId="9433"/>
    <cellStyle name="Итог 16 2 4 4" xfId="11694"/>
    <cellStyle name="Итог 16 2 5" xfId="11334"/>
    <cellStyle name="Итог 16 3" xfId="6405"/>
    <cellStyle name="Итог 16 3 2" xfId="12368"/>
    <cellStyle name="Итог 16 3 3" xfId="10323"/>
    <cellStyle name="Итог 16 3 4" xfId="11951"/>
    <cellStyle name="Итог 16 4" xfId="7185"/>
    <cellStyle name="Итог 16 4 2" xfId="12914"/>
    <cellStyle name="Итог 16 4 3" xfId="10006"/>
    <cellStyle name="Итог 16 4 4" xfId="10982"/>
    <cellStyle name="Итог 16 5" xfId="7595"/>
    <cellStyle name="Итог 16 5 2" xfId="13188"/>
    <cellStyle name="Итог 16 5 3" xfId="9434"/>
    <cellStyle name="Итог 16 5 4" xfId="11693"/>
    <cellStyle name="Итог 16 6" xfId="11333"/>
    <cellStyle name="Итог 17" xfId="3865"/>
    <cellStyle name="Итог 17 2" xfId="3866"/>
    <cellStyle name="Итог 17 2 2" xfId="6408"/>
    <cellStyle name="Итог 17 2 2 2" xfId="12371"/>
    <cellStyle name="Итог 17 2 2 3" xfId="10320"/>
    <cellStyle name="Итог 17 2 2 4" xfId="9832"/>
    <cellStyle name="Итог 17 2 3" xfId="7188"/>
    <cellStyle name="Итог 17 2 3 2" xfId="12917"/>
    <cellStyle name="Итог 17 2 3 3" xfId="10003"/>
    <cellStyle name="Итог 17 2 3 4" xfId="10985"/>
    <cellStyle name="Итог 17 2 4" xfId="7598"/>
    <cellStyle name="Итог 17 2 4 2" xfId="13191"/>
    <cellStyle name="Итог 17 2 4 3" xfId="9431"/>
    <cellStyle name="Итог 17 2 4 4" xfId="13668"/>
    <cellStyle name="Итог 17 2 5" xfId="11336"/>
    <cellStyle name="Итог 17 3" xfId="6407"/>
    <cellStyle name="Итог 17 3 2" xfId="12370"/>
    <cellStyle name="Итог 17 3 3" xfId="10321"/>
    <cellStyle name="Итог 17 3 4" xfId="12526"/>
    <cellStyle name="Итог 17 4" xfId="7187"/>
    <cellStyle name="Итог 17 4 2" xfId="12916"/>
    <cellStyle name="Итог 17 4 3" xfId="10004"/>
    <cellStyle name="Итог 17 4 4" xfId="10984"/>
    <cellStyle name="Итог 17 5" xfId="7597"/>
    <cellStyle name="Итог 17 5 2" xfId="13190"/>
    <cellStyle name="Итог 17 5 3" xfId="9432"/>
    <cellStyle name="Итог 17 5 4" xfId="11695"/>
    <cellStyle name="Итог 17 6" xfId="11335"/>
    <cellStyle name="Итог 18" xfId="3867"/>
    <cellStyle name="Итог 18 2" xfId="3868"/>
    <cellStyle name="Итог 18 2 2" xfId="6410"/>
    <cellStyle name="Итог 18 2 2 2" xfId="12373"/>
    <cellStyle name="Итог 18 2 2 3" xfId="10318"/>
    <cellStyle name="Итог 18 2 2 4" xfId="9834"/>
    <cellStyle name="Итог 18 2 3" xfId="7190"/>
    <cellStyle name="Итог 18 2 3 2" xfId="12919"/>
    <cellStyle name="Итог 18 2 3 3" xfId="10001"/>
    <cellStyle name="Итог 18 2 3 4" xfId="10987"/>
    <cellStyle name="Итог 18 2 4" xfId="7600"/>
    <cellStyle name="Итог 18 2 4 2" xfId="13193"/>
    <cellStyle name="Итог 18 2 4 3" xfId="9429"/>
    <cellStyle name="Итог 18 2 4 4" xfId="11697"/>
    <cellStyle name="Итог 18 2 5" xfId="11338"/>
    <cellStyle name="Итог 18 3" xfId="6409"/>
    <cellStyle name="Итог 18 3 2" xfId="12372"/>
    <cellStyle name="Итог 18 3 3" xfId="10319"/>
    <cellStyle name="Итог 18 3 4" xfId="9833"/>
    <cellStyle name="Итог 18 4" xfId="7189"/>
    <cellStyle name="Итог 18 4 2" xfId="12918"/>
    <cellStyle name="Итог 18 4 3" xfId="10002"/>
    <cellStyle name="Итог 18 4 4" xfId="10986"/>
    <cellStyle name="Итог 18 5" xfId="7599"/>
    <cellStyle name="Итог 18 5 2" xfId="13192"/>
    <cellStyle name="Итог 18 5 3" xfId="9430"/>
    <cellStyle name="Итог 18 5 4" xfId="11696"/>
    <cellStyle name="Итог 18 6" xfId="11337"/>
    <cellStyle name="Итог 19" xfId="3869"/>
    <cellStyle name="Итог 19 2" xfId="3870"/>
    <cellStyle name="Итог 19 2 2" xfId="6412"/>
    <cellStyle name="Итог 19 2 2 2" xfId="12375"/>
    <cellStyle name="Итог 19 2 2 3" xfId="10316"/>
    <cellStyle name="Итог 19 2 2 4" xfId="11977"/>
    <cellStyle name="Итог 19 2 3" xfId="7192"/>
    <cellStyle name="Итог 19 2 3 2" xfId="12921"/>
    <cellStyle name="Итог 19 2 3 3" xfId="9999"/>
    <cellStyle name="Итог 19 2 3 4" xfId="10989"/>
    <cellStyle name="Итог 19 2 4" xfId="7602"/>
    <cellStyle name="Итог 19 2 4 2" xfId="13195"/>
    <cellStyle name="Итог 19 2 4 3" xfId="13426"/>
    <cellStyle name="Итог 19 2 4 4" xfId="11699"/>
    <cellStyle name="Итог 19 2 5" xfId="11340"/>
    <cellStyle name="Итог 19 3" xfId="6411"/>
    <cellStyle name="Итог 19 3 2" xfId="12374"/>
    <cellStyle name="Итог 19 3 3" xfId="10317"/>
    <cellStyle name="Итог 19 3 4" xfId="9835"/>
    <cellStyle name="Итог 19 4" xfId="7191"/>
    <cellStyle name="Итог 19 4 2" xfId="12920"/>
    <cellStyle name="Итог 19 4 3" xfId="10000"/>
    <cellStyle name="Итог 19 4 4" xfId="10988"/>
    <cellStyle name="Итог 19 5" xfId="7601"/>
    <cellStyle name="Итог 19 5 2" xfId="13194"/>
    <cellStyle name="Итог 19 5 3" xfId="13498"/>
    <cellStyle name="Итог 19 5 4" xfId="11698"/>
    <cellStyle name="Итог 19 6" xfId="11339"/>
    <cellStyle name="Итог 2" xfId="1555"/>
    <cellStyle name="Итог 2 10" xfId="3871"/>
    <cellStyle name="Итог 2 10 2" xfId="3872"/>
    <cellStyle name="Итог 2 10 2 2" xfId="6414"/>
    <cellStyle name="Итог 2 10 2 2 2" xfId="12377"/>
    <cellStyle name="Итог 2 10 2 2 3" xfId="10314"/>
    <cellStyle name="Итог 2 10 2 2 4" xfId="12525"/>
    <cellStyle name="Итог 2 10 2 3" xfId="7194"/>
    <cellStyle name="Итог 2 10 2 3 2" xfId="12923"/>
    <cellStyle name="Итог 2 10 2 3 3" xfId="9997"/>
    <cellStyle name="Итог 2 10 2 3 4" xfId="10991"/>
    <cellStyle name="Итог 2 10 2 4" xfId="7604"/>
    <cellStyle name="Итог 2 10 2 4 2" xfId="13197"/>
    <cellStyle name="Итог 2 10 2 4 3" xfId="9427"/>
    <cellStyle name="Итог 2 10 2 4 4" xfId="11955"/>
    <cellStyle name="Итог 2 10 3" xfId="6413"/>
    <cellStyle name="Итог 2 10 3 2" xfId="12376"/>
    <cellStyle name="Итог 2 10 3 3" xfId="10315"/>
    <cellStyle name="Итог 2 10 3 4" xfId="9836"/>
    <cellStyle name="Итог 2 10 4" xfId="7193"/>
    <cellStyle name="Итог 2 10 4 2" xfId="12922"/>
    <cellStyle name="Итог 2 10 4 3" xfId="9998"/>
    <cellStyle name="Итог 2 10 4 4" xfId="10990"/>
    <cellStyle name="Итог 2 10 5" xfId="7603"/>
    <cellStyle name="Итог 2 10 5 2" xfId="13196"/>
    <cellStyle name="Итог 2 10 5 3" xfId="9428"/>
    <cellStyle name="Итог 2 10 5 4" xfId="13667"/>
    <cellStyle name="Итог 2 11" xfId="3873"/>
    <cellStyle name="Итог 2 11 2" xfId="3874"/>
    <cellStyle name="Итог 2 11 2 2" xfId="6416"/>
    <cellStyle name="Итог 2 11 2 2 2" xfId="12379"/>
    <cellStyle name="Итог 2 11 2 2 3" xfId="10312"/>
    <cellStyle name="Итог 2 11 2 2 4" xfId="9838"/>
    <cellStyle name="Итог 2 11 2 3" xfId="7196"/>
    <cellStyle name="Итог 2 11 2 3 2" xfId="12925"/>
    <cellStyle name="Итог 2 11 2 3 3" xfId="9995"/>
    <cellStyle name="Итог 2 11 2 3 4" xfId="10993"/>
    <cellStyle name="Итог 2 11 2 4" xfId="7606"/>
    <cellStyle name="Итог 2 11 2 4 2" xfId="13199"/>
    <cellStyle name="Итог 2 11 2 4 3" xfId="9425"/>
    <cellStyle name="Итог 2 11 2 4 4" xfId="11976"/>
    <cellStyle name="Итог 2 11 3" xfId="6415"/>
    <cellStyle name="Итог 2 11 3 2" xfId="12378"/>
    <cellStyle name="Итог 2 11 3 3" xfId="10313"/>
    <cellStyle name="Итог 2 11 3 4" xfId="9837"/>
    <cellStyle name="Итог 2 11 4" xfId="7195"/>
    <cellStyle name="Итог 2 11 4 2" xfId="12924"/>
    <cellStyle name="Итог 2 11 4 3" xfId="9996"/>
    <cellStyle name="Итог 2 11 4 4" xfId="10992"/>
    <cellStyle name="Итог 2 11 5" xfId="7605"/>
    <cellStyle name="Итог 2 11 5 2" xfId="13198"/>
    <cellStyle name="Итог 2 11 5 3" xfId="9426"/>
    <cellStyle name="Итог 2 11 5 4" xfId="13666"/>
    <cellStyle name="Итог 2 12" xfId="3875"/>
    <cellStyle name="Итог 2 12 2" xfId="3876"/>
    <cellStyle name="Итог 2 12 2 2" xfId="6418"/>
    <cellStyle name="Итог 2 12 2 2 2" xfId="12381"/>
    <cellStyle name="Итог 2 12 2 2 3" xfId="10310"/>
    <cellStyle name="Итог 2 12 2 2 4" xfId="9840"/>
    <cellStyle name="Итог 2 12 2 3" xfId="7198"/>
    <cellStyle name="Итог 2 12 2 3 2" xfId="12927"/>
    <cellStyle name="Итог 2 12 2 3 3" xfId="9993"/>
    <cellStyle name="Итог 2 12 2 3 4" xfId="10995"/>
    <cellStyle name="Итог 2 12 2 4" xfId="7608"/>
    <cellStyle name="Итог 2 12 2 4 2" xfId="13201"/>
    <cellStyle name="Итог 2 12 2 4 3" xfId="9423"/>
    <cellStyle name="Итог 2 12 2 4 4" xfId="13665"/>
    <cellStyle name="Итог 2 12 3" xfId="6417"/>
    <cellStyle name="Итог 2 12 3 2" xfId="12380"/>
    <cellStyle name="Итог 2 12 3 3" xfId="10311"/>
    <cellStyle name="Итог 2 12 3 4" xfId="9839"/>
    <cellStyle name="Итог 2 12 4" xfId="7197"/>
    <cellStyle name="Итог 2 12 4 2" xfId="12926"/>
    <cellStyle name="Итог 2 12 4 3" xfId="9994"/>
    <cellStyle name="Итог 2 12 4 4" xfId="10994"/>
    <cellStyle name="Итог 2 12 5" xfId="7607"/>
    <cellStyle name="Итог 2 12 5 2" xfId="13200"/>
    <cellStyle name="Итог 2 12 5 3" xfId="9424"/>
    <cellStyle name="Итог 2 12 5 4" xfId="13664"/>
    <cellStyle name="Итог 2 13" xfId="3877"/>
    <cellStyle name="Итог 2 13 2" xfId="3878"/>
    <cellStyle name="Итог 2 13 2 2" xfId="6420"/>
    <cellStyle name="Итог 2 13 2 2 2" xfId="12383"/>
    <cellStyle name="Итог 2 13 2 2 3" xfId="10308"/>
    <cellStyle name="Итог 2 13 2 2 4" xfId="9842"/>
    <cellStyle name="Итог 2 13 2 3" xfId="7200"/>
    <cellStyle name="Итог 2 13 2 3 2" xfId="12929"/>
    <cellStyle name="Итог 2 13 2 3 3" xfId="9991"/>
    <cellStyle name="Итог 2 13 2 3 4" xfId="10997"/>
    <cellStyle name="Итог 2 13 2 4" xfId="7610"/>
    <cellStyle name="Итог 2 13 2 4 2" xfId="13203"/>
    <cellStyle name="Итог 2 13 2 4 3" xfId="12604"/>
    <cellStyle name="Итог 2 13 2 4 4" xfId="11701"/>
    <cellStyle name="Итог 2 13 3" xfId="6419"/>
    <cellStyle name="Итог 2 13 3 2" xfId="12382"/>
    <cellStyle name="Итог 2 13 3 3" xfId="10309"/>
    <cellStyle name="Итог 2 13 3 4" xfId="9841"/>
    <cellStyle name="Итог 2 13 4" xfId="7199"/>
    <cellStyle name="Итог 2 13 4 2" xfId="12928"/>
    <cellStyle name="Итог 2 13 4 3" xfId="9992"/>
    <cellStyle name="Итог 2 13 4 4" xfId="10996"/>
    <cellStyle name="Итог 2 13 5" xfId="7609"/>
    <cellStyle name="Итог 2 13 5 2" xfId="13202"/>
    <cellStyle name="Итог 2 13 5 3" xfId="9422"/>
    <cellStyle name="Итог 2 13 5 4" xfId="11700"/>
    <cellStyle name="Итог 2 14" xfId="3879"/>
    <cellStyle name="Итог 2 14 2" xfId="3880"/>
    <cellStyle name="Итог 2 14 2 2" xfId="6422"/>
    <cellStyle name="Итог 2 14 2 2 2" xfId="12385"/>
    <cellStyle name="Итог 2 14 2 2 3" xfId="10306"/>
    <cellStyle name="Итог 2 14 2 2 4" xfId="10708"/>
    <cellStyle name="Итог 2 14 2 3" xfId="7202"/>
    <cellStyle name="Итог 2 14 2 3 2" xfId="12931"/>
    <cellStyle name="Итог 2 14 2 3 3" xfId="9989"/>
    <cellStyle name="Итог 2 14 2 3 4" xfId="10999"/>
    <cellStyle name="Итог 2 14 2 4" xfId="7612"/>
    <cellStyle name="Итог 2 14 2 4 2" xfId="13205"/>
    <cellStyle name="Итог 2 14 2 4 3" xfId="12025"/>
    <cellStyle name="Итог 2 14 2 4 4" xfId="11703"/>
    <cellStyle name="Итог 2 14 3" xfId="6421"/>
    <cellStyle name="Итог 2 14 3 2" xfId="12384"/>
    <cellStyle name="Итог 2 14 3 3" xfId="10307"/>
    <cellStyle name="Итог 2 14 3 4" xfId="9843"/>
    <cellStyle name="Итог 2 14 4" xfId="7201"/>
    <cellStyle name="Итог 2 14 4 2" xfId="12930"/>
    <cellStyle name="Итог 2 14 4 3" xfId="9990"/>
    <cellStyle name="Итог 2 14 4 4" xfId="10998"/>
    <cellStyle name="Итог 2 14 5" xfId="7611"/>
    <cellStyle name="Итог 2 14 5 2" xfId="13204"/>
    <cellStyle name="Итог 2 14 5 3" xfId="12443"/>
    <cellStyle name="Итог 2 14 5 4" xfId="11702"/>
    <cellStyle name="Итог 2 15" xfId="3881"/>
    <cellStyle name="Итог 2 15 2" xfId="3882"/>
    <cellStyle name="Итог 2 15 2 2" xfId="6424"/>
    <cellStyle name="Итог 2 15 2 2 2" xfId="12387"/>
    <cellStyle name="Итог 2 15 2 2 3" xfId="10304"/>
    <cellStyle name="Итог 2 15 2 2 4" xfId="10710"/>
    <cellStyle name="Итог 2 15 2 3" xfId="7204"/>
    <cellStyle name="Итог 2 15 2 3 2" xfId="12933"/>
    <cellStyle name="Итог 2 15 2 3 3" xfId="9987"/>
    <cellStyle name="Итог 2 15 2 3 4" xfId="11001"/>
    <cellStyle name="Итог 2 15 2 4" xfId="7614"/>
    <cellStyle name="Итог 2 15 2 4 2" xfId="13207"/>
    <cellStyle name="Итог 2 15 2 4 3" xfId="12004"/>
    <cellStyle name="Итог 2 15 2 4 4" xfId="11705"/>
    <cellStyle name="Итог 2 15 3" xfId="6423"/>
    <cellStyle name="Итог 2 15 3 2" xfId="12386"/>
    <cellStyle name="Итог 2 15 3 3" xfId="10305"/>
    <cellStyle name="Итог 2 15 3 4" xfId="10709"/>
    <cellStyle name="Итог 2 15 4" xfId="7203"/>
    <cellStyle name="Итог 2 15 4 2" xfId="12932"/>
    <cellStyle name="Итог 2 15 4 3" xfId="9988"/>
    <cellStyle name="Итог 2 15 4 4" xfId="11000"/>
    <cellStyle name="Итог 2 15 5" xfId="7613"/>
    <cellStyle name="Итог 2 15 5 2" xfId="13206"/>
    <cellStyle name="Итог 2 15 5 3" xfId="12023"/>
    <cellStyle name="Итог 2 15 5 4" xfId="11704"/>
    <cellStyle name="Итог 2 16" xfId="3883"/>
    <cellStyle name="Итог 2 16 2" xfId="3884"/>
    <cellStyle name="Итог 2 16 2 2" xfId="6426"/>
    <cellStyle name="Итог 2 16 2 2 2" xfId="12389"/>
    <cellStyle name="Итог 2 16 2 2 3" xfId="10302"/>
    <cellStyle name="Итог 2 16 2 2 4" xfId="10712"/>
    <cellStyle name="Итог 2 16 2 3" xfId="7206"/>
    <cellStyle name="Итог 2 16 2 3 2" xfId="12935"/>
    <cellStyle name="Итог 2 16 2 3 3" xfId="9985"/>
    <cellStyle name="Итог 2 16 2 3 4" xfId="11003"/>
    <cellStyle name="Итог 2 16 2 4" xfId="7616"/>
    <cellStyle name="Итог 2 16 2 4 2" xfId="13209"/>
    <cellStyle name="Итог 2 16 2 4 3" xfId="11996"/>
    <cellStyle name="Итог 2 16 2 4 4" xfId="11707"/>
    <cellStyle name="Итог 2 16 3" xfId="6425"/>
    <cellStyle name="Итог 2 16 3 2" xfId="12388"/>
    <cellStyle name="Итог 2 16 3 3" xfId="10303"/>
    <cellStyle name="Итог 2 16 3 4" xfId="10711"/>
    <cellStyle name="Итог 2 16 4" xfId="7205"/>
    <cellStyle name="Итог 2 16 4 2" xfId="12934"/>
    <cellStyle name="Итог 2 16 4 3" xfId="9986"/>
    <cellStyle name="Итог 2 16 4 4" xfId="11002"/>
    <cellStyle name="Итог 2 16 5" xfId="7615"/>
    <cellStyle name="Итог 2 16 5 2" xfId="13208"/>
    <cellStyle name="Итог 2 16 5 3" xfId="11999"/>
    <cellStyle name="Итог 2 16 5 4" xfId="11706"/>
    <cellStyle name="Итог 2 17" xfId="3885"/>
    <cellStyle name="Итог 2 17 2" xfId="3886"/>
    <cellStyle name="Итог 2 17 2 2" xfId="6428"/>
    <cellStyle name="Итог 2 17 2 2 2" xfId="12391"/>
    <cellStyle name="Итог 2 17 2 2 3" xfId="10300"/>
    <cellStyle name="Итог 2 17 2 2 4" xfId="10714"/>
    <cellStyle name="Итог 2 17 2 3" xfId="7208"/>
    <cellStyle name="Итог 2 17 2 3 2" xfId="12937"/>
    <cellStyle name="Итог 2 17 2 3 3" xfId="9983"/>
    <cellStyle name="Итог 2 17 2 3 4" xfId="11005"/>
    <cellStyle name="Итог 2 17 2 4" xfId="7618"/>
    <cellStyle name="Итог 2 17 2 4 2" xfId="13211"/>
    <cellStyle name="Итог 2 17 2 4 3" xfId="11961"/>
    <cellStyle name="Итог 2 17 2 4 4" xfId="11708"/>
    <cellStyle name="Итог 2 17 3" xfId="6427"/>
    <cellStyle name="Итог 2 17 3 2" xfId="12390"/>
    <cellStyle name="Итог 2 17 3 3" xfId="10301"/>
    <cellStyle name="Итог 2 17 3 4" xfId="10713"/>
    <cellStyle name="Итог 2 17 4" xfId="7207"/>
    <cellStyle name="Итог 2 17 4 2" xfId="12936"/>
    <cellStyle name="Итог 2 17 4 3" xfId="9984"/>
    <cellStyle name="Итог 2 17 4 4" xfId="11004"/>
    <cellStyle name="Итог 2 17 5" xfId="7617"/>
    <cellStyle name="Итог 2 17 5 2" xfId="13210"/>
    <cellStyle name="Итог 2 17 5 3" xfId="11979"/>
    <cellStyle name="Итог 2 17 5 4" xfId="13663"/>
    <cellStyle name="Итог 2 18" xfId="3887"/>
    <cellStyle name="Итог 2 18 2" xfId="3888"/>
    <cellStyle name="Итог 2 18 2 2" xfId="6430"/>
    <cellStyle name="Итог 2 18 2 2 2" xfId="12393"/>
    <cellStyle name="Итог 2 18 2 2 3" xfId="10298"/>
    <cellStyle name="Итог 2 18 2 2 4" xfId="10716"/>
    <cellStyle name="Итог 2 18 2 3" xfId="7210"/>
    <cellStyle name="Итог 2 18 2 3 2" xfId="12939"/>
    <cellStyle name="Итог 2 18 2 3 3" xfId="9981"/>
    <cellStyle name="Итог 2 18 2 3 4" xfId="11007"/>
    <cellStyle name="Итог 2 18 2 4" xfId="7620"/>
    <cellStyle name="Итог 2 18 2 4 2" xfId="13213"/>
    <cellStyle name="Итог 2 18 2 4 3" xfId="9421"/>
    <cellStyle name="Итог 2 18 2 4 4" xfId="11710"/>
    <cellStyle name="Итог 2 18 3" xfId="6429"/>
    <cellStyle name="Итог 2 18 3 2" xfId="12392"/>
    <cellStyle name="Итог 2 18 3 3" xfId="10299"/>
    <cellStyle name="Итог 2 18 3 4" xfId="10715"/>
    <cellStyle name="Итог 2 18 4" xfId="7209"/>
    <cellStyle name="Итог 2 18 4 2" xfId="12938"/>
    <cellStyle name="Итог 2 18 4 3" xfId="9982"/>
    <cellStyle name="Итог 2 18 4 4" xfId="11006"/>
    <cellStyle name="Итог 2 18 5" xfId="7619"/>
    <cellStyle name="Итог 2 18 5 2" xfId="13212"/>
    <cellStyle name="Итог 2 18 5 3" xfId="11747"/>
    <cellStyle name="Итог 2 18 5 4" xfId="11709"/>
    <cellStyle name="Итог 2 19" xfId="3889"/>
    <cellStyle name="Итог 2 19 2" xfId="6431"/>
    <cellStyle name="Итог 2 19 2 2" xfId="12394"/>
    <cellStyle name="Итог 2 19 2 3" xfId="10297"/>
    <cellStyle name="Итог 2 19 2 4" xfId="10717"/>
    <cellStyle name="Итог 2 19 3" xfId="7211"/>
    <cellStyle name="Итог 2 19 3 2" xfId="12940"/>
    <cellStyle name="Итог 2 19 3 3" xfId="9980"/>
    <cellStyle name="Итог 2 19 3 4" xfId="11008"/>
    <cellStyle name="Итог 2 19 4" xfId="7621"/>
    <cellStyle name="Итог 2 19 4 2" xfId="13214"/>
    <cellStyle name="Итог 2 19 4 3" xfId="9420"/>
    <cellStyle name="Итог 2 19 4 4" xfId="11711"/>
    <cellStyle name="Итог 2 19 5" xfId="11341"/>
    <cellStyle name="Итог 2 2" xfId="3890"/>
    <cellStyle name="Итог 2 2 2" xfId="3891"/>
    <cellStyle name="Итог 2 2 2 2" xfId="6433"/>
    <cellStyle name="Итог 2 2 2 2 2" xfId="12396"/>
    <cellStyle name="Итог 2 2 2 2 3" xfId="10295"/>
    <cellStyle name="Итог 2 2 2 2 4" xfId="10719"/>
    <cellStyle name="Итог 2 2 2 3" xfId="7212"/>
    <cellStyle name="Итог 2 2 2 3 2" xfId="12941"/>
    <cellStyle name="Итог 2 2 2 3 3" xfId="9979"/>
    <cellStyle name="Итог 2 2 2 3 4" xfId="11009"/>
    <cellStyle name="Итог 2 2 2 4" xfId="7622"/>
    <cellStyle name="Итог 2 2 2 4 2" xfId="13215"/>
    <cellStyle name="Итог 2 2 2 4 3" xfId="9419"/>
    <cellStyle name="Итог 2 2 2 4 4" xfId="11712"/>
    <cellStyle name="Итог 2 2 3" xfId="6432"/>
    <cellStyle name="Итог 2 2 3 2" xfId="12395"/>
    <cellStyle name="Итог 2 2 3 3" xfId="10296"/>
    <cellStyle name="Итог 2 2 3 4" xfId="10718"/>
    <cellStyle name="Итог 2 2 4" xfId="6953"/>
    <cellStyle name="Итог 2 2 4 2" xfId="12685"/>
    <cellStyle name="Итог 2 2 4 3" xfId="10229"/>
    <cellStyle name="Итог 2 2 4 4" xfId="11561"/>
    <cellStyle name="Итог 2 2 5" xfId="7511"/>
    <cellStyle name="Итог 2 2 5 2" xfId="13104"/>
    <cellStyle name="Итог 2 2 5 3" xfId="9488"/>
    <cellStyle name="Итог 2 2 5 4" xfId="11835"/>
    <cellStyle name="Итог 2 2 6" xfId="11342"/>
    <cellStyle name="Итог 2 2 7" xfId="13325"/>
    <cellStyle name="Итог 2 2 8" xfId="13627"/>
    <cellStyle name="Итог 2 20" xfId="6320"/>
    <cellStyle name="Итог 2 20 2" xfId="12283"/>
    <cellStyle name="Итог 2 20 3" xfId="10407"/>
    <cellStyle name="Итог 2 20 4" xfId="11978"/>
    <cellStyle name="Итог 2 21" xfId="6952"/>
    <cellStyle name="Итог 2 21 2" xfId="12684"/>
    <cellStyle name="Итог 2 21 3" xfId="10230"/>
    <cellStyle name="Итог 2 21 4" xfId="11560"/>
    <cellStyle name="Итог 2 22" xfId="7510"/>
    <cellStyle name="Итог 2 22 2" xfId="13103"/>
    <cellStyle name="Итог 2 22 3" xfId="9489"/>
    <cellStyle name="Итог 2 22 4" xfId="9598"/>
    <cellStyle name="Итог 2 3" xfId="3892"/>
    <cellStyle name="Итог 2 3 2" xfId="6434"/>
    <cellStyle name="Итог 2 3 2 2" xfId="12397"/>
    <cellStyle name="Итог 2 3 2 3" xfId="9848"/>
    <cellStyle name="Итог 2 3 2 4" xfId="10720"/>
    <cellStyle name="Итог 2 3 3" xfId="7213"/>
    <cellStyle name="Итог 2 3 3 2" xfId="12942"/>
    <cellStyle name="Итог 2 3 3 3" xfId="9978"/>
    <cellStyle name="Итог 2 3 3 4" xfId="11010"/>
    <cellStyle name="Итог 2 3 4" xfId="7623"/>
    <cellStyle name="Итог 2 3 4 2" xfId="13216"/>
    <cellStyle name="Итог 2 3 4 3" xfId="12531"/>
    <cellStyle name="Итог 2 3 4 4" xfId="11713"/>
    <cellStyle name="Итог 2 4" xfId="3893"/>
    <cellStyle name="Итог 2 4 2" xfId="3894"/>
    <cellStyle name="Итог 2 4 2 2" xfId="6436"/>
    <cellStyle name="Итог 2 4 2 2 2" xfId="12399"/>
    <cellStyle name="Итог 2 4 2 2 3" xfId="10293"/>
    <cellStyle name="Итог 2 4 2 2 4" xfId="10722"/>
    <cellStyle name="Итог 2 4 2 3" xfId="7215"/>
    <cellStyle name="Итог 2 4 2 3 2" xfId="12944"/>
    <cellStyle name="Итог 2 4 2 3 3" xfId="9976"/>
    <cellStyle name="Итог 2 4 2 3 4" xfId="11012"/>
    <cellStyle name="Итог 2 4 2 4" xfId="7625"/>
    <cellStyle name="Итог 2 4 2 4 2" xfId="13218"/>
    <cellStyle name="Итог 2 4 2 4 3" xfId="9417"/>
    <cellStyle name="Итог 2 4 2 4 4" xfId="13724"/>
    <cellStyle name="Итог 2 4 3" xfId="6435"/>
    <cellStyle name="Итог 2 4 3 2" xfId="12398"/>
    <cellStyle name="Итог 2 4 3 3" xfId="10294"/>
    <cellStyle name="Итог 2 4 3 4" xfId="10721"/>
    <cellStyle name="Итог 2 4 4" xfId="7214"/>
    <cellStyle name="Итог 2 4 4 2" xfId="12943"/>
    <cellStyle name="Итог 2 4 4 3" xfId="9977"/>
    <cellStyle name="Итог 2 4 4 4" xfId="11011"/>
    <cellStyle name="Итог 2 4 5" xfId="7624"/>
    <cellStyle name="Итог 2 4 5 2" xfId="13217"/>
    <cellStyle name="Итог 2 4 5 3" xfId="9395"/>
    <cellStyle name="Итог 2 4 5 4" xfId="11714"/>
    <cellStyle name="Итог 2 5" xfId="3895"/>
    <cellStyle name="Итог 2 5 2" xfId="3896"/>
    <cellStyle name="Итог 2 5 2 2" xfId="6438"/>
    <cellStyle name="Итог 2 5 2 2 2" xfId="12401"/>
    <cellStyle name="Итог 2 5 2 2 3" xfId="10291"/>
    <cellStyle name="Итог 2 5 2 2 4" xfId="10724"/>
    <cellStyle name="Итог 2 5 2 3" xfId="7217"/>
    <cellStyle name="Итог 2 5 2 3 2" xfId="12946"/>
    <cellStyle name="Итог 2 5 2 3 3" xfId="9974"/>
    <cellStyle name="Итог 2 5 2 3 4" xfId="11369"/>
    <cellStyle name="Итог 2 5 2 4" xfId="7627"/>
    <cellStyle name="Итог 2 5 2 4 2" xfId="13220"/>
    <cellStyle name="Итог 2 5 2 4 3" xfId="9415"/>
    <cellStyle name="Итог 2 5 2 4 4" xfId="11992"/>
    <cellStyle name="Итог 2 5 3" xfId="6437"/>
    <cellStyle name="Итог 2 5 3 2" xfId="12400"/>
    <cellStyle name="Итог 2 5 3 3" xfId="10292"/>
    <cellStyle name="Итог 2 5 3 4" xfId="10723"/>
    <cellStyle name="Итог 2 5 4" xfId="7216"/>
    <cellStyle name="Итог 2 5 4 2" xfId="12945"/>
    <cellStyle name="Итог 2 5 4 3" xfId="9975"/>
    <cellStyle name="Итог 2 5 4 4" xfId="11013"/>
    <cellStyle name="Итог 2 5 5" xfId="7626"/>
    <cellStyle name="Итог 2 5 5 2" xfId="13219"/>
    <cellStyle name="Итог 2 5 5 3" xfId="9416"/>
    <cellStyle name="Итог 2 5 5 4" xfId="13659"/>
    <cellStyle name="Итог 2 6" xfId="3897"/>
    <cellStyle name="Итог 2 6 2" xfId="3898"/>
    <cellStyle name="Итог 2 6 2 2" xfId="6440"/>
    <cellStyle name="Итог 2 6 2 2 2" xfId="12403"/>
    <cellStyle name="Итог 2 6 2 2 3" xfId="10289"/>
    <cellStyle name="Итог 2 6 2 2 4" xfId="10726"/>
    <cellStyle name="Итог 2 6 2 3" xfId="7219"/>
    <cellStyle name="Итог 2 6 2 3 2" xfId="12948"/>
    <cellStyle name="Итог 2 6 2 3 3" xfId="9972"/>
    <cellStyle name="Итог 2 6 2 3 4" xfId="11015"/>
    <cellStyle name="Итог 2 6 2 4" xfId="7629"/>
    <cellStyle name="Итог 2 6 2 4 2" xfId="13222"/>
    <cellStyle name="Итог 2 6 2 4 3" xfId="9413"/>
    <cellStyle name="Итог 2 6 2 4 4" xfId="13662"/>
    <cellStyle name="Итог 2 6 3" xfId="6439"/>
    <cellStyle name="Итог 2 6 3 2" xfId="12402"/>
    <cellStyle name="Итог 2 6 3 3" xfId="10290"/>
    <cellStyle name="Итог 2 6 3 4" xfId="10725"/>
    <cellStyle name="Итог 2 6 4" xfId="7218"/>
    <cellStyle name="Итог 2 6 4 2" xfId="12947"/>
    <cellStyle name="Итог 2 6 4 3" xfId="9973"/>
    <cellStyle name="Итог 2 6 4 4" xfId="11014"/>
    <cellStyle name="Итог 2 6 5" xfId="7628"/>
    <cellStyle name="Итог 2 6 5 2" xfId="13221"/>
    <cellStyle name="Итог 2 6 5 3" xfId="9414"/>
    <cellStyle name="Итог 2 6 5 4" xfId="11715"/>
    <cellStyle name="Итог 2 7" xfId="3899"/>
    <cellStyle name="Итог 2 7 2" xfId="3900"/>
    <cellStyle name="Итог 2 7 2 2" xfId="6442"/>
    <cellStyle name="Итог 2 7 2 2 2" xfId="12405"/>
    <cellStyle name="Итог 2 7 2 2 3" xfId="10287"/>
    <cellStyle name="Итог 2 7 2 2 4" xfId="9856"/>
    <cellStyle name="Итог 2 7 2 3" xfId="7221"/>
    <cellStyle name="Итог 2 7 2 3 2" xfId="12950"/>
    <cellStyle name="Итог 2 7 2 3 3" xfId="9970"/>
    <cellStyle name="Итог 2 7 2 3 4" xfId="11017"/>
    <cellStyle name="Итог 2 7 2 4" xfId="7631"/>
    <cellStyle name="Итог 2 7 2 4 2" xfId="13224"/>
    <cellStyle name="Итог 2 7 2 4 3" xfId="9411"/>
    <cellStyle name="Итог 2 7 2 4 4" xfId="11717"/>
    <cellStyle name="Итог 2 7 3" xfId="6441"/>
    <cellStyle name="Итог 2 7 3 2" xfId="12404"/>
    <cellStyle name="Итог 2 7 3 3" xfId="10288"/>
    <cellStyle name="Итог 2 7 3 4" xfId="10727"/>
    <cellStyle name="Итог 2 7 4" xfId="7220"/>
    <cellStyle name="Итог 2 7 4 2" xfId="12949"/>
    <cellStyle name="Итог 2 7 4 3" xfId="9971"/>
    <cellStyle name="Итог 2 7 4 4" xfId="11016"/>
    <cellStyle name="Итог 2 7 5" xfId="7630"/>
    <cellStyle name="Итог 2 7 5 2" xfId="13223"/>
    <cellStyle name="Итог 2 7 5 3" xfId="9412"/>
    <cellStyle name="Итог 2 7 5 4" xfId="11716"/>
    <cellStyle name="Итог 2 8" xfId="3901"/>
    <cellStyle name="Итог 2 8 2" xfId="3902"/>
    <cellStyle name="Итог 2 8 2 2" xfId="6444"/>
    <cellStyle name="Итог 2 8 2 2 2" xfId="12407"/>
    <cellStyle name="Итог 2 8 2 2 3" xfId="10285"/>
    <cellStyle name="Итог 2 8 2 2 4" xfId="10729"/>
    <cellStyle name="Итог 2 8 2 3" xfId="7223"/>
    <cellStyle name="Итог 2 8 2 3 2" xfId="12952"/>
    <cellStyle name="Итог 2 8 2 3 3" xfId="9968"/>
    <cellStyle name="Итог 2 8 2 3 4" xfId="11019"/>
    <cellStyle name="Итог 2 8 2 4" xfId="7633"/>
    <cellStyle name="Итог 2 8 2 4 2" xfId="13226"/>
    <cellStyle name="Итог 2 8 2 4 3" xfId="9409"/>
    <cellStyle name="Итог 2 8 2 4 4" xfId="11718"/>
    <cellStyle name="Итог 2 8 3" xfId="6443"/>
    <cellStyle name="Итог 2 8 3 2" xfId="12406"/>
    <cellStyle name="Итог 2 8 3 3" xfId="10286"/>
    <cellStyle name="Итог 2 8 3 4" xfId="10728"/>
    <cellStyle name="Итог 2 8 4" xfId="7222"/>
    <cellStyle name="Итог 2 8 4 2" xfId="12951"/>
    <cellStyle name="Итог 2 8 4 3" xfId="9969"/>
    <cellStyle name="Итог 2 8 4 4" xfId="11018"/>
    <cellStyle name="Итог 2 8 5" xfId="7632"/>
    <cellStyle name="Итог 2 8 5 2" xfId="13225"/>
    <cellStyle name="Итог 2 8 5 3" xfId="9410"/>
    <cellStyle name="Итог 2 8 5 4" xfId="13661"/>
    <cellStyle name="Итог 2 9" xfId="3903"/>
    <cellStyle name="Итог 2 9 2" xfId="3904"/>
    <cellStyle name="Итог 2 9 2 2" xfId="6446"/>
    <cellStyle name="Итог 2 9 2 2 2" xfId="12409"/>
    <cellStyle name="Итог 2 9 2 2 3" xfId="10283"/>
    <cellStyle name="Итог 2 9 2 2 4" xfId="10731"/>
    <cellStyle name="Итог 2 9 2 3" xfId="7225"/>
    <cellStyle name="Итог 2 9 2 3 2" xfId="12954"/>
    <cellStyle name="Итог 2 9 2 3 3" xfId="9966"/>
    <cellStyle name="Итог 2 9 2 3 4" xfId="11021"/>
    <cellStyle name="Итог 2 9 2 4" xfId="7635"/>
    <cellStyle name="Итог 2 9 2 4 2" xfId="13228"/>
    <cellStyle name="Итог 2 9 2 4 3" xfId="9407"/>
    <cellStyle name="Итог 2 9 2 4 4" xfId="13660"/>
    <cellStyle name="Итог 2 9 3" xfId="6445"/>
    <cellStyle name="Итог 2 9 3 2" xfId="12408"/>
    <cellStyle name="Итог 2 9 3 3" xfId="10284"/>
    <cellStyle name="Итог 2 9 3 4" xfId="10730"/>
    <cellStyle name="Итог 2 9 4" xfId="7224"/>
    <cellStyle name="Итог 2 9 4 2" xfId="12953"/>
    <cellStyle name="Итог 2 9 4 3" xfId="9967"/>
    <cellStyle name="Итог 2 9 4 4" xfId="11020"/>
    <cellStyle name="Итог 2 9 5" xfId="7634"/>
    <cellStyle name="Итог 2 9 5 2" xfId="13227"/>
    <cellStyle name="Итог 2 9 5 3" xfId="9408"/>
    <cellStyle name="Итог 2 9 5 4" xfId="11719"/>
    <cellStyle name="Итог 20" xfId="3905"/>
    <cellStyle name="Итог 20 2" xfId="3906"/>
    <cellStyle name="Итог 20 2 2" xfId="6448"/>
    <cellStyle name="Итог 20 2 2 2" xfId="12411"/>
    <cellStyle name="Итог 20 2 2 3" xfId="10281"/>
    <cellStyle name="Итог 20 2 2 4" xfId="10733"/>
    <cellStyle name="Итог 20 2 3" xfId="7227"/>
    <cellStyle name="Итог 20 2 3 2" xfId="12956"/>
    <cellStyle name="Итог 20 2 3 3" xfId="9964"/>
    <cellStyle name="Итог 20 2 3 4" xfId="11023"/>
    <cellStyle name="Итог 20 2 4" xfId="7637"/>
    <cellStyle name="Итог 20 2 4 2" xfId="13230"/>
    <cellStyle name="Итог 20 2 4 3" xfId="9405"/>
    <cellStyle name="Итог 20 2 4 4" xfId="11720"/>
    <cellStyle name="Итог 20 2 5" xfId="11345"/>
    <cellStyle name="Итог 20 3" xfId="6447"/>
    <cellStyle name="Итог 20 3 2" xfId="12410"/>
    <cellStyle name="Итог 20 3 3" xfId="10282"/>
    <cellStyle name="Итог 20 3 4" xfId="10732"/>
    <cellStyle name="Итог 20 4" xfId="7226"/>
    <cellStyle name="Итог 20 4 2" xfId="12955"/>
    <cellStyle name="Итог 20 4 3" xfId="9965"/>
    <cellStyle name="Итог 20 4 4" xfId="11022"/>
    <cellStyle name="Итог 20 5" xfId="7636"/>
    <cellStyle name="Итог 20 5 2" xfId="13229"/>
    <cellStyle name="Итог 20 5 3" xfId="9406"/>
    <cellStyle name="Итог 20 5 4" xfId="9869"/>
    <cellStyle name="Итог 20 6" xfId="11344"/>
    <cellStyle name="Итог 21" xfId="3907"/>
    <cellStyle name="Итог 21 2" xfId="3908"/>
    <cellStyle name="Итог 21 2 2" xfId="6450"/>
    <cellStyle name="Итог 21 2 2 2" xfId="12413"/>
    <cellStyle name="Итог 21 2 2 3" xfId="10279"/>
    <cellStyle name="Итог 21 2 2 4" xfId="10735"/>
    <cellStyle name="Итог 21 2 3" xfId="7229"/>
    <cellStyle name="Итог 21 2 3 2" xfId="12958"/>
    <cellStyle name="Итог 21 2 3 3" xfId="9962"/>
    <cellStyle name="Итог 21 2 3 4" xfId="11240"/>
    <cellStyle name="Итог 21 2 4" xfId="7639"/>
    <cellStyle name="Итог 21 2 4 2" xfId="13232"/>
    <cellStyle name="Итог 21 2 4 3" xfId="9403"/>
    <cellStyle name="Итог 21 2 4 4" xfId="11722"/>
    <cellStyle name="Итог 21 2 5" xfId="11347"/>
    <cellStyle name="Итог 21 3" xfId="6449"/>
    <cellStyle name="Итог 21 3 2" xfId="12412"/>
    <cellStyle name="Итог 21 3 3" xfId="10280"/>
    <cellStyle name="Итог 21 3 4" xfId="10734"/>
    <cellStyle name="Итог 21 4" xfId="7228"/>
    <cellStyle name="Итог 21 4 2" xfId="12957"/>
    <cellStyle name="Итог 21 4 3" xfId="9963"/>
    <cellStyle name="Итог 21 4 4" xfId="11239"/>
    <cellStyle name="Итог 21 5" xfId="7638"/>
    <cellStyle name="Итог 21 5 2" xfId="13231"/>
    <cellStyle name="Итог 21 5 3" xfId="9404"/>
    <cellStyle name="Итог 21 5 4" xfId="11721"/>
    <cellStyle name="Итог 21 6" xfId="11346"/>
    <cellStyle name="Итог 3" xfId="3909"/>
    <cellStyle name="Итог 3 2" xfId="3910"/>
    <cellStyle name="Итог 3 2 2" xfId="6452"/>
    <cellStyle name="Итог 3 2 2 2" xfId="12415"/>
    <cellStyle name="Итог 3 2 2 3" xfId="10277"/>
    <cellStyle name="Итог 3 2 2 4" xfId="10737"/>
    <cellStyle name="Итог 3 2 3" xfId="7230"/>
    <cellStyle name="Итог 3 2 3 2" xfId="12959"/>
    <cellStyle name="Итог 3 2 3 3" xfId="9961"/>
    <cellStyle name="Итог 3 2 3 4" xfId="11241"/>
    <cellStyle name="Итог 3 2 4" xfId="7640"/>
    <cellStyle name="Итог 3 2 4 2" xfId="13233"/>
    <cellStyle name="Итог 3 2 4 3" xfId="13497"/>
    <cellStyle name="Итог 3 2 4 4" xfId="11723"/>
    <cellStyle name="Итог 3 2 5" xfId="11349"/>
    <cellStyle name="Итог 3 3" xfId="6451"/>
    <cellStyle name="Итог 3 3 2" xfId="12414"/>
    <cellStyle name="Итог 3 3 3" xfId="10278"/>
    <cellStyle name="Итог 3 3 4" xfId="10736"/>
    <cellStyle name="Итог 3 4" xfId="6954"/>
    <cellStyle name="Итог 3 4 2" xfId="12686"/>
    <cellStyle name="Итог 3 4 3" xfId="10228"/>
    <cellStyle name="Итог 3 4 4" xfId="11635"/>
    <cellStyle name="Итог 3 5" xfId="7512"/>
    <cellStyle name="Итог 3 5 2" xfId="13105"/>
    <cellStyle name="Итог 3 5 3" xfId="9487"/>
    <cellStyle name="Итог 3 5 4" xfId="11836"/>
    <cellStyle name="Итог 3 6" xfId="11348"/>
    <cellStyle name="Итог 3 7" xfId="13295"/>
    <cellStyle name="Итог 3 8" xfId="13602"/>
    <cellStyle name="Итог 4" xfId="3911"/>
    <cellStyle name="Итог 4 2" xfId="3912"/>
    <cellStyle name="Итог 4 2 2" xfId="6454"/>
    <cellStyle name="Итог 4 2 2 2" xfId="12417"/>
    <cellStyle name="Итог 4 2 2 3" xfId="10275"/>
    <cellStyle name="Итог 4 2 2 4" xfId="10739"/>
    <cellStyle name="Итог 4 2 3" xfId="7232"/>
    <cellStyle name="Итог 4 2 3 2" xfId="12961"/>
    <cellStyle name="Итог 4 2 3 3" xfId="9959"/>
    <cellStyle name="Итог 4 2 3 4" xfId="11243"/>
    <cellStyle name="Итог 4 2 4" xfId="7642"/>
    <cellStyle name="Итог 4 2 4 2" xfId="13235"/>
    <cellStyle name="Итог 4 2 4 3" xfId="9402"/>
    <cellStyle name="Итог 4 2 4 4" xfId="9572"/>
    <cellStyle name="Итог 4 2 5" xfId="11351"/>
    <cellStyle name="Итог 4 3" xfId="6453"/>
    <cellStyle name="Итог 4 3 2" xfId="12416"/>
    <cellStyle name="Итог 4 3 3" xfId="10276"/>
    <cellStyle name="Итог 4 3 4" xfId="10738"/>
    <cellStyle name="Итог 4 4" xfId="7231"/>
    <cellStyle name="Итог 4 4 2" xfId="12960"/>
    <cellStyle name="Итог 4 4 3" xfId="9960"/>
    <cellStyle name="Итог 4 4 4" xfId="11242"/>
    <cellStyle name="Итог 4 5" xfId="7641"/>
    <cellStyle name="Итог 4 5 2" xfId="13234"/>
    <cellStyle name="Итог 4 5 3" xfId="13425"/>
    <cellStyle name="Итог 4 5 4" xfId="11823"/>
    <cellStyle name="Итог 4 6" xfId="11350"/>
    <cellStyle name="Итог 5" xfId="3913"/>
    <cellStyle name="Итог 5 2" xfId="3914"/>
    <cellStyle name="Итог 5 2 2" xfId="6456"/>
    <cellStyle name="Итог 5 2 2 2" xfId="12419"/>
    <cellStyle name="Итог 5 2 2 3" xfId="10273"/>
    <cellStyle name="Итог 5 2 2 4" xfId="10741"/>
    <cellStyle name="Итог 5 2 3" xfId="7234"/>
    <cellStyle name="Итог 5 2 3 2" xfId="12963"/>
    <cellStyle name="Итог 5 2 3 3" xfId="9957"/>
    <cellStyle name="Итог 5 2 3 4" xfId="11245"/>
    <cellStyle name="Итог 5 2 4" xfId="7644"/>
    <cellStyle name="Итог 5 2 4 2" xfId="13237"/>
    <cellStyle name="Итог 5 2 4 3" xfId="9400"/>
    <cellStyle name="Итог 5 2 4 4" xfId="9580"/>
    <cellStyle name="Итог 5 2 5" xfId="11353"/>
    <cellStyle name="Итог 5 3" xfId="6455"/>
    <cellStyle name="Итог 5 3 2" xfId="12418"/>
    <cellStyle name="Итог 5 3 3" xfId="10274"/>
    <cellStyle name="Итог 5 3 4" xfId="10740"/>
    <cellStyle name="Итог 5 4" xfId="7233"/>
    <cellStyle name="Итог 5 4 2" xfId="12962"/>
    <cellStyle name="Итог 5 4 3" xfId="9958"/>
    <cellStyle name="Итог 5 4 4" xfId="11244"/>
    <cellStyle name="Итог 5 5" xfId="7643"/>
    <cellStyle name="Итог 5 5 2" xfId="13236"/>
    <cellStyle name="Итог 5 5 3" xfId="9401"/>
    <cellStyle name="Итог 5 5 4" xfId="12538"/>
    <cellStyle name="Итог 5 6" xfId="11352"/>
    <cellStyle name="Итог 6" xfId="3915"/>
    <cellStyle name="Итог 6 2" xfId="3916"/>
    <cellStyle name="Итог 6 2 2" xfId="6458"/>
    <cellStyle name="Итог 6 2 2 2" xfId="12421"/>
    <cellStyle name="Итог 6 2 2 3" xfId="10271"/>
    <cellStyle name="Итог 6 2 2 4" xfId="10743"/>
    <cellStyle name="Итог 6 2 3" xfId="7236"/>
    <cellStyle name="Итог 6 2 3 2" xfId="12965"/>
    <cellStyle name="Итог 6 2 3 3" xfId="9955"/>
    <cellStyle name="Итог 6 2 3 4" xfId="11247"/>
    <cellStyle name="Итог 6 2 4" xfId="7646"/>
    <cellStyle name="Итог 6 2 4 2" xfId="13239"/>
    <cellStyle name="Итог 6 2 4 3" xfId="9398"/>
    <cellStyle name="Итог 6 2 4 4" xfId="11830"/>
    <cellStyle name="Итог 6 2 5" xfId="11355"/>
    <cellStyle name="Итог 6 3" xfId="6457"/>
    <cellStyle name="Итог 6 3 2" xfId="12420"/>
    <cellStyle name="Итог 6 3 3" xfId="10272"/>
    <cellStyle name="Итог 6 3 4" xfId="10742"/>
    <cellStyle name="Итог 6 4" xfId="7235"/>
    <cellStyle name="Итог 6 4 2" xfId="12964"/>
    <cellStyle name="Итог 6 4 3" xfId="9956"/>
    <cellStyle name="Итог 6 4 4" xfId="11246"/>
    <cellStyle name="Итог 6 5" xfId="7645"/>
    <cellStyle name="Итог 6 5 2" xfId="13238"/>
    <cellStyle name="Итог 6 5 3" xfId="9399"/>
    <cellStyle name="Итог 6 5 4" xfId="11829"/>
    <cellStyle name="Итог 6 6" xfId="11354"/>
    <cellStyle name="Итог 7" xfId="3917"/>
    <cellStyle name="Итог 7 2" xfId="3918"/>
    <cellStyle name="Итог 7 2 2" xfId="6460"/>
    <cellStyle name="Итог 7 2 2 2" xfId="12423"/>
    <cellStyle name="Итог 7 2 2 3" xfId="10269"/>
    <cellStyle name="Итог 7 2 2 4" xfId="10745"/>
    <cellStyle name="Итог 7 2 3" xfId="7238"/>
    <cellStyle name="Итог 7 2 3 2" xfId="12967"/>
    <cellStyle name="Итог 7 2 3 3" xfId="9953"/>
    <cellStyle name="Итог 7 2 3 4" xfId="11249"/>
    <cellStyle name="Итог 7 2 4" xfId="7648"/>
    <cellStyle name="Итог 7 2 4 2" xfId="13241"/>
    <cellStyle name="Итог 7 2 4 3" xfId="9396"/>
    <cellStyle name="Итог 7 2 4 4" xfId="10636"/>
    <cellStyle name="Итог 7 2 5" xfId="11357"/>
    <cellStyle name="Итог 7 3" xfId="6459"/>
    <cellStyle name="Итог 7 3 2" xfId="12422"/>
    <cellStyle name="Итог 7 3 3" xfId="10270"/>
    <cellStyle name="Итог 7 3 4" xfId="10744"/>
    <cellStyle name="Итог 7 4" xfId="7237"/>
    <cellStyle name="Итог 7 4 2" xfId="12966"/>
    <cellStyle name="Итог 7 4 3" xfId="9954"/>
    <cellStyle name="Итог 7 4 4" xfId="11248"/>
    <cellStyle name="Итог 7 5" xfId="7647"/>
    <cellStyle name="Итог 7 5 2" xfId="13240"/>
    <cellStyle name="Итог 7 5 3" xfId="9397"/>
    <cellStyle name="Итог 7 5 4" xfId="10631"/>
    <cellStyle name="Итог 7 6" xfId="11356"/>
    <cellStyle name="Итог 8" xfId="3919"/>
    <cellStyle name="Итог 8 2" xfId="3920"/>
    <cellStyle name="Итог 8 2 2" xfId="6462"/>
    <cellStyle name="Итог 8 2 2 2" xfId="12425"/>
    <cellStyle name="Итог 8 2 2 3" xfId="10267"/>
    <cellStyle name="Итог 8 2 2 4" xfId="10747"/>
    <cellStyle name="Итог 8 2 3" xfId="7240"/>
    <cellStyle name="Итог 8 2 3 2" xfId="12969"/>
    <cellStyle name="Итог 8 2 3 3" xfId="9951"/>
    <cellStyle name="Итог 8 2 3 4" xfId="11251"/>
    <cellStyle name="Итог 8 2 4" xfId="7650"/>
    <cellStyle name="Итог 8 2 4 2" xfId="13243"/>
    <cellStyle name="Итог 8 2 4 3" xfId="12442"/>
    <cellStyle name="Итог 8 2 4 4" xfId="11726"/>
    <cellStyle name="Итог 8 2 5" xfId="11359"/>
    <cellStyle name="Итог 8 3" xfId="6461"/>
    <cellStyle name="Итог 8 3 2" xfId="12424"/>
    <cellStyle name="Итог 8 3 3" xfId="10268"/>
    <cellStyle name="Итог 8 3 4" xfId="10746"/>
    <cellStyle name="Итог 8 4" xfId="7239"/>
    <cellStyle name="Итог 8 4 2" xfId="12968"/>
    <cellStyle name="Итог 8 4 3" xfId="9952"/>
    <cellStyle name="Итог 8 4 4" xfId="11250"/>
    <cellStyle name="Итог 8 5" xfId="7649"/>
    <cellStyle name="Итог 8 5 2" xfId="13242"/>
    <cellStyle name="Итог 8 5 3" xfId="12603"/>
    <cellStyle name="Итог 8 5 4" xfId="9634"/>
    <cellStyle name="Итог 8 6" xfId="11358"/>
    <cellStyle name="Итог 9" xfId="3921"/>
    <cellStyle name="Итог 9 2" xfId="3922"/>
    <cellStyle name="Итог 9 2 2" xfId="6464"/>
    <cellStyle name="Итог 9 2 2 2" xfId="12427"/>
    <cellStyle name="Итог 9 2 2 3" xfId="10265"/>
    <cellStyle name="Итог 9 2 2 4" xfId="10749"/>
    <cellStyle name="Итог 9 2 3" xfId="7242"/>
    <cellStyle name="Итог 9 2 3 2" xfId="12971"/>
    <cellStyle name="Итог 9 2 3 3" xfId="9949"/>
    <cellStyle name="Итог 9 2 3 4" xfId="11253"/>
    <cellStyle name="Итог 9 2 4" xfId="7652"/>
    <cellStyle name="Итог 9 2 4 2" xfId="13245"/>
    <cellStyle name="Итог 9 2 4 3" xfId="12022"/>
    <cellStyle name="Итог 9 2 4 4" xfId="11725"/>
    <cellStyle name="Итог 9 2 5" xfId="11361"/>
    <cellStyle name="Итог 9 3" xfId="6463"/>
    <cellStyle name="Итог 9 3 2" xfId="12426"/>
    <cellStyle name="Итог 9 3 3" xfId="10266"/>
    <cellStyle name="Итог 9 3 4" xfId="10748"/>
    <cellStyle name="Итог 9 4" xfId="7241"/>
    <cellStyle name="Итог 9 4 2" xfId="12970"/>
    <cellStyle name="Итог 9 4 3" xfId="9950"/>
    <cellStyle name="Итог 9 4 4" xfId="11252"/>
    <cellStyle name="Итог 9 5" xfId="7651"/>
    <cellStyle name="Итог 9 5 2" xfId="13244"/>
    <cellStyle name="Итог 9 5 3" xfId="12024"/>
    <cellStyle name="Итог 9 5 4" xfId="11724"/>
    <cellStyle name="Итог 9 6" xfId="11360"/>
    <cellStyle name="Контрольная ячейка 10" xfId="3923"/>
    <cellStyle name="Контрольная ячейка 10 2" xfId="3924"/>
    <cellStyle name="Контрольная ячейка 11" xfId="3925"/>
    <cellStyle name="Контрольная ячейка 11 2" xfId="3926"/>
    <cellStyle name="Контрольная ячейка 12" xfId="3927"/>
    <cellStyle name="Контрольная ячейка 12 2" xfId="3928"/>
    <cellStyle name="Контрольная ячейка 13" xfId="3929"/>
    <cellStyle name="Контрольная ячейка 13 2" xfId="3930"/>
    <cellStyle name="Контрольная ячейка 14" xfId="3931"/>
    <cellStyle name="Контрольная ячейка 14 2" xfId="3932"/>
    <cellStyle name="Контрольная ячейка 15" xfId="3933"/>
    <cellStyle name="Контрольная ячейка 15 2" xfId="3934"/>
    <cellStyle name="Контрольная ячейка 16" xfId="3935"/>
    <cellStyle name="Контрольная ячейка 16 2" xfId="3936"/>
    <cellStyle name="Контрольная ячейка 17" xfId="3937"/>
    <cellStyle name="Контрольная ячейка 17 2" xfId="3938"/>
    <cellStyle name="Контрольная ячейка 18" xfId="3939"/>
    <cellStyle name="Контрольная ячейка 18 2" xfId="3940"/>
    <cellStyle name="Контрольная ячейка 19" xfId="3941"/>
    <cellStyle name="Контрольная ячейка 19 2" xfId="3942"/>
    <cellStyle name="Контрольная ячейка 2" xfId="1556"/>
    <cellStyle name="Контрольная ячейка 2 10" xfId="3943"/>
    <cellStyle name="Контрольная ячейка 2 10 2" xfId="3944"/>
    <cellStyle name="Контрольная ячейка 2 11" xfId="3945"/>
    <cellStyle name="Контрольная ячейка 2 11 2" xfId="3946"/>
    <cellStyle name="Контрольная ячейка 2 12" xfId="3947"/>
    <cellStyle name="Контрольная ячейка 2 12 2" xfId="3948"/>
    <cellStyle name="Контрольная ячейка 2 13" xfId="3949"/>
    <cellStyle name="Контрольная ячейка 2 13 2" xfId="3950"/>
    <cellStyle name="Контрольная ячейка 2 14" xfId="3951"/>
    <cellStyle name="Контрольная ячейка 2 14 2" xfId="3952"/>
    <cellStyle name="Контрольная ячейка 2 15" xfId="3953"/>
    <cellStyle name="Контрольная ячейка 2 15 2" xfId="3954"/>
    <cellStyle name="Контрольная ячейка 2 16" xfId="3955"/>
    <cellStyle name="Контрольная ячейка 2 16 2" xfId="3956"/>
    <cellStyle name="Контрольная ячейка 2 17" xfId="3957"/>
    <cellStyle name="Контрольная ячейка 2 17 2" xfId="3958"/>
    <cellStyle name="Контрольная ячейка 2 18" xfId="3959"/>
    <cellStyle name="Контрольная ячейка 2 18 2" xfId="3960"/>
    <cellStyle name="Контрольная ячейка 2 2" xfId="3961"/>
    <cellStyle name="Контрольная ячейка 2 2 2" xfId="3962"/>
    <cellStyle name="Контрольная ячейка 2 3" xfId="3963"/>
    <cellStyle name="Контрольная ячейка 2 4" xfId="3964"/>
    <cellStyle name="Контрольная ячейка 2 4 2" xfId="3965"/>
    <cellStyle name="Контрольная ячейка 2 5" xfId="3966"/>
    <cellStyle name="Контрольная ячейка 2 5 2" xfId="3967"/>
    <cellStyle name="Контрольная ячейка 2 6" xfId="3968"/>
    <cellStyle name="Контрольная ячейка 2 6 2" xfId="3969"/>
    <cellStyle name="Контрольная ячейка 2 7" xfId="3970"/>
    <cellStyle name="Контрольная ячейка 2 7 2" xfId="3971"/>
    <cellStyle name="Контрольная ячейка 2 8" xfId="3972"/>
    <cellStyle name="Контрольная ячейка 2 8 2" xfId="3973"/>
    <cellStyle name="Контрольная ячейка 2 9" xfId="3974"/>
    <cellStyle name="Контрольная ячейка 2 9 2" xfId="3975"/>
    <cellStyle name="Контрольная ячейка 20" xfId="3976"/>
    <cellStyle name="Контрольная ячейка 20 2" xfId="3977"/>
    <cellStyle name="Контрольная ячейка 21" xfId="3978"/>
    <cellStyle name="Контрольная ячейка 21 2" xfId="3979"/>
    <cellStyle name="Контрольная ячейка 3" xfId="3980"/>
    <cellStyle name="Контрольная ячейка 3 2" xfId="3981"/>
    <cellStyle name="Контрольная ячейка 4" xfId="3982"/>
    <cellStyle name="Контрольная ячейка 4 2" xfId="3983"/>
    <cellStyle name="Контрольная ячейка 5" xfId="3984"/>
    <cellStyle name="Контрольная ячейка 5 2" xfId="3985"/>
    <cellStyle name="Контрольная ячейка 6" xfId="3986"/>
    <cellStyle name="Контрольная ячейка 6 2" xfId="3987"/>
    <cellStyle name="Контрольная ячейка 7" xfId="3988"/>
    <cellStyle name="Контрольная ячейка 7 2" xfId="3989"/>
    <cellStyle name="Контрольная ячейка 8" xfId="3990"/>
    <cellStyle name="Контрольная ячейка 8 2" xfId="3991"/>
    <cellStyle name="Контрольная ячейка 9" xfId="3992"/>
    <cellStyle name="Контрольная ячейка 9 2" xfId="3993"/>
    <cellStyle name="Название 10" xfId="3994"/>
    <cellStyle name="Название 10 2" xfId="3995"/>
    <cellStyle name="Название 11" xfId="3996"/>
    <cellStyle name="Название 11 2" xfId="3997"/>
    <cellStyle name="Название 12" xfId="3998"/>
    <cellStyle name="Название 12 2" xfId="3999"/>
    <cellStyle name="Название 13" xfId="4000"/>
    <cellStyle name="Название 13 2" xfId="4001"/>
    <cellStyle name="Название 14" xfId="4002"/>
    <cellStyle name="Название 14 2" xfId="4003"/>
    <cellStyle name="Название 15" xfId="4004"/>
    <cellStyle name="Название 15 2" xfId="4005"/>
    <cellStyle name="Название 16" xfId="4006"/>
    <cellStyle name="Название 16 2" xfId="4007"/>
    <cellStyle name="Название 17" xfId="4008"/>
    <cellStyle name="Название 17 2" xfId="4009"/>
    <cellStyle name="Название 18" xfId="4010"/>
    <cellStyle name="Название 18 2" xfId="4011"/>
    <cellStyle name="Название 19" xfId="4012"/>
    <cellStyle name="Название 19 2" xfId="4013"/>
    <cellStyle name="Название 2" xfId="1557"/>
    <cellStyle name="Название 2 10" xfId="4014"/>
    <cellStyle name="Название 2 10 2" xfId="4015"/>
    <cellStyle name="Название 2 11" xfId="4016"/>
    <cellStyle name="Название 2 11 2" xfId="4017"/>
    <cellStyle name="Название 2 12" xfId="4018"/>
    <cellStyle name="Название 2 12 2" xfId="4019"/>
    <cellStyle name="Название 2 13" xfId="4020"/>
    <cellStyle name="Название 2 13 2" xfId="4021"/>
    <cellStyle name="Название 2 14" xfId="4022"/>
    <cellStyle name="Название 2 14 2" xfId="4023"/>
    <cellStyle name="Название 2 15" xfId="4024"/>
    <cellStyle name="Название 2 15 2" xfId="4025"/>
    <cellStyle name="Название 2 16" xfId="4026"/>
    <cellStyle name="Название 2 16 2" xfId="4027"/>
    <cellStyle name="Название 2 17" xfId="4028"/>
    <cellStyle name="Название 2 17 2" xfId="4029"/>
    <cellStyle name="Название 2 18" xfId="4030"/>
    <cellStyle name="Название 2 18 2" xfId="4031"/>
    <cellStyle name="Название 2 2" xfId="4032"/>
    <cellStyle name="Название 2 2 2" xfId="6955"/>
    <cellStyle name="Название 2 3" xfId="4033"/>
    <cellStyle name="Название 2 3 2" xfId="4034"/>
    <cellStyle name="Название 2 4" xfId="4035"/>
    <cellStyle name="Название 2 4 2" xfId="4036"/>
    <cellStyle name="Название 2 5" xfId="4037"/>
    <cellStyle name="Название 2 5 2" xfId="4038"/>
    <cellStyle name="Название 2 6" xfId="4039"/>
    <cellStyle name="Название 2 6 2" xfId="4040"/>
    <cellStyle name="Название 2 7" xfId="4041"/>
    <cellStyle name="Название 2 7 2" xfId="4042"/>
    <cellStyle name="Название 2 8" xfId="4043"/>
    <cellStyle name="Название 2 8 2" xfId="4044"/>
    <cellStyle name="Название 2 9" xfId="4045"/>
    <cellStyle name="Название 2 9 2" xfId="4046"/>
    <cellStyle name="Название 20" xfId="4047"/>
    <cellStyle name="Название 20 2" xfId="4048"/>
    <cellStyle name="Название 21" xfId="4049"/>
    <cellStyle name="Название 21 2" xfId="4050"/>
    <cellStyle name="Название 3" xfId="4051"/>
    <cellStyle name="Название 3 2" xfId="6956"/>
    <cellStyle name="Название 4" xfId="4052"/>
    <cellStyle name="Название 5" xfId="4053"/>
    <cellStyle name="Название 6" xfId="4054"/>
    <cellStyle name="Название 6 2" xfId="4055"/>
    <cellStyle name="Название 7" xfId="4056"/>
    <cellStyle name="Название 7 2" xfId="4057"/>
    <cellStyle name="Название 8" xfId="4058"/>
    <cellStyle name="Название 8 2" xfId="4059"/>
    <cellStyle name="Название 9" xfId="4060"/>
    <cellStyle name="Название 9 2" xfId="4061"/>
    <cellStyle name="Нейтральный 10" xfId="4062"/>
    <cellStyle name="Нейтральный 10 2" xfId="4063"/>
    <cellStyle name="Нейтральный 11" xfId="4064"/>
    <cellStyle name="Нейтральный 11 2" xfId="4065"/>
    <cellStyle name="Нейтральный 12" xfId="4066"/>
    <cellStyle name="Нейтральный 12 2" xfId="4067"/>
    <cellStyle name="Нейтральный 13" xfId="4068"/>
    <cellStyle name="Нейтральный 13 2" xfId="4069"/>
    <cellStyle name="Нейтральный 14" xfId="4070"/>
    <cellStyle name="Нейтральный 14 2" xfId="4071"/>
    <cellStyle name="Нейтральный 15" xfId="4072"/>
    <cellStyle name="Нейтральный 15 2" xfId="4073"/>
    <cellStyle name="Нейтральный 16" xfId="4074"/>
    <cellStyle name="Нейтральный 16 2" xfId="4075"/>
    <cellStyle name="Нейтральный 17" xfId="4076"/>
    <cellStyle name="Нейтральный 17 2" xfId="4077"/>
    <cellStyle name="Нейтральный 18" xfId="4078"/>
    <cellStyle name="Нейтральный 18 2" xfId="4079"/>
    <cellStyle name="Нейтральный 19" xfId="4080"/>
    <cellStyle name="Нейтральный 19 2" xfId="4081"/>
    <cellStyle name="Нейтральный 2" xfId="1558"/>
    <cellStyle name="Нейтральный 2 10" xfId="4082"/>
    <cellStyle name="Нейтральный 2 10 2" xfId="4083"/>
    <cellStyle name="Нейтральный 2 11" xfId="4084"/>
    <cellStyle name="Нейтральный 2 11 2" xfId="4085"/>
    <cellStyle name="Нейтральный 2 12" xfId="4086"/>
    <cellStyle name="Нейтральный 2 12 2" xfId="4087"/>
    <cellStyle name="Нейтральный 2 13" xfId="4088"/>
    <cellStyle name="Нейтральный 2 13 2" xfId="4089"/>
    <cellStyle name="Нейтральный 2 14" xfId="4090"/>
    <cellStyle name="Нейтральный 2 14 2" xfId="4091"/>
    <cellStyle name="Нейтральный 2 15" xfId="4092"/>
    <cellStyle name="Нейтральный 2 15 2" xfId="4093"/>
    <cellStyle name="Нейтральный 2 16" xfId="4094"/>
    <cellStyle name="Нейтральный 2 16 2" xfId="4095"/>
    <cellStyle name="Нейтральный 2 17" xfId="4096"/>
    <cellStyle name="Нейтральный 2 17 2" xfId="4097"/>
    <cellStyle name="Нейтральный 2 18" xfId="4098"/>
    <cellStyle name="Нейтральный 2 18 2" xfId="4099"/>
    <cellStyle name="Нейтральный 2 2" xfId="4100"/>
    <cellStyle name="Нейтральный 2 2 2" xfId="4101"/>
    <cellStyle name="Нейтральный 2 3" xfId="4102"/>
    <cellStyle name="Нейтральный 2 4" xfId="4103"/>
    <cellStyle name="Нейтральный 2 4 2" xfId="4104"/>
    <cellStyle name="Нейтральный 2 5" xfId="4105"/>
    <cellStyle name="Нейтральный 2 5 2" xfId="4106"/>
    <cellStyle name="Нейтральный 2 6" xfId="4107"/>
    <cellStyle name="Нейтральный 2 6 2" xfId="4108"/>
    <cellStyle name="Нейтральный 2 7" xfId="4109"/>
    <cellStyle name="Нейтральный 2 7 2" xfId="4110"/>
    <cellStyle name="Нейтральный 2 8" xfId="4111"/>
    <cellStyle name="Нейтральный 2 8 2" xfId="4112"/>
    <cellStyle name="Нейтральный 2 9" xfId="4113"/>
    <cellStyle name="Нейтральный 2 9 2" xfId="4114"/>
    <cellStyle name="Нейтральный 20" xfId="4115"/>
    <cellStyle name="Нейтральный 20 2" xfId="4116"/>
    <cellStyle name="Нейтральный 21" xfId="4117"/>
    <cellStyle name="Нейтральный 21 2" xfId="4118"/>
    <cellStyle name="Нейтральный 3" xfId="4119"/>
    <cellStyle name="Нейтральный 3 2" xfId="4120"/>
    <cellStyle name="Нейтральный 4" xfId="4121"/>
    <cellStyle name="Нейтральный 4 2" xfId="4122"/>
    <cellStyle name="Нейтральный 5" xfId="4123"/>
    <cellStyle name="Нейтральный 5 2" xfId="4124"/>
    <cellStyle name="Нейтральный 6" xfId="4125"/>
    <cellStyle name="Нейтральный 6 2" xfId="4126"/>
    <cellStyle name="Нейтральный 7" xfId="4127"/>
    <cellStyle name="Нейтральный 7 2" xfId="4128"/>
    <cellStyle name="Нейтральный 8" xfId="4129"/>
    <cellStyle name="Нейтральный 8 2" xfId="4130"/>
    <cellStyle name="Нейтральный 9" xfId="4131"/>
    <cellStyle name="Нейтральный 9 2" xfId="4132"/>
    <cellStyle name="Обычный 10" xfId="1567"/>
    <cellStyle name="Обычный 10 2" xfId="4133"/>
    <cellStyle name="Обычный 100" xfId="5230"/>
    <cellStyle name="Обычный 101" xfId="5231"/>
    <cellStyle name="Обычный 102" xfId="5232"/>
    <cellStyle name="Обычный 103" xfId="5234"/>
    <cellStyle name="Обычный 104" xfId="5235"/>
    <cellStyle name="Обычный 105" xfId="5236"/>
    <cellStyle name="Обычный 106" xfId="5238"/>
    <cellStyle name="Обычный 107" xfId="5239"/>
    <cellStyle name="Обычный 108" xfId="5240"/>
    <cellStyle name="Обычный 109" xfId="5241"/>
    <cellStyle name="Обычный 11" xfId="4134"/>
    <cellStyle name="Обычный 11 2" xfId="4135"/>
    <cellStyle name="Обычный 110" xfId="5242"/>
    <cellStyle name="Обычный 111" xfId="5244"/>
    <cellStyle name="Обычный 112" xfId="5245"/>
    <cellStyle name="Обычный 113" xfId="5246"/>
    <cellStyle name="Обычный 114" xfId="5247"/>
    <cellStyle name="Обычный 115" xfId="5248"/>
    <cellStyle name="Обычный 116" xfId="5250"/>
    <cellStyle name="Обычный 117" xfId="5251"/>
    <cellStyle name="Обычный 118" xfId="5253"/>
    <cellStyle name="Обычный 119" xfId="5254"/>
    <cellStyle name="Обычный 12" xfId="4136"/>
    <cellStyle name="Обычный 12 2" xfId="4137"/>
    <cellStyle name="Обычный 120" xfId="5255"/>
    <cellStyle name="Обычный 121" xfId="5256"/>
    <cellStyle name="Обычный 122" xfId="5257"/>
    <cellStyle name="Обычный 123" xfId="5258"/>
    <cellStyle name="Обычный 124" xfId="5259"/>
    <cellStyle name="Обычный 125" xfId="5260"/>
    <cellStyle name="Обычный 126" xfId="5261"/>
    <cellStyle name="Обычный 127" xfId="5262"/>
    <cellStyle name="Обычный 128" xfId="5263"/>
    <cellStyle name="Обычный 129" xfId="5264"/>
    <cellStyle name="Обычный 13" xfId="4138"/>
    <cellStyle name="Обычный 13 2" xfId="4139"/>
    <cellStyle name="Обычный 130" xfId="5265"/>
    <cellStyle name="Обычный 131" xfId="5266"/>
    <cellStyle name="Обычный 132" xfId="5267"/>
    <cellStyle name="Обычный 133" xfId="5268"/>
    <cellStyle name="Обычный 134" xfId="5269"/>
    <cellStyle name="Обычный 135" xfId="5270"/>
    <cellStyle name="Обычный 135 2" xfId="5280"/>
    <cellStyle name="Обычный 136" xfId="5271"/>
    <cellStyle name="Обычный 137" xfId="5272"/>
    <cellStyle name="Обычный 138" xfId="5273"/>
    <cellStyle name="Обычный 138 2" xfId="5274"/>
    <cellStyle name="Обычный 139" xfId="5275"/>
    <cellStyle name="Обычный 14" xfId="4140"/>
    <cellStyle name="Обычный 14 2" xfId="4141"/>
    <cellStyle name="Обычный 140" xfId="5276"/>
    <cellStyle name="Обычный 141" xfId="5277"/>
    <cellStyle name="Обычный 142" xfId="5278"/>
    <cellStyle name="Обычный 143" xfId="5279"/>
    <cellStyle name="Обычный 144" xfId="5281"/>
    <cellStyle name="Обычный 145" xfId="5282"/>
    <cellStyle name="Обычный 145 2" xfId="5874"/>
    <cellStyle name="Обычный 146" xfId="5957"/>
    <cellStyle name="Обычный 146 2" xfId="5998"/>
    <cellStyle name="Обычный 147" xfId="6001"/>
    <cellStyle name="Обычный 148" xfId="6010"/>
    <cellStyle name="Обычный 149" xfId="6310"/>
    <cellStyle name="Обычный 149 2" xfId="6317"/>
    <cellStyle name="Обычный 15" xfId="4142"/>
    <cellStyle name="Обычный 15 2" xfId="4143"/>
    <cellStyle name="Обычный 15 2 2" xfId="4144"/>
    <cellStyle name="Обычный 15 3" xfId="4145"/>
    <cellStyle name="Обычный 150" xfId="6312"/>
    <cellStyle name="Обычный 151" xfId="6311"/>
    <cellStyle name="Обычный 151 2" xfId="6482"/>
    <cellStyle name="Обычный 152" xfId="6485"/>
    <cellStyle name="Обычный 152 2" xfId="6492"/>
    <cellStyle name="Обычный 153" xfId="6493"/>
    <cellStyle name="Обычный 153 2" xfId="6512"/>
    <cellStyle name="Обычный 154" xfId="6513"/>
    <cellStyle name="Обычный 155" xfId="6514"/>
    <cellStyle name="Обычный 156" xfId="7314"/>
    <cellStyle name="Обычный 157" xfId="7315"/>
    <cellStyle name="Обычный 158" xfId="7316"/>
    <cellStyle name="Обычный 159" xfId="7317"/>
    <cellStyle name="Обычный 16" xfId="4146"/>
    <cellStyle name="Обычный 16 2" xfId="4147"/>
    <cellStyle name="Обычный 16 2 2" xfId="4148"/>
    <cellStyle name="Обычный 16 3" xfId="4149"/>
    <cellStyle name="Обычный 160" xfId="7318"/>
    <cellStyle name="Обычный 161" xfId="7319"/>
    <cellStyle name="Обычный 162" xfId="7320"/>
    <cellStyle name="Обычный 163" xfId="7321"/>
    <cellStyle name="Обычный 164" xfId="6934"/>
    <cellStyle name="Обычный 165" xfId="7322"/>
    <cellStyle name="Обычный 166" xfId="7323"/>
    <cellStyle name="Обычный 167" xfId="7324"/>
    <cellStyle name="Обычный 168" xfId="7325"/>
    <cellStyle name="Обычный 169" xfId="7326"/>
    <cellStyle name="Обычный 17" xfId="4150"/>
    <cellStyle name="Обычный 17 2" xfId="4151"/>
    <cellStyle name="Обычный 170" xfId="7327"/>
    <cellStyle name="Обычный 171" xfId="7328"/>
    <cellStyle name="Обычный 172" xfId="7329"/>
    <cellStyle name="Обычный 173" xfId="7330"/>
    <cellStyle name="Обычный 174" xfId="7331"/>
    <cellStyle name="Обычный 175" xfId="7332"/>
    <cellStyle name="Обычный 176" xfId="7333"/>
    <cellStyle name="Обычный 177" xfId="7334"/>
    <cellStyle name="Обычный 178" xfId="7335"/>
    <cellStyle name="Обычный 179" xfId="7337"/>
    <cellStyle name="Обычный 18" xfId="4152"/>
    <cellStyle name="Обычный 18 2" xfId="4153"/>
    <cellStyle name="Обычный 180" xfId="7338"/>
    <cellStyle name="Обычный 181" xfId="7339"/>
    <cellStyle name="Обычный 182" xfId="7340"/>
    <cellStyle name="Обычный 183" xfId="7341"/>
    <cellStyle name="Обычный 184" xfId="7342"/>
    <cellStyle name="Обычный 185" xfId="7343"/>
    <cellStyle name="Обычный 186" xfId="7344"/>
    <cellStyle name="Обычный 187" xfId="7345"/>
    <cellStyle name="Обычный 188" xfId="7346"/>
    <cellStyle name="Обычный 188 2" xfId="7382"/>
    <cellStyle name="Обычный 189" xfId="7347"/>
    <cellStyle name="Обычный 19" xfId="4154"/>
    <cellStyle name="Обычный 19 2" xfId="4155"/>
    <cellStyle name="Обычный 190" xfId="7348"/>
    <cellStyle name="Обычный 191" xfId="7349"/>
    <cellStyle name="Обычный 192" xfId="7350"/>
    <cellStyle name="Обычный 193" xfId="7351"/>
    <cellStyle name="Обычный 194" xfId="7352"/>
    <cellStyle name="Обычный 195" xfId="7353"/>
    <cellStyle name="Обычный 196" xfId="7354"/>
    <cellStyle name="Обычный 196 2" xfId="7384"/>
    <cellStyle name="Обычный 197" xfId="7355"/>
    <cellStyle name="Обычный 198" xfId="7356"/>
    <cellStyle name="Обычный 199" xfId="7357"/>
    <cellStyle name="Обычный 2" xfId="1518"/>
    <cellStyle name="Обычный 2 10" xfId="4156"/>
    <cellStyle name="Обычный 2 10 2" xfId="1571"/>
    <cellStyle name="Обычный 2 10 3" xfId="4157"/>
    <cellStyle name="Обычный 2 10 4" xfId="4158"/>
    <cellStyle name="Обычный 2 10 5" xfId="4159"/>
    <cellStyle name="Обычный 2 11" xfId="4160"/>
    <cellStyle name="Обычный 2 11 10" xfId="4161"/>
    <cellStyle name="Обычный 2 11 2" xfId="4162"/>
    <cellStyle name="Обычный 2 11 3" xfId="4163"/>
    <cellStyle name="Обычный 2 11 4" xfId="4164"/>
    <cellStyle name="Обычный 2 11 5" xfId="4165"/>
    <cellStyle name="Обычный 2 11 6" xfId="4166"/>
    <cellStyle name="Обычный 2 11 7" xfId="4167"/>
    <cellStyle name="Обычный 2 11 8" xfId="4168"/>
    <cellStyle name="Обычный 2 11 9" xfId="4169"/>
    <cellStyle name="Обычный 2 12" xfId="4170"/>
    <cellStyle name="Обычный 2 12 10" xfId="4171"/>
    <cellStyle name="Обычный 2 12 11" xfId="4172"/>
    <cellStyle name="Обычный 2 12 12" xfId="4173"/>
    <cellStyle name="Обычный 2 12 13" xfId="4174"/>
    <cellStyle name="Обычный 2 12 14" xfId="4175"/>
    <cellStyle name="Обычный 2 12 2" xfId="4176"/>
    <cellStyle name="Обычный 2 12 3" xfId="4177"/>
    <cellStyle name="Обычный 2 12 4" xfId="4178"/>
    <cellStyle name="Обычный 2 12 5" xfId="4179"/>
    <cellStyle name="Обычный 2 12 6" xfId="4180"/>
    <cellStyle name="Обычный 2 12 7" xfId="4181"/>
    <cellStyle name="Обычный 2 12 8" xfId="4182"/>
    <cellStyle name="Обычный 2 12 9" xfId="4183"/>
    <cellStyle name="Обычный 2 13" xfId="4184"/>
    <cellStyle name="Обычный 2 13 2" xfId="4185"/>
    <cellStyle name="Обычный 2 13 2 2" xfId="4186"/>
    <cellStyle name="Обычный 2 13 3" xfId="4187"/>
    <cellStyle name="Обычный 2 14" xfId="4188"/>
    <cellStyle name="Обычный 2 14 2" xfId="4189"/>
    <cellStyle name="Обычный 2 14 2 2" xfId="4190"/>
    <cellStyle name="Обычный 2 14 3" xfId="4191"/>
    <cellStyle name="Обычный 2 14 3 2" xfId="4192"/>
    <cellStyle name="Обычный 2 14 4" xfId="4193"/>
    <cellStyle name="Обычный 2 14 4 2" xfId="4194"/>
    <cellStyle name="Обычный 2 14 4 2 2" xfId="1572"/>
    <cellStyle name="Обычный 2 14 7" xfId="4195"/>
    <cellStyle name="Обычный 2 15" xfId="4196"/>
    <cellStyle name="Обычный 2 15 2" xfId="4197"/>
    <cellStyle name="Обычный 2 16" xfId="4198"/>
    <cellStyle name="Обычный 2 16 2" xfId="4199"/>
    <cellStyle name="Обычный 2 17" xfId="4200"/>
    <cellStyle name="Обычный 2 17 2" xfId="4201"/>
    <cellStyle name="Обычный 2 18" xfId="4202"/>
    <cellStyle name="Обычный 2 18 2" xfId="4203"/>
    <cellStyle name="Обычный 2 19" xfId="4204"/>
    <cellStyle name="Обычный 2 19 2" xfId="4205"/>
    <cellStyle name="Обычный 2 2" xfId="1520"/>
    <cellStyle name="Обычный 2 2 10" xfId="4206"/>
    <cellStyle name="Обычный 2 2 10 2" xfId="4207"/>
    <cellStyle name="Обычный 2 2 11" xfId="4208"/>
    <cellStyle name="Обычный 2 2 11 2" xfId="4209"/>
    <cellStyle name="Обычный 2 2 12" xfId="4210"/>
    <cellStyle name="Обычный 2 2 12 2" xfId="4211"/>
    <cellStyle name="Обычный 2 2 13" xfId="4212"/>
    <cellStyle name="Обычный 2 2 13 2" xfId="4213"/>
    <cellStyle name="Обычный 2 2 14" xfId="4214"/>
    <cellStyle name="Обычный 2 2 14 2" xfId="4215"/>
    <cellStyle name="Обычный 2 2 14 2 2" xfId="4216"/>
    <cellStyle name="Обычный 2 2 14 3" xfId="4217"/>
    <cellStyle name="Обычный 2 2 15" xfId="4218"/>
    <cellStyle name="Обычный 2 2 15 2" xfId="4219"/>
    <cellStyle name="Обычный 2 2 16" xfId="4220"/>
    <cellStyle name="Обычный 2 2 16 2" xfId="4221"/>
    <cellStyle name="Обычный 2 2 17" xfId="4222"/>
    <cellStyle name="Обычный 2 2 17 2" xfId="4223"/>
    <cellStyle name="Обычный 2 2 18" xfId="4224"/>
    <cellStyle name="Обычный 2 2 18 2" xfId="4225"/>
    <cellStyle name="Обычный 2 2 19" xfId="4226"/>
    <cellStyle name="Обычный 2 2 19 2" xfId="4227"/>
    <cellStyle name="Обычный 2 2 2" xfId="4228"/>
    <cellStyle name="Обычный 2 2 2 2" xfId="4229"/>
    <cellStyle name="Обычный 2 2 2 3" xfId="4230"/>
    <cellStyle name="Обычный 2 2 20" xfId="4231"/>
    <cellStyle name="Обычный 2 2 20 2" xfId="4232"/>
    <cellStyle name="Обычный 2 2 21" xfId="4233"/>
    <cellStyle name="Обычный 2 2 21 2" xfId="4234"/>
    <cellStyle name="Обычный 2 2 22" xfId="4235"/>
    <cellStyle name="Обычный 2 2 23" xfId="5889"/>
    <cellStyle name="Обычный 2 2 3" xfId="4236"/>
    <cellStyle name="Обычный 2 2 3 2" xfId="4237"/>
    <cellStyle name="Обычный 2 2 4" xfId="4238"/>
    <cellStyle name="Обычный 2 2 4 2" xfId="4239"/>
    <cellStyle name="Обычный 2 2 5" xfId="4240"/>
    <cellStyle name="Обычный 2 2 5 2" xfId="4241"/>
    <cellStyle name="Обычный 2 2 6" xfId="4242"/>
    <cellStyle name="Обычный 2 2 6 2" xfId="4243"/>
    <cellStyle name="Обычный 2 2 7" xfId="4244"/>
    <cellStyle name="Обычный 2 2 7 2" xfId="4245"/>
    <cellStyle name="Обычный 2 2 8" xfId="4246"/>
    <cellStyle name="Обычный 2 2 8 2" xfId="4247"/>
    <cellStyle name="Обычный 2 2 9" xfId="4248"/>
    <cellStyle name="Обычный 2 2 9 2" xfId="4249"/>
    <cellStyle name="Обычный 2 20" xfId="4250"/>
    <cellStyle name="Обычный 2 20 2" xfId="4251"/>
    <cellStyle name="Обычный 2 20 3" xfId="4252"/>
    <cellStyle name="Обычный 2 20 4" xfId="4253"/>
    <cellStyle name="Обычный 2 21" xfId="4254"/>
    <cellStyle name="Обычный 2 21 2" xfId="4255"/>
    <cellStyle name="Обычный 2 21 2 2" xfId="4256"/>
    <cellStyle name="Обычный 2 21 2 2 2" xfId="4257"/>
    <cellStyle name="Обычный 2 21 2 3" xfId="4258"/>
    <cellStyle name="Обычный 2 21 3" xfId="4259"/>
    <cellStyle name="Обычный 2 22" xfId="4260"/>
    <cellStyle name="Обычный 2 22 2" xfId="4261"/>
    <cellStyle name="Обычный 2 22 2 2" xfId="4262"/>
    <cellStyle name="Обычный 2 22 3" xfId="4263"/>
    <cellStyle name="Обычный 2 22 4" xfId="4264"/>
    <cellStyle name="Обычный 2 22 5" xfId="4265"/>
    <cellStyle name="Обычный 2 23" xfId="4266"/>
    <cellStyle name="Обычный 2 23 2" xfId="4267"/>
    <cellStyle name="Обычный 2 24" xfId="4268"/>
    <cellStyle name="Обычный 2 24 2" xfId="4269"/>
    <cellStyle name="Обычный 2 25" xfId="4270"/>
    <cellStyle name="Обычный 2 25 2" xfId="4271"/>
    <cellStyle name="Обычный 2 26" xfId="4272"/>
    <cellStyle name="Обычный 2 26 2" xfId="4273"/>
    <cellStyle name="Обычный 2 26 2 2" xfId="4274"/>
    <cellStyle name="Обычный 2 26 3" xfId="4275"/>
    <cellStyle name="Обычный 2 27" xfId="4276"/>
    <cellStyle name="Обычный 2 27 2" xfId="4277"/>
    <cellStyle name="Обычный 2 28" xfId="4278"/>
    <cellStyle name="Обычный 2 28 2" xfId="4279"/>
    <cellStyle name="Обычный 2 29" xfId="4280"/>
    <cellStyle name="Обычный 2 29 2" xfId="4281"/>
    <cellStyle name="Обычный 2 29 2 2" xfId="4282"/>
    <cellStyle name="Обычный 2 29 3" xfId="4283"/>
    <cellStyle name="Обычный 2 3" xfId="4284"/>
    <cellStyle name="Обычный 2 3 2" xfId="4285"/>
    <cellStyle name="Обычный 2 3 2 2" xfId="1568"/>
    <cellStyle name="Обычный 2 3 3" xfId="4286"/>
    <cellStyle name="Обычный 2 3 3 2" xfId="4287"/>
    <cellStyle name="Обычный 2 3 4" xfId="4288"/>
    <cellStyle name="Обычный 2 30" xfId="4289"/>
    <cellStyle name="Обычный 2 30 2" xfId="4290"/>
    <cellStyle name="Обычный 2 31" xfId="4291"/>
    <cellStyle name="Обычный 2 31 2" xfId="4292"/>
    <cellStyle name="Обычный 2 32" xfId="4293"/>
    <cellStyle name="Обычный 2 32 2" xfId="4294"/>
    <cellStyle name="Обычный 2 32 2 2" xfId="4295"/>
    <cellStyle name="Обычный 2 32 3" xfId="4296"/>
    <cellStyle name="Обычный 2 33" xfId="4297"/>
    <cellStyle name="Обычный 2 33 2" xfId="4298"/>
    <cellStyle name="Обычный 2 34" xfId="4299"/>
    <cellStyle name="Обычный 2 34 2" xfId="4300"/>
    <cellStyle name="Обычный 2 35" xfId="4301"/>
    <cellStyle name="Обычный 2 35 2" xfId="4302"/>
    <cellStyle name="Обычный 2 36" xfId="4303"/>
    <cellStyle name="Обычный 2 36 2" xfId="4304"/>
    <cellStyle name="Обычный 2 37" xfId="4305"/>
    <cellStyle name="Обычный 2 37 2" xfId="4306"/>
    <cellStyle name="Обычный 2 37 2 2" xfId="4307"/>
    <cellStyle name="Обычный 2 37 3" xfId="4308"/>
    <cellStyle name="Обычный 2 38" xfId="4309"/>
    <cellStyle name="Обычный 2 38 2" xfId="4310"/>
    <cellStyle name="Обычный 2 39" xfId="4311"/>
    <cellStyle name="Обычный 2 39 2" xfId="4312"/>
    <cellStyle name="Обычный 2 39 2 2" xfId="4313"/>
    <cellStyle name="Обычный 2 39 3" xfId="4314"/>
    <cellStyle name="Обычный 2 4" xfId="4315"/>
    <cellStyle name="Обычный 2 4 2" xfId="4316"/>
    <cellStyle name="Обычный 2 4 3" xfId="4317"/>
    <cellStyle name="Обычный 2 4 4" xfId="4318"/>
    <cellStyle name="Обычный 2 4 5" xfId="4319"/>
    <cellStyle name="Обычный 2 40" xfId="4320"/>
    <cellStyle name="Обычный 2 40 2" xfId="4321"/>
    <cellStyle name="Обычный 2 41" xfId="4322"/>
    <cellStyle name="Обычный 2 41 2" xfId="4323"/>
    <cellStyle name="Обычный 2 42" xfId="4324"/>
    <cellStyle name="Обычный 2 42 2" xfId="4325"/>
    <cellStyle name="Обычный 2 43" xfId="4326"/>
    <cellStyle name="Обычный 2 44" xfId="4327"/>
    <cellStyle name="Обычный 2 45" xfId="4328"/>
    <cellStyle name="Обычный 2 46" xfId="4329"/>
    <cellStyle name="Обычный 2 47" xfId="4330"/>
    <cellStyle name="Обычный 2 48" xfId="4331"/>
    <cellStyle name="Обычный 2 49" xfId="5881"/>
    <cellStyle name="Обычный 2 49 2" xfId="7410"/>
    <cellStyle name="Обычный 2 5" xfId="1521"/>
    <cellStyle name="Обычный 2 5 2" xfId="1573"/>
    <cellStyle name="Обычный 2 5 3" xfId="4332"/>
    <cellStyle name="Обычный 2 5 4" xfId="4333"/>
    <cellStyle name="Обычный 2 5 5" xfId="4334"/>
    <cellStyle name="Обычный 2 5 6" xfId="4335"/>
    <cellStyle name="Обычный 2 5 7" xfId="4336"/>
    <cellStyle name="Обычный 2 50" xfId="6840"/>
    <cellStyle name="Обычный 2 6" xfId="4337"/>
    <cellStyle name="Обычный 2 6 2" xfId="4338"/>
    <cellStyle name="Обычный 2 6 3" xfId="4339"/>
    <cellStyle name="Обычный 2 6 4" xfId="4340"/>
    <cellStyle name="Обычный 2 7" xfId="4341"/>
    <cellStyle name="Обычный 2 7 2" xfId="4342"/>
    <cellStyle name="Обычный 2 7 2 2" xfId="4343"/>
    <cellStyle name="Обычный 2 7 3" xfId="4344"/>
    <cellStyle name="Обычный 2 7 4" xfId="4345"/>
    <cellStyle name="Обычный 2 7 5" xfId="4346"/>
    <cellStyle name="Обычный 2 8" xfId="4347"/>
    <cellStyle name="Обычный 2 8 2" xfId="4348"/>
    <cellStyle name="Обычный 2 8 2 2" xfId="4349"/>
    <cellStyle name="Обычный 2 8 3" xfId="4350"/>
    <cellStyle name="Обычный 2 8 4" xfId="4351"/>
    <cellStyle name="Обычный 2 8 5" xfId="4352"/>
    <cellStyle name="Обычный 2 8 6" xfId="4353"/>
    <cellStyle name="Обычный 2 8 7" xfId="4354"/>
    <cellStyle name="Обычный 2 8 8" xfId="4355"/>
    <cellStyle name="Обычный 2 8 9" xfId="4356"/>
    <cellStyle name="Обычный 2 9" xfId="4357"/>
    <cellStyle name="Обычный 2 9 2" xfId="4358"/>
    <cellStyle name="Обычный 2 9 3" xfId="4359"/>
    <cellStyle name="Обычный 2 9 4" xfId="4360"/>
    <cellStyle name="Обычный 2 9 4 2" xfId="4361"/>
    <cellStyle name="Обычный 20" xfId="4362"/>
    <cellStyle name="Обычный 20 2" xfId="4363"/>
    <cellStyle name="Обычный 200" xfId="7358"/>
    <cellStyle name="Обычный 201" xfId="7359"/>
    <cellStyle name="Обычный 202" xfId="7360"/>
    <cellStyle name="Обычный 203" xfId="7361"/>
    <cellStyle name="Обычный 203 2" xfId="7386"/>
    <cellStyle name="Обычный 204" xfId="7362"/>
    <cellStyle name="Обычный 205" xfId="7363"/>
    <cellStyle name="Обычный 206" xfId="7364"/>
    <cellStyle name="Обычный 207" xfId="7365"/>
    <cellStyle name="Обычный 208" xfId="7366"/>
    <cellStyle name="Обычный 208 2" xfId="7383"/>
    <cellStyle name="Обычный 209" xfId="7367"/>
    <cellStyle name="Обычный 209 2" xfId="7389"/>
    <cellStyle name="Обычный 21" xfId="4364"/>
    <cellStyle name="Обычный 21 2" xfId="4365"/>
    <cellStyle name="Обычный 21 2 2" xfId="4366"/>
    <cellStyle name="Обычный 21 3" xfId="4367"/>
    <cellStyle name="Обычный 210" xfId="7368"/>
    <cellStyle name="Обычный 211" xfId="7369"/>
    <cellStyle name="Обычный 212" xfId="7370"/>
    <cellStyle name="Обычный 213" xfId="7371"/>
    <cellStyle name="Обычный 214" xfId="7372"/>
    <cellStyle name="Обычный 215" xfId="7373"/>
    <cellStyle name="Обычный 216" xfId="7374"/>
    <cellStyle name="Обычный 216 2" xfId="7385"/>
    <cellStyle name="Обычный 217" xfId="7375"/>
    <cellStyle name="Обычный 218" xfId="7376"/>
    <cellStyle name="Обычный 219" xfId="7377"/>
    <cellStyle name="Обычный 22" xfId="4368"/>
    <cellStyle name="Обычный 22 2" xfId="4369"/>
    <cellStyle name="Обычный 220" xfId="7378"/>
    <cellStyle name="Обычный 220 2" xfId="7388"/>
    <cellStyle name="Обычный 221" xfId="7379"/>
    <cellStyle name="Обычный 221 2" xfId="7387"/>
    <cellStyle name="Обычный 222" xfId="7380"/>
    <cellStyle name="Обычный 223" xfId="7381"/>
    <cellStyle name="Обычный 223 2" xfId="7391"/>
    <cellStyle name="Обычный 224" xfId="7390"/>
    <cellStyle name="Обычный 224 2" xfId="7392"/>
    <cellStyle name="Обычный 225" xfId="7393"/>
    <cellStyle name="Обычный 226" xfId="7394"/>
    <cellStyle name="Обычный 227" xfId="7395"/>
    <cellStyle name="Обычный 228" xfId="7396"/>
    <cellStyle name="Обычный 229" xfId="7397"/>
    <cellStyle name="Обычный 23" xfId="4370"/>
    <cellStyle name="Обычный 23 2" xfId="4371"/>
    <cellStyle name="Обычный 230" xfId="7398"/>
    <cellStyle name="Обычный 231" xfId="7399"/>
    <cellStyle name="Обычный 232" xfId="7400"/>
    <cellStyle name="Обычный 233" xfId="7401"/>
    <cellStyle name="Обычный 234" xfId="7402"/>
    <cellStyle name="Обычный 235" xfId="7403"/>
    <cellStyle name="Обычный 236" xfId="7404"/>
    <cellStyle name="Обычный 237" xfId="7405"/>
    <cellStyle name="Обычный 238" xfId="7407"/>
    <cellStyle name="Обычный 239" xfId="7408"/>
    <cellStyle name="Обычный 24" xfId="4372"/>
    <cellStyle name="Обычный 24 2" xfId="4373"/>
    <cellStyle name="Обычный 240" xfId="7411"/>
    <cellStyle name="Обычный 241" xfId="7412"/>
    <cellStyle name="Обычный 242" xfId="7413"/>
    <cellStyle name="Обычный 243" xfId="7414"/>
    <cellStyle name="Обычный 244" xfId="7415"/>
    <cellStyle name="Обычный 245" xfId="7416"/>
    <cellStyle name="Обычный 246" xfId="7417"/>
    <cellStyle name="Обычный 247" xfId="7418"/>
    <cellStyle name="Обычный 248" xfId="7419"/>
    <cellStyle name="Обычный 248 2" xfId="7422"/>
    <cellStyle name="Обычный 249" xfId="7420"/>
    <cellStyle name="Обычный 249 2" xfId="7423"/>
    <cellStyle name="Обычный 25" xfId="4374"/>
    <cellStyle name="Обычный 25 2" xfId="4375"/>
    <cellStyle name="Обычный 250" xfId="7421"/>
    <cellStyle name="Обычный 251" xfId="7424"/>
    <cellStyle name="Обычный 252" xfId="7426"/>
    <cellStyle name="Обычный 253" xfId="7427"/>
    <cellStyle name="Обычный 254" xfId="7428"/>
    <cellStyle name="Обычный 255" xfId="7429"/>
    <cellStyle name="Обычный 256" xfId="7430"/>
    <cellStyle name="Обычный 257" xfId="7431"/>
    <cellStyle name="Обычный 258" xfId="7432"/>
    <cellStyle name="Обычный 259" xfId="7433"/>
    <cellStyle name="Обычный 26" xfId="4376"/>
    <cellStyle name="Обычный 26 2" xfId="4377"/>
    <cellStyle name="Обычный 26 2 2" xfId="4378"/>
    <cellStyle name="Обычный 26 3" xfId="4379"/>
    <cellStyle name="Обычный 260" xfId="7434"/>
    <cellStyle name="Обычный 261" xfId="7435"/>
    <cellStyle name="Обычный 262" xfId="7436"/>
    <cellStyle name="Обычный 263" xfId="7437"/>
    <cellStyle name="Обычный 263 2" xfId="7454"/>
    <cellStyle name="Обычный 264" xfId="7438"/>
    <cellStyle name="Обычный 264 2" xfId="7441"/>
    <cellStyle name="Обычный 265" xfId="7439"/>
    <cellStyle name="Обычный 265 2" xfId="7440"/>
    <cellStyle name="Обычный 266" xfId="7442"/>
    <cellStyle name="Обычный 267" xfId="7445"/>
    <cellStyle name="Обычный 268" xfId="7446"/>
    <cellStyle name="Обычный 269" xfId="7447"/>
    <cellStyle name="Обычный 27" xfId="4380"/>
    <cellStyle name="Обычный 27 2" xfId="4381"/>
    <cellStyle name="Обычный 270" xfId="7448"/>
    <cellStyle name="Обычный 271" xfId="7449"/>
    <cellStyle name="Обычный 272" xfId="7450"/>
    <cellStyle name="Обычный 273" xfId="7451"/>
    <cellStyle name="Обычный 274" xfId="7452"/>
    <cellStyle name="Обычный 275" xfId="7453"/>
    <cellStyle name="Обычный 276" xfId="7455"/>
    <cellStyle name="Обычный 277" xfId="7456"/>
    <cellStyle name="Обычный 278" xfId="7457"/>
    <cellStyle name="Обычный 279" xfId="7458"/>
    <cellStyle name="Обычный 28" xfId="4382"/>
    <cellStyle name="Обычный 28 2" xfId="4383"/>
    <cellStyle name="Обычный 280" xfId="7459"/>
    <cellStyle name="Обычный 281" xfId="7460"/>
    <cellStyle name="Обычный 282" xfId="7461"/>
    <cellStyle name="Обычный 283" xfId="7462"/>
    <cellStyle name="Обычный 284" xfId="7463"/>
    <cellStyle name="Обычный 285" xfId="7464"/>
    <cellStyle name="Обычный 286" xfId="7465"/>
    <cellStyle name="Обычный 287" xfId="7466"/>
    <cellStyle name="Обычный 288" xfId="7467"/>
    <cellStyle name="Обычный 289" xfId="7468"/>
    <cellStyle name="Обычный 29" xfId="4384"/>
    <cellStyle name="Обычный 29 2" xfId="4385"/>
    <cellStyle name="Обычный 29 2 2" xfId="4386"/>
    <cellStyle name="Обычный 29 3" xfId="4387"/>
    <cellStyle name="Обычный 290" xfId="7469"/>
    <cellStyle name="Обычный 291" xfId="7470"/>
    <cellStyle name="Обычный 292" xfId="7471"/>
    <cellStyle name="Обычный 293" xfId="7472"/>
    <cellStyle name="Обычный 294" xfId="7473"/>
    <cellStyle name="Обычный 295" xfId="7474"/>
    <cellStyle name="Обычный 296" xfId="7475"/>
    <cellStyle name="Обычный 297" xfId="7476"/>
    <cellStyle name="Обычный 298" xfId="7477"/>
    <cellStyle name="Обычный 299" xfId="7478"/>
    <cellStyle name="Обычный 3" xfId="1519"/>
    <cellStyle name="Обычный 3 10" xfId="4388"/>
    <cellStyle name="Обычный 3 10 10" xfId="4389"/>
    <cellStyle name="Обычный 3 10 2" xfId="4390"/>
    <cellStyle name="Обычный 3 10 3" xfId="4391"/>
    <cellStyle name="Обычный 3 10 4" xfId="4392"/>
    <cellStyle name="Обычный 3 10 5" xfId="4393"/>
    <cellStyle name="Обычный 3 10 6" xfId="4394"/>
    <cellStyle name="Обычный 3 10 7" xfId="4395"/>
    <cellStyle name="Обычный 3 10 8" xfId="4396"/>
    <cellStyle name="Обычный 3 10 9" xfId="4397"/>
    <cellStyle name="Обычный 3 11" xfId="4398"/>
    <cellStyle name="Обычный 3 11 10" xfId="4399"/>
    <cellStyle name="Обычный 3 11 11" xfId="4400"/>
    <cellStyle name="Обычный 3 11 12" xfId="4401"/>
    <cellStyle name="Обычный 3 11 13" xfId="4402"/>
    <cellStyle name="Обычный 3 11 14" xfId="4403"/>
    <cellStyle name="Обычный 3 11 2" xfId="4404"/>
    <cellStyle name="Обычный 3 11 3" xfId="4405"/>
    <cellStyle name="Обычный 3 11 4" xfId="4406"/>
    <cellStyle name="Обычный 3 11 5" xfId="4407"/>
    <cellStyle name="Обычный 3 11 6" xfId="4408"/>
    <cellStyle name="Обычный 3 11 7" xfId="4409"/>
    <cellStyle name="Обычный 3 11 8" xfId="4410"/>
    <cellStyle name="Обычный 3 11 9" xfId="4411"/>
    <cellStyle name="Обычный 3 12" xfId="4412"/>
    <cellStyle name="Обычный 3 12 2" xfId="4413"/>
    <cellStyle name="Обычный 3 13" xfId="4414"/>
    <cellStyle name="Обычный 3 13 2" xfId="4415"/>
    <cellStyle name="Обычный 3 14" xfId="4416"/>
    <cellStyle name="Обычный 3 14 2" xfId="4417"/>
    <cellStyle name="Обычный 3 15" xfId="4418"/>
    <cellStyle name="Обычный 3 15 2" xfId="4419"/>
    <cellStyle name="Обычный 3 16" xfId="4420"/>
    <cellStyle name="Обычный 3 16 2" xfId="4421"/>
    <cellStyle name="Обычный 3 16 2 2" xfId="4422"/>
    <cellStyle name="Обычный 3 16 3" xfId="4423"/>
    <cellStyle name="Обычный 3 17" xfId="4424"/>
    <cellStyle name="Обычный 3 17 2" xfId="4425"/>
    <cellStyle name="Обычный 3 17 2 2" xfId="4426"/>
    <cellStyle name="Обычный 3 17 3" xfId="4427"/>
    <cellStyle name="Обычный 3 18" xfId="4428"/>
    <cellStyle name="Обычный 3 18 2" xfId="4429"/>
    <cellStyle name="Обычный 3 19" xfId="4430"/>
    <cellStyle name="Обычный 3 19 2" xfId="4431"/>
    <cellStyle name="Обычный 3 19 3" xfId="4432"/>
    <cellStyle name="Обычный 3 19 4" xfId="4433"/>
    <cellStyle name="Обычный 3 2" xfId="4434"/>
    <cellStyle name="Обычный 3 2 2" xfId="4435"/>
    <cellStyle name="Обычный 3 2 2 2" xfId="4436"/>
    <cellStyle name="Обычный 3 2 3" xfId="4437"/>
    <cellStyle name="Обычный 3 2 3 2" xfId="4438"/>
    <cellStyle name="Обычный 3 2 4" xfId="4439"/>
    <cellStyle name="Обычный 3 2 4 2" xfId="4440"/>
    <cellStyle name="Обычный 3 2 5" xfId="4441"/>
    <cellStyle name="Обычный 3 2 6" xfId="4442"/>
    <cellStyle name="Обычный 3 20" xfId="4443"/>
    <cellStyle name="Обычный 3 20 2" xfId="4444"/>
    <cellStyle name="Обычный 3 21" xfId="4445"/>
    <cellStyle name="Обычный 3 21 2" xfId="4446"/>
    <cellStyle name="Обычный 3 21 2 2" xfId="4447"/>
    <cellStyle name="Обычный 3 21 3" xfId="4448"/>
    <cellStyle name="Обычный 3 21 4" xfId="4449"/>
    <cellStyle name="Обычный 3 21 5" xfId="4450"/>
    <cellStyle name="Обычный 3 22" xfId="4451"/>
    <cellStyle name="Обычный 3 22 2" xfId="4452"/>
    <cellStyle name="Обычный 3 22 3" xfId="4453"/>
    <cellStyle name="Обычный 3 23" xfId="4454"/>
    <cellStyle name="Обычный 3 23 2" xfId="4455"/>
    <cellStyle name="Обычный 3 24" xfId="4456"/>
    <cellStyle name="Обычный 3 24 2" xfId="4457"/>
    <cellStyle name="Обычный 3 24 2 2" xfId="4458"/>
    <cellStyle name="Обычный 3 24 3" xfId="4459"/>
    <cellStyle name="Обычный 3 25" xfId="4460"/>
    <cellStyle name="Обычный 3 25 2" xfId="4461"/>
    <cellStyle name="Обычный 3 26" xfId="4462"/>
    <cellStyle name="Обычный 3 26 2" xfId="4463"/>
    <cellStyle name="Обычный 3 27" xfId="4464"/>
    <cellStyle name="Обычный 3 27 2" xfId="4465"/>
    <cellStyle name="Обычный 3 27 2 2" xfId="4466"/>
    <cellStyle name="Обычный 3 27 3" xfId="4467"/>
    <cellStyle name="Обычный 3 28" xfId="4468"/>
    <cellStyle name="Обычный 3 28 2" xfId="4469"/>
    <cellStyle name="Обычный 3 29" xfId="4470"/>
    <cellStyle name="Обычный 3 29 2" xfId="4471"/>
    <cellStyle name="Обычный 3 3" xfId="4472"/>
    <cellStyle name="Обычный 3 3 2" xfId="4473"/>
    <cellStyle name="Обычный 3 3 2 2" xfId="4474"/>
    <cellStyle name="Обычный 3 3 3" xfId="4475"/>
    <cellStyle name="Обычный 3 3 4" xfId="4476"/>
    <cellStyle name="Обычный 3 3 5" xfId="4477"/>
    <cellStyle name="Обычный 3 3 6" xfId="4478"/>
    <cellStyle name="Обычный 3 30" xfId="4479"/>
    <cellStyle name="Обычный 3 30 2" xfId="4480"/>
    <cellStyle name="Обычный 3 31" xfId="4481"/>
    <cellStyle name="Обычный 3 31 2" xfId="4482"/>
    <cellStyle name="Обычный 3 32" xfId="4483"/>
    <cellStyle name="Обычный 3 32 2" xfId="4484"/>
    <cellStyle name="Обычный 3 32 2 2" xfId="4485"/>
    <cellStyle name="Обычный 3 32 3" xfId="4486"/>
    <cellStyle name="Обычный 3 33" xfId="4487"/>
    <cellStyle name="Обычный 3 33 2" xfId="4488"/>
    <cellStyle name="Обычный 3 34" xfId="4489"/>
    <cellStyle name="Обычный 3 34 2" xfId="4490"/>
    <cellStyle name="Обычный 3 34 2 2" xfId="4491"/>
    <cellStyle name="Обычный 3 34 3" xfId="4492"/>
    <cellStyle name="Обычный 3 35" xfId="4493"/>
    <cellStyle name="Обычный 3 35 2" xfId="4494"/>
    <cellStyle name="Обычный 3 36" xfId="4495"/>
    <cellStyle name="Обычный 3 36 2" xfId="4496"/>
    <cellStyle name="Обычный 3 37" xfId="4497"/>
    <cellStyle name="Обычный 3 38" xfId="4498"/>
    <cellStyle name="Обычный 3 39" xfId="4499"/>
    <cellStyle name="Обычный 3 4" xfId="4500"/>
    <cellStyle name="Обычный 3 4 2" xfId="4501"/>
    <cellStyle name="Обычный 3 4 3" xfId="4502"/>
    <cellStyle name="Обычный 3 4 4" xfId="4503"/>
    <cellStyle name="Обычный 3 4 5" xfId="4504"/>
    <cellStyle name="Обычный 3 4 6" xfId="4505"/>
    <cellStyle name="Обычный 3 4 7" xfId="4506"/>
    <cellStyle name="Обычный 3 40" xfId="4507"/>
    <cellStyle name="Обычный 3 41" xfId="4508"/>
    <cellStyle name="Обычный 3 42" xfId="4509"/>
    <cellStyle name="Обычный 3 43" xfId="4510"/>
    <cellStyle name="Обычный 3 44" xfId="5882"/>
    <cellStyle name="Обычный 3 44 2" xfId="7409"/>
    <cellStyle name="Обычный 3 5" xfId="4511"/>
    <cellStyle name="Обычный 3 5 2" xfId="4512"/>
    <cellStyle name="Обычный 3 5 3" xfId="4513"/>
    <cellStyle name="Обычный 3 5 4" xfId="4514"/>
    <cellStyle name="Обычный 3 6" xfId="4515"/>
    <cellStyle name="Обычный 3 6 2" xfId="4516"/>
    <cellStyle name="Обычный 3 6 3" xfId="4517"/>
    <cellStyle name="Обычный 3 6 4" xfId="4518"/>
    <cellStyle name="Обычный 3 7" xfId="4519"/>
    <cellStyle name="Обычный 3 7 2" xfId="4520"/>
    <cellStyle name="Обычный 3 7 3" xfId="4521"/>
    <cellStyle name="Обычный 3 7 4" xfId="4522"/>
    <cellStyle name="Обычный 3 7 5" xfId="4523"/>
    <cellStyle name="Обычный 3 7 6" xfId="4524"/>
    <cellStyle name="Обычный 3 7 7" xfId="4525"/>
    <cellStyle name="Обычный 3 7 8" xfId="4526"/>
    <cellStyle name="Обычный 3 8" xfId="4527"/>
    <cellStyle name="Обычный 3 8 2" xfId="4528"/>
    <cellStyle name="Обычный 3 8 2 2" xfId="4529"/>
    <cellStyle name="Обычный 3 8 3" xfId="4530"/>
    <cellStyle name="Обычный 3 8 4" xfId="4531"/>
    <cellStyle name="Обычный 3 8 5" xfId="4532"/>
    <cellStyle name="Обычный 3 8 5 2" xfId="4533"/>
    <cellStyle name="Обычный 3 9" xfId="4534"/>
    <cellStyle name="Обычный 3 9 2" xfId="4535"/>
    <cellStyle name="Обычный 3 9 2 2" xfId="4536"/>
    <cellStyle name="Обычный 3 9 3" xfId="4537"/>
    <cellStyle name="Обычный 3 9 3 2" xfId="4538"/>
    <cellStyle name="Обычный 3 9 4" xfId="4539"/>
    <cellStyle name="Обычный 3 9 4 2" xfId="4540"/>
    <cellStyle name="Обычный 3 9 5" xfId="4541"/>
    <cellStyle name="Обычный 3 9 6" xfId="4542"/>
    <cellStyle name="Обычный 3 9 7" xfId="4543"/>
    <cellStyle name="Обычный 3 9 8" xfId="4544"/>
    <cellStyle name="Обычный 30" xfId="4545"/>
    <cellStyle name="Обычный 30 2" xfId="4546"/>
    <cellStyle name="Обычный 300" xfId="7479"/>
    <cellStyle name="Обычный 301" xfId="7480"/>
    <cellStyle name="Обычный 302" xfId="7481"/>
    <cellStyle name="Обычный 303" xfId="7482"/>
    <cellStyle name="Обычный 304" xfId="7483"/>
    <cellStyle name="Обычный 305" xfId="7484"/>
    <cellStyle name="Обычный 306" xfId="7485"/>
    <cellStyle name="Обычный 307" xfId="7486"/>
    <cellStyle name="Обычный 308" xfId="7487"/>
    <cellStyle name="Обычный 309" xfId="7488"/>
    <cellStyle name="Обычный 31" xfId="4547"/>
    <cellStyle name="Обычный 31 2" xfId="4548"/>
    <cellStyle name="Обычный 310" xfId="7489"/>
    <cellStyle name="Обычный 311" xfId="7490"/>
    <cellStyle name="Обычный 312" xfId="7491"/>
    <cellStyle name="Обычный 313" xfId="7492"/>
    <cellStyle name="Обычный 314" xfId="7493"/>
    <cellStyle name="Обычный 315" xfId="7494"/>
    <cellStyle name="Обычный 316" xfId="7495"/>
    <cellStyle name="Обычный 317" xfId="7496"/>
    <cellStyle name="Обычный 318" xfId="7497"/>
    <cellStyle name="Обычный 319" xfId="7498"/>
    <cellStyle name="Обычный 32" xfId="4549"/>
    <cellStyle name="Обычный 32 2" xfId="4550"/>
    <cellStyle name="Обычный 32 2 2" xfId="4551"/>
    <cellStyle name="Обычный 32 3" xfId="4552"/>
    <cellStyle name="Обычный 320" xfId="7499"/>
    <cellStyle name="Обычный 321" xfId="7500"/>
    <cellStyle name="Обычный 322" xfId="7501"/>
    <cellStyle name="Обычный 323" xfId="7502"/>
    <cellStyle name="Обычный 324" xfId="7504"/>
    <cellStyle name="Обычный 324 2" xfId="7654"/>
    <cellStyle name="Обычный 325" xfId="7655"/>
    <cellStyle name="Обычный 326" xfId="7656"/>
    <cellStyle name="Обычный 326 2" xfId="7658"/>
    <cellStyle name="Обычный 327" xfId="7657"/>
    <cellStyle name="Обычный 328" xfId="7659"/>
    <cellStyle name="Обычный 33" xfId="4553"/>
    <cellStyle name="Обычный 33 2" xfId="4554"/>
    <cellStyle name="Обычный 34" xfId="4555"/>
    <cellStyle name="Обычный 34 2" xfId="4556"/>
    <cellStyle name="Обычный 35" xfId="4557"/>
    <cellStyle name="Обычный 35 2" xfId="4558"/>
    <cellStyle name="Обычный 36" xfId="4559"/>
    <cellStyle name="Обычный 36 2" xfId="4560"/>
    <cellStyle name="Обычный 37" xfId="4561"/>
    <cellStyle name="Обычный 37 2" xfId="4562"/>
    <cellStyle name="Обычный 38" xfId="4563"/>
    <cellStyle name="Обычный 38 2" xfId="4564"/>
    <cellStyle name="Обычный 39" xfId="4565"/>
    <cellStyle name="Обычный 39 2" xfId="4566"/>
    <cellStyle name="Обычный 391" xfId="13826"/>
    <cellStyle name="Обычный 4" xfId="4567"/>
    <cellStyle name="Обычный 4 2" xfId="4568"/>
    <cellStyle name="Обычный 4 2 2" xfId="4569"/>
    <cellStyle name="Обычный 4 2 2 2" xfId="4570"/>
    <cellStyle name="Обычный 4 2 3" xfId="4571"/>
    <cellStyle name="Обычный 4 2 3 2" xfId="4572"/>
    <cellStyle name="Обычный 4 2 3 2 2" xfId="4573"/>
    <cellStyle name="Обычный 4 2 3 2 2 2" xfId="4574"/>
    <cellStyle name="Обычный 4 2 3 2 2 2 2" xfId="4575"/>
    <cellStyle name="Обычный 4 2 3 2 2 3" xfId="4576"/>
    <cellStyle name="Обычный 4 2 3 2 2 3 2" xfId="4577"/>
    <cellStyle name="Обычный 4 2 3 2 2 3 2 2" xfId="4578"/>
    <cellStyle name="Обычный 4 2 3 2 2 3 2 2 2" xfId="4579"/>
    <cellStyle name="Обычный 4 2 3 2 2 3 2 2 2 2" xfId="4580"/>
    <cellStyle name="Обычный 4 2 3 2 2 3 2 2 2 2 2" xfId="4581"/>
    <cellStyle name="Обычный 4 2 3 2 2 3 2 2 2 2 2 2" xfId="4582"/>
    <cellStyle name="Обычный 4 2 3 2 2 3 2 2 2 2 2 2 2" xfId="4583"/>
    <cellStyle name="Обычный 4 2 3 2 2 3 2 2 2 2 2 2 2 2" xfId="4584"/>
    <cellStyle name="Обычный 4 2 3 2 2 3 2 2 2 2 2 2 2 2 2" xfId="4585"/>
    <cellStyle name="Обычный 4 2 3 2 2 3 2 2 2 2 2 2 2 2 2 2" xfId="4586"/>
    <cellStyle name="Обычный 4 2 3 2 2 3 2 2 2 2 2 2 2 2 2 2 2" xfId="4587"/>
    <cellStyle name="Обычный 4 2 3 2 2 3 2 2 2 2 2 2 2 2 2 2 2 2" xfId="4588"/>
    <cellStyle name="Обычный 4 2 3 2 2 3 2 2 2 2 2 2 2 2 2 2 2 2 2" xfId="4589"/>
    <cellStyle name="Обычный 4 2 3 2 2 3 2 2 2 2 2 2 2 2 2 2 2 3" xfId="4590"/>
    <cellStyle name="Обычный 4 2 3 2 2 3 2 2 2 2 2 2 2 2 2 2 2 3 2" xfId="4591"/>
    <cellStyle name="Обычный 4 2 3 2 2 3 2 2 2 2 2 2 2 2 2 2 2 3 2 2" xfId="4592"/>
    <cellStyle name="Обычный 4 2 3 2 2 3 2 2 2 2 2 2 2 2 2 2 2 3 2 2 2" xfId="4593"/>
    <cellStyle name="Обычный 4 2 3 2 2 3 2 2 2 2 2 2 2 2 2 2 2 3 2 2 2 2" xfId="4594"/>
    <cellStyle name="Обычный 4 2 3 2 2 3 2 2 2 2 2 2 2 2 2 2 2 3 2 2 2 2 2" xfId="4595"/>
    <cellStyle name="Обычный 4 2 3 2 2 3 2 2 2 2 2 2 2 2 2 2 2 3 2 2 2 3" xfId="4596"/>
    <cellStyle name="Обычный 4 2 3 2 2 3 2 2 2 2 2 2 2 2 2 2 2 3 2 2 3" xfId="4597"/>
    <cellStyle name="Обычный 4 2 3 2 2 3 2 2 2 2 2 2 2 2 2 2 2 3 2 3" xfId="4598"/>
    <cellStyle name="Обычный 4 2 3 2 2 3 2 2 2 2 2 2 2 2 2 2 2 3 3" xfId="4599"/>
    <cellStyle name="Обычный 4 2 3 2 2 3 2 2 2 2 2 2 2 2 2 2 2 4" xfId="4600"/>
    <cellStyle name="Обычный 4 2 3 2 2 3 2 2 2 2 2 2 2 2 2 2 3" xfId="4601"/>
    <cellStyle name="Обычный 4 2 3 2 2 3 2 2 2 2 2 2 2 2 2 3" xfId="4602"/>
    <cellStyle name="Обычный 4 2 3 2 2 3 2 2 2 2 2 2 2 2 3" xfId="4603"/>
    <cellStyle name="Обычный 4 2 3 2 2 3 2 2 2 2 2 2 2 3" xfId="4604"/>
    <cellStyle name="Обычный 4 2 3 2 2 3 2 2 2 2 2 2 2 3 2" xfId="4605"/>
    <cellStyle name="Обычный 4 2 3 2 2 3 2 2 2 2 2 2 2 3 2 2" xfId="4606"/>
    <cellStyle name="Обычный 4 2 3 2 2 3 2 2 2 2 2 2 2 3 2 2 2" xfId="4607"/>
    <cellStyle name="Обычный 4 2 3 2 2 3 2 2 2 2 2 2 2 3 2 3" xfId="4608"/>
    <cellStyle name="Обычный 4 2 3 2 2 3 2 2 2 2 2 2 2 3 3" xfId="4609"/>
    <cellStyle name="Обычный 4 2 3 2 2 3 2 2 2 2 2 2 2 3 3 2" xfId="4610"/>
    <cellStyle name="Обычный 4 2 3 2 2 3 2 2 2 2 2 2 2 3 3 2 2" xfId="4611"/>
    <cellStyle name="Обычный 4 2 3 2 2 3 2 2 2 2 2 2 2 3 3 2 2 2" xfId="4612"/>
    <cellStyle name="Обычный 4 2 3 2 2 3 2 2 2 2 2 2 2 3 3 2 2 2 2" xfId="4613"/>
    <cellStyle name="Обычный 4 2 3 2 2 3 2 2 2 2 2 2 2 3 3 2 2 2 2 2" xfId="4614"/>
    <cellStyle name="Обычный 4 2 3 2 2 3 2 2 2 2 2 2 2 3 3 2 2 2 2 2 2" xfId="4615"/>
    <cellStyle name="Обычный 4 2 3 2 2 3 2 2 2 2 2 2 2 3 3 2 2 2 2 2 2 2" xfId="4616"/>
    <cellStyle name="Обычный 4 2 3 2 2 3 2 2 2 2 2 2 2 3 3 2 2 2 2 2 2 2 2" xfId="4617"/>
    <cellStyle name="Обычный 4 2 3 2 2 3 2 2 2 2 2 2 2 3 3 2 2 2 2 2 2 2 2 2" xfId="4618"/>
    <cellStyle name="Обычный 4 2 3 2 2 3 2 2 2 2 2 2 2 3 3 2 2 2 2 2 2 2 2 2 2" xfId="4619"/>
    <cellStyle name="Обычный 4 2 3 2 2 3 2 2 2 2 2 2 2 3 3 2 2 2 2 2 2 2 2 2 2 2" xfId="4620"/>
    <cellStyle name="Обычный 4 2 3 2 2 3 2 2 2 2 2 2 2 3 3 2 2 2 2 2 2 2 2 2 2 2 2" xfId="4621"/>
    <cellStyle name="Обычный 4 2 3 2 2 3 2 2 2 2 2 2 2 3 3 2 2 2 2 2 2 2 2 2 2 2 3" xfId="4622"/>
    <cellStyle name="Обычный 4 2 3 2 2 3 2 2 2 2 2 2 2 3 3 2 2 2 2 2 2 2 2 2 2 2 3 2" xfId="4623"/>
    <cellStyle name="Обычный 4 2 3 2 2 3 2 2 2 2 2 2 2 3 3 2 2 2 2 2 2 2 2 2 2 2 3 2 2" xfId="4624"/>
    <cellStyle name="Обычный 4 2 3 2 2 3 2 2 2 2 2 2 2 3 3 2 2 2 2 2 2 2 2 2 2 2 3 2 2 2" xfId="4625"/>
    <cellStyle name="Обычный 4 2 3 2 2 3 2 2 2 2 2 2 2 3 3 2 2 2 2 2 2 2 2 2 2 2 3 2 2 3" xfId="4626"/>
    <cellStyle name="Обычный 4 2 3 2 2 3 2 2 2 2 2 2 2 3 3 2 2 2 2 2 2 2 2 2 2 2 3 2 2 4" xfId="4627"/>
    <cellStyle name="Обычный 4 2 3 2 2 3 2 2 2 2 2 2 2 3 3 2 2 2 2 2 2 2 2 2 2 2 3 2 2 4 2" xfId="4628"/>
    <cellStyle name="Обычный 4 2 3 2 2 3 2 2 2 2 2 2 2 3 3 2 2 2 2 2 2 2 2 2 2 2 3 2 2 4 3" xfId="4629"/>
    <cellStyle name="Обычный 4 2 3 2 2 3 2 2 2 2 2 2 2 3 3 2 2 2 2 2 2 2 2 2 2 2 3 2 2 4 3 2" xfId="4630"/>
    <cellStyle name="Обычный 4 2 3 2 2 3 2 2 2 2 2 2 2 3 3 2 2 2 2 2 2 2 2 2 2 2 3 2 2 4 3 2 2" xfId="1570"/>
    <cellStyle name="Обычный 4 2 3 2 2 3 2 2 2 2 2 2 2 3 3 2 2 2 2 2 2 2 2 2 2 2 3 2 2 4 3 2 2 2" xfId="5194"/>
    <cellStyle name="Обычный 4 2 3 2 2 3 2 2 2 2 2 2 2 3 3 2 2 2 2 2 2 2 2 2 2 2 3 2 2 4 3 2 2 2 2" xfId="5198"/>
    <cellStyle name="Обычный 4 2 3 2 2 3 2 2 2 2 2 2 2 3 3 2 2 2 2 2 2 2 2 2 2 2 3 2 2 4 3 2 2 3" xfId="5200"/>
    <cellStyle name="Обычный 4 2 3 2 2 3 2 2 2 2 2 2 2 3 3 2 2 2 2 2 2 2 2 2 2 2 3 2 2 4 3 2 2 3 2" xfId="5204"/>
    <cellStyle name="Обычный 4 2 3 2 2 3 2 2 2 2 2 2 2 3 3 2 2 2 2 2 2 2 2 2 2 2 3 2 2 4 3 2 2 3 2 2" xfId="5205"/>
    <cellStyle name="Обычный 4 2 3 2 2 3 2 2 2 2 2 2 2 3 3 2 2 2 2 2 2 2 2 2 2 2 3 2 2 4 3 2 2 3 2 3" xfId="5209"/>
    <cellStyle name="Обычный 4 2 3 2 2 3 2 2 2 2 2 2 2 3 3 2 2 2 2 2 2 2 2 2 2 2 3 2 2 4 3 2 2 3 2 3 2" xfId="5217"/>
    <cellStyle name="Обычный 4 2 3 2 2 3 2 2 2 2 2 2 2 3 3 2 2 2 2 2 2 2 2 2 2 3" xfId="4631"/>
    <cellStyle name="Обычный 4 2 3 2 2 3 2 2 2 2 2 2 2 3 3 2 2 2 2 2 2 2 2 2 3" xfId="4632"/>
    <cellStyle name="Обычный 4 2 3 2 2 3 2 2 2 2 2 2 2 3 3 2 2 2 2 2 2 2 2 3" xfId="4633"/>
    <cellStyle name="Обычный 4 2 3 2 2 3 2 2 2 2 2 2 2 3 3 2 2 2 2 2 2 2 3" xfId="4634"/>
    <cellStyle name="Обычный 4 2 3 2 2 3 2 2 2 2 2 2 2 3 3 2 2 2 2 2 2 3" xfId="4635"/>
    <cellStyle name="Обычный 4 2 3 2 2 3 2 2 2 2 2 2 2 3 3 2 2 2 2 2 3" xfId="4636"/>
    <cellStyle name="Обычный 4 2 3 2 2 3 2 2 2 2 2 2 2 3 3 2 2 2 2 3" xfId="4637"/>
    <cellStyle name="Обычный 4 2 3 2 2 3 2 2 2 2 2 2 2 3 3 2 2 2 3" xfId="4638"/>
    <cellStyle name="Обычный 4 2 3 2 2 3 2 2 2 2 2 2 2 3 3 2 2 3" xfId="4639"/>
    <cellStyle name="Обычный 4 2 3 2 2 3 2 2 2 2 2 2 2 3 3 2 3" xfId="4640"/>
    <cellStyle name="Обычный 4 2 3 2 2 3 2 2 2 2 2 2 2 3 3 3" xfId="4641"/>
    <cellStyle name="Обычный 4 2 3 2 2 3 2 2 2 2 2 2 2 3 4" xfId="4642"/>
    <cellStyle name="Обычный 4 2 3 2 2 3 2 2 2 2 2 2 2 4" xfId="4643"/>
    <cellStyle name="Обычный 4 2 3 2 2 3 2 2 2 2 2 2 3" xfId="4644"/>
    <cellStyle name="Обычный 4 2 3 2 2 3 2 2 2 2 2 3" xfId="4645"/>
    <cellStyle name="Обычный 4 2 3 2 2 3 2 2 2 2 3" xfId="4646"/>
    <cellStyle name="Обычный 4 2 3 2 2 3 2 2 2 3" xfId="4647"/>
    <cellStyle name="Обычный 4 2 3 2 2 3 2 2 3" xfId="4648"/>
    <cellStyle name="Обычный 4 2 3 2 2 3 2 3" xfId="4649"/>
    <cellStyle name="Обычный 4 2 3 2 2 3 3" xfId="4650"/>
    <cellStyle name="Обычный 4 2 3 2 2 4" xfId="4651"/>
    <cellStyle name="Обычный 4 2 3 2 3" xfId="4652"/>
    <cellStyle name="Обычный 4 2 3 3" xfId="4653"/>
    <cellStyle name="Обычный 4 2 4" xfId="4654"/>
    <cellStyle name="Обычный 4 3" xfId="4655"/>
    <cellStyle name="Обычный 4 3 2" xfId="4656"/>
    <cellStyle name="Обычный 4 4" xfId="4657"/>
    <cellStyle name="Обычный 4 4 2" xfId="4658"/>
    <cellStyle name="Обычный 4 4 2 2" xfId="4659"/>
    <cellStyle name="Обычный 4 4 2 2 2" xfId="4660"/>
    <cellStyle name="Обычный 4 4 2 2 2 2" xfId="4661"/>
    <cellStyle name="Обычный 4 4 2 2 2 2 2" xfId="4662"/>
    <cellStyle name="Обычный 4 4 2 2 2 2 2 2" xfId="4663"/>
    <cellStyle name="Обычный 4 4 2 2 2 2 2 2 2" xfId="4664"/>
    <cellStyle name="Обычный 4 4 2 2 2 2 2 2 2 2" xfId="4665"/>
    <cellStyle name="Обычный 4 4 2 2 2 2 2 2 3" xfId="4666"/>
    <cellStyle name="Обычный 4 4 2 2 2 2 2 2 3 2" xfId="4667"/>
    <cellStyle name="Обычный 4 4 2 2 2 2 2 2 3 2 2" xfId="4668"/>
    <cellStyle name="Обычный 4 4 2 2 2 2 2 2 3 2 2 2" xfId="4669"/>
    <cellStyle name="Обычный 4 4 2 2 2 2 2 2 3 2 2 2 2" xfId="4670"/>
    <cellStyle name="Обычный 4 4 2 2 2 2 2 2 3 2 2 2 2 2" xfId="4671"/>
    <cellStyle name="Обычный 4 4 2 2 2 2 2 2 3 2 2 2 3" xfId="4672"/>
    <cellStyle name="Обычный 4 4 2 2 2 2 2 2 3 2 2 3" xfId="4673"/>
    <cellStyle name="Обычный 4 4 2 2 2 2 2 2 3 2 3" xfId="4674"/>
    <cellStyle name="Обычный 4 4 2 2 2 2 2 2 3 3" xfId="4675"/>
    <cellStyle name="Обычный 4 4 2 2 2 2 2 2 4" xfId="4676"/>
    <cellStyle name="Обычный 4 4 2 2 2 2 2 3" xfId="4677"/>
    <cellStyle name="Обычный 4 4 2 2 2 2 3" xfId="4678"/>
    <cellStyle name="Обычный 4 4 2 2 2 3" xfId="4679"/>
    <cellStyle name="Обычный 4 4 2 2 3" xfId="4680"/>
    <cellStyle name="Обычный 4 4 2 2 3 2" xfId="4681"/>
    <cellStyle name="Обычный 4 4 2 2 3 2 2" xfId="4682"/>
    <cellStyle name="Обычный 4 4 2 2 3 2 2 2" xfId="4683"/>
    <cellStyle name="Обычный 4 4 2 2 3 2 3" xfId="4684"/>
    <cellStyle name="Обычный 4 4 2 2 3 3" xfId="4685"/>
    <cellStyle name="Обычный 4 4 2 2 3 3 2" xfId="4686"/>
    <cellStyle name="Обычный 4 4 2 2 3 4" xfId="4687"/>
    <cellStyle name="Обычный 4 4 2 2 4" xfId="4688"/>
    <cellStyle name="Обычный 4 4 2 3" xfId="4689"/>
    <cellStyle name="Обычный 4 4 3" xfId="4690"/>
    <cellStyle name="Обычный 4 5" xfId="4691"/>
    <cellStyle name="Обычный 4 6" xfId="4692"/>
    <cellStyle name="Обычный 4 7" xfId="5197"/>
    <cellStyle name="Обычный 4 8" xfId="5880"/>
    <cellStyle name="Обычный 40" xfId="4693"/>
    <cellStyle name="Обычный 40 2" xfId="4694"/>
    <cellStyle name="Обычный 41" xfId="4695"/>
    <cellStyle name="Обычный 41 2" xfId="4696"/>
    <cellStyle name="Обычный 42" xfId="4697"/>
    <cellStyle name="Обычный 42 2" xfId="4698"/>
    <cellStyle name="Обычный 43" xfId="4699"/>
    <cellStyle name="Обычный 43 2" xfId="4700"/>
    <cellStyle name="Обычный 44" xfId="4701"/>
    <cellStyle name="Обычный 44 2" xfId="4702"/>
    <cellStyle name="Обычный 45" xfId="4703"/>
    <cellStyle name="Обычный 45 2" xfId="4704"/>
    <cellStyle name="Обычный 46" xfId="4705"/>
    <cellStyle name="Обычный 46 2" xfId="4706"/>
    <cellStyle name="Обычный 47" xfId="4707"/>
    <cellStyle name="Обычный 47 2" xfId="4708"/>
    <cellStyle name="Обычный 48" xfId="4709"/>
    <cellStyle name="Обычный 48 2" xfId="4710"/>
    <cellStyle name="Обычный 49" xfId="4711"/>
    <cellStyle name="Обычный 5" xfId="4712"/>
    <cellStyle name="Обычный 5 2" xfId="4713"/>
    <cellStyle name="Обычный 5 2 2" xfId="4714"/>
    <cellStyle name="Обычный 5 3" xfId="4715"/>
    <cellStyle name="Обычный 5 4" xfId="4716"/>
    <cellStyle name="Обычный 5 5" xfId="5883"/>
    <cellStyle name="Обычный 50" xfId="4717"/>
    <cellStyle name="Обычный 51" xfId="4718"/>
    <cellStyle name="Обычный 51 2" xfId="1569"/>
    <cellStyle name="Обычный 52" xfId="4719"/>
    <cellStyle name="Обычный 53" xfId="4720"/>
    <cellStyle name="Обычный 53 2" xfId="4721"/>
    <cellStyle name="Обычный 54" xfId="4722"/>
    <cellStyle name="Обычный 55" xfId="4723"/>
    <cellStyle name="Обычный 55 2" xfId="4724"/>
    <cellStyle name="Обычный 56" xfId="4725"/>
    <cellStyle name="Обычный 57" xfId="4726"/>
    <cellStyle name="Обычный 57 2" xfId="4727"/>
    <cellStyle name="Обычный 58" xfId="4728"/>
    <cellStyle name="Обычный 59" xfId="4729"/>
    <cellStyle name="Обычный 6" xfId="4730"/>
    <cellStyle name="Обычный 6 2" xfId="4731"/>
    <cellStyle name="Обычный 6 2 2" xfId="4732"/>
    <cellStyle name="Обычный 6 3" xfId="4733"/>
    <cellStyle name="Обычный 6 4" xfId="5884"/>
    <cellStyle name="Обычный 6 5" xfId="6960"/>
    <cellStyle name="Обычный 60" xfId="4734"/>
    <cellStyle name="Обычный 61" xfId="4735"/>
    <cellStyle name="Обычный 62" xfId="4736"/>
    <cellStyle name="Обычный 63" xfId="4737"/>
    <cellStyle name="Обычный 64" xfId="4738"/>
    <cellStyle name="Обычный 65" xfId="4739"/>
    <cellStyle name="Обычный 66" xfId="4740"/>
    <cellStyle name="Обычный 67" xfId="4741"/>
    <cellStyle name="Обычный 68" xfId="4742"/>
    <cellStyle name="Обычный 68 2" xfId="4743"/>
    <cellStyle name="Обычный 69" xfId="4744"/>
    <cellStyle name="Обычный 7" xfId="4745"/>
    <cellStyle name="Обычный 7 2" xfId="4746"/>
    <cellStyle name="Обычный 7 2 2" xfId="4747"/>
    <cellStyle name="Обычный 7 2 3" xfId="5890"/>
    <cellStyle name="Обычный 7 3" xfId="4748"/>
    <cellStyle name="Обычный 7 4" xfId="5885"/>
    <cellStyle name="Обычный 70" xfId="4749"/>
    <cellStyle name="Обычный 70 2" xfId="4750"/>
    <cellStyle name="Обычный 71" xfId="4751"/>
    <cellStyle name="Обычный 72" xfId="4752"/>
    <cellStyle name="Обычный 72 2" xfId="4753"/>
    <cellStyle name="Обычный 73" xfId="4754"/>
    <cellStyle name="Обычный 74" xfId="4755"/>
    <cellStyle name="Обычный 75" xfId="4756"/>
    <cellStyle name="Обычный 76" xfId="4757"/>
    <cellStyle name="Обычный 77" xfId="4758"/>
    <cellStyle name="Обычный 78" xfId="5196"/>
    <cellStyle name="Обычный 79" xfId="5199"/>
    <cellStyle name="Обычный 79 2" xfId="5203"/>
    <cellStyle name="Обычный 79 2 2" xfId="5208"/>
    <cellStyle name="Обычный 8" xfId="4759"/>
    <cellStyle name="Обычный 8 2" xfId="4760"/>
    <cellStyle name="Обычный 8 2 2" xfId="4761"/>
    <cellStyle name="Обычный 8 2 3" xfId="5891"/>
    <cellStyle name="Обычный 8 3" xfId="4762"/>
    <cellStyle name="Обычный 8 4" xfId="5886"/>
    <cellStyle name="Обычный 80" xfId="5202"/>
    <cellStyle name="Обычный 81" xfId="4763"/>
    <cellStyle name="Обычный 82" xfId="5206"/>
    <cellStyle name="Обычный 83" xfId="4764"/>
    <cellStyle name="Обычный 84" xfId="5207"/>
    <cellStyle name="Обычный 84 2" xfId="5219"/>
    <cellStyle name="Обычный 85" xfId="5210"/>
    <cellStyle name="Обычный 85 2" xfId="5218"/>
    <cellStyle name="Обычный 85 2 2" xfId="6963"/>
    <cellStyle name="Обычный 86" xfId="5211"/>
    <cellStyle name="Обычный 87" xfId="5212"/>
    <cellStyle name="Обычный 88" xfId="5213"/>
    <cellStyle name="Обычный 89" xfId="5214"/>
    <cellStyle name="Обычный 9" xfId="4765"/>
    <cellStyle name="Обычный 9 2" xfId="1566"/>
    <cellStyle name="Обычный 9 2 2" xfId="5888"/>
    <cellStyle name="Обычный 9 2 2 2" xfId="6962"/>
    <cellStyle name="Обычный 9 3" xfId="5878"/>
    <cellStyle name="Обычный 90" xfId="5215"/>
    <cellStyle name="Обычный 91" xfId="5216"/>
    <cellStyle name="Обычный 92" xfId="5220"/>
    <cellStyle name="Обычный 92 2" xfId="5226"/>
    <cellStyle name="Обычный 92 3" xfId="5237"/>
    <cellStyle name="Обычный 92 4" xfId="5243"/>
    <cellStyle name="Обычный 92 4 2" xfId="5249"/>
    <cellStyle name="Обычный 92 4 2 2" xfId="6961"/>
    <cellStyle name="Обычный 93" xfId="5222"/>
    <cellStyle name="Обычный 94" xfId="5223"/>
    <cellStyle name="Обычный 95" xfId="5224"/>
    <cellStyle name="Обычный 96" xfId="5225"/>
    <cellStyle name="Обычный 97" xfId="5227"/>
    <cellStyle name="Обычный 98" xfId="5228"/>
    <cellStyle name="Обычный 99" xfId="5229"/>
    <cellStyle name="Обычный_2011-08-02" xfId="6841"/>
    <cellStyle name="Плохой 10" xfId="4766"/>
    <cellStyle name="Плохой 10 2" xfId="4767"/>
    <cellStyle name="Плохой 11" xfId="4768"/>
    <cellStyle name="Плохой 11 2" xfId="4769"/>
    <cellStyle name="Плохой 12" xfId="4770"/>
    <cellStyle name="Плохой 12 2" xfId="4771"/>
    <cellStyle name="Плохой 13" xfId="4772"/>
    <cellStyle name="Плохой 13 2" xfId="4773"/>
    <cellStyle name="Плохой 14" xfId="4774"/>
    <cellStyle name="Плохой 14 2" xfId="4775"/>
    <cellStyle name="Плохой 15" xfId="4776"/>
    <cellStyle name="Плохой 15 2" xfId="4777"/>
    <cellStyle name="Плохой 16" xfId="4778"/>
    <cellStyle name="Плохой 16 2" xfId="4779"/>
    <cellStyle name="Плохой 17" xfId="4780"/>
    <cellStyle name="Плохой 17 2" xfId="4781"/>
    <cellStyle name="Плохой 18" xfId="4782"/>
    <cellStyle name="Плохой 18 2" xfId="4783"/>
    <cellStyle name="Плохой 19" xfId="4784"/>
    <cellStyle name="Плохой 19 2" xfId="4785"/>
    <cellStyle name="Плохой 2" xfId="1559"/>
    <cellStyle name="Плохой 2 10" xfId="4786"/>
    <cellStyle name="Плохой 2 10 2" xfId="4787"/>
    <cellStyle name="Плохой 2 11" xfId="4788"/>
    <cellStyle name="Плохой 2 11 2" xfId="4789"/>
    <cellStyle name="Плохой 2 12" xfId="4790"/>
    <cellStyle name="Плохой 2 12 2" xfId="4791"/>
    <cellStyle name="Плохой 2 13" xfId="4792"/>
    <cellStyle name="Плохой 2 13 2" xfId="4793"/>
    <cellStyle name="Плохой 2 14" xfId="4794"/>
    <cellStyle name="Плохой 2 14 2" xfId="4795"/>
    <cellStyle name="Плохой 2 15" xfId="4796"/>
    <cellStyle name="Плохой 2 15 2" xfId="4797"/>
    <cellStyle name="Плохой 2 16" xfId="4798"/>
    <cellStyle name="Плохой 2 16 2" xfId="4799"/>
    <cellStyle name="Плохой 2 17" xfId="4800"/>
    <cellStyle name="Плохой 2 17 2" xfId="4801"/>
    <cellStyle name="Плохой 2 18" xfId="4802"/>
    <cellStyle name="Плохой 2 18 2" xfId="4803"/>
    <cellStyle name="Плохой 2 2" xfId="4804"/>
    <cellStyle name="Плохой 2 2 2" xfId="4805"/>
    <cellStyle name="Плохой 2 3" xfId="4806"/>
    <cellStyle name="Плохой 2 4" xfId="4807"/>
    <cellStyle name="Плохой 2 4 2" xfId="4808"/>
    <cellStyle name="Плохой 2 5" xfId="4809"/>
    <cellStyle name="Плохой 2 5 2" xfId="4810"/>
    <cellStyle name="Плохой 2 6" xfId="4811"/>
    <cellStyle name="Плохой 2 6 2" xfId="4812"/>
    <cellStyle name="Плохой 2 7" xfId="4813"/>
    <cellStyle name="Плохой 2 7 2" xfId="4814"/>
    <cellStyle name="Плохой 2 8" xfId="4815"/>
    <cellStyle name="Плохой 2 8 2" xfId="4816"/>
    <cellStyle name="Плохой 2 9" xfId="4817"/>
    <cellStyle name="Плохой 2 9 2" xfId="4818"/>
    <cellStyle name="Плохой 20" xfId="4819"/>
    <cellStyle name="Плохой 20 2" xfId="4820"/>
    <cellStyle name="Плохой 21" xfId="4821"/>
    <cellStyle name="Плохой 21 2" xfId="4822"/>
    <cellStyle name="Плохой 3" xfId="4823"/>
    <cellStyle name="Плохой 3 2" xfId="4824"/>
    <cellStyle name="Плохой 4" xfId="4825"/>
    <cellStyle name="Плохой 4 2" xfId="4826"/>
    <cellStyle name="Плохой 5" xfId="4827"/>
    <cellStyle name="Плохой 5 2" xfId="4828"/>
    <cellStyle name="Плохой 6" xfId="4829"/>
    <cellStyle name="Плохой 6 2" xfId="4830"/>
    <cellStyle name="Плохой 7" xfId="4831"/>
    <cellStyle name="Плохой 7 2" xfId="4832"/>
    <cellStyle name="Плохой 8" xfId="4833"/>
    <cellStyle name="Плохой 8 2" xfId="4834"/>
    <cellStyle name="Плохой 9" xfId="4835"/>
    <cellStyle name="Плохой 9 2" xfId="4836"/>
    <cellStyle name="Пояснение 10" xfId="4837"/>
    <cellStyle name="Пояснение 10 2" xfId="4838"/>
    <cellStyle name="Пояснение 11" xfId="4839"/>
    <cellStyle name="Пояснение 11 2" xfId="4840"/>
    <cellStyle name="Пояснение 12" xfId="4841"/>
    <cellStyle name="Пояснение 12 2" xfId="4842"/>
    <cellStyle name="Пояснение 13" xfId="4843"/>
    <cellStyle name="Пояснение 13 2" xfId="4844"/>
    <cellStyle name="Пояснение 14" xfId="4845"/>
    <cellStyle name="Пояснение 14 2" xfId="4846"/>
    <cellStyle name="Пояснение 15" xfId="4847"/>
    <cellStyle name="Пояснение 15 2" xfId="4848"/>
    <cellStyle name="Пояснение 16" xfId="4849"/>
    <cellStyle name="Пояснение 16 2" xfId="4850"/>
    <cellStyle name="Пояснение 17" xfId="4851"/>
    <cellStyle name="Пояснение 17 2" xfId="4852"/>
    <cellStyle name="Пояснение 18" xfId="4853"/>
    <cellStyle name="Пояснение 18 2" xfId="4854"/>
    <cellStyle name="Пояснение 19" xfId="4855"/>
    <cellStyle name="Пояснение 19 2" xfId="4856"/>
    <cellStyle name="Пояснение 2" xfId="1560"/>
    <cellStyle name="Пояснение 2 10" xfId="4857"/>
    <cellStyle name="Пояснение 2 10 2" xfId="4858"/>
    <cellStyle name="Пояснение 2 11" xfId="4859"/>
    <cellStyle name="Пояснение 2 11 2" xfId="4860"/>
    <cellStyle name="Пояснение 2 12" xfId="4861"/>
    <cellStyle name="Пояснение 2 12 2" xfId="4862"/>
    <cellStyle name="Пояснение 2 13" xfId="4863"/>
    <cellStyle name="Пояснение 2 13 2" xfId="4864"/>
    <cellStyle name="Пояснение 2 14" xfId="4865"/>
    <cellStyle name="Пояснение 2 14 2" xfId="4866"/>
    <cellStyle name="Пояснение 2 15" xfId="4867"/>
    <cellStyle name="Пояснение 2 15 2" xfId="4868"/>
    <cellStyle name="Пояснение 2 16" xfId="4869"/>
    <cellStyle name="Пояснение 2 16 2" xfId="4870"/>
    <cellStyle name="Пояснение 2 17" xfId="4871"/>
    <cellStyle name="Пояснение 2 17 2" xfId="4872"/>
    <cellStyle name="Пояснение 2 18" xfId="4873"/>
    <cellStyle name="Пояснение 2 18 2" xfId="4874"/>
    <cellStyle name="Пояснение 2 2" xfId="4875"/>
    <cellStyle name="Пояснение 2 2 2" xfId="4876"/>
    <cellStyle name="Пояснение 2 3" xfId="4877"/>
    <cellStyle name="Пояснение 2 4" xfId="4878"/>
    <cellStyle name="Пояснение 2 4 2" xfId="4879"/>
    <cellStyle name="Пояснение 2 5" xfId="4880"/>
    <cellStyle name="Пояснение 2 5 2" xfId="4881"/>
    <cellStyle name="Пояснение 2 6" xfId="4882"/>
    <cellStyle name="Пояснение 2 6 2" xfId="4883"/>
    <cellStyle name="Пояснение 2 7" xfId="4884"/>
    <cellStyle name="Пояснение 2 7 2" xfId="4885"/>
    <cellStyle name="Пояснение 2 8" xfId="4886"/>
    <cellStyle name="Пояснение 2 8 2" xfId="4887"/>
    <cellStyle name="Пояснение 2 9" xfId="4888"/>
    <cellStyle name="Пояснение 2 9 2" xfId="4889"/>
    <cellStyle name="Пояснение 20" xfId="4890"/>
    <cellStyle name="Пояснение 20 2" xfId="4891"/>
    <cellStyle name="Пояснение 21" xfId="4892"/>
    <cellStyle name="Пояснение 21 2" xfId="4893"/>
    <cellStyle name="Пояснение 22" xfId="5195"/>
    <cellStyle name="Пояснение 3" xfId="4894"/>
    <cellStyle name="Пояснение 3 2" xfId="4895"/>
    <cellStyle name="Пояснение 4" xfId="4896"/>
    <cellStyle name="Пояснение 4 2" xfId="4897"/>
    <cellStyle name="Пояснение 5" xfId="4898"/>
    <cellStyle name="Пояснение 5 2" xfId="4899"/>
    <cellStyle name="Пояснение 6" xfId="4900"/>
    <cellStyle name="Пояснение 6 2" xfId="4901"/>
    <cellStyle name="Пояснение 7" xfId="4902"/>
    <cellStyle name="Пояснение 7 2" xfId="4903"/>
    <cellStyle name="Пояснение 8" xfId="4904"/>
    <cellStyle name="Пояснение 8 2" xfId="4905"/>
    <cellStyle name="Пояснение 9" xfId="4906"/>
    <cellStyle name="Пояснение 9 2" xfId="4907"/>
    <cellStyle name="Примечание 10" xfId="4908"/>
    <cellStyle name="Примечание 10 2" xfId="4909"/>
    <cellStyle name="Примечание 10 2 2" xfId="6237"/>
    <cellStyle name="Примечание 10 2 2 2" xfId="12208"/>
    <cellStyle name="Примечание 10 2 2 3" xfId="10479"/>
    <cellStyle name="Примечание 10 2 2 4" xfId="9742"/>
    <cellStyle name="Примечание 10 2 3" xfId="7244"/>
    <cellStyle name="Примечание 10 2 3 2" xfId="12973"/>
    <cellStyle name="Примечание 10 2 3 3" xfId="9947"/>
    <cellStyle name="Примечание 10 2 3 4" xfId="11255"/>
    <cellStyle name="Примечание 10 2 4" xfId="11563"/>
    <cellStyle name="Примечание 10 2 5" xfId="13269"/>
    <cellStyle name="Примечание 10 2 6" xfId="9872"/>
    <cellStyle name="Примечание 10 3" xfId="6236"/>
    <cellStyle name="Примечание 10 3 2" xfId="12207"/>
    <cellStyle name="Примечание 10 3 3" xfId="10480"/>
    <cellStyle name="Примечание 10 3 4" xfId="9741"/>
    <cellStyle name="Примечание 10 4" xfId="7243"/>
    <cellStyle name="Примечание 10 4 2" xfId="12972"/>
    <cellStyle name="Примечание 10 4 3" xfId="9948"/>
    <cellStyle name="Примечание 10 4 4" xfId="11254"/>
    <cellStyle name="Примечание 10 5" xfId="11562"/>
    <cellStyle name="Примечание 10 6" xfId="13357"/>
    <cellStyle name="Примечание 10 7" xfId="13544"/>
    <cellStyle name="Примечание 11" xfId="4910"/>
    <cellStyle name="Примечание 11 2" xfId="4911"/>
    <cellStyle name="Примечание 11 2 2" xfId="6239"/>
    <cellStyle name="Примечание 11 2 2 2" xfId="12210"/>
    <cellStyle name="Примечание 11 2 2 3" xfId="10477"/>
    <cellStyle name="Примечание 11 2 2 4" xfId="9743"/>
    <cellStyle name="Примечание 11 2 3" xfId="7246"/>
    <cellStyle name="Примечание 11 2 3 2" xfId="12975"/>
    <cellStyle name="Примечание 11 2 3 3" xfId="9945"/>
    <cellStyle name="Примечание 11 2 3 4" xfId="11257"/>
    <cellStyle name="Примечание 11 2 4" xfId="11565"/>
    <cellStyle name="Примечание 11 2 5" xfId="11988"/>
    <cellStyle name="Примечание 11 2 6" xfId="9393"/>
    <cellStyle name="Примечание 11 3" xfId="6238"/>
    <cellStyle name="Примечание 11 3 2" xfId="12209"/>
    <cellStyle name="Примечание 11 3 3" xfId="10478"/>
    <cellStyle name="Примечание 11 3 4" xfId="12566"/>
    <cellStyle name="Примечание 11 4" xfId="7245"/>
    <cellStyle name="Примечание 11 4 2" xfId="12974"/>
    <cellStyle name="Примечание 11 4 3" xfId="9946"/>
    <cellStyle name="Примечание 11 4 4" xfId="11256"/>
    <cellStyle name="Примечание 11 5" xfId="11564"/>
    <cellStyle name="Примечание 11 6" xfId="11887"/>
    <cellStyle name="Примечание 11 7" xfId="11997"/>
    <cellStyle name="Примечание 12" xfId="4912"/>
    <cellStyle name="Примечание 12 2" xfId="4913"/>
    <cellStyle name="Примечание 12 2 2" xfId="6241"/>
    <cellStyle name="Примечание 12 2 2 2" xfId="12212"/>
    <cellStyle name="Примечание 12 2 2 3" xfId="10475"/>
    <cellStyle name="Примечание 12 2 2 4" xfId="12565"/>
    <cellStyle name="Примечание 12 2 3" xfId="7248"/>
    <cellStyle name="Примечание 12 2 3 2" xfId="12977"/>
    <cellStyle name="Примечание 12 2 3 3" xfId="9943"/>
    <cellStyle name="Примечание 12 2 3 4" xfId="9864"/>
    <cellStyle name="Примечание 12 2 4" xfId="11567"/>
    <cellStyle name="Примечание 12 2 5" xfId="11885"/>
    <cellStyle name="Примечание 12 2 6" xfId="13642"/>
    <cellStyle name="Примечание 12 3" xfId="6240"/>
    <cellStyle name="Примечание 12 3 2" xfId="12211"/>
    <cellStyle name="Примечание 12 3 3" xfId="10476"/>
    <cellStyle name="Примечание 12 3 4" xfId="9744"/>
    <cellStyle name="Примечание 12 4" xfId="7247"/>
    <cellStyle name="Примечание 12 4 2" xfId="12976"/>
    <cellStyle name="Примечание 12 4 3" xfId="9944"/>
    <cellStyle name="Примечание 12 4 4" xfId="11258"/>
    <cellStyle name="Примечание 12 5" xfId="11566"/>
    <cellStyle name="Примечание 12 6" xfId="11886"/>
    <cellStyle name="Примечание 12 7" xfId="13586"/>
    <cellStyle name="Примечание 13" xfId="4914"/>
    <cellStyle name="Примечание 13 2" xfId="4915"/>
    <cellStyle name="Примечание 13 2 2" xfId="6243"/>
    <cellStyle name="Примечание 13 2 2 2" xfId="12214"/>
    <cellStyle name="Примечание 13 2 2 3" xfId="10473"/>
    <cellStyle name="Примечание 13 2 2 4" xfId="13517"/>
    <cellStyle name="Примечание 13 2 3" xfId="7250"/>
    <cellStyle name="Примечание 13 2 3 2" xfId="12979"/>
    <cellStyle name="Примечание 13 2 3 3" xfId="9941"/>
    <cellStyle name="Примечание 13 2 3 4" xfId="11260"/>
    <cellStyle name="Примечание 13 2 4" xfId="11569"/>
    <cellStyle name="Примечание 13 2 5" xfId="11883"/>
    <cellStyle name="Примечание 13 2 6" xfId="13623"/>
    <cellStyle name="Примечание 13 3" xfId="6242"/>
    <cellStyle name="Примечание 13 3 2" xfId="12213"/>
    <cellStyle name="Примечание 13 3 3" xfId="10474"/>
    <cellStyle name="Примечание 13 3 4" xfId="13489"/>
    <cellStyle name="Примечание 13 4" xfId="7249"/>
    <cellStyle name="Примечание 13 4 2" xfId="12978"/>
    <cellStyle name="Примечание 13 4 3" xfId="9942"/>
    <cellStyle name="Примечание 13 4 4" xfId="11259"/>
    <cellStyle name="Примечание 13 5" xfId="11568"/>
    <cellStyle name="Примечание 13 6" xfId="11884"/>
    <cellStyle name="Примечание 13 7" xfId="13567"/>
    <cellStyle name="Примечание 14" xfId="4916"/>
    <cellStyle name="Примечание 14 2" xfId="4917"/>
    <cellStyle name="Примечание 14 2 2" xfId="6245"/>
    <cellStyle name="Примечание 14 2 2 2" xfId="12216"/>
    <cellStyle name="Примечание 14 2 2 3" xfId="10471"/>
    <cellStyle name="Примечание 14 2 2 4" xfId="9746"/>
    <cellStyle name="Примечание 14 2 3" xfId="7252"/>
    <cellStyle name="Примечание 14 2 3 2" xfId="12981"/>
    <cellStyle name="Примечание 14 2 3 3" xfId="9939"/>
    <cellStyle name="Примечание 14 2 3 4" xfId="11262"/>
    <cellStyle name="Примечание 14 2 4" xfId="11571"/>
    <cellStyle name="Примечание 14 2 5" xfId="11881"/>
    <cellStyle name="Примечание 14 2 6" xfId="13605"/>
    <cellStyle name="Примечание 14 3" xfId="6244"/>
    <cellStyle name="Примечание 14 3 2" xfId="12215"/>
    <cellStyle name="Примечание 14 3 3" xfId="10472"/>
    <cellStyle name="Примечание 14 3 4" xfId="9745"/>
    <cellStyle name="Примечание 14 4" xfId="7251"/>
    <cellStyle name="Примечание 14 4 2" xfId="12980"/>
    <cellStyle name="Примечание 14 4 3" xfId="9940"/>
    <cellStyle name="Примечание 14 4 4" xfId="11261"/>
    <cellStyle name="Примечание 14 5" xfId="11570"/>
    <cellStyle name="Примечание 14 6" xfId="11882"/>
    <cellStyle name="Примечание 14 7" xfId="13548"/>
    <cellStyle name="Примечание 15" xfId="4918"/>
    <cellStyle name="Примечание 15 2" xfId="4919"/>
    <cellStyle name="Примечание 15 2 2" xfId="6247"/>
    <cellStyle name="Примечание 15 2 2 2" xfId="12218"/>
    <cellStyle name="Примечание 15 2 2 3" xfId="10469"/>
    <cellStyle name="Примечание 15 2 2 4" xfId="11364"/>
    <cellStyle name="Примечание 15 2 3" xfId="7254"/>
    <cellStyle name="Примечание 15 2 3 2" xfId="12983"/>
    <cellStyle name="Примечание 15 2 3 3" xfId="9937"/>
    <cellStyle name="Примечание 15 2 3 4" xfId="11264"/>
    <cellStyle name="Примечание 15 2 4" xfId="11573"/>
    <cellStyle name="Примечание 15 2 5" xfId="11879"/>
    <cellStyle name="Примечание 15 2 6" xfId="13595"/>
    <cellStyle name="Примечание 15 3" xfId="6246"/>
    <cellStyle name="Примечание 15 3 2" xfId="12217"/>
    <cellStyle name="Примечание 15 3 3" xfId="10470"/>
    <cellStyle name="Примечание 15 3 4" xfId="12568"/>
    <cellStyle name="Примечание 15 4" xfId="7253"/>
    <cellStyle name="Примечание 15 4 2" xfId="12982"/>
    <cellStyle name="Примечание 15 4 3" xfId="9938"/>
    <cellStyle name="Примечание 15 4 4" xfId="11263"/>
    <cellStyle name="Примечание 15 5" xfId="11572"/>
    <cellStyle name="Примечание 15 6" xfId="11880"/>
    <cellStyle name="Примечание 15 7" xfId="13530"/>
    <cellStyle name="Примечание 16" xfId="4920"/>
    <cellStyle name="Примечание 16 2" xfId="4921"/>
    <cellStyle name="Примечание 16 2 2" xfId="6249"/>
    <cellStyle name="Примечание 16 2 2 2" xfId="12220"/>
    <cellStyle name="Примечание 16 2 2 3" xfId="10467"/>
    <cellStyle name="Примечание 16 2 2 4" xfId="12598"/>
    <cellStyle name="Примечание 16 2 3" xfId="7256"/>
    <cellStyle name="Примечание 16 2 3 2" xfId="12985"/>
    <cellStyle name="Примечание 16 2 3 3" xfId="9844"/>
    <cellStyle name="Примечание 16 2 3 4" xfId="11266"/>
    <cellStyle name="Примечание 16 2 4" xfId="11575"/>
    <cellStyle name="Примечание 16 2 5" xfId="11877"/>
    <cellStyle name="Примечание 16 2 6" xfId="13577"/>
    <cellStyle name="Примечание 16 3" xfId="6248"/>
    <cellStyle name="Примечание 16 3 2" xfId="12219"/>
    <cellStyle name="Примечание 16 3 3" xfId="10468"/>
    <cellStyle name="Примечание 16 3 4" xfId="12569"/>
    <cellStyle name="Примечание 16 4" xfId="7255"/>
    <cellStyle name="Примечание 16 4 2" xfId="12984"/>
    <cellStyle name="Примечание 16 4 3" xfId="9936"/>
    <cellStyle name="Примечание 16 4 4" xfId="11265"/>
    <cellStyle name="Примечание 16 5" xfId="11574"/>
    <cellStyle name="Примечание 16 6" xfId="11878"/>
    <cellStyle name="Примечание 16 7" xfId="13651"/>
    <cellStyle name="Примечание 17" xfId="4922"/>
    <cellStyle name="Примечание 17 2" xfId="4923"/>
    <cellStyle name="Примечание 17 2 2" xfId="6251"/>
    <cellStyle name="Примечание 17 2 2 2" xfId="12222"/>
    <cellStyle name="Примечание 17 2 2 3" xfId="10465"/>
    <cellStyle name="Примечание 17 2 2 4" xfId="9747"/>
    <cellStyle name="Примечание 17 2 3" xfId="7258"/>
    <cellStyle name="Примечание 17 2 3 2" xfId="12987"/>
    <cellStyle name="Примечание 17 2 3 3" xfId="9934"/>
    <cellStyle name="Примечание 17 2 3 4" xfId="11268"/>
    <cellStyle name="Примечание 17 2 4" xfId="11577"/>
    <cellStyle name="Примечание 17 2 5" xfId="13247"/>
    <cellStyle name="Примечание 17 2 6" xfId="13558"/>
    <cellStyle name="Примечание 17 3" xfId="6250"/>
    <cellStyle name="Примечание 17 3 2" xfId="12221"/>
    <cellStyle name="Примечание 17 3 3" xfId="10466"/>
    <cellStyle name="Примечание 17 3 4" xfId="12567"/>
    <cellStyle name="Примечание 17 4" xfId="7257"/>
    <cellStyle name="Примечание 17 4 2" xfId="12986"/>
    <cellStyle name="Примечание 17 4 3" xfId="9935"/>
    <cellStyle name="Примечание 17 4 4" xfId="11267"/>
    <cellStyle name="Примечание 17 5" xfId="11576"/>
    <cellStyle name="Примечание 17 6" xfId="11876"/>
    <cellStyle name="Примечание 17 7" xfId="13633"/>
    <cellStyle name="Примечание 18" xfId="4924"/>
    <cellStyle name="Примечание 18 2" xfId="4925"/>
    <cellStyle name="Примечание 18 2 2" xfId="6253"/>
    <cellStyle name="Примечание 18 2 2 2" xfId="12224"/>
    <cellStyle name="Примечание 18 2 2 3" xfId="10463"/>
    <cellStyle name="Примечание 18 2 2 4" xfId="12570"/>
    <cellStyle name="Примечание 18 2 3" xfId="7260"/>
    <cellStyle name="Примечание 18 2 3 2" xfId="12989"/>
    <cellStyle name="Примечание 18 2 3 3" xfId="9932"/>
    <cellStyle name="Примечание 18 2 3 4" xfId="11270"/>
    <cellStyle name="Примечание 18 2 4" xfId="11579"/>
    <cellStyle name="Примечание 18 2 5" xfId="11874"/>
    <cellStyle name="Примечание 18 2 6" xfId="13538"/>
    <cellStyle name="Примечание 18 3" xfId="6252"/>
    <cellStyle name="Примечание 18 3 2" xfId="12223"/>
    <cellStyle name="Примечание 18 3 3" xfId="10464"/>
    <cellStyle name="Примечание 18 3 4" xfId="12571"/>
    <cellStyle name="Примечание 18 4" xfId="7259"/>
    <cellStyle name="Примечание 18 4 2" xfId="12988"/>
    <cellStyle name="Примечание 18 4 3" xfId="9933"/>
    <cellStyle name="Примечание 18 4 4" xfId="11269"/>
    <cellStyle name="Примечание 18 5" xfId="11578"/>
    <cellStyle name="Примечание 18 6" xfId="11875"/>
    <cellStyle name="Примечание 18 7" xfId="13614"/>
    <cellStyle name="Примечание 19" xfId="4926"/>
    <cellStyle name="Примечание 19 2" xfId="4927"/>
    <cellStyle name="Примечание 19 2 2" xfId="6255"/>
    <cellStyle name="Примечание 19 2 2 2" xfId="12226"/>
    <cellStyle name="Примечание 19 2 2 3" xfId="10461"/>
    <cellStyle name="Примечание 19 2 2 4" xfId="12572"/>
    <cellStyle name="Примечание 19 2 3" xfId="7262"/>
    <cellStyle name="Примечание 19 2 3 2" xfId="12991"/>
    <cellStyle name="Примечание 19 2 3 3" xfId="9930"/>
    <cellStyle name="Примечание 19 2 3 4" xfId="11272"/>
    <cellStyle name="Примечание 19 2 4" xfId="11581"/>
    <cellStyle name="Примечание 19 2 5" xfId="11873"/>
    <cellStyle name="Примечание 19 2 6" xfId="13590"/>
    <cellStyle name="Примечание 19 3" xfId="6254"/>
    <cellStyle name="Примечание 19 3 2" xfId="12225"/>
    <cellStyle name="Примечание 19 3 3" xfId="10462"/>
    <cellStyle name="Примечание 19 3 4" xfId="9748"/>
    <cellStyle name="Примечание 19 4" xfId="7261"/>
    <cellStyle name="Примечание 19 4 2" xfId="12990"/>
    <cellStyle name="Примечание 19 4 3" xfId="9931"/>
    <cellStyle name="Примечание 19 4 4" xfId="11271"/>
    <cellStyle name="Примечание 19 5" xfId="11580"/>
    <cellStyle name="Примечание 19 6" xfId="13246"/>
    <cellStyle name="Примечание 19 7" xfId="9878"/>
    <cellStyle name="Примечание 2" xfId="1561"/>
    <cellStyle name="Примечание 2 10" xfId="4928"/>
    <cellStyle name="Примечание 2 10 2" xfId="4929"/>
    <cellStyle name="Примечание 2 10 2 2" xfId="6257"/>
    <cellStyle name="Примечание 2 10 2 2 2" xfId="12228"/>
    <cellStyle name="Примечание 2 10 2 2 3" xfId="10459"/>
    <cellStyle name="Примечание 2 10 2 2 4" xfId="12574"/>
    <cellStyle name="Примечание 2 10 2 3" xfId="7264"/>
    <cellStyle name="Примечание 2 10 2 3 2" xfId="12993"/>
    <cellStyle name="Примечание 2 10 2 3 3" xfId="9928"/>
    <cellStyle name="Примечание 2 10 2 3 4" xfId="11274"/>
    <cellStyle name="Примечание 2 10 2 4" xfId="11583"/>
    <cellStyle name="Примечание 2 10 2 5" xfId="9676"/>
    <cellStyle name="Примечание 2 10 2 6" xfId="13572"/>
    <cellStyle name="Примечание 2 10 3" xfId="6256"/>
    <cellStyle name="Примечание 2 10 3 2" xfId="12227"/>
    <cellStyle name="Примечание 2 10 3 3" xfId="10460"/>
    <cellStyle name="Примечание 2 10 3 4" xfId="9749"/>
    <cellStyle name="Примечание 2 10 4" xfId="7263"/>
    <cellStyle name="Примечание 2 10 4 2" xfId="12992"/>
    <cellStyle name="Примечание 2 10 4 3" xfId="9929"/>
    <cellStyle name="Примечание 2 10 4 4" xfId="11273"/>
    <cellStyle name="Примечание 2 10 5" xfId="11582"/>
    <cellStyle name="Примечание 2 10 6" xfId="9677"/>
    <cellStyle name="Примечание 2 10 7" xfId="13646"/>
    <cellStyle name="Примечание 2 11" xfId="4930"/>
    <cellStyle name="Примечание 2 11 2" xfId="4931"/>
    <cellStyle name="Примечание 2 11 2 2" xfId="6259"/>
    <cellStyle name="Примечание 2 11 2 2 2" xfId="12230"/>
    <cellStyle name="Примечание 2 11 2 2 3" xfId="10457"/>
    <cellStyle name="Примечание 2 11 2 2 4" xfId="9750"/>
    <cellStyle name="Примечание 2 11 2 3" xfId="7266"/>
    <cellStyle name="Примечание 2 11 2 3 2" xfId="12995"/>
    <cellStyle name="Примечание 2 11 2 3 3" xfId="9926"/>
    <cellStyle name="Примечание 2 11 2 3 4" xfId="11276"/>
    <cellStyle name="Примечание 2 11 2 4" xfId="11585"/>
    <cellStyle name="Примечание 2 11 2 5" xfId="9674"/>
    <cellStyle name="Примечание 2 11 2 6" xfId="13554"/>
    <cellStyle name="Примечание 2 11 3" xfId="6258"/>
    <cellStyle name="Примечание 2 11 3 2" xfId="12229"/>
    <cellStyle name="Примечание 2 11 3 3" xfId="10458"/>
    <cellStyle name="Примечание 2 11 3 4" xfId="12573"/>
    <cellStyle name="Примечание 2 11 4" xfId="7265"/>
    <cellStyle name="Примечание 2 11 4 2" xfId="12994"/>
    <cellStyle name="Примечание 2 11 4 3" xfId="9927"/>
    <cellStyle name="Примечание 2 11 4 4" xfId="11275"/>
    <cellStyle name="Примечание 2 11 5" xfId="11584"/>
    <cellStyle name="Примечание 2 11 6" xfId="9675"/>
    <cellStyle name="Примечание 2 11 7" xfId="13629"/>
    <cellStyle name="Примечание 2 12" xfId="4932"/>
    <cellStyle name="Примечание 2 12 2" xfId="4933"/>
    <cellStyle name="Примечание 2 12 2 2" xfId="6261"/>
    <cellStyle name="Примечание 2 12 2 2 2" xfId="12232"/>
    <cellStyle name="Примечание 2 12 2 2 3" xfId="10455"/>
    <cellStyle name="Примечание 2 12 2 2 4" xfId="9751"/>
    <cellStyle name="Примечание 2 12 2 3" xfId="7268"/>
    <cellStyle name="Примечание 2 12 2 3 2" xfId="12997"/>
    <cellStyle name="Примечание 2 12 2 3 3" xfId="9924"/>
    <cellStyle name="Примечание 2 12 2 3 4" xfId="12682"/>
    <cellStyle name="Примечание 2 12 2 4" xfId="11587"/>
    <cellStyle name="Примечание 2 12 2 5" xfId="9672"/>
    <cellStyle name="Примечание 2 12 2 6" xfId="13534"/>
    <cellStyle name="Примечание 2 12 3" xfId="6260"/>
    <cellStyle name="Примечание 2 12 3 2" xfId="12231"/>
    <cellStyle name="Примечание 2 12 3 3" xfId="10456"/>
    <cellStyle name="Примечание 2 12 3 4" xfId="12575"/>
    <cellStyle name="Примечание 2 12 4" xfId="7267"/>
    <cellStyle name="Примечание 2 12 4 2" xfId="12996"/>
    <cellStyle name="Примечание 2 12 4 3" xfId="9925"/>
    <cellStyle name="Примечание 2 12 4 4" xfId="11277"/>
    <cellStyle name="Примечание 2 12 5" xfId="11586"/>
    <cellStyle name="Примечание 2 12 6" xfId="9673"/>
    <cellStyle name="Примечание 2 12 7" xfId="13610"/>
    <cellStyle name="Примечание 2 13" xfId="4934"/>
    <cellStyle name="Примечание 2 13 2" xfId="4935"/>
    <cellStyle name="Примечание 2 13 2 2" xfId="6263"/>
    <cellStyle name="Примечание 2 13 2 2 2" xfId="12234"/>
    <cellStyle name="Примечание 2 13 2 2 3" xfId="10453"/>
    <cellStyle name="Примечание 2 13 2 2 4" xfId="12576"/>
    <cellStyle name="Примечание 2 13 2 3" xfId="7270"/>
    <cellStyle name="Примечание 2 13 2 3 2" xfId="12999"/>
    <cellStyle name="Примечание 2 13 2 3 3" xfId="9922"/>
    <cellStyle name="Примечание 2 13 2 3 4" xfId="11279"/>
    <cellStyle name="Примечание 2 13 2 4" xfId="11589"/>
    <cellStyle name="Примечание 2 13 2 5" xfId="12523"/>
    <cellStyle name="Примечание 2 13 2 6" xfId="13655"/>
    <cellStyle name="Примечание 2 13 3" xfId="6262"/>
    <cellStyle name="Примечание 2 13 3 2" xfId="12233"/>
    <cellStyle name="Примечание 2 13 3 3" xfId="10454"/>
    <cellStyle name="Примечание 2 13 3 4" xfId="12577"/>
    <cellStyle name="Примечание 2 13 4" xfId="7269"/>
    <cellStyle name="Примечание 2 13 4 2" xfId="12998"/>
    <cellStyle name="Примечание 2 13 4 3" xfId="9923"/>
    <cellStyle name="Примечание 2 13 4 4" xfId="11278"/>
    <cellStyle name="Примечание 2 13 5" xfId="11588"/>
    <cellStyle name="Примечание 2 13 6" xfId="9671"/>
    <cellStyle name="Примечание 2 13 7" xfId="13599"/>
    <cellStyle name="Примечание 2 14" xfId="4936"/>
    <cellStyle name="Примечание 2 14 2" xfId="4937"/>
    <cellStyle name="Примечание 2 14 2 2" xfId="6265"/>
    <cellStyle name="Примечание 2 14 2 2 2" xfId="12236"/>
    <cellStyle name="Примечание 2 14 2 2 3" xfId="10451"/>
    <cellStyle name="Примечание 2 14 2 2 4" xfId="12579"/>
    <cellStyle name="Примечание 2 14 2 3" xfId="7272"/>
    <cellStyle name="Примечание 2 14 2 3 2" xfId="13001"/>
    <cellStyle name="Примечание 2 14 2 3 3" xfId="9920"/>
    <cellStyle name="Примечание 2 14 2 3 4" xfId="11281"/>
    <cellStyle name="Примечание 2 14 2 4" xfId="11591"/>
    <cellStyle name="Примечание 2 14 2 5" xfId="9669"/>
    <cellStyle name="Примечание 2 14 2 6" xfId="13637"/>
    <cellStyle name="Примечание 2 14 3" xfId="6264"/>
    <cellStyle name="Примечание 2 14 3 2" xfId="12235"/>
    <cellStyle name="Примечание 2 14 3 3" xfId="10452"/>
    <cellStyle name="Примечание 2 14 3 4" xfId="9737"/>
    <cellStyle name="Примечание 2 14 4" xfId="7271"/>
    <cellStyle name="Примечание 2 14 4 2" xfId="13000"/>
    <cellStyle name="Примечание 2 14 4 3" xfId="9921"/>
    <cellStyle name="Примечание 2 14 4 4" xfId="11280"/>
    <cellStyle name="Примечание 2 14 5" xfId="11590"/>
    <cellStyle name="Примечание 2 14 6" xfId="9670"/>
    <cellStyle name="Примечание 2 14 7" xfId="13581"/>
    <cellStyle name="Примечание 2 15" xfId="4938"/>
    <cellStyle name="Примечание 2 15 2" xfId="4939"/>
    <cellStyle name="Примечание 2 15 2 2" xfId="6267"/>
    <cellStyle name="Примечание 2 15 2 2 2" xfId="12238"/>
    <cellStyle name="Примечание 2 15 2 2 3" xfId="10449"/>
    <cellStyle name="Примечание 2 15 2 2 4" xfId="9752"/>
    <cellStyle name="Примечание 2 15 2 3" xfId="7274"/>
    <cellStyle name="Примечание 2 15 2 3 2" xfId="13003"/>
    <cellStyle name="Примечание 2 15 2 3 3" xfId="9918"/>
    <cellStyle name="Примечание 2 15 2 3 4" xfId="11283"/>
    <cellStyle name="Примечание 2 15 2 4" xfId="11593"/>
    <cellStyle name="Примечание 2 15 2 5" xfId="9667"/>
    <cellStyle name="Примечание 2 15 2 6" xfId="13618"/>
    <cellStyle name="Примечание 2 15 3" xfId="6266"/>
    <cellStyle name="Примечание 2 15 3 2" xfId="12237"/>
    <cellStyle name="Примечание 2 15 3 3" xfId="10450"/>
    <cellStyle name="Примечание 2 15 3 4" xfId="12578"/>
    <cellStyle name="Примечание 2 15 4" xfId="7273"/>
    <cellStyle name="Примечание 2 15 4 2" xfId="13002"/>
    <cellStyle name="Примечание 2 15 4 3" xfId="9919"/>
    <cellStyle name="Примечание 2 15 4 4" xfId="11282"/>
    <cellStyle name="Примечание 2 15 5" xfId="11592"/>
    <cellStyle name="Примечание 2 15 6" xfId="9668"/>
    <cellStyle name="Примечание 2 15 7" xfId="13562"/>
    <cellStyle name="Примечание 2 16" xfId="4940"/>
    <cellStyle name="Примечание 2 16 2" xfId="4941"/>
    <cellStyle name="Примечание 2 16 2 2" xfId="6269"/>
    <cellStyle name="Примечание 2 16 2 2 2" xfId="12240"/>
    <cellStyle name="Примечание 2 16 2 2 3" xfId="10447"/>
    <cellStyle name="Примечание 2 16 2 2 4" xfId="9754"/>
    <cellStyle name="Примечание 2 16 2 3" xfId="7276"/>
    <cellStyle name="Примечание 2 16 2 3 2" xfId="13005"/>
    <cellStyle name="Примечание 2 16 2 3 3" xfId="9916"/>
    <cellStyle name="Примечание 2 16 2 3 4" xfId="11285"/>
    <cellStyle name="Примечание 2 16 2 4" xfId="11595"/>
    <cellStyle name="Примечание 2 16 2 5" xfId="9665"/>
    <cellStyle name="Примечание 2 16 2 6" xfId="9874"/>
    <cellStyle name="Примечание 2 16 3" xfId="6268"/>
    <cellStyle name="Примечание 2 16 3 2" xfId="12239"/>
    <cellStyle name="Примечание 2 16 3 3" xfId="10448"/>
    <cellStyle name="Примечание 2 16 3 4" xfId="9753"/>
    <cellStyle name="Примечание 2 16 4" xfId="7275"/>
    <cellStyle name="Примечание 2 16 4 2" xfId="13004"/>
    <cellStyle name="Примечание 2 16 4 3" xfId="9917"/>
    <cellStyle name="Примечание 2 16 4 4" xfId="11284"/>
    <cellStyle name="Примечание 2 16 5" xfId="11594"/>
    <cellStyle name="Примечание 2 16 6" xfId="9666"/>
    <cellStyle name="Примечание 2 16 7" xfId="13542"/>
    <cellStyle name="Примечание 2 17" xfId="4942"/>
    <cellStyle name="Примечание 2 17 2" xfId="4943"/>
    <cellStyle name="Примечание 2 17 2 2" xfId="6271"/>
    <cellStyle name="Примечание 2 17 2 2 2" xfId="12242"/>
    <cellStyle name="Примечание 2 17 2 2 3" xfId="10445"/>
    <cellStyle name="Примечание 2 17 2 2 4" xfId="9756"/>
    <cellStyle name="Примечание 2 17 2 3" xfId="7278"/>
    <cellStyle name="Примечание 2 17 2 3 2" xfId="13007"/>
    <cellStyle name="Примечание 2 17 2 3 3" xfId="9914"/>
    <cellStyle name="Примечание 2 17 2 3 4" xfId="11287"/>
    <cellStyle name="Примечание 2 17 2 4" xfId="11597"/>
    <cellStyle name="Примечание 2 17 2 5" xfId="9663"/>
    <cellStyle name="Примечание 2 17 2 6" xfId="13589"/>
    <cellStyle name="Примечание 2 17 3" xfId="6270"/>
    <cellStyle name="Примечание 2 17 3 2" xfId="12241"/>
    <cellStyle name="Примечание 2 17 3 3" xfId="10446"/>
    <cellStyle name="Примечание 2 17 3 4" xfId="9755"/>
    <cellStyle name="Примечание 2 17 4" xfId="7277"/>
    <cellStyle name="Примечание 2 17 4 2" xfId="13006"/>
    <cellStyle name="Примечание 2 17 4 3" xfId="9915"/>
    <cellStyle name="Примечание 2 17 4 4" xfId="11286"/>
    <cellStyle name="Примечание 2 17 5" xfId="11596"/>
    <cellStyle name="Примечание 2 17 6" xfId="9664"/>
    <cellStyle name="Примечание 2 17 7" xfId="9390"/>
    <cellStyle name="Примечание 2 18" xfId="4944"/>
    <cellStyle name="Примечание 2 18 2" xfId="4945"/>
    <cellStyle name="Примечание 2 18 2 2" xfId="6273"/>
    <cellStyle name="Примечание 2 18 2 2 2" xfId="12244"/>
    <cellStyle name="Примечание 2 18 2 2 3" xfId="10443"/>
    <cellStyle name="Примечание 2 18 2 2 4" xfId="9758"/>
    <cellStyle name="Примечание 2 18 2 3" xfId="7280"/>
    <cellStyle name="Примечание 2 18 2 3 2" xfId="13009"/>
    <cellStyle name="Примечание 2 18 2 3 3" xfId="9912"/>
    <cellStyle name="Примечание 2 18 2 3 4" xfId="11289"/>
    <cellStyle name="Примечание 2 18 2 4" xfId="11599"/>
    <cellStyle name="Примечание 2 18 2 5" xfId="9661"/>
    <cellStyle name="Примечание 2 18 2 6" xfId="13571"/>
    <cellStyle name="Примечание 2 18 3" xfId="6272"/>
    <cellStyle name="Примечание 2 18 3 2" xfId="12243"/>
    <cellStyle name="Примечание 2 18 3 3" xfId="10444"/>
    <cellStyle name="Примечание 2 18 3 4" xfId="9757"/>
    <cellStyle name="Примечание 2 18 4" xfId="7279"/>
    <cellStyle name="Примечание 2 18 4 2" xfId="13008"/>
    <cellStyle name="Примечание 2 18 4 3" xfId="9913"/>
    <cellStyle name="Примечание 2 18 4 4" xfId="11288"/>
    <cellStyle name="Примечание 2 18 5" xfId="11598"/>
    <cellStyle name="Примечание 2 18 6" xfId="9662"/>
    <cellStyle name="Примечание 2 18 7" xfId="13645"/>
    <cellStyle name="Примечание 2 19" xfId="4946"/>
    <cellStyle name="Примечание 2 19 2" xfId="6274"/>
    <cellStyle name="Примечание 2 19 2 2" xfId="12245"/>
    <cellStyle name="Примечание 2 19 2 3" xfId="10442"/>
    <cellStyle name="Примечание 2 19 2 4" xfId="9759"/>
    <cellStyle name="Примечание 2 19 3" xfId="7281"/>
    <cellStyle name="Примечание 2 19 3 2" xfId="13010"/>
    <cellStyle name="Примечание 2 19 3 3" xfId="9911"/>
    <cellStyle name="Примечание 2 19 3 4" xfId="11290"/>
    <cellStyle name="Примечание 2 19 4" xfId="11600"/>
    <cellStyle name="Примечание 2 19 5" xfId="9660"/>
    <cellStyle name="Примечание 2 19 6" xfId="13628"/>
    <cellStyle name="Примечание 2 2" xfId="4947"/>
    <cellStyle name="Примечание 2 2 2" xfId="4948"/>
    <cellStyle name="Примечание 2 2 2 2" xfId="6276"/>
    <cellStyle name="Примечание 2 2 2 2 2" xfId="12247"/>
    <cellStyle name="Примечание 2 2 2 2 3" xfId="10440"/>
    <cellStyle name="Примечание 2 2 2 2 4" xfId="9761"/>
    <cellStyle name="Примечание 2 2 2 3" xfId="7282"/>
    <cellStyle name="Примечание 2 2 2 3 2" xfId="13011"/>
    <cellStyle name="Примечание 2 2 2 3 3" xfId="9910"/>
    <cellStyle name="Примечание 2 2 2 3 4" xfId="11291"/>
    <cellStyle name="Примечание 2 2 2 4" xfId="11602"/>
    <cellStyle name="Примечание 2 2 2 5" xfId="9658"/>
    <cellStyle name="Примечание 2 2 2 6" xfId="13609"/>
    <cellStyle name="Примечание 2 2 3" xfId="6275"/>
    <cellStyle name="Примечание 2 2 3 2" xfId="12246"/>
    <cellStyle name="Примечание 2 2 3 3" xfId="10441"/>
    <cellStyle name="Примечание 2 2 3 4" xfId="9760"/>
    <cellStyle name="Примечание 2 2 4" xfId="6958"/>
    <cellStyle name="Примечание 2 2 4 2" xfId="12688"/>
    <cellStyle name="Примечание 2 2 4 3" xfId="10226"/>
    <cellStyle name="Примечание 2 2 4 4" xfId="11821"/>
    <cellStyle name="Примечание 2 2 5" xfId="11601"/>
    <cellStyle name="Примечание 2 2 6" xfId="9659"/>
    <cellStyle name="Примечание 2 2 7" xfId="13552"/>
    <cellStyle name="Примечание 2 20" xfId="6092"/>
    <cellStyle name="Примечание 2 20 2" xfId="12063"/>
    <cellStyle name="Примечание 2 20 3" xfId="10622"/>
    <cellStyle name="Примечание 2 20 4" xfId="11430"/>
    <cellStyle name="Примечание 2 21" xfId="6957"/>
    <cellStyle name="Примечание 2 21 2" xfId="12687"/>
    <cellStyle name="Примечание 2 21 3" xfId="10227"/>
    <cellStyle name="Примечание 2 21 4" xfId="11965"/>
    <cellStyle name="Примечание 2 22" xfId="9867"/>
    <cellStyle name="Примечание 2 23" xfId="11343"/>
    <cellStyle name="Примечание 2 24" xfId="13393"/>
    <cellStyle name="Примечание 2 3" xfId="4949"/>
    <cellStyle name="Примечание 2 3 2" xfId="4950"/>
    <cellStyle name="Примечание 2 3 2 2" xfId="6278"/>
    <cellStyle name="Примечание 2 3 2 2 2" xfId="12249"/>
    <cellStyle name="Примечание 2 3 2 2 3" xfId="10438"/>
    <cellStyle name="Примечание 2 3 2 2 4" xfId="9763"/>
    <cellStyle name="Примечание 2 3 2 3" xfId="7284"/>
    <cellStyle name="Примечание 2 3 2 3 2" xfId="13013"/>
    <cellStyle name="Примечание 2 3 2 3 3" xfId="9908"/>
    <cellStyle name="Примечание 2 3 2 3 4" xfId="11293"/>
    <cellStyle name="Примечание 2 3 2 4" xfId="11604"/>
    <cellStyle name="Примечание 2 3 2 5" xfId="9656"/>
    <cellStyle name="Примечание 2 3 2 6" xfId="13598"/>
    <cellStyle name="Примечание 2 3 3" xfId="6277"/>
    <cellStyle name="Примечание 2 3 3 2" xfId="12248"/>
    <cellStyle name="Примечание 2 3 3 3" xfId="10439"/>
    <cellStyle name="Примечание 2 3 3 4" xfId="9762"/>
    <cellStyle name="Примечание 2 3 4" xfId="7283"/>
    <cellStyle name="Примечание 2 3 4 2" xfId="13012"/>
    <cellStyle name="Примечание 2 3 4 3" xfId="9909"/>
    <cellStyle name="Примечание 2 3 4 4" xfId="11292"/>
    <cellStyle name="Примечание 2 3 5" xfId="11603"/>
    <cellStyle name="Примечание 2 3 6" xfId="9657"/>
    <cellStyle name="Примечание 2 3 7" xfId="13533"/>
    <cellStyle name="Примечание 2 4" xfId="4951"/>
    <cellStyle name="Примечание 2 4 2" xfId="4952"/>
    <cellStyle name="Примечание 2 4 2 2" xfId="6280"/>
    <cellStyle name="Примечание 2 4 2 2 2" xfId="12251"/>
    <cellStyle name="Примечание 2 4 2 2 3" xfId="10436"/>
    <cellStyle name="Примечание 2 4 2 2 4" xfId="9765"/>
    <cellStyle name="Примечание 2 4 2 3" xfId="7286"/>
    <cellStyle name="Примечание 2 4 2 3 2" xfId="13015"/>
    <cellStyle name="Примечание 2 4 2 3 3" xfId="9906"/>
    <cellStyle name="Примечание 2 4 2 3 4" xfId="11295"/>
    <cellStyle name="Примечание 2 4 2 4" xfId="11606"/>
    <cellStyle name="Примечание 2 4 2 5" xfId="9654"/>
    <cellStyle name="Примечание 2 4 2 6" xfId="13580"/>
    <cellStyle name="Примечание 2 4 3" xfId="6279"/>
    <cellStyle name="Примечание 2 4 3 2" xfId="12250"/>
    <cellStyle name="Примечание 2 4 3 3" xfId="10437"/>
    <cellStyle name="Примечание 2 4 3 4" xfId="9764"/>
    <cellStyle name="Примечание 2 4 4" xfId="7285"/>
    <cellStyle name="Примечание 2 4 4 2" xfId="13014"/>
    <cellStyle name="Примечание 2 4 4 3" xfId="9907"/>
    <cellStyle name="Примечание 2 4 4 4" xfId="11294"/>
    <cellStyle name="Примечание 2 4 5" xfId="11605"/>
    <cellStyle name="Примечание 2 4 6" xfId="9655"/>
    <cellStyle name="Примечание 2 4 7" xfId="13654"/>
    <cellStyle name="Примечание 2 5" xfId="4953"/>
    <cellStyle name="Примечание 2 5 2" xfId="4954"/>
    <cellStyle name="Примечание 2 5 2 2" xfId="6282"/>
    <cellStyle name="Примечание 2 5 2 2 2" xfId="12253"/>
    <cellStyle name="Примечание 2 5 2 2 3" xfId="10434"/>
    <cellStyle name="Примечание 2 5 2 2 4" xfId="9767"/>
    <cellStyle name="Примечание 2 5 2 3" xfId="7288"/>
    <cellStyle name="Примечание 2 5 2 3 2" xfId="13017"/>
    <cellStyle name="Примечание 2 5 2 3 3" xfId="9904"/>
    <cellStyle name="Примечание 2 5 2 3 4" xfId="12683"/>
    <cellStyle name="Примечание 2 5 2 4" xfId="11608"/>
    <cellStyle name="Примечание 2 5 2 5" xfId="9652"/>
    <cellStyle name="Примечание 2 5 2 6" xfId="13561"/>
    <cellStyle name="Примечание 2 5 3" xfId="6281"/>
    <cellStyle name="Примечание 2 5 3 2" xfId="12252"/>
    <cellStyle name="Примечание 2 5 3 3" xfId="10435"/>
    <cellStyle name="Примечание 2 5 3 4" xfId="9766"/>
    <cellStyle name="Примечание 2 5 4" xfId="7287"/>
    <cellStyle name="Примечание 2 5 4 2" xfId="13016"/>
    <cellStyle name="Примечание 2 5 4 3" xfId="9905"/>
    <cellStyle name="Примечание 2 5 4 4" xfId="11296"/>
    <cellStyle name="Примечание 2 5 5" xfId="11607"/>
    <cellStyle name="Примечание 2 5 6" xfId="9653"/>
    <cellStyle name="Примечание 2 5 7" xfId="13636"/>
    <cellStyle name="Примечание 2 6" xfId="4955"/>
    <cellStyle name="Примечание 2 6 2" xfId="4956"/>
    <cellStyle name="Примечание 2 6 2 2" xfId="6284"/>
    <cellStyle name="Примечание 2 6 2 2 2" xfId="12255"/>
    <cellStyle name="Примечание 2 6 2 2 3" xfId="10432"/>
    <cellStyle name="Примечание 2 6 2 2 4" xfId="9769"/>
    <cellStyle name="Примечание 2 6 2 3" xfId="7290"/>
    <cellStyle name="Примечание 2 6 2 3 2" xfId="13019"/>
    <cellStyle name="Примечание 2 6 2 3 3" xfId="9902"/>
    <cellStyle name="Примечание 2 6 2 3 4" xfId="11298"/>
    <cellStyle name="Примечание 2 6 2 4" xfId="11610"/>
    <cellStyle name="Примечание 2 6 2 5" xfId="9650"/>
    <cellStyle name="Примечание 2 6 2 6" xfId="13541"/>
    <cellStyle name="Примечание 2 6 3" xfId="6283"/>
    <cellStyle name="Примечание 2 6 3 2" xfId="12254"/>
    <cellStyle name="Примечание 2 6 3 3" xfId="10433"/>
    <cellStyle name="Примечание 2 6 3 4" xfId="9768"/>
    <cellStyle name="Примечание 2 6 4" xfId="7289"/>
    <cellStyle name="Примечание 2 6 4 2" xfId="13018"/>
    <cellStyle name="Примечание 2 6 4 3" xfId="9903"/>
    <cellStyle name="Примечание 2 6 4 4" xfId="11297"/>
    <cellStyle name="Примечание 2 6 5" xfId="11609"/>
    <cellStyle name="Примечание 2 6 6" xfId="9651"/>
    <cellStyle name="Примечание 2 6 7" xfId="13617"/>
    <cellStyle name="Примечание 2 7" xfId="4957"/>
    <cellStyle name="Примечание 2 7 2" xfId="4958"/>
    <cellStyle name="Примечание 2 7 2 2" xfId="6286"/>
    <cellStyle name="Примечание 2 7 2 2 2" xfId="12257"/>
    <cellStyle name="Примечание 2 7 2 2 3" xfId="9850"/>
    <cellStyle name="Примечание 2 7 2 2 4" xfId="9771"/>
    <cellStyle name="Примечание 2 7 2 3" xfId="7292"/>
    <cellStyle name="Примечание 2 7 2 3 2" xfId="13021"/>
    <cellStyle name="Примечание 2 7 2 3 3" xfId="9900"/>
    <cellStyle name="Примечание 2 7 2 3 4" xfId="11299"/>
    <cellStyle name="Примечание 2 7 2 4" xfId="11612"/>
    <cellStyle name="Примечание 2 7 2 5" xfId="9649"/>
    <cellStyle name="Примечание 2 7 2 6" xfId="13593"/>
    <cellStyle name="Примечание 2 7 3" xfId="6285"/>
    <cellStyle name="Примечание 2 7 3 2" xfId="12256"/>
    <cellStyle name="Примечание 2 7 3 3" xfId="10431"/>
    <cellStyle name="Примечание 2 7 3 4" xfId="9770"/>
    <cellStyle name="Примечание 2 7 4" xfId="7291"/>
    <cellStyle name="Примечание 2 7 4 2" xfId="13020"/>
    <cellStyle name="Примечание 2 7 4 3" xfId="9901"/>
    <cellStyle name="Примечание 2 7 4 4" xfId="11370"/>
    <cellStyle name="Примечание 2 7 5" xfId="11611"/>
    <cellStyle name="Примечание 2 7 6" xfId="12521"/>
    <cellStyle name="Примечание 2 7 7" xfId="9875"/>
    <cellStyle name="Примечание 2 8" xfId="4959"/>
    <cellStyle name="Примечание 2 8 2" xfId="4960"/>
    <cellStyle name="Примечание 2 8 2 2" xfId="6288"/>
    <cellStyle name="Примечание 2 8 2 2 2" xfId="12259"/>
    <cellStyle name="Примечание 2 8 2 2 3" xfId="10429"/>
    <cellStyle name="Примечание 2 8 2 2 4" xfId="9773"/>
    <cellStyle name="Примечание 2 8 2 3" xfId="7294"/>
    <cellStyle name="Примечание 2 8 2 3 2" xfId="13023"/>
    <cellStyle name="Примечание 2 8 2 3 3" xfId="9898"/>
    <cellStyle name="Примечание 2 8 2 3 4" xfId="11301"/>
    <cellStyle name="Примечание 2 8 2 4" xfId="11614"/>
    <cellStyle name="Примечание 2 8 2 5" xfId="9647"/>
    <cellStyle name="Примечание 2 8 2 6" xfId="13575"/>
    <cellStyle name="Примечание 2 8 3" xfId="6287"/>
    <cellStyle name="Примечание 2 8 3 2" xfId="12258"/>
    <cellStyle name="Примечание 2 8 3 3" xfId="10430"/>
    <cellStyle name="Примечание 2 8 3 4" xfId="9772"/>
    <cellStyle name="Примечание 2 8 4" xfId="7293"/>
    <cellStyle name="Примечание 2 8 4 2" xfId="13022"/>
    <cellStyle name="Примечание 2 8 4 3" xfId="9899"/>
    <cellStyle name="Примечание 2 8 4 4" xfId="11300"/>
    <cellStyle name="Примечание 2 8 5" xfId="11613"/>
    <cellStyle name="Примечание 2 8 6" xfId="9648"/>
    <cellStyle name="Примечание 2 8 7" xfId="13649"/>
    <cellStyle name="Примечание 2 9" xfId="4961"/>
    <cellStyle name="Примечание 2 9 2" xfId="4962"/>
    <cellStyle name="Примечание 2 9 2 2" xfId="6290"/>
    <cellStyle name="Примечание 2 9 2 2 2" xfId="12261"/>
    <cellStyle name="Примечание 2 9 2 2 3" xfId="10427"/>
    <cellStyle name="Примечание 2 9 2 2 4" xfId="9775"/>
    <cellStyle name="Примечание 2 9 2 3" xfId="7296"/>
    <cellStyle name="Примечание 2 9 2 3 2" xfId="13025"/>
    <cellStyle name="Примечание 2 9 2 3 3" xfId="9896"/>
    <cellStyle name="Примечание 2 9 2 3 4" xfId="11303"/>
    <cellStyle name="Примечание 2 9 2 4" xfId="11616"/>
    <cellStyle name="Примечание 2 9 2 5" xfId="11871"/>
    <cellStyle name="Примечание 2 9 2 6" xfId="13557"/>
    <cellStyle name="Примечание 2 9 3" xfId="6289"/>
    <cellStyle name="Примечание 2 9 3 2" xfId="12260"/>
    <cellStyle name="Примечание 2 9 3 3" xfId="10428"/>
    <cellStyle name="Примечание 2 9 3 4" xfId="9774"/>
    <cellStyle name="Примечание 2 9 4" xfId="7295"/>
    <cellStyle name="Примечание 2 9 4 2" xfId="13024"/>
    <cellStyle name="Примечание 2 9 4 3" xfId="9897"/>
    <cellStyle name="Примечание 2 9 4 4" xfId="11302"/>
    <cellStyle name="Примечание 2 9 5" xfId="11615"/>
    <cellStyle name="Примечание 2 9 6" xfId="11872"/>
    <cellStyle name="Примечание 2 9 7" xfId="13632"/>
    <cellStyle name="Примечание 20" xfId="4963"/>
    <cellStyle name="Примечание 20 2" xfId="4964"/>
    <cellStyle name="Примечание 20 2 2" xfId="6292"/>
    <cellStyle name="Примечание 20 2 2 2" xfId="12263"/>
    <cellStyle name="Примечание 20 2 2 3" xfId="10425"/>
    <cellStyle name="Примечание 20 2 2 4" xfId="9777"/>
    <cellStyle name="Примечание 20 2 3" xfId="7298"/>
    <cellStyle name="Примечание 20 2 3 2" xfId="13027"/>
    <cellStyle name="Примечание 20 2 3 3" xfId="9894"/>
    <cellStyle name="Примечание 20 2 3 4" xfId="11305"/>
    <cellStyle name="Примечание 20 2 4" xfId="11618"/>
    <cellStyle name="Примечание 20 2 5" xfId="11869"/>
    <cellStyle name="Примечание 20 2 6" xfId="13537"/>
    <cellStyle name="Примечание 20 3" xfId="6291"/>
    <cellStyle name="Примечание 20 3 2" xfId="12262"/>
    <cellStyle name="Примечание 20 3 3" xfId="10426"/>
    <cellStyle name="Примечание 20 3 4" xfId="9776"/>
    <cellStyle name="Примечание 20 4" xfId="7297"/>
    <cellStyle name="Примечание 20 4 2" xfId="13026"/>
    <cellStyle name="Примечание 20 4 3" xfId="9895"/>
    <cellStyle name="Примечание 20 4 4" xfId="11304"/>
    <cellStyle name="Примечание 20 5" xfId="11617"/>
    <cellStyle name="Примечание 20 6" xfId="11870"/>
    <cellStyle name="Примечание 20 7" xfId="13613"/>
    <cellStyle name="Примечание 21" xfId="4965"/>
    <cellStyle name="Примечание 21 2" xfId="4966"/>
    <cellStyle name="Примечание 21 2 2" xfId="6294"/>
    <cellStyle name="Примечание 21 2 2 2" xfId="12265"/>
    <cellStyle name="Примечание 21 2 2 3" xfId="10423"/>
    <cellStyle name="Примечание 21 2 2 4" xfId="9779"/>
    <cellStyle name="Примечание 21 2 3" xfId="7300"/>
    <cellStyle name="Примечание 21 2 3 2" xfId="13029"/>
    <cellStyle name="Примечание 21 2 3 3" xfId="9892"/>
    <cellStyle name="Примечание 21 2 3 4" xfId="11307"/>
    <cellStyle name="Примечание 21 2 4" xfId="11620"/>
    <cellStyle name="Примечание 21 2 5" xfId="11867"/>
    <cellStyle name="Примечание 21 2 6" xfId="13658"/>
    <cellStyle name="Примечание 21 3" xfId="6293"/>
    <cellStyle name="Примечание 21 3 2" xfId="12264"/>
    <cellStyle name="Примечание 21 3 3" xfId="10424"/>
    <cellStyle name="Примечание 21 3 4" xfId="9778"/>
    <cellStyle name="Примечание 21 4" xfId="7299"/>
    <cellStyle name="Примечание 21 4 2" xfId="13028"/>
    <cellStyle name="Примечание 21 4 3" xfId="9893"/>
    <cellStyle name="Примечание 21 4 4" xfId="11306"/>
    <cellStyle name="Примечание 21 5" xfId="11619"/>
    <cellStyle name="Примечание 21 6" xfId="11868"/>
    <cellStyle name="Примечание 21 7" xfId="13603"/>
    <cellStyle name="Примечание 3" xfId="4967"/>
    <cellStyle name="Примечание 3 2" xfId="4968"/>
    <cellStyle name="Примечание 3 2 2" xfId="6296"/>
    <cellStyle name="Примечание 3 2 2 2" xfId="12267"/>
    <cellStyle name="Примечание 3 2 2 3" xfId="10421"/>
    <cellStyle name="Примечание 3 2 2 4" xfId="9781"/>
    <cellStyle name="Примечание 3 2 3" xfId="7301"/>
    <cellStyle name="Примечание 3 2 3 2" xfId="13030"/>
    <cellStyle name="Примечание 3 2 3 3" xfId="9891"/>
    <cellStyle name="Примечание 3 2 3 4" xfId="11308"/>
    <cellStyle name="Примечание 3 2 4" xfId="11622"/>
    <cellStyle name="Примечание 3 2 5" xfId="9645"/>
    <cellStyle name="Примечание 3 2 6" xfId="13640"/>
    <cellStyle name="Примечание 3 3" xfId="6295"/>
    <cellStyle name="Примечание 3 3 2" xfId="12266"/>
    <cellStyle name="Примечание 3 3 3" xfId="10422"/>
    <cellStyle name="Примечание 3 3 4" xfId="9780"/>
    <cellStyle name="Примечание 3 4" xfId="6959"/>
    <cellStyle name="Примечание 3 4 2" xfId="12689"/>
    <cellStyle name="Примечание 3 4 3" xfId="10225"/>
    <cellStyle name="Примечание 3 4 4" xfId="9570"/>
    <cellStyle name="Примечание 3 5" xfId="11621"/>
    <cellStyle name="Примечание 3 6" xfId="9646"/>
    <cellStyle name="Примечание 3 7" xfId="13584"/>
    <cellStyle name="Примечание 4" xfId="4969"/>
    <cellStyle name="Примечание 4 2" xfId="4970"/>
    <cellStyle name="Примечание 4 2 2" xfId="6298"/>
    <cellStyle name="Примечание 4 2 2 2" xfId="12269"/>
    <cellStyle name="Примечание 4 2 2 3" xfId="10419"/>
    <cellStyle name="Примечание 4 2 2 4" xfId="11912"/>
    <cellStyle name="Примечание 4 2 3" xfId="7303"/>
    <cellStyle name="Примечание 4 2 3 2" xfId="13032"/>
    <cellStyle name="Примечание 4 2 3 3" xfId="9889"/>
    <cellStyle name="Примечание 4 2 3 4" xfId="11310"/>
    <cellStyle name="Примечание 4 2 4" xfId="11624"/>
    <cellStyle name="Примечание 4 2 5" xfId="9644"/>
    <cellStyle name="Примечание 4 2 6" xfId="13621"/>
    <cellStyle name="Примечание 4 3" xfId="6297"/>
    <cellStyle name="Примечание 4 3 2" xfId="12268"/>
    <cellStyle name="Примечание 4 3 3" xfId="10420"/>
    <cellStyle name="Примечание 4 3 4" xfId="9782"/>
    <cellStyle name="Примечание 4 4" xfId="7302"/>
    <cellStyle name="Примечание 4 4 2" xfId="13031"/>
    <cellStyle name="Примечание 4 4 3" xfId="9890"/>
    <cellStyle name="Примечание 4 4 4" xfId="11309"/>
    <cellStyle name="Примечание 4 5" xfId="11623"/>
    <cellStyle name="Примечание 4 6" xfId="12549"/>
    <cellStyle name="Примечание 4 7" xfId="13565"/>
    <cellStyle name="Примечание 5" xfId="4971"/>
    <cellStyle name="Примечание 5 2" xfId="4972"/>
    <cellStyle name="Примечание 5 2 2" xfId="6300"/>
    <cellStyle name="Примечание 5 2 2 2" xfId="12271"/>
    <cellStyle name="Примечание 5 2 2 3" xfId="10417"/>
    <cellStyle name="Примечание 5 2 2 4" xfId="11914"/>
    <cellStyle name="Примечание 5 2 3" xfId="7305"/>
    <cellStyle name="Примечание 5 2 3 2" xfId="13034"/>
    <cellStyle name="Примечание 5 2 3 3" xfId="9887"/>
    <cellStyle name="Примечание 5 2 3 4" xfId="11312"/>
    <cellStyle name="Примечание 5 2 4" xfId="11626"/>
    <cellStyle name="Примечание 5 2 5" xfId="9642"/>
    <cellStyle name="Примечание 5 2 6" xfId="13528"/>
    <cellStyle name="Примечание 5 3" xfId="6299"/>
    <cellStyle name="Примечание 5 3 2" xfId="12270"/>
    <cellStyle name="Примечание 5 3 3" xfId="10418"/>
    <cellStyle name="Примечание 5 3 4" xfId="11913"/>
    <cellStyle name="Примечание 5 4" xfId="7304"/>
    <cellStyle name="Примечание 5 4 2" xfId="13033"/>
    <cellStyle name="Примечание 5 4 3" xfId="9888"/>
    <cellStyle name="Примечание 5 4 4" xfId="11311"/>
    <cellStyle name="Примечание 5 5" xfId="11625"/>
    <cellStyle name="Примечание 5 6" xfId="9643"/>
    <cellStyle name="Примечание 5 7" xfId="13546"/>
    <cellStyle name="Примечание 6" xfId="4973"/>
    <cellStyle name="Примечание 6 2" xfId="4974"/>
    <cellStyle name="Примечание 6 2 2" xfId="6302"/>
    <cellStyle name="Примечание 6 2 2 2" xfId="12273"/>
    <cellStyle name="Примечание 6 2 2 3" xfId="10415"/>
    <cellStyle name="Примечание 6 2 2 4" xfId="11916"/>
    <cellStyle name="Примечание 6 2 3" xfId="7307"/>
    <cellStyle name="Примечание 6 2 3 2" xfId="13036"/>
    <cellStyle name="Примечание 6 2 3 3" xfId="9885"/>
    <cellStyle name="Примечание 6 2 3 4" xfId="11314"/>
    <cellStyle name="Примечание 6 2 4" xfId="11628"/>
    <cellStyle name="Примечание 6 2 5" xfId="9641"/>
    <cellStyle name="Примечание 6 2 6" xfId="9391"/>
    <cellStyle name="Примечание 6 3" xfId="6301"/>
    <cellStyle name="Примечание 6 3 2" xfId="12272"/>
    <cellStyle name="Примечание 6 3 3" xfId="10416"/>
    <cellStyle name="Примечание 6 3 4" xfId="11915"/>
    <cellStyle name="Примечание 6 4" xfId="7306"/>
    <cellStyle name="Примечание 6 4 2" xfId="13035"/>
    <cellStyle name="Примечание 6 4 3" xfId="9886"/>
    <cellStyle name="Примечание 6 4 4" xfId="11313"/>
    <cellStyle name="Примечание 6 5" xfId="11627"/>
    <cellStyle name="Примечание 6 6" xfId="9389"/>
    <cellStyle name="Примечание 6 7" xfId="11745"/>
    <cellStyle name="Примечание 7" xfId="4975"/>
    <cellStyle name="Примечание 7 2" xfId="4976"/>
    <cellStyle name="Примечание 7 2 2" xfId="6304"/>
    <cellStyle name="Примечание 7 2 2 2" xfId="12275"/>
    <cellStyle name="Примечание 7 2 2 3" xfId="10413"/>
    <cellStyle name="Примечание 7 2 2 4" xfId="9783"/>
    <cellStyle name="Примечание 7 2 3" xfId="7309"/>
    <cellStyle name="Примечание 7 2 3 2" xfId="13038"/>
    <cellStyle name="Примечание 7 2 3 3" xfId="9883"/>
    <cellStyle name="Примечание 7 2 3 4" xfId="11316"/>
    <cellStyle name="Примечание 7 2 4" xfId="11630"/>
    <cellStyle name="Примечание 7 2 5" xfId="9640"/>
    <cellStyle name="Примечание 7 2 6" xfId="13644"/>
    <cellStyle name="Примечание 7 3" xfId="6303"/>
    <cellStyle name="Примечание 7 3 2" xfId="12274"/>
    <cellStyle name="Примечание 7 3 3" xfId="10414"/>
    <cellStyle name="Примечание 7 3 4" xfId="11917"/>
    <cellStyle name="Примечание 7 4" xfId="7308"/>
    <cellStyle name="Примечание 7 4 2" xfId="13037"/>
    <cellStyle name="Примечание 7 4 3" xfId="9884"/>
    <cellStyle name="Примечание 7 4 4" xfId="11315"/>
    <cellStyle name="Примечание 7 5" xfId="11629"/>
    <cellStyle name="Примечание 7 6" xfId="9635"/>
    <cellStyle name="Примечание 7 7" xfId="13588"/>
    <cellStyle name="Примечание 8" xfId="4977"/>
    <cellStyle name="Примечание 8 2" xfId="4978"/>
    <cellStyle name="Примечание 8 2 2" xfId="6306"/>
    <cellStyle name="Примечание 8 2 2 2" xfId="12277"/>
    <cellStyle name="Примечание 8 2 2 3" xfId="10411"/>
    <cellStyle name="Примечание 8 2 2 4" xfId="9785"/>
    <cellStyle name="Примечание 8 2 3" xfId="7311"/>
    <cellStyle name="Примечание 8 2 3 2" xfId="13040"/>
    <cellStyle name="Примечание 8 2 3 3" xfId="9881"/>
    <cellStyle name="Примечание 8 2 3 4" xfId="11318"/>
    <cellStyle name="Примечание 8 2 4" xfId="11632"/>
    <cellStyle name="Примечание 8 2 5" xfId="9638"/>
    <cellStyle name="Примечание 8 2 6" xfId="13625"/>
    <cellStyle name="Примечание 8 3" xfId="6305"/>
    <cellStyle name="Примечание 8 3 2" xfId="12276"/>
    <cellStyle name="Примечание 8 3 3" xfId="10412"/>
    <cellStyle name="Примечание 8 3 4" xfId="9784"/>
    <cellStyle name="Примечание 8 4" xfId="7310"/>
    <cellStyle name="Примечание 8 4 2" xfId="13039"/>
    <cellStyle name="Примечание 8 4 3" xfId="9882"/>
    <cellStyle name="Примечание 8 4 4" xfId="11317"/>
    <cellStyle name="Примечание 8 5" xfId="11631"/>
    <cellStyle name="Примечание 8 6" xfId="9639"/>
    <cellStyle name="Примечание 8 7" xfId="13569"/>
    <cellStyle name="Примечание 9" xfId="4979"/>
    <cellStyle name="Примечание 9 2" xfId="4980"/>
    <cellStyle name="Примечание 9 2 2" xfId="6308"/>
    <cellStyle name="Примечание 9 2 2 2" xfId="12279"/>
    <cellStyle name="Примечание 9 2 2 3" xfId="10409"/>
    <cellStyle name="Примечание 9 2 2 4" xfId="9787"/>
    <cellStyle name="Примечание 9 2 3" xfId="7313"/>
    <cellStyle name="Примечание 9 2 3 2" xfId="13042"/>
    <cellStyle name="Примечание 9 2 3 3" xfId="9879"/>
    <cellStyle name="Примечание 9 2 3 4" xfId="11320"/>
    <cellStyle name="Примечание 9 2 4" xfId="11634"/>
    <cellStyle name="Примечание 9 2 5" xfId="9636"/>
    <cellStyle name="Примечание 9 2 6" xfId="13607"/>
    <cellStyle name="Примечание 9 3" xfId="6307"/>
    <cellStyle name="Примечание 9 3 2" xfId="12278"/>
    <cellStyle name="Примечание 9 3 3" xfId="10410"/>
    <cellStyle name="Примечание 9 3 4" xfId="9786"/>
    <cellStyle name="Примечание 9 4" xfId="7312"/>
    <cellStyle name="Примечание 9 4 2" xfId="13041"/>
    <cellStyle name="Примечание 9 4 3" xfId="9880"/>
    <cellStyle name="Примечание 9 4 4" xfId="11319"/>
    <cellStyle name="Примечание 9 5" xfId="11633"/>
    <cellStyle name="Примечание 9 6" xfId="9637"/>
    <cellStyle name="Примечание 9 7" xfId="13550"/>
    <cellStyle name="Связанная ячейка 10" xfId="4981"/>
    <cellStyle name="Связанная ячейка 10 2" xfId="4982"/>
    <cellStyle name="Связанная ячейка 11" xfId="4983"/>
    <cellStyle name="Связанная ячейка 11 2" xfId="4984"/>
    <cellStyle name="Связанная ячейка 12" xfId="4985"/>
    <cellStyle name="Связанная ячейка 12 2" xfId="4986"/>
    <cellStyle name="Связанная ячейка 13" xfId="4987"/>
    <cellStyle name="Связанная ячейка 13 2" xfId="4988"/>
    <cellStyle name="Связанная ячейка 14" xfId="4989"/>
    <cellStyle name="Связанная ячейка 14 2" xfId="4990"/>
    <cellStyle name="Связанная ячейка 15" xfId="4991"/>
    <cellStyle name="Связанная ячейка 15 2" xfId="4992"/>
    <cellStyle name="Связанная ячейка 16" xfId="4993"/>
    <cellStyle name="Связанная ячейка 16 2" xfId="4994"/>
    <cellStyle name="Связанная ячейка 17" xfId="4995"/>
    <cellStyle name="Связанная ячейка 17 2" xfId="4996"/>
    <cellStyle name="Связанная ячейка 18" xfId="4997"/>
    <cellStyle name="Связанная ячейка 18 2" xfId="4998"/>
    <cellStyle name="Связанная ячейка 19" xfId="4999"/>
    <cellStyle name="Связанная ячейка 19 2" xfId="5000"/>
    <cellStyle name="Связанная ячейка 2" xfId="1562"/>
    <cellStyle name="Связанная ячейка 2 10" xfId="5001"/>
    <cellStyle name="Связанная ячейка 2 10 2" xfId="5002"/>
    <cellStyle name="Связанная ячейка 2 11" xfId="5003"/>
    <cellStyle name="Связанная ячейка 2 11 2" xfId="5004"/>
    <cellStyle name="Связанная ячейка 2 12" xfId="5005"/>
    <cellStyle name="Связанная ячейка 2 12 2" xfId="5006"/>
    <cellStyle name="Связанная ячейка 2 13" xfId="5007"/>
    <cellStyle name="Связанная ячейка 2 13 2" xfId="5008"/>
    <cellStyle name="Связанная ячейка 2 14" xfId="5009"/>
    <cellStyle name="Связанная ячейка 2 14 2" xfId="5010"/>
    <cellStyle name="Связанная ячейка 2 15" xfId="5011"/>
    <cellStyle name="Связанная ячейка 2 15 2" xfId="5012"/>
    <cellStyle name="Связанная ячейка 2 16" xfId="5013"/>
    <cellStyle name="Связанная ячейка 2 16 2" xfId="5014"/>
    <cellStyle name="Связанная ячейка 2 17" xfId="5015"/>
    <cellStyle name="Связанная ячейка 2 17 2" xfId="5016"/>
    <cellStyle name="Связанная ячейка 2 18" xfId="5017"/>
    <cellStyle name="Связанная ячейка 2 18 2" xfId="5018"/>
    <cellStyle name="Связанная ячейка 2 2" xfId="5019"/>
    <cellStyle name="Связанная ячейка 2 2 2" xfId="5020"/>
    <cellStyle name="Связанная ячейка 2 3" xfId="5021"/>
    <cellStyle name="Связанная ячейка 2 4" xfId="5022"/>
    <cellStyle name="Связанная ячейка 2 4 2" xfId="5023"/>
    <cellStyle name="Связанная ячейка 2 5" xfId="5024"/>
    <cellStyle name="Связанная ячейка 2 5 2" xfId="5025"/>
    <cellStyle name="Связанная ячейка 2 6" xfId="5026"/>
    <cellStyle name="Связанная ячейка 2 6 2" xfId="5027"/>
    <cellStyle name="Связанная ячейка 2 7" xfId="5028"/>
    <cellStyle name="Связанная ячейка 2 7 2" xfId="5029"/>
    <cellStyle name="Связанная ячейка 2 8" xfId="5030"/>
    <cellStyle name="Связанная ячейка 2 8 2" xfId="5031"/>
    <cellStyle name="Связанная ячейка 2 9" xfId="5032"/>
    <cellStyle name="Связанная ячейка 2 9 2" xfId="5033"/>
    <cellStyle name="Связанная ячейка 20" xfId="5034"/>
    <cellStyle name="Связанная ячейка 20 2" xfId="5035"/>
    <cellStyle name="Связанная ячейка 21" xfId="5036"/>
    <cellStyle name="Связанная ячейка 21 2" xfId="5037"/>
    <cellStyle name="Связанная ячейка 3" xfId="5038"/>
    <cellStyle name="Связанная ячейка 3 2" xfId="5039"/>
    <cellStyle name="Связанная ячейка 4" xfId="5040"/>
    <cellStyle name="Связанная ячейка 4 2" xfId="5041"/>
    <cellStyle name="Связанная ячейка 5" xfId="5042"/>
    <cellStyle name="Связанная ячейка 5 2" xfId="5043"/>
    <cellStyle name="Связанная ячейка 6" xfId="5044"/>
    <cellStyle name="Связанная ячейка 6 2" xfId="5045"/>
    <cellStyle name="Связанная ячейка 7" xfId="5046"/>
    <cellStyle name="Связанная ячейка 7 2" xfId="5047"/>
    <cellStyle name="Связанная ячейка 8" xfId="5048"/>
    <cellStyle name="Связанная ячейка 8 2" xfId="5049"/>
    <cellStyle name="Связанная ячейка 9" xfId="5050"/>
    <cellStyle name="Связанная ячейка 9 2" xfId="5051"/>
    <cellStyle name="Стиль 1" xfId="5052"/>
    <cellStyle name="Стиль 1 2" xfId="5825"/>
    <cellStyle name="Стиль 1 3" xfId="5892"/>
    <cellStyle name="Текст предупреждения 10" xfId="5053"/>
    <cellStyle name="Текст предупреждения 10 2" xfId="5054"/>
    <cellStyle name="Текст предупреждения 11" xfId="5055"/>
    <cellStyle name="Текст предупреждения 11 2" xfId="5056"/>
    <cellStyle name="Текст предупреждения 12" xfId="5057"/>
    <cellStyle name="Текст предупреждения 12 2" xfId="5058"/>
    <cellStyle name="Текст предупреждения 13" xfId="5059"/>
    <cellStyle name="Текст предупреждения 13 2" xfId="5060"/>
    <cellStyle name="Текст предупреждения 14" xfId="5061"/>
    <cellStyle name="Текст предупреждения 14 2" xfId="5062"/>
    <cellStyle name="Текст предупреждения 15" xfId="5063"/>
    <cellStyle name="Текст предупреждения 15 2" xfId="5064"/>
    <cellStyle name="Текст предупреждения 16" xfId="5065"/>
    <cellStyle name="Текст предупреждения 16 2" xfId="5066"/>
    <cellStyle name="Текст предупреждения 17" xfId="5067"/>
    <cellStyle name="Текст предупреждения 17 2" xfId="5068"/>
    <cellStyle name="Текст предупреждения 18" xfId="5069"/>
    <cellStyle name="Текст предупреждения 18 2" xfId="5070"/>
    <cellStyle name="Текст предупреждения 19" xfId="5071"/>
    <cellStyle name="Текст предупреждения 19 2" xfId="5072"/>
    <cellStyle name="Текст предупреждения 2" xfId="1563"/>
    <cellStyle name="Текст предупреждения 2 10" xfId="5073"/>
    <cellStyle name="Текст предупреждения 2 10 2" xfId="5074"/>
    <cellStyle name="Текст предупреждения 2 11" xfId="5075"/>
    <cellStyle name="Текст предупреждения 2 11 2" xfId="5076"/>
    <cellStyle name="Текст предупреждения 2 12" xfId="5077"/>
    <cellStyle name="Текст предупреждения 2 12 2" xfId="5078"/>
    <cellStyle name="Текст предупреждения 2 13" xfId="5079"/>
    <cellStyle name="Текст предупреждения 2 13 2" xfId="5080"/>
    <cellStyle name="Текст предупреждения 2 14" xfId="5081"/>
    <cellStyle name="Текст предупреждения 2 14 2" xfId="5082"/>
    <cellStyle name="Текст предупреждения 2 15" xfId="5083"/>
    <cellStyle name="Текст предупреждения 2 15 2" xfId="5084"/>
    <cellStyle name="Текст предупреждения 2 16" xfId="5085"/>
    <cellStyle name="Текст предупреждения 2 16 2" xfId="5086"/>
    <cellStyle name="Текст предупреждения 2 17" xfId="5087"/>
    <cellStyle name="Текст предупреждения 2 17 2" xfId="5088"/>
    <cellStyle name="Текст предупреждения 2 18" xfId="5089"/>
    <cellStyle name="Текст предупреждения 2 2" xfId="5090"/>
    <cellStyle name="Текст предупреждения 2 2 2" xfId="5091"/>
    <cellStyle name="Текст предупреждения 2 3" xfId="5092"/>
    <cellStyle name="Текст предупреждения 2 4" xfId="5093"/>
    <cellStyle name="Текст предупреждения 2 4 2" xfId="5094"/>
    <cellStyle name="Текст предупреждения 2 5" xfId="5095"/>
    <cellStyle name="Текст предупреждения 2 5 2" xfId="5096"/>
    <cellStyle name="Текст предупреждения 2 6" xfId="5097"/>
    <cellStyle name="Текст предупреждения 2 6 2" xfId="5098"/>
    <cellStyle name="Текст предупреждения 2 7" xfId="5099"/>
    <cellStyle name="Текст предупреждения 2 7 2" xfId="5100"/>
    <cellStyle name="Текст предупреждения 2 8" xfId="5101"/>
    <cellStyle name="Текст предупреждения 2 8 2" xfId="5102"/>
    <cellStyle name="Текст предупреждения 2 9" xfId="5103"/>
    <cellStyle name="Текст предупреждения 2 9 2" xfId="5104"/>
    <cellStyle name="Текст предупреждения 20" xfId="5105"/>
    <cellStyle name="Текст предупреждения 20 2" xfId="5106"/>
    <cellStyle name="Текст предупреждения 21" xfId="5107"/>
    <cellStyle name="Текст предупреждения 3" xfId="5108"/>
    <cellStyle name="Текст предупреждения 3 2" xfId="5109"/>
    <cellStyle name="Текст предупреждения 4" xfId="5110"/>
    <cellStyle name="Текст предупреждения 4 2" xfId="5111"/>
    <cellStyle name="Текст предупреждения 5" xfId="5112"/>
    <cellStyle name="Текст предупреждения 5 2" xfId="5113"/>
    <cellStyle name="Текст предупреждения 6" xfId="5114"/>
    <cellStyle name="Текст предупреждения 6 2" xfId="5115"/>
    <cellStyle name="Текст предупреждения 7" xfId="5116"/>
    <cellStyle name="Текст предупреждения 7 2" xfId="5117"/>
    <cellStyle name="Текст предупреждения 8" xfId="5118"/>
    <cellStyle name="Текст предупреждения 8 2" xfId="5119"/>
    <cellStyle name="Текст предупреждения 9" xfId="5120"/>
    <cellStyle name="Текст предупреждения 9 2" xfId="5121"/>
    <cellStyle name="Хороший 10" xfId="5122"/>
    <cellStyle name="Хороший 10 2" xfId="5123"/>
    <cellStyle name="Хороший 11" xfId="5124"/>
    <cellStyle name="Хороший 11 2" xfId="5125"/>
    <cellStyle name="Хороший 12" xfId="5126"/>
    <cellStyle name="Хороший 12 2" xfId="5127"/>
    <cellStyle name="Хороший 13" xfId="5128"/>
    <cellStyle name="Хороший 13 2" xfId="5129"/>
    <cellStyle name="Хороший 14" xfId="5130"/>
    <cellStyle name="Хороший 14 2" xfId="5131"/>
    <cellStyle name="Хороший 15" xfId="5132"/>
    <cellStyle name="Хороший 15 2" xfId="5133"/>
    <cellStyle name="Хороший 16" xfId="5134"/>
    <cellStyle name="Хороший 16 2" xfId="5135"/>
    <cellStyle name="Хороший 17" xfId="5136"/>
    <cellStyle name="Хороший 17 2" xfId="5137"/>
    <cellStyle name="Хороший 18" xfId="5138"/>
    <cellStyle name="Хороший 18 2" xfId="5139"/>
    <cellStyle name="Хороший 19" xfId="5140"/>
    <cellStyle name="Хороший 19 2" xfId="5141"/>
    <cellStyle name="Хороший 2" xfId="1564"/>
    <cellStyle name="Хороший 2 10" xfId="5142"/>
    <cellStyle name="Хороший 2 10 2" xfId="5143"/>
    <cellStyle name="Хороший 2 11" xfId="5144"/>
    <cellStyle name="Хороший 2 11 2" xfId="5145"/>
    <cellStyle name="Хороший 2 12" xfId="5146"/>
    <cellStyle name="Хороший 2 12 2" xfId="5147"/>
    <cellStyle name="Хороший 2 13" xfId="5148"/>
    <cellStyle name="Хороший 2 13 2" xfId="5149"/>
    <cellStyle name="Хороший 2 14" xfId="5150"/>
    <cellStyle name="Хороший 2 14 2" xfId="5151"/>
    <cellStyle name="Хороший 2 15" xfId="5152"/>
    <cellStyle name="Хороший 2 15 2" xfId="5153"/>
    <cellStyle name="Хороший 2 16" xfId="5154"/>
    <cellStyle name="Хороший 2 16 2" xfId="5155"/>
    <cellStyle name="Хороший 2 17" xfId="5156"/>
    <cellStyle name="Хороший 2 17 2" xfId="5157"/>
    <cellStyle name="Хороший 2 18" xfId="5158"/>
    <cellStyle name="Хороший 2 18 2" xfId="5159"/>
    <cellStyle name="Хороший 2 19" xfId="5160"/>
    <cellStyle name="Хороший 2 2" xfId="5161"/>
    <cellStyle name="Хороший 2 2 2" xfId="5162"/>
    <cellStyle name="Хороший 2 3" xfId="5163"/>
    <cellStyle name="Хороший 2 4" xfId="5164"/>
    <cellStyle name="Хороший 2 4 2" xfId="5165"/>
    <cellStyle name="Хороший 2 5" xfId="5166"/>
    <cellStyle name="Хороший 2 5 2" xfId="5167"/>
    <cellStyle name="Хороший 2 6" xfId="5168"/>
    <cellStyle name="Хороший 2 6 2" xfId="5169"/>
    <cellStyle name="Хороший 2 7" xfId="5170"/>
    <cellStyle name="Хороший 2 7 2" xfId="5171"/>
    <cellStyle name="Хороший 2 8" xfId="5172"/>
    <cellStyle name="Хороший 2 8 2" xfId="5173"/>
    <cellStyle name="Хороший 2 9" xfId="5174"/>
    <cellStyle name="Хороший 2 9 2" xfId="5175"/>
    <cellStyle name="Хороший 20" xfId="5176"/>
    <cellStyle name="Хороший 20 2" xfId="5177"/>
    <cellStyle name="Хороший 21" xfId="5178"/>
    <cellStyle name="Хороший 21 2" xfId="5179"/>
    <cellStyle name="Хороший 3" xfId="5180"/>
    <cellStyle name="Хороший 3 2" xfId="5181"/>
    <cellStyle name="Хороший 4" xfId="5182"/>
    <cellStyle name="Хороший 4 2" xfId="5183"/>
    <cellStyle name="Хороший 5" xfId="5184"/>
    <cellStyle name="Хороший 5 2" xfId="5185"/>
    <cellStyle name="Хороший 6" xfId="5186"/>
    <cellStyle name="Хороший 6 2" xfId="5187"/>
    <cellStyle name="Хороший 7" xfId="5188"/>
    <cellStyle name="Хороший 7 2" xfId="5189"/>
    <cellStyle name="Хороший 8" xfId="5190"/>
    <cellStyle name="Хороший 8 2" xfId="5191"/>
    <cellStyle name="Хороший 9" xfId="5192"/>
    <cellStyle name="Хороший 9 2" xfId="5193"/>
    <cellStyle name="千位[0]_6－2－1" xfId="5826"/>
    <cellStyle name="千位_6－2－1" xfId="5827"/>
    <cellStyle name="好" xfId="5828"/>
    <cellStyle name="差" xfId="5829"/>
    <cellStyle name="常规_2001-tab6-0608-1 (1)" xfId="5830"/>
    <cellStyle name="强调文字颜色 1" xfId="5831"/>
    <cellStyle name="强调文字颜色 2" xfId="5832"/>
    <cellStyle name="强调文字颜色 3" xfId="5833"/>
    <cellStyle name="强调文字颜色 4" xfId="5834"/>
    <cellStyle name="强调文字颜色 5" xfId="5835"/>
    <cellStyle name="强调文字颜色 6" xfId="5836"/>
    <cellStyle name="标题" xfId="5837"/>
    <cellStyle name="标题 1" xfId="5838"/>
    <cellStyle name="标题 2" xfId="5839"/>
    <cellStyle name="标题 3" xfId="5840"/>
    <cellStyle name="标题 4" xfId="5841"/>
    <cellStyle name="检查单元格" xfId="5842"/>
    <cellStyle name="汇总" xfId="5843"/>
    <cellStyle name="汇总 2" xfId="11956"/>
    <cellStyle name="汇总 3" xfId="10641"/>
    <cellStyle name="汇总 4" xfId="9684"/>
    <cellStyle name="注释" xfId="5844"/>
    <cellStyle name="注释 2" xfId="11957"/>
    <cellStyle name="注释 3" xfId="10640"/>
    <cellStyle name="注释 4" xfId="9685"/>
    <cellStyle name="解释性文本" xfId="5845"/>
    <cellStyle name="警告文本" xfId="5846"/>
    <cellStyle name="计算" xfId="5847"/>
    <cellStyle name="计算 2" xfId="11958"/>
    <cellStyle name="计算 3" xfId="10639"/>
    <cellStyle name="计算 4" xfId="13442"/>
    <cellStyle name="输入" xfId="5848"/>
    <cellStyle name="输入 2" xfId="11959"/>
    <cellStyle name="输入 3" xfId="10638"/>
    <cellStyle name="输入 4" xfId="9686"/>
    <cellStyle name="输出" xfId="5849"/>
    <cellStyle name="输出 2" xfId="11960"/>
    <cellStyle name="输出 3" xfId="10637"/>
    <cellStyle name="输出 4" xfId="9687"/>
    <cellStyle name="适中" xfId="5850"/>
    <cellStyle name="链接单元格" xfId="5851"/>
  </cellStyles>
  <dxfs count="97">
    <dxf>
      <fill>
        <patternFill>
          <bgColor theme="7"/>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s>
  <tableStyles count="2" defaultTableStyle="TableStyleMedium2" defaultPivotStyle="PivotStyleLight16">
    <tableStyle name="Table Style 1" pivot="0" count="0"/>
    <tableStyle name="Invisible" pivot="0" table="0" count="0"/>
  </tableStyles>
  <colors>
    <mruColors>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theme" Target="theme/theme1.xml"/><Relationship Id="rId74" Type="http://schemas.microsoft.com/office/2017/10/relationships/person" Target="persons/person.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externalLink" Target="externalLinks/externalLink1.xml"/><Relationship Id="rId73"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 Type="http://schemas.openxmlformats.org/officeDocument/2006/relationships/worksheet" Target="worksheets/sheet7.xml"/><Relationship Id="rId71"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58.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9.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6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6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69.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70.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71.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72.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73.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74.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75.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76.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77.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78.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79.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80.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81.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n-US" sz="1800" b="1" i="0" u="none" strike="noStrike" kern="1200" spc="0" baseline="0">
                <a:solidFill>
                  <a:sysClr val="windowText" lastClr="000000"/>
                </a:solidFill>
                <a:effectLst/>
                <a:latin typeface="+mn-lt"/>
                <a:ea typeface="+mn-ea"/>
                <a:cs typeface="+mn-cs"/>
              </a:defRPr>
            </a:pPr>
            <a:r>
              <a:rPr lang="en-US" sz="1800" b="1" i="0" u="none" strike="noStrike" kern="1200" spc="0" baseline="0">
                <a:solidFill>
                  <a:sysClr val="windowText" lastClr="000000"/>
                </a:solidFill>
                <a:effectLst/>
                <a:latin typeface="+mn-lt"/>
                <a:ea typeface="+mn-ea"/>
                <a:cs typeface="+mn-cs"/>
              </a:rPr>
              <a:t>Sakhalin-1 Oil Production(kBOPD)</a:t>
            </a:r>
          </a:p>
        </c:rich>
      </c:tx>
      <c:overlay val="0"/>
      <c:spPr>
        <a:noFill/>
        <a:ln>
          <a:noFill/>
        </a:ln>
        <a:effectLst/>
      </c:spPr>
      <c:txPr>
        <a:bodyPr rot="0" spcFirstLastPara="1" vertOverflow="ellipsis" vert="horz" wrap="square" anchor="ctr" anchorCtr="1"/>
        <a:lstStyle/>
        <a:p>
          <a:pPr algn="ctr" rtl="0">
            <a:defRPr lang="en-US" sz="1800" b="1" i="0" u="none" strike="noStrike" kern="1200" spc="0" baseline="0">
              <a:solidFill>
                <a:sysClr val="windowText" lastClr="000000"/>
              </a:solidFill>
              <a:effectLst/>
              <a:latin typeface="+mn-lt"/>
              <a:ea typeface="+mn-ea"/>
              <a:cs typeface="+mn-cs"/>
            </a:defRPr>
          </a:pPr>
          <a:endParaRPr lang="en-US"/>
        </a:p>
      </c:txPr>
    </c:title>
    <c:autoTitleDeleted val="0"/>
    <c:plotArea>
      <c:layout/>
      <c:barChart>
        <c:barDir val="col"/>
        <c:grouping val="clustered"/>
        <c:varyColors val="0"/>
        <c:ser>
          <c:idx val="0"/>
          <c:order val="0"/>
          <c:tx>
            <c:strRef>
              <c:f>Tables!$C$7</c:f>
              <c:strCache>
                <c:ptCount val="1"/>
                <c:pt idx="0">
                  <c:v>BE(kBOPD)</c:v>
                </c:pt>
              </c:strCache>
            </c:strRef>
          </c:tx>
          <c:spPr>
            <a:solidFill>
              <a:srgbClr val="92D050"/>
            </a:solidFill>
            <a:ln>
              <a:noFill/>
            </a:ln>
            <a:effectLst/>
          </c:spPr>
          <c:invertIfNegative val="0"/>
          <c:cat>
            <c:strRef>
              <c:f>Tables!$D$6:$O$6</c:f>
              <c:strCache>
                <c:ptCount val="12"/>
                <c:pt idx="0">
                  <c:v>Apr'26</c:v>
                </c:pt>
                <c:pt idx="1">
                  <c:v>May'26</c:v>
                </c:pt>
                <c:pt idx="2">
                  <c:v>June'26</c:v>
                </c:pt>
                <c:pt idx="3">
                  <c:v>July'26</c:v>
                </c:pt>
                <c:pt idx="4">
                  <c:v>Aug'26</c:v>
                </c:pt>
                <c:pt idx="5">
                  <c:v>Sep'26</c:v>
                </c:pt>
                <c:pt idx="6">
                  <c:v>Oct'26</c:v>
                </c:pt>
                <c:pt idx="7">
                  <c:v>Nov'26</c:v>
                </c:pt>
                <c:pt idx="8">
                  <c:v>Dec'26</c:v>
                </c:pt>
                <c:pt idx="9">
                  <c:v>Jan'27</c:v>
                </c:pt>
                <c:pt idx="10">
                  <c:v>Feb'27</c:v>
                </c:pt>
                <c:pt idx="11">
                  <c:v>Mar'27</c:v>
                </c:pt>
              </c:strCache>
            </c:strRef>
          </c:cat>
          <c:val>
            <c:numRef>
              <c:f>Tables!$D$7:$O$7</c:f>
              <c:numCache>
                <c:formatCode>0.00</c:formatCode>
                <c:ptCount val="12"/>
                <c:pt idx="0">
                  <c:v>141.64166666666665</c:v>
                </c:pt>
                <c:pt idx="1">
                  <c:v>140.64838709677417</c:v>
                </c:pt>
                <c:pt idx="2">
                  <c:v>140.41</c:v>
                </c:pt>
                <c:pt idx="3">
                  <c:v>140.64838709677417</c:v>
                </c:pt>
                <c:pt idx="4">
                  <c:v>139.45645161290321</c:v>
                </c:pt>
                <c:pt idx="5">
                  <c:v>141.64166666666665</c:v>
                </c:pt>
                <c:pt idx="6">
                  <c:v>139.45645161290321</c:v>
                </c:pt>
                <c:pt idx="7">
                  <c:v>137.94666666666666</c:v>
                </c:pt>
                <c:pt idx="8">
                  <c:v>135.88064516129035</c:v>
                </c:pt>
                <c:pt idx="9">
                  <c:v>134.68870967741935</c:v>
                </c:pt>
                <c:pt idx="10">
                  <c:v>135.92321428571424</c:v>
                </c:pt>
                <c:pt idx="11">
                  <c:v>134.68870967741935</c:v>
                </c:pt>
              </c:numCache>
            </c:numRef>
          </c:val>
          <c:extLst xmlns:c16r2="http://schemas.microsoft.com/office/drawing/2015/06/chart">
            <c:ext xmlns:c16="http://schemas.microsoft.com/office/drawing/2014/chart" uri="{C3380CC4-5D6E-409C-BE32-E72D297353CC}">
              <c16:uniqueId val="{00000000-E9A4-4025-885D-558D1FDA443D}"/>
            </c:ext>
          </c:extLst>
        </c:ser>
        <c:ser>
          <c:idx val="1"/>
          <c:order val="1"/>
          <c:tx>
            <c:strRef>
              <c:f>Tables!$C$8</c:f>
              <c:strCache>
                <c:ptCount val="1"/>
                <c:pt idx="0">
                  <c:v>Actual</c:v>
                </c:pt>
              </c:strCache>
            </c:strRef>
          </c:tx>
          <c:spPr>
            <a:solidFill>
              <a:srgbClr val="00B050"/>
            </a:solidFill>
            <a:ln>
              <a:noFill/>
            </a:ln>
            <a:effectLst/>
          </c:spPr>
          <c:invertIfNegative val="0"/>
          <c:cat>
            <c:strRef>
              <c:f>Tables!$D$6:$O$6</c:f>
              <c:strCache>
                <c:ptCount val="12"/>
                <c:pt idx="0">
                  <c:v>Apr'26</c:v>
                </c:pt>
                <c:pt idx="1">
                  <c:v>May'26</c:v>
                </c:pt>
                <c:pt idx="2">
                  <c:v>June'26</c:v>
                </c:pt>
                <c:pt idx="3">
                  <c:v>July'26</c:v>
                </c:pt>
                <c:pt idx="4">
                  <c:v>Aug'26</c:v>
                </c:pt>
                <c:pt idx="5">
                  <c:v>Sep'26</c:v>
                </c:pt>
                <c:pt idx="6">
                  <c:v>Oct'26</c:v>
                </c:pt>
                <c:pt idx="7">
                  <c:v>Nov'26</c:v>
                </c:pt>
                <c:pt idx="8">
                  <c:v>Dec'26</c:v>
                </c:pt>
                <c:pt idx="9">
                  <c:v>Jan'27</c:v>
                </c:pt>
                <c:pt idx="10">
                  <c:v>Feb'27</c:v>
                </c:pt>
                <c:pt idx="11">
                  <c:v>Mar'27</c:v>
                </c:pt>
              </c:strCache>
            </c:strRef>
          </c:cat>
          <c:val>
            <c:numRef>
              <c:f>Tables!$D$8:$O$8</c:f>
              <c:numCache>
                <c:formatCode>0.00</c:formatCode>
                <c:ptCount val="12"/>
                <c:pt idx="0">
                  <c:v>189.20396666666667</c:v>
                </c:pt>
                <c:pt idx="1">
                  <c:v>184.26229032290323</c:v>
                </c:pt>
                <c:pt idx="2">
                  <c:v>169.19610000066666</c:v>
                </c:pt>
                <c:pt idx="3">
                  <c:v>187.26155464516128</c:v>
                </c:pt>
                <c:pt idx="4">
                  <c:v>183.34116129032259</c:v>
                </c:pt>
                <c:pt idx="5">
                  <c:v>0</c:v>
                </c:pt>
                <c:pt idx="6">
                  <c:v>0</c:v>
                </c:pt>
                <c:pt idx="7">
                  <c:v>0</c:v>
                </c:pt>
                <c:pt idx="8">
                  <c:v>0</c:v>
                </c:pt>
                <c:pt idx="9">
                  <c:v>0</c:v>
                </c:pt>
                <c:pt idx="10">
                  <c:v>0</c:v>
                </c:pt>
                <c:pt idx="11">
                  <c:v>0</c:v>
                </c:pt>
              </c:numCache>
            </c:numRef>
          </c:val>
          <c:extLst xmlns:c16r2="http://schemas.microsoft.com/office/drawing/2015/06/chart">
            <c:ext xmlns:c16="http://schemas.microsoft.com/office/drawing/2014/chart" uri="{C3380CC4-5D6E-409C-BE32-E72D297353CC}">
              <c16:uniqueId val="{00000001-E9A4-4025-885D-558D1FDA443D}"/>
            </c:ext>
          </c:extLst>
        </c:ser>
        <c:dLbls>
          <c:showLegendKey val="0"/>
          <c:showVal val="0"/>
          <c:showCatName val="0"/>
          <c:showSerName val="0"/>
          <c:showPercent val="0"/>
          <c:showBubbleSize val="0"/>
        </c:dLbls>
        <c:gapWidth val="219"/>
        <c:axId val="713873328"/>
        <c:axId val="713867344"/>
      </c:barChart>
      <c:catAx>
        <c:axId val="7138733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713867344"/>
        <c:crosses val="autoZero"/>
        <c:auto val="1"/>
        <c:lblAlgn val="ctr"/>
        <c:lblOffset val="100"/>
        <c:noMultiLvlLbl val="0"/>
      </c:catAx>
      <c:valAx>
        <c:axId val="7138673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713873328"/>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1000" b="0" i="0" u="none" strike="noStrike" kern="1200" baseline="0">
                <a:solidFill>
                  <a:sysClr val="windowText" lastClr="000000"/>
                </a:solidFill>
                <a:latin typeface="+mn-lt"/>
                <a:ea typeface="+mn-ea"/>
                <a:cs typeface="+mn-cs"/>
              </a:defRPr>
            </a:pPr>
            <a:endParaRPr lang="en-US"/>
          </a:p>
        </c:txPr>
      </c:dTable>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en-US" sz="1200" b="0" i="0" u="none" strike="noStrike" kern="1200" spc="0" baseline="0">
                <a:solidFill>
                  <a:schemeClr val="tx1"/>
                </a:solidFill>
                <a:latin typeface="+mn-lt"/>
                <a:ea typeface="+mn-ea"/>
                <a:cs typeface="+mn-cs"/>
              </a:defRPr>
            </a:pPr>
            <a:r>
              <a:rPr lang="en-US" sz="1800" b="1" i="0" baseline="0">
                <a:effectLst/>
              </a:rPr>
              <a:t>Vankor Oil Production(kBOPD)</a:t>
            </a:r>
            <a:endParaRPr lang="en-US">
              <a:effectLst/>
            </a:endParaRPr>
          </a:p>
        </c:rich>
      </c:tx>
      <c:overlay val="0"/>
      <c:spPr>
        <a:noFill/>
        <a:ln>
          <a:noFill/>
        </a:ln>
        <a:effectLst/>
      </c:spPr>
      <c:txPr>
        <a:bodyPr rot="0" spcFirstLastPara="1" vertOverflow="ellipsis" vert="horz" wrap="square" anchor="ctr" anchorCtr="1"/>
        <a:lstStyle/>
        <a:p>
          <a:pPr>
            <a:defRPr lang="en-US" sz="1200" b="0" i="0" u="none" strike="noStrike" kern="1200" spc="0" baseline="0">
              <a:solidFill>
                <a:schemeClr val="tx1"/>
              </a:solidFill>
              <a:latin typeface="+mn-lt"/>
              <a:ea typeface="+mn-ea"/>
              <a:cs typeface="+mn-cs"/>
            </a:defRPr>
          </a:pPr>
          <a:endParaRPr lang="en-US"/>
        </a:p>
      </c:txPr>
    </c:title>
    <c:autoTitleDeleted val="0"/>
    <c:plotArea>
      <c:layout/>
      <c:barChart>
        <c:barDir val="col"/>
        <c:grouping val="clustered"/>
        <c:varyColors val="0"/>
        <c:ser>
          <c:idx val="0"/>
          <c:order val="0"/>
          <c:tx>
            <c:strRef>
              <c:f>Tables!$C$18</c:f>
              <c:strCache>
                <c:ptCount val="1"/>
                <c:pt idx="0">
                  <c:v>BE(kBOPD)</c:v>
                </c:pt>
              </c:strCache>
            </c:strRef>
          </c:tx>
          <c:spPr>
            <a:solidFill>
              <a:srgbClr val="92D050"/>
            </a:solidFill>
            <a:ln>
              <a:noFill/>
            </a:ln>
            <a:effectLst/>
          </c:spPr>
          <c:invertIfNegative val="0"/>
          <c:cat>
            <c:strRef>
              <c:f>Tables!$D$17:$O$17</c:f>
              <c:strCache>
                <c:ptCount val="12"/>
                <c:pt idx="0">
                  <c:v>Apr'26</c:v>
                </c:pt>
                <c:pt idx="1">
                  <c:v>May'26</c:v>
                </c:pt>
                <c:pt idx="2">
                  <c:v>June'26</c:v>
                </c:pt>
                <c:pt idx="3">
                  <c:v>July'26</c:v>
                </c:pt>
                <c:pt idx="4">
                  <c:v>Aug'26</c:v>
                </c:pt>
                <c:pt idx="5">
                  <c:v>Sep'26</c:v>
                </c:pt>
                <c:pt idx="6">
                  <c:v>Oct'26</c:v>
                </c:pt>
                <c:pt idx="7">
                  <c:v>Nov'26</c:v>
                </c:pt>
                <c:pt idx="8">
                  <c:v>Dec'26</c:v>
                </c:pt>
                <c:pt idx="9">
                  <c:v>Jan'27</c:v>
                </c:pt>
                <c:pt idx="10">
                  <c:v>Feb'27</c:v>
                </c:pt>
                <c:pt idx="11">
                  <c:v>Mar'27</c:v>
                </c:pt>
              </c:strCache>
            </c:strRef>
          </c:cat>
          <c:val>
            <c:numRef>
              <c:f>Tables!$D$18:$O$18</c:f>
              <c:numCache>
                <c:formatCode>0.00</c:formatCode>
                <c:ptCount val="12"/>
                <c:pt idx="0">
                  <c:v>174.55384615384614</c:v>
                </c:pt>
                <c:pt idx="1">
                  <c:v>174.46153846153845</c:v>
                </c:pt>
                <c:pt idx="2">
                  <c:v>175.50769230769231</c:v>
                </c:pt>
                <c:pt idx="3">
                  <c:v>174.46153846153845</c:v>
                </c:pt>
                <c:pt idx="4">
                  <c:v>174.46153846153845</c:v>
                </c:pt>
                <c:pt idx="5">
                  <c:v>174.55384615384614</c:v>
                </c:pt>
                <c:pt idx="6">
                  <c:v>174.46153846153845</c:v>
                </c:pt>
                <c:pt idx="7">
                  <c:v>174.55384615384614</c:v>
                </c:pt>
                <c:pt idx="8">
                  <c:v>174.46153846153845</c:v>
                </c:pt>
                <c:pt idx="9">
                  <c:v>174.46153846153845</c:v>
                </c:pt>
                <c:pt idx="10">
                  <c:v>174.75824175824175</c:v>
                </c:pt>
                <c:pt idx="11">
                  <c:v>174.46153846153845</c:v>
                </c:pt>
              </c:numCache>
            </c:numRef>
          </c:val>
          <c:extLst xmlns:c16r2="http://schemas.microsoft.com/office/drawing/2015/06/chart">
            <c:ext xmlns:c16="http://schemas.microsoft.com/office/drawing/2014/chart" uri="{C3380CC4-5D6E-409C-BE32-E72D297353CC}">
              <c16:uniqueId val="{00000000-CB5A-4A13-BD47-31BA9BD21F7C}"/>
            </c:ext>
          </c:extLst>
        </c:ser>
        <c:ser>
          <c:idx val="1"/>
          <c:order val="1"/>
          <c:tx>
            <c:strRef>
              <c:f>Tables!$C$19</c:f>
              <c:strCache>
                <c:ptCount val="1"/>
                <c:pt idx="0">
                  <c:v>Actual</c:v>
                </c:pt>
              </c:strCache>
            </c:strRef>
          </c:tx>
          <c:spPr>
            <a:solidFill>
              <a:srgbClr val="00B050"/>
            </a:solidFill>
            <a:ln>
              <a:noFill/>
            </a:ln>
            <a:effectLst/>
          </c:spPr>
          <c:invertIfNegative val="0"/>
          <c:cat>
            <c:strRef>
              <c:f>Tables!$D$17:$O$17</c:f>
              <c:strCache>
                <c:ptCount val="12"/>
                <c:pt idx="0">
                  <c:v>Apr'26</c:v>
                </c:pt>
                <c:pt idx="1">
                  <c:v>May'26</c:v>
                </c:pt>
                <c:pt idx="2">
                  <c:v>June'26</c:v>
                </c:pt>
                <c:pt idx="3">
                  <c:v>July'26</c:v>
                </c:pt>
                <c:pt idx="4">
                  <c:v>Aug'26</c:v>
                </c:pt>
                <c:pt idx="5">
                  <c:v>Sep'26</c:v>
                </c:pt>
                <c:pt idx="6">
                  <c:v>Oct'26</c:v>
                </c:pt>
                <c:pt idx="7">
                  <c:v>Nov'26</c:v>
                </c:pt>
                <c:pt idx="8">
                  <c:v>Dec'26</c:v>
                </c:pt>
                <c:pt idx="9">
                  <c:v>Jan'27</c:v>
                </c:pt>
                <c:pt idx="10">
                  <c:v>Feb'27</c:v>
                </c:pt>
                <c:pt idx="11">
                  <c:v>Mar'27</c:v>
                </c:pt>
              </c:strCache>
            </c:strRef>
          </c:cat>
          <c:val>
            <c:numRef>
              <c:f>Tables!$D$19:$O$19</c:f>
              <c:numCache>
                <c:formatCode>0.00</c:formatCode>
                <c:ptCount val="12"/>
                <c:pt idx="0">
                  <c:v>155.67312433366666</c:v>
                </c:pt>
                <c:pt idx="1">
                  <c:v>155.54670022645158</c:v>
                </c:pt>
                <c:pt idx="2">
                  <c:v>155.21486819966665</c:v>
                </c:pt>
                <c:pt idx="3">
                  <c:v>156.31407406483871</c:v>
                </c:pt>
                <c:pt idx="4">
                  <c:v>156.57838709677418</c:v>
                </c:pt>
                <c:pt idx="5">
                  <c:v>0</c:v>
                </c:pt>
                <c:pt idx="6">
                  <c:v>0</c:v>
                </c:pt>
                <c:pt idx="7">
                  <c:v>0</c:v>
                </c:pt>
                <c:pt idx="8">
                  <c:v>0</c:v>
                </c:pt>
                <c:pt idx="9">
                  <c:v>0</c:v>
                </c:pt>
                <c:pt idx="10">
                  <c:v>0</c:v>
                </c:pt>
                <c:pt idx="11">
                  <c:v>0</c:v>
                </c:pt>
              </c:numCache>
            </c:numRef>
          </c:val>
          <c:extLst xmlns:c16r2="http://schemas.microsoft.com/office/drawing/2015/06/chart">
            <c:ext xmlns:c16="http://schemas.microsoft.com/office/drawing/2014/chart" uri="{C3380CC4-5D6E-409C-BE32-E72D297353CC}">
              <c16:uniqueId val="{00000001-CB5A-4A13-BD47-31BA9BD21F7C}"/>
            </c:ext>
          </c:extLst>
        </c:ser>
        <c:dLbls>
          <c:showLegendKey val="0"/>
          <c:showVal val="0"/>
          <c:showCatName val="0"/>
          <c:showSerName val="0"/>
          <c:showPercent val="0"/>
          <c:showBubbleSize val="0"/>
        </c:dLbls>
        <c:gapWidth val="219"/>
        <c:axId val="713872784"/>
        <c:axId val="713873872"/>
      </c:barChart>
      <c:catAx>
        <c:axId val="7138727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713873872"/>
        <c:crosses val="autoZero"/>
        <c:auto val="1"/>
        <c:lblAlgn val="ctr"/>
        <c:lblOffset val="100"/>
        <c:noMultiLvlLbl val="0"/>
      </c:catAx>
      <c:valAx>
        <c:axId val="7138738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713872784"/>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lang="en-US" sz="1000" b="0" i="0" u="none" strike="noStrike" kern="1200" baseline="0">
                <a:solidFill>
                  <a:schemeClr val="tx1"/>
                </a:solidFill>
                <a:latin typeface="+mn-lt"/>
                <a:ea typeface="+mn-ea"/>
                <a:cs typeface="+mn-cs"/>
              </a:defRPr>
            </a:pPr>
            <a:endParaRPr lang="en-US"/>
          </a:p>
        </c:txPr>
      </c:dTable>
      <c:spPr>
        <a:noFill/>
        <a:ln>
          <a:noFill/>
        </a:ln>
        <a:effectLst/>
      </c:spPr>
    </c:plotArea>
    <c:legend>
      <c:legendPos val="b"/>
      <c:overlay val="0"/>
      <c:spPr>
        <a:noFill/>
        <a:ln>
          <a:noFill/>
        </a:ln>
        <a:effectLst/>
      </c:spPr>
      <c:txPr>
        <a:bodyPr rot="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lang="en-US" sz="10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solidFill>
                <a:latin typeface="+mn-lt"/>
                <a:ea typeface="+mn-ea"/>
                <a:cs typeface="+mn-cs"/>
              </a:defRPr>
            </a:pPr>
            <a:r>
              <a:rPr lang="en-US" sz="1800" b="1" i="0" baseline="0">
                <a:effectLst/>
              </a:rPr>
              <a:t>Imperial Energy Oil Production(kBOPD)</a:t>
            </a:r>
            <a:endParaRPr lang="en-US">
              <a:effectLst/>
            </a:endParaRPr>
          </a:p>
        </c:rich>
      </c:tx>
      <c:overlay val="0"/>
      <c:spPr>
        <a:noFill/>
        <a:ln>
          <a:noFill/>
        </a:ln>
        <a:effectLst/>
      </c:spPr>
    </c:title>
    <c:autoTitleDeleted val="0"/>
    <c:plotArea>
      <c:layout/>
      <c:barChart>
        <c:barDir val="col"/>
        <c:grouping val="clustered"/>
        <c:varyColors val="0"/>
        <c:ser>
          <c:idx val="0"/>
          <c:order val="0"/>
          <c:tx>
            <c:strRef>
              <c:f>Tables!$C$32</c:f>
              <c:strCache>
                <c:ptCount val="1"/>
                <c:pt idx="0">
                  <c:v>BE(kBOPD)</c:v>
                </c:pt>
              </c:strCache>
            </c:strRef>
          </c:tx>
          <c:spPr>
            <a:solidFill>
              <a:srgbClr val="92D050"/>
            </a:solidFill>
            <a:ln>
              <a:noFill/>
            </a:ln>
            <a:effectLst/>
          </c:spPr>
          <c:invertIfNegative val="0"/>
          <c:cat>
            <c:strRef>
              <c:f>Tables!$D$31:$O$31</c:f>
              <c:strCache>
                <c:ptCount val="12"/>
                <c:pt idx="0">
                  <c:v>Apr'26</c:v>
                </c:pt>
                <c:pt idx="1">
                  <c:v>May'26</c:v>
                </c:pt>
                <c:pt idx="2">
                  <c:v>June'26</c:v>
                </c:pt>
                <c:pt idx="3">
                  <c:v>July'26</c:v>
                </c:pt>
                <c:pt idx="4">
                  <c:v>Aug'26</c:v>
                </c:pt>
                <c:pt idx="5">
                  <c:v>Sep'26</c:v>
                </c:pt>
                <c:pt idx="6">
                  <c:v>Oct'26</c:v>
                </c:pt>
                <c:pt idx="7">
                  <c:v>Nov'26</c:v>
                </c:pt>
                <c:pt idx="8">
                  <c:v>Dec'26</c:v>
                </c:pt>
                <c:pt idx="9">
                  <c:v>Jan'27</c:v>
                </c:pt>
                <c:pt idx="10">
                  <c:v>Feb'27</c:v>
                </c:pt>
                <c:pt idx="11">
                  <c:v>Mar'27</c:v>
                </c:pt>
              </c:strCache>
            </c:strRef>
          </c:cat>
          <c:val>
            <c:numRef>
              <c:f>Tables!$D$32:$O$32</c:f>
              <c:numCache>
                <c:formatCode>0.000</c:formatCode>
                <c:ptCount val="12"/>
                <c:pt idx="0">
                  <c:v>2.0266666666666668</c:v>
                </c:pt>
                <c:pt idx="1">
                  <c:v>1.9612903225806451</c:v>
                </c:pt>
                <c:pt idx="2">
                  <c:v>2.0266666666666668</c:v>
                </c:pt>
                <c:pt idx="3">
                  <c:v>2.2064516129032259</c:v>
                </c:pt>
                <c:pt idx="4">
                  <c:v>2.2064516129032259</c:v>
                </c:pt>
                <c:pt idx="5">
                  <c:v>2.0266666666666668</c:v>
                </c:pt>
                <c:pt idx="6">
                  <c:v>2.2064516129032259</c:v>
                </c:pt>
                <c:pt idx="7">
                  <c:v>2.0266666666666668</c:v>
                </c:pt>
                <c:pt idx="8">
                  <c:v>1.9612903225806451</c:v>
                </c:pt>
                <c:pt idx="9">
                  <c:v>2.2064516129032259</c:v>
                </c:pt>
                <c:pt idx="10">
                  <c:v>2.1714285714285713</c:v>
                </c:pt>
                <c:pt idx="11">
                  <c:v>2.2064516129032259</c:v>
                </c:pt>
              </c:numCache>
            </c:numRef>
          </c:val>
          <c:extLst xmlns:c16r2="http://schemas.microsoft.com/office/drawing/2015/06/chart">
            <c:ext xmlns:c16="http://schemas.microsoft.com/office/drawing/2014/chart" uri="{C3380CC4-5D6E-409C-BE32-E72D297353CC}">
              <c16:uniqueId val="{00000004-D984-4C5F-B316-3E68F8B6DC62}"/>
            </c:ext>
          </c:extLst>
        </c:ser>
        <c:ser>
          <c:idx val="1"/>
          <c:order val="1"/>
          <c:tx>
            <c:strRef>
              <c:f>Tables!$C$33</c:f>
              <c:strCache>
                <c:ptCount val="1"/>
                <c:pt idx="0">
                  <c:v>Actual</c:v>
                </c:pt>
              </c:strCache>
            </c:strRef>
          </c:tx>
          <c:spPr>
            <a:solidFill>
              <a:srgbClr val="00B050"/>
            </a:solidFill>
            <a:ln>
              <a:noFill/>
            </a:ln>
            <a:effectLst/>
          </c:spPr>
          <c:invertIfNegative val="0"/>
          <c:cat>
            <c:strRef>
              <c:f>Tables!$D$31:$O$31</c:f>
              <c:strCache>
                <c:ptCount val="12"/>
                <c:pt idx="0">
                  <c:v>Apr'26</c:v>
                </c:pt>
                <c:pt idx="1">
                  <c:v>May'26</c:v>
                </c:pt>
                <c:pt idx="2">
                  <c:v>June'26</c:v>
                </c:pt>
                <c:pt idx="3">
                  <c:v>July'26</c:v>
                </c:pt>
                <c:pt idx="4">
                  <c:v>Aug'26</c:v>
                </c:pt>
                <c:pt idx="5">
                  <c:v>Sep'26</c:v>
                </c:pt>
                <c:pt idx="6">
                  <c:v>Oct'26</c:v>
                </c:pt>
                <c:pt idx="7">
                  <c:v>Nov'26</c:v>
                </c:pt>
                <c:pt idx="8">
                  <c:v>Dec'26</c:v>
                </c:pt>
                <c:pt idx="9">
                  <c:v>Jan'27</c:v>
                </c:pt>
                <c:pt idx="10">
                  <c:v>Feb'27</c:v>
                </c:pt>
                <c:pt idx="11">
                  <c:v>Mar'27</c:v>
                </c:pt>
              </c:strCache>
            </c:strRef>
          </c:cat>
          <c:val>
            <c:numRef>
              <c:f>Tables!$D$33:$O$33</c:f>
              <c:numCache>
                <c:formatCode>0.000</c:formatCode>
                <c:ptCount val="12"/>
                <c:pt idx="0">
                  <c:v>1.9671666666666667</c:v>
                </c:pt>
                <c:pt idx="1">
                  <c:v>1.8688709658064517</c:v>
                </c:pt>
                <c:pt idx="2">
                  <c:v>1.9767666666666666</c:v>
                </c:pt>
                <c:pt idx="3">
                  <c:v>1.9129999990322581</c:v>
                </c:pt>
                <c:pt idx="4">
                  <c:v>1.856483870967742</c:v>
                </c:pt>
                <c:pt idx="5">
                  <c:v>0</c:v>
                </c:pt>
                <c:pt idx="6">
                  <c:v>0</c:v>
                </c:pt>
                <c:pt idx="7">
                  <c:v>0</c:v>
                </c:pt>
                <c:pt idx="8">
                  <c:v>0</c:v>
                </c:pt>
                <c:pt idx="9">
                  <c:v>0</c:v>
                </c:pt>
                <c:pt idx="10">
                  <c:v>0</c:v>
                </c:pt>
                <c:pt idx="11">
                  <c:v>0</c:v>
                </c:pt>
              </c:numCache>
            </c:numRef>
          </c:val>
          <c:extLst xmlns:c16r2="http://schemas.microsoft.com/office/drawing/2015/06/chart">
            <c:ext xmlns:c16="http://schemas.microsoft.com/office/drawing/2014/chart" uri="{C3380CC4-5D6E-409C-BE32-E72D297353CC}">
              <c16:uniqueId val="{00000006-D984-4C5F-B316-3E68F8B6DC62}"/>
            </c:ext>
          </c:extLst>
        </c:ser>
        <c:dLbls>
          <c:showLegendKey val="0"/>
          <c:showVal val="0"/>
          <c:showCatName val="0"/>
          <c:showSerName val="0"/>
          <c:showPercent val="0"/>
          <c:showBubbleSize val="0"/>
        </c:dLbls>
        <c:gapWidth val="219"/>
        <c:axId val="712719520"/>
        <c:axId val="712763792"/>
      </c:barChart>
      <c:catAx>
        <c:axId val="7127195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712763792"/>
        <c:crosses val="autoZero"/>
        <c:auto val="1"/>
        <c:lblAlgn val="ctr"/>
        <c:lblOffset val="100"/>
        <c:noMultiLvlLbl val="0"/>
      </c:catAx>
      <c:valAx>
        <c:axId val="712763792"/>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712719520"/>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1000" b="0" i="0" u="none" strike="noStrike" kern="1200" baseline="0">
                <a:solidFill>
                  <a:sysClr val="windowText" lastClr="000000"/>
                </a:solidFill>
                <a:latin typeface="+mn-lt"/>
                <a:ea typeface="+mn-ea"/>
                <a:cs typeface="+mn-cs"/>
              </a:defRPr>
            </a:pPr>
            <a:endParaRPr lang="en-US"/>
          </a:p>
        </c:txPr>
      </c:dTable>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US" sz="1800" b="1" i="0" baseline="0">
                <a:effectLst/>
              </a:rPr>
              <a:t>ACG Oil Production(kBOPD)</a:t>
            </a:r>
            <a:endParaRPr lang="en-US">
              <a:effectLst/>
            </a:endParaRPr>
          </a:p>
        </c:rich>
      </c:tx>
      <c:overlay val="0"/>
      <c:spPr>
        <a:noFill/>
        <a:ln>
          <a:noFill/>
        </a:ln>
        <a:effectLst/>
      </c:spPr>
    </c:title>
    <c:autoTitleDeleted val="0"/>
    <c:plotArea>
      <c:layout/>
      <c:barChart>
        <c:barDir val="col"/>
        <c:grouping val="clustered"/>
        <c:varyColors val="0"/>
        <c:ser>
          <c:idx val="0"/>
          <c:order val="0"/>
          <c:tx>
            <c:strRef>
              <c:f>Tables!$C$46</c:f>
              <c:strCache>
                <c:ptCount val="1"/>
                <c:pt idx="0">
                  <c:v>BE(kBOPD)</c:v>
                </c:pt>
              </c:strCache>
            </c:strRef>
          </c:tx>
          <c:spPr>
            <a:solidFill>
              <a:srgbClr val="92D050"/>
            </a:solidFill>
            <a:ln>
              <a:noFill/>
            </a:ln>
            <a:effectLst/>
          </c:spPr>
          <c:invertIfNegative val="0"/>
          <c:cat>
            <c:strRef>
              <c:f>Tables!$D$45:$O$45</c:f>
              <c:strCache>
                <c:ptCount val="12"/>
                <c:pt idx="0">
                  <c:v>Apr'26</c:v>
                </c:pt>
                <c:pt idx="1">
                  <c:v>May'26</c:v>
                </c:pt>
                <c:pt idx="2">
                  <c:v>June'26</c:v>
                </c:pt>
                <c:pt idx="3">
                  <c:v>July'26</c:v>
                </c:pt>
                <c:pt idx="4">
                  <c:v>Aug'26</c:v>
                </c:pt>
                <c:pt idx="5">
                  <c:v>Sep'26</c:v>
                </c:pt>
                <c:pt idx="6">
                  <c:v>Oct'26</c:v>
                </c:pt>
                <c:pt idx="7">
                  <c:v>Nov'26</c:v>
                </c:pt>
                <c:pt idx="8">
                  <c:v>Dec'26</c:v>
                </c:pt>
                <c:pt idx="9">
                  <c:v>Jan'27</c:v>
                </c:pt>
                <c:pt idx="10">
                  <c:v>Feb'27</c:v>
                </c:pt>
                <c:pt idx="11">
                  <c:v>Mar'27</c:v>
                </c:pt>
              </c:strCache>
            </c:strRef>
          </c:cat>
          <c:val>
            <c:numRef>
              <c:f>Tables!$D$46:$O$46</c:f>
              <c:numCache>
                <c:formatCode>0.00</c:formatCode>
                <c:ptCount val="12"/>
                <c:pt idx="0">
                  <c:v>329.77777777777777</c:v>
                </c:pt>
                <c:pt idx="1">
                  <c:v>327.32285635511437</c:v>
                </c:pt>
                <c:pt idx="2">
                  <c:v>329.77777777777777</c:v>
                </c:pt>
                <c:pt idx="3">
                  <c:v>327.32285635511437</c:v>
                </c:pt>
                <c:pt idx="4">
                  <c:v>327.32285635511437</c:v>
                </c:pt>
                <c:pt idx="5">
                  <c:v>329.77777777777777</c:v>
                </c:pt>
                <c:pt idx="6">
                  <c:v>319.13978494623655</c:v>
                </c:pt>
                <c:pt idx="7">
                  <c:v>329.77777777777777</c:v>
                </c:pt>
                <c:pt idx="8">
                  <c:v>327.32285635511437</c:v>
                </c:pt>
                <c:pt idx="9">
                  <c:v>327.32285635511437</c:v>
                </c:pt>
                <c:pt idx="10">
                  <c:v>326.15384615384608</c:v>
                </c:pt>
                <c:pt idx="11">
                  <c:v>327.32285635511437</c:v>
                </c:pt>
              </c:numCache>
            </c:numRef>
          </c:val>
          <c:extLst xmlns:c16r2="http://schemas.microsoft.com/office/drawing/2015/06/chart">
            <c:ext xmlns:c16="http://schemas.microsoft.com/office/drawing/2014/chart" uri="{C3380CC4-5D6E-409C-BE32-E72D297353CC}">
              <c16:uniqueId val="{00000002-E44E-4E25-9AB5-F0E8B90E3F3A}"/>
            </c:ext>
          </c:extLst>
        </c:ser>
        <c:ser>
          <c:idx val="1"/>
          <c:order val="1"/>
          <c:tx>
            <c:strRef>
              <c:f>Tables!$C$47</c:f>
              <c:strCache>
                <c:ptCount val="1"/>
                <c:pt idx="0">
                  <c:v>Actual</c:v>
                </c:pt>
              </c:strCache>
            </c:strRef>
          </c:tx>
          <c:spPr>
            <a:solidFill>
              <a:srgbClr val="00B050"/>
            </a:solidFill>
            <a:ln>
              <a:noFill/>
            </a:ln>
            <a:effectLst/>
          </c:spPr>
          <c:invertIfNegative val="0"/>
          <c:cat>
            <c:strRef>
              <c:f>Tables!$D$45:$O$45</c:f>
              <c:strCache>
                <c:ptCount val="12"/>
                <c:pt idx="0">
                  <c:v>Apr'26</c:v>
                </c:pt>
                <c:pt idx="1">
                  <c:v>May'26</c:v>
                </c:pt>
                <c:pt idx="2">
                  <c:v>June'26</c:v>
                </c:pt>
                <c:pt idx="3">
                  <c:v>July'26</c:v>
                </c:pt>
                <c:pt idx="4">
                  <c:v>Aug'26</c:v>
                </c:pt>
                <c:pt idx="5">
                  <c:v>Sep'26</c:v>
                </c:pt>
                <c:pt idx="6">
                  <c:v>Oct'26</c:v>
                </c:pt>
                <c:pt idx="7">
                  <c:v>Nov'26</c:v>
                </c:pt>
                <c:pt idx="8">
                  <c:v>Dec'26</c:v>
                </c:pt>
                <c:pt idx="9">
                  <c:v>Jan'27</c:v>
                </c:pt>
                <c:pt idx="10">
                  <c:v>Feb'27</c:v>
                </c:pt>
                <c:pt idx="11">
                  <c:v>Mar'27</c:v>
                </c:pt>
              </c:strCache>
            </c:strRef>
          </c:cat>
          <c:val>
            <c:numRef>
              <c:f>Tables!$D$47:$O$47</c:f>
              <c:numCache>
                <c:formatCode>0.00</c:formatCode>
                <c:ptCount val="12"/>
                <c:pt idx="0">
                  <c:v>321.91663333333338</c:v>
                </c:pt>
                <c:pt idx="1">
                  <c:v>318.39219354806448</c:v>
                </c:pt>
                <c:pt idx="2">
                  <c:v>322.59596666833335</c:v>
                </c:pt>
                <c:pt idx="3">
                  <c:v>323.38748387387091</c:v>
                </c:pt>
                <c:pt idx="4">
                  <c:v>301.86641935483874</c:v>
                </c:pt>
                <c:pt idx="5">
                  <c:v>0</c:v>
                </c:pt>
                <c:pt idx="6">
                  <c:v>0</c:v>
                </c:pt>
                <c:pt idx="7">
                  <c:v>0</c:v>
                </c:pt>
                <c:pt idx="8">
                  <c:v>0</c:v>
                </c:pt>
                <c:pt idx="9">
                  <c:v>0</c:v>
                </c:pt>
                <c:pt idx="10">
                  <c:v>0</c:v>
                </c:pt>
                <c:pt idx="11">
                  <c:v>0</c:v>
                </c:pt>
              </c:numCache>
            </c:numRef>
          </c:val>
          <c:extLst xmlns:c16r2="http://schemas.microsoft.com/office/drawing/2015/06/chart">
            <c:ext xmlns:c16="http://schemas.microsoft.com/office/drawing/2014/chart" uri="{C3380CC4-5D6E-409C-BE32-E72D297353CC}">
              <c16:uniqueId val="{00000004-E44E-4E25-9AB5-F0E8B90E3F3A}"/>
            </c:ext>
          </c:extLst>
        </c:ser>
        <c:dLbls>
          <c:showLegendKey val="0"/>
          <c:showVal val="0"/>
          <c:showCatName val="0"/>
          <c:showSerName val="0"/>
          <c:showPercent val="0"/>
          <c:showBubbleSize val="0"/>
        </c:dLbls>
        <c:gapWidth val="219"/>
        <c:axId val="1156945680"/>
        <c:axId val="1156944592"/>
      </c:barChart>
      <c:catAx>
        <c:axId val="11569456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56944592"/>
        <c:crosses val="autoZero"/>
        <c:auto val="1"/>
        <c:lblAlgn val="ctr"/>
        <c:lblOffset val="100"/>
        <c:noMultiLvlLbl val="0"/>
      </c:catAx>
      <c:valAx>
        <c:axId val="11569445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56945680"/>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1000" b="0" i="0" u="none" strike="noStrike" kern="1200" baseline="0">
                <a:solidFill>
                  <a:sysClr val="windowText" lastClr="000000"/>
                </a:solidFill>
                <a:latin typeface="+mn-lt"/>
                <a:ea typeface="+mn-ea"/>
                <a:cs typeface="+mn-cs"/>
              </a:defRPr>
            </a:pPr>
            <a:endParaRPr lang="en-US"/>
          </a:p>
        </c:txPr>
      </c:dTable>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US" sz="1800" b="1" i="0" baseline="0">
                <a:effectLst/>
              </a:rPr>
              <a:t>BC-10 Oil Production(kBOPD)</a:t>
            </a:r>
            <a:endParaRPr lang="en-US">
              <a:effectLst/>
            </a:endParaRPr>
          </a:p>
        </c:rich>
      </c:tx>
      <c:overlay val="0"/>
      <c:spPr>
        <a:noFill/>
        <a:ln>
          <a:noFill/>
        </a:ln>
        <a:effectLst/>
      </c:spPr>
    </c:title>
    <c:autoTitleDeleted val="0"/>
    <c:plotArea>
      <c:layout/>
      <c:barChart>
        <c:barDir val="col"/>
        <c:grouping val="clustered"/>
        <c:varyColors val="0"/>
        <c:ser>
          <c:idx val="0"/>
          <c:order val="0"/>
          <c:tx>
            <c:strRef>
              <c:f>Tables!$C$60</c:f>
              <c:strCache>
                <c:ptCount val="1"/>
                <c:pt idx="0">
                  <c:v>BE(kBOPD)</c:v>
                </c:pt>
              </c:strCache>
            </c:strRef>
          </c:tx>
          <c:spPr>
            <a:solidFill>
              <a:srgbClr val="92D050"/>
            </a:solidFill>
            <a:ln>
              <a:noFill/>
            </a:ln>
            <a:effectLst/>
          </c:spPr>
          <c:invertIfNegative val="0"/>
          <c:cat>
            <c:strRef>
              <c:f>Tables!$D$59:$O$59</c:f>
              <c:strCache>
                <c:ptCount val="12"/>
                <c:pt idx="0">
                  <c:v>Apr'26</c:v>
                </c:pt>
                <c:pt idx="1">
                  <c:v>May'26</c:v>
                </c:pt>
                <c:pt idx="2">
                  <c:v>June'26</c:v>
                </c:pt>
                <c:pt idx="3">
                  <c:v>July'26</c:v>
                </c:pt>
                <c:pt idx="4">
                  <c:v>Aug'26</c:v>
                </c:pt>
                <c:pt idx="5">
                  <c:v>Sep'26</c:v>
                </c:pt>
                <c:pt idx="6">
                  <c:v>Oct'26</c:v>
                </c:pt>
                <c:pt idx="7">
                  <c:v>Nov'26</c:v>
                </c:pt>
                <c:pt idx="8">
                  <c:v>Dec'26</c:v>
                </c:pt>
                <c:pt idx="9">
                  <c:v>Jan'27</c:v>
                </c:pt>
                <c:pt idx="10">
                  <c:v>Feb'27</c:v>
                </c:pt>
                <c:pt idx="11">
                  <c:v>Mar'27</c:v>
                </c:pt>
              </c:strCache>
            </c:strRef>
          </c:cat>
          <c:val>
            <c:numRef>
              <c:f>Tables!$D$60:$O$60</c:f>
              <c:numCache>
                <c:formatCode>0.000</c:formatCode>
                <c:ptCount val="12"/>
                <c:pt idx="0">
                  <c:v>23.826543209876544</c:v>
                </c:pt>
                <c:pt idx="1">
                  <c:v>23.057945041816012</c:v>
                </c:pt>
                <c:pt idx="2">
                  <c:v>23.826543209876544</c:v>
                </c:pt>
                <c:pt idx="3">
                  <c:v>23.853046594982079</c:v>
                </c:pt>
                <c:pt idx="4">
                  <c:v>23.057945041816012</c:v>
                </c:pt>
                <c:pt idx="5">
                  <c:v>23.826543209876544</c:v>
                </c:pt>
                <c:pt idx="6">
                  <c:v>23.853046594982079</c:v>
                </c:pt>
                <c:pt idx="7">
                  <c:v>23.826543209876544</c:v>
                </c:pt>
                <c:pt idx="8">
                  <c:v>23.853046594982079</c:v>
                </c:pt>
                <c:pt idx="9">
                  <c:v>23.853046594982079</c:v>
                </c:pt>
                <c:pt idx="10">
                  <c:v>23.767857142857139</c:v>
                </c:pt>
                <c:pt idx="11">
                  <c:v>23.057945041816012</c:v>
                </c:pt>
              </c:numCache>
            </c:numRef>
          </c:val>
          <c:extLst xmlns:c16r2="http://schemas.microsoft.com/office/drawing/2015/06/chart">
            <c:ext xmlns:c16="http://schemas.microsoft.com/office/drawing/2014/chart" uri="{C3380CC4-5D6E-409C-BE32-E72D297353CC}">
              <c16:uniqueId val="{00000002-A96F-4F33-A8CC-C82FFCD7451F}"/>
            </c:ext>
          </c:extLst>
        </c:ser>
        <c:ser>
          <c:idx val="1"/>
          <c:order val="1"/>
          <c:tx>
            <c:strRef>
              <c:f>Tables!$C$61</c:f>
              <c:strCache>
                <c:ptCount val="1"/>
                <c:pt idx="0">
                  <c:v>Actual</c:v>
                </c:pt>
              </c:strCache>
            </c:strRef>
          </c:tx>
          <c:spPr>
            <a:solidFill>
              <a:srgbClr val="00B050"/>
            </a:solidFill>
            <a:ln>
              <a:noFill/>
            </a:ln>
            <a:effectLst/>
          </c:spPr>
          <c:invertIfNegative val="0"/>
          <c:cat>
            <c:strRef>
              <c:f>Tables!$D$59:$O$59</c:f>
              <c:strCache>
                <c:ptCount val="12"/>
                <c:pt idx="0">
                  <c:v>Apr'26</c:v>
                </c:pt>
                <c:pt idx="1">
                  <c:v>May'26</c:v>
                </c:pt>
                <c:pt idx="2">
                  <c:v>June'26</c:v>
                </c:pt>
                <c:pt idx="3">
                  <c:v>July'26</c:v>
                </c:pt>
                <c:pt idx="4">
                  <c:v>Aug'26</c:v>
                </c:pt>
                <c:pt idx="5">
                  <c:v>Sep'26</c:v>
                </c:pt>
                <c:pt idx="6">
                  <c:v>Oct'26</c:v>
                </c:pt>
                <c:pt idx="7">
                  <c:v>Nov'26</c:v>
                </c:pt>
                <c:pt idx="8">
                  <c:v>Dec'26</c:v>
                </c:pt>
                <c:pt idx="9">
                  <c:v>Jan'27</c:v>
                </c:pt>
                <c:pt idx="10">
                  <c:v>Feb'27</c:v>
                </c:pt>
                <c:pt idx="11">
                  <c:v>Mar'27</c:v>
                </c:pt>
              </c:strCache>
            </c:strRef>
          </c:cat>
          <c:val>
            <c:numRef>
              <c:f>Tables!$D$61:$O$61</c:f>
              <c:numCache>
                <c:formatCode>0.000</c:formatCode>
                <c:ptCount val="12"/>
                <c:pt idx="0">
                  <c:v>35.545783334333336</c:v>
                </c:pt>
                <c:pt idx="1">
                  <c:v>28.023939678064519</c:v>
                </c:pt>
                <c:pt idx="2">
                  <c:v>32.279925667666667</c:v>
                </c:pt>
                <c:pt idx="3">
                  <c:v>26.900451613225808</c:v>
                </c:pt>
                <c:pt idx="4">
                  <c:v>35.350548387096772</c:v>
                </c:pt>
                <c:pt idx="5">
                  <c:v>0</c:v>
                </c:pt>
                <c:pt idx="6">
                  <c:v>0</c:v>
                </c:pt>
                <c:pt idx="7">
                  <c:v>0</c:v>
                </c:pt>
                <c:pt idx="8">
                  <c:v>0</c:v>
                </c:pt>
                <c:pt idx="9">
                  <c:v>0</c:v>
                </c:pt>
                <c:pt idx="10">
                  <c:v>0</c:v>
                </c:pt>
                <c:pt idx="11">
                  <c:v>0</c:v>
                </c:pt>
              </c:numCache>
            </c:numRef>
          </c:val>
          <c:extLst xmlns:c16r2="http://schemas.microsoft.com/office/drawing/2015/06/chart">
            <c:ext xmlns:c16="http://schemas.microsoft.com/office/drawing/2014/chart" uri="{C3380CC4-5D6E-409C-BE32-E72D297353CC}">
              <c16:uniqueId val="{00000004-A96F-4F33-A8CC-C82FFCD7451F}"/>
            </c:ext>
          </c:extLst>
        </c:ser>
        <c:dLbls>
          <c:showLegendKey val="0"/>
          <c:showVal val="0"/>
          <c:showCatName val="0"/>
          <c:showSerName val="0"/>
          <c:showPercent val="0"/>
          <c:showBubbleSize val="0"/>
        </c:dLbls>
        <c:gapWidth val="219"/>
        <c:axId val="1156959824"/>
        <c:axId val="1156958192"/>
      </c:barChart>
      <c:catAx>
        <c:axId val="11569598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56958192"/>
        <c:crosses val="autoZero"/>
        <c:auto val="1"/>
        <c:lblAlgn val="ctr"/>
        <c:lblOffset val="100"/>
        <c:noMultiLvlLbl val="0"/>
      </c:catAx>
      <c:valAx>
        <c:axId val="1156958192"/>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56959824"/>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1000" b="0" i="0" u="none" strike="noStrike" kern="1200" baseline="0">
                <a:solidFill>
                  <a:sysClr val="windowText" lastClr="000000"/>
                </a:solidFill>
                <a:latin typeface="+mn-lt"/>
                <a:ea typeface="+mn-ea"/>
                <a:cs typeface="+mn-cs"/>
              </a:defRPr>
            </a:pPr>
            <a:endParaRPr lang="en-US"/>
          </a:p>
        </c:txPr>
      </c:dTable>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US" sz="1800" b="1" i="0" baseline="0">
                <a:effectLst/>
              </a:rPr>
              <a:t>MECL Oil Production(kBOPD)</a:t>
            </a:r>
            <a:endParaRPr lang="en-US">
              <a:effectLst/>
            </a:endParaRPr>
          </a:p>
        </c:rich>
      </c:tx>
      <c:overlay val="0"/>
      <c:spPr>
        <a:noFill/>
        <a:ln>
          <a:noFill/>
        </a:ln>
        <a:effectLst/>
      </c:spPr>
    </c:title>
    <c:autoTitleDeleted val="0"/>
    <c:plotArea>
      <c:layout/>
      <c:barChart>
        <c:barDir val="col"/>
        <c:grouping val="clustered"/>
        <c:varyColors val="0"/>
        <c:ser>
          <c:idx val="0"/>
          <c:order val="0"/>
          <c:tx>
            <c:strRef>
              <c:f>Tables!$C$74</c:f>
              <c:strCache>
                <c:ptCount val="1"/>
                <c:pt idx="0">
                  <c:v>BE(kBOPD)</c:v>
                </c:pt>
              </c:strCache>
            </c:strRef>
          </c:tx>
          <c:spPr>
            <a:solidFill>
              <a:srgbClr val="92D050"/>
            </a:solidFill>
            <a:ln>
              <a:noFill/>
            </a:ln>
            <a:effectLst/>
          </c:spPr>
          <c:invertIfNegative val="0"/>
          <c:cat>
            <c:strRef>
              <c:f>Tables!$D$73:$O$73</c:f>
              <c:strCache>
                <c:ptCount val="12"/>
                <c:pt idx="0">
                  <c:v>Apr'26</c:v>
                </c:pt>
                <c:pt idx="1">
                  <c:v>May'26</c:v>
                </c:pt>
                <c:pt idx="2">
                  <c:v>June'26</c:v>
                </c:pt>
                <c:pt idx="3">
                  <c:v>July'26</c:v>
                </c:pt>
                <c:pt idx="4">
                  <c:v>Aug'26</c:v>
                </c:pt>
                <c:pt idx="5">
                  <c:v>Sep'26</c:v>
                </c:pt>
                <c:pt idx="6">
                  <c:v>Oct'26</c:v>
                </c:pt>
                <c:pt idx="7">
                  <c:v>Nov'26</c:v>
                </c:pt>
                <c:pt idx="8">
                  <c:v>Dec'26</c:v>
                </c:pt>
                <c:pt idx="9">
                  <c:v>Jan'27</c:v>
                </c:pt>
                <c:pt idx="10">
                  <c:v>Feb'27</c:v>
                </c:pt>
                <c:pt idx="11">
                  <c:v>Mar'27</c:v>
                </c:pt>
              </c:strCache>
            </c:strRef>
          </c:cat>
          <c:val>
            <c:numRef>
              <c:f>Tables!$D$74:$O$74</c:f>
              <c:numCache>
                <c:formatCode>0.000</c:formatCode>
                <c:ptCount val="12"/>
                <c:pt idx="0">
                  <c:v>5.4240000000000004</c:v>
                </c:pt>
                <c:pt idx="1">
                  <c:v>5.2490322580645161</c:v>
                </c:pt>
                <c:pt idx="2">
                  <c:v>5.4240000000000004</c:v>
                </c:pt>
                <c:pt idx="3">
                  <c:v>5.6864516129032259</c:v>
                </c:pt>
                <c:pt idx="4">
                  <c:v>5.6864516129032259</c:v>
                </c:pt>
                <c:pt idx="5">
                  <c:v>5.4240000000000004</c:v>
                </c:pt>
                <c:pt idx="6">
                  <c:v>5.2490322580645161</c:v>
                </c:pt>
                <c:pt idx="7">
                  <c:v>5.4240000000000004</c:v>
                </c:pt>
                <c:pt idx="8">
                  <c:v>5.6864516129032259</c:v>
                </c:pt>
                <c:pt idx="9">
                  <c:v>5.6864516129032259</c:v>
                </c:pt>
                <c:pt idx="10">
                  <c:v>5.3271428571428574</c:v>
                </c:pt>
                <c:pt idx="11">
                  <c:v>5.2490322580645161</c:v>
                </c:pt>
              </c:numCache>
            </c:numRef>
          </c:val>
          <c:extLst xmlns:c16r2="http://schemas.microsoft.com/office/drawing/2015/06/chart">
            <c:ext xmlns:c16="http://schemas.microsoft.com/office/drawing/2014/chart" uri="{C3380CC4-5D6E-409C-BE32-E72D297353CC}">
              <c16:uniqueId val="{00000002-C5A8-4D7E-AF01-88F26F98E42A}"/>
            </c:ext>
          </c:extLst>
        </c:ser>
        <c:ser>
          <c:idx val="1"/>
          <c:order val="1"/>
          <c:tx>
            <c:strRef>
              <c:f>Tables!$C$75</c:f>
              <c:strCache>
                <c:ptCount val="1"/>
                <c:pt idx="0">
                  <c:v>Actual</c:v>
                </c:pt>
              </c:strCache>
            </c:strRef>
          </c:tx>
          <c:spPr>
            <a:solidFill>
              <a:srgbClr val="00B050"/>
            </a:solidFill>
            <a:ln>
              <a:noFill/>
            </a:ln>
            <a:effectLst/>
          </c:spPr>
          <c:invertIfNegative val="0"/>
          <c:cat>
            <c:strRef>
              <c:f>Tables!$D$73:$O$73</c:f>
              <c:strCache>
                <c:ptCount val="12"/>
                <c:pt idx="0">
                  <c:v>Apr'26</c:v>
                </c:pt>
                <c:pt idx="1">
                  <c:v>May'26</c:v>
                </c:pt>
                <c:pt idx="2">
                  <c:v>June'26</c:v>
                </c:pt>
                <c:pt idx="3">
                  <c:v>July'26</c:v>
                </c:pt>
                <c:pt idx="4">
                  <c:v>Aug'26</c:v>
                </c:pt>
                <c:pt idx="5">
                  <c:v>Sep'26</c:v>
                </c:pt>
                <c:pt idx="6">
                  <c:v>Oct'26</c:v>
                </c:pt>
                <c:pt idx="7">
                  <c:v>Nov'26</c:v>
                </c:pt>
                <c:pt idx="8">
                  <c:v>Dec'26</c:v>
                </c:pt>
                <c:pt idx="9">
                  <c:v>Jan'27</c:v>
                </c:pt>
                <c:pt idx="10">
                  <c:v>Feb'27</c:v>
                </c:pt>
                <c:pt idx="11">
                  <c:v>Mar'27</c:v>
                </c:pt>
              </c:strCache>
            </c:strRef>
          </c:cat>
          <c:val>
            <c:numRef>
              <c:f>Tables!$D$75:$O$75</c:f>
              <c:numCache>
                <c:formatCode>0.000</c:formatCode>
                <c:ptCount val="12"/>
                <c:pt idx="0">
                  <c:v>4.4825666663333337</c:v>
                </c:pt>
                <c:pt idx="1">
                  <c:v>4.4497741938709678</c:v>
                </c:pt>
                <c:pt idx="2">
                  <c:v>4.7953000000000001</c:v>
                </c:pt>
                <c:pt idx="3">
                  <c:v>4.8724838709677414</c:v>
                </c:pt>
                <c:pt idx="4">
                  <c:v>4.9768387096774198</c:v>
                </c:pt>
                <c:pt idx="5">
                  <c:v>0</c:v>
                </c:pt>
                <c:pt idx="6">
                  <c:v>0</c:v>
                </c:pt>
                <c:pt idx="7">
                  <c:v>0</c:v>
                </c:pt>
                <c:pt idx="8">
                  <c:v>0</c:v>
                </c:pt>
                <c:pt idx="9">
                  <c:v>0</c:v>
                </c:pt>
                <c:pt idx="10">
                  <c:v>0</c:v>
                </c:pt>
                <c:pt idx="11">
                  <c:v>0</c:v>
                </c:pt>
              </c:numCache>
            </c:numRef>
          </c:val>
          <c:extLst xmlns:c16r2="http://schemas.microsoft.com/office/drawing/2015/06/chart">
            <c:ext xmlns:c16="http://schemas.microsoft.com/office/drawing/2014/chart" uri="{C3380CC4-5D6E-409C-BE32-E72D297353CC}">
              <c16:uniqueId val="{00000004-C5A8-4D7E-AF01-88F26F98E42A}"/>
            </c:ext>
          </c:extLst>
        </c:ser>
        <c:dLbls>
          <c:showLegendKey val="0"/>
          <c:showVal val="0"/>
          <c:showCatName val="0"/>
          <c:showSerName val="0"/>
          <c:showPercent val="0"/>
          <c:showBubbleSize val="0"/>
        </c:dLbls>
        <c:gapWidth val="219"/>
        <c:axId val="1156960912"/>
        <c:axId val="1156954928"/>
      </c:barChart>
      <c:catAx>
        <c:axId val="11569609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56954928"/>
        <c:crosses val="autoZero"/>
        <c:auto val="1"/>
        <c:lblAlgn val="ctr"/>
        <c:lblOffset val="100"/>
        <c:noMultiLvlLbl val="0"/>
      </c:catAx>
      <c:valAx>
        <c:axId val="1156954928"/>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56960912"/>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1000" b="0" i="0" u="none" strike="noStrike" kern="1200" baseline="0">
                <a:solidFill>
                  <a:sysClr val="windowText" lastClr="000000"/>
                </a:solidFill>
                <a:latin typeface="+mn-lt"/>
                <a:ea typeface="+mn-ea"/>
                <a:cs typeface="+mn-cs"/>
              </a:defRPr>
            </a:pPr>
            <a:endParaRPr lang="en-US"/>
          </a:p>
        </c:txPr>
      </c:dTable>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US" sz="1800" b="1" i="0" baseline="0">
                <a:effectLst/>
              </a:rPr>
              <a:t>CPO-5 Oil Production(kBOPD)</a:t>
            </a:r>
            <a:endParaRPr lang="en-US">
              <a:effectLst/>
            </a:endParaRPr>
          </a:p>
        </c:rich>
      </c:tx>
      <c:overlay val="0"/>
      <c:spPr>
        <a:noFill/>
        <a:ln>
          <a:noFill/>
        </a:ln>
        <a:effectLst/>
      </c:spPr>
    </c:title>
    <c:autoTitleDeleted val="0"/>
    <c:plotArea>
      <c:layout/>
      <c:barChart>
        <c:barDir val="col"/>
        <c:grouping val="clustered"/>
        <c:varyColors val="0"/>
        <c:ser>
          <c:idx val="0"/>
          <c:order val="0"/>
          <c:tx>
            <c:strRef>
              <c:f>Tables!$C$88</c:f>
              <c:strCache>
                <c:ptCount val="1"/>
                <c:pt idx="0">
                  <c:v>BE(kBOPD)</c:v>
                </c:pt>
              </c:strCache>
            </c:strRef>
          </c:tx>
          <c:spPr>
            <a:solidFill>
              <a:srgbClr val="92D050"/>
            </a:solidFill>
            <a:ln>
              <a:noFill/>
            </a:ln>
            <a:effectLst/>
          </c:spPr>
          <c:invertIfNegative val="0"/>
          <c:cat>
            <c:strRef>
              <c:f>Tables!$D$87:$O$87</c:f>
              <c:strCache>
                <c:ptCount val="12"/>
                <c:pt idx="0">
                  <c:v>Apr'26</c:v>
                </c:pt>
                <c:pt idx="1">
                  <c:v>May'26</c:v>
                </c:pt>
                <c:pt idx="2">
                  <c:v>June'26</c:v>
                </c:pt>
                <c:pt idx="3">
                  <c:v>July'26</c:v>
                </c:pt>
                <c:pt idx="4">
                  <c:v>Aug'26</c:v>
                </c:pt>
                <c:pt idx="5">
                  <c:v>Sep'26</c:v>
                </c:pt>
                <c:pt idx="6">
                  <c:v>Oct'26</c:v>
                </c:pt>
                <c:pt idx="7">
                  <c:v>Nov'26</c:v>
                </c:pt>
                <c:pt idx="8">
                  <c:v>Dec'26</c:v>
                </c:pt>
                <c:pt idx="9">
                  <c:v>Jan'27</c:v>
                </c:pt>
                <c:pt idx="10">
                  <c:v>Feb'27</c:v>
                </c:pt>
                <c:pt idx="11">
                  <c:v>Mar'27</c:v>
                </c:pt>
              </c:strCache>
            </c:strRef>
          </c:cat>
          <c:val>
            <c:numRef>
              <c:f>Tables!$D$88:$O$88</c:f>
              <c:numCache>
                <c:formatCode>0.000</c:formatCode>
                <c:ptCount val="12"/>
                <c:pt idx="0">
                  <c:v>22.200000000000003</c:v>
                </c:pt>
                <c:pt idx="1">
                  <c:v>22.16589861751152</c:v>
                </c:pt>
                <c:pt idx="2">
                  <c:v>22.552380952380958</c:v>
                </c:pt>
                <c:pt idx="3">
                  <c:v>22.16589861751152</c:v>
                </c:pt>
                <c:pt idx="4">
                  <c:v>22.16589861751152</c:v>
                </c:pt>
                <c:pt idx="5">
                  <c:v>22.552380952380958</c:v>
                </c:pt>
                <c:pt idx="6">
                  <c:v>22.16589861751152</c:v>
                </c:pt>
                <c:pt idx="7">
                  <c:v>22.200000000000003</c:v>
                </c:pt>
                <c:pt idx="8">
                  <c:v>22.16589861751152</c:v>
                </c:pt>
                <c:pt idx="9">
                  <c:v>22.16589861751152</c:v>
                </c:pt>
                <c:pt idx="10">
                  <c:v>22.653061224489797</c:v>
                </c:pt>
                <c:pt idx="11">
                  <c:v>22.506912442396317</c:v>
                </c:pt>
              </c:numCache>
            </c:numRef>
          </c:val>
          <c:extLst xmlns:c16r2="http://schemas.microsoft.com/office/drawing/2015/06/chart">
            <c:ext xmlns:c16="http://schemas.microsoft.com/office/drawing/2014/chart" uri="{C3380CC4-5D6E-409C-BE32-E72D297353CC}">
              <c16:uniqueId val="{00000002-7FD2-4141-AC4F-11C0DFA899EA}"/>
            </c:ext>
          </c:extLst>
        </c:ser>
        <c:ser>
          <c:idx val="1"/>
          <c:order val="1"/>
          <c:tx>
            <c:strRef>
              <c:f>Tables!$C$89</c:f>
              <c:strCache>
                <c:ptCount val="1"/>
                <c:pt idx="0">
                  <c:v>Actual</c:v>
                </c:pt>
              </c:strCache>
            </c:strRef>
          </c:tx>
          <c:spPr>
            <a:solidFill>
              <a:srgbClr val="00B050"/>
            </a:solidFill>
            <a:ln>
              <a:noFill/>
            </a:ln>
            <a:effectLst/>
          </c:spPr>
          <c:invertIfNegative val="0"/>
          <c:cat>
            <c:strRef>
              <c:f>Tables!$D$87:$O$87</c:f>
              <c:strCache>
                <c:ptCount val="12"/>
                <c:pt idx="0">
                  <c:v>Apr'26</c:v>
                </c:pt>
                <c:pt idx="1">
                  <c:v>May'26</c:v>
                </c:pt>
                <c:pt idx="2">
                  <c:v>June'26</c:v>
                </c:pt>
                <c:pt idx="3">
                  <c:v>July'26</c:v>
                </c:pt>
                <c:pt idx="4">
                  <c:v>Aug'26</c:v>
                </c:pt>
                <c:pt idx="5">
                  <c:v>Sep'26</c:v>
                </c:pt>
                <c:pt idx="6">
                  <c:v>Oct'26</c:v>
                </c:pt>
                <c:pt idx="7">
                  <c:v>Nov'26</c:v>
                </c:pt>
                <c:pt idx="8">
                  <c:v>Dec'26</c:v>
                </c:pt>
                <c:pt idx="9">
                  <c:v>Jan'27</c:v>
                </c:pt>
                <c:pt idx="10">
                  <c:v>Feb'27</c:v>
                </c:pt>
                <c:pt idx="11">
                  <c:v>Mar'27</c:v>
                </c:pt>
              </c:strCache>
            </c:strRef>
          </c:cat>
          <c:val>
            <c:numRef>
              <c:f>Tables!$D$89:$O$89</c:f>
              <c:numCache>
                <c:formatCode>0.000</c:formatCode>
                <c:ptCount val="12"/>
                <c:pt idx="0">
                  <c:v>18.270500001000002</c:v>
                </c:pt>
                <c:pt idx="1">
                  <c:v>21.726806451612902</c:v>
                </c:pt>
                <c:pt idx="2">
                  <c:v>21.278499999000001</c:v>
                </c:pt>
                <c:pt idx="3">
                  <c:v>20.944516129677421</c:v>
                </c:pt>
                <c:pt idx="4">
                  <c:v>21.588691290322583</c:v>
                </c:pt>
                <c:pt idx="5">
                  <c:v>0</c:v>
                </c:pt>
                <c:pt idx="6">
                  <c:v>0</c:v>
                </c:pt>
                <c:pt idx="7">
                  <c:v>0</c:v>
                </c:pt>
                <c:pt idx="8">
                  <c:v>0</c:v>
                </c:pt>
                <c:pt idx="9">
                  <c:v>0</c:v>
                </c:pt>
                <c:pt idx="10">
                  <c:v>0</c:v>
                </c:pt>
                <c:pt idx="11">
                  <c:v>0</c:v>
                </c:pt>
              </c:numCache>
            </c:numRef>
          </c:val>
          <c:extLst xmlns:c16r2="http://schemas.microsoft.com/office/drawing/2015/06/chart">
            <c:ext xmlns:c16="http://schemas.microsoft.com/office/drawing/2014/chart" uri="{C3380CC4-5D6E-409C-BE32-E72D297353CC}">
              <c16:uniqueId val="{00000004-7FD2-4141-AC4F-11C0DFA899EA}"/>
            </c:ext>
          </c:extLst>
        </c:ser>
        <c:dLbls>
          <c:showLegendKey val="0"/>
          <c:showVal val="0"/>
          <c:showCatName val="0"/>
          <c:showSerName val="0"/>
          <c:showPercent val="0"/>
          <c:showBubbleSize val="0"/>
        </c:dLbls>
        <c:gapWidth val="219"/>
        <c:axId val="1156962000"/>
        <c:axId val="1156944048"/>
      </c:barChart>
      <c:catAx>
        <c:axId val="1156962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56944048"/>
        <c:crosses val="autoZero"/>
        <c:auto val="1"/>
        <c:lblAlgn val="ctr"/>
        <c:lblOffset val="100"/>
        <c:noMultiLvlLbl val="0"/>
      </c:catAx>
      <c:valAx>
        <c:axId val="1156944048"/>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56962000"/>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1000" b="0" i="0" u="none" strike="noStrike" kern="1200" baseline="0">
                <a:solidFill>
                  <a:sysClr val="windowText" lastClr="000000"/>
                </a:solidFill>
                <a:latin typeface="+mn-lt"/>
                <a:ea typeface="+mn-ea"/>
                <a:cs typeface="+mn-cs"/>
              </a:defRPr>
            </a:pPr>
            <a:endParaRPr lang="en-US"/>
          </a:p>
        </c:txPr>
      </c:dTable>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US" sz="1800" b="1" i="0" baseline="0">
                <a:effectLst/>
              </a:rPr>
              <a:t>Carabobo-1 Oil Production(kBOPD)</a:t>
            </a:r>
            <a:endParaRPr lang="en-US">
              <a:effectLst/>
            </a:endParaRPr>
          </a:p>
        </c:rich>
      </c:tx>
      <c:overlay val="0"/>
      <c:spPr>
        <a:noFill/>
        <a:ln>
          <a:noFill/>
        </a:ln>
        <a:effectLst/>
      </c:spPr>
    </c:title>
    <c:autoTitleDeleted val="0"/>
    <c:plotArea>
      <c:layout/>
      <c:barChart>
        <c:barDir val="col"/>
        <c:grouping val="clustered"/>
        <c:varyColors val="0"/>
        <c:ser>
          <c:idx val="0"/>
          <c:order val="0"/>
          <c:tx>
            <c:strRef>
              <c:f>Tables!$C$102</c:f>
              <c:strCache>
                <c:ptCount val="1"/>
                <c:pt idx="0">
                  <c:v>BE(kBOPD)</c:v>
                </c:pt>
              </c:strCache>
            </c:strRef>
          </c:tx>
          <c:spPr>
            <a:solidFill>
              <a:srgbClr val="92D050"/>
            </a:solidFill>
            <a:ln>
              <a:noFill/>
            </a:ln>
            <a:effectLst/>
          </c:spPr>
          <c:invertIfNegative val="0"/>
          <c:cat>
            <c:strRef>
              <c:f>Tables!$D$101:$O$101</c:f>
              <c:strCache>
                <c:ptCount val="12"/>
                <c:pt idx="0">
                  <c:v>Apr'26</c:v>
                </c:pt>
                <c:pt idx="1">
                  <c:v>May'26</c:v>
                </c:pt>
                <c:pt idx="2">
                  <c:v>June'26</c:v>
                </c:pt>
                <c:pt idx="3">
                  <c:v>July'26</c:v>
                </c:pt>
                <c:pt idx="4">
                  <c:v>Aug'26</c:v>
                </c:pt>
                <c:pt idx="5">
                  <c:v>Sep'26</c:v>
                </c:pt>
                <c:pt idx="6">
                  <c:v>Oct'26</c:v>
                </c:pt>
                <c:pt idx="7">
                  <c:v>Nov'26</c:v>
                </c:pt>
                <c:pt idx="8">
                  <c:v>Dec'26</c:v>
                </c:pt>
                <c:pt idx="9">
                  <c:v>Jan'27</c:v>
                </c:pt>
                <c:pt idx="10">
                  <c:v>Feb'27</c:v>
                </c:pt>
                <c:pt idx="11">
                  <c:v>Mar'27</c:v>
                </c:pt>
              </c:strCache>
            </c:strRef>
          </c:cat>
          <c:val>
            <c:numRef>
              <c:f>Tables!$D$102:$O$102</c:f>
              <c:numCache>
                <c:formatCode>0.000</c:formatCode>
                <c:ptCount val="12"/>
                <c:pt idx="0">
                  <c:v>7.5636363636363635</c:v>
                </c:pt>
                <c:pt idx="1">
                  <c:v>9.1495601173020535</c:v>
                </c:pt>
                <c:pt idx="2">
                  <c:v>7.5636363636363635</c:v>
                </c:pt>
                <c:pt idx="3">
                  <c:v>7.3196480938416411</c:v>
                </c:pt>
                <c:pt idx="4">
                  <c:v>9.1495601173020535</c:v>
                </c:pt>
                <c:pt idx="5">
                  <c:v>7.5636363636363635</c:v>
                </c:pt>
                <c:pt idx="6">
                  <c:v>7.3196480938416411</c:v>
                </c:pt>
                <c:pt idx="7">
                  <c:v>7.5636363636363635</c:v>
                </c:pt>
                <c:pt idx="8">
                  <c:v>7.3196480938416411</c:v>
                </c:pt>
                <c:pt idx="9">
                  <c:v>7.3196480938416411</c:v>
                </c:pt>
                <c:pt idx="10">
                  <c:v>8.103896103896103</c:v>
                </c:pt>
                <c:pt idx="11">
                  <c:v>7.3196480938416411</c:v>
                </c:pt>
              </c:numCache>
            </c:numRef>
          </c:val>
          <c:extLst xmlns:c16r2="http://schemas.microsoft.com/office/drawing/2015/06/chart">
            <c:ext xmlns:c16="http://schemas.microsoft.com/office/drawing/2014/chart" uri="{C3380CC4-5D6E-409C-BE32-E72D297353CC}">
              <c16:uniqueId val="{00000002-D105-4AEA-A95A-5A41EA3ABD6C}"/>
            </c:ext>
          </c:extLst>
        </c:ser>
        <c:ser>
          <c:idx val="1"/>
          <c:order val="1"/>
          <c:tx>
            <c:strRef>
              <c:f>Tables!$C$103</c:f>
              <c:strCache>
                <c:ptCount val="1"/>
                <c:pt idx="0">
                  <c:v>Actual</c:v>
                </c:pt>
              </c:strCache>
            </c:strRef>
          </c:tx>
          <c:spPr>
            <a:solidFill>
              <a:srgbClr val="00B050"/>
            </a:solidFill>
            <a:ln>
              <a:noFill/>
            </a:ln>
            <a:effectLst/>
          </c:spPr>
          <c:invertIfNegative val="0"/>
          <c:cat>
            <c:strRef>
              <c:f>Tables!$D$101:$O$101</c:f>
              <c:strCache>
                <c:ptCount val="12"/>
                <c:pt idx="0">
                  <c:v>Apr'26</c:v>
                </c:pt>
                <c:pt idx="1">
                  <c:v>May'26</c:v>
                </c:pt>
                <c:pt idx="2">
                  <c:v>June'26</c:v>
                </c:pt>
                <c:pt idx="3">
                  <c:v>July'26</c:v>
                </c:pt>
                <c:pt idx="4">
                  <c:v>Aug'26</c:v>
                </c:pt>
                <c:pt idx="5">
                  <c:v>Sep'26</c:v>
                </c:pt>
                <c:pt idx="6">
                  <c:v>Oct'26</c:v>
                </c:pt>
                <c:pt idx="7">
                  <c:v>Nov'26</c:v>
                </c:pt>
                <c:pt idx="8">
                  <c:v>Dec'26</c:v>
                </c:pt>
                <c:pt idx="9">
                  <c:v>Jan'27</c:v>
                </c:pt>
                <c:pt idx="10">
                  <c:v>Feb'27</c:v>
                </c:pt>
                <c:pt idx="11">
                  <c:v>Mar'27</c:v>
                </c:pt>
              </c:strCache>
            </c:strRef>
          </c:cat>
          <c:val>
            <c:numRef>
              <c:f>Tables!$D$103:$O$103</c:f>
              <c:numCache>
                <c:formatCode>0.000</c:formatCode>
                <c:ptCount val="12"/>
                <c:pt idx="0">
                  <c:v>7.0230999993333336</c:v>
                </c:pt>
                <c:pt idx="1">
                  <c:v>6.9520645158064518</c:v>
                </c:pt>
                <c:pt idx="2">
                  <c:v>6.9692999993333329</c:v>
                </c:pt>
                <c:pt idx="3">
                  <c:v>6.9548064516129031</c:v>
                </c:pt>
                <c:pt idx="4">
                  <c:v>6.9134193548387097</c:v>
                </c:pt>
                <c:pt idx="5">
                  <c:v>0</c:v>
                </c:pt>
                <c:pt idx="6">
                  <c:v>0</c:v>
                </c:pt>
                <c:pt idx="7">
                  <c:v>0</c:v>
                </c:pt>
                <c:pt idx="8">
                  <c:v>0</c:v>
                </c:pt>
                <c:pt idx="9">
                  <c:v>0</c:v>
                </c:pt>
                <c:pt idx="10">
                  <c:v>0</c:v>
                </c:pt>
                <c:pt idx="11">
                  <c:v>0</c:v>
                </c:pt>
              </c:numCache>
            </c:numRef>
          </c:val>
          <c:extLst xmlns:c16r2="http://schemas.microsoft.com/office/drawing/2015/06/chart">
            <c:ext xmlns:c16="http://schemas.microsoft.com/office/drawing/2014/chart" uri="{C3380CC4-5D6E-409C-BE32-E72D297353CC}">
              <c16:uniqueId val="{00000004-D105-4AEA-A95A-5A41EA3ABD6C}"/>
            </c:ext>
          </c:extLst>
        </c:ser>
        <c:dLbls>
          <c:showLegendKey val="0"/>
          <c:showVal val="0"/>
          <c:showCatName val="0"/>
          <c:showSerName val="0"/>
          <c:showPercent val="0"/>
          <c:showBubbleSize val="0"/>
        </c:dLbls>
        <c:gapWidth val="219"/>
        <c:axId val="1156963088"/>
        <c:axId val="1156949488"/>
      </c:barChart>
      <c:catAx>
        <c:axId val="11569630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56949488"/>
        <c:crosses val="autoZero"/>
        <c:auto val="1"/>
        <c:lblAlgn val="ctr"/>
        <c:lblOffset val="100"/>
        <c:noMultiLvlLbl val="0"/>
      </c:catAx>
      <c:valAx>
        <c:axId val="1156949488"/>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56963088"/>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1000" b="0" i="0" u="none" strike="noStrike" kern="1200" baseline="0">
                <a:solidFill>
                  <a:sysClr val="windowText" lastClr="000000"/>
                </a:solidFill>
                <a:latin typeface="+mn-lt"/>
                <a:ea typeface="+mn-ea"/>
                <a:cs typeface="+mn-cs"/>
              </a:defRPr>
            </a:pPr>
            <a:endParaRPr lang="en-US"/>
          </a:p>
        </c:txPr>
      </c:dTable>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US" sz="1800" b="1" i="0" baseline="0">
                <a:effectLst/>
              </a:rPr>
              <a:t>Sancristobal Oil Production(kBOPD)</a:t>
            </a:r>
            <a:endParaRPr lang="en-US">
              <a:effectLst/>
            </a:endParaRPr>
          </a:p>
        </c:rich>
      </c:tx>
      <c:overlay val="0"/>
      <c:spPr>
        <a:noFill/>
        <a:ln>
          <a:noFill/>
        </a:ln>
        <a:effectLst/>
      </c:spPr>
    </c:title>
    <c:autoTitleDeleted val="0"/>
    <c:plotArea>
      <c:layout/>
      <c:barChart>
        <c:barDir val="col"/>
        <c:grouping val="clustered"/>
        <c:varyColors val="0"/>
        <c:ser>
          <c:idx val="0"/>
          <c:order val="0"/>
          <c:tx>
            <c:strRef>
              <c:f>Tables!$C$116</c:f>
              <c:strCache>
                <c:ptCount val="1"/>
                <c:pt idx="0">
                  <c:v>BE(kBOPD)</c:v>
                </c:pt>
              </c:strCache>
            </c:strRef>
          </c:tx>
          <c:spPr>
            <a:solidFill>
              <a:srgbClr val="92D050"/>
            </a:solidFill>
            <a:ln>
              <a:noFill/>
            </a:ln>
            <a:effectLst/>
          </c:spPr>
          <c:invertIfNegative val="0"/>
          <c:cat>
            <c:strRef>
              <c:f>Tables!$D$115:$O$115</c:f>
              <c:strCache>
                <c:ptCount val="12"/>
                <c:pt idx="0">
                  <c:v>Apr'26</c:v>
                </c:pt>
                <c:pt idx="1">
                  <c:v>May'26</c:v>
                </c:pt>
                <c:pt idx="2">
                  <c:v>June'26</c:v>
                </c:pt>
                <c:pt idx="3">
                  <c:v>July'26</c:v>
                </c:pt>
                <c:pt idx="4">
                  <c:v>Aug'26</c:v>
                </c:pt>
                <c:pt idx="5">
                  <c:v>Sep'26</c:v>
                </c:pt>
                <c:pt idx="6">
                  <c:v>Oct'26</c:v>
                </c:pt>
                <c:pt idx="7">
                  <c:v>Nov'26</c:v>
                </c:pt>
                <c:pt idx="8">
                  <c:v>Dec'26</c:v>
                </c:pt>
                <c:pt idx="9">
                  <c:v>Jan'27</c:v>
                </c:pt>
                <c:pt idx="10">
                  <c:v>Feb'27</c:v>
                </c:pt>
                <c:pt idx="11">
                  <c:v>Mar'27</c:v>
                </c:pt>
              </c:strCache>
            </c:strRef>
          </c:cat>
          <c:val>
            <c:numRef>
              <c:f>Tables!$D$116:$O$116</c:f>
              <c:numCache>
                <c:formatCode>0.000</c:formatCode>
                <c:ptCount val="12"/>
                <c:pt idx="0">
                  <c:v>4.9274999999999993</c:v>
                </c:pt>
                <c:pt idx="1">
                  <c:v>5.2983870967741922</c:v>
                </c:pt>
                <c:pt idx="2">
                  <c:v>5.4749999999999996</c:v>
                </c:pt>
                <c:pt idx="3">
                  <c:v>5.2983870967741922</c:v>
                </c:pt>
                <c:pt idx="4">
                  <c:v>0</c:v>
                </c:pt>
                <c:pt idx="5">
                  <c:v>4.9274999999999993</c:v>
                </c:pt>
                <c:pt idx="6">
                  <c:v>5.2983870967741922</c:v>
                </c:pt>
                <c:pt idx="7">
                  <c:v>4.9274999999999993</c:v>
                </c:pt>
                <c:pt idx="8">
                  <c:v>5.2983870967741922</c:v>
                </c:pt>
                <c:pt idx="9">
                  <c:v>5.2983870967741922</c:v>
                </c:pt>
                <c:pt idx="10">
                  <c:v>5.2794642857142842</c:v>
                </c:pt>
                <c:pt idx="11">
                  <c:v>5.2983870967741922</c:v>
                </c:pt>
              </c:numCache>
            </c:numRef>
          </c:val>
          <c:extLst xmlns:c16r2="http://schemas.microsoft.com/office/drawing/2015/06/chart">
            <c:ext xmlns:c16="http://schemas.microsoft.com/office/drawing/2014/chart" uri="{C3380CC4-5D6E-409C-BE32-E72D297353CC}">
              <c16:uniqueId val="{00000002-9C85-4804-ACC8-919338556B89}"/>
            </c:ext>
          </c:extLst>
        </c:ser>
        <c:ser>
          <c:idx val="1"/>
          <c:order val="1"/>
          <c:tx>
            <c:strRef>
              <c:f>Tables!$C$117</c:f>
              <c:strCache>
                <c:ptCount val="1"/>
                <c:pt idx="0">
                  <c:v>Actual</c:v>
                </c:pt>
              </c:strCache>
            </c:strRef>
          </c:tx>
          <c:spPr>
            <a:solidFill>
              <a:srgbClr val="00B050"/>
            </a:solidFill>
            <a:ln>
              <a:noFill/>
            </a:ln>
            <a:effectLst/>
          </c:spPr>
          <c:invertIfNegative val="0"/>
          <c:cat>
            <c:strRef>
              <c:f>Tables!$D$115:$O$115</c:f>
              <c:strCache>
                <c:ptCount val="12"/>
                <c:pt idx="0">
                  <c:v>Apr'26</c:v>
                </c:pt>
                <c:pt idx="1">
                  <c:v>May'26</c:v>
                </c:pt>
                <c:pt idx="2">
                  <c:v>June'26</c:v>
                </c:pt>
                <c:pt idx="3">
                  <c:v>July'26</c:v>
                </c:pt>
                <c:pt idx="4">
                  <c:v>Aug'26</c:v>
                </c:pt>
                <c:pt idx="5">
                  <c:v>Sep'26</c:v>
                </c:pt>
                <c:pt idx="6">
                  <c:v>Oct'26</c:v>
                </c:pt>
                <c:pt idx="7">
                  <c:v>Nov'26</c:v>
                </c:pt>
                <c:pt idx="8">
                  <c:v>Dec'26</c:v>
                </c:pt>
                <c:pt idx="9">
                  <c:v>Jan'27</c:v>
                </c:pt>
                <c:pt idx="10">
                  <c:v>Feb'27</c:v>
                </c:pt>
                <c:pt idx="11">
                  <c:v>Mar'27</c:v>
                </c:pt>
              </c:strCache>
            </c:strRef>
          </c:cat>
          <c:val>
            <c:numRef>
              <c:f>Tables!$D$117:$O$117</c:f>
              <c:numCache>
                <c:formatCode>0.000</c:formatCode>
                <c:ptCount val="12"/>
                <c:pt idx="0">
                  <c:v>4.3300000003333334</c:v>
                </c:pt>
                <c:pt idx="1">
                  <c:v>5.3851612909677424</c:v>
                </c:pt>
                <c:pt idx="2">
                  <c:v>5.6411333330000009</c:v>
                </c:pt>
                <c:pt idx="3">
                  <c:v>5.7013870974193548</c:v>
                </c:pt>
                <c:pt idx="4">
                  <c:v>5.7077419354838712</c:v>
                </c:pt>
                <c:pt idx="5">
                  <c:v>0</c:v>
                </c:pt>
                <c:pt idx="6">
                  <c:v>0</c:v>
                </c:pt>
                <c:pt idx="7">
                  <c:v>0</c:v>
                </c:pt>
                <c:pt idx="8">
                  <c:v>0</c:v>
                </c:pt>
                <c:pt idx="9">
                  <c:v>0</c:v>
                </c:pt>
                <c:pt idx="10">
                  <c:v>0</c:v>
                </c:pt>
                <c:pt idx="11">
                  <c:v>0</c:v>
                </c:pt>
              </c:numCache>
            </c:numRef>
          </c:val>
          <c:extLst xmlns:c16r2="http://schemas.microsoft.com/office/drawing/2015/06/chart">
            <c:ext xmlns:c16="http://schemas.microsoft.com/office/drawing/2014/chart" uri="{C3380CC4-5D6E-409C-BE32-E72D297353CC}">
              <c16:uniqueId val="{00000004-9C85-4804-ACC8-919338556B89}"/>
            </c:ext>
          </c:extLst>
        </c:ser>
        <c:dLbls>
          <c:showLegendKey val="0"/>
          <c:showVal val="0"/>
          <c:showCatName val="0"/>
          <c:showSerName val="0"/>
          <c:showPercent val="0"/>
          <c:showBubbleSize val="0"/>
        </c:dLbls>
        <c:gapWidth val="219"/>
        <c:axId val="1156931536"/>
        <c:axId val="1156952208"/>
      </c:barChart>
      <c:catAx>
        <c:axId val="1156931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56952208"/>
        <c:crosses val="autoZero"/>
        <c:auto val="1"/>
        <c:lblAlgn val="ctr"/>
        <c:lblOffset val="100"/>
        <c:noMultiLvlLbl val="0"/>
      </c:catAx>
      <c:valAx>
        <c:axId val="1156952208"/>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56931536"/>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1000" b="0" i="0" u="none" strike="noStrike" kern="1200" baseline="0">
                <a:solidFill>
                  <a:sysClr val="windowText" lastClr="000000"/>
                </a:solidFill>
                <a:latin typeface="+mn-lt"/>
                <a:ea typeface="+mn-ea"/>
                <a:cs typeface="+mn-cs"/>
              </a:defRPr>
            </a:pPr>
            <a:endParaRPr lang="en-US"/>
          </a:p>
        </c:txPr>
      </c:dTable>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US" sz="1800" b="1" i="0" baseline="0">
                <a:effectLst/>
              </a:rPr>
              <a:t>LZC Oil Production(kBOPD)</a:t>
            </a:r>
            <a:endParaRPr lang="en-US">
              <a:effectLst/>
            </a:endParaRPr>
          </a:p>
        </c:rich>
      </c:tx>
      <c:overlay val="0"/>
      <c:spPr>
        <a:noFill/>
        <a:ln>
          <a:noFill/>
        </a:ln>
        <a:effectLst/>
      </c:spPr>
    </c:title>
    <c:autoTitleDeleted val="0"/>
    <c:plotArea>
      <c:layout/>
      <c:barChart>
        <c:barDir val="col"/>
        <c:grouping val="clustered"/>
        <c:varyColors val="0"/>
        <c:ser>
          <c:idx val="0"/>
          <c:order val="0"/>
          <c:tx>
            <c:strRef>
              <c:f>Tables!$C$130</c:f>
              <c:strCache>
                <c:ptCount val="1"/>
                <c:pt idx="0">
                  <c:v>BE(kBOPD)</c:v>
                </c:pt>
              </c:strCache>
            </c:strRef>
          </c:tx>
          <c:spPr>
            <a:solidFill>
              <a:srgbClr val="92D050"/>
            </a:solidFill>
            <a:ln>
              <a:noFill/>
            </a:ln>
            <a:effectLst/>
          </c:spPr>
          <c:invertIfNegative val="0"/>
          <c:cat>
            <c:strRef>
              <c:f>Tables!$D$129:$O$129</c:f>
              <c:strCache>
                <c:ptCount val="12"/>
                <c:pt idx="0">
                  <c:v>Apr'26</c:v>
                </c:pt>
                <c:pt idx="1">
                  <c:v>May'26</c:v>
                </c:pt>
                <c:pt idx="2">
                  <c:v>June'26</c:v>
                </c:pt>
                <c:pt idx="3">
                  <c:v>July'26</c:v>
                </c:pt>
                <c:pt idx="4">
                  <c:v>Aug'26</c:v>
                </c:pt>
                <c:pt idx="5">
                  <c:v>Sep'26</c:v>
                </c:pt>
                <c:pt idx="6">
                  <c:v>Oct'26</c:v>
                </c:pt>
                <c:pt idx="7">
                  <c:v>Nov'26</c:v>
                </c:pt>
                <c:pt idx="8">
                  <c:v>Dec'26</c:v>
                </c:pt>
                <c:pt idx="9">
                  <c:v>Jan'27</c:v>
                </c:pt>
                <c:pt idx="10">
                  <c:v>Feb'27</c:v>
                </c:pt>
                <c:pt idx="11">
                  <c:v>Mar'27</c:v>
                </c:pt>
              </c:strCache>
            </c:strRef>
          </c:cat>
          <c:val>
            <c:numRef>
              <c:f>Tables!$D$130:$O$130</c:f>
              <c:numCache>
                <c:formatCode>0.00</c:formatCode>
                <c:ptCount val="12"/>
                <c:pt idx="0">
                  <c:v>431.80000000000007</c:v>
                </c:pt>
                <c:pt idx="1">
                  <c:v>430.16129032258067</c:v>
                </c:pt>
                <c:pt idx="2">
                  <c:v>431.80000000000007</c:v>
                </c:pt>
                <c:pt idx="3">
                  <c:v>430.16129032258067</c:v>
                </c:pt>
                <c:pt idx="4">
                  <c:v>430.16129032258067</c:v>
                </c:pt>
                <c:pt idx="5">
                  <c:v>431.80000000000007</c:v>
                </c:pt>
                <c:pt idx="6">
                  <c:v>430.16129032258067</c:v>
                </c:pt>
                <c:pt idx="7">
                  <c:v>431.80000000000007</c:v>
                </c:pt>
                <c:pt idx="8">
                  <c:v>430.16129032258067</c:v>
                </c:pt>
                <c:pt idx="9">
                  <c:v>430.16129032258067</c:v>
                </c:pt>
                <c:pt idx="10">
                  <c:v>435.42857142857144</c:v>
                </c:pt>
                <c:pt idx="11">
                  <c:v>430.16129032258067</c:v>
                </c:pt>
              </c:numCache>
            </c:numRef>
          </c:val>
          <c:extLst xmlns:c16r2="http://schemas.microsoft.com/office/drawing/2015/06/chart">
            <c:ext xmlns:c16="http://schemas.microsoft.com/office/drawing/2014/chart" uri="{C3380CC4-5D6E-409C-BE32-E72D297353CC}">
              <c16:uniqueId val="{00000002-1568-4013-9C7C-A68C61B737FA}"/>
            </c:ext>
          </c:extLst>
        </c:ser>
        <c:ser>
          <c:idx val="1"/>
          <c:order val="1"/>
          <c:tx>
            <c:strRef>
              <c:f>Tables!$C$131</c:f>
              <c:strCache>
                <c:ptCount val="1"/>
                <c:pt idx="0">
                  <c:v>Actual</c:v>
                </c:pt>
              </c:strCache>
            </c:strRef>
          </c:tx>
          <c:spPr>
            <a:solidFill>
              <a:srgbClr val="00B050"/>
            </a:solidFill>
            <a:ln>
              <a:noFill/>
            </a:ln>
            <a:effectLst/>
          </c:spPr>
          <c:invertIfNegative val="0"/>
          <c:cat>
            <c:strRef>
              <c:f>Tables!$D$129:$O$129</c:f>
              <c:strCache>
                <c:ptCount val="12"/>
                <c:pt idx="0">
                  <c:v>Apr'26</c:v>
                </c:pt>
                <c:pt idx="1">
                  <c:v>May'26</c:v>
                </c:pt>
                <c:pt idx="2">
                  <c:v>June'26</c:v>
                </c:pt>
                <c:pt idx="3">
                  <c:v>July'26</c:v>
                </c:pt>
                <c:pt idx="4">
                  <c:v>Aug'26</c:v>
                </c:pt>
                <c:pt idx="5">
                  <c:v>Sep'26</c:v>
                </c:pt>
                <c:pt idx="6">
                  <c:v>Oct'26</c:v>
                </c:pt>
                <c:pt idx="7">
                  <c:v>Nov'26</c:v>
                </c:pt>
                <c:pt idx="8">
                  <c:v>Dec'26</c:v>
                </c:pt>
                <c:pt idx="9">
                  <c:v>Jan'27</c:v>
                </c:pt>
                <c:pt idx="10">
                  <c:v>Feb'27</c:v>
                </c:pt>
                <c:pt idx="11">
                  <c:v>Mar'27</c:v>
                </c:pt>
              </c:strCache>
            </c:strRef>
          </c:cat>
          <c:val>
            <c:numRef>
              <c:f>Tables!$D$131:$O$131</c:f>
              <c:numCache>
                <c:formatCode>0.00</c:formatCode>
                <c:ptCount val="12"/>
                <c:pt idx="0">
                  <c:v>240.53903333333332</c:v>
                </c:pt>
                <c:pt idx="1">
                  <c:v>270.01238709645168</c:v>
                </c:pt>
                <c:pt idx="2">
                  <c:v>426.92896666666667</c:v>
                </c:pt>
                <c:pt idx="3">
                  <c:v>330.22616128967741</c:v>
                </c:pt>
                <c:pt idx="4">
                  <c:v>431.15499999999997</c:v>
                </c:pt>
                <c:pt idx="5">
                  <c:v>0</c:v>
                </c:pt>
                <c:pt idx="6">
                  <c:v>0</c:v>
                </c:pt>
                <c:pt idx="7">
                  <c:v>0</c:v>
                </c:pt>
                <c:pt idx="8">
                  <c:v>0</c:v>
                </c:pt>
                <c:pt idx="9">
                  <c:v>0</c:v>
                </c:pt>
                <c:pt idx="10">
                  <c:v>0</c:v>
                </c:pt>
                <c:pt idx="11">
                  <c:v>0</c:v>
                </c:pt>
              </c:numCache>
            </c:numRef>
          </c:val>
          <c:extLst xmlns:c16r2="http://schemas.microsoft.com/office/drawing/2015/06/chart">
            <c:ext xmlns:c16="http://schemas.microsoft.com/office/drawing/2014/chart" uri="{C3380CC4-5D6E-409C-BE32-E72D297353CC}">
              <c16:uniqueId val="{00000004-1568-4013-9C7C-A68C61B737FA}"/>
            </c:ext>
          </c:extLst>
        </c:ser>
        <c:dLbls>
          <c:showLegendKey val="0"/>
          <c:showVal val="0"/>
          <c:showCatName val="0"/>
          <c:showSerName val="0"/>
          <c:showPercent val="0"/>
          <c:showBubbleSize val="0"/>
        </c:dLbls>
        <c:gapWidth val="219"/>
        <c:axId val="1156946768"/>
        <c:axId val="1156937520"/>
      </c:barChart>
      <c:catAx>
        <c:axId val="11569467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56937520"/>
        <c:crosses val="autoZero"/>
        <c:auto val="1"/>
        <c:lblAlgn val="ctr"/>
        <c:lblOffset val="100"/>
        <c:noMultiLvlLbl val="0"/>
      </c:catAx>
      <c:valAx>
        <c:axId val="11569375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56946768"/>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1000" b="0" i="0" u="none" strike="noStrike" kern="1200" baseline="0">
                <a:solidFill>
                  <a:sysClr val="windowText" lastClr="000000"/>
                </a:solidFill>
                <a:latin typeface="+mn-lt"/>
                <a:ea typeface="+mn-ea"/>
                <a:cs typeface="+mn-cs"/>
              </a:defRPr>
            </a:pPr>
            <a:endParaRPr lang="en-US"/>
          </a:p>
        </c:txPr>
      </c:dTable>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US" sz="1800" b="1" i="0" baseline="0">
                <a:effectLst/>
              </a:rPr>
              <a:t>GPOC Oil Production(kBOPD)</a:t>
            </a:r>
            <a:endParaRPr lang="en-US">
              <a:effectLst/>
            </a:endParaRPr>
          </a:p>
        </c:rich>
      </c:tx>
      <c:overlay val="0"/>
      <c:spPr>
        <a:noFill/>
        <a:ln>
          <a:noFill/>
        </a:ln>
        <a:effectLst/>
      </c:spPr>
    </c:title>
    <c:autoTitleDeleted val="0"/>
    <c:plotArea>
      <c:layout/>
      <c:barChart>
        <c:barDir val="col"/>
        <c:grouping val="clustered"/>
        <c:varyColors val="0"/>
        <c:ser>
          <c:idx val="0"/>
          <c:order val="0"/>
          <c:tx>
            <c:strRef>
              <c:f>Tables!$C$144</c:f>
              <c:strCache>
                <c:ptCount val="1"/>
                <c:pt idx="0">
                  <c:v>BE(kBOPD)</c:v>
                </c:pt>
              </c:strCache>
            </c:strRef>
          </c:tx>
          <c:spPr>
            <a:solidFill>
              <a:srgbClr val="92D050"/>
            </a:solidFill>
            <a:ln>
              <a:noFill/>
            </a:ln>
            <a:effectLst/>
          </c:spPr>
          <c:invertIfNegative val="0"/>
          <c:cat>
            <c:strRef>
              <c:f>Tables!$D$143:$O$143</c:f>
              <c:strCache>
                <c:ptCount val="12"/>
                <c:pt idx="0">
                  <c:v>Apr'26</c:v>
                </c:pt>
                <c:pt idx="1">
                  <c:v>May'26</c:v>
                </c:pt>
                <c:pt idx="2">
                  <c:v>June'26</c:v>
                </c:pt>
                <c:pt idx="3">
                  <c:v>July'26</c:v>
                </c:pt>
                <c:pt idx="4">
                  <c:v>Aug'26</c:v>
                </c:pt>
                <c:pt idx="5">
                  <c:v>Sep'26</c:v>
                </c:pt>
                <c:pt idx="6">
                  <c:v>Oct'26</c:v>
                </c:pt>
                <c:pt idx="7">
                  <c:v>Nov'26</c:v>
                </c:pt>
                <c:pt idx="8">
                  <c:v>Dec'26</c:v>
                </c:pt>
                <c:pt idx="9">
                  <c:v>Jan'27</c:v>
                </c:pt>
                <c:pt idx="10">
                  <c:v>Feb'27</c:v>
                </c:pt>
                <c:pt idx="11">
                  <c:v>Mar'27</c:v>
                </c:pt>
              </c:strCache>
            </c:strRef>
          </c:cat>
          <c:val>
            <c:numRef>
              <c:f>Tables!$D$144:$O$144</c:f>
              <c:numCache>
                <c:formatCode>0.000</c:formatCode>
                <c:ptCount val="12"/>
                <c:pt idx="0">
                  <c:v>52.56</c:v>
                </c:pt>
                <c:pt idx="1">
                  <c:v>52.748387096774188</c:v>
                </c:pt>
                <c:pt idx="2">
                  <c:v>52.56</c:v>
                </c:pt>
                <c:pt idx="3">
                  <c:v>51.806451612903231</c:v>
                </c:pt>
                <c:pt idx="4">
                  <c:v>52.748387096774188</c:v>
                </c:pt>
                <c:pt idx="5">
                  <c:v>52.56</c:v>
                </c:pt>
                <c:pt idx="6">
                  <c:v>52.748387096774188</c:v>
                </c:pt>
                <c:pt idx="7">
                  <c:v>52.56</c:v>
                </c:pt>
                <c:pt idx="8">
                  <c:v>52.748387096774188</c:v>
                </c:pt>
                <c:pt idx="9">
                  <c:v>50.86451612903226</c:v>
                </c:pt>
                <c:pt idx="10">
                  <c:v>52.142857142857139</c:v>
                </c:pt>
                <c:pt idx="11">
                  <c:v>52.748387096774188</c:v>
                </c:pt>
              </c:numCache>
            </c:numRef>
          </c:val>
          <c:extLst xmlns:c16r2="http://schemas.microsoft.com/office/drawing/2015/06/chart">
            <c:ext xmlns:c16="http://schemas.microsoft.com/office/drawing/2014/chart" uri="{C3380CC4-5D6E-409C-BE32-E72D297353CC}">
              <c16:uniqueId val="{00000002-DF56-460B-9540-E09F062A245E}"/>
            </c:ext>
          </c:extLst>
        </c:ser>
        <c:ser>
          <c:idx val="1"/>
          <c:order val="1"/>
          <c:tx>
            <c:strRef>
              <c:f>Tables!$C$145</c:f>
              <c:strCache>
                <c:ptCount val="1"/>
                <c:pt idx="0">
                  <c:v>Actual</c:v>
                </c:pt>
              </c:strCache>
            </c:strRef>
          </c:tx>
          <c:spPr>
            <a:solidFill>
              <a:srgbClr val="00B050"/>
            </a:solidFill>
            <a:ln>
              <a:noFill/>
            </a:ln>
            <a:effectLst/>
          </c:spPr>
          <c:invertIfNegative val="0"/>
          <c:cat>
            <c:strRef>
              <c:f>Tables!$D$143:$O$143</c:f>
              <c:strCache>
                <c:ptCount val="12"/>
                <c:pt idx="0">
                  <c:v>Apr'26</c:v>
                </c:pt>
                <c:pt idx="1">
                  <c:v>May'26</c:v>
                </c:pt>
                <c:pt idx="2">
                  <c:v>June'26</c:v>
                </c:pt>
                <c:pt idx="3">
                  <c:v>July'26</c:v>
                </c:pt>
                <c:pt idx="4">
                  <c:v>Aug'26</c:v>
                </c:pt>
                <c:pt idx="5">
                  <c:v>Sep'26</c:v>
                </c:pt>
                <c:pt idx="6">
                  <c:v>Oct'26</c:v>
                </c:pt>
                <c:pt idx="7">
                  <c:v>Nov'26</c:v>
                </c:pt>
                <c:pt idx="8">
                  <c:v>Dec'26</c:v>
                </c:pt>
                <c:pt idx="9">
                  <c:v>Jan'27</c:v>
                </c:pt>
                <c:pt idx="10">
                  <c:v>Feb'27</c:v>
                </c:pt>
                <c:pt idx="11">
                  <c:v>Mar'27</c:v>
                </c:pt>
              </c:strCache>
            </c:strRef>
          </c:cat>
          <c:val>
            <c:numRef>
              <c:f>Tables!$D$145:$O$145</c:f>
              <c:numCache>
                <c:formatCode>0.000</c:formatCode>
                <c:ptCount val="12"/>
                <c:pt idx="0">
                  <c:v>53.730633333</c:v>
                </c:pt>
                <c:pt idx="1">
                  <c:v>53.451677419032251</c:v>
                </c:pt>
                <c:pt idx="2">
                  <c:v>50.960200000999997</c:v>
                </c:pt>
                <c:pt idx="3">
                  <c:v>55.934419356129041</c:v>
                </c:pt>
                <c:pt idx="4">
                  <c:v>54.08593193548387</c:v>
                </c:pt>
                <c:pt idx="5">
                  <c:v>0</c:v>
                </c:pt>
                <c:pt idx="6">
                  <c:v>0</c:v>
                </c:pt>
                <c:pt idx="7">
                  <c:v>0</c:v>
                </c:pt>
                <c:pt idx="8">
                  <c:v>0</c:v>
                </c:pt>
                <c:pt idx="9">
                  <c:v>0</c:v>
                </c:pt>
                <c:pt idx="10">
                  <c:v>0</c:v>
                </c:pt>
                <c:pt idx="11">
                  <c:v>0</c:v>
                </c:pt>
              </c:numCache>
            </c:numRef>
          </c:val>
          <c:extLst xmlns:c16r2="http://schemas.microsoft.com/office/drawing/2015/06/chart">
            <c:ext xmlns:c16="http://schemas.microsoft.com/office/drawing/2014/chart" uri="{C3380CC4-5D6E-409C-BE32-E72D297353CC}">
              <c16:uniqueId val="{00000004-DF56-460B-9540-E09F062A245E}"/>
            </c:ext>
          </c:extLst>
        </c:ser>
        <c:dLbls>
          <c:showLegendKey val="0"/>
          <c:showVal val="0"/>
          <c:showCatName val="0"/>
          <c:showSerName val="0"/>
          <c:showPercent val="0"/>
          <c:showBubbleSize val="0"/>
        </c:dLbls>
        <c:gapWidth val="219"/>
        <c:axId val="1156953840"/>
        <c:axId val="1156956016"/>
      </c:barChart>
      <c:catAx>
        <c:axId val="11569538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56956016"/>
        <c:crosses val="autoZero"/>
        <c:auto val="1"/>
        <c:lblAlgn val="ctr"/>
        <c:lblOffset val="100"/>
        <c:noMultiLvlLbl val="0"/>
      </c:catAx>
      <c:valAx>
        <c:axId val="1156956016"/>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56953840"/>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1000" b="0" i="0" u="none" strike="noStrike" kern="1200" baseline="0">
                <a:solidFill>
                  <a:sysClr val="windowText" lastClr="000000"/>
                </a:solidFill>
                <a:latin typeface="+mn-lt"/>
                <a:ea typeface="+mn-ea"/>
                <a:cs typeface="+mn-cs"/>
              </a:defRPr>
            </a:pPr>
            <a:endParaRPr lang="en-US"/>
          </a:p>
        </c:txPr>
      </c:dTable>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US" sz="1800" b="1" i="0" baseline="0">
                <a:effectLst/>
              </a:rPr>
              <a:t>SPOC Oil Production(kBOPD)</a:t>
            </a:r>
            <a:endParaRPr lang="en-US">
              <a:effectLst/>
            </a:endParaRPr>
          </a:p>
        </c:rich>
      </c:tx>
      <c:overlay val="0"/>
      <c:spPr>
        <a:noFill/>
        <a:ln>
          <a:noFill/>
        </a:ln>
        <a:effectLst/>
      </c:spPr>
    </c:title>
    <c:autoTitleDeleted val="0"/>
    <c:plotArea>
      <c:layout/>
      <c:barChart>
        <c:barDir val="col"/>
        <c:grouping val="clustered"/>
        <c:varyColors val="0"/>
        <c:ser>
          <c:idx val="0"/>
          <c:order val="0"/>
          <c:tx>
            <c:strRef>
              <c:f>Tables!$C$158</c:f>
              <c:strCache>
                <c:ptCount val="1"/>
                <c:pt idx="0">
                  <c:v>BE(kBOPD)</c:v>
                </c:pt>
              </c:strCache>
            </c:strRef>
          </c:tx>
          <c:spPr>
            <a:solidFill>
              <a:srgbClr val="92D050"/>
            </a:solidFill>
            <a:ln>
              <a:noFill/>
            </a:ln>
            <a:effectLst/>
          </c:spPr>
          <c:invertIfNegative val="0"/>
          <c:cat>
            <c:strRef>
              <c:f>Tables!$D$157:$O$157</c:f>
              <c:strCache>
                <c:ptCount val="12"/>
                <c:pt idx="0">
                  <c:v>Apr'26</c:v>
                </c:pt>
                <c:pt idx="1">
                  <c:v>May'26</c:v>
                </c:pt>
                <c:pt idx="2">
                  <c:v>June'26</c:v>
                </c:pt>
                <c:pt idx="3">
                  <c:v>July'26</c:v>
                </c:pt>
                <c:pt idx="4">
                  <c:v>Aug'26</c:v>
                </c:pt>
                <c:pt idx="5">
                  <c:v>Sep'26</c:v>
                </c:pt>
                <c:pt idx="6">
                  <c:v>Oct'26</c:v>
                </c:pt>
                <c:pt idx="7">
                  <c:v>Nov'26</c:v>
                </c:pt>
                <c:pt idx="8">
                  <c:v>Dec'26</c:v>
                </c:pt>
                <c:pt idx="9">
                  <c:v>Jan'27</c:v>
                </c:pt>
                <c:pt idx="10">
                  <c:v>Feb'27</c:v>
                </c:pt>
                <c:pt idx="11">
                  <c:v>Mar'27</c:v>
                </c:pt>
              </c:strCache>
            </c:strRef>
          </c:cat>
          <c:val>
            <c:numRef>
              <c:f>Tables!$D$158:$O$158</c:f>
              <c:numCache>
                <c:formatCode>0.000</c:formatCode>
                <c:ptCount val="12"/>
                <c:pt idx="0">
                  <c:v>13.153713298791022</c:v>
                </c:pt>
                <c:pt idx="1">
                  <c:v>12.729399966571956</c:v>
                </c:pt>
                <c:pt idx="2">
                  <c:v>13.153713298791022</c:v>
                </c:pt>
                <c:pt idx="3">
                  <c:v>13.638642821327092</c:v>
                </c:pt>
                <c:pt idx="4">
                  <c:v>12.729399966571956</c:v>
                </c:pt>
                <c:pt idx="5">
                  <c:v>13.153713298791022</c:v>
                </c:pt>
                <c:pt idx="6">
                  <c:v>13.638642821327092</c:v>
                </c:pt>
                <c:pt idx="7">
                  <c:v>13.153713298791022</c:v>
                </c:pt>
                <c:pt idx="8">
                  <c:v>13.638642821327092</c:v>
                </c:pt>
                <c:pt idx="9">
                  <c:v>12.729399966571956</c:v>
                </c:pt>
                <c:pt idx="10">
                  <c:v>13.086602516654329</c:v>
                </c:pt>
                <c:pt idx="11">
                  <c:v>12.729399966571956</c:v>
                </c:pt>
              </c:numCache>
            </c:numRef>
          </c:val>
          <c:extLst xmlns:c16r2="http://schemas.microsoft.com/office/drawing/2015/06/chart">
            <c:ext xmlns:c16="http://schemas.microsoft.com/office/drawing/2014/chart" uri="{C3380CC4-5D6E-409C-BE32-E72D297353CC}">
              <c16:uniqueId val="{00000002-EF83-4B75-A5A7-915FC3581D4B}"/>
            </c:ext>
          </c:extLst>
        </c:ser>
        <c:ser>
          <c:idx val="1"/>
          <c:order val="1"/>
          <c:tx>
            <c:strRef>
              <c:f>Tables!$C$159</c:f>
              <c:strCache>
                <c:ptCount val="1"/>
                <c:pt idx="0">
                  <c:v>Actual</c:v>
                </c:pt>
              </c:strCache>
            </c:strRef>
          </c:tx>
          <c:spPr>
            <a:solidFill>
              <a:srgbClr val="00B050"/>
            </a:solidFill>
            <a:ln>
              <a:noFill/>
            </a:ln>
            <a:effectLst/>
          </c:spPr>
          <c:invertIfNegative val="0"/>
          <c:cat>
            <c:strRef>
              <c:f>Tables!$D$157:$O$157</c:f>
              <c:strCache>
                <c:ptCount val="12"/>
                <c:pt idx="0">
                  <c:v>Apr'26</c:v>
                </c:pt>
                <c:pt idx="1">
                  <c:v>May'26</c:v>
                </c:pt>
                <c:pt idx="2">
                  <c:v>June'26</c:v>
                </c:pt>
                <c:pt idx="3">
                  <c:v>July'26</c:v>
                </c:pt>
                <c:pt idx="4">
                  <c:v>Aug'26</c:v>
                </c:pt>
                <c:pt idx="5">
                  <c:v>Sep'26</c:v>
                </c:pt>
                <c:pt idx="6">
                  <c:v>Oct'26</c:v>
                </c:pt>
                <c:pt idx="7">
                  <c:v>Nov'26</c:v>
                </c:pt>
                <c:pt idx="8">
                  <c:v>Dec'26</c:v>
                </c:pt>
                <c:pt idx="9">
                  <c:v>Jan'27</c:v>
                </c:pt>
                <c:pt idx="10">
                  <c:v>Feb'27</c:v>
                </c:pt>
                <c:pt idx="11">
                  <c:v>Mar'27</c:v>
                </c:pt>
              </c:strCache>
            </c:strRef>
          </c:cat>
          <c:val>
            <c:numRef>
              <c:f>Tables!$D$159:$O$159</c:f>
              <c:numCache>
                <c:formatCode>0.000</c:formatCode>
                <c:ptCount val="12"/>
                <c:pt idx="0">
                  <c:v>13.140733333</c:v>
                </c:pt>
                <c:pt idx="1">
                  <c:v>12.289032258387097</c:v>
                </c:pt>
                <c:pt idx="2">
                  <c:v>12.269733333999998</c:v>
                </c:pt>
                <c:pt idx="3">
                  <c:v>11.924967742580645</c:v>
                </c:pt>
                <c:pt idx="4">
                  <c:v>12.320806451612903</c:v>
                </c:pt>
                <c:pt idx="5">
                  <c:v>0</c:v>
                </c:pt>
                <c:pt idx="6">
                  <c:v>0</c:v>
                </c:pt>
                <c:pt idx="7">
                  <c:v>0</c:v>
                </c:pt>
                <c:pt idx="8">
                  <c:v>0</c:v>
                </c:pt>
                <c:pt idx="9">
                  <c:v>0</c:v>
                </c:pt>
                <c:pt idx="10">
                  <c:v>0</c:v>
                </c:pt>
                <c:pt idx="11">
                  <c:v>0</c:v>
                </c:pt>
              </c:numCache>
            </c:numRef>
          </c:val>
          <c:extLst xmlns:c16r2="http://schemas.microsoft.com/office/drawing/2015/06/chart">
            <c:ext xmlns:c16="http://schemas.microsoft.com/office/drawing/2014/chart" uri="{C3380CC4-5D6E-409C-BE32-E72D297353CC}">
              <c16:uniqueId val="{00000004-EF83-4B75-A5A7-915FC3581D4B}"/>
            </c:ext>
          </c:extLst>
        </c:ser>
        <c:dLbls>
          <c:showLegendKey val="0"/>
          <c:showVal val="0"/>
          <c:showCatName val="0"/>
          <c:showSerName val="0"/>
          <c:showPercent val="0"/>
          <c:showBubbleSize val="0"/>
        </c:dLbls>
        <c:gapWidth val="219"/>
        <c:axId val="1156933712"/>
        <c:axId val="1156947856"/>
      </c:barChart>
      <c:catAx>
        <c:axId val="1156933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56947856"/>
        <c:crosses val="autoZero"/>
        <c:auto val="1"/>
        <c:lblAlgn val="ctr"/>
        <c:lblOffset val="100"/>
        <c:noMultiLvlLbl val="0"/>
      </c:catAx>
      <c:valAx>
        <c:axId val="1156947856"/>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56933712"/>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1000" b="0" i="0" u="none" strike="noStrike" kern="1200" baseline="0">
                <a:solidFill>
                  <a:sysClr val="windowText" lastClr="000000"/>
                </a:solidFill>
                <a:latin typeface="+mn-lt"/>
                <a:ea typeface="+mn-ea"/>
                <a:cs typeface="+mn-cs"/>
              </a:defRPr>
            </a:pPr>
            <a:endParaRPr lang="en-US"/>
          </a:p>
        </c:txPr>
      </c:dTable>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US" sz="1800" b="1" i="0" baseline="0">
                <a:effectLst/>
              </a:rPr>
              <a:t>B-06.1 Oil Production(kBOPD)</a:t>
            </a:r>
            <a:endParaRPr lang="en-US">
              <a:effectLst/>
            </a:endParaRPr>
          </a:p>
        </c:rich>
      </c:tx>
      <c:overlay val="0"/>
      <c:spPr>
        <a:noFill/>
        <a:ln>
          <a:noFill/>
        </a:ln>
        <a:effectLst/>
      </c:spPr>
    </c:title>
    <c:autoTitleDeleted val="0"/>
    <c:plotArea>
      <c:layout/>
      <c:barChart>
        <c:barDir val="col"/>
        <c:grouping val="clustered"/>
        <c:varyColors val="0"/>
        <c:ser>
          <c:idx val="0"/>
          <c:order val="0"/>
          <c:tx>
            <c:strRef>
              <c:f>Tables!$C$172</c:f>
              <c:strCache>
                <c:ptCount val="1"/>
                <c:pt idx="0">
                  <c:v>BE(kBOPD)</c:v>
                </c:pt>
              </c:strCache>
            </c:strRef>
          </c:tx>
          <c:spPr>
            <a:solidFill>
              <a:srgbClr val="92D050"/>
            </a:solidFill>
            <a:ln>
              <a:noFill/>
            </a:ln>
            <a:effectLst/>
          </c:spPr>
          <c:invertIfNegative val="0"/>
          <c:cat>
            <c:strRef>
              <c:f>Tables!$D$171:$O$171</c:f>
              <c:strCache>
                <c:ptCount val="12"/>
                <c:pt idx="0">
                  <c:v>Apr'26</c:v>
                </c:pt>
                <c:pt idx="1">
                  <c:v>May'26</c:v>
                </c:pt>
                <c:pt idx="2">
                  <c:v>June'26</c:v>
                </c:pt>
                <c:pt idx="3">
                  <c:v>July'26</c:v>
                </c:pt>
                <c:pt idx="4">
                  <c:v>Aug'26</c:v>
                </c:pt>
                <c:pt idx="5">
                  <c:v>Sep'26</c:v>
                </c:pt>
                <c:pt idx="6">
                  <c:v>Oct'26</c:v>
                </c:pt>
                <c:pt idx="7">
                  <c:v>Nov'26</c:v>
                </c:pt>
                <c:pt idx="8">
                  <c:v>Dec'26</c:v>
                </c:pt>
                <c:pt idx="9">
                  <c:v>Jan'27</c:v>
                </c:pt>
                <c:pt idx="10">
                  <c:v>Feb'27</c:v>
                </c:pt>
                <c:pt idx="11">
                  <c:v>Mar'27</c:v>
                </c:pt>
              </c:strCache>
            </c:strRef>
          </c:cat>
          <c:val>
            <c:numRef>
              <c:f>Tables!$D$172:$O$172</c:f>
              <c:numCache>
                <c:formatCode>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xmlns:c16r2="http://schemas.microsoft.com/office/drawing/2015/06/chart">
            <c:ext xmlns:c16="http://schemas.microsoft.com/office/drawing/2014/chart" uri="{C3380CC4-5D6E-409C-BE32-E72D297353CC}">
              <c16:uniqueId val="{00000002-5483-428A-944E-2994B195865F}"/>
            </c:ext>
          </c:extLst>
        </c:ser>
        <c:ser>
          <c:idx val="1"/>
          <c:order val="1"/>
          <c:tx>
            <c:strRef>
              <c:f>Tables!$C$173</c:f>
              <c:strCache>
                <c:ptCount val="1"/>
                <c:pt idx="0">
                  <c:v>Actual</c:v>
                </c:pt>
              </c:strCache>
            </c:strRef>
          </c:tx>
          <c:spPr>
            <a:solidFill>
              <a:srgbClr val="00B050"/>
            </a:solidFill>
            <a:ln>
              <a:noFill/>
            </a:ln>
            <a:effectLst/>
          </c:spPr>
          <c:invertIfNegative val="0"/>
          <c:cat>
            <c:strRef>
              <c:f>Tables!$D$171:$O$171</c:f>
              <c:strCache>
                <c:ptCount val="12"/>
                <c:pt idx="0">
                  <c:v>Apr'26</c:v>
                </c:pt>
                <c:pt idx="1">
                  <c:v>May'26</c:v>
                </c:pt>
                <c:pt idx="2">
                  <c:v>June'26</c:v>
                </c:pt>
                <c:pt idx="3">
                  <c:v>July'26</c:v>
                </c:pt>
                <c:pt idx="4">
                  <c:v>Aug'26</c:v>
                </c:pt>
                <c:pt idx="5">
                  <c:v>Sep'26</c:v>
                </c:pt>
                <c:pt idx="6">
                  <c:v>Oct'26</c:v>
                </c:pt>
                <c:pt idx="7">
                  <c:v>Nov'26</c:v>
                </c:pt>
                <c:pt idx="8">
                  <c:v>Dec'26</c:v>
                </c:pt>
                <c:pt idx="9">
                  <c:v>Jan'27</c:v>
                </c:pt>
                <c:pt idx="10">
                  <c:v>Feb'27</c:v>
                </c:pt>
                <c:pt idx="11">
                  <c:v>Mar'27</c:v>
                </c:pt>
              </c:strCache>
            </c:strRef>
          </c:cat>
          <c:val>
            <c:numRef>
              <c:f>Tables!$D$173:$O$173</c:f>
              <c:numCache>
                <c:formatCode>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xmlns:c16r2="http://schemas.microsoft.com/office/drawing/2015/06/chart">
            <c:ext xmlns:c16="http://schemas.microsoft.com/office/drawing/2014/chart" uri="{C3380CC4-5D6E-409C-BE32-E72D297353CC}">
              <c16:uniqueId val="{00000004-5483-428A-944E-2994B195865F}"/>
            </c:ext>
          </c:extLst>
        </c:ser>
        <c:dLbls>
          <c:showLegendKey val="0"/>
          <c:showVal val="0"/>
          <c:showCatName val="0"/>
          <c:showSerName val="0"/>
          <c:showPercent val="0"/>
          <c:showBubbleSize val="0"/>
        </c:dLbls>
        <c:gapWidth val="219"/>
        <c:axId val="1156934256"/>
        <c:axId val="1156952752"/>
      </c:barChart>
      <c:catAx>
        <c:axId val="11569342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56952752"/>
        <c:crosses val="autoZero"/>
        <c:auto val="1"/>
        <c:lblAlgn val="ctr"/>
        <c:lblOffset val="100"/>
        <c:noMultiLvlLbl val="0"/>
      </c:catAx>
      <c:valAx>
        <c:axId val="1156952752"/>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56934256"/>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1000" b="0" i="0" u="none" strike="noStrike" kern="1200" baseline="0">
                <a:solidFill>
                  <a:sysClr val="windowText" lastClr="000000"/>
                </a:solidFill>
                <a:latin typeface="+mn-lt"/>
                <a:ea typeface="+mn-ea"/>
                <a:cs typeface="+mn-cs"/>
              </a:defRPr>
            </a:pPr>
            <a:endParaRPr lang="en-US"/>
          </a:p>
        </c:txPr>
      </c:dTable>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r>
              <a:rPr lang="en-US" sz="1800" b="1" i="0" u="none" strike="noStrike" baseline="0">
                <a:effectLst/>
              </a:rPr>
              <a:t>Sakhalin-1 Gas Production(mmscmd)</a:t>
            </a:r>
            <a:endParaRPr lang="en-US" sz="1800"/>
          </a:p>
        </c:rich>
      </c:tx>
      <c:overlay val="0"/>
      <c:spPr>
        <a:noFill/>
        <a:ln>
          <a:noFill/>
        </a:ln>
        <a:effectLst/>
      </c:spPr>
    </c:title>
    <c:autoTitleDeleted val="0"/>
    <c:plotArea>
      <c:layout/>
      <c:barChart>
        <c:barDir val="col"/>
        <c:grouping val="clustered"/>
        <c:varyColors val="0"/>
        <c:ser>
          <c:idx val="0"/>
          <c:order val="0"/>
          <c:tx>
            <c:strRef>
              <c:f>Tables!$C$201</c:f>
              <c:strCache>
                <c:ptCount val="1"/>
                <c:pt idx="0">
                  <c:v>BE(mmscmd)</c:v>
                </c:pt>
              </c:strCache>
            </c:strRef>
          </c:tx>
          <c:spPr>
            <a:solidFill>
              <a:schemeClr val="accent2">
                <a:lumMod val="40000"/>
                <a:lumOff val="60000"/>
              </a:schemeClr>
            </a:solidFill>
            <a:ln>
              <a:noFill/>
            </a:ln>
            <a:effectLst/>
          </c:spPr>
          <c:invertIfNegative val="0"/>
          <c:cat>
            <c:strRef>
              <c:f>Tables!$D$200:$O$200</c:f>
              <c:strCache>
                <c:ptCount val="12"/>
                <c:pt idx="0">
                  <c:v>Apr'26</c:v>
                </c:pt>
                <c:pt idx="1">
                  <c:v>May'26</c:v>
                </c:pt>
                <c:pt idx="2">
                  <c:v>June'26</c:v>
                </c:pt>
                <c:pt idx="3">
                  <c:v>July'26</c:v>
                </c:pt>
                <c:pt idx="4">
                  <c:v>Aug'26</c:v>
                </c:pt>
                <c:pt idx="5">
                  <c:v>Sep'26</c:v>
                </c:pt>
                <c:pt idx="6">
                  <c:v>Oct'26</c:v>
                </c:pt>
                <c:pt idx="7">
                  <c:v>Nov'26</c:v>
                </c:pt>
                <c:pt idx="8">
                  <c:v>Dec'26</c:v>
                </c:pt>
                <c:pt idx="9">
                  <c:v>Jan'27</c:v>
                </c:pt>
                <c:pt idx="10">
                  <c:v>Feb'27</c:v>
                </c:pt>
                <c:pt idx="11">
                  <c:v>Mar'27</c:v>
                </c:pt>
              </c:strCache>
            </c:strRef>
          </c:cat>
          <c:val>
            <c:numRef>
              <c:f>Tables!$D$201:$O$201</c:f>
              <c:numCache>
                <c:formatCode>0.00</c:formatCode>
                <c:ptCount val="12"/>
                <c:pt idx="0">
                  <c:v>8.1666666666666661</c:v>
                </c:pt>
                <c:pt idx="1">
                  <c:v>8.064516129032258</c:v>
                </c:pt>
                <c:pt idx="2">
                  <c:v>8</c:v>
                </c:pt>
                <c:pt idx="3">
                  <c:v>8.2258064516129004</c:v>
                </c:pt>
                <c:pt idx="4">
                  <c:v>8.064516129032258</c:v>
                </c:pt>
                <c:pt idx="5">
                  <c:v>8.1666666666666661</c:v>
                </c:pt>
                <c:pt idx="6">
                  <c:v>8.3870967741935463</c:v>
                </c:pt>
                <c:pt idx="7">
                  <c:v>8.8333333333333321</c:v>
                </c:pt>
                <c:pt idx="8">
                  <c:v>8.7096774193548363</c:v>
                </c:pt>
                <c:pt idx="9">
                  <c:v>9.0322580645161263</c:v>
                </c:pt>
                <c:pt idx="10">
                  <c:v>9.1071428571428541</c:v>
                </c:pt>
                <c:pt idx="11">
                  <c:v>9.0322580645161263</c:v>
                </c:pt>
              </c:numCache>
            </c:numRef>
          </c:val>
          <c:extLst xmlns:c16r2="http://schemas.microsoft.com/office/drawing/2015/06/chart">
            <c:ext xmlns:c16="http://schemas.microsoft.com/office/drawing/2014/chart" uri="{C3380CC4-5D6E-409C-BE32-E72D297353CC}">
              <c16:uniqueId val="{00000002-3FD6-4025-BDE3-3CF10B6A457D}"/>
            </c:ext>
          </c:extLst>
        </c:ser>
        <c:ser>
          <c:idx val="1"/>
          <c:order val="1"/>
          <c:tx>
            <c:strRef>
              <c:f>Tables!$C$202</c:f>
              <c:strCache>
                <c:ptCount val="1"/>
                <c:pt idx="0">
                  <c:v>Actual</c:v>
                </c:pt>
              </c:strCache>
            </c:strRef>
          </c:tx>
          <c:spPr>
            <a:solidFill>
              <a:schemeClr val="accent2">
                <a:lumMod val="75000"/>
              </a:schemeClr>
            </a:solidFill>
            <a:ln>
              <a:noFill/>
            </a:ln>
            <a:effectLst/>
          </c:spPr>
          <c:invertIfNegative val="0"/>
          <c:cat>
            <c:strRef>
              <c:f>Tables!$D$200:$O$200</c:f>
              <c:strCache>
                <c:ptCount val="12"/>
                <c:pt idx="0">
                  <c:v>Apr'26</c:v>
                </c:pt>
                <c:pt idx="1">
                  <c:v>May'26</c:v>
                </c:pt>
                <c:pt idx="2">
                  <c:v>June'26</c:v>
                </c:pt>
                <c:pt idx="3">
                  <c:v>July'26</c:v>
                </c:pt>
                <c:pt idx="4">
                  <c:v>Aug'26</c:v>
                </c:pt>
                <c:pt idx="5">
                  <c:v>Sep'26</c:v>
                </c:pt>
                <c:pt idx="6">
                  <c:v>Oct'26</c:v>
                </c:pt>
                <c:pt idx="7">
                  <c:v>Nov'26</c:v>
                </c:pt>
                <c:pt idx="8">
                  <c:v>Dec'26</c:v>
                </c:pt>
                <c:pt idx="9">
                  <c:v>Jan'27</c:v>
                </c:pt>
                <c:pt idx="10">
                  <c:v>Feb'27</c:v>
                </c:pt>
                <c:pt idx="11">
                  <c:v>Mar'27</c:v>
                </c:pt>
              </c:strCache>
            </c:strRef>
          </c:cat>
          <c:val>
            <c:numRef>
              <c:f>Tables!$D$202:$O$202</c:f>
              <c:numCache>
                <c:formatCode>0.00</c:formatCode>
                <c:ptCount val="12"/>
                <c:pt idx="0">
                  <c:v>9.7017673333333327</c:v>
                </c:pt>
                <c:pt idx="1">
                  <c:v>8.3419374193548386</c:v>
                </c:pt>
                <c:pt idx="2">
                  <c:v>7.6709000000000005</c:v>
                </c:pt>
                <c:pt idx="3">
                  <c:v>7.3924512903225805</c:v>
                </c:pt>
                <c:pt idx="4">
                  <c:v>6.9239309443193591</c:v>
                </c:pt>
                <c:pt idx="5">
                  <c:v>0</c:v>
                </c:pt>
                <c:pt idx="6">
                  <c:v>0</c:v>
                </c:pt>
                <c:pt idx="7">
                  <c:v>0</c:v>
                </c:pt>
                <c:pt idx="8">
                  <c:v>0</c:v>
                </c:pt>
                <c:pt idx="9">
                  <c:v>0</c:v>
                </c:pt>
                <c:pt idx="10">
                  <c:v>0</c:v>
                </c:pt>
                <c:pt idx="11">
                  <c:v>0</c:v>
                </c:pt>
              </c:numCache>
            </c:numRef>
          </c:val>
          <c:extLst xmlns:c16r2="http://schemas.microsoft.com/office/drawing/2015/06/chart">
            <c:ext xmlns:c16="http://schemas.microsoft.com/office/drawing/2014/chart" uri="{C3380CC4-5D6E-409C-BE32-E72D297353CC}">
              <c16:uniqueId val="{00000004-3FD6-4025-BDE3-3CF10B6A457D}"/>
            </c:ext>
          </c:extLst>
        </c:ser>
        <c:dLbls>
          <c:showLegendKey val="0"/>
          <c:showVal val="0"/>
          <c:showCatName val="0"/>
          <c:showSerName val="0"/>
          <c:showPercent val="0"/>
          <c:showBubbleSize val="0"/>
        </c:dLbls>
        <c:gapWidth val="219"/>
        <c:axId val="1156940240"/>
        <c:axId val="1156941872"/>
      </c:barChart>
      <c:catAx>
        <c:axId val="1156940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56941872"/>
        <c:crosses val="autoZero"/>
        <c:auto val="1"/>
        <c:lblAlgn val="ctr"/>
        <c:lblOffset val="100"/>
        <c:noMultiLvlLbl val="0"/>
      </c:catAx>
      <c:valAx>
        <c:axId val="11569418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56940240"/>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1000" b="0" i="0" u="none" strike="noStrike" kern="1200" baseline="0">
                <a:solidFill>
                  <a:sysClr val="windowText" lastClr="000000"/>
                </a:solidFill>
                <a:latin typeface="+mn-lt"/>
                <a:ea typeface="+mn-ea"/>
                <a:cs typeface="+mn-cs"/>
              </a:defRPr>
            </a:pPr>
            <a:endParaRPr lang="en-US"/>
          </a:p>
        </c:txPr>
      </c:dTable>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vert="horz"/>
          <a:lstStyle/>
          <a:p>
            <a:pPr>
              <a:defRPr/>
            </a:pPr>
            <a:r>
              <a:rPr lang="en-US" sz="1800" b="1" i="0" baseline="0">
                <a:effectLst/>
              </a:rPr>
              <a:t>Vankor Gas Production(mmscmd)</a:t>
            </a:r>
            <a:endParaRPr lang="en-US">
              <a:effectLst/>
            </a:endParaRPr>
          </a:p>
        </c:rich>
      </c:tx>
      <c:overlay val="0"/>
      <c:spPr>
        <a:noFill/>
        <a:ln>
          <a:noFill/>
        </a:ln>
        <a:effectLst/>
      </c:spPr>
    </c:title>
    <c:autoTitleDeleted val="0"/>
    <c:plotArea>
      <c:layout/>
      <c:barChart>
        <c:barDir val="col"/>
        <c:grouping val="clustered"/>
        <c:varyColors val="0"/>
        <c:ser>
          <c:idx val="0"/>
          <c:order val="0"/>
          <c:tx>
            <c:strRef>
              <c:f>Tables!$C$215</c:f>
              <c:strCache>
                <c:ptCount val="1"/>
                <c:pt idx="0">
                  <c:v>BE(mmscmd)</c:v>
                </c:pt>
              </c:strCache>
            </c:strRef>
          </c:tx>
          <c:spPr>
            <a:solidFill>
              <a:schemeClr val="accent2">
                <a:lumMod val="40000"/>
                <a:lumOff val="60000"/>
              </a:schemeClr>
            </a:solidFill>
            <a:ln>
              <a:noFill/>
            </a:ln>
            <a:effectLst/>
          </c:spPr>
          <c:invertIfNegative val="0"/>
          <c:cat>
            <c:strRef>
              <c:f>Tables!$D$214:$O$214</c:f>
              <c:strCache>
                <c:ptCount val="12"/>
                <c:pt idx="0">
                  <c:v>Apr'26</c:v>
                </c:pt>
                <c:pt idx="1">
                  <c:v>May'26</c:v>
                </c:pt>
                <c:pt idx="2">
                  <c:v>June'26</c:v>
                </c:pt>
                <c:pt idx="3">
                  <c:v>July'26</c:v>
                </c:pt>
                <c:pt idx="4">
                  <c:v>Aug'26</c:v>
                </c:pt>
                <c:pt idx="5">
                  <c:v>Sep'26</c:v>
                </c:pt>
                <c:pt idx="6">
                  <c:v>Oct'26</c:v>
                </c:pt>
                <c:pt idx="7">
                  <c:v>Nov'26</c:v>
                </c:pt>
                <c:pt idx="8">
                  <c:v>Dec'26</c:v>
                </c:pt>
                <c:pt idx="9">
                  <c:v>Jan'27</c:v>
                </c:pt>
                <c:pt idx="10">
                  <c:v>Feb'27</c:v>
                </c:pt>
                <c:pt idx="11">
                  <c:v>Mar'27</c:v>
                </c:pt>
              </c:strCache>
            </c:strRef>
          </c:cat>
          <c:val>
            <c:numRef>
              <c:f>Tables!$D$215:$O$215</c:f>
              <c:numCache>
                <c:formatCode>0.00</c:formatCode>
                <c:ptCount val="12"/>
                <c:pt idx="0">
                  <c:v>8.4615384615384617</c:v>
                </c:pt>
                <c:pt idx="1">
                  <c:v>8.4367245657568244</c:v>
                </c:pt>
                <c:pt idx="2">
                  <c:v>8.4615384615384617</c:v>
                </c:pt>
                <c:pt idx="3">
                  <c:v>8.4367245657568244</c:v>
                </c:pt>
                <c:pt idx="4">
                  <c:v>8.4367245657568244</c:v>
                </c:pt>
                <c:pt idx="5">
                  <c:v>8.4615384615384617</c:v>
                </c:pt>
                <c:pt idx="6">
                  <c:v>8.4299262381454163</c:v>
                </c:pt>
                <c:pt idx="7">
                  <c:v>8.4615384615384617</c:v>
                </c:pt>
                <c:pt idx="8">
                  <c:v>8.4367245657568244</c:v>
                </c:pt>
                <c:pt idx="9">
                  <c:v>8.4367245657568244</c:v>
                </c:pt>
                <c:pt idx="10">
                  <c:v>8.2417582417582409</c:v>
                </c:pt>
                <c:pt idx="11">
                  <c:v>8.4367245657568244</c:v>
                </c:pt>
              </c:numCache>
            </c:numRef>
          </c:val>
          <c:extLst xmlns:c16r2="http://schemas.microsoft.com/office/drawing/2015/06/chart">
            <c:ext xmlns:c16="http://schemas.microsoft.com/office/drawing/2014/chart" uri="{C3380CC4-5D6E-409C-BE32-E72D297353CC}">
              <c16:uniqueId val="{00000002-F9B2-4EA1-BBAE-7F72CEA24D9D}"/>
            </c:ext>
          </c:extLst>
        </c:ser>
        <c:ser>
          <c:idx val="1"/>
          <c:order val="1"/>
          <c:tx>
            <c:strRef>
              <c:f>Tables!$C$216</c:f>
              <c:strCache>
                <c:ptCount val="1"/>
                <c:pt idx="0">
                  <c:v>Actual</c:v>
                </c:pt>
              </c:strCache>
            </c:strRef>
          </c:tx>
          <c:spPr>
            <a:solidFill>
              <a:schemeClr val="accent2">
                <a:lumMod val="75000"/>
              </a:schemeClr>
            </a:solidFill>
            <a:ln>
              <a:noFill/>
            </a:ln>
            <a:effectLst/>
          </c:spPr>
          <c:invertIfNegative val="0"/>
          <c:cat>
            <c:strRef>
              <c:f>Tables!$D$214:$O$214</c:f>
              <c:strCache>
                <c:ptCount val="12"/>
                <c:pt idx="0">
                  <c:v>Apr'26</c:v>
                </c:pt>
                <c:pt idx="1">
                  <c:v>May'26</c:v>
                </c:pt>
                <c:pt idx="2">
                  <c:v>June'26</c:v>
                </c:pt>
                <c:pt idx="3">
                  <c:v>July'26</c:v>
                </c:pt>
                <c:pt idx="4">
                  <c:v>Aug'26</c:v>
                </c:pt>
                <c:pt idx="5">
                  <c:v>Sep'26</c:v>
                </c:pt>
                <c:pt idx="6">
                  <c:v>Oct'26</c:v>
                </c:pt>
                <c:pt idx="7">
                  <c:v>Nov'26</c:v>
                </c:pt>
                <c:pt idx="8">
                  <c:v>Dec'26</c:v>
                </c:pt>
                <c:pt idx="9">
                  <c:v>Jan'27</c:v>
                </c:pt>
                <c:pt idx="10">
                  <c:v>Feb'27</c:v>
                </c:pt>
                <c:pt idx="11">
                  <c:v>Mar'27</c:v>
                </c:pt>
              </c:strCache>
            </c:strRef>
          </c:cat>
          <c:val>
            <c:numRef>
              <c:f>Tables!$D$216:$O$216</c:f>
              <c:numCache>
                <c:formatCode>0.00</c:formatCode>
                <c:ptCount val="12"/>
                <c:pt idx="0">
                  <c:v>9.9731976666666657</c:v>
                </c:pt>
                <c:pt idx="1">
                  <c:v>9.9403735483870967</c:v>
                </c:pt>
                <c:pt idx="2">
                  <c:v>9.7900666666666663</c:v>
                </c:pt>
                <c:pt idx="3">
                  <c:v>8.8381954838709671</c:v>
                </c:pt>
                <c:pt idx="4">
                  <c:v>10.128309225806449</c:v>
                </c:pt>
                <c:pt idx="5">
                  <c:v>0</c:v>
                </c:pt>
                <c:pt idx="6">
                  <c:v>0</c:v>
                </c:pt>
                <c:pt idx="7">
                  <c:v>0</c:v>
                </c:pt>
                <c:pt idx="8">
                  <c:v>0</c:v>
                </c:pt>
                <c:pt idx="9">
                  <c:v>0</c:v>
                </c:pt>
                <c:pt idx="10">
                  <c:v>0</c:v>
                </c:pt>
                <c:pt idx="11">
                  <c:v>0</c:v>
                </c:pt>
              </c:numCache>
            </c:numRef>
          </c:val>
          <c:extLst xmlns:c16r2="http://schemas.microsoft.com/office/drawing/2015/06/chart">
            <c:ext xmlns:c16="http://schemas.microsoft.com/office/drawing/2014/chart" uri="{C3380CC4-5D6E-409C-BE32-E72D297353CC}">
              <c16:uniqueId val="{00000004-F9B2-4EA1-BBAE-7F72CEA24D9D}"/>
            </c:ext>
          </c:extLst>
        </c:ser>
        <c:dLbls>
          <c:showLegendKey val="0"/>
          <c:showVal val="0"/>
          <c:showCatName val="0"/>
          <c:showSerName val="0"/>
          <c:showPercent val="0"/>
          <c:showBubbleSize val="0"/>
        </c:dLbls>
        <c:gapWidth val="219"/>
        <c:axId val="1156958736"/>
        <c:axId val="1156934800"/>
      </c:barChart>
      <c:catAx>
        <c:axId val="11569587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vert="horz"/>
          <a:lstStyle/>
          <a:p>
            <a:pPr>
              <a:defRPr/>
            </a:pPr>
            <a:endParaRPr lang="en-US"/>
          </a:p>
        </c:txPr>
        <c:crossAx val="1156934800"/>
        <c:crosses val="autoZero"/>
        <c:auto val="1"/>
        <c:lblAlgn val="ctr"/>
        <c:lblOffset val="100"/>
        <c:noMultiLvlLbl val="0"/>
      </c:catAx>
      <c:valAx>
        <c:axId val="11569348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vert="horz"/>
          <a:lstStyle/>
          <a:p>
            <a:pPr>
              <a:defRPr/>
            </a:pPr>
            <a:endParaRPr lang="en-US"/>
          </a:p>
        </c:txPr>
        <c:crossAx val="1156958736"/>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dTable>
    </c:plotArea>
    <c:legend>
      <c:legendPos val="b"/>
      <c:overlay val="0"/>
      <c:spPr>
        <a:noFill/>
        <a:ln>
          <a:noFill/>
        </a:ln>
        <a:effectLst/>
      </c:spPr>
      <c:txPr>
        <a:bodyPr rot="0" vert="horz"/>
        <a:lstStyle/>
        <a:p>
          <a:pPr>
            <a:defRPr/>
          </a:pPr>
          <a:endParaRPr lang="en-US"/>
        </a:p>
      </c:txPr>
    </c:legend>
    <c:plotVisOnly val="1"/>
    <c:dispBlanksAs val="gap"/>
    <c:showDLblsOverMax val="0"/>
  </c:chart>
  <c:txPr>
    <a:bodyPr/>
    <a:lstStyle/>
    <a:p>
      <a:pPr>
        <a:defRPr sz="1000">
          <a:solidFill>
            <a:sysClr val="windowText" lastClr="000000"/>
          </a:solidFill>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US" sz="1800" b="1" i="0" baseline="0">
                <a:effectLst/>
              </a:rPr>
              <a:t>Imperial Energy Gas Production(mmscmd)</a:t>
            </a:r>
            <a:endParaRPr lang="en-US">
              <a:effectLst/>
            </a:endParaRPr>
          </a:p>
        </c:rich>
      </c:tx>
      <c:overlay val="0"/>
      <c:spPr>
        <a:noFill/>
        <a:ln>
          <a:noFill/>
        </a:ln>
        <a:effectLst/>
      </c:spPr>
    </c:title>
    <c:autoTitleDeleted val="0"/>
    <c:plotArea>
      <c:layout/>
      <c:barChart>
        <c:barDir val="col"/>
        <c:grouping val="clustered"/>
        <c:varyColors val="0"/>
        <c:ser>
          <c:idx val="0"/>
          <c:order val="0"/>
          <c:tx>
            <c:strRef>
              <c:f>Tables!$C$229</c:f>
              <c:strCache>
                <c:ptCount val="1"/>
                <c:pt idx="0">
                  <c:v>BE(mmscmd)</c:v>
                </c:pt>
              </c:strCache>
            </c:strRef>
          </c:tx>
          <c:spPr>
            <a:solidFill>
              <a:schemeClr val="accent2">
                <a:lumMod val="40000"/>
                <a:lumOff val="60000"/>
              </a:schemeClr>
            </a:solidFill>
            <a:ln>
              <a:noFill/>
            </a:ln>
            <a:effectLst/>
          </c:spPr>
          <c:invertIfNegative val="0"/>
          <c:cat>
            <c:strRef>
              <c:f>Tables!$D$228:$O$228</c:f>
              <c:strCache>
                <c:ptCount val="12"/>
                <c:pt idx="0">
                  <c:v>Apr'26</c:v>
                </c:pt>
                <c:pt idx="1">
                  <c:v>May'26</c:v>
                </c:pt>
                <c:pt idx="2">
                  <c:v>June'26</c:v>
                </c:pt>
                <c:pt idx="3">
                  <c:v>July'26</c:v>
                </c:pt>
                <c:pt idx="4">
                  <c:v>Aug'26</c:v>
                </c:pt>
                <c:pt idx="5">
                  <c:v>Sep'26</c:v>
                </c:pt>
                <c:pt idx="6">
                  <c:v>Oct'26</c:v>
                </c:pt>
                <c:pt idx="7">
                  <c:v>Nov'26</c:v>
                </c:pt>
                <c:pt idx="8">
                  <c:v>Dec'26</c:v>
                </c:pt>
                <c:pt idx="9">
                  <c:v>Jan'27</c:v>
                </c:pt>
                <c:pt idx="10">
                  <c:v>Feb'27</c:v>
                </c:pt>
                <c:pt idx="11">
                  <c:v>Mar'27</c:v>
                </c:pt>
              </c:strCache>
            </c:strRef>
          </c:cat>
          <c:val>
            <c:numRef>
              <c:f>Tables!$D$229:$O$229</c:f>
              <c:numCache>
                <c:formatCode>0.000</c:formatCode>
                <c:ptCount val="12"/>
                <c:pt idx="0">
                  <c:v>0.26666666666666666</c:v>
                </c:pt>
                <c:pt idx="1">
                  <c:v>0.25806451612903225</c:v>
                </c:pt>
                <c:pt idx="2">
                  <c:v>0.26666666666666666</c:v>
                </c:pt>
                <c:pt idx="3">
                  <c:v>0.25806451612903225</c:v>
                </c:pt>
                <c:pt idx="4">
                  <c:v>0.25806451612903225</c:v>
                </c:pt>
                <c:pt idx="5">
                  <c:v>0.26666666666666666</c:v>
                </c:pt>
                <c:pt idx="6">
                  <c:v>0.25753424657534246</c:v>
                </c:pt>
                <c:pt idx="7">
                  <c:v>0.26666666666666666</c:v>
                </c:pt>
                <c:pt idx="8">
                  <c:v>0.25806451612903225</c:v>
                </c:pt>
                <c:pt idx="9">
                  <c:v>0.25806451612903225</c:v>
                </c:pt>
                <c:pt idx="10">
                  <c:v>0.21428571428571427</c:v>
                </c:pt>
                <c:pt idx="11">
                  <c:v>0.25806451612903225</c:v>
                </c:pt>
              </c:numCache>
            </c:numRef>
          </c:val>
          <c:extLst xmlns:c16r2="http://schemas.microsoft.com/office/drawing/2015/06/chart">
            <c:ext xmlns:c16="http://schemas.microsoft.com/office/drawing/2014/chart" uri="{C3380CC4-5D6E-409C-BE32-E72D297353CC}">
              <c16:uniqueId val="{00000002-F737-4A5D-9FA8-BCAE1A1234D4}"/>
            </c:ext>
          </c:extLst>
        </c:ser>
        <c:ser>
          <c:idx val="1"/>
          <c:order val="1"/>
          <c:tx>
            <c:strRef>
              <c:f>Tables!$C$230</c:f>
              <c:strCache>
                <c:ptCount val="1"/>
                <c:pt idx="0">
                  <c:v>Actual</c:v>
                </c:pt>
              </c:strCache>
            </c:strRef>
          </c:tx>
          <c:spPr>
            <a:solidFill>
              <a:schemeClr val="accent2">
                <a:lumMod val="75000"/>
              </a:schemeClr>
            </a:solidFill>
            <a:ln>
              <a:noFill/>
            </a:ln>
            <a:effectLst/>
          </c:spPr>
          <c:invertIfNegative val="0"/>
          <c:cat>
            <c:strRef>
              <c:f>Tables!$D$228:$O$228</c:f>
              <c:strCache>
                <c:ptCount val="12"/>
                <c:pt idx="0">
                  <c:v>Apr'26</c:v>
                </c:pt>
                <c:pt idx="1">
                  <c:v>May'26</c:v>
                </c:pt>
                <c:pt idx="2">
                  <c:v>June'26</c:v>
                </c:pt>
                <c:pt idx="3">
                  <c:v>July'26</c:v>
                </c:pt>
                <c:pt idx="4">
                  <c:v>Aug'26</c:v>
                </c:pt>
                <c:pt idx="5">
                  <c:v>Sep'26</c:v>
                </c:pt>
                <c:pt idx="6">
                  <c:v>Oct'26</c:v>
                </c:pt>
                <c:pt idx="7">
                  <c:v>Nov'26</c:v>
                </c:pt>
                <c:pt idx="8">
                  <c:v>Dec'26</c:v>
                </c:pt>
                <c:pt idx="9">
                  <c:v>Jan'27</c:v>
                </c:pt>
                <c:pt idx="10">
                  <c:v>Feb'27</c:v>
                </c:pt>
                <c:pt idx="11">
                  <c:v>Mar'27</c:v>
                </c:pt>
              </c:strCache>
            </c:strRef>
          </c:cat>
          <c:val>
            <c:numRef>
              <c:f>Tables!$D$230:$O$230</c:f>
              <c:numCache>
                <c:formatCode>0.000</c:formatCode>
                <c:ptCount val="12"/>
                <c:pt idx="0">
                  <c:v>0.27867500000000001</c:v>
                </c:pt>
                <c:pt idx="1">
                  <c:v>0.24100064516129033</c:v>
                </c:pt>
                <c:pt idx="2">
                  <c:v>0.261299</c:v>
                </c:pt>
                <c:pt idx="3">
                  <c:v>0.24090483870967741</c:v>
                </c:pt>
                <c:pt idx="4">
                  <c:v>0.24677316129032253</c:v>
                </c:pt>
                <c:pt idx="5">
                  <c:v>0</c:v>
                </c:pt>
                <c:pt idx="6">
                  <c:v>0</c:v>
                </c:pt>
                <c:pt idx="7">
                  <c:v>0</c:v>
                </c:pt>
                <c:pt idx="8">
                  <c:v>0</c:v>
                </c:pt>
                <c:pt idx="9">
                  <c:v>0</c:v>
                </c:pt>
                <c:pt idx="10">
                  <c:v>0</c:v>
                </c:pt>
                <c:pt idx="11">
                  <c:v>0</c:v>
                </c:pt>
              </c:numCache>
            </c:numRef>
          </c:val>
          <c:extLst xmlns:c16r2="http://schemas.microsoft.com/office/drawing/2015/06/chart">
            <c:ext xmlns:c16="http://schemas.microsoft.com/office/drawing/2014/chart" uri="{C3380CC4-5D6E-409C-BE32-E72D297353CC}">
              <c16:uniqueId val="{00000004-F737-4A5D-9FA8-BCAE1A1234D4}"/>
            </c:ext>
          </c:extLst>
        </c:ser>
        <c:dLbls>
          <c:showLegendKey val="0"/>
          <c:showVal val="0"/>
          <c:showCatName val="0"/>
          <c:showSerName val="0"/>
          <c:showPercent val="0"/>
          <c:showBubbleSize val="0"/>
        </c:dLbls>
        <c:gapWidth val="219"/>
        <c:axId val="1158587280"/>
        <c:axId val="1158589456"/>
      </c:barChart>
      <c:catAx>
        <c:axId val="1158587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58589456"/>
        <c:crosses val="autoZero"/>
        <c:auto val="1"/>
        <c:lblAlgn val="ctr"/>
        <c:lblOffset val="100"/>
        <c:noMultiLvlLbl val="0"/>
      </c:catAx>
      <c:valAx>
        <c:axId val="1158589456"/>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58587280"/>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1000" b="0" i="0" u="none" strike="noStrike" kern="1200" baseline="0">
                <a:solidFill>
                  <a:sysClr val="windowText" lastClr="000000"/>
                </a:solidFill>
                <a:latin typeface="+mn-lt"/>
                <a:ea typeface="+mn-ea"/>
                <a:cs typeface="+mn-cs"/>
              </a:defRPr>
            </a:pPr>
            <a:endParaRPr lang="en-US"/>
          </a:p>
        </c:txPr>
      </c:dTable>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US" sz="1800" b="1" i="0" baseline="0">
                <a:effectLst/>
              </a:rPr>
              <a:t>ACG Gas Production(mmscmd)</a:t>
            </a:r>
            <a:endParaRPr lang="en-US">
              <a:effectLst/>
            </a:endParaRPr>
          </a:p>
        </c:rich>
      </c:tx>
      <c:overlay val="0"/>
      <c:spPr>
        <a:noFill/>
        <a:ln>
          <a:noFill/>
        </a:ln>
        <a:effectLst/>
      </c:spPr>
    </c:title>
    <c:autoTitleDeleted val="0"/>
    <c:plotArea>
      <c:layout/>
      <c:barChart>
        <c:barDir val="col"/>
        <c:grouping val="clustered"/>
        <c:varyColors val="0"/>
        <c:ser>
          <c:idx val="0"/>
          <c:order val="0"/>
          <c:tx>
            <c:strRef>
              <c:f>Tables!$C$243</c:f>
              <c:strCache>
                <c:ptCount val="1"/>
                <c:pt idx="0">
                  <c:v>BE(mmscmd)</c:v>
                </c:pt>
              </c:strCache>
            </c:strRef>
          </c:tx>
          <c:spPr>
            <a:solidFill>
              <a:schemeClr val="accent2">
                <a:lumMod val="40000"/>
                <a:lumOff val="60000"/>
              </a:schemeClr>
            </a:solidFill>
            <a:ln>
              <a:noFill/>
            </a:ln>
            <a:effectLst/>
          </c:spPr>
          <c:invertIfNegative val="0"/>
          <c:cat>
            <c:strRef>
              <c:f>Tables!$D$242:$O$242</c:f>
              <c:strCache>
                <c:ptCount val="12"/>
                <c:pt idx="0">
                  <c:v>Apr'26</c:v>
                </c:pt>
                <c:pt idx="1">
                  <c:v>May'26</c:v>
                </c:pt>
                <c:pt idx="2">
                  <c:v>June'26</c:v>
                </c:pt>
                <c:pt idx="3">
                  <c:v>July'26</c:v>
                </c:pt>
                <c:pt idx="4">
                  <c:v>Aug'26</c:v>
                </c:pt>
                <c:pt idx="5">
                  <c:v>Sep'26</c:v>
                </c:pt>
                <c:pt idx="6">
                  <c:v>Oct'26</c:v>
                </c:pt>
                <c:pt idx="7">
                  <c:v>Nov'26</c:v>
                </c:pt>
                <c:pt idx="8">
                  <c:v>Dec'26</c:v>
                </c:pt>
                <c:pt idx="9">
                  <c:v>Jan'27</c:v>
                </c:pt>
                <c:pt idx="10">
                  <c:v>Feb'27</c:v>
                </c:pt>
                <c:pt idx="11">
                  <c:v>Mar'27</c:v>
                </c:pt>
              </c:strCache>
            </c:strRef>
          </c:cat>
          <c:val>
            <c:numRef>
              <c:f>Tables!$D$243:$O$243</c:f>
              <c:numCache>
                <c:formatCode>0.00</c:formatCode>
                <c:ptCount val="12"/>
                <c:pt idx="0">
                  <c:v>11.396011396011396</c:v>
                </c:pt>
                <c:pt idx="1">
                  <c:v>11.028398125172318</c:v>
                </c:pt>
                <c:pt idx="2">
                  <c:v>11.396011396011396</c:v>
                </c:pt>
                <c:pt idx="3">
                  <c:v>11.028398125172318</c:v>
                </c:pt>
                <c:pt idx="4">
                  <c:v>11.028398125172318</c:v>
                </c:pt>
                <c:pt idx="5">
                  <c:v>11.396011396011396</c:v>
                </c:pt>
                <c:pt idx="6">
                  <c:v>10.865238262498535</c:v>
                </c:pt>
                <c:pt idx="7">
                  <c:v>11.396011396011396</c:v>
                </c:pt>
                <c:pt idx="8">
                  <c:v>11.028398125172318</c:v>
                </c:pt>
                <c:pt idx="9">
                  <c:v>11.028398125172318</c:v>
                </c:pt>
                <c:pt idx="10">
                  <c:v>7.3260073260073248</c:v>
                </c:pt>
                <c:pt idx="11">
                  <c:v>11.028398125172318</c:v>
                </c:pt>
              </c:numCache>
            </c:numRef>
          </c:val>
          <c:extLst xmlns:c16r2="http://schemas.microsoft.com/office/drawing/2015/06/chart">
            <c:ext xmlns:c16="http://schemas.microsoft.com/office/drawing/2014/chart" uri="{C3380CC4-5D6E-409C-BE32-E72D297353CC}">
              <c16:uniqueId val="{00000002-C3CC-479B-ACCF-B0D51EC7A47C}"/>
            </c:ext>
          </c:extLst>
        </c:ser>
        <c:ser>
          <c:idx val="1"/>
          <c:order val="1"/>
          <c:tx>
            <c:strRef>
              <c:f>Tables!$C$244</c:f>
              <c:strCache>
                <c:ptCount val="1"/>
                <c:pt idx="0">
                  <c:v>Actual</c:v>
                </c:pt>
              </c:strCache>
            </c:strRef>
          </c:tx>
          <c:spPr>
            <a:solidFill>
              <a:schemeClr val="accent2">
                <a:lumMod val="75000"/>
              </a:schemeClr>
            </a:solidFill>
            <a:ln>
              <a:noFill/>
            </a:ln>
            <a:effectLst/>
          </c:spPr>
          <c:invertIfNegative val="0"/>
          <c:cat>
            <c:strRef>
              <c:f>Tables!$D$242:$O$242</c:f>
              <c:strCache>
                <c:ptCount val="12"/>
                <c:pt idx="0">
                  <c:v>Apr'26</c:v>
                </c:pt>
                <c:pt idx="1">
                  <c:v>May'26</c:v>
                </c:pt>
                <c:pt idx="2">
                  <c:v>June'26</c:v>
                </c:pt>
                <c:pt idx="3">
                  <c:v>July'26</c:v>
                </c:pt>
                <c:pt idx="4">
                  <c:v>Aug'26</c:v>
                </c:pt>
                <c:pt idx="5">
                  <c:v>Sep'26</c:v>
                </c:pt>
                <c:pt idx="6">
                  <c:v>Oct'26</c:v>
                </c:pt>
                <c:pt idx="7">
                  <c:v>Nov'26</c:v>
                </c:pt>
                <c:pt idx="8">
                  <c:v>Dec'26</c:v>
                </c:pt>
                <c:pt idx="9">
                  <c:v>Jan'27</c:v>
                </c:pt>
                <c:pt idx="10">
                  <c:v>Feb'27</c:v>
                </c:pt>
                <c:pt idx="11">
                  <c:v>Mar'27</c:v>
                </c:pt>
              </c:strCache>
            </c:strRef>
          </c:cat>
          <c:val>
            <c:numRef>
              <c:f>Tables!$D$244:$O$244</c:f>
              <c:numCache>
                <c:formatCode>0.00</c:formatCode>
                <c:ptCount val="12"/>
                <c:pt idx="0">
                  <c:v>14.437598333333334</c:v>
                </c:pt>
                <c:pt idx="1">
                  <c:v>13.815902258064517</c:v>
                </c:pt>
                <c:pt idx="2">
                  <c:v>12.623732333333333</c:v>
                </c:pt>
                <c:pt idx="3">
                  <c:v>8.2639664516129034</c:v>
                </c:pt>
                <c:pt idx="4">
                  <c:v>7.9886590222823228</c:v>
                </c:pt>
                <c:pt idx="5">
                  <c:v>0</c:v>
                </c:pt>
                <c:pt idx="6">
                  <c:v>0</c:v>
                </c:pt>
                <c:pt idx="7">
                  <c:v>0</c:v>
                </c:pt>
                <c:pt idx="8">
                  <c:v>0</c:v>
                </c:pt>
                <c:pt idx="9">
                  <c:v>0</c:v>
                </c:pt>
                <c:pt idx="10">
                  <c:v>0</c:v>
                </c:pt>
                <c:pt idx="11">
                  <c:v>0</c:v>
                </c:pt>
              </c:numCache>
            </c:numRef>
          </c:val>
          <c:extLst xmlns:c16r2="http://schemas.microsoft.com/office/drawing/2015/06/chart">
            <c:ext xmlns:c16="http://schemas.microsoft.com/office/drawing/2014/chart" uri="{C3380CC4-5D6E-409C-BE32-E72D297353CC}">
              <c16:uniqueId val="{00000004-C3CC-479B-ACCF-B0D51EC7A47C}"/>
            </c:ext>
          </c:extLst>
        </c:ser>
        <c:dLbls>
          <c:showLegendKey val="0"/>
          <c:showVal val="0"/>
          <c:showCatName val="0"/>
          <c:showSerName val="0"/>
          <c:showPercent val="0"/>
          <c:showBubbleSize val="0"/>
        </c:dLbls>
        <c:gapWidth val="219"/>
        <c:axId val="1158585104"/>
        <c:axId val="1158590000"/>
      </c:barChart>
      <c:catAx>
        <c:axId val="11585851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58590000"/>
        <c:crosses val="autoZero"/>
        <c:auto val="1"/>
        <c:lblAlgn val="ctr"/>
        <c:lblOffset val="100"/>
        <c:noMultiLvlLbl val="0"/>
      </c:catAx>
      <c:valAx>
        <c:axId val="11585900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58585104"/>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1000" b="0" i="0" u="none" strike="noStrike" kern="1200" baseline="0">
                <a:solidFill>
                  <a:sysClr val="windowText" lastClr="000000"/>
                </a:solidFill>
                <a:latin typeface="+mn-lt"/>
                <a:ea typeface="+mn-ea"/>
                <a:cs typeface="+mn-cs"/>
              </a:defRPr>
            </a:pPr>
            <a:endParaRPr lang="en-US"/>
          </a:p>
        </c:txPr>
      </c:dTable>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US" sz="1800" b="1" i="0" baseline="0">
                <a:effectLst/>
              </a:rPr>
              <a:t>B-06.1 Gas Production(mmscmd)</a:t>
            </a:r>
            <a:endParaRPr lang="en-US">
              <a:effectLst/>
            </a:endParaRPr>
          </a:p>
        </c:rich>
      </c:tx>
      <c:overlay val="0"/>
      <c:spPr>
        <a:noFill/>
        <a:ln>
          <a:noFill/>
        </a:ln>
        <a:effectLst/>
      </c:spPr>
    </c:title>
    <c:autoTitleDeleted val="0"/>
    <c:plotArea>
      <c:layout/>
      <c:barChart>
        <c:barDir val="col"/>
        <c:grouping val="clustered"/>
        <c:varyColors val="0"/>
        <c:ser>
          <c:idx val="0"/>
          <c:order val="0"/>
          <c:tx>
            <c:strRef>
              <c:f>Tables!$C$313</c:f>
              <c:strCache>
                <c:ptCount val="1"/>
                <c:pt idx="0">
                  <c:v>BE(mmscmd)</c:v>
                </c:pt>
              </c:strCache>
            </c:strRef>
          </c:tx>
          <c:spPr>
            <a:solidFill>
              <a:schemeClr val="accent2">
                <a:lumMod val="40000"/>
                <a:lumOff val="60000"/>
              </a:schemeClr>
            </a:solidFill>
            <a:ln>
              <a:noFill/>
            </a:ln>
            <a:effectLst/>
          </c:spPr>
          <c:invertIfNegative val="0"/>
          <c:cat>
            <c:strRef>
              <c:f>Tables!$D$312:$O$312</c:f>
              <c:strCache>
                <c:ptCount val="12"/>
                <c:pt idx="0">
                  <c:v>Apr'26</c:v>
                </c:pt>
                <c:pt idx="1">
                  <c:v>May'26</c:v>
                </c:pt>
                <c:pt idx="2">
                  <c:v>June'26</c:v>
                </c:pt>
                <c:pt idx="3">
                  <c:v>July'26</c:v>
                </c:pt>
                <c:pt idx="4">
                  <c:v>Aug'26</c:v>
                </c:pt>
                <c:pt idx="5">
                  <c:v>Sep'26</c:v>
                </c:pt>
                <c:pt idx="6">
                  <c:v>Oct'26</c:v>
                </c:pt>
                <c:pt idx="7">
                  <c:v>Nov'26</c:v>
                </c:pt>
                <c:pt idx="8">
                  <c:v>Dec'26</c:v>
                </c:pt>
                <c:pt idx="9">
                  <c:v>Jan'27</c:v>
                </c:pt>
                <c:pt idx="10">
                  <c:v>Feb'27</c:v>
                </c:pt>
                <c:pt idx="11">
                  <c:v>Mar'27</c:v>
                </c:pt>
              </c:strCache>
            </c:strRef>
          </c:cat>
          <c:val>
            <c:numRef>
              <c:f>Tables!$D$313:$O$313</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xmlns:c16r2="http://schemas.microsoft.com/office/drawing/2015/06/chart">
            <c:ext xmlns:c16="http://schemas.microsoft.com/office/drawing/2014/chart" uri="{C3380CC4-5D6E-409C-BE32-E72D297353CC}">
              <c16:uniqueId val="{00000002-BC57-4D30-A438-94399E382061}"/>
            </c:ext>
          </c:extLst>
        </c:ser>
        <c:ser>
          <c:idx val="1"/>
          <c:order val="1"/>
          <c:tx>
            <c:strRef>
              <c:f>Tables!$C$314</c:f>
              <c:strCache>
                <c:ptCount val="1"/>
                <c:pt idx="0">
                  <c:v>Actual</c:v>
                </c:pt>
              </c:strCache>
            </c:strRef>
          </c:tx>
          <c:spPr>
            <a:solidFill>
              <a:schemeClr val="accent2">
                <a:lumMod val="75000"/>
              </a:schemeClr>
            </a:solidFill>
            <a:ln>
              <a:noFill/>
            </a:ln>
            <a:effectLst/>
          </c:spPr>
          <c:invertIfNegative val="0"/>
          <c:cat>
            <c:strRef>
              <c:f>Tables!$D$312:$O$312</c:f>
              <c:strCache>
                <c:ptCount val="12"/>
                <c:pt idx="0">
                  <c:v>Apr'26</c:v>
                </c:pt>
                <c:pt idx="1">
                  <c:v>May'26</c:v>
                </c:pt>
                <c:pt idx="2">
                  <c:v>June'26</c:v>
                </c:pt>
                <c:pt idx="3">
                  <c:v>July'26</c:v>
                </c:pt>
                <c:pt idx="4">
                  <c:v>Aug'26</c:v>
                </c:pt>
                <c:pt idx="5">
                  <c:v>Sep'26</c:v>
                </c:pt>
                <c:pt idx="6">
                  <c:v>Oct'26</c:v>
                </c:pt>
                <c:pt idx="7">
                  <c:v>Nov'26</c:v>
                </c:pt>
                <c:pt idx="8">
                  <c:v>Dec'26</c:v>
                </c:pt>
                <c:pt idx="9">
                  <c:v>Jan'27</c:v>
                </c:pt>
                <c:pt idx="10">
                  <c:v>Feb'27</c:v>
                </c:pt>
                <c:pt idx="11">
                  <c:v>Mar'27</c:v>
                </c:pt>
              </c:strCache>
            </c:strRef>
          </c:cat>
          <c:val>
            <c:numRef>
              <c:f>Tables!$D$314:$O$314</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xmlns:c16r2="http://schemas.microsoft.com/office/drawing/2015/06/chart">
            <c:ext xmlns:c16="http://schemas.microsoft.com/office/drawing/2014/chart" uri="{C3380CC4-5D6E-409C-BE32-E72D297353CC}">
              <c16:uniqueId val="{00000004-BC57-4D30-A438-94399E382061}"/>
            </c:ext>
          </c:extLst>
        </c:ser>
        <c:dLbls>
          <c:showLegendKey val="0"/>
          <c:showVal val="0"/>
          <c:showCatName val="0"/>
          <c:showSerName val="0"/>
          <c:showPercent val="0"/>
          <c:showBubbleSize val="0"/>
        </c:dLbls>
        <c:gapWidth val="219"/>
        <c:axId val="1158567152"/>
        <c:axId val="1158590544"/>
      </c:barChart>
      <c:catAx>
        <c:axId val="11585671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58590544"/>
        <c:crosses val="autoZero"/>
        <c:auto val="1"/>
        <c:lblAlgn val="ctr"/>
        <c:lblOffset val="100"/>
        <c:noMultiLvlLbl val="0"/>
      </c:catAx>
      <c:valAx>
        <c:axId val="11585905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58567152"/>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1000" b="0" i="0" u="none" strike="noStrike" kern="1200" baseline="0">
                <a:solidFill>
                  <a:sysClr val="windowText" lastClr="000000"/>
                </a:solidFill>
                <a:latin typeface="+mn-lt"/>
                <a:ea typeface="+mn-ea"/>
                <a:cs typeface="+mn-cs"/>
              </a:defRPr>
            </a:pPr>
            <a:endParaRPr lang="en-US"/>
          </a:p>
        </c:txPr>
      </c:dTable>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US" sz="1800" b="1" i="0" baseline="0">
                <a:effectLst/>
              </a:rPr>
              <a:t>A1,A3 Gas Production(mmscmd)</a:t>
            </a:r>
            <a:endParaRPr lang="en-US">
              <a:effectLst/>
            </a:endParaRPr>
          </a:p>
        </c:rich>
      </c:tx>
      <c:overlay val="0"/>
      <c:spPr>
        <a:noFill/>
        <a:ln>
          <a:noFill/>
        </a:ln>
        <a:effectLst/>
      </c:spPr>
    </c:title>
    <c:autoTitleDeleted val="0"/>
    <c:plotArea>
      <c:layout/>
      <c:barChart>
        <c:barDir val="col"/>
        <c:grouping val="clustered"/>
        <c:varyColors val="0"/>
        <c:ser>
          <c:idx val="0"/>
          <c:order val="0"/>
          <c:tx>
            <c:strRef>
              <c:f>Tables!$C$327</c:f>
              <c:strCache>
                <c:ptCount val="1"/>
                <c:pt idx="0">
                  <c:v>BE(mmscmd)</c:v>
                </c:pt>
              </c:strCache>
            </c:strRef>
          </c:tx>
          <c:spPr>
            <a:solidFill>
              <a:schemeClr val="accent2">
                <a:lumMod val="40000"/>
                <a:lumOff val="60000"/>
              </a:schemeClr>
            </a:solidFill>
            <a:ln>
              <a:noFill/>
            </a:ln>
            <a:effectLst/>
          </c:spPr>
          <c:invertIfNegative val="0"/>
          <c:cat>
            <c:strRef>
              <c:f>Tables!$D$326:$O$326</c:f>
              <c:strCache>
                <c:ptCount val="12"/>
                <c:pt idx="0">
                  <c:v>Apr'26</c:v>
                </c:pt>
                <c:pt idx="1">
                  <c:v>May'26</c:v>
                </c:pt>
                <c:pt idx="2">
                  <c:v>June'26</c:v>
                </c:pt>
                <c:pt idx="3">
                  <c:v>July'26</c:v>
                </c:pt>
                <c:pt idx="4">
                  <c:v>Aug'26</c:v>
                </c:pt>
                <c:pt idx="5">
                  <c:v>Sep'26</c:v>
                </c:pt>
                <c:pt idx="6">
                  <c:v>Oct'26</c:v>
                </c:pt>
                <c:pt idx="7">
                  <c:v>Nov'26</c:v>
                </c:pt>
                <c:pt idx="8">
                  <c:v>Dec'26</c:v>
                </c:pt>
                <c:pt idx="9">
                  <c:v>Jan'27</c:v>
                </c:pt>
                <c:pt idx="10">
                  <c:v>Feb'27</c:v>
                </c:pt>
                <c:pt idx="11">
                  <c:v>Mar'27</c:v>
                </c:pt>
              </c:strCache>
            </c:strRef>
          </c:cat>
          <c:val>
            <c:numRef>
              <c:f>Tables!$D$327:$O$327</c:f>
              <c:numCache>
                <c:formatCode>0.00</c:formatCode>
                <c:ptCount val="12"/>
                <c:pt idx="0">
                  <c:v>14.117647058823527</c:v>
                </c:pt>
                <c:pt idx="1">
                  <c:v>14.041745730550282</c:v>
                </c:pt>
                <c:pt idx="2">
                  <c:v>14.117647058823527</c:v>
                </c:pt>
                <c:pt idx="3">
                  <c:v>14.041745730550282</c:v>
                </c:pt>
                <c:pt idx="4">
                  <c:v>14.041745730550282</c:v>
                </c:pt>
                <c:pt idx="5">
                  <c:v>14.117647058823527</c:v>
                </c:pt>
                <c:pt idx="6">
                  <c:v>14.085414987912973</c:v>
                </c:pt>
                <c:pt idx="7">
                  <c:v>14.117647058823527</c:v>
                </c:pt>
                <c:pt idx="8">
                  <c:v>14.041745730550282</c:v>
                </c:pt>
                <c:pt idx="9">
                  <c:v>14.041745730550282</c:v>
                </c:pt>
                <c:pt idx="10">
                  <c:v>14.285714285714285</c:v>
                </c:pt>
                <c:pt idx="11">
                  <c:v>14.041745730550282</c:v>
                </c:pt>
              </c:numCache>
            </c:numRef>
          </c:val>
          <c:extLst xmlns:c16r2="http://schemas.microsoft.com/office/drawing/2015/06/chart">
            <c:ext xmlns:c16="http://schemas.microsoft.com/office/drawing/2014/chart" uri="{C3380CC4-5D6E-409C-BE32-E72D297353CC}">
              <c16:uniqueId val="{00000002-6BF5-48D8-9334-0CE17EC2ACC2}"/>
            </c:ext>
          </c:extLst>
        </c:ser>
        <c:ser>
          <c:idx val="1"/>
          <c:order val="1"/>
          <c:tx>
            <c:strRef>
              <c:f>Tables!$C$328</c:f>
              <c:strCache>
                <c:ptCount val="1"/>
                <c:pt idx="0">
                  <c:v>Actual</c:v>
                </c:pt>
              </c:strCache>
            </c:strRef>
          </c:tx>
          <c:spPr>
            <a:solidFill>
              <a:schemeClr val="accent2">
                <a:lumMod val="75000"/>
              </a:schemeClr>
            </a:solidFill>
            <a:ln>
              <a:noFill/>
            </a:ln>
            <a:effectLst/>
          </c:spPr>
          <c:invertIfNegative val="0"/>
          <c:cat>
            <c:strRef>
              <c:f>Tables!$D$326:$O$326</c:f>
              <c:strCache>
                <c:ptCount val="12"/>
                <c:pt idx="0">
                  <c:v>Apr'26</c:v>
                </c:pt>
                <c:pt idx="1">
                  <c:v>May'26</c:v>
                </c:pt>
                <c:pt idx="2">
                  <c:v>June'26</c:v>
                </c:pt>
                <c:pt idx="3">
                  <c:v>July'26</c:v>
                </c:pt>
                <c:pt idx="4">
                  <c:v>Aug'26</c:v>
                </c:pt>
                <c:pt idx="5">
                  <c:v>Sep'26</c:v>
                </c:pt>
                <c:pt idx="6">
                  <c:v>Oct'26</c:v>
                </c:pt>
                <c:pt idx="7">
                  <c:v>Nov'26</c:v>
                </c:pt>
                <c:pt idx="8">
                  <c:v>Dec'26</c:v>
                </c:pt>
                <c:pt idx="9">
                  <c:v>Jan'27</c:v>
                </c:pt>
                <c:pt idx="10">
                  <c:v>Feb'27</c:v>
                </c:pt>
                <c:pt idx="11">
                  <c:v>Mar'27</c:v>
                </c:pt>
              </c:strCache>
            </c:strRef>
          </c:cat>
          <c:val>
            <c:numRef>
              <c:f>Tables!$D$328:$O$328</c:f>
              <c:numCache>
                <c:formatCode>0.00</c:formatCode>
                <c:ptCount val="12"/>
                <c:pt idx="0">
                  <c:v>13.193331000000001</c:v>
                </c:pt>
                <c:pt idx="1">
                  <c:v>13.75741935483871</c:v>
                </c:pt>
                <c:pt idx="2">
                  <c:v>14.452372</c:v>
                </c:pt>
                <c:pt idx="3">
                  <c:v>14.21812129032258</c:v>
                </c:pt>
                <c:pt idx="4">
                  <c:v>14.07202995152252</c:v>
                </c:pt>
                <c:pt idx="5">
                  <c:v>0</c:v>
                </c:pt>
                <c:pt idx="6">
                  <c:v>0</c:v>
                </c:pt>
                <c:pt idx="7">
                  <c:v>0</c:v>
                </c:pt>
                <c:pt idx="8">
                  <c:v>0</c:v>
                </c:pt>
                <c:pt idx="9">
                  <c:v>0</c:v>
                </c:pt>
                <c:pt idx="10">
                  <c:v>0</c:v>
                </c:pt>
                <c:pt idx="11">
                  <c:v>0</c:v>
                </c:pt>
              </c:numCache>
            </c:numRef>
          </c:val>
          <c:extLst xmlns:c16r2="http://schemas.microsoft.com/office/drawing/2015/06/chart">
            <c:ext xmlns:c16="http://schemas.microsoft.com/office/drawing/2014/chart" uri="{C3380CC4-5D6E-409C-BE32-E72D297353CC}">
              <c16:uniqueId val="{00000004-6BF5-48D8-9334-0CE17EC2ACC2}"/>
            </c:ext>
          </c:extLst>
        </c:ser>
        <c:dLbls>
          <c:showLegendKey val="0"/>
          <c:showVal val="0"/>
          <c:showCatName val="0"/>
          <c:showSerName val="0"/>
          <c:showPercent val="0"/>
          <c:showBubbleSize val="0"/>
        </c:dLbls>
        <c:gapWidth val="219"/>
        <c:axId val="1158586192"/>
        <c:axId val="1158575856"/>
      </c:barChart>
      <c:catAx>
        <c:axId val="11585861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58575856"/>
        <c:crosses val="autoZero"/>
        <c:auto val="1"/>
        <c:lblAlgn val="ctr"/>
        <c:lblOffset val="100"/>
        <c:noMultiLvlLbl val="0"/>
      </c:catAx>
      <c:valAx>
        <c:axId val="11585758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58586192"/>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1000" b="0" i="0" u="none" strike="noStrike" kern="1200" baseline="0">
                <a:solidFill>
                  <a:sysClr val="windowText" lastClr="000000"/>
                </a:solidFill>
                <a:latin typeface="+mn-lt"/>
                <a:ea typeface="+mn-ea"/>
                <a:cs typeface="+mn-cs"/>
              </a:defRPr>
            </a:pPr>
            <a:endParaRPr lang="en-US"/>
          </a:p>
        </c:txPr>
      </c:dTable>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US" sz="1800" b="1" i="0" baseline="0">
                <a:effectLst/>
              </a:rPr>
              <a:t>Sakhalin-1 Oil Production(MMT)</a:t>
            </a:r>
            <a:endParaRPr lang="en-US">
              <a:effectLst/>
            </a:endParaRPr>
          </a:p>
        </c:rich>
      </c:tx>
      <c:overlay val="0"/>
      <c:spPr>
        <a:noFill/>
        <a:ln>
          <a:noFill/>
        </a:ln>
        <a:effectLst/>
      </c:spPr>
    </c:title>
    <c:autoTitleDeleted val="0"/>
    <c:plotArea>
      <c:layout/>
      <c:barChart>
        <c:barDir val="col"/>
        <c:grouping val="clustered"/>
        <c:varyColors val="0"/>
        <c:ser>
          <c:idx val="0"/>
          <c:order val="0"/>
          <c:tx>
            <c:strRef>
              <c:f>Tables!$C$342</c:f>
              <c:strCache>
                <c:ptCount val="1"/>
                <c:pt idx="0">
                  <c:v>BE(MMT)</c:v>
                </c:pt>
              </c:strCache>
            </c:strRef>
          </c:tx>
          <c:spPr>
            <a:solidFill>
              <a:srgbClr val="92D050"/>
            </a:solidFill>
            <a:ln>
              <a:noFill/>
            </a:ln>
            <a:effectLst/>
          </c:spPr>
          <c:invertIfNegative val="0"/>
          <c:cat>
            <c:strRef>
              <c:f>Tables!$D$341:$O$341</c:f>
              <c:strCache>
                <c:ptCount val="12"/>
                <c:pt idx="0">
                  <c:v>Apr'26</c:v>
                </c:pt>
                <c:pt idx="1">
                  <c:v>May'26</c:v>
                </c:pt>
                <c:pt idx="2">
                  <c:v>June'26</c:v>
                </c:pt>
                <c:pt idx="3">
                  <c:v>July'26</c:v>
                </c:pt>
                <c:pt idx="4">
                  <c:v>Aug'26</c:v>
                </c:pt>
                <c:pt idx="5">
                  <c:v>Sep'26</c:v>
                </c:pt>
                <c:pt idx="6">
                  <c:v>Oct'26</c:v>
                </c:pt>
                <c:pt idx="7">
                  <c:v>Nov'26</c:v>
                </c:pt>
                <c:pt idx="8">
                  <c:v>Dec'26</c:v>
                </c:pt>
                <c:pt idx="9">
                  <c:v>Jan'27</c:v>
                </c:pt>
                <c:pt idx="10">
                  <c:v>Feb'27</c:v>
                </c:pt>
                <c:pt idx="11">
                  <c:v>Mar'27</c:v>
                </c:pt>
              </c:strCache>
            </c:strRef>
          </c:cat>
          <c:val>
            <c:numRef>
              <c:f>Tables!$D$342:$O$342</c:f>
              <c:numCache>
                <c:formatCode>0.000</c:formatCode>
                <c:ptCount val="12"/>
                <c:pt idx="0">
                  <c:v>0.115</c:v>
                </c:pt>
                <c:pt idx="1">
                  <c:v>0.11799999999999999</c:v>
                </c:pt>
                <c:pt idx="2">
                  <c:v>0.114</c:v>
                </c:pt>
                <c:pt idx="3">
                  <c:v>0.11799999999999999</c:v>
                </c:pt>
                <c:pt idx="4">
                  <c:v>0.11700000000000001</c:v>
                </c:pt>
                <c:pt idx="5">
                  <c:v>0.115</c:v>
                </c:pt>
                <c:pt idx="6">
                  <c:v>0.11700000000000001</c:v>
                </c:pt>
                <c:pt idx="7">
                  <c:v>0.112</c:v>
                </c:pt>
                <c:pt idx="8">
                  <c:v>0.114</c:v>
                </c:pt>
                <c:pt idx="9">
                  <c:v>0.113</c:v>
                </c:pt>
                <c:pt idx="10">
                  <c:v>0.10299999999999999</c:v>
                </c:pt>
                <c:pt idx="11">
                  <c:v>0.113</c:v>
                </c:pt>
              </c:numCache>
            </c:numRef>
          </c:val>
          <c:extLst xmlns:c16r2="http://schemas.microsoft.com/office/drawing/2015/06/chart">
            <c:ext xmlns:c16="http://schemas.microsoft.com/office/drawing/2014/chart" uri="{C3380CC4-5D6E-409C-BE32-E72D297353CC}">
              <c16:uniqueId val="{00000002-4A0A-49D1-B27D-F7A879FDEED6}"/>
            </c:ext>
          </c:extLst>
        </c:ser>
        <c:ser>
          <c:idx val="1"/>
          <c:order val="1"/>
          <c:tx>
            <c:strRef>
              <c:f>Tables!$C$343</c:f>
              <c:strCache>
                <c:ptCount val="1"/>
                <c:pt idx="0">
                  <c:v>Actual</c:v>
                </c:pt>
              </c:strCache>
            </c:strRef>
          </c:tx>
          <c:spPr>
            <a:solidFill>
              <a:srgbClr val="00B050"/>
            </a:solidFill>
            <a:ln>
              <a:noFill/>
            </a:ln>
            <a:effectLst/>
          </c:spPr>
          <c:invertIfNegative val="0"/>
          <c:cat>
            <c:strRef>
              <c:f>Tables!$D$341:$O$341</c:f>
              <c:strCache>
                <c:ptCount val="12"/>
                <c:pt idx="0">
                  <c:v>Apr'26</c:v>
                </c:pt>
                <c:pt idx="1">
                  <c:v>May'26</c:v>
                </c:pt>
                <c:pt idx="2">
                  <c:v>June'26</c:v>
                </c:pt>
                <c:pt idx="3">
                  <c:v>July'26</c:v>
                </c:pt>
                <c:pt idx="4">
                  <c:v>Aug'26</c:v>
                </c:pt>
                <c:pt idx="5">
                  <c:v>Sep'26</c:v>
                </c:pt>
                <c:pt idx="6">
                  <c:v>Oct'26</c:v>
                </c:pt>
                <c:pt idx="7">
                  <c:v>Nov'26</c:v>
                </c:pt>
                <c:pt idx="8">
                  <c:v>Dec'26</c:v>
                </c:pt>
                <c:pt idx="9">
                  <c:v>Jan'27</c:v>
                </c:pt>
                <c:pt idx="10">
                  <c:v>Feb'27</c:v>
                </c:pt>
                <c:pt idx="11">
                  <c:v>Mar'27</c:v>
                </c:pt>
              </c:strCache>
            </c:strRef>
          </c:cat>
          <c:val>
            <c:numRef>
              <c:f>Tables!$D$343:$O$343</c:f>
              <c:numCache>
                <c:formatCode>0.000</c:formatCode>
                <c:ptCount val="12"/>
                <c:pt idx="0">
                  <c:v>0.155</c:v>
                </c:pt>
                <c:pt idx="1">
                  <c:v>0.156</c:v>
                </c:pt>
                <c:pt idx="2">
                  <c:v>0.13400000000000001</c:v>
                </c:pt>
                <c:pt idx="3">
                  <c:v>0.158</c:v>
                </c:pt>
                <c:pt idx="4">
                  <c:v>0.15496189729712831</c:v>
                </c:pt>
                <c:pt idx="5">
                  <c:v>0</c:v>
                </c:pt>
                <c:pt idx="6">
                  <c:v>0</c:v>
                </c:pt>
                <c:pt idx="7">
                  <c:v>0</c:v>
                </c:pt>
                <c:pt idx="8">
                  <c:v>0</c:v>
                </c:pt>
                <c:pt idx="9">
                  <c:v>0</c:v>
                </c:pt>
                <c:pt idx="10">
                  <c:v>0</c:v>
                </c:pt>
                <c:pt idx="11">
                  <c:v>0</c:v>
                </c:pt>
              </c:numCache>
            </c:numRef>
          </c:val>
          <c:extLst xmlns:c16r2="http://schemas.microsoft.com/office/drawing/2015/06/chart">
            <c:ext xmlns:c16="http://schemas.microsoft.com/office/drawing/2014/chart" uri="{C3380CC4-5D6E-409C-BE32-E72D297353CC}">
              <c16:uniqueId val="{00000004-4A0A-49D1-B27D-F7A879FDEED6}"/>
            </c:ext>
          </c:extLst>
        </c:ser>
        <c:dLbls>
          <c:showLegendKey val="0"/>
          <c:showVal val="0"/>
          <c:showCatName val="0"/>
          <c:showSerName val="0"/>
          <c:showPercent val="0"/>
          <c:showBubbleSize val="0"/>
        </c:dLbls>
        <c:gapWidth val="219"/>
        <c:axId val="1158587824"/>
        <c:axId val="1158576944"/>
      </c:barChart>
      <c:catAx>
        <c:axId val="11585878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58576944"/>
        <c:crosses val="autoZero"/>
        <c:auto val="1"/>
        <c:lblAlgn val="ctr"/>
        <c:lblOffset val="100"/>
        <c:noMultiLvlLbl val="0"/>
      </c:catAx>
      <c:valAx>
        <c:axId val="1158576944"/>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58587824"/>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1000" b="0" i="0" u="none" strike="noStrike" kern="1200" baseline="0">
                <a:solidFill>
                  <a:sysClr val="windowText" lastClr="000000"/>
                </a:solidFill>
                <a:latin typeface="+mn-lt"/>
                <a:ea typeface="+mn-ea"/>
                <a:cs typeface="+mn-cs"/>
              </a:defRPr>
            </a:pPr>
            <a:endParaRPr lang="en-US"/>
          </a:p>
        </c:txPr>
      </c:dTable>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vert="horz"/>
          <a:lstStyle/>
          <a:p>
            <a:pPr algn="ctr" rtl="0">
              <a:defRPr lang="en-US" sz="1800" b="1" i="0" u="none" strike="noStrike" kern="1200" spc="0" baseline="0">
                <a:solidFill>
                  <a:sysClr val="windowText" lastClr="000000"/>
                </a:solidFill>
                <a:effectLst/>
                <a:latin typeface="+mn-lt"/>
                <a:ea typeface="+mn-ea"/>
                <a:cs typeface="+mn-cs"/>
              </a:defRPr>
            </a:pPr>
            <a:r>
              <a:rPr lang="en-US" sz="1800" b="1" i="0" u="none" strike="noStrike" kern="1200" spc="0" baseline="0">
                <a:solidFill>
                  <a:sysClr val="windowText" lastClr="000000"/>
                </a:solidFill>
                <a:effectLst/>
                <a:latin typeface="+mn-lt"/>
                <a:ea typeface="+mn-ea"/>
                <a:cs typeface="+mn-cs"/>
              </a:rPr>
              <a:t>Vankor Oil Production(MMT)</a:t>
            </a:r>
          </a:p>
        </c:rich>
      </c:tx>
      <c:overlay val="0"/>
      <c:spPr>
        <a:noFill/>
        <a:ln>
          <a:noFill/>
        </a:ln>
        <a:effectLst/>
      </c:spPr>
    </c:title>
    <c:autoTitleDeleted val="0"/>
    <c:plotArea>
      <c:layout/>
      <c:barChart>
        <c:barDir val="col"/>
        <c:grouping val="clustered"/>
        <c:varyColors val="0"/>
        <c:ser>
          <c:idx val="0"/>
          <c:order val="0"/>
          <c:tx>
            <c:strRef>
              <c:f>Tables!$C$356</c:f>
              <c:strCache>
                <c:ptCount val="1"/>
                <c:pt idx="0">
                  <c:v>BE(MMT)</c:v>
                </c:pt>
              </c:strCache>
            </c:strRef>
          </c:tx>
          <c:spPr>
            <a:solidFill>
              <a:srgbClr val="92D050"/>
            </a:solidFill>
            <a:ln>
              <a:noFill/>
            </a:ln>
            <a:effectLst/>
          </c:spPr>
          <c:invertIfNegative val="0"/>
          <c:cat>
            <c:strRef>
              <c:f>Tables!$D$355:$O$355</c:f>
              <c:strCache>
                <c:ptCount val="12"/>
                <c:pt idx="0">
                  <c:v>Apr'26</c:v>
                </c:pt>
                <c:pt idx="1">
                  <c:v>May'26</c:v>
                </c:pt>
                <c:pt idx="2">
                  <c:v>June'26</c:v>
                </c:pt>
                <c:pt idx="3">
                  <c:v>July'26</c:v>
                </c:pt>
                <c:pt idx="4">
                  <c:v>Aug'26</c:v>
                </c:pt>
                <c:pt idx="5">
                  <c:v>Sep'26</c:v>
                </c:pt>
                <c:pt idx="6">
                  <c:v>Oct'26</c:v>
                </c:pt>
                <c:pt idx="7">
                  <c:v>Nov'26</c:v>
                </c:pt>
                <c:pt idx="8">
                  <c:v>Dec'26</c:v>
                </c:pt>
                <c:pt idx="9">
                  <c:v>Jan'27</c:v>
                </c:pt>
                <c:pt idx="10">
                  <c:v>Feb'27</c:v>
                </c:pt>
                <c:pt idx="11">
                  <c:v>Mar'27</c:v>
                </c:pt>
              </c:strCache>
            </c:strRef>
          </c:cat>
          <c:val>
            <c:numRef>
              <c:f>Tables!$D$356:$O$356</c:f>
              <c:numCache>
                <c:formatCode>0.000</c:formatCode>
                <c:ptCount val="12"/>
                <c:pt idx="0">
                  <c:v>0.183</c:v>
                </c:pt>
                <c:pt idx="1">
                  <c:v>0.189</c:v>
                </c:pt>
                <c:pt idx="2">
                  <c:v>0.184</c:v>
                </c:pt>
                <c:pt idx="3">
                  <c:v>0.189</c:v>
                </c:pt>
                <c:pt idx="4">
                  <c:v>0.189</c:v>
                </c:pt>
                <c:pt idx="5">
                  <c:v>0.183</c:v>
                </c:pt>
                <c:pt idx="6">
                  <c:v>0.189</c:v>
                </c:pt>
                <c:pt idx="7">
                  <c:v>0.183</c:v>
                </c:pt>
                <c:pt idx="8">
                  <c:v>0.189</c:v>
                </c:pt>
                <c:pt idx="9">
                  <c:v>0.189</c:v>
                </c:pt>
                <c:pt idx="10">
                  <c:v>0.17100000000000001</c:v>
                </c:pt>
                <c:pt idx="11">
                  <c:v>0.189</c:v>
                </c:pt>
              </c:numCache>
            </c:numRef>
          </c:val>
          <c:extLst xmlns:c16r2="http://schemas.microsoft.com/office/drawing/2015/06/chart">
            <c:ext xmlns:c16="http://schemas.microsoft.com/office/drawing/2014/chart" uri="{C3380CC4-5D6E-409C-BE32-E72D297353CC}">
              <c16:uniqueId val="{00000002-B705-47F4-9EEB-41D2BCC04518}"/>
            </c:ext>
          </c:extLst>
        </c:ser>
        <c:ser>
          <c:idx val="1"/>
          <c:order val="1"/>
          <c:tx>
            <c:strRef>
              <c:f>Tables!$C$357</c:f>
              <c:strCache>
                <c:ptCount val="1"/>
                <c:pt idx="0">
                  <c:v>Actual</c:v>
                </c:pt>
              </c:strCache>
            </c:strRef>
          </c:tx>
          <c:spPr>
            <a:solidFill>
              <a:srgbClr val="00B050"/>
            </a:solidFill>
            <a:ln>
              <a:noFill/>
            </a:ln>
            <a:effectLst/>
          </c:spPr>
          <c:invertIfNegative val="0"/>
          <c:cat>
            <c:strRef>
              <c:f>Tables!$D$355:$O$355</c:f>
              <c:strCache>
                <c:ptCount val="12"/>
                <c:pt idx="0">
                  <c:v>Apr'26</c:v>
                </c:pt>
                <c:pt idx="1">
                  <c:v>May'26</c:v>
                </c:pt>
                <c:pt idx="2">
                  <c:v>June'26</c:v>
                </c:pt>
                <c:pt idx="3">
                  <c:v>July'26</c:v>
                </c:pt>
                <c:pt idx="4">
                  <c:v>Aug'26</c:v>
                </c:pt>
                <c:pt idx="5">
                  <c:v>Sep'26</c:v>
                </c:pt>
                <c:pt idx="6">
                  <c:v>Oct'26</c:v>
                </c:pt>
                <c:pt idx="7">
                  <c:v>Nov'26</c:v>
                </c:pt>
                <c:pt idx="8">
                  <c:v>Dec'26</c:v>
                </c:pt>
                <c:pt idx="9">
                  <c:v>Jan'27</c:v>
                </c:pt>
                <c:pt idx="10">
                  <c:v>Feb'27</c:v>
                </c:pt>
                <c:pt idx="11">
                  <c:v>Mar'27</c:v>
                </c:pt>
              </c:strCache>
            </c:strRef>
          </c:cat>
          <c:val>
            <c:numRef>
              <c:f>Tables!$D$357:$O$357</c:f>
              <c:numCache>
                <c:formatCode>0.000</c:formatCode>
                <c:ptCount val="12"/>
                <c:pt idx="0">
                  <c:v>0.16300000000000001</c:v>
                </c:pt>
                <c:pt idx="1">
                  <c:v>0.16900000000000001</c:v>
                </c:pt>
                <c:pt idx="2">
                  <c:v>0.16300000000000001</c:v>
                </c:pt>
                <c:pt idx="3">
                  <c:v>0.16900000000000001</c:v>
                </c:pt>
                <c:pt idx="4">
                  <c:v>0.16962658602794101</c:v>
                </c:pt>
                <c:pt idx="5">
                  <c:v>0</c:v>
                </c:pt>
                <c:pt idx="6">
                  <c:v>0</c:v>
                </c:pt>
                <c:pt idx="7">
                  <c:v>0</c:v>
                </c:pt>
                <c:pt idx="8">
                  <c:v>0</c:v>
                </c:pt>
                <c:pt idx="9">
                  <c:v>0</c:v>
                </c:pt>
                <c:pt idx="10">
                  <c:v>0</c:v>
                </c:pt>
                <c:pt idx="11">
                  <c:v>0</c:v>
                </c:pt>
              </c:numCache>
            </c:numRef>
          </c:val>
          <c:extLst xmlns:c16r2="http://schemas.microsoft.com/office/drawing/2015/06/chart">
            <c:ext xmlns:c16="http://schemas.microsoft.com/office/drawing/2014/chart" uri="{C3380CC4-5D6E-409C-BE32-E72D297353CC}">
              <c16:uniqueId val="{00000004-B705-47F4-9EEB-41D2BCC04518}"/>
            </c:ext>
          </c:extLst>
        </c:ser>
        <c:dLbls>
          <c:showLegendKey val="0"/>
          <c:showVal val="0"/>
          <c:showCatName val="0"/>
          <c:showSerName val="0"/>
          <c:showPercent val="0"/>
          <c:showBubbleSize val="0"/>
        </c:dLbls>
        <c:gapWidth val="219"/>
        <c:axId val="1158569872"/>
        <c:axId val="1158569328"/>
      </c:barChart>
      <c:catAx>
        <c:axId val="11585698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vert="horz"/>
          <a:lstStyle/>
          <a:p>
            <a:pPr>
              <a:defRPr/>
            </a:pPr>
            <a:endParaRPr lang="en-US"/>
          </a:p>
        </c:txPr>
        <c:crossAx val="1158569328"/>
        <c:crosses val="autoZero"/>
        <c:auto val="1"/>
        <c:lblAlgn val="ctr"/>
        <c:lblOffset val="100"/>
        <c:noMultiLvlLbl val="0"/>
      </c:catAx>
      <c:valAx>
        <c:axId val="1158569328"/>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vert="horz"/>
          <a:lstStyle/>
          <a:p>
            <a:pPr>
              <a:defRPr/>
            </a:pPr>
            <a:endParaRPr lang="en-US"/>
          </a:p>
        </c:txPr>
        <c:crossAx val="1158569872"/>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dTable>
    </c:plotArea>
    <c:legend>
      <c:legendPos val="b"/>
      <c:overlay val="0"/>
      <c:spPr>
        <a:noFill/>
        <a:ln>
          <a:noFill/>
        </a:ln>
        <a:effectLst/>
      </c:spPr>
      <c:txPr>
        <a:bodyPr rot="0" vert="horz"/>
        <a:lstStyle/>
        <a:p>
          <a:pPr>
            <a:defRPr/>
          </a:pPr>
          <a:endParaRPr lang="en-US"/>
        </a:p>
      </c:txPr>
    </c:legend>
    <c:plotVisOnly val="1"/>
    <c:dispBlanksAs val="gap"/>
    <c:showDLblsOverMax val="0"/>
  </c:chart>
  <c:txPr>
    <a:bodyPr/>
    <a:lstStyle/>
    <a:p>
      <a:pPr>
        <a:defRPr sz="1000">
          <a:solidFill>
            <a:sysClr val="windowText" lastClr="000000"/>
          </a:solidFill>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n-US" sz="1800" b="1" i="0" u="none" strike="noStrike" kern="1200" spc="0" baseline="0">
                <a:solidFill>
                  <a:sysClr val="windowText" lastClr="000000"/>
                </a:solidFill>
                <a:effectLst/>
                <a:latin typeface="+mn-lt"/>
                <a:ea typeface="+mn-ea"/>
                <a:cs typeface="+mn-cs"/>
              </a:defRPr>
            </a:pPr>
            <a:r>
              <a:rPr lang="en-US" sz="1800" b="1" i="0" u="none" strike="noStrike" kern="1200" spc="0" baseline="0">
                <a:solidFill>
                  <a:sysClr val="windowText" lastClr="000000"/>
                </a:solidFill>
                <a:effectLst/>
                <a:latin typeface="+mn-lt"/>
                <a:ea typeface="+mn-ea"/>
                <a:cs typeface="+mn-cs"/>
              </a:rPr>
              <a:t>Imperial Energy Oil Production(MMT)</a:t>
            </a:r>
          </a:p>
        </c:rich>
      </c:tx>
      <c:overlay val="0"/>
      <c:spPr>
        <a:noFill/>
        <a:ln>
          <a:noFill/>
        </a:ln>
        <a:effectLst/>
      </c:spPr>
    </c:title>
    <c:autoTitleDeleted val="0"/>
    <c:plotArea>
      <c:layout/>
      <c:barChart>
        <c:barDir val="col"/>
        <c:grouping val="clustered"/>
        <c:varyColors val="0"/>
        <c:ser>
          <c:idx val="0"/>
          <c:order val="0"/>
          <c:tx>
            <c:strRef>
              <c:f>Tables!$C$370</c:f>
              <c:strCache>
                <c:ptCount val="1"/>
                <c:pt idx="0">
                  <c:v>BE(MMT)</c:v>
                </c:pt>
              </c:strCache>
            </c:strRef>
          </c:tx>
          <c:spPr>
            <a:solidFill>
              <a:srgbClr val="92D050"/>
            </a:solidFill>
            <a:ln>
              <a:noFill/>
            </a:ln>
            <a:effectLst/>
          </c:spPr>
          <c:invertIfNegative val="0"/>
          <c:cat>
            <c:strRef>
              <c:f>Tables!$D$369:$O$369</c:f>
              <c:strCache>
                <c:ptCount val="12"/>
                <c:pt idx="0">
                  <c:v>Apr'26</c:v>
                </c:pt>
                <c:pt idx="1">
                  <c:v>May'26</c:v>
                </c:pt>
                <c:pt idx="2">
                  <c:v>June'26</c:v>
                </c:pt>
                <c:pt idx="3">
                  <c:v>July'26</c:v>
                </c:pt>
                <c:pt idx="4">
                  <c:v>Aug'26</c:v>
                </c:pt>
                <c:pt idx="5">
                  <c:v>Sep'26</c:v>
                </c:pt>
                <c:pt idx="6">
                  <c:v>Oct'26</c:v>
                </c:pt>
                <c:pt idx="7">
                  <c:v>Nov'26</c:v>
                </c:pt>
                <c:pt idx="8">
                  <c:v>Dec'26</c:v>
                </c:pt>
                <c:pt idx="9">
                  <c:v>Jan'27</c:v>
                </c:pt>
                <c:pt idx="10">
                  <c:v>Feb'27</c:v>
                </c:pt>
                <c:pt idx="11">
                  <c:v>Mar'27</c:v>
                </c:pt>
              </c:strCache>
            </c:strRef>
          </c:cat>
          <c:val>
            <c:numRef>
              <c:f>Tables!$D$370:$O$370</c:f>
              <c:numCache>
                <c:formatCode>0.000</c:formatCode>
                <c:ptCount val="12"/>
                <c:pt idx="0">
                  <c:v>8.0000000000000002E-3</c:v>
                </c:pt>
                <c:pt idx="1">
                  <c:v>8.0000000000000002E-3</c:v>
                </c:pt>
                <c:pt idx="2">
                  <c:v>8.0000000000000002E-3</c:v>
                </c:pt>
                <c:pt idx="3">
                  <c:v>8.9999999999999993E-3</c:v>
                </c:pt>
                <c:pt idx="4">
                  <c:v>8.9999999999999993E-3</c:v>
                </c:pt>
                <c:pt idx="5">
                  <c:v>8.0000000000000002E-3</c:v>
                </c:pt>
                <c:pt idx="6">
                  <c:v>8.9999999999999993E-3</c:v>
                </c:pt>
                <c:pt idx="7">
                  <c:v>8.0000000000000002E-3</c:v>
                </c:pt>
                <c:pt idx="8">
                  <c:v>8.0000000000000002E-3</c:v>
                </c:pt>
                <c:pt idx="9">
                  <c:v>8.9999999999999993E-3</c:v>
                </c:pt>
                <c:pt idx="10">
                  <c:v>8.0000000000000002E-3</c:v>
                </c:pt>
                <c:pt idx="11">
                  <c:v>8.9999999999999993E-3</c:v>
                </c:pt>
              </c:numCache>
            </c:numRef>
          </c:val>
          <c:extLst xmlns:c16r2="http://schemas.microsoft.com/office/drawing/2015/06/chart">
            <c:ext xmlns:c16="http://schemas.microsoft.com/office/drawing/2014/chart" uri="{C3380CC4-5D6E-409C-BE32-E72D297353CC}">
              <c16:uniqueId val="{00000002-808E-4A95-8660-0A639DD625C8}"/>
            </c:ext>
          </c:extLst>
        </c:ser>
        <c:ser>
          <c:idx val="1"/>
          <c:order val="1"/>
          <c:tx>
            <c:strRef>
              <c:f>Tables!$C$371</c:f>
              <c:strCache>
                <c:ptCount val="1"/>
                <c:pt idx="0">
                  <c:v>Actual</c:v>
                </c:pt>
              </c:strCache>
            </c:strRef>
          </c:tx>
          <c:spPr>
            <a:solidFill>
              <a:srgbClr val="00B050"/>
            </a:solidFill>
            <a:ln>
              <a:noFill/>
            </a:ln>
            <a:effectLst/>
          </c:spPr>
          <c:invertIfNegative val="0"/>
          <c:cat>
            <c:strRef>
              <c:f>Tables!$D$369:$O$369</c:f>
              <c:strCache>
                <c:ptCount val="12"/>
                <c:pt idx="0">
                  <c:v>Apr'26</c:v>
                </c:pt>
                <c:pt idx="1">
                  <c:v>May'26</c:v>
                </c:pt>
                <c:pt idx="2">
                  <c:v>June'26</c:v>
                </c:pt>
                <c:pt idx="3">
                  <c:v>July'26</c:v>
                </c:pt>
                <c:pt idx="4">
                  <c:v>Aug'26</c:v>
                </c:pt>
                <c:pt idx="5">
                  <c:v>Sep'26</c:v>
                </c:pt>
                <c:pt idx="6">
                  <c:v>Oct'26</c:v>
                </c:pt>
                <c:pt idx="7">
                  <c:v>Nov'26</c:v>
                </c:pt>
                <c:pt idx="8">
                  <c:v>Dec'26</c:v>
                </c:pt>
                <c:pt idx="9">
                  <c:v>Jan'27</c:v>
                </c:pt>
                <c:pt idx="10">
                  <c:v>Feb'27</c:v>
                </c:pt>
                <c:pt idx="11">
                  <c:v>Mar'27</c:v>
                </c:pt>
              </c:strCache>
            </c:strRef>
          </c:cat>
          <c:val>
            <c:numRef>
              <c:f>Tables!$D$371:$O$371</c:f>
              <c:numCache>
                <c:formatCode>0.000</c:formatCode>
                <c:ptCount val="12"/>
                <c:pt idx="0">
                  <c:v>8.0000000000000002E-3</c:v>
                </c:pt>
                <c:pt idx="1">
                  <c:v>7.0000000000000001E-3</c:v>
                </c:pt>
                <c:pt idx="2">
                  <c:v>8.0000000000000002E-3</c:v>
                </c:pt>
                <c:pt idx="3">
                  <c:v>8.0000000000000002E-3</c:v>
                </c:pt>
                <c:pt idx="4">
                  <c:v>7.4579606204879826E-3</c:v>
                </c:pt>
                <c:pt idx="5">
                  <c:v>0</c:v>
                </c:pt>
                <c:pt idx="6">
                  <c:v>0</c:v>
                </c:pt>
                <c:pt idx="7">
                  <c:v>0</c:v>
                </c:pt>
                <c:pt idx="8">
                  <c:v>0</c:v>
                </c:pt>
                <c:pt idx="9">
                  <c:v>0</c:v>
                </c:pt>
                <c:pt idx="10">
                  <c:v>0</c:v>
                </c:pt>
                <c:pt idx="11">
                  <c:v>0</c:v>
                </c:pt>
              </c:numCache>
            </c:numRef>
          </c:val>
          <c:extLst xmlns:c16r2="http://schemas.microsoft.com/office/drawing/2015/06/chart">
            <c:ext xmlns:c16="http://schemas.microsoft.com/office/drawing/2014/chart" uri="{C3380CC4-5D6E-409C-BE32-E72D297353CC}">
              <c16:uniqueId val="{00000004-808E-4A95-8660-0A639DD625C8}"/>
            </c:ext>
          </c:extLst>
        </c:ser>
        <c:dLbls>
          <c:showLegendKey val="0"/>
          <c:showVal val="0"/>
          <c:showCatName val="0"/>
          <c:showSerName val="0"/>
          <c:showPercent val="0"/>
          <c:showBubbleSize val="0"/>
        </c:dLbls>
        <c:gapWidth val="219"/>
        <c:axId val="1158597072"/>
        <c:axId val="1158578576"/>
      </c:barChart>
      <c:catAx>
        <c:axId val="11585970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58578576"/>
        <c:crosses val="autoZero"/>
        <c:auto val="1"/>
        <c:lblAlgn val="ctr"/>
        <c:lblOffset val="100"/>
        <c:noMultiLvlLbl val="0"/>
      </c:catAx>
      <c:valAx>
        <c:axId val="1158578576"/>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58597072"/>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1000" b="0" i="0" u="none" strike="noStrike" kern="1200" baseline="0">
                <a:solidFill>
                  <a:sysClr val="windowText" lastClr="000000"/>
                </a:solidFill>
                <a:latin typeface="+mn-lt"/>
                <a:ea typeface="+mn-ea"/>
                <a:cs typeface="+mn-cs"/>
              </a:defRPr>
            </a:pPr>
            <a:endParaRPr lang="en-US"/>
          </a:p>
        </c:txPr>
      </c:dTable>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n-US" sz="1800" b="1" i="0" u="none" strike="noStrike" kern="1200" spc="0" baseline="0">
                <a:solidFill>
                  <a:sysClr val="windowText" lastClr="000000"/>
                </a:solidFill>
                <a:effectLst/>
                <a:latin typeface="+mn-lt"/>
                <a:ea typeface="+mn-ea"/>
                <a:cs typeface="+mn-cs"/>
              </a:defRPr>
            </a:pPr>
            <a:r>
              <a:rPr lang="en-US" sz="1800" b="1" i="0" u="none" strike="noStrike" kern="1200" spc="0" baseline="0">
                <a:solidFill>
                  <a:sysClr val="windowText" lastClr="000000"/>
                </a:solidFill>
                <a:effectLst/>
                <a:latin typeface="+mn-lt"/>
                <a:ea typeface="+mn-ea"/>
                <a:cs typeface="+mn-cs"/>
              </a:rPr>
              <a:t>ACG Oil Production(MMT)</a:t>
            </a:r>
          </a:p>
        </c:rich>
      </c:tx>
      <c:overlay val="0"/>
      <c:spPr>
        <a:noFill/>
        <a:ln>
          <a:noFill/>
        </a:ln>
        <a:effectLst/>
      </c:spPr>
    </c:title>
    <c:autoTitleDeleted val="0"/>
    <c:plotArea>
      <c:layout/>
      <c:barChart>
        <c:barDir val="col"/>
        <c:grouping val="clustered"/>
        <c:varyColors val="0"/>
        <c:ser>
          <c:idx val="0"/>
          <c:order val="0"/>
          <c:tx>
            <c:strRef>
              <c:f>Tables!$C$384</c:f>
              <c:strCache>
                <c:ptCount val="1"/>
                <c:pt idx="0">
                  <c:v>BE(MMT)</c:v>
                </c:pt>
              </c:strCache>
            </c:strRef>
          </c:tx>
          <c:spPr>
            <a:solidFill>
              <a:srgbClr val="92D050"/>
            </a:solidFill>
            <a:ln>
              <a:noFill/>
            </a:ln>
            <a:effectLst/>
          </c:spPr>
          <c:invertIfNegative val="0"/>
          <c:cat>
            <c:strRef>
              <c:f>Tables!$D$383:$O$383</c:f>
              <c:strCache>
                <c:ptCount val="12"/>
                <c:pt idx="0">
                  <c:v>Apr'26</c:v>
                </c:pt>
                <c:pt idx="1">
                  <c:v>May'26</c:v>
                </c:pt>
                <c:pt idx="2">
                  <c:v>June'26</c:v>
                </c:pt>
                <c:pt idx="3">
                  <c:v>July'26</c:v>
                </c:pt>
                <c:pt idx="4">
                  <c:v>Aug'26</c:v>
                </c:pt>
                <c:pt idx="5">
                  <c:v>Sep'26</c:v>
                </c:pt>
                <c:pt idx="6">
                  <c:v>Oct'26</c:v>
                </c:pt>
                <c:pt idx="7">
                  <c:v>Nov'26</c:v>
                </c:pt>
                <c:pt idx="8">
                  <c:v>Dec'26</c:v>
                </c:pt>
                <c:pt idx="9">
                  <c:v>Jan'27</c:v>
                </c:pt>
                <c:pt idx="10">
                  <c:v>Feb'27</c:v>
                </c:pt>
                <c:pt idx="11">
                  <c:v>Mar'27</c:v>
                </c:pt>
              </c:strCache>
            </c:strRef>
          </c:cat>
          <c:val>
            <c:numRef>
              <c:f>Tables!$D$384:$O$384</c:f>
              <c:numCache>
                <c:formatCode>0.000</c:formatCode>
                <c:ptCount val="12"/>
                <c:pt idx="0">
                  <c:v>3.9E-2</c:v>
                </c:pt>
                <c:pt idx="1">
                  <c:v>0.04</c:v>
                </c:pt>
                <c:pt idx="2">
                  <c:v>3.9E-2</c:v>
                </c:pt>
                <c:pt idx="3">
                  <c:v>0.04</c:v>
                </c:pt>
                <c:pt idx="4">
                  <c:v>0.04</c:v>
                </c:pt>
                <c:pt idx="5">
                  <c:v>3.9E-2</c:v>
                </c:pt>
                <c:pt idx="6">
                  <c:v>3.9E-2</c:v>
                </c:pt>
                <c:pt idx="7">
                  <c:v>3.9E-2</c:v>
                </c:pt>
                <c:pt idx="8">
                  <c:v>0.04</c:v>
                </c:pt>
                <c:pt idx="9">
                  <c:v>0.04</c:v>
                </c:pt>
                <c:pt idx="10">
                  <c:v>3.5999999999999997E-2</c:v>
                </c:pt>
                <c:pt idx="11">
                  <c:v>0.04</c:v>
                </c:pt>
              </c:numCache>
            </c:numRef>
          </c:val>
          <c:extLst xmlns:c16r2="http://schemas.microsoft.com/office/drawing/2015/06/chart">
            <c:ext xmlns:c16="http://schemas.microsoft.com/office/drawing/2014/chart" uri="{C3380CC4-5D6E-409C-BE32-E72D297353CC}">
              <c16:uniqueId val="{00000002-39C2-4271-BC73-BFB5104FC238}"/>
            </c:ext>
          </c:extLst>
        </c:ser>
        <c:ser>
          <c:idx val="1"/>
          <c:order val="1"/>
          <c:tx>
            <c:strRef>
              <c:f>Tables!$C$385</c:f>
              <c:strCache>
                <c:ptCount val="1"/>
                <c:pt idx="0">
                  <c:v>Actual</c:v>
                </c:pt>
              </c:strCache>
            </c:strRef>
          </c:tx>
          <c:spPr>
            <a:solidFill>
              <a:srgbClr val="00B050"/>
            </a:solidFill>
            <a:ln>
              <a:noFill/>
            </a:ln>
            <a:effectLst/>
          </c:spPr>
          <c:invertIfNegative val="0"/>
          <c:cat>
            <c:strRef>
              <c:f>Tables!$D$383:$O$383</c:f>
              <c:strCache>
                <c:ptCount val="12"/>
                <c:pt idx="0">
                  <c:v>Apr'26</c:v>
                </c:pt>
                <c:pt idx="1">
                  <c:v>May'26</c:v>
                </c:pt>
                <c:pt idx="2">
                  <c:v>June'26</c:v>
                </c:pt>
                <c:pt idx="3">
                  <c:v>July'26</c:v>
                </c:pt>
                <c:pt idx="4">
                  <c:v>Aug'26</c:v>
                </c:pt>
                <c:pt idx="5">
                  <c:v>Sep'26</c:v>
                </c:pt>
                <c:pt idx="6">
                  <c:v>Oct'26</c:v>
                </c:pt>
                <c:pt idx="7">
                  <c:v>Nov'26</c:v>
                </c:pt>
                <c:pt idx="8">
                  <c:v>Dec'26</c:v>
                </c:pt>
                <c:pt idx="9">
                  <c:v>Jan'27</c:v>
                </c:pt>
                <c:pt idx="10">
                  <c:v>Feb'27</c:v>
                </c:pt>
                <c:pt idx="11">
                  <c:v>Mar'27</c:v>
                </c:pt>
              </c:strCache>
            </c:strRef>
          </c:cat>
          <c:val>
            <c:numRef>
              <c:f>Tables!$D$385:$O$385</c:f>
              <c:numCache>
                <c:formatCode>0.000</c:formatCode>
                <c:ptCount val="12"/>
                <c:pt idx="0">
                  <c:v>3.7999999999999999E-2</c:v>
                </c:pt>
                <c:pt idx="1">
                  <c:v>3.9E-2</c:v>
                </c:pt>
                <c:pt idx="2">
                  <c:v>3.7999999999999999E-2</c:v>
                </c:pt>
                <c:pt idx="3">
                  <c:v>0.04</c:v>
                </c:pt>
                <c:pt idx="4">
                  <c:v>3.6889161648039209E-2</c:v>
                </c:pt>
                <c:pt idx="5">
                  <c:v>0</c:v>
                </c:pt>
                <c:pt idx="6">
                  <c:v>0</c:v>
                </c:pt>
                <c:pt idx="7">
                  <c:v>0</c:v>
                </c:pt>
                <c:pt idx="8">
                  <c:v>0</c:v>
                </c:pt>
                <c:pt idx="9">
                  <c:v>0</c:v>
                </c:pt>
                <c:pt idx="10">
                  <c:v>0</c:v>
                </c:pt>
                <c:pt idx="11">
                  <c:v>0</c:v>
                </c:pt>
              </c:numCache>
            </c:numRef>
          </c:val>
          <c:extLst xmlns:c16r2="http://schemas.microsoft.com/office/drawing/2015/06/chart">
            <c:ext xmlns:c16="http://schemas.microsoft.com/office/drawing/2014/chart" uri="{C3380CC4-5D6E-409C-BE32-E72D297353CC}">
              <c16:uniqueId val="{00000004-39C2-4271-BC73-BFB5104FC238}"/>
            </c:ext>
          </c:extLst>
        </c:ser>
        <c:dLbls>
          <c:showLegendKey val="0"/>
          <c:showVal val="0"/>
          <c:showCatName val="0"/>
          <c:showSerName val="0"/>
          <c:showPercent val="0"/>
          <c:showBubbleSize val="0"/>
        </c:dLbls>
        <c:gapWidth val="219"/>
        <c:axId val="1158597616"/>
        <c:axId val="1158591088"/>
      </c:barChart>
      <c:catAx>
        <c:axId val="11585976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58591088"/>
        <c:crosses val="autoZero"/>
        <c:auto val="1"/>
        <c:lblAlgn val="ctr"/>
        <c:lblOffset val="100"/>
        <c:noMultiLvlLbl val="0"/>
      </c:catAx>
      <c:valAx>
        <c:axId val="1158591088"/>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58597616"/>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1000" b="0" i="0" u="none" strike="noStrike" kern="1200" baseline="0">
                <a:solidFill>
                  <a:sysClr val="windowText" lastClr="000000"/>
                </a:solidFill>
                <a:latin typeface="+mn-lt"/>
                <a:ea typeface="+mn-ea"/>
                <a:cs typeface="+mn-cs"/>
              </a:defRPr>
            </a:pPr>
            <a:endParaRPr lang="en-US"/>
          </a:p>
        </c:txPr>
      </c:dTable>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n-US" sz="1800" b="1" i="0" u="none" strike="noStrike" kern="1200" spc="0" baseline="0">
                <a:solidFill>
                  <a:sysClr val="windowText" lastClr="000000"/>
                </a:solidFill>
                <a:effectLst/>
                <a:latin typeface="+mn-lt"/>
                <a:ea typeface="+mn-ea"/>
                <a:cs typeface="+mn-cs"/>
              </a:defRPr>
            </a:pPr>
            <a:r>
              <a:rPr lang="en-US" sz="1800" b="1" i="0" u="none" strike="noStrike" kern="1200" spc="0" baseline="0">
                <a:solidFill>
                  <a:sysClr val="windowText" lastClr="000000"/>
                </a:solidFill>
                <a:effectLst/>
                <a:latin typeface="+mn-lt"/>
                <a:ea typeface="+mn-ea"/>
                <a:cs typeface="+mn-cs"/>
              </a:rPr>
              <a:t>BC-10 Oil Production(MMT)</a:t>
            </a:r>
          </a:p>
        </c:rich>
      </c:tx>
      <c:overlay val="0"/>
      <c:spPr>
        <a:noFill/>
        <a:ln>
          <a:noFill/>
        </a:ln>
        <a:effectLst/>
      </c:spPr>
    </c:title>
    <c:autoTitleDeleted val="0"/>
    <c:plotArea>
      <c:layout/>
      <c:barChart>
        <c:barDir val="col"/>
        <c:grouping val="clustered"/>
        <c:varyColors val="0"/>
        <c:ser>
          <c:idx val="0"/>
          <c:order val="0"/>
          <c:tx>
            <c:strRef>
              <c:f>Tables!$C$398</c:f>
              <c:strCache>
                <c:ptCount val="1"/>
                <c:pt idx="0">
                  <c:v>BE(MMT)</c:v>
                </c:pt>
              </c:strCache>
            </c:strRef>
          </c:tx>
          <c:spPr>
            <a:solidFill>
              <a:srgbClr val="92D050"/>
            </a:solidFill>
            <a:ln>
              <a:noFill/>
            </a:ln>
            <a:effectLst/>
          </c:spPr>
          <c:invertIfNegative val="0"/>
          <c:cat>
            <c:strRef>
              <c:f>Tables!$D$397:$O$397</c:f>
              <c:strCache>
                <c:ptCount val="12"/>
                <c:pt idx="0">
                  <c:v>Apr'26</c:v>
                </c:pt>
                <c:pt idx="1">
                  <c:v>May'26</c:v>
                </c:pt>
                <c:pt idx="2">
                  <c:v>June'26</c:v>
                </c:pt>
                <c:pt idx="3">
                  <c:v>July'26</c:v>
                </c:pt>
                <c:pt idx="4">
                  <c:v>Aug'26</c:v>
                </c:pt>
                <c:pt idx="5">
                  <c:v>Sep'26</c:v>
                </c:pt>
                <c:pt idx="6">
                  <c:v>Oct'26</c:v>
                </c:pt>
                <c:pt idx="7">
                  <c:v>Nov'26</c:v>
                </c:pt>
                <c:pt idx="8">
                  <c:v>Dec'26</c:v>
                </c:pt>
                <c:pt idx="9">
                  <c:v>Jan'27</c:v>
                </c:pt>
                <c:pt idx="10">
                  <c:v>Feb'27</c:v>
                </c:pt>
                <c:pt idx="11">
                  <c:v>Mar'27</c:v>
                </c:pt>
              </c:strCache>
            </c:strRef>
          </c:cat>
          <c:val>
            <c:numRef>
              <c:f>Tables!$D$398:$O$398</c:f>
              <c:numCache>
                <c:formatCode>0.000</c:formatCode>
                <c:ptCount val="12"/>
                <c:pt idx="0">
                  <c:v>2.9000000000000001E-2</c:v>
                </c:pt>
                <c:pt idx="1">
                  <c:v>2.9000000000000001E-2</c:v>
                </c:pt>
                <c:pt idx="2">
                  <c:v>2.9000000000000001E-2</c:v>
                </c:pt>
                <c:pt idx="3">
                  <c:v>0.03</c:v>
                </c:pt>
                <c:pt idx="4">
                  <c:v>2.9000000000000001E-2</c:v>
                </c:pt>
                <c:pt idx="5">
                  <c:v>2.9000000000000001E-2</c:v>
                </c:pt>
                <c:pt idx="6">
                  <c:v>0.03</c:v>
                </c:pt>
                <c:pt idx="7">
                  <c:v>2.9000000000000001E-2</c:v>
                </c:pt>
                <c:pt idx="8">
                  <c:v>0.03</c:v>
                </c:pt>
                <c:pt idx="9">
                  <c:v>0.03</c:v>
                </c:pt>
                <c:pt idx="10">
                  <c:v>2.7E-2</c:v>
                </c:pt>
                <c:pt idx="11">
                  <c:v>2.9000000000000001E-2</c:v>
                </c:pt>
              </c:numCache>
            </c:numRef>
          </c:val>
          <c:extLst xmlns:c16r2="http://schemas.microsoft.com/office/drawing/2015/06/chart">
            <c:ext xmlns:c16="http://schemas.microsoft.com/office/drawing/2014/chart" uri="{C3380CC4-5D6E-409C-BE32-E72D297353CC}">
              <c16:uniqueId val="{00000002-28BD-4FA9-B669-9CF5406B19F2}"/>
            </c:ext>
          </c:extLst>
        </c:ser>
        <c:ser>
          <c:idx val="1"/>
          <c:order val="1"/>
          <c:tx>
            <c:strRef>
              <c:f>Tables!$C$399</c:f>
              <c:strCache>
                <c:ptCount val="1"/>
                <c:pt idx="0">
                  <c:v>Actual</c:v>
                </c:pt>
              </c:strCache>
            </c:strRef>
          </c:tx>
          <c:spPr>
            <a:solidFill>
              <a:srgbClr val="00B050"/>
            </a:solidFill>
            <a:ln>
              <a:noFill/>
            </a:ln>
            <a:effectLst/>
          </c:spPr>
          <c:invertIfNegative val="0"/>
          <c:cat>
            <c:strRef>
              <c:f>Tables!$D$397:$O$397</c:f>
              <c:strCache>
                <c:ptCount val="12"/>
                <c:pt idx="0">
                  <c:v>Apr'26</c:v>
                </c:pt>
                <c:pt idx="1">
                  <c:v>May'26</c:v>
                </c:pt>
                <c:pt idx="2">
                  <c:v>June'26</c:v>
                </c:pt>
                <c:pt idx="3">
                  <c:v>July'26</c:v>
                </c:pt>
                <c:pt idx="4">
                  <c:v>Aug'26</c:v>
                </c:pt>
                <c:pt idx="5">
                  <c:v>Sep'26</c:v>
                </c:pt>
                <c:pt idx="6">
                  <c:v>Oct'26</c:v>
                </c:pt>
                <c:pt idx="7">
                  <c:v>Nov'26</c:v>
                </c:pt>
                <c:pt idx="8">
                  <c:v>Dec'26</c:v>
                </c:pt>
                <c:pt idx="9">
                  <c:v>Jan'27</c:v>
                </c:pt>
                <c:pt idx="10">
                  <c:v>Feb'27</c:v>
                </c:pt>
                <c:pt idx="11">
                  <c:v>Mar'27</c:v>
                </c:pt>
              </c:strCache>
            </c:strRef>
          </c:cat>
          <c:val>
            <c:numRef>
              <c:f>Tables!$D$399:$O$399</c:f>
              <c:numCache>
                <c:formatCode>0.000</c:formatCode>
                <c:ptCount val="12"/>
                <c:pt idx="0">
                  <c:v>4.2999999999999997E-2</c:v>
                </c:pt>
                <c:pt idx="1">
                  <c:v>3.6999999999999998E-2</c:v>
                </c:pt>
                <c:pt idx="2">
                  <c:v>3.9E-2</c:v>
                </c:pt>
                <c:pt idx="3">
                  <c:v>3.4000000000000002E-2</c:v>
                </c:pt>
                <c:pt idx="4">
                  <c:v>4.4524521924801316E-2</c:v>
                </c:pt>
                <c:pt idx="5">
                  <c:v>0</c:v>
                </c:pt>
                <c:pt idx="6">
                  <c:v>0</c:v>
                </c:pt>
                <c:pt idx="7">
                  <c:v>0</c:v>
                </c:pt>
                <c:pt idx="8">
                  <c:v>0</c:v>
                </c:pt>
                <c:pt idx="9">
                  <c:v>0</c:v>
                </c:pt>
                <c:pt idx="10">
                  <c:v>0</c:v>
                </c:pt>
                <c:pt idx="11">
                  <c:v>0</c:v>
                </c:pt>
              </c:numCache>
            </c:numRef>
          </c:val>
          <c:extLst xmlns:c16r2="http://schemas.microsoft.com/office/drawing/2015/06/chart">
            <c:ext xmlns:c16="http://schemas.microsoft.com/office/drawing/2014/chart" uri="{C3380CC4-5D6E-409C-BE32-E72D297353CC}">
              <c16:uniqueId val="{00000004-28BD-4FA9-B669-9CF5406B19F2}"/>
            </c:ext>
          </c:extLst>
        </c:ser>
        <c:dLbls>
          <c:showLegendKey val="0"/>
          <c:showVal val="0"/>
          <c:showCatName val="0"/>
          <c:showSerName val="0"/>
          <c:showPercent val="0"/>
          <c:showBubbleSize val="0"/>
        </c:dLbls>
        <c:gapWidth val="219"/>
        <c:axId val="1158593264"/>
        <c:axId val="1158595440"/>
      </c:barChart>
      <c:catAx>
        <c:axId val="1158593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58595440"/>
        <c:crosses val="autoZero"/>
        <c:auto val="1"/>
        <c:lblAlgn val="ctr"/>
        <c:lblOffset val="100"/>
        <c:noMultiLvlLbl val="0"/>
      </c:catAx>
      <c:valAx>
        <c:axId val="1158595440"/>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58593264"/>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1000" b="0" i="0" u="none" strike="noStrike" kern="1200" baseline="0">
                <a:solidFill>
                  <a:sysClr val="windowText" lastClr="000000"/>
                </a:solidFill>
                <a:latin typeface="+mn-lt"/>
                <a:ea typeface="+mn-ea"/>
                <a:cs typeface="+mn-cs"/>
              </a:defRPr>
            </a:pPr>
            <a:endParaRPr lang="en-US"/>
          </a:p>
        </c:txPr>
      </c:dTable>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n-US" sz="1800" b="1" i="0" u="none" strike="noStrike" kern="1200" spc="0" baseline="0">
                <a:solidFill>
                  <a:sysClr val="windowText" lastClr="000000"/>
                </a:solidFill>
                <a:effectLst/>
                <a:latin typeface="+mn-lt"/>
                <a:ea typeface="+mn-ea"/>
                <a:cs typeface="+mn-cs"/>
              </a:defRPr>
            </a:pPr>
            <a:r>
              <a:rPr lang="en-US" sz="1800" b="1" i="0" u="none" strike="noStrike" kern="1200" spc="0" baseline="0">
                <a:solidFill>
                  <a:sysClr val="windowText" lastClr="000000"/>
                </a:solidFill>
                <a:effectLst/>
                <a:latin typeface="+mn-lt"/>
                <a:ea typeface="+mn-ea"/>
                <a:cs typeface="+mn-cs"/>
              </a:rPr>
              <a:t>MECL Oil Production(MMT)</a:t>
            </a:r>
          </a:p>
        </c:rich>
      </c:tx>
      <c:overlay val="0"/>
      <c:spPr>
        <a:noFill/>
        <a:ln>
          <a:noFill/>
        </a:ln>
        <a:effectLst/>
      </c:spPr>
    </c:title>
    <c:autoTitleDeleted val="0"/>
    <c:plotArea>
      <c:layout/>
      <c:barChart>
        <c:barDir val="col"/>
        <c:grouping val="clustered"/>
        <c:varyColors val="0"/>
        <c:ser>
          <c:idx val="0"/>
          <c:order val="0"/>
          <c:tx>
            <c:strRef>
              <c:f>Tables!$C$412</c:f>
              <c:strCache>
                <c:ptCount val="1"/>
                <c:pt idx="0">
                  <c:v>BE(MMT)</c:v>
                </c:pt>
              </c:strCache>
            </c:strRef>
          </c:tx>
          <c:spPr>
            <a:solidFill>
              <a:srgbClr val="92D050"/>
            </a:solidFill>
            <a:ln>
              <a:noFill/>
            </a:ln>
            <a:effectLst/>
          </c:spPr>
          <c:invertIfNegative val="0"/>
          <c:cat>
            <c:strRef>
              <c:f>Tables!$D$411:$O$411</c:f>
              <c:strCache>
                <c:ptCount val="12"/>
                <c:pt idx="0">
                  <c:v>Apr'26</c:v>
                </c:pt>
                <c:pt idx="1">
                  <c:v>May'26</c:v>
                </c:pt>
                <c:pt idx="2">
                  <c:v>June'26</c:v>
                </c:pt>
                <c:pt idx="3">
                  <c:v>July'26</c:v>
                </c:pt>
                <c:pt idx="4">
                  <c:v>Aug'26</c:v>
                </c:pt>
                <c:pt idx="5">
                  <c:v>Sep'26</c:v>
                </c:pt>
                <c:pt idx="6">
                  <c:v>Oct'26</c:v>
                </c:pt>
                <c:pt idx="7">
                  <c:v>Nov'26</c:v>
                </c:pt>
                <c:pt idx="8">
                  <c:v>Dec'26</c:v>
                </c:pt>
                <c:pt idx="9">
                  <c:v>Jan'27</c:v>
                </c:pt>
                <c:pt idx="10">
                  <c:v>Feb'27</c:v>
                </c:pt>
                <c:pt idx="11">
                  <c:v>Mar'27</c:v>
                </c:pt>
              </c:strCache>
            </c:strRef>
          </c:cat>
          <c:val>
            <c:numRef>
              <c:f>Tables!$D$412:$O$412</c:f>
              <c:numCache>
                <c:formatCode>0.000</c:formatCode>
                <c:ptCount val="12"/>
                <c:pt idx="0">
                  <c:v>1.2E-2</c:v>
                </c:pt>
                <c:pt idx="1">
                  <c:v>1.2E-2</c:v>
                </c:pt>
                <c:pt idx="2">
                  <c:v>1.2E-2</c:v>
                </c:pt>
                <c:pt idx="3">
                  <c:v>1.2999999999999999E-2</c:v>
                </c:pt>
                <c:pt idx="4">
                  <c:v>1.2999999999999999E-2</c:v>
                </c:pt>
                <c:pt idx="5">
                  <c:v>1.2E-2</c:v>
                </c:pt>
                <c:pt idx="6">
                  <c:v>1.2E-2</c:v>
                </c:pt>
                <c:pt idx="7">
                  <c:v>1.2E-2</c:v>
                </c:pt>
                <c:pt idx="8">
                  <c:v>1.2999999999999999E-2</c:v>
                </c:pt>
                <c:pt idx="9">
                  <c:v>1.2999999999999999E-2</c:v>
                </c:pt>
                <c:pt idx="10">
                  <c:v>1.0999999999999999E-2</c:v>
                </c:pt>
                <c:pt idx="11">
                  <c:v>1.2E-2</c:v>
                </c:pt>
              </c:numCache>
            </c:numRef>
          </c:val>
          <c:extLst xmlns:c16r2="http://schemas.microsoft.com/office/drawing/2015/06/chart">
            <c:ext xmlns:c16="http://schemas.microsoft.com/office/drawing/2014/chart" uri="{C3380CC4-5D6E-409C-BE32-E72D297353CC}">
              <c16:uniqueId val="{00000002-68BF-4A3A-8E3B-ACA8250B92DC}"/>
            </c:ext>
          </c:extLst>
        </c:ser>
        <c:ser>
          <c:idx val="1"/>
          <c:order val="1"/>
          <c:tx>
            <c:strRef>
              <c:f>Tables!$C$413</c:f>
              <c:strCache>
                <c:ptCount val="1"/>
                <c:pt idx="0">
                  <c:v>Actual</c:v>
                </c:pt>
              </c:strCache>
            </c:strRef>
          </c:tx>
          <c:spPr>
            <a:solidFill>
              <a:srgbClr val="00B050"/>
            </a:solidFill>
            <a:ln>
              <a:noFill/>
            </a:ln>
            <a:effectLst/>
          </c:spPr>
          <c:invertIfNegative val="0"/>
          <c:cat>
            <c:strRef>
              <c:f>Tables!$D$411:$O$411</c:f>
              <c:strCache>
                <c:ptCount val="12"/>
                <c:pt idx="0">
                  <c:v>Apr'26</c:v>
                </c:pt>
                <c:pt idx="1">
                  <c:v>May'26</c:v>
                </c:pt>
                <c:pt idx="2">
                  <c:v>June'26</c:v>
                </c:pt>
                <c:pt idx="3">
                  <c:v>July'26</c:v>
                </c:pt>
                <c:pt idx="4">
                  <c:v>Aug'26</c:v>
                </c:pt>
                <c:pt idx="5">
                  <c:v>Sep'26</c:v>
                </c:pt>
                <c:pt idx="6">
                  <c:v>Oct'26</c:v>
                </c:pt>
                <c:pt idx="7">
                  <c:v>Nov'26</c:v>
                </c:pt>
                <c:pt idx="8">
                  <c:v>Dec'26</c:v>
                </c:pt>
                <c:pt idx="9">
                  <c:v>Jan'27</c:v>
                </c:pt>
                <c:pt idx="10">
                  <c:v>Feb'27</c:v>
                </c:pt>
                <c:pt idx="11">
                  <c:v>Mar'27</c:v>
                </c:pt>
              </c:strCache>
            </c:strRef>
          </c:cat>
          <c:val>
            <c:numRef>
              <c:f>Tables!$D$413:$O$413</c:f>
              <c:numCache>
                <c:formatCode>0.000</c:formatCode>
                <c:ptCount val="12"/>
                <c:pt idx="0">
                  <c:v>0.01</c:v>
                </c:pt>
                <c:pt idx="1">
                  <c:v>0.01</c:v>
                </c:pt>
                <c:pt idx="2">
                  <c:v>1.0999999999999999E-2</c:v>
                </c:pt>
                <c:pt idx="3">
                  <c:v>1.0999999999999999E-2</c:v>
                </c:pt>
                <c:pt idx="4">
                  <c:v>1.1377565889520215E-2</c:v>
                </c:pt>
                <c:pt idx="5">
                  <c:v>0</c:v>
                </c:pt>
                <c:pt idx="6">
                  <c:v>0</c:v>
                </c:pt>
                <c:pt idx="7">
                  <c:v>0</c:v>
                </c:pt>
                <c:pt idx="8">
                  <c:v>0</c:v>
                </c:pt>
                <c:pt idx="9">
                  <c:v>0</c:v>
                </c:pt>
                <c:pt idx="10">
                  <c:v>0</c:v>
                </c:pt>
                <c:pt idx="11">
                  <c:v>0</c:v>
                </c:pt>
              </c:numCache>
            </c:numRef>
          </c:val>
          <c:extLst xmlns:c16r2="http://schemas.microsoft.com/office/drawing/2015/06/chart">
            <c:ext xmlns:c16="http://schemas.microsoft.com/office/drawing/2014/chart" uri="{C3380CC4-5D6E-409C-BE32-E72D297353CC}">
              <c16:uniqueId val="{00000004-68BF-4A3A-8E3B-ACA8250B92DC}"/>
            </c:ext>
          </c:extLst>
        </c:ser>
        <c:dLbls>
          <c:showLegendKey val="0"/>
          <c:showVal val="0"/>
          <c:showCatName val="0"/>
          <c:showSerName val="0"/>
          <c:showPercent val="0"/>
          <c:showBubbleSize val="0"/>
        </c:dLbls>
        <c:gapWidth val="219"/>
        <c:axId val="1158582928"/>
        <c:axId val="1158583472"/>
      </c:barChart>
      <c:catAx>
        <c:axId val="1158582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58583472"/>
        <c:crosses val="autoZero"/>
        <c:auto val="1"/>
        <c:lblAlgn val="ctr"/>
        <c:lblOffset val="100"/>
        <c:noMultiLvlLbl val="0"/>
      </c:catAx>
      <c:valAx>
        <c:axId val="1158583472"/>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58582928"/>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1000" b="0" i="0" u="none" strike="noStrike" kern="1200" baseline="0">
                <a:solidFill>
                  <a:sysClr val="windowText" lastClr="000000"/>
                </a:solidFill>
                <a:latin typeface="+mn-lt"/>
                <a:ea typeface="+mn-ea"/>
                <a:cs typeface="+mn-cs"/>
              </a:defRPr>
            </a:pPr>
            <a:endParaRPr lang="en-US"/>
          </a:p>
        </c:txPr>
      </c:dTable>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n-US" sz="1800" b="1" i="0" u="none" strike="noStrike" kern="1200" spc="0" baseline="0">
                <a:solidFill>
                  <a:sysClr val="windowText" lastClr="000000"/>
                </a:solidFill>
                <a:effectLst/>
                <a:latin typeface="+mn-lt"/>
                <a:ea typeface="+mn-ea"/>
                <a:cs typeface="+mn-cs"/>
              </a:defRPr>
            </a:pPr>
            <a:r>
              <a:rPr lang="en-US" sz="1800" b="1" i="0" u="none" strike="noStrike" kern="1200" spc="0" baseline="0">
                <a:solidFill>
                  <a:sysClr val="windowText" lastClr="000000"/>
                </a:solidFill>
                <a:effectLst/>
                <a:latin typeface="+mn-lt"/>
                <a:ea typeface="+mn-ea"/>
                <a:cs typeface="+mn-cs"/>
              </a:rPr>
              <a:t>CPO-5 Oil Production(MMT)</a:t>
            </a:r>
          </a:p>
        </c:rich>
      </c:tx>
      <c:overlay val="0"/>
      <c:spPr>
        <a:noFill/>
        <a:ln>
          <a:noFill/>
        </a:ln>
        <a:effectLst/>
      </c:spPr>
    </c:title>
    <c:autoTitleDeleted val="0"/>
    <c:plotArea>
      <c:layout/>
      <c:barChart>
        <c:barDir val="col"/>
        <c:grouping val="clustered"/>
        <c:varyColors val="0"/>
        <c:ser>
          <c:idx val="0"/>
          <c:order val="0"/>
          <c:tx>
            <c:strRef>
              <c:f>Tables!$C$426</c:f>
              <c:strCache>
                <c:ptCount val="1"/>
                <c:pt idx="0">
                  <c:v>BE(MMT)</c:v>
                </c:pt>
              </c:strCache>
            </c:strRef>
          </c:tx>
          <c:spPr>
            <a:solidFill>
              <a:srgbClr val="92D050"/>
            </a:solidFill>
            <a:ln>
              <a:noFill/>
            </a:ln>
            <a:effectLst/>
          </c:spPr>
          <c:invertIfNegative val="0"/>
          <c:cat>
            <c:strRef>
              <c:f>Tables!$D$425:$O$425</c:f>
              <c:strCache>
                <c:ptCount val="12"/>
                <c:pt idx="0">
                  <c:v>Apr'26</c:v>
                </c:pt>
                <c:pt idx="1">
                  <c:v>May'26</c:v>
                </c:pt>
                <c:pt idx="2">
                  <c:v>June'26</c:v>
                </c:pt>
                <c:pt idx="3">
                  <c:v>July'26</c:v>
                </c:pt>
                <c:pt idx="4">
                  <c:v>Aug'26</c:v>
                </c:pt>
                <c:pt idx="5">
                  <c:v>Sep'26</c:v>
                </c:pt>
                <c:pt idx="6">
                  <c:v>Oct'26</c:v>
                </c:pt>
                <c:pt idx="7">
                  <c:v>Nov'26</c:v>
                </c:pt>
                <c:pt idx="8">
                  <c:v>Dec'26</c:v>
                </c:pt>
                <c:pt idx="9">
                  <c:v>Jan'27</c:v>
                </c:pt>
                <c:pt idx="10">
                  <c:v>Feb'27</c:v>
                </c:pt>
                <c:pt idx="11">
                  <c:v>Mar'27</c:v>
                </c:pt>
              </c:strCache>
            </c:strRef>
          </c:cat>
          <c:val>
            <c:numRef>
              <c:f>Tables!$D$426:$O$426</c:f>
              <c:numCache>
                <c:formatCode>0.000</c:formatCode>
                <c:ptCount val="12"/>
                <c:pt idx="0">
                  <c:v>6.3E-2</c:v>
                </c:pt>
                <c:pt idx="1">
                  <c:v>6.5000000000000002E-2</c:v>
                </c:pt>
                <c:pt idx="2">
                  <c:v>6.4000000000000001E-2</c:v>
                </c:pt>
                <c:pt idx="3">
                  <c:v>6.5000000000000002E-2</c:v>
                </c:pt>
                <c:pt idx="4">
                  <c:v>6.5000000000000002E-2</c:v>
                </c:pt>
                <c:pt idx="5">
                  <c:v>6.4000000000000001E-2</c:v>
                </c:pt>
                <c:pt idx="6">
                  <c:v>6.5000000000000002E-2</c:v>
                </c:pt>
                <c:pt idx="7">
                  <c:v>6.3E-2</c:v>
                </c:pt>
                <c:pt idx="8">
                  <c:v>6.5000000000000002E-2</c:v>
                </c:pt>
                <c:pt idx="9">
                  <c:v>6.5000000000000002E-2</c:v>
                </c:pt>
                <c:pt idx="10">
                  <c:v>0.06</c:v>
                </c:pt>
                <c:pt idx="11">
                  <c:v>6.6000000000000003E-2</c:v>
                </c:pt>
              </c:numCache>
            </c:numRef>
          </c:val>
          <c:extLst xmlns:c16r2="http://schemas.microsoft.com/office/drawing/2015/06/chart">
            <c:ext xmlns:c16="http://schemas.microsoft.com/office/drawing/2014/chart" uri="{C3380CC4-5D6E-409C-BE32-E72D297353CC}">
              <c16:uniqueId val="{00000002-9AC3-4CED-B009-D26BF9C492B1}"/>
            </c:ext>
          </c:extLst>
        </c:ser>
        <c:ser>
          <c:idx val="1"/>
          <c:order val="1"/>
          <c:tx>
            <c:strRef>
              <c:f>Tables!$C$427</c:f>
              <c:strCache>
                <c:ptCount val="1"/>
                <c:pt idx="0">
                  <c:v>Actual</c:v>
                </c:pt>
              </c:strCache>
            </c:strRef>
          </c:tx>
          <c:spPr>
            <a:solidFill>
              <a:srgbClr val="00B050"/>
            </a:solidFill>
            <a:ln>
              <a:noFill/>
            </a:ln>
            <a:effectLst/>
          </c:spPr>
          <c:invertIfNegative val="0"/>
          <c:cat>
            <c:strRef>
              <c:f>Tables!$D$425:$O$425</c:f>
              <c:strCache>
                <c:ptCount val="12"/>
                <c:pt idx="0">
                  <c:v>Apr'26</c:v>
                </c:pt>
                <c:pt idx="1">
                  <c:v>May'26</c:v>
                </c:pt>
                <c:pt idx="2">
                  <c:v>June'26</c:v>
                </c:pt>
                <c:pt idx="3">
                  <c:v>July'26</c:v>
                </c:pt>
                <c:pt idx="4">
                  <c:v>Aug'26</c:v>
                </c:pt>
                <c:pt idx="5">
                  <c:v>Sep'26</c:v>
                </c:pt>
                <c:pt idx="6">
                  <c:v>Oct'26</c:v>
                </c:pt>
                <c:pt idx="7">
                  <c:v>Nov'26</c:v>
                </c:pt>
                <c:pt idx="8">
                  <c:v>Dec'26</c:v>
                </c:pt>
                <c:pt idx="9">
                  <c:v>Jan'27</c:v>
                </c:pt>
                <c:pt idx="10">
                  <c:v>Feb'27</c:v>
                </c:pt>
                <c:pt idx="11">
                  <c:v>Mar'27</c:v>
                </c:pt>
              </c:strCache>
            </c:strRef>
          </c:cat>
          <c:val>
            <c:numRef>
              <c:f>Tables!$D$427:$O$427</c:f>
              <c:numCache>
                <c:formatCode>0.000</c:formatCode>
                <c:ptCount val="12"/>
                <c:pt idx="0">
                  <c:v>5.1999999999999998E-2</c:v>
                </c:pt>
                <c:pt idx="1">
                  <c:v>6.4000000000000001E-2</c:v>
                </c:pt>
                <c:pt idx="2">
                  <c:v>6.0999999999999999E-2</c:v>
                </c:pt>
                <c:pt idx="3">
                  <c:v>0.06</c:v>
                </c:pt>
                <c:pt idx="4">
                  <c:v>6.2181402660837964E-2</c:v>
                </c:pt>
                <c:pt idx="5">
                  <c:v>0</c:v>
                </c:pt>
                <c:pt idx="6">
                  <c:v>0</c:v>
                </c:pt>
                <c:pt idx="7">
                  <c:v>0</c:v>
                </c:pt>
                <c:pt idx="8">
                  <c:v>0</c:v>
                </c:pt>
                <c:pt idx="9">
                  <c:v>0</c:v>
                </c:pt>
                <c:pt idx="10">
                  <c:v>0</c:v>
                </c:pt>
                <c:pt idx="11">
                  <c:v>0</c:v>
                </c:pt>
              </c:numCache>
            </c:numRef>
          </c:val>
          <c:extLst xmlns:c16r2="http://schemas.microsoft.com/office/drawing/2015/06/chart">
            <c:ext xmlns:c16="http://schemas.microsoft.com/office/drawing/2014/chart" uri="{C3380CC4-5D6E-409C-BE32-E72D297353CC}">
              <c16:uniqueId val="{00000004-9AC3-4CED-B009-D26BF9C492B1}"/>
            </c:ext>
          </c:extLst>
        </c:ser>
        <c:dLbls>
          <c:showLegendKey val="0"/>
          <c:showVal val="0"/>
          <c:showCatName val="0"/>
          <c:showSerName val="0"/>
          <c:showPercent val="0"/>
          <c:showBubbleSize val="0"/>
        </c:dLbls>
        <c:gapWidth val="219"/>
        <c:axId val="1158572048"/>
        <c:axId val="1158570960"/>
      </c:barChart>
      <c:catAx>
        <c:axId val="11585720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58570960"/>
        <c:crosses val="autoZero"/>
        <c:auto val="1"/>
        <c:lblAlgn val="ctr"/>
        <c:lblOffset val="100"/>
        <c:noMultiLvlLbl val="0"/>
      </c:catAx>
      <c:valAx>
        <c:axId val="1158570960"/>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58572048"/>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1000" b="0" i="0" u="none" strike="noStrike" kern="1200" baseline="0">
                <a:solidFill>
                  <a:sysClr val="windowText" lastClr="000000"/>
                </a:solidFill>
                <a:latin typeface="+mn-lt"/>
                <a:ea typeface="+mn-ea"/>
                <a:cs typeface="+mn-cs"/>
              </a:defRPr>
            </a:pPr>
            <a:endParaRPr lang="en-US"/>
          </a:p>
        </c:txPr>
      </c:dTable>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n-US" sz="1800" b="1" i="0" u="none" strike="noStrike" kern="1200" spc="0" baseline="0">
                <a:solidFill>
                  <a:sysClr val="windowText" lastClr="000000"/>
                </a:solidFill>
                <a:effectLst/>
                <a:latin typeface="+mn-lt"/>
                <a:ea typeface="+mn-ea"/>
                <a:cs typeface="+mn-cs"/>
              </a:defRPr>
            </a:pPr>
            <a:r>
              <a:rPr lang="en-US" sz="1800" b="1" i="0" u="none" strike="noStrike" kern="1200" spc="0" baseline="0">
                <a:solidFill>
                  <a:sysClr val="windowText" lastClr="000000"/>
                </a:solidFill>
                <a:effectLst/>
                <a:latin typeface="+mn-lt"/>
                <a:ea typeface="+mn-ea"/>
                <a:cs typeface="+mn-cs"/>
              </a:rPr>
              <a:t>Carabobo-1 Oil Production(MMT)</a:t>
            </a:r>
          </a:p>
        </c:rich>
      </c:tx>
      <c:overlay val="0"/>
      <c:spPr>
        <a:noFill/>
        <a:ln>
          <a:noFill/>
        </a:ln>
        <a:effectLst/>
      </c:spPr>
    </c:title>
    <c:autoTitleDeleted val="0"/>
    <c:plotArea>
      <c:layout/>
      <c:barChart>
        <c:barDir val="col"/>
        <c:grouping val="clustered"/>
        <c:varyColors val="0"/>
        <c:ser>
          <c:idx val="0"/>
          <c:order val="0"/>
          <c:tx>
            <c:strRef>
              <c:f>Tables!$C$440</c:f>
              <c:strCache>
                <c:ptCount val="1"/>
                <c:pt idx="0">
                  <c:v>BE(MMT)</c:v>
                </c:pt>
              </c:strCache>
            </c:strRef>
          </c:tx>
          <c:spPr>
            <a:solidFill>
              <a:srgbClr val="92D050"/>
            </a:solidFill>
            <a:ln>
              <a:noFill/>
            </a:ln>
            <a:effectLst/>
          </c:spPr>
          <c:invertIfNegative val="0"/>
          <c:cat>
            <c:strRef>
              <c:f>Tables!$D$439:$O$439</c:f>
              <c:strCache>
                <c:ptCount val="12"/>
                <c:pt idx="0">
                  <c:v>Apr'26</c:v>
                </c:pt>
                <c:pt idx="1">
                  <c:v>May'26</c:v>
                </c:pt>
                <c:pt idx="2">
                  <c:v>June'26</c:v>
                </c:pt>
                <c:pt idx="3">
                  <c:v>July'26</c:v>
                </c:pt>
                <c:pt idx="4">
                  <c:v>Aug'26</c:v>
                </c:pt>
                <c:pt idx="5">
                  <c:v>Sep'26</c:v>
                </c:pt>
                <c:pt idx="6">
                  <c:v>Oct'26</c:v>
                </c:pt>
                <c:pt idx="7">
                  <c:v>Nov'26</c:v>
                </c:pt>
                <c:pt idx="8">
                  <c:v>Dec'26</c:v>
                </c:pt>
                <c:pt idx="9">
                  <c:v>Jan'27</c:v>
                </c:pt>
                <c:pt idx="10">
                  <c:v>Feb'27</c:v>
                </c:pt>
                <c:pt idx="11">
                  <c:v>Mar'27</c:v>
                </c:pt>
              </c:strCache>
            </c:strRef>
          </c:cat>
          <c:val>
            <c:numRef>
              <c:f>Tables!$D$440:$O$440</c:f>
              <c:numCache>
                <c:formatCode>0.000</c:formatCode>
                <c:ptCount val="12"/>
                <c:pt idx="0">
                  <c:v>4.0000000000000001E-3</c:v>
                </c:pt>
                <c:pt idx="1">
                  <c:v>5.0000000000000001E-3</c:v>
                </c:pt>
                <c:pt idx="2">
                  <c:v>4.0000000000000001E-3</c:v>
                </c:pt>
                <c:pt idx="3">
                  <c:v>4.0000000000000001E-3</c:v>
                </c:pt>
                <c:pt idx="4">
                  <c:v>5.0000000000000001E-3</c:v>
                </c:pt>
                <c:pt idx="5">
                  <c:v>4.0000000000000001E-3</c:v>
                </c:pt>
                <c:pt idx="6">
                  <c:v>4.0000000000000001E-3</c:v>
                </c:pt>
                <c:pt idx="7">
                  <c:v>4.0000000000000001E-3</c:v>
                </c:pt>
                <c:pt idx="8">
                  <c:v>4.0000000000000001E-3</c:v>
                </c:pt>
                <c:pt idx="9">
                  <c:v>4.0000000000000001E-3</c:v>
                </c:pt>
                <c:pt idx="10">
                  <c:v>4.0000000000000001E-3</c:v>
                </c:pt>
                <c:pt idx="11">
                  <c:v>4.0000000000000001E-3</c:v>
                </c:pt>
              </c:numCache>
            </c:numRef>
          </c:val>
          <c:extLst xmlns:c16r2="http://schemas.microsoft.com/office/drawing/2015/06/chart">
            <c:ext xmlns:c16="http://schemas.microsoft.com/office/drawing/2014/chart" uri="{C3380CC4-5D6E-409C-BE32-E72D297353CC}">
              <c16:uniqueId val="{00000002-B63E-4480-98DC-BDAD01550221}"/>
            </c:ext>
          </c:extLst>
        </c:ser>
        <c:ser>
          <c:idx val="1"/>
          <c:order val="1"/>
          <c:tx>
            <c:strRef>
              <c:f>Tables!$C$441</c:f>
              <c:strCache>
                <c:ptCount val="1"/>
                <c:pt idx="0">
                  <c:v>Actual</c:v>
                </c:pt>
              </c:strCache>
            </c:strRef>
          </c:tx>
          <c:spPr>
            <a:solidFill>
              <a:srgbClr val="00B050"/>
            </a:solidFill>
            <a:ln>
              <a:noFill/>
            </a:ln>
            <a:effectLst/>
          </c:spPr>
          <c:invertIfNegative val="0"/>
          <c:cat>
            <c:strRef>
              <c:f>Tables!$D$439:$O$439</c:f>
              <c:strCache>
                <c:ptCount val="12"/>
                <c:pt idx="0">
                  <c:v>Apr'26</c:v>
                </c:pt>
                <c:pt idx="1">
                  <c:v>May'26</c:v>
                </c:pt>
                <c:pt idx="2">
                  <c:v>June'26</c:v>
                </c:pt>
                <c:pt idx="3">
                  <c:v>July'26</c:v>
                </c:pt>
                <c:pt idx="4">
                  <c:v>Aug'26</c:v>
                </c:pt>
                <c:pt idx="5">
                  <c:v>Sep'26</c:v>
                </c:pt>
                <c:pt idx="6">
                  <c:v>Oct'26</c:v>
                </c:pt>
                <c:pt idx="7">
                  <c:v>Nov'26</c:v>
                </c:pt>
                <c:pt idx="8">
                  <c:v>Dec'26</c:v>
                </c:pt>
                <c:pt idx="9">
                  <c:v>Jan'27</c:v>
                </c:pt>
                <c:pt idx="10">
                  <c:v>Feb'27</c:v>
                </c:pt>
                <c:pt idx="11">
                  <c:v>Mar'27</c:v>
                </c:pt>
              </c:strCache>
            </c:strRef>
          </c:cat>
          <c:val>
            <c:numRef>
              <c:f>Tables!$D$441:$O$441</c:f>
              <c:numCache>
                <c:formatCode>0.000</c:formatCode>
                <c:ptCount val="12"/>
                <c:pt idx="0">
                  <c:v>4.0000000000000001E-3</c:v>
                </c:pt>
                <c:pt idx="1">
                  <c:v>4.0000000000000001E-3</c:v>
                </c:pt>
                <c:pt idx="2">
                  <c:v>3.0000000000000001E-3</c:v>
                </c:pt>
                <c:pt idx="3">
                  <c:v>4.0000000000000001E-3</c:v>
                </c:pt>
                <c:pt idx="4">
                  <c:v>3.7780063432218142E-3</c:v>
                </c:pt>
                <c:pt idx="5">
                  <c:v>0</c:v>
                </c:pt>
                <c:pt idx="6">
                  <c:v>0</c:v>
                </c:pt>
                <c:pt idx="7">
                  <c:v>0</c:v>
                </c:pt>
                <c:pt idx="8">
                  <c:v>0</c:v>
                </c:pt>
                <c:pt idx="9">
                  <c:v>0</c:v>
                </c:pt>
                <c:pt idx="10">
                  <c:v>0</c:v>
                </c:pt>
                <c:pt idx="11">
                  <c:v>0</c:v>
                </c:pt>
              </c:numCache>
            </c:numRef>
          </c:val>
          <c:extLst xmlns:c16r2="http://schemas.microsoft.com/office/drawing/2015/06/chart">
            <c:ext xmlns:c16="http://schemas.microsoft.com/office/drawing/2014/chart" uri="{C3380CC4-5D6E-409C-BE32-E72D297353CC}">
              <c16:uniqueId val="{00000004-B63E-4480-98DC-BDAD01550221}"/>
            </c:ext>
          </c:extLst>
        </c:ser>
        <c:dLbls>
          <c:showLegendKey val="0"/>
          <c:showVal val="0"/>
          <c:showCatName val="0"/>
          <c:showSerName val="0"/>
          <c:showPercent val="0"/>
          <c:showBubbleSize val="0"/>
        </c:dLbls>
        <c:gapWidth val="219"/>
        <c:axId val="1158575312"/>
        <c:axId val="1158584016"/>
      </c:barChart>
      <c:catAx>
        <c:axId val="11585753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58584016"/>
        <c:crosses val="autoZero"/>
        <c:auto val="1"/>
        <c:lblAlgn val="ctr"/>
        <c:lblOffset val="100"/>
        <c:noMultiLvlLbl val="0"/>
      </c:catAx>
      <c:valAx>
        <c:axId val="1158584016"/>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58575312"/>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1000" b="0" i="0" u="none" strike="noStrike" kern="1200" baseline="0">
                <a:solidFill>
                  <a:sysClr val="windowText" lastClr="000000"/>
                </a:solidFill>
                <a:latin typeface="+mn-lt"/>
                <a:ea typeface="+mn-ea"/>
                <a:cs typeface="+mn-cs"/>
              </a:defRPr>
            </a:pPr>
            <a:endParaRPr lang="en-US"/>
          </a:p>
        </c:txPr>
      </c:dTable>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n-US" sz="1800" b="1" i="0" u="none" strike="noStrike" kern="1200" spc="0" baseline="0">
                <a:solidFill>
                  <a:sysClr val="windowText" lastClr="000000"/>
                </a:solidFill>
                <a:effectLst/>
                <a:latin typeface="+mn-lt"/>
                <a:ea typeface="+mn-ea"/>
                <a:cs typeface="+mn-cs"/>
              </a:defRPr>
            </a:pPr>
            <a:r>
              <a:rPr lang="en-US" sz="1800" b="1" i="0" u="none" strike="noStrike" baseline="0">
                <a:effectLst/>
              </a:rPr>
              <a:t>Sancristobal Oil Production(MMT)</a:t>
            </a:r>
            <a:endParaRPr lang="en-US" sz="1800" b="1" i="0" u="none" strike="noStrike" kern="1200" spc="0" baseline="0">
              <a:solidFill>
                <a:sysClr val="windowText" lastClr="000000"/>
              </a:solidFill>
              <a:effectLst/>
              <a:latin typeface="+mn-lt"/>
              <a:ea typeface="+mn-ea"/>
              <a:cs typeface="+mn-cs"/>
            </a:endParaRPr>
          </a:p>
        </c:rich>
      </c:tx>
      <c:overlay val="0"/>
      <c:spPr>
        <a:noFill/>
        <a:ln>
          <a:noFill/>
        </a:ln>
        <a:effectLst/>
      </c:spPr>
    </c:title>
    <c:autoTitleDeleted val="0"/>
    <c:plotArea>
      <c:layout/>
      <c:barChart>
        <c:barDir val="col"/>
        <c:grouping val="clustered"/>
        <c:varyColors val="0"/>
        <c:ser>
          <c:idx val="0"/>
          <c:order val="0"/>
          <c:tx>
            <c:strRef>
              <c:f>Tables!$C$454</c:f>
              <c:strCache>
                <c:ptCount val="1"/>
                <c:pt idx="0">
                  <c:v>BE(MMT)</c:v>
                </c:pt>
              </c:strCache>
            </c:strRef>
          </c:tx>
          <c:spPr>
            <a:solidFill>
              <a:srgbClr val="92D050"/>
            </a:solidFill>
            <a:ln>
              <a:noFill/>
            </a:ln>
            <a:effectLst/>
          </c:spPr>
          <c:invertIfNegative val="0"/>
          <c:cat>
            <c:strRef>
              <c:f>Tables!$D$453:$O$453</c:f>
              <c:strCache>
                <c:ptCount val="12"/>
                <c:pt idx="0">
                  <c:v>Apr'26</c:v>
                </c:pt>
                <c:pt idx="1">
                  <c:v>May'26</c:v>
                </c:pt>
                <c:pt idx="2">
                  <c:v>June'26</c:v>
                </c:pt>
                <c:pt idx="3">
                  <c:v>July'26</c:v>
                </c:pt>
                <c:pt idx="4">
                  <c:v>Aug'26</c:v>
                </c:pt>
                <c:pt idx="5">
                  <c:v>Sep'26</c:v>
                </c:pt>
                <c:pt idx="6">
                  <c:v>Oct'26</c:v>
                </c:pt>
                <c:pt idx="7">
                  <c:v>Nov'26</c:v>
                </c:pt>
                <c:pt idx="8">
                  <c:v>Dec'26</c:v>
                </c:pt>
                <c:pt idx="9">
                  <c:v>Jan'27</c:v>
                </c:pt>
                <c:pt idx="10">
                  <c:v>Feb'27</c:v>
                </c:pt>
                <c:pt idx="11">
                  <c:v>Mar'27</c:v>
                </c:pt>
              </c:strCache>
            </c:strRef>
          </c:cat>
          <c:val>
            <c:numRef>
              <c:f>Tables!$D$454:$O$454</c:f>
              <c:numCache>
                <c:formatCode>0.000</c:formatCode>
                <c:ptCount val="12"/>
                <c:pt idx="0">
                  <c:v>8.9999999999999993E-3</c:v>
                </c:pt>
                <c:pt idx="1">
                  <c:v>0.01</c:v>
                </c:pt>
                <c:pt idx="2">
                  <c:v>0.01</c:v>
                </c:pt>
                <c:pt idx="3">
                  <c:v>0.01</c:v>
                </c:pt>
                <c:pt idx="4">
                  <c:v>0.01</c:v>
                </c:pt>
                <c:pt idx="5">
                  <c:v>8.9999999999999993E-3</c:v>
                </c:pt>
                <c:pt idx="6">
                  <c:v>0.01</c:v>
                </c:pt>
                <c:pt idx="7">
                  <c:v>8.9999999999999993E-3</c:v>
                </c:pt>
                <c:pt idx="8">
                  <c:v>0.01</c:v>
                </c:pt>
                <c:pt idx="9">
                  <c:v>0.01</c:v>
                </c:pt>
                <c:pt idx="10">
                  <c:v>8.9999999999999993E-3</c:v>
                </c:pt>
                <c:pt idx="11">
                  <c:v>0.01</c:v>
                </c:pt>
              </c:numCache>
            </c:numRef>
          </c:val>
          <c:extLst xmlns:c16r2="http://schemas.microsoft.com/office/drawing/2015/06/chart">
            <c:ext xmlns:c16="http://schemas.microsoft.com/office/drawing/2014/chart" uri="{C3380CC4-5D6E-409C-BE32-E72D297353CC}">
              <c16:uniqueId val="{00000002-2AEB-4A14-8D82-5D3D9C1EE393}"/>
            </c:ext>
          </c:extLst>
        </c:ser>
        <c:ser>
          <c:idx val="1"/>
          <c:order val="1"/>
          <c:tx>
            <c:strRef>
              <c:f>Tables!$C$455</c:f>
              <c:strCache>
                <c:ptCount val="1"/>
                <c:pt idx="0">
                  <c:v>Actual</c:v>
                </c:pt>
              </c:strCache>
            </c:strRef>
          </c:tx>
          <c:spPr>
            <a:solidFill>
              <a:srgbClr val="00B050"/>
            </a:solidFill>
            <a:ln>
              <a:noFill/>
            </a:ln>
            <a:effectLst/>
          </c:spPr>
          <c:invertIfNegative val="0"/>
          <c:cat>
            <c:strRef>
              <c:f>Tables!$D$453:$O$453</c:f>
              <c:strCache>
                <c:ptCount val="12"/>
                <c:pt idx="0">
                  <c:v>Apr'26</c:v>
                </c:pt>
                <c:pt idx="1">
                  <c:v>May'26</c:v>
                </c:pt>
                <c:pt idx="2">
                  <c:v>June'26</c:v>
                </c:pt>
                <c:pt idx="3">
                  <c:v>July'26</c:v>
                </c:pt>
                <c:pt idx="4">
                  <c:v>Aug'26</c:v>
                </c:pt>
                <c:pt idx="5">
                  <c:v>Sep'26</c:v>
                </c:pt>
                <c:pt idx="6">
                  <c:v>Oct'26</c:v>
                </c:pt>
                <c:pt idx="7">
                  <c:v>Nov'26</c:v>
                </c:pt>
                <c:pt idx="8">
                  <c:v>Dec'26</c:v>
                </c:pt>
                <c:pt idx="9">
                  <c:v>Jan'27</c:v>
                </c:pt>
                <c:pt idx="10">
                  <c:v>Feb'27</c:v>
                </c:pt>
                <c:pt idx="11">
                  <c:v>Mar'27</c:v>
                </c:pt>
              </c:strCache>
            </c:strRef>
          </c:cat>
          <c:val>
            <c:numRef>
              <c:f>Tables!$D$455:$O$455</c:f>
              <c:numCache>
                <c:formatCode>0.000</c:formatCode>
                <c:ptCount val="12"/>
                <c:pt idx="0">
                  <c:v>8.0000000000000002E-3</c:v>
                </c:pt>
                <c:pt idx="1">
                  <c:v>0.01</c:v>
                </c:pt>
                <c:pt idx="2">
                  <c:v>0.01</c:v>
                </c:pt>
                <c:pt idx="3">
                  <c:v>1.0999999999999999E-2</c:v>
                </c:pt>
                <c:pt idx="4">
                  <c:v>1.0772601919589167E-2</c:v>
                </c:pt>
                <c:pt idx="5">
                  <c:v>0</c:v>
                </c:pt>
                <c:pt idx="6">
                  <c:v>0</c:v>
                </c:pt>
                <c:pt idx="7">
                  <c:v>0</c:v>
                </c:pt>
                <c:pt idx="8">
                  <c:v>0</c:v>
                </c:pt>
                <c:pt idx="9">
                  <c:v>0</c:v>
                </c:pt>
                <c:pt idx="10">
                  <c:v>0</c:v>
                </c:pt>
                <c:pt idx="11">
                  <c:v>0</c:v>
                </c:pt>
              </c:numCache>
            </c:numRef>
          </c:val>
          <c:extLst xmlns:c16r2="http://schemas.microsoft.com/office/drawing/2015/06/chart">
            <c:ext xmlns:c16="http://schemas.microsoft.com/office/drawing/2014/chart" uri="{C3380CC4-5D6E-409C-BE32-E72D297353CC}">
              <c16:uniqueId val="{00000004-2AEB-4A14-8D82-5D3D9C1EE393}"/>
            </c:ext>
          </c:extLst>
        </c:ser>
        <c:dLbls>
          <c:showLegendKey val="0"/>
          <c:showVal val="0"/>
          <c:showCatName val="0"/>
          <c:showSerName val="0"/>
          <c:showPercent val="0"/>
          <c:showBubbleSize val="0"/>
        </c:dLbls>
        <c:gapWidth val="219"/>
        <c:axId val="1159212000"/>
        <c:axId val="1159192960"/>
      </c:barChart>
      <c:catAx>
        <c:axId val="1159212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59192960"/>
        <c:crosses val="autoZero"/>
        <c:auto val="1"/>
        <c:lblAlgn val="ctr"/>
        <c:lblOffset val="100"/>
        <c:noMultiLvlLbl val="0"/>
      </c:catAx>
      <c:valAx>
        <c:axId val="1159192960"/>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59212000"/>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1000" b="0" i="0" u="none" strike="noStrike" kern="1200" baseline="0">
                <a:solidFill>
                  <a:sysClr val="windowText" lastClr="000000"/>
                </a:solidFill>
                <a:latin typeface="+mn-lt"/>
                <a:ea typeface="+mn-ea"/>
                <a:cs typeface="+mn-cs"/>
              </a:defRPr>
            </a:pPr>
            <a:endParaRPr lang="en-US"/>
          </a:p>
        </c:txPr>
      </c:dTable>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n-US" sz="1800" b="1" i="0" u="none" strike="noStrike" kern="1200" spc="0" baseline="0">
                <a:solidFill>
                  <a:sysClr val="windowText" lastClr="000000"/>
                </a:solidFill>
                <a:effectLst/>
                <a:latin typeface="+mn-lt"/>
                <a:ea typeface="+mn-ea"/>
                <a:cs typeface="+mn-cs"/>
              </a:defRPr>
            </a:pPr>
            <a:r>
              <a:rPr lang="en-US" sz="1800" b="1" i="0" u="none" strike="noStrike" kern="1200" spc="0" baseline="0">
                <a:solidFill>
                  <a:sysClr val="windowText" lastClr="000000"/>
                </a:solidFill>
                <a:effectLst/>
                <a:latin typeface="+mn-lt"/>
                <a:ea typeface="+mn-ea"/>
                <a:cs typeface="+mn-cs"/>
              </a:rPr>
              <a:t>LZC Oil Production(MMT)</a:t>
            </a:r>
          </a:p>
        </c:rich>
      </c:tx>
      <c:overlay val="0"/>
      <c:spPr>
        <a:noFill/>
        <a:ln>
          <a:noFill/>
        </a:ln>
        <a:effectLst/>
      </c:spPr>
    </c:title>
    <c:autoTitleDeleted val="0"/>
    <c:plotArea>
      <c:layout/>
      <c:barChart>
        <c:barDir val="col"/>
        <c:grouping val="clustered"/>
        <c:varyColors val="0"/>
        <c:ser>
          <c:idx val="0"/>
          <c:order val="0"/>
          <c:tx>
            <c:strRef>
              <c:f>Tables!$C$468</c:f>
              <c:strCache>
                <c:ptCount val="1"/>
                <c:pt idx="0">
                  <c:v>BE(MMT)</c:v>
                </c:pt>
              </c:strCache>
            </c:strRef>
          </c:tx>
          <c:spPr>
            <a:solidFill>
              <a:srgbClr val="92D050"/>
            </a:solidFill>
            <a:ln>
              <a:noFill/>
            </a:ln>
            <a:effectLst/>
          </c:spPr>
          <c:invertIfNegative val="0"/>
          <c:cat>
            <c:strRef>
              <c:f>Tables!$D$467:$O$467</c:f>
              <c:strCache>
                <c:ptCount val="12"/>
                <c:pt idx="0">
                  <c:v>Apr'26</c:v>
                </c:pt>
                <c:pt idx="1">
                  <c:v>May'26</c:v>
                </c:pt>
                <c:pt idx="2">
                  <c:v>June'26</c:v>
                </c:pt>
                <c:pt idx="3">
                  <c:v>July'26</c:v>
                </c:pt>
                <c:pt idx="4">
                  <c:v>Aug'26</c:v>
                </c:pt>
                <c:pt idx="5">
                  <c:v>Sep'26</c:v>
                </c:pt>
                <c:pt idx="6">
                  <c:v>Oct'26</c:v>
                </c:pt>
                <c:pt idx="7">
                  <c:v>Nov'26</c:v>
                </c:pt>
                <c:pt idx="8">
                  <c:v>Dec'26</c:v>
                </c:pt>
                <c:pt idx="9">
                  <c:v>Jan'27</c:v>
                </c:pt>
                <c:pt idx="10">
                  <c:v>Feb'27</c:v>
                </c:pt>
                <c:pt idx="11">
                  <c:v>Mar'27</c:v>
                </c:pt>
              </c:strCache>
            </c:strRef>
          </c:cat>
          <c:val>
            <c:numRef>
              <c:f>Tables!$D$468:$O$468</c:f>
              <c:numCache>
                <c:formatCode>0.000</c:formatCode>
                <c:ptCount val="12"/>
                <c:pt idx="0">
                  <c:v>6.8000000000000005E-2</c:v>
                </c:pt>
                <c:pt idx="1">
                  <c:v>7.0000000000000007E-2</c:v>
                </c:pt>
                <c:pt idx="2">
                  <c:v>6.8000000000000005E-2</c:v>
                </c:pt>
                <c:pt idx="3">
                  <c:v>7.0000000000000007E-2</c:v>
                </c:pt>
                <c:pt idx="4">
                  <c:v>7.0000000000000007E-2</c:v>
                </c:pt>
                <c:pt idx="5">
                  <c:v>6.8000000000000005E-2</c:v>
                </c:pt>
                <c:pt idx="6">
                  <c:v>7.0000000000000007E-2</c:v>
                </c:pt>
                <c:pt idx="7">
                  <c:v>6.8000000000000005E-2</c:v>
                </c:pt>
                <c:pt idx="8">
                  <c:v>7.0000000000000007E-2</c:v>
                </c:pt>
                <c:pt idx="9">
                  <c:v>7.0000000000000007E-2</c:v>
                </c:pt>
                <c:pt idx="10">
                  <c:v>6.4000000000000001E-2</c:v>
                </c:pt>
                <c:pt idx="11">
                  <c:v>7.0000000000000007E-2</c:v>
                </c:pt>
              </c:numCache>
            </c:numRef>
          </c:val>
          <c:extLst xmlns:c16r2="http://schemas.microsoft.com/office/drawing/2015/06/chart">
            <c:ext xmlns:c16="http://schemas.microsoft.com/office/drawing/2014/chart" uri="{C3380CC4-5D6E-409C-BE32-E72D297353CC}">
              <c16:uniqueId val="{00000002-E80F-47F4-8BE8-CCF77E4266DA}"/>
            </c:ext>
          </c:extLst>
        </c:ser>
        <c:ser>
          <c:idx val="1"/>
          <c:order val="1"/>
          <c:tx>
            <c:strRef>
              <c:f>Tables!$C$469</c:f>
              <c:strCache>
                <c:ptCount val="1"/>
                <c:pt idx="0">
                  <c:v>Actual</c:v>
                </c:pt>
              </c:strCache>
            </c:strRef>
          </c:tx>
          <c:spPr>
            <a:solidFill>
              <a:srgbClr val="00B050"/>
            </a:solidFill>
            <a:ln>
              <a:noFill/>
            </a:ln>
            <a:effectLst/>
          </c:spPr>
          <c:invertIfNegative val="0"/>
          <c:cat>
            <c:strRef>
              <c:f>Tables!$D$467:$O$467</c:f>
              <c:strCache>
                <c:ptCount val="12"/>
                <c:pt idx="0">
                  <c:v>Apr'26</c:v>
                </c:pt>
                <c:pt idx="1">
                  <c:v>May'26</c:v>
                </c:pt>
                <c:pt idx="2">
                  <c:v>June'26</c:v>
                </c:pt>
                <c:pt idx="3">
                  <c:v>July'26</c:v>
                </c:pt>
                <c:pt idx="4">
                  <c:v>Aug'26</c:v>
                </c:pt>
                <c:pt idx="5">
                  <c:v>Sep'26</c:v>
                </c:pt>
                <c:pt idx="6">
                  <c:v>Oct'26</c:v>
                </c:pt>
                <c:pt idx="7">
                  <c:v>Nov'26</c:v>
                </c:pt>
                <c:pt idx="8">
                  <c:v>Dec'26</c:v>
                </c:pt>
                <c:pt idx="9">
                  <c:v>Jan'27</c:v>
                </c:pt>
                <c:pt idx="10">
                  <c:v>Feb'27</c:v>
                </c:pt>
                <c:pt idx="11">
                  <c:v>Mar'27</c:v>
                </c:pt>
              </c:strCache>
            </c:strRef>
          </c:cat>
          <c:val>
            <c:numRef>
              <c:f>Tables!$D$469:$O$469</c:f>
              <c:numCache>
                <c:formatCode>0.000</c:formatCode>
                <c:ptCount val="12"/>
                <c:pt idx="0">
                  <c:v>3.7999999999999999E-2</c:v>
                </c:pt>
                <c:pt idx="1">
                  <c:v>4.3999999999999997E-2</c:v>
                </c:pt>
                <c:pt idx="2">
                  <c:v>6.7000000000000004E-2</c:v>
                </c:pt>
                <c:pt idx="3">
                  <c:v>5.3999999999999999E-2</c:v>
                </c:pt>
                <c:pt idx="4">
                  <c:v>7.0161706048396735E-2</c:v>
                </c:pt>
                <c:pt idx="5">
                  <c:v>0</c:v>
                </c:pt>
                <c:pt idx="6">
                  <c:v>0</c:v>
                </c:pt>
                <c:pt idx="7">
                  <c:v>0</c:v>
                </c:pt>
                <c:pt idx="8">
                  <c:v>0</c:v>
                </c:pt>
                <c:pt idx="9">
                  <c:v>0</c:v>
                </c:pt>
                <c:pt idx="10">
                  <c:v>0</c:v>
                </c:pt>
                <c:pt idx="11">
                  <c:v>0</c:v>
                </c:pt>
              </c:numCache>
            </c:numRef>
          </c:val>
          <c:extLst xmlns:c16r2="http://schemas.microsoft.com/office/drawing/2015/06/chart">
            <c:ext xmlns:c16="http://schemas.microsoft.com/office/drawing/2014/chart" uri="{C3380CC4-5D6E-409C-BE32-E72D297353CC}">
              <c16:uniqueId val="{00000004-E80F-47F4-8BE8-CCF77E4266DA}"/>
            </c:ext>
          </c:extLst>
        </c:ser>
        <c:dLbls>
          <c:showLegendKey val="0"/>
          <c:showVal val="0"/>
          <c:showCatName val="0"/>
          <c:showSerName val="0"/>
          <c:showPercent val="0"/>
          <c:showBubbleSize val="0"/>
        </c:dLbls>
        <c:gapWidth val="219"/>
        <c:axId val="1159208736"/>
        <c:axId val="1159208192"/>
      </c:barChart>
      <c:catAx>
        <c:axId val="11592087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59208192"/>
        <c:crosses val="autoZero"/>
        <c:auto val="1"/>
        <c:lblAlgn val="ctr"/>
        <c:lblOffset val="100"/>
        <c:noMultiLvlLbl val="0"/>
      </c:catAx>
      <c:valAx>
        <c:axId val="1159208192"/>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59208736"/>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1000" b="0" i="0" u="none" strike="noStrike" kern="1200" baseline="0">
                <a:solidFill>
                  <a:sysClr val="windowText" lastClr="000000"/>
                </a:solidFill>
                <a:latin typeface="+mn-lt"/>
                <a:ea typeface="+mn-ea"/>
                <a:cs typeface="+mn-cs"/>
              </a:defRPr>
            </a:pPr>
            <a:endParaRPr lang="en-US"/>
          </a:p>
        </c:txPr>
      </c:dTable>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n-US" sz="1800" b="1" i="0" u="none" strike="noStrike" kern="1200" spc="0" baseline="0">
                <a:solidFill>
                  <a:sysClr val="windowText" lastClr="000000"/>
                </a:solidFill>
                <a:effectLst/>
                <a:latin typeface="+mn-lt"/>
                <a:ea typeface="+mn-ea"/>
                <a:cs typeface="+mn-cs"/>
              </a:defRPr>
            </a:pPr>
            <a:r>
              <a:rPr lang="en-US" sz="1800" b="1" i="0" u="none" strike="noStrike" kern="1200" spc="0" baseline="0">
                <a:solidFill>
                  <a:sysClr val="windowText" lastClr="000000"/>
                </a:solidFill>
                <a:effectLst/>
                <a:latin typeface="+mn-lt"/>
                <a:ea typeface="+mn-ea"/>
                <a:cs typeface="+mn-cs"/>
              </a:rPr>
              <a:t>GPOC Oil Production(MMT)</a:t>
            </a:r>
          </a:p>
        </c:rich>
      </c:tx>
      <c:overlay val="0"/>
      <c:spPr>
        <a:noFill/>
        <a:ln>
          <a:noFill/>
        </a:ln>
        <a:effectLst/>
      </c:spPr>
    </c:title>
    <c:autoTitleDeleted val="0"/>
    <c:plotArea>
      <c:layout/>
      <c:barChart>
        <c:barDir val="col"/>
        <c:grouping val="clustered"/>
        <c:varyColors val="0"/>
        <c:ser>
          <c:idx val="0"/>
          <c:order val="0"/>
          <c:tx>
            <c:strRef>
              <c:f>Tables!$C$482</c:f>
              <c:strCache>
                <c:ptCount val="1"/>
                <c:pt idx="0">
                  <c:v>BE(MMT)</c:v>
                </c:pt>
              </c:strCache>
            </c:strRef>
          </c:tx>
          <c:spPr>
            <a:solidFill>
              <a:srgbClr val="92D050"/>
            </a:solidFill>
            <a:ln>
              <a:noFill/>
            </a:ln>
            <a:effectLst/>
          </c:spPr>
          <c:invertIfNegative val="0"/>
          <c:cat>
            <c:strRef>
              <c:f>Tables!$D$481:$O$481</c:f>
              <c:strCache>
                <c:ptCount val="12"/>
                <c:pt idx="0">
                  <c:v>Apr'26</c:v>
                </c:pt>
                <c:pt idx="1">
                  <c:v>May'26</c:v>
                </c:pt>
                <c:pt idx="2">
                  <c:v>June'26</c:v>
                </c:pt>
                <c:pt idx="3">
                  <c:v>July'26</c:v>
                </c:pt>
                <c:pt idx="4">
                  <c:v>Aug'26</c:v>
                </c:pt>
                <c:pt idx="5">
                  <c:v>Sep'26</c:v>
                </c:pt>
                <c:pt idx="6">
                  <c:v>Oct'26</c:v>
                </c:pt>
                <c:pt idx="7">
                  <c:v>Nov'26</c:v>
                </c:pt>
                <c:pt idx="8">
                  <c:v>Dec'26</c:v>
                </c:pt>
                <c:pt idx="9">
                  <c:v>Jan'27</c:v>
                </c:pt>
                <c:pt idx="10">
                  <c:v>Feb'27</c:v>
                </c:pt>
                <c:pt idx="11">
                  <c:v>Mar'27</c:v>
                </c:pt>
              </c:strCache>
            </c:strRef>
          </c:cat>
          <c:val>
            <c:numRef>
              <c:f>Tables!$D$482:$O$482</c:f>
              <c:numCache>
                <c:formatCode>0.000</c:formatCode>
                <c:ptCount val="12"/>
                <c:pt idx="0">
                  <c:v>5.3999999999999999E-2</c:v>
                </c:pt>
                <c:pt idx="1">
                  <c:v>5.6000000000000001E-2</c:v>
                </c:pt>
                <c:pt idx="2">
                  <c:v>5.3999999999999999E-2</c:v>
                </c:pt>
                <c:pt idx="3">
                  <c:v>5.5E-2</c:v>
                </c:pt>
                <c:pt idx="4">
                  <c:v>5.6000000000000001E-2</c:v>
                </c:pt>
                <c:pt idx="5">
                  <c:v>5.3999999999999999E-2</c:v>
                </c:pt>
                <c:pt idx="6">
                  <c:v>5.6000000000000001E-2</c:v>
                </c:pt>
                <c:pt idx="7">
                  <c:v>5.3999999999999999E-2</c:v>
                </c:pt>
                <c:pt idx="8">
                  <c:v>5.6000000000000001E-2</c:v>
                </c:pt>
                <c:pt idx="9">
                  <c:v>5.3999999999999999E-2</c:v>
                </c:pt>
                <c:pt idx="10">
                  <c:v>0.05</c:v>
                </c:pt>
                <c:pt idx="11">
                  <c:v>5.6000000000000001E-2</c:v>
                </c:pt>
              </c:numCache>
            </c:numRef>
          </c:val>
          <c:extLst xmlns:c16r2="http://schemas.microsoft.com/office/drawing/2015/06/chart">
            <c:ext xmlns:c16="http://schemas.microsoft.com/office/drawing/2014/chart" uri="{C3380CC4-5D6E-409C-BE32-E72D297353CC}">
              <c16:uniqueId val="{00000002-402B-4FEB-A794-B45DEC3768D3}"/>
            </c:ext>
          </c:extLst>
        </c:ser>
        <c:ser>
          <c:idx val="1"/>
          <c:order val="1"/>
          <c:tx>
            <c:strRef>
              <c:f>Tables!$C$483</c:f>
              <c:strCache>
                <c:ptCount val="1"/>
                <c:pt idx="0">
                  <c:v>Actual</c:v>
                </c:pt>
              </c:strCache>
            </c:strRef>
          </c:tx>
          <c:spPr>
            <a:solidFill>
              <a:srgbClr val="00B050"/>
            </a:solidFill>
            <a:ln>
              <a:noFill/>
            </a:ln>
            <a:effectLst/>
          </c:spPr>
          <c:invertIfNegative val="0"/>
          <c:cat>
            <c:strRef>
              <c:f>Tables!$D$481:$O$481</c:f>
              <c:strCache>
                <c:ptCount val="12"/>
                <c:pt idx="0">
                  <c:v>Apr'26</c:v>
                </c:pt>
                <c:pt idx="1">
                  <c:v>May'26</c:v>
                </c:pt>
                <c:pt idx="2">
                  <c:v>June'26</c:v>
                </c:pt>
                <c:pt idx="3">
                  <c:v>July'26</c:v>
                </c:pt>
                <c:pt idx="4">
                  <c:v>Aug'26</c:v>
                </c:pt>
                <c:pt idx="5">
                  <c:v>Sep'26</c:v>
                </c:pt>
                <c:pt idx="6">
                  <c:v>Oct'26</c:v>
                </c:pt>
                <c:pt idx="7">
                  <c:v>Nov'26</c:v>
                </c:pt>
                <c:pt idx="8">
                  <c:v>Dec'26</c:v>
                </c:pt>
                <c:pt idx="9">
                  <c:v>Jan'27</c:v>
                </c:pt>
                <c:pt idx="10">
                  <c:v>Feb'27</c:v>
                </c:pt>
                <c:pt idx="11">
                  <c:v>Mar'27</c:v>
                </c:pt>
              </c:strCache>
            </c:strRef>
          </c:cat>
          <c:val>
            <c:numRef>
              <c:f>Tables!$D$483:$O$483</c:f>
              <c:numCache>
                <c:formatCode>0.000</c:formatCode>
                <c:ptCount val="12"/>
                <c:pt idx="0">
                  <c:v>5.5E-2</c:v>
                </c:pt>
                <c:pt idx="1">
                  <c:v>5.7000000000000002E-2</c:v>
                </c:pt>
                <c:pt idx="2">
                  <c:v>5.1999999999999998E-2</c:v>
                </c:pt>
                <c:pt idx="3">
                  <c:v>5.8999999999999997E-2</c:v>
                </c:pt>
                <c:pt idx="4">
                  <c:v>5.741999622492916E-2</c:v>
                </c:pt>
                <c:pt idx="5">
                  <c:v>0</c:v>
                </c:pt>
                <c:pt idx="6">
                  <c:v>0</c:v>
                </c:pt>
                <c:pt idx="7">
                  <c:v>0</c:v>
                </c:pt>
                <c:pt idx="8">
                  <c:v>0</c:v>
                </c:pt>
                <c:pt idx="9">
                  <c:v>0</c:v>
                </c:pt>
                <c:pt idx="10">
                  <c:v>0</c:v>
                </c:pt>
                <c:pt idx="11">
                  <c:v>0</c:v>
                </c:pt>
              </c:numCache>
            </c:numRef>
          </c:val>
          <c:extLst xmlns:c16r2="http://schemas.microsoft.com/office/drawing/2015/06/chart">
            <c:ext xmlns:c16="http://schemas.microsoft.com/office/drawing/2014/chart" uri="{C3380CC4-5D6E-409C-BE32-E72D297353CC}">
              <c16:uniqueId val="{00000004-402B-4FEB-A794-B45DEC3768D3}"/>
            </c:ext>
          </c:extLst>
        </c:ser>
        <c:dLbls>
          <c:showLegendKey val="0"/>
          <c:showVal val="0"/>
          <c:showCatName val="0"/>
          <c:showSerName val="0"/>
          <c:showPercent val="0"/>
          <c:showBubbleSize val="0"/>
        </c:dLbls>
        <c:gapWidth val="219"/>
        <c:axId val="1159202208"/>
        <c:axId val="1159200032"/>
      </c:barChart>
      <c:catAx>
        <c:axId val="11592022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59200032"/>
        <c:crosses val="autoZero"/>
        <c:auto val="1"/>
        <c:lblAlgn val="ctr"/>
        <c:lblOffset val="100"/>
        <c:noMultiLvlLbl val="0"/>
      </c:catAx>
      <c:valAx>
        <c:axId val="1159200032"/>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59202208"/>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1000" b="0" i="0" u="none" strike="noStrike" kern="1200" baseline="0">
                <a:solidFill>
                  <a:sysClr val="windowText" lastClr="000000"/>
                </a:solidFill>
                <a:latin typeface="+mn-lt"/>
                <a:ea typeface="+mn-ea"/>
                <a:cs typeface="+mn-cs"/>
              </a:defRPr>
            </a:pPr>
            <a:endParaRPr lang="en-US"/>
          </a:p>
        </c:txPr>
      </c:dTable>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n-US" sz="1800" b="1" i="0" u="none" strike="noStrike" kern="1200" spc="0" baseline="0">
                <a:solidFill>
                  <a:sysClr val="windowText" lastClr="000000"/>
                </a:solidFill>
                <a:effectLst/>
                <a:latin typeface="+mn-lt"/>
                <a:ea typeface="+mn-ea"/>
                <a:cs typeface="+mn-cs"/>
              </a:defRPr>
            </a:pPr>
            <a:r>
              <a:rPr lang="en-US" sz="1800" b="1" i="0" u="none" strike="noStrike" kern="1200" spc="0" baseline="0">
                <a:solidFill>
                  <a:sysClr val="windowText" lastClr="000000"/>
                </a:solidFill>
                <a:effectLst/>
                <a:latin typeface="+mn-lt"/>
                <a:ea typeface="+mn-ea"/>
                <a:cs typeface="+mn-cs"/>
              </a:rPr>
              <a:t>SPOC Oil Production(MMT)</a:t>
            </a:r>
          </a:p>
        </c:rich>
      </c:tx>
      <c:overlay val="0"/>
      <c:spPr>
        <a:noFill/>
        <a:ln>
          <a:noFill/>
        </a:ln>
        <a:effectLst/>
      </c:spPr>
    </c:title>
    <c:autoTitleDeleted val="0"/>
    <c:plotArea>
      <c:layout/>
      <c:barChart>
        <c:barDir val="col"/>
        <c:grouping val="clustered"/>
        <c:varyColors val="0"/>
        <c:ser>
          <c:idx val="0"/>
          <c:order val="0"/>
          <c:tx>
            <c:strRef>
              <c:f>Tables!$C$496</c:f>
              <c:strCache>
                <c:ptCount val="1"/>
                <c:pt idx="0">
                  <c:v>BE(MMT)</c:v>
                </c:pt>
              </c:strCache>
            </c:strRef>
          </c:tx>
          <c:spPr>
            <a:solidFill>
              <a:srgbClr val="92D050"/>
            </a:solidFill>
            <a:ln>
              <a:noFill/>
            </a:ln>
            <a:effectLst/>
          </c:spPr>
          <c:invertIfNegative val="0"/>
          <c:cat>
            <c:strRef>
              <c:f>Tables!$D$495:$O$495</c:f>
              <c:strCache>
                <c:ptCount val="12"/>
                <c:pt idx="0">
                  <c:v>Apr'26</c:v>
                </c:pt>
                <c:pt idx="1">
                  <c:v>May'26</c:v>
                </c:pt>
                <c:pt idx="2">
                  <c:v>June'26</c:v>
                </c:pt>
                <c:pt idx="3">
                  <c:v>July'26</c:v>
                </c:pt>
                <c:pt idx="4">
                  <c:v>Aug'26</c:v>
                </c:pt>
                <c:pt idx="5">
                  <c:v>Sep'26</c:v>
                </c:pt>
                <c:pt idx="6">
                  <c:v>Oct'26</c:v>
                </c:pt>
                <c:pt idx="7">
                  <c:v>Nov'26</c:v>
                </c:pt>
                <c:pt idx="8">
                  <c:v>Dec'26</c:v>
                </c:pt>
                <c:pt idx="9">
                  <c:v>Jan'27</c:v>
                </c:pt>
                <c:pt idx="10">
                  <c:v>Feb'27</c:v>
                </c:pt>
                <c:pt idx="11">
                  <c:v>Mar'27</c:v>
                </c:pt>
              </c:strCache>
            </c:strRef>
          </c:cat>
          <c:val>
            <c:numRef>
              <c:f>Tables!$D$496:$O$496</c:f>
              <c:numCache>
                <c:formatCode>0.000</c:formatCode>
                <c:ptCount val="12"/>
                <c:pt idx="0">
                  <c:v>1.4E-2</c:v>
                </c:pt>
                <c:pt idx="1">
                  <c:v>1.4E-2</c:v>
                </c:pt>
                <c:pt idx="2">
                  <c:v>1.4E-2</c:v>
                </c:pt>
                <c:pt idx="3">
                  <c:v>1.4999999999999999E-2</c:v>
                </c:pt>
                <c:pt idx="4">
                  <c:v>1.4E-2</c:v>
                </c:pt>
                <c:pt idx="5">
                  <c:v>1.4E-2</c:v>
                </c:pt>
                <c:pt idx="6">
                  <c:v>1.4999999999999999E-2</c:v>
                </c:pt>
                <c:pt idx="7">
                  <c:v>1.4E-2</c:v>
                </c:pt>
                <c:pt idx="8">
                  <c:v>1.4999999999999999E-2</c:v>
                </c:pt>
                <c:pt idx="9">
                  <c:v>1.4E-2</c:v>
                </c:pt>
                <c:pt idx="10">
                  <c:v>1.2999999999999999E-2</c:v>
                </c:pt>
                <c:pt idx="11">
                  <c:v>1.4E-2</c:v>
                </c:pt>
              </c:numCache>
            </c:numRef>
          </c:val>
          <c:extLst xmlns:c16r2="http://schemas.microsoft.com/office/drawing/2015/06/chart">
            <c:ext xmlns:c16="http://schemas.microsoft.com/office/drawing/2014/chart" uri="{C3380CC4-5D6E-409C-BE32-E72D297353CC}">
              <c16:uniqueId val="{00000002-E88B-4F2B-8640-3DA6905F1535}"/>
            </c:ext>
          </c:extLst>
        </c:ser>
        <c:ser>
          <c:idx val="1"/>
          <c:order val="1"/>
          <c:tx>
            <c:strRef>
              <c:f>Tables!$C$497</c:f>
              <c:strCache>
                <c:ptCount val="1"/>
                <c:pt idx="0">
                  <c:v>Actual</c:v>
                </c:pt>
              </c:strCache>
            </c:strRef>
          </c:tx>
          <c:spPr>
            <a:solidFill>
              <a:srgbClr val="00B050"/>
            </a:solidFill>
            <a:ln>
              <a:noFill/>
            </a:ln>
            <a:effectLst/>
          </c:spPr>
          <c:invertIfNegative val="0"/>
          <c:cat>
            <c:strRef>
              <c:f>Tables!$D$495:$O$495</c:f>
              <c:strCache>
                <c:ptCount val="12"/>
                <c:pt idx="0">
                  <c:v>Apr'26</c:v>
                </c:pt>
                <c:pt idx="1">
                  <c:v>May'26</c:v>
                </c:pt>
                <c:pt idx="2">
                  <c:v>June'26</c:v>
                </c:pt>
                <c:pt idx="3">
                  <c:v>July'26</c:v>
                </c:pt>
                <c:pt idx="4">
                  <c:v>Aug'26</c:v>
                </c:pt>
                <c:pt idx="5">
                  <c:v>Sep'26</c:v>
                </c:pt>
                <c:pt idx="6">
                  <c:v>Oct'26</c:v>
                </c:pt>
                <c:pt idx="7">
                  <c:v>Nov'26</c:v>
                </c:pt>
                <c:pt idx="8">
                  <c:v>Dec'26</c:v>
                </c:pt>
                <c:pt idx="9">
                  <c:v>Jan'27</c:v>
                </c:pt>
                <c:pt idx="10">
                  <c:v>Feb'27</c:v>
                </c:pt>
                <c:pt idx="11">
                  <c:v>Mar'27</c:v>
                </c:pt>
              </c:strCache>
            </c:strRef>
          </c:cat>
          <c:val>
            <c:numRef>
              <c:f>Tables!$D$497:$O$497</c:f>
              <c:numCache>
                <c:formatCode>0.000</c:formatCode>
                <c:ptCount val="12"/>
                <c:pt idx="0">
                  <c:v>1.4E-2</c:v>
                </c:pt>
                <c:pt idx="1">
                  <c:v>1.4E-2</c:v>
                </c:pt>
                <c:pt idx="2">
                  <c:v>1.2999999999999999E-2</c:v>
                </c:pt>
                <c:pt idx="3">
                  <c:v>1.2999999999999999E-2</c:v>
                </c:pt>
                <c:pt idx="4">
                  <c:v>1.3550622111245282E-2</c:v>
                </c:pt>
                <c:pt idx="5">
                  <c:v>0</c:v>
                </c:pt>
                <c:pt idx="6">
                  <c:v>0</c:v>
                </c:pt>
                <c:pt idx="7">
                  <c:v>0</c:v>
                </c:pt>
                <c:pt idx="8">
                  <c:v>0</c:v>
                </c:pt>
                <c:pt idx="9">
                  <c:v>0</c:v>
                </c:pt>
                <c:pt idx="10">
                  <c:v>0</c:v>
                </c:pt>
                <c:pt idx="11">
                  <c:v>0</c:v>
                </c:pt>
              </c:numCache>
            </c:numRef>
          </c:val>
          <c:extLst xmlns:c16r2="http://schemas.microsoft.com/office/drawing/2015/06/chart">
            <c:ext xmlns:c16="http://schemas.microsoft.com/office/drawing/2014/chart" uri="{C3380CC4-5D6E-409C-BE32-E72D297353CC}">
              <c16:uniqueId val="{00000004-E88B-4F2B-8640-3DA6905F1535}"/>
            </c:ext>
          </c:extLst>
        </c:ser>
        <c:dLbls>
          <c:showLegendKey val="0"/>
          <c:showVal val="0"/>
          <c:showCatName val="0"/>
          <c:showSerName val="0"/>
          <c:showPercent val="0"/>
          <c:showBubbleSize val="0"/>
        </c:dLbls>
        <c:gapWidth val="219"/>
        <c:axId val="1159207104"/>
        <c:axId val="1159202752"/>
      </c:barChart>
      <c:catAx>
        <c:axId val="11592071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59202752"/>
        <c:crosses val="autoZero"/>
        <c:auto val="1"/>
        <c:lblAlgn val="ctr"/>
        <c:lblOffset val="100"/>
        <c:noMultiLvlLbl val="0"/>
      </c:catAx>
      <c:valAx>
        <c:axId val="1159202752"/>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59207104"/>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1000" b="0" i="0" u="none" strike="noStrike" kern="1200" baseline="0">
                <a:solidFill>
                  <a:sysClr val="windowText" lastClr="000000"/>
                </a:solidFill>
                <a:latin typeface="+mn-lt"/>
                <a:ea typeface="+mn-ea"/>
                <a:cs typeface="+mn-cs"/>
              </a:defRPr>
            </a:pPr>
            <a:endParaRPr lang="en-US"/>
          </a:p>
        </c:txPr>
      </c:dTable>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n-US" sz="1800" b="1" i="0" u="none" strike="noStrike" kern="1200" spc="0" baseline="0">
                <a:solidFill>
                  <a:sysClr val="windowText" lastClr="000000"/>
                </a:solidFill>
                <a:effectLst/>
                <a:latin typeface="+mn-lt"/>
                <a:ea typeface="+mn-ea"/>
                <a:cs typeface="+mn-cs"/>
              </a:defRPr>
            </a:pPr>
            <a:r>
              <a:rPr lang="en-US" sz="1800" b="1" i="0" u="none" strike="noStrike" kern="1200" spc="0" baseline="0">
                <a:solidFill>
                  <a:sysClr val="windowText" lastClr="000000"/>
                </a:solidFill>
                <a:effectLst/>
                <a:latin typeface="+mn-lt"/>
                <a:ea typeface="+mn-ea"/>
                <a:cs typeface="+mn-cs"/>
              </a:rPr>
              <a:t>B-06.1 Oil Production(MMT)</a:t>
            </a:r>
          </a:p>
        </c:rich>
      </c:tx>
      <c:overlay val="0"/>
      <c:spPr>
        <a:noFill/>
        <a:ln>
          <a:noFill/>
        </a:ln>
        <a:effectLst/>
      </c:spPr>
    </c:title>
    <c:autoTitleDeleted val="0"/>
    <c:plotArea>
      <c:layout/>
      <c:barChart>
        <c:barDir val="col"/>
        <c:grouping val="clustered"/>
        <c:varyColors val="0"/>
        <c:ser>
          <c:idx val="0"/>
          <c:order val="0"/>
          <c:tx>
            <c:strRef>
              <c:f>Tables!$C$510</c:f>
              <c:strCache>
                <c:ptCount val="1"/>
                <c:pt idx="0">
                  <c:v>BE(MMT)</c:v>
                </c:pt>
              </c:strCache>
            </c:strRef>
          </c:tx>
          <c:spPr>
            <a:solidFill>
              <a:srgbClr val="92D050"/>
            </a:solidFill>
            <a:ln>
              <a:noFill/>
            </a:ln>
            <a:effectLst/>
          </c:spPr>
          <c:invertIfNegative val="0"/>
          <c:cat>
            <c:strRef>
              <c:f>Tables!$D$509:$O$509</c:f>
              <c:strCache>
                <c:ptCount val="12"/>
                <c:pt idx="0">
                  <c:v>Apr'26</c:v>
                </c:pt>
                <c:pt idx="1">
                  <c:v>May'26</c:v>
                </c:pt>
                <c:pt idx="2">
                  <c:v>June'26</c:v>
                </c:pt>
                <c:pt idx="3">
                  <c:v>July'26</c:v>
                </c:pt>
                <c:pt idx="4">
                  <c:v>Aug'26</c:v>
                </c:pt>
                <c:pt idx="5">
                  <c:v>Sep'26</c:v>
                </c:pt>
                <c:pt idx="6">
                  <c:v>Oct'26</c:v>
                </c:pt>
                <c:pt idx="7">
                  <c:v>Nov'26</c:v>
                </c:pt>
                <c:pt idx="8">
                  <c:v>Dec'26</c:v>
                </c:pt>
                <c:pt idx="9">
                  <c:v>Jan'27</c:v>
                </c:pt>
                <c:pt idx="10">
                  <c:v>Feb'27</c:v>
                </c:pt>
                <c:pt idx="11">
                  <c:v>Mar'27</c:v>
                </c:pt>
              </c:strCache>
            </c:strRef>
          </c:cat>
          <c:val>
            <c:numRef>
              <c:f>Tables!$D$510:$O$510</c:f>
              <c:numCache>
                <c:formatCode>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xmlns:c16r2="http://schemas.microsoft.com/office/drawing/2015/06/chart">
            <c:ext xmlns:c16="http://schemas.microsoft.com/office/drawing/2014/chart" uri="{C3380CC4-5D6E-409C-BE32-E72D297353CC}">
              <c16:uniqueId val="{00000002-72DF-4988-99B7-E4CA40099E18}"/>
            </c:ext>
          </c:extLst>
        </c:ser>
        <c:ser>
          <c:idx val="1"/>
          <c:order val="1"/>
          <c:tx>
            <c:strRef>
              <c:f>Tables!$C$511</c:f>
              <c:strCache>
                <c:ptCount val="1"/>
                <c:pt idx="0">
                  <c:v>Actual</c:v>
                </c:pt>
              </c:strCache>
            </c:strRef>
          </c:tx>
          <c:spPr>
            <a:solidFill>
              <a:srgbClr val="00B050"/>
            </a:solidFill>
            <a:ln>
              <a:noFill/>
            </a:ln>
            <a:effectLst/>
          </c:spPr>
          <c:invertIfNegative val="0"/>
          <c:cat>
            <c:strRef>
              <c:f>Tables!$D$509:$O$509</c:f>
              <c:strCache>
                <c:ptCount val="12"/>
                <c:pt idx="0">
                  <c:v>Apr'26</c:v>
                </c:pt>
                <c:pt idx="1">
                  <c:v>May'26</c:v>
                </c:pt>
                <c:pt idx="2">
                  <c:v>June'26</c:v>
                </c:pt>
                <c:pt idx="3">
                  <c:v>July'26</c:v>
                </c:pt>
                <c:pt idx="4">
                  <c:v>Aug'26</c:v>
                </c:pt>
                <c:pt idx="5">
                  <c:v>Sep'26</c:v>
                </c:pt>
                <c:pt idx="6">
                  <c:v>Oct'26</c:v>
                </c:pt>
                <c:pt idx="7">
                  <c:v>Nov'26</c:v>
                </c:pt>
                <c:pt idx="8">
                  <c:v>Dec'26</c:v>
                </c:pt>
                <c:pt idx="9">
                  <c:v>Jan'27</c:v>
                </c:pt>
                <c:pt idx="10">
                  <c:v>Feb'27</c:v>
                </c:pt>
                <c:pt idx="11">
                  <c:v>Mar'27</c:v>
                </c:pt>
              </c:strCache>
            </c:strRef>
          </c:cat>
          <c:val>
            <c:numRef>
              <c:f>Tables!$D$511:$O$511</c:f>
              <c:numCache>
                <c:formatCode>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xmlns:c16r2="http://schemas.microsoft.com/office/drawing/2015/06/chart">
            <c:ext xmlns:c16="http://schemas.microsoft.com/office/drawing/2014/chart" uri="{C3380CC4-5D6E-409C-BE32-E72D297353CC}">
              <c16:uniqueId val="{00000004-72DF-4988-99B7-E4CA40099E18}"/>
            </c:ext>
          </c:extLst>
        </c:ser>
        <c:dLbls>
          <c:showLegendKey val="0"/>
          <c:showVal val="0"/>
          <c:showCatName val="0"/>
          <c:showSerName val="0"/>
          <c:showPercent val="0"/>
          <c:showBubbleSize val="0"/>
        </c:dLbls>
        <c:gapWidth val="219"/>
        <c:axId val="1159216896"/>
        <c:axId val="1159188608"/>
      </c:barChart>
      <c:catAx>
        <c:axId val="11592168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59188608"/>
        <c:crosses val="autoZero"/>
        <c:auto val="1"/>
        <c:lblAlgn val="ctr"/>
        <c:lblOffset val="100"/>
        <c:noMultiLvlLbl val="0"/>
      </c:catAx>
      <c:valAx>
        <c:axId val="1159188608"/>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59216896"/>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1000" b="0" i="0" u="none" strike="noStrike" kern="1200" baseline="0">
                <a:solidFill>
                  <a:sysClr val="windowText" lastClr="000000"/>
                </a:solidFill>
                <a:latin typeface="+mn-lt"/>
                <a:ea typeface="+mn-ea"/>
                <a:cs typeface="+mn-cs"/>
              </a:defRPr>
            </a:pPr>
            <a:endParaRPr lang="en-US"/>
          </a:p>
        </c:txPr>
      </c:dTable>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US" sz="1800" b="1" i="0" u="none" strike="noStrike" baseline="0">
                <a:effectLst/>
              </a:rPr>
              <a:t>Sakhalin-1 Gas Production(BCM)</a:t>
            </a:r>
            <a:endParaRPr lang="en-US" sz="1800"/>
          </a:p>
        </c:rich>
      </c:tx>
      <c:overlay val="0"/>
      <c:spPr>
        <a:noFill/>
        <a:ln>
          <a:noFill/>
        </a:ln>
        <a:effectLst/>
      </c:spPr>
    </c:title>
    <c:autoTitleDeleted val="0"/>
    <c:plotArea>
      <c:layout/>
      <c:barChart>
        <c:barDir val="col"/>
        <c:grouping val="clustered"/>
        <c:varyColors val="0"/>
        <c:ser>
          <c:idx val="0"/>
          <c:order val="0"/>
          <c:tx>
            <c:strRef>
              <c:f>Tables!$C$532</c:f>
              <c:strCache>
                <c:ptCount val="1"/>
                <c:pt idx="0">
                  <c:v>BE(BCM)</c:v>
                </c:pt>
              </c:strCache>
            </c:strRef>
          </c:tx>
          <c:spPr>
            <a:solidFill>
              <a:schemeClr val="accent2">
                <a:lumMod val="40000"/>
                <a:lumOff val="60000"/>
              </a:schemeClr>
            </a:solidFill>
            <a:ln>
              <a:noFill/>
            </a:ln>
            <a:effectLst/>
          </c:spPr>
          <c:invertIfNegative val="0"/>
          <c:cat>
            <c:strRef>
              <c:f>Tables!$D$531:$O$531</c:f>
              <c:strCache>
                <c:ptCount val="12"/>
                <c:pt idx="0">
                  <c:v>Apr'26</c:v>
                </c:pt>
                <c:pt idx="1">
                  <c:v>May'26</c:v>
                </c:pt>
                <c:pt idx="2">
                  <c:v>June'26</c:v>
                </c:pt>
                <c:pt idx="3">
                  <c:v>July'26</c:v>
                </c:pt>
                <c:pt idx="4">
                  <c:v>Aug'26</c:v>
                </c:pt>
                <c:pt idx="5">
                  <c:v>Sep'26</c:v>
                </c:pt>
                <c:pt idx="6">
                  <c:v>Oct'26</c:v>
                </c:pt>
                <c:pt idx="7">
                  <c:v>Nov'26</c:v>
                </c:pt>
                <c:pt idx="8">
                  <c:v>Dec'26</c:v>
                </c:pt>
                <c:pt idx="9">
                  <c:v>Jan'27</c:v>
                </c:pt>
                <c:pt idx="10">
                  <c:v>Feb'27</c:v>
                </c:pt>
                <c:pt idx="11">
                  <c:v>Mar'27</c:v>
                </c:pt>
              </c:strCache>
            </c:strRef>
          </c:cat>
          <c:val>
            <c:numRef>
              <c:f>Tables!$D$532:$O$532</c:f>
              <c:numCache>
                <c:formatCode>0.000</c:formatCode>
                <c:ptCount val="12"/>
                <c:pt idx="0">
                  <c:v>4.9000000000000002E-2</c:v>
                </c:pt>
                <c:pt idx="1">
                  <c:v>0.05</c:v>
                </c:pt>
                <c:pt idx="2">
                  <c:v>4.8000000000000001E-2</c:v>
                </c:pt>
                <c:pt idx="3">
                  <c:v>5.0999999999999997E-2</c:v>
                </c:pt>
                <c:pt idx="4">
                  <c:v>0.05</c:v>
                </c:pt>
                <c:pt idx="5">
                  <c:v>4.9000000000000002E-2</c:v>
                </c:pt>
                <c:pt idx="6">
                  <c:v>5.1999999999999998E-2</c:v>
                </c:pt>
                <c:pt idx="7">
                  <c:v>5.2999999999999999E-2</c:v>
                </c:pt>
                <c:pt idx="8">
                  <c:v>5.3999999999999999E-2</c:v>
                </c:pt>
                <c:pt idx="9">
                  <c:v>5.6000000000000001E-2</c:v>
                </c:pt>
                <c:pt idx="10">
                  <c:v>5.0999999999999997E-2</c:v>
                </c:pt>
                <c:pt idx="11">
                  <c:v>5.6000000000000001E-2</c:v>
                </c:pt>
              </c:numCache>
            </c:numRef>
          </c:val>
          <c:extLst xmlns:c16r2="http://schemas.microsoft.com/office/drawing/2015/06/chart">
            <c:ext xmlns:c16="http://schemas.microsoft.com/office/drawing/2014/chart" uri="{C3380CC4-5D6E-409C-BE32-E72D297353CC}">
              <c16:uniqueId val="{00000002-055B-4651-90AE-5F0D916FE3EE}"/>
            </c:ext>
          </c:extLst>
        </c:ser>
        <c:ser>
          <c:idx val="1"/>
          <c:order val="1"/>
          <c:tx>
            <c:strRef>
              <c:f>Tables!$C$533</c:f>
              <c:strCache>
                <c:ptCount val="1"/>
                <c:pt idx="0">
                  <c:v>Actual</c:v>
                </c:pt>
              </c:strCache>
            </c:strRef>
          </c:tx>
          <c:spPr>
            <a:solidFill>
              <a:schemeClr val="accent2">
                <a:lumMod val="75000"/>
              </a:schemeClr>
            </a:solidFill>
            <a:ln>
              <a:noFill/>
            </a:ln>
            <a:effectLst/>
          </c:spPr>
          <c:invertIfNegative val="0"/>
          <c:cat>
            <c:strRef>
              <c:f>Tables!$D$531:$O$531</c:f>
              <c:strCache>
                <c:ptCount val="12"/>
                <c:pt idx="0">
                  <c:v>Apr'26</c:v>
                </c:pt>
                <c:pt idx="1">
                  <c:v>May'26</c:v>
                </c:pt>
                <c:pt idx="2">
                  <c:v>June'26</c:v>
                </c:pt>
                <c:pt idx="3">
                  <c:v>July'26</c:v>
                </c:pt>
                <c:pt idx="4">
                  <c:v>Aug'26</c:v>
                </c:pt>
                <c:pt idx="5">
                  <c:v>Sep'26</c:v>
                </c:pt>
                <c:pt idx="6">
                  <c:v>Oct'26</c:v>
                </c:pt>
                <c:pt idx="7">
                  <c:v>Nov'26</c:v>
                </c:pt>
                <c:pt idx="8">
                  <c:v>Dec'26</c:v>
                </c:pt>
                <c:pt idx="9">
                  <c:v>Jan'27</c:v>
                </c:pt>
                <c:pt idx="10">
                  <c:v>Feb'27</c:v>
                </c:pt>
                <c:pt idx="11">
                  <c:v>Mar'27</c:v>
                </c:pt>
              </c:strCache>
            </c:strRef>
          </c:cat>
          <c:val>
            <c:numRef>
              <c:f>Tables!$D$533:$O$533</c:f>
              <c:numCache>
                <c:formatCode>0.000</c:formatCode>
                <c:ptCount val="12"/>
                <c:pt idx="0">
                  <c:v>5.8000000000000003E-2</c:v>
                </c:pt>
                <c:pt idx="1">
                  <c:v>5.1999999999999998E-2</c:v>
                </c:pt>
                <c:pt idx="2">
                  <c:v>4.5999999999999999E-2</c:v>
                </c:pt>
                <c:pt idx="3">
                  <c:v>4.5999999999999999E-2</c:v>
                </c:pt>
                <c:pt idx="4">
                  <c:v>4.2928371854780031E-2</c:v>
                </c:pt>
                <c:pt idx="5">
                  <c:v>0</c:v>
                </c:pt>
                <c:pt idx="6">
                  <c:v>0</c:v>
                </c:pt>
                <c:pt idx="7">
                  <c:v>0</c:v>
                </c:pt>
                <c:pt idx="8">
                  <c:v>0</c:v>
                </c:pt>
                <c:pt idx="9">
                  <c:v>0</c:v>
                </c:pt>
                <c:pt idx="10">
                  <c:v>0</c:v>
                </c:pt>
                <c:pt idx="11">
                  <c:v>0</c:v>
                </c:pt>
              </c:numCache>
            </c:numRef>
          </c:val>
          <c:extLst xmlns:c16r2="http://schemas.microsoft.com/office/drawing/2015/06/chart">
            <c:ext xmlns:c16="http://schemas.microsoft.com/office/drawing/2014/chart" uri="{C3380CC4-5D6E-409C-BE32-E72D297353CC}">
              <c16:uniqueId val="{00000004-055B-4651-90AE-5F0D916FE3EE}"/>
            </c:ext>
          </c:extLst>
        </c:ser>
        <c:dLbls>
          <c:showLegendKey val="0"/>
          <c:showVal val="0"/>
          <c:showCatName val="0"/>
          <c:showSerName val="0"/>
          <c:showPercent val="0"/>
          <c:showBubbleSize val="0"/>
        </c:dLbls>
        <c:gapWidth val="219"/>
        <c:axId val="1159194592"/>
        <c:axId val="1159203296"/>
      </c:barChart>
      <c:catAx>
        <c:axId val="1159194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59203296"/>
        <c:crosses val="autoZero"/>
        <c:auto val="1"/>
        <c:lblAlgn val="ctr"/>
        <c:lblOffset val="100"/>
        <c:noMultiLvlLbl val="0"/>
      </c:catAx>
      <c:valAx>
        <c:axId val="1159203296"/>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59194592"/>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1000" b="0" i="0" u="none" strike="noStrike" kern="1200" baseline="0">
                <a:solidFill>
                  <a:sysClr val="windowText" lastClr="000000"/>
                </a:solidFill>
                <a:latin typeface="+mn-lt"/>
                <a:ea typeface="+mn-ea"/>
                <a:cs typeface="+mn-cs"/>
              </a:defRPr>
            </a:pPr>
            <a:endParaRPr lang="en-US"/>
          </a:p>
        </c:txPr>
      </c:dTable>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US" sz="1800" b="1" i="0" baseline="0">
                <a:effectLst/>
              </a:rPr>
              <a:t>Vankor Gas Production(BCM)</a:t>
            </a:r>
            <a:endParaRPr lang="en-US">
              <a:effectLst/>
            </a:endParaRPr>
          </a:p>
        </c:rich>
      </c:tx>
      <c:overlay val="0"/>
      <c:spPr>
        <a:noFill/>
        <a:ln>
          <a:noFill/>
        </a:ln>
        <a:effectLst/>
      </c:spPr>
    </c:title>
    <c:autoTitleDeleted val="0"/>
    <c:plotArea>
      <c:layout/>
      <c:barChart>
        <c:barDir val="col"/>
        <c:grouping val="clustered"/>
        <c:varyColors val="0"/>
        <c:ser>
          <c:idx val="0"/>
          <c:order val="0"/>
          <c:tx>
            <c:strRef>
              <c:f>Tables!$C$546</c:f>
              <c:strCache>
                <c:ptCount val="1"/>
                <c:pt idx="0">
                  <c:v>BE(BCM)</c:v>
                </c:pt>
              </c:strCache>
            </c:strRef>
          </c:tx>
          <c:spPr>
            <a:solidFill>
              <a:schemeClr val="accent2">
                <a:lumMod val="40000"/>
                <a:lumOff val="60000"/>
              </a:schemeClr>
            </a:solidFill>
            <a:ln>
              <a:noFill/>
            </a:ln>
            <a:effectLst/>
          </c:spPr>
          <c:invertIfNegative val="0"/>
          <c:cat>
            <c:strRef>
              <c:f>Tables!$D$545:$O$545</c:f>
              <c:strCache>
                <c:ptCount val="12"/>
                <c:pt idx="0">
                  <c:v>Apr'26</c:v>
                </c:pt>
                <c:pt idx="1">
                  <c:v>May'26</c:v>
                </c:pt>
                <c:pt idx="2">
                  <c:v>June'26</c:v>
                </c:pt>
                <c:pt idx="3">
                  <c:v>July'26</c:v>
                </c:pt>
                <c:pt idx="4">
                  <c:v>Aug'26</c:v>
                </c:pt>
                <c:pt idx="5">
                  <c:v>Sep'26</c:v>
                </c:pt>
                <c:pt idx="6">
                  <c:v>Oct'26</c:v>
                </c:pt>
                <c:pt idx="7">
                  <c:v>Nov'26</c:v>
                </c:pt>
                <c:pt idx="8">
                  <c:v>Dec'26</c:v>
                </c:pt>
                <c:pt idx="9">
                  <c:v>Jan'27</c:v>
                </c:pt>
                <c:pt idx="10">
                  <c:v>Feb'27</c:v>
                </c:pt>
                <c:pt idx="11">
                  <c:v>Mar'27</c:v>
                </c:pt>
              </c:strCache>
            </c:strRef>
          </c:cat>
          <c:val>
            <c:numRef>
              <c:f>Tables!$D$546:$O$546</c:f>
              <c:numCache>
                <c:formatCode>0.000</c:formatCode>
                <c:ptCount val="12"/>
                <c:pt idx="0">
                  <c:v>6.6000000000000003E-2</c:v>
                </c:pt>
                <c:pt idx="1">
                  <c:v>6.8000000000000005E-2</c:v>
                </c:pt>
                <c:pt idx="2">
                  <c:v>6.6000000000000003E-2</c:v>
                </c:pt>
                <c:pt idx="3">
                  <c:v>6.8000000000000005E-2</c:v>
                </c:pt>
                <c:pt idx="4">
                  <c:v>6.8000000000000005E-2</c:v>
                </c:pt>
                <c:pt idx="5">
                  <c:v>6.6000000000000003E-2</c:v>
                </c:pt>
                <c:pt idx="6">
                  <c:v>6.794520547945207E-2</c:v>
                </c:pt>
                <c:pt idx="7">
                  <c:v>6.6000000000000003E-2</c:v>
                </c:pt>
                <c:pt idx="8">
                  <c:v>6.8000000000000005E-2</c:v>
                </c:pt>
                <c:pt idx="9">
                  <c:v>6.8000000000000005E-2</c:v>
                </c:pt>
                <c:pt idx="10">
                  <c:v>0.06</c:v>
                </c:pt>
                <c:pt idx="11">
                  <c:v>6.8000000000000005E-2</c:v>
                </c:pt>
              </c:numCache>
            </c:numRef>
          </c:val>
          <c:extLst xmlns:c16r2="http://schemas.microsoft.com/office/drawing/2015/06/chart">
            <c:ext xmlns:c16="http://schemas.microsoft.com/office/drawing/2014/chart" uri="{C3380CC4-5D6E-409C-BE32-E72D297353CC}">
              <c16:uniqueId val="{00000002-A716-4731-9EBE-660489874DF2}"/>
            </c:ext>
          </c:extLst>
        </c:ser>
        <c:ser>
          <c:idx val="1"/>
          <c:order val="1"/>
          <c:tx>
            <c:strRef>
              <c:f>Tables!$C$547</c:f>
              <c:strCache>
                <c:ptCount val="1"/>
                <c:pt idx="0">
                  <c:v>Actual</c:v>
                </c:pt>
              </c:strCache>
            </c:strRef>
          </c:tx>
          <c:spPr>
            <a:solidFill>
              <a:schemeClr val="accent2">
                <a:lumMod val="75000"/>
              </a:schemeClr>
            </a:solidFill>
            <a:ln>
              <a:noFill/>
            </a:ln>
            <a:effectLst/>
          </c:spPr>
          <c:invertIfNegative val="0"/>
          <c:cat>
            <c:strRef>
              <c:f>Tables!$D$545:$O$545</c:f>
              <c:strCache>
                <c:ptCount val="12"/>
                <c:pt idx="0">
                  <c:v>Apr'26</c:v>
                </c:pt>
                <c:pt idx="1">
                  <c:v>May'26</c:v>
                </c:pt>
                <c:pt idx="2">
                  <c:v>June'26</c:v>
                </c:pt>
                <c:pt idx="3">
                  <c:v>July'26</c:v>
                </c:pt>
                <c:pt idx="4">
                  <c:v>Aug'26</c:v>
                </c:pt>
                <c:pt idx="5">
                  <c:v>Sep'26</c:v>
                </c:pt>
                <c:pt idx="6">
                  <c:v>Oct'26</c:v>
                </c:pt>
                <c:pt idx="7">
                  <c:v>Nov'26</c:v>
                </c:pt>
                <c:pt idx="8">
                  <c:v>Dec'26</c:v>
                </c:pt>
                <c:pt idx="9">
                  <c:v>Jan'27</c:v>
                </c:pt>
                <c:pt idx="10">
                  <c:v>Feb'27</c:v>
                </c:pt>
                <c:pt idx="11">
                  <c:v>Mar'27</c:v>
                </c:pt>
              </c:strCache>
            </c:strRef>
          </c:cat>
          <c:val>
            <c:numRef>
              <c:f>Tables!$D$547:$O$547</c:f>
              <c:numCache>
                <c:formatCode>0.000</c:formatCode>
                <c:ptCount val="12"/>
                <c:pt idx="0">
                  <c:v>7.8E-2</c:v>
                </c:pt>
                <c:pt idx="1">
                  <c:v>0.08</c:v>
                </c:pt>
                <c:pt idx="2">
                  <c:v>7.5999999999999998E-2</c:v>
                </c:pt>
                <c:pt idx="3">
                  <c:v>7.0999999999999994E-2</c:v>
                </c:pt>
                <c:pt idx="4">
                  <c:v>8.1634172359999979E-2</c:v>
                </c:pt>
                <c:pt idx="5">
                  <c:v>0</c:v>
                </c:pt>
                <c:pt idx="6">
                  <c:v>0</c:v>
                </c:pt>
                <c:pt idx="7">
                  <c:v>0</c:v>
                </c:pt>
                <c:pt idx="8">
                  <c:v>0</c:v>
                </c:pt>
                <c:pt idx="9">
                  <c:v>0</c:v>
                </c:pt>
                <c:pt idx="10">
                  <c:v>0</c:v>
                </c:pt>
                <c:pt idx="11">
                  <c:v>0</c:v>
                </c:pt>
              </c:numCache>
            </c:numRef>
          </c:val>
          <c:extLst xmlns:c16r2="http://schemas.microsoft.com/office/drawing/2015/06/chart">
            <c:ext xmlns:c16="http://schemas.microsoft.com/office/drawing/2014/chart" uri="{C3380CC4-5D6E-409C-BE32-E72D297353CC}">
              <c16:uniqueId val="{00000004-A716-4731-9EBE-660489874DF2}"/>
            </c:ext>
          </c:extLst>
        </c:ser>
        <c:dLbls>
          <c:showLegendKey val="0"/>
          <c:showVal val="0"/>
          <c:showCatName val="0"/>
          <c:showSerName val="0"/>
          <c:showPercent val="0"/>
          <c:showBubbleSize val="0"/>
        </c:dLbls>
        <c:gapWidth val="219"/>
        <c:axId val="1159196768"/>
        <c:axId val="1159220160"/>
      </c:barChart>
      <c:catAx>
        <c:axId val="11591967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59220160"/>
        <c:crosses val="autoZero"/>
        <c:auto val="1"/>
        <c:lblAlgn val="ctr"/>
        <c:lblOffset val="100"/>
        <c:noMultiLvlLbl val="0"/>
      </c:catAx>
      <c:valAx>
        <c:axId val="1159220160"/>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59196768"/>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1000" b="0" i="0" u="none" strike="noStrike" kern="1200" baseline="0">
                <a:solidFill>
                  <a:sysClr val="windowText" lastClr="000000"/>
                </a:solidFill>
                <a:latin typeface="+mn-lt"/>
                <a:ea typeface="+mn-ea"/>
                <a:cs typeface="+mn-cs"/>
              </a:defRPr>
            </a:pPr>
            <a:endParaRPr lang="en-US"/>
          </a:p>
        </c:txPr>
      </c:dTable>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US" sz="1800" b="1" i="0" baseline="0">
                <a:effectLst/>
              </a:rPr>
              <a:t>Imperial Energy Gas Production(BCM)</a:t>
            </a:r>
            <a:endParaRPr lang="en-US">
              <a:effectLst/>
            </a:endParaRPr>
          </a:p>
        </c:rich>
      </c:tx>
      <c:overlay val="0"/>
      <c:spPr>
        <a:noFill/>
        <a:ln>
          <a:noFill/>
        </a:ln>
        <a:effectLst/>
      </c:spPr>
    </c:title>
    <c:autoTitleDeleted val="0"/>
    <c:plotArea>
      <c:layout/>
      <c:barChart>
        <c:barDir val="col"/>
        <c:grouping val="clustered"/>
        <c:varyColors val="0"/>
        <c:ser>
          <c:idx val="0"/>
          <c:order val="0"/>
          <c:tx>
            <c:strRef>
              <c:f>Tables!$C$560</c:f>
              <c:strCache>
                <c:ptCount val="1"/>
                <c:pt idx="0">
                  <c:v>BE(BCM)</c:v>
                </c:pt>
              </c:strCache>
            </c:strRef>
          </c:tx>
          <c:spPr>
            <a:solidFill>
              <a:schemeClr val="accent2">
                <a:lumMod val="40000"/>
                <a:lumOff val="60000"/>
              </a:schemeClr>
            </a:solidFill>
            <a:ln>
              <a:noFill/>
            </a:ln>
            <a:effectLst/>
          </c:spPr>
          <c:invertIfNegative val="0"/>
          <c:cat>
            <c:strRef>
              <c:f>Tables!$D$559:$O$559</c:f>
              <c:strCache>
                <c:ptCount val="12"/>
                <c:pt idx="0">
                  <c:v>Apr'26</c:v>
                </c:pt>
                <c:pt idx="1">
                  <c:v>May'26</c:v>
                </c:pt>
                <c:pt idx="2">
                  <c:v>June'26</c:v>
                </c:pt>
                <c:pt idx="3">
                  <c:v>July'26</c:v>
                </c:pt>
                <c:pt idx="4">
                  <c:v>Aug'26</c:v>
                </c:pt>
                <c:pt idx="5">
                  <c:v>Sep'26</c:v>
                </c:pt>
                <c:pt idx="6">
                  <c:v>Oct'26</c:v>
                </c:pt>
                <c:pt idx="7">
                  <c:v>Nov'26</c:v>
                </c:pt>
                <c:pt idx="8">
                  <c:v>Dec'26</c:v>
                </c:pt>
                <c:pt idx="9">
                  <c:v>Jan'27</c:v>
                </c:pt>
                <c:pt idx="10">
                  <c:v>Feb'27</c:v>
                </c:pt>
                <c:pt idx="11">
                  <c:v>Mar'27</c:v>
                </c:pt>
              </c:strCache>
            </c:strRef>
          </c:cat>
          <c:val>
            <c:numRef>
              <c:f>Tables!$D$560:$O$560</c:f>
              <c:numCache>
                <c:formatCode>0.000</c:formatCode>
                <c:ptCount val="12"/>
                <c:pt idx="0">
                  <c:v>8.0000000000000002E-3</c:v>
                </c:pt>
                <c:pt idx="1">
                  <c:v>8.0000000000000002E-3</c:v>
                </c:pt>
                <c:pt idx="2">
                  <c:v>8.0000000000000002E-3</c:v>
                </c:pt>
                <c:pt idx="3">
                  <c:v>8.0000000000000002E-3</c:v>
                </c:pt>
                <c:pt idx="4">
                  <c:v>8.0000000000000002E-3</c:v>
                </c:pt>
                <c:pt idx="5">
                  <c:v>8.0000000000000002E-3</c:v>
                </c:pt>
                <c:pt idx="6">
                  <c:v>7.9835616438356169E-3</c:v>
                </c:pt>
                <c:pt idx="7">
                  <c:v>8.0000000000000002E-3</c:v>
                </c:pt>
                <c:pt idx="8">
                  <c:v>8.0000000000000002E-3</c:v>
                </c:pt>
                <c:pt idx="9">
                  <c:v>8.0000000000000002E-3</c:v>
                </c:pt>
                <c:pt idx="10">
                  <c:v>6.0000000000000001E-3</c:v>
                </c:pt>
                <c:pt idx="11">
                  <c:v>8.0000000000000002E-3</c:v>
                </c:pt>
              </c:numCache>
            </c:numRef>
          </c:val>
          <c:extLst xmlns:c16r2="http://schemas.microsoft.com/office/drawing/2015/06/chart">
            <c:ext xmlns:c16="http://schemas.microsoft.com/office/drawing/2014/chart" uri="{C3380CC4-5D6E-409C-BE32-E72D297353CC}">
              <c16:uniqueId val="{00000002-C1F9-4196-9505-D06CA52FA521}"/>
            </c:ext>
          </c:extLst>
        </c:ser>
        <c:ser>
          <c:idx val="1"/>
          <c:order val="1"/>
          <c:tx>
            <c:strRef>
              <c:f>Tables!$C$561</c:f>
              <c:strCache>
                <c:ptCount val="1"/>
                <c:pt idx="0">
                  <c:v>Actual</c:v>
                </c:pt>
              </c:strCache>
            </c:strRef>
          </c:tx>
          <c:spPr>
            <a:solidFill>
              <a:schemeClr val="accent2">
                <a:lumMod val="75000"/>
              </a:schemeClr>
            </a:solidFill>
            <a:ln>
              <a:noFill/>
            </a:ln>
            <a:effectLst/>
          </c:spPr>
          <c:invertIfNegative val="0"/>
          <c:cat>
            <c:strRef>
              <c:f>Tables!$D$559:$O$559</c:f>
              <c:strCache>
                <c:ptCount val="12"/>
                <c:pt idx="0">
                  <c:v>Apr'26</c:v>
                </c:pt>
                <c:pt idx="1">
                  <c:v>May'26</c:v>
                </c:pt>
                <c:pt idx="2">
                  <c:v>June'26</c:v>
                </c:pt>
                <c:pt idx="3">
                  <c:v>July'26</c:v>
                </c:pt>
                <c:pt idx="4">
                  <c:v>Aug'26</c:v>
                </c:pt>
                <c:pt idx="5">
                  <c:v>Sep'26</c:v>
                </c:pt>
                <c:pt idx="6">
                  <c:v>Oct'26</c:v>
                </c:pt>
                <c:pt idx="7">
                  <c:v>Nov'26</c:v>
                </c:pt>
                <c:pt idx="8">
                  <c:v>Dec'26</c:v>
                </c:pt>
                <c:pt idx="9">
                  <c:v>Jan'27</c:v>
                </c:pt>
                <c:pt idx="10">
                  <c:v>Feb'27</c:v>
                </c:pt>
                <c:pt idx="11">
                  <c:v>Mar'27</c:v>
                </c:pt>
              </c:strCache>
            </c:strRef>
          </c:cat>
          <c:val>
            <c:numRef>
              <c:f>Tables!$D$561:$O$561</c:f>
              <c:numCache>
                <c:formatCode>0.000</c:formatCode>
                <c:ptCount val="12"/>
                <c:pt idx="0">
                  <c:v>8.0000000000000002E-3</c:v>
                </c:pt>
                <c:pt idx="1">
                  <c:v>7.0000000000000001E-3</c:v>
                </c:pt>
                <c:pt idx="2">
                  <c:v>8.9999999999999993E-3</c:v>
                </c:pt>
                <c:pt idx="3">
                  <c:v>7.0000000000000001E-3</c:v>
                </c:pt>
                <c:pt idx="4">
                  <c:v>7.6499679999999983E-3</c:v>
                </c:pt>
                <c:pt idx="5">
                  <c:v>0</c:v>
                </c:pt>
                <c:pt idx="6">
                  <c:v>0</c:v>
                </c:pt>
                <c:pt idx="7">
                  <c:v>0</c:v>
                </c:pt>
                <c:pt idx="8">
                  <c:v>0</c:v>
                </c:pt>
                <c:pt idx="9">
                  <c:v>0</c:v>
                </c:pt>
                <c:pt idx="10">
                  <c:v>0</c:v>
                </c:pt>
                <c:pt idx="11">
                  <c:v>0</c:v>
                </c:pt>
              </c:numCache>
            </c:numRef>
          </c:val>
          <c:extLst xmlns:c16r2="http://schemas.microsoft.com/office/drawing/2015/06/chart">
            <c:ext xmlns:c16="http://schemas.microsoft.com/office/drawing/2014/chart" uri="{C3380CC4-5D6E-409C-BE32-E72D297353CC}">
              <c16:uniqueId val="{00000004-C1F9-4196-9505-D06CA52FA521}"/>
            </c:ext>
          </c:extLst>
        </c:ser>
        <c:dLbls>
          <c:showLegendKey val="0"/>
          <c:showVal val="0"/>
          <c:showCatName val="0"/>
          <c:showSerName val="0"/>
          <c:showPercent val="0"/>
          <c:showBubbleSize val="0"/>
        </c:dLbls>
        <c:gapWidth val="219"/>
        <c:axId val="1159189696"/>
        <c:axId val="1159203840"/>
      </c:barChart>
      <c:catAx>
        <c:axId val="11591896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59203840"/>
        <c:crosses val="autoZero"/>
        <c:auto val="1"/>
        <c:lblAlgn val="ctr"/>
        <c:lblOffset val="100"/>
        <c:noMultiLvlLbl val="0"/>
      </c:catAx>
      <c:valAx>
        <c:axId val="1159203840"/>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59189696"/>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1000" b="0" i="0" u="none" strike="noStrike" kern="1200" baseline="0">
                <a:solidFill>
                  <a:sysClr val="windowText" lastClr="000000"/>
                </a:solidFill>
                <a:latin typeface="+mn-lt"/>
                <a:ea typeface="+mn-ea"/>
                <a:cs typeface="+mn-cs"/>
              </a:defRPr>
            </a:pPr>
            <a:endParaRPr lang="en-US"/>
          </a:p>
        </c:txPr>
      </c:dTable>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US" sz="1800" b="1" i="0" baseline="0">
                <a:effectLst/>
              </a:rPr>
              <a:t>ACG Gas Production(BCM)</a:t>
            </a:r>
            <a:endParaRPr lang="en-US">
              <a:effectLst/>
            </a:endParaRPr>
          </a:p>
        </c:rich>
      </c:tx>
      <c:overlay val="0"/>
      <c:spPr>
        <a:noFill/>
        <a:ln>
          <a:noFill/>
        </a:ln>
        <a:effectLst/>
      </c:spPr>
    </c:title>
    <c:autoTitleDeleted val="0"/>
    <c:plotArea>
      <c:layout/>
      <c:barChart>
        <c:barDir val="col"/>
        <c:grouping val="clustered"/>
        <c:varyColors val="0"/>
        <c:ser>
          <c:idx val="0"/>
          <c:order val="0"/>
          <c:tx>
            <c:strRef>
              <c:f>Tables!$C$574</c:f>
              <c:strCache>
                <c:ptCount val="1"/>
                <c:pt idx="0">
                  <c:v>BE(BCM)</c:v>
                </c:pt>
              </c:strCache>
            </c:strRef>
          </c:tx>
          <c:spPr>
            <a:solidFill>
              <a:schemeClr val="accent2">
                <a:lumMod val="40000"/>
                <a:lumOff val="60000"/>
              </a:schemeClr>
            </a:solidFill>
            <a:ln>
              <a:noFill/>
            </a:ln>
            <a:effectLst/>
          </c:spPr>
          <c:invertIfNegative val="0"/>
          <c:cat>
            <c:strRef>
              <c:f>Tables!$D$573:$O$573</c:f>
              <c:strCache>
                <c:ptCount val="12"/>
                <c:pt idx="0">
                  <c:v>Apr'26</c:v>
                </c:pt>
                <c:pt idx="1">
                  <c:v>May'26</c:v>
                </c:pt>
                <c:pt idx="2">
                  <c:v>June'26</c:v>
                </c:pt>
                <c:pt idx="3">
                  <c:v>July'26</c:v>
                </c:pt>
                <c:pt idx="4">
                  <c:v>Aug'26</c:v>
                </c:pt>
                <c:pt idx="5">
                  <c:v>Sep'26</c:v>
                </c:pt>
                <c:pt idx="6">
                  <c:v>Oct'26</c:v>
                </c:pt>
                <c:pt idx="7">
                  <c:v>Nov'26</c:v>
                </c:pt>
                <c:pt idx="8">
                  <c:v>Dec'26</c:v>
                </c:pt>
                <c:pt idx="9">
                  <c:v>Jan'27</c:v>
                </c:pt>
                <c:pt idx="10">
                  <c:v>Feb'27</c:v>
                </c:pt>
                <c:pt idx="11">
                  <c:v>Mar'27</c:v>
                </c:pt>
              </c:strCache>
            </c:strRef>
          </c:cat>
          <c:val>
            <c:numRef>
              <c:f>Tables!$D$574:$O$574</c:f>
              <c:numCache>
                <c:formatCode>0.000</c:formatCode>
                <c:ptCount val="12"/>
                <c:pt idx="0">
                  <c:v>0.01</c:v>
                </c:pt>
                <c:pt idx="1">
                  <c:v>0.01</c:v>
                </c:pt>
                <c:pt idx="2">
                  <c:v>0.01</c:v>
                </c:pt>
                <c:pt idx="3">
                  <c:v>0.01</c:v>
                </c:pt>
                <c:pt idx="4">
                  <c:v>0.01</c:v>
                </c:pt>
                <c:pt idx="5">
                  <c:v>0.01</c:v>
                </c:pt>
                <c:pt idx="6">
                  <c:v>9.8520547945205473E-3</c:v>
                </c:pt>
                <c:pt idx="7">
                  <c:v>0.01</c:v>
                </c:pt>
                <c:pt idx="8">
                  <c:v>0.01</c:v>
                </c:pt>
                <c:pt idx="9">
                  <c:v>0.01</c:v>
                </c:pt>
                <c:pt idx="10">
                  <c:v>6.0000000000000001E-3</c:v>
                </c:pt>
                <c:pt idx="11">
                  <c:v>0.01</c:v>
                </c:pt>
              </c:numCache>
            </c:numRef>
          </c:val>
          <c:extLst xmlns:c16r2="http://schemas.microsoft.com/office/drawing/2015/06/chart">
            <c:ext xmlns:c16="http://schemas.microsoft.com/office/drawing/2014/chart" uri="{C3380CC4-5D6E-409C-BE32-E72D297353CC}">
              <c16:uniqueId val="{00000002-4694-4EBA-A834-872D033A490D}"/>
            </c:ext>
          </c:extLst>
        </c:ser>
        <c:ser>
          <c:idx val="1"/>
          <c:order val="1"/>
          <c:tx>
            <c:strRef>
              <c:f>Tables!$C$575</c:f>
              <c:strCache>
                <c:ptCount val="1"/>
                <c:pt idx="0">
                  <c:v>Actual</c:v>
                </c:pt>
              </c:strCache>
            </c:strRef>
          </c:tx>
          <c:spPr>
            <a:solidFill>
              <a:schemeClr val="accent2">
                <a:lumMod val="75000"/>
              </a:schemeClr>
            </a:solidFill>
            <a:ln>
              <a:noFill/>
            </a:ln>
            <a:effectLst/>
          </c:spPr>
          <c:invertIfNegative val="0"/>
          <c:cat>
            <c:strRef>
              <c:f>Tables!$D$573:$O$573</c:f>
              <c:strCache>
                <c:ptCount val="12"/>
                <c:pt idx="0">
                  <c:v>Apr'26</c:v>
                </c:pt>
                <c:pt idx="1">
                  <c:v>May'26</c:v>
                </c:pt>
                <c:pt idx="2">
                  <c:v>June'26</c:v>
                </c:pt>
                <c:pt idx="3">
                  <c:v>July'26</c:v>
                </c:pt>
                <c:pt idx="4">
                  <c:v>Aug'26</c:v>
                </c:pt>
                <c:pt idx="5">
                  <c:v>Sep'26</c:v>
                </c:pt>
                <c:pt idx="6">
                  <c:v>Oct'26</c:v>
                </c:pt>
                <c:pt idx="7">
                  <c:v>Nov'26</c:v>
                </c:pt>
                <c:pt idx="8">
                  <c:v>Dec'26</c:v>
                </c:pt>
                <c:pt idx="9">
                  <c:v>Jan'27</c:v>
                </c:pt>
                <c:pt idx="10">
                  <c:v>Feb'27</c:v>
                </c:pt>
                <c:pt idx="11">
                  <c:v>Mar'27</c:v>
                </c:pt>
              </c:strCache>
            </c:strRef>
          </c:cat>
          <c:val>
            <c:numRef>
              <c:f>Tables!$D$575:$O$575</c:f>
              <c:numCache>
                <c:formatCode>0.000</c:formatCode>
                <c:ptCount val="12"/>
                <c:pt idx="0">
                  <c:v>1.2999999999999999E-2</c:v>
                </c:pt>
                <c:pt idx="1">
                  <c:v>1.2999999999999999E-2</c:v>
                </c:pt>
                <c:pt idx="2">
                  <c:v>0.01</c:v>
                </c:pt>
                <c:pt idx="3">
                  <c:v>8.0000000000000002E-3</c:v>
                </c:pt>
                <c:pt idx="4">
                  <c:v>7.2437165684544969E-3</c:v>
                </c:pt>
                <c:pt idx="5">
                  <c:v>0</c:v>
                </c:pt>
                <c:pt idx="6">
                  <c:v>0</c:v>
                </c:pt>
                <c:pt idx="7">
                  <c:v>0</c:v>
                </c:pt>
                <c:pt idx="8">
                  <c:v>0</c:v>
                </c:pt>
                <c:pt idx="9">
                  <c:v>0</c:v>
                </c:pt>
                <c:pt idx="10">
                  <c:v>0</c:v>
                </c:pt>
                <c:pt idx="11">
                  <c:v>0</c:v>
                </c:pt>
              </c:numCache>
            </c:numRef>
          </c:val>
          <c:extLst xmlns:c16r2="http://schemas.microsoft.com/office/drawing/2015/06/chart">
            <c:ext xmlns:c16="http://schemas.microsoft.com/office/drawing/2014/chart" uri="{C3380CC4-5D6E-409C-BE32-E72D297353CC}">
              <c16:uniqueId val="{00000004-4694-4EBA-A834-872D033A490D}"/>
            </c:ext>
          </c:extLst>
        </c:ser>
        <c:dLbls>
          <c:showLegendKey val="0"/>
          <c:showVal val="0"/>
          <c:showCatName val="0"/>
          <c:showSerName val="0"/>
          <c:showPercent val="0"/>
          <c:showBubbleSize val="0"/>
        </c:dLbls>
        <c:gapWidth val="219"/>
        <c:axId val="1159209824"/>
        <c:axId val="1159198400"/>
      </c:barChart>
      <c:catAx>
        <c:axId val="11592098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59198400"/>
        <c:crosses val="autoZero"/>
        <c:auto val="1"/>
        <c:lblAlgn val="ctr"/>
        <c:lblOffset val="100"/>
        <c:noMultiLvlLbl val="0"/>
      </c:catAx>
      <c:valAx>
        <c:axId val="1159198400"/>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59209824"/>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1000" b="0" i="0" u="none" strike="noStrike" kern="1200" baseline="0">
                <a:solidFill>
                  <a:sysClr val="windowText" lastClr="000000"/>
                </a:solidFill>
                <a:latin typeface="+mn-lt"/>
                <a:ea typeface="+mn-ea"/>
                <a:cs typeface="+mn-cs"/>
              </a:defRPr>
            </a:pPr>
            <a:endParaRPr lang="en-US"/>
          </a:p>
        </c:txPr>
      </c:dTable>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US" sz="1800" b="1" i="0" baseline="0">
                <a:effectLst/>
              </a:rPr>
              <a:t>B-06.1 Gas Production(BCM)</a:t>
            </a:r>
            <a:endParaRPr lang="en-US">
              <a:effectLst/>
            </a:endParaRPr>
          </a:p>
        </c:rich>
      </c:tx>
      <c:overlay val="0"/>
      <c:spPr>
        <a:noFill/>
        <a:ln>
          <a:noFill/>
        </a:ln>
        <a:effectLst/>
      </c:spPr>
    </c:title>
    <c:autoTitleDeleted val="0"/>
    <c:plotArea>
      <c:layout/>
      <c:barChart>
        <c:barDir val="col"/>
        <c:grouping val="clustered"/>
        <c:varyColors val="0"/>
        <c:ser>
          <c:idx val="0"/>
          <c:order val="0"/>
          <c:tx>
            <c:strRef>
              <c:f>Tables!$C$644</c:f>
              <c:strCache>
                <c:ptCount val="1"/>
                <c:pt idx="0">
                  <c:v>BE(BCM)</c:v>
                </c:pt>
              </c:strCache>
            </c:strRef>
          </c:tx>
          <c:spPr>
            <a:solidFill>
              <a:schemeClr val="accent2">
                <a:lumMod val="40000"/>
                <a:lumOff val="60000"/>
              </a:schemeClr>
            </a:solidFill>
            <a:ln>
              <a:noFill/>
            </a:ln>
            <a:effectLst/>
          </c:spPr>
          <c:invertIfNegative val="0"/>
          <c:cat>
            <c:strRef>
              <c:f>Tables!$D$643:$O$643</c:f>
              <c:strCache>
                <c:ptCount val="12"/>
                <c:pt idx="0">
                  <c:v>Apr'26</c:v>
                </c:pt>
                <c:pt idx="1">
                  <c:v>May'26</c:v>
                </c:pt>
                <c:pt idx="2">
                  <c:v>June'26</c:v>
                </c:pt>
                <c:pt idx="3">
                  <c:v>July'26</c:v>
                </c:pt>
                <c:pt idx="4">
                  <c:v>Aug'26</c:v>
                </c:pt>
                <c:pt idx="5">
                  <c:v>Sep'26</c:v>
                </c:pt>
                <c:pt idx="6">
                  <c:v>Oct'26</c:v>
                </c:pt>
                <c:pt idx="7">
                  <c:v>Nov'26</c:v>
                </c:pt>
                <c:pt idx="8">
                  <c:v>Dec'26</c:v>
                </c:pt>
                <c:pt idx="9">
                  <c:v>Jan'27</c:v>
                </c:pt>
                <c:pt idx="10">
                  <c:v>Feb'27</c:v>
                </c:pt>
                <c:pt idx="11">
                  <c:v>Mar'27</c:v>
                </c:pt>
              </c:strCache>
            </c:strRef>
          </c:cat>
          <c:val>
            <c:numRef>
              <c:f>Tables!$D$644:$O$644</c:f>
              <c:numCache>
                <c:formatCode>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xmlns:c16r2="http://schemas.microsoft.com/office/drawing/2015/06/chart">
            <c:ext xmlns:c16="http://schemas.microsoft.com/office/drawing/2014/chart" uri="{C3380CC4-5D6E-409C-BE32-E72D297353CC}">
              <c16:uniqueId val="{00000002-82B0-47F3-84B8-EF38725448E5}"/>
            </c:ext>
          </c:extLst>
        </c:ser>
        <c:ser>
          <c:idx val="1"/>
          <c:order val="1"/>
          <c:tx>
            <c:strRef>
              <c:f>Tables!$C$645</c:f>
              <c:strCache>
                <c:ptCount val="1"/>
                <c:pt idx="0">
                  <c:v>Actual</c:v>
                </c:pt>
              </c:strCache>
            </c:strRef>
          </c:tx>
          <c:spPr>
            <a:solidFill>
              <a:schemeClr val="accent2">
                <a:lumMod val="75000"/>
              </a:schemeClr>
            </a:solidFill>
            <a:ln>
              <a:noFill/>
            </a:ln>
            <a:effectLst/>
          </c:spPr>
          <c:invertIfNegative val="0"/>
          <c:cat>
            <c:strRef>
              <c:f>Tables!$D$643:$O$643</c:f>
              <c:strCache>
                <c:ptCount val="12"/>
                <c:pt idx="0">
                  <c:v>Apr'26</c:v>
                </c:pt>
                <c:pt idx="1">
                  <c:v>May'26</c:v>
                </c:pt>
                <c:pt idx="2">
                  <c:v>June'26</c:v>
                </c:pt>
                <c:pt idx="3">
                  <c:v>July'26</c:v>
                </c:pt>
                <c:pt idx="4">
                  <c:v>Aug'26</c:v>
                </c:pt>
                <c:pt idx="5">
                  <c:v>Sep'26</c:v>
                </c:pt>
                <c:pt idx="6">
                  <c:v>Oct'26</c:v>
                </c:pt>
                <c:pt idx="7">
                  <c:v>Nov'26</c:v>
                </c:pt>
                <c:pt idx="8">
                  <c:v>Dec'26</c:v>
                </c:pt>
                <c:pt idx="9">
                  <c:v>Jan'27</c:v>
                </c:pt>
                <c:pt idx="10">
                  <c:v>Feb'27</c:v>
                </c:pt>
                <c:pt idx="11">
                  <c:v>Mar'27</c:v>
                </c:pt>
              </c:strCache>
            </c:strRef>
          </c:cat>
          <c:val>
            <c:numRef>
              <c:f>Tables!$D$645:$O$645</c:f>
              <c:numCache>
                <c:formatCode>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xmlns:c16r2="http://schemas.microsoft.com/office/drawing/2015/06/chart">
            <c:ext xmlns:c16="http://schemas.microsoft.com/office/drawing/2014/chart" uri="{C3380CC4-5D6E-409C-BE32-E72D297353CC}">
              <c16:uniqueId val="{00000004-82B0-47F3-84B8-EF38725448E5}"/>
            </c:ext>
          </c:extLst>
        </c:ser>
        <c:dLbls>
          <c:showLegendKey val="0"/>
          <c:showVal val="0"/>
          <c:showCatName val="0"/>
          <c:showSerName val="0"/>
          <c:showPercent val="0"/>
          <c:showBubbleSize val="0"/>
        </c:dLbls>
        <c:gapWidth val="219"/>
        <c:axId val="1159206016"/>
        <c:axId val="1159196224"/>
      </c:barChart>
      <c:catAx>
        <c:axId val="11592060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59196224"/>
        <c:crosses val="autoZero"/>
        <c:auto val="1"/>
        <c:lblAlgn val="ctr"/>
        <c:lblOffset val="100"/>
        <c:noMultiLvlLbl val="0"/>
      </c:catAx>
      <c:valAx>
        <c:axId val="1159196224"/>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59206016"/>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1000" b="0" i="0" u="none" strike="noStrike" kern="1200" baseline="0">
                <a:solidFill>
                  <a:sysClr val="windowText" lastClr="000000"/>
                </a:solidFill>
                <a:latin typeface="+mn-lt"/>
                <a:ea typeface="+mn-ea"/>
                <a:cs typeface="+mn-cs"/>
              </a:defRPr>
            </a:pPr>
            <a:endParaRPr lang="en-US"/>
          </a:p>
        </c:txPr>
      </c:dTable>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US" sz="1800" b="1" i="0" baseline="0">
                <a:effectLst/>
              </a:rPr>
              <a:t>A1,A3 Gas Production(BCM)</a:t>
            </a:r>
            <a:endParaRPr lang="en-US">
              <a:effectLst/>
            </a:endParaRPr>
          </a:p>
        </c:rich>
      </c:tx>
      <c:overlay val="0"/>
      <c:spPr>
        <a:noFill/>
        <a:ln>
          <a:noFill/>
        </a:ln>
        <a:effectLst/>
      </c:spPr>
    </c:title>
    <c:autoTitleDeleted val="0"/>
    <c:plotArea>
      <c:layout/>
      <c:barChart>
        <c:barDir val="col"/>
        <c:grouping val="clustered"/>
        <c:varyColors val="0"/>
        <c:ser>
          <c:idx val="0"/>
          <c:order val="0"/>
          <c:tx>
            <c:strRef>
              <c:f>Tables!$C$658</c:f>
              <c:strCache>
                <c:ptCount val="1"/>
                <c:pt idx="0">
                  <c:v>BE(BCM)</c:v>
                </c:pt>
              </c:strCache>
            </c:strRef>
          </c:tx>
          <c:spPr>
            <a:solidFill>
              <a:schemeClr val="accent2">
                <a:lumMod val="40000"/>
                <a:lumOff val="60000"/>
              </a:schemeClr>
            </a:solidFill>
            <a:ln>
              <a:noFill/>
            </a:ln>
            <a:effectLst/>
          </c:spPr>
          <c:invertIfNegative val="0"/>
          <c:cat>
            <c:strRef>
              <c:f>Tables!$D$657:$O$657</c:f>
              <c:strCache>
                <c:ptCount val="12"/>
                <c:pt idx="0">
                  <c:v>Apr'26</c:v>
                </c:pt>
                <c:pt idx="1">
                  <c:v>May'26</c:v>
                </c:pt>
                <c:pt idx="2">
                  <c:v>June'26</c:v>
                </c:pt>
                <c:pt idx="3">
                  <c:v>July'26</c:v>
                </c:pt>
                <c:pt idx="4">
                  <c:v>Aug'26</c:v>
                </c:pt>
                <c:pt idx="5">
                  <c:v>Sep'26</c:v>
                </c:pt>
                <c:pt idx="6">
                  <c:v>Oct'26</c:v>
                </c:pt>
                <c:pt idx="7">
                  <c:v>Nov'26</c:v>
                </c:pt>
                <c:pt idx="8">
                  <c:v>Dec'26</c:v>
                </c:pt>
                <c:pt idx="9">
                  <c:v>Jan'27</c:v>
                </c:pt>
                <c:pt idx="10">
                  <c:v>Feb'27</c:v>
                </c:pt>
                <c:pt idx="11">
                  <c:v>Mar'27</c:v>
                </c:pt>
              </c:strCache>
            </c:strRef>
          </c:cat>
          <c:val>
            <c:numRef>
              <c:f>Tables!$D$658:$O$658</c:f>
              <c:numCache>
                <c:formatCode>0.000</c:formatCode>
                <c:ptCount val="12"/>
                <c:pt idx="0">
                  <c:v>7.1999999999999995E-2</c:v>
                </c:pt>
                <c:pt idx="1">
                  <c:v>7.3999999999999996E-2</c:v>
                </c:pt>
                <c:pt idx="2">
                  <c:v>7.1999999999999995E-2</c:v>
                </c:pt>
                <c:pt idx="3">
                  <c:v>7.3999999999999996E-2</c:v>
                </c:pt>
                <c:pt idx="4">
                  <c:v>7.3999999999999996E-2</c:v>
                </c:pt>
                <c:pt idx="5">
                  <c:v>7.1999999999999995E-2</c:v>
                </c:pt>
                <c:pt idx="6">
                  <c:v>7.4230136986301376E-2</c:v>
                </c:pt>
                <c:pt idx="7">
                  <c:v>7.1999999999999995E-2</c:v>
                </c:pt>
                <c:pt idx="8">
                  <c:v>7.3999999999999996E-2</c:v>
                </c:pt>
                <c:pt idx="9">
                  <c:v>7.3999999999999996E-2</c:v>
                </c:pt>
                <c:pt idx="10">
                  <c:v>6.8000000000000005E-2</c:v>
                </c:pt>
                <c:pt idx="11">
                  <c:v>7.3999999999999996E-2</c:v>
                </c:pt>
              </c:numCache>
            </c:numRef>
          </c:val>
          <c:extLst xmlns:c16r2="http://schemas.microsoft.com/office/drawing/2015/06/chart">
            <c:ext xmlns:c16="http://schemas.microsoft.com/office/drawing/2014/chart" uri="{C3380CC4-5D6E-409C-BE32-E72D297353CC}">
              <c16:uniqueId val="{00000002-6950-47BD-909E-92876D389D08}"/>
            </c:ext>
          </c:extLst>
        </c:ser>
        <c:ser>
          <c:idx val="1"/>
          <c:order val="1"/>
          <c:tx>
            <c:strRef>
              <c:f>Tables!$C$659</c:f>
              <c:strCache>
                <c:ptCount val="1"/>
                <c:pt idx="0">
                  <c:v>Actual</c:v>
                </c:pt>
              </c:strCache>
            </c:strRef>
          </c:tx>
          <c:spPr>
            <a:solidFill>
              <a:schemeClr val="accent2">
                <a:lumMod val="75000"/>
              </a:schemeClr>
            </a:solidFill>
            <a:ln>
              <a:noFill/>
            </a:ln>
            <a:effectLst/>
          </c:spPr>
          <c:invertIfNegative val="0"/>
          <c:cat>
            <c:strRef>
              <c:f>Tables!$D$657:$O$657</c:f>
              <c:strCache>
                <c:ptCount val="12"/>
                <c:pt idx="0">
                  <c:v>Apr'26</c:v>
                </c:pt>
                <c:pt idx="1">
                  <c:v>May'26</c:v>
                </c:pt>
                <c:pt idx="2">
                  <c:v>June'26</c:v>
                </c:pt>
                <c:pt idx="3">
                  <c:v>July'26</c:v>
                </c:pt>
                <c:pt idx="4">
                  <c:v>Aug'26</c:v>
                </c:pt>
                <c:pt idx="5">
                  <c:v>Sep'26</c:v>
                </c:pt>
                <c:pt idx="6">
                  <c:v>Oct'26</c:v>
                </c:pt>
                <c:pt idx="7">
                  <c:v>Nov'26</c:v>
                </c:pt>
                <c:pt idx="8">
                  <c:v>Dec'26</c:v>
                </c:pt>
                <c:pt idx="9">
                  <c:v>Jan'27</c:v>
                </c:pt>
                <c:pt idx="10">
                  <c:v>Feb'27</c:v>
                </c:pt>
                <c:pt idx="11">
                  <c:v>Mar'27</c:v>
                </c:pt>
              </c:strCache>
            </c:strRef>
          </c:cat>
          <c:val>
            <c:numRef>
              <c:f>Tables!$D$659:$O$659</c:f>
              <c:numCache>
                <c:formatCode>0.000</c:formatCode>
                <c:ptCount val="12"/>
                <c:pt idx="0">
                  <c:v>6.7000000000000004E-2</c:v>
                </c:pt>
                <c:pt idx="1">
                  <c:v>7.2999999999999995E-2</c:v>
                </c:pt>
                <c:pt idx="2">
                  <c:v>7.3999999999999996E-2</c:v>
                </c:pt>
                <c:pt idx="3">
                  <c:v>7.4999999999999997E-2</c:v>
                </c:pt>
                <c:pt idx="4">
                  <c:v>7.4159597844523695E-2</c:v>
                </c:pt>
                <c:pt idx="5">
                  <c:v>0</c:v>
                </c:pt>
                <c:pt idx="6">
                  <c:v>0</c:v>
                </c:pt>
                <c:pt idx="7">
                  <c:v>0</c:v>
                </c:pt>
                <c:pt idx="8">
                  <c:v>0</c:v>
                </c:pt>
                <c:pt idx="9">
                  <c:v>0</c:v>
                </c:pt>
                <c:pt idx="10">
                  <c:v>0</c:v>
                </c:pt>
                <c:pt idx="11">
                  <c:v>0</c:v>
                </c:pt>
              </c:numCache>
            </c:numRef>
          </c:val>
          <c:extLst xmlns:c16r2="http://schemas.microsoft.com/office/drawing/2015/06/chart">
            <c:ext xmlns:c16="http://schemas.microsoft.com/office/drawing/2014/chart" uri="{C3380CC4-5D6E-409C-BE32-E72D297353CC}">
              <c16:uniqueId val="{00000004-6950-47BD-909E-92876D389D08}"/>
            </c:ext>
          </c:extLst>
        </c:ser>
        <c:dLbls>
          <c:showLegendKey val="0"/>
          <c:showVal val="0"/>
          <c:showCatName val="0"/>
          <c:showSerName val="0"/>
          <c:showPercent val="0"/>
          <c:showBubbleSize val="0"/>
        </c:dLbls>
        <c:gapWidth val="219"/>
        <c:axId val="1159211456"/>
        <c:axId val="1159212544"/>
      </c:barChart>
      <c:catAx>
        <c:axId val="1159211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59212544"/>
        <c:crosses val="autoZero"/>
        <c:auto val="1"/>
        <c:lblAlgn val="ctr"/>
        <c:lblOffset val="100"/>
        <c:noMultiLvlLbl val="0"/>
      </c:catAx>
      <c:valAx>
        <c:axId val="1159212544"/>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59211456"/>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1000" b="0" i="0" u="none" strike="noStrike" kern="1200" baseline="0">
                <a:solidFill>
                  <a:sysClr val="windowText" lastClr="000000"/>
                </a:solidFill>
                <a:latin typeface="+mn-lt"/>
                <a:ea typeface="+mn-ea"/>
                <a:cs typeface="+mn-cs"/>
              </a:defRPr>
            </a:pPr>
            <a:endParaRPr lang="en-US"/>
          </a:p>
        </c:txPr>
      </c:dTable>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n-US" sz="1800" b="1" i="0" u="none" strike="noStrike" kern="1200" spc="0" baseline="0">
                <a:solidFill>
                  <a:sysClr val="windowText" lastClr="000000"/>
                </a:solidFill>
                <a:effectLst/>
                <a:latin typeface="+mn-lt"/>
                <a:ea typeface="+mn-ea"/>
                <a:cs typeface="+mn-cs"/>
              </a:defRPr>
            </a:pPr>
            <a:r>
              <a:rPr lang="en-US" sz="1800" b="1" i="0" u="none" strike="noStrike" kern="1200" spc="0" baseline="0">
                <a:solidFill>
                  <a:sysClr val="windowText" lastClr="000000"/>
                </a:solidFill>
                <a:effectLst/>
                <a:latin typeface="+mn-lt"/>
                <a:ea typeface="+mn-ea"/>
                <a:cs typeface="+mn-cs"/>
              </a:rPr>
              <a:t>Oil-OVL share-MMT</a:t>
            </a:r>
          </a:p>
        </c:rich>
      </c:tx>
      <c:overlay val="0"/>
      <c:spPr>
        <a:noFill/>
        <a:ln>
          <a:noFill/>
        </a:ln>
        <a:effectLst/>
      </c:spPr>
    </c:title>
    <c:autoTitleDeleted val="0"/>
    <c:plotArea>
      <c:layout/>
      <c:barChart>
        <c:barDir val="col"/>
        <c:grouping val="clustered"/>
        <c:varyColors val="0"/>
        <c:ser>
          <c:idx val="0"/>
          <c:order val="0"/>
          <c:tx>
            <c:strRef>
              <c:f>Tables!$C$676</c:f>
              <c:strCache>
                <c:ptCount val="1"/>
                <c:pt idx="0">
                  <c:v>BE(MMT)</c:v>
                </c:pt>
              </c:strCache>
            </c:strRef>
          </c:tx>
          <c:spPr>
            <a:solidFill>
              <a:srgbClr val="92D050"/>
            </a:solidFill>
            <a:ln>
              <a:noFill/>
            </a:ln>
            <a:effectLst/>
          </c:spPr>
          <c:invertIfNegative val="0"/>
          <c:cat>
            <c:strRef>
              <c:f>Tables!$D$675:$O$675</c:f>
              <c:strCache>
                <c:ptCount val="12"/>
                <c:pt idx="0">
                  <c:v>Apr'26</c:v>
                </c:pt>
                <c:pt idx="1">
                  <c:v>May'26</c:v>
                </c:pt>
                <c:pt idx="2">
                  <c:v>June'26</c:v>
                </c:pt>
                <c:pt idx="3">
                  <c:v>July'26</c:v>
                </c:pt>
                <c:pt idx="4">
                  <c:v>Aug'26</c:v>
                </c:pt>
                <c:pt idx="5">
                  <c:v>Sep'26</c:v>
                </c:pt>
                <c:pt idx="6">
                  <c:v>Oct'26</c:v>
                </c:pt>
                <c:pt idx="7">
                  <c:v>Nov'26</c:v>
                </c:pt>
                <c:pt idx="8">
                  <c:v>Dec'26</c:v>
                </c:pt>
                <c:pt idx="9">
                  <c:v>Jan'27</c:v>
                </c:pt>
                <c:pt idx="10">
                  <c:v>Feb'27</c:v>
                </c:pt>
                <c:pt idx="11">
                  <c:v>Mar'27</c:v>
                </c:pt>
              </c:strCache>
            </c:strRef>
          </c:cat>
          <c:val>
            <c:numRef>
              <c:f>Tables!$D$676:$O$676</c:f>
              <c:numCache>
                <c:formatCode>0.000</c:formatCode>
                <c:ptCount val="12"/>
                <c:pt idx="0">
                  <c:v>0.59800000000000009</c:v>
                </c:pt>
                <c:pt idx="1">
                  <c:v>0.6160000000000001</c:v>
                </c:pt>
                <c:pt idx="2">
                  <c:v>0.60000000000000009</c:v>
                </c:pt>
                <c:pt idx="3">
                  <c:v>0.6180000000000001</c:v>
                </c:pt>
                <c:pt idx="4">
                  <c:v>0.6170000000000001</c:v>
                </c:pt>
                <c:pt idx="5">
                  <c:v>0.59900000000000009</c:v>
                </c:pt>
                <c:pt idx="6">
                  <c:v>0.6160000000000001</c:v>
                </c:pt>
                <c:pt idx="7">
                  <c:v>0.59500000000000008</c:v>
                </c:pt>
                <c:pt idx="8">
                  <c:v>0.6140000000000001</c:v>
                </c:pt>
                <c:pt idx="9">
                  <c:v>0.6110000000000001</c:v>
                </c:pt>
                <c:pt idx="10">
                  <c:v>0.55600000000000005</c:v>
                </c:pt>
                <c:pt idx="11">
                  <c:v>0.6120000000000001</c:v>
                </c:pt>
              </c:numCache>
            </c:numRef>
          </c:val>
          <c:extLst xmlns:c16r2="http://schemas.microsoft.com/office/drawing/2015/06/chart">
            <c:ext xmlns:c16="http://schemas.microsoft.com/office/drawing/2014/chart" uri="{C3380CC4-5D6E-409C-BE32-E72D297353CC}">
              <c16:uniqueId val="{00000004-2833-41BF-896C-90B6C562FCF7}"/>
            </c:ext>
          </c:extLst>
        </c:ser>
        <c:ser>
          <c:idx val="1"/>
          <c:order val="1"/>
          <c:tx>
            <c:strRef>
              <c:f>Tables!$C$677</c:f>
              <c:strCache>
                <c:ptCount val="1"/>
                <c:pt idx="0">
                  <c:v>Actual YTD</c:v>
                </c:pt>
              </c:strCache>
            </c:strRef>
          </c:tx>
          <c:spPr>
            <a:solidFill>
              <a:srgbClr val="00B050"/>
            </a:solidFill>
            <a:ln>
              <a:noFill/>
            </a:ln>
            <a:effectLst/>
          </c:spPr>
          <c:invertIfNegative val="0"/>
          <c:cat>
            <c:strRef>
              <c:f>Tables!$D$675:$O$675</c:f>
              <c:strCache>
                <c:ptCount val="12"/>
                <c:pt idx="0">
                  <c:v>Apr'26</c:v>
                </c:pt>
                <c:pt idx="1">
                  <c:v>May'26</c:v>
                </c:pt>
                <c:pt idx="2">
                  <c:v>June'26</c:v>
                </c:pt>
                <c:pt idx="3">
                  <c:v>July'26</c:v>
                </c:pt>
                <c:pt idx="4">
                  <c:v>Aug'26</c:v>
                </c:pt>
                <c:pt idx="5">
                  <c:v>Sep'26</c:v>
                </c:pt>
                <c:pt idx="6">
                  <c:v>Oct'26</c:v>
                </c:pt>
                <c:pt idx="7">
                  <c:v>Nov'26</c:v>
                </c:pt>
                <c:pt idx="8">
                  <c:v>Dec'26</c:v>
                </c:pt>
                <c:pt idx="9">
                  <c:v>Jan'27</c:v>
                </c:pt>
                <c:pt idx="10">
                  <c:v>Feb'27</c:v>
                </c:pt>
                <c:pt idx="11">
                  <c:v>Mar'27</c:v>
                </c:pt>
              </c:strCache>
            </c:strRef>
          </c:cat>
          <c:val>
            <c:numRef>
              <c:f>Tables!$D$677:$O$677</c:f>
              <c:numCache>
                <c:formatCode>0.000</c:formatCode>
                <c:ptCount val="12"/>
                <c:pt idx="0">
                  <c:v>0.58800000000000008</c:v>
                </c:pt>
                <c:pt idx="1">
                  <c:v>0.6110000000000001</c:v>
                </c:pt>
                <c:pt idx="2">
                  <c:v>0.59900000000000009</c:v>
                </c:pt>
                <c:pt idx="3">
                  <c:v>0.62100000000000011</c:v>
                </c:pt>
                <c:pt idx="4">
                  <c:v>0.64270202871613813</c:v>
                </c:pt>
                <c:pt idx="5">
                  <c:v>0</c:v>
                </c:pt>
                <c:pt idx="6">
                  <c:v>0</c:v>
                </c:pt>
                <c:pt idx="7">
                  <c:v>0</c:v>
                </c:pt>
                <c:pt idx="8">
                  <c:v>0</c:v>
                </c:pt>
                <c:pt idx="9">
                  <c:v>0</c:v>
                </c:pt>
                <c:pt idx="10">
                  <c:v>0</c:v>
                </c:pt>
                <c:pt idx="11">
                  <c:v>0</c:v>
                </c:pt>
              </c:numCache>
            </c:numRef>
          </c:val>
          <c:extLst xmlns:c16r2="http://schemas.microsoft.com/office/drawing/2015/06/chart">
            <c:ext xmlns:c16="http://schemas.microsoft.com/office/drawing/2014/chart" uri="{C3380CC4-5D6E-409C-BE32-E72D297353CC}">
              <c16:uniqueId val="{00000006-2833-41BF-896C-90B6C562FCF7}"/>
            </c:ext>
          </c:extLst>
        </c:ser>
        <c:dLbls>
          <c:showLegendKey val="0"/>
          <c:showVal val="0"/>
          <c:showCatName val="0"/>
          <c:showSerName val="0"/>
          <c:showPercent val="0"/>
          <c:showBubbleSize val="0"/>
        </c:dLbls>
        <c:gapWidth val="219"/>
        <c:axId val="1159215808"/>
        <c:axId val="1159219072"/>
      </c:barChart>
      <c:catAx>
        <c:axId val="11592158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59219072"/>
        <c:crosses val="autoZero"/>
        <c:auto val="1"/>
        <c:lblAlgn val="ctr"/>
        <c:lblOffset val="100"/>
        <c:noMultiLvlLbl val="0"/>
      </c:catAx>
      <c:valAx>
        <c:axId val="1159219072"/>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59215808"/>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1000" b="0" i="0" u="none" strike="noStrike" kern="1200" baseline="0">
                <a:solidFill>
                  <a:sysClr val="windowText" lastClr="000000"/>
                </a:solidFill>
                <a:latin typeface="+mn-lt"/>
                <a:ea typeface="+mn-ea"/>
                <a:cs typeface="+mn-cs"/>
              </a:defRPr>
            </a:pPr>
            <a:endParaRPr lang="en-US"/>
          </a:p>
        </c:txPr>
      </c:dTable>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n-US" sz="1800" b="1" i="0" u="none" strike="noStrike" kern="1200" spc="0" baseline="0">
                <a:solidFill>
                  <a:sysClr val="windowText" lastClr="000000"/>
                </a:solidFill>
                <a:effectLst/>
                <a:latin typeface="+mn-lt"/>
                <a:ea typeface="+mn-ea"/>
                <a:cs typeface="+mn-cs"/>
              </a:defRPr>
            </a:pPr>
            <a:r>
              <a:rPr lang="en-US" sz="1800" b="1" i="0" u="none" strike="noStrike" kern="1200" spc="0" baseline="0">
                <a:solidFill>
                  <a:sysClr val="windowText" lastClr="000000"/>
                </a:solidFill>
                <a:effectLst/>
                <a:latin typeface="+mn-lt"/>
                <a:ea typeface="+mn-ea"/>
                <a:cs typeface="+mn-cs"/>
              </a:rPr>
              <a:t>Gas-OVL share BCM</a:t>
            </a:r>
          </a:p>
        </c:rich>
      </c:tx>
      <c:overlay val="0"/>
      <c:spPr>
        <a:noFill/>
        <a:ln>
          <a:noFill/>
        </a:ln>
        <a:effectLst/>
      </c:spPr>
    </c:title>
    <c:autoTitleDeleted val="0"/>
    <c:plotArea>
      <c:layout/>
      <c:barChart>
        <c:barDir val="col"/>
        <c:grouping val="clustered"/>
        <c:varyColors val="0"/>
        <c:ser>
          <c:idx val="0"/>
          <c:order val="0"/>
          <c:tx>
            <c:strRef>
              <c:f>Tables!$C$684</c:f>
              <c:strCache>
                <c:ptCount val="1"/>
                <c:pt idx="0">
                  <c:v>BE(BCM)</c:v>
                </c:pt>
              </c:strCache>
            </c:strRef>
          </c:tx>
          <c:spPr>
            <a:solidFill>
              <a:schemeClr val="accent2">
                <a:lumMod val="40000"/>
                <a:lumOff val="60000"/>
              </a:schemeClr>
            </a:solidFill>
            <a:ln>
              <a:noFill/>
            </a:ln>
            <a:effectLst/>
          </c:spPr>
          <c:invertIfNegative val="0"/>
          <c:cat>
            <c:strRef>
              <c:f>Tables!$D$683:$O$683</c:f>
              <c:strCache>
                <c:ptCount val="12"/>
                <c:pt idx="0">
                  <c:v>Apr'26</c:v>
                </c:pt>
                <c:pt idx="1">
                  <c:v>May'26</c:v>
                </c:pt>
                <c:pt idx="2">
                  <c:v>June'26</c:v>
                </c:pt>
                <c:pt idx="3">
                  <c:v>July'26</c:v>
                </c:pt>
                <c:pt idx="4">
                  <c:v>Aug'26</c:v>
                </c:pt>
                <c:pt idx="5">
                  <c:v>Sep'26</c:v>
                </c:pt>
                <c:pt idx="6">
                  <c:v>Oct'26</c:v>
                </c:pt>
                <c:pt idx="7">
                  <c:v>Nov'26</c:v>
                </c:pt>
                <c:pt idx="8">
                  <c:v>Dec'26</c:v>
                </c:pt>
                <c:pt idx="9">
                  <c:v>Jan'27</c:v>
                </c:pt>
                <c:pt idx="10">
                  <c:v>Feb'27</c:v>
                </c:pt>
                <c:pt idx="11">
                  <c:v>Mar'27</c:v>
                </c:pt>
              </c:strCache>
            </c:strRef>
          </c:cat>
          <c:val>
            <c:numRef>
              <c:f>Tables!$D$684:$O$684</c:f>
              <c:numCache>
                <c:formatCode>0.000</c:formatCode>
                <c:ptCount val="12"/>
                <c:pt idx="0">
                  <c:v>0.21000000000000002</c:v>
                </c:pt>
                <c:pt idx="1">
                  <c:v>0.21600000000000003</c:v>
                </c:pt>
                <c:pt idx="2">
                  <c:v>0.21000000000000002</c:v>
                </c:pt>
                <c:pt idx="3">
                  <c:v>0.21700000000000003</c:v>
                </c:pt>
                <c:pt idx="4">
                  <c:v>0.21600000000000003</c:v>
                </c:pt>
                <c:pt idx="5">
                  <c:v>0.21200000000000002</c:v>
                </c:pt>
                <c:pt idx="6">
                  <c:v>0.2176164383561644</c:v>
                </c:pt>
                <c:pt idx="7">
                  <c:v>0.21400000000000002</c:v>
                </c:pt>
                <c:pt idx="8">
                  <c:v>0.22100000000000003</c:v>
                </c:pt>
                <c:pt idx="9">
                  <c:v>0.22200000000000003</c:v>
                </c:pt>
                <c:pt idx="10">
                  <c:v>0.19700000000000001</c:v>
                </c:pt>
                <c:pt idx="11">
                  <c:v>0.22100000000000003</c:v>
                </c:pt>
              </c:numCache>
            </c:numRef>
          </c:val>
          <c:extLst xmlns:c16r2="http://schemas.microsoft.com/office/drawing/2015/06/chart">
            <c:ext xmlns:c16="http://schemas.microsoft.com/office/drawing/2014/chart" uri="{C3380CC4-5D6E-409C-BE32-E72D297353CC}">
              <c16:uniqueId val="{00000004-6341-4EDA-BFEA-3D5E04EF766A}"/>
            </c:ext>
          </c:extLst>
        </c:ser>
        <c:ser>
          <c:idx val="1"/>
          <c:order val="1"/>
          <c:tx>
            <c:strRef>
              <c:f>Tables!$C$685</c:f>
              <c:strCache>
                <c:ptCount val="1"/>
                <c:pt idx="0">
                  <c:v>Actual YTD</c:v>
                </c:pt>
              </c:strCache>
            </c:strRef>
          </c:tx>
          <c:spPr>
            <a:solidFill>
              <a:schemeClr val="accent2">
                <a:lumMod val="75000"/>
              </a:schemeClr>
            </a:solidFill>
            <a:ln>
              <a:noFill/>
            </a:ln>
            <a:effectLst/>
          </c:spPr>
          <c:invertIfNegative val="0"/>
          <c:cat>
            <c:strRef>
              <c:f>Tables!$D$683:$O$683</c:f>
              <c:strCache>
                <c:ptCount val="12"/>
                <c:pt idx="0">
                  <c:v>Apr'26</c:v>
                </c:pt>
                <c:pt idx="1">
                  <c:v>May'26</c:v>
                </c:pt>
                <c:pt idx="2">
                  <c:v>June'26</c:v>
                </c:pt>
                <c:pt idx="3">
                  <c:v>July'26</c:v>
                </c:pt>
                <c:pt idx="4">
                  <c:v>Aug'26</c:v>
                </c:pt>
                <c:pt idx="5">
                  <c:v>Sep'26</c:v>
                </c:pt>
                <c:pt idx="6">
                  <c:v>Oct'26</c:v>
                </c:pt>
                <c:pt idx="7">
                  <c:v>Nov'26</c:v>
                </c:pt>
                <c:pt idx="8">
                  <c:v>Dec'26</c:v>
                </c:pt>
                <c:pt idx="9">
                  <c:v>Jan'27</c:v>
                </c:pt>
                <c:pt idx="10">
                  <c:v>Feb'27</c:v>
                </c:pt>
                <c:pt idx="11">
                  <c:v>Mar'27</c:v>
                </c:pt>
              </c:strCache>
            </c:strRef>
          </c:cat>
          <c:val>
            <c:numRef>
              <c:f>Tables!$D$685:$O$685</c:f>
              <c:numCache>
                <c:formatCode>0.000</c:formatCode>
                <c:ptCount val="12"/>
                <c:pt idx="0">
                  <c:v>0.23000000000000004</c:v>
                </c:pt>
                <c:pt idx="1">
                  <c:v>0.22900000000000004</c:v>
                </c:pt>
                <c:pt idx="2">
                  <c:v>0.22200000000000003</c:v>
                </c:pt>
                <c:pt idx="3">
                  <c:v>0.22100000000000003</c:v>
                </c:pt>
                <c:pt idx="4">
                  <c:v>0.22012668887780773</c:v>
                </c:pt>
                <c:pt idx="5">
                  <c:v>0</c:v>
                </c:pt>
                <c:pt idx="6">
                  <c:v>0</c:v>
                </c:pt>
                <c:pt idx="7">
                  <c:v>0</c:v>
                </c:pt>
                <c:pt idx="8">
                  <c:v>0</c:v>
                </c:pt>
                <c:pt idx="9">
                  <c:v>0</c:v>
                </c:pt>
                <c:pt idx="10">
                  <c:v>0</c:v>
                </c:pt>
                <c:pt idx="11">
                  <c:v>0</c:v>
                </c:pt>
              </c:numCache>
            </c:numRef>
          </c:val>
          <c:extLst xmlns:c16r2="http://schemas.microsoft.com/office/drawing/2015/06/chart">
            <c:ext xmlns:c16="http://schemas.microsoft.com/office/drawing/2014/chart" uri="{C3380CC4-5D6E-409C-BE32-E72D297353CC}">
              <c16:uniqueId val="{00000006-6341-4EDA-BFEA-3D5E04EF766A}"/>
            </c:ext>
          </c:extLst>
        </c:ser>
        <c:dLbls>
          <c:showLegendKey val="0"/>
          <c:showVal val="0"/>
          <c:showCatName val="0"/>
          <c:showSerName val="0"/>
          <c:showPercent val="0"/>
          <c:showBubbleSize val="0"/>
        </c:dLbls>
        <c:gapWidth val="219"/>
        <c:axId val="1160550752"/>
        <c:axId val="1160528992"/>
      </c:barChart>
      <c:catAx>
        <c:axId val="11605507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60528992"/>
        <c:crosses val="autoZero"/>
        <c:auto val="1"/>
        <c:lblAlgn val="ctr"/>
        <c:lblOffset val="100"/>
        <c:noMultiLvlLbl val="0"/>
      </c:catAx>
      <c:valAx>
        <c:axId val="1160528992"/>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60550752"/>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1000" b="0" i="0" u="none" strike="noStrike" kern="1200" baseline="0">
                <a:solidFill>
                  <a:sysClr val="windowText" lastClr="000000"/>
                </a:solidFill>
                <a:latin typeface="+mn-lt"/>
                <a:ea typeface="+mn-ea"/>
                <a:cs typeface="+mn-cs"/>
              </a:defRPr>
            </a:pPr>
            <a:endParaRPr lang="en-US"/>
          </a:p>
        </c:txPr>
      </c:dTable>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n-US" sz="1800" b="1" i="0" u="none" strike="noStrike" kern="1200" spc="0" baseline="0">
                <a:solidFill>
                  <a:sysClr val="windowText" lastClr="000000"/>
                </a:solidFill>
                <a:effectLst/>
                <a:latin typeface="+mn-lt"/>
                <a:ea typeface="+mn-ea"/>
                <a:cs typeface="+mn-cs"/>
              </a:defRPr>
            </a:pPr>
            <a:r>
              <a:rPr lang="en-US" sz="1800" b="1" i="0" u="none" strike="noStrike" kern="1200" spc="0" baseline="0">
                <a:solidFill>
                  <a:sysClr val="windowText" lastClr="000000"/>
                </a:solidFill>
                <a:effectLst/>
                <a:latin typeface="+mn-lt"/>
                <a:ea typeface="+mn-ea"/>
                <a:cs typeface="+mn-cs"/>
              </a:rPr>
              <a:t>O+OEG-OVL share-MMToE</a:t>
            </a:r>
          </a:p>
        </c:rich>
      </c:tx>
      <c:overlay val="0"/>
      <c:spPr>
        <a:noFill/>
        <a:ln>
          <a:noFill/>
        </a:ln>
        <a:effectLst/>
      </c:spPr>
    </c:title>
    <c:autoTitleDeleted val="0"/>
    <c:plotArea>
      <c:layout/>
      <c:barChart>
        <c:barDir val="col"/>
        <c:grouping val="clustered"/>
        <c:varyColors val="0"/>
        <c:ser>
          <c:idx val="0"/>
          <c:order val="0"/>
          <c:tx>
            <c:strRef>
              <c:f>Tables!$C$691</c:f>
              <c:strCache>
                <c:ptCount val="1"/>
                <c:pt idx="0">
                  <c:v>BE(MMToE)</c:v>
                </c:pt>
              </c:strCache>
            </c:strRef>
          </c:tx>
          <c:spPr>
            <a:solidFill>
              <a:schemeClr val="accent1">
                <a:lumMod val="40000"/>
                <a:lumOff val="60000"/>
              </a:schemeClr>
            </a:solidFill>
            <a:ln>
              <a:noFill/>
            </a:ln>
            <a:effectLst/>
          </c:spPr>
          <c:invertIfNegative val="0"/>
          <c:cat>
            <c:strRef>
              <c:f>Tables!$D$690:$O$690</c:f>
              <c:strCache>
                <c:ptCount val="12"/>
                <c:pt idx="0">
                  <c:v>Apr'26</c:v>
                </c:pt>
                <c:pt idx="1">
                  <c:v>May'26</c:v>
                </c:pt>
                <c:pt idx="2">
                  <c:v>June'26</c:v>
                </c:pt>
                <c:pt idx="3">
                  <c:v>July'26</c:v>
                </c:pt>
                <c:pt idx="4">
                  <c:v>Aug'26</c:v>
                </c:pt>
                <c:pt idx="5">
                  <c:v>Sep'26</c:v>
                </c:pt>
                <c:pt idx="6">
                  <c:v>Oct'26</c:v>
                </c:pt>
                <c:pt idx="7">
                  <c:v>Nov'26</c:v>
                </c:pt>
                <c:pt idx="8">
                  <c:v>Dec'26</c:v>
                </c:pt>
                <c:pt idx="9">
                  <c:v>Jan'27</c:v>
                </c:pt>
                <c:pt idx="10">
                  <c:v>Feb'27</c:v>
                </c:pt>
                <c:pt idx="11">
                  <c:v>Mar'27</c:v>
                </c:pt>
              </c:strCache>
            </c:strRef>
          </c:cat>
          <c:val>
            <c:numRef>
              <c:f>Tables!$D$691:$O$691</c:f>
              <c:numCache>
                <c:formatCode>0.000</c:formatCode>
                <c:ptCount val="12"/>
                <c:pt idx="0">
                  <c:v>0.80800000000000016</c:v>
                </c:pt>
                <c:pt idx="1">
                  <c:v>0.83199999999999996</c:v>
                </c:pt>
                <c:pt idx="2">
                  <c:v>0.80999999999999994</c:v>
                </c:pt>
                <c:pt idx="3">
                  <c:v>0.83500000000000008</c:v>
                </c:pt>
                <c:pt idx="4">
                  <c:v>0.83300000000000007</c:v>
                </c:pt>
                <c:pt idx="5">
                  <c:v>0.81100000000000005</c:v>
                </c:pt>
                <c:pt idx="6">
                  <c:v>0.83361643835616461</c:v>
                </c:pt>
                <c:pt idx="7">
                  <c:v>0.80900000000000005</c:v>
                </c:pt>
                <c:pt idx="8">
                  <c:v>0.83500000000000019</c:v>
                </c:pt>
                <c:pt idx="9">
                  <c:v>0.83300000000000007</c:v>
                </c:pt>
                <c:pt idx="10">
                  <c:v>0.75299999999999989</c:v>
                </c:pt>
                <c:pt idx="11">
                  <c:v>0.83300000000000007</c:v>
                </c:pt>
              </c:numCache>
            </c:numRef>
          </c:val>
          <c:extLst xmlns:c16r2="http://schemas.microsoft.com/office/drawing/2015/06/chart">
            <c:ext xmlns:c16="http://schemas.microsoft.com/office/drawing/2014/chart" uri="{C3380CC4-5D6E-409C-BE32-E72D297353CC}">
              <c16:uniqueId val="{00000004-8451-4B09-8D7D-7151AEE8795B}"/>
            </c:ext>
          </c:extLst>
        </c:ser>
        <c:ser>
          <c:idx val="1"/>
          <c:order val="1"/>
          <c:tx>
            <c:strRef>
              <c:f>Tables!$C$692</c:f>
              <c:strCache>
                <c:ptCount val="1"/>
                <c:pt idx="0">
                  <c:v>Actual YTD</c:v>
                </c:pt>
              </c:strCache>
            </c:strRef>
          </c:tx>
          <c:spPr>
            <a:solidFill>
              <a:schemeClr val="accent1">
                <a:lumMod val="75000"/>
              </a:schemeClr>
            </a:solidFill>
            <a:ln>
              <a:noFill/>
            </a:ln>
            <a:effectLst/>
          </c:spPr>
          <c:invertIfNegative val="0"/>
          <c:cat>
            <c:strRef>
              <c:f>Tables!$D$690:$O$690</c:f>
              <c:strCache>
                <c:ptCount val="12"/>
                <c:pt idx="0">
                  <c:v>Apr'26</c:v>
                </c:pt>
                <c:pt idx="1">
                  <c:v>May'26</c:v>
                </c:pt>
                <c:pt idx="2">
                  <c:v>June'26</c:v>
                </c:pt>
                <c:pt idx="3">
                  <c:v>July'26</c:v>
                </c:pt>
                <c:pt idx="4">
                  <c:v>Aug'26</c:v>
                </c:pt>
                <c:pt idx="5">
                  <c:v>Sep'26</c:v>
                </c:pt>
                <c:pt idx="6">
                  <c:v>Oct'26</c:v>
                </c:pt>
                <c:pt idx="7">
                  <c:v>Nov'26</c:v>
                </c:pt>
                <c:pt idx="8">
                  <c:v>Dec'26</c:v>
                </c:pt>
                <c:pt idx="9">
                  <c:v>Jan'27</c:v>
                </c:pt>
                <c:pt idx="10">
                  <c:v>Feb'27</c:v>
                </c:pt>
                <c:pt idx="11">
                  <c:v>Mar'27</c:v>
                </c:pt>
              </c:strCache>
            </c:strRef>
          </c:cat>
          <c:val>
            <c:numRef>
              <c:f>Tables!$D$692:$O$692</c:f>
              <c:numCache>
                <c:formatCode>0.000</c:formatCode>
                <c:ptCount val="12"/>
                <c:pt idx="0">
                  <c:v>0.81800000000000006</c:v>
                </c:pt>
                <c:pt idx="1">
                  <c:v>0.84000000000000008</c:v>
                </c:pt>
                <c:pt idx="2">
                  <c:v>0.82100000000000017</c:v>
                </c:pt>
                <c:pt idx="3">
                  <c:v>0.84200000000000008</c:v>
                </c:pt>
                <c:pt idx="4">
                  <c:v>0.86282871759394586</c:v>
                </c:pt>
                <c:pt idx="5">
                  <c:v>0</c:v>
                </c:pt>
                <c:pt idx="6">
                  <c:v>0</c:v>
                </c:pt>
                <c:pt idx="7">
                  <c:v>0</c:v>
                </c:pt>
                <c:pt idx="8">
                  <c:v>0</c:v>
                </c:pt>
                <c:pt idx="9">
                  <c:v>0</c:v>
                </c:pt>
                <c:pt idx="10">
                  <c:v>0</c:v>
                </c:pt>
                <c:pt idx="11">
                  <c:v>0</c:v>
                </c:pt>
              </c:numCache>
            </c:numRef>
          </c:val>
          <c:extLst xmlns:c16r2="http://schemas.microsoft.com/office/drawing/2015/06/chart">
            <c:ext xmlns:c16="http://schemas.microsoft.com/office/drawing/2014/chart" uri="{C3380CC4-5D6E-409C-BE32-E72D297353CC}">
              <c16:uniqueId val="{00000006-8451-4B09-8D7D-7151AEE8795B}"/>
            </c:ext>
          </c:extLst>
        </c:ser>
        <c:dLbls>
          <c:showLegendKey val="0"/>
          <c:showVal val="0"/>
          <c:showCatName val="0"/>
          <c:showSerName val="0"/>
          <c:showPercent val="0"/>
          <c:showBubbleSize val="0"/>
        </c:dLbls>
        <c:gapWidth val="219"/>
        <c:axId val="1160540416"/>
        <c:axId val="1160548576"/>
      </c:barChart>
      <c:catAx>
        <c:axId val="11605404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60548576"/>
        <c:crosses val="autoZero"/>
        <c:auto val="1"/>
        <c:lblAlgn val="ctr"/>
        <c:lblOffset val="100"/>
        <c:noMultiLvlLbl val="0"/>
      </c:catAx>
      <c:valAx>
        <c:axId val="1160548576"/>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60540416"/>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1000" b="0" i="0" u="none" strike="noStrike" kern="1200" baseline="0">
                <a:solidFill>
                  <a:sysClr val="windowText" lastClr="000000"/>
                </a:solidFill>
                <a:latin typeface="+mn-lt"/>
                <a:ea typeface="+mn-ea"/>
                <a:cs typeface="+mn-cs"/>
              </a:defRPr>
            </a:pPr>
            <a:endParaRPr lang="en-US"/>
          </a:p>
        </c:txPr>
      </c:dTable>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n-US" sz="1800" b="1" i="0" u="none" strike="noStrike" kern="1200" spc="0" baseline="0">
                <a:solidFill>
                  <a:sysClr val="windowText" lastClr="000000"/>
                </a:solidFill>
                <a:effectLst/>
                <a:latin typeface="+mn-lt"/>
                <a:ea typeface="+mn-ea"/>
                <a:cs typeface="+mn-cs"/>
              </a:defRPr>
            </a:pPr>
            <a:r>
              <a:rPr lang="en-US" sz="1800" b="1" i="0" u="none" strike="noStrike" kern="1200" spc="0" baseline="0">
                <a:solidFill>
                  <a:sysClr val="windowText" lastClr="000000"/>
                </a:solidFill>
                <a:effectLst/>
                <a:latin typeface="+mn-lt"/>
                <a:ea typeface="+mn-ea"/>
                <a:cs typeface="+mn-cs"/>
              </a:rPr>
              <a:t>Cumulative O+OEG-MMToE</a:t>
            </a:r>
          </a:p>
        </c:rich>
      </c:tx>
      <c:overlay val="0"/>
      <c:spPr>
        <a:noFill/>
        <a:ln>
          <a:noFill/>
        </a:ln>
        <a:effectLst/>
      </c:spPr>
    </c:title>
    <c:autoTitleDeleted val="0"/>
    <c:plotArea>
      <c:layout/>
      <c:barChart>
        <c:barDir val="col"/>
        <c:grouping val="clustered"/>
        <c:varyColors val="0"/>
        <c:ser>
          <c:idx val="0"/>
          <c:order val="0"/>
          <c:tx>
            <c:strRef>
              <c:f>Tables!$C$699</c:f>
              <c:strCache>
                <c:ptCount val="1"/>
                <c:pt idx="0">
                  <c:v>BE cumulative</c:v>
                </c:pt>
              </c:strCache>
            </c:strRef>
          </c:tx>
          <c:spPr>
            <a:solidFill>
              <a:schemeClr val="accent1">
                <a:lumMod val="40000"/>
                <a:lumOff val="60000"/>
              </a:schemeClr>
            </a:solidFill>
            <a:ln>
              <a:noFill/>
            </a:ln>
            <a:effectLst/>
          </c:spPr>
          <c:invertIfNegative val="0"/>
          <c:cat>
            <c:strRef>
              <c:f>Tables!$D$698:$O$698</c:f>
              <c:strCache>
                <c:ptCount val="12"/>
                <c:pt idx="0">
                  <c:v>Apr'26</c:v>
                </c:pt>
                <c:pt idx="1">
                  <c:v>May'26</c:v>
                </c:pt>
                <c:pt idx="2">
                  <c:v>June'26</c:v>
                </c:pt>
                <c:pt idx="3">
                  <c:v>July'26</c:v>
                </c:pt>
                <c:pt idx="4">
                  <c:v>Aug'26</c:v>
                </c:pt>
                <c:pt idx="5">
                  <c:v>Sep'26</c:v>
                </c:pt>
                <c:pt idx="6">
                  <c:v>Oct'26</c:v>
                </c:pt>
                <c:pt idx="7">
                  <c:v>Nov'26</c:v>
                </c:pt>
                <c:pt idx="8">
                  <c:v>Dec'26</c:v>
                </c:pt>
                <c:pt idx="9">
                  <c:v>Jan'27</c:v>
                </c:pt>
                <c:pt idx="10">
                  <c:v>Feb'27</c:v>
                </c:pt>
                <c:pt idx="11">
                  <c:v>Mar'27</c:v>
                </c:pt>
              </c:strCache>
            </c:strRef>
          </c:cat>
          <c:val>
            <c:numRef>
              <c:f>Tables!$D$699:$O$699</c:f>
              <c:numCache>
                <c:formatCode>0.000</c:formatCode>
                <c:ptCount val="12"/>
                <c:pt idx="0">
                  <c:v>0.80800000000000016</c:v>
                </c:pt>
                <c:pt idx="1">
                  <c:v>1.6400000000000001</c:v>
                </c:pt>
                <c:pt idx="2">
                  <c:v>2.4500000000000002</c:v>
                </c:pt>
                <c:pt idx="3">
                  <c:v>3.2850000000000001</c:v>
                </c:pt>
                <c:pt idx="4">
                  <c:v>4.1180000000000003</c:v>
                </c:pt>
                <c:pt idx="5">
                  <c:v>4.9290000000000003</c:v>
                </c:pt>
                <c:pt idx="6">
                  <c:v>5.7626164383561651</c:v>
                </c:pt>
                <c:pt idx="7">
                  <c:v>6.5716164383561653</c:v>
                </c:pt>
                <c:pt idx="8">
                  <c:v>7.4066164383561652</c:v>
                </c:pt>
                <c:pt idx="9">
                  <c:v>8.2396164383561654</c:v>
                </c:pt>
                <c:pt idx="10">
                  <c:v>8.9926164383561655</c:v>
                </c:pt>
                <c:pt idx="11">
                  <c:v>9.8256164383561657</c:v>
                </c:pt>
              </c:numCache>
            </c:numRef>
          </c:val>
          <c:extLst xmlns:c16r2="http://schemas.microsoft.com/office/drawing/2015/06/chart">
            <c:ext xmlns:c16="http://schemas.microsoft.com/office/drawing/2014/chart" uri="{C3380CC4-5D6E-409C-BE32-E72D297353CC}">
              <c16:uniqueId val="{00000004-161F-490A-AAEE-ECCD594F236C}"/>
            </c:ext>
          </c:extLst>
        </c:ser>
        <c:ser>
          <c:idx val="1"/>
          <c:order val="1"/>
          <c:tx>
            <c:strRef>
              <c:f>Tables!$C$700</c:f>
              <c:strCache>
                <c:ptCount val="1"/>
                <c:pt idx="0">
                  <c:v>Actual YTD Cumulative</c:v>
                </c:pt>
              </c:strCache>
            </c:strRef>
          </c:tx>
          <c:spPr>
            <a:solidFill>
              <a:schemeClr val="accent1">
                <a:lumMod val="75000"/>
              </a:schemeClr>
            </a:solidFill>
            <a:ln>
              <a:noFill/>
            </a:ln>
            <a:effectLst/>
          </c:spPr>
          <c:invertIfNegative val="0"/>
          <c:cat>
            <c:strRef>
              <c:f>Tables!$D$698:$O$698</c:f>
              <c:strCache>
                <c:ptCount val="12"/>
                <c:pt idx="0">
                  <c:v>Apr'26</c:v>
                </c:pt>
                <c:pt idx="1">
                  <c:v>May'26</c:v>
                </c:pt>
                <c:pt idx="2">
                  <c:v>June'26</c:v>
                </c:pt>
                <c:pt idx="3">
                  <c:v>July'26</c:v>
                </c:pt>
                <c:pt idx="4">
                  <c:v>Aug'26</c:v>
                </c:pt>
                <c:pt idx="5">
                  <c:v>Sep'26</c:v>
                </c:pt>
                <c:pt idx="6">
                  <c:v>Oct'26</c:v>
                </c:pt>
                <c:pt idx="7">
                  <c:v>Nov'26</c:v>
                </c:pt>
                <c:pt idx="8">
                  <c:v>Dec'26</c:v>
                </c:pt>
                <c:pt idx="9">
                  <c:v>Jan'27</c:v>
                </c:pt>
                <c:pt idx="10">
                  <c:v>Feb'27</c:v>
                </c:pt>
                <c:pt idx="11">
                  <c:v>Mar'27</c:v>
                </c:pt>
              </c:strCache>
            </c:strRef>
          </c:cat>
          <c:val>
            <c:numRef>
              <c:f>Tables!$D$700:$O$700</c:f>
              <c:numCache>
                <c:formatCode>0.000</c:formatCode>
                <c:ptCount val="12"/>
                <c:pt idx="0">
                  <c:v>0.81800000000000006</c:v>
                </c:pt>
                <c:pt idx="1">
                  <c:v>1.6580000000000001</c:v>
                </c:pt>
                <c:pt idx="2">
                  <c:v>2.4790000000000001</c:v>
                </c:pt>
                <c:pt idx="3">
                  <c:v>3.3210000000000002</c:v>
                </c:pt>
                <c:pt idx="4">
                  <c:v>4.1838287175939461</c:v>
                </c:pt>
                <c:pt idx="5">
                  <c:v>0</c:v>
                </c:pt>
                <c:pt idx="6">
                  <c:v>0</c:v>
                </c:pt>
                <c:pt idx="7">
                  <c:v>0</c:v>
                </c:pt>
                <c:pt idx="8">
                  <c:v>0</c:v>
                </c:pt>
                <c:pt idx="9">
                  <c:v>0</c:v>
                </c:pt>
                <c:pt idx="10">
                  <c:v>0</c:v>
                </c:pt>
                <c:pt idx="11">
                  <c:v>0</c:v>
                </c:pt>
              </c:numCache>
            </c:numRef>
          </c:val>
          <c:extLst xmlns:c16r2="http://schemas.microsoft.com/office/drawing/2015/06/chart">
            <c:ext xmlns:c16="http://schemas.microsoft.com/office/drawing/2014/chart" uri="{C3380CC4-5D6E-409C-BE32-E72D297353CC}">
              <c16:uniqueId val="{00000006-161F-490A-AAEE-ECCD594F236C}"/>
            </c:ext>
          </c:extLst>
        </c:ser>
        <c:dLbls>
          <c:showLegendKey val="0"/>
          <c:showVal val="0"/>
          <c:showCatName val="0"/>
          <c:showSerName val="0"/>
          <c:showPercent val="0"/>
          <c:showBubbleSize val="0"/>
        </c:dLbls>
        <c:gapWidth val="219"/>
        <c:axId val="1160555648"/>
        <c:axId val="1160545312"/>
      </c:barChart>
      <c:catAx>
        <c:axId val="11605556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60545312"/>
        <c:crosses val="autoZero"/>
        <c:auto val="1"/>
        <c:lblAlgn val="ctr"/>
        <c:lblOffset val="100"/>
        <c:noMultiLvlLbl val="0"/>
      </c:catAx>
      <c:valAx>
        <c:axId val="1160545312"/>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60555648"/>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1000" b="0" i="0" u="none" strike="noStrike" kern="1200" baseline="0">
                <a:solidFill>
                  <a:sysClr val="windowText" lastClr="000000"/>
                </a:solidFill>
                <a:latin typeface="+mn-lt"/>
                <a:ea typeface="+mn-ea"/>
                <a:cs typeface="+mn-cs"/>
              </a:defRPr>
            </a:pPr>
            <a:endParaRPr lang="en-US"/>
          </a:p>
        </c:txPr>
      </c:dTable>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n-US" sz="1800" b="1" i="0" u="none" strike="noStrike" kern="1200" spc="0" baseline="0">
                <a:solidFill>
                  <a:sysClr val="windowText" lastClr="000000"/>
                </a:solidFill>
                <a:effectLst/>
                <a:latin typeface="+mn-lt"/>
                <a:ea typeface="+mn-ea"/>
                <a:cs typeface="+mn-cs"/>
              </a:defRPr>
            </a:pPr>
            <a:r>
              <a:rPr lang="en-US" sz="1800" b="1" i="0" u="none" strike="noStrike" kern="1200" spc="0" baseline="0">
                <a:solidFill>
                  <a:sysClr val="windowText" lastClr="000000"/>
                </a:solidFill>
                <a:effectLst/>
                <a:latin typeface="+mn-lt"/>
                <a:ea typeface="+mn-ea"/>
                <a:cs typeface="+mn-cs"/>
              </a:rPr>
              <a:t>Oil-OVL share-MMT</a:t>
            </a:r>
          </a:p>
        </c:rich>
      </c:tx>
      <c:overlay val="0"/>
      <c:spPr>
        <a:noFill/>
        <a:ln>
          <a:noFill/>
        </a:ln>
        <a:effectLst/>
      </c:spPr>
    </c:title>
    <c:autoTitleDeleted val="0"/>
    <c:plotArea>
      <c:layout/>
      <c:barChart>
        <c:barDir val="col"/>
        <c:grouping val="clustered"/>
        <c:varyColors val="0"/>
        <c:ser>
          <c:idx val="0"/>
          <c:order val="0"/>
          <c:tx>
            <c:strRef>
              <c:f>Tables!$C$676</c:f>
              <c:strCache>
                <c:ptCount val="1"/>
                <c:pt idx="0">
                  <c:v>BE(MMT)</c:v>
                </c:pt>
              </c:strCache>
            </c:strRef>
          </c:tx>
          <c:spPr>
            <a:solidFill>
              <a:srgbClr val="92D050"/>
            </a:solidFill>
            <a:ln>
              <a:noFill/>
            </a:ln>
            <a:effectLst/>
          </c:spPr>
          <c:invertIfNegative val="0"/>
          <c:cat>
            <c:strRef>
              <c:f>Tables!$D$675:$O$675</c:f>
              <c:strCache>
                <c:ptCount val="12"/>
                <c:pt idx="0">
                  <c:v>Apr'26</c:v>
                </c:pt>
                <c:pt idx="1">
                  <c:v>May'26</c:v>
                </c:pt>
                <c:pt idx="2">
                  <c:v>June'26</c:v>
                </c:pt>
                <c:pt idx="3">
                  <c:v>July'26</c:v>
                </c:pt>
                <c:pt idx="4">
                  <c:v>Aug'26</c:v>
                </c:pt>
                <c:pt idx="5">
                  <c:v>Sep'26</c:v>
                </c:pt>
                <c:pt idx="6">
                  <c:v>Oct'26</c:v>
                </c:pt>
                <c:pt idx="7">
                  <c:v>Nov'26</c:v>
                </c:pt>
                <c:pt idx="8">
                  <c:v>Dec'26</c:v>
                </c:pt>
                <c:pt idx="9">
                  <c:v>Jan'27</c:v>
                </c:pt>
                <c:pt idx="10">
                  <c:v>Feb'27</c:v>
                </c:pt>
                <c:pt idx="11">
                  <c:v>Mar'27</c:v>
                </c:pt>
              </c:strCache>
            </c:strRef>
          </c:cat>
          <c:val>
            <c:numRef>
              <c:f>Tables!$D$676:$O$676</c:f>
              <c:numCache>
                <c:formatCode>0.000</c:formatCode>
                <c:ptCount val="12"/>
                <c:pt idx="0">
                  <c:v>0.59800000000000009</c:v>
                </c:pt>
                <c:pt idx="1">
                  <c:v>0.6160000000000001</c:v>
                </c:pt>
                <c:pt idx="2">
                  <c:v>0.60000000000000009</c:v>
                </c:pt>
                <c:pt idx="3">
                  <c:v>0.6180000000000001</c:v>
                </c:pt>
                <c:pt idx="4">
                  <c:v>0.6170000000000001</c:v>
                </c:pt>
                <c:pt idx="5">
                  <c:v>0.59900000000000009</c:v>
                </c:pt>
                <c:pt idx="6">
                  <c:v>0.6160000000000001</c:v>
                </c:pt>
                <c:pt idx="7">
                  <c:v>0.59500000000000008</c:v>
                </c:pt>
                <c:pt idx="8">
                  <c:v>0.6140000000000001</c:v>
                </c:pt>
                <c:pt idx="9">
                  <c:v>0.6110000000000001</c:v>
                </c:pt>
                <c:pt idx="10">
                  <c:v>0.55600000000000005</c:v>
                </c:pt>
                <c:pt idx="11">
                  <c:v>0.6120000000000001</c:v>
                </c:pt>
              </c:numCache>
            </c:numRef>
          </c:val>
          <c:extLst xmlns:c16r2="http://schemas.microsoft.com/office/drawing/2015/06/chart">
            <c:ext xmlns:c16="http://schemas.microsoft.com/office/drawing/2014/chart" uri="{C3380CC4-5D6E-409C-BE32-E72D297353CC}">
              <c16:uniqueId val="{00000000-B99A-4445-9093-EF0B35C69FFB}"/>
            </c:ext>
          </c:extLst>
        </c:ser>
        <c:ser>
          <c:idx val="1"/>
          <c:order val="1"/>
          <c:tx>
            <c:strRef>
              <c:f>Tables!$C$677</c:f>
              <c:strCache>
                <c:ptCount val="1"/>
                <c:pt idx="0">
                  <c:v>Actual YTD</c:v>
                </c:pt>
              </c:strCache>
            </c:strRef>
          </c:tx>
          <c:spPr>
            <a:solidFill>
              <a:srgbClr val="00B050"/>
            </a:solidFill>
            <a:ln>
              <a:noFill/>
            </a:ln>
            <a:effectLst/>
          </c:spPr>
          <c:invertIfNegative val="0"/>
          <c:cat>
            <c:strRef>
              <c:f>Tables!$D$675:$O$675</c:f>
              <c:strCache>
                <c:ptCount val="12"/>
                <c:pt idx="0">
                  <c:v>Apr'26</c:v>
                </c:pt>
                <c:pt idx="1">
                  <c:v>May'26</c:v>
                </c:pt>
                <c:pt idx="2">
                  <c:v>June'26</c:v>
                </c:pt>
                <c:pt idx="3">
                  <c:v>July'26</c:v>
                </c:pt>
                <c:pt idx="4">
                  <c:v>Aug'26</c:v>
                </c:pt>
                <c:pt idx="5">
                  <c:v>Sep'26</c:v>
                </c:pt>
                <c:pt idx="6">
                  <c:v>Oct'26</c:v>
                </c:pt>
                <c:pt idx="7">
                  <c:v>Nov'26</c:v>
                </c:pt>
                <c:pt idx="8">
                  <c:v>Dec'26</c:v>
                </c:pt>
                <c:pt idx="9">
                  <c:v>Jan'27</c:v>
                </c:pt>
                <c:pt idx="10">
                  <c:v>Feb'27</c:v>
                </c:pt>
                <c:pt idx="11">
                  <c:v>Mar'27</c:v>
                </c:pt>
              </c:strCache>
            </c:strRef>
          </c:cat>
          <c:val>
            <c:numRef>
              <c:f>Tables!$D$677:$O$677</c:f>
              <c:numCache>
                <c:formatCode>0.000</c:formatCode>
                <c:ptCount val="12"/>
                <c:pt idx="0">
                  <c:v>0.58800000000000008</c:v>
                </c:pt>
                <c:pt idx="1">
                  <c:v>0.6110000000000001</c:v>
                </c:pt>
                <c:pt idx="2">
                  <c:v>0.59900000000000009</c:v>
                </c:pt>
                <c:pt idx="3">
                  <c:v>0.62100000000000011</c:v>
                </c:pt>
                <c:pt idx="4">
                  <c:v>0.64270202871613813</c:v>
                </c:pt>
                <c:pt idx="5">
                  <c:v>0</c:v>
                </c:pt>
                <c:pt idx="6">
                  <c:v>0</c:v>
                </c:pt>
                <c:pt idx="7">
                  <c:v>0</c:v>
                </c:pt>
                <c:pt idx="8">
                  <c:v>0</c:v>
                </c:pt>
                <c:pt idx="9">
                  <c:v>0</c:v>
                </c:pt>
                <c:pt idx="10">
                  <c:v>0</c:v>
                </c:pt>
                <c:pt idx="11">
                  <c:v>0</c:v>
                </c:pt>
              </c:numCache>
            </c:numRef>
          </c:val>
          <c:extLst xmlns:c16r2="http://schemas.microsoft.com/office/drawing/2015/06/chart">
            <c:ext xmlns:c16="http://schemas.microsoft.com/office/drawing/2014/chart" uri="{C3380CC4-5D6E-409C-BE32-E72D297353CC}">
              <c16:uniqueId val="{00000001-B99A-4445-9093-EF0B35C69FFB}"/>
            </c:ext>
          </c:extLst>
        </c:ser>
        <c:dLbls>
          <c:showLegendKey val="0"/>
          <c:showVal val="0"/>
          <c:showCatName val="0"/>
          <c:showSerName val="0"/>
          <c:showPercent val="0"/>
          <c:showBubbleSize val="0"/>
        </c:dLbls>
        <c:gapWidth val="219"/>
        <c:axId val="1160556192"/>
        <c:axId val="1160541504"/>
      </c:barChart>
      <c:catAx>
        <c:axId val="11605561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60541504"/>
        <c:crosses val="autoZero"/>
        <c:auto val="1"/>
        <c:lblAlgn val="ctr"/>
        <c:lblOffset val="100"/>
        <c:noMultiLvlLbl val="0"/>
      </c:catAx>
      <c:valAx>
        <c:axId val="1160541504"/>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60556192"/>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1000" b="0" i="0" u="none" strike="noStrike" kern="1200" baseline="0">
                <a:solidFill>
                  <a:sysClr val="windowText" lastClr="000000"/>
                </a:solidFill>
                <a:latin typeface="+mn-lt"/>
                <a:ea typeface="+mn-ea"/>
                <a:cs typeface="+mn-cs"/>
              </a:defRPr>
            </a:pPr>
            <a:endParaRPr lang="en-US"/>
          </a:p>
        </c:txPr>
      </c:dTable>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n-US" sz="1800" b="1" i="0" u="none" strike="noStrike" kern="1200" spc="0" baseline="0">
                <a:solidFill>
                  <a:sysClr val="windowText" lastClr="000000"/>
                </a:solidFill>
                <a:effectLst/>
                <a:latin typeface="+mn-lt"/>
                <a:ea typeface="+mn-ea"/>
                <a:cs typeface="+mn-cs"/>
              </a:defRPr>
            </a:pPr>
            <a:r>
              <a:rPr lang="en-US" sz="1800" b="1" i="0" u="none" strike="noStrike" kern="1200" spc="0" baseline="0">
                <a:solidFill>
                  <a:sysClr val="windowText" lastClr="000000"/>
                </a:solidFill>
                <a:effectLst/>
                <a:latin typeface="+mn-lt"/>
                <a:ea typeface="+mn-ea"/>
                <a:cs typeface="+mn-cs"/>
              </a:rPr>
              <a:t>Gas-OVL share BCM</a:t>
            </a:r>
          </a:p>
        </c:rich>
      </c:tx>
      <c:overlay val="0"/>
      <c:spPr>
        <a:noFill/>
        <a:ln>
          <a:noFill/>
        </a:ln>
        <a:effectLst/>
      </c:spPr>
    </c:title>
    <c:autoTitleDeleted val="0"/>
    <c:plotArea>
      <c:layout/>
      <c:barChart>
        <c:barDir val="col"/>
        <c:grouping val="clustered"/>
        <c:varyColors val="0"/>
        <c:ser>
          <c:idx val="0"/>
          <c:order val="0"/>
          <c:tx>
            <c:strRef>
              <c:f>Tables!$C$684</c:f>
              <c:strCache>
                <c:ptCount val="1"/>
                <c:pt idx="0">
                  <c:v>BE(BCM)</c:v>
                </c:pt>
              </c:strCache>
            </c:strRef>
          </c:tx>
          <c:spPr>
            <a:solidFill>
              <a:schemeClr val="accent2">
                <a:lumMod val="40000"/>
                <a:lumOff val="60000"/>
              </a:schemeClr>
            </a:solidFill>
            <a:ln>
              <a:noFill/>
            </a:ln>
            <a:effectLst/>
          </c:spPr>
          <c:invertIfNegative val="0"/>
          <c:cat>
            <c:strRef>
              <c:f>Tables!$D$683:$O$683</c:f>
              <c:strCache>
                <c:ptCount val="12"/>
                <c:pt idx="0">
                  <c:v>Apr'26</c:v>
                </c:pt>
                <c:pt idx="1">
                  <c:v>May'26</c:v>
                </c:pt>
                <c:pt idx="2">
                  <c:v>June'26</c:v>
                </c:pt>
                <c:pt idx="3">
                  <c:v>July'26</c:v>
                </c:pt>
                <c:pt idx="4">
                  <c:v>Aug'26</c:v>
                </c:pt>
                <c:pt idx="5">
                  <c:v>Sep'26</c:v>
                </c:pt>
                <c:pt idx="6">
                  <c:v>Oct'26</c:v>
                </c:pt>
                <c:pt idx="7">
                  <c:v>Nov'26</c:v>
                </c:pt>
                <c:pt idx="8">
                  <c:v>Dec'26</c:v>
                </c:pt>
                <c:pt idx="9">
                  <c:v>Jan'27</c:v>
                </c:pt>
                <c:pt idx="10">
                  <c:v>Feb'27</c:v>
                </c:pt>
                <c:pt idx="11">
                  <c:v>Mar'27</c:v>
                </c:pt>
              </c:strCache>
            </c:strRef>
          </c:cat>
          <c:val>
            <c:numRef>
              <c:f>Tables!$D$684:$O$684</c:f>
              <c:numCache>
                <c:formatCode>0.000</c:formatCode>
                <c:ptCount val="12"/>
                <c:pt idx="0">
                  <c:v>0.21000000000000002</c:v>
                </c:pt>
                <c:pt idx="1">
                  <c:v>0.21600000000000003</c:v>
                </c:pt>
                <c:pt idx="2">
                  <c:v>0.21000000000000002</c:v>
                </c:pt>
                <c:pt idx="3">
                  <c:v>0.21700000000000003</c:v>
                </c:pt>
                <c:pt idx="4">
                  <c:v>0.21600000000000003</c:v>
                </c:pt>
                <c:pt idx="5">
                  <c:v>0.21200000000000002</c:v>
                </c:pt>
                <c:pt idx="6">
                  <c:v>0.2176164383561644</c:v>
                </c:pt>
                <c:pt idx="7">
                  <c:v>0.21400000000000002</c:v>
                </c:pt>
                <c:pt idx="8">
                  <c:v>0.22100000000000003</c:v>
                </c:pt>
                <c:pt idx="9">
                  <c:v>0.22200000000000003</c:v>
                </c:pt>
                <c:pt idx="10">
                  <c:v>0.19700000000000001</c:v>
                </c:pt>
                <c:pt idx="11">
                  <c:v>0.22100000000000003</c:v>
                </c:pt>
              </c:numCache>
            </c:numRef>
          </c:val>
          <c:extLst xmlns:c16r2="http://schemas.microsoft.com/office/drawing/2015/06/chart">
            <c:ext xmlns:c16="http://schemas.microsoft.com/office/drawing/2014/chart" uri="{C3380CC4-5D6E-409C-BE32-E72D297353CC}">
              <c16:uniqueId val="{00000000-2974-46B5-853C-5FB4664EEC1D}"/>
            </c:ext>
          </c:extLst>
        </c:ser>
        <c:ser>
          <c:idx val="1"/>
          <c:order val="1"/>
          <c:tx>
            <c:strRef>
              <c:f>Tables!$C$685</c:f>
              <c:strCache>
                <c:ptCount val="1"/>
                <c:pt idx="0">
                  <c:v>Actual YTD</c:v>
                </c:pt>
              </c:strCache>
            </c:strRef>
          </c:tx>
          <c:spPr>
            <a:solidFill>
              <a:schemeClr val="accent2">
                <a:lumMod val="75000"/>
              </a:schemeClr>
            </a:solidFill>
            <a:ln>
              <a:noFill/>
            </a:ln>
            <a:effectLst/>
          </c:spPr>
          <c:invertIfNegative val="0"/>
          <c:cat>
            <c:strRef>
              <c:f>Tables!$D$683:$O$683</c:f>
              <c:strCache>
                <c:ptCount val="12"/>
                <c:pt idx="0">
                  <c:v>Apr'26</c:v>
                </c:pt>
                <c:pt idx="1">
                  <c:v>May'26</c:v>
                </c:pt>
                <c:pt idx="2">
                  <c:v>June'26</c:v>
                </c:pt>
                <c:pt idx="3">
                  <c:v>July'26</c:v>
                </c:pt>
                <c:pt idx="4">
                  <c:v>Aug'26</c:v>
                </c:pt>
                <c:pt idx="5">
                  <c:v>Sep'26</c:v>
                </c:pt>
                <c:pt idx="6">
                  <c:v>Oct'26</c:v>
                </c:pt>
                <c:pt idx="7">
                  <c:v>Nov'26</c:v>
                </c:pt>
                <c:pt idx="8">
                  <c:v>Dec'26</c:v>
                </c:pt>
                <c:pt idx="9">
                  <c:v>Jan'27</c:v>
                </c:pt>
                <c:pt idx="10">
                  <c:v>Feb'27</c:v>
                </c:pt>
                <c:pt idx="11">
                  <c:v>Mar'27</c:v>
                </c:pt>
              </c:strCache>
            </c:strRef>
          </c:cat>
          <c:val>
            <c:numRef>
              <c:f>Tables!$D$685:$O$685</c:f>
              <c:numCache>
                <c:formatCode>0.000</c:formatCode>
                <c:ptCount val="12"/>
                <c:pt idx="0">
                  <c:v>0.23000000000000004</c:v>
                </c:pt>
                <c:pt idx="1">
                  <c:v>0.22900000000000004</c:v>
                </c:pt>
                <c:pt idx="2">
                  <c:v>0.22200000000000003</c:v>
                </c:pt>
                <c:pt idx="3">
                  <c:v>0.22100000000000003</c:v>
                </c:pt>
                <c:pt idx="4">
                  <c:v>0.22012668887780773</c:v>
                </c:pt>
                <c:pt idx="5">
                  <c:v>0</c:v>
                </c:pt>
                <c:pt idx="6">
                  <c:v>0</c:v>
                </c:pt>
                <c:pt idx="7">
                  <c:v>0</c:v>
                </c:pt>
                <c:pt idx="8">
                  <c:v>0</c:v>
                </c:pt>
                <c:pt idx="9">
                  <c:v>0</c:v>
                </c:pt>
                <c:pt idx="10">
                  <c:v>0</c:v>
                </c:pt>
                <c:pt idx="11">
                  <c:v>0</c:v>
                </c:pt>
              </c:numCache>
            </c:numRef>
          </c:val>
          <c:extLst xmlns:c16r2="http://schemas.microsoft.com/office/drawing/2015/06/chart">
            <c:ext xmlns:c16="http://schemas.microsoft.com/office/drawing/2014/chart" uri="{C3380CC4-5D6E-409C-BE32-E72D297353CC}">
              <c16:uniqueId val="{00000001-2974-46B5-853C-5FB4664EEC1D}"/>
            </c:ext>
          </c:extLst>
        </c:ser>
        <c:dLbls>
          <c:showLegendKey val="0"/>
          <c:showVal val="0"/>
          <c:showCatName val="0"/>
          <c:showSerName val="0"/>
          <c:showPercent val="0"/>
          <c:showBubbleSize val="0"/>
        </c:dLbls>
        <c:gapWidth val="219"/>
        <c:axId val="1160536064"/>
        <c:axId val="1160530080"/>
      </c:barChart>
      <c:catAx>
        <c:axId val="11605360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60530080"/>
        <c:crosses val="autoZero"/>
        <c:auto val="1"/>
        <c:lblAlgn val="ctr"/>
        <c:lblOffset val="100"/>
        <c:noMultiLvlLbl val="0"/>
      </c:catAx>
      <c:valAx>
        <c:axId val="1160530080"/>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60536064"/>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1000" b="0" i="0" u="none" strike="noStrike" kern="1200" baseline="0">
                <a:solidFill>
                  <a:sysClr val="windowText" lastClr="000000"/>
                </a:solidFill>
                <a:latin typeface="+mn-lt"/>
                <a:ea typeface="+mn-ea"/>
                <a:cs typeface="+mn-cs"/>
              </a:defRPr>
            </a:pPr>
            <a:endParaRPr lang="en-US"/>
          </a:p>
        </c:txPr>
      </c:dTable>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n-US" sz="1800" b="1" i="0" u="none" strike="noStrike" kern="1200" spc="0" baseline="0">
                <a:solidFill>
                  <a:sysClr val="windowText" lastClr="000000"/>
                </a:solidFill>
                <a:effectLst/>
                <a:latin typeface="+mn-lt"/>
                <a:ea typeface="+mn-ea"/>
                <a:cs typeface="+mn-cs"/>
              </a:defRPr>
            </a:pPr>
            <a:r>
              <a:rPr lang="en-US" sz="1800" b="1" i="0" u="none" strike="noStrike" kern="1200" spc="0" baseline="0">
                <a:solidFill>
                  <a:sysClr val="windowText" lastClr="000000"/>
                </a:solidFill>
                <a:effectLst/>
                <a:latin typeface="+mn-lt"/>
                <a:ea typeface="+mn-ea"/>
                <a:cs typeface="+mn-cs"/>
              </a:rPr>
              <a:t>O+OEG-OVL share-MMToE</a:t>
            </a:r>
          </a:p>
        </c:rich>
      </c:tx>
      <c:overlay val="0"/>
      <c:spPr>
        <a:noFill/>
        <a:ln>
          <a:noFill/>
        </a:ln>
        <a:effectLst/>
      </c:spPr>
    </c:title>
    <c:autoTitleDeleted val="0"/>
    <c:plotArea>
      <c:layout/>
      <c:barChart>
        <c:barDir val="col"/>
        <c:grouping val="clustered"/>
        <c:varyColors val="0"/>
        <c:ser>
          <c:idx val="0"/>
          <c:order val="0"/>
          <c:tx>
            <c:strRef>
              <c:f>Tables!$C$691</c:f>
              <c:strCache>
                <c:ptCount val="1"/>
                <c:pt idx="0">
                  <c:v>BE(MMToE)</c:v>
                </c:pt>
              </c:strCache>
            </c:strRef>
          </c:tx>
          <c:spPr>
            <a:solidFill>
              <a:schemeClr val="accent1">
                <a:lumMod val="40000"/>
                <a:lumOff val="60000"/>
              </a:schemeClr>
            </a:solidFill>
            <a:ln>
              <a:noFill/>
            </a:ln>
            <a:effectLst/>
          </c:spPr>
          <c:invertIfNegative val="0"/>
          <c:cat>
            <c:strRef>
              <c:f>Tables!$D$690:$O$690</c:f>
              <c:strCache>
                <c:ptCount val="12"/>
                <c:pt idx="0">
                  <c:v>Apr'26</c:v>
                </c:pt>
                <c:pt idx="1">
                  <c:v>May'26</c:v>
                </c:pt>
                <c:pt idx="2">
                  <c:v>June'26</c:v>
                </c:pt>
                <c:pt idx="3">
                  <c:v>July'26</c:v>
                </c:pt>
                <c:pt idx="4">
                  <c:v>Aug'26</c:v>
                </c:pt>
                <c:pt idx="5">
                  <c:v>Sep'26</c:v>
                </c:pt>
                <c:pt idx="6">
                  <c:v>Oct'26</c:v>
                </c:pt>
                <c:pt idx="7">
                  <c:v>Nov'26</c:v>
                </c:pt>
                <c:pt idx="8">
                  <c:v>Dec'26</c:v>
                </c:pt>
                <c:pt idx="9">
                  <c:v>Jan'27</c:v>
                </c:pt>
                <c:pt idx="10">
                  <c:v>Feb'27</c:v>
                </c:pt>
                <c:pt idx="11">
                  <c:v>Mar'27</c:v>
                </c:pt>
              </c:strCache>
            </c:strRef>
          </c:cat>
          <c:val>
            <c:numRef>
              <c:f>Tables!$D$691:$O$691</c:f>
              <c:numCache>
                <c:formatCode>0.000</c:formatCode>
                <c:ptCount val="12"/>
                <c:pt idx="0">
                  <c:v>0.80800000000000016</c:v>
                </c:pt>
                <c:pt idx="1">
                  <c:v>0.83199999999999996</c:v>
                </c:pt>
                <c:pt idx="2">
                  <c:v>0.80999999999999994</c:v>
                </c:pt>
                <c:pt idx="3">
                  <c:v>0.83500000000000008</c:v>
                </c:pt>
                <c:pt idx="4">
                  <c:v>0.83300000000000007</c:v>
                </c:pt>
                <c:pt idx="5">
                  <c:v>0.81100000000000005</c:v>
                </c:pt>
                <c:pt idx="6">
                  <c:v>0.83361643835616461</c:v>
                </c:pt>
                <c:pt idx="7">
                  <c:v>0.80900000000000005</c:v>
                </c:pt>
                <c:pt idx="8">
                  <c:v>0.83500000000000019</c:v>
                </c:pt>
                <c:pt idx="9">
                  <c:v>0.83300000000000007</c:v>
                </c:pt>
                <c:pt idx="10">
                  <c:v>0.75299999999999989</c:v>
                </c:pt>
                <c:pt idx="11">
                  <c:v>0.83300000000000007</c:v>
                </c:pt>
              </c:numCache>
            </c:numRef>
          </c:val>
          <c:extLst xmlns:c16r2="http://schemas.microsoft.com/office/drawing/2015/06/chart">
            <c:ext xmlns:c16="http://schemas.microsoft.com/office/drawing/2014/chart" uri="{C3380CC4-5D6E-409C-BE32-E72D297353CC}">
              <c16:uniqueId val="{00000000-1F66-43E5-864D-E57D8E62B335}"/>
            </c:ext>
          </c:extLst>
        </c:ser>
        <c:ser>
          <c:idx val="1"/>
          <c:order val="1"/>
          <c:tx>
            <c:strRef>
              <c:f>Tables!$C$692</c:f>
              <c:strCache>
                <c:ptCount val="1"/>
                <c:pt idx="0">
                  <c:v>Actual YTD</c:v>
                </c:pt>
              </c:strCache>
            </c:strRef>
          </c:tx>
          <c:spPr>
            <a:solidFill>
              <a:schemeClr val="accent1">
                <a:lumMod val="75000"/>
              </a:schemeClr>
            </a:solidFill>
            <a:ln>
              <a:noFill/>
            </a:ln>
            <a:effectLst/>
          </c:spPr>
          <c:invertIfNegative val="0"/>
          <c:cat>
            <c:strRef>
              <c:f>Tables!$D$690:$O$690</c:f>
              <c:strCache>
                <c:ptCount val="12"/>
                <c:pt idx="0">
                  <c:v>Apr'26</c:v>
                </c:pt>
                <c:pt idx="1">
                  <c:v>May'26</c:v>
                </c:pt>
                <c:pt idx="2">
                  <c:v>June'26</c:v>
                </c:pt>
                <c:pt idx="3">
                  <c:v>July'26</c:v>
                </c:pt>
                <c:pt idx="4">
                  <c:v>Aug'26</c:v>
                </c:pt>
                <c:pt idx="5">
                  <c:v>Sep'26</c:v>
                </c:pt>
                <c:pt idx="6">
                  <c:v>Oct'26</c:v>
                </c:pt>
                <c:pt idx="7">
                  <c:v>Nov'26</c:v>
                </c:pt>
                <c:pt idx="8">
                  <c:v>Dec'26</c:v>
                </c:pt>
                <c:pt idx="9">
                  <c:v>Jan'27</c:v>
                </c:pt>
                <c:pt idx="10">
                  <c:v>Feb'27</c:v>
                </c:pt>
                <c:pt idx="11">
                  <c:v>Mar'27</c:v>
                </c:pt>
              </c:strCache>
            </c:strRef>
          </c:cat>
          <c:val>
            <c:numRef>
              <c:f>Tables!$D$692:$O$692</c:f>
              <c:numCache>
                <c:formatCode>0.000</c:formatCode>
                <c:ptCount val="12"/>
                <c:pt idx="0">
                  <c:v>0.81800000000000006</c:v>
                </c:pt>
                <c:pt idx="1">
                  <c:v>0.84000000000000008</c:v>
                </c:pt>
                <c:pt idx="2">
                  <c:v>0.82100000000000017</c:v>
                </c:pt>
                <c:pt idx="3">
                  <c:v>0.84200000000000008</c:v>
                </c:pt>
                <c:pt idx="4">
                  <c:v>0.86282871759394586</c:v>
                </c:pt>
                <c:pt idx="5">
                  <c:v>0</c:v>
                </c:pt>
                <c:pt idx="6">
                  <c:v>0</c:v>
                </c:pt>
                <c:pt idx="7">
                  <c:v>0</c:v>
                </c:pt>
                <c:pt idx="8">
                  <c:v>0</c:v>
                </c:pt>
                <c:pt idx="9">
                  <c:v>0</c:v>
                </c:pt>
                <c:pt idx="10">
                  <c:v>0</c:v>
                </c:pt>
                <c:pt idx="11">
                  <c:v>0</c:v>
                </c:pt>
              </c:numCache>
            </c:numRef>
          </c:val>
          <c:extLst xmlns:c16r2="http://schemas.microsoft.com/office/drawing/2015/06/chart">
            <c:ext xmlns:c16="http://schemas.microsoft.com/office/drawing/2014/chart" uri="{C3380CC4-5D6E-409C-BE32-E72D297353CC}">
              <c16:uniqueId val="{00000001-1F66-43E5-864D-E57D8E62B335}"/>
            </c:ext>
          </c:extLst>
        </c:ser>
        <c:dLbls>
          <c:showLegendKey val="0"/>
          <c:showVal val="0"/>
          <c:showCatName val="0"/>
          <c:showSerName val="0"/>
          <c:showPercent val="0"/>
          <c:showBubbleSize val="0"/>
        </c:dLbls>
        <c:gapWidth val="219"/>
        <c:axId val="1160545856"/>
        <c:axId val="1160530624"/>
      </c:barChart>
      <c:catAx>
        <c:axId val="1160545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60530624"/>
        <c:crosses val="autoZero"/>
        <c:auto val="1"/>
        <c:lblAlgn val="ctr"/>
        <c:lblOffset val="100"/>
        <c:noMultiLvlLbl val="0"/>
      </c:catAx>
      <c:valAx>
        <c:axId val="1160530624"/>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60545856"/>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1000" b="0" i="0" u="none" strike="noStrike" kern="1200" baseline="0">
                <a:solidFill>
                  <a:sysClr val="windowText" lastClr="000000"/>
                </a:solidFill>
                <a:latin typeface="+mn-lt"/>
                <a:ea typeface="+mn-ea"/>
                <a:cs typeface="+mn-cs"/>
              </a:defRPr>
            </a:pPr>
            <a:endParaRPr lang="en-US"/>
          </a:p>
        </c:txPr>
      </c:dTable>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n-US" sz="1800" b="1" i="0" u="none" strike="noStrike" kern="1200" spc="0" baseline="0">
                <a:solidFill>
                  <a:sysClr val="windowText" lastClr="000000"/>
                </a:solidFill>
                <a:effectLst/>
                <a:latin typeface="+mn-lt"/>
                <a:ea typeface="+mn-ea"/>
                <a:cs typeface="+mn-cs"/>
              </a:defRPr>
            </a:pPr>
            <a:r>
              <a:rPr lang="en-US" sz="1800" b="1" i="0" u="none" strike="noStrike" kern="1200" spc="0" baseline="0">
                <a:solidFill>
                  <a:sysClr val="windowText" lastClr="000000"/>
                </a:solidFill>
                <a:effectLst/>
                <a:latin typeface="+mn-lt"/>
                <a:ea typeface="+mn-ea"/>
                <a:cs typeface="+mn-cs"/>
              </a:rPr>
              <a:t>Cumulative O+OEG-MMToE</a:t>
            </a:r>
          </a:p>
        </c:rich>
      </c:tx>
      <c:overlay val="0"/>
      <c:spPr>
        <a:noFill/>
        <a:ln>
          <a:noFill/>
        </a:ln>
        <a:effectLst/>
      </c:spPr>
    </c:title>
    <c:autoTitleDeleted val="0"/>
    <c:plotArea>
      <c:layout/>
      <c:barChart>
        <c:barDir val="col"/>
        <c:grouping val="clustered"/>
        <c:varyColors val="0"/>
        <c:ser>
          <c:idx val="0"/>
          <c:order val="0"/>
          <c:tx>
            <c:strRef>
              <c:f>Tables!$C$699</c:f>
              <c:strCache>
                <c:ptCount val="1"/>
                <c:pt idx="0">
                  <c:v>BE cumulative</c:v>
                </c:pt>
              </c:strCache>
            </c:strRef>
          </c:tx>
          <c:spPr>
            <a:solidFill>
              <a:schemeClr val="accent1">
                <a:lumMod val="40000"/>
                <a:lumOff val="60000"/>
              </a:schemeClr>
            </a:solidFill>
            <a:ln>
              <a:noFill/>
            </a:ln>
            <a:effectLst/>
          </c:spPr>
          <c:invertIfNegative val="0"/>
          <c:cat>
            <c:strRef>
              <c:f>Tables!$D$698:$O$698</c:f>
              <c:strCache>
                <c:ptCount val="12"/>
                <c:pt idx="0">
                  <c:v>Apr'26</c:v>
                </c:pt>
                <c:pt idx="1">
                  <c:v>May'26</c:v>
                </c:pt>
                <c:pt idx="2">
                  <c:v>June'26</c:v>
                </c:pt>
                <c:pt idx="3">
                  <c:v>July'26</c:v>
                </c:pt>
                <c:pt idx="4">
                  <c:v>Aug'26</c:v>
                </c:pt>
                <c:pt idx="5">
                  <c:v>Sep'26</c:v>
                </c:pt>
                <c:pt idx="6">
                  <c:v>Oct'26</c:v>
                </c:pt>
                <c:pt idx="7">
                  <c:v>Nov'26</c:v>
                </c:pt>
                <c:pt idx="8">
                  <c:v>Dec'26</c:v>
                </c:pt>
                <c:pt idx="9">
                  <c:v>Jan'27</c:v>
                </c:pt>
                <c:pt idx="10">
                  <c:v>Feb'27</c:v>
                </c:pt>
                <c:pt idx="11">
                  <c:v>Mar'27</c:v>
                </c:pt>
              </c:strCache>
            </c:strRef>
          </c:cat>
          <c:val>
            <c:numRef>
              <c:f>Tables!$D$699:$O$699</c:f>
              <c:numCache>
                <c:formatCode>0.000</c:formatCode>
                <c:ptCount val="12"/>
                <c:pt idx="0">
                  <c:v>0.80800000000000016</c:v>
                </c:pt>
                <c:pt idx="1">
                  <c:v>1.6400000000000001</c:v>
                </c:pt>
                <c:pt idx="2">
                  <c:v>2.4500000000000002</c:v>
                </c:pt>
                <c:pt idx="3">
                  <c:v>3.2850000000000001</c:v>
                </c:pt>
                <c:pt idx="4">
                  <c:v>4.1180000000000003</c:v>
                </c:pt>
                <c:pt idx="5">
                  <c:v>4.9290000000000003</c:v>
                </c:pt>
                <c:pt idx="6">
                  <c:v>5.7626164383561651</c:v>
                </c:pt>
                <c:pt idx="7">
                  <c:v>6.5716164383561653</c:v>
                </c:pt>
                <c:pt idx="8">
                  <c:v>7.4066164383561652</c:v>
                </c:pt>
                <c:pt idx="9">
                  <c:v>8.2396164383561654</c:v>
                </c:pt>
                <c:pt idx="10">
                  <c:v>8.9926164383561655</c:v>
                </c:pt>
                <c:pt idx="11">
                  <c:v>9.8256164383561657</c:v>
                </c:pt>
              </c:numCache>
            </c:numRef>
          </c:val>
          <c:extLst xmlns:c16r2="http://schemas.microsoft.com/office/drawing/2015/06/chart">
            <c:ext xmlns:c16="http://schemas.microsoft.com/office/drawing/2014/chart" uri="{C3380CC4-5D6E-409C-BE32-E72D297353CC}">
              <c16:uniqueId val="{00000000-F210-48C9-A555-146EB541369E}"/>
            </c:ext>
          </c:extLst>
        </c:ser>
        <c:ser>
          <c:idx val="1"/>
          <c:order val="1"/>
          <c:tx>
            <c:strRef>
              <c:f>Tables!$C$700</c:f>
              <c:strCache>
                <c:ptCount val="1"/>
                <c:pt idx="0">
                  <c:v>Actual YTD Cumulative</c:v>
                </c:pt>
              </c:strCache>
            </c:strRef>
          </c:tx>
          <c:spPr>
            <a:solidFill>
              <a:schemeClr val="accent1">
                <a:lumMod val="75000"/>
              </a:schemeClr>
            </a:solidFill>
            <a:ln>
              <a:noFill/>
            </a:ln>
            <a:effectLst/>
          </c:spPr>
          <c:invertIfNegative val="0"/>
          <c:cat>
            <c:strRef>
              <c:f>Tables!$D$698:$O$698</c:f>
              <c:strCache>
                <c:ptCount val="12"/>
                <c:pt idx="0">
                  <c:v>Apr'26</c:v>
                </c:pt>
                <c:pt idx="1">
                  <c:v>May'26</c:v>
                </c:pt>
                <c:pt idx="2">
                  <c:v>June'26</c:v>
                </c:pt>
                <c:pt idx="3">
                  <c:v>July'26</c:v>
                </c:pt>
                <c:pt idx="4">
                  <c:v>Aug'26</c:v>
                </c:pt>
                <c:pt idx="5">
                  <c:v>Sep'26</c:v>
                </c:pt>
                <c:pt idx="6">
                  <c:v>Oct'26</c:v>
                </c:pt>
                <c:pt idx="7">
                  <c:v>Nov'26</c:v>
                </c:pt>
                <c:pt idx="8">
                  <c:v>Dec'26</c:v>
                </c:pt>
                <c:pt idx="9">
                  <c:v>Jan'27</c:v>
                </c:pt>
                <c:pt idx="10">
                  <c:v>Feb'27</c:v>
                </c:pt>
                <c:pt idx="11">
                  <c:v>Mar'27</c:v>
                </c:pt>
              </c:strCache>
            </c:strRef>
          </c:cat>
          <c:val>
            <c:numRef>
              <c:f>Tables!$D$700:$O$700</c:f>
              <c:numCache>
                <c:formatCode>0.000</c:formatCode>
                <c:ptCount val="12"/>
                <c:pt idx="0">
                  <c:v>0.81800000000000006</c:v>
                </c:pt>
                <c:pt idx="1">
                  <c:v>1.6580000000000001</c:v>
                </c:pt>
                <c:pt idx="2">
                  <c:v>2.4790000000000001</c:v>
                </c:pt>
                <c:pt idx="3">
                  <c:v>3.3210000000000002</c:v>
                </c:pt>
                <c:pt idx="4">
                  <c:v>4.1838287175939461</c:v>
                </c:pt>
                <c:pt idx="5">
                  <c:v>0</c:v>
                </c:pt>
                <c:pt idx="6">
                  <c:v>0</c:v>
                </c:pt>
                <c:pt idx="7">
                  <c:v>0</c:v>
                </c:pt>
                <c:pt idx="8">
                  <c:v>0</c:v>
                </c:pt>
                <c:pt idx="9">
                  <c:v>0</c:v>
                </c:pt>
                <c:pt idx="10">
                  <c:v>0</c:v>
                </c:pt>
                <c:pt idx="11">
                  <c:v>0</c:v>
                </c:pt>
              </c:numCache>
            </c:numRef>
          </c:val>
          <c:extLst xmlns:c16r2="http://schemas.microsoft.com/office/drawing/2015/06/chart">
            <c:ext xmlns:c16="http://schemas.microsoft.com/office/drawing/2014/chart" uri="{C3380CC4-5D6E-409C-BE32-E72D297353CC}">
              <c16:uniqueId val="{00000001-F210-48C9-A555-146EB541369E}"/>
            </c:ext>
          </c:extLst>
        </c:ser>
        <c:dLbls>
          <c:showLegendKey val="0"/>
          <c:showVal val="0"/>
          <c:showCatName val="0"/>
          <c:showSerName val="0"/>
          <c:showPercent val="0"/>
          <c:showBubbleSize val="0"/>
        </c:dLbls>
        <c:gapWidth val="219"/>
        <c:axId val="1160527904"/>
        <c:axId val="1160531712"/>
      </c:barChart>
      <c:catAx>
        <c:axId val="11605279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60531712"/>
        <c:crosses val="autoZero"/>
        <c:auto val="1"/>
        <c:lblAlgn val="ctr"/>
        <c:lblOffset val="100"/>
        <c:noMultiLvlLbl val="0"/>
      </c:catAx>
      <c:valAx>
        <c:axId val="1160531712"/>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60527904"/>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1000" b="0" i="0" u="none" strike="noStrike" kern="1200" baseline="0">
                <a:solidFill>
                  <a:sysClr val="windowText" lastClr="000000"/>
                </a:solidFill>
                <a:latin typeface="+mn-lt"/>
                <a:ea typeface="+mn-ea"/>
                <a:cs typeface="+mn-cs"/>
              </a:defRPr>
            </a:pPr>
            <a:endParaRPr lang="en-US"/>
          </a:p>
        </c:txPr>
      </c:dTable>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US" sz="1800" b="1" i="0" baseline="0">
                <a:effectLst/>
              </a:rPr>
              <a:t>ACG Oil Production(kBOPD)</a:t>
            </a:r>
            <a:endParaRPr lang="en-US">
              <a:effectLst/>
            </a:endParaRPr>
          </a:p>
        </c:rich>
      </c:tx>
      <c:overlay val="0"/>
      <c:spPr>
        <a:noFill/>
        <a:ln>
          <a:noFill/>
        </a:ln>
        <a:effectLst/>
      </c:spPr>
    </c:title>
    <c:autoTitleDeleted val="0"/>
    <c:plotArea>
      <c:layout/>
      <c:barChart>
        <c:barDir val="col"/>
        <c:grouping val="clustered"/>
        <c:varyColors val="0"/>
        <c:ser>
          <c:idx val="0"/>
          <c:order val="0"/>
          <c:tx>
            <c:strRef>
              <c:f>Tables!$C$46</c:f>
              <c:strCache>
                <c:ptCount val="1"/>
                <c:pt idx="0">
                  <c:v>BE(kBOPD)</c:v>
                </c:pt>
              </c:strCache>
            </c:strRef>
          </c:tx>
          <c:spPr>
            <a:solidFill>
              <a:srgbClr val="92D050"/>
            </a:solidFill>
            <a:ln>
              <a:noFill/>
            </a:ln>
            <a:effectLst/>
          </c:spPr>
          <c:invertIfNegative val="0"/>
          <c:cat>
            <c:strRef>
              <c:f>Tables!$D$45:$O$45</c:f>
              <c:strCache>
                <c:ptCount val="12"/>
                <c:pt idx="0">
                  <c:v>Apr'26</c:v>
                </c:pt>
                <c:pt idx="1">
                  <c:v>May'26</c:v>
                </c:pt>
                <c:pt idx="2">
                  <c:v>June'26</c:v>
                </c:pt>
                <c:pt idx="3">
                  <c:v>July'26</c:v>
                </c:pt>
                <c:pt idx="4">
                  <c:v>Aug'26</c:v>
                </c:pt>
                <c:pt idx="5">
                  <c:v>Sep'26</c:v>
                </c:pt>
                <c:pt idx="6">
                  <c:v>Oct'26</c:v>
                </c:pt>
                <c:pt idx="7">
                  <c:v>Nov'26</c:v>
                </c:pt>
                <c:pt idx="8">
                  <c:v>Dec'26</c:v>
                </c:pt>
                <c:pt idx="9">
                  <c:v>Jan'27</c:v>
                </c:pt>
                <c:pt idx="10">
                  <c:v>Feb'27</c:v>
                </c:pt>
                <c:pt idx="11">
                  <c:v>Mar'27</c:v>
                </c:pt>
              </c:strCache>
            </c:strRef>
          </c:cat>
          <c:val>
            <c:numRef>
              <c:f>Tables!$D$46:$O$46</c:f>
              <c:numCache>
                <c:formatCode>0.00</c:formatCode>
                <c:ptCount val="12"/>
                <c:pt idx="0">
                  <c:v>329.77777777777777</c:v>
                </c:pt>
                <c:pt idx="1">
                  <c:v>327.32285635511437</c:v>
                </c:pt>
                <c:pt idx="2">
                  <c:v>329.77777777777777</c:v>
                </c:pt>
                <c:pt idx="3">
                  <c:v>327.32285635511437</c:v>
                </c:pt>
                <c:pt idx="4">
                  <c:v>327.32285635511437</c:v>
                </c:pt>
                <c:pt idx="5">
                  <c:v>329.77777777777777</c:v>
                </c:pt>
                <c:pt idx="6">
                  <c:v>319.13978494623655</c:v>
                </c:pt>
                <c:pt idx="7">
                  <c:v>329.77777777777777</c:v>
                </c:pt>
                <c:pt idx="8">
                  <c:v>327.32285635511437</c:v>
                </c:pt>
                <c:pt idx="9">
                  <c:v>327.32285635511437</c:v>
                </c:pt>
                <c:pt idx="10">
                  <c:v>326.15384615384608</c:v>
                </c:pt>
                <c:pt idx="11">
                  <c:v>327.32285635511437</c:v>
                </c:pt>
              </c:numCache>
            </c:numRef>
          </c:val>
          <c:extLst xmlns:c16r2="http://schemas.microsoft.com/office/drawing/2015/06/chart">
            <c:ext xmlns:c16="http://schemas.microsoft.com/office/drawing/2014/chart" uri="{C3380CC4-5D6E-409C-BE32-E72D297353CC}">
              <c16:uniqueId val="{00000000-0C6C-43A1-B97F-6C1FAC6E220D}"/>
            </c:ext>
          </c:extLst>
        </c:ser>
        <c:ser>
          <c:idx val="1"/>
          <c:order val="1"/>
          <c:tx>
            <c:strRef>
              <c:f>Tables!$C$47</c:f>
              <c:strCache>
                <c:ptCount val="1"/>
                <c:pt idx="0">
                  <c:v>Actual</c:v>
                </c:pt>
              </c:strCache>
            </c:strRef>
          </c:tx>
          <c:spPr>
            <a:solidFill>
              <a:srgbClr val="00B050"/>
            </a:solidFill>
            <a:ln>
              <a:noFill/>
            </a:ln>
            <a:effectLst/>
          </c:spPr>
          <c:invertIfNegative val="0"/>
          <c:cat>
            <c:strRef>
              <c:f>Tables!$D$45:$O$45</c:f>
              <c:strCache>
                <c:ptCount val="12"/>
                <c:pt idx="0">
                  <c:v>Apr'26</c:v>
                </c:pt>
                <c:pt idx="1">
                  <c:v>May'26</c:v>
                </c:pt>
                <c:pt idx="2">
                  <c:v>June'26</c:v>
                </c:pt>
                <c:pt idx="3">
                  <c:v>July'26</c:v>
                </c:pt>
                <c:pt idx="4">
                  <c:v>Aug'26</c:v>
                </c:pt>
                <c:pt idx="5">
                  <c:v>Sep'26</c:v>
                </c:pt>
                <c:pt idx="6">
                  <c:v>Oct'26</c:v>
                </c:pt>
                <c:pt idx="7">
                  <c:v>Nov'26</c:v>
                </c:pt>
                <c:pt idx="8">
                  <c:v>Dec'26</c:v>
                </c:pt>
                <c:pt idx="9">
                  <c:v>Jan'27</c:v>
                </c:pt>
                <c:pt idx="10">
                  <c:v>Feb'27</c:v>
                </c:pt>
                <c:pt idx="11">
                  <c:v>Mar'27</c:v>
                </c:pt>
              </c:strCache>
            </c:strRef>
          </c:cat>
          <c:val>
            <c:numRef>
              <c:f>Tables!$D$47:$O$47</c:f>
              <c:numCache>
                <c:formatCode>0.00</c:formatCode>
                <c:ptCount val="12"/>
                <c:pt idx="0">
                  <c:v>321.91663333333338</c:v>
                </c:pt>
                <c:pt idx="1">
                  <c:v>318.39219354806448</c:v>
                </c:pt>
                <c:pt idx="2">
                  <c:v>322.59596666833335</c:v>
                </c:pt>
                <c:pt idx="3">
                  <c:v>323.38748387387091</c:v>
                </c:pt>
                <c:pt idx="4">
                  <c:v>301.86641935483874</c:v>
                </c:pt>
                <c:pt idx="5">
                  <c:v>0</c:v>
                </c:pt>
                <c:pt idx="6">
                  <c:v>0</c:v>
                </c:pt>
                <c:pt idx="7">
                  <c:v>0</c:v>
                </c:pt>
                <c:pt idx="8">
                  <c:v>0</c:v>
                </c:pt>
                <c:pt idx="9">
                  <c:v>0</c:v>
                </c:pt>
                <c:pt idx="10">
                  <c:v>0</c:v>
                </c:pt>
                <c:pt idx="11">
                  <c:v>0</c:v>
                </c:pt>
              </c:numCache>
            </c:numRef>
          </c:val>
          <c:extLst xmlns:c16r2="http://schemas.microsoft.com/office/drawing/2015/06/chart">
            <c:ext xmlns:c16="http://schemas.microsoft.com/office/drawing/2014/chart" uri="{C3380CC4-5D6E-409C-BE32-E72D297353CC}">
              <c16:uniqueId val="{00000001-0C6C-43A1-B97F-6C1FAC6E220D}"/>
            </c:ext>
          </c:extLst>
        </c:ser>
        <c:dLbls>
          <c:showLegendKey val="0"/>
          <c:showVal val="0"/>
          <c:showCatName val="0"/>
          <c:showSerName val="0"/>
          <c:showPercent val="0"/>
          <c:showBubbleSize val="0"/>
        </c:dLbls>
        <c:gapWidth val="219"/>
        <c:axId val="1160537152"/>
        <c:axId val="1160537696"/>
      </c:barChart>
      <c:catAx>
        <c:axId val="11605371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60537696"/>
        <c:crosses val="autoZero"/>
        <c:auto val="1"/>
        <c:lblAlgn val="ctr"/>
        <c:lblOffset val="100"/>
        <c:noMultiLvlLbl val="0"/>
      </c:catAx>
      <c:valAx>
        <c:axId val="11605376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60537152"/>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1000" b="0" i="0" u="none" strike="noStrike" kern="1200" baseline="0">
                <a:solidFill>
                  <a:sysClr val="windowText" lastClr="000000"/>
                </a:solidFill>
                <a:latin typeface="+mn-lt"/>
                <a:ea typeface="+mn-ea"/>
                <a:cs typeface="+mn-cs"/>
              </a:defRPr>
            </a:pPr>
            <a:endParaRPr lang="en-US"/>
          </a:p>
        </c:txPr>
      </c:dTable>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US" sz="1800" b="1" i="0" baseline="0">
                <a:effectLst/>
              </a:rPr>
              <a:t>LZC Oil Production(kBOPD)</a:t>
            </a:r>
            <a:endParaRPr lang="en-US">
              <a:effectLst/>
            </a:endParaRPr>
          </a:p>
        </c:rich>
      </c:tx>
      <c:overlay val="0"/>
      <c:spPr>
        <a:noFill/>
        <a:ln>
          <a:noFill/>
        </a:ln>
        <a:effectLst/>
      </c:spPr>
    </c:title>
    <c:autoTitleDeleted val="0"/>
    <c:plotArea>
      <c:layout/>
      <c:barChart>
        <c:barDir val="col"/>
        <c:grouping val="clustered"/>
        <c:varyColors val="0"/>
        <c:ser>
          <c:idx val="0"/>
          <c:order val="0"/>
          <c:tx>
            <c:strRef>
              <c:f>Tables!$C$130</c:f>
              <c:strCache>
                <c:ptCount val="1"/>
                <c:pt idx="0">
                  <c:v>BE(kBOPD)</c:v>
                </c:pt>
              </c:strCache>
            </c:strRef>
          </c:tx>
          <c:spPr>
            <a:solidFill>
              <a:srgbClr val="92D050"/>
            </a:solidFill>
            <a:ln>
              <a:noFill/>
            </a:ln>
            <a:effectLst/>
          </c:spPr>
          <c:invertIfNegative val="0"/>
          <c:cat>
            <c:strRef>
              <c:f>Tables!$D$129:$O$129</c:f>
              <c:strCache>
                <c:ptCount val="12"/>
                <c:pt idx="0">
                  <c:v>Apr'26</c:v>
                </c:pt>
                <c:pt idx="1">
                  <c:v>May'26</c:v>
                </c:pt>
                <c:pt idx="2">
                  <c:v>June'26</c:v>
                </c:pt>
                <c:pt idx="3">
                  <c:v>July'26</c:v>
                </c:pt>
                <c:pt idx="4">
                  <c:v>Aug'26</c:v>
                </c:pt>
                <c:pt idx="5">
                  <c:v>Sep'26</c:v>
                </c:pt>
                <c:pt idx="6">
                  <c:v>Oct'26</c:v>
                </c:pt>
                <c:pt idx="7">
                  <c:v>Nov'26</c:v>
                </c:pt>
                <c:pt idx="8">
                  <c:v>Dec'26</c:v>
                </c:pt>
                <c:pt idx="9">
                  <c:v>Jan'27</c:v>
                </c:pt>
                <c:pt idx="10">
                  <c:v>Feb'27</c:v>
                </c:pt>
                <c:pt idx="11">
                  <c:v>Mar'27</c:v>
                </c:pt>
              </c:strCache>
            </c:strRef>
          </c:cat>
          <c:val>
            <c:numRef>
              <c:f>Tables!$D$130:$O$130</c:f>
              <c:numCache>
                <c:formatCode>0.00</c:formatCode>
                <c:ptCount val="12"/>
                <c:pt idx="0">
                  <c:v>431.80000000000007</c:v>
                </c:pt>
                <c:pt idx="1">
                  <c:v>430.16129032258067</c:v>
                </c:pt>
                <c:pt idx="2">
                  <c:v>431.80000000000007</c:v>
                </c:pt>
                <c:pt idx="3">
                  <c:v>430.16129032258067</c:v>
                </c:pt>
                <c:pt idx="4">
                  <c:v>430.16129032258067</c:v>
                </c:pt>
                <c:pt idx="5">
                  <c:v>431.80000000000007</c:v>
                </c:pt>
                <c:pt idx="6">
                  <c:v>430.16129032258067</c:v>
                </c:pt>
                <c:pt idx="7">
                  <c:v>431.80000000000007</c:v>
                </c:pt>
                <c:pt idx="8">
                  <c:v>430.16129032258067</c:v>
                </c:pt>
                <c:pt idx="9">
                  <c:v>430.16129032258067</c:v>
                </c:pt>
                <c:pt idx="10">
                  <c:v>435.42857142857144</c:v>
                </c:pt>
                <c:pt idx="11">
                  <c:v>430.16129032258067</c:v>
                </c:pt>
              </c:numCache>
            </c:numRef>
          </c:val>
          <c:extLst xmlns:c16r2="http://schemas.microsoft.com/office/drawing/2015/06/chart">
            <c:ext xmlns:c16="http://schemas.microsoft.com/office/drawing/2014/chart" uri="{C3380CC4-5D6E-409C-BE32-E72D297353CC}">
              <c16:uniqueId val="{00000000-4061-42DA-86BD-7F8CEEA1D959}"/>
            </c:ext>
          </c:extLst>
        </c:ser>
        <c:ser>
          <c:idx val="1"/>
          <c:order val="1"/>
          <c:tx>
            <c:strRef>
              <c:f>Tables!$C$131</c:f>
              <c:strCache>
                <c:ptCount val="1"/>
                <c:pt idx="0">
                  <c:v>Actual</c:v>
                </c:pt>
              </c:strCache>
            </c:strRef>
          </c:tx>
          <c:spPr>
            <a:solidFill>
              <a:srgbClr val="00B050"/>
            </a:solidFill>
            <a:ln>
              <a:noFill/>
            </a:ln>
            <a:effectLst/>
          </c:spPr>
          <c:invertIfNegative val="0"/>
          <c:cat>
            <c:strRef>
              <c:f>Tables!$D$129:$O$129</c:f>
              <c:strCache>
                <c:ptCount val="12"/>
                <c:pt idx="0">
                  <c:v>Apr'26</c:v>
                </c:pt>
                <c:pt idx="1">
                  <c:v>May'26</c:v>
                </c:pt>
                <c:pt idx="2">
                  <c:v>June'26</c:v>
                </c:pt>
                <c:pt idx="3">
                  <c:v>July'26</c:v>
                </c:pt>
                <c:pt idx="4">
                  <c:v>Aug'26</c:v>
                </c:pt>
                <c:pt idx="5">
                  <c:v>Sep'26</c:v>
                </c:pt>
                <c:pt idx="6">
                  <c:v>Oct'26</c:v>
                </c:pt>
                <c:pt idx="7">
                  <c:v>Nov'26</c:v>
                </c:pt>
                <c:pt idx="8">
                  <c:v>Dec'26</c:v>
                </c:pt>
                <c:pt idx="9">
                  <c:v>Jan'27</c:v>
                </c:pt>
                <c:pt idx="10">
                  <c:v>Feb'27</c:v>
                </c:pt>
                <c:pt idx="11">
                  <c:v>Mar'27</c:v>
                </c:pt>
              </c:strCache>
            </c:strRef>
          </c:cat>
          <c:val>
            <c:numRef>
              <c:f>Tables!$D$131:$O$131</c:f>
              <c:numCache>
                <c:formatCode>0.00</c:formatCode>
                <c:ptCount val="12"/>
                <c:pt idx="0">
                  <c:v>240.53903333333332</c:v>
                </c:pt>
                <c:pt idx="1">
                  <c:v>270.01238709645168</c:v>
                </c:pt>
                <c:pt idx="2">
                  <c:v>426.92896666666667</c:v>
                </c:pt>
                <c:pt idx="3">
                  <c:v>330.22616128967741</c:v>
                </c:pt>
                <c:pt idx="4">
                  <c:v>431.15499999999997</c:v>
                </c:pt>
                <c:pt idx="5">
                  <c:v>0</c:v>
                </c:pt>
                <c:pt idx="6">
                  <c:v>0</c:v>
                </c:pt>
                <c:pt idx="7">
                  <c:v>0</c:v>
                </c:pt>
                <c:pt idx="8">
                  <c:v>0</c:v>
                </c:pt>
                <c:pt idx="9">
                  <c:v>0</c:v>
                </c:pt>
                <c:pt idx="10">
                  <c:v>0</c:v>
                </c:pt>
                <c:pt idx="11">
                  <c:v>0</c:v>
                </c:pt>
              </c:numCache>
            </c:numRef>
          </c:val>
          <c:extLst xmlns:c16r2="http://schemas.microsoft.com/office/drawing/2015/06/chart">
            <c:ext xmlns:c16="http://schemas.microsoft.com/office/drawing/2014/chart" uri="{C3380CC4-5D6E-409C-BE32-E72D297353CC}">
              <c16:uniqueId val="{00000001-4061-42DA-86BD-7F8CEEA1D959}"/>
            </c:ext>
          </c:extLst>
        </c:ser>
        <c:dLbls>
          <c:showLegendKey val="0"/>
          <c:showVal val="0"/>
          <c:showCatName val="0"/>
          <c:showSerName val="0"/>
          <c:showPercent val="0"/>
          <c:showBubbleSize val="0"/>
        </c:dLbls>
        <c:gapWidth val="219"/>
        <c:axId val="1160543136"/>
        <c:axId val="1160549120"/>
      </c:barChart>
      <c:catAx>
        <c:axId val="11605431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60549120"/>
        <c:crosses val="autoZero"/>
        <c:auto val="1"/>
        <c:lblAlgn val="ctr"/>
        <c:lblOffset val="100"/>
        <c:noMultiLvlLbl val="0"/>
      </c:catAx>
      <c:valAx>
        <c:axId val="11605491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60543136"/>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1000" b="0" i="0" u="none" strike="noStrike" kern="1200" baseline="0">
                <a:solidFill>
                  <a:sysClr val="windowText" lastClr="000000"/>
                </a:solidFill>
                <a:latin typeface="+mn-lt"/>
                <a:ea typeface="+mn-ea"/>
                <a:cs typeface="+mn-cs"/>
              </a:defRPr>
            </a:pPr>
            <a:endParaRPr lang="en-US"/>
          </a:p>
        </c:txPr>
      </c:dTable>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US" sz="1800" b="1" i="0" baseline="0">
                <a:effectLst/>
              </a:rPr>
              <a:t>GPOC Oil Production(kBOPD)</a:t>
            </a:r>
            <a:endParaRPr lang="en-US">
              <a:effectLst/>
            </a:endParaRPr>
          </a:p>
        </c:rich>
      </c:tx>
      <c:overlay val="0"/>
      <c:spPr>
        <a:noFill/>
        <a:ln>
          <a:noFill/>
        </a:ln>
        <a:effectLst/>
      </c:spPr>
    </c:title>
    <c:autoTitleDeleted val="0"/>
    <c:plotArea>
      <c:layout/>
      <c:barChart>
        <c:barDir val="col"/>
        <c:grouping val="clustered"/>
        <c:varyColors val="0"/>
        <c:ser>
          <c:idx val="0"/>
          <c:order val="0"/>
          <c:tx>
            <c:strRef>
              <c:f>Tables!$C$144</c:f>
              <c:strCache>
                <c:ptCount val="1"/>
                <c:pt idx="0">
                  <c:v>BE(kBOPD)</c:v>
                </c:pt>
              </c:strCache>
            </c:strRef>
          </c:tx>
          <c:spPr>
            <a:solidFill>
              <a:srgbClr val="92D050"/>
            </a:solidFill>
            <a:ln>
              <a:noFill/>
            </a:ln>
            <a:effectLst/>
          </c:spPr>
          <c:invertIfNegative val="0"/>
          <c:cat>
            <c:strRef>
              <c:f>Tables!$D$143:$O$143</c:f>
              <c:strCache>
                <c:ptCount val="12"/>
                <c:pt idx="0">
                  <c:v>Apr'26</c:v>
                </c:pt>
                <c:pt idx="1">
                  <c:v>May'26</c:v>
                </c:pt>
                <c:pt idx="2">
                  <c:v>June'26</c:v>
                </c:pt>
                <c:pt idx="3">
                  <c:v>July'26</c:v>
                </c:pt>
                <c:pt idx="4">
                  <c:v>Aug'26</c:v>
                </c:pt>
                <c:pt idx="5">
                  <c:v>Sep'26</c:v>
                </c:pt>
                <c:pt idx="6">
                  <c:v>Oct'26</c:v>
                </c:pt>
                <c:pt idx="7">
                  <c:v>Nov'26</c:v>
                </c:pt>
                <c:pt idx="8">
                  <c:v>Dec'26</c:v>
                </c:pt>
                <c:pt idx="9">
                  <c:v>Jan'27</c:v>
                </c:pt>
                <c:pt idx="10">
                  <c:v>Feb'27</c:v>
                </c:pt>
                <c:pt idx="11">
                  <c:v>Mar'27</c:v>
                </c:pt>
              </c:strCache>
            </c:strRef>
          </c:cat>
          <c:val>
            <c:numRef>
              <c:f>Tables!$D$144:$O$144</c:f>
              <c:numCache>
                <c:formatCode>0.000</c:formatCode>
                <c:ptCount val="12"/>
                <c:pt idx="0">
                  <c:v>52.56</c:v>
                </c:pt>
                <c:pt idx="1">
                  <c:v>52.748387096774188</c:v>
                </c:pt>
                <c:pt idx="2">
                  <c:v>52.56</c:v>
                </c:pt>
                <c:pt idx="3">
                  <c:v>51.806451612903231</c:v>
                </c:pt>
                <c:pt idx="4">
                  <c:v>52.748387096774188</c:v>
                </c:pt>
                <c:pt idx="5">
                  <c:v>52.56</c:v>
                </c:pt>
                <c:pt idx="6">
                  <c:v>52.748387096774188</c:v>
                </c:pt>
                <c:pt idx="7">
                  <c:v>52.56</c:v>
                </c:pt>
                <c:pt idx="8">
                  <c:v>52.748387096774188</c:v>
                </c:pt>
                <c:pt idx="9">
                  <c:v>50.86451612903226</c:v>
                </c:pt>
                <c:pt idx="10">
                  <c:v>52.142857142857139</c:v>
                </c:pt>
                <c:pt idx="11">
                  <c:v>52.748387096774188</c:v>
                </c:pt>
              </c:numCache>
            </c:numRef>
          </c:val>
          <c:extLst xmlns:c16r2="http://schemas.microsoft.com/office/drawing/2015/06/chart">
            <c:ext xmlns:c16="http://schemas.microsoft.com/office/drawing/2014/chart" uri="{C3380CC4-5D6E-409C-BE32-E72D297353CC}">
              <c16:uniqueId val="{00000000-A6F1-40D0-8B2E-8AF627D8AB0B}"/>
            </c:ext>
          </c:extLst>
        </c:ser>
        <c:ser>
          <c:idx val="1"/>
          <c:order val="1"/>
          <c:tx>
            <c:strRef>
              <c:f>Tables!$C$145</c:f>
              <c:strCache>
                <c:ptCount val="1"/>
                <c:pt idx="0">
                  <c:v>Actual</c:v>
                </c:pt>
              </c:strCache>
            </c:strRef>
          </c:tx>
          <c:spPr>
            <a:solidFill>
              <a:srgbClr val="00B050"/>
            </a:solidFill>
            <a:ln>
              <a:noFill/>
            </a:ln>
            <a:effectLst/>
          </c:spPr>
          <c:invertIfNegative val="0"/>
          <c:cat>
            <c:strRef>
              <c:f>Tables!$D$143:$O$143</c:f>
              <c:strCache>
                <c:ptCount val="12"/>
                <c:pt idx="0">
                  <c:v>Apr'26</c:v>
                </c:pt>
                <c:pt idx="1">
                  <c:v>May'26</c:v>
                </c:pt>
                <c:pt idx="2">
                  <c:v>June'26</c:v>
                </c:pt>
                <c:pt idx="3">
                  <c:v>July'26</c:v>
                </c:pt>
                <c:pt idx="4">
                  <c:v>Aug'26</c:v>
                </c:pt>
                <c:pt idx="5">
                  <c:v>Sep'26</c:v>
                </c:pt>
                <c:pt idx="6">
                  <c:v>Oct'26</c:v>
                </c:pt>
                <c:pt idx="7">
                  <c:v>Nov'26</c:v>
                </c:pt>
                <c:pt idx="8">
                  <c:v>Dec'26</c:v>
                </c:pt>
                <c:pt idx="9">
                  <c:v>Jan'27</c:v>
                </c:pt>
                <c:pt idx="10">
                  <c:v>Feb'27</c:v>
                </c:pt>
                <c:pt idx="11">
                  <c:v>Mar'27</c:v>
                </c:pt>
              </c:strCache>
            </c:strRef>
          </c:cat>
          <c:val>
            <c:numRef>
              <c:f>Tables!$D$145:$O$145</c:f>
              <c:numCache>
                <c:formatCode>0.000</c:formatCode>
                <c:ptCount val="12"/>
                <c:pt idx="0">
                  <c:v>53.730633333</c:v>
                </c:pt>
                <c:pt idx="1">
                  <c:v>53.451677419032251</c:v>
                </c:pt>
                <c:pt idx="2">
                  <c:v>50.960200000999997</c:v>
                </c:pt>
                <c:pt idx="3">
                  <c:v>55.934419356129041</c:v>
                </c:pt>
                <c:pt idx="4">
                  <c:v>54.08593193548387</c:v>
                </c:pt>
                <c:pt idx="5">
                  <c:v>0</c:v>
                </c:pt>
                <c:pt idx="6">
                  <c:v>0</c:v>
                </c:pt>
                <c:pt idx="7">
                  <c:v>0</c:v>
                </c:pt>
                <c:pt idx="8">
                  <c:v>0</c:v>
                </c:pt>
                <c:pt idx="9">
                  <c:v>0</c:v>
                </c:pt>
                <c:pt idx="10">
                  <c:v>0</c:v>
                </c:pt>
                <c:pt idx="11">
                  <c:v>0</c:v>
                </c:pt>
              </c:numCache>
            </c:numRef>
          </c:val>
          <c:extLst xmlns:c16r2="http://schemas.microsoft.com/office/drawing/2015/06/chart">
            <c:ext xmlns:c16="http://schemas.microsoft.com/office/drawing/2014/chart" uri="{C3380CC4-5D6E-409C-BE32-E72D297353CC}">
              <c16:uniqueId val="{00000001-A6F1-40D0-8B2E-8AF627D8AB0B}"/>
            </c:ext>
          </c:extLst>
        </c:ser>
        <c:dLbls>
          <c:showLegendKey val="0"/>
          <c:showVal val="0"/>
          <c:showCatName val="0"/>
          <c:showSerName val="0"/>
          <c:showPercent val="0"/>
          <c:showBubbleSize val="0"/>
        </c:dLbls>
        <c:gapWidth val="219"/>
        <c:axId val="1160544768"/>
        <c:axId val="1160546400"/>
      </c:barChart>
      <c:catAx>
        <c:axId val="11605447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60546400"/>
        <c:crosses val="autoZero"/>
        <c:auto val="1"/>
        <c:lblAlgn val="ctr"/>
        <c:lblOffset val="100"/>
        <c:noMultiLvlLbl val="0"/>
      </c:catAx>
      <c:valAx>
        <c:axId val="1160546400"/>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60544768"/>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1000" b="0" i="0" u="none" strike="noStrike" kern="1200" baseline="0">
                <a:solidFill>
                  <a:sysClr val="windowText" lastClr="000000"/>
                </a:solidFill>
                <a:latin typeface="+mn-lt"/>
                <a:ea typeface="+mn-ea"/>
                <a:cs typeface="+mn-cs"/>
              </a:defRPr>
            </a:pPr>
            <a:endParaRPr lang="en-US"/>
          </a:p>
        </c:txPr>
      </c:dTable>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US" sz="1800" b="1" i="0" baseline="0">
                <a:effectLst/>
              </a:rPr>
              <a:t>SPOC Oil Production(kBOPD)</a:t>
            </a:r>
            <a:endParaRPr lang="en-US">
              <a:effectLst/>
            </a:endParaRPr>
          </a:p>
        </c:rich>
      </c:tx>
      <c:overlay val="0"/>
      <c:spPr>
        <a:noFill/>
        <a:ln>
          <a:noFill/>
        </a:ln>
        <a:effectLst/>
      </c:spPr>
    </c:title>
    <c:autoTitleDeleted val="0"/>
    <c:plotArea>
      <c:layout/>
      <c:barChart>
        <c:barDir val="col"/>
        <c:grouping val="clustered"/>
        <c:varyColors val="0"/>
        <c:ser>
          <c:idx val="0"/>
          <c:order val="0"/>
          <c:tx>
            <c:strRef>
              <c:f>Tables!$C$158</c:f>
              <c:strCache>
                <c:ptCount val="1"/>
                <c:pt idx="0">
                  <c:v>BE(kBOPD)</c:v>
                </c:pt>
              </c:strCache>
            </c:strRef>
          </c:tx>
          <c:spPr>
            <a:solidFill>
              <a:srgbClr val="92D050"/>
            </a:solidFill>
            <a:ln>
              <a:noFill/>
            </a:ln>
            <a:effectLst/>
          </c:spPr>
          <c:invertIfNegative val="0"/>
          <c:cat>
            <c:strRef>
              <c:f>Tables!$D$157:$O$157</c:f>
              <c:strCache>
                <c:ptCount val="12"/>
                <c:pt idx="0">
                  <c:v>Apr'26</c:v>
                </c:pt>
                <c:pt idx="1">
                  <c:v>May'26</c:v>
                </c:pt>
                <c:pt idx="2">
                  <c:v>June'26</c:v>
                </c:pt>
                <c:pt idx="3">
                  <c:v>July'26</c:v>
                </c:pt>
                <c:pt idx="4">
                  <c:v>Aug'26</c:v>
                </c:pt>
                <c:pt idx="5">
                  <c:v>Sep'26</c:v>
                </c:pt>
                <c:pt idx="6">
                  <c:v>Oct'26</c:v>
                </c:pt>
                <c:pt idx="7">
                  <c:v>Nov'26</c:v>
                </c:pt>
                <c:pt idx="8">
                  <c:v>Dec'26</c:v>
                </c:pt>
                <c:pt idx="9">
                  <c:v>Jan'27</c:v>
                </c:pt>
                <c:pt idx="10">
                  <c:v>Feb'27</c:v>
                </c:pt>
                <c:pt idx="11">
                  <c:v>Mar'27</c:v>
                </c:pt>
              </c:strCache>
            </c:strRef>
          </c:cat>
          <c:val>
            <c:numRef>
              <c:f>Tables!$D$158:$O$158</c:f>
              <c:numCache>
                <c:formatCode>0.000</c:formatCode>
                <c:ptCount val="12"/>
                <c:pt idx="0">
                  <c:v>13.153713298791022</c:v>
                </c:pt>
                <c:pt idx="1">
                  <c:v>12.729399966571956</c:v>
                </c:pt>
                <c:pt idx="2">
                  <c:v>13.153713298791022</c:v>
                </c:pt>
                <c:pt idx="3">
                  <c:v>13.638642821327092</c:v>
                </c:pt>
                <c:pt idx="4">
                  <c:v>12.729399966571956</c:v>
                </c:pt>
                <c:pt idx="5">
                  <c:v>13.153713298791022</c:v>
                </c:pt>
                <c:pt idx="6">
                  <c:v>13.638642821327092</c:v>
                </c:pt>
                <c:pt idx="7">
                  <c:v>13.153713298791022</c:v>
                </c:pt>
                <c:pt idx="8">
                  <c:v>13.638642821327092</c:v>
                </c:pt>
                <c:pt idx="9">
                  <c:v>12.729399966571956</c:v>
                </c:pt>
                <c:pt idx="10">
                  <c:v>13.086602516654329</c:v>
                </c:pt>
                <c:pt idx="11">
                  <c:v>12.729399966571956</c:v>
                </c:pt>
              </c:numCache>
            </c:numRef>
          </c:val>
          <c:extLst xmlns:c16r2="http://schemas.microsoft.com/office/drawing/2015/06/chart">
            <c:ext xmlns:c16="http://schemas.microsoft.com/office/drawing/2014/chart" uri="{C3380CC4-5D6E-409C-BE32-E72D297353CC}">
              <c16:uniqueId val="{00000000-97C0-40D2-AA21-321D54A79694}"/>
            </c:ext>
          </c:extLst>
        </c:ser>
        <c:ser>
          <c:idx val="1"/>
          <c:order val="1"/>
          <c:tx>
            <c:strRef>
              <c:f>Tables!$C$159</c:f>
              <c:strCache>
                <c:ptCount val="1"/>
                <c:pt idx="0">
                  <c:v>Actual</c:v>
                </c:pt>
              </c:strCache>
            </c:strRef>
          </c:tx>
          <c:spPr>
            <a:solidFill>
              <a:srgbClr val="00B050"/>
            </a:solidFill>
            <a:ln>
              <a:noFill/>
            </a:ln>
            <a:effectLst/>
          </c:spPr>
          <c:invertIfNegative val="0"/>
          <c:cat>
            <c:strRef>
              <c:f>Tables!$D$157:$O$157</c:f>
              <c:strCache>
                <c:ptCount val="12"/>
                <c:pt idx="0">
                  <c:v>Apr'26</c:v>
                </c:pt>
                <c:pt idx="1">
                  <c:v>May'26</c:v>
                </c:pt>
                <c:pt idx="2">
                  <c:v>June'26</c:v>
                </c:pt>
                <c:pt idx="3">
                  <c:v>July'26</c:v>
                </c:pt>
                <c:pt idx="4">
                  <c:v>Aug'26</c:v>
                </c:pt>
                <c:pt idx="5">
                  <c:v>Sep'26</c:v>
                </c:pt>
                <c:pt idx="6">
                  <c:v>Oct'26</c:v>
                </c:pt>
                <c:pt idx="7">
                  <c:v>Nov'26</c:v>
                </c:pt>
                <c:pt idx="8">
                  <c:v>Dec'26</c:v>
                </c:pt>
                <c:pt idx="9">
                  <c:v>Jan'27</c:v>
                </c:pt>
                <c:pt idx="10">
                  <c:v>Feb'27</c:v>
                </c:pt>
                <c:pt idx="11">
                  <c:v>Mar'27</c:v>
                </c:pt>
              </c:strCache>
            </c:strRef>
          </c:cat>
          <c:val>
            <c:numRef>
              <c:f>Tables!$D$159:$O$159</c:f>
              <c:numCache>
                <c:formatCode>0.000</c:formatCode>
                <c:ptCount val="12"/>
                <c:pt idx="0">
                  <c:v>13.140733333</c:v>
                </c:pt>
                <c:pt idx="1">
                  <c:v>12.289032258387097</c:v>
                </c:pt>
                <c:pt idx="2">
                  <c:v>12.269733333999998</c:v>
                </c:pt>
                <c:pt idx="3">
                  <c:v>11.924967742580645</c:v>
                </c:pt>
                <c:pt idx="4">
                  <c:v>12.320806451612903</c:v>
                </c:pt>
                <c:pt idx="5">
                  <c:v>0</c:v>
                </c:pt>
                <c:pt idx="6">
                  <c:v>0</c:v>
                </c:pt>
                <c:pt idx="7">
                  <c:v>0</c:v>
                </c:pt>
                <c:pt idx="8">
                  <c:v>0</c:v>
                </c:pt>
                <c:pt idx="9">
                  <c:v>0</c:v>
                </c:pt>
                <c:pt idx="10">
                  <c:v>0</c:v>
                </c:pt>
                <c:pt idx="11">
                  <c:v>0</c:v>
                </c:pt>
              </c:numCache>
            </c:numRef>
          </c:val>
          <c:extLst xmlns:c16r2="http://schemas.microsoft.com/office/drawing/2015/06/chart">
            <c:ext xmlns:c16="http://schemas.microsoft.com/office/drawing/2014/chart" uri="{C3380CC4-5D6E-409C-BE32-E72D297353CC}">
              <c16:uniqueId val="{00000001-97C0-40D2-AA21-321D54A79694}"/>
            </c:ext>
          </c:extLst>
        </c:ser>
        <c:dLbls>
          <c:showLegendKey val="0"/>
          <c:showVal val="0"/>
          <c:showCatName val="0"/>
          <c:showSerName val="0"/>
          <c:showPercent val="0"/>
          <c:showBubbleSize val="0"/>
        </c:dLbls>
        <c:gapWidth val="219"/>
        <c:axId val="1160536608"/>
        <c:axId val="1160542592"/>
      </c:barChart>
      <c:catAx>
        <c:axId val="1160536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60542592"/>
        <c:crosses val="autoZero"/>
        <c:auto val="1"/>
        <c:lblAlgn val="ctr"/>
        <c:lblOffset val="100"/>
        <c:noMultiLvlLbl val="0"/>
      </c:catAx>
      <c:valAx>
        <c:axId val="1160542592"/>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60536608"/>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1000" b="0" i="0" u="none" strike="noStrike" kern="1200" baseline="0">
                <a:solidFill>
                  <a:sysClr val="windowText" lastClr="000000"/>
                </a:solidFill>
                <a:latin typeface="+mn-lt"/>
                <a:ea typeface="+mn-ea"/>
                <a:cs typeface="+mn-cs"/>
              </a:defRPr>
            </a:pPr>
            <a:endParaRPr lang="en-US"/>
          </a:p>
        </c:txPr>
      </c:dTable>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US" sz="1800" b="1" i="0" baseline="0">
                <a:effectLst/>
              </a:rPr>
              <a:t>BC-10 Oil Production(kBOPD)</a:t>
            </a:r>
            <a:endParaRPr lang="en-US">
              <a:effectLst/>
            </a:endParaRPr>
          </a:p>
        </c:rich>
      </c:tx>
      <c:overlay val="0"/>
      <c:spPr>
        <a:noFill/>
        <a:ln>
          <a:noFill/>
        </a:ln>
        <a:effectLst/>
      </c:spPr>
    </c:title>
    <c:autoTitleDeleted val="0"/>
    <c:plotArea>
      <c:layout/>
      <c:barChart>
        <c:barDir val="col"/>
        <c:grouping val="clustered"/>
        <c:varyColors val="0"/>
        <c:ser>
          <c:idx val="0"/>
          <c:order val="0"/>
          <c:tx>
            <c:strRef>
              <c:f>Tables!$C$60</c:f>
              <c:strCache>
                <c:ptCount val="1"/>
                <c:pt idx="0">
                  <c:v>BE(kBOPD)</c:v>
                </c:pt>
              </c:strCache>
            </c:strRef>
          </c:tx>
          <c:spPr>
            <a:solidFill>
              <a:srgbClr val="92D050"/>
            </a:solidFill>
            <a:ln>
              <a:noFill/>
            </a:ln>
            <a:effectLst/>
          </c:spPr>
          <c:invertIfNegative val="0"/>
          <c:cat>
            <c:strRef>
              <c:f>Tables!$D$59:$O$59</c:f>
              <c:strCache>
                <c:ptCount val="12"/>
                <c:pt idx="0">
                  <c:v>Apr'26</c:v>
                </c:pt>
                <c:pt idx="1">
                  <c:v>May'26</c:v>
                </c:pt>
                <c:pt idx="2">
                  <c:v>June'26</c:v>
                </c:pt>
                <c:pt idx="3">
                  <c:v>July'26</c:v>
                </c:pt>
                <c:pt idx="4">
                  <c:v>Aug'26</c:v>
                </c:pt>
                <c:pt idx="5">
                  <c:v>Sep'26</c:v>
                </c:pt>
                <c:pt idx="6">
                  <c:v>Oct'26</c:v>
                </c:pt>
                <c:pt idx="7">
                  <c:v>Nov'26</c:v>
                </c:pt>
                <c:pt idx="8">
                  <c:v>Dec'26</c:v>
                </c:pt>
                <c:pt idx="9">
                  <c:v>Jan'27</c:v>
                </c:pt>
                <c:pt idx="10">
                  <c:v>Feb'27</c:v>
                </c:pt>
                <c:pt idx="11">
                  <c:v>Mar'27</c:v>
                </c:pt>
              </c:strCache>
            </c:strRef>
          </c:cat>
          <c:val>
            <c:numRef>
              <c:f>Tables!$D$60:$O$60</c:f>
              <c:numCache>
                <c:formatCode>0.000</c:formatCode>
                <c:ptCount val="12"/>
                <c:pt idx="0">
                  <c:v>23.826543209876544</c:v>
                </c:pt>
                <c:pt idx="1">
                  <c:v>23.057945041816012</c:v>
                </c:pt>
                <c:pt idx="2">
                  <c:v>23.826543209876544</c:v>
                </c:pt>
                <c:pt idx="3">
                  <c:v>23.853046594982079</c:v>
                </c:pt>
                <c:pt idx="4">
                  <c:v>23.057945041816012</c:v>
                </c:pt>
                <c:pt idx="5">
                  <c:v>23.826543209876544</c:v>
                </c:pt>
                <c:pt idx="6">
                  <c:v>23.853046594982079</c:v>
                </c:pt>
                <c:pt idx="7">
                  <c:v>23.826543209876544</c:v>
                </c:pt>
                <c:pt idx="8">
                  <c:v>23.853046594982079</c:v>
                </c:pt>
                <c:pt idx="9">
                  <c:v>23.853046594982079</c:v>
                </c:pt>
                <c:pt idx="10">
                  <c:v>23.767857142857139</c:v>
                </c:pt>
                <c:pt idx="11">
                  <c:v>23.057945041816012</c:v>
                </c:pt>
              </c:numCache>
            </c:numRef>
          </c:val>
          <c:extLst xmlns:c16r2="http://schemas.microsoft.com/office/drawing/2015/06/chart">
            <c:ext xmlns:c16="http://schemas.microsoft.com/office/drawing/2014/chart" uri="{C3380CC4-5D6E-409C-BE32-E72D297353CC}">
              <c16:uniqueId val="{00000000-5C90-433A-AD22-446F2DBAF9FE}"/>
            </c:ext>
          </c:extLst>
        </c:ser>
        <c:ser>
          <c:idx val="1"/>
          <c:order val="1"/>
          <c:tx>
            <c:strRef>
              <c:f>Tables!$C$61</c:f>
              <c:strCache>
                <c:ptCount val="1"/>
                <c:pt idx="0">
                  <c:v>Actual</c:v>
                </c:pt>
              </c:strCache>
            </c:strRef>
          </c:tx>
          <c:spPr>
            <a:solidFill>
              <a:srgbClr val="00B050"/>
            </a:solidFill>
            <a:ln>
              <a:noFill/>
            </a:ln>
            <a:effectLst/>
          </c:spPr>
          <c:invertIfNegative val="0"/>
          <c:cat>
            <c:strRef>
              <c:f>Tables!$D$59:$O$59</c:f>
              <c:strCache>
                <c:ptCount val="12"/>
                <c:pt idx="0">
                  <c:v>Apr'26</c:v>
                </c:pt>
                <c:pt idx="1">
                  <c:v>May'26</c:v>
                </c:pt>
                <c:pt idx="2">
                  <c:v>June'26</c:v>
                </c:pt>
                <c:pt idx="3">
                  <c:v>July'26</c:v>
                </c:pt>
                <c:pt idx="4">
                  <c:v>Aug'26</c:v>
                </c:pt>
                <c:pt idx="5">
                  <c:v>Sep'26</c:v>
                </c:pt>
                <c:pt idx="6">
                  <c:v>Oct'26</c:v>
                </c:pt>
                <c:pt idx="7">
                  <c:v>Nov'26</c:v>
                </c:pt>
                <c:pt idx="8">
                  <c:v>Dec'26</c:v>
                </c:pt>
                <c:pt idx="9">
                  <c:v>Jan'27</c:v>
                </c:pt>
                <c:pt idx="10">
                  <c:v>Feb'27</c:v>
                </c:pt>
                <c:pt idx="11">
                  <c:v>Mar'27</c:v>
                </c:pt>
              </c:strCache>
            </c:strRef>
          </c:cat>
          <c:val>
            <c:numRef>
              <c:f>Tables!$D$61:$O$61</c:f>
              <c:numCache>
                <c:formatCode>0.000</c:formatCode>
                <c:ptCount val="12"/>
                <c:pt idx="0">
                  <c:v>35.545783334333336</c:v>
                </c:pt>
                <c:pt idx="1">
                  <c:v>28.023939678064519</c:v>
                </c:pt>
                <c:pt idx="2">
                  <c:v>32.279925667666667</c:v>
                </c:pt>
                <c:pt idx="3">
                  <c:v>26.900451613225808</c:v>
                </c:pt>
                <c:pt idx="4">
                  <c:v>35.350548387096772</c:v>
                </c:pt>
                <c:pt idx="5">
                  <c:v>0</c:v>
                </c:pt>
                <c:pt idx="6">
                  <c:v>0</c:v>
                </c:pt>
                <c:pt idx="7">
                  <c:v>0</c:v>
                </c:pt>
                <c:pt idx="8">
                  <c:v>0</c:v>
                </c:pt>
                <c:pt idx="9">
                  <c:v>0</c:v>
                </c:pt>
                <c:pt idx="10">
                  <c:v>0</c:v>
                </c:pt>
                <c:pt idx="11">
                  <c:v>0</c:v>
                </c:pt>
              </c:numCache>
            </c:numRef>
          </c:val>
          <c:extLst xmlns:c16r2="http://schemas.microsoft.com/office/drawing/2015/06/chart">
            <c:ext xmlns:c16="http://schemas.microsoft.com/office/drawing/2014/chart" uri="{C3380CC4-5D6E-409C-BE32-E72D297353CC}">
              <c16:uniqueId val="{00000001-5C90-433A-AD22-446F2DBAF9FE}"/>
            </c:ext>
          </c:extLst>
        </c:ser>
        <c:dLbls>
          <c:showLegendKey val="0"/>
          <c:showVal val="0"/>
          <c:showCatName val="0"/>
          <c:showSerName val="0"/>
          <c:showPercent val="0"/>
          <c:showBubbleSize val="0"/>
        </c:dLbls>
        <c:gapWidth val="219"/>
        <c:axId val="1160554560"/>
        <c:axId val="1160525728"/>
      </c:barChart>
      <c:catAx>
        <c:axId val="11605545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60525728"/>
        <c:crosses val="autoZero"/>
        <c:auto val="1"/>
        <c:lblAlgn val="ctr"/>
        <c:lblOffset val="100"/>
        <c:noMultiLvlLbl val="0"/>
      </c:catAx>
      <c:valAx>
        <c:axId val="1160525728"/>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60554560"/>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1000" b="0" i="0" u="none" strike="noStrike" kern="1200" baseline="0">
                <a:solidFill>
                  <a:sysClr val="windowText" lastClr="000000"/>
                </a:solidFill>
                <a:latin typeface="+mn-lt"/>
                <a:ea typeface="+mn-ea"/>
                <a:cs typeface="+mn-cs"/>
              </a:defRPr>
            </a:pPr>
            <a:endParaRPr lang="en-US"/>
          </a:p>
        </c:txPr>
      </c:dTable>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ln>
      <a:solidFill>
        <a:sysClr val="windowText" lastClr="000000"/>
      </a:solidFill>
    </a:ln>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US" sz="1800" b="1" i="0" baseline="0">
                <a:effectLst/>
              </a:rPr>
              <a:t>MECL Oil Production(kBOPD)</a:t>
            </a:r>
            <a:endParaRPr lang="en-US">
              <a:effectLst/>
            </a:endParaRPr>
          </a:p>
        </c:rich>
      </c:tx>
      <c:overlay val="0"/>
      <c:spPr>
        <a:noFill/>
        <a:ln>
          <a:noFill/>
        </a:ln>
        <a:effectLst/>
      </c:spPr>
    </c:title>
    <c:autoTitleDeleted val="0"/>
    <c:plotArea>
      <c:layout/>
      <c:barChart>
        <c:barDir val="col"/>
        <c:grouping val="clustered"/>
        <c:varyColors val="0"/>
        <c:ser>
          <c:idx val="0"/>
          <c:order val="0"/>
          <c:tx>
            <c:strRef>
              <c:f>Tables!$C$74</c:f>
              <c:strCache>
                <c:ptCount val="1"/>
                <c:pt idx="0">
                  <c:v>BE(kBOPD)</c:v>
                </c:pt>
              </c:strCache>
            </c:strRef>
          </c:tx>
          <c:spPr>
            <a:solidFill>
              <a:srgbClr val="92D050"/>
            </a:solidFill>
            <a:ln>
              <a:noFill/>
            </a:ln>
            <a:effectLst/>
          </c:spPr>
          <c:invertIfNegative val="0"/>
          <c:cat>
            <c:strRef>
              <c:f>Tables!$D$73:$O$73</c:f>
              <c:strCache>
                <c:ptCount val="12"/>
                <c:pt idx="0">
                  <c:v>Apr'26</c:v>
                </c:pt>
                <c:pt idx="1">
                  <c:v>May'26</c:v>
                </c:pt>
                <c:pt idx="2">
                  <c:v>June'26</c:v>
                </c:pt>
                <c:pt idx="3">
                  <c:v>July'26</c:v>
                </c:pt>
                <c:pt idx="4">
                  <c:v>Aug'26</c:v>
                </c:pt>
                <c:pt idx="5">
                  <c:v>Sep'26</c:v>
                </c:pt>
                <c:pt idx="6">
                  <c:v>Oct'26</c:v>
                </c:pt>
                <c:pt idx="7">
                  <c:v>Nov'26</c:v>
                </c:pt>
                <c:pt idx="8">
                  <c:v>Dec'26</c:v>
                </c:pt>
                <c:pt idx="9">
                  <c:v>Jan'27</c:v>
                </c:pt>
                <c:pt idx="10">
                  <c:v>Feb'27</c:v>
                </c:pt>
                <c:pt idx="11">
                  <c:v>Mar'27</c:v>
                </c:pt>
              </c:strCache>
            </c:strRef>
          </c:cat>
          <c:val>
            <c:numRef>
              <c:f>Tables!$D$74:$O$74</c:f>
              <c:numCache>
                <c:formatCode>0.000</c:formatCode>
                <c:ptCount val="12"/>
                <c:pt idx="0">
                  <c:v>5.4240000000000004</c:v>
                </c:pt>
                <c:pt idx="1">
                  <c:v>5.2490322580645161</c:v>
                </c:pt>
                <c:pt idx="2">
                  <c:v>5.4240000000000004</c:v>
                </c:pt>
                <c:pt idx="3">
                  <c:v>5.6864516129032259</c:v>
                </c:pt>
                <c:pt idx="4">
                  <c:v>5.6864516129032259</c:v>
                </c:pt>
                <c:pt idx="5">
                  <c:v>5.4240000000000004</c:v>
                </c:pt>
                <c:pt idx="6">
                  <c:v>5.2490322580645161</c:v>
                </c:pt>
                <c:pt idx="7">
                  <c:v>5.4240000000000004</c:v>
                </c:pt>
                <c:pt idx="8">
                  <c:v>5.6864516129032259</c:v>
                </c:pt>
                <c:pt idx="9">
                  <c:v>5.6864516129032259</c:v>
                </c:pt>
                <c:pt idx="10">
                  <c:v>5.3271428571428574</c:v>
                </c:pt>
                <c:pt idx="11">
                  <c:v>5.2490322580645161</c:v>
                </c:pt>
              </c:numCache>
            </c:numRef>
          </c:val>
          <c:extLst xmlns:c16r2="http://schemas.microsoft.com/office/drawing/2015/06/chart">
            <c:ext xmlns:c16="http://schemas.microsoft.com/office/drawing/2014/chart" uri="{C3380CC4-5D6E-409C-BE32-E72D297353CC}">
              <c16:uniqueId val="{00000000-709D-4594-9A10-5203A91BBB83}"/>
            </c:ext>
          </c:extLst>
        </c:ser>
        <c:ser>
          <c:idx val="1"/>
          <c:order val="1"/>
          <c:tx>
            <c:strRef>
              <c:f>Tables!$C$75</c:f>
              <c:strCache>
                <c:ptCount val="1"/>
                <c:pt idx="0">
                  <c:v>Actual</c:v>
                </c:pt>
              </c:strCache>
            </c:strRef>
          </c:tx>
          <c:spPr>
            <a:solidFill>
              <a:srgbClr val="00B050"/>
            </a:solidFill>
            <a:ln>
              <a:noFill/>
            </a:ln>
            <a:effectLst/>
          </c:spPr>
          <c:invertIfNegative val="0"/>
          <c:cat>
            <c:strRef>
              <c:f>Tables!$D$73:$O$73</c:f>
              <c:strCache>
                <c:ptCount val="12"/>
                <c:pt idx="0">
                  <c:v>Apr'26</c:v>
                </c:pt>
                <c:pt idx="1">
                  <c:v>May'26</c:v>
                </c:pt>
                <c:pt idx="2">
                  <c:v>June'26</c:v>
                </c:pt>
                <c:pt idx="3">
                  <c:v>July'26</c:v>
                </c:pt>
                <c:pt idx="4">
                  <c:v>Aug'26</c:v>
                </c:pt>
                <c:pt idx="5">
                  <c:v>Sep'26</c:v>
                </c:pt>
                <c:pt idx="6">
                  <c:v>Oct'26</c:v>
                </c:pt>
                <c:pt idx="7">
                  <c:v>Nov'26</c:v>
                </c:pt>
                <c:pt idx="8">
                  <c:v>Dec'26</c:v>
                </c:pt>
                <c:pt idx="9">
                  <c:v>Jan'27</c:v>
                </c:pt>
                <c:pt idx="10">
                  <c:v>Feb'27</c:v>
                </c:pt>
                <c:pt idx="11">
                  <c:v>Mar'27</c:v>
                </c:pt>
              </c:strCache>
            </c:strRef>
          </c:cat>
          <c:val>
            <c:numRef>
              <c:f>Tables!$D$75:$O$75</c:f>
              <c:numCache>
                <c:formatCode>0.000</c:formatCode>
                <c:ptCount val="12"/>
                <c:pt idx="0">
                  <c:v>4.4825666663333337</c:v>
                </c:pt>
                <c:pt idx="1">
                  <c:v>4.4497741938709678</c:v>
                </c:pt>
                <c:pt idx="2">
                  <c:v>4.7953000000000001</c:v>
                </c:pt>
                <c:pt idx="3">
                  <c:v>4.8724838709677414</c:v>
                </c:pt>
                <c:pt idx="4">
                  <c:v>4.9768387096774198</c:v>
                </c:pt>
                <c:pt idx="5">
                  <c:v>0</c:v>
                </c:pt>
                <c:pt idx="6">
                  <c:v>0</c:v>
                </c:pt>
                <c:pt idx="7">
                  <c:v>0</c:v>
                </c:pt>
                <c:pt idx="8">
                  <c:v>0</c:v>
                </c:pt>
                <c:pt idx="9">
                  <c:v>0</c:v>
                </c:pt>
                <c:pt idx="10">
                  <c:v>0</c:v>
                </c:pt>
                <c:pt idx="11">
                  <c:v>0</c:v>
                </c:pt>
              </c:numCache>
            </c:numRef>
          </c:val>
          <c:extLst xmlns:c16r2="http://schemas.microsoft.com/office/drawing/2015/06/chart">
            <c:ext xmlns:c16="http://schemas.microsoft.com/office/drawing/2014/chart" uri="{C3380CC4-5D6E-409C-BE32-E72D297353CC}">
              <c16:uniqueId val="{00000001-709D-4594-9A10-5203A91BBB83}"/>
            </c:ext>
          </c:extLst>
        </c:ser>
        <c:dLbls>
          <c:showLegendKey val="0"/>
          <c:showVal val="0"/>
          <c:showCatName val="0"/>
          <c:showSerName val="0"/>
          <c:showPercent val="0"/>
          <c:showBubbleSize val="0"/>
        </c:dLbls>
        <c:gapWidth val="219"/>
        <c:axId val="1162193968"/>
        <c:axId val="1162174384"/>
      </c:barChart>
      <c:catAx>
        <c:axId val="11621939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62174384"/>
        <c:crosses val="autoZero"/>
        <c:auto val="1"/>
        <c:lblAlgn val="ctr"/>
        <c:lblOffset val="100"/>
        <c:noMultiLvlLbl val="0"/>
      </c:catAx>
      <c:valAx>
        <c:axId val="1162174384"/>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62193968"/>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1000" b="0" i="0" u="none" strike="noStrike" kern="1200" baseline="0">
                <a:solidFill>
                  <a:sysClr val="windowText" lastClr="000000"/>
                </a:solidFill>
                <a:latin typeface="+mn-lt"/>
                <a:ea typeface="+mn-ea"/>
                <a:cs typeface="+mn-cs"/>
              </a:defRPr>
            </a:pPr>
            <a:endParaRPr lang="en-US"/>
          </a:p>
        </c:txPr>
      </c:dTable>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ln>
      <a:solidFill>
        <a:sysClr val="windowText" lastClr="000000"/>
      </a:solidFill>
    </a:ln>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US" sz="1800" b="1" i="0" baseline="0">
                <a:effectLst/>
              </a:rPr>
              <a:t>CPO-5 Oil Production(kBOPD)</a:t>
            </a:r>
            <a:endParaRPr lang="en-US">
              <a:effectLst/>
            </a:endParaRPr>
          </a:p>
        </c:rich>
      </c:tx>
      <c:overlay val="0"/>
      <c:spPr>
        <a:noFill/>
        <a:ln>
          <a:noFill/>
        </a:ln>
        <a:effectLst/>
      </c:spPr>
    </c:title>
    <c:autoTitleDeleted val="0"/>
    <c:plotArea>
      <c:layout/>
      <c:barChart>
        <c:barDir val="col"/>
        <c:grouping val="clustered"/>
        <c:varyColors val="0"/>
        <c:ser>
          <c:idx val="0"/>
          <c:order val="0"/>
          <c:tx>
            <c:strRef>
              <c:f>Tables!$C$88</c:f>
              <c:strCache>
                <c:ptCount val="1"/>
                <c:pt idx="0">
                  <c:v>BE(kBOPD)</c:v>
                </c:pt>
              </c:strCache>
            </c:strRef>
          </c:tx>
          <c:spPr>
            <a:solidFill>
              <a:srgbClr val="92D050"/>
            </a:solidFill>
            <a:ln>
              <a:noFill/>
            </a:ln>
            <a:effectLst/>
          </c:spPr>
          <c:invertIfNegative val="0"/>
          <c:cat>
            <c:strRef>
              <c:f>Tables!$D$87:$O$87</c:f>
              <c:strCache>
                <c:ptCount val="12"/>
                <c:pt idx="0">
                  <c:v>Apr'26</c:v>
                </c:pt>
                <c:pt idx="1">
                  <c:v>May'26</c:v>
                </c:pt>
                <c:pt idx="2">
                  <c:v>June'26</c:v>
                </c:pt>
                <c:pt idx="3">
                  <c:v>July'26</c:v>
                </c:pt>
                <c:pt idx="4">
                  <c:v>Aug'26</c:v>
                </c:pt>
                <c:pt idx="5">
                  <c:v>Sep'26</c:v>
                </c:pt>
                <c:pt idx="6">
                  <c:v>Oct'26</c:v>
                </c:pt>
                <c:pt idx="7">
                  <c:v>Nov'26</c:v>
                </c:pt>
                <c:pt idx="8">
                  <c:v>Dec'26</c:v>
                </c:pt>
                <c:pt idx="9">
                  <c:v>Jan'27</c:v>
                </c:pt>
                <c:pt idx="10">
                  <c:v>Feb'27</c:v>
                </c:pt>
                <c:pt idx="11">
                  <c:v>Mar'27</c:v>
                </c:pt>
              </c:strCache>
            </c:strRef>
          </c:cat>
          <c:val>
            <c:numRef>
              <c:f>Tables!$D$88:$O$88</c:f>
              <c:numCache>
                <c:formatCode>0.000</c:formatCode>
                <c:ptCount val="12"/>
                <c:pt idx="0">
                  <c:v>22.200000000000003</c:v>
                </c:pt>
                <c:pt idx="1">
                  <c:v>22.16589861751152</c:v>
                </c:pt>
                <c:pt idx="2">
                  <c:v>22.552380952380958</c:v>
                </c:pt>
                <c:pt idx="3">
                  <c:v>22.16589861751152</c:v>
                </c:pt>
                <c:pt idx="4">
                  <c:v>22.16589861751152</c:v>
                </c:pt>
                <c:pt idx="5">
                  <c:v>22.552380952380958</c:v>
                </c:pt>
                <c:pt idx="6">
                  <c:v>22.16589861751152</c:v>
                </c:pt>
                <c:pt idx="7">
                  <c:v>22.200000000000003</c:v>
                </c:pt>
                <c:pt idx="8">
                  <c:v>22.16589861751152</c:v>
                </c:pt>
                <c:pt idx="9">
                  <c:v>22.16589861751152</c:v>
                </c:pt>
                <c:pt idx="10">
                  <c:v>22.653061224489797</c:v>
                </c:pt>
                <c:pt idx="11">
                  <c:v>22.506912442396317</c:v>
                </c:pt>
              </c:numCache>
            </c:numRef>
          </c:val>
          <c:extLst xmlns:c16r2="http://schemas.microsoft.com/office/drawing/2015/06/chart">
            <c:ext xmlns:c16="http://schemas.microsoft.com/office/drawing/2014/chart" uri="{C3380CC4-5D6E-409C-BE32-E72D297353CC}">
              <c16:uniqueId val="{00000000-74A0-4676-9B59-A9A78F0BA015}"/>
            </c:ext>
          </c:extLst>
        </c:ser>
        <c:ser>
          <c:idx val="1"/>
          <c:order val="1"/>
          <c:tx>
            <c:strRef>
              <c:f>Tables!$C$89</c:f>
              <c:strCache>
                <c:ptCount val="1"/>
                <c:pt idx="0">
                  <c:v>Actual</c:v>
                </c:pt>
              </c:strCache>
            </c:strRef>
          </c:tx>
          <c:spPr>
            <a:solidFill>
              <a:srgbClr val="00B050"/>
            </a:solidFill>
            <a:ln>
              <a:noFill/>
            </a:ln>
            <a:effectLst/>
          </c:spPr>
          <c:invertIfNegative val="0"/>
          <c:cat>
            <c:strRef>
              <c:f>Tables!$D$87:$O$87</c:f>
              <c:strCache>
                <c:ptCount val="12"/>
                <c:pt idx="0">
                  <c:v>Apr'26</c:v>
                </c:pt>
                <c:pt idx="1">
                  <c:v>May'26</c:v>
                </c:pt>
                <c:pt idx="2">
                  <c:v>June'26</c:v>
                </c:pt>
                <c:pt idx="3">
                  <c:v>July'26</c:v>
                </c:pt>
                <c:pt idx="4">
                  <c:v>Aug'26</c:v>
                </c:pt>
                <c:pt idx="5">
                  <c:v>Sep'26</c:v>
                </c:pt>
                <c:pt idx="6">
                  <c:v>Oct'26</c:v>
                </c:pt>
                <c:pt idx="7">
                  <c:v>Nov'26</c:v>
                </c:pt>
                <c:pt idx="8">
                  <c:v>Dec'26</c:v>
                </c:pt>
                <c:pt idx="9">
                  <c:v>Jan'27</c:v>
                </c:pt>
                <c:pt idx="10">
                  <c:v>Feb'27</c:v>
                </c:pt>
                <c:pt idx="11">
                  <c:v>Mar'27</c:v>
                </c:pt>
              </c:strCache>
            </c:strRef>
          </c:cat>
          <c:val>
            <c:numRef>
              <c:f>Tables!$D$89:$O$89</c:f>
              <c:numCache>
                <c:formatCode>0.000</c:formatCode>
                <c:ptCount val="12"/>
                <c:pt idx="0">
                  <c:v>18.270500001000002</c:v>
                </c:pt>
                <c:pt idx="1">
                  <c:v>21.726806451612902</c:v>
                </c:pt>
                <c:pt idx="2">
                  <c:v>21.278499999000001</c:v>
                </c:pt>
                <c:pt idx="3">
                  <c:v>20.944516129677421</c:v>
                </c:pt>
                <c:pt idx="4">
                  <c:v>21.588691290322583</c:v>
                </c:pt>
                <c:pt idx="5">
                  <c:v>0</c:v>
                </c:pt>
                <c:pt idx="6">
                  <c:v>0</c:v>
                </c:pt>
                <c:pt idx="7">
                  <c:v>0</c:v>
                </c:pt>
                <c:pt idx="8">
                  <c:v>0</c:v>
                </c:pt>
                <c:pt idx="9">
                  <c:v>0</c:v>
                </c:pt>
                <c:pt idx="10">
                  <c:v>0</c:v>
                </c:pt>
                <c:pt idx="11">
                  <c:v>0</c:v>
                </c:pt>
              </c:numCache>
            </c:numRef>
          </c:val>
          <c:extLst xmlns:c16r2="http://schemas.microsoft.com/office/drawing/2015/06/chart">
            <c:ext xmlns:c16="http://schemas.microsoft.com/office/drawing/2014/chart" uri="{C3380CC4-5D6E-409C-BE32-E72D297353CC}">
              <c16:uniqueId val="{00000001-74A0-4676-9B59-A9A78F0BA015}"/>
            </c:ext>
          </c:extLst>
        </c:ser>
        <c:dLbls>
          <c:showLegendKey val="0"/>
          <c:showVal val="0"/>
          <c:showCatName val="0"/>
          <c:showSerName val="0"/>
          <c:showPercent val="0"/>
          <c:showBubbleSize val="0"/>
        </c:dLbls>
        <c:gapWidth val="219"/>
        <c:axId val="1162168400"/>
        <c:axId val="1162171664"/>
      </c:barChart>
      <c:catAx>
        <c:axId val="1162168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62171664"/>
        <c:crosses val="autoZero"/>
        <c:auto val="1"/>
        <c:lblAlgn val="ctr"/>
        <c:lblOffset val="100"/>
        <c:noMultiLvlLbl val="0"/>
      </c:catAx>
      <c:valAx>
        <c:axId val="1162171664"/>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62168400"/>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1000" b="0" i="0" u="none" strike="noStrike" kern="1200" baseline="0">
                <a:solidFill>
                  <a:sysClr val="windowText" lastClr="000000"/>
                </a:solidFill>
                <a:latin typeface="+mn-lt"/>
                <a:ea typeface="+mn-ea"/>
                <a:cs typeface="+mn-cs"/>
              </a:defRPr>
            </a:pPr>
            <a:endParaRPr lang="en-US"/>
          </a:p>
        </c:txPr>
      </c:dTable>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ln>
      <a:solidFill>
        <a:sysClr val="windowText" lastClr="000000"/>
      </a:solidFill>
    </a:ln>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US" sz="1800" b="1" i="0" baseline="0">
                <a:effectLst/>
              </a:rPr>
              <a:t>Carabobo-1 Oil Production(kBOPD)</a:t>
            </a:r>
            <a:endParaRPr lang="en-US">
              <a:effectLst/>
            </a:endParaRPr>
          </a:p>
        </c:rich>
      </c:tx>
      <c:overlay val="0"/>
      <c:spPr>
        <a:noFill/>
        <a:ln>
          <a:noFill/>
        </a:ln>
        <a:effectLst/>
      </c:spPr>
    </c:title>
    <c:autoTitleDeleted val="0"/>
    <c:plotArea>
      <c:layout/>
      <c:barChart>
        <c:barDir val="col"/>
        <c:grouping val="clustered"/>
        <c:varyColors val="0"/>
        <c:ser>
          <c:idx val="0"/>
          <c:order val="0"/>
          <c:tx>
            <c:strRef>
              <c:f>Tables!$C$102</c:f>
              <c:strCache>
                <c:ptCount val="1"/>
                <c:pt idx="0">
                  <c:v>BE(kBOPD)</c:v>
                </c:pt>
              </c:strCache>
            </c:strRef>
          </c:tx>
          <c:spPr>
            <a:solidFill>
              <a:srgbClr val="92D050"/>
            </a:solidFill>
            <a:ln>
              <a:noFill/>
            </a:ln>
            <a:effectLst/>
          </c:spPr>
          <c:invertIfNegative val="0"/>
          <c:cat>
            <c:strRef>
              <c:f>Tables!$D$101:$O$101</c:f>
              <c:strCache>
                <c:ptCount val="12"/>
                <c:pt idx="0">
                  <c:v>Apr'26</c:v>
                </c:pt>
                <c:pt idx="1">
                  <c:v>May'26</c:v>
                </c:pt>
                <c:pt idx="2">
                  <c:v>June'26</c:v>
                </c:pt>
                <c:pt idx="3">
                  <c:v>July'26</c:v>
                </c:pt>
                <c:pt idx="4">
                  <c:v>Aug'26</c:v>
                </c:pt>
                <c:pt idx="5">
                  <c:v>Sep'26</c:v>
                </c:pt>
                <c:pt idx="6">
                  <c:v>Oct'26</c:v>
                </c:pt>
                <c:pt idx="7">
                  <c:v>Nov'26</c:v>
                </c:pt>
                <c:pt idx="8">
                  <c:v>Dec'26</c:v>
                </c:pt>
                <c:pt idx="9">
                  <c:v>Jan'27</c:v>
                </c:pt>
                <c:pt idx="10">
                  <c:v>Feb'27</c:v>
                </c:pt>
                <c:pt idx="11">
                  <c:v>Mar'27</c:v>
                </c:pt>
              </c:strCache>
            </c:strRef>
          </c:cat>
          <c:val>
            <c:numRef>
              <c:f>Tables!$D$102:$O$102</c:f>
              <c:numCache>
                <c:formatCode>0.000</c:formatCode>
                <c:ptCount val="12"/>
                <c:pt idx="0">
                  <c:v>7.5636363636363635</c:v>
                </c:pt>
                <c:pt idx="1">
                  <c:v>9.1495601173020535</c:v>
                </c:pt>
                <c:pt idx="2">
                  <c:v>7.5636363636363635</c:v>
                </c:pt>
                <c:pt idx="3">
                  <c:v>7.3196480938416411</c:v>
                </c:pt>
                <c:pt idx="4">
                  <c:v>9.1495601173020535</c:v>
                </c:pt>
                <c:pt idx="5">
                  <c:v>7.5636363636363635</c:v>
                </c:pt>
                <c:pt idx="6">
                  <c:v>7.3196480938416411</c:v>
                </c:pt>
                <c:pt idx="7">
                  <c:v>7.5636363636363635</c:v>
                </c:pt>
                <c:pt idx="8">
                  <c:v>7.3196480938416411</c:v>
                </c:pt>
                <c:pt idx="9">
                  <c:v>7.3196480938416411</c:v>
                </c:pt>
                <c:pt idx="10">
                  <c:v>8.103896103896103</c:v>
                </c:pt>
                <c:pt idx="11">
                  <c:v>7.3196480938416411</c:v>
                </c:pt>
              </c:numCache>
            </c:numRef>
          </c:val>
          <c:extLst xmlns:c16r2="http://schemas.microsoft.com/office/drawing/2015/06/chart">
            <c:ext xmlns:c16="http://schemas.microsoft.com/office/drawing/2014/chart" uri="{C3380CC4-5D6E-409C-BE32-E72D297353CC}">
              <c16:uniqueId val="{00000000-94B7-4C1E-9B58-86DE9A85CEF3}"/>
            </c:ext>
          </c:extLst>
        </c:ser>
        <c:ser>
          <c:idx val="1"/>
          <c:order val="1"/>
          <c:tx>
            <c:strRef>
              <c:f>Tables!$C$103</c:f>
              <c:strCache>
                <c:ptCount val="1"/>
                <c:pt idx="0">
                  <c:v>Actual</c:v>
                </c:pt>
              </c:strCache>
            </c:strRef>
          </c:tx>
          <c:spPr>
            <a:solidFill>
              <a:srgbClr val="00B050"/>
            </a:solidFill>
            <a:ln>
              <a:noFill/>
            </a:ln>
            <a:effectLst/>
          </c:spPr>
          <c:invertIfNegative val="0"/>
          <c:cat>
            <c:strRef>
              <c:f>Tables!$D$101:$O$101</c:f>
              <c:strCache>
                <c:ptCount val="12"/>
                <c:pt idx="0">
                  <c:v>Apr'26</c:v>
                </c:pt>
                <c:pt idx="1">
                  <c:v>May'26</c:v>
                </c:pt>
                <c:pt idx="2">
                  <c:v>June'26</c:v>
                </c:pt>
                <c:pt idx="3">
                  <c:v>July'26</c:v>
                </c:pt>
                <c:pt idx="4">
                  <c:v>Aug'26</c:v>
                </c:pt>
                <c:pt idx="5">
                  <c:v>Sep'26</c:v>
                </c:pt>
                <c:pt idx="6">
                  <c:v>Oct'26</c:v>
                </c:pt>
                <c:pt idx="7">
                  <c:v>Nov'26</c:v>
                </c:pt>
                <c:pt idx="8">
                  <c:v>Dec'26</c:v>
                </c:pt>
                <c:pt idx="9">
                  <c:v>Jan'27</c:v>
                </c:pt>
                <c:pt idx="10">
                  <c:v>Feb'27</c:v>
                </c:pt>
                <c:pt idx="11">
                  <c:v>Mar'27</c:v>
                </c:pt>
              </c:strCache>
            </c:strRef>
          </c:cat>
          <c:val>
            <c:numRef>
              <c:f>Tables!$D$103:$O$103</c:f>
              <c:numCache>
                <c:formatCode>0.000</c:formatCode>
                <c:ptCount val="12"/>
                <c:pt idx="0">
                  <c:v>7.0230999993333336</c:v>
                </c:pt>
                <c:pt idx="1">
                  <c:v>6.9520645158064518</c:v>
                </c:pt>
                <c:pt idx="2">
                  <c:v>6.9692999993333329</c:v>
                </c:pt>
                <c:pt idx="3">
                  <c:v>6.9548064516129031</c:v>
                </c:pt>
                <c:pt idx="4">
                  <c:v>6.9134193548387097</c:v>
                </c:pt>
                <c:pt idx="5">
                  <c:v>0</c:v>
                </c:pt>
                <c:pt idx="6">
                  <c:v>0</c:v>
                </c:pt>
                <c:pt idx="7">
                  <c:v>0</c:v>
                </c:pt>
                <c:pt idx="8">
                  <c:v>0</c:v>
                </c:pt>
                <c:pt idx="9">
                  <c:v>0</c:v>
                </c:pt>
                <c:pt idx="10">
                  <c:v>0</c:v>
                </c:pt>
                <c:pt idx="11">
                  <c:v>0</c:v>
                </c:pt>
              </c:numCache>
            </c:numRef>
          </c:val>
          <c:extLst xmlns:c16r2="http://schemas.microsoft.com/office/drawing/2015/06/chart">
            <c:ext xmlns:c16="http://schemas.microsoft.com/office/drawing/2014/chart" uri="{C3380CC4-5D6E-409C-BE32-E72D297353CC}">
              <c16:uniqueId val="{00000001-94B7-4C1E-9B58-86DE9A85CEF3}"/>
            </c:ext>
          </c:extLst>
        </c:ser>
        <c:dLbls>
          <c:showLegendKey val="0"/>
          <c:showVal val="0"/>
          <c:showCatName val="0"/>
          <c:showSerName val="0"/>
          <c:showPercent val="0"/>
          <c:showBubbleSize val="0"/>
        </c:dLbls>
        <c:gapWidth val="219"/>
        <c:axId val="1162194512"/>
        <c:axId val="1162175472"/>
      </c:barChart>
      <c:catAx>
        <c:axId val="11621945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62175472"/>
        <c:crosses val="autoZero"/>
        <c:auto val="1"/>
        <c:lblAlgn val="ctr"/>
        <c:lblOffset val="100"/>
        <c:noMultiLvlLbl val="0"/>
      </c:catAx>
      <c:valAx>
        <c:axId val="1162175472"/>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62194512"/>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1000" b="0" i="0" u="none" strike="noStrike" kern="1200" baseline="0">
                <a:solidFill>
                  <a:sysClr val="windowText" lastClr="000000"/>
                </a:solidFill>
                <a:latin typeface="+mn-lt"/>
                <a:ea typeface="+mn-ea"/>
                <a:cs typeface="+mn-cs"/>
              </a:defRPr>
            </a:pPr>
            <a:endParaRPr lang="en-US"/>
          </a:p>
        </c:txPr>
      </c:dTable>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ln>
      <a:solidFill>
        <a:sysClr val="windowText" lastClr="000000"/>
      </a:solidFill>
    </a:ln>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US" sz="1800" b="1" i="0" baseline="0">
                <a:effectLst/>
              </a:rPr>
              <a:t>Sancristobal Oil Production(kBOPD)</a:t>
            </a:r>
            <a:endParaRPr lang="en-US">
              <a:effectLst/>
            </a:endParaRPr>
          </a:p>
        </c:rich>
      </c:tx>
      <c:overlay val="0"/>
      <c:spPr>
        <a:noFill/>
        <a:ln>
          <a:noFill/>
        </a:ln>
        <a:effectLst/>
      </c:spPr>
    </c:title>
    <c:autoTitleDeleted val="0"/>
    <c:plotArea>
      <c:layout/>
      <c:barChart>
        <c:barDir val="col"/>
        <c:grouping val="clustered"/>
        <c:varyColors val="0"/>
        <c:ser>
          <c:idx val="0"/>
          <c:order val="0"/>
          <c:tx>
            <c:strRef>
              <c:f>Tables!$C$116</c:f>
              <c:strCache>
                <c:ptCount val="1"/>
                <c:pt idx="0">
                  <c:v>BE(kBOPD)</c:v>
                </c:pt>
              </c:strCache>
            </c:strRef>
          </c:tx>
          <c:spPr>
            <a:solidFill>
              <a:srgbClr val="92D050"/>
            </a:solidFill>
            <a:ln>
              <a:noFill/>
            </a:ln>
            <a:effectLst/>
          </c:spPr>
          <c:invertIfNegative val="0"/>
          <c:cat>
            <c:strRef>
              <c:f>Tables!$D$115:$O$115</c:f>
              <c:strCache>
                <c:ptCount val="12"/>
                <c:pt idx="0">
                  <c:v>Apr'26</c:v>
                </c:pt>
                <c:pt idx="1">
                  <c:v>May'26</c:v>
                </c:pt>
                <c:pt idx="2">
                  <c:v>June'26</c:v>
                </c:pt>
                <c:pt idx="3">
                  <c:v>July'26</c:v>
                </c:pt>
                <c:pt idx="4">
                  <c:v>Aug'26</c:v>
                </c:pt>
                <c:pt idx="5">
                  <c:v>Sep'26</c:v>
                </c:pt>
                <c:pt idx="6">
                  <c:v>Oct'26</c:v>
                </c:pt>
                <c:pt idx="7">
                  <c:v>Nov'26</c:v>
                </c:pt>
                <c:pt idx="8">
                  <c:v>Dec'26</c:v>
                </c:pt>
                <c:pt idx="9">
                  <c:v>Jan'27</c:v>
                </c:pt>
                <c:pt idx="10">
                  <c:v>Feb'27</c:v>
                </c:pt>
                <c:pt idx="11">
                  <c:v>Mar'27</c:v>
                </c:pt>
              </c:strCache>
            </c:strRef>
          </c:cat>
          <c:val>
            <c:numRef>
              <c:f>Tables!$D$116:$O$116</c:f>
              <c:numCache>
                <c:formatCode>0.000</c:formatCode>
                <c:ptCount val="12"/>
                <c:pt idx="0">
                  <c:v>4.9274999999999993</c:v>
                </c:pt>
                <c:pt idx="1">
                  <c:v>5.2983870967741922</c:v>
                </c:pt>
                <c:pt idx="2">
                  <c:v>5.4749999999999996</c:v>
                </c:pt>
                <c:pt idx="3">
                  <c:v>5.2983870967741922</c:v>
                </c:pt>
                <c:pt idx="4">
                  <c:v>0</c:v>
                </c:pt>
                <c:pt idx="5">
                  <c:v>4.9274999999999993</c:v>
                </c:pt>
                <c:pt idx="6">
                  <c:v>5.2983870967741922</c:v>
                </c:pt>
                <c:pt idx="7">
                  <c:v>4.9274999999999993</c:v>
                </c:pt>
                <c:pt idx="8">
                  <c:v>5.2983870967741922</c:v>
                </c:pt>
                <c:pt idx="9">
                  <c:v>5.2983870967741922</c:v>
                </c:pt>
                <c:pt idx="10">
                  <c:v>5.2794642857142842</c:v>
                </c:pt>
                <c:pt idx="11">
                  <c:v>5.2983870967741922</c:v>
                </c:pt>
              </c:numCache>
            </c:numRef>
          </c:val>
          <c:extLst xmlns:c16r2="http://schemas.microsoft.com/office/drawing/2015/06/chart">
            <c:ext xmlns:c16="http://schemas.microsoft.com/office/drawing/2014/chart" uri="{C3380CC4-5D6E-409C-BE32-E72D297353CC}">
              <c16:uniqueId val="{00000000-0936-4A50-BA1A-5B14A62062CC}"/>
            </c:ext>
          </c:extLst>
        </c:ser>
        <c:ser>
          <c:idx val="1"/>
          <c:order val="1"/>
          <c:tx>
            <c:strRef>
              <c:f>Tables!$C$117</c:f>
              <c:strCache>
                <c:ptCount val="1"/>
                <c:pt idx="0">
                  <c:v>Actual</c:v>
                </c:pt>
              </c:strCache>
            </c:strRef>
          </c:tx>
          <c:spPr>
            <a:solidFill>
              <a:srgbClr val="00B050"/>
            </a:solidFill>
            <a:ln>
              <a:noFill/>
            </a:ln>
            <a:effectLst/>
          </c:spPr>
          <c:invertIfNegative val="0"/>
          <c:cat>
            <c:strRef>
              <c:f>Tables!$D$115:$O$115</c:f>
              <c:strCache>
                <c:ptCount val="12"/>
                <c:pt idx="0">
                  <c:v>Apr'26</c:v>
                </c:pt>
                <c:pt idx="1">
                  <c:v>May'26</c:v>
                </c:pt>
                <c:pt idx="2">
                  <c:v>June'26</c:v>
                </c:pt>
                <c:pt idx="3">
                  <c:v>July'26</c:v>
                </c:pt>
                <c:pt idx="4">
                  <c:v>Aug'26</c:v>
                </c:pt>
                <c:pt idx="5">
                  <c:v>Sep'26</c:v>
                </c:pt>
                <c:pt idx="6">
                  <c:v>Oct'26</c:v>
                </c:pt>
                <c:pt idx="7">
                  <c:v>Nov'26</c:v>
                </c:pt>
                <c:pt idx="8">
                  <c:v>Dec'26</c:v>
                </c:pt>
                <c:pt idx="9">
                  <c:v>Jan'27</c:v>
                </c:pt>
                <c:pt idx="10">
                  <c:v>Feb'27</c:v>
                </c:pt>
                <c:pt idx="11">
                  <c:v>Mar'27</c:v>
                </c:pt>
              </c:strCache>
            </c:strRef>
          </c:cat>
          <c:val>
            <c:numRef>
              <c:f>Tables!$D$117:$O$117</c:f>
              <c:numCache>
                <c:formatCode>0.000</c:formatCode>
                <c:ptCount val="12"/>
                <c:pt idx="0">
                  <c:v>4.3300000003333334</c:v>
                </c:pt>
                <c:pt idx="1">
                  <c:v>5.3851612909677424</c:v>
                </c:pt>
                <c:pt idx="2">
                  <c:v>5.6411333330000009</c:v>
                </c:pt>
                <c:pt idx="3">
                  <c:v>5.7013870974193548</c:v>
                </c:pt>
                <c:pt idx="4">
                  <c:v>5.7077419354838712</c:v>
                </c:pt>
                <c:pt idx="5">
                  <c:v>0</c:v>
                </c:pt>
                <c:pt idx="6">
                  <c:v>0</c:v>
                </c:pt>
                <c:pt idx="7">
                  <c:v>0</c:v>
                </c:pt>
                <c:pt idx="8">
                  <c:v>0</c:v>
                </c:pt>
                <c:pt idx="9">
                  <c:v>0</c:v>
                </c:pt>
                <c:pt idx="10">
                  <c:v>0</c:v>
                </c:pt>
                <c:pt idx="11">
                  <c:v>0</c:v>
                </c:pt>
              </c:numCache>
            </c:numRef>
          </c:val>
          <c:extLst xmlns:c16r2="http://schemas.microsoft.com/office/drawing/2015/06/chart">
            <c:ext xmlns:c16="http://schemas.microsoft.com/office/drawing/2014/chart" uri="{C3380CC4-5D6E-409C-BE32-E72D297353CC}">
              <c16:uniqueId val="{00000001-0936-4A50-BA1A-5B14A62062CC}"/>
            </c:ext>
          </c:extLst>
        </c:ser>
        <c:dLbls>
          <c:showLegendKey val="0"/>
          <c:showVal val="0"/>
          <c:showCatName val="0"/>
          <c:showSerName val="0"/>
          <c:showPercent val="0"/>
          <c:showBubbleSize val="0"/>
        </c:dLbls>
        <c:gapWidth val="219"/>
        <c:axId val="1162189616"/>
        <c:axId val="1162176016"/>
      </c:barChart>
      <c:catAx>
        <c:axId val="11621896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62176016"/>
        <c:crosses val="autoZero"/>
        <c:auto val="1"/>
        <c:lblAlgn val="ctr"/>
        <c:lblOffset val="100"/>
        <c:noMultiLvlLbl val="0"/>
      </c:catAx>
      <c:valAx>
        <c:axId val="1162176016"/>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62189616"/>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1000" b="0" i="0" u="none" strike="noStrike" kern="1200" baseline="0">
                <a:solidFill>
                  <a:sysClr val="windowText" lastClr="000000"/>
                </a:solidFill>
                <a:latin typeface="+mn-lt"/>
                <a:ea typeface="+mn-ea"/>
                <a:cs typeface="+mn-cs"/>
              </a:defRPr>
            </a:pPr>
            <a:endParaRPr lang="en-US"/>
          </a:p>
        </c:txPr>
      </c:dTable>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ln>
      <a:solidFill>
        <a:sysClr val="windowText" lastClr="000000"/>
      </a:solidFill>
    </a:ln>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US" sz="1800" b="1" i="0" baseline="0">
                <a:effectLst/>
              </a:rPr>
              <a:t>B-06.1 Gas Production(mmscmd)</a:t>
            </a:r>
            <a:endParaRPr lang="en-US">
              <a:effectLst/>
            </a:endParaRPr>
          </a:p>
        </c:rich>
      </c:tx>
      <c:overlay val="0"/>
      <c:spPr>
        <a:noFill/>
        <a:ln>
          <a:noFill/>
        </a:ln>
        <a:effectLst/>
      </c:spPr>
    </c:title>
    <c:autoTitleDeleted val="0"/>
    <c:plotArea>
      <c:layout/>
      <c:barChart>
        <c:barDir val="col"/>
        <c:grouping val="clustered"/>
        <c:varyColors val="0"/>
        <c:ser>
          <c:idx val="0"/>
          <c:order val="0"/>
          <c:tx>
            <c:strRef>
              <c:f>Tables!$C$313</c:f>
              <c:strCache>
                <c:ptCount val="1"/>
                <c:pt idx="0">
                  <c:v>BE(mmscmd)</c:v>
                </c:pt>
              </c:strCache>
            </c:strRef>
          </c:tx>
          <c:spPr>
            <a:solidFill>
              <a:schemeClr val="accent2">
                <a:lumMod val="40000"/>
                <a:lumOff val="60000"/>
              </a:schemeClr>
            </a:solidFill>
            <a:ln>
              <a:noFill/>
            </a:ln>
            <a:effectLst/>
          </c:spPr>
          <c:invertIfNegative val="0"/>
          <c:cat>
            <c:strRef>
              <c:f>Tables!$D$312:$O$312</c:f>
              <c:strCache>
                <c:ptCount val="12"/>
                <c:pt idx="0">
                  <c:v>Apr'26</c:v>
                </c:pt>
                <c:pt idx="1">
                  <c:v>May'26</c:v>
                </c:pt>
                <c:pt idx="2">
                  <c:v>June'26</c:v>
                </c:pt>
                <c:pt idx="3">
                  <c:v>July'26</c:v>
                </c:pt>
                <c:pt idx="4">
                  <c:v>Aug'26</c:v>
                </c:pt>
                <c:pt idx="5">
                  <c:v>Sep'26</c:v>
                </c:pt>
                <c:pt idx="6">
                  <c:v>Oct'26</c:v>
                </c:pt>
                <c:pt idx="7">
                  <c:v>Nov'26</c:v>
                </c:pt>
                <c:pt idx="8">
                  <c:v>Dec'26</c:v>
                </c:pt>
                <c:pt idx="9">
                  <c:v>Jan'27</c:v>
                </c:pt>
                <c:pt idx="10">
                  <c:v>Feb'27</c:v>
                </c:pt>
                <c:pt idx="11">
                  <c:v>Mar'27</c:v>
                </c:pt>
              </c:strCache>
            </c:strRef>
          </c:cat>
          <c:val>
            <c:numRef>
              <c:f>Tables!$D$313:$O$313</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xmlns:c16r2="http://schemas.microsoft.com/office/drawing/2015/06/chart">
            <c:ext xmlns:c16="http://schemas.microsoft.com/office/drawing/2014/chart" uri="{C3380CC4-5D6E-409C-BE32-E72D297353CC}">
              <c16:uniqueId val="{00000000-12CE-480E-9414-CCE4F7FA8961}"/>
            </c:ext>
          </c:extLst>
        </c:ser>
        <c:ser>
          <c:idx val="1"/>
          <c:order val="1"/>
          <c:tx>
            <c:strRef>
              <c:f>Tables!$C$314</c:f>
              <c:strCache>
                <c:ptCount val="1"/>
                <c:pt idx="0">
                  <c:v>Actual</c:v>
                </c:pt>
              </c:strCache>
            </c:strRef>
          </c:tx>
          <c:spPr>
            <a:solidFill>
              <a:schemeClr val="accent2">
                <a:lumMod val="75000"/>
              </a:schemeClr>
            </a:solidFill>
            <a:ln>
              <a:noFill/>
            </a:ln>
            <a:effectLst/>
          </c:spPr>
          <c:invertIfNegative val="0"/>
          <c:cat>
            <c:strRef>
              <c:f>Tables!$D$312:$O$312</c:f>
              <c:strCache>
                <c:ptCount val="12"/>
                <c:pt idx="0">
                  <c:v>Apr'26</c:v>
                </c:pt>
                <c:pt idx="1">
                  <c:v>May'26</c:v>
                </c:pt>
                <c:pt idx="2">
                  <c:v>June'26</c:v>
                </c:pt>
                <c:pt idx="3">
                  <c:v>July'26</c:v>
                </c:pt>
                <c:pt idx="4">
                  <c:v>Aug'26</c:v>
                </c:pt>
                <c:pt idx="5">
                  <c:v>Sep'26</c:v>
                </c:pt>
                <c:pt idx="6">
                  <c:v>Oct'26</c:v>
                </c:pt>
                <c:pt idx="7">
                  <c:v>Nov'26</c:v>
                </c:pt>
                <c:pt idx="8">
                  <c:v>Dec'26</c:v>
                </c:pt>
                <c:pt idx="9">
                  <c:v>Jan'27</c:v>
                </c:pt>
                <c:pt idx="10">
                  <c:v>Feb'27</c:v>
                </c:pt>
                <c:pt idx="11">
                  <c:v>Mar'27</c:v>
                </c:pt>
              </c:strCache>
            </c:strRef>
          </c:cat>
          <c:val>
            <c:numRef>
              <c:f>Tables!$D$314:$O$314</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xmlns:c16r2="http://schemas.microsoft.com/office/drawing/2015/06/chart">
            <c:ext xmlns:c16="http://schemas.microsoft.com/office/drawing/2014/chart" uri="{C3380CC4-5D6E-409C-BE32-E72D297353CC}">
              <c16:uniqueId val="{00000001-12CE-480E-9414-CCE4F7FA8961}"/>
            </c:ext>
          </c:extLst>
        </c:ser>
        <c:dLbls>
          <c:showLegendKey val="0"/>
          <c:showVal val="0"/>
          <c:showCatName val="0"/>
          <c:showSerName val="0"/>
          <c:showPercent val="0"/>
          <c:showBubbleSize val="0"/>
        </c:dLbls>
        <c:gapWidth val="219"/>
        <c:axId val="1162177104"/>
        <c:axId val="1162186352"/>
      </c:barChart>
      <c:catAx>
        <c:axId val="11621771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62186352"/>
        <c:crosses val="autoZero"/>
        <c:auto val="1"/>
        <c:lblAlgn val="ctr"/>
        <c:lblOffset val="100"/>
        <c:noMultiLvlLbl val="0"/>
      </c:catAx>
      <c:valAx>
        <c:axId val="11621863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62177104"/>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1000" b="0" i="0" u="none" strike="noStrike" kern="1200" baseline="0">
                <a:solidFill>
                  <a:sysClr val="windowText" lastClr="000000"/>
                </a:solidFill>
                <a:latin typeface="+mn-lt"/>
                <a:ea typeface="+mn-ea"/>
                <a:cs typeface="+mn-cs"/>
              </a:defRPr>
            </a:pPr>
            <a:endParaRPr lang="en-US"/>
          </a:p>
        </c:txPr>
      </c:dTable>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ln>
      <a:solidFill>
        <a:sysClr val="windowText" lastClr="000000"/>
      </a:solidFill>
    </a:ln>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US" sz="1800" b="1" i="0" baseline="0">
                <a:effectLst/>
              </a:rPr>
              <a:t>A1,A3 Gas Production(mmscmd)</a:t>
            </a:r>
            <a:endParaRPr lang="en-US">
              <a:effectLst/>
            </a:endParaRPr>
          </a:p>
        </c:rich>
      </c:tx>
      <c:overlay val="0"/>
      <c:spPr>
        <a:noFill/>
        <a:ln>
          <a:noFill/>
        </a:ln>
        <a:effectLst/>
      </c:spPr>
    </c:title>
    <c:autoTitleDeleted val="0"/>
    <c:plotArea>
      <c:layout/>
      <c:barChart>
        <c:barDir val="col"/>
        <c:grouping val="clustered"/>
        <c:varyColors val="0"/>
        <c:ser>
          <c:idx val="0"/>
          <c:order val="0"/>
          <c:tx>
            <c:strRef>
              <c:f>Tables!$C$327</c:f>
              <c:strCache>
                <c:ptCount val="1"/>
                <c:pt idx="0">
                  <c:v>BE(mmscmd)</c:v>
                </c:pt>
              </c:strCache>
            </c:strRef>
          </c:tx>
          <c:spPr>
            <a:solidFill>
              <a:schemeClr val="accent2">
                <a:lumMod val="40000"/>
                <a:lumOff val="60000"/>
              </a:schemeClr>
            </a:solidFill>
            <a:ln>
              <a:noFill/>
            </a:ln>
            <a:effectLst/>
          </c:spPr>
          <c:invertIfNegative val="0"/>
          <c:cat>
            <c:strRef>
              <c:f>Tables!$D$326:$O$326</c:f>
              <c:strCache>
                <c:ptCount val="12"/>
                <c:pt idx="0">
                  <c:v>Apr'26</c:v>
                </c:pt>
                <c:pt idx="1">
                  <c:v>May'26</c:v>
                </c:pt>
                <c:pt idx="2">
                  <c:v>June'26</c:v>
                </c:pt>
                <c:pt idx="3">
                  <c:v>July'26</c:v>
                </c:pt>
                <c:pt idx="4">
                  <c:v>Aug'26</c:v>
                </c:pt>
                <c:pt idx="5">
                  <c:v>Sep'26</c:v>
                </c:pt>
                <c:pt idx="6">
                  <c:v>Oct'26</c:v>
                </c:pt>
                <c:pt idx="7">
                  <c:v>Nov'26</c:v>
                </c:pt>
                <c:pt idx="8">
                  <c:v>Dec'26</c:v>
                </c:pt>
                <c:pt idx="9">
                  <c:v>Jan'27</c:v>
                </c:pt>
                <c:pt idx="10">
                  <c:v>Feb'27</c:v>
                </c:pt>
                <c:pt idx="11">
                  <c:v>Mar'27</c:v>
                </c:pt>
              </c:strCache>
            </c:strRef>
          </c:cat>
          <c:val>
            <c:numRef>
              <c:f>Tables!$D$327:$O$327</c:f>
              <c:numCache>
                <c:formatCode>0.00</c:formatCode>
                <c:ptCount val="12"/>
                <c:pt idx="0">
                  <c:v>14.117647058823527</c:v>
                </c:pt>
                <c:pt idx="1">
                  <c:v>14.041745730550282</c:v>
                </c:pt>
                <c:pt idx="2">
                  <c:v>14.117647058823527</c:v>
                </c:pt>
                <c:pt idx="3">
                  <c:v>14.041745730550282</c:v>
                </c:pt>
                <c:pt idx="4">
                  <c:v>14.041745730550282</c:v>
                </c:pt>
                <c:pt idx="5">
                  <c:v>14.117647058823527</c:v>
                </c:pt>
                <c:pt idx="6">
                  <c:v>14.085414987912973</c:v>
                </c:pt>
                <c:pt idx="7">
                  <c:v>14.117647058823527</c:v>
                </c:pt>
                <c:pt idx="8">
                  <c:v>14.041745730550282</c:v>
                </c:pt>
                <c:pt idx="9">
                  <c:v>14.041745730550282</c:v>
                </c:pt>
                <c:pt idx="10">
                  <c:v>14.285714285714285</c:v>
                </c:pt>
                <c:pt idx="11">
                  <c:v>14.041745730550282</c:v>
                </c:pt>
              </c:numCache>
            </c:numRef>
          </c:val>
          <c:extLst xmlns:c16r2="http://schemas.microsoft.com/office/drawing/2015/06/chart">
            <c:ext xmlns:c16="http://schemas.microsoft.com/office/drawing/2014/chart" uri="{C3380CC4-5D6E-409C-BE32-E72D297353CC}">
              <c16:uniqueId val="{00000000-FD26-4701-9192-7F6BA02B7B68}"/>
            </c:ext>
          </c:extLst>
        </c:ser>
        <c:ser>
          <c:idx val="1"/>
          <c:order val="1"/>
          <c:tx>
            <c:strRef>
              <c:f>Tables!$C$328</c:f>
              <c:strCache>
                <c:ptCount val="1"/>
                <c:pt idx="0">
                  <c:v>Actual</c:v>
                </c:pt>
              </c:strCache>
            </c:strRef>
          </c:tx>
          <c:spPr>
            <a:solidFill>
              <a:schemeClr val="accent2">
                <a:lumMod val="75000"/>
              </a:schemeClr>
            </a:solidFill>
            <a:ln>
              <a:noFill/>
            </a:ln>
            <a:effectLst/>
          </c:spPr>
          <c:invertIfNegative val="0"/>
          <c:cat>
            <c:strRef>
              <c:f>Tables!$D$326:$O$326</c:f>
              <c:strCache>
                <c:ptCount val="12"/>
                <c:pt idx="0">
                  <c:v>Apr'26</c:v>
                </c:pt>
                <c:pt idx="1">
                  <c:v>May'26</c:v>
                </c:pt>
                <c:pt idx="2">
                  <c:v>June'26</c:v>
                </c:pt>
                <c:pt idx="3">
                  <c:v>July'26</c:v>
                </c:pt>
                <c:pt idx="4">
                  <c:v>Aug'26</c:v>
                </c:pt>
                <c:pt idx="5">
                  <c:v>Sep'26</c:v>
                </c:pt>
                <c:pt idx="6">
                  <c:v>Oct'26</c:v>
                </c:pt>
                <c:pt idx="7">
                  <c:v>Nov'26</c:v>
                </c:pt>
                <c:pt idx="8">
                  <c:v>Dec'26</c:v>
                </c:pt>
                <c:pt idx="9">
                  <c:v>Jan'27</c:v>
                </c:pt>
                <c:pt idx="10">
                  <c:v>Feb'27</c:v>
                </c:pt>
                <c:pt idx="11">
                  <c:v>Mar'27</c:v>
                </c:pt>
              </c:strCache>
            </c:strRef>
          </c:cat>
          <c:val>
            <c:numRef>
              <c:f>Tables!$D$328:$O$328</c:f>
              <c:numCache>
                <c:formatCode>0.00</c:formatCode>
                <c:ptCount val="12"/>
                <c:pt idx="0">
                  <c:v>13.193331000000001</c:v>
                </c:pt>
                <c:pt idx="1">
                  <c:v>13.75741935483871</c:v>
                </c:pt>
                <c:pt idx="2">
                  <c:v>14.452372</c:v>
                </c:pt>
                <c:pt idx="3">
                  <c:v>14.21812129032258</c:v>
                </c:pt>
                <c:pt idx="4">
                  <c:v>14.07202995152252</c:v>
                </c:pt>
                <c:pt idx="5">
                  <c:v>0</c:v>
                </c:pt>
                <c:pt idx="6">
                  <c:v>0</c:v>
                </c:pt>
                <c:pt idx="7">
                  <c:v>0</c:v>
                </c:pt>
                <c:pt idx="8">
                  <c:v>0</c:v>
                </c:pt>
                <c:pt idx="9">
                  <c:v>0</c:v>
                </c:pt>
                <c:pt idx="10">
                  <c:v>0</c:v>
                </c:pt>
                <c:pt idx="11">
                  <c:v>0</c:v>
                </c:pt>
              </c:numCache>
            </c:numRef>
          </c:val>
          <c:extLst xmlns:c16r2="http://schemas.microsoft.com/office/drawing/2015/06/chart">
            <c:ext xmlns:c16="http://schemas.microsoft.com/office/drawing/2014/chart" uri="{C3380CC4-5D6E-409C-BE32-E72D297353CC}">
              <c16:uniqueId val="{00000001-FD26-4701-9192-7F6BA02B7B68}"/>
            </c:ext>
          </c:extLst>
        </c:ser>
        <c:dLbls>
          <c:showLegendKey val="0"/>
          <c:showVal val="0"/>
          <c:showCatName val="0"/>
          <c:showSerName val="0"/>
          <c:showPercent val="0"/>
          <c:showBubbleSize val="0"/>
        </c:dLbls>
        <c:gapWidth val="219"/>
        <c:axId val="1162172752"/>
        <c:axId val="1162177648"/>
      </c:barChart>
      <c:catAx>
        <c:axId val="11621727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62177648"/>
        <c:crosses val="autoZero"/>
        <c:auto val="1"/>
        <c:lblAlgn val="ctr"/>
        <c:lblOffset val="100"/>
        <c:noMultiLvlLbl val="0"/>
      </c:catAx>
      <c:valAx>
        <c:axId val="11621776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62172752"/>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1000" b="0" i="0" u="none" strike="noStrike" kern="1200" baseline="0">
                <a:solidFill>
                  <a:sysClr val="windowText" lastClr="000000"/>
                </a:solidFill>
                <a:latin typeface="+mn-lt"/>
                <a:ea typeface="+mn-ea"/>
                <a:cs typeface="+mn-cs"/>
              </a:defRPr>
            </a:pPr>
            <a:endParaRPr lang="en-US"/>
          </a:p>
        </c:txPr>
      </c:dTable>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ln>
      <a:solidFill>
        <a:sysClr val="windowText" lastClr="000000"/>
      </a:solidFill>
    </a:ln>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n-US" sz="1800" b="1" i="0" u="none" strike="noStrike" kern="1200" spc="0" baseline="0">
                <a:solidFill>
                  <a:sysClr val="windowText" lastClr="000000"/>
                </a:solidFill>
                <a:effectLst/>
                <a:latin typeface="+mn-lt"/>
                <a:ea typeface="+mn-ea"/>
                <a:cs typeface="+mn-cs"/>
              </a:defRPr>
            </a:pPr>
            <a:r>
              <a:rPr lang="en-US" sz="1800" b="1" i="0" u="none" strike="noStrike" kern="1200" spc="0" baseline="0">
                <a:solidFill>
                  <a:sysClr val="windowText" lastClr="000000"/>
                </a:solidFill>
                <a:effectLst/>
                <a:latin typeface="+mn-lt"/>
                <a:ea typeface="+mn-ea"/>
                <a:cs typeface="+mn-cs"/>
              </a:rPr>
              <a:t>Sakhalin-1 Oil Production(kBOPD)</a:t>
            </a:r>
          </a:p>
        </c:rich>
      </c:tx>
      <c:overlay val="0"/>
      <c:spPr>
        <a:noFill/>
        <a:ln>
          <a:noFill/>
        </a:ln>
        <a:effectLst/>
      </c:spPr>
      <c:txPr>
        <a:bodyPr rot="0" spcFirstLastPara="1" vertOverflow="ellipsis" vert="horz" wrap="square" anchor="ctr" anchorCtr="1"/>
        <a:lstStyle/>
        <a:p>
          <a:pPr algn="ctr" rtl="0">
            <a:defRPr lang="en-US" sz="1800" b="1" i="0" u="none" strike="noStrike" kern="1200" spc="0" baseline="0">
              <a:solidFill>
                <a:sysClr val="windowText" lastClr="000000"/>
              </a:solidFill>
              <a:effectLst/>
              <a:latin typeface="+mn-lt"/>
              <a:ea typeface="+mn-ea"/>
              <a:cs typeface="+mn-cs"/>
            </a:defRPr>
          </a:pPr>
          <a:endParaRPr lang="en-US"/>
        </a:p>
      </c:txPr>
    </c:title>
    <c:autoTitleDeleted val="0"/>
    <c:plotArea>
      <c:layout/>
      <c:barChart>
        <c:barDir val="col"/>
        <c:grouping val="clustered"/>
        <c:varyColors val="0"/>
        <c:ser>
          <c:idx val="0"/>
          <c:order val="0"/>
          <c:tx>
            <c:strRef>
              <c:f>Tables!$C$7</c:f>
              <c:strCache>
                <c:ptCount val="1"/>
                <c:pt idx="0">
                  <c:v>BE(kBOPD)</c:v>
                </c:pt>
              </c:strCache>
            </c:strRef>
          </c:tx>
          <c:spPr>
            <a:solidFill>
              <a:srgbClr val="92D050"/>
            </a:solidFill>
            <a:ln>
              <a:noFill/>
            </a:ln>
            <a:effectLst/>
          </c:spPr>
          <c:invertIfNegative val="0"/>
          <c:cat>
            <c:strRef>
              <c:f>Tables!$D$6:$O$6</c:f>
              <c:strCache>
                <c:ptCount val="12"/>
                <c:pt idx="0">
                  <c:v>Apr'26</c:v>
                </c:pt>
                <c:pt idx="1">
                  <c:v>May'26</c:v>
                </c:pt>
                <c:pt idx="2">
                  <c:v>June'26</c:v>
                </c:pt>
                <c:pt idx="3">
                  <c:v>July'26</c:v>
                </c:pt>
                <c:pt idx="4">
                  <c:v>Aug'26</c:v>
                </c:pt>
                <c:pt idx="5">
                  <c:v>Sep'26</c:v>
                </c:pt>
                <c:pt idx="6">
                  <c:v>Oct'26</c:v>
                </c:pt>
                <c:pt idx="7">
                  <c:v>Nov'26</c:v>
                </c:pt>
                <c:pt idx="8">
                  <c:v>Dec'26</c:v>
                </c:pt>
                <c:pt idx="9">
                  <c:v>Jan'27</c:v>
                </c:pt>
                <c:pt idx="10">
                  <c:v>Feb'27</c:v>
                </c:pt>
                <c:pt idx="11">
                  <c:v>Mar'27</c:v>
                </c:pt>
              </c:strCache>
            </c:strRef>
          </c:cat>
          <c:val>
            <c:numRef>
              <c:f>Tables!$D$7:$O$7</c:f>
              <c:numCache>
                <c:formatCode>0.00</c:formatCode>
                <c:ptCount val="12"/>
                <c:pt idx="0">
                  <c:v>141.64166666666665</c:v>
                </c:pt>
                <c:pt idx="1">
                  <c:v>140.64838709677417</c:v>
                </c:pt>
                <c:pt idx="2">
                  <c:v>140.41</c:v>
                </c:pt>
                <c:pt idx="3">
                  <c:v>140.64838709677417</c:v>
                </c:pt>
                <c:pt idx="4">
                  <c:v>139.45645161290321</c:v>
                </c:pt>
                <c:pt idx="5">
                  <c:v>141.64166666666665</c:v>
                </c:pt>
                <c:pt idx="6">
                  <c:v>139.45645161290321</c:v>
                </c:pt>
                <c:pt idx="7">
                  <c:v>137.94666666666666</c:v>
                </c:pt>
                <c:pt idx="8">
                  <c:v>135.88064516129035</c:v>
                </c:pt>
                <c:pt idx="9">
                  <c:v>134.68870967741935</c:v>
                </c:pt>
                <c:pt idx="10">
                  <c:v>135.92321428571424</c:v>
                </c:pt>
                <c:pt idx="11">
                  <c:v>134.68870967741935</c:v>
                </c:pt>
              </c:numCache>
            </c:numRef>
          </c:val>
          <c:extLst xmlns:c16r2="http://schemas.microsoft.com/office/drawing/2015/06/chart">
            <c:ext xmlns:c16="http://schemas.microsoft.com/office/drawing/2014/chart" uri="{C3380CC4-5D6E-409C-BE32-E72D297353CC}">
              <c16:uniqueId val="{00000000-15B0-476D-9782-B2CB1EECC720}"/>
            </c:ext>
          </c:extLst>
        </c:ser>
        <c:ser>
          <c:idx val="1"/>
          <c:order val="1"/>
          <c:tx>
            <c:strRef>
              <c:f>Tables!$C$8</c:f>
              <c:strCache>
                <c:ptCount val="1"/>
                <c:pt idx="0">
                  <c:v>Actual</c:v>
                </c:pt>
              </c:strCache>
            </c:strRef>
          </c:tx>
          <c:spPr>
            <a:solidFill>
              <a:srgbClr val="00B050"/>
            </a:solidFill>
            <a:ln>
              <a:noFill/>
            </a:ln>
            <a:effectLst/>
          </c:spPr>
          <c:invertIfNegative val="0"/>
          <c:cat>
            <c:strRef>
              <c:f>Tables!$D$6:$O$6</c:f>
              <c:strCache>
                <c:ptCount val="12"/>
                <c:pt idx="0">
                  <c:v>Apr'26</c:v>
                </c:pt>
                <c:pt idx="1">
                  <c:v>May'26</c:v>
                </c:pt>
                <c:pt idx="2">
                  <c:v>June'26</c:v>
                </c:pt>
                <c:pt idx="3">
                  <c:v>July'26</c:v>
                </c:pt>
                <c:pt idx="4">
                  <c:v>Aug'26</c:v>
                </c:pt>
                <c:pt idx="5">
                  <c:v>Sep'26</c:v>
                </c:pt>
                <c:pt idx="6">
                  <c:v>Oct'26</c:v>
                </c:pt>
                <c:pt idx="7">
                  <c:v>Nov'26</c:v>
                </c:pt>
                <c:pt idx="8">
                  <c:v>Dec'26</c:v>
                </c:pt>
                <c:pt idx="9">
                  <c:v>Jan'27</c:v>
                </c:pt>
                <c:pt idx="10">
                  <c:v>Feb'27</c:v>
                </c:pt>
                <c:pt idx="11">
                  <c:v>Mar'27</c:v>
                </c:pt>
              </c:strCache>
            </c:strRef>
          </c:cat>
          <c:val>
            <c:numRef>
              <c:f>Tables!$D$8:$O$8</c:f>
              <c:numCache>
                <c:formatCode>0.00</c:formatCode>
                <c:ptCount val="12"/>
                <c:pt idx="0">
                  <c:v>189.20396666666667</c:v>
                </c:pt>
                <c:pt idx="1">
                  <c:v>184.26229032290323</c:v>
                </c:pt>
                <c:pt idx="2">
                  <c:v>169.19610000066666</c:v>
                </c:pt>
                <c:pt idx="3">
                  <c:v>187.26155464516128</c:v>
                </c:pt>
                <c:pt idx="4">
                  <c:v>183.34116129032259</c:v>
                </c:pt>
                <c:pt idx="5">
                  <c:v>0</c:v>
                </c:pt>
                <c:pt idx="6">
                  <c:v>0</c:v>
                </c:pt>
                <c:pt idx="7">
                  <c:v>0</c:v>
                </c:pt>
                <c:pt idx="8">
                  <c:v>0</c:v>
                </c:pt>
                <c:pt idx="9">
                  <c:v>0</c:v>
                </c:pt>
                <c:pt idx="10">
                  <c:v>0</c:v>
                </c:pt>
                <c:pt idx="11">
                  <c:v>0</c:v>
                </c:pt>
              </c:numCache>
            </c:numRef>
          </c:val>
          <c:extLst xmlns:c16r2="http://schemas.microsoft.com/office/drawing/2015/06/chart">
            <c:ext xmlns:c16="http://schemas.microsoft.com/office/drawing/2014/chart" uri="{C3380CC4-5D6E-409C-BE32-E72D297353CC}">
              <c16:uniqueId val="{00000001-15B0-476D-9782-B2CB1EECC720}"/>
            </c:ext>
          </c:extLst>
        </c:ser>
        <c:dLbls>
          <c:showLegendKey val="0"/>
          <c:showVal val="0"/>
          <c:showCatName val="0"/>
          <c:showSerName val="0"/>
          <c:showPercent val="0"/>
          <c:showBubbleSize val="0"/>
        </c:dLbls>
        <c:gapWidth val="219"/>
        <c:axId val="1162192880"/>
        <c:axId val="1162189072"/>
      </c:barChart>
      <c:catAx>
        <c:axId val="11621928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62189072"/>
        <c:crosses val="autoZero"/>
        <c:auto val="1"/>
        <c:lblAlgn val="ctr"/>
        <c:lblOffset val="100"/>
        <c:noMultiLvlLbl val="0"/>
      </c:catAx>
      <c:valAx>
        <c:axId val="11621890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62192880"/>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1000" b="0" i="0" u="none" strike="noStrike" kern="1200" baseline="0">
                <a:solidFill>
                  <a:sysClr val="windowText" lastClr="000000"/>
                </a:solidFill>
                <a:latin typeface="+mn-lt"/>
                <a:ea typeface="+mn-ea"/>
                <a:cs typeface="+mn-cs"/>
              </a:defRPr>
            </a:pPr>
            <a:endParaRPr lang="en-US"/>
          </a:p>
        </c:txPr>
      </c:dTable>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9525" cap="flat" cmpd="sng" algn="ctr">
      <a:solidFill>
        <a:sysClr val="windowText" lastClr="000000"/>
      </a:solid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en-US" sz="1200" b="0" i="0" u="none" strike="noStrike" kern="1200" spc="0" baseline="0">
                <a:solidFill>
                  <a:schemeClr val="tx1"/>
                </a:solidFill>
                <a:latin typeface="+mn-lt"/>
                <a:ea typeface="+mn-ea"/>
                <a:cs typeface="+mn-cs"/>
              </a:defRPr>
            </a:pPr>
            <a:r>
              <a:rPr lang="en-US" sz="1800" b="1" i="0" baseline="0">
                <a:effectLst/>
              </a:rPr>
              <a:t>Vankor Oil Production(kBOPD)</a:t>
            </a:r>
            <a:endParaRPr lang="en-US">
              <a:effectLst/>
            </a:endParaRPr>
          </a:p>
        </c:rich>
      </c:tx>
      <c:overlay val="0"/>
      <c:spPr>
        <a:noFill/>
        <a:ln>
          <a:noFill/>
        </a:ln>
        <a:effectLst/>
      </c:spPr>
      <c:txPr>
        <a:bodyPr rot="0" spcFirstLastPara="1" vertOverflow="ellipsis" vert="horz" wrap="square" anchor="ctr" anchorCtr="1"/>
        <a:lstStyle/>
        <a:p>
          <a:pPr>
            <a:defRPr lang="en-US" sz="1200" b="0" i="0" u="none" strike="noStrike" kern="1200" spc="0" baseline="0">
              <a:solidFill>
                <a:schemeClr val="tx1"/>
              </a:solidFill>
              <a:latin typeface="+mn-lt"/>
              <a:ea typeface="+mn-ea"/>
              <a:cs typeface="+mn-cs"/>
            </a:defRPr>
          </a:pPr>
          <a:endParaRPr lang="en-US"/>
        </a:p>
      </c:txPr>
    </c:title>
    <c:autoTitleDeleted val="0"/>
    <c:plotArea>
      <c:layout/>
      <c:barChart>
        <c:barDir val="col"/>
        <c:grouping val="clustered"/>
        <c:varyColors val="0"/>
        <c:ser>
          <c:idx val="0"/>
          <c:order val="0"/>
          <c:tx>
            <c:strRef>
              <c:f>Tables!$C$18</c:f>
              <c:strCache>
                <c:ptCount val="1"/>
                <c:pt idx="0">
                  <c:v>BE(kBOPD)</c:v>
                </c:pt>
              </c:strCache>
            </c:strRef>
          </c:tx>
          <c:spPr>
            <a:solidFill>
              <a:srgbClr val="92D050"/>
            </a:solidFill>
            <a:ln>
              <a:noFill/>
            </a:ln>
            <a:effectLst/>
          </c:spPr>
          <c:invertIfNegative val="0"/>
          <c:cat>
            <c:strRef>
              <c:f>Tables!$D$17:$O$17</c:f>
              <c:strCache>
                <c:ptCount val="12"/>
                <c:pt idx="0">
                  <c:v>Apr'26</c:v>
                </c:pt>
                <c:pt idx="1">
                  <c:v>May'26</c:v>
                </c:pt>
                <c:pt idx="2">
                  <c:v>June'26</c:v>
                </c:pt>
                <c:pt idx="3">
                  <c:v>July'26</c:v>
                </c:pt>
                <c:pt idx="4">
                  <c:v>Aug'26</c:v>
                </c:pt>
                <c:pt idx="5">
                  <c:v>Sep'26</c:v>
                </c:pt>
                <c:pt idx="6">
                  <c:v>Oct'26</c:v>
                </c:pt>
                <c:pt idx="7">
                  <c:v>Nov'26</c:v>
                </c:pt>
                <c:pt idx="8">
                  <c:v>Dec'26</c:v>
                </c:pt>
                <c:pt idx="9">
                  <c:v>Jan'27</c:v>
                </c:pt>
                <c:pt idx="10">
                  <c:v>Feb'27</c:v>
                </c:pt>
                <c:pt idx="11">
                  <c:v>Mar'27</c:v>
                </c:pt>
              </c:strCache>
            </c:strRef>
          </c:cat>
          <c:val>
            <c:numRef>
              <c:f>Tables!$D$18:$O$18</c:f>
              <c:numCache>
                <c:formatCode>0.00</c:formatCode>
                <c:ptCount val="12"/>
                <c:pt idx="0">
                  <c:v>174.55384615384614</c:v>
                </c:pt>
                <c:pt idx="1">
                  <c:v>174.46153846153845</c:v>
                </c:pt>
                <c:pt idx="2">
                  <c:v>175.50769230769231</c:v>
                </c:pt>
                <c:pt idx="3">
                  <c:v>174.46153846153845</c:v>
                </c:pt>
                <c:pt idx="4">
                  <c:v>174.46153846153845</c:v>
                </c:pt>
                <c:pt idx="5">
                  <c:v>174.55384615384614</c:v>
                </c:pt>
                <c:pt idx="6">
                  <c:v>174.46153846153845</c:v>
                </c:pt>
                <c:pt idx="7">
                  <c:v>174.55384615384614</c:v>
                </c:pt>
                <c:pt idx="8">
                  <c:v>174.46153846153845</c:v>
                </c:pt>
                <c:pt idx="9">
                  <c:v>174.46153846153845</c:v>
                </c:pt>
                <c:pt idx="10">
                  <c:v>174.75824175824175</c:v>
                </c:pt>
                <c:pt idx="11">
                  <c:v>174.46153846153845</c:v>
                </c:pt>
              </c:numCache>
            </c:numRef>
          </c:val>
          <c:extLst xmlns:c16r2="http://schemas.microsoft.com/office/drawing/2015/06/chart">
            <c:ext xmlns:c16="http://schemas.microsoft.com/office/drawing/2014/chart" uri="{C3380CC4-5D6E-409C-BE32-E72D297353CC}">
              <c16:uniqueId val="{00000000-AC3B-43AE-A304-CBE2B97FE191}"/>
            </c:ext>
          </c:extLst>
        </c:ser>
        <c:ser>
          <c:idx val="1"/>
          <c:order val="1"/>
          <c:tx>
            <c:strRef>
              <c:f>Tables!$C$19</c:f>
              <c:strCache>
                <c:ptCount val="1"/>
                <c:pt idx="0">
                  <c:v>Actual</c:v>
                </c:pt>
              </c:strCache>
            </c:strRef>
          </c:tx>
          <c:spPr>
            <a:solidFill>
              <a:srgbClr val="00B050"/>
            </a:solidFill>
            <a:ln>
              <a:noFill/>
            </a:ln>
            <a:effectLst/>
          </c:spPr>
          <c:invertIfNegative val="0"/>
          <c:cat>
            <c:strRef>
              <c:f>Tables!$D$17:$O$17</c:f>
              <c:strCache>
                <c:ptCount val="12"/>
                <c:pt idx="0">
                  <c:v>Apr'26</c:v>
                </c:pt>
                <c:pt idx="1">
                  <c:v>May'26</c:v>
                </c:pt>
                <c:pt idx="2">
                  <c:v>June'26</c:v>
                </c:pt>
                <c:pt idx="3">
                  <c:v>July'26</c:v>
                </c:pt>
                <c:pt idx="4">
                  <c:v>Aug'26</c:v>
                </c:pt>
                <c:pt idx="5">
                  <c:v>Sep'26</c:v>
                </c:pt>
                <c:pt idx="6">
                  <c:v>Oct'26</c:v>
                </c:pt>
                <c:pt idx="7">
                  <c:v>Nov'26</c:v>
                </c:pt>
                <c:pt idx="8">
                  <c:v>Dec'26</c:v>
                </c:pt>
                <c:pt idx="9">
                  <c:v>Jan'27</c:v>
                </c:pt>
                <c:pt idx="10">
                  <c:v>Feb'27</c:v>
                </c:pt>
                <c:pt idx="11">
                  <c:v>Mar'27</c:v>
                </c:pt>
              </c:strCache>
            </c:strRef>
          </c:cat>
          <c:val>
            <c:numRef>
              <c:f>Tables!$D$19:$O$19</c:f>
              <c:numCache>
                <c:formatCode>0.00</c:formatCode>
                <c:ptCount val="12"/>
                <c:pt idx="0">
                  <c:v>155.67312433366666</c:v>
                </c:pt>
                <c:pt idx="1">
                  <c:v>155.54670022645158</c:v>
                </c:pt>
                <c:pt idx="2">
                  <c:v>155.21486819966665</c:v>
                </c:pt>
                <c:pt idx="3">
                  <c:v>156.31407406483871</c:v>
                </c:pt>
                <c:pt idx="4">
                  <c:v>156.57838709677418</c:v>
                </c:pt>
                <c:pt idx="5">
                  <c:v>0</c:v>
                </c:pt>
                <c:pt idx="6">
                  <c:v>0</c:v>
                </c:pt>
                <c:pt idx="7">
                  <c:v>0</c:v>
                </c:pt>
                <c:pt idx="8">
                  <c:v>0</c:v>
                </c:pt>
                <c:pt idx="9">
                  <c:v>0</c:v>
                </c:pt>
                <c:pt idx="10">
                  <c:v>0</c:v>
                </c:pt>
                <c:pt idx="11">
                  <c:v>0</c:v>
                </c:pt>
              </c:numCache>
            </c:numRef>
          </c:val>
          <c:extLst xmlns:c16r2="http://schemas.microsoft.com/office/drawing/2015/06/chart">
            <c:ext xmlns:c16="http://schemas.microsoft.com/office/drawing/2014/chart" uri="{C3380CC4-5D6E-409C-BE32-E72D297353CC}">
              <c16:uniqueId val="{00000001-AC3B-43AE-A304-CBE2B97FE191}"/>
            </c:ext>
          </c:extLst>
        </c:ser>
        <c:dLbls>
          <c:showLegendKey val="0"/>
          <c:showVal val="0"/>
          <c:showCatName val="0"/>
          <c:showSerName val="0"/>
          <c:showPercent val="0"/>
          <c:showBubbleSize val="0"/>
        </c:dLbls>
        <c:gapWidth val="219"/>
        <c:axId val="1162188528"/>
        <c:axId val="1162195600"/>
      </c:barChart>
      <c:catAx>
        <c:axId val="11621885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1162195600"/>
        <c:crosses val="autoZero"/>
        <c:auto val="1"/>
        <c:lblAlgn val="ctr"/>
        <c:lblOffset val="100"/>
        <c:noMultiLvlLbl val="0"/>
      </c:catAx>
      <c:valAx>
        <c:axId val="11621956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1162188528"/>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lang="en-US" sz="1000" b="0" i="0" u="none" strike="noStrike" kern="1200" baseline="0">
                <a:solidFill>
                  <a:schemeClr val="tx1"/>
                </a:solidFill>
                <a:latin typeface="+mn-lt"/>
                <a:ea typeface="+mn-ea"/>
                <a:cs typeface="+mn-cs"/>
              </a:defRPr>
            </a:pPr>
            <a:endParaRPr lang="en-US"/>
          </a:p>
        </c:txPr>
      </c:dTable>
      <c:spPr>
        <a:noFill/>
        <a:ln>
          <a:noFill/>
        </a:ln>
        <a:effectLst/>
      </c:spPr>
    </c:plotArea>
    <c:legend>
      <c:legendPos val="b"/>
      <c:overlay val="0"/>
      <c:spPr>
        <a:noFill/>
        <a:ln>
          <a:noFill/>
        </a:ln>
        <a:effectLst/>
      </c:spPr>
      <c:txPr>
        <a:bodyPr rot="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legend>
    <c:plotVisOnly val="1"/>
    <c:dispBlanksAs val="gap"/>
    <c:showDLblsOverMax val="0"/>
  </c:chart>
  <c:spPr>
    <a:solidFill>
      <a:schemeClr val="bg1"/>
    </a:solidFill>
    <a:ln w="9525" cap="flat" cmpd="sng" algn="ctr">
      <a:solidFill>
        <a:sysClr val="windowText" lastClr="000000"/>
      </a:solidFill>
      <a:round/>
    </a:ln>
    <a:effectLst/>
  </c:spPr>
  <c:txPr>
    <a:bodyPr/>
    <a:lstStyle/>
    <a:p>
      <a:pPr>
        <a:defRPr lang="en-US" sz="10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solidFill>
                <a:latin typeface="+mn-lt"/>
                <a:ea typeface="+mn-ea"/>
                <a:cs typeface="+mn-cs"/>
              </a:defRPr>
            </a:pPr>
            <a:r>
              <a:rPr lang="en-US" sz="1800" b="1" i="0" baseline="0">
                <a:effectLst/>
              </a:rPr>
              <a:t>Imperial Energy Oil Production(kBOPD)</a:t>
            </a:r>
            <a:endParaRPr lang="en-US">
              <a:effectLst/>
            </a:endParaRPr>
          </a:p>
        </c:rich>
      </c:tx>
      <c:overlay val="0"/>
      <c:spPr>
        <a:noFill/>
        <a:ln>
          <a:noFill/>
        </a:ln>
        <a:effectLst/>
      </c:spPr>
    </c:title>
    <c:autoTitleDeleted val="0"/>
    <c:plotArea>
      <c:layout/>
      <c:barChart>
        <c:barDir val="col"/>
        <c:grouping val="clustered"/>
        <c:varyColors val="0"/>
        <c:ser>
          <c:idx val="0"/>
          <c:order val="0"/>
          <c:tx>
            <c:strRef>
              <c:f>Tables!$C$32</c:f>
              <c:strCache>
                <c:ptCount val="1"/>
                <c:pt idx="0">
                  <c:v>BE(kBOPD)</c:v>
                </c:pt>
              </c:strCache>
            </c:strRef>
          </c:tx>
          <c:spPr>
            <a:solidFill>
              <a:srgbClr val="92D050"/>
            </a:solidFill>
            <a:ln>
              <a:noFill/>
            </a:ln>
            <a:effectLst/>
          </c:spPr>
          <c:invertIfNegative val="0"/>
          <c:cat>
            <c:strRef>
              <c:f>Tables!$D$31:$O$31</c:f>
              <c:strCache>
                <c:ptCount val="12"/>
                <c:pt idx="0">
                  <c:v>Apr'26</c:v>
                </c:pt>
                <c:pt idx="1">
                  <c:v>May'26</c:v>
                </c:pt>
                <c:pt idx="2">
                  <c:v>June'26</c:v>
                </c:pt>
                <c:pt idx="3">
                  <c:v>July'26</c:v>
                </c:pt>
                <c:pt idx="4">
                  <c:v>Aug'26</c:v>
                </c:pt>
                <c:pt idx="5">
                  <c:v>Sep'26</c:v>
                </c:pt>
                <c:pt idx="6">
                  <c:v>Oct'26</c:v>
                </c:pt>
                <c:pt idx="7">
                  <c:v>Nov'26</c:v>
                </c:pt>
                <c:pt idx="8">
                  <c:v>Dec'26</c:v>
                </c:pt>
                <c:pt idx="9">
                  <c:v>Jan'27</c:v>
                </c:pt>
                <c:pt idx="10">
                  <c:v>Feb'27</c:v>
                </c:pt>
                <c:pt idx="11">
                  <c:v>Mar'27</c:v>
                </c:pt>
              </c:strCache>
            </c:strRef>
          </c:cat>
          <c:val>
            <c:numRef>
              <c:f>Tables!$D$32:$O$32</c:f>
              <c:numCache>
                <c:formatCode>0.000</c:formatCode>
                <c:ptCount val="12"/>
                <c:pt idx="0">
                  <c:v>2.0266666666666668</c:v>
                </c:pt>
                <c:pt idx="1">
                  <c:v>1.9612903225806451</c:v>
                </c:pt>
                <c:pt idx="2">
                  <c:v>2.0266666666666668</c:v>
                </c:pt>
                <c:pt idx="3">
                  <c:v>2.2064516129032259</c:v>
                </c:pt>
                <c:pt idx="4">
                  <c:v>2.2064516129032259</c:v>
                </c:pt>
                <c:pt idx="5">
                  <c:v>2.0266666666666668</c:v>
                </c:pt>
                <c:pt idx="6">
                  <c:v>2.2064516129032259</c:v>
                </c:pt>
                <c:pt idx="7">
                  <c:v>2.0266666666666668</c:v>
                </c:pt>
                <c:pt idx="8">
                  <c:v>1.9612903225806451</c:v>
                </c:pt>
                <c:pt idx="9">
                  <c:v>2.2064516129032259</c:v>
                </c:pt>
                <c:pt idx="10">
                  <c:v>2.1714285714285713</c:v>
                </c:pt>
                <c:pt idx="11">
                  <c:v>2.2064516129032259</c:v>
                </c:pt>
              </c:numCache>
            </c:numRef>
          </c:val>
          <c:extLst xmlns:c16r2="http://schemas.microsoft.com/office/drawing/2015/06/chart">
            <c:ext xmlns:c16="http://schemas.microsoft.com/office/drawing/2014/chart" uri="{C3380CC4-5D6E-409C-BE32-E72D297353CC}">
              <c16:uniqueId val="{00000000-3E87-4F26-8266-E06DFA7F1C6C}"/>
            </c:ext>
          </c:extLst>
        </c:ser>
        <c:ser>
          <c:idx val="1"/>
          <c:order val="1"/>
          <c:tx>
            <c:strRef>
              <c:f>Tables!$C$33</c:f>
              <c:strCache>
                <c:ptCount val="1"/>
                <c:pt idx="0">
                  <c:v>Actual</c:v>
                </c:pt>
              </c:strCache>
            </c:strRef>
          </c:tx>
          <c:spPr>
            <a:solidFill>
              <a:srgbClr val="00B050"/>
            </a:solidFill>
            <a:ln>
              <a:noFill/>
            </a:ln>
            <a:effectLst/>
          </c:spPr>
          <c:invertIfNegative val="0"/>
          <c:cat>
            <c:strRef>
              <c:f>Tables!$D$31:$O$31</c:f>
              <c:strCache>
                <c:ptCount val="12"/>
                <c:pt idx="0">
                  <c:v>Apr'26</c:v>
                </c:pt>
                <c:pt idx="1">
                  <c:v>May'26</c:v>
                </c:pt>
                <c:pt idx="2">
                  <c:v>June'26</c:v>
                </c:pt>
                <c:pt idx="3">
                  <c:v>July'26</c:v>
                </c:pt>
                <c:pt idx="4">
                  <c:v>Aug'26</c:v>
                </c:pt>
                <c:pt idx="5">
                  <c:v>Sep'26</c:v>
                </c:pt>
                <c:pt idx="6">
                  <c:v>Oct'26</c:v>
                </c:pt>
                <c:pt idx="7">
                  <c:v>Nov'26</c:v>
                </c:pt>
                <c:pt idx="8">
                  <c:v>Dec'26</c:v>
                </c:pt>
                <c:pt idx="9">
                  <c:v>Jan'27</c:v>
                </c:pt>
                <c:pt idx="10">
                  <c:v>Feb'27</c:v>
                </c:pt>
                <c:pt idx="11">
                  <c:v>Mar'27</c:v>
                </c:pt>
              </c:strCache>
            </c:strRef>
          </c:cat>
          <c:val>
            <c:numRef>
              <c:f>Tables!$D$33:$O$33</c:f>
              <c:numCache>
                <c:formatCode>0.000</c:formatCode>
                <c:ptCount val="12"/>
                <c:pt idx="0">
                  <c:v>1.9671666666666667</c:v>
                </c:pt>
                <c:pt idx="1">
                  <c:v>1.8688709658064517</c:v>
                </c:pt>
                <c:pt idx="2">
                  <c:v>1.9767666666666666</c:v>
                </c:pt>
                <c:pt idx="3">
                  <c:v>1.9129999990322581</c:v>
                </c:pt>
                <c:pt idx="4">
                  <c:v>1.856483870967742</c:v>
                </c:pt>
                <c:pt idx="5">
                  <c:v>0</c:v>
                </c:pt>
                <c:pt idx="6">
                  <c:v>0</c:v>
                </c:pt>
                <c:pt idx="7">
                  <c:v>0</c:v>
                </c:pt>
                <c:pt idx="8">
                  <c:v>0</c:v>
                </c:pt>
                <c:pt idx="9">
                  <c:v>0</c:v>
                </c:pt>
                <c:pt idx="10">
                  <c:v>0</c:v>
                </c:pt>
                <c:pt idx="11">
                  <c:v>0</c:v>
                </c:pt>
              </c:numCache>
            </c:numRef>
          </c:val>
          <c:extLst xmlns:c16r2="http://schemas.microsoft.com/office/drawing/2015/06/chart">
            <c:ext xmlns:c16="http://schemas.microsoft.com/office/drawing/2014/chart" uri="{C3380CC4-5D6E-409C-BE32-E72D297353CC}">
              <c16:uniqueId val="{00000001-3E87-4F26-8266-E06DFA7F1C6C}"/>
            </c:ext>
          </c:extLst>
        </c:ser>
        <c:dLbls>
          <c:showLegendKey val="0"/>
          <c:showVal val="0"/>
          <c:showCatName val="0"/>
          <c:showSerName val="0"/>
          <c:showPercent val="0"/>
          <c:showBubbleSize val="0"/>
        </c:dLbls>
        <c:gapWidth val="219"/>
        <c:axId val="1162178736"/>
        <c:axId val="1162179824"/>
      </c:barChart>
      <c:catAx>
        <c:axId val="11621787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62179824"/>
        <c:crosses val="autoZero"/>
        <c:auto val="1"/>
        <c:lblAlgn val="ctr"/>
        <c:lblOffset val="100"/>
        <c:noMultiLvlLbl val="0"/>
      </c:catAx>
      <c:valAx>
        <c:axId val="1162179824"/>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62178736"/>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1000" b="0" i="0" u="none" strike="noStrike" kern="1200" baseline="0">
                <a:solidFill>
                  <a:sysClr val="windowText" lastClr="000000"/>
                </a:solidFill>
                <a:latin typeface="+mn-lt"/>
                <a:ea typeface="+mn-ea"/>
                <a:cs typeface="+mn-cs"/>
              </a:defRPr>
            </a:pPr>
            <a:endParaRPr lang="en-US"/>
          </a:p>
        </c:txPr>
      </c:dTable>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ln>
      <a:solidFill>
        <a:sysClr val="windowText" lastClr="000000"/>
      </a:solidFill>
    </a:ln>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r>
              <a:rPr lang="en-US" sz="1800" b="1" i="0" u="none" strike="noStrike" baseline="0">
                <a:effectLst/>
              </a:rPr>
              <a:t>Sakhalin-1 Gas Production(mmscmd)</a:t>
            </a:r>
            <a:endParaRPr lang="en-US" sz="1800"/>
          </a:p>
        </c:rich>
      </c:tx>
      <c:overlay val="0"/>
      <c:spPr>
        <a:noFill/>
        <a:ln>
          <a:noFill/>
        </a:ln>
        <a:effectLst/>
      </c:spPr>
    </c:title>
    <c:autoTitleDeleted val="0"/>
    <c:plotArea>
      <c:layout/>
      <c:barChart>
        <c:barDir val="col"/>
        <c:grouping val="clustered"/>
        <c:varyColors val="0"/>
        <c:ser>
          <c:idx val="0"/>
          <c:order val="0"/>
          <c:tx>
            <c:strRef>
              <c:f>Tables!$C$201</c:f>
              <c:strCache>
                <c:ptCount val="1"/>
                <c:pt idx="0">
                  <c:v>BE(mmscmd)</c:v>
                </c:pt>
              </c:strCache>
            </c:strRef>
          </c:tx>
          <c:spPr>
            <a:solidFill>
              <a:schemeClr val="accent2">
                <a:lumMod val="40000"/>
                <a:lumOff val="60000"/>
              </a:schemeClr>
            </a:solidFill>
            <a:ln>
              <a:noFill/>
            </a:ln>
            <a:effectLst/>
          </c:spPr>
          <c:invertIfNegative val="0"/>
          <c:cat>
            <c:strRef>
              <c:f>Tables!$D$200:$O$200</c:f>
              <c:strCache>
                <c:ptCount val="12"/>
                <c:pt idx="0">
                  <c:v>Apr'26</c:v>
                </c:pt>
                <c:pt idx="1">
                  <c:v>May'26</c:v>
                </c:pt>
                <c:pt idx="2">
                  <c:v>June'26</c:v>
                </c:pt>
                <c:pt idx="3">
                  <c:v>July'26</c:v>
                </c:pt>
                <c:pt idx="4">
                  <c:v>Aug'26</c:v>
                </c:pt>
                <c:pt idx="5">
                  <c:v>Sep'26</c:v>
                </c:pt>
                <c:pt idx="6">
                  <c:v>Oct'26</c:v>
                </c:pt>
                <c:pt idx="7">
                  <c:v>Nov'26</c:v>
                </c:pt>
                <c:pt idx="8">
                  <c:v>Dec'26</c:v>
                </c:pt>
                <c:pt idx="9">
                  <c:v>Jan'27</c:v>
                </c:pt>
                <c:pt idx="10">
                  <c:v>Feb'27</c:v>
                </c:pt>
                <c:pt idx="11">
                  <c:v>Mar'27</c:v>
                </c:pt>
              </c:strCache>
            </c:strRef>
          </c:cat>
          <c:val>
            <c:numRef>
              <c:f>Tables!$D$201:$O$201</c:f>
              <c:numCache>
                <c:formatCode>0.00</c:formatCode>
                <c:ptCount val="12"/>
                <c:pt idx="0">
                  <c:v>8.1666666666666661</c:v>
                </c:pt>
                <c:pt idx="1">
                  <c:v>8.064516129032258</c:v>
                </c:pt>
                <c:pt idx="2">
                  <c:v>8</c:v>
                </c:pt>
                <c:pt idx="3">
                  <c:v>8.2258064516129004</c:v>
                </c:pt>
                <c:pt idx="4">
                  <c:v>8.064516129032258</c:v>
                </c:pt>
                <c:pt idx="5">
                  <c:v>8.1666666666666661</c:v>
                </c:pt>
                <c:pt idx="6">
                  <c:v>8.3870967741935463</c:v>
                </c:pt>
                <c:pt idx="7">
                  <c:v>8.8333333333333321</c:v>
                </c:pt>
                <c:pt idx="8">
                  <c:v>8.7096774193548363</c:v>
                </c:pt>
                <c:pt idx="9">
                  <c:v>9.0322580645161263</c:v>
                </c:pt>
                <c:pt idx="10">
                  <c:v>9.1071428571428541</c:v>
                </c:pt>
                <c:pt idx="11">
                  <c:v>9.0322580645161263</c:v>
                </c:pt>
              </c:numCache>
            </c:numRef>
          </c:val>
          <c:extLst xmlns:c16r2="http://schemas.microsoft.com/office/drawing/2015/06/chart">
            <c:ext xmlns:c16="http://schemas.microsoft.com/office/drawing/2014/chart" uri="{C3380CC4-5D6E-409C-BE32-E72D297353CC}">
              <c16:uniqueId val="{00000000-DB6E-4129-A8EA-045704699F4E}"/>
            </c:ext>
          </c:extLst>
        </c:ser>
        <c:ser>
          <c:idx val="1"/>
          <c:order val="1"/>
          <c:tx>
            <c:strRef>
              <c:f>Tables!$C$202</c:f>
              <c:strCache>
                <c:ptCount val="1"/>
                <c:pt idx="0">
                  <c:v>Actual</c:v>
                </c:pt>
              </c:strCache>
            </c:strRef>
          </c:tx>
          <c:spPr>
            <a:solidFill>
              <a:schemeClr val="accent2">
                <a:lumMod val="75000"/>
              </a:schemeClr>
            </a:solidFill>
            <a:ln>
              <a:noFill/>
            </a:ln>
            <a:effectLst/>
          </c:spPr>
          <c:invertIfNegative val="0"/>
          <c:cat>
            <c:strRef>
              <c:f>Tables!$D$200:$O$200</c:f>
              <c:strCache>
                <c:ptCount val="12"/>
                <c:pt idx="0">
                  <c:v>Apr'26</c:v>
                </c:pt>
                <c:pt idx="1">
                  <c:v>May'26</c:v>
                </c:pt>
                <c:pt idx="2">
                  <c:v>June'26</c:v>
                </c:pt>
                <c:pt idx="3">
                  <c:v>July'26</c:v>
                </c:pt>
                <c:pt idx="4">
                  <c:v>Aug'26</c:v>
                </c:pt>
                <c:pt idx="5">
                  <c:v>Sep'26</c:v>
                </c:pt>
                <c:pt idx="6">
                  <c:v>Oct'26</c:v>
                </c:pt>
                <c:pt idx="7">
                  <c:v>Nov'26</c:v>
                </c:pt>
                <c:pt idx="8">
                  <c:v>Dec'26</c:v>
                </c:pt>
                <c:pt idx="9">
                  <c:v>Jan'27</c:v>
                </c:pt>
                <c:pt idx="10">
                  <c:v>Feb'27</c:v>
                </c:pt>
                <c:pt idx="11">
                  <c:v>Mar'27</c:v>
                </c:pt>
              </c:strCache>
            </c:strRef>
          </c:cat>
          <c:val>
            <c:numRef>
              <c:f>Tables!$D$202:$O$202</c:f>
              <c:numCache>
                <c:formatCode>0.00</c:formatCode>
                <c:ptCount val="12"/>
                <c:pt idx="0">
                  <c:v>9.7017673333333327</c:v>
                </c:pt>
                <c:pt idx="1">
                  <c:v>8.3419374193548386</c:v>
                </c:pt>
                <c:pt idx="2">
                  <c:v>7.6709000000000005</c:v>
                </c:pt>
                <c:pt idx="3">
                  <c:v>7.3924512903225805</c:v>
                </c:pt>
                <c:pt idx="4">
                  <c:v>6.9239309443193591</c:v>
                </c:pt>
                <c:pt idx="5">
                  <c:v>0</c:v>
                </c:pt>
                <c:pt idx="6">
                  <c:v>0</c:v>
                </c:pt>
                <c:pt idx="7">
                  <c:v>0</c:v>
                </c:pt>
                <c:pt idx="8">
                  <c:v>0</c:v>
                </c:pt>
                <c:pt idx="9">
                  <c:v>0</c:v>
                </c:pt>
                <c:pt idx="10">
                  <c:v>0</c:v>
                </c:pt>
                <c:pt idx="11">
                  <c:v>0</c:v>
                </c:pt>
              </c:numCache>
            </c:numRef>
          </c:val>
          <c:extLst xmlns:c16r2="http://schemas.microsoft.com/office/drawing/2015/06/chart">
            <c:ext xmlns:c16="http://schemas.microsoft.com/office/drawing/2014/chart" uri="{C3380CC4-5D6E-409C-BE32-E72D297353CC}">
              <c16:uniqueId val="{00000001-DB6E-4129-A8EA-045704699F4E}"/>
            </c:ext>
          </c:extLst>
        </c:ser>
        <c:dLbls>
          <c:showLegendKey val="0"/>
          <c:showVal val="0"/>
          <c:showCatName val="0"/>
          <c:showSerName val="0"/>
          <c:showPercent val="0"/>
          <c:showBubbleSize val="0"/>
        </c:dLbls>
        <c:gapWidth val="219"/>
        <c:axId val="1162180368"/>
        <c:axId val="1162180912"/>
      </c:barChart>
      <c:catAx>
        <c:axId val="11621803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62180912"/>
        <c:crosses val="autoZero"/>
        <c:auto val="1"/>
        <c:lblAlgn val="ctr"/>
        <c:lblOffset val="100"/>
        <c:noMultiLvlLbl val="0"/>
      </c:catAx>
      <c:valAx>
        <c:axId val="11621809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62180368"/>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1000" b="0" i="0" u="none" strike="noStrike" kern="1200" baseline="0">
                <a:solidFill>
                  <a:sysClr val="windowText" lastClr="000000"/>
                </a:solidFill>
                <a:latin typeface="+mn-lt"/>
                <a:ea typeface="+mn-ea"/>
                <a:cs typeface="+mn-cs"/>
              </a:defRPr>
            </a:pPr>
            <a:endParaRPr lang="en-US"/>
          </a:p>
        </c:txPr>
      </c:dTable>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ln>
      <a:solidFill>
        <a:sysClr val="windowText" lastClr="000000"/>
      </a:solidFill>
    </a:ln>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vert="horz"/>
          <a:lstStyle/>
          <a:p>
            <a:pPr>
              <a:defRPr/>
            </a:pPr>
            <a:r>
              <a:rPr lang="en-US" sz="1800" b="1" i="0" baseline="0">
                <a:effectLst/>
              </a:rPr>
              <a:t>Vankor Gas Production(mmscmd)</a:t>
            </a:r>
            <a:endParaRPr lang="en-US">
              <a:effectLst/>
            </a:endParaRPr>
          </a:p>
        </c:rich>
      </c:tx>
      <c:overlay val="0"/>
      <c:spPr>
        <a:noFill/>
        <a:ln>
          <a:noFill/>
        </a:ln>
        <a:effectLst/>
      </c:spPr>
    </c:title>
    <c:autoTitleDeleted val="0"/>
    <c:plotArea>
      <c:layout/>
      <c:barChart>
        <c:barDir val="col"/>
        <c:grouping val="clustered"/>
        <c:varyColors val="0"/>
        <c:ser>
          <c:idx val="0"/>
          <c:order val="0"/>
          <c:tx>
            <c:strRef>
              <c:f>Tables!$C$215</c:f>
              <c:strCache>
                <c:ptCount val="1"/>
                <c:pt idx="0">
                  <c:v>BE(mmscmd)</c:v>
                </c:pt>
              </c:strCache>
            </c:strRef>
          </c:tx>
          <c:spPr>
            <a:solidFill>
              <a:schemeClr val="accent2">
                <a:lumMod val="40000"/>
                <a:lumOff val="60000"/>
              </a:schemeClr>
            </a:solidFill>
            <a:ln>
              <a:noFill/>
            </a:ln>
            <a:effectLst/>
          </c:spPr>
          <c:invertIfNegative val="0"/>
          <c:cat>
            <c:strRef>
              <c:f>Tables!$D$214:$O$214</c:f>
              <c:strCache>
                <c:ptCount val="12"/>
                <c:pt idx="0">
                  <c:v>Apr'26</c:v>
                </c:pt>
                <c:pt idx="1">
                  <c:v>May'26</c:v>
                </c:pt>
                <c:pt idx="2">
                  <c:v>June'26</c:v>
                </c:pt>
                <c:pt idx="3">
                  <c:v>July'26</c:v>
                </c:pt>
                <c:pt idx="4">
                  <c:v>Aug'26</c:v>
                </c:pt>
                <c:pt idx="5">
                  <c:v>Sep'26</c:v>
                </c:pt>
                <c:pt idx="6">
                  <c:v>Oct'26</c:v>
                </c:pt>
                <c:pt idx="7">
                  <c:v>Nov'26</c:v>
                </c:pt>
                <c:pt idx="8">
                  <c:v>Dec'26</c:v>
                </c:pt>
                <c:pt idx="9">
                  <c:v>Jan'27</c:v>
                </c:pt>
                <c:pt idx="10">
                  <c:v>Feb'27</c:v>
                </c:pt>
                <c:pt idx="11">
                  <c:v>Mar'27</c:v>
                </c:pt>
              </c:strCache>
            </c:strRef>
          </c:cat>
          <c:val>
            <c:numRef>
              <c:f>Tables!$D$215:$O$215</c:f>
              <c:numCache>
                <c:formatCode>0.00</c:formatCode>
                <c:ptCount val="12"/>
                <c:pt idx="0">
                  <c:v>8.4615384615384617</c:v>
                </c:pt>
                <c:pt idx="1">
                  <c:v>8.4367245657568244</c:v>
                </c:pt>
                <c:pt idx="2">
                  <c:v>8.4615384615384617</c:v>
                </c:pt>
                <c:pt idx="3">
                  <c:v>8.4367245657568244</c:v>
                </c:pt>
                <c:pt idx="4">
                  <c:v>8.4367245657568244</c:v>
                </c:pt>
                <c:pt idx="5">
                  <c:v>8.4615384615384617</c:v>
                </c:pt>
                <c:pt idx="6">
                  <c:v>8.4299262381454163</c:v>
                </c:pt>
                <c:pt idx="7">
                  <c:v>8.4615384615384617</c:v>
                </c:pt>
                <c:pt idx="8">
                  <c:v>8.4367245657568244</c:v>
                </c:pt>
                <c:pt idx="9">
                  <c:v>8.4367245657568244</c:v>
                </c:pt>
                <c:pt idx="10">
                  <c:v>8.2417582417582409</c:v>
                </c:pt>
                <c:pt idx="11">
                  <c:v>8.4367245657568244</c:v>
                </c:pt>
              </c:numCache>
            </c:numRef>
          </c:val>
          <c:extLst xmlns:c16r2="http://schemas.microsoft.com/office/drawing/2015/06/chart">
            <c:ext xmlns:c16="http://schemas.microsoft.com/office/drawing/2014/chart" uri="{C3380CC4-5D6E-409C-BE32-E72D297353CC}">
              <c16:uniqueId val="{00000000-AAF3-4738-AA1B-27118F589561}"/>
            </c:ext>
          </c:extLst>
        </c:ser>
        <c:ser>
          <c:idx val="1"/>
          <c:order val="1"/>
          <c:tx>
            <c:strRef>
              <c:f>Tables!$C$216</c:f>
              <c:strCache>
                <c:ptCount val="1"/>
                <c:pt idx="0">
                  <c:v>Actual</c:v>
                </c:pt>
              </c:strCache>
            </c:strRef>
          </c:tx>
          <c:spPr>
            <a:solidFill>
              <a:schemeClr val="accent2">
                <a:lumMod val="75000"/>
              </a:schemeClr>
            </a:solidFill>
            <a:ln>
              <a:noFill/>
            </a:ln>
            <a:effectLst/>
          </c:spPr>
          <c:invertIfNegative val="0"/>
          <c:cat>
            <c:strRef>
              <c:f>Tables!$D$214:$O$214</c:f>
              <c:strCache>
                <c:ptCount val="12"/>
                <c:pt idx="0">
                  <c:v>Apr'26</c:v>
                </c:pt>
                <c:pt idx="1">
                  <c:v>May'26</c:v>
                </c:pt>
                <c:pt idx="2">
                  <c:v>June'26</c:v>
                </c:pt>
                <c:pt idx="3">
                  <c:v>July'26</c:v>
                </c:pt>
                <c:pt idx="4">
                  <c:v>Aug'26</c:v>
                </c:pt>
                <c:pt idx="5">
                  <c:v>Sep'26</c:v>
                </c:pt>
                <c:pt idx="6">
                  <c:v>Oct'26</c:v>
                </c:pt>
                <c:pt idx="7">
                  <c:v>Nov'26</c:v>
                </c:pt>
                <c:pt idx="8">
                  <c:v>Dec'26</c:v>
                </c:pt>
                <c:pt idx="9">
                  <c:v>Jan'27</c:v>
                </c:pt>
                <c:pt idx="10">
                  <c:v>Feb'27</c:v>
                </c:pt>
                <c:pt idx="11">
                  <c:v>Mar'27</c:v>
                </c:pt>
              </c:strCache>
            </c:strRef>
          </c:cat>
          <c:val>
            <c:numRef>
              <c:f>Tables!$D$216:$O$216</c:f>
              <c:numCache>
                <c:formatCode>0.00</c:formatCode>
                <c:ptCount val="12"/>
                <c:pt idx="0">
                  <c:v>9.9731976666666657</c:v>
                </c:pt>
                <c:pt idx="1">
                  <c:v>9.9403735483870967</c:v>
                </c:pt>
                <c:pt idx="2">
                  <c:v>9.7900666666666663</c:v>
                </c:pt>
                <c:pt idx="3">
                  <c:v>8.8381954838709671</c:v>
                </c:pt>
                <c:pt idx="4">
                  <c:v>10.128309225806449</c:v>
                </c:pt>
                <c:pt idx="5">
                  <c:v>0</c:v>
                </c:pt>
                <c:pt idx="6">
                  <c:v>0</c:v>
                </c:pt>
                <c:pt idx="7">
                  <c:v>0</c:v>
                </c:pt>
                <c:pt idx="8">
                  <c:v>0</c:v>
                </c:pt>
                <c:pt idx="9">
                  <c:v>0</c:v>
                </c:pt>
                <c:pt idx="10">
                  <c:v>0</c:v>
                </c:pt>
                <c:pt idx="11">
                  <c:v>0</c:v>
                </c:pt>
              </c:numCache>
            </c:numRef>
          </c:val>
          <c:extLst xmlns:c16r2="http://schemas.microsoft.com/office/drawing/2015/06/chart">
            <c:ext xmlns:c16="http://schemas.microsoft.com/office/drawing/2014/chart" uri="{C3380CC4-5D6E-409C-BE32-E72D297353CC}">
              <c16:uniqueId val="{00000001-AAF3-4738-AA1B-27118F589561}"/>
            </c:ext>
          </c:extLst>
        </c:ser>
        <c:dLbls>
          <c:showLegendKey val="0"/>
          <c:showVal val="0"/>
          <c:showCatName val="0"/>
          <c:showSerName val="0"/>
          <c:showPercent val="0"/>
          <c:showBubbleSize val="0"/>
        </c:dLbls>
        <c:gapWidth val="219"/>
        <c:axId val="1162166768"/>
        <c:axId val="1162192336"/>
      </c:barChart>
      <c:catAx>
        <c:axId val="11621667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vert="horz"/>
          <a:lstStyle/>
          <a:p>
            <a:pPr>
              <a:defRPr/>
            </a:pPr>
            <a:endParaRPr lang="en-US"/>
          </a:p>
        </c:txPr>
        <c:crossAx val="1162192336"/>
        <c:crosses val="autoZero"/>
        <c:auto val="1"/>
        <c:lblAlgn val="ctr"/>
        <c:lblOffset val="100"/>
        <c:noMultiLvlLbl val="0"/>
      </c:catAx>
      <c:valAx>
        <c:axId val="11621923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vert="horz"/>
          <a:lstStyle/>
          <a:p>
            <a:pPr>
              <a:defRPr/>
            </a:pPr>
            <a:endParaRPr lang="en-US"/>
          </a:p>
        </c:txPr>
        <c:crossAx val="1162166768"/>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dTable>
    </c:plotArea>
    <c:legend>
      <c:legendPos val="b"/>
      <c:overlay val="0"/>
      <c:spPr>
        <a:noFill/>
        <a:ln>
          <a:noFill/>
        </a:ln>
        <a:effectLst/>
      </c:spPr>
      <c:txPr>
        <a:bodyPr rot="0" vert="horz"/>
        <a:lstStyle/>
        <a:p>
          <a:pPr>
            <a:defRPr/>
          </a:pPr>
          <a:endParaRPr lang="en-US"/>
        </a:p>
      </c:txPr>
    </c:legend>
    <c:plotVisOnly val="1"/>
    <c:dispBlanksAs val="gap"/>
    <c:showDLblsOverMax val="0"/>
  </c:chart>
  <c:spPr>
    <a:ln>
      <a:solidFill>
        <a:sysClr val="windowText" lastClr="000000"/>
      </a:solidFill>
    </a:ln>
  </c:spPr>
  <c:txPr>
    <a:bodyPr/>
    <a:lstStyle/>
    <a:p>
      <a:pPr>
        <a:defRPr sz="1000">
          <a:solidFill>
            <a:sysClr val="windowText" lastClr="000000"/>
          </a:solidFill>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US" sz="1800" b="1" i="0" baseline="0">
                <a:effectLst/>
              </a:rPr>
              <a:t>Imperial Energy Gas Production(mmscmd)</a:t>
            </a:r>
            <a:endParaRPr lang="en-US">
              <a:effectLst/>
            </a:endParaRPr>
          </a:p>
        </c:rich>
      </c:tx>
      <c:overlay val="0"/>
      <c:spPr>
        <a:noFill/>
        <a:ln>
          <a:noFill/>
        </a:ln>
        <a:effectLst/>
      </c:spPr>
    </c:title>
    <c:autoTitleDeleted val="0"/>
    <c:plotArea>
      <c:layout/>
      <c:barChart>
        <c:barDir val="col"/>
        <c:grouping val="clustered"/>
        <c:varyColors val="0"/>
        <c:ser>
          <c:idx val="0"/>
          <c:order val="0"/>
          <c:tx>
            <c:strRef>
              <c:f>Tables!$C$229</c:f>
              <c:strCache>
                <c:ptCount val="1"/>
                <c:pt idx="0">
                  <c:v>BE(mmscmd)</c:v>
                </c:pt>
              </c:strCache>
            </c:strRef>
          </c:tx>
          <c:spPr>
            <a:solidFill>
              <a:schemeClr val="accent2">
                <a:lumMod val="40000"/>
                <a:lumOff val="60000"/>
              </a:schemeClr>
            </a:solidFill>
            <a:ln>
              <a:noFill/>
            </a:ln>
            <a:effectLst/>
          </c:spPr>
          <c:invertIfNegative val="0"/>
          <c:cat>
            <c:strRef>
              <c:f>Tables!$D$228:$O$228</c:f>
              <c:strCache>
                <c:ptCount val="12"/>
                <c:pt idx="0">
                  <c:v>Apr'26</c:v>
                </c:pt>
                <c:pt idx="1">
                  <c:v>May'26</c:v>
                </c:pt>
                <c:pt idx="2">
                  <c:v>June'26</c:v>
                </c:pt>
                <c:pt idx="3">
                  <c:v>July'26</c:v>
                </c:pt>
                <c:pt idx="4">
                  <c:v>Aug'26</c:v>
                </c:pt>
                <c:pt idx="5">
                  <c:v>Sep'26</c:v>
                </c:pt>
                <c:pt idx="6">
                  <c:v>Oct'26</c:v>
                </c:pt>
                <c:pt idx="7">
                  <c:v>Nov'26</c:v>
                </c:pt>
                <c:pt idx="8">
                  <c:v>Dec'26</c:v>
                </c:pt>
                <c:pt idx="9">
                  <c:v>Jan'27</c:v>
                </c:pt>
                <c:pt idx="10">
                  <c:v>Feb'27</c:v>
                </c:pt>
                <c:pt idx="11">
                  <c:v>Mar'27</c:v>
                </c:pt>
              </c:strCache>
            </c:strRef>
          </c:cat>
          <c:val>
            <c:numRef>
              <c:f>Tables!$D$229:$O$229</c:f>
              <c:numCache>
                <c:formatCode>0.000</c:formatCode>
                <c:ptCount val="12"/>
                <c:pt idx="0">
                  <c:v>0.26666666666666666</c:v>
                </c:pt>
                <c:pt idx="1">
                  <c:v>0.25806451612903225</c:v>
                </c:pt>
                <c:pt idx="2">
                  <c:v>0.26666666666666666</c:v>
                </c:pt>
                <c:pt idx="3">
                  <c:v>0.25806451612903225</c:v>
                </c:pt>
                <c:pt idx="4">
                  <c:v>0.25806451612903225</c:v>
                </c:pt>
                <c:pt idx="5">
                  <c:v>0.26666666666666666</c:v>
                </c:pt>
                <c:pt idx="6">
                  <c:v>0.25753424657534246</c:v>
                </c:pt>
                <c:pt idx="7">
                  <c:v>0.26666666666666666</c:v>
                </c:pt>
                <c:pt idx="8">
                  <c:v>0.25806451612903225</c:v>
                </c:pt>
                <c:pt idx="9">
                  <c:v>0.25806451612903225</c:v>
                </c:pt>
                <c:pt idx="10">
                  <c:v>0.21428571428571427</c:v>
                </c:pt>
                <c:pt idx="11">
                  <c:v>0.25806451612903225</c:v>
                </c:pt>
              </c:numCache>
            </c:numRef>
          </c:val>
          <c:extLst xmlns:c16r2="http://schemas.microsoft.com/office/drawing/2015/06/chart">
            <c:ext xmlns:c16="http://schemas.microsoft.com/office/drawing/2014/chart" uri="{C3380CC4-5D6E-409C-BE32-E72D297353CC}">
              <c16:uniqueId val="{00000000-7A6F-483C-9447-33CD15AE85BA}"/>
            </c:ext>
          </c:extLst>
        </c:ser>
        <c:ser>
          <c:idx val="1"/>
          <c:order val="1"/>
          <c:tx>
            <c:strRef>
              <c:f>Tables!$C$230</c:f>
              <c:strCache>
                <c:ptCount val="1"/>
                <c:pt idx="0">
                  <c:v>Actual</c:v>
                </c:pt>
              </c:strCache>
            </c:strRef>
          </c:tx>
          <c:spPr>
            <a:solidFill>
              <a:schemeClr val="accent2">
                <a:lumMod val="75000"/>
              </a:schemeClr>
            </a:solidFill>
            <a:ln>
              <a:noFill/>
            </a:ln>
            <a:effectLst/>
          </c:spPr>
          <c:invertIfNegative val="0"/>
          <c:cat>
            <c:strRef>
              <c:f>Tables!$D$228:$O$228</c:f>
              <c:strCache>
                <c:ptCount val="12"/>
                <c:pt idx="0">
                  <c:v>Apr'26</c:v>
                </c:pt>
                <c:pt idx="1">
                  <c:v>May'26</c:v>
                </c:pt>
                <c:pt idx="2">
                  <c:v>June'26</c:v>
                </c:pt>
                <c:pt idx="3">
                  <c:v>July'26</c:v>
                </c:pt>
                <c:pt idx="4">
                  <c:v>Aug'26</c:v>
                </c:pt>
                <c:pt idx="5">
                  <c:v>Sep'26</c:v>
                </c:pt>
                <c:pt idx="6">
                  <c:v>Oct'26</c:v>
                </c:pt>
                <c:pt idx="7">
                  <c:v>Nov'26</c:v>
                </c:pt>
                <c:pt idx="8">
                  <c:v>Dec'26</c:v>
                </c:pt>
                <c:pt idx="9">
                  <c:v>Jan'27</c:v>
                </c:pt>
                <c:pt idx="10">
                  <c:v>Feb'27</c:v>
                </c:pt>
                <c:pt idx="11">
                  <c:v>Mar'27</c:v>
                </c:pt>
              </c:strCache>
            </c:strRef>
          </c:cat>
          <c:val>
            <c:numRef>
              <c:f>Tables!$D$230:$O$230</c:f>
              <c:numCache>
                <c:formatCode>0.000</c:formatCode>
                <c:ptCount val="12"/>
                <c:pt idx="0">
                  <c:v>0.27867500000000001</c:v>
                </c:pt>
                <c:pt idx="1">
                  <c:v>0.24100064516129033</c:v>
                </c:pt>
                <c:pt idx="2">
                  <c:v>0.261299</c:v>
                </c:pt>
                <c:pt idx="3">
                  <c:v>0.24090483870967741</c:v>
                </c:pt>
                <c:pt idx="4">
                  <c:v>0.24677316129032253</c:v>
                </c:pt>
                <c:pt idx="5">
                  <c:v>0</c:v>
                </c:pt>
                <c:pt idx="6">
                  <c:v>0</c:v>
                </c:pt>
                <c:pt idx="7">
                  <c:v>0</c:v>
                </c:pt>
                <c:pt idx="8">
                  <c:v>0</c:v>
                </c:pt>
                <c:pt idx="9">
                  <c:v>0</c:v>
                </c:pt>
                <c:pt idx="10">
                  <c:v>0</c:v>
                </c:pt>
                <c:pt idx="11">
                  <c:v>0</c:v>
                </c:pt>
              </c:numCache>
            </c:numRef>
          </c:val>
          <c:extLst xmlns:c16r2="http://schemas.microsoft.com/office/drawing/2015/06/chart">
            <c:ext xmlns:c16="http://schemas.microsoft.com/office/drawing/2014/chart" uri="{C3380CC4-5D6E-409C-BE32-E72D297353CC}">
              <c16:uniqueId val="{00000001-7A6F-483C-9447-33CD15AE85BA}"/>
            </c:ext>
          </c:extLst>
        </c:ser>
        <c:dLbls>
          <c:showLegendKey val="0"/>
          <c:showVal val="0"/>
          <c:showCatName val="0"/>
          <c:showSerName val="0"/>
          <c:showPercent val="0"/>
          <c:showBubbleSize val="0"/>
        </c:dLbls>
        <c:gapWidth val="219"/>
        <c:axId val="1162167312"/>
        <c:axId val="1162168944"/>
      </c:barChart>
      <c:catAx>
        <c:axId val="11621673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62168944"/>
        <c:crosses val="autoZero"/>
        <c:auto val="1"/>
        <c:lblAlgn val="ctr"/>
        <c:lblOffset val="100"/>
        <c:noMultiLvlLbl val="0"/>
      </c:catAx>
      <c:valAx>
        <c:axId val="1162168944"/>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62167312"/>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1000" b="0" i="0" u="none" strike="noStrike" kern="1200" baseline="0">
                <a:solidFill>
                  <a:sysClr val="windowText" lastClr="000000"/>
                </a:solidFill>
                <a:latin typeface="+mn-lt"/>
                <a:ea typeface="+mn-ea"/>
                <a:cs typeface="+mn-cs"/>
              </a:defRPr>
            </a:pPr>
            <a:endParaRPr lang="en-US"/>
          </a:p>
        </c:txPr>
      </c:dTable>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ln>
      <a:solidFill>
        <a:sysClr val="windowText" lastClr="000000"/>
      </a:solidFill>
    </a:ln>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US"/>
              <a:t>Daily production chart comparison between two periods</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scatterChart>
        <c:scatterStyle val="lineMarker"/>
        <c:varyColors val="0"/>
        <c:ser>
          <c:idx val="44"/>
          <c:order val="44"/>
          <c:spPr>
            <a:ln w="19050" cap="rnd">
              <a:solidFill>
                <a:schemeClr val="accent3">
                  <a:lumMod val="70000"/>
                </a:schemeClr>
              </a:solidFill>
              <a:round/>
            </a:ln>
            <a:effectLst/>
          </c:spPr>
          <c:marker>
            <c:symbol val="circle"/>
            <c:size val="5"/>
            <c:spPr>
              <a:solidFill>
                <a:schemeClr val="accent3">
                  <a:lumMod val="70000"/>
                </a:schemeClr>
              </a:solidFill>
              <a:ln w="9525">
                <a:solidFill>
                  <a:schemeClr val="accent3">
                    <a:lumMod val="70000"/>
                  </a:schemeClr>
                </a:solidFill>
              </a:ln>
              <a:effectLst/>
            </c:spPr>
          </c:marker>
          <c:smooth val="0"/>
          <c:extLst xmlns:c16r2="http://schemas.microsoft.com/office/drawing/2015/06/chart">
            <c:ext xmlns:c16="http://schemas.microsoft.com/office/drawing/2014/chart" uri="{C3380CC4-5D6E-409C-BE32-E72D297353CC}">
              <c16:uniqueId val="{00000009-9CA7-451B-ACB1-A3E1DA0F486F}"/>
            </c:ext>
          </c:extLst>
        </c:ser>
        <c:ser>
          <c:idx val="43"/>
          <c:order val="43"/>
          <c:tx>
            <c:v>01-Apr-23 to 05-Oct-23(Period1)</c:v>
          </c:tx>
          <c:spPr>
            <a:ln w="19050" cap="rnd">
              <a:solidFill>
                <a:schemeClr val="accent2">
                  <a:lumMod val="70000"/>
                </a:schemeClr>
              </a:solidFill>
              <a:round/>
            </a:ln>
            <a:effectLst/>
          </c:spPr>
          <c:marker>
            <c:symbol val="circle"/>
            <c:size val="5"/>
            <c:spPr>
              <a:solidFill>
                <a:schemeClr val="accent2">
                  <a:lumMod val="70000"/>
                </a:schemeClr>
              </a:solidFill>
              <a:ln w="9525">
                <a:solidFill>
                  <a:schemeClr val="accent2">
                    <a:lumMod val="70000"/>
                  </a:schemeClr>
                </a:solidFill>
              </a:ln>
              <a:effectLst/>
            </c:spPr>
          </c:marker>
          <c:xVal>
            <c:numRef>
              <c:f>DPR!$C$374:$C$562</c:f>
            </c:numRef>
          </c:xVal>
          <c:yVal>
            <c:numRef>
              <c:f>DPR!$R$374:$R$562</c:f>
            </c:numRef>
          </c:yVal>
          <c:smooth val="0"/>
          <c:extLst xmlns:c16r2="http://schemas.microsoft.com/office/drawing/2015/06/chart">
            <c:ext xmlns:c16="http://schemas.microsoft.com/office/drawing/2014/chart" uri="{C3380CC4-5D6E-409C-BE32-E72D297353CC}">
              <c16:uniqueId val="{00000008-9CA7-451B-ACB1-A3E1DA0F486F}"/>
            </c:ext>
          </c:extLst>
        </c:ser>
        <c:ser>
          <c:idx val="42"/>
          <c:order val="42"/>
          <c:tx>
            <c:v>01-Apr-23 to 05-Oct-23(Period1)</c:v>
          </c:tx>
          <c:spPr>
            <a:ln w="19050" cap="rnd">
              <a:solidFill>
                <a:schemeClr val="accent1">
                  <a:lumMod val="70000"/>
                </a:schemeClr>
              </a:solidFill>
              <a:round/>
            </a:ln>
            <a:effectLst/>
          </c:spPr>
          <c:marker>
            <c:symbol val="circle"/>
            <c:size val="5"/>
            <c:spPr>
              <a:solidFill>
                <a:schemeClr val="accent1">
                  <a:lumMod val="70000"/>
                </a:schemeClr>
              </a:solidFill>
              <a:ln w="9525">
                <a:solidFill>
                  <a:schemeClr val="accent1">
                    <a:lumMod val="70000"/>
                  </a:schemeClr>
                </a:solidFill>
              </a:ln>
              <a:effectLst/>
            </c:spPr>
          </c:marker>
          <c:xVal>
            <c:numRef>
              <c:f>DPR!$C$374:$C$562</c:f>
            </c:numRef>
          </c:xVal>
          <c:yVal>
            <c:numRef>
              <c:f>DPR!$D$374:$D$562</c:f>
            </c:numRef>
          </c:yVal>
          <c:smooth val="0"/>
          <c:extLst xmlns:c16r2="http://schemas.microsoft.com/office/drawing/2015/06/chart">
            <c:ext xmlns:c16="http://schemas.microsoft.com/office/drawing/2014/chart" uri="{C3380CC4-5D6E-409C-BE32-E72D297353CC}">
              <c16:uniqueId val="{00000006-9CA7-451B-ACB1-A3E1DA0F486F}"/>
            </c:ext>
          </c:extLst>
        </c:ser>
        <c:ser>
          <c:idx val="41"/>
          <c:order val="41"/>
          <c:tx>
            <c:v>01-Apr-23 to 05-Oct-23(Period1)</c:v>
          </c:tx>
          <c:spPr>
            <a:ln w="19050" cap="rnd">
              <a:solidFill>
                <a:schemeClr val="accent6">
                  <a:lumMod val="70000"/>
                  <a:lumOff val="30000"/>
                </a:schemeClr>
              </a:solidFill>
              <a:round/>
            </a:ln>
            <a:effectLst/>
          </c:spPr>
          <c:marker>
            <c:symbol val="circle"/>
            <c:size val="5"/>
            <c:spPr>
              <a:solidFill>
                <a:schemeClr val="accent6">
                  <a:lumMod val="70000"/>
                  <a:lumOff val="30000"/>
                </a:schemeClr>
              </a:solidFill>
              <a:ln w="9525">
                <a:solidFill>
                  <a:schemeClr val="accent6">
                    <a:lumMod val="70000"/>
                    <a:lumOff val="30000"/>
                  </a:schemeClr>
                </a:solidFill>
              </a:ln>
              <a:effectLst/>
            </c:spPr>
          </c:marker>
          <c:xVal>
            <c:numRef>
              <c:f>DPR!$C$374:$C$562</c:f>
            </c:numRef>
          </c:xVal>
          <c:yVal>
            <c:numRef>
              <c:f>DPR!$R$374:$R$562</c:f>
            </c:numRef>
          </c:yVal>
          <c:smooth val="0"/>
          <c:extLst xmlns:c16r2="http://schemas.microsoft.com/office/drawing/2015/06/chart">
            <c:ext xmlns:c16="http://schemas.microsoft.com/office/drawing/2014/chart" uri="{C3380CC4-5D6E-409C-BE32-E72D297353CC}">
              <c16:uniqueId val="{00000004-9CA7-451B-ACB1-A3E1DA0F486F}"/>
            </c:ext>
          </c:extLst>
        </c:ser>
        <c:ser>
          <c:idx val="40"/>
          <c:order val="40"/>
          <c:tx>
            <c:v>01-Apr-23 to 05-Oct-23(Period1)</c:v>
          </c:tx>
          <c:spPr>
            <a:ln w="19050" cap="rnd">
              <a:solidFill>
                <a:schemeClr val="accent5">
                  <a:lumMod val="70000"/>
                  <a:lumOff val="30000"/>
                </a:schemeClr>
              </a:solidFill>
              <a:round/>
            </a:ln>
            <a:effectLst/>
          </c:spPr>
          <c:marker>
            <c:symbol val="circle"/>
            <c:size val="5"/>
            <c:spPr>
              <a:solidFill>
                <a:schemeClr val="accent5">
                  <a:lumMod val="70000"/>
                  <a:lumOff val="30000"/>
                </a:schemeClr>
              </a:solidFill>
              <a:ln w="9525">
                <a:solidFill>
                  <a:schemeClr val="accent5">
                    <a:lumMod val="70000"/>
                    <a:lumOff val="30000"/>
                  </a:schemeClr>
                </a:solidFill>
              </a:ln>
              <a:effectLst/>
            </c:spPr>
          </c:marker>
          <c:xVal>
            <c:numRef>
              <c:f>DPR!$C$374:$C$562</c:f>
            </c:numRef>
          </c:xVal>
          <c:yVal>
            <c:numRef>
              <c:f>DPR!$R$374:$R$562</c:f>
            </c:numRef>
          </c:yVal>
          <c:smooth val="0"/>
          <c:extLst xmlns:c16r2="http://schemas.microsoft.com/office/drawing/2015/06/chart">
            <c:ext xmlns:c16="http://schemas.microsoft.com/office/drawing/2014/chart" uri="{C3380CC4-5D6E-409C-BE32-E72D297353CC}">
              <c16:uniqueId val="{00000002-9CA7-451B-ACB1-A3E1DA0F486F}"/>
            </c:ext>
          </c:extLst>
        </c:ser>
        <c:ser>
          <c:idx val="39"/>
          <c:order val="39"/>
          <c:tx>
            <c:v>01-Apr-23 to 05-Oct-23(Period1)</c:v>
          </c:tx>
          <c:spPr>
            <a:ln w="19050" cap="rnd">
              <a:solidFill>
                <a:schemeClr val="accent4">
                  <a:lumMod val="70000"/>
                  <a:lumOff val="30000"/>
                </a:schemeClr>
              </a:solidFill>
              <a:round/>
            </a:ln>
            <a:effectLst/>
          </c:spPr>
          <c:marker>
            <c:symbol val="circle"/>
            <c:size val="5"/>
            <c:spPr>
              <a:solidFill>
                <a:schemeClr val="accent4">
                  <a:lumMod val="70000"/>
                  <a:lumOff val="30000"/>
                </a:schemeClr>
              </a:solidFill>
              <a:ln w="9525">
                <a:solidFill>
                  <a:schemeClr val="accent4">
                    <a:lumMod val="70000"/>
                    <a:lumOff val="30000"/>
                  </a:schemeClr>
                </a:solidFill>
              </a:ln>
              <a:effectLst/>
            </c:spPr>
          </c:marker>
          <c:xVal>
            <c:numRef>
              <c:f>DPR!$C$374:$C$562</c:f>
            </c:numRef>
          </c:xVal>
          <c:yVal>
            <c:numRef>
              <c:f>DPR!$H$374:$H$562</c:f>
            </c:numRef>
          </c:yVal>
          <c:smooth val="0"/>
          <c:extLst xmlns:c16r2="http://schemas.microsoft.com/office/drawing/2015/06/chart">
            <c:ext xmlns:c16="http://schemas.microsoft.com/office/drawing/2014/chart" uri="{C3380CC4-5D6E-409C-BE32-E72D297353CC}">
              <c16:uniqueId val="{00000000-9CA7-451B-ACB1-A3E1DA0F486F}"/>
            </c:ext>
          </c:extLst>
        </c:ser>
        <c:ser>
          <c:idx val="36"/>
          <c:order val="32"/>
          <c:tx>
            <c:v>01-Apr-22 to 05-Oct-22(Period2)</c:v>
          </c:tx>
          <c:spPr>
            <a:ln w="19050" cap="rnd">
              <a:solidFill>
                <a:schemeClr val="accent1">
                  <a:lumMod val="70000"/>
                  <a:lumOff val="30000"/>
                </a:schemeClr>
              </a:solidFill>
              <a:round/>
            </a:ln>
            <a:effectLst/>
          </c:spPr>
          <c:marker>
            <c:symbol val="none"/>
          </c:marker>
          <c:xVal>
            <c:numRef>
              <c:f>DPR!$C$9:$C$197</c:f>
            </c:numRef>
          </c:xVal>
          <c:yVal>
            <c:numRef>
              <c:f>DPR!$L$9:$L$197</c:f>
            </c:numRef>
          </c:yVal>
          <c:smooth val="0"/>
          <c:extLst xmlns:c16r2="http://schemas.microsoft.com/office/drawing/2015/06/chart">
            <c:ext xmlns:c16="http://schemas.microsoft.com/office/drawing/2014/chart" uri="{C3380CC4-5D6E-409C-BE32-E72D297353CC}">
              <c16:uniqueId val="{00000007-696E-4720-A028-CF8BAD0F7571}"/>
            </c:ext>
          </c:extLst>
        </c:ser>
        <c:ser>
          <c:idx val="24"/>
          <c:order val="33"/>
          <c:tx>
            <c:v>01-Apr-23 to 05-Oct-23(Period1)</c:v>
          </c:tx>
          <c:spPr>
            <a:ln w="19050" cap="rnd">
              <a:solidFill>
                <a:schemeClr val="accent1">
                  <a:lumMod val="60000"/>
                  <a:lumOff val="40000"/>
                </a:schemeClr>
              </a:solidFill>
              <a:round/>
            </a:ln>
            <a:effectLst/>
          </c:spPr>
          <c:marker>
            <c:symbol val="circle"/>
            <c:size val="5"/>
            <c:spPr>
              <a:solidFill>
                <a:schemeClr val="accent1">
                  <a:lumMod val="60000"/>
                  <a:lumOff val="40000"/>
                </a:schemeClr>
              </a:solidFill>
              <a:ln w="9525">
                <a:solidFill>
                  <a:schemeClr val="accent1">
                    <a:lumMod val="60000"/>
                    <a:lumOff val="40000"/>
                  </a:schemeClr>
                </a:solidFill>
              </a:ln>
              <a:effectLst/>
            </c:spPr>
          </c:marker>
          <c:xVal>
            <c:numRef>
              <c:f>DPR!$C$374:$C$562</c:f>
            </c:numRef>
          </c:xVal>
          <c:yVal>
            <c:numRef>
              <c:f>DPR!$K$374:$K$562</c:f>
            </c:numRef>
          </c:yVal>
          <c:smooth val="0"/>
          <c:extLst xmlns:c16r2="http://schemas.microsoft.com/office/drawing/2015/06/chart">
            <c:ext xmlns:c16="http://schemas.microsoft.com/office/drawing/2014/chart" uri="{C3380CC4-5D6E-409C-BE32-E72D297353CC}">
              <c16:uniqueId val="{00000000-D99D-4810-981C-63BC149C5569}"/>
            </c:ext>
          </c:extLst>
        </c:ser>
        <c:ser>
          <c:idx val="25"/>
          <c:order val="34"/>
          <c:tx>
            <c:v>01-Apr-23 to 05-Oct-23(Period1)</c:v>
          </c:tx>
          <c:spPr>
            <a:ln w="19050" cap="rnd">
              <a:solidFill>
                <a:schemeClr val="accent2">
                  <a:lumMod val="60000"/>
                  <a:lumOff val="40000"/>
                </a:schemeClr>
              </a:solidFill>
              <a:round/>
            </a:ln>
            <a:effectLst/>
          </c:spPr>
          <c:marker>
            <c:symbol val="circle"/>
            <c:size val="5"/>
            <c:spPr>
              <a:solidFill>
                <a:schemeClr val="accent2">
                  <a:lumMod val="60000"/>
                  <a:lumOff val="40000"/>
                </a:schemeClr>
              </a:solidFill>
              <a:ln w="9525">
                <a:solidFill>
                  <a:schemeClr val="accent2">
                    <a:lumMod val="60000"/>
                    <a:lumOff val="40000"/>
                  </a:schemeClr>
                </a:solidFill>
              </a:ln>
              <a:effectLst/>
            </c:spPr>
          </c:marker>
          <c:xVal>
            <c:numRef>
              <c:f>DPR!$C$374:$C$562</c:f>
            </c:numRef>
          </c:xVal>
          <c:yVal>
            <c:numRef>
              <c:f>DPR!$R$374:$R$562</c:f>
            </c:numRef>
          </c:yVal>
          <c:smooth val="0"/>
          <c:extLst xmlns:c16r2="http://schemas.microsoft.com/office/drawing/2015/06/chart">
            <c:ext xmlns:c16="http://schemas.microsoft.com/office/drawing/2014/chart" uri="{C3380CC4-5D6E-409C-BE32-E72D297353CC}">
              <c16:uniqueId val="{00000001-D99D-4810-981C-63BC149C5569}"/>
            </c:ext>
          </c:extLst>
        </c:ser>
        <c:ser>
          <c:idx val="27"/>
          <c:order val="35"/>
          <c:tx>
            <c:v>01-Apr-23 to 05-Oct-23(Period1)</c:v>
          </c:tx>
          <c:spPr>
            <a:ln w="19050" cap="rnd">
              <a:solidFill>
                <a:schemeClr val="accent4">
                  <a:lumMod val="60000"/>
                  <a:lumOff val="40000"/>
                </a:schemeClr>
              </a:solidFill>
              <a:round/>
            </a:ln>
            <a:effectLst/>
          </c:spPr>
          <c:marker>
            <c:symbol val="circle"/>
            <c:size val="5"/>
            <c:spPr>
              <a:solidFill>
                <a:schemeClr val="accent4">
                  <a:lumMod val="60000"/>
                  <a:lumOff val="40000"/>
                </a:schemeClr>
              </a:solidFill>
              <a:ln w="9525">
                <a:solidFill>
                  <a:schemeClr val="accent4">
                    <a:lumMod val="60000"/>
                    <a:lumOff val="40000"/>
                  </a:schemeClr>
                </a:solidFill>
              </a:ln>
              <a:effectLst/>
            </c:spPr>
          </c:marker>
          <c:xVal>
            <c:numRef>
              <c:f>DPR!$C$374:$C$562</c:f>
            </c:numRef>
          </c:xVal>
          <c:yVal>
            <c:numRef>
              <c:f>DPR!$J$374:$J$562</c:f>
            </c:numRef>
          </c:yVal>
          <c:smooth val="0"/>
          <c:extLst xmlns:c16r2="http://schemas.microsoft.com/office/drawing/2015/06/chart">
            <c:ext xmlns:c16="http://schemas.microsoft.com/office/drawing/2014/chart" uri="{C3380CC4-5D6E-409C-BE32-E72D297353CC}">
              <c16:uniqueId val="{00000002-D99D-4810-981C-63BC149C5569}"/>
            </c:ext>
          </c:extLst>
        </c:ser>
        <c:ser>
          <c:idx val="28"/>
          <c:order val="36"/>
          <c:tx>
            <c:v>01-Apr-23 to 05-Oct-23(Period1)</c:v>
          </c:tx>
          <c:spPr>
            <a:ln w="19050" cap="rnd">
              <a:solidFill>
                <a:schemeClr val="accent5">
                  <a:lumMod val="60000"/>
                  <a:lumOff val="40000"/>
                </a:schemeClr>
              </a:solidFill>
              <a:round/>
            </a:ln>
            <a:effectLst/>
          </c:spPr>
          <c:marker>
            <c:symbol val="circle"/>
            <c:size val="5"/>
            <c:spPr>
              <a:solidFill>
                <a:schemeClr val="accent5">
                  <a:lumMod val="60000"/>
                  <a:lumOff val="40000"/>
                </a:schemeClr>
              </a:solidFill>
              <a:ln w="9525">
                <a:solidFill>
                  <a:schemeClr val="accent5">
                    <a:lumMod val="60000"/>
                    <a:lumOff val="40000"/>
                  </a:schemeClr>
                </a:solidFill>
              </a:ln>
              <a:effectLst/>
            </c:spPr>
          </c:marker>
          <c:xVal>
            <c:numRef>
              <c:f>DPR!$C$374:$C$562</c:f>
            </c:numRef>
          </c:xVal>
          <c:yVal>
            <c:numRef>
              <c:f>DPR!$R$374:$R$562</c:f>
            </c:numRef>
          </c:yVal>
          <c:smooth val="0"/>
          <c:extLst xmlns:c16r2="http://schemas.microsoft.com/office/drawing/2015/06/chart">
            <c:ext xmlns:c16="http://schemas.microsoft.com/office/drawing/2014/chart" uri="{C3380CC4-5D6E-409C-BE32-E72D297353CC}">
              <c16:uniqueId val="{00000003-D99D-4810-981C-63BC149C5569}"/>
            </c:ext>
          </c:extLst>
        </c:ser>
        <c:ser>
          <c:idx val="37"/>
          <c:order val="37"/>
          <c:tx>
            <c:v>01-Apr-23 to 05-Oct-23(Period1)</c:v>
          </c:tx>
          <c:spPr>
            <a:ln w="19050" cap="rnd">
              <a:solidFill>
                <a:schemeClr val="accent2">
                  <a:lumMod val="70000"/>
                  <a:lumOff val="30000"/>
                </a:schemeClr>
              </a:solidFill>
              <a:round/>
            </a:ln>
            <a:effectLst/>
          </c:spPr>
          <c:marker>
            <c:symbol val="circle"/>
            <c:size val="5"/>
            <c:spPr>
              <a:solidFill>
                <a:schemeClr val="accent2">
                  <a:lumMod val="70000"/>
                  <a:lumOff val="30000"/>
                </a:schemeClr>
              </a:solidFill>
              <a:ln w="9525">
                <a:solidFill>
                  <a:schemeClr val="accent2">
                    <a:lumMod val="70000"/>
                    <a:lumOff val="30000"/>
                  </a:schemeClr>
                </a:solidFill>
              </a:ln>
              <a:effectLst/>
            </c:spPr>
          </c:marker>
          <c:xVal>
            <c:numRef>
              <c:f>DPR!$C$374:$C$562</c:f>
            </c:numRef>
          </c:xVal>
          <c:yVal>
            <c:numRef>
              <c:f>DPR!$P$374:$P$562</c:f>
            </c:numRef>
          </c:yVal>
          <c:smooth val="0"/>
          <c:extLst xmlns:c16r2="http://schemas.microsoft.com/office/drawing/2015/06/chart">
            <c:ext xmlns:c16="http://schemas.microsoft.com/office/drawing/2014/chart" uri="{C3380CC4-5D6E-409C-BE32-E72D297353CC}">
              <c16:uniqueId val="{00000004-D99D-4810-981C-63BC149C5569}"/>
            </c:ext>
          </c:extLst>
        </c:ser>
        <c:ser>
          <c:idx val="38"/>
          <c:order val="38"/>
          <c:tx>
            <c:v>01-Apr-23 to 05-Oct-23(Period1)</c:v>
          </c:tx>
          <c:spPr>
            <a:ln w="19050" cap="rnd">
              <a:solidFill>
                <a:schemeClr val="accent3">
                  <a:lumMod val="70000"/>
                  <a:lumOff val="30000"/>
                </a:schemeClr>
              </a:solidFill>
              <a:round/>
            </a:ln>
            <a:effectLst/>
          </c:spPr>
          <c:marker>
            <c:symbol val="circle"/>
            <c:size val="5"/>
            <c:spPr>
              <a:solidFill>
                <a:schemeClr val="accent3">
                  <a:lumMod val="70000"/>
                  <a:lumOff val="30000"/>
                </a:schemeClr>
              </a:solidFill>
              <a:ln w="9525">
                <a:solidFill>
                  <a:schemeClr val="accent3">
                    <a:lumMod val="70000"/>
                    <a:lumOff val="30000"/>
                  </a:schemeClr>
                </a:solidFill>
              </a:ln>
              <a:effectLst/>
            </c:spPr>
          </c:marker>
          <c:xVal>
            <c:numRef>
              <c:f>DPR!$C$374:$C$562</c:f>
            </c:numRef>
          </c:xVal>
          <c:yVal>
            <c:numRef>
              <c:f>DPR!$R$374:$R$562</c:f>
            </c:numRef>
          </c:yVal>
          <c:smooth val="0"/>
          <c:extLst xmlns:c16r2="http://schemas.microsoft.com/office/drawing/2015/06/chart">
            <c:ext xmlns:c16="http://schemas.microsoft.com/office/drawing/2014/chart" uri="{C3380CC4-5D6E-409C-BE32-E72D297353CC}">
              <c16:uniqueId val="{00000005-D99D-4810-981C-63BC149C5569}"/>
            </c:ext>
          </c:extLst>
        </c:ser>
        <c:dLbls>
          <c:showLegendKey val="0"/>
          <c:showVal val="0"/>
          <c:showCatName val="0"/>
          <c:showSerName val="0"/>
          <c:showPercent val="0"/>
          <c:showBubbleSize val="0"/>
        </c:dLbls>
        <c:axId val="1162172208"/>
        <c:axId val="1162210832"/>
      </c:scatterChart>
      <c:scatterChart>
        <c:scatterStyle val="lineMarker"/>
        <c:varyColors val="0"/>
        <c:ser>
          <c:idx val="35"/>
          <c:order val="31"/>
          <c:tx>
            <c:v>01-Apr-23 to 05-Oct-23(Period1)</c:v>
          </c:tx>
          <c:spPr>
            <a:ln w="19050" cap="rnd">
              <a:solidFill>
                <a:schemeClr val="accent6">
                  <a:lumMod val="50000"/>
                </a:schemeClr>
              </a:solidFill>
              <a:round/>
            </a:ln>
            <a:effectLst/>
          </c:spPr>
          <c:marker>
            <c:symbol val="none"/>
          </c:marker>
          <c:xVal>
            <c:numRef>
              <c:f>DPR!$C$374:$C$562</c:f>
            </c:numRef>
          </c:xVal>
          <c:yVal>
            <c:numRef>
              <c:f>DPR!$L$374:$L$562</c:f>
            </c:numRef>
          </c:yVal>
          <c:smooth val="0"/>
          <c:extLst xmlns:c16r2="http://schemas.microsoft.com/office/drawing/2015/06/chart">
            <c:ext xmlns:c16="http://schemas.microsoft.com/office/drawing/2014/chart" uri="{C3380CC4-5D6E-409C-BE32-E72D297353CC}">
              <c16:uniqueId val="{00000006-696E-4720-A028-CF8BAD0F7571}"/>
            </c:ext>
          </c:extLst>
        </c:ser>
        <c:ser>
          <c:idx val="34"/>
          <c:order val="30"/>
          <c:tx>
            <c:v>01-Apr-23 to 05-Oct-23(Period1)</c:v>
          </c:tx>
          <c:spPr>
            <a:ln w="19050" cap="rnd">
              <a:solidFill>
                <a:schemeClr val="accent5">
                  <a:lumMod val="50000"/>
                </a:schemeClr>
              </a:solidFill>
              <a:round/>
            </a:ln>
            <a:effectLst/>
          </c:spPr>
          <c:marker>
            <c:symbol val="none"/>
          </c:marker>
          <c:xVal>
            <c:numRef>
              <c:f>DPR!$C$374:$C$562</c:f>
            </c:numRef>
          </c:xVal>
          <c:yVal>
            <c:numRef>
              <c:f>DPR!$AA$374:$AA$562</c:f>
            </c:numRef>
          </c:yVal>
          <c:smooth val="0"/>
          <c:extLst xmlns:c16r2="http://schemas.microsoft.com/office/drawing/2015/06/chart">
            <c:ext xmlns:c16="http://schemas.microsoft.com/office/drawing/2014/chart" uri="{C3380CC4-5D6E-409C-BE32-E72D297353CC}">
              <c16:uniqueId val="{00000004-696E-4720-A028-CF8BAD0F7571}"/>
            </c:ext>
          </c:extLst>
        </c:ser>
        <c:ser>
          <c:idx val="33"/>
          <c:order val="29"/>
          <c:tx>
            <c:v>01-Apr-23 to 05-Oct-23(Period1)</c:v>
          </c:tx>
          <c:spPr>
            <a:ln w="19050" cap="rnd">
              <a:solidFill>
                <a:schemeClr val="accent4">
                  <a:lumMod val="50000"/>
                </a:schemeClr>
              </a:solidFill>
              <a:round/>
            </a:ln>
            <a:effectLst/>
          </c:spPr>
          <c:marker>
            <c:symbol val="none"/>
          </c:marker>
          <c:xVal>
            <c:numRef>
              <c:f>DPR!$C$374:$C$562</c:f>
            </c:numRef>
          </c:xVal>
          <c:yVal>
            <c:numRef>
              <c:f>DPR!$Q$374:$Q$562</c:f>
            </c:numRef>
          </c:yVal>
          <c:smooth val="0"/>
          <c:extLst xmlns:c16r2="http://schemas.microsoft.com/office/drawing/2015/06/chart">
            <c:ext xmlns:c16="http://schemas.microsoft.com/office/drawing/2014/chart" uri="{C3380CC4-5D6E-409C-BE32-E72D297353CC}">
              <c16:uniqueId val="{00000002-696E-4720-A028-CF8BAD0F7571}"/>
            </c:ext>
          </c:extLst>
        </c:ser>
        <c:ser>
          <c:idx val="32"/>
          <c:order val="28"/>
          <c:tx>
            <c:v>01-Apr-23 to 05-Oct-23(Period1)</c:v>
          </c:tx>
          <c:spPr>
            <a:ln w="19050" cap="rnd">
              <a:solidFill>
                <a:schemeClr val="accent3">
                  <a:lumMod val="50000"/>
                </a:schemeClr>
              </a:solidFill>
              <a:round/>
            </a:ln>
            <a:effectLst/>
          </c:spPr>
          <c:marker>
            <c:symbol val="none"/>
          </c:marker>
          <c:xVal>
            <c:numRef>
              <c:f>DPR!$C$374:$C$562</c:f>
            </c:numRef>
          </c:xVal>
          <c:yVal>
            <c:numRef>
              <c:f>DPR!$Z$374:$Z$562</c:f>
            </c:numRef>
          </c:yVal>
          <c:smooth val="0"/>
          <c:extLst xmlns:c16r2="http://schemas.microsoft.com/office/drawing/2015/06/chart">
            <c:ext xmlns:c16="http://schemas.microsoft.com/office/drawing/2014/chart" uri="{C3380CC4-5D6E-409C-BE32-E72D297353CC}">
              <c16:uniqueId val="{00000000-696E-4720-A028-CF8BAD0F7571}"/>
            </c:ext>
          </c:extLst>
        </c:ser>
        <c:ser>
          <c:idx val="31"/>
          <c:order val="27"/>
          <c:tx>
            <c:v>01-Aug-23 to 31-Aug-23(Period1)</c:v>
          </c:tx>
          <c:spPr>
            <a:ln w="19050" cap="rnd">
              <a:solidFill>
                <a:schemeClr val="accent2">
                  <a:lumMod val="50000"/>
                </a:schemeClr>
              </a:solidFill>
              <a:round/>
            </a:ln>
            <a:effectLst/>
          </c:spPr>
          <c:marker>
            <c:symbol val="none"/>
          </c:marker>
          <c:xVal>
            <c:numRef>
              <c:f>DPR!$C$496:$C$527</c:f>
            </c:numRef>
          </c:xVal>
          <c:yVal>
            <c:numRef>
              <c:f>DPR!$Q$496:$Q$527</c:f>
            </c:numRef>
          </c:yVal>
          <c:smooth val="0"/>
          <c:extLst xmlns:c16r2="http://schemas.microsoft.com/office/drawing/2015/06/chart">
            <c:ext xmlns:c16="http://schemas.microsoft.com/office/drawing/2014/chart" uri="{C3380CC4-5D6E-409C-BE32-E72D297353CC}">
              <c16:uniqueId val="{0000000E-37B9-460D-BF18-B6C6AAA876E3}"/>
            </c:ext>
          </c:extLst>
        </c:ser>
        <c:ser>
          <c:idx val="30"/>
          <c:order val="26"/>
          <c:tx>
            <c:v>01-Apr-23 to 05-Oct-23(Period1)</c:v>
          </c:tx>
          <c:spPr>
            <a:ln w="19050" cap="rnd">
              <a:solidFill>
                <a:schemeClr val="accent1">
                  <a:lumMod val="50000"/>
                </a:schemeClr>
              </a:solidFill>
              <a:round/>
            </a:ln>
            <a:effectLst/>
          </c:spPr>
          <c:marker>
            <c:symbol val="none"/>
          </c:marker>
          <c:xVal>
            <c:numRef>
              <c:f>DPR!$C$374:$C$562</c:f>
            </c:numRef>
          </c:xVal>
          <c:yVal>
            <c:numRef>
              <c:f>DPR!$AA$374:$AA$562</c:f>
            </c:numRef>
          </c:yVal>
          <c:smooth val="0"/>
          <c:extLst xmlns:c16r2="http://schemas.microsoft.com/office/drawing/2015/06/chart">
            <c:ext xmlns:c16="http://schemas.microsoft.com/office/drawing/2014/chart" uri="{C3380CC4-5D6E-409C-BE32-E72D297353CC}">
              <c16:uniqueId val="{0000000C-37B9-460D-BF18-B6C6AAA876E3}"/>
            </c:ext>
          </c:extLst>
        </c:ser>
        <c:ser>
          <c:idx val="29"/>
          <c:order val="25"/>
          <c:tx>
            <c:v>01-Apr-23 to 05-Oct-23(Period1)</c:v>
          </c:tx>
          <c:spPr>
            <a:ln w="19050" cap="rnd">
              <a:solidFill>
                <a:schemeClr val="accent6">
                  <a:lumMod val="60000"/>
                  <a:lumOff val="40000"/>
                </a:schemeClr>
              </a:solidFill>
              <a:round/>
            </a:ln>
            <a:effectLst/>
          </c:spPr>
          <c:marker>
            <c:symbol val="none"/>
          </c:marker>
          <c:xVal>
            <c:numRef>
              <c:f>DPR!$C$374:$C$562</c:f>
            </c:numRef>
          </c:xVal>
          <c:yVal>
            <c:numRef>
              <c:f>DPR!$AA$374:$AA$562</c:f>
            </c:numRef>
          </c:yVal>
          <c:smooth val="0"/>
          <c:extLst xmlns:c16r2="http://schemas.microsoft.com/office/drawing/2015/06/chart">
            <c:ext xmlns:c16="http://schemas.microsoft.com/office/drawing/2014/chart" uri="{C3380CC4-5D6E-409C-BE32-E72D297353CC}">
              <c16:uniqueId val="{0000000A-37B9-460D-BF18-B6C6AAA876E3}"/>
            </c:ext>
          </c:extLst>
        </c:ser>
        <c:ser>
          <c:idx val="26"/>
          <c:order val="24"/>
          <c:tx>
            <c:v>04-Apr-23 to 30-Sep-23(Period1)</c:v>
          </c:tx>
          <c:spPr>
            <a:ln w="19050" cap="rnd">
              <a:solidFill>
                <a:schemeClr val="accent3">
                  <a:lumMod val="60000"/>
                  <a:lumOff val="40000"/>
                </a:schemeClr>
              </a:solidFill>
              <a:round/>
            </a:ln>
            <a:effectLst/>
          </c:spPr>
          <c:marker>
            <c:symbol val="none"/>
          </c:marker>
          <c:xVal>
            <c:numRef>
              <c:f>DPR!$C$377:$C$557</c:f>
            </c:numRef>
          </c:xVal>
          <c:yVal>
            <c:numRef>
              <c:f>DPR!$Q$377:$Q$557</c:f>
            </c:numRef>
          </c:yVal>
          <c:smooth val="0"/>
          <c:extLst xmlns:c16r2="http://schemas.microsoft.com/office/drawing/2015/06/chart">
            <c:ext xmlns:c16="http://schemas.microsoft.com/office/drawing/2014/chart" uri="{C3380CC4-5D6E-409C-BE32-E72D297353CC}">
              <c16:uniqueId val="{00000008-37B9-460D-BF18-B6C6AAA876E3}"/>
            </c:ext>
          </c:extLst>
        </c:ser>
        <c:ser>
          <c:idx val="23"/>
          <c:order val="23"/>
          <c:tx>
            <c:v>01-Apr-22 to 25-Dec-24(Period1)</c:v>
          </c:tx>
          <c:spPr>
            <a:ln w="19050" cap="rnd">
              <a:solidFill>
                <a:schemeClr val="accent6">
                  <a:lumMod val="80000"/>
                </a:schemeClr>
              </a:solidFill>
              <a:round/>
            </a:ln>
            <a:effectLst/>
          </c:spPr>
          <c:marker>
            <c:symbol val="none"/>
          </c:marker>
          <c:xVal>
            <c:numRef>
              <c:f>DPR!$C$9:$C$1009</c:f>
            </c:numRef>
          </c:xVal>
          <c:yVal>
            <c:numRef>
              <c:f>DPR!$Q$9:$Q$1009</c:f>
            </c:numRef>
          </c:yVal>
          <c:smooth val="0"/>
          <c:extLst xmlns:c16r2="http://schemas.microsoft.com/office/drawing/2015/06/chart">
            <c:ext xmlns:c16="http://schemas.microsoft.com/office/drawing/2014/chart" uri="{C3380CC4-5D6E-409C-BE32-E72D297353CC}">
              <c16:uniqueId val="{00000018-570B-41C8-B5D3-8CAFF051AA98}"/>
            </c:ext>
          </c:extLst>
        </c:ser>
        <c:ser>
          <c:idx val="22"/>
          <c:order val="22"/>
          <c:tx>
            <c:v>07-Aug-23 to 05-Oct-23(Period1)</c:v>
          </c:tx>
          <c:spPr>
            <a:ln w="19050" cap="rnd">
              <a:solidFill>
                <a:schemeClr val="accent5">
                  <a:lumMod val="80000"/>
                </a:schemeClr>
              </a:solidFill>
              <a:round/>
            </a:ln>
            <a:effectLst/>
          </c:spPr>
          <c:marker>
            <c:symbol val="none"/>
          </c:marker>
          <c:xVal>
            <c:numRef>
              <c:f>DPR!$C$502:$C$562</c:f>
            </c:numRef>
          </c:xVal>
          <c:yVal>
            <c:numRef>
              <c:f>DPR!$Q$502:$Q$562</c:f>
            </c:numRef>
          </c:yVal>
          <c:smooth val="0"/>
          <c:extLst xmlns:c16r2="http://schemas.microsoft.com/office/drawing/2015/06/chart">
            <c:ext xmlns:c16="http://schemas.microsoft.com/office/drawing/2014/chart" uri="{C3380CC4-5D6E-409C-BE32-E72D297353CC}">
              <c16:uniqueId val="{00000016-570B-41C8-B5D3-8CAFF051AA98}"/>
            </c:ext>
          </c:extLst>
        </c:ser>
        <c:ser>
          <c:idx val="21"/>
          <c:order val="21"/>
          <c:tx>
            <c:v>07-Aug-23 to 05-Oct-23(Period1)</c:v>
          </c:tx>
          <c:spPr>
            <a:ln w="19050" cap="rnd">
              <a:solidFill>
                <a:schemeClr val="accent4">
                  <a:lumMod val="80000"/>
                </a:schemeClr>
              </a:solidFill>
              <a:round/>
            </a:ln>
            <a:effectLst/>
          </c:spPr>
          <c:marker>
            <c:symbol val="none"/>
          </c:marker>
          <c:xVal>
            <c:numRef>
              <c:f>DPR!$C$502:$C$562</c:f>
            </c:numRef>
          </c:xVal>
          <c:yVal>
            <c:numRef>
              <c:f>DPR!$Q$502:$Q$562</c:f>
            </c:numRef>
          </c:yVal>
          <c:smooth val="0"/>
          <c:extLst xmlns:c16r2="http://schemas.microsoft.com/office/drawing/2015/06/chart">
            <c:ext xmlns:c16="http://schemas.microsoft.com/office/drawing/2014/chart" uri="{C3380CC4-5D6E-409C-BE32-E72D297353CC}">
              <c16:uniqueId val="{00000014-570B-41C8-B5D3-8CAFF051AA98}"/>
            </c:ext>
          </c:extLst>
        </c:ser>
        <c:ser>
          <c:idx val="20"/>
          <c:order val="20"/>
          <c:tx>
            <c:v>07-Aug-23 to 05-Oct-23(Period1)</c:v>
          </c:tx>
          <c:spPr>
            <a:ln w="19050" cap="rnd">
              <a:solidFill>
                <a:schemeClr val="accent3">
                  <a:lumMod val="80000"/>
                </a:schemeClr>
              </a:solidFill>
              <a:round/>
            </a:ln>
            <a:effectLst/>
          </c:spPr>
          <c:marker>
            <c:symbol val="none"/>
          </c:marker>
          <c:xVal>
            <c:numRef>
              <c:f>DPR!$C$502:$C$562</c:f>
            </c:numRef>
          </c:xVal>
          <c:yVal>
            <c:numRef>
              <c:f>DPR!$AA$502:$AA$562</c:f>
            </c:numRef>
          </c:yVal>
          <c:smooth val="0"/>
          <c:extLst xmlns:c16r2="http://schemas.microsoft.com/office/drawing/2015/06/chart">
            <c:ext xmlns:c16="http://schemas.microsoft.com/office/drawing/2014/chart" uri="{C3380CC4-5D6E-409C-BE32-E72D297353CC}">
              <c16:uniqueId val="{00000012-570B-41C8-B5D3-8CAFF051AA98}"/>
            </c:ext>
          </c:extLst>
        </c:ser>
        <c:ser>
          <c:idx val="19"/>
          <c:order val="19"/>
          <c:tx>
            <c:v>07-Aug-23 to 05-Oct-23(Period1)</c:v>
          </c:tx>
          <c:spPr>
            <a:ln w="19050" cap="rnd">
              <a:solidFill>
                <a:schemeClr val="accent2">
                  <a:lumMod val="80000"/>
                </a:schemeClr>
              </a:solidFill>
              <a:round/>
            </a:ln>
            <a:effectLst/>
          </c:spPr>
          <c:marker>
            <c:symbol val="none"/>
          </c:marker>
          <c:xVal>
            <c:numRef>
              <c:f>DPR!$C$502:$C$562</c:f>
            </c:numRef>
          </c:xVal>
          <c:yVal>
            <c:numRef>
              <c:f>DPR!$Z$502:$Z$562</c:f>
            </c:numRef>
          </c:yVal>
          <c:smooth val="0"/>
          <c:extLst xmlns:c16r2="http://schemas.microsoft.com/office/drawing/2015/06/chart">
            <c:ext xmlns:c16="http://schemas.microsoft.com/office/drawing/2014/chart" uri="{C3380CC4-5D6E-409C-BE32-E72D297353CC}">
              <c16:uniqueId val="{00000010-570B-41C8-B5D3-8CAFF051AA98}"/>
            </c:ext>
          </c:extLst>
        </c:ser>
        <c:ser>
          <c:idx val="18"/>
          <c:order val="18"/>
          <c:tx>
            <c:v>07-Aug-23 to 05-Oct-23(Period1)</c:v>
          </c:tx>
          <c:spPr>
            <a:ln w="19050" cap="rnd">
              <a:solidFill>
                <a:schemeClr val="accent1">
                  <a:lumMod val="80000"/>
                </a:schemeClr>
              </a:solidFill>
              <a:round/>
            </a:ln>
            <a:effectLst/>
          </c:spPr>
          <c:marker>
            <c:symbol val="none"/>
          </c:marker>
          <c:xVal>
            <c:numRef>
              <c:f>DPR!$C$502:$C$562</c:f>
            </c:numRef>
          </c:xVal>
          <c:yVal>
            <c:numRef>
              <c:f>DPR!$Z$502:$Z$562</c:f>
            </c:numRef>
          </c:yVal>
          <c:smooth val="0"/>
          <c:extLst xmlns:c16r2="http://schemas.microsoft.com/office/drawing/2015/06/chart">
            <c:ext xmlns:c16="http://schemas.microsoft.com/office/drawing/2014/chart" uri="{C3380CC4-5D6E-409C-BE32-E72D297353CC}">
              <c16:uniqueId val="{0000000E-570B-41C8-B5D3-8CAFF051AA98}"/>
            </c:ext>
          </c:extLst>
        </c:ser>
        <c:ser>
          <c:idx val="17"/>
          <c:order val="17"/>
          <c:tx>
            <c:v>07-Aug-23 to 05-Oct-23(Period1)</c:v>
          </c:tx>
          <c:spPr>
            <a:ln w="19050" cap="rnd">
              <a:solidFill>
                <a:schemeClr val="accent6">
                  <a:lumMod val="80000"/>
                  <a:lumOff val="20000"/>
                </a:schemeClr>
              </a:solidFill>
              <a:round/>
            </a:ln>
            <a:effectLst/>
          </c:spPr>
          <c:marker>
            <c:symbol val="none"/>
          </c:marker>
          <c:xVal>
            <c:numRef>
              <c:f>DPR!$C$502:$C$562</c:f>
            </c:numRef>
          </c:xVal>
          <c:yVal>
            <c:numRef>
              <c:f>DPR!$Z$502:$Z$562</c:f>
            </c:numRef>
          </c:yVal>
          <c:smooth val="0"/>
          <c:extLst xmlns:c16r2="http://schemas.microsoft.com/office/drawing/2015/06/chart">
            <c:ext xmlns:c16="http://schemas.microsoft.com/office/drawing/2014/chart" uri="{C3380CC4-5D6E-409C-BE32-E72D297353CC}">
              <c16:uniqueId val="{0000000C-570B-41C8-B5D3-8CAFF051AA98}"/>
            </c:ext>
          </c:extLst>
        </c:ser>
        <c:ser>
          <c:idx val="16"/>
          <c:order val="16"/>
          <c:tx>
            <c:v>07-Aug-23 to 05-Oct-23(Period1)</c:v>
          </c:tx>
          <c:spPr>
            <a:ln w="19050" cap="rnd">
              <a:solidFill>
                <a:schemeClr val="accent5">
                  <a:lumMod val="80000"/>
                  <a:lumOff val="20000"/>
                </a:schemeClr>
              </a:solidFill>
              <a:round/>
            </a:ln>
            <a:effectLst/>
          </c:spPr>
          <c:marker>
            <c:symbol val="none"/>
          </c:marker>
          <c:xVal>
            <c:numRef>
              <c:f>DPR!$C$502:$C$562</c:f>
            </c:numRef>
          </c:xVal>
          <c:yVal>
            <c:numRef>
              <c:f>DPR!$Z$502:$Z$562</c:f>
            </c:numRef>
          </c:yVal>
          <c:smooth val="0"/>
          <c:extLst xmlns:c16r2="http://schemas.microsoft.com/office/drawing/2015/06/chart">
            <c:ext xmlns:c16="http://schemas.microsoft.com/office/drawing/2014/chart" uri="{C3380CC4-5D6E-409C-BE32-E72D297353CC}">
              <c16:uniqueId val="{0000000A-570B-41C8-B5D3-8CAFF051AA98}"/>
            </c:ext>
          </c:extLst>
        </c:ser>
        <c:ser>
          <c:idx val="15"/>
          <c:order val="15"/>
          <c:tx>
            <c:v>07-Aug-23 to 05-Oct-23(Period1)</c:v>
          </c:tx>
          <c:spPr>
            <a:ln w="19050" cap="rnd">
              <a:solidFill>
                <a:schemeClr val="accent4">
                  <a:lumMod val="80000"/>
                  <a:lumOff val="20000"/>
                </a:schemeClr>
              </a:solidFill>
              <a:round/>
            </a:ln>
            <a:effectLst/>
          </c:spPr>
          <c:marker>
            <c:symbol val="none"/>
          </c:marker>
          <c:xVal>
            <c:numRef>
              <c:f>DPR!$C$502:$C$562</c:f>
            </c:numRef>
          </c:xVal>
          <c:yVal>
            <c:numRef>
              <c:f>DPR!$AA$502:$AA$562</c:f>
            </c:numRef>
          </c:yVal>
          <c:smooth val="0"/>
          <c:extLst xmlns:c16r2="http://schemas.microsoft.com/office/drawing/2015/06/chart">
            <c:ext xmlns:c16="http://schemas.microsoft.com/office/drawing/2014/chart" uri="{C3380CC4-5D6E-409C-BE32-E72D297353CC}">
              <c16:uniqueId val="{00000008-570B-41C8-B5D3-8CAFF051AA98}"/>
            </c:ext>
          </c:extLst>
        </c:ser>
        <c:ser>
          <c:idx val="14"/>
          <c:order val="14"/>
          <c:tx>
            <c:v>07-Aug-23 to 05-Oct-23(Period1)</c:v>
          </c:tx>
          <c:spPr>
            <a:ln w="19050" cap="rnd">
              <a:solidFill>
                <a:schemeClr val="accent3">
                  <a:lumMod val="80000"/>
                  <a:lumOff val="20000"/>
                </a:schemeClr>
              </a:solidFill>
              <a:round/>
            </a:ln>
            <a:effectLst/>
          </c:spPr>
          <c:marker>
            <c:symbol val="none"/>
          </c:marker>
          <c:xVal>
            <c:numRef>
              <c:f>DPR!$C$502:$C$562</c:f>
            </c:numRef>
          </c:xVal>
          <c:yVal>
            <c:numRef>
              <c:f>DPR!$Q$502:$Q$562</c:f>
            </c:numRef>
          </c:yVal>
          <c:smooth val="0"/>
          <c:extLst xmlns:c16r2="http://schemas.microsoft.com/office/drawing/2015/06/chart">
            <c:ext xmlns:c16="http://schemas.microsoft.com/office/drawing/2014/chart" uri="{C3380CC4-5D6E-409C-BE32-E72D297353CC}">
              <c16:uniqueId val="{00000004-570B-41C8-B5D3-8CAFF051AA98}"/>
            </c:ext>
          </c:extLst>
        </c:ser>
        <c:ser>
          <c:idx val="13"/>
          <c:order val="13"/>
          <c:tx>
            <c:v>07-Aug-23 to 05-Oct-23(Period1)</c:v>
          </c:tx>
          <c:spPr>
            <a:ln w="19050" cap="rnd">
              <a:solidFill>
                <a:schemeClr val="accent2">
                  <a:lumMod val="80000"/>
                  <a:lumOff val="20000"/>
                </a:schemeClr>
              </a:solidFill>
              <a:round/>
            </a:ln>
            <a:effectLst/>
          </c:spPr>
          <c:marker>
            <c:symbol val="none"/>
          </c:marker>
          <c:xVal>
            <c:numRef>
              <c:f>DPR!$C$502:$C$562</c:f>
            </c:numRef>
          </c:xVal>
          <c:yVal>
            <c:numRef>
              <c:f>DPR!$Z$502:$Z$562</c:f>
            </c:numRef>
          </c:yVal>
          <c:smooth val="0"/>
          <c:extLst xmlns:c16r2="http://schemas.microsoft.com/office/drawing/2015/06/chart">
            <c:ext xmlns:c16="http://schemas.microsoft.com/office/drawing/2014/chart" uri="{C3380CC4-5D6E-409C-BE32-E72D297353CC}">
              <c16:uniqueId val="{00000002-570B-41C8-B5D3-8CAFF051AA98}"/>
            </c:ext>
          </c:extLst>
        </c:ser>
        <c:ser>
          <c:idx val="12"/>
          <c:order val="12"/>
          <c:tx>
            <c:v>07-Aug-23 to 05-Oct-23(Period1)</c:v>
          </c:tx>
          <c:spPr>
            <a:ln w="19050" cap="rnd">
              <a:solidFill>
                <a:schemeClr val="accent1">
                  <a:lumMod val="80000"/>
                  <a:lumOff val="20000"/>
                </a:schemeClr>
              </a:solidFill>
              <a:round/>
            </a:ln>
            <a:effectLst/>
          </c:spPr>
          <c:marker>
            <c:symbol val="none"/>
          </c:marker>
          <c:xVal>
            <c:numRef>
              <c:f>DPR!$C$502:$C$562</c:f>
            </c:numRef>
          </c:xVal>
          <c:yVal>
            <c:numRef>
              <c:f>DPR!$Z$502:$Z$562</c:f>
            </c:numRef>
          </c:yVal>
          <c:smooth val="0"/>
          <c:extLst xmlns:c16r2="http://schemas.microsoft.com/office/drawing/2015/06/chart">
            <c:ext xmlns:c16="http://schemas.microsoft.com/office/drawing/2014/chart" uri="{C3380CC4-5D6E-409C-BE32-E72D297353CC}">
              <c16:uniqueId val="{00000000-570B-41C8-B5D3-8CAFF051AA98}"/>
            </c:ext>
          </c:extLst>
        </c:ser>
        <c:ser>
          <c:idx val="11"/>
          <c:order val="11"/>
          <c:tx>
            <c:v>07-Aug-23 to 05-Oct-23(Period1)</c:v>
          </c:tx>
          <c:spPr>
            <a:ln w="19050" cap="rnd">
              <a:solidFill>
                <a:schemeClr val="accent6">
                  <a:lumMod val="60000"/>
                </a:schemeClr>
              </a:solidFill>
              <a:round/>
            </a:ln>
            <a:effectLst/>
          </c:spPr>
          <c:marker>
            <c:symbol val="none"/>
          </c:marker>
          <c:xVal>
            <c:numRef>
              <c:f>DPR!$C$502:$C$562</c:f>
            </c:numRef>
          </c:xVal>
          <c:yVal>
            <c:numRef>
              <c:f>DPR!$Q$502:$Q$562</c:f>
            </c:numRef>
          </c:yVal>
          <c:smooth val="0"/>
          <c:extLst xmlns:c16r2="http://schemas.microsoft.com/office/drawing/2015/06/chart">
            <c:ext xmlns:c16="http://schemas.microsoft.com/office/drawing/2014/chart" uri="{C3380CC4-5D6E-409C-BE32-E72D297353CC}">
              <c16:uniqueId val="{0000000A-2678-4B31-BA12-954806BA392F}"/>
            </c:ext>
          </c:extLst>
        </c:ser>
        <c:ser>
          <c:idx val="10"/>
          <c:order val="10"/>
          <c:tx>
            <c:v>07-Aug-23 to 05-Oct-23(Period1)</c:v>
          </c:tx>
          <c:spPr>
            <a:ln w="19050" cap="rnd">
              <a:solidFill>
                <a:schemeClr val="accent5">
                  <a:lumMod val="60000"/>
                </a:schemeClr>
              </a:solidFill>
              <a:round/>
            </a:ln>
            <a:effectLst/>
          </c:spPr>
          <c:marker>
            <c:symbol val="none"/>
          </c:marker>
          <c:xVal>
            <c:numRef>
              <c:f>DPR!$C$502:$C$562</c:f>
            </c:numRef>
          </c:xVal>
          <c:yVal>
            <c:numRef>
              <c:f>DPR!$AA$502:$AA$562</c:f>
            </c:numRef>
          </c:yVal>
          <c:smooth val="0"/>
          <c:extLst xmlns:c16r2="http://schemas.microsoft.com/office/drawing/2015/06/chart">
            <c:ext xmlns:c16="http://schemas.microsoft.com/office/drawing/2014/chart" uri="{C3380CC4-5D6E-409C-BE32-E72D297353CC}">
              <c16:uniqueId val="{00000008-2678-4B31-BA12-954806BA392F}"/>
            </c:ext>
          </c:extLst>
        </c:ser>
        <c:ser>
          <c:idx val="9"/>
          <c:order val="9"/>
          <c:tx>
            <c:v>07-Aug-23 to 05-Oct-23(Period1)</c:v>
          </c:tx>
          <c:spPr>
            <a:ln w="19050" cap="rnd">
              <a:solidFill>
                <a:schemeClr val="accent4">
                  <a:lumMod val="60000"/>
                </a:schemeClr>
              </a:solidFill>
              <a:round/>
            </a:ln>
            <a:effectLst/>
          </c:spPr>
          <c:marker>
            <c:symbol val="none"/>
          </c:marker>
          <c:xVal>
            <c:numRef>
              <c:f>DPR!$C$502:$C$562</c:f>
            </c:numRef>
          </c:xVal>
          <c:yVal>
            <c:numRef>
              <c:f>DPR!$Q$502:$Q$562</c:f>
            </c:numRef>
          </c:yVal>
          <c:smooth val="0"/>
          <c:extLst xmlns:c16r2="http://schemas.microsoft.com/office/drawing/2015/06/chart">
            <c:ext xmlns:c16="http://schemas.microsoft.com/office/drawing/2014/chart" uri="{C3380CC4-5D6E-409C-BE32-E72D297353CC}">
              <c16:uniqueId val="{00000006-2678-4B31-BA12-954806BA392F}"/>
            </c:ext>
          </c:extLst>
        </c:ser>
        <c:ser>
          <c:idx val="8"/>
          <c:order val="8"/>
          <c:tx>
            <c:v>07-Aug-23 to 05-Oct-23(Period1)</c:v>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f>DPR!$C$502:$C$562</c:f>
            </c:numRef>
          </c:xVal>
          <c:yVal>
            <c:numRef>
              <c:f>DPR!$Z$502:$Z$562</c:f>
            </c:numRef>
          </c:yVal>
          <c:smooth val="0"/>
          <c:extLst xmlns:c16r2="http://schemas.microsoft.com/office/drawing/2015/06/chart">
            <c:ext xmlns:c16="http://schemas.microsoft.com/office/drawing/2014/chart" uri="{C3380CC4-5D6E-409C-BE32-E72D297353CC}">
              <c16:uniqueId val="{00000004-2678-4B31-BA12-954806BA392F}"/>
            </c:ext>
          </c:extLst>
        </c:ser>
        <c:ser>
          <c:idx val="7"/>
          <c:order val="7"/>
          <c:tx>
            <c:v>07-Aug-23 to 05-Oct-23(Period1)</c:v>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DPR!$C$502:$C$562</c:f>
            </c:numRef>
          </c:xVal>
          <c:yVal>
            <c:numRef>
              <c:f>DPR!$AA$502:$AA$562</c:f>
            </c:numRef>
          </c:yVal>
          <c:smooth val="0"/>
          <c:extLst xmlns:c16r2="http://schemas.microsoft.com/office/drawing/2015/06/chart">
            <c:ext xmlns:c16="http://schemas.microsoft.com/office/drawing/2014/chart" uri="{C3380CC4-5D6E-409C-BE32-E72D297353CC}">
              <c16:uniqueId val="{00000002-2678-4B31-BA12-954806BA392F}"/>
            </c:ext>
          </c:extLst>
        </c:ser>
        <c:ser>
          <c:idx val="6"/>
          <c:order val="6"/>
          <c:tx>
            <c:v>07-Aug-23 to 05-Oct-23(Period1)</c:v>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DPR!$C$502:$C$562</c:f>
            </c:numRef>
          </c:xVal>
          <c:yVal>
            <c:numRef>
              <c:f>DPR!$AA$502:$AA$562</c:f>
            </c:numRef>
          </c:yVal>
          <c:smooth val="0"/>
          <c:extLst xmlns:c16r2="http://schemas.microsoft.com/office/drawing/2015/06/chart">
            <c:ext xmlns:c16="http://schemas.microsoft.com/office/drawing/2014/chart" uri="{C3380CC4-5D6E-409C-BE32-E72D297353CC}">
              <c16:uniqueId val="{00000000-2678-4B31-BA12-954806BA392F}"/>
            </c:ext>
          </c:extLst>
        </c:ser>
        <c:ser>
          <c:idx val="5"/>
          <c:order val="5"/>
          <c:tx>
            <c:v>07-Aug-23 to 05-Oct-23(Period1)</c:v>
          </c:tx>
          <c:spPr>
            <a:ln w="19050" cap="rnd">
              <a:solidFill>
                <a:schemeClr val="accent6"/>
              </a:solidFill>
              <a:round/>
            </a:ln>
            <a:effectLst/>
          </c:spPr>
          <c:marker>
            <c:symbol val="none"/>
          </c:marker>
          <c:xVal>
            <c:numRef>
              <c:f>DPR!$C$502:$C$562</c:f>
            </c:numRef>
          </c:xVal>
          <c:yVal>
            <c:numRef>
              <c:f>DPR!$Z$502:$Z$562</c:f>
            </c:numRef>
          </c:yVal>
          <c:smooth val="0"/>
          <c:extLst xmlns:c16r2="http://schemas.microsoft.com/office/drawing/2015/06/chart">
            <c:ext xmlns:c16="http://schemas.microsoft.com/office/drawing/2014/chart" uri="{C3380CC4-5D6E-409C-BE32-E72D297353CC}">
              <c16:uniqueId val="{00000008-8AB2-481F-9C26-BEA0C1E3264F}"/>
            </c:ext>
          </c:extLst>
        </c:ser>
        <c:ser>
          <c:idx val="4"/>
          <c:order val="4"/>
          <c:tx>
            <c:v>29-Aug-23 to 27-Sep-23(Period1)</c:v>
          </c:tx>
          <c:spPr>
            <a:ln w="19050" cap="rnd">
              <a:solidFill>
                <a:schemeClr val="accent5"/>
              </a:solidFill>
              <a:round/>
            </a:ln>
            <a:effectLst/>
          </c:spPr>
          <c:marker>
            <c:symbol val="none"/>
          </c:marker>
          <c:xVal>
            <c:numRef>
              <c:f>DPR!$C$524:$C$554</c:f>
            </c:numRef>
          </c:xVal>
          <c:yVal>
            <c:numRef>
              <c:f>DPR!$Z$524:$Z$554</c:f>
            </c:numRef>
          </c:yVal>
          <c:smooth val="0"/>
          <c:extLst xmlns:c16r2="http://schemas.microsoft.com/office/drawing/2015/06/chart">
            <c:ext xmlns:c16="http://schemas.microsoft.com/office/drawing/2014/chart" uri="{C3380CC4-5D6E-409C-BE32-E72D297353CC}">
              <c16:uniqueId val="{00000006-8AB2-481F-9C26-BEA0C1E3264F}"/>
            </c:ext>
          </c:extLst>
        </c:ser>
        <c:ser>
          <c:idx val="3"/>
          <c:order val="3"/>
          <c:tx>
            <c:v>29-Aug-23 to 27-Sep-23(Period1)</c:v>
          </c:tx>
          <c:spPr>
            <a:ln w="19050" cap="rnd">
              <a:solidFill>
                <a:schemeClr val="accent4"/>
              </a:solidFill>
              <a:round/>
            </a:ln>
            <a:effectLst/>
          </c:spPr>
          <c:marker>
            <c:symbol val="none"/>
          </c:marker>
          <c:xVal>
            <c:numRef>
              <c:f>DPR!$C$524:$C$554</c:f>
            </c:numRef>
          </c:xVal>
          <c:yVal>
            <c:numRef>
              <c:f>DPR!$Z$524:$Z$554</c:f>
            </c:numRef>
          </c:yVal>
          <c:smooth val="0"/>
          <c:extLst xmlns:c16r2="http://schemas.microsoft.com/office/drawing/2015/06/chart">
            <c:ext xmlns:c16="http://schemas.microsoft.com/office/drawing/2014/chart" uri="{C3380CC4-5D6E-409C-BE32-E72D297353CC}">
              <c16:uniqueId val="{00000004-8AB2-481F-9C26-BEA0C1E3264F}"/>
            </c:ext>
          </c:extLst>
        </c:ser>
        <c:ser>
          <c:idx val="2"/>
          <c:order val="2"/>
          <c:tx>
            <c:v>29-Aug-23 to 27-Sep-23(Period1)</c:v>
          </c:tx>
          <c:spPr>
            <a:ln w="19050" cap="rnd">
              <a:solidFill>
                <a:schemeClr val="accent3"/>
              </a:solidFill>
              <a:round/>
            </a:ln>
            <a:effectLst/>
          </c:spPr>
          <c:marker>
            <c:symbol val="none"/>
          </c:marker>
          <c:xVal>
            <c:numRef>
              <c:f>DPR!$C$524:$C$554</c:f>
            </c:numRef>
          </c:xVal>
          <c:yVal>
            <c:numRef>
              <c:f>DPR!$Q$524:$Q$554</c:f>
            </c:numRef>
          </c:yVal>
          <c:smooth val="0"/>
          <c:extLst xmlns:c16r2="http://schemas.microsoft.com/office/drawing/2015/06/chart">
            <c:ext xmlns:c16="http://schemas.microsoft.com/office/drawing/2014/chart" uri="{C3380CC4-5D6E-409C-BE32-E72D297353CC}">
              <c16:uniqueId val="{00000002-8AB2-481F-9C26-BEA0C1E3264F}"/>
            </c:ext>
          </c:extLst>
        </c:ser>
        <c:ser>
          <c:idx val="1"/>
          <c:order val="1"/>
          <c:tx>
            <c:v>29-Aug-23 to 27-Sep-23(Period1)</c:v>
          </c:tx>
          <c:spPr>
            <a:ln w="19050" cap="rnd">
              <a:solidFill>
                <a:schemeClr val="accent2"/>
              </a:solidFill>
              <a:round/>
            </a:ln>
            <a:effectLst/>
          </c:spPr>
          <c:marker>
            <c:symbol val="none"/>
          </c:marker>
          <c:xVal>
            <c:numRef>
              <c:f>DPR!$C$524:$C$554</c:f>
            </c:numRef>
          </c:xVal>
          <c:yVal>
            <c:numRef>
              <c:f>DPR!$AA$524:$AA$554</c:f>
            </c:numRef>
          </c:yVal>
          <c:smooth val="0"/>
          <c:extLst xmlns:c16r2="http://schemas.microsoft.com/office/drawing/2015/06/chart">
            <c:ext xmlns:c16="http://schemas.microsoft.com/office/drawing/2014/chart" uri="{C3380CC4-5D6E-409C-BE32-E72D297353CC}">
              <c16:uniqueId val="{00000000-8AB2-481F-9C26-BEA0C1E3264F}"/>
            </c:ext>
          </c:extLst>
        </c:ser>
        <c:ser>
          <c:idx val="0"/>
          <c:order val="0"/>
          <c:tx>
            <c:v>29-Aug-23 to 27-Sep-23(Period1)</c:v>
          </c:tx>
          <c:spPr>
            <a:ln w="19050" cap="rnd">
              <a:solidFill>
                <a:schemeClr val="accent1"/>
              </a:solidFill>
              <a:round/>
            </a:ln>
            <a:effectLst/>
          </c:spPr>
          <c:marker>
            <c:symbol val="none"/>
          </c:marker>
          <c:xVal>
            <c:numRef>
              <c:f>DPR!$C$524:$C$554</c:f>
            </c:numRef>
          </c:xVal>
          <c:yVal>
            <c:numRef>
              <c:f>DPR!$Z$524:$Z$554</c:f>
            </c:numRef>
          </c:yVal>
          <c:smooth val="0"/>
          <c:extLst xmlns:c16r2="http://schemas.microsoft.com/office/drawing/2015/06/chart">
            <c:ext xmlns:c16="http://schemas.microsoft.com/office/drawing/2014/chart" uri="{C3380CC4-5D6E-409C-BE32-E72D297353CC}">
              <c16:uniqueId val="{00000000-39CB-481F-92E9-94723DE92FF7}"/>
            </c:ext>
          </c:extLst>
        </c:ser>
        <c:dLbls>
          <c:showLegendKey val="0"/>
          <c:showVal val="0"/>
          <c:showCatName val="0"/>
          <c:showSerName val="0"/>
          <c:showPercent val="0"/>
          <c:showBubbleSize val="0"/>
        </c:dLbls>
        <c:axId val="1162172208"/>
        <c:axId val="1162210832"/>
      </c:scatterChart>
      <c:valAx>
        <c:axId val="1162172208"/>
        <c:scaling>
          <c:orientation val="minMax"/>
          <c:max val="45204"/>
          <c:min val="45017"/>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US"/>
                  <a:t>Period1</a:t>
                </a:r>
              </a:p>
            </c:rich>
          </c:tx>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d\-mmm\-yy"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62210832"/>
        <c:crosses val="autoZero"/>
        <c:crossBetween val="midCat"/>
      </c:valAx>
      <c:valAx>
        <c:axId val="1162210832"/>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62172208"/>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ysClr val="windowText" lastClr="000000"/>
      </a:solid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4313123881383619E-2"/>
          <c:y val="0.27333333333333326"/>
          <c:w val="0.92110768460105508"/>
          <c:h val="0.40407167583247317"/>
        </c:manualLayout>
      </c:layout>
      <c:lineChart>
        <c:grouping val="stacke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DPR!$C$9:$C$1622</c:f>
              <c:numCache>
                <c:formatCode>d\-mmm\-yy</c:formatCode>
                <c:ptCount val="411"/>
                <c:pt idx="0">
                  <c:v>46220</c:v>
                </c:pt>
                <c:pt idx="1">
                  <c:v>46221</c:v>
                </c:pt>
                <c:pt idx="2">
                  <c:v>46222</c:v>
                </c:pt>
                <c:pt idx="3">
                  <c:v>46223</c:v>
                </c:pt>
                <c:pt idx="4">
                  <c:v>46224</c:v>
                </c:pt>
                <c:pt idx="5">
                  <c:v>46225</c:v>
                </c:pt>
                <c:pt idx="6">
                  <c:v>46226</c:v>
                </c:pt>
                <c:pt idx="7">
                  <c:v>46227</c:v>
                </c:pt>
                <c:pt idx="8">
                  <c:v>46228</c:v>
                </c:pt>
                <c:pt idx="9">
                  <c:v>46229</c:v>
                </c:pt>
                <c:pt idx="10">
                  <c:v>46230</c:v>
                </c:pt>
                <c:pt idx="11">
                  <c:v>46231</c:v>
                </c:pt>
                <c:pt idx="12">
                  <c:v>46232</c:v>
                </c:pt>
                <c:pt idx="13">
                  <c:v>46233</c:v>
                </c:pt>
                <c:pt idx="14">
                  <c:v>46234</c:v>
                </c:pt>
                <c:pt idx="15">
                  <c:v>46235</c:v>
                </c:pt>
                <c:pt idx="16">
                  <c:v>46236</c:v>
                </c:pt>
                <c:pt idx="17">
                  <c:v>46237</c:v>
                </c:pt>
                <c:pt idx="18">
                  <c:v>46238</c:v>
                </c:pt>
                <c:pt idx="19">
                  <c:v>46239</c:v>
                </c:pt>
                <c:pt idx="20">
                  <c:v>46240</c:v>
                </c:pt>
                <c:pt idx="21">
                  <c:v>46241</c:v>
                </c:pt>
                <c:pt idx="22">
                  <c:v>46242</c:v>
                </c:pt>
                <c:pt idx="23">
                  <c:v>46243</c:v>
                </c:pt>
                <c:pt idx="24">
                  <c:v>46244</c:v>
                </c:pt>
                <c:pt idx="25">
                  <c:v>46245</c:v>
                </c:pt>
                <c:pt idx="26">
                  <c:v>46246</c:v>
                </c:pt>
                <c:pt idx="27">
                  <c:v>46247</c:v>
                </c:pt>
                <c:pt idx="28">
                  <c:v>46248</c:v>
                </c:pt>
                <c:pt idx="29">
                  <c:v>46249</c:v>
                </c:pt>
                <c:pt idx="30">
                  <c:v>46250</c:v>
                </c:pt>
                <c:pt idx="31">
                  <c:v>46251</c:v>
                </c:pt>
                <c:pt idx="32">
                  <c:v>46252</c:v>
                </c:pt>
                <c:pt idx="33">
                  <c:v>46253</c:v>
                </c:pt>
                <c:pt idx="34">
                  <c:v>46254</c:v>
                </c:pt>
                <c:pt idx="35">
                  <c:v>46255</c:v>
                </c:pt>
                <c:pt idx="36">
                  <c:v>46256</c:v>
                </c:pt>
                <c:pt idx="37">
                  <c:v>46257</c:v>
                </c:pt>
                <c:pt idx="38">
                  <c:v>46258</c:v>
                </c:pt>
                <c:pt idx="39">
                  <c:v>46259</c:v>
                </c:pt>
                <c:pt idx="40">
                  <c:v>46260</c:v>
                </c:pt>
                <c:pt idx="41">
                  <c:v>46261</c:v>
                </c:pt>
                <c:pt idx="42">
                  <c:v>46262</c:v>
                </c:pt>
                <c:pt idx="43">
                  <c:v>46263</c:v>
                </c:pt>
                <c:pt idx="44">
                  <c:v>46264</c:v>
                </c:pt>
                <c:pt idx="45">
                  <c:v>46265</c:v>
                </c:pt>
              </c:numCache>
            </c:numRef>
          </c:cat>
          <c:val>
            <c:numRef>
              <c:f>DPR!$R$9:$R$1622</c:f>
              <c:numCache>
                <c:formatCode>_(* #,##0_);_(* \(#,##0\);_(* "-"??_);_(@_)</c:formatCode>
                <c:ptCount val="411"/>
                <c:pt idx="0">
                  <c:v>142592.87424999999</c:v>
                </c:pt>
                <c:pt idx="1">
                  <c:v>145194.19449999998</c:v>
                </c:pt>
                <c:pt idx="2">
                  <c:v>141557.80725000001</c:v>
                </c:pt>
                <c:pt idx="3">
                  <c:v>138043.00425</c:v>
                </c:pt>
                <c:pt idx="4">
                  <c:v>141538.7905</c:v>
                </c:pt>
                <c:pt idx="5">
                  <c:v>143025.52974999996</c:v>
                </c:pt>
                <c:pt idx="6">
                  <c:v>148109.07625000001</c:v>
                </c:pt>
                <c:pt idx="7">
                  <c:v>150854.685</c:v>
                </c:pt>
                <c:pt idx="8">
                  <c:v>148262.12150000001</c:v>
                </c:pt>
                <c:pt idx="9">
                  <c:v>148461.75450000001</c:v>
                </c:pt>
                <c:pt idx="10">
                  <c:v>147005.57</c:v>
                </c:pt>
                <c:pt idx="11">
                  <c:v>147871.73500000004</c:v>
                </c:pt>
                <c:pt idx="12">
                  <c:v>151330.27475000001</c:v>
                </c:pt>
                <c:pt idx="13">
                  <c:v>153798.97924999997</c:v>
                </c:pt>
                <c:pt idx="14">
                  <c:v>152083.21375000002</c:v>
                </c:pt>
                <c:pt idx="15">
                  <c:v>154790.44100000002</c:v>
                </c:pt>
                <c:pt idx="16">
                  <c:v>154155.08550000002</c:v>
                </c:pt>
                <c:pt idx="17">
                  <c:v>149078.25075000004</c:v>
                </c:pt>
                <c:pt idx="18">
                  <c:v>152416.94899999999</c:v>
                </c:pt>
                <c:pt idx="19">
                  <c:v>153489.92549999998</c:v>
                </c:pt>
                <c:pt idx="20">
                  <c:v>153802.50649999999</c:v>
                </c:pt>
                <c:pt idx="21">
                  <c:v>151381.429</c:v>
                </c:pt>
                <c:pt idx="22">
                  <c:v>151966.05725000001</c:v>
                </c:pt>
                <c:pt idx="23">
                  <c:v>154417.31125</c:v>
                </c:pt>
                <c:pt idx="24">
                  <c:v>154268.71825000001</c:v>
                </c:pt>
                <c:pt idx="25">
                  <c:v>152587.98625000002</c:v>
                </c:pt>
                <c:pt idx="26">
                  <c:v>152486.91399999996</c:v>
                </c:pt>
                <c:pt idx="27">
                  <c:v>152546.39225</c:v>
                </c:pt>
                <c:pt idx="28">
                  <c:v>143737.71274999998</c:v>
                </c:pt>
                <c:pt idx="29">
                  <c:v>150365.81075</c:v>
                </c:pt>
                <c:pt idx="30">
                  <c:v>147454.45875000002</c:v>
                </c:pt>
                <c:pt idx="31">
                  <c:v>149914.1225</c:v>
                </c:pt>
                <c:pt idx="32">
                  <c:v>148971.29949999999</c:v>
                </c:pt>
                <c:pt idx="33">
                  <c:v>147898.88750000001</c:v>
                </c:pt>
                <c:pt idx="34">
                  <c:v>151176.33350000001</c:v>
                </c:pt>
                <c:pt idx="35">
                  <c:v>151215.823</c:v>
                </c:pt>
                <c:pt idx="36">
                  <c:v>150532.875</c:v>
                </c:pt>
                <c:pt idx="37">
                  <c:v>152489.22124999997</c:v>
                </c:pt>
                <c:pt idx="38">
                  <c:v>151894.74650000001</c:v>
                </c:pt>
                <c:pt idx="39">
                  <c:v>154555.49025000003</c:v>
                </c:pt>
                <c:pt idx="40">
                  <c:v>154404.31475000002</c:v>
                </c:pt>
                <c:pt idx="41">
                  <c:v>152245.28524999999</c:v>
                </c:pt>
                <c:pt idx="42">
                  <c:v>148594.37700000004</c:v>
                </c:pt>
                <c:pt idx="43">
                  <c:v>154970.75825000001</c:v>
                </c:pt>
                <c:pt idx="44">
                  <c:v>156938.40375</c:v>
                </c:pt>
                <c:pt idx="45">
                  <c:v>157050.34375</c:v>
                </c:pt>
              </c:numCache>
            </c:numRef>
          </c:val>
          <c:smooth val="0"/>
          <c:extLst xmlns:c16r2="http://schemas.microsoft.com/office/drawing/2015/06/chart">
            <c:ext xmlns:c16="http://schemas.microsoft.com/office/drawing/2014/chart" uri="{C3380CC4-5D6E-409C-BE32-E72D297353CC}">
              <c16:uniqueId val="{00000000-596B-483B-9E23-9B8AB13E82EB}"/>
            </c:ext>
          </c:extLst>
        </c:ser>
        <c:dLbls>
          <c:showLegendKey val="0"/>
          <c:showVal val="0"/>
          <c:showCatName val="0"/>
          <c:showSerName val="0"/>
          <c:showPercent val="0"/>
          <c:showBubbleSize val="0"/>
        </c:dLbls>
        <c:marker val="1"/>
        <c:smooth val="0"/>
        <c:axId val="1162227152"/>
        <c:axId val="1162218448"/>
      </c:lineChart>
      <c:dateAx>
        <c:axId val="1162227152"/>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1162218448"/>
        <c:crosses val="autoZero"/>
        <c:auto val="1"/>
        <c:lblOffset val="100"/>
        <c:baseTimeUnit val="days"/>
      </c:dateAx>
      <c:valAx>
        <c:axId val="1162218448"/>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2227152"/>
        <c:crosses val="autoZero"/>
        <c:crossBetween val="between"/>
      </c:valAx>
      <c:spPr>
        <a:noFill/>
        <a:ln>
          <a:noFill/>
        </a:ln>
        <a:effectLst/>
      </c:spPr>
    </c:plotArea>
    <c:plotVisOnly val="1"/>
    <c:dispBlanksAs val="zero"/>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rgbClr val="FFFFFF">
        <a:alpha val="0"/>
      </a:srgb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US">
                <a:solidFill>
                  <a:sysClr val="windowText" lastClr="000000"/>
                </a:solidFill>
              </a:rPr>
              <a:t>ACG Oil Production trend (bopd)</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lineChart>
        <c:grouping val="standard"/>
        <c:varyColors val="0"/>
        <c:ser>
          <c:idx val="0"/>
          <c:order val="0"/>
          <c:tx>
            <c:v>Actuals</c:v>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xmlns:c16r2="http://schemas.microsoft.com/office/drawing/2015/06/char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multiLvlStrRef>
              <c:f>DPR!$C$9:$C$1109</c:f>
            </c:multiLvlStrRef>
          </c:cat>
          <c:val>
            <c:numRef>
              <c:f>DPR!$D$9:$D$1109</c:f>
            </c:numRef>
          </c:val>
          <c:smooth val="0"/>
          <c:extLst xmlns:c16r2="http://schemas.microsoft.com/office/drawing/2015/06/chart">
            <c:ext xmlns:c16="http://schemas.microsoft.com/office/drawing/2014/chart" uri="{C3380CC4-5D6E-409C-BE32-E72D297353CC}">
              <c16:uniqueId val="{00000000-C0BA-4599-BD09-8B121CA88C12}"/>
            </c:ext>
            <c:ext xmlns:c15="http://schemas.microsoft.com/office/drawing/2012/chart" uri="{02D57815-91ED-43cb-92C2-25804820EDAC}">
              <c15:datalabelsRange>
                <c15:f>LBL!$D$9:$D$1469</c15:f>
                <c15:dlblRangeCache>
                  <c:ptCount val="31"/>
                </c15:dlblRangeCache>
              </c15:datalabelsRange>
            </c:ext>
          </c:extLst>
        </c:ser>
        <c:ser>
          <c:idx val="1"/>
          <c:order val="1"/>
          <c:tx>
            <c:v>Targets</c:v>
          </c:tx>
          <c:spPr>
            <a:ln w="28575" cap="rnd">
              <a:solidFill>
                <a:schemeClr val="accent2"/>
              </a:solidFill>
              <a:round/>
            </a:ln>
            <a:effectLst/>
          </c:spPr>
          <c:marker>
            <c:symbol val="none"/>
          </c:marker>
          <c:cat>
            <c:multiLvlStrRef>
              <c:f>DPR!$C$9:$C$1109</c:f>
            </c:multiLvlStrRef>
          </c:cat>
          <c:val>
            <c:numRef>
              <c:f>DTR!$D$9:$D$1469</c:f>
              <c:numCache>
                <c:formatCode>General</c:formatCode>
                <c:ptCount val="31"/>
              </c:numCache>
            </c:numRef>
          </c:val>
          <c:smooth val="0"/>
          <c:extLst xmlns:c16r2="http://schemas.microsoft.com/office/drawing/2015/06/chart">
            <c:ext xmlns:c16="http://schemas.microsoft.com/office/drawing/2014/chart" uri="{C3380CC4-5D6E-409C-BE32-E72D297353CC}">
              <c16:uniqueId val="{00000000-9109-4C13-A28A-90819FB9179A}"/>
            </c:ext>
          </c:extLst>
        </c:ser>
        <c:dLbls>
          <c:showLegendKey val="0"/>
          <c:showVal val="0"/>
          <c:showCatName val="0"/>
          <c:showSerName val="0"/>
          <c:showPercent val="0"/>
          <c:showBubbleSize val="0"/>
        </c:dLbls>
        <c:smooth val="0"/>
        <c:axId val="1162200496"/>
        <c:axId val="1162201040"/>
      </c:lineChart>
      <c:catAx>
        <c:axId val="1162200496"/>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2201040"/>
        <c:crosses val="autoZero"/>
        <c:auto val="1"/>
        <c:lblAlgn val="ctr"/>
        <c:lblOffset val="100"/>
        <c:noMultiLvlLbl val="1"/>
      </c:catAx>
      <c:valAx>
        <c:axId val="11622010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22004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orientation="landscape"/>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US">
                <a:solidFill>
                  <a:sysClr val="windowText" lastClr="000000"/>
                </a:solidFill>
              </a:rPr>
              <a:t>CPO-5 Oil Production trend(bopd)</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lineChart>
        <c:grouping val="standard"/>
        <c:varyColors val="0"/>
        <c:ser>
          <c:idx val="0"/>
          <c:order val="0"/>
          <c:tx>
            <c:v>Actuals</c:v>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xmlns:c16r2="http://schemas.microsoft.com/office/drawing/2015/06/char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multiLvlStrRef>
              <c:f>DPR!$C$9:$C$1109</c:f>
            </c:multiLvlStrRef>
          </c:cat>
          <c:val>
            <c:numRef>
              <c:f>DPR!$F$9:$F$1109</c:f>
            </c:numRef>
          </c:val>
          <c:smooth val="0"/>
          <c:extLst xmlns:c16r2="http://schemas.microsoft.com/office/drawing/2015/06/chart">
            <c:ext xmlns:c16="http://schemas.microsoft.com/office/drawing/2014/chart" uri="{C3380CC4-5D6E-409C-BE32-E72D297353CC}">
              <c16:uniqueId val="{00000000-242F-4ACB-839B-285FC44771A9}"/>
            </c:ext>
            <c:ext xmlns:c15="http://schemas.microsoft.com/office/drawing/2012/chart" uri="{02D57815-91ED-43cb-92C2-25804820EDAC}">
              <c15:datalabelsRange>
                <c15:f>LBL!$F$9:$F$1469</c15:f>
                <c15:dlblRangeCache>
                  <c:ptCount val="31"/>
                </c15:dlblRangeCache>
              </c15:datalabelsRange>
            </c:ext>
          </c:extLst>
        </c:ser>
        <c:ser>
          <c:idx val="1"/>
          <c:order val="1"/>
          <c:tx>
            <c:v>Targets</c:v>
          </c:tx>
          <c:spPr>
            <a:ln w="28575" cap="rnd">
              <a:solidFill>
                <a:schemeClr val="accent2"/>
              </a:solidFill>
              <a:round/>
            </a:ln>
            <a:effectLst/>
          </c:spPr>
          <c:marker>
            <c:symbol val="none"/>
          </c:marker>
          <c:cat>
            <c:multiLvlStrRef>
              <c:f>DPR!$C$9:$C$1109</c:f>
            </c:multiLvlStrRef>
          </c:cat>
          <c:val>
            <c:numRef>
              <c:f>DTR!$F$9:$F$1469</c:f>
              <c:numCache>
                <c:formatCode>General</c:formatCode>
                <c:ptCount val="31"/>
              </c:numCache>
            </c:numRef>
          </c:val>
          <c:smooth val="0"/>
          <c:extLst xmlns:c16r2="http://schemas.microsoft.com/office/drawing/2015/06/chart">
            <c:ext xmlns:c16="http://schemas.microsoft.com/office/drawing/2014/chart" uri="{C3380CC4-5D6E-409C-BE32-E72D297353CC}">
              <c16:uniqueId val="{00000000-1C26-45EE-A4DE-1EF417A417F4}"/>
            </c:ext>
          </c:extLst>
        </c:ser>
        <c:dLbls>
          <c:showLegendKey val="0"/>
          <c:showVal val="0"/>
          <c:showCatName val="0"/>
          <c:showSerName val="0"/>
          <c:showPercent val="0"/>
          <c:showBubbleSize val="0"/>
        </c:dLbls>
        <c:smooth val="0"/>
        <c:axId val="1162223888"/>
        <c:axId val="1162211376"/>
      </c:lineChart>
      <c:catAx>
        <c:axId val="1162223888"/>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2211376"/>
        <c:crosses val="autoZero"/>
        <c:auto val="1"/>
        <c:lblAlgn val="ctr"/>
        <c:lblOffset val="100"/>
        <c:noMultiLvlLbl val="1"/>
      </c:catAx>
      <c:valAx>
        <c:axId val="11622113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22238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orientation="landscape"/>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US"/>
              <a:t>BC-10 Oil Production trend (bopd)</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5.6030220521500231E-2"/>
          <c:y val="8.3400611620795123E-2"/>
          <c:w val="0.85343380675546399"/>
          <c:h val="0.79620544679621474"/>
        </c:manualLayout>
      </c:layout>
      <c:lineChart>
        <c:grouping val="standard"/>
        <c:varyColors val="0"/>
        <c:ser>
          <c:idx val="0"/>
          <c:order val="0"/>
          <c:tx>
            <c:v>Actuals</c:v>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showLeaderLines val="0"/>
            <c:extLst xmlns:c16r2="http://schemas.microsoft.com/office/drawing/2015/06/char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multiLvlStrRef>
              <c:f>DPR!$C$9:$C$1109</c:f>
            </c:multiLvlStrRef>
          </c:cat>
          <c:val>
            <c:numRef>
              <c:f>DPR!$E$9:$E$1109</c:f>
            </c:numRef>
          </c:val>
          <c:smooth val="0"/>
          <c:extLst xmlns:c16r2="http://schemas.microsoft.com/office/drawing/2015/06/chart">
            <c:ext xmlns:c16="http://schemas.microsoft.com/office/drawing/2014/chart" uri="{C3380CC4-5D6E-409C-BE32-E72D297353CC}">
              <c16:uniqueId val="{00000000-DC5A-4176-83F7-E3B5A1F8B635}"/>
            </c:ext>
            <c:ext xmlns:c15="http://schemas.microsoft.com/office/drawing/2012/chart" uri="{02D57815-91ED-43cb-92C2-25804820EDAC}">
              <c15:datalabelsRange>
                <c15:f>LBL!$E$9:$E$1469</c15:f>
                <c15:dlblRangeCache>
                  <c:ptCount val="31"/>
                </c15:dlblRangeCache>
              </c15:datalabelsRange>
            </c:ext>
          </c:extLst>
        </c:ser>
        <c:ser>
          <c:idx val="1"/>
          <c:order val="1"/>
          <c:tx>
            <c:v>Target</c:v>
          </c:tx>
          <c:spPr>
            <a:ln w="28575" cap="rnd">
              <a:solidFill>
                <a:schemeClr val="accent2"/>
              </a:solidFill>
              <a:round/>
            </a:ln>
            <a:effectLst/>
          </c:spPr>
          <c:marker>
            <c:symbol val="none"/>
          </c:marker>
          <c:val>
            <c:numRef>
              <c:f>DTR!$E$9:$E$1469</c:f>
              <c:numCache>
                <c:formatCode>General</c:formatCode>
                <c:ptCount val="31"/>
              </c:numCache>
            </c:numRef>
          </c:val>
          <c:smooth val="0"/>
          <c:extLst xmlns:c16r2="http://schemas.microsoft.com/office/drawing/2015/06/chart">
            <c:ext xmlns:c16="http://schemas.microsoft.com/office/drawing/2014/chart" uri="{C3380CC4-5D6E-409C-BE32-E72D297353CC}">
              <c16:uniqueId val="{00000000-BFF1-4C07-9FD2-D251DEFD14C9}"/>
            </c:ext>
          </c:extLst>
        </c:ser>
        <c:dLbls>
          <c:showLegendKey val="0"/>
          <c:showVal val="0"/>
          <c:showCatName val="0"/>
          <c:showSerName val="0"/>
          <c:showPercent val="0"/>
          <c:showBubbleSize val="0"/>
        </c:dLbls>
        <c:smooth val="0"/>
        <c:axId val="1162216272"/>
        <c:axId val="1162220080"/>
      </c:lineChart>
      <c:catAx>
        <c:axId val="1162216272"/>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62220080"/>
        <c:crosses val="autoZero"/>
        <c:auto val="1"/>
        <c:lblAlgn val="ctr"/>
        <c:lblOffset val="100"/>
        <c:noMultiLvlLbl val="1"/>
      </c:catAx>
      <c:valAx>
        <c:axId val="11622200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6221627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9525" cap="flat" cmpd="sng" algn="ctr">
      <a:solidFill>
        <a:sysClr val="windowText" lastClr="000000"/>
      </a:solidFill>
      <a:round/>
    </a:ln>
    <a:effectLst/>
  </c:spPr>
  <c:txPr>
    <a:bodyPr/>
    <a:lstStyle/>
    <a:p>
      <a:pPr>
        <a:defRPr>
          <a:solidFill>
            <a:sysClr val="windowText" lastClr="000000"/>
          </a:solidFill>
        </a:defRPr>
      </a:pPr>
      <a:endParaRPr lang="en-US"/>
    </a:p>
  </c:txPr>
  <c:printSettings>
    <c:headerFooter/>
    <c:pageMargins b="0.75" l="0.7" r="0.7" t="0.75" header="0.3" footer="0.3"/>
    <c:pageSetup orientation="landscape"/>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US">
                <a:solidFill>
                  <a:sysClr val="windowText" lastClr="000000"/>
                </a:solidFill>
              </a:rPr>
              <a:t>GPOC</a:t>
            </a:r>
            <a:r>
              <a:rPr lang="en-US" baseline="0">
                <a:solidFill>
                  <a:sysClr val="windowText" lastClr="000000"/>
                </a:solidFill>
              </a:rPr>
              <a:t> Oil Production trend(bopd)</a:t>
            </a:r>
            <a:endParaRPr lang="en-US">
              <a:solidFill>
                <a:sysClr val="windowText" lastClr="000000"/>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lineChart>
        <c:grouping val="standard"/>
        <c:varyColors val="0"/>
        <c:ser>
          <c:idx val="0"/>
          <c:order val="0"/>
          <c:tx>
            <c:v>Actuals</c:v>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xmlns:c16r2="http://schemas.microsoft.com/office/drawing/2015/06/char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multiLvlStrRef>
              <c:f>DPR!$C$9:$C$1109</c:f>
            </c:multiLvlStrRef>
          </c:cat>
          <c:val>
            <c:numRef>
              <c:f>DPR!$K$9:$K$1109</c:f>
            </c:numRef>
          </c:val>
          <c:smooth val="0"/>
          <c:extLst xmlns:c16r2="http://schemas.microsoft.com/office/drawing/2015/06/chart">
            <c:ext xmlns:c16="http://schemas.microsoft.com/office/drawing/2014/chart" uri="{C3380CC4-5D6E-409C-BE32-E72D297353CC}">
              <c16:uniqueId val="{00000000-022C-4C64-ACF3-967D154E1B1B}"/>
            </c:ext>
            <c:ext xmlns:c15="http://schemas.microsoft.com/office/drawing/2012/chart" uri="{02D57815-91ED-43cb-92C2-25804820EDAC}">
              <c15:datalabelsRange>
                <c15:f>LBL!$K$9:$K$1469</c15:f>
                <c15:dlblRangeCache>
                  <c:ptCount val="31"/>
                </c15:dlblRangeCache>
              </c15:datalabelsRange>
            </c:ext>
          </c:extLst>
        </c:ser>
        <c:ser>
          <c:idx val="1"/>
          <c:order val="1"/>
          <c:tx>
            <c:v>Targets</c:v>
          </c:tx>
          <c:spPr>
            <a:ln w="28575" cap="rnd">
              <a:solidFill>
                <a:schemeClr val="accent2"/>
              </a:solidFill>
              <a:round/>
            </a:ln>
            <a:effectLst/>
          </c:spPr>
          <c:marker>
            <c:symbol val="none"/>
          </c:marker>
          <c:cat>
            <c:multiLvlStrRef>
              <c:f>DPR!$C$9:$C$1109</c:f>
            </c:multiLvlStrRef>
          </c:cat>
          <c:val>
            <c:numRef>
              <c:f>DTR!$K$9:$K$1469</c:f>
              <c:numCache>
                <c:formatCode>General</c:formatCode>
                <c:ptCount val="31"/>
              </c:numCache>
            </c:numRef>
          </c:val>
          <c:smooth val="0"/>
          <c:extLst xmlns:c16r2="http://schemas.microsoft.com/office/drawing/2015/06/chart">
            <c:ext xmlns:c16="http://schemas.microsoft.com/office/drawing/2014/chart" uri="{C3380CC4-5D6E-409C-BE32-E72D297353CC}">
              <c16:uniqueId val="{00000000-7617-4402-A557-EDBADFF85AF2}"/>
            </c:ext>
          </c:extLst>
        </c:ser>
        <c:dLbls>
          <c:showLegendKey val="0"/>
          <c:showVal val="0"/>
          <c:showCatName val="0"/>
          <c:showSerName val="0"/>
          <c:showPercent val="0"/>
          <c:showBubbleSize val="0"/>
        </c:dLbls>
        <c:smooth val="0"/>
        <c:axId val="1162214096"/>
        <c:axId val="1162205392"/>
      </c:lineChart>
      <c:catAx>
        <c:axId val="1162214096"/>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2205392"/>
        <c:crosses val="autoZero"/>
        <c:auto val="1"/>
        <c:lblAlgn val="ctr"/>
        <c:lblOffset val="100"/>
        <c:noMultiLvlLbl val="1"/>
      </c:catAx>
      <c:valAx>
        <c:axId val="11622053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22140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orientation="landscape"/>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US"/>
              <a:t>SPOC Oil Production trend(bopd)</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lineChart>
        <c:grouping val="standard"/>
        <c:varyColors val="0"/>
        <c:ser>
          <c:idx val="0"/>
          <c:order val="0"/>
          <c:tx>
            <c:v>Actuals</c:v>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showLeaderLines val="0"/>
            <c:extLst xmlns:c16r2="http://schemas.microsoft.com/office/drawing/2015/06/char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multiLvlStrRef>
              <c:f>DPR!$C$9:$C$1109</c:f>
            </c:multiLvlStrRef>
          </c:cat>
          <c:val>
            <c:numRef>
              <c:f>DPR!$L$9:$L$1109</c:f>
            </c:numRef>
          </c:val>
          <c:smooth val="0"/>
          <c:extLst xmlns:c16r2="http://schemas.microsoft.com/office/drawing/2015/06/chart">
            <c:ext xmlns:c16="http://schemas.microsoft.com/office/drawing/2014/chart" uri="{C3380CC4-5D6E-409C-BE32-E72D297353CC}">
              <c16:uniqueId val="{00000000-1DBF-4BFE-8C29-6746A76555D4}"/>
            </c:ext>
            <c:ext xmlns:c15="http://schemas.microsoft.com/office/drawing/2012/chart" uri="{02D57815-91ED-43cb-92C2-25804820EDAC}">
              <c15:datalabelsRange>
                <c15:f>LBL!$L$9:$L$1469</c15:f>
                <c15:dlblRangeCache>
                  <c:ptCount val="31"/>
                </c15:dlblRangeCache>
              </c15:datalabelsRange>
            </c:ext>
          </c:extLst>
        </c:ser>
        <c:ser>
          <c:idx val="1"/>
          <c:order val="1"/>
          <c:tx>
            <c:v>Targets</c:v>
          </c:tx>
          <c:spPr>
            <a:ln w="28575" cap="rnd">
              <a:solidFill>
                <a:schemeClr val="accent2"/>
              </a:solidFill>
              <a:round/>
            </a:ln>
            <a:effectLst/>
          </c:spPr>
          <c:marker>
            <c:symbol val="none"/>
          </c:marker>
          <c:val>
            <c:numRef>
              <c:f>DTR!$L$9:$L$1469</c:f>
              <c:numCache>
                <c:formatCode>General</c:formatCode>
                <c:ptCount val="31"/>
              </c:numCache>
            </c:numRef>
          </c:val>
          <c:smooth val="0"/>
          <c:extLst xmlns:c16r2="http://schemas.microsoft.com/office/drawing/2015/06/chart">
            <c:ext xmlns:c16="http://schemas.microsoft.com/office/drawing/2014/chart" uri="{C3380CC4-5D6E-409C-BE32-E72D297353CC}">
              <c16:uniqueId val="{00000000-49AE-4D24-9F91-E90F9D8E03F2}"/>
            </c:ext>
          </c:extLst>
        </c:ser>
        <c:dLbls>
          <c:showLegendKey val="0"/>
          <c:showVal val="0"/>
          <c:showCatName val="0"/>
          <c:showSerName val="0"/>
          <c:showPercent val="0"/>
          <c:showBubbleSize val="0"/>
        </c:dLbls>
        <c:smooth val="0"/>
        <c:axId val="1162222256"/>
        <c:axId val="1162225520"/>
      </c:lineChart>
      <c:catAx>
        <c:axId val="1162222256"/>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62225520"/>
        <c:crosses val="autoZero"/>
        <c:auto val="1"/>
        <c:lblAlgn val="ctr"/>
        <c:lblOffset val="100"/>
        <c:noMultiLvlLbl val="1"/>
      </c:catAx>
      <c:valAx>
        <c:axId val="11622255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622222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9525" cap="flat" cmpd="sng" algn="ctr">
      <a:solidFill>
        <a:sysClr val="windowText" lastClr="000000"/>
      </a:solidFill>
      <a:round/>
    </a:ln>
    <a:effectLst/>
  </c:spPr>
  <c:txPr>
    <a:bodyPr/>
    <a:lstStyle/>
    <a:p>
      <a:pPr>
        <a:defRPr>
          <a:solidFill>
            <a:sysClr val="windowText" lastClr="000000"/>
          </a:solidFill>
        </a:defRPr>
      </a:pPr>
      <a:endParaRPr lang="en-US"/>
    </a:p>
  </c:txPr>
  <c:printSettings>
    <c:headerFooter/>
    <c:pageMargins b="0.75" l="0.7" r="0.7" t="0.75" header="0.3" footer="0.3"/>
    <c:pageSetup orientation="landscape"/>
  </c:printSettings>
</c:chartSpace>
</file>

<file path=xl/charts/chart7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US">
                <a:solidFill>
                  <a:sysClr val="windowText" lastClr="000000"/>
                </a:solidFill>
              </a:rPr>
              <a:t>Lower Zakum Oil Production trend</a:t>
            </a:r>
            <a:r>
              <a:rPr lang="en-US" baseline="0">
                <a:solidFill>
                  <a:sysClr val="windowText" lastClr="000000"/>
                </a:solidFill>
              </a:rPr>
              <a:t>(bopd)</a:t>
            </a:r>
            <a:endParaRPr lang="en-US">
              <a:solidFill>
                <a:sysClr val="windowText" lastClr="000000"/>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lineChart>
        <c:grouping val="standard"/>
        <c:varyColors val="0"/>
        <c:ser>
          <c:idx val="0"/>
          <c:order val="0"/>
          <c:tx>
            <c:v>Actuals</c:v>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xmlns:c16r2="http://schemas.microsoft.com/office/drawing/2015/06/char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multiLvlStrRef>
              <c:f>DPR!$C$9:$C$1109</c:f>
            </c:multiLvlStrRef>
          </c:cat>
          <c:val>
            <c:numRef>
              <c:f>DPR!$M$9:$M$1109</c:f>
            </c:numRef>
          </c:val>
          <c:smooth val="0"/>
          <c:extLst xmlns:c16r2="http://schemas.microsoft.com/office/drawing/2015/06/chart">
            <c:ext xmlns:c16="http://schemas.microsoft.com/office/drawing/2014/chart" uri="{C3380CC4-5D6E-409C-BE32-E72D297353CC}">
              <c16:uniqueId val="{00000000-041F-4D5F-933E-6B76E14F7B6D}"/>
            </c:ext>
            <c:ext xmlns:c15="http://schemas.microsoft.com/office/drawing/2012/chart" uri="{02D57815-91ED-43cb-92C2-25804820EDAC}">
              <c15:datalabelsRange>
                <c15:f>LBL!$M$9:$M$1469</c15:f>
                <c15:dlblRangeCache>
                  <c:ptCount val="31"/>
                </c15:dlblRangeCache>
              </c15:datalabelsRange>
            </c:ext>
          </c:extLst>
        </c:ser>
        <c:ser>
          <c:idx val="1"/>
          <c:order val="1"/>
          <c:tx>
            <c:v>Targets</c:v>
          </c:tx>
          <c:spPr>
            <a:ln w="28575" cap="rnd">
              <a:solidFill>
                <a:schemeClr val="accent2"/>
              </a:solidFill>
              <a:round/>
            </a:ln>
            <a:effectLst/>
          </c:spPr>
          <c:marker>
            <c:symbol val="none"/>
          </c:marker>
          <c:val>
            <c:numRef>
              <c:f>DTR!$M$9:$M$1469</c:f>
              <c:numCache>
                <c:formatCode>General</c:formatCode>
                <c:ptCount val="31"/>
              </c:numCache>
            </c:numRef>
          </c:val>
          <c:smooth val="0"/>
          <c:extLst xmlns:c16r2="http://schemas.microsoft.com/office/drawing/2015/06/chart">
            <c:ext xmlns:c16="http://schemas.microsoft.com/office/drawing/2014/chart" uri="{C3380CC4-5D6E-409C-BE32-E72D297353CC}">
              <c16:uniqueId val="{00000000-BA76-4A59-8828-CCD54C82EDDB}"/>
            </c:ext>
          </c:extLst>
        </c:ser>
        <c:dLbls>
          <c:showLegendKey val="0"/>
          <c:showVal val="0"/>
          <c:showCatName val="0"/>
          <c:showSerName val="0"/>
          <c:showPercent val="0"/>
          <c:showBubbleSize val="0"/>
        </c:dLbls>
        <c:smooth val="0"/>
        <c:axId val="1162202128"/>
        <c:axId val="1162203760"/>
      </c:lineChart>
      <c:catAx>
        <c:axId val="1162202128"/>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2203760"/>
        <c:crosses val="autoZero"/>
        <c:auto val="1"/>
        <c:lblAlgn val="ctr"/>
        <c:lblOffset val="100"/>
        <c:noMultiLvlLbl val="1"/>
      </c:catAx>
      <c:valAx>
        <c:axId val="11622037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22021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orientation="landscape"/>
  </c:printSettings>
</c:chartSpace>
</file>

<file path=xl/charts/chart7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US">
                <a:solidFill>
                  <a:sysClr val="windowText" lastClr="000000"/>
                </a:solidFill>
              </a:rPr>
              <a:t>MECL Oil Production trend</a:t>
            </a:r>
            <a:r>
              <a:rPr lang="en-US" baseline="0">
                <a:solidFill>
                  <a:sysClr val="windowText" lastClr="000000"/>
                </a:solidFill>
              </a:rPr>
              <a:t> (bopd)</a:t>
            </a:r>
            <a:endParaRPr lang="en-US">
              <a:solidFill>
                <a:sysClr val="windowText" lastClr="000000"/>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5.1306986626671665E-2"/>
          <c:y val="0.1431868131868132"/>
          <c:w val="0.8612980240215069"/>
          <c:h val="0.67350408122061667"/>
        </c:manualLayout>
      </c:layout>
      <c:lineChart>
        <c:grouping val="standard"/>
        <c:varyColors val="0"/>
        <c:ser>
          <c:idx val="0"/>
          <c:order val="0"/>
          <c:tx>
            <c:v>Actuals</c:v>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xmlns:c16r2="http://schemas.microsoft.com/office/drawing/2015/06/char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multiLvlStrRef>
              <c:f>DPR!$C$9:$C$1109</c:f>
            </c:multiLvlStrRef>
          </c:cat>
          <c:val>
            <c:numRef>
              <c:f>DPR!$G$9:$G$1109</c:f>
            </c:numRef>
          </c:val>
          <c:smooth val="0"/>
          <c:extLst xmlns:c16r2="http://schemas.microsoft.com/office/drawing/2015/06/chart">
            <c:ext xmlns:c16="http://schemas.microsoft.com/office/drawing/2014/chart" uri="{C3380CC4-5D6E-409C-BE32-E72D297353CC}">
              <c16:uniqueId val="{00000000-9ED3-4860-ADD0-35B478EF79CF}"/>
            </c:ext>
            <c:ext xmlns:c15="http://schemas.microsoft.com/office/drawing/2012/chart" uri="{02D57815-91ED-43cb-92C2-25804820EDAC}">
              <c15:datalabelsRange>
                <c15:f>LBL!$G$9:$G$1469</c15:f>
                <c15:dlblRangeCache>
                  <c:ptCount val="31"/>
                </c15:dlblRangeCache>
              </c15:datalabelsRange>
            </c:ext>
          </c:extLst>
        </c:ser>
        <c:ser>
          <c:idx val="1"/>
          <c:order val="1"/>
          <c:tx>
            <c:v>Targets</c:v>
          </c:tx>
          <c:spPr>
            <a:ln w="28575" cap="rnd">
              <a:solidFill>
                <a:schemeClr val="accent2"/>
              </a:solidFill>
              <a:round/>
            </a:ln>
            <a:effectLst/>
          </c:spPr>
          <c:marker>
            <c:symbol val="none"/>
          </c:marker>
          <c:val>
            <c:numRef>
              <c:f>DTR!$G$9:$G$1469</c:f>
              <c:numCache>
                <c:formatCode>General</c:formatCode>
                <c:ptCount val="31"/>
              </c:numCache>
            </c:numRef>
          </c:val>
          <c:smooth val="0"/>
          <c:extLst xmlns:c16r2="http://schemas.microsoft.com/office/drawing/2015/06/chart">
            <c:ext xmlns:c16="http://schemas.microsoft.com/office/drawing/2014/chart" uri="{C3380CC4-5D6E-409C-BE32-E72D297353CC}">
              <c16:uniqueId val="{00000000-0696-4F84-A8AF-F870A5BA5895}"/>
            </c:ext>
          </c:extLst>
        </c:ser>
        <c:dLbls>
          <c:showLegendKey val="0"/>
          <c:showVal val="0"/>
          <c:showCatName val="0"/>
          <c:showSerName val="0"/>
          <c:showPercent val="0"/>
          <c:showBubbleSize val="0"/>
        </c:dLbls>
        <c:smooth val="0"/>
        <c:axId val="1181624496"/>
        <c:axId val="1181627760"/>
      </c:lineChart>
      <c:catAx>
        <c:axId val="1181624496"/>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1627760"/>
        <c:crosses val="autoZero"/>
        <c:auto val="1"/>
        <c:lblAlgn val="ctr"/>
        <c:lblOffset val="100"/>
        <c:noMultiLvlLbl val="1"/>
      </c:catAx>
      <c:valAx>
        <c:axId val="11816277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16244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orientation="landscape"/>
  </c:printSettings>
</c:chartSpace>
</file>

<file path=xl/charts/chart7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US"/>
              <a:t>Imperial Energy Oil Production</a:t>
            </a:r>
            <a:r>
              <a:rPr lang="en-US" baseline="0"/>
              <a:t> </a:t>
            </a:r>
            <a:r>
              <a:rPr lang="en-US"/>
              <a:t>trend (bopd)</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lineChart>
        <c:grouping val="standard"/>
        <c:varyColors val="0"/>
        <c:ser>
          <c:idx val="0"/>
          <c:order val="0"/>
          <c:tx>
            <c:v>Actuals</c:v>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showLeaderLines val="0"/>
            <c:extLst xmlns:c16r2="http://schemas.microsoft.com/office/drawing/2015/06/char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multiLvlStrRef>
              <c:f>DPR!$C$9:$C$1109</c:f>
            </c:multiLvlStrRef>
          </c:cat>
          <c:val>
            <c:numRef>
              <c:f>DPR!$H$9:$H$1109</c:f>
            </c:numRef>
          </c:val>
          <c:smooth val="0"/>
          <c:extLst xmlns:c16r2="http://schemas.microsoft.com/office/drawing/2015/06/chart">
            <c:ext xmlns:c16="http://schemas.microsoft.com/office/drawing/2014/chart" uri="{C3380CC4-5D6E-409C-BE32-E72D297353CC}">
              <c16:uniqueId val="{00000000-BC12-4DE6-92DF-B0CBB0936E2E}"/>
            </c:ext>
            <c:ext xmlns:c15="http://schemas.microsoft.com/office/drawing/2012/chart" uri="{02D57815-91ED-43cb-92C2-25804820EDAC}">
              <c15:datalabelsRange>
                <c15:f>LBL!$H$9:$H$1469</c15:f>
                <c15:dlblRangeCache>
                  <c:ptCount val="31"/>
                </c15:dlblRangeCache>
              </c15:datalabelsRange>
            </c:ext>
          </c:extLst>
        </c:ser>
        <c:ser>
          <c:idx val="1"/>
          <c:order val="1"/>
          <c:tx>
            <c:v>Targets</c:v>
          </c:tx>
          <c:spPr>
            <a:ln w="28575" cap="rnd">
              <a:solidFill>
                <a:schemeClr val="accent2"/>
              </a:solidFill>
              <a:round/>
            </a:ln>
            <a:effectLst/>
          </c:spPr>
          <c:marker>
            <c:symbol val="none"/>
          </c:marker>
          <c:val>
            <c:numRef>
              <c:f>DTR!$H$9:$H$1469</c:f>
              <c:numCache>
                <c:formatCode>General</c:formatCode>
                <c:ptCount val="31"/>
              </c:numCache>
            </c:numRef>
          </c:val>
          <c:smooth val="0"/>
          <c:extLst xmlns:c16r2="http://schemas.microsoft.com/office/drawing/2015/06/chart">
            <c:ext xmlns:c16="http://schemas.microsoft.com/office/drawing/2014/chart" uri="{C3380CC4-5D6E-409C-BE32-E72D297353CC}">
              <c16:uniqueId val="{00000000-B7D0-4DFE-B8A9-EE15C94E2917}"/>
            </c:ext>
          </c:extLst>
        </c:ser>
        <c:dLbls>
          <c:showLegendKey val="0"/>
          <c:showVal val="0"/>
          <c:showCatName val="0"/>
          <c:showSerName val="0"/>
          <c:showPercent val="0"/>
          <c:showBubbleSize val="0"/>
        </c:dLbls>
        <c:smooth val="0"/>
        <c:axId val="1181635920"/>
        <c:axId val="1181626128"/>
      </c:lineChart>
      <c:catAx>
        <c:axId val="1181635920"/>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81626128"/>
        <c:crosses val="autoZero"/>
        <c:auto val="1"/>
        <c:lblAlgn val="ctr"/>
        <c:lblOffset val="100"/>
        <c:noMultiLvlLbl val="1"/>
      </c:catAx>
      <c:valAx>
        <c:axId val="11816261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8163592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9525" cap="flat" cmpd="sng" algn="ctr">
      <a:solidFill>
        <a:sysClr val="windowText" lastClr="000000"/>
      </a:solidFill>
      <a:round/>
    </a:ln>
    <a:effectLst/>
  </c:spPr>
  <c:txPr>
    <a:bodyPr/>
    <a:lstStyle/>
    <a:p>
      <a:pPr>
        <a:defRPr>
          <a:solidFill>
            <a:sysClr val="windowText" lastClr="000000"/>
          </a:solidFill>
        </a:defRPr>
      </a:pPr>
      <a:endParaRPr lang="en-US"/>
    </a:p>
  </c:txPr>
  <c:printSettings>
    <c:headerFooter/>
    <c:pageMargins b="0.75" l="0.7" r="0.7" t="0.75" header="0.3" footer="0.3"/>
    <c:pageSetup orientation="landscape"/>
  </c:printSettings>
</c:chartSpace>
</file>

<file path=xl/charts/chart7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US"/>
              <a:t>Vankor oil production trend (bopd)</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lineChart>
        <c:grouping val="standard"/>
        <c:varyColors val="0"/>
        <c:ser>
          <c:idx val="0"/>
          <c:order val="0"/>
          <c:tx>
            <c:v>Actuals</c:v>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showLeaderLines val="0"/>
            <c:extLst xmlns:c16r2="http://schemas.microsoft.com/office/drawing/2015/06/char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multiLvlStrRef>
              <c:f>DPR!$C$9:$C$1109</c:f>
            </c:multiLvlStrRef>
          </c:cat>
          <c:val>
            <c:numRef>
              <c:f>DPR!$J$9:$J$1109</c:f>
            </c:numRef>
          </c:val>
          <c:smooth val="0"/>
          <c:extLst xmlns:c16r2="http://schemas.microsoft.com/office/drawing/2015/06/chart">
            <c:ext xmlns:c16="http://schemas.microsoft.com/office/drawing/2014/chart" uri="{C3380CC4-5D6E-409C-BE32-E72D297353CC}">
              <c16:uniqueId val="{00000000-5222-4325-9AA8-FDDB058765C9}"/>
            </c:ext>
            <c:ext xmlns:c15="http://schemas.microsoft.com/office/drawing/2012/chart" uri="{02D57815-91ED-43cb-92C2-25804820EDAC}">
              <c15:datalabelsRange>
                <c15:f>LBL!$J$9:$J$1469</c15:f>
                <c15:dlblRangeCache>
                  <c:ptCount val="31"/>
                </c15:dlblRangeCache>
              </c15:datalabelsRange>
            </c:ext>
          </c:extLst>
        </c:ser>
        <c:ser>
          <c:idx val="1"/>
          <c:order val="1"/>
          <c:tx>
            <c:v>Targets</c:v>
          </c:tx>
          <c:spPr>
            <a:ln w="28575" cap="rnd">
              <a:solidFill>
                <a:schemeClr val="accent2"/>
              </a:solidFill>
              <a:round/>
            </a:ln>
            <a:effectLst/>
          </c:spPr>
          <c:marker>
            <c:symbol val="none"/>
          </c:marker>
          <c:val>
            <c:numRef>
              <c:f>DTR!$J$9:$J$1469</c:f>
              <c:numCache>
                <c:formatCode>General</c:formatCode>
                <c:ptCount val="31"/>
              </c:numCache>
            </c:numRef>
          </c:val>
          <c:smooth val="0"/>
          <c:extLst xmlns:c16r2="http://schemas.microsoft.com/office/drawing/2015/06/chart">
            <c:ext xmlns:c16="http://schemas.microsoft.com/office/drawing/2014/chart" uri="{C3380CC4-5D6E-409C-BE32-E72D297353CC}">
              <c16:uniqueId val="{00000000-53DF-4240-9EFD-DB95519F46D3}"/>
            </c:ext>
          </c:extLst>
        </c:ser>
        <c:dLbls>
          <c:showLegendKey val="0"/>
          <c:showVal val="0"/>
          <c:showCatName val="0"/>
          <c:showSerName val="0"/>
          <c:showPercent val="0"/>
          <c:showBubbleSize val="0"/>
        </c:dLbls>
        <c:smooth val="0"/>
        <c:axId val="1181621232"/>
        <c:axId val="1181638640"/>
      </c:lineChart>
      <c:catAx>
        <c:axId val="1181621232"/>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81638640"/>
        <c:crosses val="autoZero"/>
        <c:auto val="1"/>
        <c:lblAlgn val="ctr"/>
        <c:lblOffset val="100"/>
        <c:noMultiLvlLbl val="1"/>
      </c:catAx>
      <c:valAx>
        <c:axId val="11816386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8162123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9525" cap="flat" cmpd="sng" algn="ctr">
      <a:solidFill>
        <a:sysClr val="windowText" lastClr="000000"/>
      </a:solidFill>
      <a:round/>
    </a:ln>
    <a:effectLst/>
  </c:spPr>
  <c:txPr>
    <a:bodyPr/>
    <a:lstStyle/>
    <a:p>
      <a:pPr>
        <a:defRPr>
          <a:solidFill>
            <a:sysClr val="windowText" lastClr="000000"/>
          </a:solidFill>
        </a:defRPr>
      </a:pPr>
      <a:endParaRPr lang="en-US"/>
    </a:p>
  </c:txPr>
  <c:printSettings>
    <c:headerFooter/>
    <c:pageMargins b="0.75" l="0.7" r="0.7" t="0.75" header="0.3" footer="0.3"/>
    <c:pageSetup orientation="landscape"/>
  </c:printSettings>
</c:chartSpace>
</file>

<file path=xl/charts/chart7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US"/>
              <a:t>Carabobo-1 Oil Production trend(bopd)</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lineChart>
        <c:grouping val="standard"/>
        <c:varyColors val="0"/>
        <c:ser>
          <c:idx val="0"/>
          <c:order val="0"/>
          <c:tx>
            <c:v>Actuals</c:v>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showLeaderLines val="0"/>
            <c:extLst xmlns:c16r2="http://schemas.microsoft.com/office/drawing/2015/06/char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multiLvlStrRef>
              <c:f>DPR!$C$9:$C$1109</c:f>
            </c:multiLvlStrRef>
          </c:cat>
          <c:val>
            <c:numRef>
              <c:f>DPR!$N$9:$N$1109</c:f>
            </c:numRef>
          </c:val>
          <c:smooth val="0"/>
          <c:extLst xmlns:c16r2="http://schemas.microsoft.com/office/drawing/2015/06/chart">
            <c:ext xmlns:c16="http://schemas.microsoft.com/office/drawing/2014/chart" uri="{C3380CC4-5D6E-409C-BE32-E72D297353CC}">
              <c16:uniqueId val="{00000000-4931-4E3C-859C-C182F2EC904C}"/>
            </c:ext>
            <c:ext xmlns:c15="http://schemas.microsoft.com/office/drawing/2012/chart" uri="{02D57815-91ED-43cb-92C2-25804820EDAC}">
              <c15:datalabelsRange>
                <c15:f>LBL!$N$9:$N$1469</c15:f>
                <c15:dlblRangeCache>
                  <c:ptCount val="31"/>
                </c15:dlblRangeCache>
              </c15:datalabelsRange>
            </c:ext>
          </c:extLst>
        </c:ser>
        <c:ser>
          <c:idx val="1"/>
          <c:order val="1"/>
          <c:tx>
            <c:v>Targets</c:v>
          </c:tx>
          <c:spPr>
            <a:ln w="28575" cap="rnd">
              <a:solidFill>
                <a:schemeClr val="accent2"/>
              </a:solidFill>
              <a:round/>
            </a:ln>
            <a:effectLst/>
          </c:spPr>
          <c:marker>
            <c:symbol val="none"/>
          </c:marker>
          <c:val>
            <c:numRef>
              <c:f>DTR!$N$9:$N$1469</c:f>
              <c:numCache>
                <c:formatCode>General</c:formatCode>
                <c:ptCount val="31"/>
              </c:numCache>
            </c:numRef>
          </c:val>
          <c:smooth val="0"/>
          <c:extLst xmlns:c16r2="http://schemas.microsoft.com/office/drawing/2015/06/chart">
            <c:ext xmlns:c16="http://schemas.microsoft.com/office/drawing/2014/chart" uri="{C3380CC4-5D6E-409C-BE32-E72D297353CC}">
              <c16:uniqueId val="{00000000-1719-4915-A6AF-A1DD936F9BFA}"/>
            </c:ext>
          </c:extLst>
        </c:ser>
        <c:dLbls>
          <c:showLegendKey val="0"/>
          <c:showVal val="0"/>
          <c:showCatName val="0"/>
          <c:showSerName val="0"/>
          <c:showPercent val="0"/>
          <c:showBubbleSize val="0"/>
        </c:dLbls>
        <c:smooth val="0"/>
        <c:axId val="1181636464"/>
        <c:axId val="1181618512"/>
      </c:lineChart>
      <c:catAx>
        <c:axId val="1181636464"/>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81618512"/>
        <c:crosses val="autoZero"/>
        <c:auto val="1"/>
        <c:lblAlgn val="ctr"/>
        <c:lblOffset val="100"/>
        <c:noMultiLvlLbl val="1"/>
      </c:catAx>
      <c:valAx>
        <c:axId val="11816185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816364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9525" cap="flat" cmpd="sng" algn="ctr">
      <a:solidFill>
        <a:sysClr val="windowText" lastClr="000000"/>
      </a:solid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US">
                <a:solidFill>
                  <a:sysClr val="windowText" lastClr="000000"/>
                </a:solidFill>
              </a:rPr>
              <a:t>Sancristobal Oil Production trend (bopd)</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lineChart>
        <c:grouping val="standard"/>
        <c:varyColors val="0"/>
        <c:ser>
          <c:idx val="0"/>
          <c:order val="0"/>
          <c:tx>
            <c:v>Actuals</c:v>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xmlns:c16r2="http://schemas.microsoft.com/office/drawing/2015/06/char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multiLvlStrRef>
              <c:f>DPR!$C$9:$C$1109</c:f>
            </c:multiLvlStrRef>
          </c:cat>
          <c:val>
            <c:numRef>
              <c:f>DPR!$O$9:$O$1109</c:f>
            </c:numRef>
          </c:val>
          <c:smooth val="0"/>
          <c:extLst xmlns:c16r2="http://schemas.microsoft.com/office/drawing/2015/06/chart">
            <c:ext xmlns:c16="http://schemas.microsoft.com/office/drawing/2014/chart" uri="{C3380CC4-5D6E-409C-BE32-E72D297353CC}">
              <c16:uniqueId val="{00000000-9C57-4530-BFDC-26BE1F728539}"/>
            </c:ext>
            <c:ext xmlns:c15="http://schemas.microsoft.com/office/drawing/2012/chart" uri="{02D57815-91ED-43cb-92C2-25804820EDAC}">
              <c15:datalabelsRange>
                <c15:f>LBL!$O$9:$O$1469</c15:f>
                <c15:dlblRangeCache>
                  <c:ptCount val="31"/>
                </c15:dlblRangeCache>
              </c15:datalabelsRange>
            </c:ext>
          </c:extLst>
        </c:ser>
        <c:ser>
          <c:idx val="1"/>
          <c:order val="1"/>
          <c:tx>
            <c:v>Targets</c:v>
          </c:tx>
          <c:spPr>
            <a:ln w="28575" cap="rnd">
              <a:solidFill>
                <a:schemeClr val="accent2"/>
              </a:solidFill>
              <a:round/>
            </a:ln>
            <a:effectLst/>
          </c:spPr>
          <c:marker>
            <c:symbol val="none"/>
          </c:marker>
          <c:val>
            <c:numRef>
              <c:f>DTR!$O$9:$O$1469</c:f>
              <c:numCache>
                <c:formatCode>General</c:formatCode>
                <c:ptCount val="31"/>
              </c:numCache>
            </c:numRef>
          </c:val>
          <c:smooth val="0"/>
          <c:extLst xmlns:c16r2="http://schemas.microsoft.com/office/drawing/2015/06/chart">
            <c:ext xmlns:c16="http://schemas.microsoft.com/office/drawing/2014/chart" uri="{C3380CC4-5D6E-409C-BE32-E72D297353CC}">
              <c16:uniqueId val="{00000000-17AD-45BA-855D-EF9B73729DF1}"/>
            </c:ext>
          </c:extLst>
        </c:ser>
        <c:dLbls>
          <c:showLegendKey val="0"/>
          <c:showVal val="0"/>
          <c:showCatName val="0"/>
          <c:showSerName val="0"/>
          <c:showPercent val="0"/>
          <c:showBubbleSize val="0"/>
        </c:dLbls>
        <c:smooth val="0"/>
        <c:axId val="1181639184"/>
        <c:axId val="1181623952"/>
      </c:lineChart>
      <c:catAx>
        <c:axId val="1181639184"/>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1623952"/>
        <c:crosses val="autoZero"/>
        <c:auto val="1"/>
        <c:lblAlgn val="ctr"/>
        <c:lblOffset val="100"/>
        <c:noMultiLvlLbl val="1"/>
      </c:catAx>
      <c:valAx>
        <c:axId val="11816239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163918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US">
                <a:solidFill>
                  <a:sysClr val="windowText" lastClr="000000"/>
                </a:solidFill>
              </a:rPr>
              <a:t>B-06.1 Vietnam,</a:t>
            </a:r>
            <a:r>
              <a:rPr lang="en-US" baseline="0">
                <a:solidFill>
                  <a:sysClr val="windowText" lastClr="000000"/>
                </a:solidFill>
              </a:rPr>
              <a:t> Gas Production trend (mmscmd)</a:t>
            </a:r>
            <a:endParaRPr lang="en-US">
              <a:solidFill>
                <a:sysClr val="windowText" lastClr="000000"/>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lineChart>
        <c:grouping val="standard"/>
        <c:varyColors val="0"/>
        <c:ser>
          <c:idx val="0"/>
          <c:order val="0"/>
          <c:tx>
            <c:v>Actuals</c:v>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xmlns:c16r2="http://schemas.microsoft.com/office/drawing/2015/06/char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multiLvlStrRef>
              <c:f>DPR!$C$9:$C$1109</c:f>
            </c:multiLvlStrRef>
          </c:cat>
          <c:val>
            <c:numRef>
              <c:f>DPR!$AE$9:$AE$1109</c:f>
            </c:numRef>
          </c:val>
          <c:smooth val="0"/>
          <c:extLst xmlns:c16r2="http://schemas.microsoft.com/office/drawing/2015/06/chart">
            <c:ext xmlns:c16="http://schemas.microsoft.com/office/drawing/2014/chart" uri="{C3380CC4-5D6E-409C-BE32-E72D297353CC}">
              <c16:uniqueId val="{00000000-E2D9-4AD0-AFDD-DF64DA7FAD2F}"/>
            </c:ext>
            <c:ext xmlns:c15="http://schemas.microsoft.com/office/drawing/2012/chart" uri="{02D57815-91ED-43cb-92C2-25804820EDAC}">
              <c15:datalabelsRange>
                <c15:f>LBL!$AE$9:$AE$1469</c15:f>
                <c15:dlblRangeCache>
                  <c:ptCount val="31"/>
                </c15:dlblRangeCache>
              </c15:datalabelsRange>
            </c:ext>
          </c:extLst>
        </c:ser>
        <c:ser>
          <c:idx val="1"/>
          <c:order val="1"/>
          <c:tx>
            <c:v>Targets</c:v>
          </c:tx>
          <c:spPr>
            <a:ln w="28575" cap="rnd">
              <a:solidFill>
                <a:schemeClr val="accent2"/>
              </a:solidFill>
              <a:round/>
            </a:ln>
            <a:effectLst/>
          </c:spPr>
          <c:marker>
            <c:symbol val="none"/>
          </c:marker>
          <c:val>
            <c:numRef>
              <c:f>DTR!$AE$9:$AE$1469</c:f>
              <c:numCache>
                <c:formatCode>General</c:formatCode>
                <c:ptCount val="31"/>
              </c:numCache>
            </c:numRef>
          </c:val>
          <c:smooth val="0"/>
          <c:extLst xmlns:c16r2="http://schemas.microsoft.com/office/drawing/2015/06/chart">
            <c:ext xmlns:c16="http://schemas.microsoft.com/office/drawing/2014/chart" uri="{C3380CC4-5D6E-409C-BE32-E72D297353CC}">
              <c16:uniqueId val="{00000000-49F1-4BAC-84ED-56D75894CFA8}"/>
            </c:ext>
          </c:extLst>
        </c:ser>
        <c:dLbls>
          <c:showLegendKey val="0"/>
          <c:showVal val="0"/>
          <c:showCatName val="0"/>
          <c:showSerName val="0"/>
          <c:showPercent val="0"/>
          <c:showBubbleSize val="0"/>
        </c:dLbls>
        <c:smooth val="0"/>
        <c:axId val="1181615248"/>
        <c:axId val="1181629392"/>
      </c:lineChart>
      <c:catAx>
        <c:axId val="1181615248"/>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1629392"/>
        <c:crosses val="autoZero"/>
        <c:auto val="1"/>
        <c:lblAlgn val="ctr"/>
        <c:lblOffset val="100"/>
        <c:noMultiLvlLbl val="1"/>
      </c:catAx>
      <c:valAx>
        <c:axId val="11816293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16152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US">
                <a:solidFill>
                  <a:sysClr val="windowText" lastClr="000000"/>
                </a:solidFill>
              </a:rPr>
              <a:t>Block A1-A3 Myanmar,</a:t>
            </a:r>
            <a:r>
              <a:rPr lang="en-US" baseline="0">
                <a:solidFill>
                  <a:sysClr val="windowText" lastClr="000000"/>
                </a:solidFill>
              </a:rPr>
              <a:t> Gas Production trend (mmscmd)</a:t>
            </a:r>
            <a:endParaRPr lang="en-US">
              <a:solidFill>
                <a:sysClr val="windowText" lastClr="000000"/>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5.4917863013962565E-2"/>
          <c:y val="0.1137304710492051"/>
          <c:w val="0.85259136192049678"/>
          <c:h val="0.76273216893233509"/>
        </c:manualLayout>
      </c:layout>
      <c:lineChart>
        <c:grouping val="standard"/>
        <c:varyColors val="0"/>
        <c:ser>
          <c:idx val="0"/>
          <c:order val="0"/>
          <c:tx>
            <c:v>Actuals</c:v>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xmlns:c16r2="http://schemas.microsoft.com/office/drawing/2015/06/char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multiLvlStrRef>
              <c:f>DPR!$C$9:$C$1109</c:f>
            </c:multiLvlStrRef>
          </c:cat>
          <c:val>
            <c:numRef>
              <c:f>DPR!$AF$9:$AF$1109</c:f>
            </c:numRef>
          </c:val>
          <c:smooth val="0"/>
          <c:extLst xmlns:c16r2="http://schemas.microsoft.com/office/drawing/2015/06/chart">
            <c:ext xmlns:c16="http://schemas.microsoft.com/office/drawing/2014/chart" uri="{C3380CC4-5D6E-409C-BE32-E72D297353CC}">
              <c16:uniqueId val="{00000000-B85B-48C5-8A4C-A2E6DED2F552}"/>
            </c:ext>
            <c:ext xmlns:c15="http://schemas.microsoft.com/office/drawing/2012/chart" uri="{02D57815-91ED-43cb-92C2-25804820EDAC}">
              <c15:datalabelsRange>
                <c15:f>LBL!$AF$9:$AF$1469</c15:f>
                <c15:dlblRangeCache>
                  <c:ptCount val="31"/>
                </c15:dlblRangeCache>
              </c15:datalabelsRange>
            </c:ext>
          </c:extLst>
        </c:ser>
        <c:ser>
          <c:idx val="1"/>
          <c:order val="1"/>
          <c:tx>
            <c:v>Targets</c:v>
          </c:tx>
          <c:spPr>
            <a:ln w="28575" cap="rnd">
              <a:solidFill>
                <a:schemeClr val="accent2"/>
              </a:solidFill>
              <a:round/>
            </a:ln>
            <a:effectLst/>
          </c:spPr>
          <c:marker>
            <c:symbol val="none"/>
          </c:marker>
          <c:val>
            <c:numRef>
              <c:f>DTR!$AF$9:$AF$1469</c:f>
              <c:numCache>
                <c:formatCode>General</c:formatCode>
                <c:ptCount val="31"/>
              </c:numCache>
            </c:numRef>
          </c:val>
          <c:smooth val="0"/>
          <c:extLst xmlns:c16r2="http://schemas.microsoft.com/office/drawing/2015/06/chart">
            <c:ext xmlns:c16="http://schemas.microsoft.com/office/drawing/2014/chart" uri="{C3380CC4-5D6E-409C-BE32-E72D297353CC}">
              <c16:uniqueId val="{00000000-330B-4280-8D09-A1FF30D633B0}"/>
            </c:ext>
          </c:extLst>
        </c:ser>
        <c:dLbls>
          <c:showLegendKey val="0"/>
          <c:showVal val="0"/>
          <c:showCatName val="0"/>
          <c:showSerName val="0"/>
          <c:showPercent val="0"/>
          <c:showBubbleSize val="0"/>
        </c:dLbls>
        <c:smooth val="0"/>
        <c:axId val="1181626672"/>
        <c:axId val="1181627216"/>
      </c:lineChart>
      <c:catAx>
        <c:axId val="1181626672"/>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1627216"/>
        <c:crosses val="autoZero"/>
        <c:auto val="1"/>
        <c:lblAlgn val="ctr"/>
        <c:lblOffset val="100"/>
        <c:noMultiLvlLbl val="1"/>
      </c:catAx>
      <c:valAx>
        <c:axId val="11816272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162667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US">
                <a:solidFill>
                  <a:sysClr val="windowText" lastClr="000000"/>
                </a:solidFill>
              </a:rPr>
              <a:t>OVL,</a:t>
            </a:r>
            <a:r>
              <a:rPr lang="en-US" baseline="0">
                <a:solidFill>
                  <a:sysClr val="windowText" lastClr="000000"/>
                </a:solidFill>
              </a:rPr>
              <a:t> Oil Production trend (bopd)</a:t>
            </a:r>
            <a:endParaRPr lang="en-US">
              <a:solidFill>
                <a:sysClr val="windowText" lastClr="000000"/>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lineChart>
        <c:grouping val="standard"/>
        <c:varyColors val="0"/>
        <c:ser>
          <c:idx val="0"/>
          <c:order val="0"/>
          <c:tx>
            <c:v>Actuals</c:v>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xmlns:c16r2="http://schemas.microsoft.com/office/drawing/2015/06/char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multiLvlStrRef>
              <c:f>DPR!$C$9:$C$1109</c:f>
            </c:multiLvlStrRef>
          </c:cat>
          <c:val>
            <c:numRef>
              <c:f>DPR!$R$9:$R$1109</c:f>
            </c:numRef>
          </c:val>
          <c:smooth val="0"/>
          <c:extLst xmlns:c16r2="http://schemas.microsoft.com/office/drawing/2015/06/chart">
            <c:ext xmlns:c16="http://schemas.microsoft.com/office/drawing/2014/chart" uri="{C3380CC4-5D6E-409C-BE32-E72D297353CC}">
              <c16:uniqueId val="{00000000-C057-4F66-8352-1855CB7F1387}"/>
            </c:ext>
            <c:ext xmlns:c15="http://schemas.microsoft.com/office/drawing/2012/chart" uri="{02D57815-91ED-43cb-92C2-25804820EDAC}">
              <c15:datalabelsRange>
                <c15:f>LBL!$R$9:$R$1469</c15:f>
                <c15:dlblRangeCache>
                  <c:ptCount val="31"/>
                </c15:dlblRangeCache>
              </c15:datalabelsRange>
            </c:ext>
          </c:extLst>
        </c:ser>
        <c:ser>
          <c:idx val="1"/>
          <c:order val="1"/>
          <c:tx>
            <c:v>Targets</c:v>
          </c:tx>
          <c:spPr>
            <a:ln w="28575" cap="rnd">
              <a:solidFill>
                <a:schemeClr val="accent2"/>
              </a:solidFill>
              <a:round/>
            </a:ln>
            <a:effectLst/>
          </c:spPr>
          <c:marker>
            <c:symbol val="none"/>
          </c:marker>
          <c:val>
            <c:numRef>
              <c:f>DTR!$R$9:$R$1469</c:f>
              <c:numCache>
                <c:formatCode>General</c:formatCode>
                <c:ptCount val="31"/>
              </c:numCache>
            </c:numRef>
          </c:val>
          <c:smooth val="0"/>
          <c:extLst xmlns:c16r2="http://schemas.microsoft.com/office/drawing/2015/06/chart">
            <c:ext xmlns:c16="http://schemas.microsoft.com/office/drawing/2014/chart" uri="{C3380CC4-5D6E-409C-BE32-E72D297353CC}">
              <c16:uniqueId val="{00000000-7E1F-43C4-942A-0FA6AE1C4BCE}"/>
            </c:ext>
          </c:extLst>
        </c:ser>
        <c:dLbls>
          <c:showLegendKey val="0"/>
          <c:showVal val="0"/>
          <c:showCatName val="0"/>
          <c:showSerName val="0"/>
          <c:showPercent val="0"/>
          <c:showBubbleSize val="0"/>
        </c:dLbls>
        <c:smooth val="0"/>
        <c:axId val="1181629936"/>
        <c:axId val="1181611984"/>
      </c:lineChart>
      <c:catAx>
        <c:axId val="1181629936"/>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1611984"/>
        <c:crosses val="autoZero"/>
        <c:auto val="1"/>
        <c:lblAlgn val="ctr"/>
        <c:lblOffset val="100"/>
        <c:noMultiLvlLbl val="1"/>
      </c:catAx>
      <c:valAx>
        <c:axId val="11816119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162993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US">
                <a:solidFill>
                  <a:sysClr val="windowText" lastClr="000000"/>
                </a:solidFill>
              </a:rPr>
              <a:t>OVL,</a:t>
            </a:r>
            <a:r>
              <a:rPr lang="en-US" baseline="0">
                <a:solidFill>
                  <a:sysClr val="windowText" lastClr="000000"/>
                </a:solidFill>
              </a:rPr>
              <a:t> Gas Production trend (mmscmd)</a:t>
            </a:r>
            <a:endParaRPr lang="en-US">
              <a:solidFill>
                <a:sysClr val="windowText" lastClr="000000"/>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lineChart>
        <c:grouping val="standard"/>
        <c:varyColors val="0"/>
        <c:ser>
          <c:idx val="0"/>
          <c:order val="0"/>
          <c:tx>
            <c:v>Actuals</c:v>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xmlns:c16r2="http://schemas.microsoft.com/office/drawing/2015/06/char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multiLvlStrRef>
              <c:f>DPR!$C$9:$C$1109</c:f>
            </c:multiLvlStrRef>
          </c:cat>
          <c:val>
            <c:numRef>
              <c:f>DPR!$AG$9:$AG$1109</c:f>
            </c:numRef>
          </c:val>
          <c:smooth val="0"/>
          <c:extLst xmlns:c16r2="http://schemas.microsoft.com/office/drawing/2015/06/chart">
            <c:ext xmlns:c16="http://schemas.microsoft.com/office/drawing/2014/chart" uri="{C3380CC4-5D6E-409C-BE32-E72D297353CC}">
              <c16:uniqueId val="{00000000-C735-4202-BAC7-BB294C53AACD}"/>
            </c:ext>
            <c:ext xmlns:c15="http://schemas.microsoft.com/office/drawing/2012/chart" uri="{02D57815-91ED-43cb-92C2-25804820EDAC}">
              <c15:datalabelsRange>
                <c15:f>LBL!$AG$9:$AG$1469</c15:f>
                <c15:dlblRangeCache>
                  <c:ptCount val="31"/>
                </c15:dlblRangeCache>
              </c15:datalabelsRange>
            </c:ext>
          </c:extLst>
        </c:ser>
        <c:ser>
          <c:idx val="1"/>
          <c:order val="1"/>
          <c:tx>
            <c:v>Targets</c:v>
          </c:tx>
          <c:spPr>
            <a:ln w="28575" cap="rnd">
              <a:solidFill>
                <a:schemeClr val="accent2"/>
              </a:solidFill>
              <a:round/>
            </a:ln>
            <a:effectLst/>
          </c:spPr>
          <c:marker>
            <c:symbol val="none"/>
          </c:marker>
          <c:val>
            <c:numRef>
              <c:f>DTR!$AG$9:$AG$1469</c:f>
              <c:numCache>
                <c:formatCode>General</c:formatCode>
                <c:ptCount val="31"/>
              </c:numCache>
            </c:numRef>
          </c:val>
          <c:smooth val="0"/>
          <c:extLst xmlns:c16r2="http://schemas.microsoft.com/office/drawing/2015/06/chart">
            <c:ext xmlns:c16="http://schemas.microsoft.com/office/drawing/2014/chart" uri="{C3380CC4-5D6E-409C-BE32-E72D297353CC}">
              <c16:uniqueId val="{00000000-3CA2-4C88-81B5-2B2A2D0D133D}"/>
            </c:ext>
          </c:extLst>
        </c:ser>
        <c:dLbls>
          <c:showLegendKey val="0"/>
          <c:showVal val="0"/>
          <c:showCatName val="0"/>
          <c:showSerName val="0"/>
          <c:showPercent val="0"/>
          <c:showBubbleSize val="0"/>
        </c:dLbls>
        <c:smooth val="0"/>
        <c:axId val="1181617968"/>
        <c:axId val="1181623408"/>
      </c:lineChart>
      <c:catAx>
        <c:axId val="1181617968"/>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1623408"/>
        <c:crosses val="autoZero"/>
        <c:auto val="1"/>
        <c:lblAlgn val="ctr"/>
        <c:lblOffset val="100"/>
        <c:noMultiLvlLbl val="1"/>
      </c:catAx>
      <c:valAx>
        <c:axId val="11816234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16179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US">
                <a:solidFill>
                  <a:sysClr val="windowText" lastClr="000000"/>
                </a:solidFill>
              </a:rPr>
              <a:t>Sakhalin-1,</a:t>
            </a:r>
            <a:r>
              <a:rPr lang="en-US" baseline="0">
                <a:solidFill>
                  <a:sysClr val="windowText" lastClr="000000"/>
                </a:solidFill>
              </a:rPr>
              <a:t> Oil Production trend (bopd)</a:t>
            </a:r>
            <a:endParaRPr lang="en-US">
              <a:solidFill>
                <a:sysClr val="windowText" lastClr="000000"/>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lineChart>
        <c:grouping val="standard"/>
        <c:varyColors val="0"/>
        <c:ser>
          <c:idx val="0"/>
          <c:order val="0"/>
          <c:tx>
            <c:v>Actuals</c:v>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xmlns:c16r2="http://schemas.microsoft.com/office/drawing/2015/06/char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multiLvlStrRef>
              <c:f>DPR!$C$9:$C$1109</c:f>
            </c:multiLvlStrRef>
          </c:cat>
          <c:val>
            <c:numRef>
              <c:f>DPR!$I$9:$I$1109</c:f>
            </c:numRef>
          </c:val>
          <c:smooth val="0"/>
          <c:extLst xmlns:c16r2="http://schemas.microsoft.com/office/drawing/2015/06/chart">
            <c:ext xmlns:c16="http://schemas.microsoft.com/office/drawing/2014/chart" uri="{C3380CC4-5D6E-409C-BE32-E72D297353CC}">
              <c16:uniqueId val="{00000000-F336-4905-A813-172B104B392D}"/>
            </c:ext>
            <c:ext xmlns:c15="http://schemas.microsoft.com/office/drawing/2012/chart" uri="{02D57815-91ED-43cb-92C2-25804820EDAC}">
              <c15:datalabelsRange>
                <c15:f>LBL!$I$9:$I$1469</c15:f>
                <c15:dlblRangeCache>
                  <c:ptCount val="31"/>
                </c15:dlblRangeCache>
              </c15:datalabelsRange>
            </c:ext>
          </c:extLst>
        </c:ser>
        <c:ser>
          <c:idx val="1"/>
          <c:order val="1"/>
          <c:tx>
            <c:v>Targets</c:v>
          </c:tx>
          <c:spPr>
            <a:ln w="28575" cap="rnd">
              <a:solidFill>
                <a:schemeClr val="accent2"/>
              </a:solidFill>
              <a:round/>
            </a:ln>
            <a:effectLst/>
          </c:spPr>
          <c:marker>
            <c:symbol val="none"/>
          </c:marker>
          <c:val>
            <c:numRef>
              <c:f>DTR!$I$9:$I$1469</c:f>
              <c:numCache>
                <c:formatCode>General</c:formatCode>
                <c:ptCount val="31"/>
              </c:numCache>
            </c:numRef>
          </c:val>
          <c:smooth val="0"/>
          <c:extLst xmlns:c16r2="http://schemas.microsoft.com/office/drawing/2015/06/chart">
            <c:ext xmlns:c16="http://schemas.microsoft.com/office/drawing/2014/chart" uri="{C3380CC4-5D6E-409C-BE32-E72D297353CC}">
              <c16:uniqueId val="{00000000-EC53-4BEA-AAAA-B7A7CADB3D87}"/>
            </c:ext>
          </c:extLst>
        </c:ser>
        <c:dLbls>
          <c:showLegendKey val="0"/>
          <c:showVal val="0"/>
          <c:showCatName val="0"/>
          <c:showSerName val="0"/>
          <c:showPercent val="0"/>
          <c:showBubbleSize val="0"/>
        </c:dLbls>
        <c:smooth val="0"/>
        <c:axId val="1181609264"/>
        <c:axId val="1181631024"/>
      </c:lineChart>
      <c:catAx>
        <c:axId val="1181609264"/>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1631024"/>
        <c:crosses val="autoZero"/>
        <c:auto val="1"/>
        <c:lblAlgn val="ctr"/>
        <c:lblOffset val="100"/>
        <c:noMultiLvlLbl val="1"/>
      </c:catAx>
      <c:valAx>
        <c:axId val="1181631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16092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CheckBox" fmlaLink="$X$34" lockText="1" noThreeD="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GBox"/>
</file>

<file path=xl/ctrlProps/ctrlProp44.xml><?xml version="1.0" encoding="utf-8"?>
<formControlPr xmlns="http://schemas.microsoft.com/office/spreadsheetml/2009/9/main" objectType="Radio" checked="Checked" firstButton="1" lockText="1" noThreeD="1"/>
</file>

<file path=xl/ctrlProps/ctrlProp45.xml><?xml version="1.0" encoding="utf-8"?>
<formControlPr xmlns="http://schemas.microsoft.com/office/spreadsheetml/2009/9/main" objectType="Radio" lockText="1" noThreeD="1"/>
</file>

<file path=xl/ctrlProps/ctrlProp46.xml><?xml version="1.0" encoding="utf-8"?>
<formControlPr xmlns="http://schemas.microsoft.com/office/spreadsheetml/2009/9/main" objectType="Radio" lockText="1" noThreeD="1"/>
</file>

<file path=xl/ctrlProps/ctrlProp47.xml><?xml version="1.0" encoding="utf-8"?>
<formControlPr xmlns="http://schemas.microsoft.com/office/spreadsheetml/2009/9/main" objectType="Label"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GBox" noThreeD="1"/>
</file>

<file path=xl/ctrlProps/ctrlProp50.xml><?xml version="1.0" encoding="utf-8"?>
<formControlPr xmlns="http://schemas.microsoft.com/office/spreadsheetml/2009/9/main" objectType="Radio" firstButton="1" lockText="1" noThreeD="1"/>
</file>

<file path=xl/ctrlProps/ctrlProp51.xml><?xml version="1.0" encoding="utf-8"?>
<formControlPr xmlns="http://schemas.microsoft.com/office/spreadsheetml/2009/9/main" objectType="Radio" checked="Checked" lockText="1" noThreeD="1"/>
</file>

<file path=xl/ctrlProps/ctrlProp52.xml><?xml version="1.0" encoding="utf-8"?>
<formControlPr xmlns="http://schemas.microsoft.com/office/spreadsheetml/2009/9/main" objectType="Radio" lockText="1" noThreeD="1"/>
</file>

<file path=xl/ctrlProps/ctrlProp53.xml><?xml version="1.0" encoding="utf-8"?>
<formControlPr xmlns="http://schemas.microsoft.com/office/spreadsheetml/2009/9/main" objectType="Radio" lockText="1" noThreeD="1"/>
</file>

<file path=xl/ctrlProps/ctrlProp54.xml><?xml version="1.0" encoding="utf-8"?>
<formControlPr xmlns="http://schemas.microsoft.com/office/spreadsheetml/2009/9/main" objectType="Radio" lockText="1" noThreeD="1"/>
</file>

<file path=xl/ctrlProps/ctrlProp55.xml><?xml version="1.0" encoding="utf-8"?>
<formControlPr xmlns="http://schemas.microsoft.com/office/spreadsheetml/2009/9/main" objectType="Radio" lockText="1" noThreeD="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Radio" firstButton="1" lockText="1" noThreeD="1"/>
</file>

<file path=xl/ctrlProps/ctrlProp60.xml><?xml version="1.0" encoding="utf-8"?>
<formControlPr xmlns="http://schemas.microsoft.com/office/spreadsheetml/2009/9/main" objectType="Radio" checked="Checked" lockText="1" noThreeD="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Radio" lockText="1" noThreeD="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Radio" lockText="1" noThreeD="1"/>
</file>

<file path=xl/ctrlProps/ctrlProp67.xml><?xml version="1.0" encoding="utf-8"?>
<formControlPr xmlns="http://schemas.microsoft.com/office/spreadsheetml/2009/9/main" objectType="GBox" noThreeD="1"/>
</file>

<file path=xl/ctrlProps/ctrlProp68.xml><?xml version="1.0" encoding="utf-8"?>
<formControlPr xmlns="http://schemas.microsoft.com/office/spreadsheetml/2009/9/main" objectType="Radio" firstButton="1" lockText="1" noThreeD="1"/>
</file>

<file path=xl/ctrlProps/ctrlProp69.xml><?xml version="1.0" encoding="utf-8"?>
<formControlPr xmlns="http://schemas.microsoft.com/office/spreadsheetml/2009/9/main" objectType="Radio" checked="Checked" lockText="1" noThreeD="1"/>
</file>

<file path=xl/ctrlProps/ctrlProp70.xml><?xml version="1.0" encoding="utf-8"?>
<formControlPr xmlns="http://schemas.microsoft.com/office/spreadsheetml/2009/9/main" objectType="GBox" noThreeD="1"/>
</file>

<file path=xl/ctrlProps/ctrlProp71.xml><?xml version="1.0" encoding="utf-8"?>
<formControlPr xmlns="http://schemas.microsoft.com/office/spreadsheetml/2009/9/main" objectType="Radio" lockText="1" noThreeD="1"/>
</file>

<file path=xl/ctrlProps/ctrlProp72.xml><?xml version="1.0" encoding="utf-8"?>
<formControlPr xmlns="http://schemas.microsoft.com/office/spreadsheetml/2009/9/main" objectType="Radio" lockText="1" noThreeD="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GBox" noThreeD="1"/>
</file>

<file path=xl/ctrlProps/ctrlProp75.xml><?xml version="1.0" encoding="utf-8"?>
<formControlPr xmlns="http://schemas.microsoft.com/office/spreadsheetml/2009/9/main" objectType="Radio" firstButton="1" lockText="1" noThreeD="1"/>
</file>

<file path=xl/ctrlProps/ctrlProp76.xml><?xml version="1.0" encoding="utf-8"?>
<formControlPr xmlns="http://schemas.microsoft.com/office/spreadsheetml/2009/9/main" objectType="Radio" checked="Checked" lockText="1" noThreeD="1"/>
</file>

<file path=xl/ctrlProps/ctrlProp77.xml><?xml version="1.0" encoding="utf-8"?>
<formControlPr xmlns="http://schemas.microsoft.com/office/spreadsheetml/2009/9/main" objectType="Radio" lockText="1" noThreeD="1"/>
</file>

<file path=xl/ctrlProps/ctrlProp78.xml><?xml version="1.0" encoding="utf-8"?>
<formControlPr xmlns="http://schemas.microsoft.com/office/spreadsheetml/2009/9/main" objectType="Radio" lockText="1" noThreeD="1"/>
</file>

<file path=xl/ctrlProps/ctrlProp79.xml><?xml version="1.0" encoding="utf-8"?>
<formControlPr xmlns="http://schemas.microsoft.com/office/spreadsheetml/2009/9/main" objectType="Radio" lockText="1" noThreeD="1"/>
</file>

<file path=xl/ctrlProps/ctrlProp80.xml><?xml version="1.0" encoding="utf-8"?>
<formControlPr xmlns="http://schemas.microsoft.com/office/spreadsheetml/2009/9/main" objectType="Radio" lockText="1" noThreeD="1"/>
</file>

<file path=xl/ctrlProps/ctrlProp81.xml><?xml version="1.0" encoding="utf-8"?>
<formControlPr xmlns="http://schemas.microsoft.com/office/spreadsheetml/2009/9/main" objectType="Radio" lockText="1" noThreeD="1"/>
</file>

<file path=xl/ctrlProps/ctrlProp82.xml><?xml version="1.0" encoding="utf-8"?>
<formControlPr xmlns="http://schemas.microsoft.com/office/spreadsheetml/2009/9/main" objectType="Radio" lockText="1" noThreeD="1"/>
</file>

<file path=xl/ctrlProps/ctrlProp83.xml><?xml version="1.0" encoding="utf-8"?>
<formControlPr xmlns="http://schemas.microsoft.com/office/spreadsheetml/2009/9/main" objectType="Radio" lockText="1" noThreeD="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9" Type="http://schemas.openxmlformats.org/officeDocument/2006/relationships/chart" Target="../charts/chart39.xml"/><Relationship Id="rId21" Type="http://schemas.openxmlformats.org/officeDocument/2006/relationships/chart" Target="../charts/chart21.xml"/><Relationship Id="rId34" Type="http://schemas.openxmlformats.org/officeDocument/2006/relationships/chart" Target="../charts/chart34.xml"/><Relationship Id="rId42" Type="http://schemas.openxmlformats.org/officeDocument/2006/relationships/chart" Target="../charts/chart42.xml"/><Relationship Id="rId7" Type="http://schemas.openxmlformats.org/officeDocument/2006/relationships/chart" Target="../charts/chart7.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41" Type="http://schemas.openxmlformats.org/officeDocument/2006/relationships/chart" Target="../charts/chart41.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37" Type="http://schemas.openxmlformats.org/officeDocument/2006/relationships/chart" Target="../charts/chart37.xml"/><Relationship Id="rId40" Type="http://schemas.openxmlformats.org/officeDocument/2006/relationships/chart" Target="../charts/chart40.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 Id="rId3" Type="http://schemas.openxmlformats.org/officeDocument/2006/relationships/chart" Target="../charts/chart3.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38" Type="http://schemas.openxmlformats.org/officeDocument/2006/relationships/chart" Target="../charts/chart38.xml"/></Relationships>
</file>

<file path=xl/drawings/_rels/drawing7.xml.rels><?xml version="1.0" encoding="UTF-8" standalone="yes"?>
<Relationships xmlns="http://schemas.openxmlformats.org/package/2006/relationships"><Relationship Id="rId3" Type="http://schemas.openxmlformats.org/officeDocument/2006/relationships/chart" Target="../charts/chart45.xml"/><Relationship Id="rId2" Type="http://schemas.openxmlformats.org/officeDocument/2006/relationships/chart" Target="../charts/chart44.xml"/><Relationship Id="rId1" Type="http://schemas.openxmlformats.org/officeDocument/2006/relationships/chart" Target="../charts/chart43.xml"/><Relationship Id="rId4" Type="http://schemas.openxmlformats.org/officeDocument/2006/relationships/chart" Target="../charts/chart46.xml"/></Relationships>
</file>

<file path=xl/drawings/_rels/drawing8.xml.rels><?xml version="1.0" encoding="UTF-8" standalone="yes"?>
<Relationships xmlns="http://schemas.openxmlformats.org/package/2006/relationships"><Relationship Id="rId3" Type="http://schemas.openxmlformats.org/officeDocument/2006/relationships/chart" Target="../charts/chart49.xml"/><Relationship Id="rId2" Type="http://schemas.openxmlformats.org/officeDocument/2006/relationships/chart" Target="../charts/chart48.xml"/><Relationship Id="rId1" Type="http://schemas.openxmlformats.org/officeDocument/2006/relationships/chart" Target="../charts/chart47.xml"/><Relationship Id="rId4" Type="http://schemas.openxmlformats.org/officeDocument/2006/relationships/chart" Target="../charts/chart50.xml"/></Relationships>
</file>

<file path=xl/drawings/_rels/drawing9.xml.rels><?xml version="1.0" encoding="UTF-8" standalone="yes"?>
<Relationships xmlns="http://schemas.openxmlformats.org/package/2006/relationships"><Relationship Id="rId3" Type="http://schemas.openxmlformats.org/officeDocument/2006/relationships/chart" Target="../charts/chart53.xml"/><Relationship Id="rId2" Type="http://schemas.openxmlformats.org/officeDocument/2006/relationships/chart" Target="../charts/chart52.xml"/><Relationship Id="rId1" Type="http://schemas.openxmlformats.org/officeDocument/2006/relationships/chart" Target="../charts/chart51.xml"/><Relationship Id="rId5" Type="http://schemas.openxmlformats.org/officeDocument/2006/relationships/chart" Target="../charts/chart55.xml"/><Relationship Id="rId4" Type="http://schemas.openxmlformats.org/officeDocument/2006/relationships/chart" Target="../charts/chart54.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57.xml"/><Relationship Id="rId1" Type="http://schemas.openxmlformats.org/officeDocument/2006/relationships/chart" Target="../charts/chart56.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60.xml"/><Relationship Id="rId2" Type="http://schemas.openxmlformats.org/officeDocument/2006/relationships/chart" Target="../charts/chart59.xml"/><Relationship Id="rId1" Type="http://schemas.openxmlformats.org/officeDocument/2006/relationships/chart" Target="../charts/chart58.xml"/><Relationship Id="rId6" Type="http://schemas.openxmlformats.org/officeDocument/2006/relationships/chart" Target="../charts/chart63.xml"/><Relationship Id="rId5" Type="http://schemas.openxmlformats.org/officeDocument/2006/relationships/chart" Target="../charts/chart62.xml"/><Relationship Id="rId4" Type="http://schemas.openxmlformats.org/officeDocument/2006/relationships/chart" Target="../charts/chart61.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64.xml"/></Relationships>
</file>

<file path=xl/drawings/_rels/drawing1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65.xml"/></Relationships>
</file>

<file path=xl/drawings/_rels/drawing20.xml.rels><?xml version="1.0" encoding="UTF-8" standalone="yes"?>
<Relationships xmlns="http://schemas.openxmlformats.org/package/2006/relationships"><Relationship Id="rId8" Type="http://schemas.openxmlformats.org/officeDocument/2006/relationships/chart" Target="../charts/chart73.xml"/><Relationship Id="rId13" Type="http://schemas.openxmlformats.org/officeDocument/2006/relationships/chart" Target="../charts/chart78.xml"/><Relationship Id="rId3" Type="http://schemas.openxmlformats.org/officeDocument/2006/relationships/chart" Target="../charts/chart68.xml"/><Relationship Id="rId7" Type="http://schemas.openxmlformats.org/officeDocument/2006/relationships/chart" Target="../charts/chart72.xml"/><Relationship Id="rId12" Type="http://schemas.openxmlformats.org/officeDocument/2006/relationships/chart" Target="../charts/chart77.xml"/><Relationship Id="rId2" Type="http://schemas.openxmlformats.org/officeDocument/2006/relationships/chart" Target="../charts/chart67.xml"/><Relationship Id="rId16" Type="http://schemas.openxmlformats.org/officeDocument/2006/relationships/chart" Target="../charts/chart81.xml"/><Relationship Id="rId1" Type="http://schemas.openxmlformats.org/officeDocument/2006/relationships/chart" Target="../charts/chart66.xml"/><Relationship Id="rId6" Type="http://schemas.openxmlformats.org/officeDocument/2006/relationships/chart" Target="../charts/chart71.xml"/><Relationship Id="rId11" Type="http://schemas.openxmlformats.org/officeDocument/2006/relationships/chart" Target="../charts/chart76.xml"/><Relationship Id="rId5" Type="http://schemas.openxmlformats.org/officeDocument/2006/relationships/chart" Target="../charts/chart70.xml"/><Relationship Id="rId15" Type="http://schemas.openxmlformats.org/officeDocument/2006/relationships/chart" Target="../charts/chart80.xml"/><Relationship Id="rId10" Type="http://schemas.openxmlformats.org/officeDocument/2006/relationships/chart" Target="../charts/chart75.xml"/><Relationship Id="rId4" Type="http://schemas.openxmlformats.org/officeDocument/2006/relationships/chart" Target="../charts/chart69.xml"/><Relationship Id="rId9" Type="http://schemas.openxmlformats.org/officeDocument/2006/relationships/chart" Target="../charts/chart74.xml"/><Relationship Id="rId14" Type="http://schemas.openxmlformats.org/officeDocument/2006/relationships/chart" Target="../charts/chart79.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31</xdr:col>
          <xdr:colOff>504825</xdr:colOff>
          <xdr:row>25</xdr:row>
          <xdr:rowOff>123825</xdr:rowOff>
        </xdr:from>
        <xdr:to>
          <xdr:col>34</xdr:col>
          <xdr:colOff>428625</xdr:colOff>
          <xdr:row>29</xdr:row>
          <xdr:rowOff>28575</xdr:rowOff>
        </xdr:to>
        <xdr:sp macro="" textlink="">
          <xdr:nvSpPr>
            <xdr:cNvPr id="119809" name="Button 1" hidden="1">
              <a:extLst>
                <a:ext uri="{63B3BB69-23CF-44E3-9099-C40C66FF867C}">
                  <a14:compatExt spid="_x0000_s119809"/>
                </a:ext>
                <a:ext uri="{FF2B5EF4-FFF2-40B4-BE49-F238E27FC236}">
                  <a16:creationId xmlns="" xmlns:a16="http://schemas.microsoft.com/office/drawing/2014/main" id="{00000000-0008-0000-0200-000001D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504825</xdr:colOff>
          <xdr:row>31</xdr:row>
          <xdr:rowOff>38100</xdr:rowOff>
        </xdr:from>
        <xdr:to>
          <xdr:col>34</xdr:col>
          <xdr:colOff>457200</xdr:colOff>
          <xdr:row>35</xdr:row>
          <xdr:rowOff>161925</xdr:rowOff>
        </xdr:to>
        <xdr:sp macro="" textlink="">
          <xdr:nvSpPr>
            <xdr:cNvPr id="119810" name="Button 2" hidden="1">
              <a:extLst>
                <a:ext uri="{63B3BB69-23CF-44E3-9099-C40C66FF867C}">
                  <a14:compatExt spid="_x0000_s119810"/>
                </a:ext>
                <a:ext uri="{FF2B5EF4-FFF2-40B4-BE49-F238E27FC236}">
                  <a16:creationId xmlns="" xmlns:a16="http://schemas.microsoft.com/office/drawing/2014/main" id="{00000000-0008-0000-0200-000002D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Dashboard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114300</xdr:colOff>
          <xdr:row>15</xdr:row>
          <xdr:rowOff>0</xdr:rowOff>
        </xdr:from>
        <xdr:to>
          <xdr:col>12</xdr:col>
          <xdr:colOff>314325</xdr:colOff>
          <xdr:row>17</xdr:row>
          <xdr:rowOff>47625</xdr:rowOff>
        </xdr:to>
        <xdr:sp macro="" textlink="">
          <xdr:nvSpPr>
            <xdr:cNvPr id="236546" name="Button 2" hidden="1">
              <a:extLst>
                <a:ext uri="{63B3BB69-23CF-44E3-9099-C40C66FF867C}">
                  <a14:compatExt spid="_x0000_s236546"/>
                </a:ext>
                <a:ext uri="{FF2B5EF4-FFF2-40B4-BE49-F238E27FC236}">
                  <a16:creationId xmlns="" xmlns:a16="http://schemas.microsoft.com/office/drawing/2014/main" id="{00000000-0008-0000-1400-0000029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Freeze and save reconciled in storage sheet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561975</xdr:colOff>
          <xdr:row>18</xdr:row>
          <xdr:rowOff>76200</xdr:rowOff>
        </xdr:from>
        <xdr:to>
          <xdr:col>25</xdr:col>
          <xdr:colOff>523875</xdr:colOff>
          <xdr:row>22</xdr:row>
          <xdr:rowOff>123825</xdr:rowOff>
        </xdr:to>
        <xdr:sp macro="" textlink="">
          <xdr:nvSpPr>
            <xdr:cNvPr id="118785" name="Button 1" hidden="1">
              <a:extLst>
                <a:ext uri="{63B3BB69-23CF-44E3-9099-C40C66FF867C}">
                  <a14:compatExt spid="_x0000_s118785"/>
                </a:ext>
                <a:ext uri="{FF2B5EF4-FFF2-40B4-BE49-F238E27FC236}">
                  <a16:creationId xmlns="" xmlns:a16="http://schemas.microsoft.com/office/drawing/2014/main" id="{00000000-0008-0000-1500-000001D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542925</xdr:colOff>
          <xdr:row>24</xdr:row>
          <xdr:rowOff>190500</xdr:rowOff>
        </xdr:from>
        <xdr:to>
          <xdr:col>25</xdr:col>
          <xdr:colOff>561975</xdr:colOff>
          <xdr:row>29</xdr:row>
          <xdr:rowOff>28575</xdr:rowOff>
        </xdr:to>
        <xdr:sp macro="" textlink="">
          <xdr:nvSpPr>
            <xdr:cNvPr id="118786" name="Button 2" hidden="1">
              <a:extLst>
                <a:ext uri="{63B3BB69-23CF-44E3-9099-C40C66FF867C}">
                  <a14:compatExt spid="_x0000_s118786"/>
                </a:ext>
                <a:ext uri="{FF2B5EF4-FFF2-40B4-BE49-F238E27FC236}">
                  <a16:creationId xmlns="" xmlns:a16="http://schemas.microsoft.com/office/drawing/2014/main" id="{00000000-0008-0000-1500-000002D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Dashboard</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31</xdr:col>
          <xdr:colOff>495300</xdr:colOff>
          <xdr:row>8</xdr:row>
          <xdr:rowOff>66675</xdr:rowOff>
        </xdr:from>
        <xdr:to>
          <xdr:col>36</xdr:col>
          <xdr:colOff>485775</xdr:colOff>
          <xdr:row>12</xdr:row>
          <xdr:rowOff>28575</xdr:rowOff>
        </xdr:to>
        <xdr:sp macro="" textlink="">
          <xdr:nvSpPr>
            <xdr:cNvPr id="148481" name="Button 1" hidden="1">
              <a:extLst>
                <a:ext uri="{63B3BB69-23CF-44E3-9099-C40C66FF867C}">
                  <a14:compatExt spid="_x0000_s148481"/>
                </a:ext>
                <a:ext uri="{FF2B5EF4-FFF2-40B4-BE49-F238E27FC236}">
                  <a16:creationId xmlns="" xmlns:a16="http://schemas.microsoft.com/office/drawing/2014/main" id="{00000000-0008-0000-1600-0000014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EXPORT(and CLOSE the present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485775</xdr:colOff>
          <xdr:row>13</xdr:row>
          <xdr:rowOff>142875</xdr:rowOff>
        </xdr:from>
        <xdr:to>
          <xdr:col>36</xdr:col>
          <xdr:colOff>485775</xdr:colOff>
          <xdr:row>17</xdr:row>
          <xdr:rowOff>28575</xdr:rowOff>
        </xdr:to>
        <xdr:sp macro="" textlink="">
          <xdr:nvSpPr>
            <xdr:cNvPr id="148482" name="Button 2" hidden="1">
              <a:extLst>
                <a:ext uri="{63B3BB69-23CF-44E3-9099-C40C66FF867C}">
                  <a14:compatExt spid="_x0000_s148482"/>
                </a:ext>
                <a:ext uri="{FF2B5EF4-FFF2-40B4-BE49-F238E27FC236}">
                  <a16:creationId xmlns="" xmlns:a16="http://schemas.microsoft.com/office/drawing/2014/main" id="{00000000-0008-0000-1600-0000024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Dashboard</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24</xdr:col>
          <xdr:colOff>485775</xdr:colOff>
          <xdr:row>11</xdr:row>
          <xdr:rowOff>85725</xdr:rowOff>
        </xdr:from>
        <xdr:to>
          <xdr:col>26</xdr:col>
          <xdr:colOff>457200</xdr:colOff>
          <xdr:row>15</xdr:row>
          <xdr:rowOff>142875</xdr:rowOff>
        </xdr:to>
        <xdr:sp macro="" textlink="">
          <xdr:nvSpPr>
            <xdr:cNvPr id="215041" name="Button 1" hidden="1">
              <a:extLst>
                <a:ext uri="{63B3BB69-23CF-44E3-9099-C40C66FF867C}">
                  <a14:compatExt spid="_x0000_s215041"/>
                </a:ext>
                <a:ext uri="{FF2B5EF4-FFF2-40B4-BE49-F238E27FC236}">
                  <a16:creationId xmlns="" xmlns:a16="http://schemas.microsoft.com/office/drawing/2014/main" id="{00000000-0008-0000-1B00-00000148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1" i="0" u="none" strike="noStrike" baseline="0">
                  <a:solidFill>
                    <a:srgbClr val="000000"/>
                  </a:solidFill>
                  <a:latin typeface="Calibri"/>
                  <a:cs typeface="Calibri"/>
                </a:rPr>
                <a:t>Back to 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523875</xdr:colOff>
          <xdr:row>17</xdr:row>
          <xdr:rowOff>47625</xdr:rowOff>
        </xdr:from>
        <xdr:to>
          <xdr:col>26</xdr:col>
          <xdr:colOff>495300</xdr:colOff>
          <xdr:row>26</xdr:row>
          <xdr:rowOff>66675</xdr:rowOff>
        </xdr:to>
        <xdr:sp macro="" textlink="">
          <xdr:nvSpPr>
            <xdr:cNvPr id="215042" name="Button 2" hidden="1">
              <a:extLst>
                <a:ext uri="{63B3BB69-23CF-44E3-9099-C40C66FF867C}">
                  <a14:compatExt spid="_x0000_s215042"/>
                </a:ext>
                <a:ext uri="{FF2B5EF4-FFF2-40B4-BE49-F238E27FC236}">
                  <a16:creationId xmlns="" xmlns:a16="http://schemas.microsoft.com/office/drawing/2014/main" id="{00000000-0008-0000-1B00-0000024803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2200" b="1" i="0" u="none" strike="noStrike" baseline="0">
                  <a:solidFill>
                    <a:srgbClr val="000000"/>
                  </a:solidFill>
                  <a:latin typeface="Calibri"/>
                  <a:cs typeface="Calibri"/>
                </a:rPr>
                <a:t>Export</a:t>
              </a:r>
            </a:p>
            <a:p>
              <a:pPr algn="ctr" rtl="0">
                <a:defRPr sz="1000"/>
              </a:pPr>
              <a:r>
                <a:rPr lang="en-US" sz="2200" b="1" i="0" u="none" strike="noStrike" baseline="0">
                  <a:solidFill>
                    <a:srgbClr val="000000"/>
                  </a:solidFill>
                  <a:latin typeface="Calibri"/>
                  <a:cs typeface="Calibri"/>
                </a:rPr>
                <a:t>(&amp; close the db)</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17</xdr:col>
      <xdr:colOff>133349</xdr:colOff>
      <xdr:row>0</xdr:row>
      <xdr:rowOff>47625</xdr:rowOff>
    </xdr:from>
    <xdr:to>
      <xdr:col>27</xdr:col>
      <xdr:colOff>395816</xdr:colOff>
      <xdr:row>13</xdr:row>
      <xdr:rowOff>131445</xdr:rowOff>
    </xdr:to>
    <xdr:graphicFrame macro="">
      <xdr:nvGraphicFramePr>
        <xdr:cNvPr id="2" name="Chart 1">
          <a:extLst>
            <a:ext uri="{FF2B5EF4-FFF2-40B4-BE49-F238E27FC236}">
              <a16:creationId xmlns="" xmlns:a16="http://schemas.microsoft.com/office/drawing/2014/main" id="{00000000-0008-0000-1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104773</xdr:colOff>
      <xdr:row>15</xdr:row>
      <xdr:rowOff>23812</xdr:rowOff>
    </xdr:from>
    <xdr:to>
      <xdr:col>27</xdr:col>
      <xdr:colOff>367240</xdr:colOff>
      <xdr:row>28</xdr:row>
      <xdr:rowOff>107632</xdr:rowOff>
    </xdr:to>
    <xdr:graphicFrame macro="">
      <xdr:nvGraphicFramePr>
        <xdr:cNvPr id="3" name="Chart 2">
          <a:extLst>
            <a:ext uri="{FF2B5EF4-FFF2-40B4-BE49-F238E27FC236}">
              <a16:creationId xmlns="" xmlns:a16="http://schemas.microsoft.com/office/drawing/2014/main" id="{00000000-0008-0000-1E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98952</xdr:colOff>
      <xdr:row>28</xdr:row>
      <xdr:rowOff>179387</xdr:rowOff>
    </xdr:from>
    <xdr:to>
      <xdr:col>27</xdr:col>
      <xdr:colOff>361419</xdr:colOff>
      <xdr:row>42</xdr:row>
      <xdr:rowOff>72707</xdr:rowOff>
    </xdr:to>
    <xdr:graphicFrame macro="">
      <xdr:nvGraphicFramePr>
        <xdr:cNvPr id="4" name="Chart 3">
          <a:extLst>
            <a:ext uri="{FF2B5EF4-FFF2-40B4-BE49-F238E27FC236}">
              <a16:creationId xmlns="" xmlns:a16="http://schemas.microsoft.com/office/drawing/2014/main" id="{00000000-0008-0000-1E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170919</xdr:colOff>
      <xdr:row>42</xdr:row>
      <xdr:rowOff>178329</xdr:rowOff>
    </xdr:from>
    <xdr:to>
      <xdr:col>27</xdr:col>
      <xdr:colOff>433386</xdr:colOff>
      <xdr:row>56</xdr:row>
      <xdr:rowOff>71649</xdr:rowOff>
    </xdr:to>
    <xdr:graphicFrame macro="">
      <xdr:nvGraphicFramePr>
        <xdr:cNvPr id="5" name="Chart 4">
          <a:extLst>
            <a:ext uri="{FF2B5EF4-FFF2-40B4-BE49-F238E27FC236}">
              <a16:creationId xmlns="" xmlns:a16="http://schemas.microsoft.com/office/drawing/2014/main" id="{00000000-0008-0000-1E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179386</xdr:colOff>
      <xdr:row>56</xdr:row>
      <xdr:rowOff>162453</xdr:rowOff>
    </xdr:from>
    <xdr:to>
      <xdr:col>27</xdr:col>
      <xdr:colOff>441853</xdr:colOff>
      <xdr:row>70</xdr:row>
      <xdr:rowOff>55773</xdr:rowOff>
    </xdr:to>
    <xdr:graphicFrame macro="">
      <xdr:nvGraphicFramePr>
        <xdr:cNvPr id="6" name="Chart 5">
          <a:extLst>
            <a:ext uri="{FF2B5EF4-FFF2-40B4-BE49-F238E27FC236}">
              <a16:creationId xmlns="" xmlns:a16="http://schemas.microsoft.com/office/drawing/2014/main" id="{00000000-0008-0000-1E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214311</xdr:colOff>
      <xdr:row>70</xdr:row>
      <xdr:rowOff>126470</xdr:rowOff>
    </xdr:from>
    <xdr:to>
      <xdr:col>27</xdr:col>
      <xdr:colOff>476778</xdr:colOff>
      <xdr:row>84</xdr:row>
      <xdr:rowOff>19790</xdr:rowOff>
    </xdr:to>
    <xdr:graphicFrame macro="">
      <xdr:nvGraphicFramePr>
        <xdr:cNvPr id="8" name="Chart 7">
          <a:extLst>
            <a:ext uri="{FF2B5EF4-FFF2-40B4-BE49-F238E27FC236}">
              <a16:creationId xmlns="" xmlns:a16="http://schemas.microsoft.com/office/drawing/2014/main" id="{00000000-0008-0000-1E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17</xdr:col>
      <xdr:colOff>185208</xdr:colOff>
      <xdr:row>84</xdr:row>
      <xdr:rowOff>152400</xdr:rowOff>
    </xdr:from>
    <xdr:to>
      <xdr:col>27</xdr:col>
      <xdr:colOff>447675</xdr:colOff>
      <xdr:row>98</xdr:row>
      <xdr:rowOff>45720</xdr:rowOff>
    </xdr:to>
    <xdr:graphicFrame macro="">
      <xdr:nvGraphicFramePr>
        <xdr:cNvPr id="9" name="Chart 8">
          <a:extLst>
            <a:ext uri="{FF2B5EF4-FFF2-40B4-BE49-F238E27FC236}">
              <a16:creationId xmlns="" xmlns:a16="http://schemas.microsoft.com/office/drawing/2014/main" id="{00000000-0008-0000-1E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121709</xdr:colOff>
      <xdr:row>98</xdr:row>
      <xdr:rowOff>162982</xdr:rowOff>
    </xdr:from>
    <xdr:to>
      <xdr:col>27</xdr:col>
      <xdr:colOff>384176</xdr:colOff>
      <xdr:row>112</xdr:row>
      <xdr:rowOff>56302</xdr:rowOff>
    </xdr:to>
    <xdr:graphicFrame macro="">
      <xdr:nvGraphicFramePr>
        <xdr:cNvPr id="10" name="Chart 9">
          <a:extLst>
            <a:ext uri="{FF2B5EF4-FFF2-40B4-BE49-F238E27FC236}">
              <a16:creationId xmlns="" xmlns:a16="http://schemas.microsoft.com/office/drawing/2014/main" id="{00000000-0008-0000-1E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17</xdr:col>
      <xdr:colOff>164041</xdr:colOff>
      <xdr:row>112</xdr:row>
      <xdr:rowOff>162985</xdr:rowOff>
    </xdr:from>
    <xdr:to>
      <xdr:col>27</xdr:col>
      <xdr:colOff>426508</xdr:colOff>
      <xdr:row>126</xdr:row>
      <xdr:rowOff>56305</xdr:rowOff>
    </xdr:to>
    <xdr:graphicFrame macro="">
      <xdr:nvGraphicFramePr>
        <xdr:cNvPr id="11" name="Chart 10">
          <a:extLst>
            <a:ext uri="{FF2B5EF4-FFF2-40B4-BE49-F238E27FC236}">
              <a16:creationId xmlns="" xmlns:a16="http://schemas.microsoft.com/office/drawing/2014/main" id="{00000000-0008-0000-1E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17</xdr:col>
      <xdr:colOff>111124</xdr:colOff>
      <xdr:row>126</xdr:row>
      <xdr:rowOff>131233</xdr:rowOff>
    </xdr:from>
    <xdr:to>
      <xdr:col>27</xdr:col>
      <xdr:colOff>373591</xdr:colOff>
      <xdr:row>140</xdr:row>
      <xdr:rowOff>24553</xdr:rowOff>
    </xdr:to>
    <xdr:graphicFrame macro="">
      <xdr:nvGraphicFramePr>
        <xdr:cNvPr id="12" name="Chart 11">
          <a:extLst>
            <a:ext uri="{FF2B5EF4-FFF2-40B4-BE49-F238E27FC236}">
              <a16:creationId xmlns="" xmlns:a16="http://schemas.microsoft.com/office/drawing/2014/main" id="{00000000-0008-0000-1E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17</xdr:col>
      <xdr:colOff>89957</xdr:colOff>
      <xdr:row>140</xdr:row>
      <xdr:rowOff>110068</xdr:rowOff>
    </xdr:from>
    <xdr:to>
      <xdr:col>27</xdr:col>
      <xdr:colOff>352424</xdr:colOff>
      <xdr:row>154</xdr:row>
      <xdr:rowOff>3388</xdr:rowOff>
    </xdr:to>
    <xdr:graphicFrame macro="">
      <xdr:nvGraphicFramePr>
        <xdr:cNvPr id="13" name="Chart 12">
          <a:extLst>
            <a:ext uri="{FF2B5EF4-FFF2-40B4-BE49-F238E27FC236}">
              <a16:creationId xmlns="" xmlns:a16="http://schemas.microsoft.com/office/drawing/2014/main" id="{00000000-0008-0000-1E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17</xdr:col>
      <xdr:colOff>79375</xdr:colOff>
      <xdr:row>154</xdr:row>
      <xdr:rowOff>67734</xdr:rowOff>
    </xdr:from>
    <xdr:to>
      <xdr:col>27</xdr:col>
      <xdr:colOff>341842</xdr:colOff>
      <xdr:row>167</xdr:row>
      <xdr:rowOff>151554</xdr:rowOff>
    </xdr:to>
    <xdr:graphicFrame macro="">
      <xdr:nvGraphicFramePr>
        <xdr:cNvPr id="14" name="Chart 13">
          <a:extLst>
            <a:ext uri="{FF2B5EF4-FFF2-40B4-BE49-F238E27FC236}">
              <a16:creationId xmlns="" xmlns:a16="http://schemas.microsoft.com/office/drawing/2014/main" id="{00000000-0008-0000-1E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17</xdr:col>
      <xdr:colOff>100541</xdr:colOff>
      <xdr:row>168</xdr:row>
      <xdr:rowOff>110067</xdr:rowOff>
    </xdr:from>
    <xdr:to>
      <xdr:col>27</xdr:col>
      <xdr:colOff>363008</xdr:colOff>
      <xdr:row>182</xdr:row>
      <xdr:rowOff>3387</xdr:rowOff>
    </xdr:to>
    <xdr:graphicFrame macro="">
      <xdr:nvGraphicFramePr>
        <xdr:cNvPr id="15" name="Chart 14">
          <a:extLst>
            <a:ext uri="{FF2B5EF4-FFF2-40B4-BE49-F238E27FC236}">
              <a16:creationId xmlns="" xmlns:a16="http://schemas.microsoft.com/office/drawing/2014/main" id="{00000000-0008-0000-1E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17</xdr:col>
      <xdr:colOff>306917</xdr:colOff>
      <xdr:row>197</xdr:row>
      <xdr:rowOff>104775</xdr:rowOff>
    </xdr:from>
    <xdr:to>
      <xdr:col>27</xdr:col>
      <xdr:colOff>569384</xdr:colOff>
      <xdr:row>211</xdr:row>
      <xdr:rowOff>8678</xdr:rowOff>
    </xdr:to>
    <xdr:graphicFrame macro="">
      <xdr:nvGraphicFramePr>
        <xdr:cNvPr id="16" name="Chart 15">
          <a:extLst>
            <a:ext uri="{FF2B5EF4-FFF2-40B4-BE49-F238E27FC236}">
              <a16:creationId xmlns="" xmlns:a16="http://schemas.microsoft.com/office/drawing/2014/main" id="{00000000-0008-0000-1E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17</xdr:col>
      <xdr:colOff>269875</xdr:colOff>
      <xdr:row>211</xdr:row>
      <xdr:rowOff>131233</xdr:rowOff>
    </xdr:from>
    <xdr:to>
      <xdr:col>28</xdr:col>
      <xdr:colOff>105833</xdr:colOff>
      <xdr:row>225</xdr:row>
      <xdr:rowOff>24553</xdr:rowOff>
    </xdr:to>
    <xdr:graphicFrame macro="">
      <xdr:nvGraphicFramePr>
        <xdr:cNvPr id="17" name="Chart 16">
          <a:extLst>
            <a:ext uri="{FF2B5EF4-FFF2-40B4-BE49-F238E27FC236}">
              <a16:creationId xmlns="" xmlns:a16="http://schemas.microsoft.com/office/drawing/2014/main" id="{00000000-0008-0000-1E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17</xdr:col>
      <xdr:colOff>174624</xdr:colOff>
      <xdr:row>225</xdr:row>
      <xdr:rowOff>141817</xdr:rowOff>
    </xdr:from>
    <xdr:to>
      <xdr:col>27</xdr:col>
      <xdr:colOff>437091</xdr:colOff>
      <xdr:row>239</xdr:row>
      <xdr:rowOff>35137</xdr:rowOff>
    </xdr:to>
    <xdr:graphicFrame macro="">
      <xdr:nvGraphicFramePr>
        <xdr:cNvPr id="18" name="Chart 17">
          <a:extLst>
            <a:ext uri="{FF2B5EF4-FFF2-40B4-BE49-F238E27FC236}">
              <a16:creationId xmlns="" xmlns:a16="http://schemas.microsoft.com/office/drawing/2014/main" id="{00000000-0008-0000-1E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17</xdr:col>
      <xdr:colOff>206374</xdr:colOff>
      <xdr:row>239</xdr:row>
      <xdr:rowOff>141816</xdr:rowOff>
    </xdr:from>
    <xdr:to>
      <xdr:col>27</xdr:col>
      <xdr:colOff>468841</xdr:colOff>
      <xdr:row>253</xdr:row>
      <xdr:rowOff>35136</xdr:rowOff>
    </xdr:to>
    <xdr:graphicFrame macro="">
      <xdr:nvGraphicFramePr>
        <xdr:cNvPr id="19" name="Chart 18">
          <a:extLst>
            <a:ext uri="{FF2B5EF4-FFF2-40B4-BE49-F238E27FC236}">
              <a16:creationId xmlns="" xmlns:a16="http://schemas.microsoft.com/office/drawing/2014/main" id="{00000000-0008-0000-1E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17</xdr:col>
      <xdr:colOff>365125</xdr:colOff>
      <xdr:row>254</xdr:row>
      <xdr:rowOff>120651</xdr:rowOff>
    </xdr:from>
    <xdr:to>
      <xdr:col>28</xdr:col>
      <xdr:colOff>13758</xdr:colOff>
      <xdr:row>323</xdr:row>
      <xdr:rowOff>13971</xdr:rowOff>
    </xdr:to>
    <xdr:graphicFrame macro="">
      <xdr:nvGraphicFramePr>
        <xdr:cNvPr id="20" name="Chart 19">
          <a:extLst>
            <a:ext uri="{FF2B5EF4-FFF2-40B4-BE49-F238E27FC236}">
              <a16:creationId xmlns="" xmlns:a16="http://schemas.microsoft.com/office/drawing/2014/main" id="{00000000-0008-0000-1E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17</xdr:col>
      <xdr:colOff>407457</xdr:colOff>
      <xdr:row>323</xdr:row>
      <xdr:rowOff>120650</xdr:rowOff>
    </xdr:from>
    <xdr:to>
      <xdr:col>28</xdr:col>
      <xdr:colOff>56090</xdr:colOff>
      <xdr:row>337</xdr:row>
      <xdr:rowOff>13970</xdr:rowOff>
    </xdr:to>
    <xdr:graphicFrame macro="">
      <xdr:nvGraphicFramePr>
        <xdr:cNvPr id="21" name="Chart 20">
          <a:extLst>
            <a:ext uri="{FF2B5EF4-FFF2-40B4-BE49-F238E27FC236}">
              <a16:creationId xmlns="" xmlns:a16="http://schemas.microsoft.com/office/drawing/2014/main" id="{00000000-0008-0000-1E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17</xdr:col>
      <xdr:colOff>439209</xdr:colOff>
      <xdr:row>338</xdr:row>
      <xdr:rowOff>120650</xdr:rowOff>
    </xdr:from>
    <xdr:to>
      <xdr:col>28</xdr:col>
      <xdr:colOff>87842</xdr:colOff>
      <xdr:row>352</xdr:row>
      <xdr:rowOff>13970</xdr:rowOff>
    </xdr:to>
    <xdr:graphicFrame macro="">
      <xdr:nvGraphicFramePr>
        <xdr:cNvPr id="22" name="Chart 21">
          <a:extLst>
            <a:ext uri="{FF2B5EF4-FFF2-40B4-BE49-F238E27FC236}">
              <a16:creationId xmlns="" xmlns:a16="http://schemas.microsoft.com/office/drawing/2014/main" id="{00000000-0008-0000-1E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17</xdr:col>
      <xdr:colOff>492125</xdr:colOff>
      <xdr:row>352</xdr:row>
      <xdr:rowOff>141817</xdr:rowOff>
    </xdr:from>
    <xdr:to>
      <xdr:col>28</xdr:col>
      <xdr:colOff>140758</xdr:colOff>
      <xdr:row>366</xdr:row>
      <xdr:rowOff>35137</xdr:rowOff>
    </xdr:to>
    <xdr:graphicFrame macro="">
      <xdr:nvGraphicFramePr>
        <xdr:cNvPr id="23" name="Chart 22">
          <a:extLst>
            <a:ext uri="{FF2B5EF4-FFF2-40B4-BE49-F238E27FC236}">
              <a16:creationId xmlns="" xmlns:a16="http://schemas.microsoft.com/office/drawing/2014/main" id="{00000000-0008-0000-1E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17</xdr:col>
      <xdr:colOff>513290</xdr:colOff>
      <xdr:row>367</xdr:row>
      <xdr:rowOff>4235</xdr:rowOff>
    </xdr:from>
    <xdr:to>
      <xdr:col>28</xdr:col>
      <xdr:colOff>161923</xdr:colOff>
      <xdr:row>380</xdr:row>
      <xdr:rowOff>88055</xdr:rowOff>
    </xdr:to>
    <xdr:graphicFrame macro="">
      <xdr:nvGraphicFramePr>
        <xdr:cNvPr id="24" name="Chart 23">
          <a:extLst>
            <a:ext uri="{FF2B5EF4-FFF2-40B4-BE49-F238E27FC236}">
              <a16:creationId xmlns="" xmlns:a16="http://schemas.microsoft.com/office/drawing/2014/main" id="{00000000-0008-0000-1E00-00001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17</xdr:col>
      <xdr:colOff>502707</xdr:colOff>
      <xdr:row>380</xdr:row>
      <xdr:rowOff>162984</xdr:rowOff>
    </xdr:from>
    <xdr:to>
      <xdr:col>28</xdr:col>
      <xdr:colOff>151340</xdr:colOff>
      <xdr:row>394</xdr:row>
      <xdr:rowOff>56304</xdr:rowOff>
    </xdr:to>
    <xdr:graphicFrame macro="">
      <xdr:nvGraphicFramePr>
        <xdr:cNvPr id="25" name="Chart 24">
          <a:extLst>
            <a:ext uri="{FF2B5EF4-FFF2-40B4-BE49-F238E27FC236}">
              <a16:creationId xmlns="" xmlns:a16="http://schemas.microsoft.com/office/drawing/2014/main" id="{00000000-0008-0000-1E00-00001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17</xdr:col>
      <xdr:colOff>513292</xdr:colOff>
      <xdr:row>394</xdr:row>
      <xdr:rowOff>141817</xdr:rowOff>
    </xdr:from>
    <xdr:to>
      <xdr:col>28</xdr:col>
      <xdr:colOff>161925</xdr:colOff>
      <xdr:row>408</xdr:row>
      <xdr:rowOff>35137</xdr:rowOff>
    </xdr:to>
    <xdr:graphicFrame macro="">
      <xdr:nvGraphicFramePr>
        <xdr:cNvPr id="26" name="Chart 25">
          <a:extLst>
            <a:ext uri="{FF2B5EF4-FFF2-40B4-BE49-F238E27FC236}">
              <a16:creationId xmlns="" xmlns:a16="http://schemas.microsoft.com/office/drawing/2014/main" id="{00000000-0008-0000-1E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17</xdr:col>
      <xdr:colOff>566209</xdr:colOff>
      <xdr:row>408</xdr:row>
      <xdr:rowOff>141816</xdr:rowOff>
    </xdr:from>
    <xdr:to>
      <xdr:col>28</xdr:col>
      <xdr:colOff>214842</xdr:colOff>
      <xdr:row>422</xdr:row>
      <xdr:rowOff>35136</xdr:rowOff>
    </xdr:to>
    <xdr:graphicFrame macro="">
      <xdr:nvGraphicFramePr>
        <xdr:cNvPr id="27" name="Chart 26">
          <a:extLst>
            <a:ext uri="{FF2B5EF4-FFF2-40B4-BE49-F238E27FC236}">
              <a16:creationId xmlns="" xmlns:a16="http://schemas.microsoft.com/office/drawing/2014/main" id="{00000000-0008-0000-1E00-00001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17</xdr:col>
      <xdr:colOff>523875</xdr:colOff>
      <xdr:row>422</xdr:row>
      <xdr:rowOff>141817</xdr:rowOff>
    </xdr:from>
    <xdr:to>
      <xdr:col>28</xdr:col>
      <xdr:colOff>172508</xdr:colOff>
      <xdr:row>436</xdr:row>
      <xdr:rowOff>35137</xdr:rowOff>
    </xdr:to>
    <xdr:graphicFrame macro="">
      <xdr:nvGraphicFramePr>
        <xdr:cNvPr id="28" name="Chart 27">
          <a:extLst>
            <a:ext uri="{FF2B5EF4-FFF2-40B4-BE49-F238E27FC236}">
              <a16:creationId xmlns="" xmlns:a16="http://schemas.microsoft.com/office/drawing/2014/main" id="{00000000-0008-0000-1E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17</xdr:col>
      <xdr:colOff>534459</xdr:colOff>
      <xdr:row>436</xdr:row>
      <xdr:rowOff>141817</xdr:rowOff>
    </xdr:from>
    <xdr:to>
      <xdr:col>28</xdr:col>
      <xdr:colOff>183092</xdr:colOff>
      <xdr:row>450</xdr:row>
      <xdr:rowOff>35137</xdr:rowOff>
    </xdr:to>
    <xdr:graphicFrame macro="">
      <xdr:nvGraphicFramePr>
        <xdr:cNvPr id="29" name="Chart 28">
          <a:extLst>
            <a:ext uri="{FF2B5EF4-FFF2-40B4-BE49-F238E27FC236}">
              <a16:creationId xmlns="" xmlns:a16="http://schemas.microsoft.com/office/drawing/2014/main" id="{00000000-0008-0000-1E00-00001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17</xdr:col>
      <xdr:colOff>534458</xdr:colOff>
      <xdr:row>450</xdr:row>
      <xdr:rowOff>120650</xdr:rowOff>
    </xdr:from>
    <xdr:to>
      <xdr:col>28</xdr:col>
      <xdr:colOff>183091</xdr:colOff>
      <xdr:row>464</xdr:row>
      <xdr:rowOff>13970</xdr:rowOff>
    </xdr:to>
    <xdr:graphicFrame macro="">
      <xdr:nvGraphicFramePr>
        <xdr:cNvPr id="30" name="Chart 29">
          <a:extLst>
            <a:ext uri="{FF2B5EF4-FFF2-40B4-BE49-F238E27FC236}">
              <a16:creationId xmlns="" xmlns:a16="http://schemas.microsoft.com/office/drawing/2014/main" id="{00000000-0008-0000-1E00-00001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17</xdr:col>
      <xdr:colOff>545041</xdr:colOff>
      <xdr:row>464</xdr:row>
      <xdr:rowOff>99482</xdr:rowOff>
    </xdr:from>
    <xdr:to>
      <xdr:col>28</xdr:col>
      <xdr:colOff>193674</xdr:colOff>
      <xdr:row>477</xdr:row>
      <xdr:rowOff>183302</xdr:rowOff>
    </xdr:to>
    <xdr:graphicFrame macro="">
      <xdr:nvGraphicFramePr>
        <xdr:cNvPr id="31" name="Chart 30">
          <a:extLst>
            <a:ext uri="{FF2B5EF4-FFF2-40B4-BE49-F238E27FC236}">
              <a16:creationId xmlns="" xmlns:a16="http://schemas.microsoft.com/office/drawing/2014/main" id="{00000000-0008-0000-1E00-00001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17</xdr:col>
      <xdr:colOff>608542</xdr:colOff>
      <xdr:row>478</xdr:row>
      <xdr:rowOff>110068</xdr:rowOff>
    </xdr:from>
    <xdr:to>
      <xdr:col>28</xdr:col>
      <xdr:colOff>257175</xdr:colOff>
      <xdr:row>492</xdr:row>
      <xdr:rowOff>3388</xdr:rowOff>
    </xdr:to>
    <xdr:graphicFrame macro="">
      <xdr:nvGraphicFramePr>
        <xdr:cNvPr id="32" name="Chart 31">
          <a:extLst>
            <a:ext uri="{FF2B5EF4-FFF2-40B4-BE49-F238E27FC236}">
              <a16:creationId xmlns="" xmlns:a16="http://schemas.microsoft.com/office/drawing/2014/main" id="{00000000-0008-0000-1E00-00002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18</xdr:col>
      <xdr:colOff>26459</xdr:colOff>
      <xdr:row>492</xdr:row>
      <xdr:rowOff>141817</xdr:rowOff>
    </xdr:from>
    <xdr:to>
      <xdr:col>28</xdr:col>
      <xdr:colOff>288925</xdr:colOff>
      <xdr:row>506</xdr:row>
      <xdr:rowOff>35137</xdr:rowOff>
    </xdr:to>
    <xdr:graphicFrame macro="">
      <xdr:nvGraphicFramePr>
        <xdr:cNvPr id="33" name="Chart 32">
          <a:extLst>
            <a:ext uri="{FF2B5EF4-FFF2-40B4-BE49-F238E27FC236}">
              <a16:creationId xmlns="" xmlns:a16="http://schemas.microsoft.com/office/drawing/2014/main" id="{00000000-0008-0000-1E00-00002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18</xdr:col>
      <xdr:colOff>15876</xdr:colOff>
      <xdr:row>506</xdr:row>
      <xdr:rowOff>152400</xdr:rowOff>
    </xdr:from>
    <xdr:to>
      <xdr:col>28</xdr:col>
      <xdr:colOff>278342</xdr:colOff>
      <xdr:row>520</xdr:row>
      <xdr:rowOff>45720</xdr:rowOff>
    </xdr:to>
    <xdr:graphicFrame macro="">
      <xdr:nvGraphicFramePr>
        <xdr:cNvPr id="34" name="Chart 33">
          <a:extLst>
            <a:ext uri="{FF2B5EF4-FFF2-40B4-BE49-F238E27FC236}">
              <a16:creationId xmlns="" xmlns:a16="http://schemas.microsoft.com/office/drawing/2014/main" id="{00000000-0008-0000-1E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18</xdr:col>
      <xdr:colOff>5292</xdr:colOff>
      <xdr:row>521</xdr:row>
      <xdr:rowOff>141818</xdr:rowOff>
    </xdr:from>
    <xdr:to>
      <xdr:col>28</xdr:col>
      <xdr:colOff>267758</xdr:colOff>
      <xdr:row>541</xdr:row>
      <xdr:rowOff>35138</xdr:rowOff>
    </xdr:to>
    <xdr:graphicFrame macro="">
      <xdr:nvGraphicFramePr>
        <xdr:cNvPr id="35" name="Chart 34">
          <a:extLst>
            <a:ext uri="{FF2B5EF4-FFF2-40B4-BE49-F238E27FC236}">
              <a16:creationId xmlns="" xmlns:a16="http://schemas.microsoft.com/office/drawing/2014/main" id="{00000000-0008-0000-1E00-00002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18</xdr:col>
      <xdr:colOff>5291</xdr:colOff>
      <xdr:row>542</xdr:row>
      <xdr:rowOff>141816</xdr:rowOff>
    </xdr:from>
    <xdr:to>
      <xdr:col>28</xdr:col>
      <xdr:colOff>267757</xdr:colOff>
      <xdr:row>556</xdr:row>
      <xdr:rowOff>35136</xdr:rowOff>
    </xdr:to>
    <xdr:graphicFrame macro="">
      <xdr:nvGraphicFramePr>
        <xdr:cNvPr id="36" name="Chart 35">
          <a:extLst>
            <a:ext uri="{FF2B5EF4-FFF2-40B4-BE49-F238E27FC236}">
              <a16:creationId xmlns="" xmlns:a16="http://schemas.microsoft.com/office/drawing/2014/main" id="{00000000-0008-0000-1E00-00002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18</xdr:col>
      <xdr:colOff>68792</xdr:colOff>
      <xdr:row>556</xdr:row>
      <xdr:rowOff>152400</xdr:rowOff>
    </xdr:from>
    <xdr:to>
      <xdr:col>28</xdr:col>
      <xdr:colOff>331258</xdr:colOff>
      <xdr:row>570</xdr:row>
      <xdr:rowOff>45720</xdr:rowOff>
    </xdr:to>
    <xdr:graphicFrame macro="">
      <xdr:nvGraphicFramePr>
        <xdr:cNvPr id="37" name="Chart 36">
          <a:extLst>
            <a:ext uri="{FF2B5EF4-FFF2-40B4-BE49-F238E27FC236}">
              <a16:creationId xmlns="" xmlns:a16="http://schemas.microsoft.com/office/drawing/2014/main" id="{00000000-0008-0000-1E00-00002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18</xdr:col>
      <xdr:colOff>68790</xdr:colOff>
      <xdr:row>570</xdr:row>
      <xdr:rowOff>152400</xdr:rowOff>
    </xdr:from>
    <xdr:to>
      <xdr:col>28</xdr:col>
      <xdr:colOff>331256</xdr:colOff>
      <xdr:row>584</xdr:row>
      <xdr:rowOff>45720</xdr:rowOff>
    </xdr:to>
    <xdr:graphicFrame macro="">
      <xdr:nvGraphicFramePr>
        <xdr:cNvPr id="38" name="Chart 37">
          <a:extLst>
            <a:ext uri="{FF2B5EF4-FFF2-40B4-BE49-F238E27FC236}">
              <a16:creationId xmlns="" xmlns:a16="http://schemas.microsoft.com/office/drawing/2014/main" id="{00000000-0008-0000-1E00-00002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18</xdr:col>
      <xdr:colOff>5292</xdr:colOff>
      <xdr:row>585</xdr:row>
      <xdr:rowOff>141817</xdr:rowOff>
    </xdr:from>
    <xdr:to>
      <xdr:col>28</xdr:col>
      <xdr:colOff>267758</xdr:colOff>
      <xdr:row>654</xdr:row>
      <xdr:rowOff>35137</xdr:rowOff>
    </xdr:to>
    <xdr:graphicFrame macro="">
      <xdr:nvGraphicFramePr>
        <xdr:cNvPr id="39" name="Chart 38">
          <a:extLst>
            <a:ext uri="{FF2B5EF4-FFF2-40B4-BE49-F238E27FC236}">
              <a16:creationId xmlns="" xmlns:a16="http://schemas.microsoft.com/office/drawing/2014/main" id="{00000000-0008-0000-1E00-00002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18</xdr:col>
      <xdr:colOff>15875</xdr:colOff>
      <xdr:row>655</xdr:row>
      <xdr:rowOff>4234</xdr:rowOff>
    </xdr:from>
    <xdr:to>
      <xdr:col>28</xdr:col>
      <xdr:colOff>278341</xdr:colOff>
      <xdr:row>668</xdr:row>
      <xdr:rowOff>88054</xdr:rowOff>
    </xdr:to>
    <xdr:graphicFrame macro="">
      <xdr:nvGraphicFramePr>
        <xdr:cNvPr id="40" name="Chart 39">
          <a:extLst>
            <a:ext uri="{FF2B5EF4-FFF2-40B4-BE49-F238E27FC236}">
              <a16:creationId xmlns="" xmlns:a16="http://schemas.microsoft.com/office/drawing/2014/main" id="{00000000-0008-0000-1E00-00002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17</xdr:col>
      <xdr:colOff>603250</xdr:colOff>
      <xdr:row>670</xdr:row>
      <xdr:rowOff>14817</xdr:rowOff>
    </xdr:from>
    <xdr:to>
      <xdr:col>29</xdr:col>
      <xdr:colOff>63500</xdr:colOff>
      <xdr:row>684</xdr:row>
      <xdr:rowOff>91017</xdr:rowOff>
    </xdr:to>
    <xdr:graphicFrame macro="">
      <xdr:nvGraphicFramePr>
        <xdr:cNvPr id="7" name="Chart 6">
          <a:extLst>
            <a:ext uri="{FF2B5EF4-FFF2-40B4-BE49-F238E27FC236}">
              <a16:creationId xmlns="" xmlns:a16="http://schemas.microsoft.com/office/drawing/2014/main" id="{00000000-0008-0000-1E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18</xdr:col>
      <xdr:colOff>0</xdr:colOff>
      <xdr:row>684</xdr:row>
      <xdr:rowOff>120650</xdr:rowOff>
    </xdr:from>
    <xdr:to>
      <xdr:col>29</xdr:col>
      <xdr:colOff>84666</xdr:colOff>
      <xdr:row>699</xdr:row>
      <xdr:rowOff>6350</xdr:rowOff>
    </xdr:to>
    <xdr:graphicFrame macro="">
      <xdr:nvGraphicFramePr>
        <xdr:cNvPr id="41" name="Chart 40">
          <a:extLst>
            <a:ext uri="{FF2B5EF4-FFF2-40B4-BE49-F238E27FC236}">
              <a16:creationId xmlns="" xmlns:a16="http://schemas.microsoft.com/office/drawing/2014/main" id="{00000000-0008-0000-1E00-00002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17</xdr:col>
      <xdr:colOff>603249</xdr:colOff>
      <xdr:row>699</xdr:row>
      <xdr:rowOff>152400</xdr:rowOff>
    </xdr:from>
    <xdr:to>
      <xdr:col>29</xdr:col>
      <xdr:colOff>137583</xdr:colOff>
      <xdr:row>714</xdr:row>
      <xdr:rowOff>38100</xdr:rowOff>
    </xdr:to>
    <xdr:graphicFrame macro="">
      <xdr:nvGraphicFramePr>
        <xdr:cNvPr id="42" name="Chart 41">
          <a:extLst>
            <a:ext uri="{FF2B5EF4-FFF2-40B4-BE49-F238E27FC236}">
              <a16:creationId xmlns="" xmlns:a16="http://schemas.microsoft.com/office/drawing/2014/main" id="{00000000-0008-0000-1E00-00002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17</xdr:col>
      <xdr:colOff>571499</xdr:colOff>
      <xdr:row>715</xdr:row>
      <xdr:rowOff>46567</xdr:rowOff>
    </xdr:from>
    <xdr:to>
      <xdr:col>29</xdr:col>
      <xdr:colOff>169333</xdr:colOff>
      <xdr:row>729</xdr:row>
      <xdr:rowOff>122767</xdr:rowOff>
    </xdr:to>
    <xdr:graphicFrame macro="">
      <xdr:nvGraphicFramePr>
        <xdr:cNvPr id="43" name="Chart 42">
          <a:extLst>
            <a:ext uri="{FF2B5EF4-FFF2-40B4-BE49-F238E27FC236}">
              <a16:creationId xmlns="" xmlns:a16="http://schemas.microsoft.com/office/drawing/2014/main" id="{00000000-0008-0000-1E00-00002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xdr:col>
      <xdr:colOff>0</xdr:colOff>
      <xdr:row>6</xdr:row>
      <xdr:rowOff>0</xdr:rowOff>
    </xdr:from>
    <xdr:to>
      <xdr:col>12</xdr:col>
      <xdr:colOff>120650</xdr:colOff>
      <xdr:row>20</xdr:row>
      <xdr:rowOff>76200</xdr:rowOff>
    </xdr:to>
    <xdr:graphicFrame macro="">
      <xdr:nvGraphicFramePr>
        <xdr:cNvPr id="2" name="Chart 1">
          <a:extLst>
            <a:ext uri="{FF2B5EF4-FFF2-40B4-BE49-F238E27FC236}">
              <a16:creationId xmlns=""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0</xdr:colOff>
      <xdr:row>6</xdr:row>
      <xdr:rowOff>0</xdr:rowOff>
    </xdr:from>
    <xdr:to>
      <xdr:col>24</xdr:col>
      <xdr:colOff>131233</xdr:colOff>
      <xdr:row>20</xdr:row>
      <xdr:rowOff>76200</xdr:rowOff>
    </xdr:to>
    <xdr:graphicFrame macro="">
      <xdr:nvGraphicFramePr>
        <xdr:cNvPr id="3" name="Chart 2">
          <a:extLst>
            <a:ext uri="{FF2B5EF4-FFF2-40B4-BE49-F238E27FC236}">
              <a16:creationId xmlns=""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571500</xdr:colOff>
      <xdr:row>22</xdr:row>
      <xdr:rowOff>142875</xdr:rowOff>
    </xdr:from>
    <xdr:to>
      <xdr:col>12</xdr:col>
      <xdr:colOff>156634</xdr:colOff>
      <xdr:row>37</xdr:row>
      <xdr:rowOff>28575</xdr:rowOff>
    </xdr:to>
    <xdr:graphicFrame macro="">
      <xdr:nvGraphicFramePr>
        <xdr:cNvPr id="4" name="Chart 3">
          <a:extLst>
            <a:ext uri="{FF2B5EF4-FFF2-40B4-BE49-F238E27FC236}">
              <a16:creationId xmlns=""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590550</xdr:colOff>
      <xdr:row>22</xdr:row>
      <xdr:rowOff>142875</xdr:rowOff>
    </xdr:from>
    <xdr:to>
      <xdr:col>24</xdr:col>
      <xdr:colOff>239184</xdr:colOff>
      <xdr:row>37</xdr:row>
      <xdr:rowOff>28575</xdr:rowOff>
    </xdr:to>
    <xdr:graphicFrame macro="">
      <xdr:nvGraphicFramePr>
        <xdr:cNvPr id="5" name="Chart 4">
          <a:extLst>
            <a:ext uri="{FF2B5EF4-FFF2-40B4-BE49-F238E27FC236}">
              <a16:creationId xmlns=""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5</xdr:col>
          <xdr:colOff>409575</xdr:colOff>
          <xdr:row>3</xdr:row>
          <xdr:rowOff>28575</xdr:rowOff>
        </xdr:from>
        <xdr:to>
          <xdr:col>8</xdr:col>
          <xdr:colOff>238125</xdr:colOff>
          <xdr:row>5</xdr:row>
          <xdr:rowOff>47625</xdr:rowOff>
        </xdr:to>
        <xdr:sp macro="" textlink="">
          <xdr:nvSpPr>
            <xdr:cNvPr id="36866" name="Button 2" hidden="1">
              <a:extLst>
                <a:ext uri="{63B3BB69-23CF-44E3-9099-C40C66FF867C}">
                  <a14:compatExt spid="_x0000_s36866"/>
                </a:ext>
                <a:ext uri="{FF2B5EF4-FFF2-40B4-BE49-F238E27FC236}">
                  <a16:creationId xmlns="" xmlns:a16="http://schemas.microsoft.com/office/drawing/2014/main" id="{00000000-0008-0000-1F00-0000029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409575</xdr:colOff>
          <xdr:row>3</xdr:row>
          <xdr:rowOff>28575</xdr:rowOff>
        </xdr:from>
        <xdr:to>
          <xdr:col>5</xdr:col>
          <xdr:colOff>238125</xdr:colOff>
          <xdr:row>5</xdr:row>
          <xdr:rowOff>38100</xdr:rowOff>
        </xdr:to>
        <xdr:sp macro="" textlink="">
          <xdr:nvSpPr>
            <xdr:cNvPr id="36867" name="Button 3" hidden="1">
              <a:extLst>
                <a:ext uri="{63B3BB69-23CF-44E3-9099-C40C66FF867C}">
                  <a14:compatExt spid="_x0000_s36867"/>
                </a:ext>
                <a:ext uri="{FF2B5EF4-FFF2-40B4-BE49-F238E27FC236}">
                  <a16:creationId xmlns="" xmlns:a16="http://schemas.microsoft.com/office/drawing/2014/main" id="{00000000-0008-0000-1F00-0000039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Calibri"/>
                  <a:cs typeface="Calibri"/>
                </a:rPr>
                <a:t>Back to Dashboard</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1</xdr:col>
      <xdr:colOff>0</xdr:colOff>
      <xdr:row>5</xdr:row>
      <xdr:rowOff>0</xdr:rowOff>
    </xdr:from>
    <xdr:to>
      <xdr:col>11</xdr:col>
      <xdr:colOff>304800</xdr:colOff>
      <xdr:row>18</xdr:row>
      <xdr:rowOff>83820</xdr:rowOff>
    </xdr:to>
    <xdr:graphicFrame macro="">
      <xdr:nvGraphicFramePr>
        <xdr:cNvPr id="2" name="Chart 1">
          <a:extLst>
            <a:ext uri="{FF2B5EF4-FFF2-40B4-BE49-F238E27FC236}">
              <a16:creationId xmlns="" xmlns:a16="http://schemas.microsoft.com/office/drawing/2014/main" id="{00000000-0008-0000-2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5</xdr:row>
      <xdr:rowOff>0</xdr:rowOff>
    </xdr:from>
    <xdr:to>
      <xdr:col>22</xdr:col>
      <xdr:colOff>304800</xdr:colOff>
      <xdr:row>18</xdr:row>
      <xdr:rowOff>83820</xdr:rowOff>
    </xdr:to>
    <xdr:graphicFrame macro="">
      <xdr:nvGraphicFramePr>
        <xdr:cNvPr id="3" name="Chart 2">
          <a:extLst>
            <a:ext uri="{FF2B5EF4-FFF2-40B4-BE49-F238E27FC236}">
              <a16:creationId xmlns="" xmlns:a16="http://schemas.microsoft.com/office/drawing/2014/main" id="{00000000-0008-0000-2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21</xdr:row>
      <xdr:rowOff>0</xdr:rowOff>
    </xdr:from>
    <xdr:to>
      <xdr:col>11</xdr:col>
      <xdr:colOff>304800</xdr:colOff>
      <xdr:row>34</xdr:row>
      <xdr:rowOff>83820</xdr:rowOff>
    </xdr:to>
    <xdr:graphicFrame macro="">
      <xdr:nvGraphicFramePr>
        <xdr:cNvPr id="4" name="Chart 3">
          <a:extLst>
            <a:ext uri="{FF2B5EF4-FFF2-40B4-BE49-F238E27FC236}">
              <a16:creationId xmlns="" xmlns:a16="http://schemas.microsoft.com/office/drawing/2014/main" id="{00000000-0008-0000-2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0</xdr:colOff>
      <xdr:row>21</xdr:row>
      <xdr:rowOff>0</xdr:rowOff>
    </xdr:from>
    <xdr:to>
      <xdr:col>22</xdr:col>
      <xdr:colOff>304800</xdr:colOff>
      <xdr:row>34</xdr:row>
      <xdr:rowOff>83820</xdr:rowOff>
    </xdr:to>
    <xdr:graphicFrame macro="">
      <xdr:nvGraphicFramePr>
        <xdr:cNvPr id="5" name="Chart 4">
          <a:extLst>
            <a:ext uri="{FF2B5EF4-FFF2-40B4-BE49-F238E27FC236}">
              <a16:creationId xmlns="" xmlns:a16="http://schemas.microsoft.com/office/drawing/2014/main" id="{00000000-0008-0000-2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11</xdr:col>
          <xdr:colOff>495300</xdr:colOff>
          <xdr:row>35</xdr:row>
          <xdr:rowOff>47625</xdr:rowOff>
        </xdr:from>
        <xdr:to>
          <xdr:col>14</xdr:col>
          <xdr:colOff>142875</xdr:colOff>
          <xdr:row>37</xdr:row>
          <xdr:rowOff>180975</xdr:rowOff>
        </xdr:to>
        <xdr:sp macro="" textlink="">
          <xdr:nvSpPr>
            <xdr:cNvPr id="2050" name="Button 2" hidden="1">
              <a:extLst>
                <a:ext uri="{63B3BB69-23CF-44E3-9099-C40C66FF867C}">
                  <a14:compatExt spid="_x0000_s2050"/>
                </a:ext>
                <a:ext uri="{FF2B5EF4-FFF2-40B4-BE49-F238E27FC236}">
                  <a16:creationId xmlns="" xmlns:a16="http://schemas.microsoft.com/office/drawing/2014/main" id="{00000000-0008-0000-2000-000002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466725</xdr:colOff>
          <xdr:row>35</xdr:row>
          <xdr:rowOff>66675</xdr:rowOff>
        </xdr:from>
        <xdr:to>
          <xdr:col>11</xdr:col>
          <xdr:colOff>276225</xdr:colOff>
          <xdr:row>37</xdr:row>
          <xdr:rowOff>180975</xdr:rowOff>
        </xdr:to>
        <xdr:sp macro="" textlink="">
          <xdr:nvSpPr>
            <xdr:cNvPr id="2051" name="Button 3" hidden="1">
              <a:extLst>
                <a:ext uri="{63B3BB69-23CF-44E3-9099-C40C66FF867C}">
                  <a14:compatExt spid="_x0000_s2051"/>
                </a:ext>
                <a:ext uri="{FF2B5EF4-FFF2-40B4-BE49-F238E27FC236}">
                  <a16:creationId xmlns="" xmlns:a16="http://schemas.microsoft.com/office/drawing/2014/main" id="{00000000-0008-0000-2000-000003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Calibri"/>
                  <a:cs typeface="Calibri"/>
                </a:rPr>
                <a:t>Back to Dashboard</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2</xdr:col>
      <xdr:colOff>0</xdr:colOff>
      <xdr:row>3</xdr:row>
      <xdr:rowOff>0</xdr:rowOff>
    </xdr:from>
    <xdr:to>
      <xdr:col>12</xdr:col>
      <xdr:colOff>304800</xdr:colOff>
      <xdr:row>16</xdr:row>
      <xdr:rowOff>83820</xdr:rowOff>
    </xdr:to>
    <xdr:graphicFrame macro="">
      <xdr:nvGraphicFramePr>
        <xdr:cNvPr id="2" name="Chart 1">
          <a:extLst>
            <a:ext uri="{FF2B5EF4-FFF2-40B4-BE49-F238E27FC236}">
              <a16:creationId xmlns="" xmlns:a16="http://schemas.microsoft.com/office/drawing/2014/main" id="{00000000-0008-0000-2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0</xdr:colOff>
      <xdr:row>3</xdr:row>
      <xdr:rowOff>0</xdr:rowOff>
    </xdr:from>
    <xdr:to>
      <xdr:col>24</xdr:col>
      <xdr:colOff>304800</xdr:colOff>
      <xdr:row>16</xdr:row>
      <xdr:rowOff>83820</xdr:rowOff>
    </xdr:to>
    <xdr:graphicFrame macro="">
      <xdr:nvGraphicFramePr>
        <xdr:cNvPr id="3" name="Chart 2">
          <a:extLst>
            <a:ext uri="{FF2B5EF4-FFF2-40B4-BE49-F238E27FC236}">
              <a16:creationId xmlns="" xmlns:a16="http://schemas.microsoft.com/office/drawing/2014/main" id="{00000000-0008-0000-2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19</xdr:row>
      <xdr:rowOff>0</xdr:rowOff>
    </xdr:from>
    <xdr:to>
      <xdr:col>12</xdr:col>
      <xdr:colOff>304800</xdr:colOff>
      <xdr:row>32</xdr:row>
      <xdr:rowOff>83820</xdr:rowOff>
    </xdr:to>
    <xdr:graphicFrame macro="">
      <xdr:nvGraphicFramePr>
        <xdr:cNvPr id="4" name="Chart 3">
          <a:extLst>
            <a:ext uri="{FF2B5EF4-FFF2-40B4-BE49-F238E27FC236}">
              <a16:creationId xmlns="" xmlns:a16="http://schemas.microsoft.com/office/drawing/2014/main" id="{00000000-0008-0000-2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0</xdr:colOff>
      <xdr:row>19</xdr:row>
      <xdr:rowOff>0</xdr:rowOff>
    </xdr:from>
    <xdr:to>
      <xdr:col>24</xdr:col>
      <xdr:colOff>304800</xdr:colOff>
      <xdr:row>32</xdr:row>
      <xdr:rowOff>83820</xdr:rowOff>
    </xdr:to>
    <xdr:graphicFrame macro="">
      <xdr:nvGraphicFramePr>
        <xdr:cNvPr id="5" name="Chart 4">
          <a:extLst>
            <a:ext uri="{FF2B5EF4-FFF2-40B4-BE49-F238E27FC236}">
              <a16:creationId xmlns="" xmlns:a16="http://schemas.microsoft.com/office/drawing/2014/main" id="{00000000-0008-0000-21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333375</xdr:colOff>
      <xdr:row>34</xdr:row>
      <xdr:rowOff>114300</xdr:rowOff>
    </xdr:from>
    <xdr:to>
      <xdr:col>19</xdr:col>
      <xdr:colOff>28575</xdr:colOff>
      <xdr:row>48</xdr:row>
      <xdr:rowOff>7620</xdr:rowOff>
    </xdr:to>
    <xdr:graphicFrame macro="">
      <xdr:nvGraphicFramePr>
        <xdr:cNvPr id="6" name="Chart 5">
          <a:extLst>
            <a:ext uri="{FF2B5EF4-FFF2-40B4-BE49-F238E27FC236}">
              <a16:creationId xmlns="" xmlns:a16="http://schemas.microsoft.com/office/drawing/2014/main" id="{00000000-0008-0000-2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xdr:from>
          <xdr:col>2</xdr:col>
          <xdr:colOff>542925</xdr:colOff>
          <xdr:row>37</xdr:row>
          <xdr:rowOff>180975</xdr:rowOff>
        </xdr:from>
        <xdr:to>
          <xdr:col>5</xdr:col>
          <xdr:colOff>371475</xdr:colOff>
          <xdr:row>40</xdr:row>
          <xdr:rowOff>123825</xdr:rowOff>
        </xdr:to>
        <xdr:sp macro="" textlink="">
          <xdr:nvSpPr>
            <xdr:cNvPr id="3074" name="Button 2" hidden="1">
              <a:extLst>
                <a:ext uri="{63B3BB69-23CF-44E3-9099-C40C66FF867C}">
                  <a14:compatExt spid="_x0000_s3074"/>
                </a:ext>
                <a:ext uri="{FF2B5EF4-FFF2-40B4-BE49-F238E27FC236}">
                  <a16:creationId xmlns="" xmlns:a16="http://schemas.microsoft.com/office/drawing/2014/main" id="{00000000-0008-0000-2100-000002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533400</xdr:colOff>
          <xdr:row>40</xdr:row>
          <xdr:rowOff>142875</xdr:rowOff>
        </xdr:from>
        <xdr:to>
          <xdr:col>5</xdr:col>
          <xdr:colOff>371475</xdr:colOff>
          <xdr:row>44</xdr:row>
          <xdr:rowOff>142875</xdr:rowOff>
        </xdr:to>
        <xdr:sp macro="" textlink="">
          <xdr:nvSpPr>
            <xdr:cNvPr id="3075" name="Button 3" hidden="1">
              <a:extLst>
                <a:ext uri="{63B3BB69-23CF-44E3-9099-C40C66FF867C}">
                  <a14:compatExt spid="_x0000_s3075"/>
                </a:ext>
                <a:ext uri="{FF2B5EF4-FFF2-40B4-BE49-F238E27FC236}">
                  <a16:creationId xmlns="" xmlns:a16="http://schemas.microsoft.com/office/drawing/2014/main" id="{00000000-0008-0000-2100-000003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Calibri"/>
                  <a:cs typeface="Calibri"/>
                </a:rPr>
                <a:t>Back to Dashboard</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3</xdr:col>
      <xdr:colOff>0</xdr:colOff>
      <xdr:row>3</xdr:row>
      <xdr:rowOff>180975</xdr:rowOff>
    </xdr:from>
    <xdr:to>
      <xdr:col>13</xdr:col>
      <xdr:colOff>304800</xdr:colOff>
      <xdr:row>17</xdr:row>
      <xdr:rowOff>74295</xdr:rowOff>
    </xdr:to>
    <xdr:graphicFrame macro="">
      <xdr:nvGraphicFramePr>
        <xdr:cNvPr id="2" name="Chart 1">
          <a:extLst>
            <a:ext uri="{FF2B5EF4-FFF2-40B4-BE49-F238E27FC236}">
              <a16:creationId xmlns="" xmlns:a16="http://schemas.microsoft.com/office/drawing/2014/main" id="{00000000-0008-0000-2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9525</xdr:colOff>
      <xdr:row>18</xdr:row>
      <xdr:rowOff>180975</xdr:rowOff>
    </xdr:from>
    <xdr:to>
      <xdr:col>13</xdr:col>
      <xdr:colOff>314325</xdr:colOff>
      <xdr:row>32</xdr:row>
      <xdr:rowOff>74295</xdr:rowOff>
    </xdr:to>
    <xdr:graphicFrame macro="">
      <xdr:nvGraphicFramePr>
        <xdr:cNvPr id="3" name="Chart 2">
          <a:extLst>
            <a:ext uri="{FF2B5EF4-FFF2-40B4-BE49-F238E27FC236}">
              <a16:creationId xmlns="" xmlns:a16="http://schemas.microsoft.com/office/drawing/2014/main" id="{00000000-0008-0000-2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8</xdr:col>
          <xdr:colOff>266700</xdr:colOff>
          <xdr:row>33</xdr:row>
          <xdr:rowOff>28575</xdr:rowOff>
        </xdr:from>
        <xdr:to>
          <xdr:col>10</xdr:col>
          <xdr:colOff>523875</xdr:colOff>
          <xdr:row>35</xdr:row>
          <xdr:rowOff>152400</xdr:rowOff>
        </xdr:to>
        <xdr:sp macro="" textlink="">
          <xdr:nvSpPr>
            <xdr:cNvPr id="4098" name="Button 2" hidden="1">
              <a:extLst>
                <a:ext uri="{63B3BB69-23CF-44E3-9099-C40C66FF867C}">
                  <a14:compatExt spid="_x0000_s4098"/>
                </a:ext>
                <a:ext uri="{FF2B5EF4-FFF2-40B4-BE49-F238E27FC236}">
                  <a16:creationId xmlns="" xmlns:a16="http://schemas.microsoft.com/office/drawing/2014/main" id="{00000000-0008-0000-2200-000002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428625</xdr:colOff>
          <xdr:row>33</xdr:row>
          <xdr:rowOff>28575</xdr:rowOff>
        </xdr:from>
        <xdr:to>
          <xdr:col>8</xdr:col>
          <xdr:colOff>228600</xdr:colOff>
          <xdr:row>35</xdr:row>
          <xdr:rowOff>152400</xdr:rowOff>
        </xdr:to>
        <xdr:sp macro="" textlink="">
          <xdr:nvSpPr>
            <xdr:cNvPr id="4099" name="Button 3" hidden="1">
              <a:extLst>
                <a:ext uri="{63B3BB69-23CF-44E3-9099-C40C66FF867C}">
                  <a14:compatExt spid="_x0000_s4099"/>
                </a:ext>
                <a:ext uri="{FF2B5EF4-FFF2-40B4-BE49-F238E27FC236}">
                  <a16:creationId xmlns="" xmlns:a16="http://schemas.microsoft.com/office/drawing/2014/main" id="{00000000-0008-0000-2200-000003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Calibri"/>
                  <a:cs typeface="Calibri"/>
                </a:rPr>
                <a:t>Back to Dashboard</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1</xdr:col>
      <xdr:colOff>0</xdr:colOff>
      <xdr:row>3</xdr:row>
      <xdr:rowOff>0</xdr:rowOff>
    </xdr:from>
    <xdr:to>
      <xdr:col>11</xdr:col>
      <xdr:colOff>304800</xdr:colOff>
      <xdr:row>16</xdr:row>
      <xdr:rowOff>83820</xdr:rowOff>
    </xdr:to>
    <xdr:graphicFrame macro="">
      <xdr:nvGraphicFramePr>
        <xdr:cNvPr id="2" name="Chart 1">
          <a:extLst>
            <a:ext uri="{FF2B5EF4-FFF2-40B4-BE49-F238E27FC236}">
              <a16:creationId xmlns="" xmlns:a16="http://schemas.microsoft.com/office/drawing/2014/main" id="{00000000-0008-0000-2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18</xdr:row>
      <xdr:rowOff>0</xdr:rowOff>
    </xdr:from>
    <xdr:to>
      <xdr:col>11</xdr:col>
      <xdr:colOff>304800</xdr:colOff>
      <xdr:row>31</xdr:row>
      <xdr:rowOff>83820</xdr:rowOff>
    </xdr:to>
    <xdr:graphicFrame macro="">
      <xdr:nvGraphicFramePr>
        <xdr:cNvPr id="3" name="Chart 2">
          <a:extLst>
            <a:ext uri="{FF2B5EF4-FFF2-40B4-BE49-F238E27FC236}">
              <a16:creationId xmlns="" xmlns:a16="http://schemas.microsoft.com/office/drawing/2014/main" id="{00000000-0008-0000-2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33</xdr:row>
      <xdr:rowOff>0</xdr:rowOff>
    </xdr:from>
    <xdr:to>
      <xdr:col>11</xdr:col>
      <xdr:colOff>304800</xdr:colOff>
      <xdr:row>46</xdr:row>
      <xdr:rowOff>83820</xdr:rowOff>
    </xdr:to>
    <xdr:graphicFrame macro="">
      <xdr:nvGraphicFramePr>
        <xdr:cNvPr id="4" name="Chart 3">
          <a:extLst>
            <a:ext uri="{FF2B5EF4-FFF2-40B4-BE49-F238E27FC236}">
              <a16:creationId xmlns="" xmlns:a16="http://schemas.microsoft.com/office/drawing/2014/main" id="{00000000-0008-0000-2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0</xdr:colOff>
      <xdr:row>3</xdr:row>
      <xdr:rowOff>0</xdr:rowOff>
    </xdr:from>
    <xdr:to>
      <xdr:col>23</xdr:col>
      <xdr:colOff>304800</xdr:colOff>
      <xdr:row>16</xdr:row>
      <xdr:rowOff>83820</xdr:rowOff>
    </xdr:to>
    <xdr:graphicFrame macro="">
      <xdr:nvGraphicFramePr>
        <xdr:cNvPr id="5" name="Chart 4">
          <a:extLst>
            <a:ext uri="{FF2B5EF4-FFF2-40B4-BE49-F238E27FC236}">
              <a16:creationId xmlns="" xmlns:a16="http://schemas.microsoft.com/office/drawing/2014/main" id="{00000000-0008-0000-2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0</xdr:colOff>
      <xdr:row>18</xdr:row>
      <xdr:rowOff>0</xdr:rowOff>
    </xdr:from>
    <xdr:to>
      <xdr:col>23</xdr:col>
      <xdr:colOff>492125</xdr:colOff>
      <xdr:row>31</xdr:row>
      <xdr:rowOff>83820</xdr:rowOff>
    </xdr:to>
    <xdr:graphicFrame macro="">
      <xdr:nvGraphicFramePr>
        <xdr:cNvPr id="6" name="Chart 5">
          <a:extLst>
            <a:ext uri="{FF2B5EF4-FFF2-40B4-BE49-F238E27FC236}">
              <a16:creationId xmlns="" xmlns:a16="http://schemas.microsoft.com/office/drawing/2014/main" id="{00000000-0008-0000-23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0</xdr:colOff>
      <xdr:row>33</xdr:row>
      <xdr:rowOff>0</xdr:rowOff>
    </xdr:from>
    <xdr:to>
      <xdr:col>23</xdr:col>
      <xdr:colOff>304800</xdr:colOff>
      <xdr:row>46</xdr:row>
      <xdr:rowOff>83820</xdr:rowOff>
    </xdr:to>
    <xdr:graphicFrame macro="">
      <xdr:nvGraphicFramePr>
        <xdr:cNvPr id="7" name="Chart 6">
          <a:extLst>
            <a:ext uri="{FF2B5EF4-FFF2-40B4-BE49-F238E27FC236}">
              <a16:creationId xmlns="" xmlns:a16="http://schemas.microsoft.com/office/drawing/2014/main" id="{00000000-0008-0000-23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xdr:from>
          <xdr:col>3</xdr:col>
          <xdr:colOff>504825</xdr:colOff>
          <xdr:row>0</xdr:row>
          <xdr:rowOff>66675</xdr:rowOff>
        </xdr:from>
        <xdr:to>
          <xdr:col>6</xdr:col>
          <xdr:colOff>333375</xdr:colOff>
          <xdr:row>2</xdr:row>
          <xdr:rowOff>104775</xdr:rowOff>
        </xdr:to>
        <xdr:sp macro="" textlink="">
          <xdr:nvSpPr>
            <xdr:cNvPr id="5122" name="Button 2" hidden="1">
              <a:extLst>
                <a:ext uri="{63B3BB69-23CF-44E3-9099-C40C66FF867C}">
                  <a14:compatExt spid="_x0000_s5122"/>
                </a:ext>
                <a:ext uri="{FF2B5EF4-FFF2-40B4-BE49-F238E27FC236}">
                  <a16:creationId xmlns="" xmlns:a16="http://schemas.microsoft.com/office/drawing/2014/main" id="{00000000-0008-0000-23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466725</xdr:colOff>
          <xdr:row>0</xdr:row>
          <xdr:rowOff>66675</xdr:rowOff>
        </xdr:from>
        <xdr:to>
          <xdr:col>3</xdr:col>
          <xdr:colOff>295275</xdr:colOff>
          <xdr:row>2</xdr:row>
          <xdr:rowOff>114300</xdr:rowOff>
        </xdr:to>
        <xdr:sp macro="" textlink="">
          <xdr:nvSpPr>
            <xdr:cNvPr id="5123" name="Button 3" hidden="1">
              <a:extLst>
                <a:ext uri="{63B3BB69-23CF-44E3-9099-C40C66FF867C}">
                  <a14:compatExt spid="_x0000_s5123"/>
                </a:ext>
                <a:ext uri="{FF2B5EF4-FFF2-40B4-BE49-F238E27FC236}">
                  <a16:creationId xmlns="" xmlns:a16="http://schemas.microsoft.com/office/drawing/2014/main" id="{00000000-0008-0000-2300-00000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Calibri"/>
                  <a:cs typeface="Calibri"/>
                </a:rPr>
                <a:t>Back to Dashboard</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219075</xdr:colOff>
          <xdr:row>51</xdr:row>
          <xdr:rowOff>152400</xdr:rowOff>
        </xdr:from>
        <xdr:to>
          <xdr:col>20</xdr:col>
          <xdr:colOff>161925</xdr:colOff>
          <xdr:row>54</xdr:row>
          <xdr:rowOff>142875</xdr:rowOff>
        </xdr:to>
        <xdr:sp macro="" textlink="">
          <xdr:nvSpPr>
            <xdr:cNvPr id="302081" name="Button 1" hidden="1">
              <a:extLst>
                <a:ext uri="{63B3BB69-23CF-44E3-9099-C40C66FF867C}">
                  <a14:compatExt spid="_x0000_s302081"/>
                </a:ext>
                <a:ext uri="{FF2B5EF4-FFF2-40B4-BE49-F238E27FC236}">
                  <a16:creationId xmlns="" xmlns:a16="http://schemas.microsoft.com/office/drawing/2014/main" id="{00000000-0008-0000-2500-0000019C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Dashboard</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3</xdr:col>
      <xdr:colOff>33338</xdr:colOff>
      <xdr:row>3</xdr:row>
      <xdr:rowOff>28574</xdr:rowOff>
    </xdr:from>
    <xdr:to>
      <xdr:col>13</xdr:col>
      <xdr:colOff>471488</xdr:colOff>
      <xdr:row>21</xdr:row>
      <xdr:rowOff>57149</xdr:rowOff>
    </xdr:to>
    <xdr:graphicFrame macro="">
      <xdr:nvGraphicFramePr>
        <xdr:cNvPr id="2" name="Chart 1">
          <a:extLst>
            <a:ext uri="{FF2B5EF4-FFF2-40B4-BE49-F238E27FC236}">
              <a16:creationId xmlns="" xmlns:a16="http://schemas.microsoft.com/office/drawing/2014/main" id="{00000000-0008-0000-2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20</xdr:col>
          <xdr:colOff>9525</xdr:colOff>
          <xdr:row>15</xdr:row>
          <xdr:rowOff>85725</xdr:rowOff>
        </xdr:from>
        <xdr:to>
          <xdr:col>21</xdr:col>
          <xdr:colOff>790575</xdr:colOff>
          <xdr:row>15</xdr:row>
          <xdr:rowOff>390525</xdr:rowOff>
        </xdr:to>
        <xdr:sp macro="" textlink="">
          <xdr:nvSpPr>
            <xdr:cNvPr id="305156" name="Check Box 4" hidden="1">
              <a:extLst>
                <a:ext uri="{63B3BB69-23CF-44E3-9099-C40C66FF867C}">
                  <a14:compatExt spid="_x0000_s305156"/>
                </a:ext>
                <a:ext uri="{FF2B5EF4-FFF2-40B4-BE49-F238E27FC236}">
                  <a16:creationId xmlns="" xmlns:a16="http://schemas.microsoft.com/office/drawing/2014/main" id="{00000000-0008-0000-2600-000004A804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Same period previous year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18</xdr:col>
          <xdr:colOff>561975</xdr:colOff>
          <xdr:row>18</xdr:row>
          <xdr:rowOff>142875</xdr:rowOff>
        </xdr:from>
        <xdr:to>
          <xdr:col>21</xdr:col>
          <xdr:colOff>428625</xdr:colOff>
          <xdr:row>19</xdr:row>
          <xdr:rowOff>104775</xdr:rowOff>
        </xdr:to>
        <xdr:sp macro="" textlink="">
          <xdr:nvSpPr>
            <xdr:cNvPr id="305157" name="Button 5" hidden="1">
              <a:extLst>
                <a:ext uri="{63B3BB69-23CF-44E3-9099-C40C66FF867C}">
                  <a14:compatExt spid="_x0000_s305157"/>
                </a:ext>
                <a:ext uri="{FF2B5EF4-FFF2-40B4-BE49-F238E27FC236}">
                  <a16:creationId xmlns="" xmlns:a16="http://schemas.microsoft.com/office/drawing/2014/main" id="{00000000-0008-0000-2600-000005A8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38100</xdr:colOff>
          <xdr:row>12</xdr:row>
          <xdr:rowOff>200025</xdr:rowOff>
        </xdr:from>
        <xdr:to>
          <xdr:col>25</xdr:col>
          <xdr:colOff>457200</xdr:colOff>
          <xdr:row>15</xdr:row>
          <xdr:rowOff>142875</xdr:rowOff>
        </xdr:to>
        <xdr:sp macro="" textlink="">
          <xdr:nvSpPr>
            <xdr:cNvPr id="305160" name="Button 8" hidden="1">
              <a:extLst>
                <a:ext uri="{63B3BB69-23CF-44E3-9099-C40C66FF867C}">
                  <a14:compatExt spid="_x0000_s305160"/>
                </a:ext>
                <a:ext uri="{FF2B5EF4-FFF2-40B4-BE49-F238E27FC236}">
                  <a16:creationId xmlns="" xmlns:a16="http://schemas.microsoft.com/office/drawing/2014/main" id="{00000000-0008-0000-2600-000008A8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Set full ongoing FY as Period1</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161925</xdr:colOff>
          <xdr:row>11</xdr:row>
          <xdr:rowOff>104775</xdr:rowOff>
        </xdr:from>
        <xdr:to>
          <xdr:col>19</xdr:col>
          <xdr:colOff>314325</xdr:colOff>
          <xdr:row>14</xdr:row>
          <xdr:rowOff>142875</xdr:rowOff>
        </xdr:to>
        <xdr:sp macro="" textlink="">
          <xdr:nvSpPr>
            <xdr:cNvPr id="318465" name="Button 1" hidden="1">
              <a:extLst>
                <a:ext uri="{63B3BB69-23CF-44E3-9099-C40C66FF867C}">
                  <a14:compatExt spid="_x0000_s318465"/>
                </a:ext>
                <a:ext uri="{FF2B5EF4-FFF2-40B4-BE49-F238E27FC236}">
                  <a16:creationId xmlns="" xmlns:a16="http://schemas.microsoft.com/office/drawing/2014/main" id="{00000000-0008-0000-2700-000001DC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(and CLOSE present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180975</xdr:colOff>
          <xdr:row>17</xdr:row>
          <xdr:rowOff>9525</xdr:rowOff>
        </xdr:from>
        <xdr:to>
          <xdr:col>19</xdr:col>
          <xdr:colOff>295275</xdr:colOff>
          <xdr:row>19</xdr:row>
          <xdr:rowOff>200025</xdr:rowOff>
        </xdr:to>
        <xdr:sp macro="" textlink="">
          <xdr:nvSpPr>
            <xdr:cNvPr id="318466" name="Button 2" hidden="1">
              <a:extLst>
                <a:ext uri="{63B3BB69-23CF-44E3-9099-C40C66FF867C}">
                  <a14:compatExt spid="_x0000_s318466"/>
                </a:ext>
                <a:ext uri="{FF2B5EF4-FFF2-40B4-BE49-F238E27FC236}">
                  <a16:creationId xmlns="" xmlns:a16="http://schemas.microsoft.com/office/drawing/2014/main" id="{00000000-0008-0000-2700-000002DC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Dashoard</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2</xdr:col>
      <xdr:colOff>51329</xdr:colOff>
      <xdr:row>27</xdr:row>
      <xdr:rowOff>57918</xdr:rowOff>
    </xdr:from>
    <xdr:to>
      <xdr:col>12</xdr:col>
      <xdr:colOff>2057151</xdr:colOff>
      <xdr:row>39</xdr:row>
      <xdr:rowOff>27703</xdr:rowOff>
    </xdr:to>
    <xdr:graphicFrame macro="">
      <xdr:nvGraphicFramePr>
        <xdr:cNvPr id="2" name="Chart 1">
          <a:extLst>
            <a:ext uri="{FF2B5EF4-FFF2-40B4-BE49-F238E27FC236}">
              <a16:creationId xmlns="" xmlns:a16="http://schemas.microsoft.com/office/drawing/2014/main" id="{00000000-0008-0000-2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mc:AlternateContent xmlns:mc="http://schemas.openxmlformats.org/markup-compatibility/2006">
    <mc:Choice xmlns:a14="http://schemas.microsoft.com/office/drawing/2010/main" Requires="a14">
      <xdr:twoCellAnchor>
        <xdr:from>
          <xdr:col>17</xdr:col>
          <xdr:colOff>581025</xdr:colOff>
          <xdr:row>10</xdr:row>
          <xdr:rowOff>180975</xdr:rowOff>
        </xdr:from>
        <xdr:to>
          <xdr:col>20</xdr:col>
          <xdr:colOff>495300</xdr:colOff>
          <xdr:row>12</xdr:row>
          <xdr:rowOff>152400</xdr:rowOff>
        </xdr:to>
        <xdr:sp macro="" textlink="">
          <xdr:nvSpPr>
            <xdr:cNvPr id="1025" name="Button 1" hidden="1">
              <a:extLst>
                <a:ext uri="{63B3BB69-23CF-44E3-9099-C40C66FF867C}">
                  <a14:compatExt spid="_x0000_s1025"/>
                </a:ext>
                <a:ext uri="{FF2B5EF4-FFF2-40B4-BE49-F238E27FC236}">
                  <a16:creationId xmlns="" xmlns:a16="http://schemas.microsoft.com/office/drawing/2014/main" id="{00000000-0008-0000-28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cs typeface="Calibri"/>
                </a:rPr>
                <a:t>Full DPR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581025</xdr:colOff>
          <xdr:row>12</xdr:row>
          <xdr:rowOff>161925</xdr:rowOff>
        </xdr:from>
        <xdr:to>
          <xdr:col>20</xdr:col>
          <xdr:colOff>495300</xdr:colOff>
          <xdr:row>15</xdr:row>
          <xdr:rowOff>9525</xdr:rowOff>
        </xdr:to>
        <xdr:sp macro="" textlink="">
          <xdr:nvSpPr>
            <xdr:cNvPr id="1026" name="Button 2" hidden="1">
              <a:extLst>
                <a:ext uri="{63B3BB69-23CF-44E3-9099-C40C66FF867C}">
                  <a14:compatExt spid="_x0000_s1026"/>
                </a:ext>
                <a:ext uri="{FF2B5EF4-FFF2-40B4-BE49-F238E27FC236}">
                  <a16:creationId xmlns="" xmlns:a16="http://schemas.microsoft.com/office/drawing/2014/main" id="{00000000-0008-0000-2800-00000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cs typeface="Calibri"/>
                </a:rPr>
                <a:t>YTD achievement wrt target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257175</xdr:colOff>
          <xdr:row>32</xdr:row>
          <xdr:rowOff>9525</xdr:rowOff>
        </xdr:from>
        <xdr:to>
          <xdr:col>20</xdr:col>
          <xdr:colOff>409575</xdr:colOff>
          <xdr:row>33</xdr:row>
          <xdr:rowOff>161925</xdr:rowOff>
        </xdr:to>
        <xdr:sp macro="" textlink="">
          <xdr:nvSpPr>
            <xdr:cNvPr id="1027" name="Button 3" hidden="1">
              <a:extLst>
                <a:ext uri="{63B3BB69-23CF-44E3-9099-C40C66FF867C}">
                  <a14:compatExt spid="_x0000_s1027"/>
                </a:ext>
                <a:ext uri="{FF2B5EF4-FFF2-40B4-BE49-F238E27FC236}">
                  <a16:creationId xmlns="" xmlns:a16="http://schemas.microsoft.com/office/drawing/2014/main" id="{00000000-0008-0000-2800-00000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cs typeface="Calibri"/>
                </a:rPr>
                <a:t>OVL-total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257175</xdr:colOff>
          <xdr:row>33</xdr:row>
          <xdr:rowOff>161925</xdr:rowOff>
        </xdr:from>
        <xdr:to>
          <xdr:col>20</xdr:col>
          <xdr:colOff>409575</xdr:colOff>
          <xdr:row>35</xdr:row>
          <xdr:rowOff>114300</xdr:rowOff>
        </xdr:to>
        <xdr:sp macro="" textlink="">
          <xdr:nvSpPr>
            <xdr:cNvPr id="1028" name="Button 4" hidden="1">
              <a:extLst>
                <a:ext uri="{63B3BB69-23CF-44E3-9099-C40C66FF867C}">
                  <a14:compatExt spid="_x0000_s1028"/>
                </a:ext>
                <a:ext uri="{FF2B5EF4-FFF2-40B4-BE49-F238E27FC236}">
                  <a16:creationId xmlns="" xmlns:a16="http://schemas.microsoft.com/office/drawing/2014/main" id="{00000000-0008-0000-2800-00000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cs typeface="Calibri"/>
                </a:rPr>
                <a:t>BU-Russia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257175</xdr:colOff>
          <xdr:row>35</xdr:row>
          <xdr:rowOff>114300</xdr:rowOff>
        </xdr:from>
        <xdr:to>
          <xdr:col>20</xdr:col>
          <xdr:colOff>409575</xdr:colOff>
          <xdr:row>37</xdr:row>
          <xdr:rowOff>47625</xdr:rowOff>
        </xdr:to>
        <xdr:sp macro="" textlink="">
          <xdr:nvSpPr>
            <xdr:cNvPr id="1029" name="Button 5" hidden="1">
              <a:extLst>
                <a:ext uri="{63B3BB69-23CF-44E3-9099-C40C66FF867C}">
                  <a14:compatExt spid="_x0000_s1029"/>
                </a:ext>
                <a:ext uri="{FF2B5EF4-FFF2-40B4-BE49-F238E27FC236}">
                  <a16:creationId xmlns="" xmlns:a16="http://schemas.microsoft.com/office/drawing/2014/main" id="{00000000-0008-0000-2800-00000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cs typeface="Calibri"/>
                </a:rPr>
                <a:t>BU CIS MENA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257175</xdr:colOff>
          <xdr:row>37</xdr:row>
          <xdr:rowOff>66675</xdr:rowOff>
        </xdr:from>
        <xdr:to>
          <xdr:col>20</xdr:col>
          <xdr:colOff>409575</xdr:colOff>
          <xdr:row>38</xdr:row>
          <xdr:rowOff>180975</xdr:rowOff>
        </xdr:to>
        <xdr:sp macro="" textlink="">
          <xdr:nvSpPr>
            <xdr:cNvPr id="1030" name="Button 6" hidden="1">
              <a:extLst>
                <a:ext uri="{63B3BB69-23CF-44E3-9099-C40C66FF867C}">
                  <a14:compatExt spid="_x0000_s1030"/>
                </a:ext>
                <a:ext uri="{FF2B5EF4-FFF2-40B4-BE49-F238E27FC236}">
                  <a16:creationId xmlns="" xmlns:a16="http://schemas.microsoft.com/office/drawing/2014/main" id="{00000000-0008-0000-2800-00000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cs typeface="Calibri"/>
                </a:rPr>
                <a:t>BU-Asia Pacific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257175</xdr:colOff>
          <xdr:row>38</xdr:row>
          <xdr:rowOff>180975</xdr:rowOff>
        </xdr:from>
        <xdr:to>
          <xdr:col>20</xdr:col>
          <xdr:colOff>409575</xdr:colOff>
          <xdr:row>47</xdr:row>
          <xdr:rowOff>123825</xdr:rowOff>
        </xdr:to>
        <xdr:sp macro="" textlink="">
          <xdr:nvSpPr>
            <xdr:cNvPr id="1031" name="Button 7" hidden="1">
              <a:extLst>
                <a:ext uri="{63B3BB69-23CF-44E3-9099-C40C66FF867C}">
                  <a14:compatExt spid="_x0000_s1031"/>
                </a:ext>
                <a:ext uri="{FF2B5EF4-FFF2-40B4-BE49-F238E27FC236}">
                  <a16:creationId xmlns="" xmlns:a16="http://schemas.microsoft.com/office/drawing/2014/main" id="{00000000-0008-0000-2800-00000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cs typeface="Calibri"/>
                </a:rPr>
                <a:t>BU LAC</a:t>
              </a:r>
            </a:p>
          </xdr:txBody>
        </xdr:sp>
        <xdr:clientData fPrintsWithSheet="0"/>
      </xdr:twoCellAnchor>
    </mc:Choice>
    <mc:Fallback/>
  </mc:AlternateContent>
  <xdr:twoCellAnchor editAs="oneCell">
    <xdr:from>
      <xdr:col>12</xdr:col>
      <xdr:colOff>1581149</xdr:colOff>
      <xdr:row>2</xdr:row>
      <xdr:rowOff>6110</xdr:rowOff>
    </xdr:from>
    <xdr:to>
      <xdr:col>13</xdr:col>
      <xdr:colOff>0</xdr:colOff>
      <xdr:row>3</xdr:row>
      <xdr:rowOff>9525</xdr:rowOff>
    </xdr:to>
    <xdr:pic>
      <xdr:nvPicPr>
        <xdr:cNvPr id="9" name="Picture 8">
          <a:extLst>
            <a:ext uri="{FF2B5EF4-FFF2-40B4-BE49-F238E27FC236}">
              <a16:creationId xmlns="" xmlns:a16="http://schemas.microsoft.com/office/drawing/2014/main" id="{00000000-0008-0000-2700-000009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37500" t="33893" r="42851" b="35098"/>
        <a:stretch>
          <a:fillRect/>
        </a:stretch>
      </xdr:blipFill>
      <xdr:spPr bwMode="auto">
        <a:xfrm>
          <a:off x="9940737" y="129375"/>
          <a:ext cx="536763" cy="496474"/>
        </a:xfrm>
        <a:prstGeom prst="rect">
          <a:avLst/>
        </a:prstGeom>
        <a:noFill/>
        <a:ln>
          <a:noFill/>
        </a:ln>
        <a:effectLst/>
      </xdr:spPr>
    </xdr:pic>
    <xdr:clientData/>
  </xdr:twoCellAnchor>
  <mc:AlternateContent xmlns:mc="http://schemas.openxmlformats.org/markup-compatibility/2006">
    <mc:Choice xmlns:a14="http://schemas.microsoft.com/office/drawing/2010/main" Requires="a14">
      <xdr:twoCellAnchor>
        <xdr:from>
          <xdr:col>17</xdr:col>
          <xdr:colOff>581025</xdr:colOff>
          <xdr:row>15</xdr:row>
          <xdr:rowOff>38100</xdr:rowOff>
        </xdr:from>
        <xdr:to>
          <xdr:col>20</xdr:col>
          <xdr:colOff>485775</xdr:colOff>
          <xdr:row>16</xdr:row>
          <xdr:rowOff>180975</xdr:rowOff>
        </xdr:to>
        <xdr:sp macro="" textlink="">
          <xdr:nvSpPr>
            <xdr:cNvPr id="1032" name="Button 8" hidden="1">
              <a:extLst>
                <a:ext uri="{63B3BB69-23CF-44E3-9099-C40C66FF867C}">
                  <a14:compatExt spid="_x0000_s1032"/>
                </a:ext>
                <a:ext uri="{FF2B5EF4-FFF2-40B4-BE49-F238E27FC236}">
                  <a16:creationId xmlns="" xmlns:a16="http://schemas.microsoft.com/office/drawing/2014/main" id="{00000000-0008-0000-2800-00000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66675</xdr:colOff>
          <xdr:row>10</xdr:row>
          <xdr:rowOff>142875</xdr:rowOff>
        </xdr:from>
        <xdr:to>
          <xdr:col>17</xdr:col>
          <xdr:colOff>219075</xdr:colOff>
          <xdr:row>13</xdr:row>
          <xdr:rowOff>152400</xdr:rowOff>
        </xdr:to>
        <xdr:sp macro="" textlink="">
          <xdr:nvSpPr>
            <xdr:cNvPr id="1035" name="Button 11" hidden="1">
              <a:extLst>
                <a:ext uri="{63B3BB69-23CF-44E3-9099-C40C66FF867C}">
                  <a14:compatExt spid="_x0000_s1035"/>
                </a:ext>
                <a:ext uri="{FF2B5EF4-FFF2-40B4-BE49-F238E27FC236}">
                  <a16:creationId xmlns="" xmlns:a16="http://schemas.microsoft.com/office/drawing/2014/main" id="{00000000-0008-0000-2800-00000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Display full screen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66675</xdr:colOff>
          <xdr:row>14</xdr:row>
          <xdr:rowOff>28575</xdr:rowOff>
        </xdr:from>
        <xdr:to>
          <xdr:col>17</xdr:col>
          <xdr:colOff>228600</xdr:colOff>
          <xdr:row>17</xdr:row>
          <xdr:rowOff>28575</xdr:rowOff>
        </xdr:to>
        <xdr:sp macro="" textlink="">
          <xdr:nvSpPr>
            <xdr:cNvPr id="1036" name="Button 12" hidden="1">
              <a:extLst>
                <a:ext uri="{63B3BB69-23CF-44E3-9099-C40C66FF867C}">
                  <a14:compatExt spid="_x0000_s1036"/>
                </a:ext>
                <a:ext uri="{FF2B5EF4-FFF2-40B4-BE49-F238E27FC236}">
                  <a16:creationId xmlns="" xmlns:a16="http://schemas.microsoft.com/office/drawing/2014/main" id="{00000000-0008-0000-2800-00000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Exit full screen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342900</xdr:colOff>
          <xdr:row>2</xdr:row>
          <xdr:rowOff>66675</xdr:rowOff>
        </xdr:from>
        <xdr:to>
          <xdr:col>10</xdr:col>
          <xdr:colOff>571500</xdr:colOff>
          <xdr:row>2</xdr:row>
          <xdr:rowOff>447675</xdr:rowOff>
        </xdr:to>
        <xdr:sp macro="" textlink="">
          <xdr:nvSpPr>
            <xdr:cNvPr id="1038" name="Group Box 14" descr="Targets used" hidden="1">
              <a:extLst>
                <a:ext uri="{63B3BB69-23CF-44E3-9099-C40C66FF867C}">
                  <a14:compatExt spid="_x0000_s1038"/>
                </a:ext>
                <a:ext uri="{FF2B5EF4-FFF2-40B4-BE49-F238E27FC236}">
                  <a16:creationId xmlns="" xmlns:a16="http://schemas.microsoft.com/office/drawing/2014/main" id="{00000000-0008-0000-2800-00000E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Targets used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371475</xdr:colOff>
          <xdr:row>2</xdr:row>
          <xdr:rowOff>161925</xdr:rowOff>
        </xdr:from>
        <xdr:to>
          <xdr:col>9</xdr:col>
          <xdr:colOff>371475</xdr:colOff>
          <xdr:row>2</xdr:row>
          <xdr:rowOff>390525</xdr:rowOff>
        </xdr:to>
        <xdr:sp macro="" textlink="">
          <xdr:nvSpPr>
            <xdr:cNvPr id="1039" name="Option Button 15" hidden="1">
              <a:extLst>
                <a:ext uri="{63B3BB69-23CF-44E3-9099-C40C66FF867C}">
                  <a14:compatExt spid="_x0000_s1039"/>
                </a:ext>
                <a:ext uri="{FF2B5EF4-FFF2-40B4-BE49-F238E27FC236}">
                  <a16:creationId xmlns="" xmlns:a16="http://schemas.microsoft.com/office/drawing/2014/main" id="{00000000-0008-0000-2800-00000F040000}"/>
                </a:ext>
              </a:extLst>
            </xdr:cNvPr>
            <xdr:cNvSpPr/>
          </xdr:nvSpPr>
          <xdr:spPr bwMode="auto">
            <a:xfrm>
              <a:off x="0" y="0"/>
              <a:ext cx="0" cy="0"/>
            </a:xfrm>
            <a:prstGeom prst="rect">
              <a:avLst/>
            </a:prstGeom>
            <a:solidFill>
              <a:srgbClr val="DEE6F0"/>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BE</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371475</xdr:colOff>
          <xdr:row>2</xdr:row>
          <xdr:rowOff>161925</xdr:rowOff>
        </xdr:from>
        <xdr:to>
          <xdr:col>10</xdr:col>
          <xdr:colOff>152400</xdr:colOff>
          <xdr:row>2</xdr:row>
          <xdr:rowOff>390525</xdr:rowOff>
        </xdr:to>
        <xdr:sp macro="" textlink="">
          <xdr:nvSpPr>
            <xdr:cNvPr id="1040" name="Option Button 16" hidden="1">
              <a:extLst>
                <a:ext uri="{63B3BB69-23CF-44E3-9099-C40C66FF867C}">
                  <a14:compatExt spid="_x0000_s1040"/>
                </a:ext>
                <a:ext uri="{FF2B5EF4-FFF2-40B4-BE49-F238E27FC236}">
                  <a16:creationId xmlns="" xmlns:a16="http://schemas.microsoft.com/office/drawing/2014/main" id="{00000000-0008-0000-2800-000010040000}"/>
                </a:ext>
              </a:extLst>
            </xdr:cNvPr>
            <xdr:cNvSpPr/>
          </xdr:nvSpPr>
          <xdr:spPr bwMode="auto">
            <a:xfrm>
              <a:off x="0" y="0"/>
              <a:ext cx="0" cy="0"/>
            </a:xfrm>
            <a:prstGeom prst="rect">
              <a:avLst/>
            </a:prstGeom>
            <a:solidFill>
              <a:srgbClr val="DEE6F0"/>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85725</xdr:colOff>
          <xdr:row>2</xdr:row>
          <xdr:rowOff>161925</xdr:rowOff>
        </xdr:from>
        <xdr:to>
          <xdr:col>10</xdr:col>
          <xdr:colOff>533400</xdr:colOff>
          <xdr:row>2</xdr:row>
          <xdr:rowOff>371475</xdr:rowOff>
        </xdr:to>
        <xdr:sp macro="" textlink="">
          <xdr:nvSpPr>
            <xdr:cNvPr id="1043" name="Option Button 19" hidden="1">
              <a:extLst>
                <a:ext uri="{63B3BB69-23CF-44E3-9099-C40C66FF867C}">
                  <a14:compatExt spid="_x0000_s1043"/>
                </a:ext>
                <a:ext uri="{FF2B5EF4-FFF2-40B4-BE49-F238E27FC236}">
                  <a16:creationId xmlns="" xmlns:a16="http://schemas.microsoft.com/office/drawing/2014/main" id="{00000000-0008-0000-2800-000013040000}"/>
                </a:ext>
              </a:extLst>
            </xdr:cNvPr>
            <xdr:cNvSpPr/>
          </xdr:nvSpPr>
          <xdr:spPr bwMode="auto">
            <a:xfrm>
              <a:off x="0" y="0"/>
              <a:ext cx="0" cy="0"/>
            </a:xfrm>
            <a:prstGeom prst="rect">
              <a:avLst/>
            </a:prstGeom>
            <a:solidFill>
              <a:srgbClr val="DEE6F0"/>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MoU</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27</xdr:row>
          <xdr:rowOff>47625</xdr:rowOff>
        </xdr:from>
        <xdr:to>
          <xdr:col>6</xdr:col>
          <xdr:colOff>104775</xdr:colOff>
          <xdr:row>28</xdr:row>
          <xdr:rowOff>180975</xdr:rowOff>
        </xdr:to>
        <xdr:sp macro="" textlink="">
          <xdr:nvSpPr>
            <xdr:cNvPr id="1045" name="Label 21" hidden="1">
              <a:extLst>
                <a:ext uri="{63B3BB69-23CF-44E3-9099-C40C66FF867C}">
                  <a14:compatExt spid="_x0000_s1045"/>
                </a:ext>
                <a:ext uri="{FF2B5EF4-FFF2-40B4-BE49-F238E27FC236}">
                  <a16:creationId xmlns="" xmlns:a16="http://schemas.microsoft.com/office/drawing/2014/main" id="{00000000-0008-0000-2800-000015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000000"/>
                  </a:solidFill>
                  <a:latin typeface="Segoe UI"/>
                  <a:cs typeface="Segoe UI"/>
                </a:rPr>
                <a:t>^-Pls select the above cells for assetwise trends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12</xdr:col>
          <xdr:colOff>409575</xdr:colOff>
          <xdr:row>8</xdr:row>
          <xdr:rowOff>9525</xdr:rowOff>
        </xdr:from>
        <xdr:to>
          <xdr:col>12</xdr:col>
          <xdr:colOff>1838325</xdr:colOff>
          <xdr:row>8</xdr:row>
          <xdr:rowOff>180975</xdr:rowOff>
        </xdr:to>
        <xdr:sp macro="" textlink="">
          <xdr:nvSpPr>
            <xdr:cNvPr id="1048" name="Button 24" hidden="1">
              <a:extLst>
                <a:ext uri="{63B3BB69-23CF-44E3-9099-C40C66FF867C}">
                  <a14:compatExt spid="_x0000_s1048"/>
                </a:ext>
                <a:ext uri="{FF2B5EF4-FFF2-40B4-BE49-F238E27FC236}">
                  <a16:creationId xmlns="" xmlns:a16="http://schemas.microsoft.com/office/drawing/2014/main" id="{00000000-0008-0000-2800-00001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Gap Analysis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66675</xdr:colOff>
          <xdr:row>18</xdr:row>
          <xdr:rowOff>28575</xdr:rowOff>
        </xdr:from>
        <xdr:to>
          <xdr:col>17</xdr:col>
          <xdr:colOff>228600</xdr:colOff>
          <xdr:row>26</xdr:row>
          <xdr:rowOff>123825</xdr:rowOff>
        </xdr:to>
        <xdr:sp macro="" textlink="">
          <xdr:nvSpPr>
            <xdr:cNvPr id="1049" name="Button 25" hidden="1">
              <a:extLst>
                <a:ext uri="{63B3BB69-23CF-44E3-9099-C40C66FF867C}">
                  <a14:compatExt spid="_x0000_s1049"/>
                </a:ext>
                <a:ext uri="{FF2B5EF4-FFF2-40B4-BE49-F238E27FC236}">
                  <a16:creationId xmlns="" xmlns:a16="http://schemas.microsoft.com/office/drawing/2014/main" id="{00000000-0008-0000-2800-00001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Analysis and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104775</xdr:colOff>
          <xdr:row>27</xdr:row>
          <xdr:rowOff>152400</xdr:rowOff>
        </xdr:from>
        <xdr:to>
          <xdr:col>17</xdr:col>
          <xdr:colOff>238125</xdr:colOff>
          <xdr:row>31</xdr:row>
          <xdr:rowOff>38100</xdr:rowOff>
        </xdr:to>
        <xdr:sp macro="" textlink="">
          <xdr:nvSpPr>
            <xdr:cNvPr id="1050" name="Button 26" hidden="1">
              <a:extLst>
                <a:ext uri="{63B3BB69-23CF-44E3-9099-C40C66FF867C}">
                  <a14:compatExt spid="_x0000_s1050"/>
                </a:ext>
                <a:ext uri="{FF2B5EF4-FFF2-40B4-BE49-F238E27FC236}">
                  <a16:creationId xmlns="" xmlns:a16="http://schemas.microsoft.com/office/drawing/2014/main" id="{00000000-0008-0000-2800-00001A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Detailed daily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114300</xdr:colOff>
          <xdr:row>32</xdr:row>
          <xdr:rowOff>28575</xdr:rowOff>
        </xdr:from>
        <xdr:to>
          <xdr:col>17</xdr:col>
          <xdr:colOff>257175</xdr:colOff>
          <xdr:row>34</xdr:row>
          <xdr:rowOff>142875</xdr:rowOff>
        </xdr:to>
        <xdr:sp macro="" textlink="">
          <xdr:nvSpPr>
            <xdr:cNvPr id="1051" name="Button 27" hidden="1">
              <a:extLst>
                <a:ext uri="{63B3BB69-23CF-44E3-9099-C40C66FF867C}">
                  <a14:compatExt spid="_x0000_s1051"/>
                </a:ext>
                <a:ext uri="{FF2B5EF4-FFF2-40B4-BE49-F238E27FC236}">
                  <a16:creationId xmlns="" xmlns:a16="http://schemas.microsoft.com/office/drawing/2014/main" id="{00000000-0008-0000-2800-00001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Exception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27</xdr:row>
          <xdr:rowOff>66675</xdr:rowOff>
        </xdr:from>
        <xdr:to>
          <xdr:col>13</xdr:col>
          <xdr:colOff>0</xdr:colOff>
          <xdr:row>30</xdr:row>
          <xdr:rowOff>0</xdr:rowOff>
        </xdr:to>
        <xdr:sp macro="" textlink="">
          <xdr:nvSpPr>
            <xdr:cNvPr id="1052" name="Group Box 28" hidden="1">
              <a:extLst>
                <a:ext uri="{63B3BB69-23CF-44E3-9099-C40C66FF867C}">
                  <a14:compatExt spid="_x0000_s1052"/>
                </a:ext>
                <a:ext uri="{FF2B5EF4-FFF2-40B4-BE49-F238E27FC236}">
                  <a16:creationId xmlns="" xmlns:a16="http://schemas.microsoft.com/office/drawing/2014/main" id="{00000000-0008-0000-2800-00001C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Chart Period</a:t>
              </a:r>
            </a:p>
          </xdr:txBody>
        </xdr:sp>
        <xdr:clientData/>
      </xdr:twoCellAnchor>
    </mc:Choice>
    <mc:Fallback/>
  </mc:AlternateContent>
  <mc:AlternateContent xmlns:mc="http://schemas.openxmlformats.org/markup-compatibility/2006">
    <mc:Choice xmlns:a14="http://schemas.microsoft.com/office/drawing/2010/main" Requires="a14">
      <xdr:twoCellAnchor>
        <xdr:from>
          <xdr:col>16</xdr:col>
          <xdr:colOff>114300</xdr:colOff>
          <xdr:row>35</xdr:row>
          <xdr:rowOff>38100</xdr:rowOff>
        </xdr:from>
        <xdr:to>
          <xdr:col>17</xdr:col>
          <xdr:colOff>257175</xdr:colOff>
          <xdr:row>37</xdr:row>
          <xdr:rowOff>161925</xdr:rowOff>
        </xdr:to>
        <xdr:sp macro="" textlink="">
          <xdr:nvSpPr>
            <xdr:cNvPr id="1062" name="Button 38" hidden="1">
              <a:extLst>
                <a:ext uri="{63B3BB69-23CF-44E3-9099-C40C66FF867C}">
                  <a14:compatExt spid="_x0000_s1062"/>
                </a:ext>
                <a:ext uri="{FF2B5EF4-FFF2-40B4-BE49-F238E27FC236}">
                  <a16:creationId xmlns="" xmlns:a16="http://schemas.microsoft.com/office/drawing/2014/main" id="{00000000-0008-0000-2800-00002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Targets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5</xdr:row>
          <xdr:rowOff>66675</xdr:rowOff>
        </xdr:from>
        <xdr:to>
          <xdr:col>17</xdr:col>
          <xdr:colOff>219075</xdr:colOff>
          <xdr:row>9</xdr:row>
          <xdr:rowOff>161925</xdr:rowOff>
        </xdr:to>
        <xdr:sp macro="" textlink="">
          <xdr:nvSpPr>
            <xdr:cNvPr id="1063" name="Button 39" hidden="1">
              <a:extLst>
                <a:ext uri="{63B3BB69-23CF-44E3-9099-C40C66FF867C}">
                  <a14:compatExt spid="_x0000_s1063"/>
                </a:ext>
                <a:ext uri="{FF2B5EF4-FFF2-40B4-BE49-F238E27FC236}">
                  <a16:creationId xmlns="" xmlns:a16="http://schemas.microsoft.com/office/drawing/2014/main" id="{00000000-0008-0000-2800-000027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2200" b="1" i="0" u="none" strike="noStrike" baseline="0">
                  <a:solidFill>
                    <a:srgbClr val="000000"/>
                  </a:solidFill>
                  <a:latin typeface="Calibri"/>
                  <a:cs typeface="Calibri"/>
                </a:rPr>
                <a:t>&lt;</a:t>
              </a:r>
              <a:endParaRPr lang="en-US" sz="1100" b="0" i="0" u="none" strike="noStrike" baseline="0">
                <a:solidFill>
                  <a:srgbClr val="000000"/>
                </a:solidFill>
                <a:latin typeface="Calibri"/>
                <a:cs typeface="Calibri"/>
              </a:endParaRPr>
            </a:p>
            <a:p>
              <a:pPr algn="ctr" rtl="0">
                <a:defRPr sz="1000"/>
              </a:pPr>
              <a:r>
                <a:rPr lang="en-US" sz="1100" b="0" i="0" u="none" strike="noStrike" baseline="0">
                  <a:solidFill>
                    <a:srgbClr val="000000"/>
                  </a:solidFill>
                  <a:latin typeface="Calibri"/>
                  <a:cs typeface="Calibri"/>
                </a:rPr>
                <a:t>(Go to previous FY)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723900</xdr:colOff>
          <xdr:row>27</xdr:row>
          <xdr:rowOff>114300</xdr:rowOff>
        </xdr:from>
        <xdr:to>
          <xdr:col>11</xdr:col>
          <xdr:colOff>485775</xdr:colOff>
          <xdr:row>29</xdr:row>
          <xdr:rowOff>104775</xdr:rowOff>
        </xdr:to>
        <xdr:sp macro="" textlink="">
          <xdr:nvSpPr>
            <xdr:cNvPr id="1053" name="Option Button 29" hidden="1">
              <a:extLst>
                <a:ext uri="{63B3BB69-23CF-44E3-9099-C40C66FF867C}">
                  <a14:compatExt spid="_x0000_s1053"/>
                </a:ext>
                <a:ext uri="{FF2B5EF4-FFF2-40B4-BE49-F238E27FC236}">
                  <a16:creationId xmlns="" xmlns:a16="http://schemas.microsoft.com/office/drawing/2014/main" id="{00000000-0008-0000-2800-00001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Current Month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180975</xdr:colOff>
          <xdr:row>27</xdr:row>
          <xdr:rowOff>161925</xdr:rowOff>
        </xdr:from>
        <xdr:to>
          <xdr:col>10</xdr:col>
          <xdr:colOff>9525</xdr:colOff>
          <xdr:row>29</xdr:row>
          <xdr:rowOff>38100</xdr:rowOff>
        </xdr:to>
        <xdr:sp macro="" textlink="">
          <xdr:nvSpPr>
            <xdr:cNvPr id="1054" name="Option Button 30" hidden="1">
              <a:extLst>
                <a:ext uri="{63B3BB69-23CF-44E3-9099-C40C66FF867C}">
                  <a14:compatExt spid="_x0000_s1054"/>
                </a:ext>
                <a:ext uri="{FF2B5EF4-FFF2-40B4-BE49-F238E27FC236}">
                  <a16:creationId xmlns="" xmlns:a16="http://schemas.microsoft.com/office/drawing/2014/main" id="{00000000-0008-0000-2800-00001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Last 30 days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266700</xdr:colOff>
          <xdr:row>28</xdr:row>
          <xdr:rowOff>85725</xdr:rowOff>
        </xdr:from>
        <xdr:to>
          <xdr:col>12</xdr:col>
          <xdr:colOff>342900</xdr:colOff>
          <xdr:row>29</xdr:row>
          <xdr:rowOff>142875</xdr:rowOff>
        </xdr:to>
        <xdr:sp macro="" textlink="">
          <xdr:nvSpPr>
            <xdr:cNvPr id="1057" name="Option Button 33" hidden="1">
              <a:extLst>
                <a:ext uri="{63B3BB69-23CF-44E3-9099-C40C66FF867C}">
                  <a14:compatExt spid="_x0000_s1057"/>
                </a:ext>
                <a:ext uri="{FF2B5EF4-FFF2-40B4-BE49-F238E27FC236}">
                  <a16:creationId xmlns="" xmlns:a16="http://schemas.microsoft.com/office/drawing/2014/main" id="{00000000-0008-0000-2800-00002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Current FY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266700</xdr:colOff>
          <xdr:row>27</xdr:row>
          <xdr:rowOff>85725</xdr:rowOff>
        </xdr:from>
        <xdr:to>
          <xdr:col>12</xdr:col>
          <xdr:colOff>152400</xdr:colOff>
          <xdr:row>28</xdr:row>
          <xdr:rowOff>123825</xdr:rowOff>
        </xdr:to>
        <xdr:sp macro="" textlink="">
          <xdr:nvSpPr>
            <xdr:cNvPr id="1058" name="Option Button 34" hidden="1">
              <a:extLst>
                <a:ext uri="{63B3BB69-23CF-44E3-9099-C40C66FF867C}">
                  <a14:compatExt spid="_x0000_s1058"/>
                </a:ext>
                <a:ext uri="{FF2B5EF4-FFF2-40B4-BE49-F238E27FC236}">
                  <a16:creationId xmlns="" xmlns:a16="http://schemas.microsoft.com/office/drawing/2014/main" id="{00000000-0008-0000-2800-00002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Current CY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409575</xdr:colOff>
          <xdr:row>28</xdr:row>
          <xdr:rowOff>47625</xdr:rowOff>
        </xdr:from>
        <xdr:to>
          <xdr:col>12</xdr:col>
          <xdr:colOff>1400175</xdr:colOff>
          <xdr:row>29</xdr:row>
          <xdr:rowOff>142875</xdr:rowOff>
        </xdr:to>
        <xdr:sp macro="" textlink="">
          <xdr:nvSpPr>
            <xdr:cNvPr id="1059" name="Option Button 35" hidden="1">
              <a:extLst>
                <a:ext uri="{63B3BB69-23CF-44E3-9099-C40C66FF867C}">
                  <a14:compatExt spid="_x0000_s1059"/>
                </a:ext>
                <a:ext uri="{FF2B5EF4-FFF2-40B4-BE49-F238E27FC236}">
                  <a16:creationId xmlns="" xmlns:a16="http://schemas.microsoft.com/office/drawing/2014/main" id="{00000000-0008-0000-2800-00002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Last 365 days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409575</xdr:colOff>
          <xdr:row>27</xdr:row>
          <xdr:rowOff>104775</xdr:rowOff>
        </xdr:from>
        <xdr:to>
          <xdr:col>12</xdr:col>
          <xdr:colOff>1257300</xdr:colOff>
          <xdr:row>28</xdr:row>
          <xdr:rowOff>123825</xdr:rowOff>
        </xdr:to>
        <xdr:sp macro="" textlink="">
          <xdr:nvSpPr>
            <xdr:cNvPr id="1064" name="Option Button 40" hidden="1">
              <a:extLst>
                <a:ext uri="{63B3BB69-23CF-44E3-9099-C40C66FF867C}">
                  <a14:compatExt spid="_x0000_s1064"/>
                </a:ext>
                <a:ext uri="{FF2B5EF4-FFF2-40B4-BE49-F238E27FC236}">
                  <a16:creationId xmlns="" xmlns:a16="http://schemas.microsoft.com/office/drawing/2014/main" id="{00000000-0008-0000-2800-00002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Since 01-Apr-22</a:t>
              </a:r>
            </a:p>
          </xdr:txBody>
        </xdr:sp>
        <xdr:clientData/>
      </xdr:twoCellAnchor>
    </mc:Choice>
    <mc:Fallback/>
  </mc:AlternateContent>
  <mc:AlternateContent xmlns:mc="http://schemas.openxmlformats.org/markup-compatibility/2006">
    <mc:Choice xmlns:a14="http://schemas.microsoft.com/office/drawing/2010/main" Requires="a14">
      <xdr:twoCellAnchor>
        <xdr:from>
          <xdr:col>16</xdr:col>
          <xdr:colOff>104775</xdr:colOff>
          <xdr:row>38</xdr:row>
          <xdr:rowOff>114300</xdr:rowOff>
        </xdr:from>
        <xdr:to>
          <xdr:col>17</xdr:col>
          <xdr:colOff>266700</xdr:colOff>
          <xdr:row>47</xdr:row>
          <xdr:rowOff>180975</xdr:rowOff>
        </xdr:to>
        <xdr:sp macro="" textlink="">
          <xdr:nvSpPr>
            <xdr:cNvPr id="1067" name="Button 43" hidden="1">
              <a:extLst>
                <a:ext uri="{63B3BB69-23CF-44E3-9099-C40C66FF867C}">
                  <a14:compatExt spid="_x0000_s1067"/>
                </a:ext>
                <a:ext uri="{FF2B5EF4-FFF2-40B4-BE49-F238E27FC236}">
                  <a16:creationId xmlns="" xmlns:a16="http://schemas.microsoft.com/office/drawing/2014/main" id="{00000000-0008-0000-2800-00002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Asking Rate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638175</xdr:colOff>
          <xdr:row>24</xdr:row>
          <xdr:rowOff>142875</xdr:rowOff>
        </xdr:from>
        <xdr:to>
          <xdr:col>20</xdr:col>
          <xdr:colOff>638175</xdr:colOff>
          <xdr:row>27</xdr:row>
          <xdr:rowOff>66675</xdr:rowOff>
        </xdr:to>
        <xdr:sp macro="" textlink="">
          <xdr:nvSpPr>
            <xdr:cNvPr id="1068" name="Button 44" hidden="1">
              <a:extLst>
                <a:ext uri="{63B3BB69-23CF-44E3-9099-C40C66FF867C}">
                  <a14:compatExt spid="_x0000_s1068"/>
                </a:ext>
                <a:ext uri="{FF2B5EF4-FFF2-40B4-BE49-F238E27FC236}">
                  <a16:creationId xmlns="" xmlns:a16="http://schemas.microsoft.com/office/drawing/2014/main" id="{00000000-0008-0000-2800-00002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2FY Chart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314325</xdr:colOff>
          <xdr:row>22</xdr:row>
          <xdr:rowOff>76200</xdr:rowOff>
        </xdr:from>
        <xdr:to>
          <xdr:col>20</xdr:col>
          <xdr:colOff>257175</xdr:colOff>
          <xdr:row>24</xdr:row>
          <xdr:rowOff>47625</xdr:rowOff>
        </xdr:to>
        <xdr:sp macro="" textlink="">
          <xdr:nvSpPr>
            <xdr:cNvPr id="1069" name="Button 45" hidden="1">
              <a:extLst>
                <a:ext uri="{63B3BB69-23CF-44E3-9099-C40C66FF867C}">
                  <a14:compatExt spid="_x0000_s1069"/>
                </a:ext>
                <a:ext uri="{FF2B5EF4-FFF2-40B4-BE49-F238E27FC236}">
                  <a16:creationId xmlns="" xmlns:a16="http://schemas.microsoft.com/office/drawing/2014/main" id="{00000000-0008-0000-2800-00002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Screenshot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9525</xdr:colOff>
          <xdr:row>20</xdr:row>
          <xdr:rowOff>38100</xdr:rowOff>
        </xdr:from>
        <xdr:to>
          <xdr:col>20</xdr:col>
          <xdr:colOff>533400</xdr:colOff>
          <xdr:row>22</xdr:row>
          <xdr:rowOff>9525</xdr:rowOff>
        </xdr:to>
        <xdr:sp macro="" textlink="">
          <xdr:nvSpPr>
            <xdr:cNvPr id="1071" name="Button 47" hidden="1">
              <a:extLst>
                <a:ext uri="{63B3BB69-23CF-44E3-9099-C40C66FF867C}">
                  <a14:compatExt spid="_x0000_s1071"/>
                </a:ext>
                <a:ext uri="{FF2B5EF4-FFF2-40B4-BE49-F238E27FC236}">
                  <a16:creationId xmlns="" xmlns:a16="http://schemas.microsoft.com/office/drawing/2014/main" id="{00000000-0008-0000-2800-00002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cs typeface="Calibri"/>
                </a:rPr>
                <a:t>Production 2024-25</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142875</xdr:colOff>
          <xdr:row>6</xdr:row>
          <xdr:rowOff>314325</xdr:rowOff>
        </xdr:from>
        <xdr:to>
          <xdr:col>1</xdr:col>
          <xdr:colOff>771525</xdr:colOff>
          <xdr:row>7</xdr:row>
          <xdr:rowOff>428625</xdr:rowOff>
        </xdr:to>
        <xdr:sp macro="" textlink="">
          <xdr:nvSpPr>
            <xdr:cNvPr id="43009" name="Button 1" hidden="1">
              <a:extLst>
                <a:ext uri="{63B3BB69-23CF-44E3-9099-C40C66FF867C}">
                  <a14:compatExt spid="_x0000_s43009"/>
                </a:ext>
                <a:ext uri="{FF2B5EF4-FFF2-40B4-BE49-F238E27FC236}">
                  <a16:creationId xmlns="" xmlns:a16="http://schemas.microsoft.com/office/drawing/2014/main" id="{00000000-0008-0000-2900-000001A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Back to 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4</xdr:row>
          <xdr:rowOff>114300</xdr:rowOff>
        </xdr:from>
        <xdr:to>
          <xdr:col>2</xdr:col>
          <xdr:colOff>828675</xdr:colOff>
          <xdr:row>6</xdr:row>
          <xdr:rowOff>342900</xdr:rowOff>
        </xdr:to>
        <xdr:sp macro="" textlink="">
          <xdr:nvSpPr>
            <xdr:cNvPr id="43010" name="Group Box 2" hidden="1">
              <a:extLst>
                <a:ext uri="{63B3BB69-23CF-44E3-9099-C40C66FF867C}">
                  <a14:compatExt spid="_x0000_s43010"/>
                </a:ext>
                <a:ext uri="{FF2B5EF4-FFF2-40B4-BE49-F238E27FC236}">
                  <a16:creationId xmlns="" xmlns:a16="http://schemas.microsoft.com/office/drawing/2014/main" id="{00000000-0008-0000-2900-000002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4</xdr:row>
          <xdr:rowOff>295275</xdr:rowOff>
        </xdr:from>
        <xdr:to>
          <xdr:col>1</xdr:col>
          <xdr:colOff>409575</xdr:colOff>
          <xdr:row>4</xdr:row>
          <xdr:rowOff>485775</xdr:rowOff>
        </xdr:to>
        <xdr:sp macro="" textlink="">
          <xdr:nvSpPr>
            <xdr:cNvPr id="43011" name="Option Button 3" descr="Current Month" hidden="1">
              <a:extLst>
                <a:ext uri="{63B3BB69-23CF-44E3-9099-C40C66FF867C}">
                  <a14:compatExt spid="_x0000_s43011"/>
                </a:ext>
                <a:ext uri="{FF2B5EF4-FFF2-40B4-BE49-F238E27FC236}">
                  <a16:creationId xmlns="" xmlns:a16="http://schemas.microsoft.com/office/drawing/2014/main" id="{00000000-0008-0000-2900-000003A80000}"/>
                </a:ext>
              </a:extLst>
            </xdr:cNvPr>
            <xdr:cNvSpPr/>
          </xdr:nvSpPr>
          <xdr:spPr bwMode="auto">
            <a:xfrm>
              <a:off x="0" y="0"/>
              <a:ext cx="0" cy="0"/>
            </a:xfrm>
            <a:prstGeom prst="rect">
              <a:avLst/>
            </a:prstGeom>
            <a:solidFill>
              <a:srgbClr val="FFCCFF"/>
            </a:solidFill>
            <a:ln w="9525">
              <a:solidFill>
                <a:srgbClr val="1F497D"/>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Current Month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5</xdr:row>
          <xdr:rowOff>104775</xdr:rowOff>
        </xdr:from>
        <xdr:to>
          <xdr:col>1</xdr:col>
          <xdr:colOff>419100</xdr:colOff>
          <xdr:row>5</xdr:row>
          <xdr:rowOff>314325</xdr:rowOff>
        </xdr:to>
        <xdr:sp macro="" textlink="">
          <xdr:nvSpPr>
            <xdr:cNvPr id="43013" name="Option Button 5" hidden="1">
              <a:extLst>
                <a:ext uri="{63B3BB69-23CF-44E3-9099-C40C66FF867C}">
                  <a14:compatExt spid="_x0000_s43013"/>
                </a:ext>
                <a:ext uri="{FF2B5EF4-FFF2-40B4-BE49-F238E27FC236}">
                  <a16:creationId xmlns="" xmlns:a16="http://schemas.microsoft.com/office/drawing/2014/main" id="{00000000-0008-0000-2900-000005A80000}"/>
                </a:ext>
              </a:extLst>
            </xdr:cNvPr>
            <xdr:cNvSpPr/>
          </xdr:nvSpPr>
          <xdr:spPr bwMode="auto">
            <a:xfrm>
              <a:off x="0" y="0"/>
              <a:ext cx="0" cy="0"/>
            </a:xfrm>
            <a:prstGeom prst="rect">
              <a:avLst/>
            </a:prstGeom>
            <a:solidFill>
              <a:srgbClr val="FFCCFF"/>
            </a:solidFill>
            <a:ln w="9525">
              <a:solidFill>
                <a:srgbClr val="1F497D"/>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Last 30 days</a:t>
              </a:r>
            </a:p>
          </xdr:txBody>
        </xdr:sp>
        <xdr:clientData/>
      </xdr:twoCellAnchor>
    </mc:Choice>
    <mc:Fallback/>
  </mc:AlternateContent>
  <mc:AlternateContent xmlns:mc="http://schemas.openxmlformats.org/markup-compatibility/2006">
    <mc:Choice xmlns:a14="http://schemas.microsoft.com/office/drawing/2010/main" Requires="a14">
      <xdr:twoCellAnchor>
        <xdr:from>
          <xdr:col>38</xdr:col>
          <xdr:colOff>47625</xdr:colOff>
          <xdr:row>4</xdr:row>
          <xdr:rowOff>447675</xdr:rowOff>
        </xdr:from>
        <xdr:to>
          <xdr:col>39</xdr:col>
          <xdr:colOff>561975</xdr:colOff>
          <xdr:row>6</xdr:row>
          <xdr:rowOff>9525</xdr:rowOff>
        </xdr:to>
        <xdr:sp macro="" textlink="">
          <xdr:nvSpPr>
            <xdr:cNvPr id="43014" name="Button 6" hidden="1">
              <a:extLst>
                <a:ext uri="{63B3BB69-23CF-44E3-9099-C40C66FF867C}">
                  <a14:compatExt spid="_x0000_s43014"/>
                </a:ext>
                <a:ext uri="{FF2B5EF4-FFF2-40B4-BE49-F238E27FC236}">
                  <a16:creationId xmlns="" xmlns:a16="http://schemas.microsoft.com/office/drawing/2014/main" id="{00000000-0008-0000-2900-000006A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DPR entry mode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38</xdr:col>
          <xdr:colOff>66675</xdr:colOff>
          <xdr:row>6</xdr:row>
          <xdr:rowOff>47625</xdr:rowOff>
        </xdr:from>
        <xdr:to>
          <xdr:col>39</xdr:col>
          <xdr:colOff>561975</xdr:colOff>
          <xdr:row>7</xdr:row>
          <xdr:rowOff>66675</xdr:rowOff>
        </xdr:to>
        <xdr:sp macro="" textlink="">
          <xdr:nvSpPr>
            <xdr:cNvPr id="43015" name="Button 7" hidden="1">
              <a:extLst>
                <a:ext uri="{63B3BB69-23CF-44E3-9099-C40C66FF867C}">
                  <a14:compatExt spid="_x0000_s43015"/>
                </a:ext>
                <a:ext uri="{FF2B5EF4-FFF2-40B4-BE49-F238E27FC236}">
                  <a16:creationId xmlns="" xmlns:a16="http://schemas.microsoft.com/office/drawing/2014/main" id="{00000000-0008-0000-2900-000007A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Normal mode</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40</xdr:col>
          <xdr:colOff>9525</xdr:colOff>
          <xdr:row>4</xdr:row>
          <xdr:rowOff>409575</xdr:rowOff>
        </xdr:from>
        <xdr:to>
          <xdr:col>41</xdr:col>
          <xdr:colOff>561975</xdr:colOff>
          <xdr:row>7</xdr:row>
          <xdr:rowOff>76200</xdr:rowOff>
        </xdr:to>
        <xdr:sp macro="" textlink="">
          <xdr:nvSpPr>
            <xdr:cNvPr id="43016" name="Button 8" hidden="1">
              <a:extLst>
                <a:ext uri="{63B3BB69-23CF-44E3-9099-C40C66FF867C}">
                  <a14:compatExt spid="_x0000_s43016"/>
                </a:ext>
                <a:ext uri="{FF2B5EF4-FFF2-40B4-BE49-F238E27FC236}">
                  <a16:creationId xmlns="" xmlns:a16="http://schemas.microsoft.com/office/drawing/2014/main" id="{00000000-0008-0000-2900-000008A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Userform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5</xdr:row>
          <xdr:rowOff>409575</xdr:rowOff>
        </xdr:from>
        <xdr:to>
          <xdr:col>1</xdr:col>
          <xdr:colOff>409575</xdr:colOff>
          <xdr:row>6</xdr:row>
          <xdr:rowOff>180975</xdr:rowOff>
        </xdr:to>
        <xdr:sp macro="" textlink="">
          <xdr:nvSpPr>
            <xdr:cNvPr id="43017" name="Option Button 9" hidden="1">
              <a:extLst>
                <a:ext uri="{63B3BB69-23CF-44E3-9099-C40C66FF867C}">
                  <a14:compatExt spid="_x0000_s43017"/>
                </a:ext>
                <a:ext uri="{FF2B5EF4-FFF2-40B4-BE49-F238E27FC236}">
                  <a16:creationId xmlns="" xmlns:a16="http://schemas.microsoft.com/office/drawing/2014/main" id="{00000000-0008-0000-2900-000009A80000}"/>
                </a:ext>
              </a:extLst>
            </xdr:cNvPr>
            <xdr:cNvSpPr/>
          </xdr:nvSpPr>
          <xdr:spPr bwMode="auto">
            <a:xfrm>
              <a:off x="0" y="0"/>
              <a:ext cx="0" cy="0"/>
            </a:xfrm>
            <a:prstGeom prst="rect">
              <a:avLst/>
            </a:prstGeom>
            <a:solidFill>
              <a:srgbClr val="FFCCFF"/>
            </a:solidFill>
            <a:ln w="9525">
              <a:solidFill>
                <a:srgbClr val="000000"/>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Full Range</a:t>
              </a:r>
            </a:p>
          </xdr:txBody>
        </xdr:sp>
        <xdr:clientData/>
      </xdr:twoCellAnchor>
    </mc:Choice>
    <mc:Fallback/>
  </mc:AlternateContent>
  <mc:AlternateContent xmlns:mc="http://schemas.openxmlformats.org/markup-compatibility/2006">
    <mc:Choice xmlns:a14="http://schemas.microsoft.com/office/drawing/2010/main" Requires="a14">
      <xdr:twoCellAnchor>
        <xdr:from>
          <xdr:col>42</xdr:col>
          <xdr:colOff>523875</xdr:colOff>
          <xdr:row>4</xdr:row>
          <xdr:rowOff>409575</xdr:rowOff>
        </xdr:from>
        <xdr:to>
          <xdr:col>45</xdr:col>
          <xdr:colOff>381000</xdr:colOff>
          <xdr:row>6</xdr:row>
          <xdr:rowOff>76200</xdr:rowOff>
        </xdr:to>
        <xdr:sp macro="" textlink="">
          <xdr:nvSpPr>
            <xdr:cNvPr id="43018" name="Button 10" hidden="1">
              <a:extLst>
                <a:ext uri="{63B3BB69-23CF-44E3-9099-C40C66FF867C}">
                  <a14:compatExt spid="_x0000_s43018"/>
                </a:ext>
                <a:ext uri="{FF2B5EF4-FFF2-40B4-BE49-F238E27FC236}">
                  <a16:creationId xmlns="" xmlns:a16="http://schemas.microsoft.com/office/drawing/2014/main" id="{00000000-0008-0000-2900-00000AA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Reconciled production</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561975</xdr:colOff>
          <xdr:row>4</xdr:row>
          <xdr:rowOff>333375</xdr:rowOff>
        </xdr:from>
        <xdr:to>
          <xdr:col>2</xdr:col>
          <xdr:colOff>676275</xdr:colOff>
          <xdr:row>5</xdr:row>
          <xdr:rowOff>0</xdr:rowOff>
        </xdr:to>
        <xdr:sp macro="" textlink="">
          <xdr:nvSpPr>
            <xdr:cNvPr id="43020" name="Option Button 12" hidden="1">
              <a:extLst>
                <a:ext uri="{63B3BB69-23CF-44E3-9099-C40C66FF867C}">
                  <a14:compatExt spid="_x0000_s43020"/>
                </a:ext>
                <a:ext uri="{FF2B5EF4-FFF2-40B4-BE49-F238E27FC236}">
                  <a16:creationId xmlns="" xmlns:a16="http://schemas.microsoft.com/office/drawing/2014/main" id="{00000000-0008-0000-2900-00000CA80000}"/>
                </a:ext>
              </a:extLst>
            </xdr:cNvPr>
            <xdr:cNvSpPr/>
          </xdr:nvSpPr>
          <xdr:spPr bwMode="auto">
            <a:xfrm>
              <a:off x="0" y="0"/>
              <a:ext cx="0" cy="0"/>
            </a:xfrm>
            <a:prstGeom prst="rect">
              <a:avLst/>
            </a:prstGeom>
            <a:solidFill>
              <a:srgbClr val="FFCCFF"/>
            </a:solidFill>
            <a:ln w="9525">
              <a:solidFill>
                <a:srgbClr val="000000"/>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Current FY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542925</xdr:colOff>
          <xdr:row>5</xdr:row>
          <xdr:rowOff>104775</xdr:rowOff>
        </xdr:from>
        <xdr:to>
          <xdr:col>2</xdr:col>
          <xdr:colOff>676275</xdr:colOff>
          <xdr:row>5</xdr:row>
          <xdr:rowOff>314325</xdr:rowOff>
        </xdr:to>
        <xdr:sp macro="" textlink="">
          <xdr:nvSpPr>
            <xdr:cNvPr id="43021" name="Option Button 13" hidden="1">
              <a:extLst>
                <a:ext uri="{63B3BB69-23CF-44E3-9099-C40C66FF867C}">
                  <a14:compatExt spid="_x0000_s43021"/>
                </a:ext>
                <a:ext uri="{FF2B5EF4-FFF2-40B4-BE49-F238E27FC236}">
                  <a16:creationId xmlns="" xmlns:a16="http://schemas.microsoft.com/office/drawing/2014/main" id="{00000000-0008-0000-2900-00000DA80000}"/>
                </a:ext>
              </a:extLst>
            </xdr:cNvPr>
            <xdr:cNvSpPr/>
          </xdr:nvSpPr>
          <xdr:spPr bwMode="auto">
            <a:xfrm>
              <a:off x="0" y="0"/>
              <a:ext cx="0" cy="0"/>
            </a:xfrm>
            <a:prstGeom prst="rect">
              <a:avLst/>
            </a:prstGeom>
            <a:solidFill>
              <a:srgbClr val="FFCCFF"/>
            </a:solidFill>
            <a:ln w="9525">
              <a:solidFill>
                <a:srgbClr val="000000"/>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Current CY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561975</xdr:colOff>
          <xdr:row>5</xdr:row>
          <xdr:rowOff>409575</xdr:rowOff>
        </xdr:from>
        <xdr:to>
          <xdr:col>2</xdr:col>
          <xdr:colOff>685800</xdr:colOff>
          <xdr:row>6</xdr:row>
          <xdr:rowOff>180975</xdr:rowOff>
        </xdr:to>
        <xdr:sp macro="" textlink="">
          <xdr:nvSpPr>
            <xdr:cNvPr id="43022" name="Option Button 14" hidden="1">
              <a:extLst>
                <a:ext uri="{63B3BB69-23CF-44E3-9099-C40C66FF867C}">
                  <a14:compatExt spid="_x0000_s43022"/>
                </a:ext>
                <a:ext uri="{FF2B5EF4-FFF2-40B4-BE49-F238E27FC236}">
                  <a16:creationId xmlns="" xmlns:a16="http://schemas.microsoft.com/office/drawing/2014/main" id="{00000000-0008-0000-2900-00000EA80000}"/>
                </a:ext>
              </a:extLst>
            </xdr:cNvPr>
            <xdr:cNvSpPr/>
          </xdr:nvSpPr>
          <xdr:spPr bwMode="auto">
            <a:xfrm>
              <a:off x="0" y="0"/>
              <a:ext cx="0" cy="0"/>
            </a:xfrm>
            <a:prstGeom prst="rect">
              <a:avLst/>
            </a:prstGeom>
            <a:solidFill>
              <a:srgbClr val="FFCCFF"/>
            </a:solidFill>
            <a:ln w="9525">
              <a:solidFill>
                <a:srgbClr val="000000"/>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Last 365  days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45</xdr:col>
          <xdr:colOff>638175</xdr:colOff>
          <xdr:row>6</xdr:row>
          <xdr:rowOff>85725</xdr:rowOff>
        </xdr:from>
        <xdr:to>
          <xdr:col>47</xdr:col>
          <xdr:colOff>733425</xdr:colOff>
          <xdr:row>7</xdr:row>
          <xdr:rowOff>333375</xdr:rowOff>
        </xdr:to>
        <xdr:sp macro="" textlink="">
          <xdr:nvSpPr>
            <xdr:cNvPr id="43028" name="Group Box 20" hidden="1">
              <a:extLst>
                <a:ext uri="{63B3BB69-23CF-44E3-9099-C40C66FF867C}">
                  <a14:compatExt spid="_x0000_s43028"/>
                </a:ext>
                <a:ext uri="{FF2B5EF4-FFF2-40B4-BE49-F238E27FC236}">
                  <a16:creationId xmlns="" xmlns:a16="http://schemas.microsoft.com/office/drawing/2014/main" id="{00000000-0008-0000-2900-000014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Reconciled production type used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161925</xdr:colOff>
          <xdr:row>6</xdr:row>
          <xdr:rowOff>342900</xdr:rowOff>
        </xdr:from>
        <xdr:to>
          <xdr:col>46</xdr:col>
          <xdr:colOff>1104900</xdr:colOff>
          <xdr:row>7</xdr:row>
          <xdr:rowOff>142875</xdr:rowOff>
        </xdr:to>
        <xdr:sp macro="" textlink="">
          <xdr:nvSpPr>
            <xdr:cNvPr id="43029" name="Option Button 21" hidden="1">
              <a:extLst>
                <a:ext uri="{63B3BB69-23CF-44E3-9099-C40C66FF867C}">
                  <a14:compatExt spid="_x0000_s43029"/>
                </a:ext>
                <a:ext uri="{FF2B5EF4-FFF2-40B4-BE49-F238E27FC236}">
                  <a16:creationId xmlns="" xmlns:a16="http://schemas.microsoft.com/office/drawing/2014/main" id="{00000000-0008-0000-2900-000015A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Original-Raw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1247775</xdr:colOff>
          <xdr:row>6</xdr:row>
          <xdr:rowOff>304800</xdr:rowOff>
        </xdr:from>
        <xdr:to>
          <xdr:col>47</xdr:col>
          <xdr:colOff>581025</xdr:colOff>
          <xdr:row>7</xdr:row>
          <xdr:rowOff>180975</xdr:rowOff>
        </xdr:to>
        <xdr:sp macro="" textlink="">
          <xdr:nvSpPr>
            <xdr:cNvPr id="43030" name="Option Button 22" hidden="1">
              <a:extLst>
                <a:ext uri="{63B3BB69-23CF-44E3-9099-C40C66FF867C}">
                  <a14:compatExt spid="_x0000_s43030"/>
                </a:ext>
                <a:ext uri="{FF2B5EF4-FFF2-40B4-BE49-F238E27FC236}">
                  <a16:creationId xmlns="" xmlns:a16="http://schemas.microsoft.com/office/drawing/2014/main" id="{00000000-0008-0000-2900-000016A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Rounded Off</a:t>
              </a:r>
            </a:p>
          </xdr:txBody>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142875</xdr:colOff>
          <xdr:row>6</xdr:row>
          <xdr:rowOff>314325</xdr:rowOff>
        </xdr:from>
        <xdr:to>
          <xdr:col>1</xdr:col>
          <xdr:colOff>771525</xdr:colOff>
          <xdr:row>7</xdr:row>
          <xdr:rowOff>428625</xdr:rowOff>
        </xdr:to>
        <xdr:sp macro="" textlink="">
          <xdr:nvSpPr>
            <xdr:cNvPr id="439297" name="Button 1" hidden="1">
              <a:extLst>
                <a:ext uri="{63B3BB69-23CF-44E3-9099-C40C66FF867C}">
                  <a14:compatExt spid="_x0000_s439297"/>
                </a:ext>
                <a:ext uri="{FF2B5EF4-FFF2-40B4-BE49-F238E27FC236}">
                  <a16:creationId xmlns="" xmlns:a16="http://schemas.microsoft.com/office/drawing/2014/main" id="{00000000-0008-0000-2A00-000001B406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Back to 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4</xdr:row>
          <xdr:rowOff>114300</xdr:rowOff>
        </xdr:from>
        <xdr:to>
          <xdr:col>2</xdr:col>
          <xdr:colOff>828675</xdr:colOff>
          <xdr:row>6</xdr:row>
          <xdr:rowOff>342900</xdr:rowOff>
        </xdr:to>
        <xdr:sp macro="" textlink="">
          <xdr:nvSpPr>
            <xdr:cNvPr id="439298" name="Group Box 2" hidden="1">
              <a:extLst>
                <a:ext uri="{63B3BB69-23CF-44E3-9099-C40C66FF867C}">
                  <a14:compatExt spid="_x0000_s439298"/>
                </a:ext>
                <a:ext uri="{FF2B5EF4-FFF2-40B4-BE49-F238E27FC236}">
                  <a16:creationId xmlns="" xmlns:a16="http://schemas.microsoft.com/office/drawing/2014/main" id="{00000000-0008-0000-2A00-000002B406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4</xdr:row>
          <xdr:rowOff>295275</xdr:rowOff>
        </xdr:from>
        <xdr:to>
          <xdr:col>1</xdr:col>
          <xdr:colOff>409575</xdr:colOff>
          <xdr:row>4</xdr:row>
          <xdr:rowOff>485775</xdr:rowOff>
        </xdr:to>
        <xdr:sp macro="" textlink="">
          <xdr:nvSpPr>
            <xdr:cNvPr id="439299" name="Option Button 3" descr="Current Month" hidden="1">
              <a:extLst>
                <a:ext uri="{63B3BB69-23CF-44E3-9099-C40C66FF867C}">
                  <a14:compatExt spid="_x0000_s439299"/>
                </a:ext>
                <a:ext uri="{FF2B5EF4-FFF2-40B4-BE49-F238E27FC236}">
                  <a16:creationId xmlns="" xmlns:a16="http://schemas.microsoft.com/office/drawing/2014/main" id="{00000000-0008-0000-2A00-000003B40600}"/>
                </a:ext>
              </a:extLst>
            </xdr:cNvPr>
            <xdr:cNvSpPr/>
          </xdr:nvSpPr>
          <xdr:spPr bwMode="auto">
            <a:xfrm>
              <a:off x="0" y="0"/>
              <a:ext cx="0" cy="0"/>
            </a:xfrm>
            <a:prstGeom prst="rect">
              <a:avLst/>
            </a:prstGeom>
            <a:solidFill>
              <a:srgbClr val="FFCCFF"/>
            </a:solidFill>
            <a:ln w="9525">
              <a:solidFill>
                <a:srgbClr val="1F497D"/>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Current Month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5</xdr:row>
          <xdr:rowOff>104775</xdr:rowOff>
        </xdr:from>
        <xdr:to>
          <xdr:col>1</xdr:col>
          <xdr:colOff>419100</xdr:colOff>
          <xdr:row>5</xdr:row>
          <xdr:rowOff>314325</xdr:rowOff>
        </xdr:to>
        <xdr:sp macro="" textlink="">
          <xdr:nvSpPr>
            <xdr:cNvPr id="439300" name="Option Button 4" hidden="1">
              <a:extLst>
                <a:ext uri="{63B3BB69-23CF-44E3-9099-C40C66FF867C}">
                  <a14:compatExt spid="_x0000_s439300"/>
                </a:ext>
                <a:ext uri="{FF2B5EF4-FFF2-40B4-BE49-F238E27FC236}">
                  <a16:creationId xmlns="" xmlns:a16="http://schemas.microsoft.com/office/drawing/2014/main" id="{00000000-0008-0000-2A00-000004B40600}"/>
                </a:ext>
              </a:extLst>
            </xdr:cNvPr>
            <xdr:cNvSpPr/>
          </xdr:nvSpPr>
          <xdr:spPr bwMode="auto">
            <a:xfrm>
              <a:off x="0" y="0"/>
              <a:ext cx="0" cy="0"/>
            </a:xfrm>
            <a:prstGeom prst="rect">
              <a:avLst/>
            </a:prstGeom>
            <a:solidFill>
              <a:srgbClr val="FFCCFF"/>
            </a:solidFill>
            <a:ln w="9525">
              <a:solidFill>
                <a:srgbClr val="1F497D"/>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Last 30 days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5</xdr:row>
          <xdr:rowOff>409575</xdr:rowOff>
        </xdr:from>
        <xdr:to>
          <xdr:col>1</xdr:col>
          <xdr:colOff>409575</xdr:colOff>
          <xdr:row>6</xdr:row>
          <xdr:rowOff>180975</xdr:rowOff>
        </xdr:to>
        <xdr:sp macro="" textlink="">
          <xdr:nvSpPr>
            <xdr:cNvPr id="439304" name="Option Button 8" hidden="1">
              <a:extLst>
                <a:ext uri="{63B3BB69-23CF-44E3-9099-C40C66FF867C}">
                  <a14:compatExt spid="_x0000_s439304"/>
                </a:ext>
                <a:ext uri="{FF2B5EF4-FFF2-40B4-BE49-F238E27FC236}">
                  <a16:creationId xmlns="" xmlns:a16="http://schemas.microsoft.com/office/drawing/2014/main" id="{00000000-0008-0000-2A00-000008B40600}"/>
                </a:ext>
              </a:extLst>
            </xdr:cNvPr>
            <xdr:cNvSpPr/>
          </xdr:nvSpPr>
          <xdr:spPr bwMode="auto">
            <a:xfrm>
              <a:off x="0" y="0"/>
              <a:ext cx="0" cy="0"/>
            </a:xfrm>
            <a:prstGeom prst="rect">
              <a:avLst/>
            </a:prstGeom>
            <a:solidFill>
              <a:srgbClr val="FFCCFF"/>
            </a:solidFill>
            <a:ln w="9525">
              <a:solidFill>
                <a:srgbClr val="000000"/>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Full Range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561975</xdr:colOff>
          <xdr:row>4</xdr:row>
          <xdr:rowOff>333375</xdr:rowOff>
        </xdr:from>
        <xdr:to>
          <xdr:col>2</xdr:col>
          <xdr:colOff>676275</xdr:colOff>
          <xdr:row>5</xdr:row>
          <xdr:rowOff>0</xdr:rowOff>
        </xdr:to>
        <xdr:sp macro="" textlink="">
          <xdr:nvSpPr>
            <xdr:cNvPr id="439306" name="Option Button 10" hidden="1">
              <a:extLst>
                <a:ext uri="{63B3BB69-23CF-44E3-9099-C40C66FF867C}">
                  <a14:compatExt spid="_x0000_s439306"/>
                </a:ext>
                <a:ext uri="{FF2B5EF4-FFF2-40B4-BE49-F238E27FC236}">
                  <a16:creationId xmlns="" xmlns:a16="http://schemas.microsoft.com/office/drawing/2014/main" id="{00000000-0008-0000-2A00-00000AB40600}"/>
                </a:ext>
              </a:extLst>
            </xdr:cNvPr>
            <xdr:cNvSpPr/>
          </xdr:nvSpPr>
          <xdr:spPr bwMode="auto">
            <a:xfrm>
              <a:off x="0" y="0"/>
              <a:ext cx="0" cy="0"/>
            </a:xfrm>
            <a:prstGeom prst="rect">
              <a:avLst/>
            </a:prstGeom>
            <a:solidFill>
              <a:srgbClr val="FFCCFF"/>
            </a:solidFill>
            <a:ln w="9525">
              <a:solidFill>
                <a:srgbClr val="000000"/>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Current FY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542925</xdr:colOff>
          <xdr:row>5</xdr:row>
          <xdr:rowOff>104775</xdr:rowOff>
        </xdr:from>
        <xdr:to>
          <xdr:col>2</xdr:col>
          <xdr:colOff>676275</xdr:colOff>
          <xdr:row>5</xdr:row>
          <xdr:rowOff>314325</xdr:rowOff>
        </xdr:to>
        <xdr:sp macro="" textlink="">
          <xdr:nvSpPr>
            <xdr:cNvPr id="439307" name="Option Button 11" hidden="1">
              <a:extLst>
                <a:ext uri="{63B3BB69-23CF-44E3-9099-C40C66FF867C}">
                  <a14:compatExt spid="_x0000_s439307"/>
                </a:ext>
                <a:ext uri="{FF2B5EF4-FFF2-40B4-BE49-F238E27FC236}">
                  <a16:creationId xmlns="" xmlns:a16="http://schemas.microsoft.com/office/drawing/2014/main" id="{00000000-0008-0000-2A00-00000BB40600}"/>
                </a:ext>
              </a:extLst>
            </xdr:cNvPr>
            <xdr:cNvSpPr/>
          </xdr:nvSpPr>
          <xdr:spPr bwMode="auto">
            <a:xfrm>
              <a:off x="0" y="0"/>
              <a:ext cx="0" cy="0"/>
            </a:xfrm>
            <a:prstGeom prst="rect">
              <a:avLst/>
            </a:prstGeom>
            <a:solidFill>
              <a:srgbClr val="FFCCFF"/>
            </a:solidFill>
            <a:ln w="9525">
              <a:solidFill>
                <a:srgbClr val="000000"/>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Current CY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561975</xdr:colOff>
          <xdr:row>5</xdr:row>
          <xdr:rowOff>409575</xdr:rowOff>
        </xdr:from>
        <xdr:to>
          <xdr:col>2</xdr:col>
          <xdr:colOff>685800</xdr:colOff>
          <xdr:row>6</xdr:row>
          <xdr:rowOff>180975</xdr:rowOff>
        </xdr:to>
        <xdr:sp macro="" textlink="">
          <xdr:nvSpPr>
            <xdr:cNvPr id="439308" name="Option Button 12" hidden="1">
              <a:extLst>
                <a:ext uri="{63B3BB69-23CF-44E3-9099-C40C66FF867C}">
                  <a14:compatExt spid="_x0000_s439308"/>
                </a:ext>
                <a:ext uri="{FF2B5EF4-FFF2-40B4-BE49-F238E27FC236}">
                  <a16:creationId xmlns="" xmlns:a16="http://schemas.microsoft.com/office/drawing/2014/main" id="{00000000-0008-0000-2A00-00000CB40600}"/>
                </a:ext>
              </a:extLst>
            </xdr:cNvPr>
            <xdr:cNvSpPr/>
          </xdr:nvSpPr>
          <xdr:spPr bwMode="auto">
            <a:xfrm>
              <a:off x="0" y="0"/>
              <a:ext cx="0" cy="0"/>
            </a:xfrm>
            <a:prstGeom prst="rect">
              <a:avLst/>
            </a:prstGeom>
            <a:solidFill>
              <a:srgbClr val="FFCCFF"/>
            </a:solidFill>
            <a:ln w="9525">
              <a:solidFill>
                <a:srgbClr val="000000"/>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Last 365  days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561975</xdr:colOff>
          <xdr:row>4</xdr:row>
          <xdr:rowOff>333375</xdr:rowOff>
        </xdr:from>
        <xdr:to>
          <xdr:col>2</xdr:col>
          <xdr:colOff>676275</xdr:colOff>
          <xdr:row>5</xdr:row>
          <xdr:rowOff>0</xdr:rowOff>
        </xdr:to>
        <xdr:sp macro="" textlink="">
          <xdr:nvSpPr>
            <xdr:cNvPr id="439312" name="Option Button 16" hidden="1">
              <a:extLst>
                <a:ext uri="{63B3BB69-23CF-44E3-9099-C40C66FF867C}">
                  <a14:compatExt spid="_x0000_s439312"/>
                </a:ext>
                <a:ext uri="{FF2B5EF4-FFF2-40B4-BE49-F238E27FC236}">
                  <a16:creationId xmlns="" xmlns:a16="http://schemas.microsoft.com/office/drawing/2014/main" id="{00000000-0008-0000-2A00-000010B40600}"/>
                </a:ext>
              </a:extLst>
            </xdr:cNvPr>
            <xdr:cNvSpPr/>
          </xdr:nvSpPr>
          <xdr:spPr bwMode="auto">
            <a:xfrm>
              <a:off x="0" y="0"/>
              <a:ext cx="0" cy="0"/>
            </a:xfrm>
            <a:prstGeom prst="rect">
              <a:avLst/>
            </a:prstGeom>
            <a:solidFill>
              <a:srgbClr val="FFCCFF"/>
            </a:solidFill>
            <a:ln w="9525">
              <a:solidFill>
                <a:srgbClr val="000000"/>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Current FY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542925</xdr:colOff>
          <xdr:row>5</xdr:row>
          <xdr:rowOff>104775</xdr:rowOff>
        </xdr:from>
        <xdr:to>
          <xdr:col>2</xdr:col>
          <xdr:colOff>676275</xdr:colOff>
          <xdr:row>5</xdr:row>
          <xdr:rowOff>314325</xdr:rowOff>
        </xdr:to>
        <xdr:sp macro="" textlink="">
          <xdr:nvSpPr>
            <xdr:cNvPr id="439313" name="Option Button 17" hidden="1">
              <a:extLst>
                <a:ext uri="{63B3BB69-23CF-44E3-9099-C40C66FF867C}">
                  <a14:compatExt spid="_x0000_s439313"/>
                </a:ext>
                <a:ext uri="{FF2B5EF4-FFF2-40B4-BE49-F238E27FC236}">
                  <a16:creationId xmlns="" xmlns:a16="http://schemas.microsoft.com/office/drawing/2014/main" id="{00000000-0008-0000-2A00-000011B40600}"/>
                </a:ext>
              </a:extLst>
            </xdr:cNvPr>
            <xdr:cNvSpPr/>
          </xdr:nvSpPr>
          <xdr:spPr bwMode="auto">
            <a:xfrm>
              <a:off x="0" y="0"/>
              <a:ext cx="0" cy="0"/>
            </a:xfrm>
            <a:prstGeom prst="rect">
              <a:avLst/>
            </a:prstGeom>
            <a:solidFill>
              <a:srgbClr val="FFCCFF"/>
            </a:solidFill>
            <a:ln w="9525">
              <a:solidFill>
                <a:srgbClr val="000000"/>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Current CY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561975</xdr:colOff>
          <xdr:row>5</xdr:row>
          <xdr:rowOff>409575</xdr:rowOff>
        </xdr:from>
        <xdr:to>
          <xdr:col>2</xdr:col>
          <xdr:colOff>685800</xdr:colOff>
          <xdr:row>6</xdr:row>
          <xdr:rowOff>180975</xdr:rowOff>
        </xdr:to>
        <xdr:sp macro="" textlink="">
          <xdr:nvSpPr>
            <xdr:cNvPr id="439314" name="Option Button 18" hidden="1">
              <a:extLst>
                <a:ext uri="{63B3BB69-23CF-44E3-9099-C40C66FF867C}">
                  <a14:compatExt spid="_x0000_s439314"/>
                </a:ext>
                <a:ext uri="{FF2B5EF4-FFF2-40B4-BE49-F238E27FC236}">
                  <a16:creationId xmlns="" xmlns:a16="http://schemas.microsoft.com/office/drawing/2014/main" id="{00000000-0008-0000-2A00-000012B40600}"/>
                </a:ext>
              </a:extLst>
            </xdr:cNvPr>
            <xdr:cNvSpPr/>
          </xdr:nvSpPr>
          <xdr:spPr bwMode="auto">
            <a:xfrm>
              <a:off x="0" y="0"/>
              <a:ext cx="0" cy="0"/>
            </a:xfrm>
            <a:prstGeom prst="rect">
              <a:avLst/>
            </a:prstGeom>
            <a:solidFill>
              <a:srgbClr val="FFCCFF"/>
            </a:solidFill>
            <a:ln w="9525">
              <a:solidFill>
                <a:srgbClr val="000000"/>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Last 365  days</a:t>
              </a:r>
            </a:p>
          </xdr:txBody>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200025</xdr:colOff>
          <xdr:row>12</xdr:row>
          <xdr:rowOff>219075</xdr:rowOff>
        </xdr:from>
        <xdr:to>
          <xdr:col>21</xdr:col>
          <xdr:colOff>47625</xdr:colOff>
          <xdr:row>17</xdr:row>
          <xdr:rowOff>104775</xdr:rowOff>
        </xdr:to>
        <xdr:sp macro="" textlink="">
          <xdr:nvSpPr>
            <xdr:cNvPr id="489473" name="Button 1" hidden="1">
              <a:extLst>
                <a:ext uri="{63B3BB69-23CF-44E3-9099-C40C66FF867C}">
                  <a14:compatExt spid="_x0000_s489473"/>
                </a:ext>
                <a:ext uri="{FF2B5EF4-FFF2-40B4-BE49-F238E27FC236}">
                  <a16:creationId xmlns="" xmlns:a16="http://schemas.microsoft.com/office/drawing/2014/main" id="{00000000-0008-0000-2B00-00000178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542925</xdr:colOff>
          <xdr:row>9</xdr:row>
          <xdr:rowOff>200025</xdr:rowOff>
        </xdr:from>
        <xdr:to>
          <xdr:col>20</xdr:col>
          <xdr:colOff>333375</xdr:colOff>
          <xdr:row>12</xdr:row>
          <xdr:rowOff>66675</xdr:rowOff>
        </xdr:to>
        <xdr:sp macro="" textlink="">
          <xdr:nvSpPr>
            <xdr:cNvPr id="489474" name="Button 2" hidden="1">
              <a:extLst>
                <a:ext uri="{63B3BB69-23CF-44E3-9099-C40C66FF867C}">
                  <a14:compatExt spid="_x0000_s489474"/>
                </a:ext>
                <a:ext uri="{FF2B5EF4-FFF2-40B4-BE49-F238E27FC236}">
                  <a16:creationId xmlns="" xmlns:a16="http://schemas.microsoft.com/office/drawing/2014/main" id="{00000000-0008-0000-2B00-00000278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Screenshot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85725</xdr:colOff>
          <xdr:row>0</xdr:row>
          <xdr:rowOff>142875</xdr:rowOff>
        </xdr:from>
        <xdr:to>
          <xdr:col>6</xdr:col>
          <xdr:colOff>466725</xdr:colOff>
          <xdr:row>5</xdr:row>
          <xdr:rowOff>104775</xdr:rowOff>
        </xdr:to>
        <xdr:sp macro="" textlink="">
          <xdr:nvSpPr>
            <xdr:cNvPr id="171009" name="Button 1" hidden="1">
              <a:extLst>
                <a:ext uri="{63B3BB69-23CF-44E3-9099-C40C66FF867C}">
                  <a14:compatExt spid="_x0000_s171009"/>
                </a:ext>
                <a:ext uri="{FF2B5EF4-FFF2-40B4-BE49-F238E27FC236}">
                  <a16:creationId xmlns="" xmlns:a16="http://schemas.microsoft.com/office/drawing/2014/main" id="{00000000-0008-0000-2D00-0000019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Dashboard</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xdr:from>
      <xdr:col>1</xdr:col>
      <xdr:colOff>523875</xdr:colOff>
      <xdr:row>1</xdr:row>
      <xdr:rowOff>166686</xdr:rowOff>
    </xdr:from>
    <xdr:to>
      <xdr:col>18</xdr:col>
      <xdr:colOff>314325</xdr:colOff>
      <xdr:row>28</xdr:row>
      <xdr:rowOff>166687</xdr:rowOff>
    </xdr:to>
    <xdr:graphicFrame macro="">
      <xdr:nvGraphicFramePr>
        <xdr:cNvPr id="2" name="Chart 1">
          <a:extLst>
            <a:ext uri="{FF2B5EF4-FFF2-40B4-BE49-F238E27FC236}">
              <a16:creationId xmlns="" xmlns:a16="http://schemas.microsoft.com/office/drawing/2014/main" id="{00000000-0008-0000-2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600075</xdr:colOff>
      <xdr:row>57</xdr:row>
      <xdr:rowOff>28575</xdr:rowOff>
    </xdr:from>
    <xdr:to>
      <xdr:col>18</xdr:col>
      <xdr:colOff>361950</xdr:colOff>
      <xdr:row>82</xdr:row>
      <xdr:rowOff>123825</xdr:rowOff>
    </xdr:to>
    <xdr:graphicFrame macro="">
      <xdr:nvGraphicFramePr>
        <xdr:cNvPr id="3" name="Chart 2">
          <a:extLst>
            <a:ext uri="{FF2B5EF4-FFF2-40B4-BE49-F238E27FC236}">
              <a16:creationId xmlns="" xmlns:a16="http://schemas.microsoft.com/office/drawing/2014/main" id="{00000000-0008-0000-2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523875</xdr:colOff>
      <xdr:row>29</xdr:row>
      <xdr:rowOff>85724</xdr:rowOff>
    </xdr:from>
    <xdr:to>
      <xdr:col>18</xdr:col>
      <xdr:colOff>352425</xdr:colOff>
      <xdr:row>56</xdr:row>
      <xdr:rowOff>133349</xdr:rowOff>
    </xdr:to>
    <xdr:graphicFrame macro="">
      <xdr:nvGraphicFramePr>
        <xdr:cNvPr id="4" name="Chart 3">
          <a:extLst>
            <a:ext uri="{FF2B5EF4-FFF2-40B4-BE49-F238E27FC236}">
              <a16:creationId xmlns="" xmlns:a16="http://schemas.microsoft.com/office/drawing/2014/main" id="{00000000-0008-0000-2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600074</xdr:colOff>
      <xdr:row>82</xdr:row>
      <xdr:rowOff>190499</xdr:rowOff>
    </xdr:from>
    <xdr:to>
      <xdr:col>18</xdr:col>
      <xdr:colOff>380999</xdr:colOff>
      <xdr:row>107</xdr:row>
      <xdr:rowOff>66674</xdr:rowOff>
    </xdr:to>
    <xdr:graphicFrame macro="">
      <xdr:nvGraphicFramePr>
        <xdr:cNvPr id="5" name="Chart 4">
          <a:extLst>
            <a:ext uri="{FF2B5EF4-FFF2-40B4-BE49-F238E27FC236}">
              <a16:creationId xmlns="" xmlns:a16="http://schemas.microsoft.com/office/drawing/2014/main" id="{00000000-0008-0000-2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xdr:colOff>
      <xdr:row>107</xdr:row>
      <xdr:rowOff>171449</xdr:rowOff>
    </xdr:from>
    <xdr:to>
      <xdr:col>18</xdr:col>
      <xdr:colOff>390525</xdr:colOff>
      <xdr:row>130</xdr:row>
      <xdr:rowOff>85725</xdr:rowOff>
    </xdr:to>
    <xdr:graphicFrame macro="">
      <xdr:nvGraphicFramePr>
        <xdr:cNvPr id="6" name="Chart 5">
          <a:extLst>
            <a:ext uri="{FF2B5EF4-FFF2-40B4-BE49-F238E27FC236}">
              <a16:creationId xmlns="" xmlns:a16="http://schemas.microsoft.com/office/drawing/2014/main" id="{00000000-0008-0000-2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131</xdr:row>
      <xdr:rowOff>38099</xdr:rowOff>
    </xdr:from>
    <xdr:to>
      <xdr:col>18</xdr:col>
      <xdr:colOff>466725</xdr:colOff>
      <xdr:row>155</xdr:row>
      <xdr:rowOff>66674</xdr:rowOff>
    </xdr:to>
    <xdr:graphicFrame macro="">
      <xdr:nvGraphicFramePr>
        <xdr:cNvPr id="7" name="Chart 6">
          <a:extLst>
            <a:ext uri="{FF2B5EF4-FFF2-40B4-BE49-F238E27FC236}">
              <a16:creationId xmlns="" xmlns:a16="http://schemas.microsoft.com/office/drawing/2014/main" id="{00000000-0008-0000-2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66674</xdr:colOff>
      <xdr:row>155</xdr:row>
      <xdr:rowOff>161924</xdr:rowOff>
    </xdr:from>
    <xdr:to>
      <xdr:col>18</xdr:col>
      <xdr:colOff>514349</xdr:colOff>
      <xdr:row>181</xdr:row>
      <xdr:rowOff>76199</xdr:rowOff>
    </xdr:to>
    <xdr:graphicFrame macro="">
      <xdr:nvGraphicFramePr>
        <xdr:cNvPr id="8" name="Chart 7">
          <a:extLst>
            <a:ext uri="{FF2B5EF4-FFF2-40B4-BE49-F238E27FC236}">
              <a16:creationId xmlns="" xmlns:a16="http://schemas.microsoft.com/office/drawing/2014/main" id="{00000000-0008-0000-2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xdr:from>
          <xdr:col>20</xdr:col>
          <xdr:colOff>123825</xdr:colOff>
          <xdr:row>1</xdr:row>
          <xdr:rowOff>161925</xdr:rowOff>
        </xdr:from>
        <xdr:to>
          <xdr:col>22</xdr:col>
          <xdr:colOff>161925</xdr:colOff>
          <xdr:row>19</xdr:row>
          <xdr:rowOff>66675</xdr:rowOff>
        </xdr:to>
        <xdr:sp macro="" textlink="">
          <xdr:nvSpPr>
            <xdr:cNvPr id="153601" name="Button 1" hidden="1">
              <a:extLst>
                <a:ext uri="{63B3BB69-23CF-44E3-9099-C40C66FF867C}">
                  <a14:compatExt spid="_x0000_s153601"/>
                </a:ext>
                <a:ext uri="{FF2B5EF4-FFF2-40B4-BE49-F238E27FC236}">
                  <a16:creationId xmlns="" xmlns:a16="http://schemas.microsoft.com/office/drawing/2014/main" id="{00000000-0008-0000-2E00-0000015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Dashboard</a:t>
              </a:r>
            </a:p>
          </xdr:txBody>
        </xdr:sp>
        <xdr:clientData fPrintsWithSheet="0"/>
      </xdr:twoCellAnchor>
    </mc:Choice>
    <mc:Fallback/>
  </mc:AlternateContent>
  <xdr:twoCellAnchor>
    <xdr:from>
      <xdr:col>1</xdr:col>
      <xdr:colOff>609599</xdr:colOff>
      <xdr:row>181</xdr:row>
      <xdr:rowOff>190499</xdr:rowOff>
    </xdr:from>
    <xdr:to>
      <xdr:col>18</xdr:col>
      <xdr:colOff>581025</xdr:colOff>
      <xdr:row>206</xdr:row>
      <xdr:rowOff>66674</xdr:rowOff>
    </xdr:to>
    <xdr:graphicFrame macro="">
      <xdr:nvGraphicFramePr>
        <xdr:cNvPr id="10" name="Chart 9">
          <a:extLst>
            <a:ext uri="{FF2B5EF4-FFF2-40B4-BE49-F238E27FC236}">
              <a16:creationId xmlns="" xmlns:a16="http://schemas.microsoft.com/office/drawing/2014/main" id="{00000000-0008-0000-2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609599</xdr:colOff>
      <xdr:row>208</xdr:row>
      <xdr:rowOff>0</xdr:rowOff>
    </xdr:from>
    <xdr:to>
      <xdr:col>19</xdr:col>
      <xdr:colOff>0</xdr:colOff>
      <xdr:row>235</xdr:row>
      <xdr:rowOff>95250</xdr:rowOff>
    </xdr:to>
    <xdr:graphicFrame macro="">
      <xdr:nvGraphicFramePr>
        <xdr:cNvPr id="11" name="Chart 10">
          <a:extLst>
            <a:ext uri="{FF2B5EF4-FFF2-40B4-BE49-F238E27FC236}">
              <a16:creationId xmlns="" xmlns:a16="http://schemas.microsoft.com/office/drawing/2014/main" id="{00000000-0008-0000-2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mc:AlternateContent xmlns:mc="http://schemas.openxmlformats.org/markup-compatibility/2006">
    <mc:Choice xmlns:a14="http://schemas.microsoft.com/office/drawing/2010/main" Requires="a14">
      <xdr:twoCellAnchor>
        <xdr:from>
          <xdr:col>20</xdr:col>
          <xdr:colOff>180975</xdr:colOff>
          <xdr:row>30</xdr:row>
          <xdr:rowOff>152400</xdr:rowOff>
        </xdr:from>
        <xdr:to>
          <xdr:col>22</xdr:col>
          <xdr:colOff>219075</xdr:colOff>
          <xdr:row>48</xdr:row>
          <xdr:rowOff>66675</xdr:rowOff>
        </xdr:to>
        <xdr:sp macro="" textlink="">
          <xdr:nvSpPr>
            <xdr:cNvPr id="153602" name="Button 2" hidden="1">
              <a:extLst>
                <a:ext uri="{63B3BB69-23CF-44E3-9099-C40C66FF867C}">
                  <a14:compatExt spid="_x0000_s153602"/>
                </a:ext>
                <a:ext uri="{FF2B5EF4-FFF2-40B4-BE49-F238E27FC236}">
                  <a16:creationId xmlns="" xmlns:a16="http://schemas.microsoft.com/office/drawing/2014/main" id="{00000000-0008-0000-2E00-0000025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180975</xdr:colOff>
          <xdr:row>83</xdr:row>
          <xdr:rowOff>85725</xdr:rowOff>
        </xdr:from>
        <xdr:to>
          <xdr:col>22</xdr:col>
          <xdr:colOff>219075</xdr:colOff>
          <xdr:row>100</xdr:row>
          <xdr:rowOff>180975</xdr:rowOff>
        </xdr:to>
        <xdr:sp macro="" textlink="">
          <xdr:nvSpPr>
            <xdr:cNvPr id="153603" name="Button 3" hidden="1">
              <a:extLst>
                <a:ext uri="{63B3BB69-23CF-44E3-9099-C40C66FF867C}">
                  <a14:compatExt spid="_x0000_s153603"/>
                </a:ext>
                <a:ext uri="{FF2B5EF4-FFF2-40B4-BE49-F238E27FC236}">
                  <a16:creationId xmlns="" xmlns:a16="http://schemas.microsoft.com/office/drawing/2014/main" id="{00000000-0008-0000-2E00-0000035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104775</xdr:colOff>
          <xdr:row>133</xdr:row>
          <xdr:rowOff>142875</xdr:rowOff>
        </xdr:from>
        <xdr:to>
          <xdr:col>22</xdr:col>
          <xdr:colOff>142875</xdr:colOff>
          <xdr:row>151</xdr:row>
          <xdr:rowOff>38100</xdr:rowOff>
        </xdr:to>
        <xdr:sp macro="" textlink="">
          <xdr:nvSpPr>
            <xdr:cNvPr id="153604" name="Button 4" hidden="1">
              <a:extLst>
                <a:ext uri="{63B3BB69-23CF-44E3-9099-C40C66FF867C}">
                  <a14:compatExt spid="_x0000_s153604"/>
                </a:ext>
                <a:ext uri="{FF2B5EF4-FFF2-40B4-BE49-F238E27FC236}">
                  <a16:creationId xmlns="" xmlns:a16="http://schemas.microsoft.com/office/drawing/2014/main" id="{00000000-0008-0000-2E00-0000045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180975</xdr:colOff>
          <xdr:row>183</xdr:row>
          <xdr:rowOff>104775</xdr:rowOff>
        </xdr:from>
        <xdr:to>
          <xdr:col>22</xdr:col>
          <xdr:colOff>219075</xdr:colOff>
          <xdr:row>201</xdr:row>
          <xdr:rowOff>0</xdr:rowOff>
        </xdr:to>
        <xdr:sp macro="" textlink="">
          <xdr:nvSpPr>
            <xdr:cNvPr id="153605" name="Button 5" hidden="1">
              <a:extLst>
                <a:ext uri="{63B3BB69-23CF-44E3-9099-C40C66FF867C}">
                  <a14:compatExt spid="_x0000_s153605"/>
                </a:ext>
                <a:ext uri="{FF2B5EF4-FFF2-40B4-BE49-F238E27FC236}">
                  <a16:creationId xmlns="" xmlns:a16="http://schemas.microsoft.com/office/drawing/2014/main" id="{00000000-0008-0000-2E00-0000055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Dashboard</a:t>
              </a:r>
            </a:p>
          </xdr:txBody>
        </xdr:sp>
        <xdr:clientData fPrintsWithSheet="0"/>
      </xdr:twoCellAnchor>
    </mc:Choice>
    <mc:Fallback/>
  </mc:AlternateContent>
  <xdr:twoCellAnchor>
    <xdr:from>
      <xdr:col>2</xdr:col>
      <xdr:colOff>0</xdr:colOff>
      <xdr:row>237</xdr:row>
      <xdr:rowOff>190499</xdr:rowOff>
    </xdr:from>
    <xdr:to>
      <xdr:col>19</xdr:col>
      <xdr:colOff>0</xdr:colOff>
      <xdr:row>257</xdr:row>
      <xdr:rowOff>142874</xdr:rowOff>
    </xdr:to>
    <xdr:graphicFrame macro="">
      <xdr:nvGraphicFramePr>
        <xdr:cNvPr id="16" name="Chart 15">
          <a:extLst>
            <a:ext uri="{FF2B5EF4-FFF2-40B4-BE49-F238E27FC236}">
              <a16:creationId xmlns="" xmlns:a16="http://schemas.microsoft.com/office/drawing/2014/main" id="{00000000-0008-0000-2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xdr:col>
      <xdr:colOff>609599</xdr:colOff>
      <xdr:row>259</xdr:row>
      <xdr:rowOff>190498</xdr:rowOff>
    </xdr:from>
    <xdr:to>
      <xdr:col>19</xdr:col>
      <xdr:colOff>47624</xdr:colOff>
      <xdr:row>283</xdr:row>
      <xdr:rowOff>76200</xdr:rowOff>
    </xdr:to>
    <xdr:graphicFrame macro="">
      <xdr:nvGraphicFramePr>
        <xdr:cNvPr id="17" name="Chart 16">
          <a:extLst>
            <a:ext uri="{FF2B5EF4-FFF2-40B4-BE49-F238E27FC236}">
              <a16:creationId xmlns="" xmlns:a16="http://schemas.microsoft.com/office/drawing/2014/main" id="{00000000-0008-0000-2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609599</xdr:colOff>
      <xdr:row>285</xdr:row>
      <xdr:rowOff>0</xdr:rowOff>
    </xdr:from>
    <xdr:to>
      <xdr:col>19</xdr:col>
      <xdr:colOff>85725</xdr:colOff>
      <xdr:row>304</xdr:row>
      <xdr:rowOff>114300</xdr:rowOff>
    </xdr:to>
    <xdr:graphicFrame macro="">
      <xdr:nvGraphicFramePr>
        <xdr:cNvPr id="18" name="Chart 17">
          <a:extLst>
            <a:ext uri="{FF2B5EF4-FFF2-40B4-BE49-F238E27FC236}">
              <a16:creationId xmlns="" xmlns:a16="http://schemas.microsoft.com/office/drawing/2014/main" id="{00000000-0008-0000-2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xdr:col>
      <xdr:colOff>609599</xdr:colOff>
      <xdr:row>305</xdr:row>
      <xdr:rowOff>190499</xdr:rowOff>
    </xdr:from>
    <xdr:to>
      <xdr:col>19</xdr:col>
      <xdr:colOff>133350</xdr:colOff>
      <xdr:row>329</xdr:row>
      <xdr:rowOff>95250</xdr:rowOff>
    </xdr:to>
    <xdr:graphicFrame macro="">
      <xdr:nvGraphicFramePr>
        <xdr:cNvPr id="19" name="Chart 18">
          <a:extLst>
            <a:ext uri="{FF2B5EF4-FFF2-40B4-BE49-F238E27FC236}">
              <a16:creationId xmlns="" xmlns:a16="http://schemas.microsoft.com/office/drawing/2014/main" id="{00000000-0008-0000-2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mc:AlternateContent xmlns:mc="http://schemas.openxmlformats.org/markup-compatibility/2006">
    <mc:Choice xmlns:a14="http://schemas.microsoft.com/office/drawing/2010/main" Requires="a14">
      <xdr:twoCellAnchor>
        <xdr:from>
          <xdr:col>20</xdr:col>
          <xdr:colOff>180975</xdr:colOff>
          <xdr:row>59</xdr:row>
          <xdr:rowOff>152400</xdr:rowOff>
        </xdr:from>
        <xdr:to>
          <xdr:col>22</xdr:col>
          <xdr:colOff>219075</xdr:colOff>
          <xdr:row>77</xdr:row>
          <xdr:rowOff>66675</xdr:rowOff>
        </xdr:to>
        <xdr:sp macro="" textlink="">
          <xdr:nvSpPr>
            <xdr:cNvPr id="153606" name="Button 6" hidden="1">
              <a:extLst>
                <a:ext uri="{63B3BB69-23CF-44E3-9099-C40C66FF867C}">
                  <a14:compatExt spid="_x0000_s153606"/>
                </a:ext>
                <a:ext uri="{FF2B5EF4-FFF2-40B4-BE49-F238E27FC236}">
                  <a16:creationId xmlns="" xmlns:a16="http://schemas.microsoft.com/office/drawing/2014/main" id="{00000000-0008-0000-2E00-0000065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66675</xdr:colOff>
          <xdr:row>109</xdr:row>
          <xdr:rowOff>152400</xdr:rowOff>
        </xdr:from>
        <xdr:to>
          <xdr:col>22</xdr:col>
          <xdr:colOff>104775</xdr:colOff>
          <xdr:row>127</xdr:row>
          <xdr:rowOff>66675</xdr:rowOff>
        </xdr:to>
        <xdr:sp macro="" textlink="">
          <xdr:nvSpPr>
            <xdr:cNvPr id="153607" name="Button 7" hidden="1">
              <a:extLst>
                <a:ext uri="{63B3BB69-23CF-44E3-9099-C40C66FF867C}">
                  <a14:compatExt spid="_x0000_s153607"/>
                </a:ext>
                <a:ext uri="{FF2B5EF4-FFF2-40B4-BE49-F238E27FC236}">
                  <a16:creationId xmlns="" xmlns:a16="http://schemas.microsoft.com/office/drawing/2014/main" id="{00000000-0008-0000-2E00-0000075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152400</xdr:colOff>
          <xdr:row>157</xdr:row>
          <xdr:rowOff>28575</xdr:rowOff>
        </xdr:from>
        <xdr:to>
          <xdr:col>22</xdr:col>
          <xdr:colOff>190500</xdr:colOff>
          <xdr:row>174</xdr:row>
          <xdr:rowOff>114300</xdr:rowOff>
        </xdr:to>
        <xdr:sp macro="" textlink="">
          <xdr:nvSpPr>
            <xdr:cNvPr id="153608" name="Button 8" hidden="1">
              <a:extLst>
                <a:ext uri="{63B3BB69-23CF-44E3-9099-C40C66FF867C}">
                  <a14:compatExt spid="_x0000_s153608"/>
                </a:ext>
                <a:ext uri="{FF2B5EF4-FFF2-40B4-BE49-F238E27FC236}">
                  <a16:creationId xmlns="" xmlns:a16="http://schemas.microsoft.com/office/drawing/2014/main" id="{00000000-0008-0000-2E00-0000085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161925</xdr:colOff>
          <xdr:row>209</xdr:row>
          <xdr:rowOff>9525</xdr:rowOff>
        </xdr:from>
        <xdr:to>
          <xdr:col>22</xdr:col>
          <xdr:colOff>200025</xdr:colOff>
          <xdr:row>226</xdr:row>
          <xdr:rowOff>104775</xdr:rowOff>
        </xdr:to>
        <xdr:sp macro="" textlink="">
          <xdr:nvSpPr>
            <xdr:cNvPr id="153609" name="Button 9" hidden="1">
              <a:extLst>
                <a:ext uri="{63B3BB69-23CF-44E3-9099-C40C66FF867C}">
                  <a14:compatExt spid="_x0000_s153609"/>
                </a:ext>
                <a:ext uri="{FF2B5EF4-FFF2-40B4-BE49-F238E27FC236}">
                  <a16:creationId xmlns="" xmlns:a16="http://schemas.microsoft.com/office/drawing/2014/main" id="{00000000-0008-0000-2E00-0000095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180975</xdr:colOff>
          <xdr:row>238</xdr:row>
          <xdr:rowOff>123825</xdr:rowOff>
        </xdr:from>
        <xdr:to>
          <xdr:col>22</xdr:col>
          <xdr:colOff>219075</xdr:colOff>
          <xdr:row>256</xdr:row>
          <xdr:rowOff>28575</xdr:rowOff>
        </xdr:to>
        <xdr:sp macro="" textlink="">
          <xdr:nvSpPr>
            <xdr:cNvPr id="153610" name="Button 10" hidden="1">
              <a:extLst>
                <a:ext uri="{63B3BB69-23CF-44E3-9099-C40C66FF867C}">
                  <a14:compatExt spid="_x0000_s153610"/>
                </a:ext>
                <a:ext uri="{FF2B5EF4-FFF2-40B4-BE49-F238E27FC236}">
                  <a16:creationId xmlns="" xmlns:a16="http://schemas.microsoft.com/office/drawing/2014/main" id="{00000000-0008-0000-2E00-00000A5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200025</xdr:colOff>
          <xdr:row>261</xdr:row>
          <xdr:rowOff>142875</xdr:rowOff>
        </xdr:from>
        <xdr:to>
          <xdr:col>22</xdr:col>
          <xdr:colOff>238125</xdr:colOff>
          <xdr:row>279</xdr:row>
          <xdr:rowOff>47625</xdr:rowOff>
        </xdr:to>
        <xdr:sp macro="" textlink="">
          <xdr:nvSpPr>
            <xdr:cNvPr id="153611" name="Button 11" hidden="1">
              <a:extLst>
                <a:ext uri="{63B3BB69-23CF-44E3-9099-C40C66FF867C}">
                  <a14:compatExt spid="_x0000_s153611"/>
                </a:ext>
                <a:ext uri="{FF2B5EF4-FFF2-40B4-BE49-F238E27FC236}">
                  <a16:creationId xmlns="" xmlns:a16="http://schemas.microsoft.com/office/drawing/2014/main" id="{00000000-0008-0000-2E00-00000B5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219075</xdr:colOff>
          <xdr:row>286</xdr:row>
          <xdr:rowOff>76200</xdr:rowOff>
        </xdr:from>
        <xdr:to>
          <xdr:col>22</xdr:col>
          <xdr:colOff>257175</xdr:colOff>
          <xdr:row>303</xdr:row>
          <xdr:rowOff>180975</xdr:rowOff>
        </xdr:to>
        <xdr:sp macro="" textlink="">
          <xdr:nvSpPr>
            <xdr:cNvPr id="153612" name="Button 12" hidden="1">
              <a:extLst>
                <a:ext uri="{63B3BB69-23CF-44E3-9099-C40C66FF867C}">
                  <a14:compatExt spid="_x0000_s153612"/>
                </a:ext>
                <a:ext uri="{FF2B5EF4-FFF2-40B4-BE49-F238E27FC236}">
                  <a16:creationId xmlns="" xmlns:a16="http://schemas.microsoft.com/office/drawing/2014/main" id="{00000000-0008-0000-2E00-00000C5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238125</xdr:colOff>
          <xdr:row>308</xdr:row>
          <xdr:rowOff>85725</xdr:rowOff>
        </xdr:from>
        <xdr:to>
          <xdr:col>22</xdr:col>
          <xdr:colOff>276225</xdr:colOff>
          <xdr:row>325</xdr:row>
          <xdr:rowOff>180975</xdr:rowOff>
        </xdr:to>
        <xdr:sp macro="" textlink="">
          <xdr:nvSpPr>
            <xdr:cNvPr id="153613" name="Button 13" hidden="1">
              <a:extLst>
                <a:ext uri="{63B3BB69-23CF-44E3-9099-C40C66FF867C}">
                  <a14:compatExt spid="_x0000_s153613"/>
                </a:ext>
                <a:ext uri="{FF2B5EF4-FFF2-40B4-BE49-F238E27FC236}">
                  <a16:creationId xmlns="" xmlns:a16="http://schemas.microsoft.com/office/drawing/2014/main" id="{00000000-0008-0000-2E00-00000D5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Dashboard</a:t>
              </a:r>
            </a:p>
          </xdr:txBody>
        </xdr:sp>
        <xdr:clientData fPrintsWithSheet="0"/>
      </xdr:twoCellAnchor>
    </mc:Choice>
    <mc:Fallback/>
  </mc:AlternateContent>
  <xdr:twoCellAnchor>
    <xdr:from>
      <xdr:col>1</xdr:col>
      <xdr:colOff>381000</xdr:colOff>
      <xdr:row>359</xdr:row>
      <xdr:rowOff>123825</xdr:rowOff>
    </xdr:from>
    <xdr:to>
      <xdr:col>19</xdr:col>
      <xdr:colOff>23813</xdr:colOff>
      <xdr:row>383</xdr:row>
      <xdr:rowOff>38101</xdr:rowOff>
    </xdr:to>
    <xdr:graphicFrame macro="">
      <xdr:nvGraphicFramePr>
        <xdr:cNvPr id="28" name="Chart 27">
          <a:extLst>
            <a:ext uri="{FF2B5EF4-FFF2-40B4-BE49-F238E27FC236}">
              <a16:creationId xmlns="" xmlns:a16="http://schemas.microsoft.com/office/drawing/2014/main" id="{00000000-0008-0000-2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xdr:col>
      <xdr:colOff>366712</xdr:colOff>
      <xdr:row>384</xdr:row>
      <xdr:rowOff>138112</xdr:rowOff>
    </xdr:from>
    <xdr:to>
      <xdr:col>19</xdr:col>
      <xdr:colOff>9525</xdr:colOff>
      <xdr:row>408</xdr:row>
      <xdr:rowOff>52388</xdr:rowOff>
    </xdr:to>
    <xdr:graphicFrame macro="">
      <xdr:nvGraphicFramePr>
        <xdr:cNvPr id="29" name="Chart 28">
          <a:extLst>
            <a:ext uri="{FF2B5EF4-FFF2-40B4-BE49-F238E27FC236}">
              <a16:creationId xmlns="" xmlns:a16="http://schemas.microsoft.com/office/drawing/2014/main" id="{00000000-0008-0000-2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xdr:col>
      <xdr:colOff>0</xdr:colOff>
      <xdr:row>331</xdr:row>
      <xdr:rowOff>0</xdr:rowOff>
    </xdr:from>
    <xdr:to>
      <xdr:col>19</xdr:col>
      <xdr:colOff>290513</xdr:colOff>
      <xdr:row>354</xdr:row>
      <xdr:rowOff>95251</xdr:rowOff>
    </xdr:to>
    <xdr:graphicFrame macro="">
      <xdr:nvGraphicFramePr>
        <xdr:cNvPr id="30" name="Chart 29">
          <a:extLst>
            <a:ext uri="{FF2B5EF4-FFF2-40B4-BE49-F238E27FC236}">
              <a16:creationId xmlns="" xmlns:a16="http://schemas.microsoft.com/office/drawing/2014/main" id="{00000000-0008-0000-2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mc:AlternateContent xmlns:mc="http://schemas.openxmlformats.org/markup-compatibility/2006">
    <mc:Choice xmlns:a14="http://schemas.microsoft.com/office/drawing/2010/main" Requires="a14">
      <xdr:twoCellAnchor>
        <xdr:from>
          <xdr:col>20</xdr:col>
          <xdr:colOff>304800</xdr:colOff>
          <xdr:row>333</xdr:row>
          <xdr:rowOff>85725</xdr:rowOff>
        </xdr:from>
        <xdr:to>
          <xdr:col>22</xdr:col>
          <xdr:colOff>342900</xdr:colOff>
          <xdr:row>351</xdr:row>
          <xdr:rowOff>0</xdr:rowOff>
        </xdr:to>
        <xdr:sp macro="" textlink="">
          <xdr:nvSpPr>
            <xdr:cNvPr id="153614" name="Button 14" hidden="1">
              <a:extLst>
                <a:ext uri="{63B3BB69-23CF-44E3-9099-C40C66FF867C}">
                  <a14:compatExt spid="_x0000_s153614"/>
                </a:ext>
                <a:ext uri="{FF2B5EF4-FFF2-40B4-BE49-F238E27FC236}">
                  <a16:creationId xmlns="" xmlns:a16="http://schemas.microsoft.com/office/drawing/2014/main" id="{00000000-0008-0000-2E00-00000E5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381000</xdr:colOff>
          <xdr:row>362</xdr:row>
          <xdr:rowOff>142875</xdr:rowOff>
        </xdr:from>
        <xdr:to>
          <xdr:col>22</xdr:col>
          <xdr:colOff>419100</xdr:colOff>
          <xdr:row>380</xdr:row>
          <xdr:rowOff>66675</xdr:rowOff>
        </xdr:to>
        <xdr:sp macro="" textlink="">
          <xdr:nvSpPr>
            <xdr:cNvPr id="153615" name="Button 15" hidden="1">
              <a:extLst>
                <a:ext uri="{63B3BB69-23CF-44E3-9099-C40C66FF867C}">
                  <a14:compatExt spid="_x0000_s153615"/>
                </a:ext>
                <a:ext uri="{FF2B5EF4-FFF2-40B4-BE49-F238E27FC236}">
                  <a16:creationId xmlns="" xmlns:a16="http://schemas.microsoft.com/office/drawing/2014/main" id="{00000000-0008-0000-2E00-00000F5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409575</xdr:colOff>
          <xdr:row>387</xdr:row>
          <xdr:rowOff>66675</xdr:rowOff>
        </xdr:from>
        <xdr:to>
          <xdr:col>22</xdr:col>
          <xdr:colOff>447675</xdr:colOff>
          <xdr:row>404</xdr:row>
          <xdr:rowOff>161925</xdr:rowOff>
        </xdr:to>
        <xdr:sp macro="" textlink="">
          <xdr:nvSpPr>
            <xdr:cNvPr id="153616" name="Button 16" hidden="1">
              <a:extLst>
                <a:ext uri="{63B3BB69-23CF-44E3-9099-C40C66FF867C}">
                  <a14:compatExt spid="_x0000_s153616"/>
                </a:ext>
                <a:ext uri="{FF2B5EF4-FFF2-40B4-BE49-F238E27FC236}">
                  <a16:creationId xmlns="" xmlns:a16="http://schemas.microsoft.com/office/drawing/2014/main" id="{00000000-0008-0000-2E00-0000105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495300</xdr:colOff>
          <xdr:row>0</xdr:row>
          <xdr:rowOff>123825</xdr:rowOff>
        </xdr:from>
        <xdr:to>
          <xdr:col>27</xdr:col>
          <xdr:colOff>104775</xdr:colOff>
          <xdr:row>0</xdr:row>
          <xdr:rowOff>542925</xdr:rowOff>
        </xdr:to>
        <xdr:sp macro="" textlink="">
          <xdr:nvSpPr>
            <xdr:cNvPr id="153617" name="Button 17" hidden="1">
              <a:extLst>
                <a:ext uri="{63B3BB69-23CF-44E3-9099-C40C66FF867C}">
                  <a14:compatExt spid="_x0000_s153617"/>
                </a:ext>
                <a:ext uri="{FF2B5EF4-FFF2-40B4-BE49-F238E27FC236}">
                  <a16:creationId xmlns="" xmlns:a16="http://schemas.microsoft.com/office/drawing/2014/main" id="{00000000-0008-0000-2E00-0000115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 Graph</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161925</xdr:rowOff>
        </xdr:from>
        <xdr:to>
          <xdr:col>10</xdr:col>
          <xdr:colOff>428625</xdr:colOff>
          <xdr:row>4</xdr:row>
          <xdr:rowOff>9525</xdr:rowOff>
        </xdr:to>
        <xdr:sp macro="" textlink="">
          <xdr:nvSpPr>
            <xdr:cNvPr id="8194" name="Button 2" hidden="1">
              <a:extLst>
                <a:ext uri="{63B3BB69-23CF-44E3-9099-C40C66FF867C}">
                  <a14:compatExt spid="_x0000_s8194"/>
                </a:ext>
                <a:ext uri="{FF2B5EF4-FFF2-40B4-BE49-F238E27FC236}">
                  <a16:creationId xmlns="" xmlns:a16="http://schemas.microsoft.com/office/drawing/2014/main" id="{00000000-0008-0000-2F00-000002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4</xdr:row>
          <xdr:rowOff>28575</xdr:rowOff>
        </xdr:from>
        <xdr:to>
          <xdr:col>10</xdr:col>
          <xdr:colOff>419100</xdr:colOff>
          <xdr:row>6</xdr:row>
          <xdr:rowOff>180975</xdr:rowOff>
        </xdr:to>
        <xdr:sp macro="" textlink="">
          <xdr:nvSpPr>
            <xdr:cNvPr id="8195" name="Button 3" hidden="1">
              <a:extLst>
                <a:ext uri="{63B3BB69-23CF-44E3-9099-C40C66FF867C}">
                  <a14:compatExt spid="_x0000_s8195"/>
                </a:ext>
                <a:ext uri="{FF2B5EF4-FFF2-40B4-BE49-F238E27FC236}">
                  <a16:creationId xmlns="" xmlns:a16="http://schemas.microsoft.com/office/drawing/2014/main" id="{00000000-0008-0000-2F00-000003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Calibri"/>
                  <a:cs typeface="Calibri"/>
                </a:rPr>
                <a:t>Back to Dashboard</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371475</xdr:colOff>
          <xdr:row>16</xdr:row>
          <xdr:rowOff>66675</xdr:rowOff>
        </xdr:from>
        <xdr:to>
          <xdr:col>25</xdr:col>
          <xdr:colOff>238125</xdr:colOff>
          <xdr:row>19</xdr:row>
          <xdr:rowOff>180975</xdr:rowOff>
        </xdr:to>
        <xdr:sp macro="" textlink="">
          <xdr:nvSpPr>
            <xdr:cNvPr id="394241" name="Button 1" hidden="1">
              <a:extLst>
                <a:ext uri="{63B3BB69-23CF-44E3-9099-C40C66FF867C}">
                  <a14:compatExt spid="_x0000_s394241"/>
                </a:ext>
                <a:ext uri="{FF2B5EF4-FFF2-40B4-BE49-F238E27FC236}">
                  <a16:creationId xmlns="" xmlns:a16="http://schemas.microsoft.com/office/drawing/2014/main" id="{00000000-0008-0000-3000-0000010406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371475</xdr:colOff>
          <xdr:row>11</xdr:row>
          <xdr:rowOff>123825</xdr:rowOff>
        </xdr:from>
        <xdr:to>
          <xdr:col>25</xdr:col>
          <xdr:colOff>200025</xdr:colOff>
          <xdr:row>15</xdr:row>
          <xdr:rowOff>104775</xdr:rowOff>
        </xdr:to>
        <xdr:sp macro="" textlink="">
          <xdr:nvSpPr>
            <xdr:cNvPr id="394242" name="Button 2" hidden="1">
              <a:extLst>
                <a:ext uri="{63B3BB69-23CF-44E3-9099-C40C66FF867C}">
                  <a14:compatExt spid="_x0000_s394242"/>
                </a:ext>
                <a:ext uri="{FF2B5EF4-FFF2-40B4-BE49-F238E27FC236}">
                  <a16:creationId xmlns="" xmlns:a16="http://schemas.microsoft.com/office/drawing/2014/main" id="{00000000-0008-0000-3000-0000020406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466725</xdr:colOff>
          <xdr:row>10</xdr:row>
          <xdr:rowOff>123825</xdr:rowOff>
        </xdr:from>
        <xdr:to>
          <xdr:col>25</xdr:col>
          <xdr:colOff>333375</xdr:colOff>
          <xdr:row>14</xdr:row>
          <xdr:rowOff>104775</xdr:rowOff>
        </xdr:to>
        <xdr:sp macro="" textlink="">
          <xdr:nvSpPr>
            <xdr:cNvPr id="144385" name="Button 1" hidden="1">
              <a:extLst>
                <a:ext uri="{63B3BB69-23CF-44E3-9099-C40C66FF867C}">
                  <a14:compatExt spid="_x0000_s144385"/>
                </a:ext>
                <a:ext uri="{FF2B5EF4-FFF2-40B4-BE49-F238E27FC236}">
                  <a16:creationId xmlns="" xmlns:a16="http://schemas.microsoft.com/office/drawing/2014/main" id="{00000000-0008-0000-3100-0000013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466725</xdr:colOff>
          <xdr:row>16</xdr:row>
          <xdr:rowOff>66675</xdr:rowOff>
        </xdr:from>
        <xdr:to>
          <xdr:col>25</xdr:col>
          <xdr:colOff>371475</xdr:colOff>
          <xdr:row>19</xdr:row>
          <xdr:rowOff>180975</xdr:rowOff>
        </xdr:to>
        <xdr:sp macro="" textlink="">
          <xdr:nvSpPr>
            <xdr:cNvPr id="144386" name="Button 2" hidden="1">
              <a:extLst>
                <a:ext uri="{63B3BB69-23CF-44E3-9099-C40C66FF867C}">
                  <a14:compatExt spid="_x0000_s144386"/>
                </a:ext>
                <a:ext uri="{FF2B5EF4-FFF2-40B4-BE49-F238E27FC236}">
                  <a16:creationId xmlns="" xmlns:a16="http://schemas.microsoft.com/office/drawing/2014/main" id="{00000000-0008-0000-3100-0000023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Dashboard</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333375</xdr:colOff>
          <xdr:row>11</xdr:row>
          <xdr:rowOff>104775</xdr:rowOff>
        </xdr:from>
        <xdr:to>
          <xdr:col>12</xdr:col>
          <xdr:colOff>600075</xdr:colOff>
          <xdr:row>15</xdr:row>
          <xdr:rowOff>190500</xdr:rowOff>
        </xdr:to>
        <xdr:sp macro="" textlink="">
          <xdr:nvSpPr>
            <xdr:cNvPr id="112641" name="Button 1" hidden="1">
              <a:extLst>
                <a:ext uri="{63B3BB69-23CF-44E3-9099-C40C66FF867C}">
                  <a14:compatExt spid="_x0000_s112641"/>
                </a:ext>
                <a:ext uri="{FF2B5EF4-FFF2-40B4-BE49-F238E27FC236}">
                  <a16:creationId xmlns="" xmlns:a16="http://schemas.microsoft.com/office/drawing/2014/main" id="{00000000-0008-0000-3200-000001B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342900</xdr:colOff>
          <xdr:row>6</xdr:row>
          <xdr:rowOff>219075</xdr:rowOff>
        </xdr:from>
        <xdr:to>
          <xdr:col>12</xdr:col>
          <xdr:colOff>609600</xdr:colOff>
          <xdr:row>9</xdr:row>
          <xdr:rowOff>190500</xdr:rowOff>
        </xdr:to>
        <xdr:sp macro="" textlink="">
          <xdr:nvSpPr>
            <xdr:cNvPr id="112642" name="Button 2" hidden="1">
              <a:extLst>
                <a:ext uri="{63B3BB69-23CF-44E3-9099-C40C66FF867C}">
                  <a14:compatExt spid="_x0000_s112642"/>
                </a:ext>
                <a:ext uri="{FF2B5EF4-FFF2-40B4-BE49-F238E27FC236}">
                  <a16:creationId xmlns="" xmlns:a16="http://schemas.microsoft.com/office/drawing/2014/main" id="{00000000-0008-0000-3200-000002B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EXPORT(and CLOSE the present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333375</xdr:colOff>
          <xdr:row>16</xdr:row>
          <xdr:rowOff>180975</xdr:rowOff>
        </xdr:from>
        <xdr:to>
          <xdr:col>12</xdr:col>
          <xdr:colOff>600075</xdr:colOff>
          <xdr:row>22</xdr:row>
          <xdr:rowOff>161925</xdr:rowOff>
        </xdr:to>
        <xdr:sp macro="" textlink="">
          <xdr:nvSpPr>
            <xdr:cNvPr id="112643" name="Button 3" hidden="1">
              <a:extLst>
                <a:ext uri="{63B3BB69-23CF-44E3-9099-C40C66FF867C}">
                  <a14:compatExt spid="_x0000_s112643"/>
                </a:ext>
                <a:ext uri="{FF2B5EF4-FFF2-40B4-BE49-F238E27FC236}">
                  <a16:creationId xmlns="" xmlns:a16="http://schemas.microsoft.com/office/drawing/2014/main" id="{00000000-0008-0000-3200-000003B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EXPORT IN FORMAT</a:t>
              </a:r>
            </a:p>
            <a:p>
              <a:pPr algn="ctr" rtl="0">
                <a:defRPr sz="1000"/>
              </a:pPr>
              <a:r>
                <a:rPr lang="en-US" sz="1400" b="0" i="0" u="none" strike="noStrike" baseline="0">
                  <a:solidFill>
                    <a:srgbClr val="000000"/>
                  </a:solidFill>
                  <a:latin typeface="Calibri"/>
                  <a:cs typeface="Calibri"/>
                </a:rPr>
                <a:t>(Close present WB)</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504825</xdr:colOff>
          <xdr:row>13</xdr:row>
          <xdr:rowOff>47625</xdr:rowOff>
        </xdr:from>
        <xdr:to>
          <xdr:col>22</xdr:col>
          <xdr:colOff>47625</xdr:colOff>
          <xdr:row>16</xdr:row>
          <xdr:rowOff>76200</xdr:rowOff>
        </xdr:to>
        <xdr:sp macro="" textlink="">
          <xdr:nvSpPr>
            <xdr:cNvPr id="80897" name="Button 1" hidden="1">
              <a:extLst>
                <a:ext uri="{63B3BB69-23CF-44E3-9099-C40C66FF867C}">
                  <a14:compatExt spid="_x0000_s80897"/>
                </a:ext>
                <a:ext uri="{FF2B5EF4-FFF2-40B4-BE49-F238E27FC236}">
                  <a16:creationId xmlns="" xmlns:a16="http://schemas.microsoft.com/office/drawing/2014/main" id="{00000000-0008-0000-3300-0000013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(and  CLOSE present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504825</xdr:colOff>
          <xdr:row>17</xdr:row>
          <xdr:rowOff>104775</xdr:rowOff>
        </xdr:from>
        <xdr:to>
          <xdr:col>22</xdr:col>
          <xdr:colOff>38100</xdr:colOff>
          <xdr:row>20</xdr:row>
          <xdr:rowOff>85725</xdr:rowOff>
        </xdr:to>
        <xdr:sp macro="" textlink="">
          <xdr:nvSpPr>
            <xdr:cNvPr id="80898" name="Button 2" hidden="1">
              <a:extLst>
                <a:ext uri="{63B3BB69-23CF-44E3-9099-C40C66FF867C}">
                  <a14:compatExt spid="_x0000_s80898"/>
                </a:ext>
                <a:ext uri="{FF2B5EF4-FFF2-40B4-BE49-F238E27FC236}">
                  <a16:creationId xmlns="" xmlns:a16="http://schemas.microsoft.com/office/drawing/2014/main" id="{00000000-0008-0000-3300-0000023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504825</xdr:colOff>
          <xdr:row>22</xdr:row>
          <xdr:rowOff>66675</xdr:rowOff>
        </xdr:from>
        <xdr:to>
          <xdr:col>22</xdr:col>
          <xdr:colOff>28575</xdr:colOff>
          <xdr:row>25</xdr:row>
          <xdr:rowOff>123825</xdr:rowOff>
        </xdr:to>
        <xdr:sp macro="" textlink="">
          <xdr:nvSpPr>
            <xdr:cNvPr id="80899" name="Button 3" hidden="1">
              <a:extLst>
                <a:ext uri="{63B3BB69-23CF-44E3-9099-C40C66FF867C}">
                  <a14:compatExt spid="_x0000_s80899"/>
                </a:ext>
                <a:ext uri="{FF2B5EF4-FFF2-40B4-BE49-F238E27FC236}">
                  <a16:creationId xmlns="" xmlns:a16="http://schemas.microsoft.com/office/drawing/2014/main" id="{00000000-0008-0000-3300-0000033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EXPORT IN FORMAT</a:t>
              </a:r>
            </a:p>
            <a:p>
              <a:pPr algn="ctr" rtl="0">
                <a:defRPr sz="1000"/>
              </a:pPr>
              <a:r>
                <a:rPr lang="en-US" sz="1400" b="0" i="0" u="none" strike="noStrike" baseline="0">
                  <a:solidFill>
                    <a:srgbClr val="000000"/>
                  </a:solidFill>
                  <a:latin typeface="Calibri"/>
                  <a:cs typeface="Calibri"/>
                </a:rPr>
                <a:t>(Close present WB)</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18</xdr:col>
          <xdr:colOff>504825</xdr:colOff>
          <xdr:row>13</xdr:row>
          <xdr:rowOff>47625</xdr:rowOff>
        </xdr:from>
        <xdr:to>
          <xdr:col>23</xdr:col>
          <xdr:colOff>47625</xdr:colOff>
          <xdr:row>16</xdr:row>
          <xdr:rowOff>76200</xdr:rowOff>
        </xdr:to>
        <xdr:sp macro="" textlink="">
          <xdr:nvSpPr>
            <xdr:cNvPr id="113665" name="Button 1" hidden="1">
              <a:extLst>
                <a:ext uri="{63B3BB69-23CF-44E3-9099-C40C66FF867C}">
                  <a14:compatExt spid="_x0000_s113665"/>
                </a:ext>
                <a:ext uri="{FF2B5EF4-FFF2-40B4-BE49-F238E27FC236}">
                  <a16:creationId xmlns="" xmlns:a16="http://schemas.microsoft.com/office/drawing/2014/main" id="{00000000-0008-0000-3400-000001B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(and  CLOSE Present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485775</xdr:colOff>
          <xdr:row>17</xdr:row>
          <xdr:rowOff>76200</xdr:rowOff>
        </xdr:from>
        <xdr:to>
          <xdr:col>23</xdr:col>
          <xdr:colOff>66675</xdr:colOff>
          <xdr:row>19</xdr:row>
          <xdr:rowOff>180975</xdr:rowOff>
        </xdr:to>
        <xdr:sp macro="" textlink="">
          <xdr:nvSpPr>
            <xdr:cNvPr id="113666" name="Button 2" hidden="1">
              <a:extLst>
                <a:ext uri="{63B3BB69-23CF-44E3-9099-C40C66FF867C}">
                  <a14:compatExt spid="_x0000_s113666"/>
                </a:ext>
                <a:ext uri="{FF2B5EF4-FFF2-40B4-BE49-F238E27FC236}">
                  <a16:creationId xmlns="" xmlns:a16="http://schemas.microsoft.com/office/drawing/2014/main" id="{00000000-0008-0000-3400-000002B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485775</xdr:colOff>
          <xdr:row>21</xdr:row>
          <xdr:rowOff>104775</xdr:rowOff>
        </xdr:from>
        <xdr:to>
          <xdr:col>22</xdr:col>
          <xdr:colOff>600075</xdr:colOff>
          <xdr:row>24</xdr:row>
          <xdr:rowOff>161925</xdr:rowOff>
        </xdr:to>
        <xdr:sp macro="" textlink="">
          <xdr:nvSpPr>
            <xdr:cNvPr id="113667" name="Button 3" hidden="1">
              <a:extLst>
                <a:ext uri="{63B3BB69-23CF-44E3-9099-C40C66FF867C}">
                  <a14:compatExt spid="_x0000_s113667"/>
                </a:ext>
                <a:ext uri="{FF2B5EF4-FFF2-40B4-BE49-F238E27FC236}">
                  <a16:creationId xmlns="" xmlns:a16="http://schemas.microsoft.com/office/drawing/2014/main" id="{00000000-0008-0000-3400-000003B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EXPORT IN FORMAT</a:t>
              </a:r>
            </a:p>
            <a:p>
              <a:pPr algn="ctr" rtl="0">
                <a:defRPr sz="1000"/>
              </a:pPr>
              <a:r>
                <a:rPr lang="en-US" sz="1400" b="0" i="0" u="none" strike="noStrike" baseline="0">
                  <a:solidFill>
                    <a:srgbClr val="000000"/>
                  </a:solidFill>
                  <a:latin typeface="Calibri"/>
                  <a:cs typeface="Calibri"/>
                </a:rPr>
                <a:t>(Close present WB)</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504825</xdr:colOff>
          <xdr:row>13</xdr:row>
          <xdr:rowOff>47625</xdr:rowOff>
        </xdr:from>
        <xdr:to>
          <xdr:col>22</xdr:col>
          <xdr:colOff>47625</xdr:colOff>
          <xdr:row>16</xdr:row>
          <xdr:rowOff>76200</xdr:rowOff>
        </xdr:to>
        <xdr:sp macro="" textlink="">
          <xdr:nvSpPr>
            <xdr:cNvPr id="78849" name="Button 1" hidden="1">
              <a:extLst>
                <a:ext uri="{63B3BB69-23CF-44E3-9099-C40C66FF867C}">
                  <a14:compatExt spid="_x0000_s78849"/>
                </a:ext>
                <a:ext uri="{FF2B5EF4-FFF2-40B4-BE49-F238E27FC236}">
                  <a16:creationId xmlns="" xmlns:a16="http://schemas.microsoft.com/office/drawing/2014/main" id="{00000000-0008-0000-3500-0000013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(and CLOSE present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523875</xdr:colOff>
          <xdr:row>17</xdr:row>
          <xdr:rowOff>190500</xdr:rowOff>
        </xdr:from>
        <xdr:to>
          <xdr:col>22</xdr:col>
          <xdr:colOff>28575</xdr:colOff>
          <xdr:row>20</xdr:row>
          <xdr:rowOff>142875</xdr:rowOff>
        </xdr:to>
        <xdr:sp macro="" textlink="">
          <xdr:nvSpPr>
            <xdr:cNvPr id="78850" name="Button 2" hidden="1">
              <a:extLst>
                <a:ext uri="{63B3BB69-23CF-44E3-9099-C40C66FF867C}">
                  <a14:compatExt spid="_x0000_s78850"/>
                </a:ext>
                <a:ext uri="{FF2B5EF4-FFF2-40B4-BE49-F238E27FC236}">
                  <a16:creationId xmlns="" xmlns:a16="http://schemas.microsoft.com/office/drawing/2014/main" id="{00000000-0008-0000-3500-0000023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Dashoard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523875</xdr:colOff>
          <xdr:row>21</xdr:row>
          <xdr:rowOff>219075</xdr:rowOff>
        </xdr:from>
        <xdr:to>
          <xdr:col>22</xdr:col>
          <xdr:colOff>38100</xdr:colOff>
          <xdr:row>25</xdr:row>
          <xdr:rowOff>28575</xdr:rowOff>
        </xdr:to>
        <xdr:sp macro="" textlink="">
          <xdr:nvSpPr>
            <xdr:cNvPr id="78851" name="Button 3" hidden="1">
              <a:extLst>
                <a:ext uri="{63B3BB69-23CF-44E3-9099-C40C66FF867C}">
                  <a14:compatExt spid="_x0000_s78851"/>
                </a:ext>
                <a:ext uri="{FF2B5EF4-FFF2-40B4-BE49-F238E27FC236}">
                  <a16:creationId xmlns="" xmlns:a16="http://schemas.microsoft.com/office/drawing/2014/main" id="{00000000-0008-0000-3500-0000033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EXPORT IN FORMAT</a:t>
              </a:r>
            </a:p>
            <a:p>
              <a:pPr algn="ctr" rtl="0">
                <a:defRPr sz="1000"/>
              </a:pPr>
              <a:r>
                <a:rPr lang="en-US" sz="1400" b="0" i="0" u="none" strike="noStrike" baseline="0">
                  <a:solidFill>
                    <a:srgbClr val="000000"/>
                  </a:solidFill>
                  <a:latin typeface="Calibri"/>
                  <a:cs typeface="Calibri"/>
                </a:rPr>
                <a:t>(Close present WB)</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371475</xdr:colOff>
          <xdr:row>9</xdr:row>
          <xdr:rowOff>161925</xdr:rowOff>
        </xdr:from>
        <xdr:to>
          <xdr:col>16</xdr:col>
          <xdr:colOff>523875</xdr:colOff>
          <xdr:row>12</xdr:row>
          <xdr:rowOff>190500</xdr:rowOff>
        </xdr:to>
        <xdr:sp macro="" textlink="">
          <xdr:nvSpPr>
            <xdr:cNvPr id="364545" name="Button 1" hidden="1">
              <a:extLst>
                <a:ext uri="{63B3BB69-23CF-44E3-9099-C40C66FF867C}">
                  <a14:compatExt spid="_x0000_s364545"/>
                </a:ext>
                <a:ext uri="{FF2B5EF4-FFF2-40B4-BE49-F238E27FC236}">
                  <a16:creationId xmlns="" xmlns:a16="http://schemas.microsoft.com/office/drawing/2014/main" id="{00000000-0008-0000-3600-00000190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(and CLOSE present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381000</xdr:colOff>
          <xdr:row>13</xdr:row>
          <xdr:rowOff>85725</xdr:rowOff>
        </xdr:from>
        <xdr:to>
          <xdr:col>16</xdr:col>
          <xdr:colOff>504825</xdr:colOff>
          <xdr:row>16</xdr:row>
          <xdr:rowOff>38100</xdr:rowOff>
        </xdr:to>
        <xdr:sp macro="" textlink="">
          <xdr:nvSpPr>
            <xdr:cNvPr id="364546" name="Button 2" hidden="1">
              <a:extLst>
                <a:ext uri="{63B3BB69-23CF-44E3-9099-C40C66FF867C}">
                  <a14:compatExt spid="_x0000_s364546"/>
                </a:ext>
                <a:ext uri="{FF2B5EF4-FFF2-40B4-BE49-F238E27FC236}">
                  <a16:creationId xmlns="" xmlns:a16="http://schemas.microsoft.com/office/drawing/2014/main" id="{00000000-0008-0000-3600-00000290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Dashoard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409575</xdr:colOff>
          <xdr:row>17</xdr:row>
          <xdr:rowOff>66675</xdr:rowOff>
        </xdr:from>
        <xdr:to>
          <xdr:col>16</xdr:col>
          <xdr:colOff>504825</xdr:colOff>
          <xdr:row>20</xdr:row>
          <xdr:rowOff>142875</xdr:rowOff>
        </xdr:to>
        <xdr:sp macro="" textlink="">
          <xdr:nvSpPr>
            <xdr:cNvPr id="364547" name="Button 3" hidden="1">
              <a:extLst>
                <a:ext uri="{63B3BB69-23CF-44E3-9099-C40C66FF867C}">
                  <a14:compatExt spid="_x0000_s364547"/>
                </a:ext>
                <a:ext uri="{FF2B5EF4-FFF2-40B4-BE49-F238E27FC236}">
                  <a16:creationId xmlns="" xmlns:a16="http://schemas.microsoft.com/office/drawing/2014/main" id="{00000000-0008-0000-3600-00000390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in format</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104775</xdr:colOff>
          <xdr:row>9</xdr:row>
          <xdr:rowOff>47625</xdr:rowOff>
        </xdr:from>
        <xdr:to>
          <xdr:col>17</xdr:col>
          <xdr:colOff>638175</xdr:colOff>
          <xdr:row>12</xdr:row>
          <xdr:rowOff>28575</xdr:rowOff>
        </xdr:to>
        <xdr:sp macro="" textlink="">
          <xdr:nvSpPr>
            <xdr:cNvPr id="146433" name="Button 1" hidden="1">
              <a:extLst>
                <a:ext uri="{63B3BB69-23CF-44E3-9099-C40C66FF867C}">
                  <a14:compatExt spid="_x0000_s146433"/>
                </a:ext>
                <a:ext uri="{FF2B5EF4-FFF2-40B4-BE49-F238E27FC236}">
                  <a16:creationId xmlns="" xmlns:a16="http://schemas.microsoft.com/office/drawing/2014/main" id="{00000000-0008-0000-3700-0000013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EXPORT(and CLOSE the present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114300</xdr:colOff>
          <xdr:row>13</xdr:row>
          <xdr:rowOff>66675</xdr:rowOff>
        </xdr:from>
        <xdr:to>
          <xdr:col>17</xdr:col>
          <xdr:colOff>619125</xdr:colOff>
          <xdr:row>16</xdr:row>
          <xdr:rowOff>66675</xdr:rowOff>
        </xdr:to>
        <xdr:sp macro="" textlink="">
          <xdr:nvSpPr>
            <xdr:cNvPr id="146434" name="Button 2" hidden="1">
              <a:extLst>
                <a:ext uri="{63B3BB69-23CF-44E3-9099-C40C66FF867C}">
                  <a14:compatExt spid="_x0000_s146434"/>
                </a:ext>
                <a:ext uri="{FF2B5EF4-FFF2-40B4-BE49-F238E27FC236}">
                  <a16:creationId xmlns="" xmlns:a16="http://schemas.microsoft.com/office/drawing/2014/main" id="{00000000-0008-0000-3700-0000023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Dashoard</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180975</xdr:colOff>
          <xdr:row>12</xdr:row>
          <xdr:rowOff>85725</xdr:rowOff>
        </xdr:from>
        <xdr:to>
          <xdr:col>21</xdr:col>
          <xdr:colOff>600075</xdr:colOff>
          <xdr:row>15</xdr:row>
          <xdr:rowOff>161925</xdr:rowOff>
        </xdr:to>
        <xdr:sp macro="" textlink="">
          <xdr:nvSpPr>
            <xdr:cNvPr id="147457" name="Button 1" hidden="1">
              <a:extLst>
                <a:ext uri="{63B3BB69-23CF-44E3-9099-C40C66FF867C}">
                  <a14:compatExt spid="_x0000_s147457"/>
                </a:ext>
                <a:ext uri="{FF2B5EF4-FFF2-40B4-BE49-F238E27FC236}">
                  <a16:creationId xmlns="" xmlns:a16="http://schemas.microsoft.com/office/drawing/2014/main" id="{00000000-0008-0000-3800-0000014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EXPORT(and CLOSE the present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180975</xdr:colOff>
          <xdr:row>17</xdr:row>
          <xdr:rowOff>142875</xdr:rowOff>
        </xdr:from>
        <xdr:to>
          <xdr:col>21</xdr:col>
          <xdr:colOff>600075</xdr:colOff>
          <xdr:row>19</xdr:row>
          <xdr:rowOff>352425</xdr:rowOff>
        </xdr:to>
        <xdr:sp macro="" textlink="">
          <xdr:nvSpPr>
            <xdr:cNvPr id="147458" name="Button 2" hidden="1">
              <a:extLst>
                <a:ext uri="{63B3BB69-23CF-44E3-9099-C40C66FF867C}">
                  <a14:compatExt spid="_x0000_s147458"/>
                </a:ext>
                <a:ext uri="{FF2B5EF4-FFF2-40B4-BE49-F238E27FC236}">
                  <a16:creationId xmlns="" xmlns:a16="http://schemas.microsoft.com/office/drawing/2014/main" id="{00000000-0008-0000-3800-0000024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Back to Dashboard</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561975</xdr:colOff>
          <xdr:row>4</xdr:row>
          <xdr:rowOff>104775</xdr:rowOff>
        </xdr:from>
        <xdr:to>
          <xdr:col>9</xdr:col>
          <xdr:colOff>561975</xdr:colOff>
          <xdr:row>8</xdr:row>
          <xdr:rowOff>28575</xdr:rowOff>
        </xdr:to>
        <xdr:sp macro="" textlink="">
          <xdr:nvSpPr>
            <xdr:cNvPr id="212993" name="Button 1" hidden="1">
              <a:extLst>
                <a:ext uri="{63B3BB69-23CF-44E3-9099-C40C66FF867C}">
                  <a14:compatExt spid="_x0000_s212993"/>
                </a:ext>
                <a:ext uri="{FF2B5EF4-FFF2-40B4-BE49-F238E27FC236}">
                  <a16:creationId xmlns="" xmlns:a16="http://schemas.microsoft.com/office/drawing/2014/main" id="{00000000-0008-0000-3900-0000014003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Calibri"/>
                  <a:cs typeface="Calibri"/>
                </a:rPr>
                <a:t>Back</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914400</xdr:colOff>
          <xdr:row>11</xdr:row>
          <xdr:rowOff>152400</xdr:rowOff>
        </xdr:from>
        <xdr:to>
          <xdr:col>18</xdr:col>
          <xdr:colOff>114300</xdr:colOff>
          <xdr:row>15</xdr:row>
          <xdr:rowOff>161925</xdr:rowOff>
        </xdr:to>
        <xdr:sp macro="" textlink="">
          <xdr:nvSpPr>
            <xdr:cNvPr id="188421" name="Button 5" hidden="1">
              <a:extLst>
                <a:ext uri="{63B3BB69-23CF-44E3-9099-C40C66FF867C}">
                  <a14:compatExt spid="_x0000_s188421"/>
                </a:ext>
                <a:ext uri="{FF2B5EF4-FFF2-40B4-BE49-F238E27FC236}">
                  <a16:creationId xmlns="" xmlns:a16="http://schemas.microsoft.com/office/drawing/2014/main" id="{00000000-0008-0000-3B00-000005E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EXPORT(and CLOSE the present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923925</xdr:colOff>
          <xdr:row>16</xdr:row>
          <xdr:rowOff>47625</xdr:rowOff>
        </xdr:from>
        <xdr:to>
          <xdr:col>18</xdr:col>
          <xdr:colOff>123825</xdr:colOff>
          <xdr:row>20</xdr:row>
          <xdr:rowOff>142875</xdr:rowOff>
        </xdr:to>
        <xdr:sp macro="" textlink="">
          <xdr:nvSpPr>
            <xdr:cNvPr id="188422" name="Button 6" hidden="1">
              <a:extLst>
                <a:ext uri="{63B3BB69-23CF-44E3-9099-C40C66FF867C}">
                  <a14:compatExt spid="_x0000_s188422"/>
                </a:ext>
                <a:ext uri="{FF2B5EF4-FFF2-40B4-BE49-F238E27FC236}">
                  <a16:creationId xmlns="" xmlns:a16="http://schemas.microsoft.com/office/drawing/2014/main" id="{00000000-0008-0000-3B00-000006E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Back to 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942975</xdr:colOff>
          <xdr:row>21</xdr:row>
          <xdr:rowOff>38100</xdr:rowOff>
        </xdr:from>
        <xdr:to>
          <xdr:col>18</xdr:col>
          <xdr:colOff>123825</xdr:colOff>
          <xdr:row>26</xdr:row>
          <xdr:rowOff>47625</xdr:rowOff>
        </xdr:to>
        <xdr:sp macro="" textlink="">
          <xdr:nvSpPr>
            <xdr:cNvPr id="188423" name="Button 7" hidden="1">
              <a:extLst>
                <a:ext uri="{63B3BB69-23CF-44E3-9099-C40C66FF867C}">
                  <a14:compatExt spid="_x0000_s188423"/>
                </a:ext>
                <a:ext uri="{FF2B5EF4-FFF2-40B4-BE49-F238E27FC236}">
                  <a16:creationId xmlns="" xmlns:a16="http://schemas.microsoft.com/office/drawing/2014/main" id="{00000000-0008-0000-3B00-000007E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EXPORT IN FORMAT</a:t>
              </a:r>
            </a:p>
            <a:p>
              <a:pPr algn="ctr" rtl="0">
                <a:defRPr sz="1000"/>
              </a:pPr>
              <a:r>
                <a:rPr lang="en-US" sz="1400" b="0" i="0" u="none" strike="noStrike" baseline="0">
                  <a:solidFill>
                    <a:srgbClr val="000000"/>
                  </a:solidFill>
                  <a:latin typeface="Calibri"/>
                  <a:cs typeface="Calibri"/>
                </a:rPr>
                <a:t>(Close present WB)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923925</xdr:colOff>
          <xdr:row>26</xdr:row>
          <xdr:rowOff>180975</xdr:rowOff>
        </xdr:from>
        <xdr:to>
          <xdr:col>18</xdr:col>
          <xdr:colOff>152400</xdr:colOff>
          <xdr:row>31</xdr:row>
          <xdr:rowOff>180975</xdr:rowOff>
        </xdr:to>
        <xdr:sp macro="" textlink="">
          <xdr:nvSpPr>
            <xdr:cNvPr id="188425" name="Button 9" hidden="1">
              <a:extLst>
                <a:ext uri="{63B3BB69-23CF-44E3-9099-C40C66FF867C}">
                  <a14:compatExt spid="_x0000_s188425"/>
                </a:ext>
                <a:ext uri="{FF2B5EF4-FFF2-40B4-BE49-F238E27FC236}">
                  <a16:creationId xmlns="" xmlns:a16="http://schemas.microsoft.com/office/drawing/2014/main" id="{00000000-0008-0000-3B00-000009E0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Calibri"/>
                  <a:cs typeface="Calibri"/>
                </a:rPr>
                <a:t>Alter standardised rates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ovl-fs\MIS_Operations_Directorate\Users\mtc_assistance\Desktop\2024\Production_Dashboard2025052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rryforward_cf"/>
      <sheetName val="from CP sheet"/>
      <sheetName val="Approval_format"/>
      <sheetName val="ACG"/>
      <sheetName val="BC10"/>
      <sheetName val="MECL"/>
      <sheetName val="A1A3"/>
      <sheetName val="Sakhalin"/>
      <sheetName val="IEC"/>
      <sheetName val="Vankor"/>
      <sheetName val="Vietnam"/>
      <sheetName val="Carabobo"/>
      <sheetName val="Sancristobal"/>
      <sheetName val="LZC"/>
      <sheetName val="GPOC"/>
      <sheetName val="SPOC"/>
      <sheetName val="CPO5"/>
      <sheetName val="CF_lat"/>
      <sheetName val="DPRavg"/>
      <sheetName val="non-reconprod"/>
      <sheetName val="interFY_transition"/>
      <sheetName val="Processed_Reconciled Prod"/>
      <sheetName val="Previous year"/>
      <sheetName val="Storage_Targets"/>
      <sheetName val="BEREMOU"/>
      <sheetName val="Targets-chosen"/>
      <sheetName val="YTDtarget"/>
      <sheetName val="Target_monthwise"/>
      <sheetName val="DTR"/>
      <sheetName val="Tables"/>
      <sheetName val="Charts-OVL"/>
      <sheetName val="Charts-MENA CIS"/>
      <sheetName val="Charts-LAC"/>
      <sheetName val="Charts-AP"/>
      <sheetName val="Charts-Russia"/>
      <sheetName val="YTD display"/>
      <sheetName val="Asking Rate"/>
      <sheetName val="2FY"/>
      <sheetName val="prod_compiled"/>
      <sheetName val="mtd&amp;ytd"/>
      <sheetName val="Dashboard"/>
      <sheetName val="DPR"/>
      <sheetName val="OperProdn Loss"/>
      <sheetName val="Prodn Loss"/>
      <sheetName val="report_prodlosscompiled"/>
      <sheetName val="Internal"/>
      <sheetName val="LBL"/>
      <sheetName val="all_remarks"/>
      <sheetName val="Graphs_full"/>
      <sheetName val="YTD_ach"/>
      <sheetName val="Prodn Data 24-25"/>
      <sheetName val="report_prodcompiled"/>
      <sheetName val="Gap_analysis"/>
      <sheetName val="Quarterly Analysis"/>
      <sheetName val="Yearly Analysis"/>
      <sheetName val="Monthly analysis"/>
      <sheetName val="YoY"/>
      <sheetName val="Previous Comp"/>
      <sheetName val="Mat_Balance"/>
      <sheetName val="Standardised rates"/>
      <sheetName val="reference_points"/>
      <sheetName val="Comparison_between_ref_points"/>
      <sheetName val="Storage_Reconciled_prod"/>
      <sheetName val="Storage_rounded_off_prod"/>
      <sheetName val="Storage_Reconciled_prod_chosen"/>
      <sheetName val="Dropdowns"/>
      <sheetName val="Production_Dashboard20250526"/>
    </sheetNames>
    <definedNames>
      <definedName name="CurrentCY_Click"/>
      <definedName name="CurrentFY_Click"/>
      <definedName name="Last365_Click"/>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refreshError="1"/>
    </sheetDataSet>
  </externalBook>
</externalLink>
</file>

<file path=xl/persons/person.xml><?xml version="1.0" encoding="utf-8"?>
<personList xmlns="http://schemas.microsoft.com/office/spreadsheetml/2018/threadedcomments" xmlns:x="http://schemas.openxmlformats.org/spreadsheetml/2006/main">
  <person displayName="Technical Cell" id="{5026B431-E5E1-4898-ABE1-ED7ED9A3C456}" userId="S::Technical_Cell@ongcvidesh.in::20ad945a-7c83-4a99-a7b8-04757c79eabd" providerId="AD"/>
</personList>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N47" dT="2024-12-23T10:12:47.25" personId="{5026B431-E5E1-4898-ABE1-ED7ED9A3C456}" id="{BAE7A809-1376-432D-89B1-36FBF6EA7E0D}">
    <text>0.195496639048121 MMT arrears since Jan’24 added</text>
  </threadedComment>
  <threadedComment ref="N66" dT="2024-12-23T10:13:44.65" personId="{5026B431-E5E1-4898-ABE1-ED7ED9A3C456}" id="{78F40B4D-E1A5-4D26-836A-467E8D39F2E6}">
    <text>0.0393485327513369 BCM arrears since Jan’24 added</text>
  </threadedComment>
</ThreadedComment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microsoft.com/office/2017/10/relationships/threadedComment" Target="../threadedComments/threadedComment1.xml"/><Relationship Id="rId5" Type="http://schemas.openxmlformats.org/officeDocument/2006/relationships/comments" Target="../comments1.xml"/><Relationship Id="rId4" Type="http://schemas.openxmlformats.org/officeDocument/2006/relationships/ctrlProp" Target="../ctrlProps/ctrlProp3.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9.bin"/><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0.bin"/><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11.bin"/><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2.bin"/><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3.bin"/><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4.bin"/><Relationship Id="rId4" Type="http://schemas.openxmlformats.org/officeDocument/2006/relationships/ctrlProp" Target="../ctrlProps/ctrlProp20.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5.bin"/><Relationship Id="rId6" Type="http://schemas.openxmlformats.org/officeDocument/2006/relationships/ctrlProp" Target="../ctrlProps/ctrlProp23.xml"/><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6.bin"/><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41.xml.rels><?xml version="1.0" encoding="UTF-8" standalone="yes"?>
<Relationships xmlns="http://schemas.openxmlformats.org/package/2006/relationships"><Relationship Id="rId13" Type="http://schemas.openxmlformats.org/officeDocument/2006/relationships/ctrlProp" Target="../ctrlProps/ctrlProp35.xml"/><Relationship Id="rId18" Type="http://schemas.openxmlformats.org/officeDocument/2006/relationships/ctrlProp" Target="../ctrlProps/ctrlProp40.xml"/><Relationship Id="rId26" Type="http://schemas.openxmlformats.org/officeDocument/2006/relationships/ctrlProp" Target="../ctrlProps/ctrlProp48.xml"/><Relationship Id="rId3" Type="http://schemas.openxmlformats.org/officeDocument/2006/relationships/vmlDrawing" Target="../drawings/vmlDrawing14.vml"/><Relationship Id="rId21" Type="http://schemas.openxmlformats.org/officeDocument/2006/relationships/ctrlProp" Target="../ctrlProps/ctrlProp43.xml"/><Relationship Id="rId34" Type="http://schemas.openxmlformats.org/officeDocument/2006/relationships/ctrlProp" Target="../ctrlProps/ctrlProp56.xml"/><Relationship Id="rId7" Type="http://schemas.openxmlformats.org/officeDocument/2006/relationships/ctrlProp" Target="../ctrlProps/ctrlProp29.xml"/><Relationship Id="rId12" Type="http://schemas.openxmlformats.org/officeDocument/2006/relationships/ctrlProp" Target="../ctrlProps/ctrlProp34.xml"/><Relationship Id="rId17" Type="http://schemas.openxmlformats.org/officeDocument/2006/relationships/ctrlProp" Target="../ctrlProps/ctrlProp39.xml"/><Relationship Id="rId25" Type="http://schemas.openxmlformats.org/officeDocument/2006/relationships/ctrlProp" Target="../ctrlProps/ctrlProp47.xml"/><Relationship Id="rId33" Type="http://schemas.openxmlformats.org/officeDocument/2006/relationships/ctrlProp" Target="../ctrlProps/ctrlProp55.xml"/><Relationship Id="rId2" Type="http://schemas.openxmlformats.org/officeDocument/2006/relationships/drawing" Target="../drawings/drawing15.xml"/><Relationship Id="rId16" Type="http://schemas.openxmlformats.org/officeDocument/2006/relationships/ctrlProp" Target="../ctrlProps/ctrlProp38.xml"/><Relationship Id="rId20" Type="http://schemas.openxmlformats.org/officeDocument/2006/relationships/ctrlProp" Target="../ctrlProps/ctrlProp42.xml"/><Relationship Id="rId29" Type="http://schemas.openxmlformats.org/officeDocument/2006/relationships/ctrlProp" Target="../ctrlProps/ctrlProp51.xml"/><Relationship Id="rId1" Type="http://schemas.openxmlformats.org/officeDocument/2006/relationships/printerSettings" Target="../printerSettings/printerSettings17.bin"/><Relationship Id="rId6" Type="http://schemas.openxmlformats.org/officeDocument/2006/relationships/ctrlProp" Target="../ctrlProps/ctrlProp28.xml"/><Relationship Id="rId11" Type="http://schemas.openxmlformats.org/officeDocument/2006/relationships/ctrlProp" Target="../ctrlProps/ctrlProp33.xml"/><Relationship Id="rId24" Type="http://schemas.openxmlformats.org/officeDocument/2006/relationships/ctrlProp" Target="../ctrlProps/ctrlProp46.xml"/><Relationship Id="rId32" Type="http://schemas.openxmlformats.org/officeDocument/2006/relationships/ctrlProp" Target="../ctrlProps/ctrlProp54.xml"/><Relationship Id="rId5" Type="http://schemas.openxmlformats.org/officeDocument/2006/relationships/ctrlProp" Target="../ctrlProps/ctrlProp27.xml"/><Relationship Id="rId15" Type="http://schemas.openxmlformats.org/officeDocument/2006/relationships/ctrlProp" Target="../ctrlProps/ctrlProp37.xml"/><Relationship Id="rId23" Type="http://schemas.openxmlformats.org/officeDocument/2006/relationships/ctrlProp" Target="../ctrlProps/ctrlProp45.xml"/><Relationship Id="rId28" Type="http://schemas.openxmlformats.org/officeDocument/2006/relationships/ctrlProp" Target="../ctrlProps/ctrlProp50.xml"/><Relationship Id="rId10" Type="http://schemas.openxmlformats.org/officeDocument/2006/relationships/ctrlProp" Target="../ctrlProps/ctrlProp32.xml"/><Relationship Id="rId19" Type="http://schemas.openxmlformats.org/officeDocument/2006/relationships/ctrlProp" Target="../ctrlProps/ctrlProp41.xml"/><Relationship Id="rId31" Type="http://schemas.openxmlformats.org/officeDocument/2006/relationships/ctrlProp" Target="../ctrlProps/ctrlProp53.xml"/><Relationship Id="rId4" Type="http://schemas.openxmlformats.org/officeDocument/2006/relationships/ctrlProp" Target="../ctrlProps/ctrlProp26.xml"/><Relationship Id="rId9" Type="http://schemas.openxmlformats.org/officeDocument/2006/relationships/ctrlProp" Target="../ctrlProps/ctrlProp31.xml"/><Relationship Id="rId14" Type="http://schemas.openxmlformats.org/officeDocument/2006/relationships/ctrlProp" Target="../ctrlProps/ctrlProp36.xml"/><Relationship Id="rId22" Type="http://schemas.openxmlformats.org/officeDocument/2006/relationships/ctrlProp" Target="../ctrlProps/ctrlProp44.xml"/><Relationship Id="rId27" Type="http://schemas.openxmlformats.org/officeDocument/2006/relationships/ctrlProp" Target="../ctrlProps/ctrlProp49.xml"/><Relationship Id="rId30" Type="http://schemas.openxmlformats.org/officeDocument/2006/relationships/ctrlProp" Target="../ctrlProps/ctrlProp52.xml"/><Relationship Id="rId35" Type="http://schemas.openxmlformats.org/officeDocument/2006/relationships/ctrlProp" Target="../ctrlProps/ctrlProp57.xml"/><Relationship Id="rId8" Type="http://schemas.openxmlformats.org/officeDocument/2006/relationships/ctrlProp" Target="../ctrlProps/ctrlProp30.xml"/></Relationships>
</file>

<file path=xl/worksheets/_rels/sheet42.xml.rels><?xml version="1.0" encoding="UTF-8" standalone="yes"?>
<Relationships xmlns="http://schemas.openxmlformats.org/package/2006/relationships"><Relationship Id="rId8" Type="http://schemas.openxmlformats.org/officeDocument/2006/relationships/ctrlProp" Target="../ctrlProps/ctrlProp62.xml"/><Relationship Id="rId13" Type="http://schemas.openxmlformats.org/officeDocument/2006/relationships/ctrlProp" Target="../ctrlProps/ctrlProp67.xml"/><Relationship Id="rId18" Type="http://schemas.openxmlformats.org/officeDocument/2006/relationships/ctrlProp" Target="../ctrlProps/ctrlProp72.xml"/><Relationship Id="rId3" Type="http://schemas.openxmlformats.org/officeDocument/2006/relationships/vmlDrawing" Target="../drawings/vmlDrawing15.vml"/><Relationship Id="rId7" Type="http://schemas.openxmlformats.org/officeDocument/2006/relationships/ctrlProp" Target="../ctrlProps/ctrlProp61.xml"/><Relationship Id="rId12" Type="http://schemas.openxmlformats.org/officeDocument/2006/relationships/ctrlProp" Target="../ctrlProps/ctrlProp66.xml"/><Relationship Id="rId17" Type="http://schemas.openxmlformats.org/officeDocument/2006/relationships/ctrlProp" Target="../ctrlProps/ctrlProp71.xml"/><Relationship Id="rId2" Type="http://schemas.openxmlformats.org/officeDocument/2006/relationships/drawing" Target="../drawings/drawing16.xml"/><Relationship Id="rId16" Type="http://schemas.openxmlformats.org/officeDocument/2006/relationships/ctrlProp" Target="../ctrlProps/ctrlProp70.xml"/><Relationship Id="rId1" Type="http://schemas.openxmlformats.org/officeDocument/2006/relationships/printerSettings" Target="../printerSettings/printerSettings18.bin"/><Relationship Id="rId6" Type="http://schemas.openxmlformats.org/officeDocument/2006/relationships/ctrlProp" Target="../ctrlProps/ctrlProp60.xml"/><Relationship Id="rId11" Type="http://schemas.openxmlformats.org/officeDocument/2006/relationships/ctrlProp" Target="../ctrlProps/ctrlProp65.xml"/><Relationship Id="rId5" Type="http://schemas.openxmlformats.org/officeDocument/2006/relationships/ctrlProp" Target="../ctrlProps/ctrlProp59.xml"/><Relationship Id="rId15" Type="http://schemas.openxmlformats.org/officeDocument/2006/relationships/ctrlProp" Target="../ctrlProps/ctrlProp69.xml"/><Relationship Id="rId10" Type="http://schemas.openxmlformats.org/officeDocument/2006/relationships/ctrlProp" Target="../ctrlProps/ctrlProp64.xml"/><Relationship Id="rId4" Type="http://schemas.openxmlformats.org/officeDocument/2006/relationships/ctrlProp" Target="../ctrlProps/ctrlProp58.xml"/><Relationship Id="rId9" Type="http://schemas.openxmlformats.org/officeDocument/2006/relationships/ctrlProp" Target="../ctrlProps/ctrlProp63.xml"/><Relationship Id="rId14" Type="http://schemas.openxmlformats.org/officeDocument/2006/relationships/ctrlProp" Target="../ctrlProps/ctrlProp68.xml"/></Relationships>
</file>

<file path=xl/worksheets/_rels/sheet43.xml.rels><?xml version="1.0" encoding="UTF-8" standalone="yes"?>
<Relationships xmlns="http://schemas.openxmlformats.org/package/2006/relationships"><Relationship Id="rId8" Type="http://schemas.openxmlformats.org/officeDocument/2006/relationships/ctrlProp" Target="../ctrlProps/ctrlProp77.xml"/><Relationship Id="rId13" Type="http://schemas.openxmlformats.org/officeDocument/2006/relationships/ctrlProp" Target="../ctrlProps/ctrlProp82.xml"/><Relationship Id="rId3" Type="http://schemas.openxmlformats.org/officeDocument/2006/relationships/vmlDrawing" Target="../drawings/vmlDrawing16.vml"/><Relationship Id="rId7" Type="http://schemas.openxmlformats.org/officeDocument/2006/relationships/ctrlProp" Target="../ctrlProps/ctrlProp76.xml"/><Relationship Id="rId12" Type="http://schemas.openxmlformats.org/officeDocument/2006/relationships/ctrlProp" Target="../ctrlProps/ctrlProp81.xml"/><Relationship Id="rId2" Type="http://schemas.openxmlformats.org/officeDocument/2006/relationships/drawing" Target="../drawings/drawing17.xml"/><Relationship Id="rId1" Type="http://schemas.openxmlformats.org/officeDocument/2006/relationships/printerSettings" Target="../printerSettings/printerSettings19.bin"/><Relationship Id="rId6" Type="http://schemas.openxmlformats.org/officeDocument/2006/relationships/ctrlProp" Target="../ctrlProps/ctrlProp75.xml"/><Relationship Id="rId11" Type="http://schemas.openxmlformats.org/officeDocument/2006/relationships/ctrlProp" Target="../ctrlProps/ctrlProp80.xml"/><Relationship Id="rId5" Type="http://schemas.openxmlformats.org/officeDocument/2006/relationships/ctrlProp" Target="../ctrlProps/ctrlProp74.xml"/><Relationship Id="rId10" Type="http://schemas.openxmlformats.org/officeDocument/2006/relationships/ctrlProp" Target="../ctrlProps/ctrlProp79.xml"/><Relationship Id="rId4" Type="http://schemas.openxmlformats.org/officeDocument/2006/relationships/ctrlProp" Target="../ctrlProps/ctrlProp73.xml"/><Relationship Id="rId9" Type="http://schemas.openxmlformats.org/officeDocument/2006/relationships/ctrlProp" Target="../ctrlProps/ctrlProp78.xml"/><Relationship Id="rId14" Type="http://schemas.openxmlformats.org/officeDocument/2006/relationships/ctrlProp" Target="../ctrlProps/ctrlProp83.xml"/></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8.xml"/><Relationship Id="rId1" Type="http://schemas.openxmlformats.org/officeDocument/2006/relationships/printerSettings" Target="../printerSettings/printerSettings20.bin"/><Relationship Id="rId5" Type="http://schemas.openxmlformats.org/officeDocument/2006/relationships/ctrlProp" Target="../ctrlProps/ctrlProp85.xml"/><Relationship Id="rId4" Type="http://schemas.openxmlformats.org/officeDocument/2006/relationships/ctrlProp" Target="../ctrlProps/ctrlProp84.xml"/></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9.xml"/><Relationship Id="rId1" Type="http://schemas.openxmlformats.org/officeDocument/2006/relationships/printerSettings" Target="../printerSettings/printerSettings21.bin"/><Relationship Id="rId4" Type="http://schemas.openxmlformats.org/officeDocument/2006/relationships/ctrlProp" Target="../ctrlProps/ctrlProp86.xml"/></Relationships>
</file>

<file path=xl/worksheets/_rels/sheet47.xml.rels><?xml version="1.0" encoding="UTF-8" standalone="yes"?>
<Relationships xmlns="http://schemas.openxmlformats.org/package/2006/relationships"><Relationship Id="rId8" Type="http://schemas.openxmlformats.org/officeDocument/2006/relationships/ctrlProp" Target="../ctrlProps/ctrlProp91.xml"/><Relationship Id="rId13" Type="http://schemas.openxmlformats.org/officeDocument/2006/relationships/ctrlProp" Target="../ctrlProps/ctrlProp96.xml"/><Relationship Id="rId18" Type="http://schemas.openxmlformats.org/officeDocument/2006/relationships/ctrlProp" Target="../ctrlProps/ctrlProp101.xml"/><Relationship Id="rId3" Type="http://schemas.openxmlformats.org/officeDocument/2006/relationships/vmlDrawing" Target="../drawings/vmlDrawing19.v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 Type="http://schemas.openxmlformats.org/officeDocument/2006/relationships/drawing" Target="../drawings/drawing20.xml"/><Relationship Id="rId16" Type="http://schemas.openxmlformats.org/officeDocument/2006/relationships/ctrlProp" Target="../ctrlProps/ctrlProp99.xml"/><Relationship Id="rId20" Type="http://schemas.openxmlformats.org/officeDocument/2006/relationships/ctrlProp" Target="../ctrlProps/ctrlProp103.xml"/><Relationship Id="rId1" Type="http://schemas.openxmlformats.org/officeDocument/2006/relationships/printerSettings" Target="../printerSettings/printerSettings22.bin"/><Relationship Id="rId6" Type="http://schemas.openxmlformats.org/officeDocument/2006/relationships/ctrlProp" Target="../ctrlProps/ctrlProp89.xml"/><Relationship Id="rId11" Type="http://schemas.openxmlformats.org/officeDocument/2006/relationships/ctrlProp" Target="../ctrlProps/ctrlProp94.xml"/><Relationship Id="rId5" Type="http://schemas.openxmlformats.org/officeDocument/2006/relationships/ctrlProp" Target="../ctrlProps/ctrlProp88.xml"/><Relationship Id="rId15" Type="http://schemas.openxmlformats.org/officeDocument/2006/relationships/ctrlProp" Target="../ctrlProps/ctrlProp98.xml"/><Relationship Id="rId10" Type="http://schemas.openxmlformats.org/officeDocument/2006/relationships/ctrlProp" Target="../ctrlProps/ctrlProp93.xml"/><Relationship Id="rId19" Type="http://schemas.openxmlformats.org/officeDocument/2006/relationships/ctrlProp" Target="../ctrlProps/ctrlProp102.xml"/><Relationship Id="rId4" Type="http://schemas.openxmlformats.org/officeDocument/2006/relationships/ctrlProp" Target="../ctrlProps/ctrlProp87.xml"/><Relationship Id="rId9" Type="http://schemas.openxmlformats.org/officeDocument/2006/relationships/ctrlProp" Target="../ctrlProps/ctrlProp92.xml"/><Relationship Id="rId14" Type="http://schemas.openxmlformats.org/officeDocument/2006/relationships/ctrlProp" Target="../ctrlProps/ctrlProp97.xml"/></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1.xml"/><Relationship Id="rId1" Type="http://schemas.openxmlformats.org/officeDocument/2006/relationships/printerSettings" Target="../printerSettings/printerSettings23.bin"/><Relationship Id="rId5" Type="http://schemas.openxmlformats.org/officeDocument/2006/relationships/ctrlProp" Target="../ctrlProps/ctrlProp105.xml"/><Relationship Id="rId4" Type="http://schemas.openxmlformats.org/officeDocument/2006/relationships/ctrlProp" Target="../ctrlProps/ctrlProp104.xml"/></Relationships>
</file>

<file path=xl/worksheets/_rels/sheet49.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2.xml"/><Relationship Id="rId1" Type="http://schemas.openxmlformats.org/officeDocument/2006/relationships/printerSettings" Target="../printerSettings/printerSettings24.bin"/><Relationship Id="rId5" Type="http://schemas.openxmlformats.org/officeDocument/2006/relationships/ctrlProp" Target="../ctrlProps/ctrlProp107.xml"/><Relationship Id="rId4" Type="http://schemas.openxmlformats.org/officeDocument/2006/relationships/ctrlProp" Target="../ctrlProps/ctrlProp106.xml"/></Relationships>
</file>

<file path=xl/worksheets/_rels/sheet50.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3.xml"/><Relationship Id="rId1" Type="http://schemas.openxmlformats.org/officeDocument/2006/relationships/printerSettings" Target="../printerSettings/printerSettings25.bin"/><Relationship Id="rId6" Type="http://schemas.openxmlformats.org/officeDocument/2006/relationships/comments" Target="../comments2.xml"/><Relationship Id="rId5" Type="http://schemas.openxmlformats.org/officeDocument/2006/relationships/ctrlProp" Target="../ctrlProps/ctrlProp109.xml"/><Relationship Id="rId4" Type="http://schemas.openxmlformats.org/officeDocument/2006/relationships/ctrlProp" Target="../ctrlProps/ctrlProp108.xml"/></Relationships>
</file>

<file path=xl/worksheets/_rels/sheet51.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4.xml"/><Relationship Id="rId1" Type="http://schemas.openxmlformats.org/officeDocument/2006/relationships/printerSettings" Target="../printerSettings/printerSettings26.bin"/><Relationship Id="rId6" Type="http://schemas.openxmlformats.org/officeDocument/2006/relationships/ctrlProp" Target="../ctrlProps/ctrlProp112.xml"/><Relationship Id="rId5" Type="http://schemas.openxmlformats.org/officeDocument/2006/relationships/ctrlProp" Target="../ctrlProps/ctrlProp111.xml"/><Relationship Id="rId4" Type="http://schemas.openxmlformats.org/officeDocument/2006/relationships/ctrlProp" Target="../ctrlProps/ctrlProp110.xml"/></Relationships>
</file>

<file path=xl/worksheets/_rels/sheet52.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5.xml"/><Relationship Id="rId1" Type="http://schemas.openxmlformats.org/officeDocument/2006/relationships/printerSettings" Target="../printerSettings/printerSettings27.bin"/><Relationship Id="rId6" Type="http://schemas.openxmlformats.org/officeDocument/2006/relationships/ctrlProp" Target="../ctrlProps/ctrlProp115.xml"/><Relationship Id="rId5" Type="http://schemas.openxmlformats.org/officeDocument/2006/relationships/ctrlProp" Target="../ctrlProps/ctrlProp114.xml"/><Relationship Id="rId4" Type="http://schemas.openxmlformats.org/officeDocument/2006/relationships/ctrlProp" Target="../ctrlProps/ctrlProp113.xml"/></Relationships>
</file>

<file path=xl/worksheets/_rels/sheet53.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6.xml"/><Relationship Id="rId1" Type="http://schemas.openxmlformats.org/officeDocument/2006/relationships/printerSettings" Target="../printerSettings/printerSettings28.bin"/><Relationship Id="rId6" Type="http://schemas.openxmlformats.org/officeDocument/2006/relationships/ctrlProp" Target="../ctrlProps/ctrlProp118.xml"/><Relationship Id="rId5" Type="http://schemas.openxmlformats.org/officeDocument/2006/relationships/ctrlProp" Target="../ctrlProps/ctrlProp117.xml"/><Relationship Id="rId4" Type="http://schemas.openxmlformats.org/officeDocument/2006/relationships/ctrlProp" Target="../ctrlProps/ctrlProp116.xml"/></Relationships>
</file>

<file path=xl/worksheets/_rels/sheet54.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7.xml"/><Relationship Id="rId1" Type="http://schemas.openxmlformats.org/officeDocument/2006/relationships/printerSettings" Target="../printerSettings/printerSettings29.bin"/><Relationship Id="rId6" Type="http://schemas.openxmlformats.org/officeDocument/2006/relationships/ctrlProp" Target="../ctrlProps/ctrlProp121.xml"/><Relationship Id="rId5" Type="http://schemas.openxmlformats.org/officeDocument/2006/relationships/ctrlProp" Target="../ctrlProps/ctrlProp120.xml"/><Relationship Id="rId4" Type="http://schemas.openxmlformats.org/officeDocument/2006/relationships/ctrlProp" Target="../ctrlProps/ctrlProp119.xml"/></Relationships>
</file>

<file path=xl/worksheets/_rels/sheet55.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8.xml"/><Relationship Id="rId1" Type="http://schemas.openxmlformats.org/officeDocument/2006/relationships/printerSettings" Target="../printerSettings/printerSettings30.bin"/><Relationship Id="rId6" Type="http://schemas.openxmlformats.org/officeDocument/2006/relationships/ctrlProp" Target="../ctrlProps/ctrlProp124.xml"/><Relationship Id="rId5" Type="http://schemas.openxmlformats.org/officeDocument/2006/relationships/ctrlProp" Target="../ctrlProps/ctrlProp123.xml"/><Relationship Id="rId4" Type="http://schemas.openxmlformats.org/officeDocument/2006/relationships/ctrlProp" Target="../ctrlProps/ctrlProp122.xml"/></Relationships>
</file>

<file path=xl/worksheets/_rels/sheet56.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9.xml"/><Relationship Id="rId1" Type="http://schemas.openxmlformats.org/officeDocument/2006/relationships/printerSettings" Target="../printerSettings/printerSettings31.bin"/><Relationship Id="rId5" Type="http://schemas.openxmlformats.org/officeDocument/2006/relationships/ctrlProp" Target="../ctrlProps/ctrlProp126.xml"/><Relationship Id="rId4" Type="http://schemas.openxmlformats.org/officeDocument/2006/relationships/ctrlProp" Target="../ctrlProps/ctrlProp125.xml"/></Relationships>
</file>

<file path=xl/worksheets/_rels/sheet57.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30.xml"/><Relationship Id="rId1" Type="http://schemas.openxmlformats.org/officeDocument/2006/relationships/printerSettings" Target="../printerSettings/printerSettings32.bin"/><Relationship Id="rId5" Type="http://schemas.openxmlformats.org/officeDocument/2006/relationships/ctrlProp" Target="../ctrlProps/ctrlProp128.xml"/><Relationship Id="rId4" Type="http://schemas.openxmlformats.org/officeDocument/2006/relationships/ctrlProp" Target="../ctrlProps/ctrlProp127.xml"/></Relationships>
</file>

<file path=xl/worksheets/_rels/sheet58.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1.xml"/><Relationship Id="rId1" Type="http://schemas.openxmlformats.org/officeDocument/2006/relationships/printerSettings" Target="../printerSettings/printerSettings33.bin"/><Relationship Id="rId4" Type="http://schemas.openxmlformats.org/officeDocument/2006/relationships/ctrlProp" Target="../ctrlProps/ctrlProp129.xml"/></Relationships>
</file>

<file path=xl/worksheets/_rels/sheet60.xml.rels><?xml version="1.0" encoding="UTF-8" standalone="yes"?>
<Relationships xmlns="http://schemas.openxmlformats.org/package/2006/relationships"><Relationship Id="rId3" Type="http://schemas.openxmlformats.org/officeDocument/2006/relationships/vmlDrawing" Target="../drawings/vmlDrawing31.vml"/><Relationship Id="rId7" Type="http://schemas.openxmlformats.org/officeDocument/2006/relationships/ctrlProp" Target="../ctrlProps/ctrlProp133.xml"/><Relationship Id="rId2" Type="http://schemas.openxmlformats.org/officeDocument/2006/relationships/drawing" Target="../drawings/drawing32.xml"/><Relationship Id="rId1" Type="http://schemas.openxmlformats.org/officeDocument/2006/relationships/printerSettings" Target="../printerSettings/printerSettings34.bin"/><Relationship Id="rId6" Type="http://schemas.openxmlformats.org/officeDocument/2006/relationships/ctrlProp" Target="../ctrlProps/ctrlProp132.xml"/><Relationship Id="rId5" Type="http://schemas.openxmlformats.org/officeDocument/2006/relationships/ctrlProp" Target="../ctrlProps/ctrlProp131.xml"/><Relationship Id="rId4" Type="http://schemas.openxmlformats.org/officeDocument/2006/relationships/ctrlProp" Target="../ctrlProps/ctrlProp13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tabColor rgb="FF7030A0"/>
  </sheetPr>
  <dimension ref="B2:G30"/>
  <sheetViews>
    <sheetView workbookViewId="0"/>
  </sheetViews>
  <sheetFormatPr defaultColWidth="8.85546875" defaultRowHeight="15"/>
  <cols>
    <col min="2" max="2" width="9.42578125" bestFit="1" customWidth="1"/>
    <col min="3" max="3" width="12.28515625" customWidth="1"/>
    <col min="4" max="4" width="28" customWidth="1"/>
    <col min="5" max="7" width="25.42578125" bestFit="1" customWidth="1"/>
  </cols>
  <sheetData>
    <row r="2" spans="2:7">
      <c r="B2" t="s">
        <v>796</v>
      </c>
      <c r="C2" s="480" t="str">
        <f>interFY_transition!D20</f>
        <v>2026-27</v>
      </c>
      <c r="D2" t="s">
        <v>862</v>
      </c>
    </row>
    <row r="6" spans="2:7">
      <c r="E6" t="s">
        <v>788</v>
      </c>
    </row>
    <row r="9" spans="2:7">
      <c r="B9">
        <v>1</v>
      </c>
      <c r="C9" s="184" t="s">
        <v>791</v>
      </c>
      <c r="D9" s="184">
        <v>202324</v>
      </c>
      <c r="E9" s="184">
        <v>202425</v>
      </c>
      <c r="F9" s="184">
        <v>202526</v>
      </c>
      <c r="G9" s="184">
        <v>202627</v>
      </c>
    </row>
    <row r="10" spans="2:7">
      <c r="B10">
        <v>2</v>
      </c>
      <c r="C10" s="184" t="s">
        <v>789</v>
      </c>
      <c r="D10" s="184" t="s">
        <v>719</v>
      </c>
      <c r="E10" s="184" t="s">
        <v>720</v>
      </c>
      <c r="F10" s="184" t="s">
        <v>721</v>
      </c>
      <c r="G10" s="184" t="s">
        <v>2259</v>
      </c>
    </row>
    <row r="11" spans="2:7">
      <c r="B11">
        <v>3</v>
      </c>
      <c r="C11" s="184" t="s">
        <v>790</v>
      </c>
      <c r="D11" s="184" t="s">
        <v>792</v>
      </c>
      <c r="E11" s="184" t="s">
        <v>793</v>
      </c>
      <c r="F11" s="184" t="s">
        <v>794</v>
      </c>
      <c r="G11" s="184" t="s">
        <v>2301</v>
      </c>
    </row>
    <row r="12" spans="2:7">
      <c r="B12">
        <v>4</v>
      </c>
      <c r="C12" s="144" t="s">
        <v>60</v>
      </c>
      <c r="D12" s="184">
        <v>7.4118720094370163</v>
      </c>
      <c r="E12" s="184">
        <v>7.4208008859725592</v>
      </c>
      <c r="F12" s="184">
        <v>7.3900291863417413</v>
      </c>
      <c r="G12" s="184">
        <v>7.3900291863417413</v>
      </c>
    </row>
    <row r="13" spans="2:7">
      <c r="B13">
        <v>5</v>
      </c>
      <c r="C13" s="144" t="s">
        <v>61</v>
      </c>
      <c r="D13" s="184">
        <v>7.4400018094979981</v>
      </c>
      <c r="E13" s="184">
        <v>7.4399976785503545</v>
      </c>
      <c r="F13" s="184">
        <v>7.4399999996033328</v>
      </c>
      <c r="G13" s="184">
        <v>7.4399999996033328</v>
      </c>
    </row>
    <row r="14" spans="2:7">
      <c r="B14">
        <v>6</v>
      </c>
      <c r="C14" s="144" t="s">
        <v>62</v>
      </c>
      <c r="D14" s="184">
        <v>7.6996371707680682</v>
      </c>
      <c r="E14" s="184">
        <v>7.6833517931001563</v>
      </c>
      <c r="F14" s="184">
        <v>7.6928362276893392</v>
      </c>
      <c r="G14" s="184">
        <v>7.6928362276893392</v>
      </c>
    </row>
    <row r="15" spans="2:7">
      <c r="B15">
        <v>7</v>
      </c>
      <c r="C15" s="144" t="s">
        <v>57</v>
      </c>
      <c r="D15" s="184">
        <v>7.417166897104571</v>
      </c>
      <c r="E15" s="184">
        <v>7.433350401250248</v>
      </c>
      <c r="F15" s="184">
        <v>7.4335480362651323</v>
      </c>
      <c r="G15" s="184">
        <v>7.4335480362651323</v>
      </c>
    </row>
    <row r="16" spans="2:7">
      <c r="B16">
        <v>8</v>
      </c>
      <c r="C16" s="144" t="s">
        <v>58</v>
      </c>
      <c r="D16" s="184">
        <v>6.6404273249851782</v>
      </c>
      <c r="E16" s="184">
        <v>6.6485723722359165</v>
      </c>
      <c r="F16" s="184">
        <v>6.5565167534396744</v>
      </c>
      <c r="G16" s="184">
        <v>6.5565167534396744</v>
      </c>
    </row>
    <row r="17" spans="2:7">
      <c r="B17">
        <v>9</v>
      </c>
      <c r="C17" s="144" t="s">
        <v>59</v>
      </c>
      <c r="D17" s="184">
        <v>6.7799997433228327</v>
      </c>
      <c r="E17" s="184">
        <v>6.7798848550221678</v>
      </c>
      <c r="F17" s="184">
        <v>6.7800695882505657</v>
      </c>
      <c r="G17" s="184">
        <v>6.7800695882505657</v>
      </c>
    </row>
    <row r="18" spans="2:7">
      <c r="B18">
        <v>10</v>
      </c>
      <c r="C18" s="144" t="s">
        <v>63</v>
      </c>
      <c r="D18" s="184">
        <v>7.4227384037071467</v>
      </c>
      <c r="E18" s="184">
        <v>7.3809481328571875</v>
      </c>
      <c r="F18" s="184">
        <v>7.3739303482780141</v>
      </c>
      <c r="G18" s="184">
        <v>7.3739303482780141</v>
      </c>
    </row>
    <row r="19" spans="2:7">
      <c r="B19">
        <v>11</v>
      </c>
      <c r="C19" s="144" t="s">
        <v>64</v>
      </c>
      <c r="D19" s="184">
        <v>6.2399999999999993</v>
      </c>
      <c r="E19" s="184">
        <v>6.2400001375546683</v>
      </c>
      <c r="F19" s="184">
        <v>6.2400012569447592</v>
      </c>
      <c r="G19" s="184">
        <v>6.2400012569447592</v>
      </c>
    </row>
    <row r="20" spans="2:7">
      <c r="B20">
        <v>12</v>
      </c>
      <c r="C20" s="144" t="s">
        <v>65</v>
      </c>
      <c r="D20" s="184">
        <v>6.57</v>
      </c>
      <c r="E20" s="184">
        <v>6.570000033449336</v>
      </c>
      <c r="F20" s="184">
        <v>6.5700026688558726</v>
      </c>
      <c r="G20" s="184">
        <v>6.5700026688558726</v>
      </c>
    </row>
    <row r="21" spans="2:7">
      <c r="B21">
        <v>13</v>
      </c>
      <c r="C21" s="144" t="s">
        <v>66</v>
      </c>
      <c r="D21" s="184">
        <v>7.6200060351853969</v>
      </c>
      <c r="E21" s="184">
        <v>7.6199987723909146</v>
      </c>
      <c r="F21" s="184">
        <v>7.6199996677979662</v>
      </c>
      <c r="G21" s="184">
        <v>7.6199996677979662</v>
      </c>
    </row>
    <row r="22" spans="2:7">
      <c r="B22">
        <v>14</v>
      </c>
      <c r="C22" s="144" t="s">
        <v>67</v>
      </c>
      <c r="D22" s="184">
        <v>7.299999999999998</v>
      </c>
      <c r="E22" s="184">
        <v>7.3000000300465704</v>
      </c>
      <c r="F22" s="184">
        <v>7.3000022119061292</v>
      </c>
      <c r="G22" s="184">
        <v>7.3000022119061292</v>
      </c>
    </row>
    <row r="23" spans="2:7">
      <c r="B23">
        <v>15</v>
      </c>
      <c r="C23" s="144" t="s">
        <v>68</v>
      </c>
      <c r="D23" s="184">
        <v>6.8</v>
      </c>
      <c r="E23" s="184">
        <v>6.8</v>
      </c>
      <c r="F23" s="184">
        <v>6.7999686312182712</v>
      </c>
      <c r="G23" s="184">
        <v>6.7999686312182712</v>
      </c>
    </row>
    <row r="24" spans="2:7">
      <c r="B24">
        <v>16</v>
      </c>
      <c r="C24" s="144" t="s">
        <v>69</v>
      </c>
      <c r="D24" s="184">
        <v>8.5335422378601251</v>
      </c>
      <c r="E24" s="184">
        <v>8.5714289806716533</v>
      </c>
      <c r="F24" s="184">
        <v>8.4717747193353503</v>
      </c>
      <c r="G24" s="184">
        <v>8.4717747193353503</v>
      </c>
    </row>
    <row r="25" spans="2:7">
      <c r="B25">
        <v>17</v>
      </c>
      <c r="C25" s="144" t="s">
        <v>70</v>
      </c>
      <c r="D25" s="184" t="s">
        <v>56</v>
      </c>
      <c r="E25" s="184" t="s">
        <v>56</v>
      </c>
      <c r="F25" s="184" t="s">
        <v>56</v>
      </c>
      <c r="G25" s="184" t="s">
        <v>56</v>
      </c>
    </row>
    <row r="26" spans="2:7">
      <c r="B26">
        <v>18</v>
      </c>
      <c r="C26" s="145" t="s">
        <v>106</v>
      </c>
      <c r="D26" s="184">
        <v>7.3740835511623724</v>
      </c>
      <c r="E26" s="184">
        <v>7.3619376242206211</v>
      </c>
      <c r="F26" s="184">
        <v>7.3457664690888214</v>
      </c>
      <c r="G26" s="184">
        <v>7.3457664690888214</v>
      </c>
    </row>
    <row r="28" spans="2:7">
      <c r="E28" t="s">
        <v>795</v>
      </c>
    </row>
    <row r="30" spans="2:7">
      <c r="D30" t="s">
        <v>1940</v>
      </c>
      <c r="E30" t="s">
        <v>1941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7030A0"/>
  </sheetPr>
  <dimension ref="A1:V58"/>
  <sheetViews>
    <sheetView workbookViewId="0"/>
  </sheetViews>
  <sheetFormatPr defaultColWidth="8.85546875" defaultRowHeight="15"/>
  <cols>
    <col min="3" max="3" width="11.7109375" bestFit="1" customWidth="1"/>
    <col min="4" max="22" width="14.7109375" customWidth="1"/>
  </cols>
  <sheetData>
    <row r="1" spans="1:22">
      <c r="D1">
        <v>30</v>
      </c>
      <c r="E1">
        <v>31</v>
      </c>
      <c r="F1">
        <v>30</v>
      </c>
      <c r="G1">
        <f>D1+E1+F1</f>
        <v>91</v>
      </c>
      <c r="H1">
        <v>31</v>
      </c>
      <c r="I1">
        <v>31</v>
      </c>
      <c r="J1">
        <v>30</v>
      </c>
      <c r="K1">
        <f>H1+I1+J1</f>
        <v>92</v>
      </c>
      <c r="L1">
        <f>G1+K1</f>
        <v>183</v>
      </c>
      <c r="M1">
        <v>31</v>
      </c>
      <c r="N1">
        <v>30</v>
      </c>
      <c r="O1">
        <v>31</v>
      </c>
      <c r="P1">
        <f>M1+N1+O1</f>
        <v>92</v>
      </c>
      <c r="Q1">
        <f>L1+P1</f>
        <v>275</v>
      </c>
      <c r="R1">
        <v>31</v>
      </c>
      <c r="S1" s="482">
        <f>interFY_transition!I17</f>
        <v>28</v>
      </c>
      <c r="T1">
        <v>31</v>
      </c>
      <c r="U1">
        <f>R1+S1+T1</f>
        <v>90</v>
      </c>
      <c r="V1">
        <f>Q1+U1</f>
        <v>365</v>
      </c>
    </row>
    <row r="2" spans="1:22" ht="18.75">
      <c r="B2" t="s">
        <v>287</v>
      </c>
      <c r="E2" s="232" t="s">
        <v>115</v>
      </c>
      <c r="M2" s="481" t="str">
        <f>interFY_transition!D17</f>
        <v>2026-27</v>
      </c>
      <c r="N2" t="s">
        <v>895</v>
      </c>
      <c r="S2" t="s">
        <v>897</v>
      </c>
    </row>
    <row r="4" spans="1:22">
      <c r="C4" s="1110" t="s">
        <v>111</v>
      </c>
      <c r="D4" s="1111"/>
      <c r="E4" s="1111"/>
      <c r="F4" s="1111"/>
      <c r="G4" s="1111"/>
      <c r="H4" s="1111"/>
      <c r="I4" s="1111"/>
      <c r="J4" s="1111"/>
      <c r="K4" s="1111"/>
      <c r="L4" s="1111"/>
      <c r="M4" s="1111"/>
      <c r="N4" s="1111"/>
      <c r="O4" s="1111"/>
      <c r="P4" s="1111"/>
      <c r="Q4" s="1111"/>
      <c r="R4" s="1111"/>
      <c r="S4" s="1111"/>
      <c r="T4" s="1111"/>
      <c r="U4" s="1111"/>
      <c r="V4" s="1112"/>
    </row>
    <row r="5" spans="1:22">
      <c r="C5" s="144" t="s">
        <v>102</v>
      </c>
      <c r="D5" s="144" t="s">
        <v>30</v>
      </c>
      <c r="E5" s="144" t="s">
        <v>71</v>
      </c>
      <c r="F5" s="144" t="s">
        <v>72</v>
      </c>
      <c r="G5" s="142" t="s">
        <v>82</v>
      </c>
      <c r="H5" s="144" t="s">
        <v>73</v>
      </c>
      <c r="I5" s="144" t="s">
        <v>74</v>
      </c>
      <c r="J5" s="144" t="s">
        <v>75</v>
      </c>
      <c r="K5" s="142" t="s">
        <v>83</v>
      </c>
      <c r="L5" s="166" t="s">
        <v>39</v>
      </c>
      <c r="M5" s="144" t="s">
        <v>76</v>
      </c>
      <c r="N5" s="144" t="s">
        <v>77</v>
      </c>
      <c r="O5" s="144" t="s">
        <v>78</v>
      </c>
      <c r="P5" s="142" t="s">
        <v>84</v>
      </c>
      <c r="Q5" s="166" t="s">
        <v>85</v>
      </c>
      <c r="R5" s="144" t="s">
        <v>79</v>
      </c>
      <c r="S5" s="144" t="s">
        <v>80</v>
      </c>
      <c r="T5" s="144" t="s">
        <v>81</v>
      </c>
      <c r="U5" s="142" t="s">
        <v>86</v>
      </c>
      <c r="V5" s="168" t="s">
        <v>87</v>
      </c>
    </row>
    <row r="6" spans="1:22" ht="15.75">
      <c r="B6">
        <v>0.2</v>
      </c>
      <c r="C6" s="144" t="s">
        <v>60</v>
      </c>
      <c r="D6" s="141">
        <f>IFERROR(Sakhalin!D5*1,"-")</f>
        <v>5676119</v>
      </c>
      <c r="E6" s="141">
        <f>IFERROR(Sakhalin!D6*1,"-")</f>
        <v>5712131.0000099996</v>
      </c>
      <c r="F6" s="141">
        <f>IFERROR(Sakhalin!D7*1,"-")</f>
        <v>5075883.0000200002</v>
      </c>
      <c r="G6" s="143">
        <f t="shared" ref="G6:G19" si="0">D6+E6+F6</f>
        <v>16464133.00003</v>
      </c>
      <c r="H6" s="141">
        <f>IFERROR(Sakhalin!D9*1,"-")</f>
        <v>5805108.1940000001</v>
      </c>
      <c r="I6" s="141">
        <f>IFERROR(Sakhalin!D10*1,"-")</f>
        <v>0</v>
      </c>
      <c r="J6" s="141">
        <f>IFERROR(Sakhalin!D11*1,"-")</f>
        <v>0</v>
      </c>
      <c r="K6" s="143">
        <f t="shared" ref="K6:K19" si="1">H6+I6+J6</f>
        <v>5805108.1940000001</v>
      </c>
      <c r="L6" s="167">
        <f t="shared" ref="L6:L19" si="2">G6+K6</f>
        <v>22269241.194030002</v>
      </c>
      <c r="M6" s="141">
        <f>IFERROR(Sakhalin!D14*1,"-")</f>
        <v>0</v>
      </c>
      <c r="N6" s="141">
        <f>IFERROR(Sakhalin!D15*1,"-")</f>
        <v>0</v>
      </c>
      <c r="O6" s="141">
        <f>IFERROR(Sakhalin!D16*1,"-")</f>
        <v>0</v>
      </c>
      <c r="P6" s="143">
        <f t="shared" ref="P6:P19" si="3">M6+N6+O6</f>
        <v>0</v>
      </c>
      <c r="Q6" s="167">
        <f t="shared" ref="Q6:Q19" si="4">L6+P6</f>
        <v>22269241.194030002</v>
      </c>
      <c r="R6" s="141">
        <f>IFERROR(Sakhalin!D18*1,"-")</f>
        <v>0</v>
      </c>
      <c r="S6" s="141">
        <f>IFERROR(Sakhalin!D19*1,"-")</f>
        <v>0</v>
      </c>
      <c r="T6" s="141">
        <f>IFERROR(Sakhalin!D20*1,"-")</f>
        <v>0</v>
      </c>
      <c r="U6" s="143">
        <f t="shared" ref="U6:U19" si="5">R6+S6+T6</f>
        <v>0</v>
      </c>
      <c r="V6" s="169">
        <f t="shared" ref="V6:V19" si="6">Q6+U6</f>
        <v>22269241.194030002</v>
      </c>
    </row>
    <row r="7" spans="1:22" ht="15.75">
      <c r="B7">
        <v>0.26</v>
      </c>
      <c r="C7" s="144" t="s">
        <v>61</v>
      </c>
      <c r="D7" s="141">
        <f>IFERROR(Vankor!D5*1,"-")</f>
        <v>4670193.7300100001</v>
      </c>
      <c r="E7" s="141">
        <f>IFERROR(Vankor!D6*1,"-")</f>
        <v>4821947.7070199996</v>
      </c>
      <c r="F7" s="141">
        <f>IFERROR(Vankor!D7*1,"-")</f>
        <v>4656446.0459899995</v>
      </c>
      <c r="G7" s="143">
        <f t="shared" si="0"/>
        <v>14148587.483019998</v>
      </c>
      <c r="H7" s="141">
        <f>IFERROR(Vankor!D9*1,"-")</f>
        <v>4845736.2960099997</v>
      </c>
      <c r="I7" s="141">
        <f>IFERROR(Vankor!D10*1,"-")</f>
        <v>0</v>
      </c>
      <c r="J7" s="141">
        <f>IFERROR(Vankor!D11*1,"-")</f>
        <v>0</v>
      </c>
      <c r="K7" s="143">
        <f t="shared" si="1"/>
        <v>4845736.2960099997</v>
      </c>
      <c r="L7" s="167">
        <f t="shared" si="2"/>
        <v>18994323.779029999</v>
      </c>
      <c r="M7" s="141">
        <f>IFERROR(Vankor!D14*1,"-")</f>
        <v>0</v>
      </c>
      <c r="N7" s="141">
        <f>IFERROR(Vankor!D15*1,"-")</f>
        <v>0</v>
      </c>
      <c r="O7" s="141">
        <f>IFERROR(Vankor!D16*1,"-")</f>
        <v>0</v>
      </c>
      <c r="P7" s="143">
        <f t="shared" si="3"/>
        <v>0</v>
      </c>
      <c r="Q7" s="167">
        <f t="shared" si="4"/>
        <v>18994323.779029999</v>
      </c>
      <c r="R7" s="141">
        <f>IFERROR(Vankor!D18*1,"-")</f>
        <v>0</v>
      </c>
      <c r="S7" s="141">
        <f>IFERROR(Vankor!D19*1,"-")</f>
        <v>0</v>
      </c>
      <c r="T7" s="141">
        <f>IFERROR(Vankor!D20*1,"-")</f>
        <v>0</v>
      </c>
      <c r="U7" s="143">
        <f t="shared" si="5"/>
        <v>0</v>
      </c>
      <c r="V7" s="169">
        <f t="shared" si="6"/>
        <v>18994323.779029999</v>
      </c>
    </row>
    <row r="8" spans="1:22" ht="15.75">
      <c r="B8">
        <v>1</v>
      </c>
      <c r="C8" s="144" t="s">
        <v>62</v>
      </c>
      <c r="D8" s="141">
        <f>IFERROR(IEC!D5*1,"-")</f>
        <v>59015</v>
      </c>
      <c r="E8" s="141">
        <f>IFERROR(IEC!D6*1,"-")</f>
        <v>57934.999940000002</v>
      </c>
      <c r="F8" s="141">
        <f>IFERROR(IEC!D7*1,"-")</f>
        <v>59303</v>
      </c>
      <c r="G8" s="143">
        <f t="shared" si="0"/>
        <v>176252.99994000001</v>
      </c>
      <c r="H8" s="141">
        <f>IFERROR(IEC!D9*1,"-")</f>
        <v>59302.999969999997</v>
      </c>
      <c r="I8" s="141">
        <f>IFERROR(IEC!D10*1,"-")</f>
        <v>0</v>
      </c>
      <c r="J8" s="141">
        <f>IFERROR(IEC!D11*1,"-")</f>
        <v>0</v>
      </c>
      <c r="K8" s="143">
        <f t="shared" si="1"/>
        <v>59302.999969999997</v>
      </c>
      <c r="L8" s="167">
        <f t="shared" si="2"/>
        <v>235555.99991000001</v>
      </c>
      <c r="M8" s="141">
        <f>IFERROR(IEC!D14*1,"-")</f>
        <v>0</v>
      </c>
      <c r="N8" s="141">
        <f>IFERROR(IEC!D15*1,"-")</f>
        <v>0</v>
      </c>
      <c r="O8" s="141">
        <f>IFERROR(IEC!D16*1,"-")</f>
        <v>0</v>
      </c>
      <c r="P8" s="143">
        <f t="shared" si="3"/>
        <v>0</v>
      </c>
      <c r="Q8" s="167">
        <f t="shared" si="4"/>
        <v>235555.99991000001</v>
      </c>
      <c r="R8" s="141">
        <f>IFERROR(IEC!D18*1,"-")</f>
        <v>0</v>
      </c>
      <c r="S8" s="141">
        <f>IFERROR(IEC!D19*1,"-")</f>
        <v>0</v>
      </c>
      <c r="T8" s="141">
        <f>IFERROR(IEC!D20*1,"-")</f>
        <v>0</v>
      </c>
      <c r="U8" s="143">
        <f t="shared" si="5"/>
        <v>0</v>
      </c>
      <c r="V8" s="169">
        <f t="shared" si="6"/>
        <v>235555.99991000001</v>
      </c>
    </row>
    <row r="9" spans="1:22" ht="15.75">
      <c r="A9">
        <v>2.3099999999999999E-2</v>
      </c>
      <c r="B9">
        <v>2.9250000000000002E-2</v>
      </c>
      <c r="C9" s="144" t="s">
        <v>57</v>
      </c>
      <c r="D9" s="141">
        <f>IFERROR(ACG!D5*1,"-")</f>
        <v>9657499</v>
      </c>
      <c r="E9" s="141">
        <f>IFERROR(ACG!D6*1,"-")</f>
        <v>9870157.9999899995</v>
      </c>
      <c r="F9" s="141">
        <f>IFERROR(ACG!D7*1,"-")</f>
        <v>9677879.0000500008</v>
      </c>
      <c r="G9" s="143">
        <f t="shared" si="0"/>
        <v>29205536.000040002</v>
      </c>
      <c r="H9" s="141">
        <f>IFERROR(ACG!D9*1,"-")</f>
        <v>10025012.000089999</v>
      </c>
      <c r="I9" s="141">
        <f>IFERROR(ACG!D10*1,"-")</f>
        <v>0</v>
      </c>
      <c r="J9" s="141">
        <f>IFERROR(ACG!D11*1,"-")</f>
        <v>0</v>
      </c>
      <c r="K9" s="143">
        <f t="shared" si="1"/>
        <v>10025012.000089999</v>
      </c>
      <c r="L9" s="167">
        <f t="shared" si="2"/>
        <v>39230548.000129998</v>
      </c>
      <c r="M9" s="141">
        <f>IFERROR(ACG!D14*1,"-")</f>
        <v>0</v>
      </c>
      <c r="N9" s="141">
        <f>IFERROR(ACG!D15*1,"-")</f>
        <v>0</v>
      </c>
      <c r="O9" s="141">
        <f>IFERROR(ACG!D16*1,"-")</f>
        <v>0</v>
      </c>
      <c r="P9" s="143">
        <f t="shared" si="3"/>
        <v>0</v>
      </c>
      <c r="Q9" s="167">
        <f t="shared" si="4"/>
        <v>39230548.000129998</v>
      </c>
      <c r="R9" s="141">
        <f>IFERROR(ACG!D18*1,"-")</f>
        <v>0</v>
      </c>
      <c r="S9" s="141">
        <f>IFERROR(ACG!D19*1,"-")</f>
        <v>0</v>
      </c>
      <c r="T9" s="141">
        <f>IFERROR(ACG!D20*1,"-")</f>
        <v>0</v>
      </c>
      <c r="U9" s="143">
        <f t="shared" si="5"/>
        <v>0</v>
      </c>
      <c r="V9" s="169">
        <f t="shared" si="6"/>
        <v>39230548.000129998</v>
      </c>
    </row>
    <row r="10" spans="1:22" ht="15.75">
      <c r="B10">
        <v>0.27</v>
      </c>
      <c r="C10" s="144" t="s">
        <v>58</v>
      </c>
      <c r="D10" s="141">
        <f>IFERROR('BC10'!D5*1,"-")</f>
        <v>1066373.50003</v>
      </c>
      <c r="E10" s="141">
        <f>IFERROR('BC10'!D6*1,"-")</f>
        <v>868742.13002000004</v>
      </c>
      <c r="F10" s="141">
        <f>IFERROR('BC10'!D7*1,"-")</f>
        <v>968397.77003000001</v>
      </c>
      <c r="G10" s="143">
        <f t="shared" si="0"/>
        <v>2903513.4000800001</v>
      </c>
      <c r="H10" s="141">
        <f>IFERROR('BC10'!D9*1,"-")</f>
        <v>833914.00000999996</v>
      </c>
      <c r="I10" s="141">
        <f>IFERROR('BC10'!D10*1,"-")</f>
        <v>0</v>
      </c>
      <c r="J10" s="141">
        <f>IFERROR('BC10'!D11*1,"-")</f>
        <v>0</v>
      </c>
      <c r="K10" s="143">
        <f t="shared" si="1"/>
        <v>833914.00000999996</v>
      </c>
      <c r="L10" s="167">
        <f t="shared" si="2"/>
        <v>3737427.4000900001</v>
      </c>
      <c r="M10" s="141">
        <f>IFERROR('BC10'!D14*1,"-")</f>
        <v>0</v>
      </c>
      <c r="N10" s="141">
        <f>IFERROR('BC10'!D15*1,"-")</f>
        <v>0</v>
      </c>
      <c r="O10" s="163">
        <f>IFERROR('BC10'!D16*1,"-")</f>
        <v>0</v>
      </c>
      <c r="P10" s="143">
        <f t="shared" si="3"/>
        <v>0</v>
      </c>
      <c r="Q10" s="167">
        <f t="shared" si="4"/>
        <v>3737427.4000900001</v>
      </c>
      <c r="R10" s="141">
        <f>IFERROR('BC10'!D18*1,"-")</f>
        <v>0</v>
      </c>
      <c r="S10" s="141">
        <f>IFERROR('BC10'!D19*1,"-")</f>
        <v>0</v>
      </c>
      <c r="T10" s="141">
        <f>IFERROR('BC10'!D20*1,"-")</f>
        <v>0</v>
      </c>
      <c r="U10" s="143">
        <f t="shared" si="5"/>
        <v>0</v>
      </c>
      <c r="V10" s="169">
        <f t="shared" si="6"/>
        <v>3737427.4000900001</v>
      </c>
    </row>
    <row r="11" spans="1:22" ht="15.75">
      <c r="B11">
        <v>0.5</v>
      </c>
      <c r="C11" s="144" t="s">
        <v>59</v>
      </c>
      <c r="D11" s="141">
        <f>IFERROR(MECL!D5*1,"-")</f>
        <v>134476.99999000001</v>
      </c>
      <c r="E11" s="141">
        <f>IFERROR(MECL!D6*1,"-")</f>
        <v>137943.00000999999</v>
      </c>
      <c r="F11" s="141">
        <f>IFERROR(MECL!D7*1,"-")</f>
        <v>143859</v>
      </c>
      <c r="G11" s="143">
        <f t="shared" si="0"/>
        <v>416279</v>
      </c>
      <c r="H11" s="141">
        <f>IFERROR(MECL!D9*1,"-")</f>
        <v>151047</v>
      </c>
      <c r="I11" s="141">
        <f>IFERROR(MECL!D10*1,"-")</f>
        <v>0</v>
      </c>
      <c r="J11" s="141">
        <f>IFERROR(MECL!D11*1,"-")</f>
        <v>0</v>
      </c>
      <c r="K11" s="143">
        <f t="shared" si="1"/>
        <v>151047</v>
      </c>
      <c r="L11" s="167">
        <f t="shared" si="2"/>
        <v>567326</v>
      </c>
      <c r="M11" s="141">
        <f>IFERROR(MECL!D14*1,"-")</f>
        <v>0</v>
      </c>
      <c r="N11" s="141">
        <f>IFERROR(MECL!D15*1,"-")</f>
        <v>0</v>
      </c>
      <c r="O11" s="141">
        <f>IFERROR(MECL!D16*1,"-")</f>
        <v>0</v>
      </c>
      <c r="P11" s="143">
        <f t="shared" si="3"/>
        <v>0</v>
      </c>
      <c r="Q11" s="167">
        <f t="shared" si="4"/>
        <v>567326</v>
      </c>
      <c r="R11" s="141">
        <f>IFERROR(MECL!D18*1,"-")</f>
        <v>0</v>
      </c>
      <c r="S11" s="141">
        <f>IFERROR(MECL!D19*1,"-")</f>
        <v>0</v>
      </c>
      <c r="T11" s="141">
        <f>IFERROR(MECL!D20*1,"-")</f>
        <v>0</v>
      </c>
      <c r="U11" s="143">
        <f t="shared" si="5"/>
        <v>0</v>
      </c>
      <c r="V11" s="169">
        <f t="shared" si="6"/>
        <v>567326</v>
      </c>
    </row>
    <row r="12" spans="1:22" ht="15.75">
      <c r="B12">
        <v>0.7</v>
      </c>
      <c r="C12" s="144" t="s">
        <v>63</v>
      </c>
      <c r="D12" s="141">
        <f>IFERROR('CPO5'!D5*1,"-")</f>
        <v>548115.00003</v>
      </c>
      <c r="E12" s="141">
        <f>IFERROR('CPO5'!D6*1,"-")</f>
        <v>673531</v>
      </c>
      <c r="F12" s="141">
        <f>IFERROR('CPO5'!D7*1,"-")</f>
        <v>638354.99997</v>
      </c>
      <c r="G12" s="143">
        <f t="shared" si="0"/>
        <v>1860001</v>
      </c>
      <c r="H12" s="141">
        <f>IFERROR('CPO5'!D9*1,"-")</f>
        <v>649280.00002000004</v>
      </c>
      <c r="I12" s="141">
        <f>IFERROR('CPO5'!D10*1,"-")</f>
        <v>0</v>
      </c>
      <c r="J12" s="141">
        <f>IFERROR('CPO5'!D11*1,"-")</f>
        <v>0</v>
      </c>
      <c r="K12" s="143">
        <f t="shared" si="1"/>
        <v>649280.00002000004</v>
      </c>
      <c r="L12" s="167">
        <f t="shared" si="2"/>
        <v>2509281.0000200002</v>
      </c>
      <c r="M12" s="141">
        <f>IFERROR('CPO5'!D14*1,"-")</f>
        <v>0</v>
      </c>
      <c r="N12" s="141">
        <f>IFERROR('CPO5'!D15*1,"-")</f>
        <v>0</v>
      </c>
      <c r="O12" s="141">
        <f>IFERROR('CPO5'!D16*1,"-")</f>
        <v>0</v>
      </c>
      <c r="P12" s="143">
        <f t="shared" si="3"/>
        <v>0</v>
      </c>
      <c r="Q12" s="167">
        <f t="shared" si="4"/>
        <v>2509281.0000200002</v>
      </c>
      <c r="R12" s="141">
        <f>IFERROR('CPO5'!D18*1,"-")</f>
        <v>0</v>
      </c>
      <c r="S12" s="141">
        <f>IFERROR('CPO5'!D19*1,"-")</f>
        <v>0</v>
      </c>
      <c r="T12" s="141">
        <f>IFERROR('CPO5'!D20*1,"-")</f>
        <v>0</v>
      </c>
      <c r="U12" s="143">
        <f t="shared" si="5"/>
        <v>0</v>
      </c>
      <c r="V12" s="169">
        <f t="shared" si="6"/>
        <v>2509281.0000200002</v>
      </c>
    </row>
    <row r="13" spans="1:22" ht="15.75">
      <c r="B13">
        <v>0.11</v>
      </c>
      <c r="C13" s="144" t="s">
        <v>64</v>
      </c>
      <c r="D13" s="141">
        <f>IFERROR(Carabobo!D5*1,"-")</f>
        <v>210692.99997999999</v>
      </c>
      <c r="E13" s="141">
        <f>IFERROR(Carabobo!D6*1,"-")</f>
        <v>215513.99999000001</v>
      </c>
      <c r="F13" s="141">
        <f>IFERROR(Carabobo!D7*1,"-")</f>
        <v>209078.99997999999</v>
      </c>
      <c r="G13" s="143">
        <f t="shared" si="0"/>
        <v>635285.99994999997</v>
      </c>
      <c r="H13" s="141">
        <f>IFERROR(Carabobo!D9*1,"-")</f>
        <v>215599</v>
      </c>
      <c r="I13" s="141">
        <f>IFERROR(Carabobo!D10*1,"-")</f>
        <v>0</v>
      </c>
      <c r="J13" s="141">
        <f>IFERROR(Carabobo!D11*1,"-")</f>
        <v>0</v>
      </c>
      <c r="K13" s="143">
        <f t="shared" si="1"/>
        <v>215599</v>
      </c>
      <c r="L13" s="167">
        <f t="shared" si="2"/>
        <v>850884.99994999997</v>
      </c>
      <c r="M13" s="141">
        <f>IFERROR(Carabobo!D14*1,"-")</f>
        <v>0</v>
      </c>
      <c r="N13" s="141">
        <f>IFERROR(Carabobo!D15*1,"-")</f>
        <v>0</v>
      </c>
      <c r="O13" s="141">
        <f>IFERROR(Carabobo!D16*1,"-")</f>
        <v>0</v>
      </c>
      <c r="P13" s="143">
        <f t="shared" si="3"/>
        <v>0</v>
      </c>
      <c r="Q13" s="167">
        <f t="shared" si="4"/>
        <v>850884.99994999997</v>
      </c>
      <c r="R13" s="141">
        <f>IFERROR(Carabobo!D18*1,"-")</f>
        <v>0</v>
      </c>
      <c r="S13" s="141">
        <f>IFERROR(Carabobo!D19*1,"-")</f>
        <v>0</v>
      </c>
      <c r="T13" s="141">
        <f>IFERROR(Carabobo!D20*1,"-")</f>
        <v>0</v>
      </c>
      <c r="U13" s="143">
        <f t="shared" si="5"/>
        <v>0</v>
      </c>
      <c r="V13" s="169">
        <f t="shared" si="6"/>
        <v>850884.99994999997</v>
      </c>
    </row>
    <row r="14" spans="1:22" ht="15.75">
      <c r="B14">
        <v>0.4</v>
      </c>
      <c r="C14" s="144" t="s">
        <v>65</v>
      </c>
      <c r="D14" s="141">
        <f>IFERROR(Sancristobal!D5*1,"-")</f>
        <v>129900.00001</v>
      </c>
      <c r="E14" s="141">
        <f>IFERROR(Sancristobal!D6*1,"-")</f>
        <v>166940.00002000001</v>
      </c>
      <c r="F14" s="141">
        <f>IFERROR(Sancristobal!D7*1,"-")</f>
        <v>169233.99999000001</v>
      </c>
      <c r="G14" s="143">
        <f t="shared" si="0"/>
        <v>466074.00002000004</v>
      </c>
      <c r="H14" s="141">
        <f>IFERROR(Sancristobal!D9*1,"-")</f>
        <v>176743.00002000001</v>
      </c>
      <c r="I14" s="141">
        <f>IFERROR(Sancristobal!D10*1,"-")</f>
        <v>0</v>
      </c>
      <c r="J14" s="141">
        <f>IFERROR(Sancristobal!D11*1,"-")</f>
        <v>0</v>
      </c>
      <c r="K14" s="143">
        <f t="shared" si="1"/>
        <v>176743.00002000001</v>
      </c>
      <c r="L14" s="167">
        <f t="shared" si="2"/>
        <v>642817.00004000007</v>
      </c>
      <c r="M14" s="141">
        <f>IFERROR(Sancristobal!D14*1,"-")</f>
        <v>0</v>
      </c>
      <c r="N14" s="141">
        <f>IFERROR(Sancristobal!D15*1,"-")</f>
        <v>0</v>
      </c>
      <c r="O14" s="141">
        <f>IFERROR(Sancristobal!D16*1,"-")</f>
        <v>0</v>
      </c>
      <c r="P14" s="143">
        <f t="shared" si="3"/>
        <v>0</v>
      </c>
      <c r="Q14" s="167">
        <f t="shared" si="4"/>
        <v>642817.00004000007</v>
      </c>
      <c r="R14" s="141">
        <f>IFERROR(Sancristobal!D18*1,"-")</f>
        <v>0</v>
      </c>
      <c r="S14" s="141">
        <f>IFERROR(Sancristobal!D19*1,"-")</f>
        <v>0</v>
      </c>
      <c r="T14" s="141">
        <f>IFERROR(Sancristobal!D20*1,"-")</f>
        <v>0</v>
      </c>
      <c r="U14" s="143">
        <f t="shared" si="5"/>
        <v>0</v>
      </c>
      <c r="V14" s="169">
        <f t="shared" si="6"/>
        <v>642817.00004000007</v>
      </c>
    </row>
    <row r="15" spans="1:22" ht="15.75">
      <c r="B15">
        <v>0.04</v>
      </c>
      <c r="C15" s="144" t="s">
        <v>66</v>
      </c>
      <c r="D15" s="141">
        <f>IFERROR(LZC!D5*1,"-")</f>
        <v>7216171</v>
      </c>
      <c r="E15" s="141">
        <f>IFERROR(LZC!D6*1,"-")</f>
        <v>8370383.9999900004</v>
      </c>
      <c r="F15" s="141">
        <f>IFERROR(LZC!D7*1,"-")</f>
        <v>12807869</v>
      </c>
      <c r="G15" s="143">
        <f t="shared" si="0"/>
        <v>28394423.999990001</v>
      </c>
      <c r="H15" s="141">
        <f>IFERROR(LZC!D9*1,"-")</f>
        <v>10237010.999980001</v>
      </c>
      <c r="I15" s="141">
        <f>IFERROR(LZC!D10*1,"-")</f>
        <v>0</v>
      </c>
      <c r="J15" s="141">
        <f>IFERROR(LZC!D11*1,"-")</f>
        <v>0</v>
      </c>
      <c r="K15" s="143">
        <f t="shared" si="1"/>
        <v>10237010.999980001</v>
      </c>
      <c r="L15" s="167">
        <f t="shared" si="2"/>
        <v>38631434.999970004</v>
      </c>
      <c r="M15" s="141">
        <f>IFERROR(LZC!D14*1,"-")</f>
        <v>0</v>
      </c>
      <c r="N15" s="141">
        <f>IFERROR(LZC!D15*1,"-")</f>
        <v>0</v>
      </c>
      <c r="O15" s="141">
        <f>IFERROR(LZC!D16*1,"-")</f>
        <v>0</v>
      </c>
      <c r="P15" s="143">
        <f t="shared" si="3"/>
        <v>0</v>
      </c>
      <c r="Q15" s="167">
        <f t="shared" si="4"/>
        <v>38631434.999970004</v>
      </c>
      <c r="R15" s="141">
        <f>IFERROR(LZC!D18*1,"-")</f>
        <v>0</v>
      </c>
      <c r="S15" s="141">
        <f>IFERROR(LZC!D19*1,"-")</f>
        <v>0</v>
      </c>
      <c r="T15" s="141">
        <f>IFERROR(LZC!D20*1,"-")</f>
        <v>0</v>
      </c>
      <c r="U15" s="143">
        <f t="shared" si="5"/>
        <v>0</v>
      </c>
      <c r="V15" s="169">
        <f t="shared" si="6"/>
        <v>38631434.999970004</v>
      </c>
    </row>
    <row r="16" spans="1:22" ht="15.75">
      <c r="B16">
        <v>0.25</v>
      </c>
      <c r="C16" s="144" t="s">
        <v>67</v>
      </c>
      <c r="D16" s="141">
        <f>IFERROR(GPOC!D5*1,"-")</f>
        <v>1611918.9999899999</v>
      </c>
      <c r="E16" s="141">
        <f>IFERROR(GPOC!D6*1,"-")</f>
        <v>1657001.9999899999</v>
      </c>
      <c r="F16" s="141">
        <f>IFERROR(GPOC!D7*1,"-")</f>
        <v>1528806.00003</v>
      </c>
      <c r="G16" s="143">
        <f t="shared" si="0"/>
        <v>4797727.0000099996</v>
      </c>
      <c r="H16" s="141">
        <f>IFERROR(GPOC!D9*1,"-")</f>
        <v>1733967.0000400001</v>
      </c>
      <c r="I16" s="141">
        <f>IFERROR(GPOC!D10*1,"-")</f>
        <v>0</v>
      </c>
      <c r="J16" s="141">
        <f>IFERROR(GPOC!D11*1,"-")</f>
        <v>0</v>
      </c>
      <c r="K16" s="143">
        <f t="shared" si="1"/>
        <v>1733967.0000400001</v>
      </c>
      <c r="L16" s="167">
        <f t="shared" si="2"/>
        <v>6531694.0000499999</v>
      </c>
      <c r="M16" s="141">
        <f>IFERROR(GPOC!D14*1,"-")</f>
        <v>0</v>
      </c>
      <c r="N16" s="141">
        <f>IFERROR(GPOC!D15*1,"-")</f>
        <v>0</v>
      </c>
      <c r="O16" s="141">
        <f>IFERROR(GPOC!D16*1,"-")</f>
        <v>0</v>
      </c>
      <c r="P16" s="143">
        <f t="shared" si="3"/>
        <v>0</v>
      </c>
      <c r="Q16" s="167">
        <f t="shared" si="4"/>
        <v>6531694.0000499999</v>
      </c>
      <c r="R16" s="141">
        <f>IFERROR(GPOC!D18*1,"-")</f>
        <v>0</v>
      </c>
      <c r="S16" s="141">
        <f>IFERROR(GPOC!D19*1,"-")</f>
        <v>0</v>
      </c>
      <c r="T16" s="141">
        <f>IFERROR(GPOC!D20*1,"-")</f>
        <v>0</v>
      </c>
      <c r="U16" s="143">
        <f t="shared" si="5"/>
        <v>0</v>
      </c>
      <c r="V16" s="169">
        <f t="shared" si="6"/>
        <v>6531694.0000499999</v>
      </c>
    </row>
    <row r="17" spans="1:22" ht="15.75">
      <c r="B17">
        <v>0.24124999999999999</v>
      </c>
      <c r="C17" s="144" t="s">
        <v>68</v>
      </c>
      <c r="D17" s="141">
        <f>IFERROR(SPOC!D5*1,"-")</f>
        <v>394221.99998999998</v>
      </c>
      <c r="E17" s="141">
        <f>IFERROR(SPOC!D6*1,"-")</f>
        <v>380960.00001000002</v>
      </c>
      <c r="F17" s="141">
        <f>IFERROR(SPOC!D7*1,"-")</f>
        <v>368092.00001999998</v>
      </c>
      <c r="G17" s="143">
        <f t="shared" si="0"/>
        <v>1143274.0000199999</v>
      </c>
      <c r="H17" s="141">
        <f>IFERROR(SPOC!D9*1,"-")</f>
        <v>369674.00001999998</v>
      </c>
      <c r="I17" s="141">
        <f>IFERROR(SPOC!D10*1,"-")</f>
        <v>0</v>
      </c>
      <c r="J17" s="141">
        <f>IFERROR(SPOC!D11*1,"-")</f>
        <v>0</v>
      </c>
      <c r="K17" s="143">
        <f t="shared" si="1"/>
        <v>369674.00001999998</v>
      </c>
      <c r="L17" s="167">
        <f t="shared" si="2"/>
        <v>1512948.0000399998</v>
      </c>
      <c r="M17" s="141">
        <f>IFERROR(SPOC!D14*1,"-")</f>
        <v>0</v>
      </c>
      <c r="N17" s="141">
        <f>IFERROR(SPOC!D15*1,"-")</f>
        <v>0</v>
      </c>
      <c r="O17" s="141">
        <f>IFERROR(SPOC!D16*1,"-")</f>
        <v>0</v>
      </c>
      <c r="P17" s="143">
        <f t="shared" si="3"/>
        <v>0</v>
      </c>
      <c r="Q17" s="167">
        <f t="shared" si="4"/>
        <v>1512948.0000399998</v>
      </c>
      <c r="R17" s="141">
        <f>IFERROR(SPOC!D18*1,"-")</f>
        <v>0</v>
      </c>
      <c r="S17" s="141">
        <f>IFERROR(SPOC!D19*1,"-")</f>
        <v>0</v>
      </c>
      <c r="T17" s="141">
        <f>IFERROR(SPOC!D20*1,"-")</f>
        <v>0</v>
      </c>
      <c r="U17" s="143">
        <f t="shared" si="5"/>
        <v>0</v>
      </c>
      <c r="V17" s="169">
        <f t="shared" si="6"/>
        <v>1512948.0000399998</v>
      </c>
    </row>
    <row r="18" spans="1:22" ht="15.75">
      <c r="B18">
        <v>0.45</v>
      </c>
      <c r="C18" s="144" t="s">
        <v>69</v>
      </c>
      <c r="D18" s="141">
        <f>IFERROR(Vietnam!D5*1,"-")</f>
        <v>0</v>
      </c>
      <c r="E18" s="141">
        <f>IFERROR(Vietnam!D6*1,"-")</f>
        <v>0</v>
      </c>
      <c r="F18" s="141">
        <f>IFERROR(Vietnam!D7*1,"-")</f>
        <v>0</v>
      </c>
      <c r="G18" s="143">
        <f t="shared" si="0"/>
        <v>0</v>
      </c>
      <c r="H18" s="141">
        <f>IFERROR(Vietnam!D9*1,"-")</f>
        <v>0</v>
      </c>
      <c r="I18" s="141">
        <f>IFERROR(Vietnam!D10*1,"-")</f>
        <v>0</v>
      </c>
      <c r="J18" s="141">
        <f>IFERROR(Vietnam!D11*1,"-")</f>
        <v>0</v>
      </c>
      <c r="K18" s="143">
        <f t="shared" si="1"/>
        <v>0</v>
      </c>
      <c r="L18" s="167">
        <f t="shared" si="2"/>
        <v>0</v>
      </c>
      <c r="M18" s="141">
        <f>IFERROR(Vietnam!D14*1,"-")</f>
        <v>0</v>
      </c>
      <c r="N18" s="141">
        <f>IFERROR(Vietnam!D15*1,"-")</f>
        <v>0</v>
      </c>
      <c r="O18" s="141">
        <f>IFERROR(Vietnam!D16*1,"-")</f>
        <v>0</v>
      </c>
      <c r="P18" s="143">
        <f t="shared" si="3"/>
        <v>0</v>
      </c>
      <c r="Q18" s="167">
        <f t="shared" si="4"/>
        <v>0</v>
      </c>
      <c r="R18" s="141">
        <f>IFERROR(Vietnam!D18*1,"-")</f>
        <v>0</v>
      </c>
      <c r="S18" s="141">
        <f>IFERROR(Vietnam!D19*1,"-")</f>
        <v>0</v>
      </c>
      <c r="T18" s="141">
        <f>IFERROR(Vietnam!D20*1,"-")</f>
        <v>0</v>
      </c>
      <c r="U18" s="143">
        <f t="shared" si="5"/>
        <v>0</v>
      </c>
      <c r="V18" s="169">
        <f t="shared" si="6"/>
        <v>0</v>
      </c>
    </row>
    <row r="19" spans="1:22" ht="15.75">
      <c r="B19">
        <v>0.17</v>
      </c>
      <c r="C19" s="144" t="s">
        <v>70</v>
      </c>
      <c r="D19" s="141">
        <f>IFERROR(A1A3!D5*1,"-")</f>
        <v>0</v>
      </c>
      <c r="E19" s="141">
        <f>IFERROR(A1A3!D6*1,"-")</f>
        <v>0</v>
      </c>
      <c r="F19" s="141">
        <f>IFERROR(A1A3!D7*1,"-")</f>
        <v>0</v>
      </c>
      <c r="G19" s="143">
        <f t="shared" si="0"/>
        <v>0</v>
      </c>
      <c r="H19" s="141">
        <f>IFERROR(A1A3!D9*1,"-")</f>
        <v>0</v>
      </c>
      <c r="I19" s="141">
        <f>IFERROR(A1A3!D10*1,"-")</f>
        <v>0</v>
      </c>
      <c r="J19" s="141">
        <f>IFERROR(A1A3!D11*1,"-")</f>
        <v>0</v>
      </c>
      <c r="K19" s="143">
        <f t="shared" si="1"/>
        <v>0</v>
      </c>
      <c r="L19" s="167">
        <f t="shared" si="2"/>
        <v>0</v>
      </c>
      <c r="M19" s="141">
        <f>IFERROR(A1A3!D14*1,"-")</f>
        <v>0</v>
      </c>
      <c r="N19" s="141">
        <f>IFERROR(A1A3!D15*1,"-")</f>
        <v>0</v>
      </c>
      <c r="O19" s="141">
        <f>IFERROR(A1A3!D16*1,"-")</f>
        <v>0</v>
      </c>
      <c r="P19" s="143">
        <f t="shared" si="3"/>
        <v>0</v>
      </c>
      <c r="Q19" s="167">
        <f t="shared" si="4"/>
        <v>0</v>
      </c>
      <c r="R19" s="141">
        <f>IFERROR(A1A3!D18*1,"-")</f>
        <v>0</v>
      </c>
      <c r="S19" s="141">
        <f>IFERROR(A1A3!D19*1,"-")</f>
        <v>0</v>
      </c>
      <c r="T19" s="141">
        <f>IFERROR(A1A3!D20*1,"-")</f>
        <v>0</v>
      </c>
      <c r="U19" s="143">
        <f t="shared" si="5"/>
        <v>0</v>
      </c>
      <c r="V19" s="169">
        <f t="shared" si="6"/>
        <v>0</v>
      </c>
    </row>
    <row r="20" spans="1:22" ht="15.75">
      <c r="C20" s="145" t="s">
        <v>92</v>
      </c>
      <c r="D20" s="188">
        <f>SUM(D6:D19)</f>
        <v>31374697.23003</v>
      </c>
      <c r="E20" s="188">
        <f t="shared" ref="E20:V20" si="7">SUM(E6:E19)</f>
        <v>32933187.836990003</v>
      </c>
      <c r="F20" s="188">
        <f t="shared" si="7"/>
        <v>36303202.816079997</v>
      </c>
      <c r="G20" s="189">
        <f t="shared" si="7"/>
        <v>100611087.88309999</v>
      </c>
      <c r="H20" s="188">
        <f t="shared" si="7"/>
        <v>35102394.490160003</v>
      </c>
      <c r="I20" s="188">
        <f t="shared" si="7"/>
        <v>0</v>
      </c>
      <c r="J20" s="188">
        <f t="shared" si="7"/>
        <v>0</v>
      </c>
      <c r="K20" s="189">
        <f t="shared" si="7"/>
        <v>35102394.490160003</v>
      </c>
      <c r="L20" s="169">
        <f t="shared" si="7"/>
        <v>135713482.37325999</v>
      </c>
      <c r="M20" s="188">
        <f t="shared" si="7"/>
        <v>0</v>
      </c>
      <c r="N20" s="188">
        <f t="shared" si="7"/>
        <v>0</v>
      </c>
      <c r="O20" s="188">
        <f t="shared" si="7"/>
        <v>0</v>
      </c>
      <c r="P20" s="189">
        <f t="shared" si="7"/>
        <v>0</v>
      </c>
      <c r="Q20" s="169">
        <f t="shared" si="7"/>
        <v>135713482.37325999</v>
      </c>
      <c r="R20" s="188">
        <f t="shared" si="7"/>
        <v>0</v>
      </c>
      <c r="S20" s="188">
        <f t="shared" si="7"/>
        <v>0</v>
      </c>
      <c r="T20" s="188">
        <f t="shared" si="7"/>
        <v>0</v>
      </c>
      <c r="U20" s="189">
        <f t="shared" si="7"/>
        <v>0</v>
      </c>
      <c r="V20" s="169">
        <f t="shared" si="7"/>
        <v>135713482.37325999</v>
      </c>
    </row>
    <row r="22" spans="1:22">
      <c r="C22" s="1113" t="s">
        <v>112</v>
      </c>
      <c r="D22" s="1113"/>
      <c r="E22" s="1113"/>
      <c r="F22" s="1113"/>
      <c r="G22" s="1113"/>
      <c r="H22" s="1113"/>
      <c r="I22" s="1113"/>
      <c r="J22" s="1113"/>
      <c r="K22" s="1113"/>
      <c r="L22" s="1113"/>
      <c r="M22" s="1113"/>
      <c r="N22" s="1113"/>
      <c r="O22" s="1113"/>
      <c r="P22" s="1113"/>
      <c r="Q22" s="1113"/>
      <c r="R22" s="1113"/>
      <c r="S22" s="1113"/>
      <c r="T22" s="1113"/>
      <c r="U22" s="1113"/>
      <c r="V22" s="1113"/>
    </row>
    <row r="23" spans="1:22">
      <c r="C23" s="144"/>
      <c r="D23" s="144" t="s">
        <v>30</v>
      </c>
      <c r="E23" s="144" t="s">
        <v>71</v>
      </c>
      <c r="F23" s="144" t="s">
        <v>72</v>
      </c>
      <c r="G23" s="148" t="s">
        <v>82</v>
      </c>
      <c r="H23" s="144" t="s">
        <v>73</v>
      </c>
      <c r="I23" s="144" t="s">
        <v>74</v>
      </c>
      <c r="J23" s="144" t="s">
        <v>75</v>
      </c>
      <c r="K23" s="148" t="s">
        <v>83</v>
      </c>
      <c r="L23" s="170" t="s">
        <v>39</v>
      </c>
      <c r="M23" s="144" t="s">
        <v>76</v>
      </c>
      <c r="N23" s="144" t="s">
        <v>77</v>
      </c>
      <c r="O23" s="144" t="s">
        <v>78</v>
      </c>
      <c r="P23" s="148" t="s">
        <v>84</v>
      </c>
      <c r="Q23" s="170" t="s">
        <v>85</v>
      </c>
      <c r="R23" s="144" t="s">
        <v>79</v>
      </c>
      <c r="S23" s="144" t="s">
        <v>80</v>
      </c>
      <c r="T23" s="144" t="s">
        <v>81</v>
      </c>
      <c r="U23" s="148" t="s">
        <v>86</v>
      </c>
      <c r="V23" s="170" t="s">
        <v>87</v>
      </c>
    </row>
    <row r="24" spans="1:22" ht="15.75">
      <c r="B24">
        <v>0.2</v>
      </c>
      <c r="C24" s="144" t="s">
        <v>60</v>
      </c>
      <c r="D24" s="183">
        <f>IFERROR(Sakhalin!H5*1,"-")</f>
        <v>291.05302</v>
      </c>
      <c r="E24" s="183">
        <f>IFERROR(Sakhalin!H6*1,"-")</f>
        <v>258.60005999999998</v>
      </c>
      <c r="F24" s="183">
        <f>IFERROR(Sakhalin!H7*1,"-")</f>
        <v>230.12700000000001</v>
      </c>
      <c r="G24" s="181">
        <f>D24+E24+F24</f>
        <v>779.78008</v>
      </c>
      <c r="H24" s="146">
        <f>IFERROR(Sakhalin!H9*1,"-")</f>
        <v>229.16598999999999</v>
      </c>
      <c r="I24" s="146">
        <f>IFERROR(Sakhalin!H10*1,"-")</f>
        <v>0</v>
      </c>
      <c r="J24" s="146">
        <f>IFERROR(Sakhalin!H11*1,"-")</f>
        <v>0</v>
      </c>
      <c r="K24" s="181">
        <f>H24+I24+J24</f>
        <v>229.16598999999999</v>
      </c>
      <c r="L24" s="182">
        <f>G24+K24</f>
        <v>1008.94607</v>
      </c>
      <c r="M24" s="183">
        <f>IFERROR(Sakhalin!H14*1,"-")</f>
        <v>0</v>
      </c>
      <c r="N24" s="183">
        <f>IFERROR(Sakhalin!H15*1,"-")</f>
        <v>0</v>
      </c>
      <c r="O24" s="183">
        <f>IFERROR(Sakhalin!H16*1,"-")</f>
        <v>0</v>
      </c>
      <c r="P24" s="181">
        <f>M24+N24+O24</f>
        <v>0</v>
      </c>
      <c r="Q24" s="182">
        <f>L24+P24</f>
        <v>1008.94607</v>
      </c>
      <c r="R24" s="183">
        <f>IFERROR(Sakhalin!H18*1,"-")</f>
        <v>0</v>
      </c>
      <c r="S24" s="183">
        <f>IFERROR(Sakhalin!H19*1,"-")</f>
        <v>0</v>
      </c>
      <c r="T24" s="183">
        <f>IFERROR(Sakhalin!H20*1,"-")</f>
        <v>0</v>
      </c>
      <c r="U24" s="181">
        <f>R24+S24+T24</f>
        <v>0</v>
      </c>
      <c r="V24" s="182">
        <f>Q24+U24</f>
        <v>1008.94607</v>
      </c>
    </row>
    <row r="25" spans="1:22" ht="15.75">
      <c r="B25">
        <v>0.26</v>
      </c>
      <c r="C25" s="144" t="s">
        <v>61</v>
      </c>
      <c r="D25" s="183">
        <f>IFERROR(Vankor!H5*1,"-")</f>
        <v>299.19592999999998</v>
      </c>
      <c r="E25" s="183">
        <f>IFERROR(Vankor!H6*1,"-")</f>
        <v>308.15158000000002</v>
      </c>
      <c r="F25" s="183">
        <f>IFERROR(Vankor!H7*1,"-")</f>
        <v>293.702</v>
      </c>
      <c r="G25" s="181">
        <f t="shared" ref="G25:G37" si="8">D25+E25+F25</f>
        <v>901.04951000000005</v>
      </c>
      <c r="H25" s="146">
        <f>IFERROR(Vankor!H9*1,"-")</f>
        <v>273.98406</v>
      </c>
      <c r="I25" s="146">
        <f>IFERROR(Vankor!H10*1,"-")</f>
        <v>0</v>
      </c>
      <c r="J25" s="146">
        <f>IFERROR(Vankor!H11*1,"-")</f>
        <v>0</v>
      </c>
      <c r="K25" s="181">
        <f t="shared" ref="K25:K37" si="9">H25+I25+J25</f>
        <v>273.98406</v>
      </c>
      <c r="L25" s="182">
        <f t="shared" ref="L25:L37" si="10">G25+K25</f>
        <v>1175.0335700000001</v>
      </c>
      <c r="M25" s="183">
        <f>IFERROR(Vankor!H14*1,"-")</f>
        <v>0</v>
      </c>
      <c r="N25" s="183">
        <f>IFERROR(Vankor!H15*1,"-")</f>
        <v>0</v>
      </c>
      <c r="O25" s="183">
        <f>IFERROR(Vankor!H16*1,"-")</f>
        <v>0</v>
      </c>
      <c r="P25" s="181">
        <f t="shared" ref="P25:P37" si="11">M25+N25+O25</f>
        <v>0</v>
      </c>
      <c r="Q25" s="182">
        <f t="shared" ref="Q25:Q37" si="12">L25+P25</f>
        <v>1175.0335700000001</v>
      </c>
      <c r="R25" s="183">
        <f>IFERROR(Vankor!H18*1,"-")</f>
        <v>0</v>
      </c>
      <c r="S25" s="183">
        <f>IFERROR(Vankor!H19*1,"-")</f>
        <v>0</v>
      </c>
      <c r="T25" s="183">
        <f>IFERROR(Vankor!H20*1,"-")</f>
        <v>0</v>
      </c>
      <c r="U25" s="181">
        <f t="shared" ref="U25:U37" si="13">R25+S25+T25</f>
        <v>0</v>
      </c>
      <c r="V25" s="182">
        <f t="shared" ref="V25:V37" si="14">Q25+U25</f>
        <v>1175.0335700000001</v>
      </c>
    </row>
    <row r="26" spans="1:22" ht="15.75">
      <c r="B26">
        <v>1</v>
      </c>
      <c r="C26" s="144" t="s">
        <v>62</v>
      </c>
      <c r="D26" s="183">
        <f>IFERROR(IEC!H5*1,"-")</f>
        <v>8.3602500000000006</v>
      </c>
      <c r="E26" s="183">
        <f>IFERROR(IEC!H6*1,"-")</f>
        <v>7.4710200000000002</v>
      </c>
      <c r="F26" s="183">
        <f>IFERROR(IEC!H7*1,"-")</f>
        <v>7.8389699999999998</v>
      </c>
      <c r="G26" s="181">
        <f t="shared" si="8"/>
        <v>23.67024</v>
      </c>
      <c r="H26" s="146">
        <f>IFERROR(IEC!H9*1,"-")</f>
        <v>7.4680499999999999</v>
      </c>
      <c r="I26" s="146">
        <f>IFERROR(IEC!H10*1,"-")</f>
        <v>0</v>
      </c>
      <c r="J26" s="146">
        <f>IFERROR(IEC!H11*1,"-")</f>
        <v>0</v>
      </c>
      <c r="K26" s="181">
        <f t="shared" si="9"/>
        <v>7.4680499999999999</v>
      </c>
      <c r="L26" s="182">
        <f t="shared" si="10"/>
        <v>31.138289999999998</v>
      </c>
      <c r="M26" s="183">
        <f>IFERROR(IEC!H14*1,"-")</f>
        <v>0</v>
      </c>
      <c r="N26" s="183">
        <f>IFERROR(IEC!H15*1,"-")</f>
        <v>0</v>
      </c>
      <c r="O26" s="183">
        <f>IFERROR(IEC!H16*1,"-")</f>
        <v>0</v>
      </c>
      <c r="P26" s="181">
        <f t="shared" si="11"/>
        <v>0</v>
      </c>
      <c r="Q26" s="182">
        <f t="shared" si="12"/>
        <v>31.138289999999998</v>
      </c>
      <c r="R26" s="183">
        <f>IFERROR(IEC!H18*1,"-")</f>
        <v>0</v>
      </c>
      <c r="S26" s="183">
        <f>IFERROR(IEC!H19*1,"-")</f>
        <v>0</v>
      </c>
      <c r="T26" s="183">
        <f>IFERROR(IEC!H20*1,"-")</f>
        <v>0</v>
      </c>
      <c r="U26" s="181">
        <f t="shared" si="13"/>
        <v>0</v>
      </c>
      <c r="V26" s="182">
        <f t="shared" si="14"/>
        <v>31.138289999999998</v>
      </c>
    </row>
    <row r="27" spans="1:22" ht="15.75">
      <c r="A27">
        <v>2.3099999999999999E-2</v>
      </c>
      <c r="B27">
        <v>2.9250000000000002E-2</v>
      </c>
      <c r="C27" s="144" t="s">
        <v>57</v>
      </c>
      <c r="D27" s="183">
        <f>IFERROR(ACG!H5*1,"-")</f>
        <v>433.12795</v>
      </c>
      <c r="E27" s="183">
        <f>IFERROR(ACG!H6*1,"-")</f>
        <v>428.29297000000003</v>
      </c>
      <c r="F27" s="183">
        <f>IFERROR(ACG!H7*1,"-")</f>
        <v>378.71197000000001</v>
      </c>
      <c r="G27" s="181">
        <f t="shared" si="8"/>
        <v>1240.1328900000001</v>
      </c>
      <c r="H27" s="146">
        <f>IFERROR(ACG!H9*1,"-")</f>
        <v>256.18295999999998</v>
      </c>
      <c r="I27" s="146">
        <f>IFERROR(ACG!H10*1,"-")</f>
        <v>0</v>
      </c>
      <c r="J27" s="146">
        <f>IFERROR(ACG!H11*1,"-")</f>
        <v>0</v>
      </c>
      <c r="K27" s="181">
        <f t="shared" si="9"/>
        <v>256.18295999999998</v>
      </c>
      <c r="L27" s="182">
        <f t="shared" si="10"/>
        <v>1496.31585</v>
      </c>
      <c r="M27" s="183">
        <f>IFERROR(ACG!H14*1,"-")</f>
        <v>0</v>
      </c>
      <c r="N27" s="183">
        <f>IFERROR(ACG!H15*1,"-")</f>
        <v>0</v>
      </c>
      <c r="O27" s="183">
        <f>IFERROR(ACG!H16*1,"-")</f>
        <v>0</v>
      </c>
      <c r="P27" s="181">
        <f t="shared" si="11"/>
        <v>0</v>
      </c>
      <c r="Q27" s="182">
        <f t="shared" si="12"/>
        <v>1496.31585</v>
      </c>
      <c r="R27" s="183">
        <f>IFERROR(ACG!H18*1,"-")</f>
        <v>0</v>
      </c>
      <c r="S27" s="183">
        <f>IFERROR(ACG!H19*1,"-")</f>
        <v>0</v>
      </c>
      <c r="T27" s="183">
        <f>IFERROR(ACG!H20*1,"-")</f>
        <v>0</v>
      </c>
      <c r="U27" s="181">
        <f t="shared" si="13"/>
        <v>0</v>
      </c>
      <c r="V27" s="182">
        <f t="shared" si="14"/>
        <v>1496.31585</v>
      </c>
    </row>
    <row r="28" spans="1:22" ht="15.75">
      <c r="B28">
        <v>0.27</v>
      </c>
      <c r="C28" s="144" t="s">
        <v>58</v>
      </c>
      <c r="D28" s="183">
        <f>IFERROR('BC10'!H5*1,"-")</f>
        <v>13.6</v>
      </c>
      <c r="E28" s="183">
        <f>IFERROR('BC10'!H6*1,"-")</f>
        <v>9.2759999999999998</v>
      </c>
      <c r="F28" s="183">
        <f>IFERROR('BC10'!H7*1,"-")</f>
        <v>13.97001</v>
      </c>
      <c r="G28" s="181">
        <f t="shared" si="8"/>
        <v>36.84601</v>
      </c>
      <c r="H28" s="146">
        <f>IFERROR('BC10'!H9*1,"-")</f>
        <v>11.080019999999999</v>
      </c>
      <c r="I28" s="146">
        <f>IFERROR('BC10'!H10*1,"-")</f>
        <v>0</v>
      </c>
      <c r="J28" s="146">
        <f>IFERROR('BC10'!H11*1,"-")</f>
        <v>0</v>
      </c>
      <c r="K28" s="181">
        <f t="shared" si="9"/>
        <v>11.080019999999999</v>
      </c>
      <c r="L28" s="182">
        <f t="shared" si="10"/>
        <v>47.926029999999997</v>
      </c>
      <c r="M28" s="183">
        <f>IFERROR('BC10'!H14*1,"-")</f>
        <v>0</v>
      </c>
      <c r="N28" s="183">
        <f>IFERROR('BC10'!H15*1,"-")</f>
        <v>0</v>
      </c>
      <c r="O28" s="183">
        <f>IFERROR('BC10'!H16*1,"0")</f>
        <v>0</v>
      </c>
      <c r="P28" s="181">
        <f t="shared" si="11"/>
        <v>0</v>
      </c>
      <c r="Q28" s="182">
        <f t="shared" si="12"/>
        <v>47.926029999999997</v>
      </c>
      <c r="R28" s="183">
        <f>IFERROR('BC10'!H18*1,"-")</f>
        <v>0</v>
      </c>
      <c r="S28" s="183">
        <f>IFERROR('BC10'!H19*1,"-")</f>
        <v>0</v>
      </c>
      <c r="T28" s="183">
        <f>IFERROR('BC10'!H20*1,"-")</f>
        <v>0</v>
      </c>
      <c r="U28" s="181">
        <f t="shared" si="13"/>
        <v>0</v>
      </c>
      <c r="V28" s="182">
        <f t="shared" si="14"/>
        <v>47.926029999999997</v>
      </c>
    </row>
    <row r="29" spans="1:22" ht="15.75">
      <c r="B29">
        <v>0.5</v>
      </c>
      <c r="C29" s="144" t="s">
        <v>59</v>
      </c>
      <c r="D29" s="183">
        <f>IFERROR(MECL!H5*1,"-")</f>
        <v>0.84209999999999996</v>
      </c>
      <c r="E29" s="183">
        <f>IFERROR(MECL!H6*1,"-")</f>
        <v>0.69006000000000001</v>
      </c>
      <c r="F29" s="183">
        <f>IFERROR(MECL!H7*1,"-")</f>
        <v>0.76890000000000003</v>
      </c>
      <c r="G29" s="181">
        <f t="shared" si="8"/>
        <v>2.3010600000000001</v>
      </c>
      <c r="H29" s="146">
        <f>IFERROR(MECL!H9*1,"-")</f>
        <v>0.79886999999999997</v>
      </c>
      <c r="I29" s="146">
        <f>IFERROR(MECL!H10*1,"-")</f>
        <v>0</v>
      </c>
      <c r="J29" s="146">
        <f>IFERROR(MECL!H11*1,"-")</f>
        <v>0</v>
      </c>
      <c r="K29" s="181">
        <f t="shared" si="9"/>
        <v>0.79886999999999997</v>
      </c>
      <c r="L29" s="182">
        <f t="shared" si="10"/>
        <v>3.0999300000000001</v>
      </c>
      <c r="M29" s="183">
        <f>IFERROR(MECL!H14*1,"-")</f>
        <v>0</v>
      </c>
      <c r="N29" s="183">
        <f>IFERROR(MECL!H15*1,"-")</f>
        <v>0</v>
      </c>
      <c r="O29" s="183">
        <f>IFERROR(MECL!H16*1,"-")</f>
        <v>0</v>
      </c>
      <c r="P29" s="181">
        <f t="shared" si="11"/>
        <v>0</v>
      </c>
      <c r="Q29" s="182">
        <f t="shared" si="12"/>
        <v>3.0999300000000001</v>
      </c>
      <c r="R29" s="183">
        <f>IFERROR(MECL!H18*1,"-")</f>
        <v>0</v>
      </c>
      <c r="S29" s="183">
        <f>IFERROR(MECL!H19*1,"-")</f>
        <v>0</v>
      </c>
      <c r="T29" s="183">
        <f>IFERROR(MECL!H20*1,"-")</f>
        <v>0</v>
      </c>
      <c r="U29" s="181">
        <f t="shared" si="13"/>
        <v>0</v>
      </c>
      <c r="V29" s="182">
        <f t="shared" si="14"/>
        <v>3.0999300000000001</v>
      </c>
    </row>
    <row r="30" spans="1:22" ht="15.75">
      <c r="B30">
        <v>0.7</v>
      </c>
      <c r="C30" s="144" t="s">
        <v>63</v>
      </c>
      <c r="D30" s="183">
        <f>IFERROR('CPO5'!H5*1,"-")</f>
        <v>8.8999999999999996E-2</v>
      </c>
      <c r="E30" s="183">
        <f>IFERROR('CPO5'!H6*1,"-")</f>
        <v>0.10496999999999999</v>
      </c>
      <c r="F30" s="183">
        <f>IFERROR('CPO5'!H7*1,"-")</f>
        <v>0.10301</v>
      </c>
      <c r="G30" s="181">
        <f t="shared" si="8"/>
        <v>0.29697999999999997</v>
      </c>
      <c r="H30" s="146">
        <f>IFERROR('CPO5'!H9*1,"-")</f>
        <v>0.10700999999999999</v>
      </c>
      <c r="I30" s="146">
        <f>IFERROR('CPO5'!H10*1,"-")</f>
        <v>0</v>
      </c>
      <c r="J30" s="146">
        <f>IFERROR('CPO5'!H11*1,"-")</f>
        <v>0</v>
      </c>
      <c r="K30" s="181">
        <f t="shared" si="9"/>
        <v>0.10700999999999999</v>
      </c>
      <c r="L30" s="182">
        <f t="shared" si="10"/>
        <v>0.40398999999999996</v>
      </c>
      <c r="M30" s="183">
        <f>IFERROR('CPO5'!H14*1,"-")</f>
        <v>0</v>
      </c>
      <c r="N30" s="183">
        <f>IFERROR('CPO5'!H15*1,"-")</f>
        <v>0</v>
      </c>
      <c r="O30" s="183">
        <f>IFERROR('CPO5'!H16*1,"-")</f>
        <v>0</v>
      </c>
      <c r="P30" s="181">
        <f t="shared" si="11"/>
        <v>0</v>
      </c>
      <c r="Q30" s="182">
        <f t="shared" si="12"/>
        <v>0.40398999999999996</v>
      </c>
      <c r="R30" s="183">
        <f>IFERROR('CPO5'!H18*1,"-")</f>
        <v>0</v>
      </c>
      <c r="S30" s="183">
        <f>IFERROR('CPO5'!H19*1,"-")</f>
        <v>0</v>
      </c>
      <c r="T30" s="183">
        <f>IFERROR('CPO5'!H20*1,"-")</f>
        <v>0</v>
      </c>
      <c r="U30" s="181">
        <f t="shared" si="13"/>
        <v>0</v>
      </c>
      <c r="V30" s="182">
        <f t="shared" si="14"/>
        <v>0.40398999999999996</v>
      </c>
    </row>
    <row r="31" spans="1:22" ht="15.75">
      <c r="B31">
        <v>0.11</v>
      </c>
      <c r="C31" s="144" t="s">
        <v>64</v>
      </c>
      <c r="D31" s="183">
        <f>IFERROR(Carabobo!H5*1,"-")</f>
        <v>6.0736800000000004</v>
      </c>
      <c r="E31" s="183">
        <f>IFERROR(Carabobo!H6*1,"-")</f>
        <v>6.0254700000000003</v>
      </c>
      <c r="F31" s="183">
        <f>IFERROR(Carabobo!H7*1,"-")</f>
        <v>5.7495799999999999</v>
      </c>
      <c r="G31" s="181">
        <f t="shared" si="8"/>
        <v>17.848730000000003</v>
      </c>
      <c r="H31" s="146">
        <f>IFERROR(Carabobo!H9*1,"-")</f>
        <v>6.0504199999999999</v>
      </c>
      <c r="I31" s="146">
        <f>IFERROR(Carabobo!H10*1,"-")</f>
        <v>0</v>
      </c>
      <c r="J31" s="146">
        <f>IFERROR(Carabobo!H11*1,"-")</f>
        <v>0</v>
      </c>
      <c r="K31" s="181">
        <f t="shared" si="9"/>
        <v>6.0504199999999999</v>
      </c>
      <c r="L31" s="182">
        <f t="shared" si="10"/>
        <v>23.899150000000002</v>
      </c>
      <c r="M31" s="183">
        <f>IFERROR(Carabobo!H14*1,"-")</f>
        <v>0</v>
      </c>
      <c r="N31" s="183">
        <f>IFERROR(Carabobo!H15*1,"-")</f>
        <v>0</v>
      </c>
      <c r="O31" s="183">
        <f>IFERROR(Carabobo!H16*1,"-")</f>
        <v>0</v>
      </c>
      <c r="P31" s="181">
        <f t="shared" si="11"/>
        <v>0</v>
      </c>
      <c r="Q31" s="182">
        <f t="shared" si="12"/>
        <v>23.899150000000002</v>
      </c>
      <c r="R31" s="183">
        <f>IFERROR(Carabobo!H18*1,"-")</f>
        <v>0</v>
      </c>
      <c r="S31" s="183">
        <f>IFERROR(Carabobo!H19*1,"-")</f>
        <v>0</v>
      </c>
      <c r="T31" s="183">
        <f>IFERROR(Carabobo!H20*1,"-")</f>
        <v>0</v>
      </c>
      <c r="U31" s="181">
        <f t="shared" si="13"/>
        <v>0</v>
      </c>
      <c r="V31" s="182">
        <f t="shared" si="14"/>
        <v>23.899150000000002</v>
      </c>
    </row>
    <row r="32" spans="1:22" ht="15.75">
      <c r="B32">
        <v>0.4</v>
      </c>
      <c r="C32" s="144" t="s">
        <v>65</v>
      </c>
      <c r="D32" s="183">
        <f>IFERROR(Sancristobal!H5*1,"-")</f>
        <v>2.8149899999999999</v>
      </c>
      <c r="E32" s="183">
        <f>IFERROR(Sancristobal!H6*1,"-")</f>
        <v>2.8772899999999999</v>
      </c>
      <c r="F32" s="183">
        <f>IFERROR(Sancristobal!H7*1,"-")</f>
        <v>2.6065100000000001</v>
      </c>
      <c r="G32" s="181">
        <f t="shared" si="8"/>
        <v>8.2987900000000003</v>
      </c>
      <c r="H32" s="146">
        <f>IFERROR(Sancristobal!H9*1,"-")</f>
        <v>2.9470700000000001</v>
      </c>
      <c r="I32" s="146">
        <f>IFERROR(Sancristobal!H10*1,"-")</f>
        <v>0</v>
      </c>
      <c r="J32" s="146">
        <f>IFERROR(Sancristobal!H11*1,"-")</f>
        <v>0</v>
      </c>
      <c r="K32" s="181">
        <f t="shared" si="9"/>
        <v>2.9470700000000001</v>
      </c>
      <c r="L32" s="182">
        <f t="shared" si="10"/>
        <v>11.24586</v>
      </c>
      <c r="M32" s="183">
        <f>IFERROR(Sancristobal!H14*1,"-")</f>
        <v>0</v>
      </c>
      <c r="N32" s="183">
        <f>IFERROR(Sancristobal!H15*1,"-")</f>
        <v>0</v>
      </c>
      <c r="O32" s="183">
        <f>IFERROR(Sancristobal!H16*1,"-")</f>
        <v>0</v>
      </c>
      <c r="P32" s="181">
        <f t="shared" si="11"/>
        <v>0</v>
      </c>
      <c r="Q32" s="182">
        <f t="shared" si="12"/>
        <v>11.24586</v>
      </c>
      <c r="R32" s="183">
        <f>IFERROR(Sancristobal!H18*1,"-")</f>
        <v>0</v>
      </c>
      <c r="S32" s="183">
        <f>IFERROR(Sancristobal!H19*1,"-")</f>
        <v>0</v>
      </c>
      <c r="T32" s="183">
        <f>IFERROR(Sancristobal!H20*1,"-")</f>
        <v>0</v>
      </c>
      <c r="U32" s="181">
        <f t="shared" si="13"/>
        <v>0</v>
      </c>
      <c r="V32" s="182">
        <f t="shared" si="14"/>
        <v>11.24586</v>
      </c>
    </row>
    <row r="33" spans="2:22" ht="15.75">
      <c r="B33">
        <v>0.04</v>
      </c>
      <c r="C33" s="144" t="s">
        <v>66</v>
      </c>
      <c r="D33" s="183">
        <f>IFERROR(LZC!H5*1,"-")</f>
        <v>0</v>
      </c>
      <c r="E33" s="183">
        <f>IFERROR(LZC!H6*1,"-")</f>
        <v>0</v>
      </c>
      <c r="F33" s="183">
        <f>IFERROR(LZC!H7*1,"-")</f>
        <v>0</v>
      </c>
      <c r="G33" s="181">
        <f t="shared" si="8"/>
        <v>0</v>
      </c>
      <c r="H33" s="146">
        <f>IFERROR(LZC!H9*1,"-")</f>
        <v>0</v>
      </c>
      <c r="I33" s="146">
        <f>IFERROR(LZC!H10*1,"-")</f>
        <v>0</v>
      </c>
      <c r="J33" s="146">
        <f>IFERROR(LZC!H11*1,"-")</f>
        <v>0</v>
      </c>
      <c r="K33" s="181">
        <f t="shared" si="9"/>
        <v>0</v>
      </c>
      <c r="L33" s="182">
        <f t="shared" si="10"/>
        <v>0</v>
      </c>
      <c r="M33" s="183">
        <f>IFERROR(LZC!H14*1,"-")</f>
        <v>0</v>
      </c>
      <c r="N33" s="183">
        <f>IFERROR(LZC!H15*1,"-")</f>
        <v>0</v>
      </c>
      <c r="O33" s="183">
        <f>IFERROR(LZC!H16*1,"-")</f>
        <v>0</v>
      </c>
      <c r="P33" s="181">
        <f t="shared" si="11"/>
        <v>0</v>
      </c>
      <c r="Q33" s="182">
        <f t="shared" si="12"/>
        <v>0</v>
      </c>
      <c r="R33" s="183">
        <f>IFERROR(LZC!H18*1,"-")</f>
        <v>0</v>
      </c>
      <c r="S33" s="183">
        <f>IFERROR(LZC!H19*1,"-")</f>
        <v>0</v>
      </c>
      <c r="T33" s="183">
        <f>IFERROR(LZC!H20*1,"-")</f>
        <v>0</v>
      </c>
      <c r="U33" s="181">
        <f t="shared" si="13"/>
        <v>0</v>
      </c>
      <c r="V33" s="182">
        <f t="shared" si="14"/>
        <v>0</v>
      </c>
    </row>
    <row r="34" spans="2:22" ht="15.75">
      <c r="B34">
        <v>0.25</v>
      </c>
      <c r="C34" s="144" t="s">
        <v>67</v>
      </c>
      <c r="D34" s="183">
        <f>IFERROR(GPOC!H5*1,"-")</f>
        <v>0</v>
      </c>
      <c r="E34" s="183">
        <f>IFERROR(GPOC!H6*1,"-")</f>
        <v>0</v>
      </c>
      <c r="F34" s="183">
        <f>IFERROR(GPOC!H7*1,"-")</f>
        <v>0</v>
      </c>
      <c r="G34" s="181">
        <f t="shared" si="8"/>
        <v>0</v>
      </c>
      <c r="H34" s="146">
        <f>IFERROR(GPOC!H9*1,"-")</f>
        <v>0</v>
      </c>
      <c r="I34" s="146">
        <f>IFERROR(GPOC!H10*1,"-")</f>
        <v>0</v>
      </c>
      <c r="J34" s="146">
        <f>IFERROR(GPOC!H11*1,"-")</f>
        <v>0</v>
      </c>
      <c r="K34" s="181">
        <f t="shared" si="9"/>
        <v>0</v>
      </c>
      <c r="L34" s="182">
        <f t="shared" si="10"/>
        <v>0</v>
      </c>
      <c r="M34" s="183">
        <f>IFERROR(GPOC!H14*1,"-")</f>
        <v>0</v>
      </c>
      <c r="N34" s="183">
        <f>IFERROR(GPOC!H15*1,"-")</f>
        <v>0</v>
      </c>
      <c r="O34" s="183">
        <f>IFERROR(GPOC!H16*1,"-")</f>
        <v>0</v>
      </c>
      <c r="P34" s="181">
        <f t="shared" si="11"/>
        <v>0</v>
      </c>
      <c r="Q34" s="182">
        <f t="shared" si="12"/>
        <v>0</v>
      </c>
      <c r="R34" s="183">
        <f>IFERROR(GPOC!H18*1,"-")</f>
        <v>0</v>
      </c>
      <c r="S34" s="183">
        <f>IFERROR(GPOC!H19*1,"-")</f>
        <v>0</v>
      </c>
      <c r="T34" s="183">
        <f>IFERROR(GPOC!H20*1,"-")</f>
        <v>0</v>
      </c>
      <c r="U34" s="181">
        <f t="shared" si="13"/>
        <v>0</v>
      </c>
      <c r="V34" s="182">
        <f t="shared" si="14"/>
        <v>0</v>
      </c>
    </row>
    <row r="35" spans="2:22" ht="15.75">
      <c r="B35">
        <v>0.24124999999999999</v>
      </c>
      <c r="C35" s="144" t="s">
        <v>68</v>
      </c>
      <c r="D35" s="183">
        <f>IFERROR(SPOC!H5*1,"-")</f>
        <v>0</v>
      </c>
      <c r="E35" s="183">
        <f>IFERROR(SPOC!H6*1,"-")</f>
        <v>0</v>
      </c>
      <c r="F35" s="183">
        <f>IFERROR(SPOC!H7*1,"-")</f>
        <v>0</v>
      </c>
      <c r="G35" s="181">
        <f t="shared" si="8"/>
        <v>0</v>
      </c>
      <c r="H35" s="146">
        <f>IFERROR(SPOC!H9*1,"-")</f>
        <v>0</v>
      </c>
      <c r="I35" s="146">
        <f>IFERROR(SPOC!H10*1,"-")</f>
        <v>0</v>
      </c>
      <c r="J35" s="146">
        <f>IFERROR(SPOC!H11*1,"-")</f>
        <v>0</v>
      </c>
      <c r="K35" s="181">
        <f t="shared" si="9"/>
        <v>0</v>
      </c>
      <c r="L35" s="182">
        <f t="shared" si="10"/>
        <v>0</v>
      </c>
      <c r="M35" s="183">
        <f>IFERROR(SPOC!H14*1,"-")</f>
        <v>0</v>
      </c>
      <c r="N35" s="183">
        <f>IFERROR(SPOC!H15*1,"-")</f>
        <v>0</v>
      </c>
      <c r="O35" s="183">
        <f>IFERROR(SPOC!H16*1,"-")</f>
        <v>0</v>
      </c>
      <c r="P35" s="181">
        <f t="shared" si="11"/>
        <v>0</v>
      </c>
      <c r="Q35" s="182">
        <f t="shared" si="12"/>
        <v>0</v>
      </c>
      <c r="R35" s="183">
        <f>IFERROR(SPOC!H18*1,"-")</f>
        <v>0</v>
      </c>
      <c r="S35" s="183">
        <f>IFERROR(SPOC!H19*1,"-")</f>
        <v>0</v>
      </c>
      <c r="T35" s="183">
        <f>IFERROR(SPOC!H20*1,"-")</f>
        <v>0</v>
      </c>
      <c r="U35" s="181">
        <f t="shared" si="13"/>
        <v>0</v>
      </c>
      <c r="V35" s="182">
        <f t="shared" si="14"/>
        <v>0</v>
      </c>
    </row>
    <row r="36" spans="2:22" ht="15.75">
      <c r="B36">
        <v>0.45</v>
      </c>
      <c r="C36" s="144" t="s">
        <v>69</v>
      </c>
      <c r="D36" s="183">
        <f>IFERROR(Vietnam!H5*1,"-")</f>
        <v>0</v>
      </c>
      <c r="E36" s="183">
        <f>IFERROR(Vietnam!H6*1,"-")</f>
        <v>0</v>
      </c>
      <c r="F36" s="183">
        <f>IFERROR(Vietnam!H7*1,"-")</f>
        <v>0</v>
      </c>
      <c r="G36" s="181">
        <f t="shared" si="8"/>
        <v>0</v>
      </c>
      <c r="H36" s="146">
        <f>IFERROR(Vietnam!H9*1,"-")</f>
        <v>0</v>
      </c>
      <c r="I36" s="146">
        <f>IFERROR(Vietnam!H10*1,"-")</f>
        <v>0</v>
      </c>
      <c r="J36" s="146">
        <f>IFERROR(Vietnam!H11*1,"-")</f>
        <v>0</v>
      </c>
      <c r="K36" s="181">
        <f t="shared" si="9"/>
        <v>0</v>
      </c>
      <c r="L36" s="182">
        <f t="shared" si="10"/>
        <v>0</v>
      </c>
      <c r="M36" s="183">
        <f>IFERROR(Vietnam!H14*1,"-")</f>
        <v>0</v>
      </c>
      <c r="N36" s="183">
        <f>IFERROR(Vietnam!H15*1,"-")</f>
        <v>0</v>
      </c>
      <c r="O36" s="183">
        <f>IFERROR(Vietnam!H16*1,"-")</f>
        <v>0</v>
      </c>
      <c r="P36" s="181">
        <f t="shared" si="11"/>
        <v>0</v>
      </c>
      <c r="Q36" s="182">
        <f t="shared" si="12"/>
        <v>0</v>
      </c>
      <c r="R36" s="183">
        <f>IFERROR(Vietnam!H18*1,"-")</f>
        <v>0</v>
      </c>
      <c r="S36" s="183">
        <f>IFERROR(Vietnam!H19*1,"-")</f>
        <v>0</v>
      </c>
      <c r="T36" s="183">
        <f>IFERROR(Vietnam!H20*1,"-")</f>
        <v>0</v>
      </c>
      <c r="U36" s="181">
        <f t="shared" si="13"/>
        <v>0</v>
      </c>
      <c r="V36" s="182">
        <f t="shared" si="14"/>
        <v>0</v>
      </c>
    </row>
    <row r="37" spans="2:22" ht="15.75">
      <c r="B37">
        <v>0.17</v>
      </c>
      <c r="C37" s="144" t="s">
        <v>70</v>
      </c>
      <c r="D37" s="183">
        <f>IFERROR(A1A3!H5*1,"-")</f>
        <v>395.79993000000002</v>
      </c>
      <c r="E37" s="183">
        <f>IFERROR(A1A3!H6*1,"-")</f>
        <v>426.48</v>
      </c>
      <c r="F37" s="183">
        <f>IFERROR(A1A3!H7*1,"-")</f>
        <v>433.57116000000002</v>
      </c>
      <c r="G37" s="181">
        <f t="shared" si="8"/>
        <v>1255.8510900000001</v>
      </c>
      <c r="H37" s="183">
        <f>IFERROR(A1A3!H9*1,"-")</f>
        <v>440.76175999999998</v>
      </c>
      <c r="I37" s="183">
        <f>IFERROR(A1A3!H10*1,"-")</f>
        <v>0</v>
      </c>
      <c r="J37" s="146">
        <f>IFERROR(A1A3!H11*1,"-")</f>
        <v>0</v>
      </c>
      <c r="K37" s="181">
        <f t="shared" si="9"/>
        <v>440.76175999999998</v>
      </c>
      <c r="L37" s="182">
        <f t="shared" si="10"/>
        <v>1696.61285</v>
      </c>
      <c r="M37" s="183">
        <f>IFERROR(A1A3!H14*1,"-")</f>
        <v>0</v>
      </c>
      <c r="N37" s="183">
        <f>IFERROR(A1A3!H15*1,"-")</f>
        <v>0</v>
      </c>
      <c r="O37" s="183">
        <f>IFERROR(A1A3!H16*1,"-")</f>
        <v>0</v>
      </c>
      <c r="P37" s="181">
        <f t="shared" si="11"/>
        <v>0</v>
      </c>
      <c r="Q37" s="182">
        <f t="shared" si="12"/>
        <v>1696.61285</v>
      </c>
      <c r="R37" s="183">
        <f>IFERROR(A1A3!H18*1,"-")</f>
        <v>0</v>
      </c>
      <c r="S37" s="183">
        <f>IFERROR(A1A3!H19*1,"-")</f>
        <v>0</v>
      </c>
      <c r="T37" s="183">
        <f>IFERROR(A1A3!H20*1,"-")</f>
        <v>0</v>
      </c>
      <c r="U37" s="181">
        <f t="shared" si="13"/>
        <v>0</v>
      </c>
      <c r="V37" s="182">
        <f t="shared" si="14"/>
        <v>1696.61285</v>
      </c>
    </row>
    <row r="38" spans="2:22" ht="15.75">
      <c r="C38" s="145" t="s">
        <v>92</v>
      </c>
      <c r="D38" s="204">
        <f>SUM(D24:D37)</f>
        <v>1450.95685</v>
      </c>
      <c r="E38" s="204">
        <f t="shared" ref="E38:V38" si="15">SUM(E24:E37)</f>
        <v>1447.9694199999999</v>
      </c>
      <c r="F38" s="204">
        <f t="shared" si="15"/>
        <v>1367.1491100000001</v>
      </c>
      <c r="G38" s="205">
        <f t="shared" si="15"/>
        <v>4266.0753800000002</v>
      </c>
      <c r="H38" s="204">
        <f t="shared" si="15"/>
        <v>1228.54621</v>
      </c>
      <c r="I38" s="204">
        <f t="shared" si="15"/>
        <v>0</v>
      </c>
      <c r="J38" s="152">
        <f t="shared" si="15"/>
        <v>0</v>
      </c>
      <c r="K38" s="205">
        <f t="shared" si="15"/>
        <v>1228.54621</v>
      </c>
      <c r="L38" s="206">
        <f t="shared" si="15"/>
        <v>5494.6215899999997</v>
      </c>
      <c r="M38" s="204">
        <f t="shared" si="15"/>
        <v>0</v>
      </c>
      <c r="N38" s="204">
        <f>SUM(N24:N37)</f>
        <v>0</v>
      </c>
      <c r="O38" s="204">
        <f t="shared" si="15"/>
        <v>0</v>
      </c>
      <c r="P38" s="205">
        <f t="shared" si="15"/>
        <v>0</v>
      </c>
      <c r="Q38" s="206">
        <f t="shared" si="15"/>
        <v>5494.6215899999997</v>
      </c>
      <c r="R38" s="204">
        <f t="shared" si="15"/>
        <v>0</v>
      </c>
      <c r="S38" s="204">
        <f t="shared" si="15"/>
        <v>0</v>
      </c>
      <c r="T38" s="204">
        <f t="shared" si="15"/>
        <v>0</v>
      </c>
      <c r="U38" s="205">
        <f t="shared" si="15"/>
        <v>0</v>
      </c>
      <c r="V38" s="206">
        <f t="shared" si="15"/>
        <v>5494.6215899999997</v>
      </c>
    </row>
    <row r="42" spans="2:22">
      <c r="C42" s="1110" t="s">
        <v>113</v>
      </c>
      <c r="D42" s="1111"/>
      <c r="E42" s="1111"/>
      <c r="F42" s="1111"/>
      <c r="G42" s="1111"/>
      <c r="H42" s="1111"/>
      <c r="I42" s="1111"/>
      <c r="J42" s="1111"/>
      <c r="K42" s="1111"/>
      <c r="L42" s="1111"/>
      <c r="M42" s="1111"/>
      <c r="N42" s="1111"/>
      <c r="O42" s="1111"/>
      <c r="P42" s="1111"/>
      <c r="Q42" s="1111"/>
      <c r="R42" s="1111"/>
      <c r="S42" s="1111"/>
      <c r="T42" s="1111"/>
      <c r="U42" s="1111"/>
      <c r="V42" s="1112"/>
    </row>
    <row r="43" spans="2:22">
      <c r="C43" s="144"/>
      <c r="D43" s="144" t="s">
        <v>30</v>
      </c>
      <c r="E43" s="144" t="s">
        <v>71</v>
      </c>
      <c r="F43" s="144" t="s">
        <v>72</v>
      </c>
      <c r="G43" s="142" t="s">
        <v>82</v>
      </c>
      <c r="H43" s="144" t="s">
        <v>73</v>
      </c>
      <c r="I43" s="144" t="s">
        <v>74</v>
      </c>
      <c r="J43" s="144" t="s">
        <v>75</v>
      </c>
      <c r="K43" s="142" t="s">
        <v>83</v>
      </c>
      <c r="L43" s="166" t="s">
        <v>39</v>
      </c>
      <c r="M43" s="144" t="s">
        <v>76</v>
      </c>
      <c r="N43" s="144" t="s">
        <v>77</v>
      </c>
      <c r="O43" s="144" t="s">
        <v>78</v>
      </c>
      <c r="P43" s="142" t="s">
        <v>84</v>
      </c>
      <c r="Q43" s="166" t="s">
        <v>85</v>
      </c>
      <c r="R43" s="144" t="s">
        <v>79</v>
      </c>
      <c r="S43" s="144" t="s">
        <v>80</v>
      </c>
      <c r="T43" s="144" t="s">
        <v>81</v>
      </c>
      <c r="U43" s="142" t="s">
        <v>86</v>
      </c>
      <c r="V43" s="166" t="s">
        <v>87</v>
      </c>
    </row>
    <row r="44" spans="2:22" ht="15.75">
      <c r="C44" s="144" t="s">
        <v>60</v>
      </c>
      <c r="D44" s="141">
        <f>IFERROR(Sakhalin!G5*1,"-")</f>
        <v>155017.44852999999</v>
      </c>
      <c r="E44" s="141">
        <f>IFERROR(Sakhalin!G6*1,"-")</f>
        <v>156000.95595999999</v>
      </c>
      <c r="F44" s="141">
        <f>IFERROR(Sakhalin!G7*1,"-")</f>
        <v>133691.20000000001</v>
      </c>
      <c r="G44" s="143">
        <f>D44+E44+F44</f>
        <v>444709.60449</v>
      </c>
      <c r="H44" s="141">
        <f>IFERROR(Sakhalin!G9*1,"-")</f>
        <v>158275.45541</v>
      </c>
      <c r="I44" s="141">
        <f>IFERROR(Sakhalin!G10*1,"-")</f>
        <v>0</v>
      </c>
      <c r="J44" s="141">
        <f>IFERROR(Sakhalin!G11*1,"-")</f>
        <v>0</v>
      </c>
      <c r="K44" s="143">
        <f>H44+I44+J44</f>
        <v>158275.45541</v>
      </c>
      <c r="L44" s="167">
        <f>G44+K44</f>
        <v>602985.05989999999</v>
      </c>
      <c r="M44" s="141">
        <f>IFERROR(Sakhalin!G14*1,"-")</f>
        <v>0</v>
      </c>
      <c r="N44" s="141">
        <f>IFERROR(Sakhalin!G15*1,"-")</f>
        <v>0</v>
      </c>
      <c r="O44" s="141">
        <f>IFERROR(Sakhalin!G16*1,"-")</f>
        <v>0</v>
      </c>
      <c r="P44" s="143">
        <f>M44+N44+O44</f>
        <v>0</v>
      </c>
      <c r="Q44" s="167">
        <f>L44+P44</f>
        <v>602985.05989999999</v>
      </c>
      <c r="R44" s="141">
        <f>IFERROR(Sakhalin!G18*1,"-")</f>
        <v>0</v>
      </c>
      <c r="S44" s="141">
        <f>IFERROR(Sakhalin!G19*1,"-")</f>
        <v>0</v>
      </c>
      <c r="T44" s="141">
        <f>IFERROR(Sakhalin!G20*1,"-")</f>
        <v>0</v>
      </c>
      <c r="U44" s="143">
        <f>R44+S44+T44</f>
        <v>0</v>
      </c>
      <c r="V44" s="167">
        <f>Q44+U44</f>
        <v>602985.05989999999</v>
      </c>
    </row>
    <row r="45" spans="2:22" ht="15.75">
      <c r="C45" s="144" t="s">
        <v>61</v>
      </c>
      <c r="D45" s="141">
        <f>IFERROR(Vankor!G5*1,"-")</f>
        <v>163205.69485999999</v>
      </c>
      <c r="E45" s="141">
        <f>IFERROR(Vankor!G6*1,"-")</f>
        <v>168508.92525999999</v>
      </c>
      <c r="F45" s="141">
        <f>IFERROR(Vankor!G7*1,"-")</f>
        <v>162725.26506000001</v>
      </c>
      <c r="G45" s="143">
        <f t="shared" ref="G45:G58" si="16">D45+E45+F45</f>
        <v>494439.88517999998</v>
      </c>
      <c r="H45" s="141">
        <f>IFERROR(Vankor!G9*1,"-")</f>
        <v>169340.24690999999</v>
      </c>
      <c r="I45" s="141">
        <f>IFERROR(Vankor!G10*1,"-")</f>
        <v>0</v>
      </c>
      <c r="J45" s="141">
        <f>IFERROR(Vankor!G11*1,"-")</f>
        <v>0</v>
      </c>
      <c r="K45" s="143">
        <f t="shared" ref="K45:K58" si="17">H45+I45+J45</f>
        <v>169340.24690999999</v>
      </c>
      <c r="L45" s="167">
        <f t="shared" ref="L45:L58" si="18">G45+K45</f>
        <v>663780.13208999997</v>
      </c>
      <c r="M45" s="141">
        <f>IFERROR(Vankor!G14*1,"-")</f>
        <v>0</v>
      </c>
      <c r="N45" s="141">
        <f>IFERROR(Vankor!G15*1,"-")</f>
        <v>0</v>
      </c>
      <c r="O45" s="141">
        <f>IFERROR(Vankor!G16*1,"-")</f>
        <v>0</v>
      </c>
      <c r="P45" s="143">
        <f t="shared" ref="P45:P58" si="19">M45+N45+O45</f>
        <v>0</v>
      </c>
      <c r="Q45" s="167">
        <f t="shared" ref="Q45:Q58" si="20">L45+P45</f>
        <v>663780.13208999997</v>
      </c>
      <c r="R45" s="141">
        <f>IFERROR(Vankor!G18*1,"-")</f>
        <v>0</v>
      </c>
      <c r="S45" s="141">
        <f>IFERROR(Vankor!G19*1,"-")</f>
        <v>0</v>
      </c>
      <c r="T45" s="141">
        <f>IFERROR(Vankor!G20*1,"-")</f>
        <v>0</v>
      </c>
      <c r="U45" s="143">
        <f t="shared" ref="U45:U58" si="21">R45+S45+T45</f>
        <v>0</v>
      </c>
      <c r="V45" s="167">
        <f t="shared" ref="V45:V58" si="22">Q45+U45</f>
        <v>663780.13208999997</v>
      </c>
    </row>
    <row r="46" spans="2:22" ht="15.75">
      <c r="C46" s="144" t="s">
        <v>62</v>
      </c>
      <c r="D46" s="141">
        <f>IFERROR(IEC!G5*1,"-")</f>
        <v>7636.0000300000002</v>
      </c>
      <c r="E46" s="141">
        <f>IFERROR(IEC!G6*1,"-")</f>
        <v>7554.9998999999998</v>
      </c>
      <c r="F46" s="141">
        <f>IFERROR(IEC!G7*1,"-")</f>
        <v>7685.0000099999997</v>
      </c>
      <c r="G46" s="143">
        <f t="shared" si="16"/>
        <v>22875.999940000002</v>
      </c>
      <c r="H46" s="141">
        <f>IFERROR(IEC!G9*1,"-")</f>
        <v>7685.0000600000003</v>
      </c>
      <c r="I46" s="141">
        <f>IFERROR(IEC!G10*1,"-")</f>
        <v>0</v>
      </c>
      <c r="J46" s="141">
        <f>IFERROR(IEC!G11*1,"-")</f>
        <v>0</v>
      </c>
      <c r="K46" s="143">
        <f t="shared" si="17"/>
        <v>7685.0000600000003</v>
      </c>
      <c r="L46" s="167">
        <f t="shared" si="18"/>
        <v>30561</v>
      </c>
      <c r="M46" s="141">
        <f>IFERROR(IEC!G14*1,"-")</f>
        <v>0</v>
      </c>
      <c r="N46" s="141">
        <f>IFERROR(IEC!G15*1,"-")</f>
        <v>0</v>
      </c>
      <c r="O46" s="141">
        <f>IFERROR(IEC!G16*1,"-")</f>
        <v>0</v>
      </c>
      <c r="P46" s="143">
        <f t="shared" si="19"/>
        <v>0</v>
      </c>
      <c r="Q46" s="167">
        <f t="shared" si="20"/>
        <v>30561</v>
      </c>
      <c r="R46" s="141">
        <f>IFERROR(IEC!G18*1,"-")</f>
        <v>0</v>
      </c>
      <c r="S46" s="141">
        <f>IFERROR(IEC!G19*1,"-")</f>
        <v>0</v>
      </c>
      <c r="T46" s="141">
        <f>IFERROR(IEC!G20*1,"-")</f>
        <v>0</v>
      </c>
      <c r="U46" s="143">
        <f t="shared" si="21"/>
        <v>0</v>
      </c>
      <c r="V46" s="167">
        <f t="shared" si="22"/>
        <v>30561</v>
      </c>
    </row>
    <row r="47" spans="2:22" ht="15.75">
      <c r="C47" s="144" t="s">
        <v>57</v>
      </c>
      <c r="D47" s="141">
        <f>IFERROR(ACG!G5*1,"-")</f>
        <v>37967.99</v>
      </c>
      <c r="E47" s="141">
        <f>IFERROR(ACG!G6*1,"-")</f>
        <v>38751.151729999998</v>
      </c>
      <c r="F47" s="141">
        <f>IFERROR(ACG!G7*1,"-")</f>
        <v>38150.668189999997</v>
      </c>
      <c r="G47" s="143">
        <f t="shared" si="16"/>
        <v>114869.80992</v>
      </c>
      <c r="H47" s="141">
        <f>IFERROR(ACG!G9*1,"-")</f>
        <v>39519.113100000002</v>
      </c>
      <c r="I47" s="141">
        <f>IFERROR(ACG!G10*1,"-")</f>
        <v>0</v>
      </c>
      <c r="J47" s="141">
        <f>IFERROR(ACG!G11*1,"-")</f>
        <v>0</v>
      </c>
      <c r="K47" s="143">
        <f t="shared" si="17"/>
        <v>39519.113100000002</v>
      </c>
      <c r="L47" s="167">
        <f t="shared" si="18"/>
        <v>154388.92301999999</v>
      </c>
      <c r="M47" s="141">
        <f>IFERROR(ACG!G14*1,"-")</f>
        <v>0</v>
      </c>
      <c r="N47" s="141">
        <f>IFERROR(ACG!G15*1,"-")</f>
        <v>0</v>
      </c>
      <c r="O47" s="141">
        <f>IFERROR(ACG!G16*1,"-")</f>
        <v>0</v>
      </c>
      <c r="P47" s="143">
        <f t="shared" si="19"/>
        <v>0</v>
      </c>
      <c r="Q47" s="167">
        <f t="shared" si="20"/>
        <v>154388.92301999999</v>
      </c>
      <c r="R47" s="141">
        <f>IFERROR(ACG!G18*1,"-")</f>
        <v>0</v>
      </c>
      <c r="S47" s="141">
        <f>IFERROR(ACG!G19*1,"-")</f>
        <v>0</v>
      </c>
      <c r="T47" s="141">
        <f>IFERROR(ACG!G20*1,"-")</f>
        <v>0</v>
      </c>
      <c r="U47" s="143">
        <f t="shared" si="21"/>
        <v>0</v>
      </c>
      <c r="V47" s="167">
        <f t="shared" si="22"/>
        <v>154388.92301999999</v>
      </c>
    </row>
    <row r="48" spans="2:22" ht="15.75">
      <c r="C48" s="144" t="s">
        <v>58</v>
      </c>
      <c r="D48" s="141">
        <f>IFERROR('BC10'!G5*1,"-")</f>
        <v>43198.919970000003</v>
      </c>
      <c r="E48" s="141">
        <f>IFERROR('BC10'!G6*1,"-")</f>
        <v>37292.113259999998</v>
      </c>
      <c r="F48" s="141">
        <f>IFERROR('BC10'!G7*1,"-")</f>
        <v>39229.919990000002</v>
      </c>
      <c r="G48" s="143">
        <f t="shared" si="16"/>
        <v>119720.95322</v>
      </c>
      <c r="H48" s="141">
        <f>IFERROR('BC10'!G9*1,"-")</f>
        <v>33881.504029999996</v>
      </c>
      <c r="I48" s="141">
        <f>IFERROR('BC10'!G10*1,"-")</f>
        <v>0</v>
      </c>
      <c r="J48" s="141">
        <f>IFERROR('BC10'!G11*1,"-")</f>
        <v>0</v>
      </c>
      <c r="K48" s="143">
        <f t="shared" si="17"/>
        <v>33881.504029999996</v>
      </c>
      <c r="L48" s="167">
        <f t="shared" si="18"/>
        <v>153602.45724999998</v>
      </c>
      <c r="M48" s="141">
        <f>IFERROR('BC10'!G14*1,"-")</f>
        <v>0</v>
      </c>
      <c r="N48" s="141">
        <f>IFERROR('BC10'!G15*1,"-")</f>
        <v>0</v>
      </c>
      <c r="O48" s="163">
        <f>IFERROR('BC10'!G16*1,"-")</f>
        <v>0</v>
      </c>
      <c r="P48" s="143">
        <f t="shared" si="19"/>
        <v>0</v>
      </c>
      <c r="Q48" s="167">
        <f t="shared" si="20"/>
        <v>153602.45724999998</v>
      </c>
      <c r="R48" s="141">
        <f>IFERROR('BC10'!G18*1,"-")</f>
        <v>0</v>
      </c>
      <c r="S48" s="141">
        <f>IFERROR('BC10'!G19*1,"-")</f>
        <v>0</v>
      </c>
      <c r="T48" s="141">
        <f>IFERROR('BC10'!G20*1,"-")</f>
        <v>0</v>
      </c>
      <c r="U48" s="143">
        <f t="shared" si="21"/>
        <v>0</v>
      </c>
      <c r="V48" s="167">
        <f t="shared" si="22"/>
        <v>153602.45724999998</v>
      </c>
    </row>
    <row r="49" spans="3:22" ht="15.75">
      <c r="C49" s="144" t="s">
        <v>59</v>
      </c>
      <c r="D49" s="141">
        <f>IFERROR(MECL!G5*1,"-")</f>
        <v>9917.0000099999997</v>
      </c>
      <c r="E49" s="141">
        <f>IFERROR(MECL!G6*1,"-")</f>
        <v>10173</v>
      </c>
      <c r="F49" s="141">
        <f>IFERROR(MECL!G7*1,"-")</f>
        <v>10609</v>
      </c>
      <c r="G49" s="143">
        <f t="shared" si="16"/>
        <v>30699.00001</v>
      </c>
      <c r="H49" s="141">
        <f>IFERROR(MECL!G9*1,"-")</f>
        <v>11138.999980000001</v>
      </c>
      <c r="I49" s="141">
        <f>IFERROR(MECL!G10*1,"-")</f>
        <v>0</v>
      </c>
      <c r="J49" s="141">
        <f>IFERROR(MECL!G11*1,"-")</f>
        <v>0</v>
      </c>
      <c r="K49" s="143">
        <f t="shared" si="17"/>
        <v>11138.999980000001</v>
      </c>
      <c r="L49" s="167">
        <f t="shared" si="18"/>
        <v>41837.999989999997</v>
      </c>
      <c r="M49" s="141">
        <f>IFERROR(MECL!G14*1,"-")</f>
        <v>0</v>
      </c>
      <c r="N49" s="141">
        <f>IFERROR(MECL!G15*1,"-")</f>
        <v>0</v>
      </c>
      <c r="O49" s="141">
        <f>IFERROR(MECL!G16*1,"-")</f>
        <v>0</v>
      </c>
      <c r="P49" s="143">
        <f t="shared" si="19"/>
        <v>0</v>
      </c>
      <c r="Q49" s="167">
        <f t="shared" si="20"/>
        <v>41837.999989999997</v>
      </c>
      <c r="R49" s="141">
        <f>IFERROR(MECL!G18*1,"-")</f>
        <v>0</v>
      </c>
      <c r="S49" s="141">
        <f>IFERROR(MECL!G19*1,"-")</f>
        <v>0</v>
      </c>
      <c r="T49" s="141">
        <f>IFERROR(MECL!G20*1,"-")</f>
        <v>0</v>
      </c>
      <c r="U49" s="143">
        <f t="shared" si="21"/>
        <v>0</v>
      </c>
      <c r="V49" s="167">
        <f t="shared" si="22"/>
        <v>41837.999989999997</v>
      </c>
    </row>
    <row r="50" spans="3:22" ht="15.75">
      <c r="C50" s="144" t="s">
        <v>63</v>
      </c>
      <c r="D50" s="141">
        <f>IFERROR('CPO5'!G5*1,"-")</f>
        <v>52011.40004</v>
      </c>
      <c r="E50" s="141">
        <f>IFERROR('CPO5'!G6*1,"-")</f>
        <v>63886.90004</v>
      </c>
      <c r="F50" s="141">
        <f>IFERROR('CPO5'!G7*1,"-")</f>
        <v>60564.699990000001</v>
      </c>
      <c r="G50" s="143">
        <f t="shared" si="16"/>
        <v>176463.00007000001</v>
      </c>
      <c r="H50" s="141">
        <f>IFERROR('CPO5'!G9*1,"-")</f>
        <v>60326.000010000003</v>
      </c>
      <c r="I50" s="141">
        <f>IFERROR('CPO5'!G10*1,"-")</f>
        <v>0</v>
      </c>
      <c r="J50" s="141">
        <f>IFERROR('CPO5'!G11*1,"-")</f>
        <v>0</v>
      </c>
      <c r="K50" s="143">
        <f t="shared" si="17"/>
        <v>60326.000010000003</v>
      </c>
      <c r="L50" s="167">
        <f t="shared" si="18"/>
        <v>236789.00008000003</v>
      </c>
      <c r="M50" s="141">
        <f>IFERROR('CPO5'!G14*1,"-")</f>
        <v>0</v>
      </c>
      <c r="N50" s="141">
        <f>IFERROR('CPO5'!G15*1,"-")</f>
        <v>0</v>
      </c>
      <c r="O50" s="141">
        <f>IFERROR('CPO5'!G16*1,"-")</f>
        <v>0</v>
      </c>
      <c r="P50" s="143">
        <f t="shared" si="19"/>
        <v>0</v>
      </c>
      <c r="Q50" s="167">
        <f t="shared" si="20"/>
        <v>236789.00008000003</v>
      </c>
      <c r="R50" s="141">
        <f>IFERROR('CPO5'!G18*1,"-")</f>
        <v>0</v>
      </c>
      <c r="S50" s="141">
        <f>IFERROR('CPO5'!G19*1,"-")</f>
        <v>0</v>
      </c>
      <c r="T50" s="141">
        <f>IFERROR('CPO5'!G20*1,"-")</f>
        <v>0</v>
      </c>
      <c r="U50" s="143">
        <f t="shared" si="21"/>
        <v>0</v>
      </c>
      <c r="V50" s="167">
        <f t="shared" si="22"/>
        <v>236789.00008000003</v>
      </c>
    </row>
    <row r="51" spans="3:22" ht="15.75">
      <c r="C51" s="144" t="s">
        <v>64</v>
      </c>
      <c r="D51" s="141">
        <f>IFERROR(Carabobo!G5*1,"-")</f>
        <v>3714.1390200000001</v>
      </c>
      <c r="E51" s="141">
        <f>IFERROR(Carabobo!G6*1,"-")</f>
        <v>3799.1249899999998</v>
      </c>
      <c r="F51" s="141">
        <f>IFERROR(Carabobo!G7*1,"-")</f>
        <v>3685.6875399999999</v>
      </c>
      <c r="G51" s="143">
        <f t="shared" si="16"/>
        <v>11198.95155</v>
      </c>
      <c r="H51" s="141">
        <f>IFERROR(Carabobo!G9*1,"-")</f>
        <v>3800.6233299999999</v>
      </c>
      <c r="I51" s="141">
        <f>IFERROR(Carabobo!G10*1,"-")</f>
        <v>0</v>
      </c>
      <c r="J51" s="141">
        <f>IFERROR(Carabobo!G11*1,"-")</f>
        <v>0</v>
      </c>
      <c r="K51" s="143">
        <f t="shared" si="17"/>
        <v>3800.6233299999999</v>
      </c>
      <c r="L51" s="167">
        <f t="shared" si="18"/>
        <v>14999.57488</v>
      </c>
      <c r="M51" s="141">
        <f>IFERROR(Carabobo!G14*1,"-")</f>
        <v>0</v>
      </c>
      <c r="N51" s="141">
        <f>IFERROR(Carabobo!G15*1,"-")</f>
        <v>0</v>
      </c>
      <c r="O51" s="141">
        <f>IFERROR(Carabobo!G16*1,"-")</f>
        <v>0</v>
      </c>
      <c r="P51" s="143">
        <f t="shared" si="19"/>
        <v>0</v>
      </c>
      <c r="Q51" s="167">
        <f t="shared" si="20"/>
        <v>14999.57488</v>
      </c>
      <c r="R51" s="141">
        <f>IFERROR(Carabobo!G18*1,"-")</f>
        <v>0</v>
      </c>
      <c r="S51" s="141">
        <f>IFERROR(Carabobo!G19*1,"-")</f>
        <v>0</v>
      </c>
      <c r="T51" s="141">
        <f>IFERROR(Carabobo!G20*1,"-")</f>
        <v>0</v>
      </c>
      <c r="U51" s="143">
        <f t="shared" si="21"/>
        <v>0</v>
      </c>
      <c r="V51" s="167">
        <f t="shared" si="22"/>
        <v>14999.57488</v>
      </c>
    </row>
    <row r="52" spans="3:22" ht="15.75">
      <c r="C52" s="144" t="s">
        <v>65</v>
      </c>
      <c r="D52" s="141">
        <f>IFERROR(Sancristobal!G5*1,"-")</f>
        <v>7908.6720100000002</v>
      </c>
      <c r="E52" s="141">
        <f>IFERROR(Sancristobal!G6*1,"-")</f>
        <v>10163.77439</v>
      </c>
      <c r="F52" s="141">
        <f>IFERROR(Sancristobal!G7*1,"-")</f>
        <v>10303.43598</v>
      </c>
      <c r="G52" s="143">
        <f t="shared" si="16"/>
        <v>28375.882380000003</v>
      </c>
      <c r="H52" s="141">
        <f>IFERROR(Sancristobal!G9*1,"-")</f>
        <v>10760.60801</v>
      </c>
      <c r="I52" s="141">
        <f>IFERROR(Sancristobal!G10*1,"-")</f>
        <v>0</v>
      </c>
      <c r="J52" s="141">
        <f>IFERROR(Sancristobal!G11*1,"-")</f>
        <v>0</v>
      </c>
      <c r="K52" s="143">
        <f t="shared" si="17"/>
        <v>10760.60801</v>
      </c>
      <c r="L52" s="167">
        <f t="shared" si="18"/>
        <v>39136.490390000006</v>
      </c>
      <c r="M52" s="141">
        <f>IFERROR(Sancristobal!G14*1,"-")</f>
        <v>0</v>
      </c>
      <c r="N52" s="141">
        <f>IFERROR(Sancristobal!G15*1,"-")</f>
        <v>0</v>
      </c>
      <c r="O52" s="141">
        <f>IFERROR(Sancristobal!G16*1,"-")</f>
        <v>0</v>
      </c>
      <c r="P52" s="143">
        <f t="shared" si="19"/>
        <v>0</v>
      </c>
      <c r="Q52" s="167">
        <f t="shared" si="20"/>
        <v>39136.490390000006</v>
      </c>
      <c r="R52" s="141">
        <f>IFERROR(Sancristobal!G18*1,"-")</f>
        <v>0</v>
      </c>
      <c r="S52" s="141">
        <f>IFERROR(Sancristobal!G19*1,"-")</f>
        <v>0</v>
      </c>
      <c r="T52" s="141">
        <f>IFERROR(Sancristobal!G20*1,"-")</f>
        <v>0</v>
      </c>
      <c r="U52" s="143">
        <f t="shared" si="21"/>
        <v>0</v>
      </c>
      <c r="V52" s="167">
        <f t="shared" si="22"/>
        <v>39136.490390000006</v>
      </c>
    </row>
    <row r="53" spans="3:22" ht="15.75">
      <c r="C53" s="144" t="s">
        <v>66</v>
      </c>
      <c r="D53" s="141">
        <f>IFERROR(LZC!G5*1,"-")</f>
        <v>37880.162729999996</v>
      </c>
      <c r="E53" s="141">
        <f>IFERROR(LZC!G6*1,"-")</f>
        <v>43939.039980000001</v>
      </c>
      <c r="F53" s="141">
        <f>IFERROR(LZC!G7*1,"-")</f>
        <v>67232.90814</v>
      </c>
      <c r="G53" s="143">
        <f t="shared" si="16"/>
        <v>149052.11085</v>
      </c>
      <c r="H53" s="141">
        <f>IFERROR(LZC!G9*1,"-")</f>
        <v>53737.590559999997</v>
      </c>
      <c r="I53" s="141">
        <f>IFERROR(LZC!G10*1,"-")</f>
        <v>0</v>
      </c>
      <c r="J53" s="141">
        <f>IFERROR(LZC!G11*1,"-")</f>
        <v>0</v>
      </c>
      <c r="K53" s="143">
        <f t="shared" si="17"/>
        <v>53737.590559999997</v>
      </c>
      <c r="L53" s="167">
        <f t="shared" si="18"/>
        <v>202789.70140999998</v>
      </c>
      <c r="M53" s="141">
        <f>IFERROR(LZC!G14*1,"-")</f>
        <v>0</v>
      </c>
      <c r="N53" s="141">
        <f>IFERROR(LZC!G15*1,"-")</f>
        <v>0</v>
      </c>
      <c r="O53" s="141">
        <f>IFERROR(LZC!G16*1,"-")</f>
        <v>0</v>
      </c>
      <c r="P53" s="143">
        <f t="shared" si="19"/>
        <v>0</v>
      </c>
      <c r="Q53" s="167">
        <f t="shared" si="20"/>
        <v>202789.70140999998</v>
      </c>
      <c r="R53" s="141">
        <f>IFERROR(LZC!G18*1,"-")</f>
        <v>0</v>
      </c>
      <c r="S53" s="141">
        <f>IFERROR(LZC!G19*1,"-")</f>
        <v>0</v>
      </c>
      <c r="T53" s="141">
        <f>IFERROR(LZC!G20*1,"-")</f>
        <v>0</v>
      </c>
      <c r="U53" s="143">
        <f t="shared" si="21"/>
        <v>0</v>
      </c>
      <c r="V53" s="167">
        <f t="shared" si="22"/>
        <v>202789.70140999998</v>
      </c>
    </row>
    <row r="54" spans="3:22" ht="15.75">
      <c r="C54" s="144" t="s">
        <v>67</v>
      </c>
      <c r="D54" s="141">
        <f>IFERROR(GPOC!G5*1,"-")</f>
        <v>55202.705499999996</v>
      </c>
      <c r="E54" s="141">
        <f>IFERROR(GPOC!G6*1,"-")</f>
        <v>56746.643770000002</v>
      </c>
      <c r="F54" s="141">
        <f>IFERROR(GPOC!G7*1,"-")</f>
        <v>52356.369749999998</v>
      </c>
      <c r="G54" s="143">
        <f t="shared" si="16"/>
        <v>164305.71902000002</v>
      </c>
      <c r="H54" s="141">
        <f>IFERROR(GPOC!G9*1,"-")</f>
        <v>59382.431499999999</v>
      </c>
      <c r="I54" s="141">
        <f>IFERROR(GPOC!G10*1,"-")</f>
        <v>0</v>
      </c>
      <c r="J54" s="141">
        <f>IFERROR(GPOC!G11*1,"-")</f>
        <v>0</v>
      </c>
      <c r="K54" s="143">
        <f t="shared" si="17"/>
        <v>59382.431499999999</v>
      </c>
      <c r="L54" s="167">
        <f t="shared" si="18"/>
        <v>223688.15052000002</v>
      </c>
      <c r="M54" s="141">
        <f>IFERROR(GPOC!G14*1,"-")</f>
        <v>0</v>
      </c>
      <c r="N54" s="141">
        <f>IFERROR(GPOC!G15*1,"-")</f>
        <v>0</v>
      </c>
      <c r="O54" s="141">
        <f>IFERROR(GPOC!G16*1,"-")</f>
        <v>0</v>
      </c>
      <c r="P54" s="143">
        <f t="shared" si="19"/>
        <v>0</v>
      </c>
      <c r="Q54" s="167">
        <f t="shared" si="20"/>
        <v>223688.15052000002</v>
      </c>
      <c r="R54" s="141">
        <f>IFERROR(GPOC!G18*1,"-")</f>
        <v>0</v>
      </c>
      <c r="S54" s="141">
        <f>IFERROR(GPOC!G19*1,"-")</f>
        <v>0</v>
      </c>
      <c r="T54" s="141">
        <f>IFERROR(GPOC!G20*1,"-")</f>
        <v>0</v>
      </c>
      <c r="U54" s="143">
        <f t="shared" si="21"/>
        <v>0</v>
      </c>
      <c r="V54" s="167">
        <f t="shared" si="22"/>
        <v>223688.15052000002</v>
      </c>
    </row>
    <row r="55" spans="3:22" ht="15.75">
      <c r="C55" s="144" t="s">
        <v>68</v>
      </c>
      <c r="D55" s="141">
        <f>IFERROR(SPOC!G5*1,"-")</f>
        <v>13986.185030000001</v>
      </c>
      <c r="E55" s="141">
        <f>IFERROR(SPOC!G6*1,"-")</f>
        <v>13515.676359999999</v>
      </c>
      <c r="F55" s="141">
        <f>IFERROR(SPOC!G7*1,"-")</f>
        <v>13059.146220000001</v>
      </c>
      <c r="G55" s="143">
        <f t="shared" si="16"/>
        <v>40561.007610000001</v>
      </c>
      <c r="H55" s="141">
        <f>IFERROR(SPOC!G9*1,"-")</f>
        <v>13115.272300000001</v>
      </c>
      <c r="I55" s="141">
        <f>IFERROR(SPOC!G10*1,"-")</f>
        <v>0</v>
      </c>
      <c r="J55" s="141">
        <f>IFERROR(SPOC!G11*1,"-")</f>
        <v>0</v>
      </c>
      <c r="K55" s="143">
        <f t="shared" si="17"/>
        <v>13115.272300000001</v>
      </c>
      <c r="L55" s="167">
        <f t="shared" si="18"/>
        <v>53676.279909999997</v>
      </c>
      <c r="M55" s="141">
        <f>IFERROR(SPOC!G14*1,"-")</f>
        <v>0</v>
      </c>
      <c r="N55" s="141">
        <f>IFERROR(SPOC!G15*1,"-")</f>
        <v>0</v>
      </c>
      <c r="O55" s="141">
        <f>IFERROR(SPOC!G16*1,"-")</f>
        <v>0</v>
      </c>
      <c r="P55" s="143">
        <f t="shared" si="19"/>
        <v>0</v>
      </c>
      <c r="Q55" s="167">
        <f t="shared" si="20"/>
        <v>53676.279909999997</v>
      </c>
      <c r="R55" s="141">
        <f>IFERROR(SPOC!G18*1,"-")</f>
        <v>0</v>
      </c>
      <c r="S55" s="141">
        <f>IFERROR(SPOC!G19*1,"-")</f>
        <v>0</v>
      </c>
      <c r="T55" s="141">
        <f>IFERROR(SPOC!G20*1,"-")</f>
        <v>0</v>
      </c>
      <c r="U55" s="143">
        <f t="shared" si="21"/>
        <v>0</v>
      </c>
      <c r="V55" s="167">
        <f t="shared" si="22"/>
        <v>53676.279909999997</v>
      </c>
    </row>
    <row r="56" spans="3:22" ht="15.75">
      <c r="C56" s="144" t="s">
        <v>69</v>
      </c>
      <c r="D56" s="141">
        <f>IFERROR(Vietnam!G5*1,"-")</f>
        <v>0</v>
      </c>
      <c r="E56" s="141">
        <f>IFERROR(Vietnam!G6*1,"-")</f>
        <v>0</v>
      </c>
      <c r="F56" s="141">
        <f>IFERROR(Vietnam!G7*1,"-")</f>
        <v>0</v>
      </c>
      <c r="G56" s="143">
        <f t="shared" si="16"/>
        <v>0</v>
      </c>
      <c r="H56" s="141">
        <f>IFERROR(Vietnam!G9*1,"-")</f>
        <v>0</v>
      </c>
      <c r="I56" s="141">
        <f>IFERROR(Vietnam!G10*1,"-")</f>
        <v>0</v>
      </c>
      <c r="J56" s="141">
        <f>IFERROR(Vietnam!G11*1,"-")</f>
        <v>0</v>
      </c>
      <c r="K56" s="143">
        <f t="shared" si="17"/>
        <v>0</v>
      </c>
      <c r="L56" s="167">
        <f t="shared" si="18"/>
        <v>0</v>
      </c>
      <c r="M56" s="141">
        <f>IFERROR(Vietnam!G14*1,"-")</f>
        <v>0</v>
      </c>
      <c r="N56" s="141">
        <f>IFERROR(Vietnam!G15*1,"-")</f>
        <v>0</v>
      </c>
      <c r="O56" s="141">
        <f>IFERROR(Vietnam!G16*1,"-")</f>
        <v>0</v>
      </c>
      <c r="P56" s="143">
        <f t="shared" si="19"/>
        <v>0</v>
      </c>
      <c r="Q56" s="167">
        <f t="shared" si="20"/>
        <v>0</v>
      </c>
      <c r="R56" s="141">
        <f>IFERROR(Vietnam!G18*1,"-")</f>
        <v>0</v>
      </c>
      <c r="S56" s="141">
        <f>IFERROR(Vietnam!G19*1,"-")</f>
        <v>0</v>
      </c>
      <c r="T56" s="141">
        <f>IFERROR(Vietnam!G20*1,"-")</f>
        <v>0</v>
      </c>
      <c r="U56" s="143">
        <f t="shared" si="21"/>
        <v>0</v>
      </c>
      <c r="V56" s="167">
        <f t="shared" si="22"/>
        <v>0</v>
      </c>
    </row>
    <row r="57" spans="3:22" ht="15.75">
      <c r="C57" s="144" t="s">
        <v>70</v>
      </c>
      <c r="D57" s="141">
        <f>IFERROR(A1A3!G5*1,"-")</f>
        <v>0</v>
      </c>
      <c r="E57" s="141">
        <f>IFERROR(A1A3!G6*1,"-")</f>
        <v>0</v>
      </c>
      <c r="F57" s="141">
        <f>IFERROR(A1A3!G7*1,"-")</f>
        <v>0</v>
      </c>
      <c r="G57" s="143">
        <f t="shared" si="16"/>
        <v>0</v>
      </c>
      <c r="H57" s="141">
        <f>IFERROR(A1A3!G9*1,"-")</f>
        <v>0</v>
      </c>
      <c r="I57" s="141">
        <f>IFERROR(A1A3!G10*1,"-")</f>
        <v>0</v>
      </c>
      <c r="J57" s="141">
        <f>IFERROR(A1A3!G11*1,"-")</f>
        <v>0</v>
      </c>
      <c r="K57" s="143">
        <f t="shared" si="17"/>
        <v>0</v>
      </c>
      <c r="L57" s="167">
        <f t="shared" si="18"/>
        <v>0</v>
      </c>
      <c r="M57" s="141">
        <f>IFERROR(A1A3!G14*1,"-")</f>
        <v>0</v>
      </c>
      <c r="N57" s="141">
        <f>IFERROR(A1A3!G15*1,"-")</f>
        <v>0</v>
      </c>
      <c r="O57" s="141">
        <f>IFERROR(A1A3!G16*1,"-")</f>
        <v>0</v>
      </c>
      <c r="P57" s="143">
        <f t="shared" si="19"/>
        <v>0</v>
      </c>
      <c r="Q57" s="167">
        <f t="shared" si="20"/>
        <v>0</v>
      </c>
      <c r="R57" s="141">
        <f>IFERROR(A1A3!G18*1,"-")</f>
        <v>0</v>
      </c>
      <c r="S57" s="141">
        <f>IFERROR(A1A3!G19*1,"-")</f>
        <v>0</v>
      </c>
      <c r="T57" s="141">
        <f>IFERROR(A1A3!G20*1,"-")</f>
        <v>0</v>
      </c>
      <c r="U57" s="143">
        <f t="shared" si="21"/>
        <v>0</v>
      </c>
      <c r="V57" s="167">
        <f t="shared" si="22"/>
        <v>0</v>
      </c>
    </row>
    <row r="58" spans="3:22" ht="15.75">
      <c r="C58" s="145" t="s">
        <v>92</v>
      </c>
      <c r="D58" s="207">
        <f>SUM(D44:D57)</f>
        <v>587646.31773000001</v>
      </c>
      <c r="E58" s="207">
        <f t="shared" ref="E58:T58" si="23">SUM(E44:E57)</f>
        <v>610332.30563999992</v>
      </c>
      <c r="F58" s="207">
        <f t="shared" si="23"/>
        <v>599293.30087000004</v>
      </c>
      <c r="G58" s="189">
        <f t="shared" si="16"/>
        <v>1797271.9242400001</v>
      </c>
      <c r="H58" s="207">
        <f t="shared" si="23"/>
        <v>620962.84519999998</v>
      </c>
      <c r="I58" s="207">
        <f t="shared" si="23"/>
        <v>0</v>
      </c>
      <c r="J58" s="207">
        <f t="shared" si="23"/>
        <v>0</v>
      </c>
      <c r="K58" s="189">
        <f t="shared" si="17"/>
        <v>620962.84519999998</v>
      </c>
      <c r="L58" s="169">
        <f t="shared" si="18"/>
        <v>2418234.7694399999</v>
      </c>
      <c r="M58" s="207">
        <f t="shared" si="23"/>
        <v>0</v>
      </c>
      <c r="N58" s="207">
        <f t="shared" si="23"/>
        <v>0</v>
      </c>
      <c r="O58" s="207">
        <f t="shared" si="23"/>
        <v>0</v>
      </c>
      <c r="P58" s="189">
        <f t="shared" si="19"/>
        <v>0</v>
      </c>
      <c r="Q58" s="169">
        <f t="shared" si="20"/>
        <v>2418234.7694399999</v>
      </c>
      <c r="R58" s="207">
        <f t="shared" si="23"/>
        <v>0</v>
      </c>
      <c r="S58" s="207">
        <f t="shared" si="23"/>
        <v>0</v>
      </c>
      <c r="T58" s="207">
        <f t="shared" si="23"/>
        <v>0</v>
      </c>
      <c r="U58" s="189">
        <f t="shared" si="21"/>
        <v>0</v>
      </c>
      <c r="V58" s="169">
        <f t="shared" si="22"/>
        <v>2418234.7694399999</v>
      </c>
    </row>
  </sheetData>
  <mergeCells count="3">
    <mergeCell ref="C4:V4"/>
    <mergeCell ref="C22:V22"/>
    <mergeCell ref="C42:V42"/>
  </mergeCells>
  <pageMargins left="0.7" right="0.7" top="0.75" bottom="0.75" header="0.3" footer="0.3"/>
  <pageSetup orientation="portrait" r:id="rId1"/>
  <ignoredErrors>
    <ignoredError sqref="G58" formula="1"/>
  </ignoredError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92D050"/>
    <pageSetUpPr fitToPage="1"/>
  </sheetPr>
  <dimension ref="B1:AO61"/>
  <sheetViews>
    <sheetView workbookViewId="0"/>
  </sheetViews>
  <sheetFormatPr defaultColWidth="9.140625" defaultRowHeight="15"/>
  <cols>
    <col min="3" max="3" width="13.85546875" customWidth="1"/>
    <col min="4" max="6" width="14" bestFit="1" customWidth="1"/>
    <col min="7" max="7" width="18.42578125" customWidth="1"/>
    <col min="8" max="8" width="14" bestFit="1" customWidth="1"/>
    <col min="9" max="9" width="14.42578125" customWidth="1"/>
    <col min="10" max="10" width="14" bestFit="1" customWidth="1"/>
    <col min="11" max="15" width="12.7109375" bestFit="1" customWidth="1"/>
    <col min="16" max="16" width="13.28515625" customWidth="1"/>
    <col min="17" max="17" width="12.7109375" bestFit="1" customWidth="1"/>
    <col min="18" max="18" width="11.42578125" customWidth="1"/>
    <col min="19" max="19" width="12.42578125" bestFit="1" customWidth="1"/>
    <col min="20" max="20" width="11.42578125" bestFit="1" customWidth="1"/>
    <col min="21" max="21" width="13.85546875" customWidth="1"/>
    <col min="22" max="22" width="11.42578125" customWidth="1"/>
    <col min="23" max="23" width="13.42578125" customWidth="1"/>
    <col min="24" max="24" width="11.42578125" bestFit="1" customWidth="1"/>
    <col min="25" max="25" width="9.140625" customWidth="1"/>
    <col min="26" max="26" width="10.7109375" bestFit="1" customWidth="1"/>
    <col min="27" max="27" width="11.7109375" customWidth="1"/>
    <col min="28" max="28" width="10.7109375" customWidth="1"/>
    <col min="29" max="29" width="9.42578125" customWidth="1"/>
    <col min="30" max="30" width="9.140625" customWidth="1"/>
    <col min="31" max="31" width="9.42578125" customWidth="1"/>
    <col min="35" max="35" width="9.42578125" bestFit="1" customWidth="1"/>
    <col min="36" max="37" width="10.42578125" bestFit="1" customWidth="1"/>
  </cols>
  <sheetData>
    <row r="1" spans="2:41">
      <c r="O1" t="s">
        <v>1443</v>
      </c>
    </row>
    <row r="3" spans="2:41" ht="18.75">
      <c r="C3" s="402" t="s">
        <v>864</v>
      </c>
      <c r="D3" s="481" t="str">
        <f>interFY_transition!D17</f>
        <v>2026-27</v>
      </c>
      <c r="G3" s="231" t="s">
        <v>110</v>
      </c>
      <c r="O3" s="262" t="s">
        <v>153</v>
      </c>
      <c r="Q3" s="262" t="str">
        <f>interFY_transition!E17</f>
        <v>July'26</v>
      </c>
    </row>
    <row r="5" spans="2:41" ht="15.75" thickBot="1"/>
    <row r="6" spans="2:41" ht="42.75" customHeight="1">
      <c r="B6" s="200"/>
      <c r="C6" s="208" t="s">
        <v>94</v>
      </c>
      <c r="D6" s="1114" t="s">
        <v>95</v>
      </c>
      <c r="E6" s="1115"/>
      <c r="F6" s="1115"/>
      <c r="G6" s="1115"/>
      <c r="H6" s="1115"/>
      <c r="I6" s="1115"/>
      <c r="J6" s="1116"/>
      <c r="K6" s="1114" t="s">
        <v>96</v>
      </c>
      <c r="L6" s="1115"/>
      <c r="M6" s="1115"/>
      <c r="N6" s="1115"/>
      <c r="O6" s="1115"/>
      <c r="P6" s="1115"/>
      <c r="Q6" s="1116"/>
      <c r="R6" s="1114" t="s">
        <v>97</v>
      </c>
      <c r="S6" s="1115"/>
      <c r="T6" s="1115"/>
      <c r="U6" s="1115"/>
      <c r="V6" s="1115"/>
      <c r="W6" s="1115"/>
      <c r="X6" s="1116"/>
      <c r="Y6" s="1114" t="s">
        <v>98</v>
      </c>
      <c r="Z6" s="1115"/>
      <c r="AA6" s="1115"/>
      <c r="AB6" s="1115"/>
      <c r="AC6" s="1115"/>
      <c r="AD6" s="1115"/>
      <c r="AE6" s="1116"/>
    </row>
    <row r="7" spans="2:41">
      <c r="B7" s="200"/>
      <c r="C7" s="208"/>
      <c r="D7" s="210" t="s">
        <v>82</v>
      </c>
      <c r="E7" s="202" t="s">
        <v>83</v>
      </c>
      <c r="F7" s="202" t="s">
        <v>39</v>
      </c>
      <c r="G7" s="202" t="s">
        <v>84</v>
      </c>
      <c r="H7" s="202" t="s">
        <v>85</v>
      </c>
      <c r="I7" s="202" t="s">
        <v>86</v>
      </c>
      <c r="J7" s="211" t="s">
        <v>87</v>
      </c>
      <c r="K7" s="210" t="s">
        <v>82</v>
      </c>
      <c r="L7" s="202" t="s">
        <v>83</v>
      </c>
      <c r="M7" s="202" t="s">
        <v>39</v>
      </c>
      <c r="N7" s="202" t="s">
        <v>84</v>
      </c>
      <c r="O7" s="202" t="s">
        <v>85</v>
      </c>
      <c r="P7" s="202" t="s">
        <v>86</v>
      </c>
      <c r="Q7" s="211" t="s">
        <v>87</v>
      </c>
      <c r="R7" s="210" t="s">
        <v>82</v>
      </c>
      <c r="S7" s="202" t="s">
        <v>83</v>
      </c>
      <c r="T7" s="202" t="s">
        <v>39</v>
      </c>
      <c r="U7" s="202" t="s">
        <v>84</v>
      </c>
      <c r="V7" s="202" t="s">
        <v>85</v>
      </c>
      <c r="W7" s="202" t="s">
        <v>86</v>
      </c>
      <c r="X7" s="211" t="s">
        <v>87</v>
      </c>
      <c r="Y7" s="210" t="s">
        <v>82</v>
      </c>
      <c r="Z7" s="202" t="s">
        <v>83</v>
      </c>
      <c r="AA7" s="202" t="s">
        <v>39</v>
      </c>
      <c r="AB7" s="202" t="s">
        <v>84</v>
      </c>
      <c r="AC7" s="202" t="s">
        <v>85</v>
      </c>
      <c r="AD7" s="202" t="s">
        <v>86</v>
      </c>
      <c r="AE7" s="211" t="s">
        <v>87</v>
      </c>
    </row>
    <row r="8" spans="2:41" ht="15.75">
      <c r="B8" s="201"/>
      <c r="C8" s="209" t="s">
        <v>60</v>
      </c>
      <c r="D8" s="212">
        <f>'from CP sheet'!G6</f>
        <v>16464133.00003</v>
      </c>
      <c r="E8" s="141">
        <f>'from CP sheet'!K6</f>
        <v>5805108.1940000001</v>
      </c>
      <c r="F8" s="141">
        <f>'from CP sheet'!L6</f>
        <v>22269241.194030002</v>
      </c>
      <c r="G8" s="141">
        <f>'from CP sheet'!P6</f>
        <v>0</v>
      </c>
      <c r="H8" s="141">
        <f>'from CP sheet'!Q6</f>
        <v>22269241.194030002</v>
      </c>
      <c r="I8" s="141">
        <f>'from CP sheet'!U6</f>
        <v>0</v>
      </c>
      <c r="J8" s="213">
        <f>'from CP sheet'!V6</f>
        <v>22269241.194030002</v>
      </c>
      <c r="K8" s="212">
        <f>'Processed_Reconciled Prod'!G103</f>
        <v>3292826.6000060001</v>
      </c>
      <c r="L8" s="141">
        <f>'Processed_Reconciled Prod'!K103</f>
        <v>1161021.6388000001</v>
      </c>
      <c r="M8" s="141">
        <f>'Processed_Reconciled Prod'!L103</f>
        <v>4453848.238806</v>
      </c>
      <c r="N8" s="141">
        <f>'Processed_Reconciled Prod'!P103</f>
        <v>0</v>
      </c>
      <c r="O8" s="141">
        <f>'Processed_Reconciled Prod'!Q103</f>
        <v>4453848.238806</v>
      </c>
      <c r="P8" s="141">
        <f>'Processed_Reconciled Prod'!U103</f>
        <v>0</v>
      </c>
      <c r="Q8" s="213">
        <f>'Processed_Reconciled Prod'!V103</f>
        <v>4453848.238806</v>
      </c>
      <c r="R8" s="212">
        <f>'from CP sheet'!G44</f>
        <v>444709.60449</v>
      </c>
      <c r="S8" s="141">
        <f>'from CP sheet'!K44</f>
        <v>158275.45541</v>
      </c>
      <c r="T8" s="141">
        <f>'from CP sheet'!L44</f>
        <v>602985.05989999999</v>
      </c>
      <c r="U8" s="141">
        <f>'from CP sheet'!P44</f>
        <v>0</v>
      </c>
      <c r="V8" s="141">
        <f>'from CP sheet'!Q44</f>
        <v>602985.05989999999</v>
      </c>
      <c r="W8" s="141">
        <f>'from CP sheet'!U44</f>
        <v>0</v>
      </c>
      <c r="X8" s="213">
        <f>'from CP sheet'!V44</f>
        <v>602985.05989999999</v>
      </c>
      <c r="Y8" s="217">
        <f>'Processed_Reconciled Prod'!G44</f>
        <v>0.44470960449000002</v>
      </c>
      <c r="Z8" s="147">
        <f>'Processed_Reconciled Prod'!K44</f>
        <v>0.15827545540999999</v>
      </c>
      <c r="AA8" s="147">
        <f>'Processed_Reconciled Prod'!L44</f>
        <v>0.60298505989999995</v>
      </c>
      <c r="AB8" s="147">
        <f>'Processed_Reconciled Prod'!P44</f>
        <v>0</v>
      </c>
      <c r="AC8" s="147">
        <f>'Processed_Reconciled Prod'!Q44</f>
        <v>0.60298505989999995</v>
      </c>
      <c r="AD8" s="147">
        <f>'Processed_Reconciled Prod'!U44</f>
        <v>0</v>
      </c>
      <c r="AE8" s="218">
        <f>'Processed_Reconciled Prod'!V44</f>
        <v>0.60298505989999995</v>
      </c>
      <c r="AI8" s="197"/>
      <c r="AJ8" s="197"/>
      <c r="AK8" s="197"/>
      <c r="AL8" s="197"/>
      <c r="AM8" s="197"/>
      <c r="AN8" s="197"/>
      <c r="AO8" s="197"/>
    </row>
    <row r="9" spans="2:41" ht="15.75">
      <c r="B9" s="201"/>
      <c r="C9" s="209" t="s">
        <v>61</v>
      </c>
      <c r="D9" s="212">
        <f>'from CP sheet'!G7</f>
        <v>14148587.483019998</v>
      </c>
      <c r="E9" s="141">
        <f>'from CP sheet'!K7</f>
        <v>4845736.2960099997</v>
      </c>
      <c r="F9" s="141">
        <f>'from CP sheet'!L7</f>
        <v>18994323.779029999</v>
      </c>
      <c r="G9" s="141">
        <f>'from CP sheet'!P7</f>
        <v>0</v>
      </c>
      <c r="H9" s="141">
        <f>'from CP sheet'!Q7</f>
        <v>18994323.779029999</v>
      </c>
      <c r="I9" s="141">
        <f>'from CP sheet'!U7</f>
        <v>0</v>
      </c>
      <c r="J9" s="213">
        <f>'from CP sheet'!V7</f>
        <v>18994323.779029999</v>
      </c>
      <c r="K9" s="212">
        <f>'Processed_Reconciled Prod'!G104</f>
        <v>3678632.7455851999</v>
      </c>
      <c r="L9" s="141">
        <f>'Processed_Reconciled Prod'!K104</f>
        <v>1259891.4369625999</v>
      </c>
      <c r="M9" s="141">
        <f>'Processed_Reconciled Prod'!L104</f>
        <v>4938524.1825478002</v>
      </c>
      <c r="N9" s="141">
        <f>'Processed_Reconciled Prod'!P104</f>
        <v>0</v>
      </c>
      <c r="O9" s="141">
        <f>'Processed_Reconciled Prod'!Q104</f>
        <v>4938524.1825478002</v>
      </c>
      <c r="P9" s="141">
        <f>'Processed_Reconciled Prod'!U104</f>
        <v>0</v>
      </c>
      <c r="Q9" s="213">
        <f>'Processed_Reconciled Prod'!V104</f>
        <v>4938524.1825478002</v>
      </c>
      <c r="R9" s="212">
        <f>'from CP sheet'!G45</f>
        <v>494439.88517999998</v>
      </c>
      <c r="S9" s="141">
        <f>'from CP sheet'!K45</f>
        <v>169340.24690999999</v>
      </c>
      <c r="T9" s="141">
        <f>'from CP sheet'!L45</f>
        <v>663780.13208999997</v>
      </c>
      <c r="U9" s="141">
        <f>'from CP sheet'!P45</f>
        <v>0</v>
      </c>
      <c r="V9" s="141">
        <f>'from CP sheet'!Q45</f>
        <v>663780.13208999997</v>
      </c>
      <c r="W9" s="141">
        <f>'from CP sheet'!U45</f>
        <v>0</v>
      </c>
      <c r="X9" s="213">
        <f>'from CP sheet'!V45</f>
        <v>663780.13208999997</v>
      </c>
      <c r="Y9" s="217">
        <f>'Processed_Reconciled Prod'!G45</f>
        <v>0.49443988517999998</v>
      </c>
      <c r="Z9" s="147">
        <f>'Processed_Reconciled Prod'!K45</f>
        <v>0.16934024690999999</v>
      </c>
      <c r="AA9" s="147">
        <f>'Processed_Reconciled Prod'!L45</f>
        <v>0.66378013208999997</v>
      </c>
      <c r="AB9" s="147">
        <f>'Processed_Reconciled Prod'!P45</f>
        <v>0</v>
      </c>
      <c r="AC9" s="147">
        <f>'Processed_Reconciled Prod'!Q45</f>
        <v>0.66378013208999997</v>
      </c>
      <c r="AD9" s="147">
        <f>'Processed_Reconciled Prod'!U45</f>
        <v>0</v>
      </c>
      <c r="AE9" s="218">
        <f>'Processed_Reconciled Prod'!V45</f>
        <v>0.66378013208999997</v>
      </c>
      <c r="AI9" s="197"/>
      <c r="AJ9" s="197"/>
      <c r="AK9" s="197"/>
      <c r="AL9" s="197"/>
      <c r="AM9" s="197"/>
      <c r="AN9" s="197"/>
      <c r="AO9" s="197"/>
    </row>
    <row r="10" spans="2:41" ht="15.75">
      <c r="B10" s="201"/>
      <c r="C10" s="209" t="s">
        <v>62</v>
      </c>
      <c r="D10" s="212">
        <f>'from CP sheet'!G8</f>
        <v>176252.99994000001</v>
      </c>
      <c r="E10" s="141">
        <f>'from CP sheet'!K8</f>
        <v>59302.999969999997</v>
      </c>
      <c r="F10" s="141">
        <f>'from CP sheet'!L8</f>
        <v>235555.99991000001</v>
      </c>
      <c r="G10" s="141">
        <f>'from CP sheet'!P8</f>
        <v>0</v>
      </c>
      <c r="H10" s="141">
        <f>'from CP sheet'!Q8</f>
        <v>235555.99991000001</v>
      </c>
      <c r="I10" s="141">
        <f>'from CP sheet'!U8</f>
        <v>0</v>
      </c>
      <c r="J10" s="213">
        <f>'from CP sheet'!V8</f>
        <v>235555.99991000001</v>
      </c>
      <c r="K10" s="212">
        <f>'Processed_Reconciled Prod'!G105</f>
        <v>176252.99994000001</v>
      </c>
      <c r="L10" s="141">
        <f>'Processed_Reconciled Prod'!K105</f>
        <v>59302.999969999997</v>
      </c>
      <c r="M10" s="141">
        <f>'Processed_Reconciled Prod'!L105</f>
        <v>235555.99991000001</v>
      </c>
      <c r="N10" s="141">
        <f>'Processed_Reconciled Prod'!P105</f>
        <v>0</v>
      </c>
      <c r="O10" s="141">
        <f>'Processed_Reconciled Prod'!Q105</f>
        <v>235555.99991000001</v>
      </c>
      <c r="P10" s="141">
        <f>'Processed_Reconciled Prod'!U105</f>
        <v>0</v>
      </c>
      <c r="Q10" s="213">
        <f>'Processed_Reconciled Prod'!V105</f>
        <v>235555.99991000001</v>
      </c>
      <c r="R10" s="212">
        <f>'from CP sheet'!G46</f>
        <v>22875.999940000002</v>
      </c>
      <c r="S10" s="141">
        <f>'from CP sheet'!K46</f>
        <v>7685.0000600000003</v>
      </c>
      <c r="T10" s="141">
        <f>'from CP sheet'!L46</f>
        <v>30561</v>
      </c>
      <c r="U10" s="141">
        <f>'from CP sheet'!P46</f>
        <v>0</v>
      </c>
      <c r="V10" s="141">
        <f>'from CP sheet'!Q46</f>
        <v>30561</v>
      </c>
      <c r="W10" s="141">
        <f>'from CP sheet'!U46</f>
        <v>0</v>
      </c>
      <c r="X10" s="213">
        <f>'from CP sheet'!V46</f>
        <v>30561</v>
      </c>
      <c r="Y10" s="217">
        <f>'Processed_Reconciled Prod'!G46</f>
        <v>2.2875999940000002E-2</v>
      </c>
      <c r="Z10" s="147">
        <f>'Processed_Reconciled Prod'!K46</f>
        <v>7.6850000600000006E-3</v>
      </c>
      <c r="AA10" s="147">
        <f>'Processed_Reconciled Prod'!L46</f>
        <v>3.0561000000000001E-2</v>
      </c>
      <c r="AB10" s="147">
        <f>'Processed_Reconciled Prod'!P46</f>
        <v>0</v>
      </c>
      <c r="AC10" s="147">
        <f>'Processed_Reconciled Prod'!Q46</f>
        <v>3.0561000000000001E-2</v>
      </c>
      <c r="AD10" s="147">
        <f>'Processed_Reconciled Prod'!U46</f>
        <v>0</v>
      </c>
      <c r="AE10" s="218">
        <f>'Processed_Reconciled Prod'!V46</f>
        <v>3.0561000000000001E-2</v>
      </c>
      <c r="AI10" s="197"/>
      <c r="AJ10" s="197"/>
      <c r="AK10" s="197"/>
      <c r="AL10" s="197"/>
      <c r="AM10" s="197"/>
      <c r="AN10" s="197"/>
      <c r="AO10" s="197"/>
    </row>
    <row r="11" spans="2:41" ht="15.75">
      <c r="B11" s="201"/>
      <c r="C11" s="209" t="s">
        <v>57</v>
      </c>
      <c r="D11" s="212">
        <f>'from CP sheet'!G9</f>
        <v>29205536.000040002</v>
      </c>
      <c r="E11" s="141">
        <f>'from CP sheet'!K9</f>
        <v>10025012.000089999</v>
      </c>
      <c r="F11" s="141">
        <f>'from CP sheet'!L9</f>
        <v>39230548.000129998</v>
      </c>
      <c r="G11" s="141">
        <f>'from CP sheet'!P9</f>
        <v>0</v>
      </c>
      <c r="H11" s="141">
        <f>'from CP sheet'!Q9</f>
        <v>39230548.000129998</v>
      </c>
      <c r="I11" s="141">
        <f>'from CP sheet'!U9</f>
        <v>0</v>
      </c>
      <c r="J11" s="213">
        <f>'from CP sheet'!V9</f>
        <v>39230548.000129998</v>
      </c>
      <c r="K11" s="212">
        <f>'Processed_Reconciled Prod'!G106</f>
        <v>854261.92800117005</v>
      </c>
      <c r="L11" s="141">
        <f>'Processed_Reconciled Prod'!K106</f>
        <v>293231.60100263252</v>
      </c>
      <c r="M11" s="141">
        <f>'Processed_Reconciled Prod'!L106</f>
        <v>1147493.5290038027</v>
      </c>
      <c r="N11" s="141">
        <f>'Processed_Reconciled Prod'!P106</f>
        <v>0</v>
      </c>
      <c r="O11" s="141">
        <f>'Processed_Reconciled Prod'!Q106</f>
        <v>1147493.5290038027</v>
      </c>
      <c r="P11" s="141">
        <f>'Processed_Reconciled Prod'!U106</f>
        <v>0</v>
      </c>
      <c r="Q11" s="213">
        <f>'Processed_Reconciled Prod'!V106</f>
        <v>1147493.5290038027</v>
      </c>
      <c r="R11" s="212">
        <f>'from CP sheet'!G47</f>
        <v>114869.80992</v>
      </c>
      <c r="S11" s="141">
        <f>'from CP sheet'!K47</f>
        <v>39519.113100000002</v>
      </c>
      <c r="T11" s="141">
        <f>'from CP sheet'!L47</f>
        <v>154388.92301999999</v>
      </c>
      <c r="U11" s="141">
        <f>'from CP sheet'!P47</f>
        <v>0</v>
      </c>
      <c r="V11" s="141">
        <f>'from CP sheet'!Q47</f>
        <v>154388.92301999999</v>
      </c>
      <c r="W11" s="141">
        <f>'from CP sheet'!U47</f>
        <v>0</v>
      </c>
      <c r="X11" s="213">
        <f>'from CP sheet'!V47</f>
        <v>154388.92301999999</v>
      </c>
      <c r="Y11" s="217">
        <f>'Processed_Reconciled Prod'!G47</f>
        <v>0.11486980992</v>
      </c>
      <c r="Z11" s="147">
        <f>'Processed_Reconciled Prod'!K47</f>
        <v>3.9519113100000003E-2</v>
      </c>
      <c r="AA11" s="147">
        <f>'Processed_Reconciled Prod'!L47</f>
        <v>0.15438892301999999</v>
      </c>
      <c r="AB11" s="147">
        <f>'Processed_Reconciled Prod'!P47</f>
        <v>0</v>
      </c>
      <c r="AC11" s="147">
        <f>'Processed_Reconciled Prod'!Q47</f>
        <v>0.15438892301999999</v>
      </c>
      <c r="AD11" s="147">
        <f>'Processed_Reconciled Prod'!U47</f>
        <v>0</v>
      </c>
      <c r="AE11" s="218">
        <f>'Processed_Reconciled Prod'!V47</f>
        <v>0.15438892301999999</v>
      </c>
      <c r="AI11" s="197"/>
      <c r="AJ11" s="197"/>
      <c r="AK11" s="197"/>
      <c r="AL11" s="197"/>
      <c r="AM11" s="197"/>
      <c r="AN11" s="197"/>
      <c r="AO11" s="197"/>
    </row>
    <row r="12" spans="2:41" ht="15.75">
      <c r="B12" s="201"/>
      <c r="C12" s="209" t="s">
        <v>58</v>
      </c>
      <c r="D12" s="212">
        <f>'from CP sheet'!G10</f>
        <v>2903513.4000800001</v>
      </c>
      <c r="E12" s="141">
        <f>'from CP sheet'!K10</f>
        <v>833914.00000999996</v>
      </c>
      <c r="F12" s="141">
        <f>'from CP sheet'!L10</f>
        <v>3737427.4000900001</v>
      </c>
      <c r="G12" s="141">
        <f>'from CP sheet'!P10</f>
        <v>0</v>
      </c>
      <c r="H12" s="141">
        <f>'from CP sheet'!Q10</f>
        <v>3737427.4000900001</v>
      </c>
      <c r="I12" s="141">
        <f>'from CP sheet'!U10</f>
        <v>0</v>
      </c>
      <c r="J12" s="213">
        <f>'from CP sheet'!V10</f>
        <v>3737427.4000900001</v>
      </c>
      <c r="K12" s="212">
        <f>'Processed_Reconciled Prod'!G107</f>
        <v>783948.61802160006</v>
      </c>
      <c r="L12" s="141">
        <f>'Processed_Reconciled Prod'!K107</f>
        <v>225156.78000269999</v>
      </c>
      <c r="M12" s="141">
        <f>'Processed_Reconciled Prod'!L107</f>
        <v>1009105.3980243001</v>
      </c>
      <c r="N12" s="141">
        <f>'Processed_Reconciled Prod'!P107</f>
        <v>0</v>
      </c>
      <c r="O12" s="141">
        <f>'Processed_Reconciled Prod'!Q107</f>
        <v>1009105.3980243001</v>
      </c>
      <c r="P12" s="141">
        <f>'Processed_Reconciled Prod'!U107</f>
        <v>0</v>
      </c>
      <c r="Q12" s="213">
        <f>'Processed_Reconciled Prod'!V107</f>
        <v>1009105.3980243001</v>
      </c>
      <c r="R12" s="212">
        <f>'from CP sheet'!G48</f>
        <v>119720.95322</v>
      </c>
      <c r="S12" s="141">
        <f>'from CP sheet'!K48</f>
        <v>33881.504029999996</v>
      </c>
      <c r="T12" s="141">
        <f>'from CP sheet'!L48</f>
        <v>153602.45724999998</v>
      </c>
      <c r="U12" s="141">
        <f>'from CP sheet'!P48</f>
        <v>0</v>
      </c>
      <c r="V12" s="141">
        <f>'from CP sheet'!Q48</f>
        <v>153602.45724999998</v>
      </c>
      <c r="W12" s="141">
        <f>'from CP sheet'!U48</f>
        <v>0</v>
      </c>
      <c r="X12" s="213">
        <f>'from CP sheet'!V48</f>
        <v>153602.45724999998</v>
      </c>
      <c r="Y12" s="217">
        <f>'Processed_Reconciled Prod'!G48</f>
        <v>0.11972095322</v>
      </c>
      <c r="Z12" s="147">
        <f>'Processed_Reconciled Prod'!K48</f>
        <v>3.3881504029999995E-2</v>
      </c>
      <c r="AA12" s="147">
        <f>'Processed_Reconciled Prod'!L48</f>
        <v>0.15360245724999999</v>
      </c>
      <c r="AB12" s="147">
        <f>'Processed_Reconciled Prod'!P48</f>
        <v>0</v>
      </c>
      <c r="AC12" s="147">
        <f>'Processed_Reconciled Prod'!Q48</f>
        <v>0.15360245724999999</v>
      </c>
      <c r="AD12" s="147">
        <f>'Processed_Reconciled Prod'!U48</f>
        <v>0</v>
      </c>
      <c r="AE12" s="218">
        <f>'Processed_Reconciled Prod'!V48</f>
        <v>0.15360245724999999</v>
      </c>
      <c r="AI12" s="197"/>
      <c r="AJ12" s="197"/>
      <c r="AK12" s="197"/>
      <c r="AL12" s="197"/>
      <c r="AM12" s="197"/>
      <c r="AN12" s="197"/>
      <c r="AO12" s="197"/>
    </row>
    <row r="13" spans="2:41" ht="15.75">
      <c r="B13" s="201"/>
      <c r="C13" s="209" t="s">
        <v>59</v>
      </c>
      <c r="D13" s="212">
        <f>'from CP sheet'!G11</f>
        <v>416279</v>
      </c>
      <c r="E13" s="141">
        <f>'from CP sheet'!K11</f>
        <v>151047</v>
      </c>
      <c r="F13" s="141">
        <f>'from CP sheet'!L11</f>
        <v>567326</v>
      </c>
      <c r="G13" s="141">
        <f>'from CP sheet'!P11</f>
        <v>0</v>
      </c>
      <c r="H13" s="141">
        <f>'from CP sheet'!Q11</f>
        <v>567326</v>
      </c>
      <c r="I13" s="141">
        <f>'from CP sheet'!U11</f>
        <v>0</v>
      </c>
      <c r="J13" s="213">
        <f>'from CP sheet'!V11</f>
        <v>567326</v>
      </c>
      <c r="K13" s="212">
        <f>'Processed_Reconciled Prod'!G108</f>
        <v>208139.5</v>
      </c>
      <c r="L13" s="141">
        <f>'Processed_Reconciled Prod'!K108</f>
        <v>75523.5</v>
      </c>
      <c r="M13" s="141">
        <f>'Processed_Reconciled Prod'!L108</f>
        <v>283663</v>
      </c>
      <c r="N13" s="141">
        <f>'Processed_Reconciled Prod'!P108</f>
        <v>0</v>
      </c>
      <c r="O13" s="141">
        <f>'Processed_Reconciled Prod'!Q108</f>
        <v>283663</v>
      </c>
      <c r="P13" s="141">
        <f>'Processed_Reconciled Prod'!U108</f>
        <v>0</v>
      </c>
      <c r="Q13" s="213">
        <f>'Processed_Reconciled Prod'!V108</f>
        <v>283663</v>
      </c>
      <c r="R13" s="212">
        <f>'from CP sheet'!G49</f>
        <v>30699.00001</v>
      </c>
      <c r="S13" s="141">
        <f>'from CP sheet'!K49</f>
        <v>11138.999980000001</v>
      </c>
      <c r="T13" s="141">
        <f>'from CP sheet'!L49</f>
        <v>41837.999989999997</v>
      </c>
      <c r="U13" s="141">
        <f>'from CP sheet'!P49</f>
        <v>0</v>
      </c>
      <c r="V13" s="141">
        <f>'from CP sheet'!Q49</f>
        <v>41837.999989999997</v>
      </c>
      <c r="W13" s="141">
        <f>'from CP sheet'!U49</f>
        <v>0</v>
      </c>
      <c r="X13" s="213">
        <f>'from CP sheet'!V49</f>
        <v>41837.999989999997</v>
      </c>
      <c r="Y13" s="217">
        <f>'Processed_Reconciled Prod'!G49</f>
        <v>3.0699000010000001E-2</v>
      </c>
      <c r="Z13" s="147">
        <f>'Processed_Reconciled Prod'!K49</f>
        <v>1.113899998E-2</v>
      </c>
      <c r="AA13" s="147">
        <f>'Processed_Reconciled Prod'!L49</f>
        <v>4.1837999989999999E-2</v>
      </c>
      <c r="AB13" s="147">
        <f>'Processed_Reconciled Prod'!P49</f>
        <v>0</v>
      </c>
      <c r="AC13" s="147">
        <f>'Processed_Reconciled Prod'!Q49</f>
        <v>4.1837999989999999E-2</v>
      </c>
      <c r="AD13" s="147">
        <f>'Processed_Reconciled Prod'!U49</f>
        <v>0</v>
      </c>
      <c r="AE13" s="218">
        <f>'Processed_Reconciled Prod'!V49</f>
        <v>4.1837999989999999E-2</v>
      </c>
      <c r="AI13" s="197"/>
      <c r="AJ13" s="197"/>
      <c r="AK13" s="197"/>
      <c r="AL13" s="197"/>
      <c r="AM13" s="197"/>
      <c r="AN13" s="197"/>
      <c r="AO13" s="197"/>
    </row>
    <row r="14" spans="2:41" ht="15.75">
      <c r="B14" s="201"/>
      <c r="C14" s="209" t="s">
        <v>63</v>
      </c>
      <c r="D14" s="212">
        <f>'from CP sheet'!G12</f>
        <v>1860001</v>
      </c>
      <c r="E14" s="141">
        <f>'from CP sheet'!K12</f>
        <v>649280.00002000004</v>
      </c>
      <c r="F14" s="141">
        <f>'from CP sheet'!L12</f>
        <v>2509281.0000200002</v>
      </c>
      <c r="G14" s="141">
        <f>'from CP sheet'!P12</f>
        <v>0</v>
      </c>
      <c r="H14" s="141">
        <f>'from CP sheet'!Q12</f>
        <v>2509281.0000200002</v>
      </c>
      <c r="I14" s="141">
        <f>'from CP sheet'!U12</f>
        <v>0</v>
      </c>
      <c r="J14" s="213">
        <f>'from CP sheet'!V12</f>
        <v>2509281.0000200002</v>
      </c>
      <c r="K14" s="212">
        <f>'Processed_Reconciled Prod'!G109</f>
        <v>1302000.6999999997</v>
      </c>
      <c r="L14" s="141">
        <f>'Processed_Reconciled Prod'!K109</f>
        <v>454496.00001399999</v>
      </c>
      <c r="M14" s="141">
        <f>'Processed_Reconciled Prod'!L109</f>
        <v>1756496.7000139998</v>
      </c>
      <c r="N14" s="141">
        <f>'Processed_Reconciled Prod'!P109</f>
        <v>0</v>
      </c>
      <c r="O14" s="141">
        <f>'Processed_Reconciled Prod'!Q109</f>
        <v>1756496.7000139998</v>
      </c>
      <c r="P14" s="141">
        <f>'Processed_Reconciled Prod'!U109</f>
        <v>0</v>
      </c>
      <c r="Q14" s="213">
        <f>'Processed_Reconciled Prod'!V109</f>
        <v>1756496.7000139998</v>
      </c>
      <c r="R14" s="212">
        <f>'from CP sheet'!G50</f>
        <v>176463.00007000001</v>
      </c>
      <c r="S14" s="141">
        <f>'from CP sheet'!K50</f>
        <v>60326.000010000003</v>
      </c>
      <c r="T14" s="141">
        <f>'from CP sheet'!L50</f>
        <v>236789.00008000003</v>
      </c>
      <c r="U14" s="141">
        <f>'from CP sheet'!P50</f>
        <v>0</v>
      </c>
      <c r="V14" s="141">
        <f>'from CP sheet'!Q50</f>
        <v>236789.00008000003</v>
      </c>
      <c r="W14" s="141">
        <f>'from CP sheet'!U50</f>
        <v>0</v>
      </c>
      <c r="X14" s="213">
        <f>'from CP sheet'!V50</f>
        <v>236789.00008000003</v>
      </c>
      <c r="Y14" s="217">
        <f>'Processed_Reconciled Prod'!G50</f>
        <v>0.17646300007000001</v>
      </c>
      <c r="Z14" s="147">
        <f>'Processed_Reconciled Prod'!K50</f>
        <v>6.0326000010000005E-2</v>
      </c>
      <c r="AA14" s="147">
        <f>'Processed_Reconciled Prod'!L50</f>
        <v>0.23678900008000003</v>
      </c>
      <c r="AB14" s="147">
        <f>'Processed_Reconciled Prod'!P50</f>
        <v>0</v>
      </c>
      <c r="AC14" s="147">
        <f>'Processed_Reconciled Prod'!Q50</f>
        <v>0.23678900008000003</v>
      </c>
      <c r="AD14" s="147">
        <f>'Processed_Reconciled Prod'!U50</f>
        <v>0</v>
      </c>
      <c r="AE14" s="218">
        <f>'Processed_Reconciled Prod'!V50</f>
        <v>0.23678900008000003</v>
      </c>
      <c r="AI14" s="197"/>
      <c r="AJ14" s="197"/>
      <c r="AK14" s="197"/>
      <c r="AL14" s="197"/>
      <c r="AM14" s="197"/>
      <c r="AN14" s="197"/>
      <c r="AO14" s="197"/>
    </row>
    <row r="15" spans="2:41" ht="15.75">
      <c r="B15" s="201"/>
      <c r="C15" s="209" t="s">
        <v>64</v>
      </c>
      <c r="D15" s="212">
        <f>'from CP sheet'!G13</f>
        <v>635285.99994999997</v>
      </c>
      <c r="E15" s="141">
        <f>'from CP sheet'!K13</f>
        <v>215599</v>
      </c>
      <c r="F15" s="141">
        <f>'from CP sheet'!L13</f>
        <v>850884.99994999997</v>
      </c>
      <c r="G15" s="141">
        <f>'from CP sheet'!P13</f>
        <v>0</v>
      </c>
      <c r="H15" s="141">
        <f>'from CP sheet'!Q13</f>
        <v>850884.99994999997</v>
      </c>
      <c r="I15" s="141">
        <f>'from CP sheet'!U13</f>
        <v>0</v>
      </c>
      <c r="J15" s="213">
        <f>'from CP sheet'!V13</f>
        <v>850884.99994999997</v>
      </c>
      <c r="K15" s="212">
        <f>'Processed_Reconciled Prod'!G110</f>
        <v>69881.459994500008</v>
      </c>
      <c r="L15" s="141">
        <f>'Processed_Reconciled Prod'!K110</f>
        <v>23715.89</v>
      </c>
      <c r="M15" s="141">
        <f>'Processed_Reconciled Prod'!L110</f>
        <v>93597.349994500008</v>
      </c>
      <c r="N15" s="141">
        <f>'Processed_Reconciled Prod'!P110</f>
        <v>0</v>
      </c>
      <c r="O15" s="141">
        <f>'Processed_Reconciled Prod'!Q110</f>
        <v>93597.349994500008</v>
      </c>
      <c r="P15" s="141">
        <f>'Processed_Reconciled Prod'!U110</f>
        <v>0</v>
      </c>
      <c r="Q15" s="213">
        <f>'Processed_Reconciled Prod'!V110</f>
        <v>93597.349994500008</v>
      </c>
      <c r="R15" s="212">
        <f>'from CP sheet'!G51</f>
        <v>11198.95155</v>
      </c>
      <c r="S15" s="141">
        <f>'from CP sheet'!K51</f>
        <v>3800.6233299999999</v>
      </c>
      <c r="T15" s="141">
        <f>'from CP sheet'!L51</f>
        <v>14999.57488</v>
      </c>
      <c r="U15" s="141">
        <f>'from CP sheet'!P51</f>
        <v>0</v>
      </c>
      <c r="V15" s="141">
        <f>'from CP sheet'!Q51</f>
        <v>14999.57488</v>
      </c>
      <c r="W15" s="141">
        <f>'from CP sheet'!U51</f>
        <v>0</v>
      </c>
      <c r="X15" s="213">
        <f>'from CP sheet'!V51</f>
        <v>14999.57488</v>
      </c>
      <c r="Y15" s="217">
        <f>'Processed_Reconciled Prod'!G51</f>
        <v>1.1198951549999999E-2</v>
      </c>
      <c r="Z15" s="147">
        <f>'Processed_Reconciled Prod'!K51</f>
        <v>3.8006233299999999E-3</v>
      </c>
      <c r="AA15" s="147">
        <f>'Processed_Reconciled Prod'!L51</f>
        <v>1.499957488E-2</v>
      </c>
      <c r="AB15" s="147">
        <f>'Processed_Reconciled Prod'!P51</f>
        <v>0</v>
      </c>
      <c r="AC15" s="147">
        <f>'Processed_Reconciled Prod'!Q51</f>
        <v>1.499957488E-2</v>
      </c>
      <c r="AD15" s="147">
        <f>'Processed_Reconciled Prod'!U51</f>
        <v>0</v>
      </c>
      <c r="AE15" s="218">
        <f>'Processed_Reconciled Prod'!V51</f>
        <v>1.499957488E-2</v>
      </c>
      <c r="AI15" s="197"/>
      <c r="AJ15" s="197"/>
      <c r="AK15" s="197"/>
      <c r="AL15" s="197"/>
      <c r="AM15" s="197"/>
      <c r="AN15" s="197"/>
      <c r="AO15" s="197"/>
    </row>
    <row r="16" spans="2:41" ht="15.75">
      <c r="B16" s="201"/>
      <c r="C16" s="209" t="s">
        <v>65</v>
      </c>
      <c r="D16" s="212">
        <f>'from CP sheet'!G14</f>
        <v>466074.00002000004</v>
      </c>
      <c r="E16" s="141">
        <f>'from CP sheet'!K14</f>
        <v>176743.00002000001</v>
      </c>
      <c r="F16" s="141">
        <f>'from CP sheet'!L14</f>
        <v>642817.00004000007</v>
      </c>
      <c r="G16" s="141">
        <f>'from CP sheet'!P14</f>
        <v>0</v>
      </c>
      <c r="H16" s="141">
        <f>'from CP sheet'!Q14</f>
        <v>642817.00004000007</v>
      </c>
      <c r="I16" s="141">
        <f>'from CP sheet'!U14</f>
        <v>0</v>
      </c>
      <c r="J16" s="213">
        <f>'from CP sheet'!V14</f>
        <v>642817.00004000007</v>
      </c>
      <c r="K16" s="212">
        <f>'Processed_Reconciled Prod'!G111</f>
        <v>186429.60000800001</v>
      </c>
      <c r="L16" s="141">
        <f>'Processed_Reconciled Prod'!K111</f>
        <v>70697.200008</v>
      </c>
      <c r="M16" s="141">
        <f>'Processed_Reconciled Prod'!L111</f>
        <v>257126.80001599999</v>
      </c>
      <c r="N16" s="141">
        <f>'Processed_Reconciled Prod'!P111</f>
        <v>0</v>
      </c>
      <c r="O16" s="141">
        <f>'Processed_Reconciled Prod'!Q111</f>
        <v>257126.80001599999</v>
      </c>
      <c r="P16" s="141">
        <f>'Processed_Reconciled Prod'!U111</f>
        <v>0</v>
      </c>
      <c r="Q16" s="213">
        <f>'Processed_Reconciled Prod'!V111</f>
        <v>257126.80001599999</v>
      </c>
      <c r="R16" s="212">
        <f>'from CP sheet'!G52</f>
        <v>28375.882380000003</v>
      </c>
      <c r="S16" s="141">
        <f>'from CP sheet'!K52</f>
        <v>10760.60801</v>
      </c>
      <c r="T16" s="141">
        <f>'from CP sheet'!L52</f>
        <v>39136.490390000006</v>
      </c>
      <c r="U16" s="141">
        <f>'from CP sheet'!P52</f>
        <v>0</v>
      </c>
      <c r="V16" s="141">
        <f>'from CP sheet'!Q52</f>
        <v>39136.490390000006</v>
      </c>
      <c r="W16" s="141">
        <f>'from CP sheet'!U52</f>
        <v>0</v>
      </c>
      <c r="X16" s="213">
        <f>'from CP sheet'!V52</f>
        <v>39136.490390000006</v>
      </c>
      <c r="Y16" s="217">
        <f>'Processed_Reconciled Prod'!G52</f>
        <v>2.8375882380000002E-2</v>
      </c>
      <c r="Z16" s="147">
        <f>'Processed_Reconciled Prod'!K52</f>
        <v>1.076060801E-2</v>
      </c>
      <c r="AA16" s="147">
        <f>'Processed_Reconciled Prod'!L52</f>
        <v>3.9136490390000007E-2</v>
      </c>
      <c r="AB16" s="147">
        <f>'Processed_Reconciled Prod'!P52</f>
        <v>0</v>
      </c>
      <c r="AC16" s="147">
        <f>'Processed_Reconciled Prod'!Q52</f>
        <v>3.9136490390000007E-2</v>
      </c>
      <c r="AD16" s="147">
        <f>'Processed_Reconciled Prod'!U52</f>
        <v>0</v>
      </c>
      <c r="AE16" s="218">
        <f>'Processed_Reconciled Prod'!V52</f>
        <v>3.9136490390000007E-2</v>
      </c>
      <c r="AI16" s="197"/>
      <c r="AJ16" s="197"/>
      <c r="AK16" s="197"/>
      <c r="AL16" s="197"/>
      <c r="AM16" s="197"/>
      <c r="AN16" s="197"/>
      <c r="AO16" s="197"/>
    </row>
    <row r="17" spans="2:41" ht="15.75">
      <c r="B17" s="201"/>
      <c r="C17" s="209" t="s">
        <v>66</v>
      </c>
      <c r="D17" s="212">
        <f>'from CP sheet'!G15</f>
        <v>28394423.999990001</v>
      </c>
      <c r="E17" s="141">
        <f>'from CP sheet'!K15</f>
        <v>10237010.999980001</v>
      </c>
      <c r="F17" s="141">
        <f>'from CP sheet'!L15</f>
        <v>38631434.999970004</v>
      </c>
      <c r="G17" s="141">
        <f>'from CP sheet'!P15</f>
        <v>0</v>
      </c>
      <c r="H17" s="141">
        <f>'from CP sheet'!Q15</f>
        <v>38631434.999970004</v>
      </c>
      <c r="I17" s="141">
        <f>'from CP sheet'!U15</f>
        <v>0</v>
      </c>
      <c r="J17" s="213">
        <f>'from CP sheet'!V15</f>
        <v>38631434.999970004</v>
      </c>
      <c r="K17" s="212">
        <f>'Processed_Reconciled Prod'!G112</f>
        <v>1135776.9599996</v>
      </c>
      <c r="L17" s="141">
        <f>'Processed_Reconciled Prod'!K112</f>
        <v>409480.43999920005</v>
      </c>
      <c r="M17" s="141">
        <f>'Processed_Reconciled Prod'!L112</f>
        <v>1545257.3999987999</v>
      </c>
      <c r="N17" s="141">
        <f>'Processed_Reconciled Prod'!P112</f>
        <v>0</v>
      </c>
      <c r="O17" s="141">
        <f>'Processed_Reconciled Prod'!Q112</f>
        <v>1545257.3999987999</v>
      </c>
      <c r="P17" s="141">
        <f>'Processed_Reconciled Prod'!U112</f>
        <v>0</v>
      </c>
      <c r="Q17" s="213">
        <f>'Processed_Reconciled Prod'!V112</f>
        <v>1545257.3999987999</v>
      </c>
      <c r="R17" s="212">
        <f>'from CP sheet'!G53</f>
        <v>149052.11085</v>
      </c>
      <c r="S17" s="141">
        <f>'from CP sheet'!K53</f>
        <v>53737.590559999997</v>
      </c>
      <c r="T17" s="141">
        <f>'from CP sheet'!L53</f>
        <v>202789.70140999998</v>
      </c>
      <c r="U17" s="141">
        <f>'from CP sheet'!P53</f>
        <v>0</v>
      </c>
      <c r="V17" s="141">
        <f>'from CP sheet'!Q53</f>
        <v>202789.70140999998</v>
      </c>
      <c r="W17" s="141">
        <f>'from CP sheet'!U53</f>
        <v>0</v>
      </c>
      <c r="X17" s="213">
        <f>'from CP sheet'!V53</f>
        <v>202789.70140999998</v>
      </c>
      <c r="Y17" s="217">
        <f>'Processed_Reconciled Prod'!G53</f>
        <v>0.14905211085</v>
      </c>
      <c r="Z17" s="147">
        <f>'Processed_Reconciled Prod'!K53</f>
        <v>5.373759056E-2</v>
      </c>
      <c r="AA17" s="147">
        <f>'Processed_Reconciled Prod'!L53</f>
        <v>0.20278970140999997</v>
      </c>
      <c r="AB17" s="147">
        <f>'Processed_Reconciled Prod'!P53</f>
        <v>0</v>
      </c>
      <c r="AC17" s="147">
        <f>'Processed_Reconciled Prod'!Q53</f>
        <v>0.20278970140999997</v>
      </c>
      <c r="AD17" s="147">
        <f>'Processed_Reconciled Prod'!U53</f>
        <v>0</v>
      </c>
      <c r="AE17" s="218">
        <f>'Processed_Reconciled Prod'!V53</f>
        <v>0.20278970140999997</v>
      </c>
      <c r="AI17" s="197"/>
      <c r="AJ17" s="197"/>
      <c r="AK17" s="197"/>
      <c r="AL17" s="197"/>
      <c r="AM17" s="197"/>
      <c r="AN17" s="197"/>
      <c r="AO17" s="197"/>
    </row>
    <row r="18" spans="2:41" ht="15.75">
      <c r="B18" s="201"/>
      <c r="C18" s="209" t="s">
        <v>67</v>
      </c>
      <c r="D18" s="212">
        <f>'from CP sheet'!G16</f>
        <v>4797727.0000099996</v>
      </c>
      <c r="E18" s="141">
        <f>'from CP sheet'!K16</f>
        <v>1733967.0000400001</v>
      </c>
      <c r="F18" s="141">
        <f>'from CP sheet'!L16</f>
        <v>6531694.0000499999</v>
      </c>
      <c r="G18" s="141">
        <f>'from CP sheet'!P16</f>
        <v>0</v>
      </c>
      <c r="H18" s="141">
        <f>'from CP sheet'!Q16</f>
        <v>6531694.0000499999</v>
      </c>
      <c r="I18" s="141">
        <f>'from CP sheet'!U16</f>
        <v>0</v>
      </c>
      <c r="J18" s="213">
        <f>'from CP sheet'!V16</f>
        <v>6531694.0000499999</v>
      </c>
      <c r="K18" s="212">
        <f>'Processed_Reconciled Prod'!G113</f>
        <v>1199431.7500024999</v>
      </c>
      <c r="L18" s="141">
        <f>'Processed_Reconciled Prod'!K113</f>
        <v>433491.75001000002</v>
      </c>
      <c r="M18" s="141">
        <f>'Processed_Reconciled Prod'!L113</f>
        <v>1632923.5000125</v>
      </c>
      <c r="N18" s="141">
        <f>'Processed_Reconciled Prod'!P113</f>
        <v>0</v>
      </c>
      <c r="O18" s="141">
        <f>'Processed_Reconciled Prod'!Q113</f>
        <v>1632923.5000125</v>
      </c>
      <c r="P18" s="141">
        <f>'Processed_Reconciled Prod'!U113</f>
        <v>0</v>
      </c>
      <c r="Q18" s="213">
        <f>'Processed_Reconciled Prod'!V113</f>
        <v>1632923.5000125</v>
      </c>
      <c r="R18" s="212">
        <f>'from CP sheet'!G54</f>
        <v>164305.71902000002</v>
      </c>
      <c r="S18" s="141">
        <f>'from CP sheet'!K54</f>
        <v>59382.431499999999</v>
      </c>
      <c r="T18" s="141">
        <f>'from CP sheet'!L54</f>
        <v>223688.15052000002</v>
      </c>
      <c r="U18" s="141">
        <f>'from CP sheet'!P54</f>
        <v>0</v>
      </c>
      <c r="V18" s="141">
        <f>'from CP sheet'!Q54</f>
        <v>223688.15052000002</v>
      </c>
      <c r="W18" s="141">
        <f>'from CP sheet'!U54</f>
        <v>0</v>
      </c>
      <c r="X18" s="213">
        <f>'from CP sheet'!V54</f>
        <v>223688.15052000002</v>
      </c>
      <c r="Y18" s="217">
        <f>'Processed_Reconciled Prod'!G54</f>
        <v>0.16430571902000002</v>
      </c>
      <c r="Z18" s="147">
        <f>'Processed_Reconciled Prod'!K54</f>
        <v>5.9382431499999999E-2</v>
      </c>
      <c r="AA18" s="147">
        <f>'Processed_Reconciled Prod'!L54</f>
        <v>0.22368815052000002</v>
      </c>
      <c r="AB18" s="147">
        <f>'Processed_Reconciled Prod'!P54</f>
        <v>0</v>
      </c>
      <c r="AC18" s="147">
        <f>'Processed_Reconciled Prod'!Q54</f>
        <v>0.22368815052000002</v>
      </c>
      <c r="AD18" s="147">
        <f>'Processed_Reconciled Prod'!U54</f>
        <v>0</v>
      </c>
      <c r="AE18" s="218">
        <f>'Processed_Reconciled Prod'!V54</f>
        <v>0.22368815052000002</v>
      </c>
      <c r="AI18" s="197"/>
      <c r="AJ18" s="197"/>
      <c r="AK18" s="197"/>
      <c r="AL18" s="197"/>
      <c r="AM18" s="197"/>
      <c r="AN18" s="197"/>
      <c r="AO18" s="197"/>
    </row>
    <row r="19" spans="2:41" ht="15.75">
      <c r="B19" s="201"/>
      <c r="C19" s="209" t="s">
        <v>68</v>
      </c>
      <c r="D19" s="212">
        <f>'from CP sheet'!G17</f>
        <v>1143274.0000199999</v>
      </c>
      <c r="E19" s="141">
        <f>'from CP sheet'!K17</f>
        <v>369674.00001999998</v>
      </c>
      <c r="F19" s="141">
        <f>'from CP sheet'!L17</f>
        <v>1512948.0000399998</v>
      </c>
      <c r="G19" s="141">
        <f>'from CP sheet'!P17</f>
        <v>0</v>
      </c>
      <c r="H19" s="141">
        <f>'from CP sheet'!Q17</f>
        <v>1512948.0000399998</v>
      </c>
      <c r="I19" s="141">
        <f>'from CP sheet'!U17</f>
        <v>0</v>
      </c>
      <c r="J19" s="213">
        <f>'from CP sheet'!V17</f>
        <v>1512948.0000399998</v>
      </c>
      <c r="K19" s="212">
        <f>'Processed_Reconciled Prod'!G114</f>
        <v>275814.85250482499</v>
      </c>
      <c r="L19" s="141">
        <f>'Processed_Reconciled Prod'!K114</f>
        <v>89183.852504824987</v>
      </c>
      <c r="M19" s="141">
        <f>'Processed_Reconciled Prod'!L114</f>
        <v>364998.70500964997</v>
      </c>
      <c r="N19" s="141">
        <f>'Processed_Reconciled Prod'!P114</f>
        <v>0</v>
      </c>
      <c r="O19" s="141">
        <f>'Processed_Reconciled Prod'!Q114</f>
        <v>364998.70500964997</v>
      </c>
      <c r="P19" s="141">
        <f>'Processed_Reconciled Prod'!U114</f>
        <v>0</v>
      </c>
      <c r="Q19" s="213">
        <f>'Processed_Reconciled Prod'!V114</f>
        <v>364998.70500964997</v>
      </c>
      <c r="R19" s="212">
        <f>'from CP sheet'!G55</f>
        <v>40561.007610000001</v>
      </c>
      <c r="S19" s="141">
        <f>'from CP sheet'!K55</f>
        <v>13115.272300000001</v>
      </c>
      <c r="T19" s="141">
        <f>'from CP sheet'!L55</f>
        <v>53676.279909999997</v>
      </c>
      <c r="U19" s="141">
        <f>'from CP sheet'!P55</f>
        <v>0</v>
      </c>
      <c r="V19" s="141">
        <f>'from CP sheet'!Q55</f>
        <v>53676.279909999997</v>
      </c>
      <c r="W19" s="141">
        <f>'from CP sheet'!U55</f>
        <v>0</v>
      </c>
      <c r="X19" s="213">
        <f>'from CP sheet'!V55</f>
        <v>53676.279909999997</v>
      </c>
      <c r="Y19" s="217">
        <f>'Processed_Reconciled Prod'!G55</f>
        <v>4.0561007609999998E-2</v>
      </c>
      <c r="Z19" s="147">
        <f>'Processed_Reconciled Prod'!K55</f>
        <v>1.3115272300000001E-2</v>
      </c>
      <c r="AA19" s="147">
        <f>'Processed_Reconciled Prod'!L55</f>
        <v>5.3676279909999999E-2</v>
      </c>
      <c r="AB19" s="147">
        <f>'Processed_Reconciled Prod'!P55</f>
        <v>0</v>
      </c>
      <c r="AC19" s="147">
        <f>'Processed_Reconciled Prod'!Q55</f>
        <v>5.3676279909999999E-2</v>
      </c>
      <c r="AD19" s="147">
        <f>'Processed_Reconciled Prod'!U55</f>
        <v>0</v>
      </c>
      <c r="AE19" s="218">
        <f>'Processed_Reconciled Prod'!V55</f>
        <v>5.3676279909999999E-2</v>
      </c>
      <c r="AI19" s="197"/>
      <c r="AJ19" s="197"/>
      <c r="AK19" s="197"/>
      <c r="AL19" s="197"/>
      <c r="AM19" s="197"/>
      <c r="AN19" s="197"/>
      <c r="AO19" s="197"/>
    </row>
    <row r="20" spans="2:41" ht="15.75">
      <c r="B20" s="201"/>
      <c r="C20" s="209" t="s">
        <v>69</v>
      </c>
      <c r="D20" s="212">
        <f>'from CP sheet'!G18</f>
        <v>0</v>
      </c>
      <c r="E20" s="141">
        <f>'from CP sheet'!K18</f>
        <v>0</v>
      </c>
      <c r="F20" s="141">
        <f>'from CP sheet'!L18</f>
        <v>0</v>
      </c>
      <c r="G20" s="141">
        <f>'from CP sheet'!P18</f>
        <v>0</v>
      </c>
      <c r="H20" s="141">
        <f>'from CP sheet'!Q18</f>
        <v>0</v>
      </c>
      <c r="I20" s="141">
        <f>'from CP sheet'!U18</f>
        <v>0</v>
      </c>
      <c r="J20" s="213">
        <f>'from CP sheet'!V18</f>
        <v>0</v>
      </c>
      <c r="K20" s="212">
        <f>'Processed_Reconciled Prod'!G115</f>
        <v>0</v>
      </c>
      <c r="L20" s="141">
        <f>'Processed_Reconciled Prod'!K115</f>
        <v>0</v>
      </c>
      <c r="M20" s="141">
        <f>'Processed_Reconciled Prod'!L115</f>
        <v>0</v>
      </c>
      <c r="N20" s="141">
        <f>'Processed_Reconciled Prod'!P115</f>
        <v>0</v>
      </c>
      <c r="O20" s="141">
        <f>'Processed_Reconciled Prod'!Q115</f>
        <v>0</v>
      </c>
      <c r="P20" s="141">
        <f>'Processed_Reconciled Prod'!U115</f>
        <v>0</v>
      </c>
      <c r="Q20" s="213">
        <f>'Processed_Reconciled Prod'!V115</f>
        <v>0</v>
      </c>
      <c r="R20" s="212">
        <f>'from CP sheet'!G56</f>
        <v>0</v>
      </c>
      <c r="S20" s="141">
        <f>'from CP sheet'!K56</f>
        <v>0</v>
      </c>
      <c r="T20" s="141">
        <f>'from CP sheet'!L56</f>
        <v>0</v>
      </c>
      <c r="U20" s="141">
        <f>'from CP sheet'!P56</f>
        <v>0</v>
      </c>
      <c r="V20" s="141">
        <f>'from CP sheet'!Q56</f>
        <v>0</v>
      </c>
      <c r="W20" s="141">
        <f>'from CP sheet'!U56</f>
        <v>0</v>
      </c>
      <c r="X20" s="213">
        <f>'from CP sheet'!V56</f>
        <v>0</v>
      </c>
      <c r="Y20" s="217">
        <f>'Processed_Reconciled Prod'!G56</f>
        <v>0</v>
      </c>
      <c r="Z20" s="147">
        <f>'Processed_Reconciled Prod'!K56</f>
        <v>0</v>
      </c>
      <c r="AA20" s="147">
        <f>'Processed_Reconciled Prod'!L56</f>
        <v>0</v>
      </c>
      <c r="AB20" s="147">
        <f>'Processed_Reconciled Prod'!P56</f>
        <v>0</v>
      </c>
      <c r="AC20" s="147">
        <f>'Processed_Reconciled Prod'!Q56</f>
        <v>0</v>
      </c>
      <c r="AD20" s="147">
        <f>'Processed_Reconciled Prod'!U56</f>
        <v>0</v>
      </c>
      <c r="AE20" s="218">
        <f>'Processed_Reconciled Prod'!V56</f>
        <v>0</v>
      </c>
      <c r="AI20" s="197"/>
      <c r="AJ20" s="197"/>
      <c r="AK20" s="197"/>
      <c r="AL20" s="197"/>
      <c r="AM20" s="197"/>
      <c r="AN20" s="197"/>
      <c r="AO20" s="197"/>
    </row>
    <row r="21" spans="2:41" ht="15.75">
      <c r="B21" s="201"/>
      <c r="C21" s="209" t="s">
        <v>70</v>
      </c>
      <c r="D21" s="212">
        <f>'from CP sheet'!G19</f>
        <v>0</v>
      </c>
      <c r="E21" s="141">
        <f>'from CP sheet'!K19</f>
        <v>0</v>
      </c>
      <c r="F21" s="141">
        <f>'from CP sheet'!L19</f>
        <v>0</v>
      </c>
      <c r="G21" s="141">
        <f>'from CP sheet'!P19</f>
        <v>0</v>
      </c>
      <c r="H21" s="141">
        <f>'from CP sheet'!Q19</f>
        <v>0</v>
      </c>
      <c r="I21" s="141">
        <f>'from CP sheet'!U19</f>
        <v>0</v>
      </c>
      <c r="J21" s="213">
        <f>'from CP sheet'!V19</f>
        <v>0</v>
      </c>
      <c r="K21" s="212">
        <f>'Processed_Reconciled Prod'!G116</f>
        <v>0</v>
      </c>
      <c r="L21" s="141">
        <f>'Processed_Reconciled Prod'!K116</f>
        <v>0</v>
      </c>
      <c r="M21" s="141">
        <f>'Processed_Reconciled Prod'!L116</f>
        <v>0</v>
      </c>
      <c r="N21" s="141">
        <f>'Processed_Reconciled Prod'!P116</f>
        <v>0</v>
      </c>
      <c r="O21" s="141">
        <f>'Processed_Reconciled Prod'!Q116</f>
        <v>0</v>
      </c>
      <c r="P21" s="141">
        <f>'Processed_Reconciled Prod'!U116</f>
        <v>0</v>
      </c>
      <c r="Q21" s="213">
        <f>'Processed_Reconciled Prod'!V116</f>
        <v>0</v>
      </c>
      <c r="R21" s="212">
        <f>'from CP sheet'!G57</f>
        <v>0</v>
      </c>
      <c r="S21" s="141">
        <f>'from CP sheet'!K57</f>
        <v>0</v>
      </c>
      <c r="T21" s="141">
        <f>'from CP sheet'!L57</f>
        <v>0</v>
      </c>
      <c r="U21" s="141">
        <f>'from CP sheet'!P57</f>
        <v>0</v>
      </c>
      <c r="V21" s="141">
        <f>'from CP sheet'!Q57</f>
        <v>0</v>
      </c>
      <c r="W21" s="141">
        <f>'from CP sheet'!U57</f>
        <v>0</v>
      </c>
      <c r="X21" s="213">
        <f>'from CP sheet'!V57</f>
        <v>0</v>
      </c>
      <c r="Y21" s="217">
        <f>'Processed_Reconciled Prod'!G57</f>
        <v>0</v>
      </c>
      <c r="Z21" s="147">
        <f>'Processed_Reconciled Prod'!K57</f>
        <v>0</v>
      </c>
      <c r="AA21" s="147">
        <f>'Processed_Reconciled Prod'!L57</f>
        <v>0</v>
      </c>
      <c r="AB21" s="147">
        <f>'Processed_Reconciled Prod'!P57</f>
        <v>0</v>
      </c>
      <c r="AC21" s="147">
        <f>'Processed_Reconciled Prod'!Q57</f>
        <v>0</v>
      </c>
      <c r="AD21" s="147">
        <f>'Processed_Reconciled Prod'!U57</f>
        <v>0</v>
      </c>
      <c r="AE21" s="218">
        <f>'Processed_Reconciled Prod'!V57</f>
        <v>0</v>
      </c>
      <c r="AI21" s="197"/>
      <c r="AJ21" s="197"/>
      <c r="AK21" s="197"/>
      <c r="AL21" s="197"/>
      <c r="AM21" s="197"/>
      <c r="AN21" s="197"/>
      <c r="AO21" s="197"/>
    </row>
    <row r="22" spans="2:41" ht="16.5" thickBot="1">
      <c r="C22" s="209" t="s">
        <v>92</v>
      </c>
      <c r="D22" s="214">
        <f>SUM(D8:D21)</f>
        <v>100611087.88309999</v>
      </c>
      <c r="E22" s="215">
        <f t="shared" ref="E22:X22" si="0">SUM(E8:E21)</f>
        <v>35102394.490160003</v>
      </c>
      <c r="F22" s="215">
        <f t="shared" si="0"/>
        <v>135713482.37325999</v>
      </c>
      <c r="G22" s="215">
        <f t="shared" si="0"/>
        <v>0</v>
      </c>
      <c r="H22" s="215">
        <f t="shared" si="0"/>
        <v>135713482.37325999</v>
      </c>
      <c r="I22" s="215">
        <f t="shared" si="0"/>
        <v>0</v>
      </c>
      <c r="J22" s="216">
        <f t="shared" si="0"/>
        <v>135713482.37325999</v>
      </c>
      <c r="K22" s="214">
        <f t="shared" si="0"/>
        <v>13163397.714063397</v>
      </c>
      <c r="L22" s="215">
        <f t="shared" si="0"/>
        <v>4555193.0892739575</v>
      </c>
      <c r="M22" s="215">
        <f t="shared" si="0"/>
        <v>17718590.80333735</v>
      </c>
      <c r="N22" s="215">
        <f t="shared" si="0"/>
        <v>0</v>
      </c>
      <c r="O22" s="215">
        <f t="shared" si="0"/>
        <v>17718590.80333735</v>
      </c>
      <c r="P22" s="215">
        <f t="shared" si="0"/>
        <v>0</v>
      </c>
      <c r="Q22" s="216">
        <f t="shared" si="0"/>
        <v>17718590.80333735</v>
      </c>
      <c r="R22" s="214">
        <f t="shared" si="0"/>
        <v>1797271.9242400003</v>
      </c>
      <c r="S22" s="215">
        <f t="shared" si="0"/>
        <v>620962.84519999998</v>
      </c>
      <c r="T22" s="215">
        <f t="shared" si="0"/>
        <v>2418234.7694399999</v>
      </c>
      <c r="U22" s="215">
        <f t="shared" si="0"/>
        <v>0</v>
      </c>
      <c r="V22" s="215">
        <f t="shared" si="0"/>
        <v>2418234.7694399999</v>
      </c>
      <c r="W22" s="215">
        <f t="shared" si="0"/>
        <v>0</v>
      </c>
      <c r="X22" s="216">
        <f t="shared" si="0"/>
        <v>2418234.7694399999</v>
      </c>
      <c r="Y22" s="219">
        <f>SUM(Y8:Y21)</f>
        <v>1.7972719242400004</v>
      </c>
      <c r="Z22" s="220">
        <f t="shared" ref="Z22:AE22" si="1">SUM(Z8:Z21)</f>
        <v>0.6209628452</v>
      </c>
      <c r="AA22" s="220">
        <f t="shared" si="1"/>
        <v>2.4182347694400002</v>
      </c>
      <c r="AB22" s="220">
        <f t="shared" si="1"/>
        <v>0</v>
      </c>
      <c r="AC22" s="220">
        <f t="shared" si="1"/>
        <v>2.4182347694400002</v>
      </c>
      <c r="AD22" s="220">
        <f t="shared" si="1"/>
        <v>0</v>
      </c>
      <c r="AE22" s="221">
        <f t="shared" si="1"/>
        <v>2.4182347694400002</v>
      </c>
    </row>
    <row r="27" spans="2:41" ht="15.75" thickBot="1"/>
    <row r="28" spans="2:41" ht="46.5" customHeight="1">
      <c r="B28" s="200"/>
      <c r="C28" s="222" t="s">
        <v>94</v>
      </c>
      <c r="D28" s="1117" t="s">
        <v>99</v>
      </c>
      <c r="E28" s="1118"/>
      <c r="F28" s="1118"/>
      <c r="G28" s="1118"/>
      <c r="H28" s="1118"/>
      <c r="I28" s="1118"/>
      <c r="J28" s="1119"/>
      <c r="K28" s="1117" t="s">
        <v>100</v>
      </c>
      <c r="L28" s="1118"/>
      <c r="M28" s="1118"/>
      <c r="N28" s="1118"/>
      <c r="O28" s="1118"/>
      <c r="P28" s="1118"/>
      <c r="Q28" s="1119"/>
      <c r="R28" s="1117" t="s">
        <v>101</v>
      </c>
      <c r="S28" s="1118"/>
      <c r="T28" s="1118"/>
      <c r="U28" s="1118"/>
      <c r="V28" s="1118"/>
      <c r="W28" s="1118"/>
      <c r="X28" s="1119"/>
    </row>
    <row r="29" spans="2:41">
      <c r="B29" s="200"/>
      <c r="C29" s="222"/>
      <c r="D29" s="224" t="s">
        <v>82</v>
      </c>
      <c r="E29" s="203" t="s">
        <v>83</v>
      </c>
      <c r="F29" s="203" t="s">
        <v>39</v>
      </c>
      <c r="G29" s="203" t="s">
        <v>84</v>
      </c>
      <c r="H29" s="203" t="s">
        <v>85</v>
      </c>
      <c r="I29" s="203" t="s">
        <v>86</v>
      </c>
      <c r="J29" s="225" t="s">
        <v>87</v>
      </c>
      <c r="K29" s="224" t="s">
        <v>82</v>
      </c>
      <c r="L29" s="203" t="s">
        <v>83</v>
      </c>
      <c r="M29" s="203" t="s">
        <v>39</v>
      </c>
      <c r="N29" s="203" t="s">
        <v>84</v>
      </c>
      <c r="O29" s="203" t="s">
        <v>85</v>
      </c>
      <c r="P29" s="203" t="s">
        <v>86</v>
      </c>
      <c r="Q29" s="225" t="s">
        <v>87</v>
      </c>
      <c r="R29" s="224" t="s">
        <v>82</v>
      </c>
      <c r="S29" s="203" t="s">
        <v>83</v>
      </c>
      <c r="T29" s="203" t="s">
        <v>39</v>
      </c>
      <c r="U29" s="203" t="s">
        <v>84</v>
      </c>
      <c r="V29" s="203" t="s">
        <v>85</v>
      </c>
      <c r="W29" s="203" t="s">
        <v>86</v>
      </c>
      <c r="X29" s="225" t="s">
        <v>87</v>
      </c>
    </row>
    <row r="30" spans="2:41" ht="15.75">
      <c r="B30" s="201"/>
      <c r="C30" s="209" t="s">
        <v>60</v>
      </c>
      <c r="D30" s="217">
        <f>'from CP sheet'!G24</f>
        <v>779.78008</v>
      </c>
      <c r="E30" s="147">
        <f>'from CP sheet'!K24</f>
        <v>229.16598999999999</v>
      </c>
      <c r="F30" s="147">
        <f>'from CP sheet'!L24</f>
        <v>1008.94607</v>
      </c>
      <c r="G30" s="147">
        <f>'from CP sheet'!P24</f>
        <v>0</v>
      </c>
      <c r="H30" s="147">
        <f>'from CP sheet'!Q24</f>
        <v>1008.94607</v>
      </c>
      <c r="I30" s="147">
        <f>'from CP sheet'!U24</f>
        <v>0</v>
      </c>
      <c r="J30" s="218">
        <f>'from CP sheet'!V24</f>
        <v>1008.94607</v>
      </c>
      <c r="K30" s="217">
        <f>'Processed_Reconciled Prod'!G63*1000</f>
        <v>155.95601600000003</v>
      </c>
      <c r="L30" s="147">
        <f>'Processed_Reconciled Prod'!K63*1000</f>
        <v>45.833198000000003</v>
      </c>
      <c r="M30" s="147">
        <f>'Processed_Reconciled Prod'!L63*1000</f>
        <v>201.78921400000004</v>
      </c>
      <c r="N30" s="147">
        <f>'Processed_Reconciled Prod'!P63*1000</f>
        <v>0</v>
      </c>
      <c r="O30" s="147">
        <f>'Processed_Reconciled Prod'!Q63*1000</f>
        <v>201.78921400000004</v>
      </c>
      <c r="P30" s="147">
        <f>'Processed_Reconciled Prod'!U63*1000</f>
        <v>0</v>
      </c>
      <c r="Q30" s="218">
        <f>'Processed_Reconciled Prod'!V63*1000</f>
        <v>201.78921400000004</v>
      </c>
      <c r="R30" s="217">
        <f>'Processed_Reconciled Prod'!G63</f>
        <v>0.15595601600000003</v>
      </c>
      <c r="S30" s="147">
        <f>'Processed_Reconciled Prod'!K63</f>
        <v>4.5833198000000006E-2</v>
      </c>
      <c r="T30" s="147">
        <f>'Processed_Reconciled Prod'!L63</f>
        <v>0.20178921400000005</v>
      </c>
      <c r="U30" s="147">
        <f>'Processed_Reconciled Prod'!P63</f>
        <v>0</v>
      </c>
      <c r="V30" s="147">
        <f>'Processed_Reconciled Prod'!Q63</f>
        <v>0.20178921400000005</v>
      </c>
      <c r="W30" s="147">
        <f>'Processed_Reconciled Prod'!U63</f>
        <v>0</v>
      </c>
      <c r="X30" s="218">
        <f>'Processed_Reconciled Prod'!V63</f>
        <v>0.20178921400000005</v>
      </c>
      <c r="Z30" s="198"/>
      <c r="AA30" s="198"/>
      <c r="AB30" s="198"/>
      <c r="AC30" s="198"/>
      <c r="AD30" s="198"/>
      <c r="AE30" s="198"/>
      <c r="AF30" s="198"/>
      <c r="AG30" s="199"/>
    </row>
    <row r="31" spans="2:41" ht="15.75">
      <c r="B31" s="201"/>
      <c r="C31" s="209" t="s">
        <v>61</v>
      </c>
      <c r="D31" s="217">
        <f>'from CP sheet'!G25</f>
        <v>901.04951000000005</v>
      </c>
      <c r="E31" s="147">
        <f>'from CP sheet'!K25</f>
        <v>273.98406</v>
      </c>
      <c r="F31" s="147">
        <f>'from CP sheet'!L25</f>
        <v>1175.0335700000001</v>
      </c>
      <c r="G31" s="147">
        <f>'from CP sheet'!P25</f>
        <v>0</v>
      </c>
      <c r="H31" s="147">
        <f>'from CP sheet'!Q25</f>
        <v>1175.0335700000001</v>
      </c>
      <c r="I31" s="147">
        <f>'from CP sheet'!U25</f>
        <v>0</v>
      </c>
      <c r="J31" s="218">
        <f>'from CP sheet'!V25</f>
        <v>1175.0335700000001</v>
      </c>
      <c r="K31" s="217">
        <f>'Processed_Reconciled Prod'!G64*1000</f>
        <v>234.27287260000003</v>
      </c>
      <c r="L31" s="147">
        <f>'Processed_Reconciled Prod'!K64*1000</f>
        <v>71.235855600000008</v>
      </c>
      <c r="M31" s="147">
        <f>'Processed_Reconciled Prod'!L64*1000</f>
        <v>305.50872820000001</v>
      </c>
      <c r="N31" s="147">
        <f>'Processed_Reconciled Prod'!P64*1000</f>
        <v>0</v>
      </c>
      <c r="O31" s="147">
        <f>'Processed_Reconciled Prod'!Q64*1000</f>
        <v>305.50872820000001</v>
      </c>
      <c r="P31" s="147">
        <f>'Processed_Reconciled Prod'!U64*1000</f>
        <v>0</v>
      </c>
      <c r="Q31" s="218">
        <f>'Processed_Reconciled Prod'!V64*1000</f>
        <v>305.50872820000001</v>
      </c>
      <c r="R31" s="217">
        <f>'Processed_Reconciled Prod'!G64</f>
        <v>0.23427287260000002</v>
      </c>
      <c r="S31" s="147">
        <f>'Processed_Reconciled Prod'!K64</f>
        <v>7.1235855600000009E-2</v>
      </c>
      <c r="T31" s="147">
        <f>'Processed_Reconciled Prod'!L64</f>
        <v>0.30550872820000002</v>
      </c>
      <c r="U31" s="147">
        <f>'Processed_Reconciled Prod'!P64</f>
        <v>0</v>
      </c>
      <c r="V31" s="147">
        <f>'Processed_Reconciled Prod'!Q64</f>
        <v>0.30550872820000002</v>
      </c>
      <c r="W31" s="147">
        <f>'Processed_Reconciled Prod'!U64</f>
        <v>0</v>
      </c>
      <c r="X31" s="218">
        <f>'Processed_Reconciled Prod'!V64</f>
        <v>0.30550872820000002</v>
      </c>
      <c r="Z31" s="198"/>
      <c r="AA31" s="198"/>
      <c r="AB31" s="198"/>
      <c r="AC31" s="198"/>
      <c r="AD31" s="198"/>
      <c r="AE31" s="198"/>
      <c r="AF31" s="198"/>
      <c r="AG31" s="199"/>
    </row>
    <row r="32" spans="2:41" ht="15.75">
      <c r="B32" s="201"/>
      <c r="C32" s="209" t="s">
        <v>62</v>
      </c>
      <c r="D32" s="217">
        <f>'from CP sheet'!G26</f>
        <v>23.67024</v>
      </c>
      <c r="E32" s="147">
        <f>'from CP sheet'!K26</f>
        <v>7.4680499999999999</v>
      </c>
      <c r="F32" s="147">
        <f>'from CP sheet'!L26</f>
        <v>31.138289999999998</v>
      </c>
      <c r="G32" s="147">
        <f>'from CP sheet'!P26</f>
        <v>0</v>
      </c>
      <c r="H32" s="147">
        <f>'from CP sheet'!Q26</f>
        <v>31.138289999999998</v>
      </c>
      <c r="I32" s="147">
        <f>'from CP sheet'!U26</f>
        <v>0</v>
      </c>
      <c r="J32" s="218">
        <f>'from CP sheet'!V26</f>
        <v>31.138289999999998</v>
      </c>
      <c r="K32" s="217">
        <f>'Processed_Reconciled Prod'!G65*1000</f>
        <v>23.670240000000003</v>
      </c>
      <c r="L32" s="147">
        <f>'Processed_Reconciled Prod'!K65*1000</f>
        <v>7.4680500000000007</v>
      </c>
      <c r="M32" s="147">
        <f>'Processed_Reconciled Prod'!L65*1000</f>
        <v>31.138290000000001</v>
      </c>
      <c r="N32" s="147">
        <f>'Processed_Reconciled Prod'!P65*1000</f>
        <v>0</v>
      </c>
      <c r="O32" s="147">
        <f>'Processed_Reconciled Prod'!Q65*1000</f>
        <v>31.138290000000001</v>
      </c>
      <c r="P32" s="147">
        <f>'Processed_Reconciled Prod'!U65*1000</f>
        <v>0</v>
      </c>
      <c r="Q32" s="218">
        <f>'Processed_Reconciled Prod'!V65*1000</f>
        <v>31.138290000000001</v>
      </c>
      <c r="R32" s="217">
        <f>'Processed_Reconciled Prod'!G65</f>
        <v>2.3670240000000002E-2</v>
      </c>
      <c r="S32" s="147">
        <f>'Processed_Reconciled Prod'!K65</f>
        <v>7.4680500000000004E-3</v>
      </c>
      <c r="T32" s="147">
        <f>'Processed_Reconciled Prod'!L65</f>
        <v>3.1138290000000002E-2</v>
      </c>
      <c r="U32" s="147">
        <f>'Processed_Reconciled Prod'!P65</f>
        <v>0</v>
      </c>
      <c r="V32" s="147">
        <f>'Processed_Reconciled Prod'!Q65</f>
        <v>3.1138290000000002E-2</v>
      </c>
      <c r="W32" s="147">
        <f>'Processed_Reconciled Prod'!U65</f>
        <v>0</v>
      </c>
      <c r="X32" s="218">
        <f>'Processed_Reconciled Prod'!V65</f>
        <v>3.1138290000000002E-2</v>
      </c>
      <c r="Z32" s="198"/>
      <c r="AA32" s="198"/>
      <c r="AB32" s="198"/>
      <c r="AC32" s="198"/>
      <c r="AD32" s="198"/>
      <c r="AE32" s="198"/>
      <c r="AF32" s="198"/>
      <c r="AG32" s="199"/>
    </row>
    <row r="33" spans="2:33" ht="15.75">
      <c r="B33" s="201"/>
      <c r="C33" s="209" t="s">
        <v>57</v>
      </c>
      <c r="D33" s="217">
        <f>'from CP sheet'!G27</f>
        <v>1240.1328900000001</v>
      </c>
      <c r="E33" s="147">
        <f>'from CP sheet'!K27</f>
        <v>256.18295999999998</v>
      </c>
      <c r="F33" s="147">
        <f>'from CP sheet'!L27</f>
        <v>1496.31585</v>
      </c>
      <c r="G33" s="147">
        <f>'from CP sheet'!P27</f>
        <v>0</v>
      </c>
      <c r="H33" s="147">
        <f>'from CP sheet'!Q27</f>
        <v>1496.31585</v>
      </c>
      <c r="I33" s="147">
        <f>'from CP sheet'!U27</f>
        <v>0</v>
      </c>
      <c r="J33" s="218">
        <f>'from CP sheet'!V27</f>
        <v>1496.31585</v>
      </c>
      <c r="K33" s="217">
        <f>'Processed_Reconciled Prod'!G66*1000</f>
        <v>36.273887032500006</v>
      </c>
      <c r="L33" s="147">
        <f>'Processed_Reconciled Prod'!K66*1000</f>
        <v>7.4933515799999997</v>
      </c>
      <c r="M33" s="147">
        <f>'Processed_Reconciled Prod'!L66*1000</f>
        <v>43.767238612500009</v>
      </c>
      <c r="N33" s="147">
        <f>'Processed_Reconciled Prod'!P66*1000</f>
        <v>0</v>
      </c>
      <c r="O33" s="147">
        <f>'Processed_Reconciled Prod'!Q66*1000</f>
        <v>43.767238612500009</v>
      </c>
      <c r="P33" s="147">
        <f>'Processed_Reconciled Prod'!U66*1000</f>
        <v>0</v>
      </c>
      <c r="Q33" s="218">
        <f>'Processed_Reconciled Prod'!V66*1000</f>
        <v>43.767238612500009</v>
      </c>
      <c r="R33" s="217">
        <f>'Processed_Reconciled Prod'!G66</f>
        <v>3.6273887032500007E-2</v>
      </c>
      <c r="S33" s="147">
        <f>'Processed_Reconciled Prod'!K66</f>
        <v>7.4933515799999999E-3</v>
      </c>
      <c r="T33" s="147">
        <f>'Processed_Reconciled Prod'!L66</f>
        <v>4.3767238612500009E-2</v>
      </c>
      <c r="U33" s="147">
        <f>'Processed_Reconciled Prod'!P66</f>
        <v>0</v>
      </c>
      <c r="V33" s="147">
        <f>'Processed_Reconciled Prod'!Q66</f>
        <v>4.3767238612500009E-2</v>
      </c>
      <c r="W33" s="147">
        <f>'Processed_Reconciled Prod'!U66</f>
        <v>0</v>
      </c>
      <c r="X33" s="218">
        <f>'Processed_Reconciled Prod'!V66</f>
        <v>4.3767238612500009E-2</v>
      </c>
      <c r="Z33" s="198"/>
      <c r="AA33" s="198"/>
      <c r="AB33" s="198"/>
      <c r="AC33" s="198"/>
      <c r="AD33" s="198"/>
      <c r="AE33" s="198"/>
      <c r="AF33" s="198"/>
      <c r="AG33" s="199"/>
    </row>
    <row r="34" spans="2:33" ht="15.75">
      <c r="B34" s="201"/>
      <c r="C34" s="209" t="s">
        <v>58</v>
      </c>
      <c r="D34" s="217">
        <f>'from CP sheet'!G28</f>
        <v>36.84601</v>
      </c>
      <c r="E34" s="147">
        <f>'from CP sheet'!K28</f>
        <v>11.080019999999999</v>
      </c>
      <c r="F34" s="147">
        <f>'from CP sheet'!L28</f>
        <v>47.926029999999997</v>
      </c>
      <c r="G34" s="147">
        <f>'from CP sheet'!P28</f>
        <v>0</v>
      </c>
      <c r="H34" s="147">
        <f>'from CP sheet'!Q28</f>
        <v>47.926029999999997</v>
      </c>
      <c r="I34" s="147">
        <f>'from CP sheet'!U28</f>
        <v>0</v>
      </c>
      <c r="J34" s="218">
        <f>'from CP sheet'!V28</f>
        <v>47.926029999999997</v>
      </c>
      <c r="K34" s="217">
        <f>'Processed_Reconciled Prod'!G67*1000</f>
        <v>9.9484227000000001</v>
      </c>
      <c r="L34" s="147">
        <f>'Processed_Reconciled Prod'!K67*1000</f>
        <v>2.9916054000000001</v>
      </c>
      <c r="M34" s="147">
        <f>'Processed_Reconciled Prod'!L67*1000</f>
        <v>12.940028100000001</v>
      </c>
      <c r="N34" s="147">
        <f>'Processed_Reconciled Prod'!P67*1000</f>
        <v>0</v>
      </c>
      <c r="O34" s="147">
        <f>'Processed_Reconciled Prod'!Q67*1000</f>
        <v>12.940028100000001</v>
      </c>
      <c r="P34" s="147">
        <f>'Processed_Reconciled Prod'!U67*1000</f>
        <v>0</v>
      </c>
      <c r="Q34" s="218">
        <f>'Processed_Reconciled Prod'!V67*1000</f>
        <v>12.940028100000001</v>
      </c>
      <c r="R34" s="217">
        <f>'Processed_Reconciled Prod'!G67</f>
        <v>9.9484227000000008E-3</v>
      </c>
      <c r="S34" s="147">
        <f>'Processed_Reconciled Prod'!K67</f>
        <v>2.9916054000000002E-3</v>
      </c>
      <c r="T34" s="147">
        <f>'Processed_Reconciled Prod'!L67</f>
        <v>1.2940028100000001E-2</v>
      </c>
      <c r="U34" s="147">
        <f>'Processed_Reconciled Prod'!P67</f>
        <v>0</v>
      </c>
      <c r="V34" s="147">
        <f>'Processed_Reconciled Prod'!Q67</f>
        <v>1.2940028100000001E-2</v>
      </c>
      <c r="W34" s="147">
        <f>'Processed_Reconciled Prod'!U67</f>
        <v>0</v>
      </c>
      <c r="X34" s="218">
        <f>'Processed_Reconciled Prod'!V67</f>
        <v>1.2940028100000001E-2</v>
      </c>
      <c r="Z34" s="198"/>
      <c r="AA34" s="198"/>
      <c r="AB34" s="198"/>
      <c r="AC34" s="198"/>
      <c r="AD34" s="198"/>
      <c r="AE34" s="198"/>
      <c r="AF34" s="198"/>
      <c r="AG34" s="199"/>
    </row>
    <row r="35" spans="2:33" ht="15.75">
      <c r="B35" s="201"/>
      <c r="C35" s="209" t="s">
        <v>59</v>
      </c>
      <c r="D35" s="217">
        <f>'from CP sheet'!G29</f>
        <v>2.3010600000000001</v>
      </c>
      <c r="E35" s="147">
        <f>'from CP sheet'!K29</f>
        <v>0.79886999999999997</v>
      </c>
      <c r="F35" s="147">
        <f>'from CP sheet'!L29</f>
        <v>3.0999300000000001</v>
      </c>
      <c r="G35" s="147">
        <f>'from CP sheet'!P29</f>
        <v>0</v>
      </c>
      <c r="H35" s="147">
        <f>'from CP sheet'!Q29</f>
        <v>3.0999300000000001</v>
      </c>
      <c r="I35" s="147">
        <f>'from CP sheet'!U29</f>
        <v>0</v>
      </c>
      <c r="J35" s="218">
        <f>'from CP sheet'!V29</f>
        <v>3.0999300000000001</v>
      </c>
      <c r="K35" s="217">
        <f>'Processed_Reconciled Prod'!G68*1000</f>
        <v>1.1505299999999998</v>
      </c>
      <c r="L35" s="147">
        <f>'Processed_Reconciled Prod'!K68*1000</f>
        <v>0.39943500000000004</v>
      </c>
      <c r="M35" s="147">
        <f>'Processed_Reconciled Prod'!L68*1000</f>
        <v>1.549965</v>
      </c>
      <c r="N35" s="147">
        <f>'Processed_Reconciled Prod'!P68*1000</f>
        <v>0</v>
      </c>
      <c r="O35" s="147">
        <f>'Processed_Reconciled Prod'!Q68*1000</f>
        <v>1.549965</v>
      </c>
      <c r="P35" s="147">
        <f>'Processed_Reconciled Prod'!U68*1000</f>
        <v>0</v>
      </c>
      <c r="Q35" s="218">
        <f>'Processed_Reconciled Prod'!V68*1000</f>
        <v>1.549965</v>
      </c>
      <c r="R35" s="217">
        <f>'Processed_Reconciled Prod'!G68</f>
        <v>1.1505299999999999E-3</v>
      </c>
      <c r="S35" s="147">
        <f>'Processed_Reconciled Prod'!K68</f>
        <v>3.9943500000000001E-4</v>
      </c>
      <c r="T35" s="147">
        <f>'Processed_Reconciled Prod'!L68</f>
        <v>1.5499649999999999E-3</v>
      </c>
      <c r="U35" s="147">
        <f>'Processed_Reconciled Prod'!P68</f>
        <v>0</v>
      </c>
      <c r="V35" s="147">
        <f>'Processed_Reconciled Prod'!Q68</f>
        <v>1.5499649999999999E-3</v>
      </c>
      <c r="W35" s="147">
        <f>'Processed_Reconciled Prod'!U68</f>
        <v>0</v>
      </c>
      <c r="X35" s="218">
        <f>'Processed_Reconciled Prod'!V68</f>
        <v>1.5499649999999999E-3</v>
      </c>
      <c r="Z35" s="198"/>
      <c r="AA35" s="198"/>
      <c r="AB35" s="198"/>
      <c r="AC35" s="198"/>
      <c r="AD35" s="198"/>
      <c r="AE35" s="198"/>
      <c r="AF35" s="198"/>
      <c r="AG35" s="199"/>
    </row>
    <row r="36" spans="2:33" ht="15.75">
      <c r="B36" s="201"/>
      <c r="C36" s="209" t="s">
        <v>63</v>
      </c>
      <c r="D36" s="217">
        <f>'from CP sheet'!G30</f>
        <v>0.29697999999999997</v>
      </c>
      <c r="E36" s="147">
        <f>'from CP sheet'!K30</f>
        <v>0.10700999999999999</v>
      </c>
      <c r="F36" s="147">
        <f>'from CP sheet'!L30</f>
        <v>0.40398999999999996</v>
      </c>
      <c r="G36" s="147">
        <f>'from CP sheet'!P30</f>
        <v>0</v>
      </c>
      <c r="H36" s="147">
        <f>'from CP sheet'!Q30</f>
        <v>0.40398999999999996</v>
      </c>
      <c r="I36" s="147">
        <f>'from CP sheet'!U30</f>
        <v>0</v>
      </c>
      <c r="J36" s="218">
        <f>'from CP sheet'!V30</f>
        <v>0.40398999999999996</v>
      </c>
      <c r="K36" s="217">
        <f>'Processed_Reconciled Prod'!G69*1000</f>
        <v>0.20788600000000002</v>
      </c>
      <c r="L36" s="147">
        <f>'Processed_Reconciled Prod'!K69*1000</f>
        <v>7.4906999999999987E-2</v>
      </c>
      <c r="M36" s="147">
        <f>'Processed_Reconciled Prod'!L69*1000</f>
        <v>0.28279299999999996</v>
      </c>
      <c r="N36" s="147">
        <f>'Processed_Reconciled Prod'!P69*1000</f>
        <v>0</v>
      </c>
      <c r="O36" s="147">
        <f>'Processed_Reconciled Prod'!Q69*1000</f>
        <v>0.28279299999999996</v>
      </c>
      <c r="P36" s="147">
        <f>'Processed_Reconciled Prod'!U69*1000</f>
        <v>0</v>
      </c>
      <c r="Q36" s="218">
        <f>'Processed_Reconciled Prod'!V69*1000</f>
        <v>0.28279299999999996</v>
      </c>
      <c r="R36" s="217">
        <f>'Processed_Reconciled Prod'!G69</f>
        <v>2.0788600000000001E-4</v>
      </c>
      <c r="S36" s="147">
        <f>'Processed_Reconciled Prod'!K69</f>
        <v>7.4906999999999993E-5</v>
      </c>
      <c r="T36" s="147">
        <f>'Processed_Reconciled Prod'!L69</f>
        <v>2.8279299999999999E-4</v>
      </c>
      <c r="U36" s="147">
        <f>'Processed_Reconciled Prod'!P69</f>
        <v>0</v>
      </c>
      <c r="V36" s="147">
        <f>'Processed_Reconciled Prod'!Q69</f>
        <v>2.8279299999999999E-4</v>
      </c>
      <c r="W36" s="147">
        <f>'Processed_Reconciled Prod'!U69</f>
        <v>0</v>
      </c>
      <c r="X36" s="218">
        <f>'Processed_Reconciled Prod'!V69</f>
        <v>2.8279299999999999E-4</v>
      </c>
      <c r="Z36" s="198"/>
      <c r="AA36" s="198"/>
      <c r="AB36" s="198"/>
      <c r="AC36" s="198"/>
      <c r="AD36" s="198"/>
      <c r="AE36" s="198"/>
      <c r="AF36" s="198"/>
      <c r="AG36" s="199"/>
    </row>
    <row r="37" spans="2:33" ht="15.75">
      <c r="B37" s="201"/>
      <c r="C37" s="209" t="s">
        <v>64</v>
      </c>
      <c r="D37" s="217">
        <f>'from CP sheet'!G31</f>
        <v>17.848730000000003</v>
      </c>
      <c r="E37" s="147">
        <f>'from CP sheet'!K31</f>
        <v>6.0504199999999999</v>
      </c>
      <c r="F37" s="147">
        <f>'from CP sheet'!L31</f>
        <v>23.899150000000002</v>
      </c>
      <c r="G37" s="147">
        <f>'from CP sheet'!P31</f>
        <v>0</v>
      </c>
      <c r="H37" s="147">
        <f>'from CP sheet'!Q31</f>
        <v>23.899150000000002</v>
      </c>
      <c r="I37" s="147">
        <f>'from CP sheet'!U31</f>
        <v>0</v>
      </c>
      <c r="J37" s="218">
        <f>'from CP sheet'!V31</f>
        <v>23.899150000000002</v>
      </c>
      <c r="K37" s="217">
        <f>'Processed_Reconciled Prod'!G70*1000</f>
        <v>1.9633602999999999</v>
      </c>
      <c r="L37" s="147">
        <f>'Processed_Reconciled Prod'!K70*1000</f>
        <v>0.66554619999999998</v>
      </c>
      <c r="M37" s="147">
        <f>'Processed_Reconciled Prod'!L70*1000</f>
        <v>2.6289065000000003</v>
      </c>
      <c r="N37" s="147">
        <f>'Processed_Reconciled Prod'!P70*1000</f>
        <v>0</v>
      </c>
      <c r="O37" s="147">
        <f>'Processed_Reconciled Prod'!Q70*1000</f>
        <v>2.6289065000000003</v>
      </c>
      <c r="P37" s="147">
        <f>'Processed_Reconciled Prod'!U70*1000</f>
        <v>0</v>
      </c>
      <c r="Q37" s="218">
        <f>'Processed_Reconciled Prod'!V70*1000</f>
        <v>2.6289065000000003</v>
      </c>
      <c r="R37" s="217">
        <f>'Processed_Reconciled Prod'!G70</f>
        <v>1.9633603E-3</v>
      </c>
      <c r="S37" s="147">
        <f>'Processed_Reconciled Prod'!K70</f>
        <v>6.655462E-4</v>
      </c>
      <c r="T37" s="147">
        <f>'Processed_Reconciled Prod'!L70</f>
        <v>2.6289065E-3</v>
      </c>
      <c r="U37" s="147">
        <f>'Processed_Reconciled Prod'!P70</f>
        <v>0</v>
      </c>
      <c r="V37" s="147">
        <f>'Processed_Reconciled Prod'!Q70</f>
        <v>2.6289065E-3</v>
      </c>
      <c r="W37" s="147">
        <f>'Processed_Reconciled Prod'!U70</f>
        <v>0</v>
      </c>
      <c r="X37" s="218">
        <f>'Processed_Reconciled Prod'!V70</f>
        <v>2.6289065E-3</v>
      </c>
      <c r="Z37" s="198"/>
      <c r="AA37" s="198"/>
      <c r="AB37" s="198"/>
      <c r="AC37" s="198"/>
      <c r="AD37" s="198"/>
      <c r="AE37" s="198"/>
      <c r="AF37" s="198"/>
      <c r="AG37" s="199"/>
    </row>
    <row r="38" spans="2:33" ht="15.75">
      <c r="B38" s="201"/>
      <c r="C38" s="209" t="s">
        <v>65</v>
      </c>
      <c r="D38" s="217">
        <f>'from CP sheet'!G32</f>
        <v>8.2987900000000003</v>
      </c>
      <c r="E38" s="147">
        <f>'from CP sheet'!K32</f>
        <v>2.9470700000000001</v>
      </c>
      <c r="F38" s="147">
        <f>'from CP sheet'!L32</f>
        <v>11.24586</v>
      </c>
      <c r="G38" s="147">
        <f>'from CP sheet'!P32</f>
        <v>0</v>
      </c>
      <c r="H38" s="147">
        <f>'from CP sheet'!Q32</f>
        <v>11.24586</v>
      </c>
      <c r="I38" s="147">
        <f>'from CP sheet'!U32</f>
        <v>0</v>
      </c>
      <c r="J38" s="218">
        <f>'from CP sheet'!V32</f>
        <v>11.24586</v>
      </c>
      <c r="K38" s="217">
        <f>'Processed_Reconciled Prod'!G71*1000</f>
        <v>3.3195159999999997</v>
      </c>
      <c r="L38" s="147">
        <f>'Processed_Reconciled Prod'!K71*1000</f>
        <v>1.178828</v>
      </c>
      <c r="M38" s="147">
        <f>'Processed_Reconciled Prod'!L71*1000</f>
        <v>4.4983439999999995</v>
      </c>
      <c r="N38" s="147">
        <f>'Processed_Reconciled Prod'!P71*1000</f>
        <v>0</v>
      </c>
      <c r="O38" s="147">
        <f>'Processed_Reconciled Prod'!Q71*1000</f>
        <v>4.4983439999999995</v>
      </c>
      <c r="P38" s="147">
        <f>'Processed_Reconciled Prod'!U71*1000</f>
        <v>0</v>
      </c>
      <c r="Q38" s="218">
        <f>'Processed_Reconciled Prod'!V71*1000</f>
        <v>4.4983439999999995</v>
      </c>
      <c r="R38" s="217">
        <f>'Processed_Reconciled Prod'!G71</f>
        <v>3.3195159999999998E-3</v>
      </c>
      <c r="S38" s="147">
        <f>'Processed_Reconciled Prod'!K71</f>
        <v>1.178828E-3</v>
      </c>
      <c r="T38" s="147">
        <f>'Processed_Reconciled Prod'!L71</f>
        <v>4.4983439999999996E-3</v>
      </c>
      <c r="U38" s="147">
        <f>'Processed_Reconciled Prod'!P71</f>
        <v>0</v>
      </c>
      <c r="V38" s="147">
        <f>'Processed_Reconciled Prod'!Q71</f>
        <v>4.4983439999999996E-3</v>
      </c>
      <c r="W38" s="147">
        <f>'Processed_Reconciled Prod'!U71</f>
        <v>0</v>
      </c>
      <c r="X38" s="218">
        <f>'Processed_Reconciled Prod'!V71</f>
        <v>4.4983439999999996E-3</v>
      </c>
      <c r="Z38" s="198"/>
      <c r="AA38" s="198"/>
      <c r="AB38" s="198"/>
      <c r="AC38" s="198"/>
      <c r="AD38" s="198"/>
      <c r="AE38" s="198"/>
      <c r="AF38" s="198"/>
      <c r="AG38" s="199"/>
    </row>
    <row r="39" spans="2:33" ht="15.75">
      <c r="B39" s="201"/>
      <c r="C39" s="209" t="s">
        <v>66</v>
      </c>
      <c r="D39" s="217">
        <f>'from CP sheet'!G33</f>
        <v>0</v>
      </c>
      <c r="E39" s="147">
        <f>'from CP sheet'!K33</f>
        <v>0</v>
      </c>
      <c r="F39" s="147">
        <f>'from CP sheet'!L33</f>
        <v>0</v>
      </c>
      <c r="G39" s="147">
        <f>'from CP sheet'!P33</f>
        <v>0</v>
      </c>
      <c r="H39" s="147">
        <f>'from CP sheet'!Q33</f>
        <v>0</v>
      </c>
      <c r="I39" s="147">
        <f>'from CP sheet'!U33</f>
        <v>0</v>
      </c>
      <c r="J39" s="218">
        <f>'from CP sheet'!V33</f>
        <v>0</v>
      </c>
      <c r="K39" s="217">
        <f>'Processed_Reconciled Prod'!G72*1000</f>
        <v>0</v>
      </c>
      <c r="L39" s="147">
        <f>'Processed_Reconciled Prod'!K72*1000</f>
        <v>0</v>
      </c>
      <c r="M39" s="147">
        <f>'Processed_Reconciled Prod'!L72*1000</f>
        <v>0</v>
      </c>
      <c r="N39" s="147">
        <f>'Processed_Reconciled Prod'!P72*1000</f>
        <v>0</v>
      </c>
      <c r="O39" s="147">
        <f>'Processed_Reconciled Prod'!Q72*1000</f>
        <v>0</v>
      </c>
      <c r="P39" s="147">
        <f>'Processed_Reconciled Prod'!U72*1000</f>
        <v>0</v>
      </c>
      <c r="Q39" s="218">
        <f>'Processed_Reconciled Prod'!V72*1000</f>
        <v>0</v>
      </c>
      <c r="R39" s="217">
        <f>'Processed_Reconciled Prod'!G72</f>
        <v>0</v>
      </c>
      <c r="S39" s="147">
        <f>'Processed_Reconciled Prod'!K72</f>
        <v>0</v>
      </c>
      <c r="T39" s="147">
        <f>'Processed_Reconciled Prod'!L72</f>
        <v>0</v>
      </c>
      <c r="U39" s="147">
        <f>'Processed_Reconciled Prod'!P72</f>
        <v>0</v>
      </c>
      <c r="V39" s="147">
        <f>'Processed_Reconciled Prod'!Q72</f>
        <v>0</v>
      </c>
      <c r="W39" s="147">
        <f>'Processed_Reconciled Prod'!U72</f>
        <v>0</v>
      </c>
      <c r="X39" s="218">
        <f>'Processed_Reconciled Prod'!V72</f>
        <v>0</v>
      </c>
      <c r="Z39" s="198"/>
      <c r="AA39" s="198"/>
      <c r="AB39" s="198"/>
      <c r="AC39" s="198"/>
      <c r="AD39" s="198"/>
      <c r="AE39" s="198"/>
      <c r="AF39" s="198"/>
      <c r="AG39" s="199"/>
    </row>
    <row r="40" spans="2:33" ht="15.75">
      <c r="B40" s="201"/>
      <c r="C40" s="209" t="s">
        <v>67</v>
      </c>
      <c r="D40" s="217">
        <f>'from CP sheet'!G34</f>
        <v>0</v>
      </c>
      <c r="E40" s="147">
        <f>'from CP sheet'!K34</f>
        <v>0</v>
      </c>
      <c r="F40" s="147">
        <f>'from CP sheet'!L34</f>
        <v>0</v>
      </c>
      <c r="G40" s="147">
        <f>'from CP sheet'!P34</f>
        <v>0</v>
      </c>
      <c r="H40" s="147">
        <f>'from CP sheet'!Q34</f>
        <v>0</v>
      </c>
      <c r="I40" s="147">
        <f>'from CP sheet'!U34</f>
        <v>0</v>
      </c>
      <c r="J40" s="218">
        <f>'from CP sheet'!V34</f>
        <v>0</v>
      </c>
      <c r="K40" s="217">
        <f>'Processed_Reconciled Prod'!G73*1000</f>
        <v>0</v>
      </c>
      <c r="L40" s="147">
        <f>'Processed_Reconciled Prod'!K73*1000</f>
        <v>0</v>
      </c>
      <c r="M40" s="147">
        <f>'Processed_Reconciled Prod'!L73*1000</f>
        <v>0</v>
      </c>
      <c r="N40" s="147">
        <f>'Processed_Reconciled Prod'!P73*1000</f>
        <v>0</v>
      </c>
      <c r="O40" s="147">
        <f>'Processed_Reconciled Prod'!Q73*1000</f>
        <v>0</v>
      </c>
      <c r="P40" s="147">
        <f>'Processed_Reconciled Prod'!U73*1000</f>
        <v>0</v>
      </c>
      <c r="Q40" s="218">
        <f>'Processed_Reconciled Prod'!V73*1000</f>
        <v>0</v>
      </c>
      <c r="R40" s="217">
        <f>'Processed_Reconciled Prod'!G73</f>
        <v>0</v>
      </c>
      <c r="S40" s="147">
        <f>'Processed_Reconciled Prod'!K73</f>
        <v>0</v>
      </c>
      <c r="T40" s="147">
        <f>'Processed_Reconciled Prod'!L73</f>
        <v>0</v>
      </c>
      <c r="U40" s="147">
        <f>'Processed_Reconciled Prod'!P73</f>
        <v>0</v>
      </c>
      <c r="V40" s="147">
        <f>'Processed_Reconciled Prod'!Q73</f>
        <v>0</v>
      </c>
      <c r="W40" s="147">
        <f>'Processed_Reconciled Prod'!U73</f>
        <v>0</v>
      </c>
      <c r="X40" s="218">
        <f>'Processed_Reconciled Prod'!V73</f>
        <v>0</v>
      </c>
      <c r="Z40" s="198"/>
      <c r="AA40" s="198"/>
      <c r="AB40" s="198"/>
      <c r="AC40" s="198"/>
      <c r="AD40" s="198"/>
      <c r="AE40" s="198"/>
      <c r="AF40" s="198"/>
      <c r="AG40" s="199"/>
    </row>
    <row r="41" spans="2:33" ht="15.75">
      <c r="B41" s="201"/>
      <c r="C41" s="209" t="s">
        <v>68</v>
      </c>
      <c r="D41" s="217">
        <f>'from CP sheet'!G35</f>
        <v>0</v>
      </c>
      <c r="E41" s="147">
        <f>'from CP sheet'!K35</f>
        <v>0</v>
      </c>
      <c r="F41" s="147">
        <f>'from CP sheet'!L35</f>
        <v>0</v>
      </c>
      <c r="G41" s="147">
        <f>'from CP sheet'!P35</f>
        <v>0</v>
      </c>
      <c r="H41" s="147">
        <f>'from CP sheet'!Q35</f>
        <v>0</v>
      </c>
      <c r="I41" s="147">
        <f>'from CP sheet'!U35</f>
        <v>0</v>
      </c>
      <c r="J41" s="218">
        <f>'from CP sheet'!V35</f>
        <v>0</v>
      </c>
      <c r="K41" s="217">
        <f>'Processed_Reconciled Prod'!G74*1000</f>
        <v>0</v>
      </c>
      <c r="L41" s="147">
        <f>'Processed_Reconciled Prod'!K74*1000</f>
        <v>0</v>
      </c>
      <c r="M41" s="147">
        <f>'Processed_Reconciled Prod'!L74*1000</f>
        <v>0</v>
      </c>
      <c r="N41" s="147">
        <f>'Processed_Reconciled Prod'!P74*1000</f>
        <v>0</v>
      </c>
      <c r="O41" s="147">
        <f>'Processed_Reconciled Prod'!Q74*1000</f>
        <v>0</v>
      </c>
      <c r="P41" s="147">
        <f>'Processed_Reconciled Prod'!U74*1000</f>
        <v>0</v>
      </c>
      <c r="Q41" s="218">
        <f>'Processed_Reconciled Prod'!V74*1000</f>
        <v>0</v>
      </c>
      <c r="R41" s="217">
        <f>'Processed_Reconciled Prod'!G74</f>
        <v>0</v>
      </c>
      <c r="S41" s="147">
        <f>'Processed_Reconciled Prod'!K74</f>
        <v>0</v>
      </c>
      <c r="T41" s="147">
        <f>'Processed_Reconciled Prod'!L74</f>
        <v>0</v>
      </c>
      <c r="U41" s="147">
        <f>'Processed_Reconciled Prod'!P74</f>
        <v>0</v>
      </c>
      <c r="V41" s="147">
        <f>'Processed_Reconciled Prod'!Q74</f>
        <v>0</v>
      </c>
      <c r="W41" s="147">
        <f>'Processed_Reconciled Prod'!U74</f>
        <v>0</v>
      </c>
      <c r="X41" s="218">
        <f>'Processed_Reconciled Prod'!V74</f>
        <v>0</v>
      </c>
      <c r="Z41" s="198"/>
      <c r="AA41" s="198"/>
      <c r="AB41" s="198"/>
      <c r="AC41" s="198"/>
      <c r="AD41" s="198"/>
      <c r="AE41" s="198"/>
      <c r="AF41" s="198"/>
      <c r="AG41" s="199"/>
    </row>
    <row r="42" spans="2:33" ht="15.75">
      <c r="B42" s="201"/>
      <c r="C42" s="209" t="s">
        <v>69</v>
      </c>
      <c r="D42" s="217">
        <f>'from CP sheet'!G36</f>
        <v>0</v>
      </c>
      <c r="E42" s="147">
        <f>'from CP sheet'!K36</f>
        <v>0</v>
      </c>
      <c r="F42" s="147">
        <f>'from CP sheet'!L36</f>
        <v>0</v>
      </c>
      <c r="G42" s="147">
        <f>'from CP sheet'!P36</f>
        <v>0</v>
      </c>
      <c r="H42" s="147">
        <f>'from CP sheet'!Q36</f>
        <v>0</v>
      </c>
      <c r="I42" s="147">
        <f>'from CP sheet'!U36</f>
        <v>0</v>
      </c>
      <c r="J42" s="218">
        <f>'from CP sheet'!V36</f>
        <v>0</v>
      </c>
      <c r="K42" s="217">
        <f>'Processed_Reconciled Prod'!G75*1000</f>
        <v>0</v>
      </c>
      <c r="L42" s="147">
        <f>'Processed_Reconciled Prod'!K75*1000</f>
        <v>0</v>
      </c>
      <c r="M42" s="147">
        <f>'Processed_Reconciled Prod'!L75*1000</f>
        <v>0</v>
      </c>
      <c r="N42" s="147">
        <f>'Processed_Reconciled Prod'!P75*1000</f>
        <v>0</v>
      </c>
      <c r="O42" s="147">
        <f>'Processed_Reconciled Prod'!Q75*1000</f>
        <v>0</v>
      </c>
      <c r="P42" s="147">
        <f>'Processed_Reconciled Prod'!U75*1000</f>
        <v>0</v>
      </c>
      <c r="Q42" s="218">
        <f>'Processed_Reconciled Prod'!V75*1000</f>
        <v>0</v>
      </c>
      <c r="R42" s="217">
        <f>'Processed_Reconciled Prod'!G75</f>
        <v>0</v>
      </c>
      <c r="S42" s="147">
        <f>'Processed_Reconciled Prod'!K75</f>
        <v>0</v>
      </c>
      <c r="T42" s="147">
        <f>'Processed_Reconciled Prod'!L75</f>
        <v>0</v>
      </c>
      <c r="U42" s="147">
        <f>'Processed_Reconciled Prod'!P75</f>
        <v>0</v>
      </c>
      <c r="V42" s="147">
        <f>'Processed_Reconciled Prod'!Q75</f>
        <v>0</v>
      </c>
      <c r="W42" s="147">
        <f>'Processed_Reconciled Prod'!U75</f>
        <v>0</v>
      </c>
      <c r="X42" s="218">
        <f>'Processed_Reconciled Prod'!V75</f>
        <v>0</v>
      </c>
      <c r="Z42" s="198"/>
      <c r="AA42" s="198"/>
      <c r="AB42" s="198"/>
      <c r="AC42" s="198"/>
      <c r="AD42" s="198"/>
      <c r="AE42" s="198"/>
      <c r="AF42" s="198"/>
      <c r="AG42" s="199"/>
    </row>
    <row r="43" spans="2:33" ht="15.75">
      <c r="B43" s="201"/>
      <c r="C43" s="209" t="s">
        <v>70</v>
      </c>
      <c r="D43" s="217">
        <f>'from CP sheet'!G37</f>
        <v>1255.8510900000001</v>
      </c>
      <c r="E43" s="147">
        <f>'from CP sheet'!K37</f>
        <v>440.76175999999998</v>
      </c>
      <c r="F43" s="147">
        <f>'from CP sheet'!L37</f>
        <v>1696.61285</v>
      </c>
      <c r="G43" s="147">
        <f>'from CP sheet'!P37</f>
        <v>0</v>
      </c>
      <c r="H43" s="147">
        <f>'from CP sheet'!Q37</f>
        <v>1696.61285</v>
      </c>
      <c r="I43" s="147">
        <f>'from CP sheet'!U37</f>
        <v>0</v>
      </c>
      <c r="J43" s="218">
        <f>'from CP sheet'!V37</f>
        <v>1696.61285</v>
      </c>
      <c r="K43" s="217">
        <f>'Processed_Reconciled Prod'!G76*1000</f>
        <v>213.49468530000004</v>
      </c>
      <c r="L43" s="147">
        <f>'Processed_Reconciled Prod'!K76*1000</f>
        <v>74.929499199999995</v>
      </c>
      <c r="M43" s="147">
        <f>'Processed_Reconciled Prod'!L76*1000</f>
        <v>288.42418450000008</v>
      </c>
      <c r="N43" s="147">
        <f>'Processed_Reconciled Prod'!P76*1000</f>
        <v>0</v>
      </c>
      <c r="O43" s="147">
        <f>'Processed_Reconciled Prod'!Q76*1000</f>
        <v>288.42418450000008</v>
      </c>
      <c r="P43" s="147">
        <f>'Processed_Reconciled Prod'!U76*1000</f>
        <v>0</v>
      </c>
      <c r="Q43" s="218">
        <f>'Processed_Reconciled Prod'!V76*1000</f>
        <v>288.42418450000008</v>
      </c>
      <c r="R43" s="217">
        <f>'Processed_Reconciled Prod'!G76</f>
        <v>0.21349468530000004</v>
      </c>
      <c r="S43" s="147">
        <f>'Processed_Reconciled Prod'!K76</f>
        <v>7.4929499199999999E-2</v>
      </c>
      <c r="T43" s="147">
        <f>'Processed_Reconciled Prod'!L76</f>
        <v>0.28842418450000007</v>
      </c>
      <c r="U43" s="147">
        <f>'Processed_Reconciled Prod'!P76</f>
        <v>0</v>
      </c>
      <c r="V43" s="147">
        <f>'Processed_Reconciled Prod'!Q76</f>
        <v>0.28842418450000007</v>
      </c>
      <c r="W43" s="147">
        <f>'Processed_Reconciled Prod'!U76</f>
        <v>0</v>
      </c>
      <c r="X43" s="218">
        <f>'Processed_Reconciled Prod'!V76</f>
        <v>0.28842418450000007</v>
      </c>
      <c r="Z43" s="198"/>
      <c r="AA43" s="198"/>
      <c r="AB43" s="198"/>
      <c r="AC43" s="198"/>
      <c r="AD43" s="198"/>
      <c r="AE43" s="198"/>
      <c r="AF43" s="198"/>
      <c r="AG43" s="199"/>
    </row>
    <row r="44" spans="2:33" ht="16.5" thickBot="1">
      <c r="C44" s="223" t="s">
        <v>92</v>
      </c>
      <c r="D44" s="226">
        <f>SUM(D30:D43)</f>
        <v>4266.0753800000002</v>
      </c>
      <c r="E44" s="227">
        <f t="shared" ref="E44:X44" si="2">SUM(E30:E43)</f>
        <v>1228.54621</v>
      </c>
      <c r="F44" s="227">
        <f t="shared" si="2"/>
        <v>5494.6215899999997</v>
      </c>
      <c r="G44" s="227">
        <f t="shared" si="2"/>
        <v>0</v>
      </c>
      <c r="H44" s="227">
        <f t="shared" si="2"/>
        <v>5494.6215899999997</v>
      </c>
      <c r="I44" s="227">
        <f t="shared" si="2"/>
        <v>0</v>
      </c>
      <c r="J44" s="228">
        <f t="shared" si="2"/>
        <v>5494.6215899999997</v>
      </c>
      <c r="K44" s="226">
        <f t="shared" si="2"/>
        <v>680.25741593250007</v>
      </c>
      <c r="L44" s="227">
        <f t="shared" si="2"/>
        <v>212.27027598000001</v>
      </c>
      <c r="M44" s="227">
        <f t="shared" si="2"/>
        <v>892.52769191250013</v>
      </c>
      <c r="N44" s="227">
        <f t="shared" si="2"/>
        <v>0</v>
      </c>
      <c r="O44" s="227">
        <f t="shared" si="2"/>
        <v>892.52769191250013</v>
      </c>
      <c r="P44" s="227">
        <f t="shared" si="2"/>
        <v>0</v>
      </c>
      <c r="Q44" s="228">
        <f t="shared" si="2"/>
        <v>892.52769191250013</v>
      </c>
      <c r="R44" s="219">
        <f t="shared" si="2"/>
        <v>0.68025741593250011</v>
      </c>
      <c r="S44" s="220">
        <f t="shared" si="2"/>
        <v>0.21227027598000003</v>
      </c>
      <c r="T44" s="220">
        <f t="shared" si="2"/>
        <v>0.89252769191250036</v>
      </c>
      <c r="U44" s="220">
        <f t="shared" si="2"/>
        <v>0</v>
      </c>
      <c r="V44" s="220">
        <f t="shared" si="2"/>
        <v>0.89252769191250036</v>
      </c>
      <c r="W44" s="220">
        <f t="shared" si="2"/>
        <v>0</v>
      </c>
      <c r="X44" s="221">
        <f t="shared" si="2"/>
        <v>0.89252769191250036</v>
      </c>
    </row>
    <row r="50" spans="4:7" ht="31.5" customHeight="1">
      <c r="D50" s="229" t="s">
        <v>109</v>
      </c>
      <c r="E50" s="230" t="s">
        <v>90</v>
      </c>
      <c r="F50" s="230" t="s">
        <v>91</v>
      </c>
      <c r="G50" s="230" t="s">
        <v>108</v>
      </c>
    </row>
    <row r="51" spans="4:7" ht="15.75">
      <c r="D51" s="230" t="s">
        <v>82</v>
      </c>
      <c r="E51" s="147">
        <f>Y22</f>
        <v>1.7972719242400004</v>
      </c>
      <c r="F51" s="147">
        <f>R44</f>
        <v>0.68025741593250011</v>
      </c>
      <c r="G51" s="147">
        <f>E51+F51</f>
        <v>2.4775293401725005</v>
      </c>
    </row>
    <row r="52" spans="4:7" ht="15.75">
      <c r="D52" s="230" t="s">
        <v>83</v>
      </c>
      <c r="E52" s="147">
        <f>Z22</f>
        <v>0.6209628452</v>
      </c>
      <c r="F52" s="147">
        <f>S44</f>
        <v>0.21227027598000003</v>
      </c>
      <c r="G52" s="147">
        <f t="shared" ref="G52:G57" si="3">E52+F52</f>
        <v>0.83323312118000004</v>
      </c>
    </row>
    <row r="53" spans="4:7" ht="15.75">
      <c r="D53" s="230" t="s">
        <v>39</v>
      </c>
      <c r="E53" s="147">
        <f>AA22</f>
        <v>2.4182347694400002</v>
      </c>
      <c r="F53" s="147">
        <f>T44</f>
        <v>0.89252769191250036</v>
      </c>
      <c r="G53" s="147">
        <f t="shared" si="3"/>
        <v>3.3107624613525006</v>
      </c>
    </row>
    <row r="54" spans="4:7" ht="15.75">
      <c r="D54" s="230" t="s">
        <v>84</v>
      </c>
      <c r="E54" s="147">
        <f>AB22</f>
        <v>0</v>
      </c>
      <c r="F54" s="147">
        <f>U44</f>
        <v>0</v>
      </c>
      <c r="G54" s="147">
        <f t="shared" si="3"/>
        <v>0</v>
      </c>
    </row>
    <row r="55" spans="4:7" ht="15.75">
      <c r="D55" s="230" t="s">
        <v>85</v>
      </c>
      <c r="E55" s="147">
        <f>AC22</f>
        <v>2.4182347694400002</v>
      </c>
      <c r="F55" s="147">
        <f>V44</f>
        <v>0.89252769191250036</v>
      </c>
      <c r="G55" s="147">
        <f t="shared" si="3"/>
        <v>3.3107624613525006</v>
      </c>
    </row>
    <row r="56" spans="4:7" ht="15.75">
      <c r="D56" s="230" t="s">
        <v>86</v>
      </c>
      <c r="E56" s="147">
        <f>AD22</f>
        <v>0</v>
      </c>
      <c r="F56" s="147">
        <f>W44</f>
        <v>0</v>
      </c>
      <c r="G56" s="147">
        <f t="shared" si="3"/>
        <v>0</v>
      </c>
    </row>
    <row r="57" spans="4:7" ht="15.75">
      <c r="D57" s="230" t="s">
        <v>87</v>
      </c>
      <c r="E57" s="147">
        <f>AE22</f>
        <v>2.4182347694400002</v>
      </c>
      <c r="F57" s="147">
        <f>X44</f>
        <v>0.89252769191250036</v>
      </c>
      <c r="G57" s="147">
        <f t="shared" si="3"/>
        <v>3.3107624613525006</v>
      </c>
    </row>
    <row r="61" spans="4:7">
      <c r="F61" t="s">
        <v>1441</v>
      </c>
    </row>
  </sheetData>
  <sheetProtection algorithmName="SHA-512" hashValue="r3x/fqSho+NZ+NHQLi9xGDTNfruXWmhMogpgHY6nmyfETAjJ1dy08iL9tyJkComzj+5UL2CgLe7M27JTWTo2SA==" saltValue="OWTJcD9TMchuqsaho8cUSw==" spinCount="100000" sheet="1" objects="1" scenarios="1"/>
  <mergeCells count="7">
    <mergeCell ref="D6:J6"/>
    <mergeCell ref="K6:Q6"/>
    <mergeCell ref="R6:X6"/>
    <mergeCell ref="Y6:AE6"/>
    <mergeCell ref="D28:J28"/>
    <mergeCell ref="K28:Q28"/>
    <mergeCell ref="R28:X28"/>
  </mergeCells>
  <pageMargins left="0.7" right="0.7" top="0.75" bottom="0.75" header="0.3" footer="0.3"/>
  <pageSetup paperSize="8" scale="52"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9809" r:id="rId4" name="Button 1">
              <controlPr defaultSize="0" print="0" autoFill="0" autoPict="0" macro="[0]!EXPORT_ACTIVE_SHEET">
                <anchor moveWithCells="1" sizeWithCells="1">
                  <from>
                    <xdr:col>31</xdr:col>
                    <xdr:colOff>504825</xdr:colOff>
                    <xdr:row>25</xdr:row>
                    <xdr:rowOff>123825</xdr:rowOff>
                  </from>
                  <to>
                    <xdr:col>34</xdr:col>
                    <xdr:colOff>428625</xdr:colOff>
                    <xdr:row>29</xdr:row>
                    <xdr:rowOff>28575</xdr:rowOff>
                  </to>
                </anchor>
              </controlPr>
            </control>
          </mc:Choice>
        </mc:AlternateContent>
        <mc:AlternateContent xmlns:mc="http://schemas.openxmlformats.org/markup-compatibility/2006">
          <mc:Choice Requires="x14">
            <control shapeId="119810" r:id="rId5" name="Button 2">
              <controlPr defaultSize="0" print="0" autoFill="0" autoPict="0" macro="[0]!Back_to_Dashboard">
                <anchor moveWithCells="1" sizeWithCells="1">
                  <from>
                    <xdr:col>31</xdr:col>
                    <xdr:colOff>504825</xdr:colOff>
                    <xdr:row>31</xdr:row>
                    <xdr:rowOff>38100</xdr:rowOff>
                  </from>
                  <to>
                    <xdr:col>34</xdr:col>
                    <xdr:colOff>457200</xdr:colOff>
                    <xdr:row>35</xdr:row>
                    <xdr:rowOff>161925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7030A0"/>
  </sheetPr>
  <dimension ref="A1:W33"/>
  <sheetViews>
    <sheetView workbookViewId="0">
      <selection activeCell="AE19" sqref="AE19"/>
    </sheetView>
  </sheetViews>
  <sheetFormatPr defaultColWidth="8.85546875" defaultRowHeight="15"/>
  <cols>
    <col min="3" max="3" width="11.42578125" customWidth="1"/>
    <col min="4" max="4" width="18.42578125" customWidth="1"/>
    <col min="5" max="5" width="11.140625" customWidth="1"/>
    <col min="6" max="6" width="15.42578125" customWidth="1"/>
    <col min="7" max="7" width="13.85546875" bestFit="1" customWidth="1"/>
    <col min="8" max="8" width="12.42578125" customWidth="1"/>
    <col min="10" max="10" width="11.42578125" bestFit="1" customWidth="1"/>
    <col min="11" max="11" width="10.42578125" customWidth="1"/>
    <col min="12" max="20" width="0" hidden="1" customWidth="1"/>
    <col min="21" max="21" width="19.42578125" hidden="1" customWidth="1"/>
    <col min="22" max="22" width="18" hidden="1" customWidth="1"/>
    <col min="23" max="23" width="16.42578125" hidden="1" customWidth="1"/>
  </cols>
  <sheetData>
    <row r="1" spans="1:23" ht="23.25">
      <c r="A1" s="483">
        <v>2025</v>
      </c>
      <c r="B1" s="484"/>
      <c r="C1" s="484"/>
      <c r="D1" s="1134" t="s">
        <v>57</v>
      </c>
      <c r="E1" s="1134"/>
      <c r="F1" s="1134"/>
      <c r="G1" s="1134"/>
      <c r="H1" s="485" t="str">
        <f>interFY_transition!D17</f>
        <v>2026-27</v>
      </c>
      <c r="I1" s="484" t="s">
        <v>864</v>
      </c>
      <c r="J1" s="484"/>
      <c r="K1" s="484"/>
      <c r="L1" s="484"/>
      <c r="M1" s="484"/>
      <c r="N1" s="484"/>
      <c r="O1" s="484"/>
      <c r="P1" s="484"/>
      <c r="Q1" s="175"/>
      <c r="R1" s="175"/>
      <c r="S1" s="175"/>
      <c r="T1" s="175"/>
      <c r="U1" s="175"/>
      <c r="V1" s="1"/>
      <c r="W1" s="2"/>
    </row>
    <row r="2" spans="1:23" ht="15.75">
      <c r="A2" s="6"/>
      <c r="B2" s="5"/>
      <c r="C2" s="7"/>
      <c r="D2" s="4"/>
      <c r="E2" s="8"/>
      <c r="F2" s="8"/>
      <c r="G2" s="8"/>
      <c r="H2" s="5"/>
      <c r="I2" s="4"/>
      <c r="J2" s="4"/>
      <c r="K2" s="4"/>
      <c r="L2" s="4"/>
      <c r="M2" s="4"/>
      <c r="N2" s="4"/>
      <c r="O2" s="4"/>
      <c r="P2" s="4"/>
      <c r="Q2" s="4"/>
      <c r="R2" s="4"/>
      <c r="S2" s="4"/>
      <c r="T2" s="4"/>
      <c r="U2" s="4"/>
      <c r="V2" s="9"/>
      <c r="W2" s="10"/>
    </row>
    <row r="3" spans="1:23" ht="63">
      <c r="A3" s="1125" t="s">
        <v>0</v>
      </c>
      <c r="B3" s="1125"/>
      <c r="C3" s="1126" t="s">
        <v>1</v>
      </c>
      <c r="D3" s="1126"/>
      <c r="E3" s="1126"/>
      <c r="F3" s="1126"/>
      <c r="G3" s="1126"/>
      <c r="H3" s="1127" t="s">
        <v>2</v>
      </c>
      <c r="I3" s="1127"/>
      <c r="J3" s="1127"/>
      <c r="K3" s="176" t="s">
        <v>3</v>
      </c>
      <c r="L3" s="1128" t="s">
        <v>4</v>
      </c>
      <c r="M3" s="1129"/>
      <c r="N3" s="1130"/>
      <c r="O3" s="1122" t="s">
        <v>5</v>
      </c>
      <c r="P3" s="1122"/>
      <c r="Q3" s="1122"/>
      <c r="R3" s="176" t="s">
        <v>6</v>
      </c>
      <c r="S3" s="1135" t="s">
        <v>7</v>
      </c>
      <c r="T3" s="1136"/>
      <c r="U3" s="1137" t="s">
        <v>8</v>
      </c>
      <c r="V3" s="1138" t="s">
        <v>9</v>
      </c>
      <c r="W3" s="1120" t="s">
        <v>10</v>
      </c>
    </row>
    <row r="4" spans="1:23" ht="44.25" customHeight="1">
      <c r="A4" s="11"/>
      <c r="B4" s="12" t="s">
        <v>11</v>
      </c>
      <c r="C4" s="13" t="s">
        <v>12</v>
      </c>
      <c r="D4" s="14" t="s">
        <v>13</v>
      </c>
      <c r="E4" s="13" t="s">
        <v>14</v>
      </c>
      <c r="F4" s="13" t="s">
        <v>15</v>
      </c>
      <c r="G4" s="174" t="s">
        <v>16</v>
      </c>
      <c r="H4" s="174" t="s">
        <v>17</v>
      </c>
      <c r="I4" s="13" t="s">
        <v>18</v>
      </c>
      <c r="J4" s="1071" t="s">
        <v>19</v>
      </c>
      <c r="K4" s="1072" t="s">
        <v>20</v>
      </c>
      <c r="L4" s="174" t="s">
        <v>21</v>
      </c>
      <c r="M4" s="174" t="s">
        <v>22</v>
      </c>
      <c r="N4" s="174" t="s">
        <v>23</v>
      </c>
      <c r="O4" s="174" t="s">
        <v>24</v>
      </c>
      <c r="P4" s="174" t="s">
        <v>25</v>
      </c>
      <c r="Q4" s="174" t="s">
        <v>26</v>
      </c>
      <c r="R4" s="174" t="s">
        <v>27</v>
      </c>
      <c r="S4" s="174" t="s">
        <v>28</v>
      </c>
      <c r="T4" s="174" t="s">
        <v>29</v>
      </c>
      <c r="U4" s="1137"/>
      <c r="V4" s="1138"/>
      <c r="W4" s="1121"/>
    </row>
    <row r="5" spans="1:23" ht="15" customHeight="1">
      <c r="A5" s="15" t="s">
        <v>30</v>
      </c>
      <c r="B5" s="1055">
        <v>30</v>
      </c>
      <c r="C5" s="1056">
        <v>7.4400000039506997</v>
      </c>
      <c r="D5" s="1057">
        <v>9657499</v>
      </c>
      <c r="E5" s="1057">
        <v>321.91663333999998</v>
      </c>
      <c r="F5" s="1058">
        <v>282481.84574999998</v>
      </c>
      <c r="G5" s="1058">
        <v>37967.99</v>
      </c>
      <c r="H5" s="1058">
        <v>433.12795</v>
      </c>
      <c r="I5" s="1058">
        <v>14.4376</v>
      </c>
      <c r="J5" s="1055">
        <v>12.668979999999999</v>
      </c>
      <c r="K5" s="1055">
        <v>5.0636970000000003E-2</v>
      </c>
      <c r="L5" s="17">
        <v>3</v>
      </c>
      <c r="M5" s="17"/>
      <c r="N5" s="17"/>
      <c r="O5" s="17"/>
      <c r="P5" s="17"/>
      <c r="Q5" s="17"/>
      <c r="R5" s="18">
        <v>26</v>
      </c>
      <c r="S5" s="18">
        <v>535</v>
      </c>
      <c r="T5" s="18">
        <v>417</v>
      </c>
      <c r="U5" s="18" t="s">
        <v>31</v>
      </c>
      <c r="V5" s="19"/>
      <c r="W5" s="20" t="s">
        <v>405</v>
      </c>
    </row>
    <row r="6" spans="1:23" ht="15" customHeight="1">
      <c r="A6" s="21" t="s">
        <v>32</v>
      </c>
      <c r="B6" s="1055">
        <v>31</v>
      </c>
      <c r="C6" s="1056">
        <v>7.4501558942439203</v>
      </c>
      <c r="D6" s="1057">
        <v>9870157.9999899995</v>
      </c>
      <c r="E6" s="1057">
        <v>318.39219353999999</v>
      </c>
      <c r="F6" s="1058">
        <v>288702.12147000001</v>
      </c>
      <c r="G6" s="1058">
        <v>38751.151729999998</v>
      </c>
      <c r="H6" s="1058">
        <v>428.29297000000003</v>
      </c>
      <c r="I6" s="1058">
        <v>13.815910000000001</v>
      </c>
      <c r="J6" s="1055">
        <v>12.527620000000001</v>
      </c>
      <c r="K6" s="1055">
        <v>5.1278771729999999E-2</v>
      </c>
      <c r="L6" s="17">
        <v>1</v>
      </c>
      <c r="M6" s="17"/>
      <c r="N6" s="17"/>
      <c r="O6" s="17"/>
      <c r="P6" s="17"/>
      <c r="Q6" s="17"/>
      <c r="R6" s="18">
        <v>25</v>
      </c>
      <c r="S6" s="18">
        <v>583</v>
      </c>
      <c r="T6" s="18">
        <v>445</v>
      </c>
      <c r="U6" s="18" t="s">
        <v>31</v>
      </c>
      <c r="V6" s="19"/>
      <c r="W6" s="20" t="s">
        <v>443</v>
      </c>
    </row>
    <row r="7" spans="1:23" ht="15" customHeight="1">
      <c r="A7" s="21" t="s">
        <v>33</v>
      </c>
      <c r="B7" s="1055">
        <v>30</v>
      </c>
      <c r="C7" s="1056">
        <v>7.4200000733984499</v>
      </c>
      <c r="D7" s="1057">
        <v>9677879.0000500008</v>
      </c>
      <c r="E7" s="1057">
        <v>322.59596667</v>
      </c>
      <c r="F7" s="1058">
        <v>283077.96077000001</v>
      </c>
      <c r="G7" s="1058">
        <v>38150.668189999997</v>
      </c>
      <c r="H7" s="1058">
        <v>378.71197000000001</v>
      </c>
      <c r="I7" s="1058">
        <v>12.62372</v>
      </c>
      <c r="J7" s="1055">
        <v>11.07734</v>
      </c>
      <c r="K7" s="1055">
        <v>4.9228008189999999E-2</v>
      </c>
      <c r="L7" s="17">
        <v>1</v>
      </c>
      <c r="M7" s="17"/>
      <c r="N7" s="17"/>
      <c r="O7" s="17"/>
      <c r="P7" s="17"/>
      <c r="Q7" s="17"/>
      <c r="R7" s="18">
        <v>27</v>
      </c>
      <c r="S7" s="18">
        <v>612</v>
      </c>
      <c r="T7" s="18">
        <v>364</v>
      </c>
      <c r="U7" s="18" t="s">
        <v>31</v>
      </c>
      <c r="V7" s="19" t="s">
        <v>506</v>
      </c>
      <c r="W7" s="20" t="s">
        <v>507</v>
      </c>
    </row>
    <row r="8" spans="1:23" ht="15" customHeight="1">
      <c r="A8" s="22" t="s">
        <v>34</v>
      </c>
      <c r="B8" s="1059">
        <v>91</v>
      </c>
      <c r="C8" s="1060">
        <v>7.4367836821958901</v>
      </c>
      <c r="D8" s="1061">
        <v>29205536.000039998</v>
      </c>
      <c r="E8" s="1061">
        <v>320.93995608</v>
      </c>
      <c r="F8" s="1062">
        <v>854261.92799</v>
      </c>
      <c r="G8" s="1062">
        <v>114869.80992</v>
      </c>
      <c r="H8" s="1062">
        <v>1240.1328900000001</v>
      </c>
      <c r="I8" s="1062">
        <v>13.62785</v>
      </c>
      <c r="J8" s="1059">
        <v>36.273940000000003</v>
      </c>
      <c r="K8" s="1059">
        <v>0.15114374991999999</v>
      </c>
      <c r="L8" s="24">
        <v>5</v>
      </c>
      <c r="M8" s="24">
        <v>0</v>
      </c>
      <c r="N8" s="24">
        <v>0</v>
      </c>
      <c r="O8" s="24">
        <v>0</v>
      </c>
      <c r="P8" s="24">
        <v>0</v>
      </c>
      <c r="Q8" s="24">
        <v>0</v>
      </c>
      <c r="R8" s="25"/>
      <c r="S8" s="25"/>
      <c r="T8" s="25"/>
      <c r="U8" s="25"/>
      <c r="V8" s="26"/>
      <c r="W8" s="27"/>
    </row>
    <row r="9" spans="1:23" ht="15" customHeight="1">
      <c r="A9" s="21" t="s">
        <v>35</v>
      </c>
      <c r="B9" s="1055">
        <v>31</v>
      </c>
      <c r="C9" s="1056">
        <v>7.41999447907651</v>
      </c>
      <c r="D9" s="1057">
        <v>10025012.000089999</v>
      </c>
      <c r="E9" s="1057">
        <v>323.38748385999997</v>
      </c>
      <c r="F9" s="1058">
        <v>293231.60102</v>
      </c>
      <c r="G9" s="1058">
        <v>39519.113100000002</v>
      </c>
      <c r="H9" s="1058">
        <v>256.18295999999998</v>
      </c>
      <c r="I9" s="1058">
        <v>8.2639600000000009</v>
      </c>
      <c r="J9" s="1055">
        <v>7.4933699999999996</v>
      </c>
      <c r="K9" s="1055">
        <v>4.7012483100000002E-2</v>
      </c>
      <c r="L9" s="17"/>
      <c r="M9" s="17"/>
      <c r="N9" s="17"/>
      <c r="O9" s="17"/>
      <c r="P9" s="17"/>
      <c r="Q9" s="17"/>
      <c r="R9" s="28"/>
      <c r="S9" s="28"/>
      <c r="T9" s="28"/>
      <c r="U9" s="18"/>
      <c r="V9" s="29"/>
      <c r="W9" s="20"/>
    </row>
    <row r="10" spans="1:23" ht="15" customHeight="1">
      <c r="A10" s="21" t="s">
        <v>36</v>
      </c>
      <c r="B10" s="1055">
        <v>31</v>
      </c>
      <c r="C10" s="1056"/>
      <c r="D10" s="1057">
        <v>0</v>
      </c>
      <c r="E10" s="1057">
        <v>0</v>
      </c>
      <c r="F10" s="1058">
        <v>0</v>
      </c>
      <c r="G10" s="1058">
        <v>0</v>
      </c>
      <c r="H10" s="1058">
        <v>0</v>
      </c>
      <c r="I10" s="1058">
        <v>0</v>
      </c>
      <c r="J10" s="1055">
        <v>0</v>
      </c>
      <c r="K10" s="1055">
        <v>0</v>
      </c>
      <c r="L10" s="17"/>
      <c r="M10" s="17"/>
      <c r="N10" s="17"/>
      <c r="O10" s="17"/>
      <c r="P10" s="17"/>
      <c r="Q10" s="17"/>
      <c r="R10" s="28"/>
      <c r="S10" s="28"/>
      <c r="T10" s="28"/>
      <c r="U10" s="18"/>
      <c r="V10" s="29"/>
      <c r="W10" s="20"/>
    </row>
    <row r="11" spans="1:23" ht="15" customHeight="1">
      <c r="A11" s="21" t="s">
        <v>37</v>
      </c>
      <c r="B11" s="1055">
        <v>30</v>
      </c>
      <c r="C11" s="1056"/>
      <c r="D11" s="1057">
        <v>0</v>
      </c>
      <c r="E11" s="1057">
        <v>0</v>
      </c>
      <c r="F11" s="1058">
        <v>0</v>
      </c>
      <c r="G11" s="1058">
        <v>0</v>
      </c>
      <c r="H11" s="1058">
        <v>0</v>
      </c>
      <c r="I11" s="1058">
        <v>0</v>
      </c>
      <c r="J11" s="1055">
        <v>0</v>
      </c>
      <c r="K11" s="1055">
        <v>0</v>
      </c>
      <c r="L11" s="30"/>
      <c r="M11" s="30"/>
      <c r="N11" s="30"/>
      <c r="O11" s="30"/>
      <c r="P11" s="30"/>
      <c r="Q11" s="30"/>
      <c r="R11" s="31"/>
      <c r="S11" s="31"/>
      <c r="T11" s="31"/>
      <c r="U11" s="31"/>
      <c r="V11" s="32"/>
      <c r="W11" s="33"/>
    </row>
    <row r="12" spans="1:23" ht="15" customHeight="1">
      <c r="A12" s="22" t="s">
        <v>38</v>
      </c>
      <c r="B12" s="1059">
        <v>92</v>
      </c>
      <c r="C12" s="1060">
        <v>7.41999447907651</v>
      </c>
      <c r="D12" s="1061">
        <v>10025012.000089999</v>
      </c>
      <c r="E12" s="1061">
        <v>108.96752174</v>
      </c>
      <c r="F12" s="1062">
        <v>293231.60102</v>
      </c>
      <c r="G12" s="1062">
        <v>39519.113100000002</v>
      </c>
      <c r="H12" s="1062">
        <v>256.18295999999998</v>
      </c>
      <c r="I12" s="1062">
        <v>2.7845900000000001</v>
      </c>
      <c r="J12" s="1059">
        <v>7.4933699999999996</v>
      </c>
      <c r="K12" s="1059">
        <v>4.7012483100000002E-2</v>
      </c>
      <c r="L12" s="24">
        <v>0</v>
      </c>
      <c r="M12" s="24">
        <v>0</v>
      </c>
      <c r="N12" s="24">
        <v>0</v>
      </c>
      <c r="O12" s="24">
        <v>0</v>
      </c>
      <c r="P12" s="24">
        <v>0</v>
      </c>
      <c r="Q12" s="24">
        <v>0</v>
      </c>
      <c r="R12" s="25"/>
      <c r="S12" s="25"/>
      <c r="T12" s="25"/>
      <c r="U12" s="25"/>
      <c r="V12" s="26"/>
      <c r="W12" s="27"/>
    </row>
    <row r="13" spans="1:23" ht="15" customHeight="1">
      <c r="A13" s="34" t="s">
        <v>39</v>
      </c>
      <c r="B13" s="1063">
        <v>183</v>
      </c>
      <c r="C13" s="1064">
        <v>7.4324861302475096</v>
      </c>
      <c r="D13" s="1065">
        <v>39230548.000129998</v>
      </c>
      <c r="E13" s="1065">
        <v>214.37457924</v>
      </c>
      <c r="F13" s="1066">
        <v>1147493.5290099999</v>
      </c>
      <c r="G13" s="1066">
        <v>154388.92301999999</v>
      </c>
      <c r="H13" s="1066">
        <v>1496.31585</v>
      </c>
      <c r="I13" s="1066">
        <v>8.1765799999999995</v>
      </c>
      <c r="J13" s="1063">
        <v>43.767310000000002</v>
      </c>
      <c r="K13" s="1063">
        <v>0.19815623301999999</v>
      </c>
      <c r="L13" s="36">
        <v>5</v>
      </c>
      <c r="M13" s="36">
        <v>0</v>
      </c>
      <c r="N13" s="36">
        <v>0</v>
      </c>
      <c r="O13" s="36">
        <v>0</v>
      </c>
      <c r="P13" s="36">
        <v>0</v>
      </c>
      <c r="Q13" s="36">
        <v>0</v>
      </c>
      <c r="R13" s="37"/>
      <c r="S13" s="37"/>
      <c r="T13" s="37"/>
      <c r="U13" s="37"/>
      <c r="V13" s="38"/>
      <c r="W13" s="39"/>
    </row>
    <row r="14" spans="1:23" ht="15" customHeight="1">
      <c r="A14" s="21" t="s">
        <v>40</v>
      </c>
      <c r="B14" s="1055">
        <v>31</v>
      </c>
      <c r="C14" s="1056"/>
      <c r="D14" s="1057">
        <v>0</v>
      </c>
      <c r="E14" s="1057">
        <v>0</v>
      </c>
      <c r="F14" s="1058">
        <v>0</v>
      </c>
      <c r="G14" s="1058">
        <v>0</v>
      </c>
      <c r="H14" s="1058">
        <v>0</v>
      </c>
      <c r="I14" s="1058">
        <v>0</v>
      </c>
      <c r="J14" s="1055">
        <v>0</v>
      </c>
      <c r="K14" s="1055">
        <v>0</v>
      </c>
      <c r="L14" s="30"/>
      <c r="M14" s="30"/>
      <c r="N14" s="30"/>
      <c r="O14" s="30"/>
      <c r="P14" s="30"/>
      <c r="Q14" s="30"/>
      <c r="R14" s="31"/>
      <c r="S14" s="31"/>
      <c r="T14" s="31"/>
      <c r="U14" s="31"/>
      <c r="V14" s="32"/>
      <c r="W14" s="33"/>
    </row>
    <row r="15" spans="1:23" ht="15" customHeight="1">
      <c r="A15" s="21" t="s">
        <v>41</v>
      </c>
      <c r="B15" s="1055">
        <v>30</v>
      </c>
      <c r="C15" s="1056"/>
      <c r="D15" s="1057">
        <v>0</v>
      </c>
      <c r="E15" s="1057">
        <v>0</v>
      </c>
      <c r="F15" s="1058">
        <v>0</v>
      </c>
      <c r="G15" s="1058">
        <v>0</v>
      </c>
      <c r="H15" s="1058">
        <v>0</v>
      </c>
      <c r="I15" s="1058">
        <v>0</v>
      </c>
      <c r="J15" s="1055">
        <v>0</v>
      </c>
      <c r="K15" s="1055">
        <v>0</v>
      </c>
      <c r="L15" s="30"/>
      <c r="M15" s="30"/>
      <c r="N15" s="30"/>
      <c r="O15" s="30"/>
      <c r="P15" s="30"/>
      <c r="Q15" s="30"/>
      <c r="R15" s="31"/>
      <c r="S15" s="31"/>
      <c r="T15" s="31"/>
      <c r="U15" s="31"/>
      <c r="V15" s="32"/>
      <c r="W15" s="33"/>
    </row>
    <row r="16" spans="1:23" ht="15" customHeight="1">
      <c r="A16" s="21" t="s">
        <v>42</v>
      </c>
      <c r="B16" s="1055">
        <v>31</v>
      </c>
      <c r="C16" s="1056"/>
      <c r="D16" s="1057">
        <v>0</v>
      </c>
      <c r="E16" s="1057">
        <v>0</v>
      </c>
      <c r="F16" s="1058">
        <v>0</v>
      </c>
      <c r="G16" s="1058">
        <v>0</v>
      </c>
      <c r="H16" s="1058">
        <v>0</v>
      </c>
      <c r="I16" s="1058">
        <v>0</v>
      </c>
      <c r="J16" s="1055">
        <v>0</v>
      </c>
      <c r="K16" s="1055">
        <v>0</v>
      </c>
      <c r="L16" s="30"/>
      <c r="M16" s="30"/>
      <c r="N16" s="30"/>
      <c r="O16" s="30"/>
      <c r="P16" s="30"/>
      <c r="Q16" s="30"/>
      <c r="R16" s="31"/>
      <c r="S16" s="31"/>
      <c r="T16" s="31"/>
      <c r="U16" s="31"/>
      <c r="V16" s="32"/>
      <c r="W16" s="33"/>
    </row>
    <row r="17" spans="1:23" ht="15" customHeight="1">
      <c r="A17" s="22" t="s">
        <v>43</v>
      </c>
      <c r="B17" s="1059">
        <v>92</v>
      </c>
      <c r="C17" s="1060"/>
      <c r="D17" s="1061">
        <v>0</v>
      </c>
      <c r="E17" s="1061">
        <v>0</v>
      </c>
      <c r="F17" s="1062">
        <v>0</v>
      </c>
      <c r="G17" s="1062">
        <v>0</v>
      </c>
      <c r="H17" s="1062">
        <v>0</v>
      </c>
      <c r="I17" s="1062">
        <v>0</v>
      </c>
      <c r="J17" s="1059">
        <v>0</v>
      </c>
      <c r="K17" s="1059">
        <v>0</v>
      </c>
      <c r="L17" s="24">
        <v>0</v>
      </c>
      <c r="M17" s="24">
        <v>0</v>
      </c>
      <c r="N17" s="24">
        <v>0</v>
      </c>
      <c r="O17" s="24">
        <v>0</v>
      </c>
      <c r="P17" s="24">
        <v>0</v>
      </c>
      <c r="Q17" s="24">
        <v>0</v>
      </c>
      <c r="R17" s="25"/>
      <c r="S17" s="25"/>
      <c r="T17" s="25"/>
      <c r="U17" s="25"/>
      <c r="V17" s="26"/>
      <c r="W17" s="27"/>
    </row>
    <row r="18" spans="1:23" ht="15" customHeight="1">
      <c r="A18" s="21" t="s">
        <v>44</v>
      </c>
      <c r="B18" s="1055">
        <v>31</v>
      </c>
      <c r="C18" s="1056"/>
      <c r="D18" s="1057">
        <v>0</v>
      </c>
      <c r="E18" s="1057">
        <v>0</v>
      </c>
      <c r="F18" s="1058">
        <v>0</v>
      </c>
      <c r="G18" s="1058">
        <v>0</v>
      </c>
      <c r="H18" s="1058">
        <v>0</v>
      </c>
      <c r="I18" s="1058">
        <v>0</v>
      </c>
      <c r="J18" s="1055">
        <v>0</v>
      </c>
      <c r="K18" s="1055">
        <v>0</v>
      </c>
      <c r="L18" s="30"/>
      <c r="M18" s="30"/>
      <c r="N18" s="30"/>
      <c r="O18" s="30"/>
      <c r="P18" s="40"/>
      <c r="Q18" s="40"/>
      <c r="R18" s="41"/>
      <c r="S18" s="41"/>
      <c r="T18" s="41"/>
      <c r="U18" s="31"/>
      <c r="V18" s="32"/>
      <c r="W18" s="42"/>
    </row>
    <row r="19" spans="1:23" ht="15" customHeight="1">
      <c r="A19" s="21" t="s">
        <v>45</v>
      </c>
      <c r="B19" s="1055">
        <v>28</v>
      </c>
      <c r="C19" s="1056"/>
      <c r="D19" s="1057">
        <v>0</v>
      </c>
      <c r="E19" s="1057">
        <v>0</v>
      </c>
      <c r="F19" s="1058">
        <v>0</v>
      </c>
      <c r="G19" s="1058">
        <v>0</v>
      </c>
      <c r="H19" s="1058">
        <v>0</v>
      </c>
      <c r="I19" s="1058">
        <v>0</v>
      </c>
      <c r="J19" s="1055">
        <v>0</v>
      </c>
      <c r="K19" s="1055">
        <v>0</v>
      </c>
      <c r="L19" s="30"/>
      <c r="M19" s="30"/>
      <c r="N19" s="30"/>
      <c r="O19" s="30"/>
      <c r="P19" s="40"/>
      <c r="Q19" s="40"/>
      <c r="R19" s="41"/>
      <c r="S19" s="41"/>
      <c r="T19" s="41"/>
      <c r="U19" s="31"/>
      <c r="V19" s="43"/>
      <c r="W19" s="42"/>
    </row>
    <row r="20" spans="1:23" ht="15" customHeight="1">
      <c r="A20" s="21" t="s">
        <v>46</v>
      </c>
      <c r="B20" s="1055">
        <v>31</v>
      </c>
      <c r="C20" s="1056"/>
      <c r="D20" s="1057">
        <v>0</v>
      </c>
      <c r="E20" s="1057">
        <v>0</v>
      </c>
      <c r="F20" s="1058">
        <v>0</v>
      </c>
      <c r="G20" s="1058">
        <v>0</v>
      </c>
      <c r="H20" s="1058">
        <v>0</v>
      </c>
      <c r="I20" s="1058">
        <v>0</v>
      </c>
      <c r="J20" s="1055">
        <v>0</v>
      </c>
      <c r="K20" s="1055">
        <v>0</v>
      </c>
      <c r="L20" s="30"/>
      <c r="M20" s="30"/>
      <c r="N20" s="30"/>
      <c r="O20" s="30"/>
      <c r="P20" s="40"/>
      <c r="Q20" s="40"/>
      <c r="R20" s="41"/>
      <c r="S20" s="41"/>
      <c r="T20" s="41"/>
      <c r="U20" s="41"/>
      <c r="V20" s="43"/>
      <c r="W20" s="42"/>
    </row>
    <row r="21" spans="1:23" ht="15" customHeight="1">
      <c r="A21" s="22" t="s">
        <v>47</v>
      </c>
      <c r="B21" s="1059">
        <v>90</v>
      </c>
      <c r="C21" s="1060"/>
      <c r="D21" s="1061">
        <v>0</v>
      </c>
      <c r="E21" s="1061">
        <v>0</v>
      </c>
      <c r="F21" s="1062">
        <v>0</v>
      </c>
      <c r="G21" s="1062">
        <v>0</v>
      </c>
      <c r="H21" s="1062">
        <v>0</v>
      </c>
      <c r="I21" s="1062">
        <v>0</v>
      </c>
      <c r="J21" s="1059">
        <v>0</v>
      </c>
      <c r="K21" s="1059">
        <v>0</v>
      </c>
      <c r="L21" s="24">
        <v>0</v>
      </c>
      <c r="M21" s="24">
        <v>0</v>
      </c>
      <c r="N21" s="24">
        <v>0</v>
      </c>
      <c r="O21" s="24">
        <v>0</v>
      </c>
      <c r="P21" s="44">
        <v>0</v>
      </c>
      <c r="Q21" s="44">
        <v>0</v>
      </c>
      <c r="R21" s="45"/>
      <c r="S21" s="45"/>
      <c r="T21" s="45"/>
      <c r="U21" s="45"/>
      <c r="V21" s="46"/>
      <c r="W21" s="47"/>
    </row>
    <row r="22" spans="1:23" ht="15" customHeight="1">
      <c r="A22" s="34" t="s">
        <v>48</v>
      </c>
      <c r="B22" s="1063">
        <v>182</v>
      </c>
      <c r="C22" s="1064"/>
      <c r="D22" s="1065">
        <v>0</v>
      </c>
      <c r="E22" s="1065">
        <v>0</v>
      </c>
      <c r="F22" s="1066">
        <v>0</v>
      </c>
      <c r="G22" s="1066">
        <v>0</v>
      </c>
      <c r="H22" s="1066">
        <v>0</v>
      </c>
      <c r="I22" s="1066">
        <v>0</v>
      </c>
      <c r="J22" s="1063">
        <v>0</v>
      </c>
      <c r="K22" s="1063">
        <v>0</v>
      </c>
      <c r="L22" s="36">
        <v>0</v>
      </c>
      <c r="M22" s="36">
        <v>0</v>
      </c>
      <c r="N22" s="36">
        <v>0</v>
      </c>
      <c r="O22" s="36">
        <v>0</v>
      </c>
      <c r="P22" s="48">
        <v>0</v>
      </c>
      <c r="Q22" s="48">
        <v>0</v>
      </c>
      <c r="R22" s="49"/>
      <c r="S22" s="49"/>
      <c r="T22" s="49"/>
      <c r="U22" s="49"/>
      <c r="V22" s="50"/>
      <c r="W22" s="51"/>
    </row>
    <row r="23" spans="1:23" ht="15" customHeight="1">
      <c r="A23" s="52" t="str">
        <f>RIGHT(A1,7)</f>
        <v>2025</v>
      </c>
      <c r="B23" s="1067">
        <v>365</v>
      </c>
      <c r="C23" s="1068">
        <v>7.4324861302475096</v>
      </c>
      <c r="D23" s="1069">
        <v>39230548.000129998</v>
      </c>
      <c r="E23" s="1069">
        <v>107.48095343999999</v>
      </c>
      <c r="F23" s="1070">
        <v>1147493.5290099999</v>
      </c>
      <c r="G23" s="1070">
        <v>154388.92301999999</v>
      </c>
      <c r="H23" s="1070">
        <v>1496.31585</v>
      </c>
      <c r="I23" s="1070">
        <v>4.0995100000000004</v>
      </c>
      <c r="J23" s="1067">
        <v>43.767310000000002</v>
      </c>
      <c r="K23" s="1067">
        <v>0.19815623301999999</v>
      </c>
      <c r="L23" s="54">
        <v>5</v>
      </c>
      <c r="M23" s="54">
        <v>0</v>
      </c>
      <c r="N23" s="54">
        <v>0</v>
      </c>
      <c r="O23" s="54">
        <v>0</v>
      </c>
      <c r="P23" s="55">
        <v>0</v>
      </c>
      <c r="Q23" s="55">
        <v>0</v>
      </c>
      <c r="R23" s="56"/>
      <c r="S23" s="56"/>
      <c r="T23" s="56"/>
      <c r="U23" s="56"/>
      <c r="V23" s="57"/>
      <c r="W23" s="58"/>
    </row>
    <row r="24" spans="1:23" ht="15" customHeight="1">
      <c r="A24" s="1123"/>
      <c r="B24" s="1124"/>
      <c r="C24" s="1124"/>
      <c r="D24" s="1124"/>
      <c r="E24" s="1124"/>
      <c r="F24" s="1124"/>
      <c r="G24" s="1124"/>
      <c r="H24" s="1124"/>
      <c r="I24" s="1124"/>
      <c r="J24" s="1124"/>
      <c r="K24" s="178"/>
      <c r="L24" s="59"/>
      <c r="M24" s="59"/>
      <c r="N24" s="59"/>
      <c r="O24" s="59"/>
      <c r="P24" s="59"/>
      <c r="Q24" s="59"/>
      <c r="R24" s="59"/>
      <c r="S24" s="59"/>
      <c r="T24" s="59"/>
      <c r="U24" s="59"/>
      <c r="V24" s="60"/>
      <c r="W24" s="61"/>
    </row>
    <row r="25" spans="1:23" ht="15" customHeight="1" thickBot="1">
      <c r="A25" s="62" t="str">
        <f>IF(AND(X24=0,Y24=0),"OK","ERROR")</f>
        <v>OK</v>
      </c>
      <c r="B25" s="63"/>
      <c r="C25" s="63"/>
      <c r="D25" s="64"/>
      <c r="E25" s="64"/>
      <c r="F25" s="65"/>
      <c r="G25" s="66"/>
      <c r="H25" s="67"/>
      <c r="I25" s="64"/>
      <c r="J25" s="64"/>
      <c r="K25" s="64"/>
      <c r="L25" s="64"/>
      <c r="M25" s="64"/>
      <c r="N25" s="64"/>
      <c r="O25" s="64"/>
      <c r="P25" s="64"/>
      <c r="Q25" s="64"/>
      <c r="R25" s="64"/>
      <c r="S25" s="64"/>
      <c r="T25" s="64"/>
      <c r="U25" s="64"/>
      <c r="V25" s="68"/>
      <c r="W25" s="61"/>
    </row>
    <row r="27" spans="1:23" ht="69" customHeight="1">
      <c r="A27" s="1131" t="s">
        <v>1844</v>
      </c>
      <c r="B27" s="1132"/>
      <c r="C27" s="1132"/>
      <c r="D27" s="1132"/>
      <c r="E27" s="1132"/>
      <c r="F27" s="1132"/>
      <c r="G27" s="1132"/>
      <c r="H27" s="1132"/>
      <c r="I27" s="1132"/>
      <c r="J27" s="1132"/>
      <c r="K27" s="1133"/>
    </row>
    <row r="28" spans="1:23" ht="15.75">
      <c r="A28" s="69"/>
      <c r="B28" s="61"/>
      <c r="C28" s="61"/>
      <c r="D28" s="764"/>
      <c r="E28" s="59"/>
      <c r="F28" s="765"/>
      <c r="G28" s="61"/>
      <c r="H28" s="61"/>
      <c r="I28" s="61"/>
      <c r="J28" s="61"/>
      <c r="K28" s="61"/>
    </row>
    <row r="29" spans="1:23" ht="15" customHeight="1">
      <c r="A29" s="351"/>
      <c r="B29" s="352"/>
      <c r="C29" s="352"/>
      <c r="D29" s="352" t="s">
        <v>797</v>
      </c>
      <c r="E29" s="352"/>
      <c r="F29" s="352"/>
      <c r="G29" s="766"/>
      <c r="H29" s="766"/>
      <c r="I29" s="766"/>
      <c r="J29" s="766"/>
      <c r="K29" s="767"/>
    </row>
    <row r="30" spans="1:23">
      <c r="A30" s="281"/>
      <c r="B30" s="282"/>
      <c r="C30" s="282"/>
      <c r="D30" s="282"/>
      <c r="E30" s="282"/>
      <c r="F30" s="282"/>
      <c r="G30" s="282"/>
      <c r="H30" s="282"/>
      <c r="I30" s="282"/>
      <c r="J30" s="282"/>
      <c r="K30" s="283"/>
    </row>
    <row r="31" spans="1:23">
      <c r="D31" t="s">
        <v>798</v>
      </c>
    </row>
    <row r="33" spans="4:4">
      <c r="D33" t="s">
        <v>1391</v>
      </c>
    </row>
  </sheetData>
  <sheetProtection algorithmName="SHA-512" hashValue="uaJabxduosZwJ+B0SRaDbjKNVRbOisqTGbM6O+CnK3QtKpzjvqhx7hZNqMXL+XnngNADKVYA3Jk4ar9FrnY/rw==" saltValue="zn4+YWLDYNw3lFo/VUjX3w==" spinCount="100000" sheet="1" objects="1" scenarios="1"/>
  <mergeCells count="12">
    <mergeCell ref="A27:K27"/>
    <mergeCell ref="D1:G1"/>
    <mergeCell ref="S3:T3"/>
    <mergeCell ref="U3:U4"/>
    <mergeCell ref="V3:V4"/>
    <mergeCell ref="W3:W4"/>
    <mergeCell ref="O3:Q3"/>
    <mergeCell ref="A24:J24"/>
    <mergeCell ref="A3:B3"/>
    <mergeCell ref="C3:G3"/>
    <mergeCell ref="H3:J3"/>
    <mergeCell ref="L3:N3"/>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7030A0"/>
  </sheetPr>
  <dimension ref="A1:W25"/>
  <sheetViews>
    <sheetView workbookViewId="0">
      <selection activeCell="C29" sqref="C29"/>
    </sheetView>
  </sheetViews>
  <sheetFormatPr defaultColWidth="8.85546875" defaultRowHeight="15"/>
  <cols>
    <col min="1" max="1" width="14.140625" customWidth="1"/>
    <col min="2" max="2" width="15.28515625" customWidth="1"/>
    <col min="3" max="3" width="12.85546875" customWidth="1"/>
    <col min="4" max="4" width="16.42578125" customWidth="1"/>
    <col min="5" max="5" width="12.7109375" customWidth="1"/>
    <col min="6" max="6" width="13.7109375" customWidth="1"/>
    <col min="7" max="7" width="15" customWidth="1"/>
    <col min="8" max="8" width="13.140625" customWidth="1"/>
    <col min="9" max="9" width="16" customWidth="1"/>
    <col min="10" max="10" width="15.7109375" customWidth="1"/>
    <col min="11" max="11" width="19" customWidth="1"/>
    <col min="12" max="12" width="15.28515625" hidden="1" customWidth="1"/>
    <col min="13" max="13" width="13.28515625" hidden="1" customWidth="1"/>
    <col min="14" max="14" width="16.85546875" hidden="1" customWidth="1"/>
    <col min="15" max="15" width="18.42578125" hidden="1" customWidth="1"/>
    <col min="16" max="16" width="16.42578125" hidden="1" customWidth="1"/>
    <col min="17" max="20" width="0" hidden="1" customWidth="1"/>
    <col min="21" max="21" width="19" hidden="1" customWidth="1"/>
    <col min="22" max="22" width="17.7109375" hidden="1" customWidth="1"/>
    <col min="23" max="23" width="24.42578125" hidden="1" customWidth="1"/>
    <col min="24" max="24" width="21.28515625" customWidth="1"/>
  </cols>
  <sheetData>
    <row r="1" spans="1:23" ht="23.25">
      <c r="A1" s="483">
        <v>2025</v>
      </c>
      <c r="B1" s="484"/>
      <c r="C1" s="1134" t="s">
        <v>58</v>
      </c>
      <c r="D1" s="1134"/>
      <c r="E1" s="1134"/>
      <c r="F1" s="1134"/>
      <c r="G1" s="1134"/>
      <c r="H1" s="486" t="str">
        <f>interFY_transition!D17</f>
        <v>2026-27</v>
      </c>
      <c r="I1" s="484" t="s">
        <v>864</v>
      </c>
      <c r="J1" s="484"/>
      <c r="K1" s="484"/>
      <c r="L1" s="484"/>
      <c r="M1" s="484"/>
      <c r="N1" s="484"/>
      <c r="O1" s="484"/>
      <c r="P1" s="484"/>
      <c r="Q1" s="175"/>
      <c r="R1" s="175"/>
      <c r="S1" s="175"/>
      <c r="T1" s="175"/>
      <c r="U1" s="175"/>
      <c r="V1" s="175"/>
      <c r="W1" s="180"/>
    </row>
    <row r="2" spans="1:23" ht="15.75">
      <c r="A2" s="6"/>
      <c r="B2" s="5"/>
      <c r="C2" s="7"/>
      <c r="D2" s="4"/>
      <c r="E2" s="8"/>
      <c r="F2" s="8"/>
      <c r="G2" s="8"/>
      <c r="H2" s="5"/>
      <c r="I2" s="4"/>
      <c r="J2" s="4"/>
      <c r="K2" s="4"/>
      <c r="L2" s="4"/>
      <c r="M2" s="4"/>
      <c r="N2" s="4"/>
      <c r="O2" s="4"/>
      <c r="P2" s="4"/>
      <c r="Q2" s="4"/>
      <c r="R2" s="4"/>
      <c r="S2" s="4"/>
      <c r="T2" s="4"/>
      <c r="U2" s="4"/>
      <c r="V2" s="4"/>
      <c r="W2" s="4"/>
    </row>
    <row r="3" spans="1:23" ht="63">
      <c r="A3" s="1142" t="s">
        <v>0</v>
      </c>
      <c r="B3" s="1143"/>
      <c r="C3" s="1144" t="s">
        <v>1</v>
      </c>
      <c r="D3" s="1144"/>
      <c r="E3" s="1144"/>
      <c r="F3" s="1144"/>
      <c r="G3" s="1144"/>
      <c r="H3" s="1145" t="s">
        <v>2</v>
      </c>
      <c r="I3" s="1145"/>
      <c r="J3" s="1145"/>
      <c r="K3" s="177" t="s">
        <v>3</v>
      </c>
      <c r="L3" s="1146" t="s">
        <v>4</v>
      </c>
      <c r="M3" s="1147"/>
      <c r="N3" s="1148"/>
      <c r="O3" s="1149" t="s">
        <v>5</v>
      </c>
      <c r="P3" s="1149"/>
      <c r="Q3" s="1149"/>
      <c r="R3" s="176" t="s">
        <v>6</v>
      </c>
      <c r="S3" s="1135" t="s">
        <v>7</v>
      </c>
      <c r="T3" s="1141"/>
      <c r="U3" s="1137" t="s">
        <v>49</v>
      </c>
      <c r="V3" s="1137" t="s">
        <v>9</v>
      </c>
      <c r="W3" s="1137" t="s">
        <v>10</v>
      </c>
    </row>
    <row r="4" spans="1:23" ht="45">
      <c r="A4" s="71"/>
      <c r="B4" s="72" t="s">
        <v>11</v>
      </c>
      <c r="C4" s="13" t="s">
        <v>12</v>
      </c>
      <c r="D4" s="174" t="s">
        <v>13</v>
      </c>
      <c r="E4" s="13" t="s">
        <v>14</v>
      </c>
      <c r="F4" s="13" t="s">
        <v>15</v>
      </c>
      <c r="G4" s="174" t="s">
        <v>16</v>
      </c>
      <c r="H4" s="174" t="s">
        <v>17</v>
      </c>
      <c r="I4" s="13" t="s">
        <v>18</v>
      </c>
      <c r="J4" s="13" t="s">
        <v>19</v>
      </c>
      <c r="K4" s="13" t="s">
        <v>20</v>
      </c>
      <c r="L4" s="174" t="s">
        <v>21</v>
      </c>
      <c r="M4" s="174" t="s">
        <v>22</v>
      </c>
      <c r="N4" s="174" t="s">
        <v>23</v>
      </c>
      <c r="O4" s="174" t="s">
        <v>24</v>
      </c>
      <c r="P4" s="174" t="s">
        <v>25</v>
      </c>
      <c r="Q4" s="174" t="s">
        <v>26</v>
      </c>
      <c r="R4" s="174" t="s">
        <v>27</v>
      </c>
      <c r="S4" s="174" t="s">
        <v>28</v>
      </c>
      <c r="T4" s="174" t="s">
        <v>29</v>
      </c>
      <c r="U4" s="1137"/>
      <c r="V4" s="1137"/>
      <c r="W4" s="1137"/>
    </row>
    <row r="5" spans="1:23" ht="15" customHeight="1">
      <c r="A5" s="15" t="s">
        <v>30</v>
      </c>
      <c r="B5" s="1055">
        <v>30</v>
      </c>
      <c r="C5" s="1056">
        <v>6.6650010048850801</v>
      </c>
      <c r="D5" s="1057">
        <v>1066373.50003</v>
      </c>
      <c r="E5" s="1057">
        <v>35.545783329999999</v>
      </c>
      <c r="F5" s="1058">
        <v>287920.84500999999</v>
      </c>
      <c r="G5" s="1058">
        <v>43198.919970000003</v>
      </c>
      <c r="H5" s="1058">
        <v>13.6</v>
      </c>
      <c r="I5" s="1058">
        <v>0.45333000000000001</v>
      </c>
      <c r="J5" s="1055">
        <v>3.6720299999999999</v>
      </c>
      <c r="K5" s="1055">
        <v>4.6870949969999999E-2</v>
      </c>
      <c r="L5" s="17">
        <v>3.4637512400000001E-2</v>
      </c>
      <c r="M5" s="17">
        <v>0</v>
      </c>
      <c r="N5" s="17">
        <v>0</v>
      </c>
      <c r="O5" s="17">
        <v>0</v>
      </c>
      <c r="P5" s="17">
        <v>0</v>
      </c>
      <c r="Q5" s="17">
        <v>0</v>
      </c>
      <c r="R5" s="73">
        <v>0.83112755989133047</v>
      </c>
      <c r="S5" s="17">
        <v>55332</v>
      </c>
      <c r="T5" s="16">
        <v>19197.68071420426</v>
      </c>
      <c r="U5" s="74" t="s">
        <v>50</v>
      </c>
      <c r="V5" s="74" t="s">
        <v>406</v>
      </c>
      <c r="W5" s="74"/>
    </row>
    <row r="6" spans="1:23" ht="15" customHeight="1">
      <c r="A6" s="21" t="s">
        <v>32</v>
      </c>
      <c r="B6" s="1055">
        <v>31</v>
      </c>
      <c r="C6" s="1056">
        <v>6.2898118281645496</v>
      </c>
      <c r="D6" s="1057">
        <v>868742.13002000004</v>
      </c>
      <c r="E6" s="1057">
        <v>28.023939680000002</v>
      </c>
      <c r="F6" s="1058">
        <v>234560.37508</v>
      </c>
      <c r="G6" s="1058">
        <v>37292.113259999998</v>
      </c>
      <c r="H6" s="1058">
        <v>9.2759999999999998</v>
      </c>
      <c r="I6" s="1058">
        <v>0.29923</v>
      </c>
      <c r="J6" s="1055">
        <v>2.5044900000000001</v>
      </c>
      <c r="K6" s="1055">
        <v>3.9796603260000001E-2</v>
      </c>
      <c r="L6" s="17">
        <v>3.825170999E-2</v>
      </c>
      <c r="M6" s="17">
        <v>0</v>
      </c>
      <c r="N6" s="17">
        <v>0</v>
      </c>
      <c r="O6" s="17">
        <v>0</v>
      </c>
      <c r="P6" s="17">
        <v>0</v>
      </c>
      <c r="Q6" s="17">
        <v>0</v>
      </c>
      <c r="R6" s="73" t="s">
        <v>444</v>
      </c>
      <c r="S6" s="17">
        <v>46.5</v>
      </c>
      <c r="T6" s="16">
        <v>0</v>
      </c>
      <c r="U6" s="74" t="s">
        <v>50</v>
      </c>
      <c r="V6" s="74" t="s">
        <v>445</v>
      </c>
      <c r="W6" s="74"/>
    </row>
    <row r="7" spans="1:23" ht="15" customHeight="1">
      <c r="A7" s="21" t="s">
        <v>33</v>
      </c>
      <c r="B7" s="1055">
        <v>30</v>
      </c>
      <c r="C7" s="1056">
        <v>6.6649995196689202</v>
      </c>
      <c r="D7" s="1057">
        <v>968397.77003000001</v>
      </c>
      <c r="E7" s="1057">
        <v>32.279925669999997</v>
      </c>
      <c r="F7" s="1058">
        <v>261467.39788999999</v>
      </c>
      <c r="G7" s="1058">
        <v>39229.919990000002</v>
      </c>
      <c r="H7" s="1058">
        <v>13.97001</v>
      </c>
      <c r="I7" s="1058">
        <v>0.46566999999999997</v>
      </c>
      <c r="J7" s="1055">
        <v>3.7718799999999999</v>
      </c>
      <c r="K7" s="1055">
        <v>4.3001799989999999E-2</v>
      </c>
      <c r="L7" s="17">
        <v>4.0834800010000005E-2</v>
      </c>
      <c r="M7" s="17">
        <v>0</v>
      </c>
      <c r="N7" s="17">
        <v>0</v>
      </c>
      <c r="O7" s="17">
        <v>0</v>
      </c>
      <c r="P7" s="17">
        <v>0</v>
      </c>
      <c r="Q7" s="17">
        <v>0</v>
      </c>
      <c r="R7" s="73">
        <v>0.74445754651101248</v>
      </c>
      <c r="S7" s="17">
        <v>38310</v>
      </c>
      <c r="T7" s="16">
        <v>17736.308535781773</v>
      </c>
      <c r="U7" s="74" t="s">
        <v>50</v>
      </c>
      <c r="V7" s="28" t="s">
        <v>508</v>
      </c>
      <c r="W7" s="28"/>
    </row>
    <row r="8" spans="1:23" ht="15" customHeight="1">
      <c r="A8" s="22" t="s">
        <v>34</v>
      </c>
      <c r="B8" s="1059">
        <v>91</v>
      </c>
      <c r="C8" s="1060">
        <v>6.5481321096684804</v>
      </c>
      <c r="D8" s="1061">
        <v>2903513.4000800001</v>
      </c>
      <c r="E8" s="1061">
        <v>31.906740660000001</v>
      </c>
      <c r="F8" s="1062">
        <v>783948.61797999998</v>
      </c>
      <c r="G8" s="1062">
        <v>119720.95322</v>
      </c>
      <c r="H8" s="1062">
        <v>36.84601</v>
      </c>
      <c r="I8" s="1062">
        <v>0.40489999999999998</v>
      </c>
      <c r="J8" s="1059">
        <v>9.9483999999999995</v>
      </c>
      <c r="K8" s="1059">
        <v>0.12966935322000001</v>
      </c>
      <c r="L8" s="24">
        <v>0.1137240224</v>
      </c>
      <c r="M8" s="24">
        <v>0</v>
      </c>
      <c r="N8" s="24">
        <v>0</v>
      </c>
      <c r="O8" s="24">
        <v>0</v>
      </c>
      <c r="P8" s="24">
        <v>0</v>
      </c>
      <c r="Q8" s="24">
        <v>0</v>
      </c>
      <c r="R8" s="75"/>
      <c r="S8" s="24"/>
      <c r="T8" s="24"/>
      <c r="U8" s="25"/>
      <c r="V8" s="25"/>
      <c r="W8" s="25"/>
    </row>
    <row r="9" spans="1:23" ht="15" customHeight="1">
      <c r="A9" s="21" t="s">
        <v>35</v>
      </c>
      <c r="B9" s="1055">
        <v>31</v>
      </c>
      <c r="C9" s="1056">
        <v>6.6454186862731204</v>
      </c>
      <c r="D9" s="1057">
        <v>833914.00000999996</v>
      </c>
      <c r="E9" s="1057">
        <v>26.900451610000001</v>
      </c>
      <c r="F9" s="1058">
        <v>225156.78</v>
      </c>
      <c r="G9" s="1058">
        <v>33881.504029999996</v>
      </c>
      <c r="H9" s="1058">
        <v>11.080019999999999</v>
      </c>
      <c r="I9" s="1058">
        <v>0.35742000000000002</v>
      </c>
      <c r="J9" s="1055">
        <v>2.9916</v>
      </c>
      <c r="K9" s="1055">
        <v>3.6873104029999999E-2</v>
      </c>
      <c r="L9" s="18">
        <v>4.0516681000000006E-2</v>
      </c>
      <c r="M9" s="18"/>
      <c r="N9" s="18"/>
      <c r="O9" s="18"/>
      <c r="P9" s="18"/>
      <c r="Q9" s="18"/>
      <c r="R9" s="73"/>
      <c r="S9" s="18"/>
      <c r="T9" s="76"/>
      <c r="U9" s="74"/>
      <c r="V9" s="77"/>
      <c r="W9" s="77"/>
    </row>
    <row r="10" spans="1:23" ht="15" customHeight="1">
      <c r="A10" s="21" t="s">
        <v>36</v>
      </c>
      <c r="B10" s="1055">
        <v>31</v>
      </c>
      <c r="C10" s="1056"/>
      <c r="D10" s="1057">
        <v>0</v>
      </c>
      <c r="E10" s="1057">
        <v>0</v>
      </c>
      <c r="F10" s="1058">
        <v>0</v>
      </c>
      <c r="G10" s="1058">
        <v>0</v>
      </c>
      <c r="H10" s="1058">
        <v>0</v>
      </c>
      <c r="I10" s="1058">
        <v>0</v>
      </c>
      <c r="J10" s="1055">
        <v>0</v>
      </c>
      <c r="K10" s="1055">
        <v>0</v>
      </c>
      <c r="L10" s="17">
        <v>4.0433310000000007E-2</v>
      </c>
      <c r="M10" s="17"/>
      <c r="N10" s="17"/>
      <c r="O10" s="17"/>
      <c r="P10" s="17"/>
      <c r="Q10" s="17"/>
      <c r="R10" s="73"/>
      <c r="S10" s="17"/>
      <c r="T10" s="16"/>
      <c r="U10" s="74"/>
      <c r="V10" s="77"/>
      <c r="W10" s="77"/>
    </row>
    <row r="11" spans="1:23" ht="15" customHeight="1">
      <c r="A11" s="21" t="s">
        <v>37</v>
      </c>
      <c r="B11" s="1055">
        <v>30</v>
      </c>
      <c r="C11" s="1056"/>
      <c r="D11" s="1057">
        <v>0</v>
      </c>
      <c r="E11" s="1057">
        <v>0</v>
      </c>
      <c r="F11" s="1058">
        <v>0</v>
      </c>
      <c r="G11" s="1058">
        <v>0</v>
      </c>
      <c r="H11" s="1058">
        <v>0</v>
      </c>
      <c r="I11" s="1058">
        <v>0</v>
      </c>
      <c r="J11" s="1055">
        <v>0</v>
      </c>
      <c r="K11" s="1055">
        <v>0</v>
      </c>
      <c r="L11" s="30">
        <v>3.8310299999999999E-2</v>
      </c>
      <c r="M11" s="30"/>
      <c r="N11" s="30"/>
      <c r="O11" s="30"/>
      <c r="P11" s="30"/>
      <c r="Q11" s="30"/>
      <c r="R11" s="78"/>
      <c r="S11" s="30"/>
      <c r="T11" s="40"/>
      <c r="U11" s="79"/>
      <c r="V11" s="80"/>
      <c r="W11" s="80"/>
    </row>
    <row r="12" spans="1:23" ht="15" customHeight="1">
      <c r="A12" s="22" t="s">
        <v>38</v>
      </c>
      <c r="B12" s="1059">
        <v>92</v>
      </c>
      <c r="C12" s="1060">
        <v>6.6454186862731204</v>
      </c>
      <c r="D12" s="1061">
        <v>833914.00000999996</v>
      </c>
      <c r="E12" s="1061">
        <v>9.0642826099999994</v>
      </c>
      <c r="F12" s="1062">
        <v>225156.78</v>
      </c>
      <c r="G12" s="1062">
        <v>33881.504029999996</v>
      </c>
      <c r="H12" s="1062">
        <v>11.080019999999999</v>
      </c>
      <c r="I12" s="1062">
        <v>0.12044000000000001</v>
      </c>
      <c r="J12" s="1059">
        <v>2.9916</v>
      </c>
      <c r="K12" s="1059">
        <v>3.6873104029999999E-2</v>
      </c>
      <c r="L12" s="24">
        <v>0.119260291</v>
      </c>
      <c r="M12" s="24">
        <v>0</v>
      </c>
      <c r="N12" s="24">
        <v>0</v>
      </c>
      <c r="O12" s="24">
        <v>0</v>
      </c>
      <c r="P12" s="24">
        <v>0</v>
      </c>
      <c r="Q12" s="24">
        <v>0</v>
      </c>
      <c r="R12" s="75"/>
      <c r="S12" s="24"/>
      <c r="T12" s="24"/>
      <c r="U12" s="25"/>
      <c r="V12" s="25"/>
      <c r="W12" s="25"/>
    </row>
    <row r="13" spans="1:23" ht="15" customHeight="1">
      <c r="A13" s="34" t="s">
        <v>39</v>
      </c>
      <c r="B13" s="1063">
        <v>183</v>
      </c>
      <c r="C13" s="1064">
        <v>6.5695915029380201</v>
      </c>
      <c r="D13" s="1065">
        <v>3737427.4000900001</v>
      </c>
      <c r="E13" s="1065">
        <v>20.42310054</v>
      </c>
      <c r="F13" s="1066">
        <v>1009105.39798</v>
      </c>
      <c r="G13" s="1066">
        <v>153602.45725000001</v>
      </c>
      <c r="H13" s="1066">
        <v>47.926029999999997</v>
      </c>
      <c r="I13" s="1066">
        <v>0.26190000000000002</v>
      </c>
      <c r="J13" s="1063">
        <v>12.94</v>
      </c>
      <c r="K13" s="1063">
        <v>0.16654245725</v>
      </c>
      <c r="L13" s="36">
        <v>0.2329843134</v>
      </c>
      <c r="M13" s="36">
        <v>0</v>
      </c>
      <c r="N13" s="36">
        <v>0</v>
      </c>
      <c r="O13" s="36">
        <v>0</v>
      </c>
      <c r="P13" s="36">
        <v>0</v>
      </c>
      <c r="Q13" s="36">
        <v>0</v>
      </c>
      <c r="R13" s="81"/>
      <c r="S13" s="36"/>
      <c r="T13" s="36"/>
      <c r="U13" s="37"/>
      <c r="V13" s="37"/>
      <c r="W13" s="37"/>
    </row>
    <row r="14" spans="1:23" ht="15" customHeight="1">
      <c r="A14" s="21" t="s">
        <v>40</v>
      </c>
      <c r="B14" s="1055">
        <v>31</v>
      </c>
      <c r="C14" s="1056"/>
      <c r="D14" s="1057">
        <v>0</v>
      </c>
      <c r="E14" s="1057">
        <v>0</v>
      </c>
      <c r="F14" s="1058">
        <v>0</v>
      </c>
      <c r="G14" s="1058">
        <v>0</v>
      </c>
      <c r="H14" s="1058">
        <v>0</v>
      </c>
      <c r="I14" s="1058">
        <v>0</v>
      </c>
      <c r="J14" s="1055">
        <v>0</v>
      </c>
      <c r="K14" s="1055">
        <v>0</v>
      </c>
      <c r="L14" s="30">
        <v>0</v>
      </c>
      <c r="M14" s="30"/>
      <c r="N14" s="30"/>
      <c r="O14" s="30"/>
      <c r="P14" s="30"/>
      <c r="Q14" s="30"/>
      <c r="R14" s="78"/>
      <c r="S14" s="30"/>
      <c r="T14" s="40"/>
      <c r="U14" s="79"/>
      <c r="V14" s="31"/>
      <c r="W14" s="31"/>
    </row>
    <row r="15" spans="1:23" ht="15" customHeight="1">
      <c r="A15" s="21" t="s">
        <v>41</v>
      </c>
      <c r="B15" s="1055">
        <v>30</v>
      </c>
      <c r="C15" s="1056"/>
      <c r="D15" s="1057">
        <v>0</v>
      </c>
      <c r="E15" s="1057">
        <v>0</v>
      </c>
      <c r="F15" s="1058">
        <v>0</v>
      </c>
      <c r="G15" s="1058">
        <v>0</v>
      </c>
      <c r="H15" s="1058">
        <v>0</v>
      </c>
      <c r="I15" s="1058">
        <v>0</v>
      </c>
      <c r="J15" s="1055">
        <v>0</v>
      </c>
      <c r="K15" s="1055">
        <v>0</v>
      </c>
      <c r="L15" s="30">
        <v>0</v>
      </c>
      <c r="M15" s="30"/>
      <c r="N15" s="30"/>
      <c r="O15" s="30"/>
      <c r="P15" s="30"/>
      <c r="Q15" s="30"/>
      <c r="R15" s="78"/>
      <c r="S15" s="30"/>
      <c r="T15" s="40"/>
      <c r="U15" s="79"/>
      <c r="V15" s="31"/>
      <c r="W15" s="31"/>
    </row>
    <row r="16" spans="1:23" ht="15" customHeight="1">
      <c r="A16" s="21" t="s">
        <v>42</v>
      </c>
      <c r="B16" s="1055">
        <v>31</v>
      </c>
      <c r="C16" s="1056"/>
      <c r="D16" s="1057">
        <v>0</v>
      </c>
      <c r="E16" s="1057">
        <v>0</v>
      </c>
      <c r="F16" s="1058">
        <v>0</v>
      </c>
      <c r="G16" s="1058">
        <v>0</v>
      </c>
      <c r="H16" s="1058">
        <v>0</v>
      </c>
      <c r="I16" s="1058">
        <v>0</v>
      </c>
      <c r="J16" s="1055">
        <v>0</v>
      </c>
      <c r="K16" s="1055">
        <v>0</v>
      </c>
      <c r="L16" s="30">
        <v>0</v>
      </c>
      <c r="M16" s="30"/>
      <c r="N16" s="30"/>
      <c r="O16" s="30"/>
      <c r="P16" s="30"/>
      <c r="Q16" s="30"/>
      <c r="R16" s="78"/>
      <c r="S16" s="30"/>
      <c r="T16" s="40"/>
      <c r="U16" s="79"/>
      <c r="V16" s="31"/>
      <c r="W16" s="31"/>
    </row>
    <row r="17" spans="1:23" ht="15" customHeight="1">
      <c r="A17" s="22" t="s">
        <v>43</v>
      </c>
      <c r="B17" s="1059">
        <v>92</v>
      </c>
      <c r="C17" s="1060"/>
      <c r="D17" s="1061">
        <v>0</v>
      </c>
      <c r="E17" s="1061">
        <v>0</v>
      </c>
      <c r="F17" s="1062">
        <v>0</v>
      </c>
      <c r="G17" s="1062">
        <v>0</v>
      </c>
      <c r="H17" s="1062">
        <v>0</v>
      </c>
      <c r="I17" s="1062">
        <v>0</v>
      </c>
      <c r="J17" s="1059">
        <v>0</v>
      </c>
      <c r="K17" s="1059">
        <v>0</v>
      </c>
      <c r="L17" s="24">
        <v>0</v>
      </c>
      <c r="M17" s="24">
        <v>0</v>
      </c>
      <c r="N17" s="24">
        <v>0</v>
      </c>
      <c r="O17" s="24">
        <v>0</v>
      </c>
      <c r="P17" s="24">
        <v>0</v>
      </c>
      <c r="Q17" s="24">
        <v>0</v>
      </c>
      <c r="R17" s="75"/>
      <c r="S17" s="24"/>
      <c r="T17" s="24"/>
      <c r="U17" s="25"/>
      <c r="V17" s="25"/>
      <c r="W17" s="25"/>
    </row>
    <row r="18" spans="1:23" ht="15" customHeight="1">
      <c r="A18" s="21" t="s">
        <v>44</v>
      </c>
      <c r="B18" s="1055">
        <v>31</v>
      </c>
      <c r="C18" s="1056"/>
      <c r="D18" s="1057">
        <v>0</v>
      </c>
      <c r="E18" s="1057">
        <v>0</v>
      </c>
      <c r="F18" s="1058">
        <v>0</v>
      </c>
      <c r="G18" s="1058">
        <v>0</v>
      </c>
      <c r="H18" s="1058">
        <v>0</v>
      </c>
      <c r="I18" s="1058">
        <v>0</v>
      </c>
      <c r="J18" s="1055">
        <v>0</v>
      </c>
      <c r="K18" s="1055">
        <v>0</v>
      </c>
      <c r="L18" s="30">
        <v>0</v>
      </c>
      <c r="M18" s="30"/>
      <c r="N18" s="30"/>
      <c r="O18" s="30"/>
      <c r="P18" s="30"/>
      <c r="Q18" s="40"/>
      <c r="R18" s="78"/>
      <c r="S18" s="30"/>
      <c r="T18" s="40"/>
      <c r="U18" s="31"/>
      <c r="V18" s="41"/>
      <c r="W18" s="41"/>
    </row>
    <row r="19" spans="1:23" ht="15" customHeight="1">
      <c r="A19" s="21" t="s">
        <v>45</v>
      </c>
      <c r="B19" s="1055">
        <v>28</v>
      </c>
      <c r="C19" s="1056"/>
      <c r="D19" s="1057">
        <v>0</v>
      </c>
      <c r="E19" s="1057">
        <v>0</v>
      </c>
      <c r="F19" s="1058">
        <v>0</v>
      </c>
      <c r="G19" s="1058">
        <v>0</v>
      </c>
      <c r="H19" s="1058">
        <v>0</v>
      </c>
      <c r="I19" s="1058">
        <v>0</v>
      </c>
      <c r="J19" s="1055">
        <v>0</v>
      </c>
      <c r="K19" s="1055">
        <v>0</v>
      </c>
      <c r="L19" s="30">
        <v>0</v>
      </c>
      <c r="M19" s="30"/>
      <c r="N19" s="30"/>
      <c r="O19" s="30"/>
      <c r="P19" s="30"/>
      <c r="Q19" s="40"/>
      <c r="R19" s="78"/>
      <c r="S19" s="30"/>
      <c r="T19" s="40"/>
      <c r="U19" s="79"/>
      <c r="V19" s="41"/>
      <c r="W19" s="41"/>
    </row>
    <row r="20" spans="1:23" ht="15" customHeight="1">
      <c r="A20" s="21" t="s">
        <v>46</v>
      </c>
      <c r="B20" s="1055">
        <v>31</v>
      </c>
      <c r="C20" s="1056"/>
      <c r="D20" s="1057">
        <v>0</v>
      </c>
      <c r="E20" s="1057">
        <v>0</v>
      </c>
      <c r="F20" s="1058">
        <v>0</v>
      </c>
      <c r="G20" s="1058">
        <v>0</v>
      </c>
      <c r="H20" s="1058">
        <v>0</v>
      </c>
      <c r="I20" s="1058">
        <v>0</v>
      </c>
      <c r="J20" s="1055">
        <v>0</v>
      </c>
      <c r="K20" s="1055">
        <v>0</v>
      </c>
      <c r="L20" s="30">
        <v>0</v>
      </c>
      <c r="M20" s="30"/>
      <c r="N20" s="30"/>
      <c r="O20" s="30"/>
      <c r="P20" s="30"/>
      <c r="Q20" s="40"/>
      <c r="R20" s="82"/>
      <c r="S20" s="40"/>
      <c r="T20" s="40"/>
      <c r="U20" s="41"/>
      <c r="V20" s="41"/>
      <c r="W20" s="41"/>
    </row>
    <row r="21" spans="1:23" ht="15" customHeight="1">
      <c r="A21" s="22" t="s">
        <v>47</v>
      </c>
      <c r="B21" s="1059">
        <v>90</v>
      </c>
      <c r="C21" s="1060"/>
      <c r="D21" s="1061">
        <v>0</v>
      </c>
      <c r="E21" s="1061">
        <v>0</v>
      </c>
      <c r="F21" s="1062">
        <v>0</v>
      </c>
      <c r="G21" s="1062">
        <v>0</v>
      </c>
      <c r="H21" s="1062">
        <v>0</v>
      </c>
      <c r="I21" s="1062">
        <v>0</v>
      </c>
      <c r="J21" s="1059">
        <v>0</v>
      </c>
      <c r="K21" s="1059">
        <v>0</v>
      </c>
      <c r="L21" s="24">
        <v>0</v>
      </c>
      <c r="M21" s="24">
        <v>0</v>
      </c>
      <c r="N21" s="24">
        <v>0</v>
      </c>
      <c r="O21" s="24">
        <v>0</v>
      </c>
      <c r="P21" s="24">
        <v>0</v>
      </c>
      <c r="Q21" s="44">
        <v>0</v>
      </c>
      <c r="R21" s="44"/>
      <c r="S21" s="44"/>
      <c r="T21" s="44"/>
      <c r="U21" s="45"/>
      <c r="V21" s="45"/>
      <c r="W21" s="45"/>
    </row>
    <row r="22" spans="1:23" ht="15" customHeight="1">
      <c r="A22" s="34" t="s">
        <v>48</v>
      </c>
      <c r="B22" s="1063">
        <v>182</v>
      </c>
      <c r="C22" s="1064"/>
      <c r="D22" s="1065">
        <v>0</v>
      </c>
      <c r="E22" s="1065">
        <v>0</v>
      </c>
      <c r="F22" s="1066">
        <v>0</v>
      </c>
      <c r="G22" s="1066">
        <v>0</v>
      </c>
      <c r="H22" s="1066">
        <v>0</v>
      </c>
      <c r="I22" s="1066">
        <v>0</v>
      </c>
      <c r="J22" s="1063">
        <v>0</v>
      </c>
      <c r="K22" s="1063">
        <v>0</v>
      </c>
      <c r="L22" s="36">
        <v>0</v>
      </c>
      <c r="M22" s="36">
        <v>0</v>
      </c>
      <c r="N22" s="36">
        <v>0</v>
      </c>
      <c r="O22" s="36">
        <v>0</v>
      </c>
      <c r="P22" s="36">
        <v>0</v>
      </c>
      <c r="Q22" s="48">
        <v>0</v>
      </c>
      <c r="R22" s="48"/>
      <c r="S22" s="48"/>
      <c r="T22" s="48"/>
      <c r="U22" s="49"/>
      <c r="V22" s="49"/>
      <c r="W22" s="49"/>
    </row>
    <row r="23" spans="1:23" ht="15" customHeight="1">
      <c r="A23" s="52" t="str">
        <f>RIGHT(A1,7)</f>
        <v>2025</v>
      </c>
      <c r="B23" s="1067">
        <v>365</v>
      </c>
      <c r="C23" s="1068">
        <v>6.5695915029380201</v>
      </c>
      <c r="D23" s="1069">
        <v>3737427.4000900001</v>
      </c>
      <c r="E23" s="1069">
        <v>10.23952712</v>
      </c>
      <c r="F23" s="1070">
        <v>1009105.39798</v>
      </c>
      <c r="G23" s="1070">
        <v>153602.45725000001</v>
      </c>
      <c r="H23" s="1070">
        <v>47.926029999999997</v>
      </c>
      <c r="I23" s="1070">
        <v>0.1313</v>
      </c>
      <c r="J23" s="1067">
        <v>12.94</v>
      </c>
      <c r="K23" s="1067">
        <v>0.16654245725</v>
      </c>
      <c r="L23" s="54">
        <v>0.2329843134</v>
      </c>
      <c r="M23" s="54">
        <v>0</v>
      </c>
      <c r="N23" s="54">
        <v>0</v>
      </c>
      <c r="O23" s="54">
        <v>0</v>
      </c>
      <c r="P23" s="54">
        <v>0</v>
      </c>
      <c r="Q23" s="55">
        <v>0</v>
      </c>
      <c r="R23" s="55"/>
      <c r="S23" s="55"/>
      <c r="T23" s="55"/>
      <c r="U23" s="83"/>
      <c r="V23" s="83"/>
      <c r="W23" s="83"/>
    </row>
    <row r="24" spans="1:23" ht="15" customHeight="1">
      <c r="A24" s="1139"/>
      <c r="B24" s="1140"/>
      <c r="C24" s="1140"/>
      <c r="D24" s="1140"/>
      <c r="E24" s="1140"/>
      <c r="F24" s="1140"/>
      <c r="G24" s="1140"/>
      <c r="H24" s="1140"/>
      <c r="I24" s="1140"/>
      <c r="J24" s="1140"/>
      <c r="K24" s="178"/>
      <c r="L24" s="59"/>
      <c r="M24" s="59"/>
      <c r="N24" s="59"/>
      <c r="O24" s="59"/>
      <c r="P24" s="59"/>
      <c r="Q24" s="59"/>
      <c r="R24" s="59"/>
      <c r="S24" s="59"/>
      <c r="T24" s="59"/>
      <c r="U24" s="59"/>
      <c r="V24" s="59"/>
      <c r="W24" s="59"/>
    </row>
    <row r="25" spans="1:23" ht="15" customHeight="1" thickBot="1">
      <c r="A25" s="62" t="str">
        <f>IF(AND(X24=0,Y24=0),"OK","ERROR")</f>
        <v>OK</v>
      </c>
      <c r="B25" s="63"/>
      <c r="C25" s="63"/>
      <c r="D25" s="64"/>
      <c r="E25" s="64"/>
      <c r="F25" s="65"/>
      <c r="G25" s="66"/>
      <c r="H25" s="67"/>
      <c r="I25" s="64"/>
      <c r="J25" s="64"/>
      <c r="K25" s="64"/>
      <c r="L25" s="64"/>
      <c r="M25" s="64"/>
      <c r="N25" s="64"/>
      <c r="O25" s="64"/>
      <c r="P25" s="64"/>
      <c r="Q25" s="64"/>
      <c r="R25" s="64"/>
      <c r="S25" s="64"/>
      <c r="T25" s="64"/>
      <c r="U25" s="64"/>
      <c r="V25" s="64"/>
      <c r="W25" s="64"/>
    </row>
  </sheetData>
  <sheetProtection algorithmName="SHA-512" hashValue="BYgITAQo0Rfm7j4JKGHzpWonKLnCQSISnRF3GwE9Rh3MXrgyIU2Owcg7ibj1d652B2ulcYUlG7aCBN48P991Kw==" saltValue="IGVN+kpIrPTizFsPc1Kq5A==" spinCount="100000" sheet="1" objects="1" scenarios="1"/>
  <mergeCells count="11">
    <mergeCell ref="W3:W4"/>
    <mergeCell ref="A3:B3"/>
    <mergeCell ref="C3:G3"/>
    <mergeCell ref="H3:J3"/>
    <mergeCell ref="L3:N3"/>
    <mergeCell ref="O3:Q3"/>
    <mergeCell ref="A24:J24"/>
    <mergeCell ref="C1:G1"/>
    <mergeCell ref="S3:T3"/>
    <mergeCell ref="U3:U4"/>
    <mergeCell ref="V3:V4"/>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W25"/>
  <sheetViews>
    <sheetView workbookViewId="0">
      <selection activeCell="AB10" sqref="AB10"/>
    </sheetView>
  </sheetViews>
  <sheetFormatPr defaultColWidth="8.85546875" defaultRowHeight="15"/>
  <cols>
    <col min="4" max="4" width="11" customWidth="1"/>
    <col min="6" max="6" width="11.140625" customWidth="1"/>
    <col min="7" max="7" width="10.140625" customWidth="1"/>
    <col min="8" max="8" width="11.42578125" customWidth="1"/>
    <col min="10" max="10" width="9.42578125" customWidth="1"/>
    <col min="11" max="11" width="9.140625" customWidth="1"/>
    <col min="12" max="23" width="0" hidden="1" customWidth="1"/>
  </cols>
  <sheetData>
    <row r="1" spans="1:23" ht="20.25">
      <c r="A1" s="483">
        <v>2025</v>
      </c>
      <c r="B1" s="484"/>
      <c r="C1" s="1150" t="s">
        <v>59</v>
      </c>
      <c r="D1" s="1150"/>
      <c r="E1" s="1150"/>
      <c r="F1" s="1150"/>
      <c r="G1" s="1150"/>
      <c r="H1" s="485" t="str">
        <f>interFY_transition!D17</f>
        <v>2026-27</v>
      </c>
      <c r="I1" s="484" t="s">
        <v>864</v>
      </c>
      <c r="J1" s="484"/>
      <c r="K1" s="484"/>
      <c r="L1" s="484"/>
      <c r="M1" s="484"/>
      <c r="N1" s="484"/>
      <c r="O1" s="484"/>
      <c r="P1" s="484"/>
      <c r="Q1" s="175"/>
      <c r="R1" s="175"/>
      <c r="S1" s="175"/>
      <c r="T1" s="175"/>
      <c r="U1" s="175"/>
      <c r="V1" s="175"/>
      <c r="W1" s="175"/>
    </row>
    <row r="2" spans="1:23" ht="15.75">
      <c r="A2" s="6"/>
      <c r="B2" s="5"/>
      <c r="C2" s="7"/>
      <c r="D2" s="4"/>
      <c r="E2" s="8"/>
      <c r="F2" s="8"/>
      <c r="G2" s="8"/>
      <c r="H2" s="5"/>
      <c r="I2" s="4"/>
      <c r="J2" s="4"/>
      <c r="K2" s="4"/>
      <c r="L2" s="4"/>
      <c r="M2" s="4"/>
      <c r="N2" s="4"/>
      <c r="O2" s="4"/>
      <c r="P2" s="4"/>
      <c r="Q2" s="4"/>
      <c r="R2" s="4"/>
      <c r="S2" s="4"/>
      <c r="T2" s="4"/>
      <c r="U2" s="4"/>
      <c r="V2" s="4"/>
      <c r="W2" s="4"/>
    </row>
    <row r="3" spans="1:23" ht="47.25">
      <c r="A3" s="1152" t="s">
        <v>0</v>
      </c>
      <c r="B3" s="1152"/>
      <c r="C3" s="1144" t="s">
        <v>1</v>
      </c>
      <c r="D3" s="1144"/>
      <c r="E3" s="1144"/>
      <c r="F3" s="1144"/>
      <c r="G3" s="1144"/>
      <c r="H3" s="1145" t="s">
        <v>2</v>
      </c>
      <c r="I3" s="1145"/>
      <c r="J3" s="1145"/>
      <c r="K3" s="177" t="s">
        <v>3</v>
      </c>
      <c r="L3" s="1146" t="s">
        <v>4</v>
      </c>
      <c r="M3" s="1147"/>
      <c r="N3" s="1148"/>
      <c r="O3" s="1149" t="s">
        <v>5</v>
      </c>
      <c r="P3" s="1149"/>
      <c r="Q3" s="1149"/>
      <c r="R3" s="176" t="s">
        <v>51</v>
      </c>
      <c r="S3" s="1135" t="s">
        <v>7</v>
      </c>
      <c r="T3" s="1141"/>
      <c r="U3" s="1137" t="s">
        <v>49</v>
      </c>
      <c r="V3" s="1151" t="s">
        <v>9</v>
      </c>
      <c r="W3" s="1120" t="s">
        <v>10</v>
      </c>
    </row>
    <row r="4" spans="1:23" ht="60">
      <c r="A4" s="71"/>
      <c r="B4" s="84" t="s">
        <v>11</v>
      </c>
      <c r="C4" s="13" t="s">
        <v>12</v>
      </c>
      <c r="D4" s="174" t="s">
        <v>13</v>
      </c>
      <c r="E4" s="13" t="s">
        <v>14</v>
      </c>
      <c r="F4" s="174" t="s">
        <v>15</v>
      </c>
      <c r="G4" s="174" t="s">
        <v>16</v>
      </c>
      <c r="H4" s="174" t="s">
        <v>17</v>
      </c>
      <c r="I4" s="13" t="s">
        <v>18</v>
      </c>
      <c r="J4" s="1074" t="s">
        <v>19</v>
      </c>
      <c r="K4" s="1073" t="s">
        <v>20</v>
      </c>
      <c r="L4" s="174" t="s">
        <v>21</v>
      </c>
      <c r="M4" s="174" t="s">
        <v>22</v>
      </c>
      <c r="N4" s="174" t="s">
        <v>23</v>
      </c>
      <c r="O4" s="174" t="s">
        <v>24</v>
      </c>
      <c r="P4" s="174" t="s">
        <v>25</v>
      </c>
      <c r="Q4" s="174" t="s">
        <v>26</v>
      </c>
      <c r="R4" s="174" t="s">
        <v>27</v>
      </c>
      <c r="S4" s="174" t="s">
        <v>28</v>
      </c>
      <c r="T4" s="174" t="s">
        <v>29</v>
      </c>
      <c r="U4" s="1137"/>
      <c r="V4" s="1151"/>
      <c r="W4" s="1121"/>
    </row>
    <row r="5" spans="1:23" ht="15.75">
      <c r="A5" s="15" t="s">
        <v>30</v>
      </c>
      <c r="B5" s="1055">
        <v>30</v>
      </c>
      <c r="C5" s="1056">
        <v>6.7801250279518799</v>
      </c>
      <c r="D5" s="1057">
        <v>134476.99999000001</v>
      </c>
      <c r="E5" s="1057">
        <v>4.4825666699999998</v>
      </c>
      <c r="F5" s="1058">
        <v>67238.499970000004</v>
      </c>
      <c r="G5" s="1058">
        <v>9917.0000099999997</v>
      </c>
      <c r="H5" s="1058">
        <v>0.84209999999999996</v>
      </c>
      <c r="I5" s="1058">
        <v>2.8070000000000001E-2</v>
      </c>
      <c r="J5" s="1055">
        <v>0.4209</v>
      </c>
      <c r="K5" s="1055">
        <v>1.033790001E-2</v>
      </c>
      <c r="L5" s="17">
        <v>0</v>
      </c>
      <c r="M5" s="17">
        <v>0</v>
      </c>
      <c r="N5" s="17">
        <v>0</v>
      </c>
      <c r="O5" s="17">
        <v>0</v>
      </c>
      <c r="P5" s="17">
        <v>0</v>
      </c>
      <c r="Q5" s="17">
        <v>0</v>
      </c>
      <c r="R5" s="85">
        <v>89.6</v>
      </c>
      <c r="S5" s="86"/>
      <c r="T5" s="86"/>
      <c r="U5" s="86"/>
      <c r="V5" s="87"/>
      <c r="W5" s="87"/>
    </row>
    <row r="6" spans="1:23" ht="15.75">
      <c r="A6" s="21" t="s">
        <v>32</v>
      </c>
      <c r="B6" s="1055">
        <v>31</v>
      </c>
      <c r="C6" s="1056">
        <v>6.7798584508011404</v>
      </c>
      <c r="D6" s="1057">
        <v>137943.00000999999</v>
      </c>
      <c r="E6" s="1057">
        <v>4.4497741900000003</v>
      </c>
      <c r="F6" s="1058">
        <v>68971.500020000007</v>
      </c>
      <c r="G6" s="1058">
        <v>10173</v>
      </c>
      <c r="H6" s="1058">
        <v>0.69006000000000001</v>
      </c>
      <c r="I6" s="1058">
        <v>2.2259999999999999E-2</v>
      </c>
      <c r="J6" s="1055">
        <v>0.34503</v>
      </c>
      <c r="K6" s="1055">
        <v>1.0518029999999999E-2</v>
      </c>
      <c r="L6" s="17">
        <v>0</v>
      </c>
      <c r="M6" s="17">
        <v>0</v>
      </c>
      <c r="N6" s="17">
        <v>0</v>
      </c>
      <c r="O6" s="17">
        <v>0</v>
      </c>
      <c r="P6" s="17">
        <v>0</v>
      </c>
      <c r="Q6" s="17">
        <v>0</v>
      </c>
      <c r="R6" s="86">
        <v>90</v>
      </c>
      <c r="S6" s="86"/>
      <c r="T6" s="86"/>
      <c r="U6" s="86"/>
      <c r="V6" s="87"/>
      <c r="W6" s="87"/>
    </row>
    <row r="7" spans="1:23" ht="15.75">
      <c r="A7" s="21" t="s">
        <v>33</v>
      </c>
      <c r="B7" s="1055">
        <v>30</v>
      </c>
      <c r="C7" s="1056">
        <v>6.7800452446036399</v>
      </c>
      <c r="D7" s="1057">
        <v>143859</v>
      </c>
      <c r="E7" s="1057">
        <v>4.7953000000000001</v>
      </c>
      <c r="F7" s="1058">
        <v>71929.5</v>
      </c>
      <c r="G7" s="1058">
        <v>10609</v>
      </c>
      <c r="H7" s="1058">
        <v>0.76890000000000003</v>
      </c>
      <c r="I7" s="1058">
        <v>2.563E-2</v>
      </c>
      <c r="J7" s="1055">
        <v>0.3846</v>
      </c>
      <c r="K7" s="1055">
        <v>1.0993599999999999E-2</v>
      </c>
      <c r="L7" s="17">
        <v>0</v>
      </c>
      <c r="M7" s="17">
        <v>0</v>
      </c>
      <c r="N7" s="17">
        <v>0</v>
      </c>
      <c r="O7" s="17">
        <v>0</v>
      </c>
      <c r="P7" s="17">
        <v>0</v>
      </c>
      <c r="Q7" s="17">
        <v>0</v>
      </c>
      <c r="R7" s="86">
        <v>88.9</v>
      </c>
      <c r="S7" s="86"/>
      <c r="T7" s="86"/>
      <c r="U7" s="86"/>
      <c r="V7" s="87"/>
      <c r="W7" s="87"/>
    </row>
    <row r="8" spans="1:23" ht="15.75">
      <c r="A8" s="22" t="s">
        <v>34</v>
      </c>
      <c r="B8" s="1059">
        <v>91</v>
      </c>
      <c r="C8" s="1060">
        <v>6.7800091182839797</v>
      </c>
      <c r="D8" s="1061">
        <v>416279</v>
      </c>
      <c r="E8" s="1061">
        <v>4.5744945000000001</v>
      </c>
      <c r="F8" s="1062">
        <v>208139.49999000001</v>
      </c>
      <c r="G8" s="1062">
        <v>30699.00001</v>
      </c>
      <c r="H8" s="1062">
        <v>2.3010600000000001</v>
      </c>
      <c r="I8" s="1062">
        <v>2.528E-2</v>
      </c>
      <c r="J8" s="1059">
        <v>1.1505300000000001</v>
      </c>
      <c r="K8" s="1059">
        <v>3.1849530010000002E-2</v>
      </c>
      <c r="L8" s="24">
        <v>0</v>
      </c>
      <c r="M8" s="24">
        <v>0</v>
      </c>
      <c r="N8" s="24">
        <v>0</v>
      </c>
      <c r="O8" s="24">
        <v>0</v>
      </c>
      <c r="P8" s="24">
        <v>0</v>
      </c>
      <c r="Q8" s="24">
        <v>0</v>
      </c>
      <c r="R8" s="86"/>
      <c r="S8" s="86"/>
      <c r="T8" s="86"/>
      <c r="U8" s="86"/>
      <c r="V8" s="87"/>
      <c r="W8" s="87"/>
    </row>
    <row r="9" spans="1:23" ht="15.75">
      <c r="A9" s="21" t="s">
        <v>35</v>
      </c>
      <c r="B9" s="1055">
        <v>31</v>
      </c>
      <c r="C9" s="1056">
        <v>6.7800969688124599</v>
      </c>
      <c r="D9" s="1057">
        <v>151047</v>
      </c>
      <c r="E9" s="1057">
        <v>4.8724838699999999</v>
      </c>
      <c r="F9" s="1058">
        <v>75523.5</v>
      </c>
      <c r="G9" s="1058">
        <v>11138.999980000001</v>
      </c>
      <c r="H9" s="1058">
        <v>0.79886999999999997</v>
      </c>
      <c r="I9" s="1058">
        <v>2.5770000000000001E-2</v>
      </c>
      <c r="J9" s="1055">
        <v>0.39959</v>
      </c>
      <c r="K9" s="1055">
        <v>1.153858998E-2</v>
      </c>
      <c r="L9" s="18"/>
      <c r="M9" s="18"/>
      <c r="N9" s="18"/>
      <c r="O9" s="18"/>
      <c r="P9" s="18"/>
      <c r="Q9" s="18"/>
      <c r="R9" s="86"/>
      <c r="S9" s="86"/>
      <c r="T9" s="86"/>
      <c r="U9" s="86"/>
      <c r="V9" s="87"/>
      <c r="W9" s="87"/>
    </row>
    <row r="10" spans="1:23" ht="15.75">
      <c r="A10" s="21" t="s">
        <v>36</v>
      </c>
      <c r="B10" s="1055">
        <v>31</v>
      </c>
      <c r="C10" s="1056"/>
      <c r="D10" s="1057">
        <v>0</v>
      </c>
      <c r="E10" s="1057">
        <v>0</v>
      </c>
      <c r="F10" s="1058">
        <v>0</v>
      </c>
      <c r="G10" s="1058">
        <v>0</v>
      </c>
      <c r="H10" s="1058">
        <v>0</v>
      </c>
      <c r="I10" s="1058">
        <v>0</v>
      </c>
      <c r="J10" s="1055">
        <v>0</v>
      </c>
      <c r="K10" s="1055">
        <v>0</v>
      </c>
      <c r="L10" s="17"/>
      <c r="M10" s="17"/>
      <c r="N10" s="17"/>
      <c r="O10" s="17"/>
      <c r="P10" s="17"/>
      <c r="Q10" s="17"/>
      <c r="R10" s="86"/>
      <c r="S10" s="86"/>
      <c r="T10" s="86"/>
      <c r="U10" s="86"/>
      <c r="V10" s="87"/>
      <c r="W10" s="87"/>
    </row>
    <row r="11" spans="1:23" ht="15.75">
      <c r="A11" s="21" t="s">
        <v>37</v>
      </c>
      <c r="B11" s="1055">
        <v>30</v>
      </c>
      <c r="C11" s="1056"/>
      <c r="D11" s="1057">
        <v>0</v>
      </c>
      <c r="E11" s="1057">
        <v>0</v>
      </c>
      <c r="F11" s="1058">
        <v>0</v>
      </c>
      <c r="G11" s="1058">
        <v>0</v>
      </c>
      <c r="H11" s="1058">
        <v>0</v>
      </c>
      <c r="I11" s="1058">
        <v>0</v>
      </c>
      <c r="J11" s="1055">
        <v>0</v>
      </c>
      <c r="K11" s="1055">
        <v>0</v>
      </c>
      <c r="L11" s="30"/>
      <c r="M11" s="30"/>
      <c r="N11" s="30"/>
      <c r="O11" s="30"/>
      <c r="P11" s="30"/>
      <c r="Q11" s="30"/>
      <c r="R11" s="88"/>
      <c r="S11" s="88"/>
      <c r="T11" s="88"/>
      <c r="U11" s="88"/>
      <c r="V11" s="89"/>
      <c r="W11" s="89"/>
    </row>
    <row r="12" spans="1:23" ht="15.75">
      <c r="A12" s="22" t="s">
        <v>38</v>
      </c>
      <c r="B12" s="1059">
        <v>92</v>
      </c>
      <c r="C12" s="1060">
        <v>6.7800969688124599</v>
      </c>
      <c r="D12" s="1061">
        <v>151047</v>
      </c>
      <c r="E12" s="1061">
        <v>1.64181522</v>
      </c>
      <c r="F12" s="1062">
        <v>75523.5</v>
      </c>
      <c r="G12" s="1062">
        <v>11138.999980000001</v>
      </c>
      <c r="H12" s="1062">
        <v>0.79886999999999997</v>
      </c>
      <c r="I12" s="1062">
        <v>8.6800000000000002E-3</v>
      </c>
      <c r="J12" s="1059">
        <v>0.39959</v>
      </c>
      <c r="K12" s="1059">
        <v>1.153858998E-2</v>
      </c>
      <c r="L12" s="24">
        <v>0</v>
      </c>
      <c r="M12" s="24">
        <v>0</v>
      </c>
      <c r="N12" s="24">
        <v>0</v>
      </c>
      <c r="O12" s="24">
        <v>0</v>
      </c>
      <c r="P12" s="24">
        <v>0</v>
      </c>
      <c r="Q12" s="24">
        <v>0</v>
      </c>
      <c r="R12" s="86"/>
      <c r="S12" s="86"/>
      <c r="T12" s="86"/>
      <c r="U12" s="86"/>
      <c r="V12" s="87"/>
      <c r="W12" s="87"/>
    </row>
    <row r="13" spans="1:23" ht="15.75">
      <c r="A13" s="34" t="s">
        <v>39</v>
      </c>
      <c r="B13" s="1063">
        <v>183</v>
      </c>
      <c r="C13" s="1064">
        <v>6.7800325077154797</v>
      </c>
      <c r="D13" s="1065">
        <v>567326</v>
      </c>
      <c r="E13" s="1065">
        <v>3.10014207</v>
      </c>
      <c r="F13" s="1066">
        <v>283662.99998999998</v>
      </c>
      <c r="G13" s="1066">
        <v>41837.999989999997</v>
      </c>
      <c r="H13" s="1066">
        <v>3.0999300000000001</v>
      </c>
      <c r="I13" s="1066">
        <v>1.694E-2</v>
      </c>
      <c r="J13" s="1063">
        <v>1.5501199999999999</v>
      </c>
      <c r="K13" s="1063">
        <v>4.3388119990000001E-2</v>
      </c>
      <c r="L13" s="36">
        <v>0</v>
      </c>
      <c r="M13" s="36">
        <v>0</v>
      </c>
      <c r="N13" s="36">
        <v>0</v>
      </c>
      <c r="O13" s="36">
        <v>0</v>
      </c>
      <c r="P13" s="36">
        <v>0</v>
      </c>
      <c r="Q13" s="36">
        <v>0</v>
      </c>
      <c r="R13" s="86"/>
      <c r="S13" s="86"/>
      <c r="T13" s="86"/>
      <c r="U13" s="86"/>
      <c r="V13" s="87"/>
      <c r="W13" s="87"/>
    </row>
    <row r="14" spans="1:23" ht="15.75">
      <c r="A14" s="21" t="s">
        <v>40</v>
      </c>
      <c r="B14" s="1055">
        <v>31</v>
      </c>
      <c r="C14" s="1056"/>
      <c r="D14" s="1057">
        <v>0</v>
      </c>
      <c r="E14" s="1057">
        <v>0</v>
      </c>
      <c r="F14" s="1058">
        <v>0</v>
      </c>
      <c r="G14" s="1058">
        <v>0</v>
      </c>
      <c r="H14" s="1058">
        <v>0</v>
      </c>
      <c r="I14" s="1058">
        <v>0</v>
      </c>
      <c r="J14" s="1055">
        <v>0</v>
      </c>
      <c r="K14" s="1055">
        <v>0</v>
      </c>
      <c r="L14" s="30"/>
      <c r="M14" s="30"/>
      <c r="N14" s="30"/>
      <c r="O14" s="30"/>
      <c r="P14" s="30"/>
      <c r="Q14" s="30"/>
      <c r="R14" s="88"/>
      <c r="S14" s="88"/>
      <c r="T14" s="88"/>
      <c r="U14" s="88"/>
      <c r="V14" s="89"/>
      <c r="W14" s="89"/>
    </row>
    <row r="15" spans="1:23" ht="15.75">
      <c r="A15" s="21" t="s">
        <v>41</v>
      </c>
      <c r="B15" s="1055">
        <v>30</v>
      </c>
      <c r="C15" s="1056"/>
      <c r="D15" s="1057">
        <v>0</v>
      </c>
      <c r="E15" s="1057">
        <v>0</v>
      </c>
      <c r="F15" s="1058">
        <v>0</v>
      </c>
      <c r="G15" s="1058">
        <v>0</v>
      </c>
      <c r="H15" s="1058">
        <v>0</v>
      </c>
      <c r="I15" s="1058">
        <v>0</v>
      </c>
      <c r="J15" s="1055">
        <v>0</v>
      </c>
      <c r="K15" s="1055">
        <v>0</v>
      </c>
      <c r="L15" s="30"/>
      <c r="M15" s="30"/>
      <c r="N15" s="30"/>
      <c r="O15" s="30"/>
      <c r="P15" s="30"/>
      <c r="Q15" s="30"/>
      <c r="R15" s="88"/>
      <c r="S15" s="88"/>
      <c r="T15" s="88"/>
      <c r="U15" s="88"/>
      <c r="V15" s="89"/>
      <c r="W15" s="89"/>
    </row>
    <row r="16" spans="1:23" ht="15.75">
      <c r="A16" s="21" t="s">
        <v>42</v>
      </c>
      <c r="B16" s="1055">
        <v>31</v>
      </c>
      <c r="C16" s="1056"/>
      <c r="D16" s="1057">
        <v>0</v>
      </c>
      <c r="E16" s="1057">
        <v>0</v>
      </c>
      <c r="F16" s="1058">
        <v>0</v>
      </c>
      <c r="G16" s="1058">
        <v>0</v>
      </c>
      <c r="H16" s="1058">
        <v>0</v>
      </c>
      <c r="I16" s="1058">
        <v>0</v>
      </c>
      <c r="J16" s="1055">
        <v>0</v>
      </c>
      <c r="K16" s="1055">
        <v>0</v>
      </c>
      <c r="L16" s="30"/>
      <c r="M16" s="30"/>
      <c r="N16" s="30"/>
      <c r="O16" s="30"/>
      <c r="P16" s="30"/>
      <c r="Q16" s="30"/>
      <c r="R16" s="88"/>
      <c r="S16" s="88"/>
      <c r="T16" s="88"/>
      <c r="U16" s="88"/>
      <c r="V16" s="89"/>
      <c r="W16" s="89"/>
    </row>
    <row r="17" spans="1:23" ht="15.75">
      <c r="A17" s="22" t="s">
        <v>43</v>
      </c>
      <c r="B17" s="1059">
        <v>92</v>
      </c>
      <c r="C17" s="1060"/>
      <c r="D17" s="1061">
        <v>0</v>
      </c>
      <c r="E17" s="1061">
        <v>0</v>
      </c>
      <c r="F17" s="1062">
        <v>0</v>
      </c>
      <c r="G17" s="1062">
        <v>0</v>
      </c>
      <c r="H17" s="1062">
        <v>0</v>
      </c>
      <c r="I17" s="1062">
        <v>0</v>
      </c>
      <c r="J17" s="1059">
        <v>0</v>
      </c>
      <c r="K17" s="1059">
        <v>0</v>
      </c>
      <c r="L17" s="24">
        <v>0</v>
      </c>
      <c r="M17" s="24">
        <v>0</v>
      </c>
      <c r="N17" s="24">
        <v>0</v>
      </c>
      <c r="O17" s="24">
        <v>0</v>
      </c>
      <c r="P17" s="24">
        <v>0</v>
      </c>
      <c r="Q17" s="24">
        <v>0</v>
      </c>
      <c r="R17" s="86"/>
      <c r="S17" s="86"/>
      <c r="T17" s="86"/>
      <c r="U17" s="86"/>
      <c r="V17" s="87"/>
      <c r="W17" s="87"/>
    </row>
    <row r="18" spans="1:23" ht="15.75">
      <c r="A18" s="21" t="s">
        <v>44</v>
      </c>
      <c r="B18" s="1055">
        <v>31</v>
      </c>
      <c r="C18" s="1056"/>
      <c r="D18" s="1057">
        <v>0</v>
      </c>
      <c r="E18" s="1057">
        <v>0</v>
      </c>
      <c r="F18" s="1058">
        <v>0</v>
      </c>
      <c r="G18" s="1058">
        <v>0</v>
      </c>
      <c r="H18" s="1058">
        <v>0</v>
      </c>
      <c r="I18" s="1058">
        <v>0</v>
      </c>
      <c r="J18" s="1055">
        <v>0</v>
      </c>
      <c r="K18" s="1055">
        <v>0</v>
      </c>
      <c r="L18" s="30"/>
      <c r="M18" s="30"/>
      <c r="N18" s="30"/>
      <c r="O18" s="30"/>
      <c r="P18" s="30"/>
      <c r="Q18" s="40"/>
      <c r="R18" s="90"/>
      <c r="S18" s="90"/>
      <c r="T18" s="90"/>
      <c r="U18" s="90"/>
      <c r="V18" s="91"/>
      <c r="W18" s="91"/>
    </row>
    <row r="19" spans="1:23" ht="15.75">
      <c r="A19" s="21" t="s">
        <v>45</v>
      </c>
      <c r="B19" s="1055">
        <v>28</v>
      </c>
      <c r="C19" s="1056"/>
      <c r="D19" s="1057">
        <v>0</v>
      </c>
      <c r="E19" s="1057">
        <v>0</v>
      </c>
      <c r="F19" s="1058">
        <v>0</v>
      </c>
      <c r="G19" s="1058">
        <v>0</v>
      </c>
      <c r="H19" s="1058">
        <v>0</v>
      </c>
      <c r="I19" s="1058">
        <v>0</v>
      </c>
      <c r="J19" s="1055">
        <v>0</v>
      </c>
      <c r="K19" s="1055">
        <v>0</v>
      </c>
      <c r="L19" s="30"/>
      <c r="M19" s="30"/>
      <c r="N19" s="30"/>
      <c r="O19" s="30"/>
      <c r="P19" s="30"/>
      <c r="Q19" s="40"/>
      <c r="R19" s="90"/>
      <c r="S19" s="90"/>
      <c r="T19" s="90"/>
      <c r="U19" s="90"/>
      <c r="V19" s="91"/>
      <c r="W19" s="91"/>
    </row>
    <row r="20" spans="1:23" ht="15.75">
      <c r="A20" s="21" t="s">
        <v>46</v>
      </c>
      <c r="B20" s="1055">
        <v>31</v>
      </c>
      <c r="C20" s="1056"/>
      <c r="D20" s="1057">
        <v>0</v>
      </c>
      <c r="E20" s="1057">
        <v>0</v>
      </c>
      <c r="F20" s="1058">
        <v>0</v>
      </c>
      <c r="G20" s="1058">
        <v>0</v>
      </c>
      <c r="H20" s="1058">
        <v>0</v>
      </c>
      <c r="I20" s="1058">
        <v>0</v>
      </c>
      <c r="J20" s="1055">
        <v>0</v>
      </c>
      <c r="K20" s="1055">
        <v>0</v>
      </c>
      <c r="L20" s="30"/>
      <c r="M20" s="30"/>
      <c r="N20" s="30"/>
      <c r="O20" s="30"/>
      <c r="P20" s="30"/>
      <c r="Q20" s="40"/>
      <c r="R20" s="90"/>
      <c r="S20" s="90"/>
      <c r="T20" s="90"/>
      <c r="U20" s="90"/>
      <c r="V20" s="91"/>
      <c r="W20" s="91"/>
    </row>
    <row r="21" spans="1:23" ht="15.75">
      <c r="A21" s="22" t="s">
        <v>47</v>
      </c>
      <c r="B21" s="1059">
        <v>90</v>
      </c>
      <c r="C21" s="1060"/>
      <c r="D21" s="1061">
        <v>0</v>
      </c>
      <c r="E21" s="1061">
        <v>0</v>
      </c>
      <c r="F21" s="1062">
        <v>0</v>
      </c>
      <c r="G21" s="1062">
        <v>0</v>
      </c>
      <c r="H21" s="1062">
        <v>0</v>
      </c>
      <c r="I21" s="1062">
        <v>0</v>
      </c>
      <c r="J21" s="1059">
        <v>0</v>
      </c>
      <c r="K21" s="1059">
        <v>0</v>
      </c>
      <c r="L21" s="24">
        <v>0</v>
      </c>
      <c r="M21" s="24">
        <v>0</v>
      </c>
      <c r="N21" s="24">
        <v>0</v>
      </c>
      <c r="O21" s="24">
        <v>0</v>
      </c>
      <c r="P21" s="24">
        <v>0</v>
      </c>
      <c r="Q21" s="44">
        <v>0</v>
      </c>
      <c r="R21" s="92"/>
      <c r="S21" s="92"/>
      <c r="T21" s="92"/>
      <c r="U21" s="92"/>
      <c r="V21" s="93"/>
      <c r="W21" s="93"/>
    </row>
    <row r="22" spans="1:23" ht="15.75">
      <c r="A22" s="34" t="s">
        <v>48</v>
      </c>
      <c r="B22" s="1063">
        <v>182</v>
      </c>
      <c r="C22" s="1064"/>
      <c r="D22" s="1065">
        <v>0</v>
      </c>
      <c r="E22" s="1065">
        <v>0</v>
      </c>
      <c r="F22" s="1066">
        <v>0</v>
      </c>
      <c r="G22" s="1066">
        <v>0</v>
      </c>
      <c r="H22" s="1066">
        <v>0</v>
      </c>
      <c r="I22" s="1066">
        <v>0</v>
      </c>
      <c r="J22" s="1063">
        <v>0</v>
      </c>
      <c r="K22" s="1063">
        <v>0</v>
      </c>
      <c r="L22" s="36">
        <v>0</v>
      </c>
      <c r="M22" s="36">
        <v>0</v>
      </c>
      <c r="N22" s="36">
        <v>0</v>
      </c>
      <c r="O22" s="36">
        <v>0</v>
      </c>
      <c r="P22" s="36">
        <v>0</v>
      </c>
      <c r="Q22" s="48">
        <v>0</v>
      </c>
      <c r="R22" s="92"/>
      <c r="S22" s="92"/>
      <c r="T22" s="92"/>
      <c r="U22" s="92"/>
      <c r="V22" s="93"/>
      <c r="W22" s="93"/>
    </row>
    <row r="23" spans="1:23" ht="16.5" thickBot="1">
      <c r="A23" s="94" t="str">
        <f>RIGHT(A1,7)</f>
        <v>2025</v>
      </c>
      <c r="B23" s="1067">
        <v>365</v>
      </c>
      <c r="C23" s="1068">
        <v>6.7800325077154797</v>
      </c>
      <c r="D23" s="1069">
        <v>567326</v>
      </c>
      <c r="E23" s="1069">
        <v>1.5543178200000001</v>
      </c>
      <c r="F23" s="1070">
        <v>283662.99998999998</v>
      </c>
      <c r="G23" s="1070">
        <v>41837.999989999997</v>
      </c>
      <c r="H23" s="1070">
        <v>3.0999300000000001</v>
      </c>
      <c r="I23" s="1070">
        <v>8.5000000000000006E-3</v>
      </c>
      <c r="J23" s="1067">
        <v>1.5501199999999999</v>
      </c>
      <c r="K23" s="1067">
        <v>4.3388119990000001E-2</v>
      </c>
      <c r="L23" s="96">
        <v>0</v>
      </c>
      <c r="M23" s="96">
        <v>0</v>
      </c>
      <c r="N23" s="96">
        <v>0</v>
      </c>
      <c r="O23" s="96">
        <v>0</v>
      </c>
      <c r="P23" s="96">
        <v>0</v>
      </c>
      <c r="Q23" s="97">
        <v>0</v>
      </c>
      <c r="R23" s="98"/>
      <c r="S23" s="98"/>
      <c r="T23" s="98"/>
      <c r="U23" s="98"/>
      <c r="V23" s="99"/>
      <c r="W23" s="99"/>
    </row>
    <row r="24" spans="1:23" ht="15.75">
      <c r="A24" s="1139"/>
      <c r="B24" s="1140"/>
      <c r="C24" s="1140"/>
      <c r="D24" s="1140"/>
      <c r="E24" s="1140"/>
      <c r="F24" s="1140"/>
      <c r="G24" s="1140"/>
      <c r="H24" s="1140"/>
      <c r="I24" s="1140"/>
      <c r="J24" s="1140"/>
      <c r="K24" s="178"/>
      <c r="L24" s="59"/>
      <c r="M24" s="59"/>
      <c r="N24" s="59"/>
      <c r="O24" s="59"/>
      <c r="P24" s="59"/>
      <c r="Q24" s="59"/>
      <c r="R24" s="59"/>
      <c r="S24" s="59"/>
      <c r="T24" s="59"/>
      <c r="U24" s="59"/>
      <c r="V24" s="59"/>
      <c r="W24" s="60"/>
    </row>
    <row r="25" spans="1:23" ht="15.75">
      <c r="A25" s="61" t="str">
        <f>IF(AND(X24=0,Y24=0),"OK","ERROR")</f>
        <v>OK</v>
      </c>
      <c r="B25" s="61"/>
      <c r="C25" s="61"/>
      <c r="D25" s="59"/>
      <c r="E25" s="59"/>
      <c r="F25" s="100"/>
      <c r="G25" s="101"/>
      <c r="H25" s="102"/>
      <c r="I25" s="59"/>
      <c r="J25" s="59"/>
      <c r="K25" s="59"/>
      <c r="L25" s="59"/>
      <c r="M25" s="59"/>
      <c r="N25" s="59"/>
      <c r="O25" s="59"/>
      <c r="P25" s="59"/>
      <c r="Q25" s="59"/>
      <c r="R25" s="59"/>
      <c r="S25" s="59"/>
      <c r="T25" s="59"/>
      <c r="U25" s="59"/>
      <c r="V25" s="61"/>
      <c r="W25" s="61"/>
    </row>
  </sheetData>
  <sheetProtection algorithmName="SHA-512" hashValue="I52oO9OMYB8Pv+312uHWs5bP3ihpzvTmgglcY+GQyUorkw0OTl7Pb3JDU7kxwDMFQp8+skYwnKc10VJCgv463Q==" saltValue="p8CZ54pTuhDoWW/qgqUqZg==" spinCount="100000" sheet="1" objects="1" scenarios="1"/>
  <mergeCells count="11">
    <mergeCell ref="W3:W4"/>
    <mergeCell ref="A3:B3"/>
    <mergeCell ref="C3:G3"/>
    <mergeCell ref="H3:J3"/>
    <mergeCell ref="L3:N3"/>
    <mergeCell ref="O3:Q3"/>
    <mergeCell ref="A24:J24"/>
    <mergeCell ref="C1:G1"/>
    <mergeCell ref="S3:T3"/>
    <mergeCell ref="U3:U4"/>
    <mergeCell ref="V3:V4"/>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7030A0"/>
  </sheetPr>
  <dimension ref="A1:W25"/>
  <sheetViews>
    <sheetView workbookViewId="0">
      <selection activeCell="AA12" sqref="AA12"/>
    </sheetView>
  </sheetViews>
  <sheetFormatPr defaultColWidth="8.85546875" defaultRowHeight="15"/>
  <cols>
    <col min="1" max="1" width="19.42578125" customWidth="1"/>
    <col min="2" max="2" width="15.7109375" customWidth="1"/>
    <col min="3" max="3" width="9.7109375" customWidth="1"/>
    <col min="4" max="4" width="9.85546875" customWidth="1"/>
    <col min="5" max="5" width="11.42578125" customWidth="1"/>
    <col min="6" max="6" width="9.85546875" customWidth="1"/>
    <col min="8" max="8" width="14.85546875" customWidth="1"/>
    <col min="9" max="9" width="17.42578125" customWidth="1"/>
    <col min="10" max="10" width="11.7109375" customWidth="1"/>
    <col min="12" max="17" width="0" hidden="1" customWidth="1"/>
    <col min="18" max="18" width="27" hidden="1" customWidth="1"/>
    <col min="19" max="20" width="21.42578125" hidden="1" customWidth="1"/>
    <col min="21" max="21" width="27.140625" hidden="1" customWidth="1"/>
    <col min="22" max="22" width="23.7109375" hidden="1" customWidth="1"/>
    <col min="23" max="23" width="26.140625" hidden="1" customWidth="1"/>
  </cols>
  <sheetData>
    <row r="1" spans="1:23" ht="20.25">
      <c r="A1" s="483">
        <v>2025</v>
      </c>
      <c r="B1" s="484"/>
      <c r="C1" s="1150" t="s">
        <v>70</v>
      </c>
      <c r="D1" s="1150"/>
      <c r="E1" s="1150"/>
      <c r="F1" s="1150"/>
      <c r="G1" s="1150"/>
      <c r="H1" s="485" t="str">
        <f>interFY_transition!D17</f>
        <v>2026-27</v>
      </c>
      <c r="I1" s="484" t="s">
        <v>864</v>
      </c>
      <c r="J1" s="484"/>
      <c r="K1" s="484"/>
      <c r="L1" s="484"/>
      <c r="M1" s="484"/>
      <c r="N1" s="484"/>
      <c r="O1" s="484"/>
      <c r="P1" s="484"/>
      <c r="Q1" s="175"/>
      <c r="R1" s="175"/>
      <c r="S1" s="175"/>
      <c r="T1" s="175"/>
      <c r="U1" s="175"/>
      <c r="V1" s="175"/>
      <c r="W1" s="175"/>
    </row>
    <row r="2" spans="1:23" ht="15.75">
      <c r="A2" s="6"/>
      <c r="B2" s="5"/>
      <c r="C2" s="7"/>
      <c r="D2" s="4"/>
      <c r="E2" s="8"/>
      <c r="F2" s="8"/>
      <c r="G2" s="8"/>
      <c r="H2" s="5"/>
      <c r="I2" s="4"/>
      <c r="J2" s="4"/>
      <c r="K2" s="4"/>
      <c r="L2" s="4"/>
      <c r="M2" s="4"/>
      <c r="N2" s="4"/>
      <c r="O2" s="4"/>
      <c r="P2" s="4"/>
      <c r="Q2" s="4"/>
      <c r="R2" s="4"/>
      <c r="S2" s="4"/>
      <c r="T2" s="4"/>
      <c r="U2" s="4"/>
      <c r="V2" s="4"/>
      <c r="W2" s="4"/>
    </row>
    <row r="3" spans="1:23" ht="15.75">
      <c r="A3" s="1152" t="s">
        <v>0</v>
      </c>
      <c r="B3" s="1152"/>
      <c r="C3" s="1144" t="s">
        <v>1</v>
      </c>
      <c r="D3" s="1144"/>
      <c r="E3" s="1144"/>
      <c r="F3" s="1144"/>
      <c r="G3" s="1144"/>
      <c r="H3" s="1145" t="s">
        <v>2</v>
      </c>
      <c r="I3" s="1145"/>
      <c r="J3" s="1145"/>
      <c r="K3" s="177" t="s">
        <v>3</v>
      </c>
      <c r="L3" s="1146" t="s">
        <v>4</v>
      </c>
      <c r="M3" s="1147"/>
      <c r="N3" s="1148"/>
      <c r="O3" s="1149" t="s">
        <v>5</v>
      </c>
      <c r="P3" s="1149"/>
      <c r="Q3" s="1149"/>
      <c r="R3" s="176" t="s">
        <v>6</v>
      </c>
      <c r="S3" s="1135" t="s">
        <v>7</v>
      </c>
      <c r="T3" s="1141"/>
      <c r="U3" s="1137" t="s">
        <v>49</v>
      </c>
      <c r="V3" s="1137" t="s">
        <v>9</v>
      </c>
      <c r="W3" s="1137" t="s">
        <v>10</v>
      </c>
    </row>
    <row r="4" spans="1:23" ht="90">
      <c r="A4" s="71"/>
      <c r="B4" s="84" t="s">
        <v>11</v>
      </c>
      <c r="C4" s="13" t="s">
        <v>12</v>
      </c>
      <c r="D4" s="13" t="s">
        <v>13</v>
      </c>
      <c r="E4" s="13" t="s">
        <v>14</v>
      </c>
      <c r="F4" s="13" t="s">
        <v>15</v>
      </c>
      <c r="G4" s="13" t="s">
        <v>16</v>
      </c>
      <c r="H4" s="174" t="s">
        <v>17</v>
      </c>
      <c r="I4" s="13" t="s">
        <v>18</v>
      </c>
      <c r="J4" s="13" t="s">
        <v>19</v>
      </c>
      <c r="K4" s="13" t="s">
        <v>20</v>
      </c>
      <c r="L4" s="174" t="s">
        <v>21</v>
      </c>
      <c r="M4" s="174" t="s">
        <v>22</v>
      </c>
      <c r="N4" s="174" t="s">
        <v>23</v>
      </c>
      <c r="O4" s="174" t="s">
        <v>24</v>
      </c>
      <c r="P4" s="174" t="s">
        <v>25</v>
      </c>
      <c r="Q4" s="174" t="s">
        <v>26</v>
      </c>
      <c r="R4" s="174" t="s">
        <v>27</v>
      </c>
      <c r="S4" s="174" t="s">
        <v>28</v>
      </c>
      <c r="T4" s="174" t="s">
        <v>29</v>
      </c>
      <c r="U4" s="1137"/>
      <c r="V4" s="1137"/>
      <c r="W4" s="1137"/>
    </row>
    <row r="5" spans="1:23" ht="15.95" customHeight="1">
      <c r="A5" s="15" t="s">
        <v>30</v>
      </c>
      <c r="B5" s="1055">
        <v>30</v>
      </c>
      <c r="C5" s="1056"/>
      <c r="D5" s="1057"/>
      <c r="E5" s="1057">
        <v>0</v>
      </c>
      <c r="F5" s="1058"/>
      <c r="G5" s="1058"/>
      <c r="H5" s="1058">
        <v>395.79993000000002</v>
      </c>
      <c r="I5" s="1058">
        <v>13.19333</v>
      </c>
      <c r="J5" s="1055">
        <v>67.286010000000005</v>
      </c>
      <c r="K5" s="1055">
        <v>6.7286009999999993E-2</v>
      </c>
      <c r="L5" s="17">
        <v>0</v>
      </c>
      <c r="M5" s="17">
        <v>0</v>
      </c>
      <c r="N5" s="17">
        <v>0</v>
      </c>
      <c r="O5" s="17">
        <v>0</v>
      </c>
      <c r="P5" s="17">
        <v>0</v>
      </c>
      <c r="Q5" s="17">
        <v>0</v>
      </c>
      <c r="R5" s="17">
        <v>0</v>
      </c>
      <c r="S5" s="17">
        <v>0</v>
      </c>
      <c r="T5" s="17">
        <v>0</v>
      </c>
      <c r="U5" s="17"/>
      <c r="V5" s="103"/>
      <c r="W5" s="17"/>
    </row>
    <row r="6" spans="1:23" ht="15.95" customHeight="1">
      <c r="A6" s="21" t="s">
        <v>32</v>
      </c>
      <c r="B6" s="1055">
        <v>31</v>
      </c>
      <c r="C6" s="1056"/>
      <c r="D6" s="1057"/>
      <c r="E6" s="1057">
        <v>0</v>
      </c>
      <c r="F6" s="1058"/>
      <c r="G6" s="1058"/>
      <c r="H6" s="1058">
        <v>426.48</v>
      </c>
      <c r="I6" s="1058">
        <v>13.75742</v>
      </c>
      <c r="J6" s="1055">
        <v>72.501589999999993</v>
      </c>
      <c r="K6" s="1055">
        <v>7.2501590000000005E-2</v>
      </c>
      <c r="L6" s="17">
        <v>0</v>
      </c>
      <c r="M6" s="17">
        <v>0</v>
      </c>
      <c r="N6" s="17">
        <v>0</v>
      </c>
      <c r="O6" s="17">
        <v>0</v>
      </c>
      <c r="P6" s="17">
        <v>0</v>
      </c>
      <c r="Q6" s="17">
        <v>0</v>
      </c>
      <c r="R6" s="17">
        <v>0</v>
      </c>
      <c r="S6" s="17">
        <v>0</v>
      </c>
      <c r="T6" s="17">
        <v>0</v>
      </c>
      <c r="U6" s="17"/>
      <c r="V6" s="103"/>
      <c r="W6" s="17"/>
    </row>
    <row r="7" spans="1:23" ht="15.95" customHeight="1">
      <c r="A7" s="21" t="s">
        <v>33</v>
      </c>
      <c r="B7" s="1055">
        <v>30</v>
      </c>
      <c r="C7" s="1056"/>
      <c r="D7" s="1057"/>
      <c r="E7" s="1057">
        <v>0</v>
      </c>
      <c r="F7" s="1058"/>
      <c r="G7" s="1058"/>
      <c r="H7" s="1058">
        <v>433.57116000000002</v>
      </c>
      <c r="I7" s="1058">
        <v>14.45238</v>
      </c>
      <c r="J7" s="1055">
        <v>73.70711</v>
      </c>
      <c r="K7" s="1055">
        <v>7.3707110000000006E-2</v>
      </c>
      <c r="L7" s="17">
        <v>0</v>
      </c>
      <c r="M7" s="17">
        <v>0</v>
      </c>
      <c r="N7" s="17">
        <v>0</v>
      </c>
      <c r="O7" s="17">
        <v>0</v>
      </c>
      <c r="P7" s="17">
        <v>0</v>
      </c>
      <c r="Q7" s="17">
        <v>0</v>
      </c>
      <c r="R7" s="17">
        <v>0</v>
      </c>
      <c r="S7" s="17">
        <v>0</v>
      </c>
      <c r="T7" s="17">
        <v>0</v>
      </c>
      <c r="U7" s="17"/>
      <c r="V7" s="103"/>
      <c r="W7" s="17"/>
    </row>
    <row r="8" spans="1:23" ht="15.95" customHeight="1">
      <c r="A8" s="22" t="s">
        <v>34</v>
      </c>
      <c r="B8" s="1059">
        <v>91</v>
      </c>
      <c r="C8" s="1060"/>
      <c r="D8" s="1061"/>
      <c r="E8" s="1061">
        <v>0</v>
      </c>
      <c r="F8" s="1062"/>
      <c r="G8" s="1062"/>
      <c r="H8" s="1062">
        <v>1255.8510900000001</v>
      </c>
      <c r="I8" s="1062">
        <v>13.800560000000001</v>
      </c>
      <c r="J8" s="1059">
        <v>213.49471</v>
      </c>
      <c r="K8" s="1059">
        <v>0.21349471</v>
      </c>
      <c r="L8" s="24">
        <v>0</v>
      </c>
      <c r="M8" s="24">
        <v>0</v>
      </c>
      <c r="N8" s="24">
        <v>0</v>
      </c>
      <c r="O8" s="24">
        <v>0</v>
      </c>
      <c r="P8" s="24">
        <v>0</v>
      </c>
      <c r="Q8" s="24">
        <v>0</v>
      </c>
      <c r="R8" s="24"/>
      <c r="S8" s="24"/>
      <c r="T8" s="24"/>
      <c r="U8" s="24"/>
      <c r="V8" s="24"/>
      <c r="W8" s="24"/>
    </row>
    <row r="9" spans="1:23" ht="15.95" customHeight="1">
      <c r="A9" s="21" t="s">
        <v>35</v>
      </c>
      <c r="B9" s="1055">
        <v>31</v>
      </c>
      <c r="C9" s="1056"/>
      <c r="D9" s="1057"/>
      <c r="E9" s="1057">
        <v>0</v>
      </c>
      <c r="F9" s="1058"/>
      <c r="G9" s="1058"/>
      <c r="H9" s="1058">
        <v>440.76175999999998</v>
      </c>
      <c r="I9" s="1058">
        <v>14.218120000000001</v>
      </c>
      <c r="J9" s="1055">
        <v>74.929540000000003</v>
      </c>
      <c r="K9" s="1055">
        <v>7.4929540000000003E-2</v>
      </c>
      <c r="L9" s="17"/>
      <c r="M9" s="17"/>
      <c r="N9" s="17"/>
      <c r="O9" s="17"/>
      <c r="P9" s="17"/>
      <c r="Q9" s="17"/>
      <c r="R9" s="17"/>
      <c r="S9" s="17"/>
      <c r="T9" s="17"/>
      <c r="U9" s="17"/>
      <c r="V9" s="103"/>
      <c r="W9" s="17"/>
    </row>
    <row r="10" spans="1:23" ht="15.95" customHeight="1">
      <c r="A10" s="21" t="s">
        <v>36</v>
      </c>
      <c r="B10" s="1055">
        <v>31</v>
      </c>
      <c r="C10" s="1056"/>
      <c r="D10" s="1057"/>
      <c r="E10" s="1057">
        <v>0</v>
      </c>
      <c r="F10" s="1058"/>
      <c r="G10" s="1058"/>
      <c r="H10" s="1058">
        <v>0</v>
      </c>
      <c r="I10" s="1058">
        <v>0</v>
      </c>
      <c r="J10" s="1055">
        <v>0</v>
      </c>
      <c r="K10" s="1055">
        <v>0</v>
      </c>
      <c r="L10" s="17"/>
      <c r="M10" s="17"/>
      <c r="N10" s="17"/>
      <c r="O10" s="17"/>
      <c r="P10" s="17"/>
      <c r="Q10" s="17"/>
      <c r="R10" s="17"/>
      <c r="S10" s="17"/>
      <c r="T10" s="17"/>
      <c r="U10" s="17"/>
      <c r="V10" s="103"/>
      <c r="W10" s="17"/>
    </row>
    <row r="11" spans="1:23" ht="15.95" customHeight="1">
      <c r="A11" s="21" t="s">
        <v>37</v>
      </c>
      <c r="B11" s="1055">
        <v>30</v>
      </c>
      <c r="C11" s="1056"/>
      <c r="D11" s="1057"/>
      <c r="E11" s="1057">
        <v>0</v>
      </c>
      <c r="F11" s="1058"/>
      <c r="G11" s="1058"/>
      <c r="H11" s="1058">
        <v>0</v>
      </c>
      <c r="I11" s="1058">
        <v>0</v>
      </c>
      <c r="J11" s="1055">
        <v>0</v>
      </c>
      <c r="K11" s="1055">
        <v>0</v>
      </c>
      <c r="L11" s="30"/>
      <c r="M11" s="30"/>
      <c r="N11" s="30"/>
      <c r="O11" s="30"/>
      <c r="P11" s="30"/>
      <c r="Q11" s="30"/>
      <c r="R11" s="30"/>
      <c r="S11" s="30"/>
      <c r="T11" s="30"/>
      <c r="U11" s="30"/>
      <c r="V11" s="30"/>
      <c r="W11" s="30"/>
    </row>
    <row r="12" spans="1:23" ht="15.75">
      <c r="A12" s="22" t="s">
        <v>38</v>
      </c>
      <c r="B12" s="1059">
        <v>92</v>
      </c>
      <c r="C12" s="1060"/>
      <c r="D12" s="1061"/>
      <c r="E12" s="1061">
        <v>0</v>
      </c>
      <c r="F12" s="1062"/>
      <c r="G12" s="1062"/>
      <c r="H12" s="1062">
        <v>440.76175999999998</v>
      </c>
      <c r="I12" s="1062">
        <v>4.7908900000000001</v>
      </c>
      <c r="J12" s="1059">
        <v>74.929540000000003</v>
      </c>
      <c r="K12" s="1059">
        <v>7.4929540000000003E-2</v>
      </c>
      <c r="L12" s="24">
        <v>0</v>
      </c>
      <c r="M12" s="24">
        <v>0</v>
      </c>
      <c r="N12" s="24">
        <v>0</v>
      </c>
      <c r="O12" s="24">
        <v>0</v>
      </c>
      <c r="P12" s="24">
        <v>0</v>
      </c>
      <c r="Q12" s="24">
        <v>0</v>
      </c>
      <c r="R12" s="24"/>
      <c r="S12" s="24"/>
      <c r="T12" s="24"/>
      <c r="U12" s="24"/>
      <c r="V12" s="24"/>
      <c r="W12" s="24"/>
    </row>
    <row r="13" spans="1:23" ht="15.75">
      <c r="A13" s="34" t="s">
        <v>39</v>
      </c>
      <c r="B13" s="1063">
        <v>183</v>
      </c>
      <c r="C13" s="1064"/>
      <c r="D13" s="1065"/>
      <c r="E13" s="1065">
        <v>0</v>
      </c>
      <c r="F13" s="1066"/>
      <c r="G13" s="1066"/>
      <c r="H13" s="1066">
        <v>1696.61285</v>
      </c>
      <c r="I13" s="1066">
        <v>9.2711199999999998</v>
      </c>
      <c r="J13" s="1063">
        <v>288.42424999999997</v>
      </c>
      <c r="K13" s="1063">
        <v>0.28842424999999999</v>
      </c>
      <c r="L13" s="36">
        <v>0</v>
      </c>
      <c r="M13" s="36">
        <v>0</v>
      </c>
      <c r="N13" s="36">
        <v>0</v>
      </c>
      <c r="O13" s="36">
        <v>0</v>
      </c>
      <c r="P13" s="36">
        <v>0</v>
      </c>
      <c r="Q13" s="36">
        <v>0</v>
      </c>
      <c r="R13" s="36"/>
      <c r="S13" s="36"/>
      <c r="T13" s="36"/>
      <c r="U13" s="36"/>
      <c r="V13" s="36"/>
      <c r="W13" s="36"/>
    </row>
    <row r="14" spans="1:23" ht="15.75">
      <c r="A14" s="21" t="s">
        <v>40</v>
      </c>
      <c r="B14" s="1055">
        <v>31</v>
      </c>
      <c r="C14" s="1056"/>
      <c r="D14" s="1057"/>
      <c r="E14" s="1057">
        <v>0</v>
      </c>
      <c r="F14" s="1058"/>
      <c r="G14" s="1058"/>
      <c r="H14" s="1058">
        <v>0</v>
      </c>
      <c r="I14" s="1058">
        <v>0</v>
      </c>
      <c r="J14" s="1055">
        <v>0</v>
      </c>
      <c r="K14" s="1055">
        <v>0</v>
      </c>
      <c r="L14" s="30"/>
      <c r="M14" s="30"/>
      <c r="N14" s="30"/>
      <c r="O14" s="30"/>
      <c r="P14" s="30"/>
      <c r="Q14" s="30"/>
      <c r="R14" s="30"/>
      <c r="S14" s="30"/>
      <c r="T14" s="30"/>
      <c r="U14" s="30"/>
      <c r="V14" s="30"/>
      <c r="W14" s="30"/>
    </row>
    <row r="15" spans="1:23" ht="15.75">
      <c r="A15" s="21" t="s">
        <v>41</v>
      </c>
      <c r="B15" s="1055">
        <v>30</v>
      </c>
      <c r="C15" s="1056"/>
      <c r="D15" s="1057"/>
      <c r="E15" s="1057">
        <v>0</v>
      </c>
      <c r="F15" s="1058"/>
      <c r="G15" s="1058"/>
      <c r="H15" s="1058">
        <v>0</v>
      </c>
      <c r="I15" s="1058">
        <v>0</v>
      </c>
      <c r="J15" s="1055">
        <v>0</v>
      </c>
      <c r="K15" s="1055">
        <v>0</v>
      </c>
      <c r="L15" s="30"/>
      <c r="M15" s="30"/>
      <c r="N15" s="30"/>
      <c r="O15" s="30"/>
      <c r="P15" s="30"/>
      <c r="Q15" s="30"/>
      <c r="R15" s="30"/>
      <c r="S15" s="30"/>
      <c r="T15" s="30"/>
      <c r="U15" s="30"/>
      <c r="V15" s="30"/>
      <c r="W15" s="30"/>
    </row>
    <row r="16" spans="1:23" ht="15.75">
      <c r="A16" s="21" t="s">
        <v>42</v>
      </c>
      <c r="B16" s="1055">
        <v>31</v>
      </c>
      <c r="C16" s="1056"/>
      <c r="D16" s="1057"/>
      <c r="E16" s="1057">
        <v>0</v>
      </c>
      <c r="F16" s="1058"/>
      <c r="G16" s="1058"/>
      <c r="H16" s="1058">
        <v>0</v>
      </c>
      <c r="I16" s="1058">
        <v>0</v>
      </c>
      <c r="J16" s="1055">
        <v>0</v>
      </c>
      <c r="K16" s="1055">
        <v>0</v>
      </c>
      <c r="L16" s="30"/>
      <c r="M16" s="30"/>
      <c r="N16" s="30"/>
      <c r="O16" s="30"/>
      <c r="P16" s="30"/>
      <c r="Q16" s="30"/>
      <c r="R16" s="30"/>
      <c r="S16" s="30"/>
      <c r="T16" s="30"/>
      <c r="U16" s="30"/>
      <c r="V16" s="30"/>
      <c r="W16" s="30"/>
    </row>
    <row r="17" spans="1:23" ht="15.75">
      <c r="A17" s="22" t="s">
        <v>43</v>
      </c>
      <c r="B17" s="1059">
        <v>92</v>
      </c>
      <c r="C17" s="1060"/>
      <c r="D17" s="1061"/>
      <c r="E17" s="1061">
        <v>0</v>
      </c>
      <c r="F17" s="1062"/>
      <c r="G17" s="1062"/>
      <c r="H17" s="1062">
        <v>0</v>
      </c>
      <c r="I17" s="1062">
        <v>0</v>
      </c>
      <c r="J17" s="1059">
        <v>0</v>
      </c>
      <c r="K17" s="1059">
        <v>0</v>
      </c>
      <c r="L17" s="24">
        <v>0</v>
      </c>
      <c r="M17" s="24">
        <v>0</v>
      </c>
      <c r="N17" s="24">
        <v>0</v>
      </c>
      <c r="O17" s="24">
        <v>0</v>
      </c>
      <c r="P17" s="24">
        <v>0</v>
      </c>
      <c r="Q17" s="24">
        <v>0</v>
      </c>
      <c r="R17" s="24"/>
      <c r="S17" s="24"/>
      <c r="T17" s="24"/>
      <c r="U17" s="24"/>
      <c r="V17" s="24"/>
      <c r="W17" s="24"/>
    </row>
    <row r="18" spans="1:23" ht="15.75">
      <c r="A18" s="21" t="s">
        <v>44</v>
      </c>
      <c r="B18" s="1055">
        <v>31</v>
      </c>
      <c r="C18" s="1056"/>
      <c r="D18" s="1057"/>
      <c r="E18" s="1057">
        <v>0</v>
      </c>
      <c r="F18" s="1058"/>
      <c r="G18" s="1058"/>
      <c r="H18" s="1058">
        <v>0</v>
      </c>
      <c r="I18" s="1058">
        <v>0</v>
      </c>
      <c r="J18" s="1055">
        <v>0</v>
      </c>
      <c r="K18" s="1055">
        <v>0</v>
      </c>
      <c r="L18" s="30"/>
      <c r="M18" s="30"/>
      <c r="N18" s="30"/>
      <c r="O18" s="30"/>
      <c r="P18" s="30"/>
      <c r="Q18" s="30"/>
      <c r="R18" s="40"/>
      <c r="S18" s="40"/>
      <c r="T18" s="40"/>
      <c r="U18" s="40"/>
      <c r="V18" s="40"/>
      <c r="W18" s="40"/>
    </row>
    <row r="19" spans="1:23" ht="15.75">
      <c r="A19" s="21" t="s">
        <v>45</v>
      </c>
      <c r="B19" s="1055">
        <v>28</v>
      </c>
      <c r="C19" s="1056"/>
      <c r="D19" s="1057"/>
      <c r="E19" s="1057">
        <v>0</v>
      </c>
      <c r="F19" s="1058"/>
      <c r="G19" s="1058"/>
      <c r="H19" s="1058">
        <v>0</v>
      </c>
      <c r="I19" s="1058">
        <v>0</v>
      </c>
      <c r="J19" s="1055">
        <v>0</v>
      </c>
      <c r="K19" s="1055">
        <v>0</v>
      </c>
      <c r="L19" s="30"/>
      <c r="M19" s="30"/>
      <c r="N19" s="30"/>
      <c r="O19" s="30"/>
      <c r="P19" s="30"/>
      <c r="Q19" s="30"/>
      <c r="R19" s="40"/>
      <c r="S19" s="40"/>
      <c r="T19" s="40"/>
      <c r="U19" s="40"/>
      <c r="V19" s="40"/>
      <c r="W19" s="40"/>
    </row>
    <row r="20" spans="1:23" ht="15.75">
      <c r="A20" s="21" t="s">
        <v>46</v>
      </c>
      <c r="B20" s="1055">
        <v>31</v>
      </c>
      <c r="C20" s="1056"/>
      <c r="D20" s="1057"/>
      <c r="E20" s="1057">
        <v>0</v>
      </c>
      <c r="F20" s="1058"/>
      <c r="G20" s="1058"/>
      <c r="H20" s="1058">
        <v>0</v>
      </c>
      <c r="I20" s="1058">
        <v>0</v>
      </c>
      <c r="J20" s="1055">
        <v>0</v>
      </c>
      <c r="K20" s="1055">
        <v>0</v>
      </c>
      <c r="L20" s="30"/>
      <c r="M20" s="30"/>
      <c r="N20" s="30"/>
      <c r="O20" s="30"/>
      <c r="P20" s="30"/>
      <c r="Q20" s="30"/>
      <c r="R20" s="40"/>
      <c r="S20" s="40"/>
      <c r="T20" s="40"/>
      <c r="U20" s="40"/>
      <c r="V20" s="40"/>
      <c r="W20" s="40"/>
    </row>
    <row r="21" spans="1:23" ht="15.75">
      <c r="A21" s="22" t="s">
        <v>47</v>
      </c>
      <c r="B21" s="1059">
        <v>90</v>
      </c>
      <c r="C21" s="1060"/>
      <c r="D21" s="1061"/>
      <c r="E21" s="1061">
        <v>0</v>
      </c>
      <c r="F21" s="1062"/>
      <c r="G21" s="1062"/>
      <c r="H21" s="1062">
        <v>0</v>
      </c>
      <c r="I21" s="1062">
        <v>0</v>
      </c>
      <c r="J21" s="1059">
        <v>0</v>
      </c>
      <c r="K21" s="1059">
        <v>0</v>
      </c>
      <c r="L21" s="24">
        <v>0</v>
      </c>
      <c r="M21" s="24">
        <v>0</v>
      </c>
      <c r="N21" s="24">
        <v>0</v>
      </c>
      <c r="O21" s="24">
        <v>0</v>
      </c>
      <c r="P21" s="24">
        <v>0</v>
      </c>
      <c r="Q21" s="24">
        <v>0</v>
      </c>
      <c r="R21" s="44"/>
      <c r="S21" s="44"/>
      <c r="T21" s="44"/>
      <c r="U21" s="44"/>
      <c r="V21" s="44"/>
      <c r="W21" s="44"/>
    </row>
    <row r="22" spans="1:23" ht="15.75">
      <c r="A22" s="34" t="s">
        <v>48</v>
      </c>
      <c r="B22" s="1063">
        <v>182</v>
      </c>
      <c r="C22" s="1064"/>
      <c r="D22" s="1065"/>
      <c r="E22" s="1065">
        <v>0</v>
      </c>
      <c r="F22" s="1066"/>
      <c r="G22" s="1066"/>
      <c r="H22" s="1066">
        <v>0</v>
      </c>
      <c r="I22" s="1066">
        <v>0</v>
      </c>
      <c r="J22" s="1063">
        <v>0</v>
      </c>
      <c r="K22" s="1063">
        <v>0</v>
      </c>
      <c r="L22" s="36">
        <v>0</v>
      </c>
      <c r="M22" s="36">
        <v>0</v>
      </c>
      <c r="N22" s="36">
        <v>0</v>
      </c>
      <c r="O22" s="36">
        <v>0</v>
      </c>
      <c r="P22" s="36">
        <v>0</v>
      </c>
      <c r="Q22" s="36">
        <v>0</v>
      </c>
      <c r="R22" s="48"/>
      <c r="S22" s="48"/>
      <c r="T22" s="48"/>
      <c r="U22" s="48"/>
      <c r="V22" s="48"/>
      <c r="W22" s="48"/>
    </row>
    <row r="23" spans="1:23" ht="16.5" thickBot="1">
      <c r="A23" s="94" t="str">
        <f>RIGHT(A1,7)</f>
        <v>2025</v>
      </c>
      <c r="B23" s="1067">
        <v>365</v>
      </c>
      <c r="C23" s="1068"/>
      <c r="D23" s="1069"/>
      <c r="E23" s="1069">
        <v>0</v>
      </c>
      <c r="F23" s="1070"/>
      <c r="G23" s="1070"/>
      <c r="H23" s="1070">
        <v>1696.61285</v>
      </c>
      <c r="I23" s="1070">
        <v>4.6482400000000004</v>
      </c>
      <c r="J23" s="1067">
        <v>288.42424999999997</v>
      </c>
      <c r="K23" s="1067">
        <v>0.28842424999999999</v>
      </c>
      <c r="L23" s="96">
        <v>0</v>
      </c>
      <c r="M23" s="96">
        <v>0</v>
      </c>
      <c r="N23" s="96">
        <v>0</v>
      </c>
      <c r="O23" s="96">
        <v>0</v>
      </c>
      <c r="P23" s="96">
        <v>0</v>
      </c>
      <c r="Q23" s="96">
        <v>0</v>
      </c>
      <c r="R23" s="97"/>
      <c r="S23" s="97"/>
      <c r="T23" s="97"/>
      <c r="U23" s="97"/>
      <c r="V23" s="97"/>
      <c r="W23" s="97"/>
    </row>
    <row r="24" spans="1:23" ht="15.75">
      <c r="A24" s="1153"/>
      <c r="B24" s="1153"/>
      <c r="C24" s="1153"/>
      <c r="D24" s="1153"/>
      <c r="E24" s="1153"/>
      <c r="F24" s="1153"/>
      <c r="G24" s="1153"/>
      <c r="H24" s="1153"/>
      <c r="I24" s="1153"/>
      <c r="J24" s="1153"/>
      <c r="K24" s="178"/>
      <c r="L24" s="59"/>
      <c r="M24" s="59"/>
      <c r="N24" s="59"/>
      <c r="O24" s="59"/>
      <c r="P24" s="59"/>
      <c r="Q24" s="59"/>
      <c r="R24" s="59"/>
      <c r="S24" s="59"/>
      <c r="T24" s="59"/>
      <c r="U24" s="59"/>
      <c r="V24" s="59"/>
      <c r="W24" s="59"/>
    </row>
    <row r="25" spans="1:23" ht="15.75">
      <c r="A25" s="61" t="str">
        <f>IF(AND(X24=0,Y24=0),"OK","ERROR")</f>
        <v>OK</v>
      </c>
      <c r="B25" s="61"/>
      <c r="C25" s="61"/>
      <c r="D25" s="59"/>
      <c r="E25" s="59"/>
      <c r="F25" s="100"/>
      <c r="G25" s="101"/>
      <c r="H25" s="102"/>
      <c r="I25" s="59"/>
      <c r="J25" s="59"/>
      <c r="K25" s="59"/>
      <c r="L25" s="59"/>
      <c r="M25" s="59"/>
      <c r="N25" s="59"/>
      <c r="O25" s="59"/>
      <c r="P25" s="59"/>
      <c r="Q25" s="59"/>
      <c r="R25" s="59"/>
      <c r="S25" s="59"/>
      <c r="T25" s="59"/>
      <c r="U25" s="59"/>
      <c r="V25" s="59"/>
      <c r="W25" s="59"/>
    </row>
  </sheetData>
  <sheetProtection algorithmName="SHA-512" hashValue="GduCQubazMYN7dEXA9MarAkhLkXsL3Gw8y0s/sGz3h/Nz+0AtnPEl0G4gHgcr+hTm1vUGvTIMQbq80lQNIfrdA==" saltValue="TYNCp6CvJtcS43mpQhilnA==" spinCount="100000" sheet="1" objects="1" scenarios="1"/>
  <mergeCells count="11">
    <mergeCell ref="W3:W4"/>
    <mergeCell ref="A3:B3"/>
    <mergeCell ref="C3:G3"/>
    <mergeCell ref="H3:J3"/>
    <mergeCell ref="L3:N3"/>
    <mergeCell ref="O3:Q3"/>
    <mergeCell ref="A24:J24"/>
    <mergeCell ref="C1:G1"/>
    <mergeCell ref="S3:T3"/>
    <mergeCell ref="U3:U4"/>
    <mergeCell ref="V3:V4"/>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7030A0"/>
  </sheetPr>
  <dimension ref="A1:X25"/>
  <sheetViews>
    <sheetView workbookViewId="0">
      <selection activeCell="D28" sqref="D28"/>
    </sheetView>
  </sheetViews>
  <sheetFormatPr defaultColWidth="8.85546875" defaultRowHeight="15"/>
  <cols>
    <col min="1" max="1" width="17.140625" customWidth="1"/>
    <col min="2" max="2" width="13.7109375" customWidth="1"/>
    <col min="3" max="3" width="13.28515625" customWidth="1"/>
    <col min="4" max="4" width="17.42578125" customWidth="1"/>
    <col min="5" max="5" width="19" customWidth="1"/>
    <col min="6" max="6" width="14.42578125" customWidth="1"/>
    <col min="7" max="7" width="15.28515625" customWidth="1"/>
    <col min="8" max="8" width="14.28515625" customWidth="1"/>
    <col min="9" max="9" width="17.42578125" customWidth="1"/>
    <col min="10" max="10" width="11.42578125" customWidth="1"/>
    <col min="11" max="11" width="9.42578125" customWidth="1"/>
    <col min="12" max="12" width="21" hidden="1" customWidth="1"/>
    <col min="13" max="13" width="29.140625" hidden="1" customWidth="1"/>
    <col min="14" max="14" width="29.28515625" hidden="1" customWidth="1"/>
    <col min="15" max="15" width="24.42578125" hidden="1" customWidth="1"/>
    <col min="16" max="16" width="24" hidden="1" customWidth="1"/>
    <col min="17" max="17" width="24.7109375" hidden="1" customWidth="1"/>
    <col min="18" max="18" width="29.42578125" hidden="1" customWidth="1"/>
    <col min="19" max="19" width="25.140625" hidden="1" customWidth="1"/>
    <col min="20" max="20" width="25.42578125" hidden="1" customWidth="1"/>
    <col min="21" max="21" width="26.140625" hidden="1" customWidth="1"/>
    <col min="22" max="22" width="24.85546875" hidden="1" customWidth="1"/>
    <col min="23" max="23" width="25.140625" hidden="1" customWidth="1"/>
    <col min="24" max="24" width="28" hidden="1" customWidth="1"/>
    <col min="25" max="25" width="20" customWidth="1"/>
    <col min="26" max="26" width="22.42578125" customWidth="1"/>
  </cols>
  <sheetData>
    <row r="1" spans="1:24" ht="20.25">
      <c r="A1" s="483">
        <v>2025</v>
      </c>
      <c r="B1" s="484"/>
      <c r="C1" s="1150" t="s">
        <v>118</v>
      </c>
      <c r="D1" s="1150"/>
      <c r="E1" s="1150"/>
      <c r="F1" s="1150"/>
      <c r="G1" s="1150"/>
      <c r="H1" s="485" t="str">
        <f>interFY_transition!D17</f>
        <v>2026-27</v>
      </c>
      <c r="I1" s="484" t="s">
        <v>864</v>
      </c>
      <c r="J1" s="484"/>
      <c r="K1" s="484"/>
      <c r="L1" s="484"/>
      <c r="M1" s="484"/>
      <c r="N1" s="484"/>
      <c r="O1" s="484"/>
      <c r="P1" s="484"/>
      <c r="Q1" s="175"/>
      <c r="R1" s="175"/>
      <c r="S1" s="175"/>
      <c r="T1" s="175"/>
      <c r="U1" s="175"/>
      <c r="V1" s="175"/>
      <c r="W1" s="175"/>
      <c r="X1" s="180"/>
    </row>
    <row r="2" spans="1:24" ht="15.75">
      <c r="A2" s="6"/>
      <c r="B2" s="5"/>
      <c r="C2" s="7"/>
      <c r="D2" s="4"/>
      <c r="E2" s="8"/>
      <c r="F2" s="8"/>
      <c r="G2" s="8"/>
      <c r="H2" s="5"/>
      <c r="I2" s="4"/>
      <c r="J2" s="4"/>
      <c r="K2" s="4"/>
      <c r="L2" s="4"/>
      <c r="M2" s="4"/>
      <c r="N2" s="4"/>
      <c r="O2" s="4"/>
      <c r="P2" s="4"/>
      <c r="Q2" s="4"/>
      <c r="R2" s="4"/>
      <c r="S2" s="4"/>
      <c r="T2" s="4"/>
      <c r="U2" s="4"/>
      <c r="V2" s="4"/>
      <c r="W2" s="4"/>
      <c r="X2" s="4"/>
    </row>
    <row r="3" spans="1:24" ht="15.75">
      <c r="A3" s="1152" t="s">
        <v>0</v>
      </c>
      <c r="B3" s="1152"/>
      <c r="C3" s="1144" t="s">
        <v>1</v>
      </c>
      <c r="D3" s="1144"/>
      <c r="E3" s="1144"/>
      <c r="F3" s="1144"/>
      <c r="G3" s="1144"/>
      <c r="H3" s="1145" t="s">
        <v>2</v>
      </c>
      <c r="I3" s="1145"/>
      <c r="J3" s="1145"/>
      <c r="K3" s="177" t="s">
        <v>3</v>
      </c>
      <c r="L3" s="1146" t="s">
        <v>4</v>
      </c>
      <c r="M3" s="1147"/>
      <c r="N3" s="1148"/>
      <c r="O3" s="1149" t="s">
        <v>5</v>
      </c>
      <c r="P3" s="1149"/>
      <c r="Q3" s="1149"/>
      <c r="R3" s="176" t="s">
        <v>6</v>
      </c>
      <c r="S3" s="1135" t="s">
        <v>7</v>
      </c>
      <c r="T3" s="1141"/>
      <c r="U3" s="1137" t="s">
        <v>49</v>
      </c>
      <c r="V3" s="1137" t="s">
        <v>9</v>
      </c>
      <c r="W3" s="1137" t="s">
        <v>10</v>
      </c>
      <c r="X3" s="1137" t="s">
        <v>52</v>
      </c>
    </row>
    <row r="4" spans="1:24" ht="93" customHeight="1">
      <c r="A4" s="71"/>
      <c r="B4" s="84" t="s">
        <v>11</v>
      </c>
      <c r="C4" s="13" t="s">
        <v>12</v>
      </c>
      <c r="D4" s="174" t="s">
        <v>13</v>
      </c>
      <c r="E4" s="13" t="s">
        <v>14</v>
      </c>
      <c r="F4" s="13" t="s">
        <v>15</v>
      </c>
      <c r="G4" s="174" t="s">
        <v>16</v>
      </c>
      <c r="H4" s="174" t="s">
        <v>17</v>
      </c>
      <c r="I4" s="13" t="s">
        <v>18</v>
      </c>
      <c r="J4" s="13" t="s">
        <v>19</v>
      </c>
      <c r="K4" s="1073" t="s">
        <v>20</v>
      </c>
      <c r="L4" s="174" t="s">
        <v>21</v>
      </c>
      <c r="M4" s="174" t="s">
        <v>22</v>
      </c>
      <c r="N4" s="174" t="s">
        <v>23</v>
      </c>
      <c r="O4" s="174" t="s">
        <v>24</v>
      </c>
      <c r="P4" s="174" t="s">
        <v>25</v>
      </c>
      <c r="Q4" s="174" t="s">
        <v>26</v>
      </c>
      <c r="R4" s="179" t="s">
        <v>27</v>
      </c>
      <c r="S4" s="179" t="s">
        <v>28</v>
      </c>
      <c r="T4" s="179" t="s">
        <v>29</v>
      </c>
      <c r="U4" s="1154"/>
      <c r="V4" s="1154"/>
      <c r="W4" s="1154"/>
      <c r="X4" s="1154"/>
    </row>
    <row r="5" spans="1:24" ht="15.75">
      <c r="A5" s="15" t="s">
        <v>30</v>
      </c>
      <c r="B5" s="1055">
        <v>30</v>
      </c>
      <c r="C5" s="1056">
        <v>7.3232001349854796</v>
      </c>
      <c r="D5" s="1057">
        <v>5676119</v>
      </c>
      <c r="E5" s="1057">
        <v>189.20396665999999</v>
      </c>
      <c r="F5" s="1058">
        <v>1135223.8</v>
      </c>
      <c r="G5" s="1058">
        <v>155017.44852999999</v>
      </c>
      <c r="H5" s="1058">
        <v>291.05302</v>
      </c>
      <c r="I5" s="1058">
        <v>9.7017699999999998</v>
      </c>
      <c r="J5" s="1055">
        <v>58.210659999999997</v>
      </c>
      <c r="K5" s="1055">
        <v>0.21322810852999999</v>
      </c>
      <c r="L5" s="3">
        <v>0</v>
      </c>
      <c r="M5" s="17">
        <v>0</v>
      </c>
      <c r="N5" s="17">
        <v>0</v>
      </c>
      <c r="O5" s="17">
        <v>0</v>
      </c>
      <c r="P5" s="17">
        <v>0</v>
      </c>
      <c r="Q5" s="104">
        <v>0</v>
      </c>
      <c r="R5" s="17"/>
      <c r="S5" s="17"/>
      <c r="T5" s="17"/>
      <c r="U5" s="17"/>
      <c r="V5" s="17"/>
      <c r="W5" s="17"/>
      <c r="X5" s="17"/>
    </row>
    <row r="6" spans="1:24" ht="15.75">
      <c r="A6" s="21" t="s">
        <v>32</v>
      </c>
      <c r="B6" s="1055">
        <v>31</v>
      </c>
      <c r="C6" s="1056">
        <v>7.3231999955367497</v>
      </c>
      <c r="D6" s="1057">
        <v>5712131.0000099996</v>
      </c>
      <c r="E6" s="1057">
        <v>184.26229032000001</v>
      </c>
      <c r="F6" s="1058">
        <v>1142426.1999900001</v>
      </c>
      <c r="G6" s="1058">
        <v>156000.95595999999</v>
      </c>
      <c r="H6" s="1058">
        <v>258.60005999999998</v>
      </c>
      <c r="I6" s="1058">
        <v>8.3419299999999996</v>
      </c>
      <c r="J6" s="1055">
        <v>51.720030000000001</v>
      </c>
      <c r="K6" s="1055">
        <v>0.20772098595999999</v>
      </c>
      <c r="L6" s="17">
        <v>0</v>
      </c>
      <c r="M6" s="17">
        <v>0</v>
      </c>
      <c r="N6" s="17">
        <v>0</v>
      </c>
      <c r="O6" s="17">
        <v>0</v>
      </c>
      <c r="P6" s="17">
        <v>0</v>
      </c>
      <c r="Q6" s="104">
        <v>0</v>
      </c>
      <c r="R6" s="17"/>
      <c r="S6" s="17"/>
      <c r="T6" s="17">
        <v>79580</v>
      </c>
      <c r="U6" s="17"/>
      <c r="V6" s="17"/>
      <c r="W6" s="17"/>
      <c r="X6" s="17"/>
    </row>
    <row r="7" spans="1:24" ht="15.75">
      <c r="A7" s="21" t="s">
        <v>33</v>
      </c>
      <c r="B7" s="1055">
        <v>30</v>
      </c>
      <c r="C7" s="1056">
        <v>7.5934436972665402</v>
      </c>
      <c r="D7" s="1057">
        <v>5075883.0000200002</v>
      </c>
      <c r="E7" s="1057">
        <v>169.1961</v>
      </c>
      <c r="F7" s="1058">
        <v>1015176.60002</v>
      </c>
      <c r="G7" s="1058">
        <v>133691.20000000001</v>
      </c>
      <c r="H7" s="1058">
        <v>230.12700000000001</v>
      </c>
      <c r="I7" s="1058">
        <v>7.6708999999999996</v>
      </c>
      <c r="J7" s="1055">
        <v>46.025399999999998</v>
      </c>
      <c r="K7" s="1055">
        <v>0.1797166</v>
      </c>
      <c r="L7" s="105">
        <v>0</v>
      </c>
      <c r="M7" s="17">
        <v>0</v>
      </c>
      <c r="N7" s="17">
        <v>0</v>
      </c>
      <c r="O7" s="17">
        <v>0</v>
      </c>
      <c r="P7" s="17">
        <v>0</v>
      </c>
      <c r="Q7" s="104">
        <v>0</v>
      </c>
      <c r="R7" s="17"/>
      <c r="S7" s="17"/>
      <c r="T7" s="17">
        <v>27968</v>
      </c>
      <c r="U7" s="17"/>
      <c r="V7" s="17"/>
      <c r="W7" s="17"/>
      <c r="X7" s="17"/>
    </row>
    <row r="8" spans="1:24" ht="15.75">
      <c r="A8" s="22" t="s">
        <v>34</v>
      </c>
      <c r="B8" s="1059">
        <v>91</v>
      </c>
      <c r="C8" s="1060">
        <v>7.4044422849519203</v>
      </c>
      <c r="D8" s="1061">
        <v>16464133.00003</v>
      </c>
      <c r="E8" s="1061">
        <v>180.92453846999999</v>
      </c>
      <c r="F8" s="1062">
        <v>3292826.6000100002</v>
      </c>
      <c r="G8" s="1062">
        <v>444709.60449</v>
      </c>
      <c r="H8" s="1062">
        <v>779.78008</v>
      </c>
      <c r="I8" s="1062">
        <v>8.5690100000000005</v>
      </c>
      <c r="J8" s="1059">
        <v>155.95608999999999</v>
      </c>
      <c r="K8" s="1059">
        <v>0.60066569448999996</v>
      </c>
      <c r="L8" s="24">
        <v>0</v>
      </c>
      <c r="M8" s="24">
        <v>0</v>
      </c>
      <c r="N8" s="24">
        <v>0</v>
      </c>
      <c r="O8" s="24">
        <v>0</v>
      </c>
      <c r="P8" s="24">
        <v>0</v>
      </c>
      <c r="Q8" s="24">
        <v>0</v>
      </c>
      <c r="R8" s="24"/>
      <c r="S8" s="24"/>
      <c r="T8" s="24"/>
      <c r="U8" s="24"/>
      <c r="V8" s="24"/>
      <c r="W8" s="24"/>
      <c r="X8" s="24"/>
    </row>
    <row r="9" spans="1:24" ht="15.75">
      <c r="A9" s="21" t="s">
        <v>35</v>
      </c>
      <c r="B9" s="1055">
        <v>31</v>
      </c>
      <c r="C9" s="1056">
        <v>7.33544968051089</v>
      </c>
      <c r="D9" s="1057">
        <v>5805108.1940000001</v>
      </c>
      <c r="E9" s="1057">
        <v>187.26155464999999</v>
      </c>
      <c r="F9" s="1058">
        <v>1161021.63882</v>
      </c>
      <c r="G9" s="1058">
        <v>158275.45541</v>
      </c>
      <c r="H9" s="1058">
        <v>229.16598999999999</v>
      </c>
      <c r="I9" s="1058">
        <v>7.3924500000000002</v>
      </c>
      <c r="J9" s="1055">
        <v>45.833190000000002</v>
      </c>
      <c r="K9" s="1055">
        <v>0.20410864541000001</v>
      </c>
      <c r="L9" s="17"/>
      <c r="M9" s="17"/>
      <c r="N9" s="17"/>
      <c r="O9" s="17"/>
      <c r="P9" s="17"/>
      <c r="Q9" s="104"/>
      <c r="R9" s="17"/>
      <c r="S9" s="17"/>
      <c r="T9" s="17"/>
      <c r="U9" s="17"/>
      <c r="V9" s="17"/>
      <c r="W9" s="17"/>
      <c r="X9" s="17"/>
    </row>
    <row r="10" spans="1:24" ht="15.75">
      <c r="A10" s="21" t="s">
        <v>36</v>
      </c>
      <c r="B10" s="1055">
        <v>31</v>
      </c>
      <c r="C10" s="1056"/>
      <c r="D10" s="1057">
        <v>0</v>
      </c>
      <c r="E10" s="1057">
        <v>0</v>
      </c>
      <c r="F10" s="1058">
        <v>0</v>
      </c>
      <c r="G10" s="1058">
        <v>0</v>
      </c>
      <c r="H10" s="1058">
        <v>0</v>
      </c>
      <c r="I10" s="1058">
        <v>0</v>
      </c>
      <c r="J10" s="1055">
        <v>0</v>
      </c>
      <c r="K10" s="1055">
        <v>0</v>
      </c>
      <c r="L10" s="17"/>
      <c r="M10" s="17"/>
      <c r="N10" s="17"/>
      <c r="O10" s="17"/>
      <c r="P10" s="17"/>
      <c r="Q10" s="104"/>
      <c r="R10" s="17"/>
      <c r="S10" s="17"/>
      <c r="T10" s="17"/>
      <c r="U10" s="17"/>
      <c r="V10" s="17"/>
      <c r="W10" s="17"/>
      <c r="X10" s="17"/>
    </row>
    <row r="11" spans="1:24" ht="15.75">
      <c r="A11" s="21" t="s">
        <v>37</v>
      </c>
      <c r="B11" s="1055">
        <v>30</v>
      </c>
      <c r="C11" s="1056"/>
      <c r="D11" s="1057">
        <v>0</v>
      </c>
      <c r="E11" s="1057">
        <v>0</v>
      </c>
      <c r="F11" s="1058">
        <v>0</v>
      </c>
      <c r="G11" s="1058">
        <v>0</v>
      </c>
      <c r="H11" s="1058">
        <v>0</v>
      </c>
      <c r="I11" s="1058">
        <v>0</v>
      </c>
      <c r="J11" s="1055">
        <v>0</v>
      </c>
      <c r="K11" s="1055">
        <v>0</v>
      </c>
      <c r="L11" s="30"/>
      <c r="M11" s="30"/>
      <c r="N11" s="30"/>
      <c r="O11" s="30"/>
      <c r="P11" s="30"/>
      <c r="Q11" s="106"/>
      <c r="R11" s="30"/>
      <c r="S11" s="30"/>
      <c r="T11" s="30"/>
      <c r="U11" s="30"/>
      <c r="V11" s="30"/>
      <c r="W11" s="30"/>
      <c r="X11" s="30"/>
    </row>
    <row r="12" spans="1:24" ht="15.75">
      <c r="A12" s="22" t="s">
        <v>38</v>
      </c>
      <c r="B12" s="1059">
        <v>92</v>
      </c>
      <c r="C12" s="1060">
        <v>7.33544968051089</v>
      </c>
      <c r="D12" s="1061">
        <v>5805108.1940000001</v>
      </c>
      <c r="E12" s="1061">
        <v>63.099002110000001</v>
      </c>
      <c r="F12" s="1062">
        <v>1161021.63882</v>
      </c>
      <c r="G12" s="1062">
        <v>158275.45541</v>
      </c>
      <c r="H12" s="1062">
        <v>229.16598999999999</v>
      </c>
      <c r="I12" s="1062">
        <v>2.4909300000000001</v>
      </c>
      <c r="J12" s="1059">
        <v>45.833190000000002</v>
      </c>
      <c r="K12" s="1059">
        <v>0.20410864541000001</v>
      </c>
      <c r="L12" s="24">
        <v>0</v>
      </c>
      <c r="M12" s="24">
        <v>0</v>
      </c>
      <c r="N12" s="24">
        <v>0</v>
      </c>
      <c r="O12" s="24">
        <v>0</v>
      </c>
      <c r="P12" s="24">
        <v>0</v>
      </c>
      <c r="Q12" s="24">
        <v>0</v>
      </c>
      <c r="R12" s="24"/>
      <c r="S12" s="24"/>
      <c r="T12" s="24"/>
      <c r="U12" s="24"/>
      <c r="V12" s="24"/>
      <c r="W12" s="24"/>
      <c r="X12" s="24"/>
    </row>
    <row r="13" spans="1:24" ht="15.75">
      <c r="A13" s="34" t="s">
        <v>39</v>
      </c>
      <c r="B13" s="1063">
        <v>183</v>
      </c>
      <c r="C13" s="1064">
        <v>7.3863326556857496</v>
      </c>
      <c r="D13" s="1065">
        <v>22269241.194030002</v>
      </c>
      <c r="E13" s="1065">
        <v>121.68984260000001</v>
      </c>
      <c r="F13" s="1066">
        <v>4453848.2388300002</v>
      </c>
      <c r="G13" s="1066">
        <v>602985.05989999999</v>
      </c>
      <c r="H13" s="1066">
        <v>1008.94607</v>
      </c>
      <c r="I13" s="1066">
        <v>5.5133599999999996</v>
      </c>
      <c r="J13" s="1063">
        <v>201.78927999999999</v>
      </c>
      <c r="K13" s="1063">
        <v>0.80477433990000002</v>
      </c>
      <c r="L13" s="36">
        <v>0</v>
      </c>
      <c r="M13" s="36">
        <v>0</v>
      </c>
      <c r="N13" s="36">
        <v>0</v>
      </c>
      <c r="O13" s="36">
        <v>0</v>
      </c>
      <c r="P13" s="36">
        <v>0</v>
      </c>
      <c r="Q13" s="36">
        <v>0</v>
      </c>
      <c r="R13" s="36"/>
      <c r="S13" s="36"/>
      <c r="T13" s="36"/>
      <c r="U13" s="36"/>
      <c r="V13" s="36"/>
      <c r="W13" s="36"/>
      <c r="X13" s="36"/>
    </row>
    <row r="14" spans="1:24" ht="15.75">
      <c r="A14" s="21" t="s">
        <v>40</v>
      </c>
      <c r="B14" s="1055">
        <v>31</v>
      </c>
      <c r="C14" s="1056"/>
      <c r="D14" s="1057">
        <v>0</v>
      </c>
      <c r="E14" s="1057">
        <v>0</v>
      </c>
      <c r="F14" s="1058">
        <v>0</v>
      </c>
      <c r="G14" s="1058">
        <v>0</v>
      </c>
      <c r="H14" s="1058">
        <v>0</v>
      </c>
      <c r="I14" s="1058">
        <v>0</v>
      </c>
      <c r="J14" s="1055">
        <v>0</v>
      </c>
      <c r="K14" s="1055">
        <v>0</v>
      </c>
      <c r="L14" s="30"/>
      <c r="M14" s="30"/>
      <c r="N14" s="30"/>
      <c r="O14" s="30"/>
      <c r="P14" s="30"/>
      <c r="Q14" s="106"/>
      <c r="R14" s="30"/>
      <c r="S14" s="30"/>
      <c r="T14" s="30"/>
      <c r="U14" s="30"/>
      <c r="V14" s="30"/>
      <c r="W14" s="30"/>
      <c r="X14" s="30"/>
    </row>
    <row r="15" spans="1:24" ht="15.75">
      <c r="A15" s="21" t="s">
        <v>41</v>
      </c>
      <c r="B15" s="1055">
        <v>30</v>
      </c>
      <c r="C15" s="1056"/>
      <c r="D15" s="1057">
        <v>0</v>
      </c>
      <c r="E15" s="1057">
        <v>0</v>
      </c>
      <c r="F15" s="1058">
        <v>0</v>
      </c>
      <c r="G15" s="1058">
        <v>0</v>
      </c>
      <c r="H15" s="1058">
        <v>0</v>
      </c>
      <c r="I15" s="1058">
        <v>0</v>
      </c>
      <c r="J15" s="1055">
        <v>0</v>
      </c>
      <c r="K15" s="1055">
        <v>0</v>
      </c>
      <c r="L15" s="30"/>
      <c r="M15" s="30"/>
      <c r="N15" s="30"/>
      <c r="O15" s="30"/>
      <c r="P15" s="30"/>
      <c r="Q15" s="106"/>
      <c r="R15" s="30"/>
      <c r="S15" s="30"/>
      <c r="T15" s="30"/>
      <c r="U15" s="30"/>
      <c r="V15" s="30"/>
      <c r="W15" s="30"/>
      <c r="X15" s="30"/>
    </row>
    <row r="16" spans="1:24" ht="15.75">
      <c r="A16" s="21" t="s">
        <v>42</v>
      </c>
      <c r="B16" s="1055">
        <v>31</v>
      </c>
      <c r="C16" s="1056"/>
      <c r="D16" s="1057">
        <v>0</v>
      </c>
      <c r="E16" s="1057">
        <v>0</v>
      </c>
      <c r="F16" s="1058">
        <v>0</v>
      </c>
      <c r="G16" s="1058">
        <v>0</v>
      </c>
      <c r="H16" s="1058">
        <v>0</v>
      </c>
      <c r="I16" s="1058">
        <v>0</v>
      </c>
      <c r="J16" s="1055">
        <v>0</v>
      </c>
      <c r="K16" s="1055">
        <v>0</v>
      </c>
      <c r="L16" s="30"/>
      <c r="M16" s="30"/>
      <c r="N16" s="70"/>
      <c r="O16" s="30"/>
      <c r="P16" s="30"/>
      <c r="Q16" s="106"/>
      <c r="R16" s="30"/>
      <c r="S16" s="30"/>
      <c r="T16" s="30"/>
      <c r="U16" s="30"/>
      <c r="V16" s="30"/>
      <c r="W16" s="30"/>
      <c r="X16" s="30"/>
    </row>
    <row r="17" spans="1:24" ht="15.75">
      <c r="A17" s="22" t="s">
        <v>43</v>
      </c>
      <c r="B17" s="1059">
        <v>92</v>
      </c>
      <c r="C17" s="1060"/>
      <c r="D17" s="1061">
        <v>0</v>
      </c>
      <c r="E17" s="1061">
        <v>0</v>
      </c>
      <c r="F17" s="1062">
        <v>0</v>
      </c>
      <c r="G17" s="1062">
        <v>0</v>
      </c>
      <c r="H17" s="1062">
        <v>0</v>
      </c>
      <c r="I17" s="1062">
        <v>0</v>
      </c>
      <c r="J17" s="1059">
        <v>0</v>
      </c>
      <c r="K17" s="1059">
        <v>0</v>
      </c>
      <c r="L17" s="24">
        <v>0</v>
      </c>
      <c r="M17" s="24">
        <v>0</v>
      </c>
      <c r="N17" s="24">
        <v>0</v>
      </c>
      <c r="O17" s="24">
        <v>0</v>
      </c>
      <c r="P17" s="24">
        <v>0</v>
      </c>
      <c r="Q17" s="107">
        <v>0</v>
      </c>
      <c r="R17" s="24"/>
      <c r="S17" s="24"/>
      <c r="T17" s="24"/>
      <c r="U17" s="24"/>
      <c r="V17" s="24"/>
      <c r="W17" s="24"/>
      <c r="X17" s="24"/>
    </row>
    <row r="18" spans="1:24" ht="15.75">
      <c r="A18" s="21" t="s">
        <v>44</v>
      </c>
      <c r="B18" s="1055">
        <v>31</v>
      </c>
      <c r="C18" s="1056"/>
      <c r="D18" s="1057">
        <v>0</v>
      </c>
      <c r="E18" s="1057">
        <v>0</v>
      </c>
      <c r="F18" s="1058">
        <v>0</v>
      </c>
      <c r="G18" s="1058">
        <v>0</v>
      </c>
      <c r="H18" s="1058">
        <v>0</v>
      </c>
      <c r="I18" s="1058">
        <v>0</v>
      </c>
      <c r="J18" s="1055">
        <v>0</v>
      </c>
      <c r="K18" s="1055">
        <v>0</v>
      </c>
      <c r="L18" s="30"/>
      <c r="M18" s="30"/>
      <c r="N18" s="30"/>
      <c r="O18" s="30"/>
      <c r="P18" s="30"/>
      <c r="Q18" s="106"/>
      <c r="R18" s="40"/>
      <c r="S18" s="40"/>
      <c r="T18" s="40"/>
      <c r="U18" s="40"/>
      <c r="V18" s="40"/>
      <c r="W18" s="40"/>
      <c r="X18" s="40"/>
    </row>
    <row r="19" spans="1:24" ht="15.75">
      <c r="A19" s="21" t="s">
        <v>45</v>
      </c>
      <c r="B19" s="1055">
        <v>28</v>
      </c>
      <c r="C19" s="1056"/>
      <c r="D19" s="1057">
        <v>0</v>
      </c>
      <c r="E19" s="1057">
        <v>0</v>
      </c>
      <c r="F19" s="1058">
        <v>0</v>
      </c>
      <c r="G19" s="1058">
        <v>0</v>
      </c>
      <c r="H19" s="1058">
        <v>0</v>
      </c>
      <c r="I19" s="1058">
        <v>0</v>
      </c>
      <c r="J19" s="1055">
        <v>0</v>
      </c>
      <c r="K19" s="1055">
        <v>0</v>
      </c>
      <c r="L19" s="30"/>
      <c r="M19" s="30"/>
      <c r="N19" s="30"/>
      <c r="O19" s="30"/>
      <c r="P19" s="30"/>
      <c r="Q19" s="106"/>
      <c r="R19" s="40"/>
      <c r="S19" s="40"/>
      <c r="T19" s="40"/>
      <c r="U19" s="40"/>
      <c r="V19" s="40"/>
      <c r="W19" s="40"/>
      <c r="X19" s="40"/>
    </row>
    <row r="20" spans="1:24" ht="15.75">
      <c r="A20" s="21" t="s">
        <v>46</v>
      </c>
      <c r="B20" s="1055">
        <v>31</v>
      </c>
      <c r="C20" s="1056"/>
      <c r="D20" s="1057">
        <v>0</v>
      </c>
      <c r="E20" s="1057">
        <v>0</v>
      </c>
      <c r="F20" s="1058">
        <v>0</v>
      </c>
      <c r="G20" s="1058">
        <v>0</v>
      </c>
      <c r="H20" s="1058">
        <v>0</v>
      </c>
      <c r="I20" s="1058">
        <v>0</v>
      </c>
      <c r="J20" s="1055">
        <v>0</v>
      </c>
      <c r="K20" s="1055">
        <v>0</v>
      </c>
      <c r="L20" s="30"/>
      <c r="M20" s="30"/>
      <c r="N20" s="30"/>
      <c r="O20" s="30"/>
      <c r="P20" s="30"/>
      <c r="Q20" s="106"/>
      <c r="R20" s="30"/>
      <c r="S20" s="30"/>
      <c r="T20" s="30"/>
      <c r="U20" s="30"/>
      <c r="V20" s="30"/>
      <c r="W20" s="30"/>
      <c r="X20" s="30"/>
    </row>
    <row r="21" spans="1:24" ht="15.75">
      <c r="A21" s="22" t="s">
        <v>47</v>
      </c>
      <c r="B21" s="1059">
        <v>90</v>
      </c>
      <c r="C21" s="1060"/>
      <c r="D21" s="1061">
        <v>0</v>
      </c>
      <c r="E21" s="1061">
        <v>0</v>
      </c>
      <c r="F21" s="1062">
        <v>0</v>
      </c>
      <c r="G21" s="1062">
        <v>0</v>
      </c>
      <c r="H21" s="1062">
        <v>0</v>
      </c>
      <c r="I21" s="1062">
        <v>0</v>
      </c>
      <c r="J21" s="1059">
        <v>0</v>
      </c>
      <c r="K21" s="1059">
        <v>0</v>
      </c>
      <c r="L21" s="24">
        <v>0</v>
      </c>
      <c r="M21" s="24">
        <v>0</v>
      </c>
      <c r="N21" s="24">
        <v>0</v>
      </c>
      <c r="O21" s="24">
        <v>0</v>
      </c>
      <c r="P21" s="24">
        <v>0</v>
      </c>
      <c r="Q21" s="107">
        <v>0</v>
      </c>
      <c r="R21" s="44"/>
      <c r="S21" s="44"/>
      <c r="T21" s="44"/>
      <c r="U21" s="44"/>
      <c r="V21" s="44"/>
      <c r="W21" s="44"/>
      <c r="X21" s="44"/>
    </row>
    <row r="22" spans="1:24" ht="15.75">
      <c r="A22" s="34" t="s">
        <v>48</v>
      </c>
      <c r="B22" s="1063">
        <v>182</v>
      </c>
      <c r="C22" s="1064"/>
      <c r="D22" s="1065">
        <v>0</v>
      </c>
      <c r="E22" s="1065">
        <v>0</v>
      </c>
      <c r="F22" s="1066">
        <v>0</v>
      </c>
      <c r="G22" s="1066">
        <v>0</v>
      </c>
      <c r="H22" s="1066">
        <v>0</v>
      </c>
      <c r="I22" s="1066">
        <v>0</v>
      </c>
      <c r="J22" s="1063">
        <v>0</v>
      </c>
      <c r="K22" s="1063">
        <v>0</v>
      </c>
      <c r="L22" s="36">
        <v>0</v>
      </c>
      <c r="M22" s="36">
        <v>0</v>
      </c>
      <c r="N22" s="36">
        <v>0</v>
      </c>
      <c r="O22" s="36">
        <v>0</v>
      </c>
      <c r="P22" s="36">
        <v>0</v>
      </c>
      <c r="Q22" s="108">
        <v>0</v>
      </c>
      <c r="R22" s="48"/>
      <c r="S22" s="48"/>
      <c r="T22" s="48"/>
      <c r="U22" s="48"/>
      <c r="V22" s="48"/>
      <c r="W22" s="48"/>
      <c r="X22" s="48"/>
    </row>
    <row r="23" spans="1:24" ht="16.5" thickBot="1">
      <c r="A23" s="94" t="str">
        <f>RIGHT(A1,7)</f>
        <v>2025</v>
      </c>
      <c r="B23" s="1067">
        <v>365</v>
      </c>
      <c r="C23" s="1068">
        <v>7.3863326556857496</v>
      </c>
      <c r="D23" s="1069">
        <v>22269241.194030002</v>
      </c>
      <c r="E23" s="1069">
        <v>61.011619709999998</v>
      </c>
      <c r="F23" s="1070">
        <v>4453848.2388300002</v>
      </c>
      <c r="G23" s="1070">
        <v>602985.05989999999</v>
      </c>
      <c r="H23" s="1070">
        <v>1008.94607</v>
      </c>
      <c r="I23" s="1070">
        <v>2.7642199999999999</v>
      </c>
      <c r="J23" s="1067">
        <v>201.78927999999999</v>
      </c>
      <c r="K23" s="1067">
        <v>0.80477433990000002</v>
      </c>
      <c r="L23" s="96">
        <v>0</v>
      </c>
      <c r="M23" s="96">
        <v>0</v>
      </c>
      <c r="N23" s="96">
        <v>0</v>
      </c>
      <c r="O23" s="96">
        <v>0</v>
      </c>
      <c r="P23" s="96">
        <v>0</v>
      </c>
      <c r="Q23" s="109">
        <v>0</v>
      </c>
      <c r="R23" s="55"/>
      <c r="S23" s="55"/>
      <c r="T23" s="55"/>
      <c r="U23" s="55"/>
      <c r="V23" s="55"/>
      <c r="W23" s="55"/>
      <c r="X23" s="55"/>
    </row>
    <row r="24" spans="1:24" ht="15.75">
      <c r="A24" s="1155" t="s">
        <v>53</v>
      </c>
      <c r="B24" s="1155"/>
      <c r="C24" s="1155"/>
      <c r="D24" s="1155"/>
      <c r="E24" s="1155"/>
      <c r="F24" s="1155"/>
      <c r="G24" s="1155"/>
      <c r="H24" s="1155"/>
      <c r="I24" s="1155"/>
      <c r="J24" s="1155"/>
      <c r="K24" s="178"/>
      <c r="L24" s="59"/>
      <c r="M24" s="59"/>
      <c r="N24" s="59"/>
      <c r="O24" s="59"/>
      <c r="P24" s="59"/>
      <c r="Q24" s="59"/>
      <c r="R24" s="59"/>
      <c r="S24" s="59"/>
      <c r="T24" s="59"/>
      <c r="U24" s="59"/>
      <c r="V24" s="61"/>
      <c r="W24" s="61"/>
      <c r="X24" s="61"/>
    </row>
    <row r="25" spans="1:24" ht="15.75">
      <c r="A25" s="61" t="str">
        <f>IF(AND(Y24=0,Z24=0),"OK","ERROR")</f>
        <v>OK</v>
      </c>
      <c r="B25" s="61"/>
      <c r="C25" s="61"/>
      <c r="D25" s="59"/>
      <c r="E25" s="59"/>
      <c r="F25" s="100"/>
      <c r="G25" s="101"/>
      <c r="H25" s="102"/>
      <c r="I25" s="59"/>
      <c r="J25" s="59"/>
      <c r="K25" s="59"/>
      <c r="L25" s="59"/>
      <c r="M25" s="59"/>
      <c r="N25" s="59"/>
      <c r="O25" s="59"/>
      <c r="P25" s="59"/>
      <c r="Q25" s="59"/>
      <c r="R25" s="59"/>
      <c r="S25" s="59"/>
      <c r="T25" s="59"/>
      <c r="U25" s="59"/>
      <c r="V25" s="61"/>
      <c r="W25" s="61"/>
      <c r="X25" s="61"/>
    </row>
  </sheetData>
  <sheetProtection algorithmName="SHA-512" hashValue="DmENbkawpxiQgUrCGhF31WKWuiwQl31a4G3TkaFtrMduggzkuzG0/2CGKFA2EhC7MXtPqbdGBoKQ/5MHIaKLgQ==" saltValue="k4USi/RtvqBZTk9SDiVSrQ==" spinCount="100000" sheet="1" objects="1" scenarios="1"/>
  <mergeCells count="12">
    <mergeCell ref="A24:J24"/>
    <mergeCell ref="A3:B3"/>
    <mergeCell ref="C3:G3"/>
    <mergeCell ref="H3:J3"/>
    <mergeCell ref="L3:N3"/>
    <mergeCell ref="W3:W4"/>
    <mergeCell ref="X3:X4"/>
    <mergeCell ref="O3:Q3"/>
    <mergeCell ref="C1:G1"/>
    <mergeCell ref="S3:T3"/>
    <mergeCell ref="U3:U4"/>
    <mergeCell ref="V3:V4"/>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7030A0"/>
  </sheetPr>
  <dimension ref="A1:X25"/>
  <sheetViews>
    <sheetView topLeftCell="A3" workbookViewId="0">
      <selection activeCell="Y13" sqref="Y13"/>
    </sheetView>
  </sheetViews>
  <sheetFormatPr defaultColWidth="8.85546875" defaultRowHeight="15"/>
  <cols>
    <col min="6" max="6" width="11.85546875" customWidth="1"/>
    <col min="7" max="7" width="11.140625" customWidth="1"/>
    <col min="11" max="11" width="9" customWidth="1"/>
    <col min="12" max="23" width="0" hidden="1" customWidth="1"/>
  </cols>
  <sheetData>
    <row r="1" spans="1:24" ht="20.25">
      <c r="A1" s="488">
        <v>2025</v>
      </c>
      <c r="B1" s="484"/>
      <c r="C1" s="1150" t="s">
        <v>799</v>
      </c>
      <c r="D1" s="1150"/>
      <c r="E1" s="1150"/>
      <c r="F1" s="1150"/>
      <c r="G1" s="1150"/>
      <c r="H1" s="484"/>
      <c r="I1" s="484"/>
      <c r="J1" s="484"/>
      <c r="K1" s="485" t="str">
        <f>interFY_transition!D17</f>
        <v>2026-27</v>
      </c>
      <c r="L1" s="484"/>
      <c r="M1" s="484"/>
      <c r="N1" s="484"/>
      <c r="O1" s="484"/>
      <c r="P1" s="484"/>
      <c r="Q1" s="175"/>
      <c r="R1" s="175"/>
      <c r="S1" s="175"/>
      <c r="T1" s="175"/>
      <c r="U1" s="175"/>
      <c r="V1" s="175"/>
      <c r="W1" s="175"/>
      <c r="X1" t="s">
        <v>864</v>
      </c>
    </row>
    <row r="2" spans="1:24" ht="15.75">
      <c r="A2" s="6"/>
      <c r="B2" s="5"/>
      <c r="C2" s="7"/>
      <c r="D2" s="4"/>
      <c r="E2" s="8"/>
      <c r="F2" s="8"/>
      <c r="G2" s="8"/>
      <c r="H2" s="5"/>
      <c r="I2" s="4"/>
      <c r="J2" s="4"/>
      <c r="K2" s="4"/>
      <c r="L2" s="4"/>
      <c r="M2" s="4"/>
      <c r="N2" s="4"/>
      <c r="O2" s="4"/>
      <c r="P2" s="4"/>
      <c r="Q2" s="4"/>
      <c r="R2" s="4"/>
      <c r="S2" s="4"/>
      <c r="T2" s="4"/>
      <c r="U2" s="4"/>
      <c r="V2" s="4"/>
      <c r="W2" s="4"/>
    </row>
    <row r="3" spans="1:24" ht="63">
      <c r="A3" s="1152" t="s">
        <v>0</v>
      </c>
      <c r="B3" s="1152"/>
      <c r="C3" s="1144" t="s">
        <v>1</v>
      </c>
      <c r="D3" s="1144"/>
      <c r="E3" s="1144"/>
      <c r="F3" s="1144"/>
      <c r="G3" s="1144"/>
      <c r="H3" s="1145" t="s">
        <v>2</v>
      </c>
      <c r="I3" s="1145"/>
      <c r="J3" s="1145"/>
      <c r="K3" s="177" t="s">
        <v>3</v>
      </c>
      <c r="L3" s="1146" t="s">
        <v>4</v>
      </c>
      <c r="M3" s="1147"/>
      <c r="N3" s="1148"/>
      <c r="O3" s="1149" t="s">
        <v>5</v>
      </c>
      <c r="P3" s="1149"/>
      <c r="Q3" s="1149"/>
      <c r="R3" s="176" t="s">
        <v>6</v>
      </c>
      <c r="S3" s="1135" t="s">
        <v>7</v>
      </c>
      <c r="T3" s="1141"/>
      <c r="U3" s="1137" t="s">
        <v>49</v>
      </c>
      <c r="V3" s="1137" t="s">
        <v>9</v>
      </c>
      <c r="W3" s="1137" t="s">
        <v>10</v>
      </c>
    </row>
    <row r="4" spans="1:24" ht="90">
      <c r="A4" s="71"/>
      <c r="B4" s="84" t="s">
        <v>11</v>
      </c>
      <c r="C4" s="13" t="s">
        <v>12</v>
      </c>
      <c r="D4" s="174" t="s">
        <v>13</v>
      </c>
      <c r="E4" s="13" t="s">
        <v>14</v>
      </c>
      <c r="F4" s="13" t="s">
        <v>15</v>
      </c>
      <c r="G4" s="174" t="s">
        <v>16</v>
      </c>
      <c r="H4" s="174" t="s">
        <v>17</v>
      </c>
      <c r="I4" s="13" t="s">
        <v>18</v>
      </c>
      <c r="J4" s="13" t="s">
        <v>19</v>
      </c>
      <c r="K4" s="13" t="s">
        <v>20</v>
      </c>
      <c r="L4" s="174" t="s">
        <v>21</v>
      </c>
      <c r="M4" s="174" t="s">
        <v>22</v>
      </c>
      <c r="N4" s="174" t="s">
        <v>23</v>
      </c>
      <c r="O4" s="174" t="s">
        <v>24</v>
      </c>
      <c r="P4" s="174" t="s">
        <v>25</v>
      </c>
      <c r="Q4" s="174" t="s">
        <v>26</v>
      </c>
      <c r="R4" s="174" t="s">
        <v>27</v>
      </c>
      <c r="S4" s="174" t="s">
        <v>28</v>
      </c>
      <c r="T4" s="174" t="s">
        <v>29</v>
      </c>
      <c r="U4" s="1137"/>
      <c r="V4" s="1137"/>
      <c r="W4" s="1137"/>
    </row>
    <row r="5" spans="1:24" ht="15.95" customHeight="1">
      <c r="A5" s="15" t="s">
        <v>30</v>
      </c>
      <c r="B5" s="1055">
        <v>30</v>
      </c>
      <c r="C5" s="1056">
        <v>7.7285227564358703</v>
      </c>
      <c r="D5" s="1057">
        <v>59015</v>
      </c>
      <c r="E5" s="1057">
        <v>1.96716666</v>
      </c>
      <c r="F5" s="1058">
        <v>59015</v>
      </c>
      <c r="G5" s="1058">
        <v>7636.0000300000002</v>
      </c>
      <c r="H5" s="1058">
        <v>8.3602500000000006</v>
      </c>
      <c r="I5" s="1058">
        <v>0.27866999999999997</v>
      </c>
      <c r="J5" s="1055">
        <v>8.3602500000000006</v>
      </c>
      <c r="K5" s="1055">
        <v>1.5996250029999999E-2</v>
      </c>
      <c r="L5" s="17">
        <v>0</v>
      </c>
      <c r="M5" s="17">
        <v>0</v>
      </c>
      <c r="N5" s="17">
        <v>0</v>
      </c>
      <c r="O5" s="17">
        <v>0</v>
      </c>
      <c r="P5" s="110">
        <v>0</v>
      </c>
      <c r="Q5" s="17">
        <v>0</v>
      </c>
      <c r="R5" s="76">
        <v>75.82475058741899</v>
      </c>
      <c r="S5" s="18">
        <v>16886.016399999997</v>
      </c>
      <c r="T5" s="18">
        <v>12097.80132</v>
      </c>
      <c r="U5" s="77" t="s">
        <v>407</v>
      </c>
      <c r="V5" s="77"/>
      <c r="W5" s="77"/>
    </row>
    <row r="6" spans="1:24" ht="15.95" customHeight="1">
      <c r="A6" s="21" t="s">
        <v>32</v>
      </c>
      <c r="B6" s="1055">
        <v>31</v>
      </c>
      <c r="C6" s="1056">
        <v>7.6684315958760001</v>
      </c>
      <c r="D6" s="1057">
        <v>57934.999940000002</v>
      </c>
      <c r="E6" s="1057">
        <v>1.86887096</v>
      </c>
      <c r="F6" s="1058">
        <v>57934.999940000002</v>
      </c>
      <c r="G6" s="1058">
        <v>7554.9998999999998</v>
      </c>
      <c r="H6" s="1058">
        <v>7.4710200000000002</v>
      </c>
      <c r="I6" s="1058">
        <v>0.24101</v>
      </c>
      <c r="J6" s="1055">
        <v>7.4710200000000002</v>
      </c>
      <c r="K6" s="1055">
        <v>1.50260199E-2</v>
      </c>
      <c r="L6" s="17">
        <v>0</v>
      </c>
      <c r="M6" s="17">
        <v>0</v>
      </c>
      <c r="N6" s="17">
        <v>0</v>
      </c>
      <c r="O6" s="17">
        <v>0</v>
      </c>
      <c r="P6" s="17">
        <v>0</v>
      </c>
      <c r="Q6" s="17">
        <v>0</v>
      </c>
      <c r="R6" s="76">
        <v>78.252229603341945</v>
      </c>
      <c r="S6" s="18">
        <v>16807.968774193545</v>
      </c>
      <c r="T6" s="18">
        <v>11483.957419354836</v>
      </c>
      <c r="U6" s="18" t="s">
        <v>407</v>
      </c>
      <c r="V6" s="18"/>
      <c r="W6" s="77"/>
    </row>
    <row r="7" spans="1:24" ht="15.95" customHeight="1">
      <c r="A7" s="21" t="s">
        <v>33</v>
      </c>
      <c r="B7" s="1055">
        <v>30</v>
      </c>
      <c r="C7" s="1056">
        <v>7.7167208747993197</v>
      </c>
      <c r="D7" s="1057">
        <v>59303</v>
      </c>
      <c r="E7" s="1057">
        <v>1.9767666699999999</v>
      </c>
      <c r="F7" s="1058">
        <v>59303</v>
      </c>
      <c r="G7" s="1058">
        <v>7685.0000099999997</v>
      </c>
      <c r="H7" s="1058">
        <v>7.8389699999999998</v>
      </c>
      <c r="I7" s="1058">
        <v>0.26129999999999998</v>
      </c>
      <c r="J7" s="1055">
        <v>7.8389699999999998</v>
      </c>
      <c r="K7" s="1055">
        <v>1.5523970010000001E-2</v>
      </c>
      <c r="L7" s="17">
        <v>0</v>
      </c>
      <c r="M7" s="17">
        <v>0</v>
      </c>
      <c r="N7" s="17">
        <v>0</v>
      </c>
      <c r="O7" s="17">
        <v>0</v>
      </c>
      <c r="P7" s="17">
        <v>0</v>
      </c>
      <c r="Q7" s="17">
        <v>0</v>
      </c>
      <c r="R7" s="76">
        <v>78.139648080876228</v>
      </c>
      <c r="S7" s="18">
        <v>17095.676399999997</v>
      </c>
      <c r="T7" s="18">
        <v>11992.552</v>
      </c>
      <c r="U7" s="18" t="s">
        <v>407</v>
      </c>
      <c r="V7" s="18"/>
      <c r="W7" s="77"/>
    </row>
    <row r="8" spans="1:24" ht="15.95" customHeight="1">
      <c r="A8" s="22" t="s">
        <v>34</v>
      </c>
      <c r="B8" s="1059">
        <v>91</v>
      </c>
      <c r="C8" s="1060">
        <v>7.7047123798864598</v>
      </c>
      <c r="D8" s="1061">
        <v>176252.99994000001</v>
      </c>
      <c r="E8" s="1061">
        <v>1.93684615</v>
      </c>
      <c r="F8" s="1062">
        <v>176252.99994000001</v>
      </c>
      <c r="G8" s="1062">
        <v>22875.999940000002</v>
      </c>
      <c r="H8" s="1062">
        <v>23.67024</v>
      </c>
      <c r="I8" s="1062">
        <v>0.26011000000000001</v>
      </c>
      <c r="J8" s="1059">
        <v>23.67024</v>
      </c>
      <c r="K8" s="1059">
        <v>4.6546239939999998E-2</v>
      </c>
      <c r="L8" s="24">
        <v>0</v>
      </c>
      <c r="M8" s="24">
        <v>0</v>
      </c>
      <c r="N8" s="24">
        <v>0</v>
      </c>
      <c r="O8" s="24">
        <v>0</v>
      </c>
      <c r="P8" s="24">
        <v>0</v>
      </c>
      <c r="Q8" s="24">
        <v>0</v>
      </c>
      <c r="R8" s="76"/>
      <c r="S8" s="18"/>
      <c r="T8" s="18"/>
      <c r="U8" s="18"/>
      <c r="V8" s="18"/>
      <c r="W8" s="18"/>
    </row>
    <row r="9" spans="1:24" ht="15.95" customHeight="1">
      <c r="A9" s="21" t="s">
        <v>35</v>
      </c>
      <c r="B9" s="1055">
        <v>31</v>
      </c>
      <c r="C9" s="1056">
        <v>7.7167208206892299</v>
      </c>
      <c r="D9" s="1057">
        <v>59302.999969999997</v>
      </c>
      <c r="E9" s="1057">
        <v>1.913</v>
      </c>
      <c r="F9" s="1058">
        <v>59302.999969999997</v>
      </c>
      <c r="G9" s="1058">
        <v>7685.0000600000003</v>
      </c>
      <c r="H9" s="1058">
        <v>7.4680499999999999</v>
      </c>
      <c r="I9" s="1058">
        <v>0.2409</v>
      </c>
      <c r="J9" s="1055">
        <v>7.4680499999999999</v>
      </c>
      <c r="K9" s="1055">
        <v>1.5153050059999999E-2</v>
      </c>
      <c r="L9" s="17"/>
      <c r="M9" s="17"/>
      <c r="N9" s="17"/>
      <c r="O9" s="17"/>
      <c r="P9" s="17"/>
      <c r="Q9" s="17"/>
      <c r="R9" s="76"/>
      <c r="S9" s="18"/>
      <c r="T9" s="18"/>
      <c r="U9" s="18"/>
      <c r="V9" s="18"/>
      <c r="W9" s="77"/>
    </row>
    <row r="10" spans="1:24" ht="15.95" customHeight="1">
      <c r="A10" s="21" t="s">
        <v>36</v>
      </c>
      <c r="B10" s="1055">
        <v>31</v>
      </c>
      <c r="C10" s="1056"/>
      <c r="D10" s="1057">
        <v>0</v>
      </c>
      <c r="E10" s="1057">
        <v>0</v>
      </c>
      <c r="F10" s="1058">
        <v>0</v>
      </c>
      <c r="G10" s="1058">
        <v>0</v>
      </c>
      <c r="H10" s="1058">
        <v>0</v>
      </c>
      <c r="I10" s="1058">
        <v>0</v>
      </c>
      <c r="J10" s="1055">
        <v>0</v>
      </c>
      <c r="K10" s="1055">
        <v>0</v>
      </c>
      <c r="L10" s="17"/>
      <c r="M10" s="17"/>
      <c r="N10" s="17"/>
      <c r="O10" s="17"/>
      <c r="P10" s="17"/>
      <c r="Q10" s="17"/>
      <c r="R10" s="76"/>
      <c r="S10" s="18"/>
      <c r="T10" s="18"/>
      <c r="U10" s="18"/>
      <c r="V10" s="18"/>
      <c r="W10" s="18"/>
    </row>
    <row r="11" spans="1:24" ht="15.95" customHeight="1">
      <c r="A11" s="21" t="s">
        <v>37</v>
      </c>
      <c r="B11" s="1055">
        <v>30</v>
      </c>
      <c r="C11" s="1056"/>
      <c r="D11" s="1057">
        <v>0</v>
      </c>
      <c r="E11" s="1057">
        <v>0</v>
      </c>
      <c r="F11" s="1058">
        <v>0</v>
      </c>
      <c r="G11" s="1058">
        <v>0</v>
      </c>
      <c r="H11" s="1058">
        <v>0</v>
      </c>
      <c r="I11" s="1058">
        <v>0</v>
      </c>
      <c r="J11" s="1055">
        <v>0</v>
      </c>
      <c r="K11" s="1055">
        <v>0</v>
      </c>
      <c r="L11" s="30"/>
      <c r="M11" s="30"/>
      <c r="N11" s="30"/>
      <c r="O11" s="30"/>
      <c r="P11" s="30"/>
      <c r="Q11" s="30"/>
      <c r="R11" s="111"/>
      <c r="S11" s="112"/>
      <c r="T11" s="112"/>
      <c r="U11" s="112"/>
      <c r="V11" s="112"/>
      <c r="W11" s="112"/>
    </row>
    <row r="12" spans="1:24" ht="15.95" customHeight="1">
      <c r="A12" s="22" t="s">
        <v>38</v>
      </c>
      <c r="B12" s="1059">
        <v>92</v>
      </c>
      <c r="C12" s="1060">
        <v>7.7167208206892299</v>
      </c>
      <c r="D12" s="1061">
        <v>59302.999969999997</v>
      </c>
      <c r="E12" s="1061">
        <v>0.64459783000000004</v>
      </c>
      <c r="F12" s="1062">
        <v>59302.999969999997</v>
      </c>
      <c r="G12" s="1062">
        <v>7685.0000600000003</v>
      </c>
      <c r="H12" s="1062">
        <v>7.4680499999999999</v>
      </c>
      <c r="I12" s="1062">
        <v>8.1180000000000002E-2</v>
      </c>
      <c r="J12" s="1059">
        <v>7.4680499999999999</v>
      </c>
      <c r="K12" s="1059">
        <v>1.5153050059999999E-2</v>
      </c>
      <c r="L12" s="24">
        <v>0</v>
      </c>
      <c r="M12" s="24">
        <v>0</v>
      </c>
      <c r="N12" s="24">
        <v>0</v>
      </c>
      <c r="O12" s="24">
        <v>0</v>
      </c>
      <c r="P12" s="24">
        <v>0</v>
      </c>
      <c r="Q12" s="24">
        <v>0</v>
      </c>
      <c r="R12" s="76"/>
      <c r="S12" s="18"/>
      <c r="T12" s="18"/>
      <c r="U12" s="18"/>
      <c r="V12" s="18"/>
      <c r="W12" s="18"/>
    </row>
    <row r="13" spans="1:24" ht="15.95" customHeight="1">
      <c r="A13" s="34" t="s">
        <v>39</v>
      </c>
      <c r="B13" s="1063">
        <v>183</v>
      </c>
      <c r="C13" s="1064">
        <v>7.7077320738850199</v>
      </c>
      <c r="D13" s="1065">
        <v>235555.99991000001</v>
      </c>
      <c r="E13" s="1065">
        <v>1.2871912400000001</v>
      </c>
      <c r="F13" s="1066">
        <v>235555.99991000001</v>
      </c>
      <c r="G13" s="1066">
        <v>30561</v>
      </c>
      <c r="H13" s="1066">
        <v>31.138290000000001</v>
      </c>
      <c r="I13" s="1066">
        <v>0.17013</v>
      </c>
      <c r="J13" s="1063">
        <v>31.138290000000001</v>
      </c>
      <c r="K13" s="1063">
        <v>6.1699289999999997E-2</v>
      </c>
      <c r="L13" s="36">
        <v>0</v>
      </c>
      <c r="M13" s="36">
        <v>0</v>
      </c>
      <c r="N13" s="36">
        <v>0</v>
      </c>
      <c r="O13" s="36">
        <v>0</v>
      </c>
      <c r="P13" s="36">
        <v>0</v>
      </c>
      <c r="Q13" s="36">
        <v>0</v>
      </c>
      <c r="R13" s="76"/>
      <c r="S13" s="18"/>
      <c r="T13" s="18"/>
      <c r="U13" s="18"/>
      <c r="V13" s="18"/>
      <c r="W13" s="18"/>
    </row>
    <row r="14" spans="1:24" ht="15.95" customHeight="1">
      <c r="A14" s="21" t="s">
        <v>40</v>
      </c>
      <c r="B14" s="1055">
        <v>31</v>
      </c>
      <c r="C14" s="1056"/>
      <c r="D14" s="1057">
        <v>0</v>
      </c>
      <c r="E14" s="1057">
        <v>0</v>
      </c>
      <c r="F14" s="1058">
        <v>0</v>
      </c>
      <c r="G14" s="1058">
        <v>0</v>
      </c>
      <c r="H14" s="1058">
        <v>0</v>
      </c>
      <c r="I14" s="1058">
        <v>0</v>
      </c>
      <c r="J14" s="1055">
        <v>0</v>
      </c>
      <c r="K14" s="1055">
        <v>0</v>
      </c>
      <c r="L14" s="30"/>
      <c r="M14" s="30"/>
      <c r="N14" s="30"/>
      <c r="O14" s="30"/>
      <c r="P14" s="30"/>
      <c r="Q14" s="30"/>
      <c r="R14" s="111"/>
      <c r="S14" s="112"/>
      <c r="T14" s="112"/>
      <c r="U14" s="112"/>
      <c r="V14" s="112"/>
      <c r="W14" s="112"/>
    </row>
    <row r="15" spans="1:24" ht="15.95" customHeight="1">
      <c r="A15" s="21" t="s">
        <v>41</v>
      </c>
      <c r="B15" s="1055">
        <v>30</v>
      </c>
      <c r="C15" s="1056"/>
      <c r="D15" s="1057">
        <v>0</v>
      </c>
      <c r="E15" s="1057">
        <v>0</v>
      </c>
      <c r="F15" s="1058">
        <v>0</v>
      </c>
      <c r="G15" s="1058">
        <v>0</v>
      </c>
      <c r="H15" s="1058">
        <v>0</v>
      </c>
      <c r="I15" s="1058">
        <v>0</v>
      </c>
      <c r="J15" s="1055">
        <v>0</v>
      </c>
      <c r="K15" s="1055">
        <v>0</v>
      </c>
      <c r="L15" s="30"/>
      <c r="M15" s="30"/>
      <c r="N15" s="30"/>
      <c r="O15" s="30"/>
      <c r="P15" s="30"/>
      <c r="Q15" s="30"/>
      <c r="R15" s="111"/>
      <c r="S15" s="112"/>
      <c r="T15" s="112"/>
      <c r="U15" s="112"/>
      <c r="V15" s="112"/>
      <c r="W15" s="112"/>
    </row>
    <row r="16" spans="1:24" ht="15.75">
      <c r="A16" s="21" t="s">
        <v>42</v>
      </c>
      <c r="B16" s="1055">
        <v>31</v>
      </c>
      <c r="C16" s="1056"/>
      <c r="D16" s="1057">
        <v>0</v>
      </c>
      <c r="E16" s="1057">
        <v>0</v>
      </c>
      <c r="F16" s="1058">
        <v>0</v>
      </c>
      <c r="G16" s="1058">
        <v>0</v>
      </c>
      <c r="H16" s="1058">
        <v>0</v>
      </c>
      <c r="I16" s="1058">
        <v>0</v>
      </c>
      <c r="J16" s="1055">
        <v>0</v>
      </c>
      <c r="K16" s="1055">
        <v>0</v>
      </c>
      <c r="L16" s="30"/>
      <c r="M16" s="30"/>
      <c r="N16" s="30"/>
      <c r="O16" s="30"/>
      <c r="P16" s="30"/>
      <c r="Q16" s="30"/>
      <c r="R16" s="111"/>
      <c r="S16" s="112"/>
      <c r="T16" s="112"/>
      <c r="U16" s="112"/>
      <c r="V16" s="112"/>
      <c r="W16" s="112"/>
    </row>
    <row r="17" spans="1:23" ht="15.75">
      <c r="A17" s="22" t="s">
        <v>43</v>
      </c>
      <c r="B17" s="1059">
        <v>92</v>
      </c>
      <c r="C17" s="1060"/>
      <c r="D17" s="1061">
        <v>0</v>
      </c>
      <c r="E17" s="1061">
        <v>0</v>
      </c>
      <c r="F17" s="1062">
        <v>0</v>
      </c>
      <c r="G17" s="1062">
        <v>0</v>
      </c>
      <c r="H17" s="1062">
        <v>0</v>
      </c>
      <c r="I17" s="1062">
        <v>0</v>
      </c>
      <c r="J17" s="1059">
        <v>0</v>
      </c>
      <c r="K17" s="1059">
        <v>0</v>
      </c>
      <c r="L17" s="24">
        <v>0</v>
      </c>
      <c r="M17" s="24">
        <v>0</v>
      </c>
      <c r="N17" s="24">
        <v>0</v>
      </c>
      <c r="O17" s="24">
        <v>0</v>
      </c>
      <c r="P17" s="24">
        <v>0</v>
      </c>
      <c r="Q17" s="24">
        <v>0</v>
      </c>
      <c r="R17" s="76"/>
      <c r="S17" s="18"/>
      <c r="T17" s="18"/>
      <c r="U17" s="18"/>
      <c r="V17" s="18"/>
      <c r="W17" s="18"/>
    </row>
    <row r="18" spans="1:23" ht="15.75">
      <c r="A18" s="21" t="s">
        <v>44</v>
      </c>
      <c r="B18" s="1055">
        <v>31</v>
      </c>
      <c r="C18" s="1056"/>
      <c r="D18" s="1057">
        <v>0</v>
      </c>
      <c r="E18" s="1057">
        <v>0</v>
      </c>
      <c r="F18" s="1058">
        <v>0</v>
      </c>
      <c r="G18" s="1058">
        <v>0</v>
      </c>
      <c r="H18" s="1058">
        <v>0</v>
      </c>
      <c r="I18" s="1058">
        <v>0</v>
      </c>
      <c r="J18" s="1055">
        <v>0</v>
      </c>
      <c r="K18" s="1055">
        <v>0</v>
      </c>
      <c r="L18" s="30"/>
      <c r="M18" s="30"/>
      <c r="N18" s="30"/>
      <c r="O18" s="30"/>
      <c r="P18" s="30"/>
      <c r="Q18" s="40"/>
      <c r="R18" s="111"/>
      <c r="S18" s="111"/>
      <c r="T18" s="111"/>
      <c r="U18" s="111"/>
      <c r="V18" s="111"/>
      <c r="W18" s="111"/>
    </row>
    <row r="19" spans="1:23" ht="15.75">
      <c r="A19" s="21" t="s">
        <v>45</v>
      </c>
      <c r="B19" s="1055">
        <v>28</v>
      </c>
      <c r="C19" s="1056"/>
      <c r="D19" s="1057">
        <v>0</v>
      </c>
      <c r="E19" s="1057">
        <v>0</v>
      </c>
      <c r="F19" s="1058">
        <v>0</v>
      </c>
      <c r="G19" s="1058">
        <v>0</v>
      </c>
      <c r="H19" s="1058">
        <v>0</v>
      </c>
      <c r="I19" s="1058">
        <v>0</v>
      </c>
      <c r="J19" s="1055">
        <v>0</v>
      </c>
      <c r="K19" s="1055">
        <v>0</v>
      </c>
      <c r="L19" s="30"/>
      <c r="M19" s="30"/>
      <c r="N19" s="30"/>
      <c r="O19" s="40"/>
      <c r="P19" s="30"/>
      <c r="Q19" s="40"/>
      <c r="R19" s="111"/>
      <c r="S19" s="111"/>
      <c r="T19" s="111"/>
      <c r="U19" s="111"/>
      <c r="V19" s="111"/>
      <c r="W19" s="111"/>
    </row>
    <row r="20" spans="1:23" ht="15.75">
      <c r="A20" s="21" t="s">
        <v>46</v>
      </c>
      <c r="B20" s="1055">
        <v>31</v>
      </c>
      <c r="C20" s="1056"/>
      <c r="D20" s="1057">
        <v>0</v>
      </c>
      <c r="E20" s="1057">
        <v>0</v>
      </c>
      <c r="F20" s="1058">
        <v>0</v>
      </c>
      <c r="G20" s="1058">
        <v>0</v>
      </c>
      <c r="H20" s="1058">
        <v>0</v>
      </c>
      <c r="I20" s="1058">
        <v>0</v>
      </c>
      <c r="J20" s="1055">
        <v>0</v>
      </c>
      <c r="K20" s="1055">
        <v>0</v>
      </c>
      <c r="L20" s="30"/>
      <c r="M20" s="30"/>
      <c r="N20" s="30"/>
      <c r="O20" s="40"/>
      <c r="P20" s="30"/>
      <c r="Q20" s="40"/>
      <c r="R20" s="111"/>
      <c r="S20" s="111"/>
      <c r="T20" s="111"/>
      <c r="U20" s="111"/>
      <c r="V20" s="111"/>
      <c r="W20" s="111"/>
    </row>
    <row r="21" spans="1:23" ht="15.75">
      <c r="A21" s="22" t="s">
        <v>47</v>
      </c>
      <c r="B21" s="1059">
        <v>90</v>
      </c>
      <c r="C21" s="1060"/>
      <c r="D21" s="1061">
        <v>0</v>
      </c>
      <c r="E21" s="1061">
        <v>0</v>
      </c>
      <c r="F21" s="1062">
        <v>0</v>
      </c>
      <c r="G21" s="1062">
        <v>0</v>
      </c>
      <c r="H21" s="1062">
        <v>0</v>
      </c>
      <c r="I21" s="1062">
        <v>0</v>
      </c>
      <c r="J21" s="1059">
        <v>0</v>
      </c>
      <c r="K21" s="1059">
        <v>0</v>
      </c>
      <c r="L21" s="24">
        <v>0</v>
      </c>
      <c r="M21" s="24">
        <v>0</v>
      </c>
      <c r="N21" s="24">
        <v>0</v>
      </c>
      <c r="O21" s="24">
        <v>0</v>
      </c>
      <c r="P21" s="24">
        <v>0</v>
      </c>
      <c r="Q21" s="44">
        <v>0</v>
      </c>
      <c r="R21" s="44"/>
      <c r="S21" s="44"/>
      <c r="T21" s="44"/>
      <c r="U21" s="44"/>
      <c r="V21" s="44"/>
      <c r="W21" s="44"/>
    </row>
    <row r="22" spans="1:23" ht="15.75">
      <c r="A22" s="34" t="s">
        <v>48</v>
      </c>
      <c r="B22" s="1063">
        <v>182</v>
      </c>
      <c r="C22" s="1064"/>
      <c r="D22" s="1065">
        <v>0</v>
      </c>
      <c r="E22" s="1065">
        <v>0</v>
      </c>
      <c r="F22" s="1066">
        <v>0</v>
      </c>
      <c r="G22" s="1066">
        <v>0</v>
      </c>
      <c r="H22" s="1066">
        <v>0</v>
      </c>
      <c r="I22" s="1066">
        <v>0</v>
      </c>
      <c r="J22" s="1063">
        <v>0</v>
      </c>
      <c r="K22" s="1063">
        <v>0</v>
      </c>
      <c r="L22" s="36">
        <v>0</v>
      </c>
      <c r="M22" s="36">
        <v>0</v>
      </c>
      <c r="N22" s="36">
        <v>0</v>
      </c>
      <c r="O22" s="48">
        <v>0</v>
      </c>
      <c r="P22" s="36">
        <v>0</v>
      </c>
      <c r="Q22" s="48">
        <v>0</v>
      </c>
      <c r="R22" s="48"/>
      <c r="S22" s="48"/>
      <c r="T22" s="48"/>
      <c r="U22" s="48"/>
      <c r="V22" s="48"/>
      <c r="W22" s="48"/>
    </row>
    <row r="23" spans="1:23" ht="16.5" thickBot="1">
      <c r="A23" s="94" t="str">
        <f>RIGHT(A1,7)</f>
        <v>2025</v>
      </c>
      <c r="B23" s="1067">
        <v>365</v>
      </c>
      <c r="C23" s="1068">
        <v>7.7077320738850199</v>
      </c>
      <c r="D23" s="1069">
        <v>235555.99991000001</v>
      </c>
      <c r="E23" s="1069">
        <v>0.64535889999999996</v>
      </c>
      <c r="F23" s="1070">
        <v>235555.99991000001</v>
      </c>
      <c r="G23" s="1070">
        <v>30561</v>
      </c>
      <c r="H23" s="1070">
        <v>31.138290000000001</v>
      </c>
      <c r="I23" s="1070">
        <v>8.5309999999999997E-2</v>
      </c>
      <c r="J23" s="1067">
        <v>31.138290000000001</v>
      </c>
      <c r="K23" s="1067">
        <v>6.1699289999999997E-2</v>
      </c>
      <c r="L23" s="96">
        <v>0</v>
      </c>
      <c r="M23" s="96">
        <v>0</v>
      </c>
      <c r="N23" s="96">
        <v>0</v>
      </c>
      <c r="O23" s="97">
        <v>0</v>
      </c>
      <c r="P23" s="96">
        <v>0</v>
      </c>
      <c r="Q23" s="97">
        <v>0</v>
      </c>
      <c r="R23" s="97"/>
      <c r="S23" s="97"/>
      <c r="T23" s="97"/>
      <c r="U23" s="97"/>
      <c r="V23" s="97"/>
      <c r="W23" s="97"/>
    </row>
    <row r="24" spans="1:23" ht="15.75">
      <c r="A24" s="1155" t="s">
        <v>53</v>
      </c>
      <c r="B24" s="1155"/>
      <c r="C24" s="1155"/>
      <c r="D24" s="1155"/>
      <c r="E24" s="1155"/>
      <c r="F24" s="1155"/>
      <c r="G24" s="1155"/>
      <c r="H24" s="1155"/>
      <c r="I24" s="1155"/>
      <c r="J24" s="1155"/>
      <c r="K24" s="178"/>
      <c r="L24" s="59"/>
      <c r="M24" s="59"/>
      <c r="N24" s="59"/>
      <c r="O24" s="59"/>
      <c r="P24" s="59"/>
      <c r="Q24" s="59"/>
      <c r="R24" s="59"/>
      <c r="S24" s="59"/>
      <c r="T24" s="59"/>
      <c r="U24" s="59"/>
      <c r="V24" s="61"/>
      <c r="W24" s="61"/>
    </row>
    <row r="25" spans="1:23" ht="15.75">
      <c r="A25" s="61" t="str">
        <f>IF(AND(X24=0,Y24=0),"OK","ERROR")</f>
        <v>OK</v>
      </c>
      <c r="B25" s="61"/>
      <c r="C25" s="61"/>
      <c r="D25" s="59"/>
      <c r="E25" s="59"/>
      <c r="F25" s="100"/>
      <c r="G25" s="101"/>
      <c r="H25" s="102"/>
      <c r="I25" s="59"/>
      <c r="J25" s="59"/>
      <c r="K25" s="59"/>
      <c r="L25" s="59"/>
      <c r="M25" s="59"/>
      <c r="N25" s="59"/>
      <c r="O25" s="59"/>
      <c r="P25" s="59"/>
      <c r="Q25" s="59"/>
      <c r="R25" s="59"/>
      <c r="S25" s="59"/>
      <c r="T25" s="59"/>
      <c r="U25" s="59"/>
      <c r="V25" s="61"/>
      <c r="W25" s="61"/>
    </row>
  </sheetData>
  <sheetProtection algorithmName="SHA-512" hashValue="TkJZC9u3EwJ7ly4K+gUo/yZPyHnEE2hnHElyPPcBwmlIrUbfQ4j9mT4ee0mMXxZBR1kk8A0kk6/0blRF/uxnoQ==" saltValue="Bav4+k0XozWujc7kIC1Twg==" spinCount="100000" sheet="1" objects="1" scenarios="1"/>
  <mergeCells count="11">
    <mergeCell ref="W3:W4"/>
    <mergeCell ref="A3:B3"/>
    <mergeCell ref="C3:G3"/>
    <mergeCell ref="H3:J3"/>
    <mergeCell ref="L3:N3"/>
    <mergeCell ref="O3:Q3"/>
    <mergeCell ref="A24:J24"/>
    <mergeCell ref="C1:G1"/>
    <mergeCell ref="S3:T3"/>
    <mergeCell ref="U3:U4"/>
    <mergeCell ref="V3:V4"/>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7030A0"/>
  </sheetPr>
  <dimension ref="A1:W25"/>
  <sheetViews>
    <sheetView topLeftCell="A3" workbookViewId="0">
      <selection activeCell="X11" sqref="X11"/>
    </sheetView>
  </sheetViews>
  <sheetFormatPr defaultColWidth="8.85546875" defaultRowHeight="15"/>
  <cols>
    <col min="2" max="2" width="11.85546875" customWidth="1"/>
    <col min="4" max="4" width="12.42578125" customWidth="1"/>
    <col min="6" max="6" width="15.7109375" customWidth="1"/>
    <col min="7" max="7" width="12" customWidth="1"/>
    <col min="8" max="8" width="11.28515625" customWidth="1"/>
    <col min="10" max="10" width="10.85546875" customWidth="1"/>
    <col min="12" max="23" width="0" hidden="1" customWidth="1"/>
  </cols>
  <sheetData>
    <row r="1" spans="1:23" ht="20.25">
      <c r="A1" s="488">
        <v>2025</v>
      </c>
      <c r="B1" s="484"/>
      <c r="C1" s="1150" t="s">
        <v>61</v>
      </c>
      <c r="D1" s="1150"/>
      <c r="E1" s="1150"/>
      <c r="F1" s="1150"/>
      <c r="G1" s="1150"/>
      <c r="H1" s="485" t="str">
        <f>interFY_transition!D17</f>
        <v>2026-27</v>
      </c>
      <c r="I1" s="484" t="s">
        <v>864</v>
      </c>
      <c r="J1" s="484"/>
      <c r="K1" s="484"/>
      <c r="L1" s="484"/>
      <c r="M1" s="484"/>
      <c r="N1" s="484"/>
      <c r="O1" s="484"/>
      <c r="P1" s="484"/>
      <c r="Q1" s="175"/>
      <c r="R1" s="175"/>
      <c r="S1" s="175"/>
      <c r="T1" s="175"/>
      <c r="U1" s="175"/>
      <c r="V1" s="175"/>
      <c r="W1" s="175"/>
    </row>
    <row r="2" spans="1:23" ht="15.75">
      <c r="A2" s="6"/>
      <c r="B2" s="5"/>
      <c r="C2" s="7"/>
      <c r="D2" s="4"/>
      <c r="E2" s="8"/>
      <c r="F2" s="8"/>
      <c r="G2" s="8"/>
      <c r="H2" s="5"/>
      <c r="I2" s="4"/>
      <c r="J2" s="4"/>
      <c r="K2" s="4"/>
      <c r="L2" s="4"/>
      <c r="M2" s="4"/>
      <c r="N2" s="4"/>
      <c r="O2" s="4"/>
      <c r="P2" s="4"/>
      <c r="Q2" s="4"/>
      <c r="R2" s="4"/>
      <c r="S2" s="4"/>
      <c r="T2" s="4"/>
      <c r="U2" s="4"/>
      <c r="V2" s="4"/>
      <c r="W2" s="4"/>
    </row>
    <row r="3" spans="1:23" ht="63">
      <c r="A3" s="1152" t="s">
        <v>0</v>
      </c>
      <c r="B3" s="1152"/>
      <c r="C3" s="1144" t="s">
        <v>1</v>
      </c>
      <c r="D3" s="1144"/>
      <c r="E3" s="1144"/>
      <c r="F3" s="1144"/>
      <c r="G3" s="1144"/>
      <c r="H3" s="1145" t="s">
        <v>2</v>
      </c>
      <c r="I3" s="1145"/>
      <c r="J3" s="1145"/>
      <c r="K3" s="177" t="s">
        <v>3</v>
      </c>
      <c r="L3" s="1146" t="s">
        <v>4</v>
      </c>
      <c r="M3" s="1147"/>
      <c r="N3" s="1148"/>
      <c r="O3" s="1149" t="s">
        <v>5</v>
      </c>
      <c r="P3" s="1149"/>
      <c r="Q3" s="1149"/>
      <c r="R3" s="176" t="s">
        <v>6</v>
      </c>
      <c r="S3" s="1135" t="s">
        <v>7</v>
      </c>
      <c r="T3" s="1141"/>
      <c r="U3" s="1137" t="s">
        <v>49</v>
      </c>
      <c r="V3" s="1137" t="s">
        <v>9</v>
      </c>
      <c r="W3" s="1137" t="s">
        <v>10</v>
      </c>
    </row>
    <row r="4" spans="1:23" ht="90">
      <c r="A4" s="11"/>
      <c r="B4" s="12" t="s">
        <v>11</v>
      </c>
      <c r="C4" s="13" t="s">
        <v>12</v>
      </c>
      <c r="D4" s="174" t="s">
        <v>13</v>
      </c>
      <c r="E4" s="13" t="s">
        <v>14</v>
      </c>
      <c r="F4" s="13" t="s">
        <v>15</v>
      </c>
      <c r="G4" s="174" t="s">
        <v>16</v>
      </c>
      <c r="H4" s="174" t="s">
        <v>17</v>
      </c>
      <c r="I4" s="13" t="s">
        <v>18</v>
      </c>
      <c r="J4" s="13" t="s">
        <v>19</v>
      </c>
      <c r="K4" s="13" t="s">
        <v>20</v>
      </c>
      <c r="L4" s="174" t="s">
        <v>21</v>
      </c>
      <c r="M4" s="174" t="s">
        <v>22</v>
      </c>
      <c r="N4" s="174" t="s">
        <v>23</v>
      </c>
      <c r="O4" s="174" t="s">
        <v>24</v>
      </c>
      <c r="P4" s="174" t="s">
        <v>25</v>
      </c>
      <c r="Q4" s="174" t="s">
        <v>26</v>
      </c>
      <c r="R4" s="174" t="s">
        <v>27</v>
      </c>
      <c r="S4" s="174" t="s">
        <v>28</v>
      </c>
      <c r="T4" s="174" t="s">
        <v>29</v>
      </c>
      <c r="U4" s="1137"/>
      <c r="V4" s="1137"/>
      <c r="W4" s="1137"/>
    </row>
    <row r="5" spans="1:23" ht="15.75">
      <c r="A5" s="15" t="s">
        <v>30</v>
      </c>
      <c r="B5" s="3">
        <v>30</v>
      </c>
      <c r="C5" s="1056">
        <v>7.4400000002548898</v>
      </c>
      <c r="D5" s="1057">
        <v>4670193.7300100001</v>
      </c>
      <c r="E5" s="1057">
        <v>155.67312433000001</v>
      </c>
      <c r="F5" s="1058">
        <v>1214250.3698</v>
      </c>
      <c r="G5" s="1058">
        <v>163205.69485999999</v>
      </c>
      <c r="H5" s="1058">
        <v>299.19592999999998</v>
      </c>
      <c r="I5" s="1058">
        <v>9.9732000000000003</v>
      </c>
      <c r="J5" s="1055">
        <v>77.790949999999995</v>
      </c>
      <c r="K5" s="1055">
        <v>0.24099664486</v>
      </c>
      <c r="L5" s="3">
        <v>4</v>
      </c>
      <c r="M5" s="17">
        <v>0</v>
      </c>
      <c r="N5" s="17">
        <v>0</v>
      </c>
      <c r="O5" s="17">
        <v>0</v>
      </c>
      <c r="P5" s="17">
        <v>142</v>
      </c>
      <c r="Q5" s="17">
        <v>0</v>
      </c>
      <c r="R5" s="113">
        <v>0.87446166977400763</v>
      </c>
      <c r="S5" s="17"/>
      <c r="T5" s="17">
        <v>1540844.1073333332</v>
      </c>
      <c r="U5" s="17" t="s">
        <v>54</v>
      </c>
      <c r="V5" s="17" t="s">
        <v>509</v>
      </c>
      <c r="W5" s="17"/>
    </row>
    <row r="6" spans="1:23" ht="15.75">
      <c r="A6" s="21" t="s">
        <v>32</v>
      </c>
      <c r="B6" s="3">
        <v>31</v>
      </c>
      <c r="C6" s="1056">
        <v>7.4399999994397898</v>
      </c>
      <c r="D6" s="1057">
        <v>4821947.7070199996</v>
      </c>
      <c r="E6" s="1057">
        <v>155.54670023</v>
      </c>
      <c r="F6" s="1058">
        <v>1253706.40384</v>
      </c>
      <c r="G6" s="1058">
        <v>168508.92525999999</v>
      </c>
      <c r="H6" s="1058">
        <v>308.15158000000002</v>
      </c>
      <c r="I6" s="1058">
        <v>9.9403699999999997</v>
      </c>
      <c r="J6" s="1055">
        <v>80.119399999999999</v>
      </c>
      <c r="K6" s="1055">
        <v>0.24862832526</v>
      </c>
      <c r="L6" s="17">
        <v>6</v>
      </c>
      <c r="M6" s="17">
        <v>0</v>
      </c>
      <c r="N6" s="17">
        <v>0</v>
      </c>
      <c r="O6" s="17">
        <v>0</v>
      </c>
      <c r="P6" s="17">
        <v>0</v>
      </c>
      <c r="Q6" s="17">
        <v>0</v>
      </c>
      <c r="R6" s="113">
        <v>0.87718455930384609</v>
      </c>
      <c r="S6" s="17"/>
      <c r="T6" s="17">
        <v>1509639.1603225807</v>
      </c>
      <c r="U6" s="17" t="s">
        <v>54</v>
      </c>
      <c r="V6" s="17"/>
      <c r="W6" s="17"/>
    </row>
    <row r="7" spans="1:23" ht="15.75">
      <c r="A7" s="21" t="s">
        <v>33</v>
      </c>
      <c r="B7" s="3">
        <v>30</v>
      </c>
      <c r="C7" s="1056">
        <v>7.4399999995305004</v>
      </c>
      <c r="D7" s="1057">
        <v>4656446.0459899995</v>
      </c>
      <c r="E7" s="1057">
        <v>155.21486820000001</v>
      </c>
      <c r="F7" s="1058">
        <v>1210675.9719700001</v>
      </c>
      <c r="G7" s="1058">
        <v>162725.26506000001</v>
      </c>
      <c r="H7" s="1058">
        <v>293.702</v>
      </c>
      <c r="I7" s="1058">
        <v>9.7900700000000001</v>
      </c>
      <c r="J7" s="1055">
        <v>76.362539999999996</v>
      </c>
      <c r="K7" s="1055">
        <v>0.23908780505999999</v>
      </c>
      <c r="L7" s="105">
        <v>4</v>
      </c>
      <c r="M7" s="114">
        <v>0</v>
      </c>
      <c r="N7" s="114">
        <v>0</v>
      </c>
      <c r="O7" s="114">
        <v>0</v>
      </c>
      <c r="P7" s="114">
        <v>0</v>
      </c>
      <c r="Q7" s="17">
        <v>0</v>
      </c>
      <c r="R7" s="113">
        <v>0.87960940706902246</v>
      </c>
      <c r="S7" s="17"/>
      <c r="T7" s="17">
        <v>1499322.7690000001</v>
      </c>
      <c r="U7" s="17" t="s">
        <v>54</v>
      </c>
      <c r="V7" s="17"/>
      <c r="W7" s="17"/>
    </row>
    <row r="8" spans="1:23" ht="15.75">
      <c r="A8" s="22" t="s">
        <v>34</v>
      </c>
      <c r="B8" s="23">
        <v>91</v>
      </c>
      <c r="C8" s="1060">
        <v>7.4399999997386903</v>
      </c>
      <c r="D8" s="1061">
        <v>14148587.48302</v>
      </c>
      <c r="E8" s="1061">
        <v>155.47898333000001</v>
      </c>
      <c r="F8" s="1062">
        <v>3678632.7456100001</v>
      </c>
      <c r="G8" s="1062">
        <v>494439.88517999998</v>
      </c>
      <c r="H8" s="1062">
        <v>901.04951000000005</v>
      </c>
      <c r="I8" s="1062">
        <v>9.9016400000000004</v>
      </c>
      <c r="J8" s="1059">
        <v>234.27288999999999</v>
      </c>
      <c r="K8" s="1059">
        <v>0.72871277517999999</v>
      </c>
      <c r="L8" s="24">
        <v>14</v>
      </c>
      <c r="M8" s="24">
        <v>0</v>
      </c>
      <c r="N8" s="24">
        <v>0</v>
      </c>
      <c r="O8" s="24">
        <v>0</v>
      </c>
      <c r="P8" s="24">
        <v>142</v>
      </c>
      <c r="Q8" s="24">
        <v>0</v>
      </c>
      <c r="R8" s="24"/>
      <c r="S8" s="24"/>
      <c r="T8" s="24"/>
      <c r="U8" s="24"/>
      <c r="V8" s="24"/>
      <c r="W8" s="24"/>
    </row>
    <row r="9" spans="1:23" ht="15.75">
      <c r="A9" s="21" t="s">
        <v>35</v>
      </c>
      <c r="B9" s="3">
        <v>31</v>
      </c>
      <c r="C9" s="1056">
        <v>7.4399999995842698</v>
      </c>
      <c r="D9" s="1057">
        <v>4845736.2960099997</v>
      </c>
      <c r="E9" s="1057">
        <v>156.31407406</v>
      </c>
      <c r="F9" s="1058">
        <v>1259891.4369399999</v>
      </c>
      <c r="G9" s="1058">
        <v>169340.24690999999</v>
      </c>
      <c r="H9" s="1058">
        <v>273.98406</v>
      </c>
      <c r="I9" s="1058">
        <v>8.8382000000000005</v>
      </c>
      <c r="J9" s="1055">
        <v>71.235879999999995</v>
      </c>
      <c r="K9" s="1055">
        <v>0.24057612690999999</v>
      </c>
      <c r="L9" s="17"/>
      <c r="M9" s="17"/>
      <c r="N9" s="17"/>
      <c r="O9" s="17"/>
      <c r="P9" s="17"/>
      <c r="Q9" s="17"/>
      <c r="R9" s="113"/>
      <c r="S9" s="17"/>
      <c r="T9" s="17"/>
      <c r="U9" s="17"/>
      <c r="V9" s="17"/>
      <c r="W9" s="17"/>
    </row>
    <row r="10" spans="1:23" ht="15.75">
      <c r="A10" s="21" t="s">
        <v>36</v>
      </c>
      <c r="B10" s="3">
        <v>31</v>
      </c>
      <c r="C10" s="1056"/>
      <c r="D10" s="1057">
        <v>0</v>
      </c>
      <c r="E10" s="1057">
        <v>0</v>
      </c>
      <c r="F10" s="1058">
        <v>0</v>
      </c>
      <c r="G10" s="1058">
        <v>0</v>
      </c>
      <c r="H10" s="1058">
        <v>0</v>
      </c>
      <c r="I10" s="1058">
        <v>0</v>
      </c>
      <c r="J10" s="1055">
        <v>0</v>
      </c>
      <c r="K10" s="1055">
        <v>0</v>
      </c>
      <c r="L10" s="17"/>
      <c r="M10" s="17"/>
      <c r="N10" s="17"/>
      <c r="O10" s="17"/>
      <c r="P10" s="17"/>
      <c r="Q10" s="17"/>
      <c r="R10" s="113"/>
      <c r="S10" s="17"/>
      <c r="T10" s="17"/>
      <c r="U10" s="17"/>
      <c r="V10" s="17"/>
      <c r="W10" s="17"/>
    </row>
    <row r="11" spans="1:23" ht="15.75">
      <c r="A11" s="21" t="s">
        <v>37</v>
      </c>
      <c r="B11" s="3">
        <v>30</v>
      </c>
      <c r="C11" s="1056"/>
      <c r="D11" s="1057">
        <v>0</v>
      </c>
      <c r="E11" s="1057">
        <v>0</v>
      </c>
      <c r="F11" s="1058">
        <v>0</v>
      </c>
      <c r="G11" s="1058">
        <v>0</v>
      </c>
      <c r="H11" s="1058">
        <v>0</v>
      </c>
      <c r="I11" s="1058">
        <v>0</v>
      </c>
      <c r="J11" s="1055">
        <v>0</v>
      </c>
      <c r="K11" s="1055">
        <v>0</v>
      </c>
      <c r="L11" s="30"/>
      <c r="M11" s="30"/>
      <c r="N11" s="30"/>
      <c r="O11" s="30"/>
      <c r="P11" s="30"/>
      <c r="Q11" s="30"/>
      <c r="R11" s="115"/>
      <c r="S11" s="30"/>
      <c r="T11" s="30"/>
      <c r="U11" s="30"/>
      <c r="V11" s="30"/>
      <c r="W11" s="30"/>
    </row>
    <row r="12" spans="1:23" ht="15.75">
      <c r="A12" s="22" t="s">
        <v>38</v>
      </c>
      <c r="B12" s="23">
        <v>92</v>
      </c>
      <c r="C12" s="1060">
        <v>7.4399999995842698</v>
      </c>
      <c r="D12" s="1061">
        <v>4845736.2960099997</v>
      </c>
      <c r="E12" s="1061">
        <v>52.671046699999998</v>
      </c>
      <c r="F12" s="1062">
        <v>1259891.4369399999</v>
      </c>
      <c r="G12" s="1062">
        <v>169340.24690999999</v>
      </c>
      <c r="H12" s="1062">
        <v>273.98406</v>
      </c>
      <c r="I12" s="1062">
        <v>2.9780899999999999</v>
      </c>
      <c r="J12" s="1059">
        <v>71.235879999999995</v>
      </c>
      <c r="K12" s="1059">
        <v>0.24057612690999999</v>
      </c>
      <c r="L12" s="24">
        <v>0</v>
      </c>
      <c r="M12" s="24">
        <v>0</v>
      </c>
      <c r="N12" s="24">
        <v>0</v>
      </c>
      <c r="O12" s="24">
        <v>0</v>
      </c>
      <c r="P12" s="24">
        <v>0</v>
      </c>
      <c r="Q12" s="24">
        <v>0</v>
      </c>
      <c r="R12" s="24"/>
      <c r="S12" s="24"/>
      <c r="T12" s="24"/>
      <c r="U12" s="24"/>
      <c r="V12" s="24"/>
      <c r="W12" s="24"/>
    </row>
    <row r="13" spans="1:23" ht="15.75">
      <c r="A13" s="34" t="s">
        <v>39</v>
      </c>
      <c r="B13" s="35">
        <v>183</v>
      </c>
      <c r="C13" s="1064">
        <v>7.4399999996992996</v>
      </c>
      <c r="D13" s="1065">
        <v>18994323.779029999</v>
      </c>
      <c r="E13" s="1065">
        <v>103.79411901</v>
      </c>
      <c r="F13" s="1066">
        <v>4938524.18255</v>
      </c>
      <c r="G13" s="1066">
        <v>663780.13208999997</v>
      </c>
      <c r="H13" s="1066">
        <v>1175.0335700000001</v>
      </c>
      <c r="I13" s="1066">
        <v>6.4209500000000004</v>
      </c>
      <c r="J13" s="1063">
        <v>305.50877000000003</v>
      </c>
      <c r="K13" s="1063">
        <v>0.96928890208999996</v>
      </c>
      <c r="L13" s="36">
        <v>14</v>
      </c>
      <c r="M13" s="36">
        <v>0</v>
      </c>
      <c r="N13" s="36">
        <v>0</v>
      </c>
      <c r="O13" s="36">
        <v>0</v>
      </c>
      <c r="P13" s="36">
        <v>142</v>
      </c>
      <c r="Q13" s="36">
        <v>0</v>
      </c>
      <c r="R13" s="36"/>
      <c r="S13" s="36"/>
      <c r="T13" s="36"/>
      <c r="U13" s="36"/>
      <c r="V13" s="36"/>
      <c r="W13" s="36"/>
    </row>
    <row r="14" spans="1:23" ht="15.75">
      <c r="A14" s="21" t="s">
        <v>40</v>
      </c>
      <c r="B14" s="3">
        <v>31</v>
      </c>
      <c r="C14" s="1056"/>
      <c r="D14" s="1057">
        <v>0</v>
      </c>
      <c r="E14" s="1057">
        <v>0</v>
      </c>
      <c r="F14" s="1058">
        <v>0</v>
      </c>
      <c r="G14" s="1058">
        <v>0</v>
      </c>
      <c r="H14" s="1058">
        <v>0</v>
      </c>
      <c r="I14" s="1058">
        <v>0</v>
      </c>
      <c r="J14" s="1055">
        <v>0</v>
      </c>
      <c r="K14" s="1055">
        <v>0</v>
      </c>
      <c r="L14" s="112"/>
      <c r="M14" s="30"/>
      <c r="N14" s="30"/>
      <c r="O14" s="30"/>
      <c r="P14" s="30"/>
      <c r="Q14" s="30"/>
      <c r="R14" s="115"/>
      <c r="S14" s="30"/>
      <c r="T14" s="30"/>
      <c r="U14" s="30"/>
      <c r="V14" s="30"/>
      <c r="W14" s="30"/>
    </row>
    <row r="15" spans="1:23" ht="15.75">
      <c r="A15" s="21" t="s">
        <v>41</v>
      </c>
      <c r="B15" s="3">
        <v>30</v>
      </c>
      <c r="C15" s="1056"/>
      <c r="D15" s="1057">
        <v>0</v>
      </c>
      <c r="E15" s="1057">
        <v>0</v>
      </c>
      <c r="F15" s="1058">
        <v>0</v>
      </c>
      <c r="G15" s="1058">
        <v>0</v>
      </c>
      <c r="H15" s="1058">
        <v>0</v>
      </c>
      <c r="I15" s="1058">
        <v>0</v>
      </c>
      <c r="J15" s="1055">
        <v>0</v>
      </c>
      <c r="K15" s="1055">
        <v>0</v>
      </c>
      <c r="L15" s="30"/>
      <c r="M15" s="30"/>
      <c r="N15" s="30"/>
      <c r="O15" s="30"/>
      <c r="P15" s="30"/>
      <c r="Q15" s="30"/>
      <c r="R15" s="115"/>
      <c r="S15" s="30"/>
      <c r="T15" s="30"/>
      <c r="U15" s="30"/>
      <c r="V15" s="30"/>
      <c r="W15" s="30"/>
    </row>
    <row r="16" spans="1:23" ht="15.75">
      <c r="A16" s="21" t="s">
        <v>42</v>
      </c>
      <c r="B16" s="3">
        <v>31</v>
      </c>
      <c r="C16" s="1056"/>
      <c r="D16" s="1057">
        <v>0</v>
      </c>
      <c r="E16" s="1057">
        <v>0</v>
      </c>
      <c r="F16" s="1058">
        <v>0</v>
      </c>
      <c r="G16" s="1058">
        <v>0</v>
      </c>
      <c r="H16" s="1058">
        <v>0</v>
      </c>
      <c r="I16" s="1058">
        <v>0</v>
      </c>
      <c r="J16" s="1055">
        <v>0</v>
      </c>
      <c r="K16" s="1055">
        <v>0</v>
      </c>
      <c r="L16" s="112"/>
      <c r="M16" s="30"/>
      <c r="N16" s="30"/>
      <c r="O16" s="30"/>
      <c r="P16" s="30"/>
      <c r="Q16" s="30"/>
      <c r="R16" s="115"/>
      <c r="S16" s="30"/>
      <c r="T16" s="30"/>
      <c r="U16" s="30"/>
      <c r="V16" s="30"/>
      <c r="W16" s="30"/>
    </row>
    <row r="17" spans="1:23" ht="15.75">
      <c r="A17" s="22" t="s">
        <v>43</v>
      </c>
      <c r="B17" s="23">
        <v>92</v>
      </c>
      <c r="C17" s="1060"/>
      <c r="D17" s="1061">
        <v>0</v>
      </c>
      <c r="E17" s="1061">
        <v>0</v>
      </c>
      <c r="F17" s="1062">
        <v>0</v>
      </c>
      <c r="G17" s="1062">
        <v>0</v>
      </c>
      <c r="H17" s="1062">
        <v>0</v>
      </c>
      <c r="I17" s="1062">
        <v>0</v>
      </c>
      <c r="J17" s="1059">
        <v>0</v>
      </c>
      <c r="K17" s="1059">
        <v>0</v>
      </c>
      <c r="L17" s="24">
        <v>0</v>
      </c>
      <c r="M17" s="24">
        <v>0</v>
      </c>
      <c r="N17" s="24">
        <v>0</v>
      </c>
      <c r="O17" s="24">
        <v>0</v>
      </c>
      <c r="P17" s="24">
        <v>0</v>
      </c>
      <c r="Q17" s="24">
        <v>0</v>
      </c>
      <c r="R17" s="24"/>
      <c r="S17" s="24"/>
      <c r="T17" s="24"/>
      <c r="U17" s="24"/>
      <c r="V17" s="24"/>
      <c r="W17" s="24"/>
    </row>
    <row r="18" spans="1:23" ht="15.75">
      <c r="A18" s="21" t="s">
        <v>44</v>
      </c>
      <c r="B18" s="3">
        <v>31</v>
      </c>
      <c r="C18" s="1056"/>
      <c r="D18" s="1057">
        <v>0</v>
      </c>
      <c r="E18" s="1057">
        <v>0</v>
      </c>
      <c r="F18" s="1058">
        <v>0</v>
      </c>
      <c r="G18" s="1058">
        <v>0</v>
      </c>
      <c r="H18" s="1058">
        <v>0</v>
      </c>
      <c r="I18" s="1058">
        <v>0</v>
      </c>
      <c r="J18" s="1055">
        <v>0</v>
      </c>
      <c r="K18" s="1055">
        <v>0</v>
      </c>
      <c r="L18" s="112"/>
      <c r="M18" s="112"/>
      <c r="N18" s="112"/>
      <c r="O18" s="112"/>
      <c r="P18" s="112"/>
      <c r="Q18" s="111"/>
      <c r="R18" s="115"/>
      <c r="S18" s="40"/>
      <c r="T18" s="40"/>
      <c r="U18" s="40"/>
      <c r="V18" s="40"/>
      <c r="W18" s="40"/>
    </row>
    <row r="19" spans="1:23" ht="15.75">
      <c r="A19" s="21" t="s">
        <v>45</v>
      </c>
      <c r="B19" s="3">
        <v>28</v>
      </c>
      <c r="C19" s="1056"/>
      <c r="D19" s="1057">
        <v>0</v>
      </c>
      <c r="E19" s="1057">
        <v>0</v>
      </c>
      <c r="F19" s="1058">
        <v>0</v>
      </c>
      <c r="G19" s="1058">
        <v>0</v>
      </c>
      <c r="H19" s="1058">
        <v>0</v>
      </c>
      <c r="I19" s="1058">
        <v>0</v>
      </c>
      <c r="J19" s="1055">
        <v>0</v>
      </c>
      <c r="K19" s="1055">
        <v>0</v>
      </c>
      <c r="L19" s="112"/>
      <c r="M19" s="112"/>
      <c r="N19" s="112"/>
      <c r="O19" s="112"/>
      <c r="P19" s="112"/>
      <c r="Q19" s="111"/>
      <c r="R19" s="115"/>
      <c r="S19" s="40"/>
      <c r="T19" s="40"/>
      <c r="U19" s="40"/>
      <c r="V19" s="40"/>
      <c r="W19" s="40"/>
    </row>
    <row r="20" spans="1:23" ht="15.75">
      <c r="A20" s="21" t="s">
        <v>46</v>
      </c>
      <c r="B20" s="3">
        <v>31</v>
      </c>
      <c r="C20" s="1056"/>
      <c r="D20" s="1057">
        <v>0</v>
      </c>
      <c r="E20" s="1057">
        <v>0</v>
      </c>
      <c r="F20" s="1058">
        <v>0</v>
      </c>
      <c r="G20" s="1058">
        <v>0</v>
      </c>
      <c r="H20" s="1058">
        <v>0</v>
      </c>
      <c r="I20" s="1058">
        <v>0</v>
      </c>
      <c r="J20" s="1055">
        <v>0</v>
      </c>
      <c r="K20" s="1055">
        <v>0</v>
      </c>
      <c r="L20" s="112"/>
      <c r="M20" s="112"/>
      <c r="N20" s="112"/>
      <c r="O20" s="112"/>
      <c r="P20" s="112"/>
      <c r="Q20" s="111"/>
      <c r="R20" s="115"/>
      <c r="S20" s="40"/>
      <c r="T20" s="40"/>
      <c r="U20" s="40"/>
      <c r="V20" s="40"/>
      <c r="W20" s="40"/>
    </row>
    <row r="21" spans="1:23" ht="15.75">
      <c r="A21" s="22" t="s">
        <v>47</v>
      </c>
      <c r="B21" s="23">
        <v>90</v>
      </c>
      <c r="C21" s="1060"/>
      <c r="D21" s="1061">
        <v>0</v>
      </c>
      <c r="E21" s="1061">
        <v>0</v>
      </c>
      <c r="F21" s="1062">
        <v>0</v>
      </c>
      <c r="G21" s="1062">
        <v>0</v>
      </c>
      <c r="H21" s="1062">
        <v>0</v>
      </c>
      <c r="I21" s="1062">
        <v>0</v>
      </c>
      <c r="J21" s="1059">
        <v>0</v>
      </c>
      <c r="K21" s="1059">
        <v>0</v>
      </c>
      <c r="L21" s="24">
        <v>0</v>
      </c>
      <c r="M21" s="24">
        <v>0</v>
      </c>
      <c r="N21" s="24">
        <v>0</v>
      </c>
      <c r="O21" s="24">
        <v>0</v>
      </c>
      <c r="P21" s="24">
        <v>0</v>
      </c>
      <c r="Q21" s="44">
        <v>0</v>
      </c>
      <c r="R21" s="44"/>
      <c r="S21" s="44"/>
      <c r="T21" s="44"/>
      <c r="U21" s="44"/>
      <c r="V21" s="44"/>
      <c r="W21" s="44"/>
    </row>
    <row r="22" spans="1:23" ht="15.75">
      <c r="A22" s="34" t="s">
        <v>48</v>
      </c>
      <c r="B22" s="35">
        <v>182</v>
      </c>
      <c r="C22" s="1064"/>
      <c r="D22" s="1065">
        <v>0</v>
      </c>
      <c r="E22" s="1065">
        <v>0</v>
      </c>
      <c r="F22" s="1066">
        <v>0</v>
      </c>
      <c r="G22" s="1066">
        <v>0</v>
      </c>
      <c r="H22" s="1066">
        <v>0</v>
      </c>
      <c r="I22" s="1066">
        <v>0</v>
      </c>
      <c r="J22" s="1063">
        <v>0</v>
      </c>
      <c r="K22" s="1063">
        <v>0</v>
      </c>
      <c r="L22" s="36">
        <v>0</v>
      </c>
      <c r="M22" s="36">
        <v>0</v>
      </c>
      <c r="N22" s="36">
        <v>0</v>
      </c>
      <c r="O22" s="36">
        <v>0</v>
      </c>
      <c r="P22" s="36">
        <v>0</v>
      </c>
      <c r="Q22" s="48">
        <v>0</v>
      </c>
      <c r="R22" s="48"/>
      <c r="S22" s="48"/>
      <c r="T22" s="48"/>
      <c r="U22" s="48"/>
      <c r="V22" s="48"/>
      <c r="W22" s="48"/>
    </row>
    <row r="23" spans="1:23" ht="16.5" thickBot="1">
      <c r="A23" s="94" t="str">
        <f>RIGHT(A1,7)</f>
        <v>2025</v>
      </c>
      <c r="B23" s="95">
        <v>365</v>
      </c>
      <c r="C23" s="1068">
        <v>7.4399999996992996</v>
      </c>
      <c r="D23" s="1069">
        <v>18994323.779029999</v>
      </c>
      <c r="E23" s="1069">
        <v>52.039243239999998</v>
      </c>
      <c r="F23" s="1070">
        <v>4938524.18255</v>
      </c>
      <c r="G23" s="1070">
        <v>663780.13208999997</v>
      </c>
      <c r="H23" s="1070">
        <v>1175.0335700000001</v>
      </c>
      <c r="I23" s="1070">
        <v>3.2192599999999998</v>
      </c>
      <c r="J23" s="1067">
        <v>305.50877000000003</v>
      </c>
      <c r="K23" s="1067">
        <v>0.96928890208999996</v>
      </c>
      <c r="L23" s="96">
        <v>14</v>
      </c>
      <c r="M23" s="96">
        <v>0</v>
      </c>
      <c r="N23" s="96">
        <v>0</v>
      </c>
      <c r="O23" s="96">
        <v>0</v>
      </c>
      <c r="P23" s="96">
        <v>142</v>
      </c>
      <c r="Q23" s="97">
        <v>0</v>
      </c>
      <c r="R23" s="97"/>
      <c r="S23" s="97"/>
      <c r="T23" s="97"/>
      <c r="U23" s="97"/>
      <c r="V23" s="97"/>
      <c r="W23" s="97"/>
    </row>
    <row r="24" spans="1:23" ht="15.75">
      <c r="A24" s="1155"/>
      <c r="B24" s="1155"/>
      <c r="C24" s="1155"/>
      <c r="D24" s="1155"/>
      <c r="E24" s="1155"/>
      <c r="F24" s="1155"/>
      <c r="G24" s="1155"/>
      <c r="H24" s="1155"/>
      <c r="I24" s="1155"/>
      <c r="J24" s="1155"/>
      <c r="K24" s="178"/>
      <c r="L24" s="59"/>
      <c r="M24" s="59"/>
      <c r="N24" s="59"/>
      <c r="O24" s="59"/>
      <c r="P24" s="59"/>
      <c r="Q24" s="59"/>
      <c r="R24" s="59"/>
      <c r="S24" s="59"/>
      <c r="T24" s="59"/>
      <c r="U24" s="59"/>
      <c r="V24" s="61"/>
      <c r="W24" s="61"/>
    </row>
    <row r="25" spans="1:23" ht="15.75">
      <c r="A25" s="61" t="str">
        <f>IF(AND(X24=0,Y24=0),"OK","ERROR")</f>
        <v>OK</v>
      </c>
      <c r="B25" s="61"/>
      <c r="C25" s="61"/>
      <c r="D25" s="59"/>
      <c r="E25" s="59"/>
      <c r="F25" s="100"/>
      <c r="G25" s="101"/>
      <c r="H25" s="102"/>
      <c r="I25" s="59"/>
      <c r="J25" s="59"/>
      <c r="K25" s="59"/>
      <c r="L25" s="59"/>
      <c r="M25" s="59"/>
      <c r="N25" s="59"/>
      <c r="O25" s="59"/>
      <c r="P25" s="59"/>
      <c r="Q25" s="59"/>
      <c r="R25" s="59"/>
      <c r="S25" s="59"/>
      <c r="T25" s="59"/>
      <c r="U25" s="59"/>
      <c r="V25" s="61"/>
      <c r="W25" s="61"/>
    </row>
  </sheetData>
  <sheetProtection algorithmName="SHA-512" hashValue="Vt5ucuO3fg03/pDpFTfmMKZWt9ncAzrecX3H4Sl2HsbuJeHQukSQhJP9mVue0R+vx12i4eaVB+/FlWw48h7UtA==" saltValue="gxBe18e8E5GoRwpGbfRCgQ==" spinCount="100000" sheet="1" objects="1" scenarios="1"/>
  <mergeCells count="11">
    <mergeCell ref="W3:W4"/>
    <mergeCell ref="A3:B3"/>
    <mergeCell ref="C3:G3"/>
    <mergeCell ref="H3:J3"/>
    <mergeCell ref="L3:N3"/>
    <mergeCell ref="O3:Q3"/>
    <mergeCell ref="A24:J24"/>
    <mergeCell ref="C1:G1"/>
    <mergeCell ref="S3:T3"/>
    <mergeCell ref="U3:U4"/>
    <mergeCell ref="V3:V4"/>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7030A0"/>
  </sheetPr>
  <dimension ref="A1:W25"/>
  <sheetViews>
    <sheetView topLeftCell="A3" workbookViewId="0">
      <selection activeCell="AA13" sqref="AA13"/>
    </sheetView>
  </sheetViews>
  <sheetFormatPr defaultColWidth="8.85546875" defaultRowHeight="15"/>
  <cols>
    <col min="6" max="6" width="10.28515625" customWidth="1"/>
    <col min="8" max="8" width="11.85546875" customWidth="1"/>
    <col min="10" max="10" width="12.85546875" customWidth="1"/>
    <col min="12" max="23" width="0" hidden="1" customWidth="1"/>
  </cols>
  <sheetData>
    <row r="1" spans="1:23" ht="20.25">
      <c r="A1" s="488">
        <v>2025</v>
      </c>
      <c r="B1" s="484"/>
      <c r="C1" s="1150" t="s">
        <v>800</v>
      </c>
      <c r="D1" s="1150"/>
      <c r="E1" s="1150"/>
      <c r="F1" s="1150"/>
      <c r="G1" s="1150"/>
      <c r="H1" s="485" t="str">
        <f>interFY_transition!D17</f>
        <v>2026-27</v>
      </c>
      <c r="I1" s="484" t="s">
        <v>864</v>
      </c>
      <c r="J1" s="484"/>
      <c r="K1" s="484"/>
      <c r="L1" s="484"/>
      <c r="M1" s="484"/>
      <c r="N1" s="484"/>
      <c r="O1" s="484"/>
      <c r="P1" s="484"/>
      <c r="Q1" s="175"/>
      <c r="R1" s="175"/>
      <c r="S1" s="175"/>
      <c r="T1" s="175"/>
      <c r="U1" s="175"/>
      <c r="V1" s="175"/>
      <c r="W1" s="180"/>
    </row>
    <row r="2" spans="1:23" ht="15.75">
      <c r="A2" s="6"/>
      <c r="B2" s="5"/>
      <c r="C2" s="7"/>
      <c r="D2" s="4"/>
      <c r="E2" s="8"/>
      <c r="F2" s="8"/>
      <c r="G2" s="8"/>
      <c r="H2" s="5"/>
      <c r="I2" s="4"/>
      <c r="J2" s="4"/>
      <c r="K2" s="4"/>
      <c r="L2" s="4"/>
      <c r="M2" s="4"/>
      <c r="N2" s="4"/>
      <c r="O2" s="4"/>
      <c r="P2" s="4"/>
      <c r="Q2" s="4"/>
      <c r="R2" s="4"/>
      <c r="S2" s="4"/>
      <c r="T2" s="4"/>
      <c r="U2" s="4"/>
      <c r="V2" s="4"/>
      <c r="W2" s="4"/>
    </row>
    <row r="3" spans="1:23" ht="63">
      <c r="A3" s="1152" t="s">
        <v>0</v>
      </c>
      <c r="B3" s="1152"/>
      <c r="C3" s="1144" t="s">
        <v>1</v>
      </c>
      <c r="D3" s="1144"/>
      <c r="E3" s="1144"/>
      <c r="F3" s="1144"/>
      <c r="G3" s="1144"/>
      <c r="H3" s="1145" t="s">
        <v>2</v>
      </c>
      <c r="I3" s="1145"/>
      <c r="J3" s="1145"/>
      <c r="K3" s="177" t="s">
        <v>3</v>
      </c>
      <c r="L3" s="1146" t="s">
        <v>4</v>
      </c>
      <c r="M3" s="1147"/>
      <c r="N3" s="1148"/>
      <c r="O3" s="1149" t="s">
        <v>5</v>
      </c>
      <c r="P3" s="1149"/>
      <c r="Q3" s="1149"/>
      <c r="R3" s="176" t="s">
        <v>6</v>
      </c>
      <c r="S3" s="1135" t="s">
        <v>7</v>
      </c>
      <c r="T3" s="1141"/>
      <c r="U3" s="1137" t="s">
        <v>49</v>
      </c>
      <c r="V3" s="1137" t="s">
        <v>9</v>
      </c>
      <c r="W3" s="1120" t="s">
        <v>10</v>
      </c>
    </row>
    <row r="4" spans="1:23" ht="90">
      <c r="A4" s="71"/>
      <c r="B4" s="84" t="s">
        <v>11</v>
      </c>
      <c r="C4" s="13" t="s">
        <v>12</v>
      </c>
      <c r="D4" s="174" t="s">
        <v>13</v>
      </c>
      <c r="E4" s="13" t="s">
        <v>14</v>
      </c>
      <c r="F4" s="13" t="s">
        <v>15</v>
      </c>
      <c r="G4" s="174" t="s">
        <v>16</v>
      </c>
      <c r="H4" s="174" t="s">
        <v>17</v>
      </c>
      <c r="I4" s="13" t="s">
        <v>18</v>
      </c>
      <c r="J4" s="13" t="s">
        <v>19</v>
      </c>
      <c r="K4" s="13" t="s">
        <v>20</v>
      </c>
      <c r="L4" s="174" t="s">
        <v>21</v>
      </c>
      <c r="M4" s="174" t="s">
        <v>22</v>
      </c>
      <c r="N4" s="174" t="s">
        <v>23</v>
      </c>
      <c r="O4" s="174" t="s">
        <v>24</v>
      </c>
      <c r="P4" s="174" t="s">
        <v>25</v>
      </c>
      <c r="Q4" s="174" t="s">
        <v>26</v>
      </c>
      <c r="R4" s="174" t="s">
        <v>27</v>
      </c>
      <c r="S4" s="174" t="s">
        <v>28</v>
      </c>
      <c r="T4" s="174" t="s">
        <v>29</v>
      </c>
      <c r="U4" s="1137"/>
      <c r="V4" s="1137"/>
      <c r="W4" s="1121"/>
    </row>
    <row r="5" spans="1:23" ht="15.75">
      <c r="A5" s="15" t="s">
        <v>30</v>
      </c>
      <c r="B5" s="3">
        <v>30</v>
      </c>
      <c r="C5" s="1056"/>
      <c r="D5" s="1057">
        <v>0</v>
      </c>
      <c r="E5" s="1057">
        <v>0</v>
      </c>
      <c r="F5" s="1058">
        <v>0</v>
      </c>
      <c r="G5" s="1058">
        <v>0</v>
      </c>
      <c r="H5" s="1058">
        <v>0</v>
      </c>
      <c r="I5" s="1058">
        <v>0</v>
      </c>
      <c r="J5" s="1055">
        <v>0</v>
      </c>
      <c r="K5" s="1055">
        <v>0</v>
      </c>
      <c r="L5" s="17">
        <v>0</v>
      </c>
      <c r="M5" s="17">
        <v>0</v>
      </c>
      <c r="N5" s="17">
        <v>0</v>
      </c>
      <c r="O5" s="17">
        <v>0</v>
      </c>
      <c r="P5" s="17">
        <v>0</v>
      </c>
      <c r="Q5" s="17">
        <v>0</v>
      </c>
      <c r="R5" s="17">
        <v>81</v>
      </c>
      <c r="S5" s="17">
        <v>0</v>
      </c>
      <c r="T5" s="17">
        <v>0</v>
      </c>
      <c r="U5" s="17">
        <v>0</v>
      </c>
      <c r="V5" s="17"/>
      <c r="W5" s="17"/>
    </row>
    <row r="6" spans="1:23" ht="15.75">
      <c r="A6" s="21" t="s">
        <v>32</v>
      </c>
      <c r="B6" s="3">
        <v>31</v>
      </c>
      <c r="C6" s="1056"/>
      <c r="D6" s="1057">
        <v>0</v>
      </c>
      <c r="E6" s="1057">
        <v>0</v>
      </c>
      <c r="F6" s="1058">
        <v>0</v>
      </c>
      <c r="G6" s="1058">
        <v>0</v>
      </c>
      <c r="H6" s="1058">
        <v>0</v>
      </c>
      <c r="I6" s="1058">
        <v>0</v>
      </c>
      <c r="J6" s="1055">
        <v>0</v>
      </c>
      <c r="K6" s="1055">
        <v>0</v>
      </c>
      <c r="L6" s="17">
        <v>0</v>
      </c>
      <c r="M6" s="17">
        <v>0</v>
      </c>
      <c r="N6" s="17">
        <v>0</v>
      </c>
      <c r="O6" s="17">
        <v>0</v>
      </c>
      <c r="P6" s="17">
        <v>0</v>
      </c>
      <c r="Q6" s="17">
        <v>0</v>
      </c>
      <c r="R6" s="17">
        <v>82</v>
      </c>
      <c r="S6" s="17">
        <v>0</v>
      </c>
      <c r="T6" s="17">
        <v>0</v>
      </c>
      <c r="U6" s="17">
        <v>0</v>
      </c>
      <c r="V6" s="17"/>
      <c r="W6" s="17"/>
    </row>
    <row r="7" spans="1:23" ht="15.75">
      <c r="A7" s="21" t="s">
        <v>33</v>
      </c>
      <c r="B7" s="3">
        <v>30</v>
      </c>
      <c r="C7" s="1056"/>
      <c r="D7" s="1057">
        <v>0</v>
      </c>
      <c r="E7" s="1057">
        <v>0</v>
      </c>
      <c r="F7" s="1058">
        <v>0</v>
      </c>
      <c r="G7" s="1058">
        <v>0</v>
      </c>
      <c r="H7" s="1058">
        <v>0</v>
      </c>
      <c r="I7" s="1058">
        <v>0</v>
      </c>
      <c r="J7" s="1055">
        <v>0</v>
      </c>
      <c r="K7" s="1055">
        <v>0</v>
      </c>
      <c r="L7" s="17">
        <v>0</v>
      </c>
      <c r="M7" s="17">
        <v>0</v>
      </c>
      <c r="N7" s="17">
        <v>0</v>
      </c>
      <c r="O7" s="17">
        <v>0</v>
      </c>
      <c r="P7" s="17">
        <v>0</v>
      </c>
      <c r="Q7" s="17">
        <v>0</v>
      </c>
      <c r="R7" s="17">
        <v>71</v>
      </c>
      <c r="S7" s="17">
        <v>0</v>
      </c>
      <c r="T7" s="17">
        <v>0</v>
      </c>
      <c r="U7" s="17">
        <v>0</v>
      </c>
      <c r="V7" s="17"/>
      <c r="W7" s="17"/>
    </row>
    <row r="8" spans="1:23" ht="15.75">
      <c r="A8" s="22" t="s">
        <v>34</v>
      </c>
      <c r="B8" s="23">
        <v>91</v>
      </c>
      <c r="C8" s="1060"/>
      <c r="D8" s="1061">
        <v>0</v>
      </c>
      <c r="E8" s="1061">
        <v>0</v>
      </c>
      <c r="F8" s="1062">
        <v>0</v>
      </c>
      <c r="G8" s="1062">
        <v>0</v>
      </c>
      <c r="H8" s="1062">
        <v>0</v>
      </c>
      <c r="I8" s="1062">
        <v>0</v>
      </c>
      <c r="J8" s="1059">
        <v>0</v>
      </c>
      <c r="K8" s="1059">
        <v>0</v>
      </c>
      <c r="L8" s="24">
        <v>0</v>
      </c>
      <c r="M8" s="24">
        <v>0</v>
      </c>
      <c r="N8" s="24">
        <v>0</v>
      </c>
      <c r="O8" s="24">
        <v>0</v>
      </c>
      <c r="P8" s="24">
        <v>0</v>
      </c>
      <c r="Q8" s="24">
        <v>0</v>
      </c>
      <c r="R8" s="24"/>
      <c r="S8" s="24"/>
      <c r="T8" s="24"/>
      <c r="U8" s="24"/>
      <c r="V8" s="24" t="s">
        <v>55</v>
      </c>
      <c r="W8" s="24"/>
    </row>
    <row r="9" spans="1:23" ht="15.75">
      <c r="A9" s="21" t="s">
        <v>35</v>
      </c>
      <c r="B9" s="3">
        <v>31</v>
      </c>
      <c r="C9" s="1056"/>
      <c r="D9" s="1057">
        <v>0</v>
      </c>
      <c r="E9" s="1057">
        <v>0</v>
      </c>
      <c r="F9" s="1058">
        <v>0</v>
      </c>
      <c r="G9" s="1058">
        <v>0</v>
      </c>
      <c r="H9" s="1058">
        <v>0</v>
      </c>
      <c r="I9" s="1058">
        <v>0</v>
      </c>
      <c r="J9" s="1055">
        <v>0</v>
      </c>
      <c r="K9" s="1055">
        <v>0</v>
      </c>
      <c r="L9" s="17"/>
      <c r="M9" s="17"/>
      <c r="N9" s="17"/>
      <c r="O9" s="17"/>
      <c r="P9" s="17"/>
      <c r="Q9" s="17"/>
      <c r="R9" s="17"/>
      <c r="S9" s="17"/>
      <c r="T9" s="17"/>
      <c r="U9" s="17"/>
      <c r="V9" s="17"/>
      <c r="W9" s="17"/>
    </row>
    <row r="10" spans="1:23" ht="15.75">
      <c r="A10" s="21" t="s">
        <v>36</v>
      </c>
      <c r="B10" s="3">
        <v>31</v>
      </c>
      <c r="C10" s="1056"/>
      <c r="D10" s="1057">
        <v>0</v>
      </c>
      <c r="E10" s="1057">
        <v>0</v>
      </c>
      <c r="F10" s="1058">
        <v>0</v>
      </c>
      <c r="G10" s="1058">
        <v>0</v>
      </c>
      <c r="H10" s="1058">
        <v>0</v>
      </c>
      <c r="I10" s="1058">
        <v>0</v>
      </c>
      <c r="J10" s="1055">
        <v>0</v>
      </c>
      <c r="K10" s="1055">
        <v>0</v>
      </c>
      <c r="L10" s="17"/>
      <c r="M10" s="17"/>
      <c r="N10" s="17"/>
      <c r="O10" s="17"/>
      <c r="P10" s="17"/>
      <c r="Q10" s="17"/>
      <c r="R10" s="17"/>
      <c r="S10" s="17"/>
      <c r="T10" s="17"/>
      <c r="U10" s="17"/>
      <c r="V10" s="17"/>
      <c r="W10" s="17"/>
    </row>
    <row r="11" spans="1:23" ht="15.75">
      <c r="A11" s="21" t="s">
        <v>37</v>
      </c>
      <c r="B11" s="3">
        <v>30</v>
      </c>
      <c r="C11" s="1056"/>
      <c r="D11" s="1057">
        <v>0</v>
      </c>
      <c r="E11" s="1057">
        <v>0</v>
      </c>
      <c r="F11" s="1058">
        <v>0</v>
      </c>
      <c r="G11" s="1058">
        <v>0</v>
      </c>
      <c r="H11" s="1058">
        <v>0</v>
      </c>
      <c r="I11" s="1058">
        <v>0</v>
      </c>
      <c r="J11" s="1055">
        <v>0</v>
      </c>
      <c r="K11" s="1055">
        <v>0</v>
      </c>
      <c r="L11" s="30"/>
      <c r="M11" s="30"/>
      <c r="N11" s="30"/>
      <c r="O11" s="30"/>
      <c r="P11" s="30"/>
      <c r="Q11" s="30"/>
      <c r="R11" s="30"/>
      <c r="S11" s="30"/>
      <c r="T11" s="30"/>
      <c r="U11" s="30"/>
      <c r="V11" s="30"/>
      <c r="W11" s="30"/>
    </row>
    <row r="12" spans="1:23" ht="15.75">
      <c r="A12" s="22" t="s">
        <v>38</v>
      </c>
      <c r="B12" s="23">
        <v>92</v>
      </c>
      <c r="C12" s="1060"/>
      <c r="D12" s="1061">
        <v>0</v>
      </c>
      <c r="E12" s="1061">
        <v>0</v>
      </c>
      <c r="F12" s="1062">
        <v>0</v>
      </c>
      <c r="G12" s="1062">
        <v>0</v>
      </c>
      <c r="H12" s="1062">
        <v>0</v>
      </c>
      <c r="I12" s="1062">
        <v>0</v>
      </c>
      <c r="J12" s="1059">
        <v>0</v>
      </c>
      <c r="K12" s="1059">
        <v>0</v>
      </c>
      <c r="L12" s="24">
        <v>0</v>
      </c>
      <c r="M12" s="24">
        <v>0</v>
      </c>
      <c r="N12" s="24">
        <v>0</v>
      </c>
      <c r="O12" s="24">
        <v>0</v>
      </c>
      <c r="P12" s="24">
        <v>0</v>
      </c>
      <c r="Q12" s="24">
        <v>0</v>
      </c>
      <c r="R12" s="24"/>
      <c r="S12" s="24"/>
      <c r="T12" s="24"/>
      <c r="U12" s="24"/>
      <c r="V12" s="24" t="s">
        <v>55</v>
      </c>
      <c r="W12" s="24"/>
    </row>
    <row r="13" spans="1:23" ht="15.75">
      <c r="A13" s="34" t="s">
        <v>39</v>
      </c>
      <c r="B13" s="35">
        <v>183</v>
      </c>
      <c r="C13" s="1064"/>
      <c r="D13" s="1065">
        <v>0</v>
      </c>
      <c r="E13" s="1065">
        <v>0</v>
      </c>
      <c r="F13" s="1066">
        <v>0</v>
      </c>
      <c r="G13" s="1066">
        <v>0</v>
      </c>
      <c r="H13" s="1066">
        <v>0</v>
      </c>
      <c r="I13" s="1066">
        <v>0</v>
      </c>
      <c r="J13" s="1063">
        <v>0</v>
      </c>
      <c r="K13" s="1063">
        <v>0</v>
      </c>
      <c r="L13" s="36">
        <v>0</v>
      </c>
      <c r="M13" s="36">
        <v>0</v>
      </c>
      <c r="N13" s="36">
        <v>0</v>
      </c>
      <c r="O13" s="36">
        <v>0</v>
      </c>
      <c r="P13" s="36">
        <v>0</v>
      </c>
      <c r="Q13" s="36">
        <v>0</v>
      </c>
      <c r="R13" s="36"/>
      <c r="S13" s="36"/>
      <c r="T13" s="36"/>
      <c r="U13" s="36"/>
      <c r="V13" s="36" t="s">
        <v>55</v>
      </c>
      <c r="W13" s="36"/>
    </row>
    <row r="14" spans="1:23" ht="15.75">
      <c r="A14" s="21" t="s">
        <v>40</v>
      </c>
      <c r="B14" s="3">
        <v>31</v>
      </c>
      <c r="C14" s="1056"/>
      <c r="D14" s="1057">
        <v>0</v>
      </c>
      <c r="E14" s="1057">
        <v>0</v>
      </c>
      <c r="F14" s="1058">
        <v>0</v>
      </c>
      <c r="G14" s="1058">
        <v>0</v>
      </c>
      <c r="H14" s="1058">
        <v>0</v>
      </c>
      <c r="I14" s="1058">
        <v>0</v>
      </c>
      <c r="J14" s="1055">
        <v>0</v>
      </c>
      <c r="K14" s="1055">
        <v>0</v>
      </c>
      <c r="L14" s="30"/>
      <c r="M14" s="30"/>
      <c r="N14" s="30"/>
      <c r="O14" s="30"/>
      <c r="P14" s="30"/>
      <c r="Q14" s="30"/>
      <c r="R14" s="30"/>
      <c r="S14" s="30"/>
      <c r="T14" s="30"/>
      <c r="U14" s="30"/>
      <c r="V14" s="30"/>
      <c r="W14" s="30"/>
    </row>
    <row r="15" spans="1:23" ht="15.75">
      <c r="A15" s="21" t="s">
        <v>41</v>
      </c>
      <c r="B15" s="3">
        <v>30</v>
      </c>
      <c r="C15" s="1056"/>
      <c r="D15" s="1057">
        <v>0</v>
      </c>
      <c r="E15" s="1057">
        <v>0</v>
      </c>
      <c r="F15" s="1058">
        <v>0</v>
      </c>
      <c r="G15" s="1058">
        <v>0</v>
      </c>
      <c r="H15" s="1058">
        <v>0</v>
      </c>
      <c r="I15" s="1058">
        <v>0</v>
      </c>
      <c r="J15" s="1055">
        <v>0</v>
      </c>
      <c r="K15" s="1055">
        <v>0</v>
      </c>
      <c r="L15" s="30"/>
      <c r="M15" s="30"/>
      <c r="N15" s="30"/>
      <c r="O15" s="30"/>
      <c r="P15" s="30"/>
      <c r="Q15" s="30"/>
      <c r="R15" s="30"/>
      <c r="S15" s="30"/>
      <c r="T15" s="30"/>
      <c r="U15" s="30"/>
      <c r="V15" s="30"/>
      <c r="W15" s="30"/>
    </row>
    <row r="16" spans="1:23" ht="15.75">
      <c r="A16" s="21" t="s">
        <v>42</v>
      </c>
      <c r="B16" s="3">
        <v>31</v>
      </c>
      <c r="C16" s="1056"/>
      <c r="D16" s="1057">
        <v>0</v>
      </c>
      <c r="E16" s="1057">
        <v>0</v>
      </c>
      <c r="F16" s="1058">
        <v>0</v>
      </c>
      <c r="G16" s="1058">
        <v>0</v>
      </c>
      <c r="H16" s="1058">
        <v>0</v>
      </c>
      <c r="I16" s="1058">
        <v>0</v>
      </c>
      <c r="J16" s="1055">
        <v>0</v>
      </c>
      <c r="K16" s="1055">
        <v>0</v>
      </c>
      <c r="L16" s="30"/>
      <c r="M16" s="30"/>
      <c r="N16" s="30"/>
      <c r="O16" s="30"/>
      <c r="P16" s="30"/>
      <c r="Q16" s="30"/>
      <c r="R16" s="30"/>
      <c r="S16" s="30"/>
      <c r="T16" s="30"/>
      <c r="U16" s="30"/>
      <c r="V16" s="30"/>
      <c r="W16" s="30"/>
    </row>
    <row r="17" spans="1:23" ht="15.75">
      <c r="A17" s="22" t="s">
        <v>43</v>
      </c>
      <c r="B17" s="23">
        <v>92</v>
      </c>
      <c r="C17" s="1060"/>
      <c r="D17" s="1061">
        <v>0</v>
      </c>
      <c r="E17" s="1061">
        <v>0</v>
      </c>
      <c r="F17" s="1062">
        <v>0</v>
      </c>
      <c r="G17" s="1062">
        <v>0</v>
      </c>
      <c r="H17" s="1062">
        <v>0</v>
      </c>
      <c r="I17" s="1062">
        <v>0</v>
      </c>
      <c r="J17" s="1059">
        <v>0</v>
      </c>
      <c r="K17" s="1059">
        <v>0</v>
      </c>
      <c r="L17" s="24">
        <v>0</v>
      </c>
      <c r="M17" s="24">
        <v>0</v>
      </c>
      <c r="N17" s="24">
        <v>0</v>
      </c>
      <c r="O17" s="24">
        <v>0</v>
      </c>
      <c r="P17" s="24">
        <v>0</v>
      </c>
      <c r="Q17" s="24">
        <v>0</v>
      </c>
      <c r="R17" s="24"/>
      <c r="S17" s="24"/>
      <c r="T17" s="24"/>
      <c r="U17" s="24"/>
      <c r="V17" s="24" t="s">
        <v>55</v>
      </c>
      <c r="W17" s="24"/>
    </row>
    <row r="18" spans="1:23" ht="15.75">
      <c r="A18" s="21" t="s">
        <v>44</v>
      </c>
      <c r="B18" s="3">
        <v>31</v>
      </c>
      <c r="C18" s="1056"/>
      <c r="D18" s="1057">
        <v>0</v>
      </c>
      <c r="E18" s="1057">
        <v>0</v>
      </c>
      <c r="F18" s="1058">
        <v>0</v>
      </c>
      <c r="G18" s="1058">
        <v>0</v>
      </c>
      <c r="H18" s="1058">
        <v>0</v>
      </c>
      <c r="I18" s="1058">
        <v>0</v>
      </c>
      <c r="J18" s="1055">
        <v>0</v>
      </c>
      <c r="K18" s="1055">
        <v>0</v>
      </c>
      <c r="L18" s="30"/>
      <c r="M18" s="30"/>
      <c r="N18" s="30"/>
      <c r="O18" s="30"/>
      <c r="P18" s="30"/>
      <c r="Q18" s="40"/>
      <c r="R18" s="30"/>
      <c r="S18" s="30"/>
      <c r="T18" s="40"/>
      <c r="U18" s="30"/>
      <c r="V18" s="30"/>
      <c r="W18" s="40"/>
    </row>
    <row r="19" spans="1:23" ht="15.75">
      <c r="A19" s="21" t="s">
        <v>45</v>
      </c>
      <c r="B19" s="3">
        <v>28</v>
      </c>
      <c r="C19" s="1056"/>
      <c r="D19" s="1057">
        <v>0</v>
      </c>
      <c r="E19" s="1057">
        <v>0</v>
      </c>
      <c r="F19" s="1058">
        <v>0</v>
      </c>
      <c r="G19" s="1058">
        <v>0</v>
      </c>
      <c r="H19" s="1058">
        <v>0</v>
      </c>
      <c r="I19" s="1058">
        <v>0</v>
      </c>
      <c r="J19" s="1055">
        <v>0</v>
      </c>
      <c r="K19" s="1055">
        <v>0</v>
      </c>
      <c r="L19" s="30"/>
      <c r="M19" s="30"/>
      <c r="N19" s="30"/>
      <c r="O19" s="30"/>
      <c r="P19" s="30"/>
      <c r="Q19" s="40"/>
      <c r="R19" s="30"/>
      <c r="S19" s="30"/>
      <c r="T19" s="40"/>
      <c r="U19" s="30"/>
      <c r="V19" s="30"/>
      <c r="W19" s="40"/>
    </row>
    <row r="20" spans="1:23" ht="15.75">
      <c r="A20" s="21" t="s">
        <v>46</v>
      </c>
      <c r="B20" s="3">
        <v>31</v>
      </c>
      <c r="C20" s="1056"/>
      <c r="D20" s="1057">
        <v>0</v>
      </c>
      <c r="E20" s="1057">
        <v>0</v>
      </c>
      <c r="F20" s="1058">
        <v>0</v>
      </c>
      <c r="G20" s="1058">
        <v>0</v>
      </c>
      <c r="H20" s="1058">
        <v>0</v>
      </c>
      <c r="I20" s="1058">
        <v>0</v>
      </c>
      <c r="J20" s="1055">
        <v>0</v>
      </c>
      <c r="K20" s="1055">
        <v>0</v>
      </c>
      <c r="L20" s="30"/>
      <c r="M20" s="30"/>
      <c r="N20" s="30"/>
      <c r="O20" s="30"/>
      <c r="P20" s="30"/>
      <c r="Q20" s="40"/>
      <c r="R20" s="30"/>
      <c r="S20" s="30"/>
      <c r="T20" s="40"/>
      <c r="U20" s="30"/>
      <c r="V20" s="30"/>
      <c r="W20" s="40"/>
    </row>
    <row r="21" spans="1:23" ht="15.75">
      <c r="A21" s="22" t="s">
        <v>47</v>
      </c>
      <c r="B21" s="23">
        <v>90</v>
      </c>
      <c r="C21" s="1060"/>
      <c r="D21" s="1061">
        <v>0</v>
      </c>
      <c r="E21" s="1061">
        <v>0</v>
      </c>
      <c r="F21" s="1062">
        <v>0</v>
      </c>
      <c r="G21" s="1062">
        <v>0</v>
      </c>
      <c r="H21" s="1062">
        <v>0</v>
      </c>
      <c r="I21" s="1062">
        <v>0</v>
      </c>
      <c r="J21" s="1059">
        <v>0</v>
      </c>
      <c r="K21" s="1059">
        <v>0</v>
      </c>
      <c r="L21" s="24">
        <v>0</v>
      </c>
      <c r="M21" s="24">
        <v>0</v>
      </c>
      <c r="N21" s="24">
        <v>0</v>
      </c>
      <c r="O21" s="24">
        <v>0</v>
      </c>
      <c r="P21" s="24">
        <v>0</v>
      </c>
      <c r="Q21" s="44">
        <v>0</v>
      </c>
      <c r="R21" s="24"/>
      <c r="S21" s="24"/>
      <c r="T21" s="44"/>
      <c r="U21" s="24"/>
      <c r="V21" s="24"/>
      <c r="W21" s="44"/>
    </row>
    <row r="22" spans="1:23" ht="15.75">
      <c r="A22" s="34" t="s">
        <v>48</v>
      </c>
      <c r="B22" s="35">
        <v>182</v>
      </c>
      <c r="C22" s="1064"/>
      <c r="D22" s="1065">
        <v>0</v>
      </c>
      <c r="E22" s="1065">
        <v>0</v>
      </c>
      <c r="F22" s="1066">
        <v>0</v>
      </c>
      <c r="G22" s="1066">
        <v>0</v>
      </c>
      <c r="H22" s="1066">
        <v>0</v>
      </c>
      <c r="I22" s="1066">
        <v>0</v>
      </c>
      <c r="J22" s="1063">
        <v>0</v>
      </c>
      <c r="K22" s="1063">
        <v>0</v>
      </c>
      <c r="L22" s="36">
        <v>0</v>
      </c>
      <c r="M22" s="36">
        <v>0</v>
      </c>
      <c r="N22" s="36">
        <v>0</v>
      </c>
      <c r="O22" s="36">
        <v>0</v>
      </c>
      <c r="P22" s="36">
        <v>0</v>
      </c>
      <c r="Q22" s="48">
        <v>0</v>
      </c>
      <c r="R22" s="36"/>
      <c r="S22" s="36"/>
      <c r="T22" s="48"/>
      <c r="U22" s="36"/>
      <c r="V22" s="36"/>
      <c r="W22" s="48"/>
    </row>
    <row r="23" spans="1:23" ht="16.5" thickBot="1">
      <c r="A23" s="94" t="str">
        <f>RIGHT(A1,7)</f>
        <v>2025</v>
      </c>
      <c r="B23" s="95">
        <v>365</v>
      </c>
      <c r="C23" s="1068"/>
      <c r="D23" s="1069">
        <v>0</v>
      </c>
      <c r="E23" s="1069">
        <v>0</v>
      </c>
      <c r="F23" s="1070">
        <v>0</v>
      </c>
      <c r="G23" s="1070">
        <v>0</v>
      </c>
      <c r="H23" s="1070">
        <v>0</v>
      </c>
      <c r="I23" s="1070">
        <v>0</v>
      </c>
      <c r="J23" s="1067">
        <v>0</v>
      </c>
      <c r="K23" s="1067">
        <v>0</v>
      </c>
      <c r="L23" s="96">
        <v>0</v>
      </c>
      <c r="M23" s="96">
        <v>0</v>
      </c>
      <c r="N23" s="96">
        <v>0</v>
      </c>
      <c r="O23" s="96">
        <v>0</v>
      </c>
      <c r="P23" s="96">
        <v>0</v>
      </c>
      <c r="Q23" s="97">
        <v>0</v>
      </c>
      <c r="R23" s="96"/>
      <c r="S23" s="96"/>
      <c r="T23" s="97"/>
      <c r="U23" s="96"/>
      <c r="V23" s="96"/>
      <c r="W23" s="97"/>
    </row>
    <row r="24" spans="1:23" ht="15.75">
      <c r="A24" s="1155" t="s">
        <v>53</v>
      </c>
      <c r="B24" s="1155"/>
      <c r="C24" s="1155"/>
      <c r="D24" s="1155"/>
      <c r="E24" s="1155"/>
      <c r="F24" s="1155"/>
      <c r="G24" s="1155"/>
      <c r="H24" s="1155"/>
      <c r="I24" s="1155"/>
      <c r="J24" s="1155"/>
      <c r="K24" s="178"/>
      <c r="L24" s="59"/>
      <c r="M24" s="59"/>
      <c r="N24" s="59"/>
      <c r="O24" s="59"/>
      <c r="P24" s="59"/>
      <c r="Q24" s="59"/>
      <c r="R24" s="59"/>
      <c r="S24" s="59"/>
      <c r="T24" s="59"/>
      <c r="U24" s="59"/>
      <c r="V24" s="61"/>
      <c r="W24" s="61"/>
    </row>
    <row r="25" spans="1:23" ht="15.75">
      <c r="A25" s="61" t="str">
        <f>IF(AND(X24=0,Y24=0),"OK","ERROR")</f>
        <v>OK</v>
      </c>
      <c r="B25" s="61"/>
      <c r="C25" s="61"/>
      <c r="D25" s="59"/>
      <c r="E25" s="59"/>
      <c r="F25" s="100"/>
      <c r="G25" s="101"/>
      <c r="H25" s="102"/>
      <c r="I25" s="59"/>
      <c r="J25" s="59"/>
      <c r="K25" s="59"/>
      <c r="L25" s="59"/>
      <c r="M25" s="59"/>
      <c r="N25" s="59"/>
      <c r="O25" s="59"/>
      <c r="P25" s="59"/>
      <c r="Q25" s="59"/>
      <c r="R25" s="59"/>
      <c r="S25" s="59"/>
      <c r="T25" s="59"/>
      <c r="U25" s="59"/>
      <c r="V25" s="61"/>
      <c r="W25" s="61"/>
    </row>
  </sheetData>
  <sheetProtection algorithmName="SHA-512" hashValue="iHA5uac5XiQXJMx5BhPQ0Mjn84GzM36U3c7YIGnXRAAk3W9KgWpbK+irFMa8GviBkVLG7IyvKxqV9kTQP5fF3w==" saltValue="d081FNkTw1BJSR0AXmCAVQ==" spinCount="100000" sheet="1" objects="1" scenarios="1"/>
  <mergeCells count="11">
    <mergeCell ref="W3:W4"/>
    <mergeCell ref="A3:B3"/>
    <mergeCell ref="C3:G3"/>
    <mergeCell ref="H3:J3"/>
    <mergeCell ref="L3:N3"/>
    <mergeCell ref="O3:Q3"/>
    <mergeCell ref="A24:J24"/>
    <mergeCell ref="C1:G1"/>
    <mergeCell ref="S3:T3"/>
    <mergeCell ref="U3:U4"/>
    <mergeCell ref="V3:V4"/>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7030A0"/>
  </sheetPr>
  <dimension ref="A1:W25"/>
  <sheetViews>
    <sheetView workbookViewId="0">
      <selection activeCell="AC11" sqref="AC11"/>
    </sheetView>
  </sheetViews>
  <sheetFormatPr defaultColWidth="8.85546875" defaultRowHeight="15"/>
  <cols>
    <col min="4" max="4" width="11.28515625" customWidth="1"/>
    <col min="6" max="6" width="10.42578125" customWidth="1"/>
    <col min="7" max="7" width="10.7109375" customWidth="1"/>
    <col min="8" max="8" width="13.140625" customWidth="1"/>
    <col min="11" max="11" width="10.85546875" customWidth="1"/>
    <col min="12" max="23" width="0" hidden="1" customWidth="1"/>
  </cols>
  <sheetData>
    <row r="1" spans="1:23" ht="20.25">
      <c r="A1" s="488">
        <v>2025</v>
      </c>
      <c r="B1" s="489"/>
      <c r="C1" s="1156" t="s">
        <v>801</v>
      </c>
      <c r="D1" s="1156"/>
      <c r="E1" s="1156"/>
      <c r="F1" s="1156"/>
      <c r="G1" s="1156"/>
      <c r="H1" s="485" t="str">
        <f>interFY_transition!D17</f>
        <v>2026-27</v>
      </c>
      <c r="I1" s="489" t="s">
        <v>864</v>
      </c>
      <c r="J1" s="489"/>
      <c r="K1" s="489"/>
      <c r="L1" s="489"/>
      <c r="M1" s="489"/>
      <c r="N1" s="489"/>
      <c r="O1" s="489"/>
      <c r="P1" s="489"/>
      <c r="Q1" s="175"/>
      <c r="R1" s="175"/>
      <c r="S1" s="175"/>
      <c r="T1" s="175"/>
      <c r="U1" s="175"/>
      <c r="V1" s="175"/>
      <c r="W1" s="175"/>
    </row>
    <row r="2" spans="1:23" ht="15.75">
      <c r="A2" s="6"/>
      <c r="B2" s="5"/>
      <c r="C2" s="7"/>
      <c r="D2" s="4"/>
      <c r="E2" s="8"/>
      <c r="F2" s="8"/>
      <c r="G2" s="8"/>
      <c r="H2" s="5"/>
      <c r="I2" s="4"/>
      <c r="J2" s="4"/>
      <c r="K2" s="4"/>
      <c r="L2" s="4"/>
      <c r="M2" s="4"/>
      <c r="N2" s="4"/>
      <c r="O2" s="4"/>
      <c r="P2" s="4"/>
      <c r="Q2" s="4"/>
      <c r="R2" s="4"/>
      <c r="S2" s="4"/>
      <c r="T2" s="4"/>
      <c r="U2" s="4"/>
      <c r="V2" s="4"/>
      <c r="W2" s="4"/>
    </row>
    <row r="3" spans="1:23" ht="63">
      <c r="A3" s="1152" t="s">
        <v>0</v>
      </c>
      <c r="B3" s="1152"/>
      <c r="C3" s="1144" t="s">
        <v>1</v>
      </c>
      <c r="D3" s="1144"/>
      <c r="E3" s="1144"/>
      <c r="F3" s="1144"/>
      <c r="G3" s="1144"/>
      <c r="H3" s="1145" t="s">
        <v>2</v>
      </c>
      <c r="I3" s="1145"/>
      <c r="J3" s="1145"/>
      <c r="K3" s="177" t="s">
        <v>3</v>
      </c>
      <c r="L3" s="1146" t="s">
        <v>4</v>
      </c>
      <c r="M3" s="1147"/>
      <c r="N3" s="1148"/>
      <c r="O3" s="1149" t="s">
        <v>5</v>
      </c>
      <c r="P3" s="1149"/>
      <c r="Q3" s="1149"/>
      <c r="R3" s="176" t="s">
        <v>6</v>
      </c>
      <c r="S3" s="1135" t="s">
        <v>7</v>
      </c>
      <c r="T3" s="1141"/>
      <c r="U3" s="1137" t="s">
        <v>49</v>
      </c>
      <c r="V3" s="1137" t="s">
        <v>9</v>
      </c>
      <c r="W3" s="1157" t="s">
        <v>10</v>
      </c>
    </row>
    <row r="4" spans="1:23" ht="90">
      <c r="A4" s="71"/>
      <c r="B4" s="84" t="s">
        <v>11</v>
      </c>
      <c r="C4" s="13" t="s">
        <v>12</v>
      </c>
      <c r="D4" s="174" t="s">
        <v>13</v>
      </c>
      <c r="E4" s="13" t="s">
        <v>14</v>
      </c>
      <c r="F4" s="13" t="s">
        <v>15</v>
      </c>
      <c r="G4" s="174" t="s">
        <v>16</v>
      </c>
      <c r="H4" s="174" t="s">
        <v>17</v>
      </c>
      <c r="I4" s="13" t="s">
        <v>18</v>
      </c>
      <c r="J4" s="13" t="s">
        <v>19</v>
      </c>
      <c r="K4" s="13" t="s">
        <v>20</v>
      </c>
      <c r="L4" s="174" t="s">
        <v>21</v>
      </c>
      <c r="M4" s="174" t="s">
        <v>22</v>
      </c>
      <c r="N4" s="174" t="s">
        <v>23</v>
      </c>
      <c r="O4" s="174" t="s">
        <v>24</v>
      </c>
      <c r="P4" s="174" t="s">
        <v>25</v>
      </c>
      <c r="Q4" s="174" t="s">
        <v>26</v>
      </c>
      <c r="R4" s="174" t="s">
        <v>27</v>
      </c>
      <c r="S4" s="174" t="s">
        <v>28</v>
      </c>
      <c r="T4" s="174" t="s">
        <v>29</v>
      </c>
      <c r="U4" s="1137"/>
      <c r="V4" s="1137"/>
      <c r="W4" s="1158"/>
    </row>
    <row r="5" spans="1:23" ht="15.75">
      <c r="A5" s="15" t="s">
        <v>30</v>
      </c>
      <c r="B5" s="3">
        <v>30</v>
      </c>
      <c r="C5" s="1056">
        <v>6.2400006798883902</v>
      </c>
      <c r="D5" s="1057">
        <v>210692.99997999999</v>
      </c>
      <c r="E5" s="1057">
        <v>7.0231000000000003</v>
      </c>
      <c r="F5" s="1058">
        <v>23176.230009999999</v>
      </c>
      <c r="G5" s="1058">
        <v>3714.1390200000001</v>
      </c>
      <c r="H5" s="1058">
        <v>6.0736800000000004</v>
      </c>
      <c r="I5" s="1058">
        <v>0.20246</v>
      </c>
      <c r="J5" s="1055">
        <v>0.66812000000000005</v>
      </c>
      <c r="K5" s="1055">
        <v>4.3822590200000002E-3</v>
      </c>
      <c r="L5" s="17">
        <v>0</v>
      </c>
      <c r="M5" s="17">
        <v>0</v>
      </c>
      <c r="N5" s="17">
        <v>0</v>
      </c>
      <c r="O5" s="17">
        <v>0</v>
      </c>
      <c r="P5" s="17">
        <v>0</v>
      </c>
      <c r="Q5" s="17">
        <v>0</v>
      </c>
      <c r="R5" s="18">
        <v>0.2213</v>
      </c>
      <c r="S5" s="18"/>
      <c r="T5" s="18">
        <v>0</v>
      </c>
      <c r="U5" s="18"/>
      <c r="V5" s="18" t="s">
        <v>408</v>
      </c>
      <c r="W5" s="116" t="s">
        <v>56</v>
      </c>
    </row>
    <row r="6" spans="1:23" ht="15.75">
      <c r="A6" s="21" t="s">
        <v>32</v>
      </c>
      <c r="B6" s="3">
        <v>31</v>
      </c>
      <c r="C6" s="1056">
        <v>6.2400000190570202</v>
      </c>
      <c r="D6" s="1057">
        <v>215513.99999000001</v>
      </c>
      <c r="E6" s="1057">
        <v>6.9520645200000004</v>
      </c>
      <c r="F6" s="1058">
        <v>23706.540010000001</v>
      </c>
      <c r="G6" s="1058">
        <v>3799.1249899999998</v>
      </c>
      <c r="H6" s="1058">
        <v>6.0254700000000003</v>
      </c>
      <c r="I6" s="1058">
        <v>0.19436999999999999</v>
      </c>
      <c r="J6" s="1055">
        <v>0.66281000000000001</v>
      </c>
      <c r="K6" s="1055">
        <v>4.4619349900000002E-3</v>
      </c>
      <c r="L6" s="17">
        <v>0</v>
      </c>
      <c r="M6" s="17">
        <v>0</v>
      </c>
      <c r="N6" s="17">
        <v>0</v>
      </c>
      <c r="O6" s="17">
        <v>0</v>
      </c>
      <c r="P6" s="17">
        <v>0</v>
      </c>
      <c r="Q6" s="17">
        <v>0</v>
      </c>
      <c r="R6" s="18">
        <v>0.22600000000000001</v>
      </c>
      <c r="S6" s="18"/>
      <c r="T6" s="18">
        <v>0</v>
      </c>
      <c r="U6" s="18"/>
      <c r="V6" s="18" t="s">
        <v>446</v>
      </c>
      <c r="W6" s="116" t="s">
        <v>56</v>
      </c>
    </row>
    <row r="7" spans="1:23" ht="15" customHeight="1">
      <c r="A7" s="21" t="s">
        <v>33</v>
      </c>
      <c r="B7" s="3">
        <v>30</v>
      </c>
      <c r="C7" s="1056">
        <v>6.2399999349917801</v>
      </c>
      <c r="D7" s="1057">
        <v>209078.99997999999</v>
      </c>
      <c r="E7" s="1057">
        <v>6.9692999999999996</v>
      </c>
      <c r="F7" s="1058">
        <v>22998.690009999998</v>
      </c>
      <c r="G7" s="1058">
        <v>3685.6875399999999</v>
      </c>
      <c r="H7" s="1058">
        <v>5.7495799999999999</v>
      </c>
      <c r="I7" s="1058">
        <v>0.19164999999999999</v>
      </c>
      <c r="J7" s="1055">
        <v>0.63244999999999996</v>
      </c>
      <c r="K7" s="1055">
        <v>4.3181375400000001E-3</v>
      </c>
      <c r="L7" s="117">
        <v>0</v>
      </c>
      <c r="M7" s="117">
        <v>0</v>
      </c>
      <c r="N7" s="117">
        <v>0</v>
      </c>
      <c r="O7" s="117">
        <v>0</v>
      </c>
      <c r="P7" s="117">
        <v>0</v>
      </c>
      <c r="Q7" s="117">
        <v>0</v>
      </c>
      <c r="R7" s="118">
        <v>0.25850000000000001</v>
      </c>
      <c r="S7" s="118"/>
      <c r="T7" s="118">
        <v>0</v>
      </c>
      <c r="U7" s="118"/>
      <c r="V7" s="119" t="s">
        <v>510</v>
      </c>
      <c r="W7" s="120" t="s">
        <v>56</v>
      </c>
    </row>
    <row r="8" spans="1:23" ht="15.75">
      <c r="A8" s="22" t="s">
        <v>34</v>
      </c>
      <c r="B8" s="23">
        <v>91</v>
      </c>
      <c r="C8" s="1060">
        <v>6.2400002105554204</v>
      </c>
      <c r="D8" s="1061">
        <v>635285.99994999997</v>
      </c>
      <c r="E8" s="1061">
        <v>6.98116483</v>
      </c>
      <c r="F8" s="1062">
        <v>69881.460030000002</v>
      </c>
      <c r="G8" s="1062">
        <v>11198.95155</v>
      </c>
      <c r="H8" s="1062">
        <v>17.84873</v>
      </c>
      <c r="I8" s="1062">
        <v>0.19613</v>
      </c>
      <c r="J8" s="1059">
        <v>1.9633799999999999</v>
      </c>
      <c r="K8" s="1059">
        <v>1.316233155E-2</v>
      </c>
      <c r="L8" s="24">
        <v>0</v>
      </c>
      <c r="M8" s="24">
        <v>0</v>
      </c>
      <c r="N8" s="24">
        <v>0</v>
      </c>
      <c r="O8" s="24">
        <v>0</v>
      </c>
      <c r="P8" s="24">
        <v>0</v>
      </c>
      <c r="Q8" s="24">
        <v>0</v>
      </c>
      <c r="R8" s="18"/>
      <c r="S8" s="18"/>
      <c r="T8" s="18"/>
      <c r="U8" s="18"/>
      <c r="V8" s="18"/>
      <c r="W8" s="116"/>
    </row>
    <row r="9" spans="1:23" ht="15.75">
      <c r="A9" s="21" t="s">
        <v>35</v>
      </c>
      <c r="B9" s="3">
        <v>31</v>
      </c>
      <c r="C9" s="1056">
        <v>6.2400001107186798</v>
      </c>
      <c r="D9" s="1057">
        <v>215599</v>
      </c>
      <c r="E9" s="1057">
        <v>6.9548064500000004</v>
      </c>
      <c r="F9" s="1058">
        <v>23715.89</v>
      </c>
      <c r="G9" s="1058">
        <v>3800.6233299999999</v>
      </c>
      <c r="H9" s="1058">
        <v>6.0504199999999999</v>
      </c>
      <c r="I9" s="1058">
        <v>0.19517000000000001</v>
      </c>
      <c r="J9" s="1055">
        <v>0.66554000000000002</v>
      </c>
      <c r="K9" s="1055">
        <v>4.46616333E-3</v>
      </c>
      <c r="L9" s="117"/>
      <c r="M9" s="117"/>
      <c r="N9" s="117"/>
      <c r="O9" s="117"/>
      <c r="P9" s="117"/>
      <c r="Q9" s="117"/>
      <c r="R9" s="118"/>
      <c r="S9" s="118"/>
      <c r="T9" s="118"/>
      <c r="U9" s="118"/>
      <c r="V9" s="118"/>
      <c r="W9" s="120"/>
    </row>
    <row r="10" spans="1:23" ht="15.75">
      <c r="A10" s="21" t="s">
        <v>36</v>
      </c>
      <c r="B10" s="3">
        <v>31</v>
      </c>
      <c r="C10" s="1056"/>
      <c r="D10" s="1057">
        <v>0</v>
      </c>
      <c r="E10" s="1057">
        <v>0</v>
      </c>
      <c r="F10" s="1058">
        <v>0</v>
      </c>
      <c r="G10" s="1058">
        <v>0</v>
      </c>
      <c r="H10" s="1058">
        <v>0</v>
      </c>
      <c r="I10" s="1058">
        <v>0</v>
      </c>
      <c r="J10" s="1055">
        <v>0</v>
      </c>
      <c r="K10" s="1055">
        <v>0</v>
      </c>
      <c r="L10" s="117"/>
      <c r="M10" s="117"/>
      <c r="N10" s="117"/>
      <c r="O10" s="117"/>
      <c r="P10" s="117"/>
      <c r="Q10" s="117"/>
      <c r="R10" s="121"/>
      <c r="S10" s="118"/>
      <c r="T10" s="118"/>
      <c r="U10" s="118"/>
      <c r="V10" s="118"/>
      <c r="W10" s="120"/>
    </row>
    <row r="11" spans="1:23" ht="15.75">
      <c r="A11" s="21" t="s">
        <v>37</v>
      </c>
      <c r="B11" s="3">
        <v>30</v>
      </c>
      <c r="C11" s="1056"/>
      <c r="D11" s="1057">
        <v>0</v>
      </c>
      <c r="E11" s="1057">
        <v>0</v>
      </c>
      <c r="F11" s="1058">
        <v>0</v>
      </c>
      <c r="G11" s="1058">
        <v>0</v>
      </c>
      <c r="H11" s="1058">
        <v>0</v>
      </c>
      <c r="I11" s="1058">
        <v>0</v>
      </c>
      <c r="J11" s="1055">
        <v>0</v>
      </c>
      <c r="K11" s="1055">
        <v>0</v>
      </c>
      <c r="L11" s="30"/>
      <c r="M11" s="30"/>
      <c r="N11" s="30"/>
      <c r="O11" s="30"/>
      <c r="P11" s="30"/>
      <c r="Q11" s="30"/>
      <c r="R11" s="112"/>
      <c r="S11" s="112"/>
      <c r="T11" s="112"/>
      <c r="U11" s="112"/>
      <c r="V11" s="112"/>
      <c r="W11" s="122"/>
    </row>
    <row r="12" spans="1:23" ht="15.75">
      <c r="A12" s="22" t="s">
        <v>38</v>
      </c>
      <c r="B12" s="23">
        <v>92</v>
      </c>
      <c r="C12" s="1060">
        <v>6.2400001107186798</v>
      </c>
      <c r="D12" s="1061">
        <v>215599</v>
      </c>
      <c r="E12" s="1061">
        <v>2.3434673899999998</v>
      </c>
      <c r="F12" s="1062">
        <v>23715.89</v>
      </c>
      <c r="G12" s="1062">
        <v>3800.6233299999999</v>
      </c>
      <c r="H12" s="1062">
        <v>6.0504199999999999</v>
      </c>
      <c r="I12" s="1062">
        <v>6.5769999999999995E-2</v>
      </c>
      <c r="J12" s="1059">
        <v>0.66554000000000002</v>
      </c>
      <c r="K12" s="1059">
        <v>4.46616333E-3</v>
      </c>
      <c r="L12" s="24">
        <v>0</v>
      </c>
      <c r="M12" s="24">
        <v>0</v>
      </c>
      <c r="N12" s="24">
        <v>0</v>
      </c>
      <c r="O12" s="24">
        <v>0</v>
      </c>
      <c r="P12" s="24">
        <v>0</v>
      </c>
      <c r="Q12" s="24">
        <v>0</v>
      </c>
      <c r="R12" s="18"/>
      <c r="S12" s="18"/>
      <c r="T12" s="18"/>
      <c r="U12" s="18"/>
      <c r="V12" s="18"/>
      <c r="W12" s="116"/>
    </row>
    <row r="13" spans="1:23" ht="15.75">
      <c r="A13" s="34" t="s">
        <v>39</v>
      </c>
      <c r="B13" s="35">
        <v>183</v>
      </c>
      <c r="C13" s="1064">
        <v>6.2400001852585802</v>
      </c>
      <c r="D13" s="1065">
        <v>850884.99994999997</v>
      </c>
      <c r="E13" s="1065">
        <v>4.6496448099999999</v>
      </c>
      <c r="F13" s="1066">
        <v>93597.350030000001</v>
      </c>
      <c r="G13" s="1066">
        <v>14999.57488</v>
      </c>
      <c r="H13" s="1066">
        <v>23.899149999999999</v>
      </c>
      <c r="I13" s="1066">
        <v>0.13059999999999999</v>
      </c>
      <c r="J13" s="1063">
        <v>2.6289199999999999</v>
      </c>
      <c r="K13" s="1063">
        <v>1.7628494880000001E-2</v>
      </c>
      <c r="L13" s="36">
        <v>0</v>
      </c>
      <c r="M13" s="36">
        <v>0</v>
      </c>
      <c r="N13" s="36">
        <v>0</v>
      </c>
      <c r="O13" s="36">
        <v>0</v>
      </c>
      <c r="P13" s="36">
        <v>0</v>
      </c>
      <c r="Q13" s="36">
        <v>0</v>
      </c>
      <c r="R13" s="18"/>
      <c r="S13" s="18"/>
      <c r="T13" s="18"/>
      <c r="U13" s="18"/>
      <c r="V13" s="18"/>
      <c r="W13" s="116"/>
    </row>
    <row r="14" spans="1:23" ht="15.75">
      <c r="A14" s="21" t="s">
        <v>40</v>
      </c>
      <c r="B14" s="3">
        <v>31</v>
      </c>
      <c r="C14" s="1056"/>
      <c r="D14" s="1057">
        <v>0</v>
      </c>
      <c r="E14" s="1057">
        <v>0</v>
      </c>
      <c r="F14" s="1058">
        <v>0</v>
      </c>
      <c r="G14" s="1058">
        <v>0</v>
      </c>
      <c r="H14" s="1058">
        <v>0</v>
      </c>
      <c r="I14" s="1058">
        <v>0</v>
      </c>
      <c r="J14" s="1055">
        <v>0</v>
      </c>
      <c r="K14" s="1055">
        <v>0</v>
      </c>
      <c r="L14" s="30"/>
      <c r="M14" s="30"/>
      <c r="N14" s="30"/>
      <c r="O14" s="30"/>
      <c r="P14" s="30"/>
      <c r="Q14" s="30"/>
      <c r="R14" s="112"/>
      <c r="S14" s="112"/>
      <c r="T14" s="112"/>
      <c r="U14" s="112"/>
      <c r="V14" s="112"/>
      <c r="W14" s="122"/>
    </row>
    <row r="15" spans="1:23" ht="15.75">
      <c r="A15" s="21" t="s">
        <v>41</v>
      </c>
      <c r="B15" s="3">
        <v>30</v>
      </c>
      <c r="C15" s="1056"/>
      <c r="D15" s="1057">
        <v>0</v>
      </c>
      <c r="E15" s="1057">
        <v>0</v>
      </c>
      <c r="F15" s="1058">
        <v>0</v>
      </c>
      <c r="G15" s="1058">
        <v>0</v>
      </c>
      <c r="H15" s="1058">
        <v>0</v>
      </c>
      <c r="I15" s="1058">
        <v>0</v>
      </c>
      <c r="J15" s="1055">
        <v>0</v>
      </c>
      <c r="K15" s="1055">
        <v>0</v>
      </c>
      <c r="L15" s="123"/>
      <c r="M15" s="123"/>
      <c r="N15" s="123"/>
      <c r="O15" s="123"/>
      <c r="P15" s="123"/>
      <c r="Q15" s="123"/>
      <c r="R15" s="112"/>
      <c r="S15" s="112"/>
      <c r="T15" s="112"/>
      <c r="U15" s="112"/>
      <c r="V15" s="112"/>
      <c r="W15" s="122"/>
    </row>
    <row r="16" spans="1:23" ht="15.75">
      <c r="A16" s="21" t="s">
        <v>42</v>
      </c>
      <c r="B16" s="3">
        <v>31</v>
      </c>
      <c r="C16" s="1056"/>
      <c r="D16" s="1057">
        <v>0</v>
      </c>
      <c r="E16" s="1057">
        <v>0</v>
      </c>
      <c r="F16" s="1058">
        <v>0</v>
      </c>
      <c r="G16" s="1058">
        <v>0</v>
      </c>
      <c r="H16" s="1058">
        <v>0</v>
      </c>
      <c r="I16" s="1058">
        <v>0</v>
      </c>
      <c r="J16" s="1055">
        <v>0</v>
      </c>
      <c r="K16" s="1055">
        <v>0</v>
      </c>
      <c r="L16" s="30"/>
      <c r="M16" s="30"/>
      <c r="N16" s="30"/>
      <c r="O16" s="30"/>
      <c r="P16" s="30"/>
      <c r="Q16" s="30"/>
      <c r="R16" s="112"/>
      <c r="S16" s="112"/>
      <c r="T16" s="112"/>
      <c r="U16" s="112"/>
      <c r="V16" s="112"/>
      <c r="W16" s="122"/>
    </row>
    <row r="17" spans="1:23" ht="15.75">
      <c r="A17" s="22" t="s">
        <v>43</v>
      </c>
      <c r="B17" s="23">
        <v>92</v>
      </c>
      <c r="C17" s="1060"/>
      <c r="D17" s="1061">
        <v>0</v>
      </c>
      <c r="E17" s="1061">
        <v>0</v>
      </c>
      <c r="F17" s="1062">
        <v>0</v>
      </c>
      <c r="G17" s="1062">
        <v>0</v>
      </c>
      <c r="H17" s="1062">
        <v>0</v>
      </c>
      <c r="I17" s="1062">
        <v>0</v>
      </c>
      <c r="J17" s="1059">
        <v>0</v>
      </c>
      <c r="K17" s="1059">
        <v>0</v>
      </c>
      <c r="L17" s="24">
        <v>0</v>
      </c>
      <c r="M17" s="24">
        <v>0</v>
      </c>
      <c r="N17" s="24">
        <v>0</v>
      </c>
      <c r="O17" s="24">
        <v>0</v>
      </c>
      <c r="P17" s="24">
        <v>0</v>
      </c>
      <c r="Q17" s="24">
        <v>0</v>
      </c>
      <c r="R17" s="18"/>
      <c r="S17" s="18"/>
      <c r="T17" s="18"/>
      <c r="U17" s="18"/>
      <c r="V17" s="18"/>
      <c r="W17" s="116"/>
    </row>
    <row r="18" spans="1:23" ht="15.75">
      <c r="A18" s="21" t="s">
        <v>44</v>
      </c>
      <c r="B18" s="3">
        <v>31</v>
      </c>
      <c r="C18" s="1056"/>
      <c r="D18" s="1057">
        <v>0</v>
      </c>
      <c r="E18" s="1057">
        <v>0</v>
      </c>
      <c r="F18" s="1058">
        <v>0</v>
      </c>
      <c r="G18" s="1058">
        <v>0</v>
      </c>
      <c r="H18" s="1058">
        <v>0</v>
      </c>
      <c r="I18" s="1058">
        <v>0</v>
      </c>
      <c r="J18" s="1055">
        <v>0</v>
      </c>
      <c r="K18" s="1055">
        <v>0</v>
      </c>
      <c r="L18" s="30"/>
      <c r="M18" s="30"/>
      <c r="N18" s="30"/>
      <c r="O18" s="30"/>
      <c r="P18" s="30"/>
      <c r="Q18" s="40"/>
      <c r="R18" s="111"/>
      <c r="S18" s="111"/>
      <c r="T18" s="111"/>
      <c r="U18" s="111"/>
      <c r="V18" s="111"/>
      <c r="W18" s="124"/>
    </row>
    <row r="19" spans="1:23" ht="15.75">
      <c r="A19" s="21" t="s">
        <v>45</v>
      </c>
      <c r="B19" s="3">
        <v>28</v>
      </c>
      <c r="C19" s="1056"/>
      <c r="D19" s="1057">
        <v>0</v>
      </c>
      <c r="E19" s="1057">
        <v>0</v>
      </c>
      <c r="F19" s="1058">
        <v>0</v>
      </c>
      <c r="G19" s="1058">
        <v>0</v>
      </c>
      <c r="H19" s="1058">
        <v>0</v>
      </c>
      <c r="I19" s="1058">
        <v>0</v>
      </c>
      <c r="J19" s="1055">
        <v>0</v>
      </c>
      <c r="K19" s="1055">
        <v>0</v>
      </c>
      <c r="L19" s="30"/>
      <c r="M19" s="30"/>
      <c r="N19" s="30"/>
      <c r="O19" s="30"/>
      <c r="P19" s="30"/>
      <c r="Q19" s="30"/>
      <c r="R19" s="111"/>
      <c r="S19" s="111"/>
      <c r="T19" s="111"/>
      <c r="U19" s="111"/>
      <c r="V19" s="111"/>
      <c r="W19" s="124"/>
    </row>
    <row r="20" spans="1:23" ht="15.75">
      <c r="A20" s="21" t="s">
        <v>46</v>
      </c>
      <c r="B20" s="3">
        <v>31</v>
      </c>
      <c r="C20" s="1056"/>
      <c r="D20" s="1057">
        <v>0</v>
      </c>
      <c r="E20" s="1057">
        <v>0</v>
      </c>
      <c r="F20" s="1058">
        <v>0</v>
      </c>
      <c r="G20" s="1058">
        <v>0</v>
      </c>
      <c r="H20" s="1058">
        <v>0</v>
      </c>
      <c r="I20" s="1058">
        <v>0</v>
      </c>
      <c r="J20" s="1055">
        <v>0</v>
      </c>
      <c r="K20" s="1055">
        <v>0</v>
      </c>
      <c r="L20" s="30"/>
      <c r="M20" s="30"/>
      <c r="N20" s="30"/>
      <c r="O20" s="30"/>
      <c r="P20" s="30"/>
      <c r="Q20" s="30"/>
      <c r="R20" s="111"/>
      <c r="S20" s="111"/>
      <c r="T20" s="111"/>
      <c r="U20" s="111"/>
      <c r="V20" s="111"/>
      <c r="W20" s="124"/>
    </row>
    <row r="21" spans="1:23" ht="15.75">
      <c r="A21" s="22" t="s">
        <v>47</v>
      </c>
      <c r="B21" s="23">
        <v>90</v>
      </c>
      <c r="C21" s="1060"/>
      <c r="D21" s="1061">
        <v>0</v>
      </c>
      <c r="E21" s="1061">
        <v>0</v>
      </c>
      <c r="F21" s="1062">
        <v>0</v>
      </c>
      <c r="G21" s="1062">
        <v>0</v>
      </c>
      <c r="H21" s="1062">
        <v>0</v>
      </c>
      <c r="I21" s="1062">
        <v>0</v>
      </c>
      <c r="J21" s="1059">
        <v>0</v>
      </c>
      <c r="K21" s="1059">
        <v>0</v>
      </c>
      <c r="L21" s="24">
        <v>0</v>
      </c>
      <c r="M21" s="24">
        <v>0</v>
      </c>
      <c r="N21" s="24">
        <v>0</v>
      </c>
      <c r="O21" s="24">
        <v>0</v>
      </c>
      <c r="P21" s="24">
        <v>0</v>
      </c>
      <c r="Q21" s="44">
        <v>0</v>
      </c>
      <c r="R21" s="44"/>
      <c r="S21" s="44"/>
      <c r="T21" s="44"/>
      <c r="U21" s="44"/>
      <c r="V21" s="44"/>
      <c r="W21" s="125"/>
    </row>
    <row r="22" spans="1:23" ht="15.75">
      <c r="A22" s="34" t="s">
        <v>48</v>
      </c>
      <c r="B22" s="35">
        <v>182</v>
      </c>
      <c r="C22" s="1064"/>
      <c r="D22" s="1065">
        <v>0</v>
      </c>
      <c r="E22" s="1065">
        <v>0</v>
      </c>
      <c r="F22" s="1066">
        <v>0</v>
      </c>
      <c r="G22" s="1066">
        <v>0</v>
      </c>
      <c r="H22" s="1066">
        <v>0</v>
      </c>
      <c r="I22" s="1066">
        <v>0</v>
      </c>
      <c r="J22" s="1063">
        <v>0</v>
      </c>
      <c r="K22" s="1063">
        <v>0</v>
      </c>
      <c r="L22" s="36">
        <v>0</v>
      </c>
      <c r="M22" s="36">
        <v>0</v>
      </c>
      <c r="N22" s="36">
        <v>0</v>
      </c>
      <c r="O22" s="36">
        <v>0</v>
      </c>
      <c r="P22" s="36">
        <v>0</v>
      </c>
      <c r="Q22" s="48">
        <v>0</v>
      </c>
      <c r="R22" s="48"/>
      <c r="S22" s="48"/>
      <c r="T22" s="48"/>
      <c r="U22" s="48"/>
      <c r="V22" s="48"/>
      <c r="W22" s="126"/>
    </row>
    <row r="23" spans="1:23" ht="16.5" thickBot="1">
      <c r="A23" s="94" t="str">
        <f>RIGHT(A1,7)</f>
        <v>2025</v>
      </c>
      <c r="B23" s="95">
        <v>365</v>
      </c>
      <c r="C23" s="1068">
        <v>6.2400001852585802</v>
      </c>
      <c r="D23" s="1069">
        <v>850884.99994999997</v>
      </c>
      <c r="E23" s="1069">
        <v>2.3311917900000001</v>
      </c>
      <c r="F23" s="1070">
        <v>93597.350030000001</v>
      </c>
      <c r="G23" s="1070">
        <v>14999.57488</v>
      </c>
      <c r="H23" s="1070">
        <v>23.899149999999999</v>
      </c>
      <c r="I23" s="1070">
        <v>6.5479999999999997E-2</v>
      </c>
      <c r="J23" s="1067">
        <v>2.6289199999999999</v>
      </c>
      <c r="K23" s="1067">
        <v>1.7628494880000001E-2</v>
      </c>
      <c r="L23" s="96">
        <v>0</v>
      </c>
      <c r="M23" s="96">
        <v>0</v>
      </c>
      <c r="N23" s="96">
        <v>0</v>
      </c>
      <c r="O23" s="96">
        <v>0</v>
      </c>
      <c r="P23" s="96">
        <v>0</v>
      </c>
      <c r="Q23" s="97">
        <v>0</v>
      </c>
      <c r="R23" s="97"/>
      <c r="S23" s="97"/>
      <c r="T23" s="97"/>
      <c r="U23" s="97"/>
      <c r="V23" s="97"/>
      <c r="W23" s="127"/>
    </row>
    <row r="24" spans="1:23" ht="15.75">
      <c r="A24" s="1155" t="s">
        <v>53</v>
      </c>
      <c r="B24" s="1155"/>
      <c r="C24" s="1155"/>
      <c r="D24" s="1155"/>
      <c r="E24" s="1155"/>
      <c r="F24" s="1155"/>
      <c r="G24" s="1155"/>
      <c r="H24" s="1155"/>
      <c r="I24" s="1155"/>
      <c r="J24" s="1155"/>
      <c r="K24" s="178"/>
      <c r="L24" s="59"/>
      <c r="M24" s="59"/>
      <c r="N24" s="59"/>
      <c r="O24" s="59"/>
      <c r="P24" s="59"/>
      <c r="Q24" s="59"/>
      <c r="R24" s="59"/>
      <c r="S24" s="59"/>
      <c r="T24" s="59"/>
      <c r="U24" s="59"/>
      <c r="V24" s="61"/>
      <c r="W24" s="61"/>
    </row>
    <row r="25" spans="1:23" ht="15.75">
      <c r="A25" s="61" t="str">
        <f>IF(AND(X24=0,Y24=0),"OK","ERROR")</f>
        <v>OK</v>
      </c>
      <c r="B25" s="61"/>
      <c r="C25" s="61"/>
      <c r="D25" s="59"/>
      <c r="E25" s="59"/>
      <c r="F25" s="100"/>
      <c r="G25" s="101"/>
      <c r="H25" s="102"/>
      <c r="I25" s="59"/>
      <c r="J25" s="59"/>
      <c r="K25" s="59"/>
      <c r="L25" s="59"/>
      <c r="M25" s="59"/>
      <c r="N25" s="59"/>
      <c r="O25" s="59"/>
      <c r="P25" s="59"/>
      <c r="Q25" s="59"/>
      <c r="R25" s="59"/>
      <c r="S25" s="59"/>
      <c r="T25" s="59"/>
      <c r="U25" s="59"/>
      <c r="V25" s="61"/>
      <c r="W25" s="61"/>
    </row>
  </sheetData>
  <sheetProtection algorithmName="SHA-512" hashValue="EWLHHB8bBDi+eGOqhGfwLtktRoIiCbCBImChysbRb+4P/XXj3cZYvomAMMJirwldkRI9FkDFL65FFromgl9v3Q==" saltValue="H+9+yt7OF+tbZIKR/TJLOg==" spinCount="100000" sheet="1" objects="1" scenarios="1"/>
  <mergeCells count="11">
    <mergeCell ref="W3:W4"/>
    <mergeCell ref="A3:B3"/>
    <mergeCell ref="C3:G3"/>
    <mergeCell ref="H3:J3"/>
    <mergeCell ref="L3:N3"/>
    <mergeCell ref="O3:Q3"/>
    <mergeCell ref="A24:J24"/>
    <mergeCell ref="C1:G1"/>
    <mergeCell ref="S3:T3"/>
    <mergeCell ref="U3:U4"/>
    <mergeCell ref="V3:V4"/>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7030A0"/>
  </sheetPr>
  <dimension ref="A1:W26"/>
  <sheetViews>
    <sheetView topLeftCell="A4" workbookViewId="0">
      <selection activeCell="AA10" sqref="AA10"/>
    </sheetView>
  </sheetViews>
  <sheetFormatPr defaultColWidth="8.85546875" defaultRowHeight="15"/>
  <cols>
    <col min="4" max="4" width="11.140625" customWidth="1"/>
    <col min="6" max="6" width="13.7109375" bestFit="1" customWidth="1"/>
    <col min="7" max="7" width="12.5703125" bestFit="1" customWidth="1"/>
    <col min="8" max="8" width="13.42578125" customWidth="1"/>
    <col min="12" max="23" width="0" hidden="1" customWidth="1"/>
  </cols>
  <sheetData>
    <row r="1" spans="1:23" ht="20.25">
      <c r="A1" s="488">
        <v>2025</v>
      </c>
      <c r="B1" s="489"/>
      <c r="C1" s="1156" t="s">
        <v>65</v>
      </c>
      <c r="D1" s="1156"/>
      <c r="E1" s="1156"/>
      <c r="F1" s="1156"/>
      <c r="G1" s="1156"/>
      <c r="H1" s="485" t="str">
        <f>interFY_transition!D17</f>
        <v>2026-27</v>
      </c>
      <c r="I1" s="489" t="s">
        <v>864</v>
      </c>
      <c r="J1" s="489"/>
      <c r="K1" s="489"/>
      <c r="L1" s="489"/>
      <c r="M1" s="489"/>
      <c r="N1" s="489"/>
      <c r="O1" s="489"/>
      <c r="P1" s="489"/>
      <c r="Q1" s="175"/>
      <c r="R1" s="175"/>
      <c r="S1" s="175"/>
      <c r="T1" s="175"/>
      <c r="U1" s="175"/>
      <c r="V1" s="175"/>
      <c r="W1" s="175"/>
    </row>
    <row r="2" spans="1:23" ht="15.75">
      <c r="A2" s="6"/>
      <c r="B2" s="5"/>
      <c r="C2" s="7"/>
      <c r="D2" s="4"/>
      <c r="E2" s="8"/>
      <c r="F2" s="8"/>
      <c r="G2" s="8"/>
      <c r="H2" s="5"/>
      <c r="I2" s="4"/>
      <c r="J2" s="4"/>
      <c r="K2" s="4"/>
      <c r="L2" s="4"/>
      <c r="M2" s="4"/>
      <c r="N2" s="4"/>
      <c r="O2" s="4"/>
      <c r="P2" s="4"/>
      <c r="Q2" s="4"/>
      <c r="R2" s="4"/>
      <c r="S2" s="4"/>
      <c r="T2" s="4"/>
      <c r="U2" s="4"/>
      <c r="V2" s="4"/>
      <c r="W2" s="4"/>
    </row>
    <row r="3" spans="1:23" ht="63">
      <c r="A3" s="1152" t="s">
        <v>0</v>
      </c>
      <c r="B3" s="1152"/>
      <c r="C3" s="1144" t="s">
        <v>1</v>
      </c>
      <c r="D3" s="1144"/>
      <c r="E3" s="1144"/>
      <c r="F3" s="1144"/>
      <c r="G3" s="1144"/>
      <c r="H3" s="1145" t="s">
        <v>2</v>
      </c>
      <c r="I3" s="1145"/>
      <c r="J3" s="1145"/>
      <c r="K3" s="177" t="s">
        <v>3</v>
      </c>
      <c r="L3" s="1146" t="s">
        <v>4</v>
      </c>
      <c r="M3" s="1147"/>
      <c r="N3" s="1148"/>
      <c r="O3" s="1149" t="s">
        <v>5</v>
      </c>
      <c r="P3" s="1149"/>
      <c r="Q3" s="1149"/>
      <c r="R3" s="176" t="s">
        <v>6</v>
      </c>
      <c r="S3" s="1135" t="s">
        <v>7</v>
      </c>
      <c r="T3" s="1141"/>
      <c r="U3" s="1137" t="s">
        <v>49</v>
      </c>
      <c r="V3" s="1137" t="s">
        <v>9</v>
      </c>
      <c r="W3" s="1137" t="s">
        <v>10</v>
      </c>
    </row>
    <row r="4" spans="1:23" ht="90">
      <c r="A4" s="71"/>
      <c r="B4" s="84" t="s">
        <v>11</v>
      </c>
      <c r="C4" s="13" t="s">
        <v>12</v>
      </c>
      <c r="D4" s="174" t="s">
        <v>13</v>
      </c>
      <c r="E4" s="13" t="s">
        <v>14</v>
      </c>
      <c r="F4" s="13" t="s">
        <v>15</v>
      </c>
      <c r="G4" s="174" t="s">
        <v>16</v>
      </c>
      <c r="H4" s="174" t="s">
        <v>17</v>
      </c>
      <c r="I4" s="13" t="s">
        <v>18</v>
      </c>
      <c r="J4" s="13" t="s">
        <v>19</v>
      </c>
      <c r="K4" s="13" t="s">
        <v>20</v>
      </c>
      <c r="L4" s="174" t="s">
        <v>21</v>
      </c>
      <c r="M4" s="174" t="s">
        <v>22</v>
      </c>
      <c r="N4" s="174" t="s">
        <v>23</v>
      </c>
      <c r="O4" s="174" t="s">
        <v>24</v>
      </c>
      <c r="P4" s="174" t="s">
        <v>25</v>
      </c>
      <c r="Q4" s="174" t="s">
        <v>26</v>
      </c>
      <c r="R4" s="174" t="s">
        <v>27</v>
      </c>
      <c r="S4" s="174" t="s">
        <v>28</v>
      </c>
      <c r="T4" s="174" t="s">
        <v>29</v>
      </c>
      <c r="U4" s="1137"/>
      <c r="V4" s="1137"/>
      <c r="W4" s="1137"/>
    </row>
    <row r="5" spans="1:23" ht="30.95" customHeight="1">
      <c r="A5" s="15" t="s">
        <v>30</v>
      </c>
      <c r="B5" s="3">
        <v>30</v>
      </c>
      <c r="C5" s="1056">
        <v>6.57000314898632</v>
      </c>
      <c r="D5" s="1057">
        <v>129900.00001</v>
      </c>
      <c r="E5" s="1057">
        <v>4.33</v>
      </c>
      <c r="F5" s="1058">
        <v>51960.000010000003</v>
      </c>
      <c r="G5" s="1058">
        <v>7908.6720100000002</v>
      </c>
      <c r="H5" s="1058">
        <v>2.8149899999999999</v>
      </c>
      <c r="I5" s="1058">
        <v>9.3829999999999997E-2</v>
      </c>
      <c r="J5" s="1055">
        <v>1.12599</v>
      </c>
      <c r="K5" s="1055">
        <v>9.0346620099999997E-3</v>
      </c>
      <c r="L5" s="17">
        <v>0</v>
      </c>
      <c r="M5" s="17">
        <v>0</v>
      </c>
      <c r="N5" s="17">
        <v>0</v>
      </c>
      <c r="O5" s="17">
        <v>0</v>
      </c>
      <c r="P5" s="17">
        <v>0</v>
      </c>
      <c r="Q5" s="17">
        <v>0</v>
      </c>
      <c r="R5" s="128">
        <v>0.46800000000000003</v>
      </c>
      <c r="S5" s="18"/>
      <c r="T5" s="18">
        <v>0</v>
      </c>
      <c r="U5" s="18"/>
      <c r="V5" s="77" t="s">
        <v>409</v>
      </c>
      <c r="W5" s="18" t="s">
        <v>56</v>
      </c>
    </row>
    <row r="6" spans="1:23" ht="20.100000000000001" customHeight="1">
      <c r="A6" s="21" t="s">
        <v>32</v>
      </c>
      <c r="B6" s="3">
        <v>31</v>
      </c>
      <c r="C6" s="1056">
        <v>6.5700002211481596</v>
      </c>
      <c r="D6" s="1057">
        <v>166940.00002000001</v>
      </c>
      <c r="E6" s="1057">
        <v>5.3851612900000001</v>
      </c>
      <c r="F6" s="1058">
        <v>66775.999989999997</v>
      </c>
      <c r="G6" s="1058">
        <v>10163.77439</v>
      </c>
      <c r="H6" s="1058">
        <v>2.8772899999999999</v>
      </c>
      <c r="I6" s="1058">
        <v>9.282E-2</v>
      </c>
      <c r="J6" s="1055">
        <v>1.1509100000000001</v>
      </c>
      <c r="K6" s="1055">
        <v>1.131468439E-2</v>
      </c>
      <c r="L6" s="18">
        <v>0</v>
      </c>
      <c r="M6" s="18">
        <v>0</v>
      </c>
      <c r="N6" s="18">
        <v>0</v>
      </c>
      <c r="O6" s="18">
        <v>0</v>
      </c>
      <c r="P6" s="18">
        <v>0</v>
      </c>
      <c r="Q6" s="18">
        <v>0</v>
      </c>
      <c r="R6" s="128">
        <v>0.4556</v>
      </c>
      <c r="S6" s="18"/>
      <c r="T6" s="18">
        <v>0</v>
      </c>
      <c r="U6" s="18"/>
      <c r="V6" s="77" t="s">
        <v>447</v>
      </c>
      <c r="W6" s="18" t="s">
        <v>56</v>
      </c>
    </row>
    <row r="7" spans="1:23" ht="20.100000000000001" customHeight="1">
      <c r="A7" s="21" t="s">
        <v>33</v>
      </c>
      <c r="B7" s="3">
        <v>30</v>
      </c>
      <c r="C7" s="1056">
        <v>6.5700024866850297</v>
      </c>
      <c r="D7" s="1057">
        <v>169233.99999000001</v>
      </c>
      <c r="E7" s="1057">
        <v>5.6411333299999997</v>
      </c>
      <c r="F7" s="1058">
        <v>67693.600009999995</v>
      </c>
      <c r="G7" s="1058">
        <v>10303.43598</v>
      </c>
      <c r="H7" s="1058">
        <v>2.6065100000000001</v>
      </c>
      <c r="I7" s="1058">
        <v>8.6879999999999999E-2</v>
      </c>
      <c r="J7" s="1055">
        <v>1.0426</v>
      </c>
      <c r="K7" s="1055">
        <v>1.134603598E-2</v>
      </c>
      <c r="L7" s="18">
        <v>0</v>
      </c>
      <c r="M7" s="18">
        <v>0</v>
      </c>
      <c r="N7" s="18">
        <v>0</v>
      </c>
      <c r="O7" s="18">
        <v>0</v>
      </c>
      <c r="P7" s="18">
        <v>0</v>
      </c>
      <c r="Q7" s="18">
        <v>0</v>
      </c>
      <c r="R7" s="128">
        <v>0.37659999999999999</v>
      </c>
      <c r="S7" s="18"/>
      <c r="T7" s="18">
        <v>0</v>
      </c>
      <c r="U7" s="18"/>
      <c r="V7" s="18" t="s">
        <v>511</v>
      </c>
      <c r="W7" s="112" t="s">
        <v>56</v>
      </c>
    </row>
    <row r="8" spans="1:23" ht="20.100000000000001" customHeight="1">
      <c r="A8" s="22" t="s">
        <v>34</v>
      </c>
      <c r="B8" s="23">
        <v>91</v>
      </c>
      <c r="C8" s="1060">
        <v>6.5700018597976699</v>
      </c>
      <c r="D8" s="1061">
        <v>466074.00001999998</v>
      </c>
      <c r="E8" s="1061">
        <v>5.1216923100000002</v>
      </c>
      <c r="F8" s="1062">
        <v>186429.60000999999</v>
      </c>
      <c r="G8" s="1062">
        <v>28375.882379999999</v>
      </c>
      <c r="H8" s="1062">
        <v>8.2987900000000003</v>
      </c>
      <c r="I8" s="1062">
        <v>9.1189999999999993E-2</v>
      </c>
      <c r="J8" s="1059">
        <v>3.3195000000000001</v>
      </c>
      <c r="K8" s="1059">
        <v>3.1695382379999998E-2</v>
      </c>
      <c r="L8" s="24">
        <v>0</v>
      </c>
      <c r="M8" s="24">
        <v>0</v>
      </c>
      <c r="N8" s="24">
        <v>0</v>
      </c>
      <c r="O8" s="24">
        <v>0</v>
      </c>
      <c r="P8" s="24">
        <v>0</v>
      </c>
      <c r="Q8" s="24">
        <v>0</v>
      </c>
      <c r="R8" s="18"/>
      <c r="S8" s="18"/>
      <c r="T8" s="18"/>
      <c r="U8" s="18"/>
      <c r="V8" s="18"/>
      <c r="W8" s="18"/>
    </row>
    <row r="9" spans="1:23" ht="20.100000000000001" customHeight="1">
      <c r="A9" s="21" t="s">
        <v>35</v>
      </c>
      <c r="B9" s="3">
        <v>31</v>
      </c>
      <c r="C9" s="1056">
        <v>6.57000049944204</v>
      </c>
      <c r="D9" s="1057">
        <v>176743.00002000001</v>
      </c>
      <c r="E9" s="1057">
        <v>5.7013870999999998</v>
      </c>
      <c r="F9" s="1058">
        <v>70697.2</v>
      </c>
      <c r="G9" s="1058">
        <v>10760.60801</v>
      </c>
      <c r="H9" s="1058">
        <v>2.9470700000000001</v>
      </c>
      <c r="I9" s="1058">
        <v>9.5070000000000002E-2</v>
      </c>
      <c r="J9" s="1055">
        <v>1.17882</v>
      </c>
      <c r="K9" s="1055">
        <v>1.1939428009999999E-2</v>
      </c>
      <c r="L9" s="18"/>
      <c r="M9" s="18"/>
      <c r="N9" s="18"/>
      <c r="O9" s="18"/>
      <c r="P9" s="18"/>
      <c r="Q9" s="18"/>
      <c r="R9" s="128"/>
      <c r="S9" s="18"/>
      <c r="T9" s="18"/>
      <c r="U9" s="18"/>
      <c r="V9" s="18"/>
      <c r="W9" s="18" t="s">
        <v>56</v>
      </c>
    </row>
    <row r="10" spans="1:23" ht="20.100000000000001" customHeight="1">
      <c r="A10" s="21" t="s">
        <v>36</v>
      </c>
      <c r="B10" s="3">
        <v>31</v>
      </c>
      <c r="C10" s="1056"/>
      <c r="D10" s="1057">
        <v>0</v>
      </c>
      <c r="E10" s="1057">
        <v>0</v>
      </c>
      <c r="F10" s="1058">
        <v>0</v>
      </c>
      <c r="G10" s="1058">
        <v>0</v>
      </c>
      <c r="H10" s="1058">
        <v>0</v>
      </c>
      <c r="I10" s="1058">
        <v>0</v>
      </c>
      <c r="J10" s="1055">
        <v>0</v>
      </c>
      <c r="K10" s="1055">
        <v>0</v>
      </c>
      <c r="L10" s="18"/>
      <c r="M10" s="18"/>
      <c r="N10" s="18"/>
      <c r="O10" s="18"/>
      <c r="P10" s="18"/>
      <c r="Q10" s="18"/>
      <c r="R10" s="128"/>
      <c r="S10" s="18"/>
      <c r="T10" s="18"/>
      <c r="U10" s="18"/>
      <c r="V10" s="18"/>
      <c r="W10" s="18"/>
    </row>
    <row r="11" spans="1:23" ht="20.100000000000001" customHeight="1">
      <c r="A11" s="21" t="s">
        <v>37</v>
      </c>
      <c r="B11" s="3">
        <v>30</v>
      </c>
      <c r="C11" s="1056"/>
      <c r="D11" s="1057">
        <v>0</v>
      </c>
      <c r="E11" s="1057">
        <v>0</v>
      </c>
      <c r="F11" s="1058">
        <v>0</v>
      </c>
      <c r="G11" s="1058">
        <v>0</v>
      </c>
      <c r="H11" s="1058">
        <v>0</v>
      </c>
      <c r="I11" s="1058">
        <v>0</v>
      </c>
      <c r="J11" s="1055">
        <v>0</v>
      </c>
      <c r="K11" s="1055">
        <v>0</v>
      </c>
      <c r="L11" s="30"/>
      <c r="M11" s="30"/>
      <c r="N11" s="30"/>
      <c r="O11" s="30"/>
      <c r="P11" s="30"/>
      <c r="Q11" s="30"/>
      <c r="R11" s="129"/>
      <c r="S11" s="112"/>
      <c r="T11" s="112"/>
      <c r="U11" s="112"/>
      <c r="V11" s="112"/>
      <c r="W11" s="112"/>
    </row>
    <row r="12" spans="1:23" ht="20.100000000000001" customHeight="1">
      <c r="A12" s="22" t="s">
        <v>38</v>
      </c>
      <c r="B12" s="23">
        <v>92</v>
      </c>
      <c r="C12" s="1060">
        <v>6.57000049944204</v>
      </c>
      <c r="D12" s="1061">
        <v>176743.00002000001</v>
      </c>
      <c r="E12" s="1061">
        <v>1.9211195700000001</v>
      </c>
      <c r="F12" s="1062">
        <v>70697.2</v>
      </c>
      <c r="G12" s="1062">
        <v>10760.60801</v>
      </c>
      <c r="H12" s="1062">
        <v>2.9470700000000001</v>
      </c>
      <c r="I12" s="1062">
        <v>3.2030000000000003E-2</v>
      </c>
      <c r="J12" s="1059">
        <v>1.17882</v>
      </c>
      <c r="K12" s="1059">
        <v>1.1939428009999999E-2</v>
      </c>
      <c r="L12" s="24">
        <v>0</v>
      </c>
      <c r="M12" s="24">
        <v>0</v>
      </c>
      <c r="N12" s="24">
        <v>0</v>
      </c>
      <c r="O12" s="24">
        <v>0</v>
      </c>
      <c r="P12" s="24">
        <v>0</v>
      </c>
      <c r="Q12" s="24">
        <v>0</v>
      </c>
      <c r="R12" s="18"/>
      <c r="S12" s="18"/>
      <c r="T12" s="18"/>
      <c r="U12" s="18"/>
      <c r="V12" s="18"/>
      <c r="W12" s="18"/>
    </row>
    <row r="13" spans="1:23" ht="20.100000000000001" customHeight="1">
      <c r="A13" s="34" t="s">
        <v>39</v>
      </c>
      <c r="B13" s="35">
        <v>183</v>
      </c>
      <c r="C13" s="1064">
        <v>6.5700014857668503</v>
      </c>
      <c r="D13" s="1065">
        <v>642817.00003999996</v>
      </c>
      <c r="E13" s="1065">
        <v>3.5126612100000001</v>
      </c>
      <c r="F13" s="1066">
        <v>257126.80001000001</v>
      </c>
      <c r="G13" s="1066">
        <v>39136.490389999999</v>
      </c>
      <c r="H13" s="1066">
        <v>11.24586</v>
      </c>
      <c r="I13" s="1066">
        <v>6.1440000000000002E-2</v>
      </c>
      <c r="J13" s="1063">
        <v>4.4983199999999997</v>
      </c>
      <c r="K13" s="1063">
        <v>4.3634810390000001E-2</v>
      </c>
      <c r="L13" s="36">
        <v>0</v>
      </c>
      <c r="M13" s="36">
        <v>0</v>
      </c>
      <c r="N13" s="36">
        <v>0</v>
      </c>
      <c r="O13" s="36">
        <v>0</v>
      </c>
      <c r="P13" s="36">
        <v>0</v>
      </c>
      <c r="Q13" s="36">
        <v>0</v>
      </c>
      <c r="R13" s="18"/>
      <c r="S13" s="18"/>
      <c r="T13" s="18"/>
      <c r="U13" s="18"/>
      <c r="V13" s="18"/>
      <c r="W13" s="18"/>
    </row>
    <row r="14" spans="1:23" ht="20.100000000000001" customHeight="1">
      <c r="A14" s="21" t="s">
        <v>40</v>
      </c>
      <c r="B14" s="3">
        <v>31</v>
      </c>
      <c r="C14" s="1056"/>
      <c r="D14" s="1057">
        <v>0</v>
      </c>
      <c r="E14" s="1057">
        <v>0</v>
      </c>
      <c r="F14" s="1058">
        <v>0</v>
      </c>
      <c r="G14" s="1058">
        <v>0</v>
      </c>
      <c r="H14" s="1058">
        <v>0</v>
      </c>
      <c r="I14" s="1058">
        <v>0</v>
      </c>
      <c r="J14" s="1055">
        <v>0</v>
      </c>
      <c r="K14" s="1055">
        <v>0</v>
      </c>
      <c r="L14" s="30"/>
      <c r="M14" s="30"/>
      <c r="N14" s="30"/>
      <c r="O14" s="30"/>
      <c r="P14" s="30"/>
      <c r="Q14" s="30"/>
      <c r="R14" s="129"/>
      <c r="S14" s="112"/>
      <c r="T14" s="112"/>
      <c r="U14" s="112"/>
      <c r="V14" s="130"/>
      <c r="W14" s="112"/>
    </row>
    <row r="15" spans="1:23" ht="20.100000000000001" customHeight="1">
      <c r="A15" s="21" t="s">
        <v>41</v>
      </c>
      <c r="B15" s="3">
        <v>30</v>
      </c>
      <c r="C15" s="1056"/>
      <c r="D15" s="1057">
        <v>0</v>
      </c>
      <c r="E15" s="1057">
        <v>0</v>
      </c>
      <c r="F15" s="1058">
        <v>0</v>
      </c>
      <c r="G15" s="1058">
        <v>0</v>
      </c>
      <c r="H15" s="1058">
        <v>0</v>
      </c>
      <c r="I15" s="1058">
        <v>0</v>
      </c>
      <c r="J15" s="1055">
        <v>0</v>
      </c>
      <c r="K15" s="1055">
        <v>0</v>
      </c>
      <c r="L15" s="30"/>
      <c r="M15" s="30"/>
      <c r="N15" s="30"/>
      <c r="O15" s="30"/>
      <c r="P15" s="30"/>
      <c r="Q15" s="30"/>
      <c r="R15" s="129"/>
      <c r="S15" s="112"/>
      <c r="T15" s="112"/>
      <c r="U15" s="112"/>
      <c r="V15" s="130"/>
      <c r="W15" s="112"/>
    </row>
    <row r="16" spans="1:23" ht="20.100000000000001" customHeight="1">
      <c r="A16" s="21" t="s">
        <v>42</v>
      </c>
      <c r="B16" s="3">
        <v>31</v>
      </c>
      <c r="C16" s="1056"/>
      <c r="D16" s="1057">
        <v>0</v>
      </c>
      <c r="E16" s="1057">
        <v>0</v>
      </c>
      <c r="F16" s="1058">
        <v>0</v>
      </c>
      <c r="G16" s="1058">
        <v>0</v>
      </c>
      <c r="H16" s="1058">
        <v>0</v>
      </c>
      <c r="I16" s="1058">
        <v>0</v>
      </c>
      <c r="J16" s="1055">
        <v>0</v>
      </c>
      <c r="K16" s="1055">
        <v>0</v>
      </c>
      <c r="L16" s="30"/>
      <c r="M16" s="30"/>
      <c r="N16" s="30"/>
      <c r="O16" s="30"/>
      <c r="P16" s="30"/>
      <c r="Q16" s="30"/>
      <c r="R16" s="129"/>
      <c r="S16" s="112"/>
      <c r="T16" s="112"/>
      <c r="U16" s="112"/>
      <c r="V16" s="112"/>
      <c r="W16" s="112"/>
    </row>
    <row r="17" spans="1:23" ht="20.100000000000001" customHeight="1">
      <c r="A17" s="22" t="s">
        <v>43</v>
      </c>
      <c r="B17" s="23">
        <v>92</v>
      </c>
      <c r="C17" s="1060"/>
      <c r="D17" s="1061">
        <v>0</v>
      </c>
      <c r="E17" s="1061">
        <v>0</v>
      </c>
      <c r="F17" s="1062">
        <v>0</v>
      </c>
      <c r="G17" s="1062">
        <v>0</v>
      </c>
      <c r="H17" s="1062">
        <v>0</v>
      </c>
      <c r="I17" s="1062">
        <v>0</v>
      </c>
      <c r="J17" s="1059">
        <v>0</v>
      </c>
      <c r="K17" s="1059">
        <v>0</v>
      </c>
      <c r="L17" s="24">
        <v>0</v>
      </c>
      <c r="M17" s="24">
        <v>0</v>
      </c>
      <c r="N17" s="24">
        <v>0</v>
      </c>
      <c r="O17" s="24">
        <v>0</v>
      </c>
      <c r="P17" s="24">
        <v>0</v>
      </c>
      <c r="Q17" s="24">
        <v>0</v>
      </c>
      <c r="R17" s="18"/>
      <c r="S17" s="18"/>
      <c r="T17" s="18"/>
      <c r="U17" s="18"/>
      <c r="V17" s="18"/>
      <c r="W17" s="18"/>
    </row>
    <row r="18" spans="1:23" ht="20.100000000000001" customHeight="1">
      <c r="A18" s="21" t="s">
        <v>44</v>
      </c>
      <c r="B18" s="3">
        <v>31</v>
      </c>
      <c r="C18" s="1056"/>
      <c r="D18" s="1057">
        <v>0</v>
      </c>
      <c r="E18" s="1057">
        <v>0</v>
      </c>
      <c r="F18" s="1058">
        <v>0</v>
      </c>
      <c r="G18" s="1058">
        <v>0</v>
      </c>
      <c r="H18" s="1058">
        <v>0</v>
      </c>
      <c r="I18" s="1058">
        <v>0</v>
      </c>
      <c r="J18" s="1055">
        <v>0</v>
      </c>
      <c r="K18" s="1055">
        <v>0</v>
      </c>
      <c r="L18" s="123"/>
      <c r="M18" s="123"/>
      <c r="N18" s="123"/>
      <c r="O18" s="123"/>
      <c r="P18" s="123"/>
      <c r="Q18" s="123"/>
      <c r="R18" s="129"/>
      <c r="S18" s="111"/>
      <c r="T18" s="111"/>
      <c r="U18" s="111"/>
      <c r="V18" s="131"/>
      <c r="W18" s="111"/>
    </row>
    <row r="19" spans="1:23" ht="20.100000000000001" customHeight="1">
      <c r="A19" s="21" t="s">
        <v>45</v>
      </c>
      <c r="B19" s="3">
        <v>28</v>
      </c>
      <c r="C19" s="1056"/>
      <c r="D19" s="1057">
        <v>0</v>
      </c>
      <c r="E19" s="1057">
        <v>0</v>
      </c>
      <c r="F19" s="1058">
        <v>0</v>
      </c>
      <c r="G19" s="1058">
        <v>0</v>
      </c>
      <c r="H19" s="1058">
        <v>0</v>
      </c>
      <c r="I19" s="1058">
        <v>0</v>
      </c>
      <c r="J19" s="1055">
        <v>0</v>
      </c>
      <c r="K19" s="1055">
        <v>0</v>
      </c>
      <c r="L19" s="123"/>
      <c r="M19" s="123"/>
      <c r="N19" s="123"/>
      <c r="O19" s="123"/>
      <c r="P19" s="123"/>
      <c r="Q19" s="123"/>
      <c r="R19" s="132"/>
      <c r="S19" s="133"/>
      <c r="T19" s="133"/>
      <c r="U19" s="133"/>
      <c r="V19" s="131"/>
      <c r="W19" s="111"/>
    </row>
    <row r="20" spans="1:23" ht="20.100000000000001" customHeight="1">
      <c r="A20" s="21" t="s">
        <v>46</v>
      </c>
      <c r="B20" s="3">
        <v>31</v>
      </c>
      <c r="C20" s="1056"/>
      <c r="D20" s="1057">
        <v>0</v>
      </c>
      <c r="E20" s="1057">
        <v>0</v>
      </c>
      <c r="F20" s="1058">
        <v>0</v>
      </c>
      <c r="G20" s="1058">
        <v>0</v>
      </c>
      <c r="H20" s="1058">
        <v>0</v>
      </c>
      <c r="I20" s="1058">
        <v>0</v>
      </c>
      <c r="J20" s="1055">
        <v>0</v>
      </c>
      <c r="K20" s="1055">
        <v>0</v>
      </c>
      <c r="L20" s="30"/>
      <c r="M20" s="30"/>
      <c r="N20" s="30"/>
      <c r="O20" s="30"/>
      <c r="P20" s="30"/>
      <c r="Q20" s="30"/>
      <c r="R20" s="112"/>
      <c r="S20" s="112"/>
      <c r="T20" s="112"/>
      <c r="U20" s="112"/>
      <c r="V20" s="112"/>
      <c r="W20" s="112"/>
    </row>
    <row r="21" spans="1:23" ht="20.100000000000001" customHeight="1">
      <c r="A21" s="22" t="s">
        <v>47</v>
      </c>
      <c r="B21" s="23">
        <v>90</v>
      </c>
      <c r="C21" s="1060"/>
      <c r="D21" s="1061">
        <v>0</v>
      </c>
      <c r="E21" s="1061">
        <v>0</v>
      </c>
      <c r="F21" s="1062">
        <v>0</v>
      </c>
      <c r="G21" s="1062">
        <v>0</v>
      </c>
      <c r="H21" s="1062">
        <v>0</v>
      </c>
      <c r="I21" s="1062">
        <v>0</v>
      </c>
      <c r="J21" s="1059">
        <v>0</v>
      </c>
      <c r="K21" s="1059">
        <v>0</v>
      </c>
      <c r="L21" s="24">
        <v>0</v>
      </c>
      <c r="M21" s="24">
        <v>0</v>
      </c>
      <c r="N21" s="24">
        <v>0</v>
      </c>
      <c r="O21" s="24">
        <v>0</v>
      </c>
      <c r="P21" s="24">
        <v>0</v>
      </c>
      <c r="Q21" s="44">
        <v>0</v>
      </c>
      <c r="R21" s="44"/>
      <c r="S21" s="44"/>
      <c r="T21" s="44"/>
      <c r="U21" s="44"/>
      <c r="V21" s="44"/>
      <c r="W21" s="44"/>
    </row>
    <row r="22" spans="1:23" ht="20.100000000000001" customHeight="1">
      <c r="A22" s="34" t="s">
        <v>48</v>
      </c>
      <c r="B22" s="35">
        <v>182</v>
      </c>
      <c r="C22" s="1064"/>
      <c r="D22" s="1065">
        <v>0</v>
      </c>
      <c r="E22" s="1065">
        <v>0</v>
      </c>
      <c r="F22" s="1066">
        <v>0</v>
      </c>
      <c r="G22" s="1066">
        <v>0</v>
      </c>
      <c r="H22" s="1066">
        <v>0</v>
      </c>
      <c r="I22" s="1066">
        <v>0</v>
      </c>
      <c r="J22" s="1063">
        <v>0</v>
      </c>
      <c r="K22" s="1063">
        <v>0</v>
      </c>
      <c r="L22" s="36">
        <v>0</v>
      </c>
      <c r="M22" s="36">
        <v>0</v>
      </c>
      <c r="N22" s="36">
        <v>0</v>
      </c>
      <c r="O22" s="36">
        <v>0</v>
      </c>
      <c r="P22" s="36">
        <v>0</v>
      </c>
      <c r="Q22" s="48">
        <v>0</v>
      </c>
      <c r="R22" s="48"/>
      <c r="S22" s="48"/>
      <c r="T22" s="48"/>
      <c r="U22" s="48"/>
      <c r="V22" s="48"/>
      <c r="W22" s="48"/>
    </row>
    <row r="23" spans="1:23" ht="20.100000000000001" customHeight="1" thickBot="1">
      <c r="A23" s="94" t="str">
        <f>RIGHT(A1,7)</f>
        <v>2025</v>
      </c>
      <c r="B23" s="95">
        <v>365</v>
      </c>
      <c r="C23" s="1068">
        <v>6.5700014857668503</v>
      </c>
      <c r="D23" s="1069">
        <v>642817.00003999996</v>
      </c>
      <c r="E23" s="1069">
        <v>1.7611424600000001</v>
      </c>
      <c r="F23" s="1070">
        <v>257126.80001000001</v>
      </c>
      <c r="G23" s="1070">
        <v>39136.490389999999</v>
      </c>
      <c r="H23" s="1070">
        <v>11.24586</v>
      </c>
      <c r="I23" s="1070">
        <v>3.0800000000000001E-2</v>
      </c>
      <c r="J23" s="1067">
        <v>4.4983199999999997</v>
      </c>
      <c r="K23" s="1067">
        <v>4.3634810390000001E-2</v>
      </c>
      <c r="L23" s="96">
        <v>0</v>
      </c>
      <c r="M23" s="96">
        <v>0</v>
      </c>
      <c r="N23" s="96">
        <v>0</v>
      </c>
      <c r="O23" s="96">
        <v>0</v>
      </c>
      <c r="P23" s="96">
        <v>0</v>
      </c>
      <c r="Q23" s="97">
        <v>0</v>
      </c>
      <c r="R23" s="97"/>
      <c r="S23" s="97"/>
      <c r="T23" s="97"/>
      <c r="U23" s="97"/>
      <c r="V23" s="97"/>
      <c r="W23" s="97"/>
    </row>
    <row r="24" spans="1:23" ht="20.100000000000001" customHeight="1">
      <c r="A24" s="1155" t="s">
        <v>53</v>
      </c>
      <c r="B24" s="1155"/>
      <c r="C24" s="1155"/>
      <c r="D24" s="1155"/>
      <c r="E24" s="1155"/>
      <c r="F24" s="1155"/>
      <c r="G24" s="1155"/>
      <c r="H24" s="1155"/>
      <c r="I24" s="1155"/>
      <c r="J24" s="1155"/>
      <c r="K24" s="178"/>
      <c r="L24" s="59"/>
      <c r="M24" s="59"/>
      <c r="N24" s="59"/>
      <c r="O24" s="59"/>
      <c r="P24" s="59"/>
      <c r="Q24" s="59"/>
      <c r="R24" s="59"/>
      <c r="S24" s="59"/>
      <c r="T24" s="59"/>
      <c r="U24" s="59"/>
      <c r="V24" s="61"/>
      <c r="W24" s="61"/>
    </row>
    <row r="25" spans="1:23" ht="20.100000000000001" customHeight="1">
      <c r="A25" s="61" t="str">
        <f>IF(AND(X24=0,Y24=0),"OK","ERROR")</f>
        <v>OK</v>
      </c>
      <c r="B25" s="61"/>
      <c r="C25" s="61"/>
      <c r="D25" s="59"/>
      <c r="E25" s="59"/>
      <c r="F25" s="100"/>
      <c r="G25" s="101"/>
      <c r="H25" s="102"/>
      <c r="I25" s="59"/>
      <c r="J25" s="59"/>
      <c r="K25" s="59"/>
      <c r="L25" s="59"/>
      <c r="M25" s="59"/>
      <c r="N25" s="59"/>
      <c r="O25" s="59"/>
      <c r="P25" s="59"/>
      <c r="Q25" s="59"/>
      <c r="R25" s="59"/>
      <c r="S25" s="59"/>
      <c r="T25" s="59"/>
      <c r="U25" s="59"/>
      <c r="V25" s="61"/>
      <c r="W25" s="61"/>
    </row>
    <row r="26" spans="1:23" ht="20.100000000000001" customHeight="1"/>
  </sheetData>
  <sheetProtection algorithmName="SHA-512" hashValue="kScoDOIj0kLTh8a4Hz+3CtVA2hXcLMJKo07E/3nvoJzDzXHzTlPsDYh8kuDN2Ox5B8FTd6IQ781mXYpyLGOf8w==" saltValue="BcgyT5C7lxCZttj/uXN7og==" spinCount="100000" sheet="1" objects="1" scenarios="1"/>
  <mergeCells count="11">
    <mergeCell ref="W3:W4"/>
    <mergeCell ref="A3:B3"/>
    <mergeCell ref="C3:G3"/>
    <mergeCell ref="H3:J3"/>
    <mergeCell ref="L3:N3"/>
    <mergeCell ref="O3:Q3"/>
    <mergeCell ref="A24:J24"/>
    <mergeCell ref="C1:G1"/>
    <mergeCell ref="S3:T3"/>
    <mergeCell ref="U3:U4"/>
    <mergeCell ref="V3:V4"/>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7030A0"/>
  </sheetPr>
  <dimension ref="A1:W25"/>
  <sheetViews>
    <sheetView workbookViewId="0">
      <selection activeCell="AB10" sqref="AB10"/>
    </sheetView>
  </sheetViews>
  <sheetFormatPr defaultColWidth="8.85546875" defaultRowHeight="15"/>
  <cols>
    <col min="4" max="4" width="12.7109375" bestFit="1" customWidth="1"/>
    <col min="6" max="6" width="11.42578125" bestFit="1" customWidth="1"/>
    <col min="7" max="7" width="11.42578125" customWidth="1"/>
    <col min="8" max="8" width="11" customWidth="1"/>
    <col min="12" max="23" width="0" hidden="1" customWidth="1"/>
  </cols>
  <sheetData>
    <row r="1" spans="1:23" ht="20.25">
      <c r="A1" s="487">
        <v>2025</v>
      </c>
      <c r="B1" s="487"/>
      <c r="C1" s="1160" t="s">
        <v>802</v>
      </c>
      <c r="D1" s="1160"/>
      <c r="E1" s="1160"/>
      <c r="F1" s="1160"/>
      <c r="G1" s="1160"/>
      <c r="H1" s="490" t="str">
        <f>interFY_transition!D17</f>
        <v>2026-27</v>
      </c>
      <c r="I1" s="487" t="s">
        <v>864</v>
      </c>
      <c r="J1" s="487"/>
      <c r="K1" s="487"/>
      <c r="L1" s="487"/>
      <c r="M1" s="487"/>
      <c r="N1" s="487"/>
      <c r="O1" s="487"/>
      <c r="P1" s="487"/>
      <c r="Q1" s="180"/>
      <c r="R1" s="180"/>
      <c r="S1" s="180"/>
      <c r="T1" s="180"/>
      <c r="U1" s="180"/>
      <c r="V1" s="180"/>
      <c r="W1" s="180"/>
    </row>
    <row r="2" spans="1:23" ht="15.75">
      <c r="A2" s="5"/>
      <c r="B2" s="5"/>
      <c r="C2" s="7"/>
      <c r="D2" s="4"/>
      <c r="E2" s="8"/>
      <c r="F2" s="8"/>
      <c r="G2" s="8"/>
      <c r="H2" s="5"/>
      <c r="I2" s="4"/>
      <c r="J2" s="4"/>
      <c r="K2" s="4"/>
      <c r="L2" s="4"/>
      <c r="M2" s="4"/>
      <c r="N2" s="4"/>
      <c r="O2" s="4"/>
      <c r="P2" s="4"/>
      <c r="Q2" s="4"/>
      <c r="R2" s="4"/>
      <c r="S2" s="4"/>
      <c r="T2" s="4"/>
      <c r="U2" s="4"/>
      <c r="V2" s="4"/>
      <c r="W2" s="4"/>
    </row>
    <row r="3" spans="1:23" ht="63">
      <c r="A3" s="1152" t="s">
        <v>0</v>
      </c>
      <c r="B3" s="1152"/>
      <c r="C3" s="1144" t="s">
        <v>1</v>
      </c>
      <c r="D3" s="1144"/>
      <c r="E3" s="1144"/>
      <c r="F3" s="1144"/>
      <c r="G3" s="1144"/>
      <c r="H3" s="1145" t="s">
        <v>2</v>
      </c>
      <c r="I3" s="1145"/>
      <c r="J3" s="1145"/>
      <c r="K3" s="177" t="s">
        <v>3</v>
      </c>
      <c r="L3" s="1146" t="s">
        <v>4</v>
      </c>
      <c r="M3" s="1147"/>
      <c r="N3" s="1148"/>
      <c r="O3" s="1149" t="s">
        <v>5</v>
      </c>
      <c r="P3" s="1149"/>
      <c r="Q3" s="1149"/>
      <c r="R3" s="134" t="s">
        <v>6</v>
      </c>
      <c r="S3" s="1161" t="s">
        <v>7</v>
      </c>
      <c r="T3" s="1162"/>
      <c r="U3" s="1154" t="s">
        <v>49</v>
      </c>
      <c r="V3" s="1154" t="s">
        <v>9</v>
      </c>
      <c r="W3" s="1120" t="s">
        <v>10</v>
      </c>
    </row>
    <row r="4" spans="1:23" ht="90">
      <c r="A4" s="135"/>
      <c r="B4" s="84" t="s">
        <v>11</v>
      </c>
      <c r="C4" s="13" t="s">
        <v>12</v>
      </c>
      <c r="D4" s="174" t="s">
        <v>13</v>
      </c>
      <c r="E4" s="13" t="s">
        <v>14</v>
      </c>
      <c r="F4" s="13" t="s">
        <v>15</v>
      </c>
      <c r="G4" s="174" t="s">
        <v>16</v>
      </c>
      <c r="H4" s="13" t="s">
        <v>17</v>
      </c>
      <c r="I4" s="13" t="s">
        <v>18</v>
      </c>
      <c r="J4" s="13" t="s">
        <v>19</v>
      </c>
      <c r="K4" s="13" t="s">
        <v>20</v>
      </c>
      <c r="L4" s="174" t="s">
        <v>21</v>
      </c>
      <c r="M4" s="174" t="s">
        <v>22</v>
      </c>
      <c r="N4" s="174" t="s">
        <v>23</v>
      </c>
      <c r="O4" s="174" t="s">
        <v>24</v>
      </c>
      <c r="P4" s="174" t="s">
        <v>25</v>
      </c>
      <c r="Q4" s="174" t="s">
        <v>26</v>
      </c>
      <c r="R4" s="174" t="s">
        <v>27</v>
      </c>
      <c r="S4" s="174" t="s">
        <v>28</v>
      </c>
      <c r="T4" s="174" t="s">
        <v>29</v>
      </c>
      <c r="U4" s="1163"/>
      <c r="V4" s="1163"/>
      <c r="W4" s="1121"/>
    </row>
    <row r="5" spans="1:23" ht="15.75">
      <c r="A5" s="136" t="s">
        <v>30</v>
      </c>
      <c r="B5" s="3">
        <v>30</v>
      </c>
      <c r="C5" s="1056">
        <v>7.6199999999313599</v>
      </c>
      <c r="D5" s="1057">
        <v>7216171</v>
      </c>
      <c r="E5" s="1057">
        <v>240.53903333</v>
      </c>
      <c r="F5" s="1058">
        <v>288646.84000000003</v>
      </c>
      <c r="G5" s="1058">
        <v>37880.162729999996</v>
      </c>
      <c r="H5" s="1058"/>
      <c r="I5" s="1058"/>
      <c r="J5" s="1055"/>
      <c r="K5" s="1055">
        <v>3.788016273E-2</v>
      </c>
      <c r="L5" s="17">
        <v>4</v>
      </c>
      <c r="M5" s="17"/>
      <c r="N5" s="17"/>
      <c r="O5" s="17"/>
      <c r="P5" s="17"/>
      <c r="Q5" s="17"/>
      <c r="R5" s="17"/>
      <c r="S5" s="17"/>
      <c r="T5" s="17"/>
      <c r="U5" s="17"/>
      <c r="V5" s="17"/>
      <c r="W5" s="17"/>
    </row>
    <row r="6" spans="1:23" ht="15.75">
      <c r="A6" s="3" t="s">
        <v>32</v>
      </c>
      <c r="B6" s="3">
        <v>31</v>
      </c>
      <c r="C6" s="1056">
        <v>7.6199971633972901</v>
      </c>
      <c r="D6" s="1057">
        <v>8370383.9999900004</v>
      </c>
      <c r="E6" s="1057">
        <v>270.01238710000001</v>
      </c>
      <c r="F6" s="1058">
        <v>334815.36001</v>
      </c>
      <c r="G6" s="1058">
        <v>43939.039980000001</v>
      </c>
      <c r="H6" s="1058"/>
      <c r="I6" s="1058"/>
      <c r="J6" s="1055"/>
      <c r="K6" s="1055">
        <v>4.3939039979999997E-2</v>
      </c>
      <c r="L6" s="17">
        <v>0</v>
      </c>
      <c r="M6" s="17"/>
      <c r="N6" s="17"/>
      <c r="O6" s="17"/>
      <c r="P6" s="17"/>
      <c r="Q6" s="17"/>
      <c r="R6" s="17"/>
      <c r="S6" s="17"/>
      <c r="T6" s="17"/>
      <c r="U6" s="17"/>
      <c r="V6" s="17"/>
      <c r="W6" s="17"/>
    </row>
    <row r="7" spans="1:23" ht="15.75">
      <c r="A7" s="3" t="s">
        <v>33</v>
      </c>
      <c r="B7" s="3">
        <v>30</v>
      </c>
      <c r="C7" s="1056">
        <v>7.6199999996013901</v>
      </c>
      <c r="D7" s="1057">
        <v>12807869</v>
      </c>
      <c r="E7" s="1057">
        <v>426.92896667000002</v>
      </c>
      <c r="F7" s="1058">
        <v>512314.76</v>
      </c>
      <c r="G7" s="1058">
        <v>67232.90814</v>
      </c>
      <c r="H7" s="1058"/>
      <c r="I7" s="1058"/>
      <c r="J7" s="1055"/>
      <c r="K7" s="1055">
        <v>6.7232908140000006E-2</v>
      </c>
      <c r="L7" s="17">
        <v>3</v>
      </c>
      <c r="M7" s="17"/>
      <c r="N7" s="17"/>
      <c r="O7" s="17"/>
      <c r="P7" s="17"/>
      <c r="Q7" s="17"/>
      <c r="R7" s="17"/>
      <c r="S7" s="17"/>
      <c r="T7" s="17"/>
      <c r="U7" s="17"/>
      <c r="V7" s="17"/>
      <c r="W7" s="17"/>
    </row>
    <row r="8" spans="1:23" ht="15.75">
      <c r="A8" s="23" t="s">
        <v>34</v>
      </c>
      <c r="B8" s="23">
        <v>91</v>
      </c>
      <c r="C8" s="1060">
        <v>7.6199991636012401</v>
      </c>
      <c r="D8" s="1061">
        <v>28394423.999990001</v>
      </c>
      <c r="E8" s="1061">
        <v>312.02663737</v>
      </c>
      <c r="F8" s="1062">
        <v>1135776.96001</v>
      </c>
      <c r="G8" s="1062">
        <v>149052.11085</v>
      </c>
      <c r="H8" s="1062"/>
      <c r="I8" s="1062"/>
      <c r="J8" s="1059"/>
      <c r="K8" s="1059">
        <v>0.14905211085</v>
      </c>
      <c r="L8" s="24">
        <v>7</v>
      </c>
      <c r="M8" s="24">
        <v>0</v>
      </c>
      <c r="N8" s="24">
        <v>0</v>
      </c>
      <c r="O8" s="24">
        <v>0</v>
      </c>
      <c r="P8" s="24">
        <v>0</v>
      </c>
      <c r="Q8" s="24">
        <v>0</v>
      </c>
      <c r="R8" s="24"/>
      <c r="S8" s="24"/>
      <c r="T8" s="24"/>
      <c r="U8" s="24"/>
      <c r="V8" s="24"/>
      <c r="W8" s="24"/>
    </row>
    <row r="9" spans="1:23" ht="15.75">
      <c r="A9" s="3" t="s">
        <v>35</v>
      </c>
      <c r="B9" s="3">
        <v>31</v>
      </c>
      <c r="C9" s="1056">
        <v>7.6199999987494804</v>
      </c>
      <c r="D9" s="1057">
        <v>10237010.999980001</v>
      </c>
      <c r="E9" s="1057">
        <v>330.22616128999999</v>
      </c>
      <c r="F9" s="1058">
        <v>409480.44</v>
      </c>
      <c r="G9" s="1058">
        <v>53737.590559999997</v>
      </c>
      <c r="H9" s="1058"/>
      <c r="I9" s="1058"/>
      <c r="J9" s="1055"/>
      <c r="K9" s="1055">
        <v>5.373759056E-2</v>
      </c>
      <c r="L9" s="17"/>
      <c r="M9" s="17"/>
      <c r="N9" s="17"/>
      <c r="O9" s="17"/>
      <c r="P9" s="17"/>
      <c r="Q9" s="17"/>
      <c r="R9" s="17"/>
      <c r="S9" s="17"/>
      <c r="T9" s="17"/>
      <c r="U9" s="17"/>
      <c r="V9" s="17"/>
      <c r="W9" s="17"/>
    </row>
    <row r="10" spans="1:23" ht="15.75">
      <c r="A10" s="3" t="s">
        <v>36</v>
      </c>
      <c r="B10" s="3">
        <v>31</v>
      </c>
      <c r="C10" s="1056"/>
      <c r="D10" s="1057">
        <v>0</v>
      </c>
      <c r="E10" s="1057">
        <v>0</v>
      </c>
      <c r="F10" s="1058">
        <v>0</v>
      </c>
      <c r="G10" s="1058">
        <v>0</v>
      </c>
      <c r="H10" s="1058"/>
      <c r="I10" s="1058"/>
      <c r="J10" s="1055"/>
      <c r="K10" s="1055">
        <v>0</v>
      </c>
      <c r="L10" s="17"/>
      <c r="M10" s="17"/>
      <c r="N10" s="17"/>
      <c r="O10" s="17"/>
      <c r="P10" s="17"/>
      <c r="Q10" s="17"/>
      <c r="R10" s="17"/>
      <c r="S10" s="17"/>
      <c r="T10" s="17"/>
      <c r="U10" s="17"/>
      <c r="V10" s="17"/>
      <c r="W10" s="17"/>
    </row>
    <row r="11" spans="1:23" ht="15.75">
      <c r="A11" s="3" t="s">
        <v>37</v>
      </c>
      <c r="B11" s="3">
        <v>30</v>
      </c>
      <c r="C11" s="1056"/>
      <c r="D11" s="1057">
        <v>0</v>
      </c>
      <c r="E11" s="1057">
        <v>0</v>
      </c>
      <c r="F11" s="1058">
        <v>0</v>
      </c>
      <c r="G11" s="1058">
        <v>0</v>
      </c>
      <c r="H11" s="1058"/>
      <c r="I11" s="1058"/>
      <c r="J11" s="1055"/>
      <c r="K11" s="1055">
        <v>0</v>
      </c>
      <c r="L11" s="30"/>
      <c r="M11" s="30"/>
      <c r="N11" s="30"/>
      <c r="O11" s="30"/>
      <c r="P11" s="30"/>
      <c r="Q11" s="30"/>
      <c r="R11" s="30"/>
      <c r="S11" s="30"/>
      <c r="T11" s="30"/>
      <c r="U11" s="30"/>
      <c r="V11" s="30"/>
      <c r="W11" s="30"/>
    </row>
    <row r="12" spans="1:23" ht="15.75">
      <c r="A12" s="23" t="s">
        <v>38</v>
      </c>
      <c r="B12" s="23">
        <v>92</v>
      </c>
      <c r="C12" s="1060">
        <v>7.6199999987494804</v>
      </c>
      <c r="D12" s="1061">
        <v>10237010.999980001</v>
      </c>
      <c r="E12" s="1061">
        <v>111.2718587</v>
      </c>
      <c r="F12" s="1062">
        <v>409480.44</v>
      </c>
      <c r="G12" s="1062">
        <v>53737.590559999997</v>
      </c>
      <c r="H12" s="1062"/>
      <c r="I12" s="1062"/>
      <c r="J12" s="1059"/>
      <c r="K12" s="1059">
        <v>5.373759056E-2</v>
      </c>
      <c r="L12" s="24">
        <v>0</v>
      </c>
      <c r="M12" s="24">
        <v>0</v>
      </c>
      <c r="N12" s="24">
        <v>0</v>
      </c>
      <c r="O12" s="24">
        <v>0</v>
      </c>
      <c r="P12" s="24">
        <v>0</v>
      </c>
      <c r="Q12" s="24">
        <v>0</v>
      </c>
      <c r="R12" s="24"/>
      <c r="S12" s="24"/>
      <c r="T12" s="24"/>
      <c r="U12" s="24"/>
      <c r="V12" s="24"/>
      <c r="W12" s="24"/>
    </row>
    <row r="13" spans="1:23" ht="15.75">
      <c r="A13" s="35" t="s">
        <v>39</v>
      </c>
      <c r="B13" s="35">
        <v>183</v>
      </c>
      <c r="C13" s="1064">
        <v>7.6199993849086098</v>
      </c>
      <c r="D13" s="1065">
        <v>38631434.999969997</v>
      </c>
      <c r="E13" s="1065">
        <v>211.10073771</v>
      </c>
      <c r="F13" s="1066">
        <v>1545257.40001</v>
      </c>
      <c r="G13" s="1066">
        <v>202789.70141000001</v>
      </c>
      <c r="H13" s="1066"/>
      <c r="I13" s="1066"/>
      <c r="J13" s="1063"/>
      <c r="K13" s="1063">
        <v>0.20278970141</v>
      </c>
      <c r="L13" s="36">
        <v>7</v>
      </c>
      <c r="M13" s="36">
        <v>0</v>
      </c>
      <c r="N13" s="36">
        <v>0</v>
      </c>
      <c r="O13" s="36">
        <v>0</v>
      </c>
      <c r="P13" s="36">
        <v>0</v>
      </c>
      <c r="Q13" s="36">
        <v>0</v>
      </c>
      <c r="R13" s="36"/>
      <c r="S13" s="36"/>
      <c r="T13" s="36"/>
      <c r="U13" s="36"/>
      <c r="V13" s="36"/>
      <c r="W13" s="36"/>
    </row>
    <row r="14" spans="1:23" ht="15.75">
      <c r="A14" s="3" t="s">
        <v>40</v>
      </c>
      <c r="B14" s="3">
        <v>31</v>
      </c>
      <c r="C14" s="1056"/>
      <c r="D14" s="1057">
        <v>0</v>
      </c>
      <c r="E14" s="1057">
        <v>0</v>
      </c>
      <c r="F14" s="1058">
        <v>0</v>
      </c>
      <c r="G14" s="1058">
        <v>0</v>
      </c>
      <c r="H14" s="1058"/>
      <c r="I14" s="1058"/>
      <c r="J14" s="1055"/>
      <c r="K14" s="1055">
        <v>0</v>
      </c>
      <c r="L14" s="30"/>
      <c r="M14" s="30"/>
      <c r="N14" s="30"/>
      <c r="O14" s="30"/>
      <c r="P14" s="30"/>
      <c r="Q14" s="30"/>
      <c r="R14" s="30"/>
      <c r="S14" s="30"/>
      <c r="T14" s="30"/>
      <c r="U14" s="30"/>
      <c r="V14" s="30"/>
      <c r="W14" s="30"/>
    </row>
    <row r="15" spans="1:23" ht="15.75">
      <c r="A15" s="3" t="s">
        <v>41</v>
      </c>
      <c r="B15" s="3">
        <v>30</v>
      </c>
      <c r="C15" s="1056"/>
      <c r="D15" s="1057">
        <v>0</v>
      </c>
      <c r="E15" s="1057">
        <v>0</v>
      </c>
      <c r="F15" s="1058">
        <v>0</v>
      </c>
      <c r="G15" s="1058">
        <v>0</v>
      </c>
      <c r="H15" s="1058"/>
      <c r="I15" s="1058"/>
      <c r="J15" s="1055"/>
      <c r="K15" s="1055">
        <v>0</v>
      </c>
      <c r="L15" s="30"/>
      <c r="M15" s="30"/>
      <c r="N15" s="30"/>
      <c r="O15" s="30"/>
      <c r="P15" s="30"/>
      <c r="Q15" s="30"/>
      <c r="R15" s="30"/>
      <c r="S15" s="30"/>
      <c r="T15" s="30"/>
      <c r="U15" s="30"/>
      <c r="V15" s="30"/>
      <c r="W15" s="30"/>
    </row>
    <row r="16" spans="1:23" ht="15.75">
      <c r="A16" s="3" t="s">
        <v>42</v>
      </c>
      <c r="B16" s="3">
        <v>31</v>
      </c>
      <c r="C16" s="1056"/>
      <c r="D16" s="1057">
        <v>0</v>
      </c>
      <c r="E16" s="1057">
        <v>0</v>
      </c>
      <c r="F16" s="1058">
        <v>0</v>
      </c>
      <c r="G16" s="1058">
        <v>0</v>
      </c>
      <c r="H16" s="1058"/>
      <c r="I16" s="1058"/>
      <c r="J16" s="1055"/>
      <c r="K16" s="1055">
        <v>0</v>
      </c>
      <c r="L16" s="30"/>
      <c r="M16" s="30"/>
      <c r="N16" s="30"/>
      <c r="O16" s="30"/>
      <c r="P16" s="30"/>
      <c r="Q16" s="30"/>
      <c r="R16" s="30"/>
      <c r="S16" s="30"/>
      <c r="T16" s="30"/>
      <c r="U16" s="30"/>
      <c r="V16" s="30"/>
      <c r="W16" s="30"/>
    </row>
    <row r="17" spans="1:23" ht="15.75">
      <c r="A17" s="23" t="s">
        <v>43</v>
      </c>
      <c r="B17" s="23">
        <v>92</v>
      </c>
      <c r="C17" s="1060"/>
      <c r="D17" s="1061">
        <v>0</v>
      </c>
      <c r="E17" s="1061">
        <v>0</v>
      </c>
      <c r="F17" s="1062">
        <v>0</v>
      </c>
      <c r="G17" s="1062">
        <v>0</v>
      </c>
      <c r="H17" s="1062"/>
      <c r="I17" s="1062"/>
      <c r="J17" s="1059"/>
      <c r="K17" s="1059">
        <v>0</v>
      </c>
      <c r="L17" s="24">
        <v>0</v>
      </c>
      <c r="M17" s="24">
        <v>0</v>
      </c>
      <c r="N17" s="24">
        <v>0</v>
      </c>
      <c r="O17" s="24">
        <v>0</v>
      </c>
      <c r="P17" s="24">
        <v>0</v>
      </c>
      <c r="Q17" s="24">
        <v>0</v>
      </c>
      <c r="R17" s="24"/>
      <c r="S17" s="24"/>
      <c r="T17" s="24"/>
      <c r="U17" s="24"/>
      <c r="V17" s="24"/>
      <c r="W17" s="24"/>
    </row>
    <row r="18" spans="1:23" ht="15.75">
      <c r="A18" s="3" t="s">
        <v>44</v>
      </c>
      <c r="B18" s="3">
        <v>31</v>
      </c>
      <c r="C18" s="1056"/>
      <c r="D18" s="1057">
        <v>0</v>
      </c>
      <c r="E18" s="1057">
        <v>0</v>
      </c>
      <c r="F18" s="1058">
        <v>0</v>
      </c>
      <c r="G18" s="1058">
        <v>0</v>
      </c>
      <c r="H18" s="1058"/>
      <c r="I18" s="1058"/>
      <c r="J18" s="1055"/>
      <c r="K18" s="1055">
        <v>0</v>
      </c>
      <c r="L18" s="30"/>
      <c r="M18" s="30"/>
      <c r="N18" s="30"/>
      <c r="O18" s="30"/>
      <c r="P18" s="30"/>
      <c r="Q18" s="40"/>
      <c r="R18" s="30"/>
      <c r="S18" s="30"/>
      <c r="T18" s="40"/>
      <c r="U18" s="30"/>
      <c r="V18" s="30"/>
      <c r="W18" s="30"/>
    </row>
    <row r="19" spans="1:23" ht="15.75">
      <c r="A19" s="3" t="s">
        <v>45</v>
      </c>
      <c r="B19" s="3">
        <v>28</v>
      </c>
      <c r="C19" s="1056"/>
      <c r="D19" s="1057">
        <v>0</v>
      </c>
      <c r="E19" s="1057">
        <v>0</v>
      </c>
      <c r="F19" s="1058">
        <v>0</v>
      </c>
      <c r="G19" s="1058">
        <v>0</v>
      </c>
      <c r="H19" s="1058"/>
      <c r="I19" s="1058"/>
      <c r="J19" s="1055"/>
      <c r="K19" s="1055">
        <v>0</v>
      </c>
      <c r="L19" s="30"/>
      <c r="M19" s="30"/>
      <c r="N19" s="30"/>
      <c r="O19" s="30"/>
      <c r="P19" s="30"/>
      <c r="Q19" s="40"/>
      <c r="R19" s="30"/>
      <c r="S19" s="30"/>
      <c r="T19" s="40"/>
      <c r="U19" s="30"/>
      <c r="V19" s="30"/>
      <c r="W19" s="30"/>
    </row>
    <row r="20" spans="1:23" ht="15.75">
      <c r="A20" s="3" t="s">
        <v>46</v>
      </c>
      <c r="B20" s="3">
        <v>31</v>
      </c>
      <c r="C20" s="1056"/>
      <c r="D20" s="1057">
        <v>0</v>
      </c>
      <c r="E20" s="1057">
        <v>0</v>
      </c>
      <c r="F20" s="1058">
        <v>0</v>
      </c>
      <c r="G20" s="1058">
        <v>0</v>
      </c>
      <c r="H20" s="1058"/>
      <c r="I20" s="1058"/>
      <c r="J20" s="1055"/>
      <c r="K20" s="1055">
        <v>0</v>
      </c>
      <c r="L20" s="30"/>
      <c r="M20" s="30"/>
      <c r="N20" s="30"/>
      <c r="O20" s="30"/>
      <c r="P20" s="30"/>
      <c r="Q20" s="40"/>
      <c r="R20" s="30"/>
      <c r="S20" s="30"/>
      <c r="T20" s="40"/>
      <c r="U20" s="30"/>
      <c r="V20" s="30"/>
      <c r="W20" s="30"/>
    </row>
    <row r="21" spans="1:23" ht="15.75">
      <c r="A21" s="23" t="s">
        <v>47</v>
      </c>
      <c r="B21" s="23">
        <v>90</v>
      </c>
      <c r="C21" s="1060"/>
      <c r="D21" s="1061">
        <v>0</v>
      </c>
      <c r="E21" s="1061">
        <v>0</v>
      </c>
      <c r="F21" s="1062">
        <v>0</v>
      </c>
      <c r="G21" s="1062">
        <v>0</v>
      </c>
      <c r="H21" s="1062"/>
      <c r="I21" s="1062"/>
      <c r="J21" s="1059"/>
      <c r="K21" s="1059">
        <v>0</v>
      </c>
      <c r="L21" s="24">
        <v>0</v>
      </c>
      <c r="M21" s="24">
        <v>0</v>
      </c>
      <c r="N21" s="24">
        <v>0</v>
      </c>
      <c r="O21" s="24">
        <v>0</v>
      </c>
      <c r="P21" s="24">
        <v>0</v>
      </c>
      <c r="Q21" s="44">
        <v>0</v>
      </c>
      <c r="R21" s="24"/>
      <c r="S21" s="24"/>
      <c r="T21" s="44"/>
      <c r="U21" s="24"/>
      <c r="V21" s="24"/>
      <c r="W21" s="24"/>
    </row>
    <row r="22" spans="1:23" ht="15.75">
      <c r="A22" s="35" t="s">
        <v>48</v>
      </c>
      <c r="B22" s="35">
        <v>182</v>
      </c>
      <c r="C22" s="1064"/>
      <c r="D22" s="1065">
        <v>0</v>
      </c>
      <c r="E22" s="1065">
        <v>0</v>
      </c>
      <c r="F22" s="1066">
        <v>0</v>
      </c>
      <c r="G22" s="1066">
        <v>0</v>
      </c>
      <c r="H22" s="1066"/>
      <c r="I22" s="1066"/>
      <c r="J22" s="1063"/>
      <c r="K22" s="1063">
        <v>0</v>
      </c>
      <c r="L22" s="36">
        <v>0</v>
      </c>
      <c r="M22" s="36">
        <v>0</v>
      </c>
      <c r="N22" s="36">
        <v>0</v>
      </c>
      <c r="O22" s="36">
        <v>0</v>
      </c>
      <c r="P22" s="36">
        <v>0</v>
      </c>
      <c r="Q22" s="48">
        <v>0</v>
      </c>
      <c r="R22" s="36"/>
      <c r="S22" s="36"/>
      <c r="T22" s="48"/>
      <c r="U22" s="36"/>
      <c r="V22" s="36"/>
      <c r="W22" s="36"/>
    </row>
    <row r="23" spans="1:23" ht="15.75">
      <c r="A23" s="53" t="str">
        <f>RIGHT(A1,7)</f>
        <v>2025</v>
      </c>
      <c r="B23" s="53">
        <v>365</v>
      </c>
      <c r="C23" s="1068">
        <v>7.6199993849086098</v>
      </c>
      <c r="D23" s="1069">
        <v>38631434.999969997</v>
      </c>
      <c r="E23" s="1069">
        <v>105.83954794</v>
      </c>
      <c r="F23" s="1070">
        <v>1545257.40001</v>
      </c>
      <c r="G23" s="1070">
        <v>202789.70141000001</v>
      </c>
      <c r="H23" s="1070"/>
      <c r="I23" s="1070"/>
      <c r="J23" s="1067"/>
      <c r="K23" s="1067">
        <v>0.20278970141</v>
      </c>
      <c r="L23" s="54">
        <v>7</v>
      </c>
      <c r="M23" s="54">
        <v>0</v>
      </c>
      <c r="N23" s="54">
        <v>0</v>
      </c>
      <c r="O23" s="54">
        <v>0</v>
      </c>
      <c r="P23" s="54">
        <v>0</v>
      </c>
      <c r="Q23" s="55">
        <v>0</v>
      </c>
      <c r="R23" s="54"/>
      <c r="S23" s="54"/>
      <c r="T23" s="55"/>
      <c r="U23" s="54"/>
      <c r="V23" s="54"/>
      <c r="W23" s="54"/>
    </row>
    <row r="24" spans="1:23" ht="15.75">
      <c r="A24" s="1159" t="s">
        <v>53</v>
      </c>
      <c r="B24" s="1159"/>
      <c r="C24" s="1159"/>
      <c r="D24" s="1159"/>
      <c r="E24" s="1159"/>
      <c r="F24" s="1159"/>
      <c r="G24" s="1159"/>
      <c r="H24" s="1159"/>
      <c r="I24" s="1159"/>
      <c r="J24" s="1159"/>
      <c r="K24" s="178"/>
      <c r="L24" s="59"/>
      <c r="M24" s="59"/>
      <c r="N24" s="59"/>
      <c r="O24" s="59"/>
      <c r="P24" s="59"/>
      <c r="Q24" s="59"/>
      <c r="R24" s="59"/>
      <c r="S24" s="59"/>
      <c r="T24" s="59"/>
      <c r="U24" s="59"/>
      <c r="V24" s="59"/>
      <c r="W24" s="59"/>
    </row>
    <row r="25" spans="1:23" ht="15.75">
      <c r="A25" s="61" t="str">
        <f>IF(AND(X24=0,Y24=0),"OK","ERROR")</f>
        <v>OK</v>
      </c>
      <c r="B25" s="69"/>
      <c r="C25" s="61"/>
      <c r="D25" s="59"/>
      <c r="E25" s="59"/>
      <c r="F25" s="100"/>
      <c r="G25" s="101"/>
      <c r="H25" s="102"/>
      <c r="I25" s="59"/>
      <c r="J25" s="59"/>
      <c r="K25" s="59"/>
      <c r="L25" s="59"/>
      <c r="M25" s="59"/>
      <c r="N25" s="59"/>
      <c r="O25" s="59"/>
      <c r="P25" s="59"/>
      <c r="Q25" s="59"/>
      <c r="R25" s="59"/>
      <c r="S25" s="59"/>
      <c r="T25" s="59"/>
      <c r="U25" s="59"/>
      <c r="V25" s="59"/>
      <c r="W25" s="59"/>
    </row>
  </sheetData>
  <sheetProtection algorithmName="SHA-512" hashValue="siEIKYdN2dCudTFo6oj5TFxdO06x5OUSxsr0wYDPBq4CMSEAl9xPEsQO6p+yXlwrfp/QKaLeeVHl/iNBdhtuNw==" saltValue="9Trn8eynZfIEskdAEs16+A==" spinCount="100000" sheet="1" objects="1" scenarios="1"/>
  <mergeCells count="11">
    <mergeCell ref="W3:W4"/>
    <mergeCell ref="A3:B3"/>
    <mergeCell ref="C3:G3"/>
    <mergeCell ref="H3:J3"/>
    <mergeCell ref="L3:N3"/>
    <mergeCell ref="O3:Q3"/>
    <mergeCell ref="A24:J24"/>
    <mergeCell ref="C1:G1"/>
    <mergeCell ref="S3:T3"/>
    <mergeCell ref="U3:U4"/>
    <mergeCell ref="V3:V4"/>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7030A0"/>
  </sheetPr>
  <dimension ref="A1:W25"/>
  <sheetViews>
    <sheetView workbookViewId="0">
      <selection activeCell="Z11" sqref="Z11"/>
    </sheetView>
  </sheetViews>
  <sheetFormatPr defaultColWidth="8.85546875" defaultRowHeight="15"/>
  <cols>
    <col min="4" max="5" width="12.7109375" bestFit="1" customWidth="1"/>
    <col min="6" max="6" width="11.42578125" bestFit="1" customWidth="1"/>
    <col min="7" max="7" width="13" customWidth="1"/>
    <col min="8" max="8" width="11.42578125" customWidth="1"/>
    <col min="11" max="11" width="9.5703125" customWidth="1"/>
    <col min="12" max="23" width="0" hidden="1" customWidth="1"/>
  </cols>
  <sheetData>
    <row r="1" spans="1:23" ht="20.25">
      <c r="A1" s="487">
        <v>2025</v>
      </c>
      <c r="B1" s="487"/>
      <c r="C1" s="1160" t="s">
        <v>67</v>
      </c>
      <c r="D1" s="1160"/>
      <c r="E1" s="1160"/>
      <c r="F1" s="1160"/>
      <c r="G1" s="1160"/>
      <c r="H1" s="490" t="str">
        <f>interFY_transition!D17</f>
        <v>2026-27</v>
      </c>
      <c r="I1" s="487" t="s">
        <v>864</v>
      </c>
      <c r="J1" s="487"/>
      <c r="K1" s="487"/>
      <c r="L1" s="487"/>
      <c r="M1" s="487"/>
      <c r="N1" s="487"/>
      <c r="O1" s="487"/>
      <c r="P1" s="487"/>
      <c r="Q1" s="180"/>
      <c r="R1" s="180"/>
      <c r="S1" s="180"/>
      <c r="T1" s="180"/>
      <c r="U1" s="180"/>
      <c r="V1" s="180"/>
      <c r="W1" s="180"/>
    </row>
    <row r="2" spans="1:23" ht="15.75">
      <c r="A2" s="5"/>
      <c r="B2" s="5"/>
      <c r="C2" s="7"/>
      <c r="D2" s="4"/>
      <c r="E2" s="8"/>
      <c r="F2" s="8"/>
      <c r="G2" s="8"/>
      <c r="H2" s="5"/>
      <c r="I2" s="4"/>
      <c r="J2" s="4"/>
      <c r="K2" s="4"/>
      <c r="L2" s="4"/>
      <c r="M2" s="4"/>
      <c r="N2" s="4"/>
      <c r="O2" s="4"/>
      <c r="P2" s="4"/>
      <c r="Q2" s="4"/>
      <c r="R2" s="4"/>
      <c r="S2" s="4"/>
      <c r="T2" s="4"/>
      <c r="U2" s="4"/>
      <c r="V2" s="4"/>
      <c r="W2" s="4"/>
    </row>
    <row r="3" spans="1:23" ht="63">
      <c r="A3" s="1125" t="s">
        <v>0</v>
      </c>
      <c r="B3" s="1125"/>
      <c r="C3" s="1126" t="s">
        <v>1</v>
      </c>
      <c r="D3" s="1126"/>
      <c r="E3" s="1126"/>
      <c r="F3" s="1126"/>
      <c r="G3" s="1126"/>
      <c r="H3" s="1127" t="s">
        <v>2</v>
      </c>
      <c r="I3" s="1127"/>
      <c r="J3" s="1127"/>
      <c r="K3" s="176" t="s">
        <v>3</v>
      </c>
      <c r="L3" s="1128" t="s">
        <v>4</v>
      </c>
      <c r="M3" s="1129"/>
      <c r="N3" s="1130"/>
      <c r="O3" s="1122" t="s">
        <v>5</v>
      </c>
      <c r="P3" s="1122"/>
      <c r="Q3" s="1122"/>
      <c r="R3" s="176" t="s">
        <v>6</v>
      </c>
      <c r="S3" s="1135" t="s">
        <v>7</v>
      </c>
      <c r="T3" s="1136"/>
      <c r="U3" s="1137" t="s">
        <v>49</v>
      </c>
      <c r="V3" s="1137" t="s">
        <v>9</v>
      </c>
      <c r="W3" s="1120" t="s">
        <v>10</v>
      </c>
    </row>
    <row r="4" spans="1:23" ht="85.5" customHeight="1">
      <c r="A4" s="137"/>
      <c r="B4" s="138" t="s">
        <v>11</v>
      </c>
      <c r="C4" s="13" t="s">
        <v>12</v>
      </c>
      <c r="D4" s="174" t="s">
        <v>13</v>
      </c>
      <c r="E4" s="13" t="s">
        <v>14</v>
      </c>
      <c r="F4" s="13" t="s">
        <v>15</v>
      </c>
      <c r="G4" s="174" t="s">
        <v>16</v>
      </c>
      <c r="H4" s="13" t="s">
        <v>17</v>
      </c>
      <c r="I4" s="13" t="s">
        <v>18</v>
      </c>
      <c r="J4" s="13" t="s">
        <v>19</v>
      </c>
      <c r="K4" s="1072" t="s">
        <v>20</v>
      </c>
      <c r="L4" s="174" t="s">
        <v>21</v>
      </c>
      <c r="M4" s="174" t="s">
        <v>22</v>
      </c>
      <c r="N4" s="174" t="s">
        <v>23</v>
      </c>
      <c r="O4" s="174" t="s">
        <v>24</v>
      </c>
      <c r="P4" s="174" t="s">
        <v>25</v>
      </c>
      <c r="Q4" s="174" t="s">
        <v>26</v>
      </c>
      <c r="R4" s="174" t="s">
        <v>27</v>
      </c>
      <c r="S4" s="174" t="s">
        <v>28</v>
      </c>
      <c r="T4" s="174" t="s">
        <v>29</v>
      </c>
      <c r="U4" s="1137"/>
      <c r="V4" s="1137"/>
      <c r="W4" s="1121"/>
    </row>
    <row r="5" spans="1:23" ht="15.75">
      <c r="A5" s="136" t="s">
        <v>30</v>
      </c>
      <c r="B5" s="3">
        <v>30</v>
      </c>
      <c r="C5" s="1056">
        <v>7.2999999974638898</v>
      </c>
      <c r="D5" s="1057">
        <v>1611918.9999899999</v>
      </c>
      <c r="E5" s="1057">
        <v>53.730633330000003</v>
      </c>
      <c r="F5" s="1058">
        <v>402979.75001000002</v>
      </c>
      <c r="G5" s="1058">
        <v>55202.705499999996</v>
      </c>
      <c r="H5" s="1058"/>
      <c r="I5" s="1058"/>
      <c r="J5" s="1055"/>
      <c r="K5" s="1055">
        <v>5.5202705499999997E-2</v>
      </c>
      <c r="L5" s="17"/>
      <c r="M5" s="17"/>
      <c r="N5" s="17"/>
      <c r="O5" s="17"/>
      <c r="P5" s="17"/>
      <c r="Q5" s="17"/>
      <c r="R5" s="17"/>
      <c r="S5" s="17"/>
      <c r="T5" s="17"/>
      <c r="U5" s="17"/>
      <c r="V5" s="17"/>
      <c r="W5" s="17"/>
    </row>
    <row r="6" spans="1:23" ht="15.75">
      <c r="A6" s="3" t="s">
        <v>32</v>
      </c>
      <c r="B6" s="3">
        <v>31</v>
      </c>
      <c r="C6" s="1056">
        <v>7.30000000826481</v>
      </c>
      <c r="D6" s="1057">
        <v>1657001.9999899999</v>
      </c>
      <c r="E6" s="1057">
        <v>53.451677420000003</v>
      </c>
      <c r="F6" s="1058">
        <v>414250.49998999998</v>
      </c>
      <c r="G6" s="1058">
        <v>56746.643770000002</v>
      </c>
      <c r="H6" s="1058"/>
      <c r="I6" s="1058"/>
      <c r="J6" s="1055"/>
      <c r="K6" s="1055">
        <v>5.6746643770000001E-2</v>
      </c>
      <c r="L6" s="17"/>
      <c r="M6" s="17"/>
      <c r="N6" s="17"/>
      <c r="O6" s="17"/>
      <c r="P6" s="17"/>
      <c r="Q6" s="17"/>
      <c r="R6" s="17"/>
      <c r="S6" s="17"/>
      <c r="T6" s="17"/>
      <c r="U6" s="17"/>
      <c r="V6" s="17"/>
      <c r="W6" s="17"/>
    </row>
    <row r="7" spans="1:23" ht="15" customHeight="1">
      <c r="A7" s="3" t="s">
        <v>33</v>
      </c>
      <c r="B7" s="3">
        <v>30</v>
      </c>
      <c r="C7" s="1056">
        <v>7.30000001594839</v>
      </c>
      <c r="D7" s="1057">
        <v>1528806.00003</v>
      </c>
      <c r="E7" s="1057">
        <v>50.9602</v>
      </c>
      <c r="F7" s="1058">
        <v>382201.50001000002</v>
      </c>
      <c r="G7" s="1058">
        <v>52356.369749999998</v>
      </c>
      <c r="H7" s="1058"/>
      <c r="I7" s="1058"/>
      <c r="J7" s="1055"/>
      <c r="K7" s="1055">
        <v>5.2356369749999999E-2</v>
      </c>
      <c r="L7" s="17"/>
      <c r="M7" s="17"/>
      <c r="N7" s="17"/>
      <c r="O7" s="17"/>
      <c r="P7" s="17"/>
      <c r="Q7" s="17"/>
      <c r="R7" s="17"/>
      <c r="S7" s="17"/>
      <c r="T7" s="17"/>
      <c r="U7" s="17"/>
      <c r="V7" s="103"/>
      <c r="W7" s="17"/>
    </row>
    <row r="8" spans="1:23" ht="15" customHeight="1">
      <c r="A8" s="23" t="s">
        <v>34</v>
      </c>
      <c r="B8" s="23">
        <v>91</v>
      </c>
      <c r="C8" s="1060">
        <v>7.3000000070843498</v>
      </c>
      <c r="D8" s="1061">
        <v>4797727.0000099996</v>
      </c>
      <c r="E8" s="1061">
        <v>52.722274720000001</v>
      </c>
      <c r="F8" s="1062">
        <v>1199431.7500100001</v>
      </c>
      <c r="G8" s="1062">
        <v>164305.71901999999</v>
      </c>
      <c r="H8" s="1062"/>
      <c r="I8" s="1062"/>
      <c r="J8" s="1059"/>
      <c r="K8" s="1059">
        <v>0.16430571901999999</v>
      </c>
      <c r="L8" s="24">
        <v>0</v>
      </c>
      <c r="M8" s="24">
        <v>0</v>
      </c>
      <c r="N8" s="24">
        <v>0</v>
      </c>
      <c r="O8" s="24">
        <v>0</v>
      </c>
      <c r="P8" s="24">
        <v>0</v>
      </c>
      <c r="Q8" s="24">
        <v>0</v>
      </c>
      <c r="R8" s="24"/>
      <c r="S8" s="24"/>
      <c r="T8" s="24"/>
      <c r="U8" s="24"/>
      <c r="V8" s="24"/>
      <c r="W8" s="24"/>
    </row>
    <row r="9" spans="1:23" ht="15" customHeight="1">
      <c r="A9" s="3" t="s">
        <v>35</v>
      </c>
      <c r="B9" s="3">
        <v>31</v>
      </c>
      <c r="C9" s="1056">
        <v>7.3000000006735997</v>
      </c>
      <c r="D9" s="1057">
        <v>1733967.0000400001</v>
      </c>
      <c r="E9" s="1057">
        <v>55.93441936</v>
      </c>
      <c r="F9" s="1058">
        <v>433491.74998999998</v>
      </c>
      <c r="G9" s="1058">
        <v>59382.431499999999</v>
      </c>
      <c r="H9" s="1058"/>
      <c r="I9" s="1058"/>
      <c r="J9" s="1055"/>
      <c r="K9" s="1055">
        <v>5.9382431499999999E-2</v>
      </c>
      <c r="L9" s="17"/>
      <c r="M9" s="17"/>
      <c r="N9" s="17"/>
      <c r="O9" s="17"/>
      <c r="P9" s="17"/>
      <c r="Q9" s="17"/>
      <c r="R9" s="17"/>
      <c r="S9" s="17"/>
      <c r="T9" s="17"/>
      <c r="U9" s="17"/>
      <c r="V9" s="17"/>
      <c r="W9" s="17"/>
    </row>
    <row r="10" spans="1:23" ht="15" customHeight="1">
      <c r="A10" s="3" t="s">
        <v>36</v>
      </c>
      <c r="B10" s="3">
        <v>31</v>
      </c>
      <c r="C10" s="1056"/>
      <c r="D10" s="1057">
        <v>0</v>
      </c>
      <c r="E10" s="1057">
        <v>0</v>
      </c>
      <c r="F10" s="1058">
        <v>0</v>
      </c>
      <c r="G10" s="1058">
        <v>0</v>
      </c>
      <c r="H10" s="1058"/>
      <c r="I10" s="1058"/>
      <c r="J10" s="1055"/>
      <c r="K10" s="1055">
        <v>0</v>
      </c>
      <c r="L10" s="17"/>
      <c r="M10" s="17"/>
      <c r="N10" s="17"/>
      <c r="O10" s="17"/>
      <c r="P10" s="17"/>
      <c r="Q10" s="17"/>
      <c r="R10" s="17"/>
      <c r="S10" s="17"/>
      <c r="T10" s="17"/>
      <c r="U10" s="17"/>
      <c r="V10" s="17"/>
      <c r="W10" s="17"/>
    </row>
    <row r="11" spans="1:23" ht="15" customHeight="1">
      <c r="A11" s="3" t="s">
        <v>37</v>
      </c>
      <c r="B11" s="3">
        <v>30</v>
      </c>
      <c r="C11" s="1056"/>
      <c r="D11" s="1057">
        <v>0</v>
      </c>
      <c r="E11" s="1057">
        <v>0</v>
      </c>
      <c r="F11" s="1058">
        <v>0</v>
      </c>
      <c r="G11" s="1058">
        <v>0</v>
      </c>
      <c r="H11" s="1058"/>
      <c r="I11" s="1058"/>
      <c r="J11" s="1055"/>
      <c r="K11" s="1055">
        <v>0</v>
      </c>
      <c r="L11" s="30"/>
      <c r="M11" s="30"/>
      <c r="N11" s="30"/>
      <c r="O11" s="30"/>
      <c r="P11" s="30"/>
      <c r="Q11" s="30"/>
      <c r="R11" s="30"/>
      <c r="S11" s="30"/>
      <c r="T11" s="30"/>
      <c r="U11" s="30"/>
      <c r="V11" s="30"/>
      <c r="W11" s="30"/>
    </row>
    <row r="12" spans="1:23" ht="15" customHeight="1">
      <c r="A12" s="23" t="s">
        <v>38</v>
      </c>
      <c r="B12" s="23">
        <v>92</v>
      </c>
      <c r="C12" s="1060">
        <v>7.3000000006735997</v>
      </c>
      <c r="D12" s="1061">
        <v>1733967.0000400001</v>
      </c>
      <c r="E12" s="1061">
        <v>18.847467389999998</v>
      </c>
      <c r="F12" s="1062">
        <v>433491.74998999998</v>
      </c>
      <c r="G12" s="1062">
        <v>59382.431499999999</v>
      </c>
      <c r="H12" s="1062"/>
      <c r="I12" s="1062"/>
      <c r="J12" s="1059"/>
      <c r="K12" s="1059">
        <v>5.9382431499999999E-2</v>
      </c>
      <c r="L12" s="24">
        <v>0</v>
      </c>
      <c r="M12" s="24">
        <v>0</v>
      </c>
      <c r="N12" s="24">
        <v>0</v>
      </c>
      <c r="O12" s="24">
        <v>0</v>
      </c>
      <c r="P12" s="24">
        <v>0</v>
      </c>
      <c r="Q12" s="24">
        <v>0</v>
      </c>
      <c r="R12" s="24"/>
      <c r="S12" s="24"/>
      <c r="T12" s="24"/>
      <c r="U12" s="24"/>
      <c r="V12" s="24"/>
      <c r="W12" s="24"/>
    </row>
    <row r="13" spans="1:23" ht="15" customHeight="1">
      <c r="A13" s="35" t="s">
        <v>39</v>
      </c>
      <c r="B13" s="35">
        <v>183</v>
      </c>
      <c r="C13" s="1064">
        <v>7.3000000053824898</v>
      </c>
      <c r="D13" s="1065">
        <v>6531694.0000499999</v>
      </c>
      <c r="E13" s="1065">
        <v>35.692316949999999</v>
      </c>
      <c r="F13" s="1066">
        <v>1632923.5</v>
      </c>
      <c r="G13" s="1066">
        <v>223688.15052</v>
      </c>
      <c r="H13" s="1066"/>
      <c r="I13" s="1066"/>
      <c r="J13" s="1063"/>
      <c r="K13" s="1063">
        <v>0.22368815051999999</v>
      </c>
      <c r="L13" s="36">
        <v>0</v>
      </c>
      <c r="M13" s="36">
        <v>0</v>
      </c>
      <c r="N13" s="36">
        <v>0</v>
      </c>
      <c r="O13" s="36">
        <v>0</v>
      </c>
      <c r="P13" s="36">
        <v>0</v>
      </c>
      <c r="Q13" s="36">
        <v>0</v>
      </c>
      <c r="R13" s="36"/>
      <c r="S13" s="36"/>
      <c r="T13" s="36"/>
      <c r="U13" s="36"/>
      <c r="V13" s="36"/>
      <c r="W13" s="36"/>
    </row>
    <row r="14" spans="1:23" ht="15" customHeight="1">
      <c r="A14" s="3" t="s">
        <v>40</v>
      </c>
      <c r="B14" s="3">
        <v>31</v>
      </c>
      <c r="C14" s="1056"/>
      <c r="D14" s="1057">
        <v>0</v>
      </c>
      <c r="E14" s="1057">
        <v>0</v>
      </c>
      <c r="F14" s="1058">
        <v>0</v>
      </c>
      <c r="G14" s="1058">
        <v>0</v>
      </c>
      <c r="H14" s="1058"/>
      <c r="I14" s="1058"/>
      <c r="J14" s="1055"/>
      <c r="K14" s="1055">
        <v>0</v>
      </c>
      <c r="L14" s="30"/>
      <c r="M14" s="30"/>
      <c r="N14" s="30"/>
      <c r="O14" s="30"/>
      <c r="P14" s="30"/>
      <c r="Q14" s="30"/>
      <c r="R14" s="30"/>
      <c r="S14" s="30"/>
      <c r="T14" s="30"/>
      <c r="U14" s="30"/>
      <c r="V14" s="30"/>
      <c r="W14" s="30"/>
    </row>
    <row r="15" spans="1:23" ht="15" customHeight="1">
      <c r="A15" s="3" t="s">
        <v>41</v>
      </c>
      <c r="B15" s="3">
        <v>30</v>
      </c>
      <c r="C15" s="1056"/>
      <c r="D15" s="1057">
        <v>0</v>
      </c>
      <c r="E15" s="1057">
        <v>0</v>
      </c>
      <c r="F15" s="1058">
        <v>0</v>
      </c>
      <c r="G15" s="1058">
        <v>0</v>
      </c>
      <c r="H15" s="1058"/>
      <c r="I15" s="1058"/>
      <c r="J15" s="1055"/>
      <c r="K15" s="1055">
        <v>0</v>
      </c>
      <c r="L15" s="30"/>
      <c r="M15" s="30"/>
      <c r="N15" s="30"/>
      <c r="O15" s="30"/>
      <c r="P15" s="30"/>
      <c r="Q15" s="30"/>
      <c r="R15" s="30"/>
      <c r="S15" s="30"/>
      <c r="T15" s="30"/>
      <c r="U15" s="30"/>
      <c r="V15" s="30"/>
      <c r="W15" s="30"/>
    </row>
    <row r="16" spans="1:23" ht="15" customHeight="1">
      <c r="A16" s="3" t="s">
        <v>42</v>
      </c>
      <c r="B16" s="3">
        <v>31</v>
      </c>
      <c r="C16" s="1056"/>
      <c r="D16" s="1057">
        <v>0</v>
      </c>
      <c r="E16" s="1057">
        <v>0</v>
      </c>
      <c r="F16" s="1058">
        <v>0</v>
      </c>
      <c r="G16" s="1058">
        <v>0</v>
      </c>
      <c r="H16" s="1058"/>
      <c r="I16" s="1058"/>
      <c r="J16" s="1055"/>
      <c r="K16" s="1055">
        <v>0</v>
      </c>
      <c r="L16" s="30"/>
      <c r="M16" s="30"/>
      <c r="N16" s="30"/>
      <c r="O16" s="30"/>
      <c r="P16" s="30"/>
      <c r="Q16" s="30"/>
      <c r="R16" s="30"/>
      <c r="S16" s="30"/>
      <c r="T16" s="30"/>
      <c r="U16" s="30"/>
      <c r="V16" s="30"/>
      <c r="W16" s="30"/>
    </row>
    <row r="17" spans="1:23" ht="15" customHeight="1">
      <c r="A17" s="23" t="s">
        <v>43</v>
      </c>
      <c r="B17" s="23">
        <v>92</v>
      </c>
      <c r="C17" s="1060"/>
      <c r="D17" s="1061">
        <v>0</v>
      </c>
      <c r="E17" s="1061">
        <v>0</v>
      </c>
      <c r="F17" s="1062">
        <v>0</v>
      </c>
      <c r="G17" s="1062">
        <v>0</v>
      </c>
      <c r="H17" s="1062"/>
      <c r="I17" s="1062"/>
      <c r="J17" s="1059"/>
      <c r="K17" s="1059">
        <v>0</v>
      </c>
      <c r="L17" s="24">
        <v>0</v>
      </c>
      <c r="M17" s="24">
        <v>0</v>
      </c>
      <c r="N17" s="24">
        <v>0</v>
      </c>
      <c r="O17" s="24">
        <v>0</v>
      </c>
      <c r="P17" s="24">
        <v>0</v>
      </c>
      <c r="Q17" s="24">
        <v>0</v>
      </c>
      <c r="R17" s="24"/>
      <c r="S17" s="24"/>
      <c r="T17" s="24"/>
      <c r="U17" s="24"/>
      <c r="V17" s="24"/>
      <c r="W17" s="24"/>
    </row>
    <row r="18" spans="1:23" ht="15" customHeight="1">
      <c r="A18" s="3" t="s">
        <v>44</v>
      </c>
      <c r="B18" s="3">
        <v>31</v>
      </c>
      <c r="C18" s="1056"/>
      <c r="D18" s="1057">
        <v>0</v>
      </c>
      <c r="E18" s="1057">
        <v>0</v>
      </c>
      <c r="F18" s="1058">
        <v>0</v>
      </c>
      <c r="G18" s="1058">
        <v>0</v>
      </c>
      <c r="H18" s="1058"/>
      <c r="I18" s="1058"/>
      <c r="J18" s="1055"/>
      <c r="K18" s="1055">
        <v>0</v>
      </c>
      <c r="L18" s="30"/>
      <c r="M18" s="30"/>
      <c r="N18" s="30"/>
      <c r="O18" s="30"/>
      <c r="P18" s="30"/>
      <c r="Q18" s="40"/>
      <c r="R18" s="30"/>
      <c r="S18" s="40"/>
      <c r="T18" s="30"/>
      <c r="U18" s="40"/>
      <c r="V18" s="30"/>
      <c r="W18" s="30"/>
    </row>
    <row r="19" spans="1:23" ht="15" customHeight="1">
      <c r="A19" s="3" t="s">
        <v>45</v>
      </c>
      <c r="B19" s="3">
        <v>28</v>
      </c>
      <c r="C19" s="1056"/>
      <c r="D19" s="1057">
        <v>0</v>
      </c>
      <c r="E19" s="1057">
        <v>0</v>
      </c>
      <c r="F19" s="1058">
        <v>0</v>
      </c>
      <c r="G19" s="1058">
        <v>0</v>
      </c>
      <c r="H19" s="1058"/>
      <c r="I19" s="1058"/>
      <c r="J19" s="1055"/>
      <c r="K19" s="1055">
        <v>0</v>
      </c>
      <c r="L19" s="30"/>
      <c r="M19" s="30"/>
      <c r="N19" s="30"/>
      <c r="O19" s="30"/>
      <c r="P19" s="30"/>
      <c r="Q19" s="40"/>
      <c r="R19" s="30"/>
      <c r="S19" s="40"/>
      <c r="T19" s="30"/>
      <c r="U19" s="40"/>
      <c r="V19" s="30"/>
      <c r="W19" s="30"/>
    </row>
    <row r="20" spans="1:23" ht="15" customHeight="1">
      <c r="A20" s="3" t="s">
        <v>46</v>
      </c>
      <c r="B20" s="3">
        <v>31</v>
      </c>
      <c r="C20" s="1056"/>
      <c r="D20" s="1057">
        <v>0</v>
      </c>
      <c r="E20" s="1057">
        <v>0</v>
      </c>
      <c r="F20" s="1058">
        <v>0</v>
      </c>
      <c r="G20" s="1058">
        <v>0</v>
      </c>
      <c r="H20" s="1058"/>
      <c r="I20" s="1058"/>
      <c r="J20" s="1055"/>
      <c r="K20" s="1055">
        <v>0</v>
      </c>
      <c r="L20" s="30"/>
      <c r="M20" s="30"/>
      <c r="N20" s="30"/>
      <c r="O20" s="30"/>
      <c r="P20" s="30"/>
      <c r="Q20" s="40"/>
      <c r="R20" s="30"/>
      <c r="S20" s="40"/>
      <c r="T20" s="30"/>
      <c r="U20" s="40"/>
      <c r="V20" s="30"/>
      <c r="W20" s="30"/>
    </row>
    <row r="21" spans="1:23" ht="15" customHeight="1">
      <c r="A21" s="23" t="s">
        <v>47</v>
      </c>
      <c r="B21" s="23">
        <v>90</v>
      </c>
      <c r="C21" s="1060"/>
      <c r="D21" s="1061">
        <v>0</v>
      </c>
      <c r="E21" s="1061">
        <v>0</v>
      </c>
      <c r="F21" s="1062">
        <v>0</v>
      </c>
      <c r="G21" s="1062">
        <v>0</v>
      </c>
      <c r="H21" s="1062"/>
      <c r="I21" s="1062"/>
      <c r="J21" s="1059"/>
      <c r="K21" s="1059">
        <v>0</v>
      </c>
      <c r="L21" s="24">
        <v>0</v>
      </c>
      <c r="M21" s="24">
        <v>0</v>
      </c>
      <c r="N21" s="24">
        <v>0</v>
      </c>
      <c r="O21" s="24">
        <v>0</v>
      </c>
      <c r="P21" s="24">
        <v>0</v>
      </c>
      <c r="Q21" s="44">
        <v>0</v>
      </c>
      <c r="R21" s="24"/>
      <c r="S21" s="44"/>
      <c r="T21" s="24"/>
      <c r="U21" s="44"/>
      <c r="V21" s="24"/>
      <c r="W21" s="24"/>
    </row>
    <row r="22" spans="1:23" ht="15" customHeight="1">
      <c r="A22" s="35" t="s">
        <v>48</v>
      </c>
      <c r="B22" s="35">
        <v>182</v>
      </c>
      <c r="C22" s="1064"/>
      <c r="D22" s="1065">
        <v>0</v>
      </c>
      <c r="E22" s="1065">
        <v>0</v>
      </c>
      <c r="F22" s="1066">
        <v>0</v>
      </c>
      <c r="G22" s="1066">
        <v>0</v>
      </c>
      <c r="H22" s="1066"/>
      <c r="I22" s="1066"/>
      <c r="J22" s="1063"/>
      <c r="K22" s="1063">
        <v>0</v>
      </c>
      <c r="L22" s="36">
        <v>0</v>
      </c>
      <c r="M22" s="36">
        <v>0</v>
      </c>
      <c r="N22" s="36">
        <v>0</v>
      </c>
      <c r="O22" s="36">
        <v>0</v>
      </c>
      <c r="P22" s="36">
        <v>0</v>
      </c>
      <c r="Q22" s="48">
        <v>0</v>
      </c>
      <c r="R22" s="36"/>
      <c r="S22" s="48"/>
      <c r="T22" s="36"/>
      <c r="U22" s="48"/>
      <c r="V22" s="36"/>
      <c r="W22" s="36"/>
    </row>
    <row r="23" spans="1:23" ht="15" customHeight="1">
      <c r="A23" s="53" t="str">
        <f>RIGHT(A1,7)</f>
        <v>2025</v>
      </c>
      <c r="B23" s="53">
        <v>365</v>
      </c>
      <c r="C23" s="1068">
        <v>7.3000000053824898</v>
      </c>
      <c r="D23" s="1069">
        <v>6531694.0000499999</v>
      </c>
      <c r="E23" s="1069">
        <v>17.895052060000001</v>
      </c>
      <c r="F23" s="1070">
        <v>1632923.5</v>
      </c>
      <c r="G23" s="1070">
        <v>223688.15052</v>
      </c>
      <c r="H23" s="1070"/>
      <c r="I23" s="1070"/>
      <c r="J23" s="1067"/>
      <c r="K23" s="1067">
        <v>0.22368815051999999</v>
      </c>
      <c r="L23" s="54">
        <v>0</v>
      </c>
      <c r="M23" s="54">
        <v>0</v>
      </c>
      <c r="N23" s="54">
        <v>0</v>
      </c>
      <c r="O23" s="54">
        <v>0</v>
      </c>
      <c r="P23" s="54">
        <v>0</v>
      </c>
      <c r="Q23" s="55">
        <v>0</v>
      </c>
      <c r="R23" s="54"/>
      <c r="S23" s="55"/>
      <c r="T23" s="54"/>
      <c r="U23" s="55"/>
      <c r="V23" s="54"/>
      <c r="W23" s="54"/>
    </row>
    <row r="24" spans="1:23" ht="15.75">
      <c r="A24" s="1159" t="s">
        <v>53</v>
      </c>
      <c r="B24" s="1159"/>
      <c r="C24" s="1159"/>
      <c r="D24" s="1159"/>
      <c r="E24" s="1159"/>
      <c r="F24" s="1159"/>
      <c r="G24" s="1159"/>
      <c r="H24" s="1159"/>
      <c r="I24" s="1159"/>
      <c r="J24" s="1159"/>
      <c r="K24" s="178"/>
      <c r="L24" s="59"/>
      <c r="M24" s="59"/>
      <c r="N24" s="59"/>
      <c r="O24" s="59"/>
      <c r="P24" s="59"/>
      <c r="Q24" s="59"/>
      <c r="R24" s="59"/>
      <c r="S24" s="59"/>
      <c r="T24" s="59"/>
      <c r="U24" s="59"/>
      <c r="V24" s="61"/>
      <c r="W24" s="61"/>
    </row>
    <row r="25" spans="1:23" ht="15.75">
      <c r="A25" s="61" t="str">
        <f>IF(AND(X24=0,Y24=0),"OK","ERROR")</f>
        <v>OK</v>
      </c>
      <c r="B25" s="61"/>
      <c r="C25" s="61"/>
      <c r="D25" s="59"/>
      <c r="E25" s="59"/>
      <c r="F25" s="100"/>
      <c r="G25" s="101"/>
      <c r="H25" s="102"/>
      <c r="I25" s="59"/>
      <c r="J25" s="59"/>
      <c r="K25" s="59"/>
      <c r="L25" s="59"/>
      <c r="M25" s="59"/>
      <c r="N25" s="59"/>
      <c r="O25" s="59"/>
      <c r="P25" s="59"/>
      <c r="Q25" s="59"/>
      <c r="R25" s="59"/>
      <c r="S25" s="59"/>
      <c r="T25" s="59"/>
      <c r="U25" s="59"/>
      <c r="V25" s="61"/>
      <c r="W25" s="61"/>
    </row>
  </sheetData>
  <sheetProtection algorithmName="SHA-512" hashValue="+KT/bFjHL72wYtIE/FsXEY63CyhrzoMahwXppJk5uQgi8XewgJqxG79lqkhgrjF2nKvgQtYCjRAtnpPTpkfKeA==" saltValue="nBIZMdgqUdI2xGECjB3WyA==" spinCount="100000" sheet="1" objects="1" scenarios="1"/>
  <mergeCells count="11">
    <mergeCell ref="W3:W4"/>
    <mergeCell ref="A3:B3"/>
    <mergeCell ref="C3:G3"/>
    <mergeCell ref="H3:J3"/>
    <mergeCell ref="L3:N3"/>
    <mergeCell ref="O3:Q3"/>
    <mergeCell ref="A24:J24"/>
    <mergeCell ref="C1:G1"/>
    <mergeCell ref="S3:T3"/>
    <mergeCell ref="U3:U4"/>
    <mergeCell ref="V3:V4"/>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7030A0"/>
  </sheetPr>
  <dimension ref="A1:W25"/>
  <sheetViews>
    <sheetView topLeftCell="A3" workbookViewId="0">
      <selection activeCell="AA13" sqref="AA13"/>
    </sheetView>
  </sheetViews>
  <sheetFormatPr defaultColWidth="8.85546875" defaultRowHeight="15"/>
  <cols>
    <col min="2" max="2" width="11.140625" customWidth="1"/>
    <col min="4" max="4" width="15.28515625" customWidth="1"/>
    <col min="6" max="6" width="10.85546875" customWidth="1"/>
    <col min="7" max="7" width="11.28515625" customWidth="1"/>
    <col min="8" max="8" width="12.42578125" bestFit="1" customWidth="1"/>
    <col min="12" max="23" width="0" hidden="1" customWidth="1"/>
  </cols>
  <sheetData>
    <row r="1" spans="1:23" ht="20.25">
      <c r="A1" s="487">
        <v>2025</v>
      </c>
      <c r="B1" s="487"/>
      <c r="C1" s="1160" t="s">
        <v>68</v>
      </c>
      <c r="D1" s="1160"/>
      <c r="E1" s="1160"/>
      <c r="F1" s="1160"/>
      <c r="G1" s="1160"/>
      <c r="H1" s="490" t="str">
        <f>interFY_transition!D17</f>
        <v>2026-27</v>
      </c>
      <c r="I1" s="487" t="s">
        <v>864</v>
      </c>
      <c r="J1" s="487"/>
      <c r="K1" s="487"/>
      <c r="L1" s="487"/>
      <c r="M1" s="487"/>
      <c r="N1" s="487"/>
      <c r="O1" s="487"/>
      <c r="P1" s="487"/>
      <c r="Q1" s="180"/>
      <c r="R1" s="180"/>
      <c r="S1" s="180"/>
      <c r="T1" s="180"/>
      <c r="U1" s="180"/>
      <c r="V1" s="180"/>
      <c r="W1" s="180"/>
    </row>
    <row r="2" spans="1:23" ht="15.75">
      <c r="A2" s="5"/>
      <c r="B2" s="5"/>
      <c r="C2" s="7"/>
      <c r="D2" s="4"/>
      <c r="E2" s="8"/>
      <c r="F2" s="8"/>
      <c r="G2" s="8"/>
      <c r="H2" s="5"/>
      <c r="I2" s="4"/>
      <c r="J2" s="4"/>
      <c r="K2" s="4"/>
      <c r="L2" s="4"/>
      <c r="M2" s="4"/>
      <c r="N2" s="4"/>
      <c r="O2" s="4"/>
      <c r="P2" s="4"/>
      <c r="Q2" s="4"/>
      <c r="R2" s="4"/>
      <c r="S2" s="4"/>
      <c r="T2" s="4"/>
      <c r="U2" s="4"/>
      <c r="V2" s="4"/>
      <c r="W2" s="4"/>
    </row>
    <row r="3" spans="1:23" ht="63">
      <c r="A3" s="1125" t="s">
        <v>0</v>
      </c>
      <c r="B3" s="1125"/>
      <c r="C3" s="1126" t="s">
        <v>1</v>
      </c>
      <c r="D3" s="1126"/>
      <c r="E3" s="1126"/>
      <c r="F3" s="1126"/>
      <c r="G3" s="1126"/>
      <c r="H3" s="1127" t="s">
        <v>2</v>
      </c>
      <c r="I3" s="1127"/>
      <c r="J3" s="1127"/>
      <c r="K3" s="176" t="s">
        <v>3</v>
      </c>
      <c r="L3" s="1128" t="s">
        <v>4</v>
      </c>
      <c r="M3" s="1129"/>
      <c r="N3" s="1130"/>
      <c r="O3" s="1122" t="s">
        <v>5</v>
      </c>
      <c r="P3" s="1122"/>
      <c r="Q3" s="1122"/>
      <c r="R3" s="176" t="s">
        <v>6</v>
      </c>
      <c r="S3" s="1135" t="s">
        <v>7</v>
      </c>
      <c r="T3" s="1136"/>
      <c r="U3" s="1137" t="s">
        <v>49</v>
      </c>
      <c r="V3" s="1137" t="s">
        <v>9</v>
      </c>
      <c r="W3" s="1120" t="s">
        <v>10</v>
      </c>
    </row>
    <row r="4" spans="1:23" ht="90">
      <c r="A4" s="137"/>
      <c r="B4" s="138" t="s">
        <v>11</v>
      </c>
      <c r="C4" s="13" t="s">
        <v>12</v>
      </c>
      <c r="D4" s="174" t="s">
        <v>13</v>
      </c>
      <c r="E4" s="13" t="s">
        <v>14</v>
      </c>
      <c r="F4" s="13" t="s">
        <v>15</v>
      </c>
      <c r="G4" s="174" t="s">
        <v>16</v>
      </c>
      <c r="H4" s="13" t="s">
        <v>17</v>
      </c>
      <c r="I4" s="13" t="s">
        <v>18</v>
      </c>
      <c r="J4" s="13" t="s">
        <v>19</v>
      </c>
      <c r="K4" s="13" t="s">
        <v>20</v>
      </c>
      <c r="L4" s="174" t="s">
        <v>21</v>
      </c>
      <c r="M4" s="174" t="s">
        <v>22</v>
      </c>
      <c r="N4" s="174" t="s">
        <v>23</v>
      </c>
      <c r="O4" s="174" t="s">
        <v>24</v>
      </c>
      <c r="P4" s="174" t="s">
        <v>25</v>
      </c>
      <c r="Q4" s="174" t="s">
        <v>26</v>
      </c>
      <c r="R4" s="174" t="s">
        <v>27</v>
      </c>
      <c r="S4" s="174" t="s">
        <v>28</v>
      </c>
      <c r="T4" s="174" t="s">
        <v>29</v>
      </c>
      <c r="U4" s="1137"/>
      <c r="V4" s="1137"/>
      <c r="W4" s="1121"/>
    </row>
    <row r="5" spans="1:23" ht="15.75">
      <c r="A5" s="136" t="s">
        <v>30</v>
      </c>
      <c r="B5" s="3">
        <v>30</v>
      </c>
      <c r="C5" s="1056">
        <v>6.7999999482346301</v>
      </c>
      <c r="D5" s="1057">
        <v>394221.99998999998</v>
      </c>
      <c r="E5" s="1057">
        <v>13.14073333</v>
      </c>
      <c r="F5" s="1058">
        <v>95106.057480000003</v>
      </c>
      <c r="G5" s="1058">
        <v>13986.185030000001</v>
      </c>
      <c r="H5" s="1058"/>
      <c r="I5" s="1058"/>
      <c r="J5" s="1055"/>
      <c r="K5" s="1055">
        <v>1.3986185030000001E-2</v>
      </c>
      <c r="L5" s="17"/>
      <c r="M5" s="17"/>
      <c r="N5" s="17"/>
      <c r="O5" s="17"/>
      <c r="P5" s="17"/>
      <c r="Q5" s="17"/>
      <c r="R5" s="17"/>
      <c r="S5" s="17"/>
      <c r="T5" s="17"/>
      <c r="U5" s="17"/>
      <c r="V5" s="17"/>
      <c r="W5" s="17"/>
    </row>
    <row r="6" spans="1:23" ht="15.75">
      <c r="A6" s="3" t="s">
        <v>32</v>
      </c>
      <c r="B6" s="3">
        <v>31</v>
      </c>
      <c r="C6" s="1056">
        <v>6.8000000548992103</v>
      </c>
      <c r="D6" s="1057">
        <v>380960.00001000002</v>
      </c>
      <c r="E6" s="1057">
        <v>12.289032260000001</v>
      </c>
      <c r="F6" s="1058">
        <v>91906.599990000002</v>
      </c>
      <c r="G6" s="1058">
        <v>13515.676359999999</v>
      </c>
      <c r="H6" s="1058"/>
      <c r="I6" s="1058"/>
      <c r="J6" s="1055"/>
      <c r="K6" s="1055">
        <v>1.3515676359999999E-2</v>
      </c>
      <c r="L6" s="17"/>
      <c r="M6" s="17"/>
      <c r="N6" s="17"/>
      <c r="O6" s="17"/>
      <c r="P6" s="17"/>
      <c r="Q6" s="17"/>
      <c r="R6" s="17"/>
      <c r="S6" s="17"/>
      <c r="T6" s="17"/>
      <c r="U6" s="17"/>
      <c r="V6" s="17"/>
      <c r="W6" s="17"/>
    </row>
    <row r="7" spans="1:23" ht="15.75">
      <c r="A7" s="3" t="s">
        <v>33</v>
      </c>
      <c r="B7" s="3">
        <v>30</v>
      </c>
      <c r="C7" s="1056">
        <v>6.8000000523770803</v>
      </c>
      <c r="D7" s="1057">
        <v>368092.00001999998</v>
      </c>
      <c r="E7" s="1057">
        <v>12.269733329999999</v>
      </c>
      <c r="F7" s="1058">
        <v>88802.19498</v>
      </c>
      <c r="G7" s="1058">
        <v>13059.146220000001</v>
      </c>
      <c r="H7" s="1058"/>
      <c r="I7" s="1058"/>
      <c r="J7" s="1055"/>
      <c r="K7" s="1055">
        <v>1.305914622E-2</v>
      </c>
      <c r="L7" s="17"/>
      <c r="M7" s="17"/>
      <c r="N7" s="17"/>
      <c r="O7" s="17"/>
      <c r="P7" s="17"/>
      <c r="Q7" s="17"/>
      <c r="R7" s="17"/>
      <c r="S7" s="17"/>
      <c r="T7" s="17"/>
      <c r="U7" s="17"/>
      <c r="V7" s="17"/>
      <c r="W7" s="17"/>
    </row>
    <row r="8" spans="1:23" ht="15.75">
      <c r="A8" s="23" t="s">
        <v>34</v>
      </c>
      <c r="B8" s="23">
        <v>91</v>
      </c>
      <c r="C8" s="1060">
        <v>6.8000000173072603</v>
      </c>
      <c r="D8" s="1061">
        <v>1143274.0000199999</v>
      </c>
      <c r="E8" s="1061">
        <v>12.563450550000001</v>
      </c>
      <c r="F8" s="1062">
        <v>275814.85245000001</v>
      </c>
      <c r="G8" s="1062">
        <v>40561.007610000001</v>
      </c>
      <c r="H8" s="1062"/>
      <c r="I8" s="1062"/>
      <c r="J8" s="1059"/>
      <c r="K8" s="1059">
        <v>4.0561007609999998E-2</v>
      </c>
      <c r="L8" s="24">
        <v>0</v>
      </c>
      <c r="M8" s="24">
        <v>0</v>
      </c>
      <c r="N8" s="24">
        <v>0</v>
      </c>
      <c r="O8" s="24">
        <v>0</v>
      </c>
      <c r="P8" s="24">
        <v>0</v>
      </c>
      <c r="Q8" s="24">
        <v>0</v>
      </c>
      <c r="R8" s="24"/>
      <c r="S8" s="24"/>
      <c r="T8" s="24"/>
      <c r="U8" s="24"/>
      <c r="V8" s="24"/>
      <c r="W8" s="24"/>
    </row>
    <row r="9" spans="1:23" ht="15.75">
      <c r="A9" s="3" t="s">
        <v>35</v>
      </c>
      <c r="B9" s="139">
        <v>31</v>
      </c>
      <c r="C9" s="1056">
        <v>6.8000000655724104</v>
      </c>
      <c r="D9" s="1057">
        <v>369674.00001999998</v>
      </c>
      <c r="E9" s="1057">
        <v>11.92496774</v>
      </c>
      <c r="F9" s="1058">
        <v>89183.852499999994</v>
      </c>
      <c r="G9" s="1058">
        <v>13115.272300000001</v>
      </c>
      <c r="H9" s="1058"/>
      <c r="I9" s="1058"/>
      <c r="J9" s="1055"/>
      <c r="K9" s="1055">
        <v>1.31152723E-2</v>
      </c>
      <c r="L9" s="17"/>
      <c r="M9" s="17"/>
      <c r="N9" s="17"/>
      <c r="O9" s="17"/>
      <c r="P9" s="17"/>
      <c r="Q9" s="17"/>
      <c r="R9" s="17"/>
      <c r="S9" s="17"/>
      <c r="T9" s="17"/>
      <c r="U9" s="17"/>
      <c r="V9" s="17"/>
      <c r="W9" s="17"/>
    </row>
    <row r="10" spans="1:23" ht="15.75">
      <c r="A10" s="3" t="s">
        <v>36</v>
      </c>
      <c r="B10" s="3">
        <v>31</v>
      </c>
      <c r="C10" s="1056"/>
      <c r="D10" s="1057">
        <v>0</v>
      </c>
      <c r="E10" s="1057">
        <v>0</v>
      </c>
      <c r="F10" s="1058">
        <v>0</v>
      </c>
      <c r="G10" s="1058">
        <v>0</v>
      </c>
      <c r="H10" s="1058"/>
      <c r="I10" s="1058"/>
      <c r="J10" s="1055"/>
      <c r="K10" s="1055">
        <v>0</v>
      </c>
      <c r="L10" s="17"/>
      <c r="M10" s="17"/>
      <c r="N10" s="17"/>
      <c r="O10" s="17"/>
      <c r="P10" s="17"/>
      <c r="Q10" s="17"/>
      <c r="R10" s="17"/>
      <c r="S10" s="17"/>
      <c r="T10" s="17"/>
      <c r="U10" s="17"/>
      <c r="V10" s="17"/>
      <c r="W10" s="17"/>
    </row>
    <row r="11" spans="1:23" ht="15.75">
      <c r="A11" s="3" t="s">
        <v>37</v>
      </c>
      <c r="B11" s="3">
        <v>30</v>
      </c>
      <c r="C11" s="1056"/>
      <c r="D11" s="1057">
        <v>0</v>
      </c>
      <c r="E11" s="1057">
        <v>0</v>
      </c>
      <c r="F11" s="1058">
        <v>0</v>
      </c>
      <c r="G11" s="1058">
        <v>0</v>
      </c>
      <c r="H11" s="1058"/>
      <c r="I11" s="1058"/>
      <c r="J11" s="1055"/>
      <c r="K11" s="1055">
        <v>0</v>
      </c>
      <c r="L11" s="30"/>
      <c r="M11" s="30"/>
      <c r="N11" s="30"/>
      <c r="O11" s="30"/>
      <c r="P11" s="30"/>
      <c r="Q11" s="30"/>
      <c r="R11" s="30"/>
      <c r="S11" s="30"/>
      <c r="T11" s="30"/>
      <c r="U11" s="30"/>
      <c r="V11" s="30"/>
      <c r="W11" s="30"/>
    </row>
    <row r="12" spans="1:23" ht="15.75">
      <c r="A12" s="23" t="s">
        <v>38</v>
      </c>
      <c r="B12" s="23">
        <v>92</v>
      </c>
      <c r="C12" s="1060">
        <v>6.8000000655724104</v>
      </c>
      <c r="D12" s="1061">
        <v>369674.00001999998</v>
      </c>
      <c r="E12" s="1061">
        <v>4.01819565</v>
      </c>
      <c r="F12" s="1062">
        <v>89183.852499999994</v>
      </c>
      <c r="G12" s="1062">
        <v>13115.272300000001</v>
      </c>
      <c r="H12" s="1062"/>
      <c r="I12" s="1062"/>
      <c r="J12" s="1059"/>
      <c r="K12" s="1059">
        <v>1.31152723E-2</v>
      </c>
      <c r="L12" s="24">
        <v>0</v>
      </c>
      <c r="M12" s="24">
        <v>0</v>
      </c>
      <c r="N12" s="24">
        <v>0</v>
      </c>
      <c r="O12" s="24">
        <v>0</v>
      </c>
      <c r="P12" s="24">
        <v>0</v>
      </c>
      <c r="Q12" s="24">
        <v>0</v>
      </c>
      <c r="R12" s="24"/>
      <c r="S12" s="24"/>
      <c r="T12" s="24"/>
      <c r="U12" s="24"/>
      <c r="V12" s="24"/>
      <c r="W12" s="24"/>
    </row>
    <row r="13" spans="1:23" ht="15.75">
      <c r="A13" s="35" t="s">
        <v>39</v>
      </c>
      <c r="B13" s="35">
        <v>183</v>
      </c>
      <c r="C13" s="1064">
        <v>6.8000000291003797</v>
      </c>
      <c r="D13" s="1065">
        <v>1512948.0000400001</v>
      </c>
      <c r="E13" s="1065">
        <v>8.2674754000000004</v>
      </c>
      <c r="F13" s="1066">
        <v>364998.70494999998</v>
      </c>
      <c r="G13" s="1066">
        <v>53676.279909999997</v>
      </c>
      <c r="H13" s="1066"/>
      <c r="I13" s="1066"/>
      <c r="J13" s="1063"/>
      <c r="K13" s="1063">
        <v>5.3676279909999999E-2</v>
      </c>
      <c r="L13" s="36">
        <v>0</v>
      </c>
      <c r="M13" s="36">
        <v>0</v>
      </c>
      <c r="N13" s="36">
        <v>0</v>
      </c>
      <c r="O13" s="36">
        <v>0</v>
      </c>
      <c r="P13" s="36">
        <v>0</v>
      </c>
      <c r="Q13" s="36">
        <v>0</v>
      </c>
      <c r="R13" s="36"/>
      <c r="S13" s="36"/>
      <c r="T13" s="36"/>
      <c r="U13" s="36"/>
      <c r="V13" s="36"/>
      <c r="W13" s="36"/>
    </row>
    <row r="14" spans="1:23" ht="15.75">
      <c r="A14" s="3" t="s">
        <v>40</v>
      </c>
      <c r="B14" s="3">
        <v>31</v>
      </c>
      <c r="C14" s="1056"/>
      <c r="D14" s="1057">
        <v>0</v>
      </c>
      <c r="E14" s="1057">
        <v>0</v>
      </c>
      <c r="F14" s="1058">
        <v>0</v>
      </c>
      <c r="G14" s="1058">
        <v>0</v>
      </c>
      <c r="H14" s="1058"/>
      <c r="I14" s="1058"/>
      <c r="J14" s="1055"/>
      <c r="K14" s="1055">
        <v>0</v>
      </c>
      <c r="L14" s="30"/>
      <c r="M14" s="30"/>
      <c r="N14" s="30"/>
      <c r="O14" s="30"/>
      <c r="P14" s="30"/>
      <c r="Q14" s="30"/>
      <c r="R14" s="30"/>
      <c r="S14" s="30"/>
      <c r="T14" s="30"/>
      <c r="U14" s="30"/>
      <c r="V14" s="30"/>
      <c r="W14" s="30"/>
    </row>
    <row r="15" spans="1:23" ht="15.75">
      <c r="A15" s="3" t="s">
        <v>41</v>
      </c>
      <c r="B15" s="3">
        <v>30</v>
      </c>
      <c r="C15" s="1056"/>
      <c r="D15" s="1057">
        <v>0</v>
      </c>
      <c r="E15" s="1057">
        <v>0</v>
      </c>
      <c r="F15" s="1058">
        <v>0</v>
      </c>
      <c r="G15" s="1058">
        <v>0</v>
      </c>
      <c r="H15" s="1058"/>
      <c r="I15" s="1058"/>
      <c r="J15" s="1055"/>
      <c r="K15" s="1055">
        <v>0</v>
      </c>
      <c r="L15" s="30"/>
      <c r="M15" s="30"/>
      <c r="N15" s="30"/>
      <c r="O15" s="30"/>
      <c r="P15" s="30"/>
      <c r="Q15" s="30"/>
      <c r="R15" s="30"/>
      <c r="S15" s="30"/>
      <c r="T15" s="30"/>
      <c r="U15" s="30"/>
      <c r="V15" s="30"/>
      <c r="W15" s="30"/>
    </row>
    <row r="16" spans="1:23" ht="15.75">
      <c r="A16" s="3" t="s">
        <v>42</v>
      </c>
      <c r="B16" s="3">
        <v>31</v>
      </c>
      <c r="C16" s="1056"/>
      <c r="D16" s="1057">
        <v>0</v>
      </c>
      <c r="E16" s="1057">
        <v>0</v>
      </c>
      <c r="F16" s="1058">
        <v>0</v>
      </c>
      <c r="G16" s="1058">
        <v>0</v>
      </c>
      <c r="H16" s="1058"/>
      <c r="I16" s="1058"/>
      <c r="J16" s="1055"/>
      <c r="K16" s="1055">
        <v>0</v>
      </c>
      <c r="L16" s="30"/>
      <c r="M16" s="30"/>
      <c r="N16" s="30"/>
      <c r="O16" s="30"/>
      <c r="P16" s="30"/>
      <c r="Q16" s="30"/>
      <c r="R16" s="30"/>
      <c r="S16" s="30"/>
      <c r="T16" s="30"/>
      <c r="U16" s="30"/>
      <c r="V16" s="30"/>
      <c r="W16" s="30"/>
    </row>
    <row r="17" spans="1:23" ht="15.75">
      <c r="A17" s="23" t="s">
        <v>43</v>
      </c>
      <c r="B17" s="23">
        <v>92</v>
      </c>
      <c r="C17" s="1060"/>
      <c r="D17" s="1061">
        <v>0</v>
      </c>
      <c r="E17" s="1061">
        <v>0</v>
      </c>
      <c r="F17" s="1062">
        <v>0</v>
      </c>
      <c r="G17" s="1062">
        <v>0</v>
      </c>
      <c r="H17" s="1062"/>
      <c r="I17" s="1062"/>
      <c r="J17" s="1059"/>
      <c r="K17" s="1059">
        <v>0</v>
      </c>
      <c r="L17" s="24">
        <v>0</v>
      </c>
      <c r="M17" s="24">
        <v>0</v>
      </c>
      <c r="N17" s="24">
        <v>0</v>
      </c>
      <c r="O17" s="24">
        <v>0</v>
      </c>
      <c r="P17" s="24">
        <v>0</v>
      </c>
      <c r="Q17" s="24">
        <v>0</v>
      </c>
      <c r="R17" s="24"/>
      <c r="S17" s="24"/>
      <c r="T17" s="24"/>
      <c r="U17" s="24"/>
      <c r="V17" s="24"/>
      <c r="W17" s="24"/>
    </row>
    <row r="18" spans="1:23" ht="15.75">
      <c r="A18" s="3" t="s">
        <v>44</v>
      </c>
      <c r="B18" s="3">
        <v>31</v>
      </c>
      <c r="C18" s="1056"/>
      <c r="D18" s="1057">
        <v>0</v>
      </c>
      <c r="E18" s="1057">
        <v>0</v>
      </c>
      <c r="F18" s="1058">
        <v>0</v>
      </c>
      <c r="G18" s="1058">
        <v>0</v>
      </c>
      <c r="H18" s="1058"/>
      <c r="I18" s="1058"/>
      <c r="J18" s="1055"/>
      <c r="K18" s="1055">
        <v>0</v>
      </c>
      <c r="L18" s="30"/>
      <c r="M18" s="30"/>
      <c r="N18" s="30"/>
      <c r="O18" s="30"/>
      <c r="P18" s="30"/>
      <c r="Q18" s="40"/>
      <c r="R18" s="30"/>
      <c r="S18" s="40"/>
      <c r="T18" s="30"/>
      <c r="U18" s="40"/>
      <c r="V18" s="30"/>
      <c r="W18" s="30"/>
    </row>
    <row r="19" spans="1:23" ht="15.75">
      <c r="A19" s="3" t="s">
        <v>45</v>
      </c>
      <c r="B19" s="3">
        <v>28</v>
      </c>
      <c r="C19" s="1056"/>
      <c r="D19" s="1057">
        <v>0</v>
      </c>
      <c r="E19" s="1057">
        <v>0</v>
      </c>
      <c r="F19" s="1058">
        <v>0</v>
      </c>
      <c r="G19" s="1058">
        <v>0</v>
      </c>
      <c r="H19" s="1058"/>
      <c r="I19" s="1058"/>
      <c r="J19" s="1055"/>
      <c r="K19" s="1055">
        <v>0</v>
      </c>
      <c r="L19" s="30"/>
      <c r="M19" s="30"/>
      <c r="N19" s="30"/>
      <c r="O19" s="30"/>
      <c r="P19" s="30"/>
      <c r="Q19" s="40"/>
      <c r="R19" s="30"/>
      <c r="S19" s="40"/>
      <c r="T19" s="30"/>
      <c r="U19" s="40"/>
      <c r="V19" s="30"/>
      <c r="W19" s="30"/>
    </row>
    <row r="20" spans="1:23" ht="15.75">
      <c r="A20" s="3" t="s">
        <v>46</v>
      </c>
      <c r="B20" s="3">
        <v>31</v>
      </c>
      <c r="C20" s="1056"/>
      <c r="D20" s="1057">
        <v>0</v>
      </c>
      <c r="E20" s="1057">
        <v>0</v>
      </c>
      <c r="F20" s="1058">
        <v>0</v>
      </c>
      <c r="G20" s="1058">
        <v>0</v>
      </c>
      <c r="H20" s="1058"/>
      <c r="I20" s="1058"/>
      <c r="J20" s="1055"/>
      <c r="K20" s="1055">
        <v>0</v>
      </c>
      <c r="L20" s="30"/>
      <c r="M20" s="30"/>
      <c r="N20" s="30"/>
      <c r="O20" s="30"/>
      <c r="P20" s="30"/>
      <c r="Q20" s="40"/>
      <c r="R20" s="30"/>
      <c r="S20" s="40"/>
      <c r="T20" s="30"/>
      <c r="U20" s="40"/>
      <c r="V20" s="30"/>
      <c r="W20" s="30"/>
    </row>
    <row r="21" spans="1:23" ht="15.75">
      <c r="A21" s="23" t="s">
        <v>47</v>
      </c>
      <c r="B21" s="23">
        <v>90</v>
      </c>
      <c r="C21" s="1060"/>
      <c r="D21" s="1061">
        <v>0</v>
      </c>
      <c r="E21" s="1061">
        <v>0</v>
      </c>
      <c r="F21" s="1062">
        <v>0</v>
      </c>
      <c r="G21" s="1062">
        <v>0</v>
      </c>
      <c r="H21" s="1062"/>
      <c r="I21" s="1062"/>
      <c r="J21" s="1059"/>
      <c r="K21" s="1059">
        <v>0</v>
      </c>
      <c r="L21" s="24">
        <v>0</v>
      </c>
      <c r="M21" s="24">
        <v>0</v>
      </c>
      <c r="N21" s="24">
        <v>0</v>
      </c>
      <c r="O21" s="24">
        <v>0</v>
      </c>
      <c r="P21" s="24">
        <v>0</v>
      </c>
      <c r="Q21" s="44">
        <v>0</v>
      </c>
      <c r="R21" s="24"/>
      <c r="S21" s="44"/>
      <c r="T21" s="24"/>
      <c r="U21" s="44"/>
      <c r="V21" s="24"/>
      <c r="W21" s="24"/>
    </row>
    <row r="22" spans="1:23" ht="15.75">
      <c r="A22" s="35" t="s">
        <v>48</v>
      </c>
      <c r="B22" s="35">
        <v>182</v>
      </c>
      <c r="C22" s="1064"/>
      <c r="D22" s="1065">
        <v>0</v>
      </c>
      <c r="E22" s="1065">
        <v>0</v>
      </c>
      <c r="F22" s="1066">
        <v>0</v>
      </c>
      <c r="G22" s="1066">
        <v>0</v>
      </c>
      <c r="H22" s="1066"/>
      <c r="I22" s="1066"/>
      <c r="J22" s="1063"/>
      <c r="K22" s="1063">
        <v>0</v>
      </c>
      <c r="L22" s="36">
        <v>0</v>
      </c>
      <c r="M22" s="36">
        <v>0</v>
      </c>
      <c r="N22" s="36">
        <v>0</v>
      </c>
      <c r="O22" s="36">
        <v>0</v>
      </c>
      <c r="P22" s="36">
        <v>0</v>
      </c>
      <c r="Q22" s="48">
        <v>0</v>
      </c>
      <c r="R22" s="36"/>
      <c r="S22" s="48"/>
      <c r="T22" s="36"/>
      <c r="U22" s="48"/>
      <c r="V22" s="36"/>
      <c r="W22" s="36"/>
    </row>
    <row r="23" spans="1:23" ht="15.75">
      <c r="A23" s="53" t="str">
        <f>RIGHT(A1,7)</f>
        <v>2025</v>
      </c>
      <c r="B23" s="53">
        <v>365</v>
      </c>
      <c r="C23" s="1068">
        <v>6.8000000291003797</v>
      </c>
      <c r="D23" s="1069">
        <v>1512948.0000400001</v>
      </c>
      <c r="E23" s="1069">
        <v>4.1450630100000003</v>
      </c>
      <c r="F23" s="1070">
        <v>364998.70494999998</v>
      </c>
      <c r="G23" s="1070">
        <v>53676.279909999997</v>
      </c>
      <c r="H23" s="1070"/>
      <c r="I23" s="1070"/>
      <c r="J23" s="1067"/>
      <c r="K23" s="1067">
        <v>5.3676279909999999E-2</v>
      </c>
      <c r="L23" s="54">
        <v>0</v>
      </c>
      <c r="M23" s="54">
        <v>0</v>
      </c>
      <c r="N23" s="54">
        <v>0</v>
      </c>
      <c r="O23" s="54">
        <v>0</v>
      </c>
      <c r="P23" s="54">
        <v>0</v>
      </c>
      <c r="Q23" s="55">
        <v>0</v>
      </c>
      <c r="R23" s="54"/>
      <c r="S23" s="55"/>
      <c r="T23" s="54"/>
      <c r="U23" s="55"/>
      <c r="V23" s="54"/>
      <c r="W23" s="54"/>
    </row>
    <row r="24" spans="1:23" ht="15.75">
      <c r="A24" s="1159" t="s">
        <v>53</v>
      </c>
      <c r="B24" s="1159"/>
      <c r="C24" s="1159"/>
      <c r="D24" s="1159"/>
      <c r="E24" s="1159"/>
      <c r="F24" s="1159"/>
      <c r="G24" s="1159"/>
      <c r="H24" s="1159"/>
      <c r="I24" s="1159"/>
      <c r="J24" s="1159"/>
      <c r="K24" s="178"/>
      <c r="L24" s="59"/>
      <c r="M24" s="59"/>
      <c r="N24" s="59"/>
      <c r="O24" s="59"/>
      <c r="P24" s="59"/>
      <c r="Q24" s="59"/>
      <c r="R24" s="59"/>
      <c r="S24" s="59"/>
      <c r="T24" s="59"/>
      <c r="U24" s="59"/>
      <c r="V24" s="61"/>
      <c r="W24" s="61"/>
    </row>
    <row r="25" spans="1:23" ht="15.75">
      <c r="A25" s="61" t="str">
        <f>IF(AND(X24=0,Y24=0),"OK","ERROR")</f>
        <v>OK</v>
      </c>
      <c r="B25" s="61"/>
      <c r="C25" s="61"/>
      <c r="D25" s="59"/>
      <c r="E25" s="59"/>
      <c r="F25" s="100"/>
      <c r="G25" s="101"/>
      <c r="H25" s="102"/>
      <c r="I25" s="59"/>
      <c r="J25" s="59"/>
      <c r="K25" s="59"/>
      <c r="L25" s="59"/>
      <c r="M25" s="59"/>
      <c r="N25" s="59"/>
      <c r="O25" s="59"/>
      <c r="P25" s="59"/>
      <c r="Q25" s="59"/>
      <c r="R25" s="59"/>
      <c r="S25" s="59"/>
      <c r="T25" s="59"/>
      <c r="U25" s="59"/>
      <c r="V25" s="61"/>
      <c r="W25" s="61"/>
    </row>
  </sheetData>
  <sheetProtection algorithmName="SHA-512" hashValue="yg9JD78BPYvC9Gt0ImkTg+eEcT+Lw4MdM+qhdVRfQyGySMnc7TPAcBt9QTb4ES6w16v5lgY2M/l6YEsx5poE2g==" saltValue="gLjNqUz4C6yU5rHd0YuTTA==" spinCount="100000" sheet="1" objects="1" scenarios="1"/>
  <mergeCells count="11">
    <mergeCell ref="W3:W4"/>
    <mergeCell ref="A3:B3"/>
    <mergeCell ref="C3:G3"/>
    <mergeCell ref="H3:J3"/>
    <mergeCell ref="L3:N3"/>
    <mergeCell ref="O3:Q3"/>
    <mergeCell ref="A24:J24"/>
    <mergeCell ref="C1:G1"/>
    <mergeCell ref="S3:T3"/>
    <mergeCell ref="U3:U4"/>
    <mergeCell ref="V3:V4"/>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rgb="FF7030A0"/>
  </sheetPr>
  <dimension ref="A1:W25"/>
  <sheetViews>
    <sheetView workbookViewId="0">
      <selection activeCell="Z7" sqref="Z7"/>
    </sheetView>
  </sheetViews>
  <sheetFormatPr defaultColWidth="8.85546875" defaultRowHeight="15"/>
  <cols>
    <col min="4" max="4" width="11.42578125" bestFit="1" customWidth="1"/>
    <col min="6" max="6" width="16" customWidth="1"/>
    <col min="7" max="7" width="10.7109375" customWidth="1"/>
    <col min="8" max="8" width="12.42578125" bestFit="1" customWidth="1"/>
    <col min="10" max="10" width="18.42578125" customWidth="1"/>
    <col min="12" max="23" width="0" hidden="1" customWidth="1"/>
  </cols>
  <sheetData>
    <row r="1" spans="1:23" ht="20.25">
      <c r="A1" s="487">
        <v>2025</v>
      </c>
      <c r="B1" s="487"/>
      <c r="C1" s="1160" t="s">
        <v>63</v>
      </c>
      <c r="D1" s="1160"/>
      <c r="E1" s="1160"/>
      <c r="F1" s="1160"/>
      <c r="G1" s="1160"/>
      <c r="H1" s="490" t="str">
        <f>interFY_transition!D17</f>
        <v>2026-27</v>
      </c>
      <c r="I1" s="487" t="s">
        <v>864</v>
      </c>
      <c r="J1" s="487"/>
      <c r="K1" s="487"/>
      <c r="L1" s="487"/>
      <c r="M1" s="487"/>
      <c r="N1" s="487"/>
      <c r="O1" s="487"/>
      <c r="P1" s="487"/>
      <c r="Q1" s="180"/>
      <c r="R1" s="180"/>
      <c r="S1" s="180"/>
      <c r="T1" s="180"/>
      <c r="U1" s="180"/>
      <c r="V1" s="180"/>
      <c r="W1" s="180"/>
    </row>
    <row r="2" spans="1:23" ht="15.75">
      <c r="A2" s="5"/>
      <c r="B2" s="5"/>
      <c r="C2" s="7"/>
      <c r="D2" s="4"/>
      <c r="E2" s="8"/>
      <c r="F2" s="8"/>
      <c r="G2" s="8"/>
      <c r="H2" s="5"/>
      <c r="I2" s="4"/>
      <c r="J2" s="4"/>
      <c r="K2" s="4"/>
      <c r="L2" s="4"/>
      <c r="M2" s="4"/>
      <c r="N2" s="4"/>
      <c r="O2" s="4"/>
      <c r="P2" s="4"/>
      <c r="Q2" s="4"/>
      <c r="R2" s="4"/>
      <c r="S2" s="4"/>
      <c r="T2" s="4"/>
      <c r="U2" s="4"/>
      <c r="V2" s="4"/>
      <c r="W2" s="4"/>
    </row>
    <row r="3" spans="1:23" ht="63">
      <c r="A3" s="1152" t="s">
        <v>0</v>
      </c>
      <c r="B3" s="1152"/>
      <c r="C3" s="1144" t="s">
        <v>1</v>
      </c>
      <c r="D3" s="1144"/>
      <c r="E3" s="1144"/>
      <c r="F3" s="1144"/>
      <c r="G3" s="1144"/>
      <c r="H3" s="1145" t="s">
        <v>2</v>
      </c>
      <c r="I3" s="1145"/>
      <c r="J3" s="1145"/>
      <c r="K3" s="177" t="s">
        <v>3</v>
      </c>
      <c r="L3" s="1146" t="s">
        <v>4</v>
      </c>
      <c r="M3" s="1147"/>
      <c r="N3" s="1148"/>
      <c r="O3" s="1149" t="s">
        <v>5</v>
      </c>
      <c r="P3" s="1149"/>
      <c r="Q3" s="1149"/>
      <c r="R3" s="176" t="s">
        <v>6</v>
      </c>
      <c r="S3" s="1135" t="s">
        <v>7</v>
      </c>
      <c r="T3" s="1141"/>
      <c r="U3" s="1137" t="s">
        <v>49</v>
      </c>
      <c r="V3" s="1164" t="s">
        <v>9</v>
      </c>
      <c r="W3" s="1137" t="s">
        <v>10</v>
      </c>
    </row>
    <row r="4" spans="1:23" ht="90">
      <c r="A4" s="135"/>
      <c r="B4" s="84" t="s">
        <v>11</v>
      </c>
      <c r="C4" s="13" t="s">
        <v>12</v>
      </c>
      <c r="D4" s="174" t="s">
        <v>13</v>
      </c>
      <c r="E4" s="13" t="s">
        <v>14</v>
      </c>
      <c r="F4" s="13" t="s">
        <v>15</v>
      </c>
      <c r="G4" s="174" t="s">
        <v>16</v>
      </c>
      <c r="H4" s="174" t="s">
        <v>17</v>
      </c>
      <c r="I4" s="13" t="s">
        <v>18</v>
      </c>
      <c r="J4" s="13" t="s">
        <v>19</v>
      </c>
      <c r="K4" s="13" t="s">
        <v>20</v>
      </c>
      <c r="L4" s="174" t="s">
        <v>21</v>
      </c>
      <c r="M4" s="174" t="s">
        <v>22</v>
      </c>
      <c r="N4" s="174" t="s">
        <v>23</v>
      </c>
      <c r="O4" s="174" t="s">
        <v>24</v>
      </c>
      <c r="P4" s="174" t="s">
        <v>25</v>
      </c>
      <c r="Q4" s="174" t="s">
        <v>26</v>
      </c>
      <c r="R4" s="174" t="s">
        <v>27</v>
      </c>
      <c r="S4" s="174" t="s">
        <v>28</v>
      </c>
      <c r="T4" s="174" t="s">
        <v>29</v>
      </c>
      <c r="U4" s="1137"/>
      <c r="V4" s="1165"/>
      <c r="W4" s="1137"/>
    </row>
    <row r="5" spans="1:23" ht="15.75">
      <c r="A5" s="136" t="s">
        <v>30</v>
      </c>
      <c r="B5" s="1055">
        <v>30</v>
      </c>
      <c r="C5" s="1056">
        <v>7.3768539146211403</v>
      </c>
      <c r="D5" s="1057">
        <v>548115.00003</v>
      </c>
      <c r="E5" s="1057">
        <v>18.270499999999998</v>
      </c>
      <c r="F5" s="1058">
        <v>383680.49998999998</v>
      </c>
      <c r="G5" s="1058">
        <v>52011.40004</v>
      </c>
      <c r="H5" s="1058">
        <v>8.8999999999999996E-2</v>
      </c>
      <c r="I5" s="1058">
        <v>2.97E-3</v>
      </c>
      <c r="J5" s="1055">
        <v>6.2309999999999997E-2</v>
      </c>
      <c r="K5" s="1055">
        <v>5.2073710039999999E-2</v>
      </c>
      <c r="L5" s="17">
        <v>0</v>
      </c>
      <c r="M5" s="17">
        <v>0</v>
      </c>
      <c r="N5" s="17">
        <v>0</v>
      </c>
      <c r="O5" s="17">
        <v>0</v>
      </c>
      <c r="P5" s="17">
        <v>0</v>
      </c>
      <c r="Q5" s="17">
        <v>0</v>
      </c>
      <c r="R5" s="17">
        <v>5.86</v>
      </c>
      <c r="S5" s="17"/>
      <c r="T5" s="17"/>
      <c r="U5" s="17"/>
      <c r="V5" s="17"/>
      <c r="W5" s="17"/>
    </row>
    <row r="6" spans="1:23" ht="15.75">
      <c r="A6" s="3" t="s">
        <v>32</v>
      </c>
      <c r="B6" s="1055">
        <v>31</v>
      </c>
      <c r="C6" s="1056">
        <v>7.3797867746722501</v>
      </c>
      <c r="D6" s="1057">
        <v>673531</v>
      </c>
      <c r="E6" s="1057">
        <v>21.726806450000002</v>
      </c>
      <c r="F6" s="1058">
        <v>471471.69998999999</v>
      </c>
      <c r="G6" s="1058">
        <v>63886.90004</v>
      </c>
      <c r="H6" s="1058">
        <v>0.10496999999999999</v>
      </c>
      <c r="I6" s="1058">
        <v>3.3899999999999998E-3</v>
      </c>
      <c r="J6" s="1055">
        <v>7.3480000000000004E-2</v>
      </c>
      <c r="K6" s="1055">
        <v>6.3960380040000001E-2</v>
      </c>
      <c r="L6" s="17">
        <v>0</v>
      </c>
      <c r="M6" s="17">
        <v>1</v>
      </c>
      <c r="N6" s="17">
        <v>0</v>
      </c>
      <c r="O6" s="17">
        <v>0</v>
      </c>
      <c r="P6" s="17">
        <v>0</v>
      </c>
      <c r="Q6" s="17">
        <v>0</v>
      </c>
      <c r="R6" s="17">
        <v>6.5565829082290801</v>
      </c>
      <c r="S6" s="17"/>
      <c r="T6" s="17"/>
      <c r="U6" s="17"/>
      <c r="V6" s="17"/>
      <c r="W6" s="17"/>
    </row>
    <row r="7" spans="1:23" ht="15.75">
      <c r="A7" s="3" t="s">
        <v>33</v>
      </c>
      <c r="B7" s="1055">
        <v>30</v>
      </c>
      <c r="C7" s="1056">
        <v>7.3780353918005099</v>
      </c>
      <c r="D7" s="1057">
        <v>638354.99997</v>
      </c>
      <c r="E7" s="1057">
        <v>21.278500000000001</v>
      </c>
      <c r="F7" s="1058">
        <v>446848.50001999998</v>
      </c>
      <c r="G7" s="1058">
        <v>60564.699990000001</v>
      </c>
      <c r="H7" s="1058">
        <v>0.10301</v>
      </c>
      <c r="I7" s="1058">
        <v>3.4299999999999999E-3</v>
      </c>
      <c r="J7" s="1055">
        <v>7.2080000000000005E-2</v>
      </c>
      <c r="K7" s="1055">
        <v>6.063677999E-2</v>
      </c>
      <c r="L7" s="17">
        <v>0</v>
      </c>
      <c r="M7" s="17">
        <v>0</v>
      </c>
      <c r="N7" s="17">
        <v>0</v>
      </c>
      <c r="O7" s="17">
        <v>0</v>
      </c>
      <c r="P7" s="17">
        <v>0</v>
      </c>
      <c r="Q7" s="17">
        <v>0</v>
      </c>
      <c r="R7" s="17">
        <v>8.02</v>
      </c>
      <c r="S7" s="17"/>
      <c r="T7" s="17"/>
      <c r="U7" s="17"/>
      <c r="V7" s="17"/>
      <c r="W7" s="17"/>
    </row>
    <row r="8" spans="1:23" ht="15.75">
      <c r="A8" s="23" t="s">
        <v>34</v>
      </c>
      <c r="B8" s="1059">
        <v>91</v>
      </c>
      <c r="C8" s="1060">
        <v>7.3783212315528903</v>
      </c>
      <c r="D8" s="1061">
        <v>1860001</v>
      </c>
      <c r="E8" s="1061">
        <v>20.439571430000001</v>
      </c>
      <c r="F8" s="1062">
        <v>1302000.7</v>
      </c>
      <c r="G8" s="1062">
        <v>176463.00007000001</v>
      </c>
      <c r="H8" s="1062">
        <v>0.29698000000000002</v>
      </c>
      <c r="I8" s="1062">
        <v>3.2599999999999999E-3</v>
      </c>
      <c r="J8" s="1059">
        <v>0.20787</v>
      </c>
      <c r="K8" s="1059">
        <v>0.17667087007000001</v>
      </c>
      <c r="L8" s="24">
        <v>0</v>
      </c>
      <c r="M8" s="24">
        <v>1</v>
      </c>
      <c r="N8" s="24">
        <v>0</v>
      </c>
      <c r="O8" s="24">
        <v>0</v>
      </c>
      <c r="P8" s="24">
        <v>0</v>
      </c>
      <c r="Q8" s="24">
        <v>0</v>
      </c>
      <c r="R8" s="24"/>
      <c r="S8" s="24"/>
      <c r="T8" s="24"/>
      <c r="U8" s="24"/>
      <c r="V8" s="24"/>
      <c r="W8" s="24"/>
    </row>
    <row r="9" spans="1:23" ht="15.75">
      <c r="A9" s="3" t="s">
        <v>35</v>
      </c>
      <c r="B9" s="1055">
        <v>31</v>
      </c>
      <c r="C9" s="1056">
        <v>7.5339986064824496</v>
      </c>
      <c r="D9" s="1057">
        <v>649280.00002000004</v>
      </c>
      <c r="E9" s="1057">
        <v>20.94451613</v>
      </c>
      <c r="F9" s="1058">
        <v>454496.00001000002</v>
      </c>
      <c r="G9" s="1058">
        <v>60326.000010000003</v>
      </c>
      <c r="H9" s="1058">
        <v>0.10700999999999999</v>
      </c>
      <c r="I9" s="1058">
        <v>3.4499999999999999E-3</v>
      </c>
      <c r="J9" s="1055">
        <v>7.4910000000000004E-2</v>
      </c>
      <c r="K9" s="1055">
        <v>6.0400910010000003E-2</v>
      </c>
      <c r="L9" s="17"/>
      <c r="M9" s="17"/>
      <c r="N9" s="17"/>
      <c r="O9" s="17"/>
      <c r="P9" s="17"/>
      <c r="Q9" s="17"/>
      <c r="R9" s="17"/>
      <c r="S9" s="17"/>
      <c r="T9" s="17"/>
      <c r="U9" s="17"/>
      <c r="V9" s="17"/>
      <c r="W9" s="17"/>
    </row>
    <row r="10" spans="1:23" ht="15.75">
      <c r="A10" s="3" t="s">
        <v>36</v>
      </c>
      <c r="B10" s="1055">
        <v>31</v>
      </c>
      <c r="C10" s="1056"/>
      <c r="D10" s="1057">
        <v>0</v>
      </c>
      <c r="E10" s="1057">
        <v>0</v>
      </c>
      <c r="F10" s="1058">
        <v>0</v>
      </c>
      <c r="G10" s="1058">
        <v>0</v>
      </c>
      <c r="H10" s="1058">
        <v>0</v>
      </c>
      <c r="I10" s="1058">
        <v>0</v>
      </c>
      <c r="J10" s="1055">
        <v>0</v>
      </c>
      <c r="K10" s="1055">
        <v>0</v>
      </c>
      <c r="L10" s="17"/>
      <c r="M10" s="17"/>
      <c r="N10" s="17"/>
      <c r="O10" s="17"/>
      <c r="P10" s="17"/>
      <c r="Q10" s="17"/>
      <c r="R10" s="17"/>
      <c r="S10" s="17"/>
      <c r="T10" s="17"/>
      <c r="U10" s="17"/>
      <c r="V10" s="17"/>
      <c r="W10" s="17"/>
    </row>
    <row r="11" spans="1:23" ht="15.75">
      <c r="A11" s="3" t="s">
        <v>37</v>
      </c>
      <c r="B11" s="1055">
        <v>30</v>
      </c>
      <c r="C11" s="1056"/>
      <c r="D11" s="1057">
        <v>0</v>
      </c>
      <c r="E11" s="1057">
        <v>0</v>
      </c>
      <c r="F11" s="1058">
        <v>0</v>
      </c>
      <c r="G11" s="1058">
        <v>0</v>
      </c>
      <c r="H11" s="1058">
        <v>0</v>
      </c>
      <c r="I11" s="1058">
        <v>0</v>
      </c>
      <c r="J11" s="1055">
        <v>0</v>
      </c>
      <c r="K11" s="1055">
        <v>0</v>
      </c>
      <c r="L11" s="30"/>
      <c r="M11" s="30"/>
      <c r="N11" s="30"/>
      <c r="O11" s="30"/>
      <c r="P11" s="30"/>
      <c r="Q11" s="30"/>
      <c r="R11" s="30"/>
      <c r="S11" s="30"/>
      <c r="T11" s="30"/>
      <c r="U11" s="30"/>
      <c r="V11" s="30"/>
      <c r="W11" s="30"/>
    </row>
    <row r="12" spans="1:23" ht="15.75">
      <c r="A12" s="23" t="s">
        <v>38</v>
      </c>
      <c r="B12" s="1059">
        <v>92</v>
      </c>
      <c r="C12" s="1060">
        <v>7.5339986064824496</v>
      </c>
      <c r="D12" s="1061">
        <v>649280.00002000004</v>
      </c>
      <c r="E12" s="1061">
        <v>7.0573912999999999</v>
      </c>
      <c r="F12" s="1062">
        <v>454496.00001000002</v>
      </c>
      <c r="G12" s="1062">
        <v>60326.000010000003</v>
      </c>
      <c r="H12" s="1062">
        <v>0.10700999999999999</v>
      </c>
      <c r="I12" s="1062">
        <v>1.16E-3</v>
      </c>
      <c r="J12" s="1059">
        <v>7.4910000000000004E-2</v>
      </c>
      <c r="K12" s="1059">
        <v>6.0400910010000003E-2</v>
      </c>
      <c r="L12" s="24">
        <v>0</v>
      </c>
      <c r="M12" s="24">
        <v>0</v>
      </c>
      <c r="N12" s="24">
        <v>0</v>
      </c>
      <c r="O12" s="24">
        <v>0</v>
      </c>
      <c r="P12" s="24">
        <v>0</v>
      </c>
      <c r="Q12" s="24">
        <v>0</v>
      </c>
      <c r="R12" s="24"/>
      <c r="S12" s="24"/>
      <c r="T12" s="24"/>
      <c r="U12" s="24"/>
      <c r="V12" s="24"/>
      <c r="W12" s="24"/>
    </row>
    <row r="13" spans="1:23" ht="15.75">
      <c r="A13" s="35" t="s">
        <v>39</v>
      </c>
      <c r="B13" s="1063">
        <v>183</v>
      </c>
      <c r="C13" s="1064">
        <v>7.4179826740961801</v>
      </c>
      <c r="D13" s="1065">
        <v>2509281.0000200002</v>
      </c>
      <c r="E13" s="1065">
        <v>13.71191803</v>
      </c>
      <c r="F13" s="1066">
        <v>1756496.70001</v>
      </c>
      <c r="G13" s="1066">
        <v>236789.00008</v>
      </c>
      <c r="H13" s="1066">
        <v>0.40399000000000002</v>
      </c>
      <c r="I13" s="1066">
        <v>2.2000000000000001E-3</v>
      </c>
      <c r="J13" s="1063">
        <v>0.28277999999999998</v>
      </c>
      <c r="K13" s="1063">
        <v>0.23707178007999999</v>
      </c>
      <c r="L13" s="36">
        <v>0</v>
      </c>
      <c r="M13" s="36">
        <v>1</v>
      </c>
      <c r="N13" s="36">
        <v>0</v>
      </c>
      <c r="O13" s="36">
        <v>0</v>
      </c>
      <c r="P13" s="36">
        <v>0</v>
      </c>
      <c r="Q13" s="36">
        <v>0</v>
      </c>
      <c r="R13" s="36"/>
      <c r="S13" s="36"/>
      <c r="T13" s="36"/>
      <c r="U13" s="36"/>
      <c r="V13" s="36"/>
      <c r="W13" s="36"/>
    </row>
    <row r="14" spans="1:23" ht="15.75">
      <c r="A14" s="3" t="s">
        <v>40</v>
      </c>
      <c r="B14" s="1055">
        <v>31</v>
      </c>
      <c r="C14" s="1056"/>
      <c r="D14" s="1057">
        <v>0</v>
      </c>
      <c r="E14" s="1057">
        <v>0</v>
      </c>
      <c r="F14" s="1058">
        <v>0</v>
      </c>
      <c r="G14" s="1058">
        <v>0</v>
      </c>
      <c r="H14" s="1058">
        <v>0</v>
      </c>
      <c r="I14" s="1058">
        <v>0</v>
      </c>
      <c r="J14" s="1055">
        <v>0</v>
      </c>
      <c r="K14" s="1055">
        <v>0</v>
      </c>
      <c r="L14" s="30"/>
      <c r="M14" s="30"/>
      <c r="N14" s="30"/>
      <c r="O14" s="30"/>
      <c r="P14" s="30"/>
      <c r="Q14" s="30"/>
      <c r="R14" s="30"/>
      <c r="S14" s="30"/>
      <c r="T14" s="30"/>
      <c r="U14" s="30"/>
      <c r="V14" s="30"/>
      <c r="W14" s="30"/>
    </row>
    <row r="15" spans="1:23" ht="15.75">
      <c r="A15" s="3" t="s">
        <v>41</v>
      </c>
      <c r="B15" s="1055">
        <v>30</v>
      </c>
      <c r="C15" s="1056"/>
      <c r="D15" s="1057">
        <v>0</v>
      </c>
      <c r="E15" s="1057">
        <v>0</v>
      </c>
      <c r="F15" s="1058">
        <v>0</v>
      </c>
      <c r="G15" s="1058">
        <v>0</v>
      </c>
      <c r="H15" s="1058">
        <v>0</v>
      </c>
      <c r="I15" s="1058">
        <v>0</v>
      </c>
      <c r="J15" s="1055">
        <v>0</v>
      </c>
      <c r="K15" s="1055">
        <v>0</v>
      </c>
      <c r="L15" s="30"/>
      <c r="M15" s="30"/>
      <c r="N15" s="30"/>
      <c r="O15" s="30"/>
      <c r="P15" s="30"/>
      <c r="Q15" s="30"/>
      <c r="R15" s="30"/>
      <c r="S15" s="30"/>
      <c r="T15" s="30"/>
      <c r="U15" s="30"/>
      <c r="V15" s="30"/>
      <c r="W15" s="30"/>
    </row>
    <row r="16" spans="1:23" ht="15.75">
      <c r="A16" s="3" t="s">
        <v>42</v>
      </c>
      <c r="B16" s="1055">
        <v>31</v>
      </c>
      <c r="C16" s="1056"/>
      <c r="D16" s="1057">
        <v>0</v>
      </c>
      <c r="E16" s="1057">
        <v>0</v>
      </c>
      <c r="F16" s="1058">
        <v>0</v>
      </c>
      <c r="G16" s="1058">
        <v>0</v>
      </c>
      <c r="H16" s="1058">
        <v>0</v>
      </c>
      <c r="I16" s="1058">
        <v>0</v>
      </c>
      <c r="J16" s="1055">
        <v>0</v>
      </c>
      <c r="K16" s="1055">
        <v>0</v>
      </c>
      <c r="L16" s="30"/>
      <c r="M16" s="30"/>
      <c r="N16" s="30"/>
      <c r="O16" s="30"/>
      <c r="P16" s="30"/>
      <c r="Q16" s="30"/>
      <c r="R16" s="30"/>
      <c r="S16" s="30"/>
      <c r="T16" s="30"/>
      <c r="U16" s="30"/>
      <c r="V16" s="30"/>
      <c r="W16" s="30"/>
    </row>
    <row r="17" spans="1:23" ht="15.75">
      <c r="A17" s="23" t="s">
        <v>43</v>
      </c>
      <c r="B17" s="1059">
        <v>92</v>
      </c>
      <c r="C17" s="1060"/>
      <c r="D17" s="1061">
        <v>0</v>
      </c>
      <c r="E17" s="1061">
        <v>0</v>
      </c>
      <c r="F17" s="1062">
        <v>0</v>
      </c>
      <c r="G17" s="1062">
        <v>0</v>
      </c>
      <c r="H17" s="1062">
        <v>0</v>
      </c>
      <c r="I17" s="1062">
        <v>0</v>
      </c>
      <c r="J17" s="1059">
        <v>0</v>
      </c>
      <c r="K17" s="1059">
        <v>0</v>
      </c>
      <c r="L17" s="24">
        <v>0</v>
      </c>
      <c r="M17" s="24">
        <v>0</v>
      </c>
      <c r="N17" s="24">
        <v>0</v>
      </c>
      <c r="O17" s="24">
        <v>0</v>
      </c>
      <c r="P17" s="24">
        <v>0</v>
      </c>
      <c r="Q17" s="24">
        <v>0</v>
      </c>
      <c r="R17" s="24"/>
      <c r="S17" s="24"/>
      <c r="T17" s="24"/>
      <c r="U17" s="24"/>
      <c r="V17" s="24"/>
      <c r="W17" s="24"/>
    </row>
    <row r="18" spans="1:23" ht="15.75">
      <c r="A18" s="3" t="s">
        <v>44</v>
      </c>
      <c r="B18" s="1055">
        <v>31</v>
      </c>
      <c r="C18" s="1056"/>
      <c r="D18" s="1057">
        <v>0</v>
      </c>
      <c r="E18" s="1057">
        <v>0</v>
      </c>
      <c r="F18" s="1058">
        <v>0</v>
      </c>
      <c r="G18" s="1058">
        <v>0</v>
      </c>
      <c r="H18" s="1058">
        <v>0</v>
      </c>
      <c r="I18" s="1058">
        <v>0</v>
      </c>
      <c r="J18" s="1055">
        <v>0</v>
      </c>
      <c r="K18" s="1055">
        <v>0</v>
      </c>
      <c r="L18" s="30"/>
      <c r="M18" s="30"/>
      <c r="N18" s="30"/>
      <c r="O18" s="30"/>
      <c r="P18" s="30"/>
      <c r="Q18" s="40"/>
      <c r="R18" s="30"/>
      <c r="S18" s="30"/>
      <c r="T18" s="40"/>
      <c r="U18" s="30"/>
      <c r="V18" s="30"/>
      <c r="W18" s="30"/>
    </row>
    <row r="19" spans="1:23" ht="15.75">
      <c r="A19" s="3" t="s">
        <v>45</v>
      </c>
      <c r="B19" s="1055">
        <v>28</v>
      </c>
      <c r="C19" s="1056"/>
      <c r="D19" s="1057">
        <v>0</v>
      </c>
      <c r="E19" s="1057">
        <v>0</v>
      </c>
      <c r="F19" s="1058">
        <v>0</v>
      </c>
      <c r="G19" s="1058">
        <v>0</v>
      </c>
      <c r="H19" s="1058">
        <v>0</v>
      </c>
      <c r="I19" s="1058">
        <v>0</v>
      </c>
      <c r="J19" s="1055">
        <v>0</v>
      </c>
      <c r="K19" s="1055">
        <v>0</v>
      </c>
      <c r="L19" s="112"/>
      <c r="M19" s="112"/>
      <c r="N19" s="112"/>
      <c r="O19" s="112"/>
      <c r="P19" s="112"/>
      <c r="Q19" s="111"/>
      <c r="R19" s="112"/>
      <c r="S19" s="112"/>
      <c r="T19" s="111"/>
      <c r="U19" s="112"/>
      <c r="V19" s="112"/>
      <c r="W19" s="112"/>
    </row>
    <row r="20" spans="1:23" ht="15.75">
      <c r="A20" s="3" t="s">
        <v>46</v>
      </c>
      <c r="B20" s="1055">
        <v>31</v>
      </c>
      <c r="C20" s="1056"/>
      <c r="D20" s="1057">
        <v>0</v>
      </c>
      <c r="E20" s="1057">
        <v>0</v>
      </c>
      <c r="F20" s="1058">
        <v>0</v>
      </c>
      <c r="G20" s="1058">
        <v>0</v>
      </c>
      <c r="H20" s="1058">
        <v>0</v>
      </c>
      <c r="I20" s="1058">
        <v>0</v>
      </c>
      <c r="J20" s="1055">
        <v>0</v>
      </c>
      <c r="K20" s="1055">
        <v>0</v>
      </c>
      <c r="L20" s="30"/>
      <c r="M20" s="30"/>
      <c r="N20" s="30"/>
      <c r="O20" s="30"/>
      <c r="P20" s="30"/>
      <c r="Q20" s="40"/>
      <c r="R20" s="30"/>
      <c r="S20" s="30"/>
      <c r="T20" s="40"/>
      <c r="U20" s="30"/>
      <c r="V20" s="30"/>
      <c r="W20" s="30"/>
    </row>
    <row r="21" spans="1:23" ht="15.75">
      <c r="A21" s="23" t="s">
        <v>47</v>
      </c>
      <c r="B21" s="1059">
        <v>90</v>
      </c>
      <c r="C21" s="1060"/>
      <c r="D21" s="1061">
        <v>0</v>
      </c>
      <c r="E21" s="1061">
        <v>0</v>
      </c>
      <c r="F21" s="1062">
        <v>0</v>
      </c>
      <c r="G21" s="1062">
        <v>0</v>
      </c>
      <c r="H21" s="1062">
        <v>0</v>
      </c>
      <c r="I21" s="1062">
        <v>0</v>
      </c>
      <c r="J21" s="1059">
        <v>0</v>
      </c>
      <c r="K21" s="1059">
        <v>0</v>
      </c>
      <c r="L21" s="24">
        <v>0</v>
      </c>
      <c r="M21" s="24">
        <v>0</v>
      </c>
      <c r="N21" s="24">
        <v>0</v>
      </c>
      <c r="O21" s="24">
        <v>0</v>
      </c>
      <c r="P21" s="24">
        <v>0</v>
      </c>
      <c r="Q21" s="44">
        <v>0</v>
      </c>
      <c r="R21" s="24"/>
      <c r="S21" s="24"/>
      <c r="T21" s="44"/>
      <c r="U21" s="24"/>
      <c r="V21" s="24"/>
      <c r="W21" s="24"/>
    </row>
    <row r="22" spans="1:23" ht="15.75">
      <c r="A22" s="35" t="s">
        <v>48</v>
      </c>
      <c r="B22" s="1063">
        <v>182</v>
      </c>
      <c r="C22" s="1064"/>
      <c r="D22" s="1065">
        <v>0</v>
      </c>
      <c r="E22" s="1065">
        <v>0</v>
      </c>
      <c r="F22" s="1066">
        <v>0</v>
      </c>
      <c r="G22" s="1066">
        <v>0</v>
      </c>
      <c r="H22" s="1066">
        <v>0</v>
      </c>
      <c r="I22" s="1066">
        <v>0</v>
      </c>
      <c r="J22" s="1063">
        <v>0</v>
      </c>
      <c r="K22" s="1063">
        <v>0</v>
      </c>
      <c r="L22" s="36">
        <v>0</v>
      </c>
      <c r="M22" s="36">
        <v>0</v>
      </c>
      <c r="N22" s="36">
        <v>0</v>
      </c>
      <c r="O22" s="36">
        <v>0</v>
      </c>
      <c r="P22" s="36">
        <v>0</v>
      </c>
      <c r="Q22" s="48">
        <v>0</v>
      </c>
      <c r="R22" s="36"/>
      <c r="S22" s="36"/>
      <c r="T22" s="48"/>
      <c r="U22" s="36"/>
      <c r="V22" s="36"/>
      <c r="W22" s="36"/>
    </row>
    <row r="23" spans="1:23" ht="15.75">
      <c r="A23" s="53" t="str">
        <f>RIGHT(A1,7)</f>
        <v>2025</v>
      </c>
      <c r="B23" s="1067">
        <v>365</v>
      </c>
      <c r="C23" s="1068">
        <v>7.4179826740961801</v>
      </c>
      <c r="D23" s="1069">
        <v>2509281.0000200002</v>
      </c>
      <c r="E23" s="1069">
        <v>6.8747424800000001</v>
      </c>
      <c r="F23" s="1070">
        <v>1756496.70001</v>
      </c>
      <c r="G23" s="1070">
        <v>236789.00008</v>
      </c>
      <c r="H23" s="1070">
        <v>0.40399000000000002</v>
      </c>
      <c r="I23" s="1070">
        <v>1.1000000000000001E-3</v>
      </c>
      <c r="J23" s="1067">
        <v>0.28277999999999998</v>
      </c>
      <c r="K23" s="1067">
        <v>0.23707178007999999</v>
      </c>
      <c r="L23" s="54">
        <v>0</v>
      </c>
      <c r="M23" s="54">
        <v>1</v>
      </c>
      <c r="N23" s="54">
        <v>0</v>
      </c>
      <c r="O23" s="54">
        <v>0</v>
      </c>
      <c r="P23" s="54">
        <v>0</v>
      </c>
      <c r="Q23" s="55">
        <v>0</v>
      </c>
      <c r="R23" s="54"/>
      <c r="S23" s="54"/>
      <c r="T23" s="55"/>
      <c r="U23" s="54"/>
      <c r="V23" s="54"/>
      <c r="W23" s="54"/>
    </row>
    <row r="24" spans="1:23" ht="15.75">
      <c r="A24" s="1159" t="s">
        <v>53</v>
      </c>
      <c r="B24" s="1159"/>
      <c r="C24" s="1159"/>
      <c r="D24" s="1159"/>
      <c r="E24" s="1159"/>
      <c r="F24" s="1159"/>
      <c r="G24" s="1159"/>
      <c r="H24" s="1159"/>
      <c r="I24" s="1159"/>
      <c r="J24" s="1159"/>
      <c r="K24" s="178"/>
      <c r="L24" s="59"/>
      <c r="M24" s="59"/>
      <c r="N24" s="59"/>
      <c r="O24" s="59"/>
      <c r="P24" s="59"/>
      <c r="Q24" s="59"/>
      <c r="R24" s="59"/>
      <c r="S24" s="59"/>
      <c r="T24" s="59"/>
      <c r="U24" s="59"/>
      <c r="V24" s="59"/>
      <c r="W24" s="59"/>
    </row>
    <row r="25" spans="1:23" ht="15.75">
      <c r="A25" s="61" t="str">
        <f>IF(AND(X24=0,Y24=0),"OK","ERROR")</f>
        <v>OK</v>
      </c>
      <c r="B25" s="61"/>
      <c r="C25" s="61"/>
      <c r="D25" s="59"/>
      <c r="E25" s="59"/>
      <c r="F25" s="100"/>
      <c r="G25" s="101"/>
      <c r="H25" s="102"/>
      <c r="I25" s="59"/>
      <c r="J25" s="59"/>
      <c r="K25" s="59"/>
      <c r="L25" s="59"/>
      <c r="M25" s="59"/>
      <c r="N25" s="59"/>
      <c r="O25" s="59"/>
      <c r="P25" s="59"/>
      <c r="Q25" s="59"/>
      <c r="R25" s="59"/>
      <c r="S25" s="59"/>
      <c r="T25" s="59"/>
      <c r="U25" s="59"/>
      <c r="V25" s="59"/>
      <c r="W25" s="59"/>
    </row>
  </sheetData>
  <sheetProtection algorithmName="SHA-512" hashValue="FgZlfC9WNRaTeUmPJ+LYRWP+FDW6UGxRCr7DDGT9WRklkUdExJJRF5M2eiRPEOxM3pZzwl6EcGY8Nh7ek2ocew==" saltValue="4A88nxtEnGpO0ZbBKCBfUA==" spinCount="100000" sheet="1" objects="1" scenarios="1"/>
  <mergeCells count="11">
    <mergeCell ref="W3:W4"/>
    <mergeCell ref="A3:B3"/>
    <mergeCell ref="C3:G3"/>
    <mergeCell ref="H3:J3"/>
    <mergeCell ref="L3:N3"/>
    <mergeCell ref="O3:Q3"/>
    <mergeCell ref="A24:J24"/>
    <mergeCell ref="C1:G1"/>
    <mergeCell ref="S3:T3"/>
    <mergeCell ref="U3:U4"/>
    <mergeCell ref="V3:V4"/>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rgb="FF7030A0"/>
  </sheetPr>
  <dimension ref="A1:V25"/>
  <sheetViews>
    <sheetView workbookViewId="0">
      <selection activeCell="E2" sqref="E2"/>
    </sheetView>
  </sheetViews>
  <sheetFormatPr defaultColWidth="8.85546875" defaultRowHeight="15"/>
  <cols>
    <col min="3" max="3" width="11.7109375" bestFit="1" customWidth="1"/>
  </cols>
  <sheetData>
    <row r="1" spans="1:22" ht="15.75">
      <c r="A1" s="491" t="str">
        <f>interFY_transition!D20</f>
        <v>2026-27</v>
      </c>
      <c r="B1" t="s">
        <v>862</v>
      </c>
    </row>
    <row r="2" spans="1:22">
      <c r="C2" t="s">
        <v>138</v>
      </c>
      <c r="E2" t="str">
        <f>DPRavg!F2</f>
        <v>July'26</v>
      </c>
      <c r="F2">
        <f>VLOOKUP(E2,Dropdowns!C16:D28,2,FALSE)</f>
        <v>4</v>
      </c>
    </row>
    <row r="3" spans="1:22">
      <c r="T3">
        <f>Dropdowns!L293</f>
        <v>0</v>
      </c>
      <c r="U3" s="247" t="s">
        <v>1053</v>
      </c>
    </row>
    <row r="5" spans="1:22">
      <c r="C5" s="144" t="s">
        <v>60</v>
      </c>
      <c r="D5">
        <f>SUMIF('Processed_Reconciled Prod'!D$159:W$159,1,'Processed_Reconciled Prod'!D122:W122)+T5</f>
        <v>7.3354496803845279</v>
      </c>
      <c r="S5">
        <v>7.4</v>
      </c>
      <c r="T5">
        <f>S5*$T$3</f>
        <v>0</v>
      </c>
      <c r="V5" t="s">
        <v>1054</v>
      </c>
    </row>
    <row r="6" spans="1:22">
      <c r="C6" s="144" t="s">
        <v>61</v>
      </c>
      <c r="D6">
        <f>SUMIF('Processed_Reconciled Prod'!D$159:W$159,1,'Processed_Reconciled Prod'!D123:W123)+T6</f>
        <v>7.4399999997177275</v>
      </c>
      <c r="S6">
        <v>7.44</v>
      </c>
      <c r="T6">
        <f t="shared" ref="T6:T17" si="0">S6*$T$3</f>
        <v>0</v>
      </c>
      <c r="V6" t="s">
        <v>1055</v>
      </c>
    </row>
    <row r="7" spans="1:22">
      <c r="C7" s="144" t="s">
        <v>62</v>
      </c>
      <c r="D7">
        <f>SUMIF('Processed_Reconciled Prod'!D$159:W$159,1,'Processed_Reconciled Prod'!D124:W124)+T7</f>
        <v>7.7167208206892317</v>
      </c>
      <c r="S7">
        <v>7.6</v>
      </c>
      <c r="T7">
        <f t="shared" si="0"/>
        <v>0</v>
      </c>
    </row>
    <row r="8" spans="1:22">
      <c r="C8" s="144" t="s">
        <v>57</v>
      </c>
      <c r="D8">
        <f>SUMIF('Processed_Reconciled Prod'!D$159:W$159,1,'Processed_Reconciled Prod'!D125:W125)+T8</f>
        <v>7.4199944786370349</v>
      </c>
      <c r="S8">
        <v>7.42</v>
      </c>
      <c r="T8">
        <f t="shared" si="0"/>
        <v>0</v>
      </c>
    </row>
    <row r="9" spans="1:22">
      <c r="C9" s="144" t="s">
        <v>58</v>
      </c>
      <c r="D9">
        <f>SUMIF('Processed_Reconciled Prod'!D$159:W$159,1,'Processed_Reconciled Prod'!D126:W126)+T9</f>
        <v>6.6454186863528095</v>
      </c>
      <c r="E9" t="s">
        <v>1392</v>
      </c>
      <c r="O9" t="s">
        <v>1393</v>
      </c>
      <c r="S9">
        <v>6.65</v>
      </c>
      <c r="T9">
        <f t="shared" si="0"/>
        <v>0</v>
      </c>
    </row>
    <row r="10" spans="1:22">
      <c r="C10" s="144" t="s">
        <v>59</v>
      </c>
      <c r="D10">
        <f>SUMIF('Processed_Reconciled Prod'!D$159:W$159,1,'Processed_Reconciled Prod'!D127:W127)+T10</f>
        <v>6.7800969688124546</v>
      </c>
      <c r="S10">
        <v>6.78</v>
      </c>
      <c r="T10">
        <f t="shared" si="0"/>
        <v>0</v>
      </c>
    </row>
    <row r="11" spans="1:22">
      <c r="C11" s="144" t="s">
        <v>63</v>
      </c>
      <c r="D11">
        <f>SUMIF('Processed_Reconciled Prod'!D$159:W$159,1,'Processed_Reconciled Prod'!D128:W128)+T11</f>
        <v>7.5339986065487512</v>
      </c>
      <c r="S11">
        <v>7.4</v>
      </c>
      <c r="T11">
        <f t="shared" si="0"/>
        <v>0</v>
      </c>
    </row>
    <row r="12" spans="1:22">
      <c r="C12" s="144" t="s">
        <v>64</v>
      </c>
      <c r="D12">
        <f>SUMIF('Processed_Reconciled Prod'!D$159:W$159,1,'Processed_Reconciled Prod'!D129:W129)+T12</f>
        <v>6.2400001107186807</v>
      </c>
      <c r="S12">
        <v>6.24</v>
      </c>
      <c r="T12">
        <f t="shared" si="0"/>
        <v>0</v>
      </c>
    </row>
    <row r="13" spans="1:22">
      <c r="C13" s="144" t="s">
        <v>65</v>
      </c>
      <c r="D13">
        <f>SUMIF('Processed_Reconciled Prod'!D$159:W$159,1,'Processed_Reconciled Prod'!D130:W130)+T13</f>
        <v>6.5700005001854906</v>
      </c>
      <c r="S13">
        <v>6.57</v>
      </c>
      <c r="T13">
        <f t="shared" si="0"/>
        <v>0</v>
      </c>
    </row>
    <row r="14" spans="1:22">
      <c r="C14" s="144" t="s">
        <v>66</v>
      </c>
      <c r="D14">
        <f>SUMIF('Processed_Reconciled Prod'!D$159:W$159,1,'Processed_Reconciled Prod'!D131:W131)+T14</f>
        <v>7.6199999987345928</v>
      </c>
      <c r="F14" t="s">
        <v>307</v>
      </c>
      <c r="S14">
        <v>7.62</v>
      </c>
      <c r="T14">
        <f t="shared" si="0"/>
        <v>0</v>
      </c>
    </row>
    <row r="15" spans="1:22">
      <c r="C15" s="144" t="s">
        <v>67</v>
      </c>
      <c r="D15">
        <f>SUMIF('Processed_Reconciled Prod'!D$159:W$159,1,'Processed_Reconciled Prod'!D132:W132)+T15</f>
        <v>7.3000000010104005</v>
      </c>
      <c r="S15">
        <v>7.3</v>
      </c>
      <c r="T15">
        <f t="shared" si="0"/>
        <v>0</v>
      </c>
    </row>
    <row r="16" spans="1:22">
      <c r="C16" s="144" t="s">
        <v>68</v>
      </c>
      <c r="D16">
        <f>SUMIF('Processed_Reconciled Prod'!D$159:W$159,1,'Processed_Reconciled Prod'!D133:W133)+T16</f>
        <v>6.8000000659402993</v>
      </c>
      <c r="S16">
        <v>6.8</v>
      </c>
      <c r="T16">
        <f t="shared" si="0"/>
        <v>0</v>
      </c>
    </row>
    <row r="17" spans="2:20">
      <c r="C17" s="144" t="s">
        <v>69</v>
      </c>
      <c r="D17">
        <f>SUMIF('Processed_Reconciled Prod'!D$159:W$159,1,'Processed_Reconciled Prod'!D134:W134)+T17</f>
        <v>0</v>
      </c>
      <c r="S17">
        <v>8.6</v>
      </c>
      <c r="T17">
        <f t="shared" si="0"/>
        <v>0</v>
      </c>
    </row>
    <row r="18" spans="2:20">
      <c r="C18" s="144" t="s">
        <v>70</v>
      </c>
      <c r="D18">
        <f>SUMIF('Processed_Reconciled Prod'!D$159:W$159,1,'Processed_Reconciled Prod'!D135:W135)+T18</f>
        <v>0</v>
      </c>
    </row>
    <row r="22" spans="2:20">
      <c r="B22" t="s">
        <v>139</v>
      </c>
    </row>
    <row r="24" spans="2:20" ht="15.75">
      <c r="E24" s="242" t="s">
        <v>57</v>
      </c>
      <c r="F24" s="242" t="s">
        <v>58</v>
      </c>
      <c r="G24" s="242" t="s">
        <v>63</v>
      </c>
      <c r="H24" s="242" t="s">
        <v>59</v>
      </c>
      <c r="I24" s="242" t="s">
        <v>62</v>
      </c>
      <c r="J24" s="242" t="s">
        <v>118</v>
      </c>
      <c r="K24" s="242" t="s">
        <v>61</v>
      </c>
      <c r="L24" s="242" t="s">
        <v>67</v>
      </c>
      <c r="M24" s="242" t="s">
        <v>68</v>
      </c>
      <c r="N24" s="242" t="s">
        <v>66</v>
      </c>
      <c r="O24" s="242" t="s">
        <v>64</v>
      </c>
      <c r="P24" s="242" t="s">
        <v>65</v>
      </c>
      <c r="Q24" s="242" t="s">
        <v>69</v>
      </c>
      <c r="R24" s="242" t="s">
        <v>70</v>
      </c>
    </row>
    <row r="25" spans="2:20">
      <c r="E25">
        <f>D8</f>
        <v>7.4199944786370349</v>
      </c>
      <c r="F25">
        <f>D9</f>
        <v>6.6454186863528095</v>
      </c>
      <c r="G25">
        <f>D11</f>
        <v>7.5339986065487512</v>
      </c>
      <c r="H25">
        <f>D10</f>
        <v>6.7800969688124546</v>
      </c>
      <c r="I25">
        <f>D7</f>
        <v>7.7167208206892317</v>
      </c>
      <c r="J25">
        <f>D5</f>
        <v>7.3354496803845279</v>
      </c>
      <c r="K25">
        <f>D6</f>
        <v>7.4399999997177275</v>
      </c>
      <c r="L25">
        <f>D15</f>
        <v>7.3000000010104005</v>
      </c>
      <c r="M25">
        <f>D16</f>
        <v>6.8000000659402993</v>
      </c>
      <c r="N25">
        <f>D14</f>
        <v>7.6199999987345928</v>
      </c>
      <c r="O25">
        <f>D12</f>
        <v>6.2400001107186807</v>
      </c>
      <c r="P25">
        <f>D13</f>
        <v>6.5700005001854906</v>
      </c>
      <c r="Q25">
        <f>D17</f>
        <v>0</v>
      </c>
      <c r="R25">
        <f>D18</f>
        <v>0</v>
      </c>
    </row>
  </sheetData>
  <sheetProtection algorithmName="SHA-512" hashValue="OalFVo1AyZzACQs/i0XhRfIBZ2xrLp3v+hhbwEseSIgcZIUm7lHiK0uC/HnEREckgotkvpJqCVSSA4i+kanjfA==" saltValue="hMfVIaCTPjvlRt8nYJwE1g==" spinCount="100000" sheet="1" objects="1" scenarios="1"/>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7030A0"/>
  </sheetPr>
  <dimension ref="A1:AG68"/>
  <sheetViews>
    <sheetView zoomScaleNormal="100" workbookViewId="0">
      <selection activeCell="F2" sqref="F2"/>
    </sheetView>
  </sheetViews>
  <sheetFormatPr defaultColWidth="8.85546875" defaultRowHeight="15"/>
  <cols>
    <col min="1" max="1" width="10.140625" customWidth="1"/>
    <col min="3" max="3" width="18.7109375" customWidth="1"/>
    <col min="4" max="15" width="11.42578125" bestFit="1" customWidth="1"/>
    <col min="16" max="16" width="18" customWidth="1"/>
    <col min="17" max="17" width="11.42578125" bestFit="1" customWidth="1"/>
  </cols>
  <sheetData>
    <row r="1" spans="1:33">
      <c r="A1" s="246">
        <f>Dashboard!D3</f>
        <v>46265</v>
      </c>
    </row>
    <row r="2" spans="1:33">
      <c r="C2" t="s">
        <v>857</v>
      </c>
      <c r="F2" s="184" t="s">
        <v>2153</v>
      </c>
      <c r="P2" s="247" t="s">
        <v>2121</v>
      </c>
      <c r="Q2" s="247"/>
      <c r="R2" s="247"/>
      <c r="S2" s="247"/>
      <c r="T2" s="247"/>
      <c r="U2" s="247"/>
      <c r="V2" s="247"/>
      <c r="W2" s="247"/>
      <c r="X2" s="247"/>
      <c r="Y2" s="247"/>
    </row>
    <row r="3" spans="1:33">
      <c r="A3" s="492" t="str">
        <f>interFY_transition!D20</f>
        <v>2026-27</v>
      </c>
      <c r="B3" t="s">
        <v>862</v>
      </c>
      <c r="P3" s="929">
        <v>8.3448844221105496</v>
      </c>
    </row>
    <row r="4" spans="1:33">
      <c r="A4">
        <f>interFY_transition!D21</f>
        <v>2026</v>
      </c>
      <c r="D4" s="248">
        <f>CF_lat!E25</f>
        <v>7.4199944786370349</v>
      </c>
      <c r="E4" s="248">
        <f>CF_lat!F25</f>
        <v>6.6454186863528095</v>
      </c>
      <c r="F4" s="248">
        <f>CF_lat!G25</f>
        <v>7.5339986065487512</v>
      </c>
      <c r="G4" s="248">
        <f>CF_lat!H25</f>
        <v>6.7800969688124546</v>
      </c>
      <c r="H4" s="248">
        <f>CF_lat!I25</f>
        <v>7.7167208206892317</v>
      </c>
      <c r="I4" s="248">
        <f>CF_lat!J25</f>
        <v>7.3354496803845279</v>
      </c>
      <c r="J4" s="248">
        <f>CF_lat!K25</f>
        <v>7.4399999997177275</v>
      </c>
      <c r="K4" s="248">
        <f>CF_lat!L25</f>
        <v>7.3000000010104005</v>
      </c>
      <c r="L4" s="248">
        <f>CF_lat!M25</f>
        <v>6.8000000659402993</v>
      </c>
      <c r="M4" s="248">
        <f>CF_lat!N25</f>
        <v>7.6199999987345928</v>
      </c>
      <c r="N4" s="248">
        <f>CF_lat!O25</f>
        <v>6.2400001107186807</v>
      </c>
      <c r="O4" s="248">
        <f>CF_lat!P25</f>
        <v>6.5700005001854906</v>
      </c>
      <c r="P4" s="248">
        <f>CF_lat!Q25</f>
        <v>0</v>
      </c>
      <c r="Q4" s="248">
        <f>CF_lat!R25</f>
        <v>0</v>
      </c>
    </row>
    <row r="5" spans="1:33" ht="15.75">
      <c r="A5">
        <f>interFY_transition!D22</f>
        <v>2027</v>
      </c>
      <c r="D5" s="1166" t="s">
        <v>104</v>
      </c>
      <c r="E5" s="1166"/>
      <c r="F5" s="1166"/>
      <c r="G5" s="1166"/>
      <c r="H5" s="1166"/>
      <c r="I5" s="1166"/>
      <c r="J5" s="1166"/>
      <c r="K5" s="1166"/>
      <c r="L5" s="1166"/>
      <c r="M5" s="1166"/>
      <c r="N5" s="1166"/>
      <c r="O5" s="1166"/>
      <c r="P5" s="1166"/>
      <c r="Q5" s="1166"/>
      <c r="R5" s="1166"/>
      <c r="S5" s="1167" t="s">
        <v>105</v>
      </c>
      <c r="T5" s="1167"/>
      <c r="U5" s="1167"/>
      <c r="V5" s="1167"/>
      <c r="W5" s="1167"/>
      <c r="X5" s="1167"/>
      <c r="Y5" s="1167"/>
      <c r="Z5" s="1167"/>
      <c r="AA5" s="1167"/>
      <c r="AB5" s="1167"/>
      <c r="AC5" s="1167"/>
      <c r="AD5" s="1167"/>
      <c r="AE5" s="1167"/>
      <c r="AF5" s="1167"/>
      <c r="AG5" s="1167"/>
    </row>
    <row r="6" spans="1:33" ht="15.75">
      <c r="C6" s="768">
        <v>2.9250000000000002E-2</v>
      </c>
      <c r="D6" s="240">
        <v>2.3099999999999999E-2</v>
      </c>
      <c r="E6" s="241">
        <v>0.27</v>
      </c>
      <c r="F6" s="241">
        <v>0.7</v>
      </c>
      <c r="G6" s="241">
        <v>0.5</v>
      </c>
      <c r="H6" s="241">
        <v>1</v>
      </c>
      <c r="I6" s="241">
        <v>0.2</v>
      </c>
      <c r="J6" s="241">
        <v>0.26</v>
      </c>
      <c r="K6" s="241">
        <v>0.25</v>
      </c>
      <c r="L6" s="240">
        <v>0.24124999999999999</v>
      </c>
      <c r="M6" s="241">
        <v>0.04</v>
      </c>
      <c r="N6" s="241">
        <v>0.11</v>
      </c>
      <c r="O6" s="241">
        <v>0.4</v>
      </c>
      <c r="P6" s="241">
        <v>0.45</v>
      </c>
      <c r="Q6" s="241">
        <v>0.17</v>
      </c>
      <c r="R6" s="242"/>
      <c r="S6" s="243">
        <v>2.3099999999999999E-2</v>
      </c>
      <c r="T6" s="244">
        <v>0.27</v>
      </c>
      <c r="U6" s="244">
        <v>0.7</v>
      </c>
      <c r="V6" s="244">
        <v>0.5</v>
      </c>
      <c r="W6" s="244">
        <v>1</v>
      </c>
      <c r="X6" s="244">
        <v>0.2</v>
      </c>
      <c r="Y6" s="244">
        <v>0.26</v>
      </c>
      <c r="Z6" s="244">
        <v>0.25</v>
      </c>
      <c r="AA6" s="243">
        <v>0.24124999999999999</v>
      </c>
      <c r="AB6" s="244">
        <v>0.04</v>
      </c>
      <c r="AC6" s="244">
        <v>0.11</v>
      </c>
      <c r="AD6" s="244">
        <v>0.4</v>
      </c>
      <c r="AE6" s="244">
        <v>0.45</v>
      </c>
      <c r="AF6" s="244">
        <v>0.17</v>
      </c>
      <c r="AG6" s="245"/>
    </row>
    <row r="7" spans="1:33" ht="15.75">
      <c r="D7" s="242" t="s">
        <v>57</v>
      </c>
      <c r="E7" s="242" t="s">
        <v>58</v>
      </c>
      <c r="F7" s="242" t="s">
        <v>63</v>
      </c>
      <c r="G7" s="242" t="s">
        <v>59</v>
      </c>
      <c r="H7" s="242" t="s">
        <v>62</v>
      </c>
      <c r="I7" s="242" t="s">
        <v>118</v>
      </c>
      <c r="J7" s="242" t="s">
        <v>61</v>
      </c>
      <c r="K7" s="242" t="s">
        <v>67</v>
      </c>
      <c r="L7" s="242" t="s">
        <v>68</v>
      </c>
      <c r="M7" s="242" t="s">
        <v>66</v>
      </c>
      <c r="N7" s="242" t="s">
        <v>64</v>
      </c>
      <c r="O7" s="242" t="s">
        <v>65</v>
      </c>
      <c r="P7" s="242" t="s">
        <v>69</v>
      </c>
      <c r="Q7" s="242" t="s">
        <v>70</v>
      </c>
      <c r="R7" s="242" t="s">
        <v>92</v>
      </c>
      <c r="S7" s="245" t="s">
        <v>57</v>
      </c>
      <c r="T7" s="245" t="s">
        <v>58</v>
      </c>
      <c r="U7" s="245" t="s">
        <v>63</v>
      </c>
      <c r="V7" s="245" t="s">
        <v>59</v>
      </c>
      <c r="W7" s="245" t="s">
        <v>62</v>
      </c>
      <c r="X7" s="245" t="s">
        <v>118</v>
      </c>
      <c r="Y7" s="245" t="s">
        <v>61</v>
      </c>
      <c r="Z7" s="245" t="s">
        <v>67</v>
      </c>
      <c r="AA7" s="245" t="s">
        <v>68</v>
      </c>
      <c r="AB7" s="245" t="s">
        <v>66</v>
      </c>
      <c r="AC7" s="245" t="s">
        <v>64</v>
      </c>
      <c r="AD7" s="245" t="s">
        <v>65</v>
      </c>
      <c r="AE7" s="245" t="s">
        <v>69</v>
      </c>
      <c r="AF7" s="245" t="s">
        <v>70</v>
      </c>
      <c r="AG7" s="245" t="s">
        <v>92</v>
      </c>
    </row>
    <row r="8" spans="1:33" ht="15.75">
      <c r="D8" s="242" t="s">
        <v>119</v>
      </c>
      <c r="E8" s="242" t="s">
        <v>120</v>
      </c>
      <c r="F8" s="242" t="s">
        <v>121</v>
      </c>
      <c r="G8" s="242" t="s">
        <v>121</v>
      </c>
      <c r="H8" s="242" t="s">
        <v>122</v>
      </c>
      <c r="I8" s="242" t="s">
        <v>122</v>
      </c>
      <c r="J8" s="242" t="s">
        <v>122</v>
      </c>
      <c r="K8" s="242" t="s">
        <v>123</v>
      </c>
      <c r="L8" s="242" t="s">
        <v>123</v>
      </c>
      <c r="M8" s="242" t="s">
        <v>124</v>
      </c>
      <c r="N8" s="242" t="s">
        <v>125</v>
      </c>
      <c r="O8" s="242" t="s">
        <v>125</v>
      </c>
      <c r="P8" s="242" t="s">
        <v>126</v>
      </c>
      <c r="Q8" s="242" t="s">
        <v>127</v>
      </c>
      <c r="R8" s="242"/>
      <c r="S8" s="245" t="s">
        <v>119</v>
      </c>
      <c r="T8" s="245" t="s">
        <v>120</v>
      </c>
      <c r="U8" s="245" t="s">
        <v>121</v>
      </c>
      <c r="V8" s="245" t="s">
        <v>121</v>
      </c>
      <c r="W8" s="245" t="s">
        <v>122</v>
      </c>
      <c r="X8" s="245" t="s">
        <v>122</v>
      </c>
      <c r="Y8" s="245" t="s">
        <v>122</v>
      </c>
      <c r="Z8" s="245" t="s">
        <v>123</v>
      </c>
      <c r="AA8" s="245" t="s">
        <v>123</v>
      </c>
      <c r="AB8" s="245" t="s">
        <v>124</v>
      </c>
      <c r="AC8" s="245" t="s">
        <v>125</v>
      </c>
      <c r="AD8" s="245" t="s">
        <v>125</v>
      </c>
      <c r="AE8" s="245" t="s">
        <v>126</v>
      </c>
      <c r="AF8" s="245" t="s">
        <v>127</v>
      </c>
      <c r="AG8" s="245"/>
    </row>
    <row r="9" spans="1:33">
      <c r="A9" t="str">
        <f>interFY_transition!D26</f>
        <v>Apr'26</v>
      </c>
      <c r="B9">
        <f>$A$4*100+4</f>
        <v>202604</v>
      </c>
      <c r="C9" t="s">
        <v>148</v>
      </c>
      <c r="D9">
        <f>SUMIF(DPR!$AH$9:$AH$1634,DPRavg!$B9,DPR!D$9:D$1634)</f>
        <v>9657501</v>
      </c>
      <c r="E9">
        <f>SUMIF(DPR!$AH$9:$AH$1634,DPRavg!$B9,DPR!E$9:E$1634)</f>
        <v>1045782</v>
      </c>
      <c r="F9">
        <f>SUMIF(DPR!$AH$9:$AH$1634,DPRavg!$B9,DPR!F$9:F$1634)</f>
        <v>548115.34000000008</v>
      </c>
      <c r="G9">
        <f>SUMIF(DPR!$AH$9:$AH$1634,DPRavg!$B9,DPR!G$9:G$1634)</f>
        <v>134477</v>
      </c>
      <c r="H9">
        <f>SUMIF(DPR!$AH$9:$AH$1634,DPRavg!$B9,DPR!H$9:H$1634)</f>
        <v>59064</v>
      </c>
      <c r="I9">
        <f>SUMIF(DPR!$AH$9:$AH$1634,DPRavg!$B9,DPR!I$9:I$1634)</f>
        <v>5676119</v>
      </c>
      <c r="J9">
        <f>SUMIF(DPR!$AH$9:$AH$1634,DPRavg!$B9,DPR!J$9:J$1634)</f>
        <v>4671473</v>
      </c>
      <c r="K9">
        <f>SUMIF(DPR!$AH$9:$AH$1634,DPRavg!$B9,DPR!K$9:K$1634)</f>
        <v>1611928.5800000005</v>
      </c>
      <c r="L9">
        <f>SUMIF(DPR!$AH$9:$AH$1634,DPRavg!$B9,DPR!L$9:L$1634)</f>
        <v>394223</v>
      </c>
      <c r="M9">
        <f>SUMIF(DPR!$AH$9:$AH$1634,DPRavg!$B9,DPR!M$9:M$1634)</f>
        <v>7223672</v>
      </c>
      <c r="N9">
        <f>SUMIF(DPR!$AH$9:$AH$1634,DPRavg!$B9,DPR!N$9:N$1634)</f>
        <v>210381</v>
      </c>
      <c r="O9">
        <f>SUMIF(DPR!$AH$9:$AH$1634,DPRavg!$B9,DPR!O$9:O$1634)</f>
        <v>128111</v>
      </c>
      <c r="P9">
        <f>SUMIF(DPR!$AH$9:$AH$1634,DPRavg!$B9,DPR!P$9:P$1634)</f>
        <v>0</v>
      </c>
      <c r="Q9">
        <f>SUMIF(DPR!$AH$9:$AH$1634,DPRavg!$B9,DPR!Q$9:Q$1634)</f>
        <v>0</v>
      </c>
      <c r="R9">
        <f>SUMIF(DPR!$AH$9:$AH$1634,DPRavg!$B9,DPR!R$9:R$1634)</f>
        <v>4286054.6960000005</v>
      </c>
      <c r="S9">
        <f>SUMIF(DPR!$AH$9:$AH$1634,DPRavg!$B9,DPR!S$9:S$1634)</f>
        <v>433.02506350046866</v>
      </c>
      <c r="T9">
        <f>SUMIF(DPR!$AH$9:$AH$1634,DPRavg!$B9,DPR!T$9:T$1634)</f>
        <v>13.605039999999999</v>
      </c>
      <c r="U9">
        <f>SUMIF(DPR!$AH$9:$AH$1634,DPRavg!$B9,DPR!U$9:U$1634)</f>
        <v>8.6315779264725445E-2</v>
      </c>
      <c r="V9">
        <f>SUMIF(DPR!$AH$9:$AH$1634,DPRavg!$B9,DPR!V$9:V$1634)</f>
        <v>0.84111171200000046</v>
      </c>
      <c r="W9">
        <f>SUMIF(DPR!$AH$9:$AH$1634,DPRavg!$B9,DPR!W$9:W$1634)</f>
        <v>8.3634600000000017</v>
      </c>
      <c r="X9">
        <f>SUMIF(DPR!$AH$9:$AH$1634,DPRavg!$B9,DPR!X$9:X$1634)</f>
        <v>291.05849463537845</v>
      </c>
      <c r="Y9">
        <f>SUMIF(DPR!$AH$9:$AH$1634,DPRavg!$B9,DPR!Y$9:Y$1634)</f>
        <v>299.19</v>
      </c>
      <c r="Z9">
        <f>SUMIF(DPR!$AH$9:$AH$1634,DPRavg!$B9,DPR!Z$9:Z$1634)</f>
        <v>0</v>
      </c>
      <c r="AA9">
        <f>SUMIF(DPR!$AH$9:$AH$1634,DPRavg!$B9,DPR!AA$9:AA$1634)</f>
        <v>0</v>
      </c>
      <c r="AB9">
        <f>SUMIF(DPR!$AH$9:$AH$1634,DPRavg!$B9,DPR!AB$9:AB$1634)</f>
        <v>0</v>
      </c>
      <c r="AC9">
        <f>SUMIF(DPR!$AH$9:$AH$1634,DPRavg!$B9,DPR!AC$9:AC$1634)</f>
        <v>6.0813202434113824</v>
      </c>
      <c r="AD9">
        <f>SUMIF(DPR!$AH$9:$AH$1634,DPRavg!$B9,DPR!AD$9:AD$1634)</f>
        <v>2.693694127374719</v>
      </c>
      <c r="AE9">
        <f>SUMIF(DPR!$AH$9:$AH$1634,DPRavg!$B9,DPR!AE$9:AE$1634)</f>
        <v>0</v>
      </c>
      <c r="AF9">
        <f>SUMIF(DPR!$AH$9:$AH$1634,DPRavg!$B9,DPR!AF$9:AF$1634)</f>
        <v>395.63518874576306</v>
      </c>
      <c r="AG9">
        <f>SUMIF(DPR!$AH$9:$AH$1634,DPRavg!$B9,DPR!AG$9:AG$1634)</f>
        <v>230.12886365496931</v>
      </c>
    </row>
    <row r="10" spans="1:33">
      <c r="C10" t="s">
        <v>136</v>
      </c>
      <c r="D10">
        <f>COUNTIF(DPR!$AH$9:$AH$1634,DPRavg!$B9)</f>
        <v>30</v>
      </c>
      <c r="E10">
        <f>COUNTIF(DPR!$AH$9:$AH$1634,DPRavg!$B9)</f>
        <v>30</v>
      </c>
      <c r="F10">
        <f>COUNTIF(DPR!$AH$9:$AH$1634,DPRavg!$B9)</f>
        <v>30</v>
      </c>
      <c r="G10">
        <f>COUNTIF(DPR!$AH$9:$AH$1634,DPRavg!$B9)</f>
        <v>30</v>
      </c>
      <c r="H10">
        <f>COUNTIF(DPR!$AH$9:$AH$1634,DPRavg!$B9)</f>
        <v>30</v>
      </c>
      <c r="I10">
        <f>COUNTIF(DPR!$AH$9:$AH$1634,DPRavg!$B9)</f>
        <v>30</v>
      </c>
      <c r="J10">
        <f>COUNTIF(DPR!$AH$9:$AH$1634,DPRavg!$B9)</f>
        <v>30</v>
      </c>
      <c r="K10">
        <f>COUNTIF(DPR!$AH$9:$AH$1634,DPRavg!$B9)</f>
        <v>30</v>
      </c>
      <c r="L10">
        <f>COUNTIF(DPR!$AH$9:$AH$1634,DPRavg!$B9)</f>
        <v>30</v>
      </c>
      <c r="M10">
        <f>COUNTIF(DPR!$AH$9:$AH$1634,DPRavg!$B9)</f>
        <v>30</v>
      </c>
      <c r="N10">
        <f>COUNTIF(DPR!$AH$9:$AH$1634,DPRavg!$B9)</f>
        <v>30</v>
      </c>
      <c r="O10">
        <f>COUNTIF(DPR!$AH$9:$AH$1634,DPRavg!$B9)</f>
        <v>30</v>
      </c>
      <c r="P10">
        <f>COUNTIF(DPR!$AH$9:$AH$1634,DPRavg!$B9)</f>
        <v>30</v>
      </c>
      <c r="Q10">
        <f>COUNTIF(DPR!$AH$9:$AH$1634,DPRavg!$B9)</f>
        <v>30</v>
      </c>
      <c r="R10">
        <f>COUNTIF(DPR!$AH$9:$AH$1634,DPRavg!$B9)</f>
        <v>30</v>
      </c>
      <c r="S10">
        <f>COUNTIF(DPR!$AH$9:$AH$1634,DPRavg!$B9)</f>
        <v>30</v>
      </c>
      <c r="T10">
        <f>COUNTIF(DPR!$AH$9:$AH$1634,DPRavg!$B9)</f>
        <v>30</v>
      </c>
      <c r="U10">
        <f>COUNTIF(DPR!$AH$9:$AH$1634,DPRavg!$B9)</f>
        <v>30</v>
      </c>
      <c r="V10">
        <f>COUNTIF(DPR!$AH$9:$AH$1634,DPRavg!$B9)</f>
        <v>30</v>
      </c>
      <c r="W10">
        <f>COUNTIF(DPR!$AH$9:$AH$1634,DPRavg!$B9)</f>
        <v>30</v>
      </c>
      <c r="X10">
        <f>COUNTIF(DPR!$AH$9:$AH$1634,DPRavg!$B9)</f>
        <v>30</v>
      </c>
      <c r="Y10">
        <f>COUNTIF(DPR!$AH$9:$AH$1634,DPRavg!$B9)</f>
        <v>30</v>
      </c>
      <c r="Z10">
        <f>COUNTIF(DPR!$AH$9:$AH$1634,DPRavg!$B9)</f>
        <v>30</v>
      </c>
      <c r="AA10">
        <f>COUNTIF(DPR!$AH$9:$AH$1634,DPRavg!$B9)</f>
        <v>30</v>
      </c>
      <c r="AB10">
        <f>COUNTIF(DPR!$AH$9:$AH$1634,DPRavg!$B9)</f>
        <v>30</v>
      </c>
      <c r="AC10">
        <f>COUNTIF(DPR!$AH$9:$AH$1634,DPRavg!$B9)</f>
        <v>30</v>
      </c>
      <c r="AD10">
        <f>COUNTIF(DPR!$AH$9:$AH$1634,DPRavg!$B9)</f>
        <v>30</v>
      </c>
      <c r="AE10">
        <f>COUNTIF(DPR!$AH$9:$AH$1634,DPRavg!$B9)</f>
        <v>30</v>
      </c>
      <c r="AF10">
        <f>COUNTIF(DPR!$AH$9:$AH$1634,DPRavg!$B9)</f>
        <v>30</v>
      </c>
      <c r="AG10">
        <f>COUNTIF(DPR!$AH$9:$AH$1634,DPRavg!$B9)</f>
        <v>30</v>
      </c>
    </row>
    <row r="11" spans="1:33">
      <c r="C11" t="s">
        <v>137</v>
      </c>
      <c r="D11">
        <f>IFERROR(D9/D10,0)</f>
        <v>321916.7</v>
      </c>
      <c r="E11">
        <f t="shared" ref="E11:AG11" si="0">IFERROR(E9/E10,0)</f>
        <v>34859.4</v>
      </c>
      <c r="F11">
        <f t="shared" si="0"/>
        <v>18270.511333333336</v>
      </c>
      <c r="G11">
        <f t="shared" si="0"/>
        <v>4482.5666666666666</v>
      </c>
      <c r="H11">
        <f t="shared" si="0"/>
        <v>1968.8</v>
      </c>
      <c r="I11">
        <f t="shared" si="0"/>
        <v>189203.96666666667</v>
      </c>
      <c r="J11">
        <f t="shared" si="0"/>
        <v>155715.76666666666</v>
      </c>
      <c r="K11">
        <f t="shared" si="0"/>
        <v>53730.952666666686</v>
      </c>
      <c r="L11">
        <f t="shared" si="0"/>
        <v>13140.766666666666</v>
      </c>
      <c r="M11">
        <f t="shared" si="0"/>
        <v>240789.06666666668</v>
      </c>
      <c r="N11">
        <f t="shared" si="0"/>
        <v>7012.7</v>
      </c>
      <c r="O11">
        <f t="shared" si="0"/>
        <v>4270.3666666666668</v>
      </c>
      <c r="P11">
        <f t="shared" si="0"/>
        <v>0</v>
      </c>
      <c r="Q11">
        <f t="shared" si="0"/>
        <v>0</v>
      </c>
      <c r="R11">
        <f t="shared" si="0"/>
        <v>142868.48986666667</v>
      </c>
      <c r="S11">
        <f t="shared" si="0"/>
        <v>14.434168783348955</v>
      </c>
      <c r="T11">
        <f t="shared" si="0"/>
        <v>0.45350133333333331</v>
      </c>
      <c r="U11">
        <f t="shared" si="0"/>
        <v>2.8771926421575149E-3</v>
      </c>
      <c r="V11">
        <f t="shared" si="0"/>
        <v>2.8037057066666683E-2</v>
      </c>
      <c r="W11">
        <f t="shared" si="0"/>
        <v>0.27878200000000003</v>
      </c>
      <c r="X11">
        <f t="shared" si="0"/>
        <v>9.7019498211792818</v>
      </c>
      <c r="Y11">
        <f t="shared" si="0"/>
        <v>9.9730000000000008</v>
      </c>
      <c r="Z11">
        <f t="shared" si="0"/>
        <v>0</v>
      </c>
      <c r="AA11">
        <f t="shared" si="0"/>
        <v>0</v>
      </c>
      <c r="AB11">
        <f t="shared" si="0"/>
        <v>0</v>
      </c>
      <c r="AC11">
        <f t="shared" si="0"/>
        <v>0.20271067478037941</v>
      </c>
      <c r="AD11">
        <f t="shared" si="0"/>
        <v>8.9789804245823973E-2</v>
      </c>
      <c r="AE11">
        <f t="shared" si="0"/>
        <v>0</v>
      </c>
      <c r="AF11">
        <f t="shared" si="0"/>
        <v>13.187839624858769</v>
      </c>
      <c r="AG11">
        <f t="shared" si="0"/>
        <v>7.6709621218323099</v>
      </c>
    </row>
    <row r="12" spans="1:33">
      <c r="C12" t="s">
        <v>149</v>
      </c>
      <c r="D12">
        <f>D9*C$6/D$4</f>
        <v>38070.365828882474</v>
      </c>
      <c r="E12">
        <f t="shared" ref="E12:O12" si="1">E9*E$6/E$4</f>
        <v>42489.593707596425</v>
      </c>
      <c r="F12">
        <f t="shared" si="1"/>
        <v>50926.574059423707</v>
      </c>
      <c r="G12">
        <f t="shared" si="1"/>
        <v>9917.0410555023282</v>
      </c>
      <c r="H12">
        <f t="shared" si="1"/>
        <v>7654.0283589946694</v>
      </c>
      <c r="I12">
        <f t="shared" si="1"/>
        <v>154758.58324482312</v>
      </c>
      <c r="J12">
        <f t="shared" si="1"/>
        <v>163250.40054382809</v>
      </c>
      <c r="K12">
        <f t="shared" si="1"/>
        <v>55203.033554003145</v>
      </c>
      <c r="L12">
        <f t="shared" si="1"/>
        <v>13986.220268785948</v>
      </c>
      <c r="M12">
        <f t="shared" si="1"/>
        <v>37919.538064039851</v>
      </c>
      <c r="N12">
        <f t="shared" si="1"/>
        <v>3708.6393572731317</v>
      </c>
      <c r="O12">
        <f t="shared" si="1"/>
        <v>7799.7558749886275</v>
      </c>
      <c r="P12">
        <f>IFERROR(P9*P$6/P$4,P9*P$6/P$3)</f>
        <v>0</v>
      </c>
      <c r="S12">
        <f>S9*C$6</f>
        <v>12.665983107388708</v>
      </c>
      <c r="T12">
        <f t="shared" ref="T12:AF12" si="2">T9*T$6</f>
        <v>3.6733607999999998</v>
      </c>
      <c r="U12">
        <f t="shared" si="2"/>
        <v>6.0421045485307807E-2</v>
      </c>
      <c r="V12">
        <f t="shared" si="2"/>
        <v>0.42055585600000023</v>
      </c>
      <c r="W12">
        <f t="shared" si="2"/>
        <v>8.3634600000000017</v>
      </c>
      <c r="X12">
        <f t="shared" si="2"/>
        <v>58.211698927075695</v>
      </c>
      <c r="Y12">
        <f t="shared" si="2"/>
        <v>77.789400000000001</v>
      </c>
      <c r="Z12">
        <f t="shared" si="2"/>
        <v>0</v>
      </c>
      <c r="AA12">
        <f t="shared" si="2"/>
        <v>0</v>
      </c>
      <c r="AB12">
        <f t="shared" si="2"/>
        <v>0</v>
      </c>
      <c r="AC12">
        <f t="shared" si="2"/>
        <v>0.66894522677525203</v>
      </c>
      <c r="AD12">
        <f t="shared" si="2"/>
        <v>1.0774776509498876</v>
      </c>
      <c r="AE12">
        <f t="shared" si="2"/>
        <v>0</v>
      </c>
      <c r="AF12">
        <f t="shared" si="2"/>
        <v>67.25798208677972</v>
      </c>
    </row>
    <row r="13" spans="1:33">
      <c r="C13" t="s">
        <v>150</v>
      </c>
      <c r="D13">
        <f>D12/1000000</f>
        <v>3.8070365828882471E-2</v>
      </c>
      <c r="E13">
        <f t="shared" ref="E13:P13" si="3">E12/1000000</f>
        <v>4.2489593707596425E-2</v>
      </c>
      <c r="F13">
        <f t="shared" si="3"/>
        <v>5.0926574059423704E-2</v>
      </c>
      <c r="G13">
        <f t="shared" si="3"/>
        <v>9.9170410555023281E-3</v>
      </c>
      <c r="H13">
        <f t="shared" si="3"/>
        <v>7.6540283589946693E-3</v>
      </c>
      <c r="I13">
        <f t="shared" si="3"/>
        <v>0.15475858324482311</v>
      </c>
      <c r="J13">
        <f t="shared" si="3"/>
        <v>0.16325040054382808</v>
      </c>
      <c r="K13">
        <f t="shared" si="3"/>
        <v>5.5203033554003147E-2</v>
      </c>
      <c r="L13">
        <f t="shared" si="3"/>
        <v>1.3986220268785947E-2</v>
      </c>
      <c r="M13">
        <f t="shared" si="3"/>
        <v>3.7919538064039852E-2</v>
      </c>
      <c r="N13">
        <f t="shared" si="3"/>
        <v>3.7086393572731318E-3</v>
      </c>
      <c r="O13">
        <f>O12/1000000</f>
        <v>7.7997558749886278E-3</v>
      </c>
      <c r="P13">
        <f t="shared" si="3"/>
        <v>0</v>
      </c>
      <c r="S13">
        <f t="shared" ref="S13:AF13" si="4">S12/1000</f>
        <v>1.2665983107388708E-2</v>
      </c>
      <c r="T13">
        <f t="shared" si="4"/>
        <v>3.6733607999999999E-3</v>
      </c>
      <c r="U13">
        <f t="shared" si="4"/>
        <v>6.0421045485307804E-5</v>
      </c>
      <c r="V13">
        <f t="shared" si="4"/>
        <v>4.2055585600000024E-4</v>
      </c>
      <c r="W13">
        <f t="shared" si="4"/>
        <v>8.3634600000000014E-3</v>
      </c>
      <c r="X13">
        <f t="shared" si="4"/>
        <v>5.8211698927075693E-2</v>
      </c>
      <c r="Y13">
        <f t="shared" si="4"/>
        <v>7.7789399999999995E-2</v>
      </c>
      <c r="Z13">
        <f t="shared" si="4"/>
        <v>0</v>
      </c>
      <c r="AA13">
        <f t="shared" si="4"/>
        <v>0</v>
      </c>
      <c r="AB13">
        <f t="shared" si="4"/>
        <v>0</v>
      </c>
      <c r="AC13">
        <f t="shared" si="4"/>
        <v>6.6894522677525201E-4</v>
      </c>
      <c r="AD13">
        <f t="shared" si="4"/>
        <v>1.0774776509498876E-3</v>
      </c>
      <c r="AE13">
        <f t="shared" si="4"/>
        <v>0</v>
      </c>
      <c r="AF13">
        <f t="shared" si="4"/>
        <v>6.7257982086779716E-2</v>
      </c>
    </row>
    <row r="14" spans="1:33">
      <c r="A14" t="str">
        <f>interFY_transition!D27</f>
        <v>May'26</v>
      </c>
      <c r="B14">
        <f>$A$4*100+5</f>
        <v>202605</v>
      </c>
      <c r="C14" t="s">
        <v>148</v>
      </c>
      <c r="D14">
        <f>SUMIF(DPR!$AH$9:$AH$1634,DPRavg!$B14,DPR!D$9:D$1634)</f>
        <v>9887116</v>
      </c>
      <c r="E14">
        <f>SUMIF(DPR!$AH$9:$AH$1634,DPRavg!$B14,DPR!E$9:E$1634)</f>
        <v>868743</v>
      </c>
      <c r="F14">
        <f>SUMIF(DPR!$AH$9:$AH$1634,DPRavg!$B14,DPR!F$9:F$1634)</f>
        <v>671531.04000000015</v>
      </c>
      <c r="G14">
        <f>SUMIF(DPR!$AH$9:$AH$1634,DPRavg!$B14,DPR!G$9:G$1634)</f>
        <v>137933</v>
      </c>
      <c r="H14">
        <f>SUMIF(DPR!$AH$9:$AH$1634,DPRavg!$B14,DPR!H$9:H$1634)</f>
        <v>57934</v>
      </c>
      <c r="I14">
        <f>SUMIF(DPR!$AH$9:$AH$1634,DPRavg!$B14,DPR!I$9:I$1634)</f>
        <v>5712131</v>
      </c>
      <c r="J14">
        <f>SUMIF(DPR!$AH$9:$AH$1634,DPRavg!$B14,DPR!J$9:J$1634)</f>
        <v>4821947</v>
      </c>
      <c r="K14">
        <f>SUMIF(DPR!$AH$9:$AH$1634,DPRavg!$B14,DPR!K$9:K$1634)</f>
        <v>1657001.6999999997</v>
      </c>
      <c r="L14">
        <f>SUMIF(DPR!$AH$9:$AH$1634,DPRavg!$B14,DPR!L$9:L$1634)</f>
        <v>380958</v>
      </c>
      <c r="M14">
        <f>SUMIF(DPR!$AH$9:$AH$1634,DPRavg!$B14,DPR!M$9:M$1634)</f>
        <v>8370051</v>
      </c>
      <c r="N14">
        <f>SUMIF(DPR!$AH$9:$AH$1634,DPRavg!$B14,DPR!N$9:N$1634)</f>
        <v>215206</v>
      </c>
      <c r="O14">
        <f>SUMIF(DPR!$AH$9:$AH$1634,DPRavg!$B14,DPR!O$9:O$1634)</f>
        <v>169055</v>
      </c>
      <c r="P14">
        <f>SUMIF(DPR!$AH$9:$AH$1634,DPRavg!$B14,DPR!P$9:P$1634)</f>
        <v>0</v>
      </c>
      <c r="Q14">
        <f>SUMIF(DPR!$AH$9:$AH$1634,DPRavg!$B14,DPR!Q$9:Q$1634)</f>
        <v>0</v>
      </c>
      <c r="R14">
        <f>SUMIF(DPR!$AH$9:$AH$1634,DPRavg!$B14,DPR!R$9:R$1634)</f>
        <v>4449116.6434999993</v>
      </c>
      <c r="S14">
        <f>SUMIF(DPR!$AH$9:$AH$1634,DPRavg!$B14,DPR!S$9:S$1634)</f>
        <v>425.37356964663434</v>
      </c>
      <c r="T14">
        <f>SUMIF(DPR!$AH$9:$AH$1634,DPRavg!$B14,DPR!T$9:T$1634)</f>
        <v>9.2762490000000017</v>
      </c>
      <c r="U14">
        <f>SUMIF(DPR!$AH$9:$AH$1634,DPRavg!$B14,DPR!U$9:U$1634)</f>
        <v>0.10400442308726961</v>
      </c>
      <c r="V14">
        <f>SUMIF(DPR!$AH$9:$AH$1634,DPRavg!$B14,DPR!V$9:V$1634)</f>
        <v>0.68968872000000025</v>
      </c>
      <c r="W14">
        <f>SUMIF(DPR!$AH$9:$AH$1634,DPRavg!$B14,DPR!W$9:W$1634)</f>
        <v>7.4732400000000014</v>
      </c>
      <c r="X14">
        <f>SUMIF(DPR!$AH$9:$AH$1634,DPRavg!$B14,DPR!X$9:X$1634)</f>
        <v>258.59911056868663</v>
      </c>
      <c r="Y14">
        <f>SUMIF(DPR!$AH$9:$AH$1634,DPRavg!$B14,DPR!Y$9:Y$1634)</f>
        <v>308.14999999999992</v>
      </c>
      <c r="Z14">
        <f>SUMIF(DPR!$AH$9:$AH$1634,DPRavg!$B14,DPR!Z$9:Z$1634)</f>
        <v>0</v>
      </c>
      <c r="AA14">
        <f>SUMIF(DPR!$AH$9:$AH$1634,DPRavg!$B14,DPR!AA$9:AA$1634)</f>
        <v>0</v>
      </c>
      <c r="AB14">
        <f>SUMIF(DPR!$AH$9:$AH$1634,DPRavg!$B14,DPR!AB$9:AB$1634)</f>
        <v>0</v>
      </c>
      <c r="AC14">
        <f>SUMIF(DPR!$AH$9:$AH$1634,DPRavg!$B14,DPR!AC$9:AC$1634)</f>
        <v>6.0204390806094894</v>
      </c>
      <c r="AD14">
        <f>SUMIF(DPR!$AH$9:$AH$1634,DPRavg!$B14,DPR!AD$9:AD$1634)</f>
        <v>2.8217144701781414</v>
      </c>
      <c r="AE14">
        <f>SUMIF(DPR!$AH$9:$AH$1634,DPRavg!$B14,DPR!AE$9:AE$1634)</f>
        <v>0</v>
      </c>
      <c r="AF14">
        <f>SUMIF(DPR!$AH$9:$AH$1634,DPRavg!$B14,DPR!AF$9:AF$1634)</f>
        <v>426.30247460689174</v>
      </c>
      <c r="AG14">
        <f>SUMIF(DPR!$AH$9:$AH$1634,DPRavg!$B14,DPR!AG$9:AG$1634)</f>
        <v>228.8660253860113</v>
      </c>
    </row>
    <row r="15" spans="1:33">
      <c r="C15" t="s">
        <v>136</v>
      </c>
      <c r="D15">
        <f>COUNTIF(DPR!$AH$9:$AH$1634,DPRavg!$B14)</f>
        <v>31</v>
      </c>
      <c r="E15">
        <f>COUNTIF(DPR!$AH$9:$AH$1634,DPRavg!$B14)</f>
        <v>31</v>
      </c>
      <c r="F15">
        <f>COUNTIF(DPR!$AH$9:$AH$1634,DPRavg!$B14)</f>
        <v>31</v>
      </c>
      <c r="G15">
        <f>COUNTIF(DPR!$AH$9:$AH$1634,DPRavg!$B14)</f>
        <v>31</v>
      </c>
      <c r="H15">
        <f>COUNTIF(DPR!$AH$9:$AH$1634,DPRavg!$B14)</f>
        <v>31</v>
      </c>
      <c r="I15">
        <f>COUNTIF(DPR!$AH$9:$AH$1634,DPRavg!$B14)</f>
        <v>31</v>
      </c>
      <c r="J15">
        <f>COUNTIF(DPR!$AH$9:$AH$1634,DPRavg!$B14)</f>
        <v>31</v>
      </c>
      <c r="K15">
        <f>COUNTIF(DPR!$AH$9:$AH$1634,DPRavg!$B14)</f>
        <v>31</v>
      </c>
      <c r="L15">
        <f>COUNTIF(DPR!$AH$9:$AH$1634,DPRavg!$B14)</f>
        <v>31</v>
      </c>
      <c r="M15">
        <f>COUNTIF(DPR!$AH$9:$AH$1634,DPRavg!$B14)</f>
        <v>31</v>
      </c>
      <c r="N15">
        <f>COUNTIF(DPR!$AH$9:$AH$1634,DPRavg!$B14)</f>
        <v>31</v>
      </c>
      <c r="O15">
        <f>COUNTIF(DPR!$AH$9:$AH$1634,DPRavg!$B14)</f>
        <v>31</v>
      </c>
      <c r="P15">
        <f>COUNTIF(DPR!$AH$9:$AH$1634,DPRavg!$B14)</f>
        <v>31</v>
      </c>
      <c r="Q15">
        <f>COUNTIF(DPR!$AH$9:$AH$1634,DPRavg!$B14)</f>
        <v>31</v>
      </c>
      <c r="R15">
        <f>COUNTIF(DPR!$AH$9:$AH$1634,DPRavg!$B14)</f>
        <v>31</v>
      </c>
      <c r="S15">
        <f>COUNTIF(DPR!$AH$9:$AH$1634,DPRavg!$B14)</f>
        <v>31</v>
      </c>
      <c r="T15">
        <f>COUNTIF(DPR!$AH$9:$AH$1634,DPRavg!$B14)</f>
        <v>31</v>
      </c>
      <c r="U15">
        <f>COUNTIF(DPR!$AH$9:$AH$1634,DPRavg!$B14)</f>
        <v>31</v>
      </c>
      <c r="V15">
        <f>COUNTIF(DPR!$AH$9:$AH$1634,DPRavg!$B14)</f>
        <v>31</v>
      </c>
      <c r="W15">
        <f>COUNTIF(DPR!$AH$9:$AH$1634,DPRavg!$B14)</f>
        <v>31</v>
      </c>
      <c r="X15">
        <f>COUNTIF(DPR!$AH$9:$AH$1634,DPRavg!$B14)</f>
        <v>31</v>
      </c>
      <c r="Y15">
        <f>COUNTIF(DPR!$AH$9:$AH$1634,DPRavg!$B14)</f>
        <v>31</v>
      </c>
      <c r="Z15">
        <f>COUNTIF(DPR!$AH$9:$AH$1634,DPRavg!$B14)</f>
        <v>31</v>
      </c>
      <c r="AA15">
        <f>COUNTIF(DPR!$AH$9:$AH$1634,DPRavg!$B14)</f>
        <v>31</v>
      </c>
      <c r="AB15">
        <f>COUNTIF(DPR!$AH$9:$AH$1634,DPRavg!$B14)</f>
        <v>31</v>
      </c>
      <c r="AC15">
        <f>COUNTIF(DPR!$AH$9:$AH$1634,DPRavg!$B14)</f>
        <v>31</v>
      </c>
      <c r="AD15">
        <f>COUNTIF(DPR!$AH$9:$AH$1634,DPRavg!$B14)</f>
        <v>31</v>
      </c>
      <c r="AE15">
        <f>COUNTIF(DPR!$AH$9:$AH$1634,DPRavg!$B14)</f>
        <v>31</v>
      </c>
      <c r="AF15">
        <f>COUNTIF(DPR!$AH$9:$AH$1634,DPRavg!$B14)</f>
        <v>31</v>
      </c>
      <c r="AG15">
        <f>COUNTIF(DPR!$AH$9:$AH$1634,DPRavg!$B14)</f>
        <v>31</v>
      </c>
    </row>
    <row r="16" spans="1:33">
      <c r="C16" t="s">
        <v>137</v>
      </c>
      <c r="D16">
        <f t="shared" ref="D16:AG16" si="5">IFERROR(D14/D15,0)</f>
        <v>318939.22580645164</v>
      </c>
      <c r="E16">
        <f t="shared" si="5"/>
        <v>28023.967741935485</v>
      </c>
      <c r="F16">
        <f t="shared" si="5"/>
        <v>21662.291612903231</v>
      </c>
      <c r="G16">
        <f t="shared" si="5"/>
        <v>4449.4516129032254</v>
      </c>
      <c r="H16">
        <f t="shared" si="5"/>
        <v>1868.8387096774193</v>
      </c>
      <c r="I16">
        <f t="shared" si="5"/>
        <v>184262.29032258064</v>
      </c>
      <c r="J16">
        <f t="shared" si="5"/>
        <v>155546.67741935485</v>
      </c>
      <c r="K16">
        <f t="shared" si="5"/>
        <v>53451.667741935475</v>
      </c>
      <c r="L16">
        <f t="shared" si="5"/>
        <v>12288.967741935483</v>
      </c>
      <c r="M16">
        <f t="shared" si="5"/>
        <v>270001.6451612903</v>
      </c>
      <c r="N16">
        <f t="shared" si="5"/>
        <v>6942.1290322580644</v>
      </c>
      <c r="O16">
        <f t="shared" si="5"/>
        <v>5453.3870967741932</v>
      </c>
      <c r="P16">
        <f t="shared" si="5"/>
        <v>0</v>
      </c>
      <c r="Q16">
        <f t="shared" si="5"/>
        <v>0</v>
      </c>
      <c r="R16">
        <f t="shared" si="5"/>
        <v>143519.89172580643</v>
      </c>
      <c r="S16">
        <f t="shared" si="5"/>
        <v>13.721728053117237</v>
      </c>
      <c r="T16">
        <f t="shared" si="5"/>
        <v>0.29923383870967746</v>
      </c>
      <c r="U16">
        <f t="shared" si="5"/>
        <v>3.354981389911923E-3</v>
      </c>
      <c r="V16">
        <f t="shared" si="5"/>
        <v>2.2248023225806459E-2</v>
      </c>
      <c r="W16">
        <f t="shared" si="5"/>
        <v>0.24107225806451618</v>
      </c>
      <c r="X16">
        <f t="shared" si="5"/>
        <v>8.3419067925382784</v>
      </c>
      <c r="Y16">
        <f t="shared" si="5"/>
        <v>9.9403225806451587</v>
      </c>
      <c r="Z16">
        <f t="shared" si="5"/>
        <v>0</v>
      </c>
      <c r="AA16">
        <f t="shared" si="5"/>
        <v>0</v>
      </c>
      <c r="AB16">
        <f t="shared" si="5"/>
        <v>0</v>
      </c>
      <c r="AC16">
        <f t="shared" si="5"/>
        <v>0.19420771227772546</v>
      </c>
      <c r="AD16">
        <f t="shared" si="5"/>
        <v>9.1023047425101339E-2</v>
      </c>
      <c r="AE16">
        <f t="shared" si="5"/>
        <v>0</v>
      </c>
      <c r="AF16">
        <f t="shared" si="5"/>
        <v>13.751692729254572</v>
      </c>
      <c r="AG16">
        <f t="shared" si="5"/>
        <v>7.3827750124519778</v>
      </c>
    </row>
    <row r="17" spans="1:33">
      <c r="C17" t="s">
        <v>149</v>
      </c>
      <c r="D17">
        <f>D14*C$6/D$4</f>
        <v>38975.519972775277</v>
      </c>
      <c r="E17">
        <f t="shared" ref="E17:O17" si="6">E14*E$6/E$4</f>
        <v>35296.588683223119</v>
      </c>
      <c r="F17">
        <f t="shared" si="6"/>
        <v>62393.391948785502</v>
      </c>
      <c r="G17">
        <f t="shared" si="6"/>
        <v>10171.904667033044</v>
      </c>
      <c r="H17">
        <f t="shared" si="6"/>
        <v>7507.5931015508122</v>
      </c>
      <c r="I17">
        <f t="shared" si="6"/>
        <v>155740.44534105691</v>
      </c>
      <c r="J17">
        <f t="shared" si="6"/>
        <v>168508.90054402759</v>
      </c>
      <c r="K17">
        <f t="shared" si="6"/>
        <v>56746.633553789463</v>
      </c>
      <c r="L17">
        <f t="shared" si="6"/>
        <v>13515.605383643666</v>
      </c>
      <c r="M17">
        <f t="shared" si="6"/>
        <v>43937.275597847576</v>
      </c>
      <c r="N17">
        <f t="shared" si="6"/>
        <v>3793.6954455075393</v>
      </c>
      <c r="O17">
        <f t="shared" si="6"/>
        <v>10292.541073336422</v>
      </c>
      <c r="P17">
        <f>IFERROR(P14*P$6/P$4,P14*P$6/P$3)</f>
        <v>0</v>
      </c>
      <c r="S17">
        <f>S14*C$6</f>
        <v>12.442176912164054</v>
      </c>
      <c r="T17">
        <f t="shared" ref="T17:AF17" si="7">T14*T$6</f>
        <v>2.5045872300000007</v>
      </c>
      <c r="U17">
        <f t="shared" si="7"/>
        <v>7.2803096161088723E-2</v>
      </c>
      <c r="V17">
        <f t="shared" si="7"/>
        <v>0.34484436000000013</v>
      </c>
      <c r="W17">
        <f t="shared" si="7"/>
        <v>7.4732400000000014</v>
      </c>
      <c r="X17">
        <f t="shared" si="7"/>
        <v>51.71982211373733</v>
      </c>
      <c r="Y17">
        <f t="shared" si="7"/>
        <v>80.118999999999986</v>
      </c>
      <c r="Z17">
        <f t="shared" si="7"/>
        <v>0</v>
      </c>
      <c r="AA17">
        <f t="shared" si="7"/>
        <v>0</v>
      </c>
      <c r="AB17">
        <f t="shared" si="7"/>
        <v>0</v>
      </c>
      <c r="AC17">
        <f t="shared" si="7"/>
        <v>0.66224829886704384</v>
      </c>
      <c r="AD17">
        <f t="shared" si="7"/>
        <v>1.1286857880712566</v>
      </c>
      <c r="AE17">
        <f t="shared" si="7"/>
        <v>0</v>
      </c>
      <c r="AF17">
        <f t="shared" si="7"/>
        <v>72.471420683171601</v>
      </c>
    </row>
    <row r="18" spans="1:33">
      <c r="C18" t="s">
        <v>150</v>
      </c>
      <c r="D18">
        <f t="shared" ref="D18:P18" si="8">D17/1000000</f>
        <v>3.8975519972775277E-2</v>
      </c>
      <c r="E18">
        <f t="shared" si="8"/>
        <v>3.5296588683223121E-2</v>
      </c>
      <c r="F18">
        <f t="shared" si="8"/>
        <v>6.2393391948785501E-2</v>
      </c>
      <c r="G18">
        <f t="shared" si="8"/>
        <v>1.0171904667033044E-2</v>
      </c>
      <c r="H18">
        <f t="shared" si="8"/>
        <v>7.5075931015508119E-3</v>
      </c>
      <c r="I18">
        <f t="shared" si="8"/>
        <v>0.15574044534105691</v>
      </c>
      <c r="J18">
        <f t="shared" si="8"/>
        <v>0.16850890054402759</v>
      </c>
      <c r="K18">
        <f t="shared" si="8"/>
        <v>5.6746633553789463E-2</v>
      </c>
      <c r="L18">
        <f t="shared" si="8"/>
        <v>1.3515605383643665E-2</v>
      </c>
      <c r="M18">
        <f t="shared" si="8"/>
        <v>4.3937275597847575E-2</v>
      </c>
      <c r="N18">
        <f t="shared" si="8"/>
        <v>3.7936954455075394E-3</v>
      </c>
      <c r="O18">
        <f t="shared" si="8"/>
        <v>1.0292541073336423E-2</v>
      </c>
      <c r="P18">
        <f t="shared" si="8"/>
        <v>0</v>
      </c>
      <c r="S18">
        <f t="shared" ref="S18:AF18" si="9">S17/1000</f>
        <v>1.2442176912164054E-2</v>
      </c>
      <c r="T18">
        <f t="shared" si="9"/>
        <v>2.5045872300000008E-3</v>
      </c>
      <c r="U18">
        <f t="shared" si="9"/>
        <v>7.2803096161088723E-5</v>
      </c>
      <c r="V18">
        <f t="shared" si="9"/>
        <v>3.4484436000000015E-4</v>
      </c>
      <c r="W18">
        <f t="shared" si="9"/>
        <v>7.4732400000000017E-3</v>
      </c>
      <c r="X18">
        <f t="shared" si="9"/>
        <v>5.1719822113737331E-2</v>
      </c>
      <c r="Y18">
        <f t="shared" si="9"/>
        <v>8.0118999999999982E-2</v>
      </c>
      <c r="Z18">
        <f t="shared" si="9"/>
        <v>0</v>
      </c>
      <c r="AA18">
        <f t="shared" si="9"/>
        <v>0</v>
      </c>
      <c r="AB18">
        <f t="shared" si="9"/>
        <v>0</v>
      </c>
      <c r="AC18">
        <f t="shared" si="9"/>
        <v>6.6224829886704379E-4</v>
      </c>
      <c r="AD18">
        <f t="shared" si="9"/>
        <v>1.1286857880712566E-3</v>
      </c>
      <c r="AE18">
        <f t="shared" si="9"/>
        <v>0</v>
      </c>
      <c r="AF18">
        <f t="shared" si="9"/>
        <v>7.2471420683171597E-2</v>
      </c>
    </row>
    <row r="19" spans="1:33">
      <c r="A19" t="str">
        <f>interFY_transition!D28</f>
        <v>June'26</v>
      </c>
      <c r="B19">
        <f>$A$4*100+6</f>
        <v>202606</v>
      </c>
      <c r="C19" t="s">
        <v>148</v>
      </c>
      <c r="D19">
        <f>SUMIF(DPR!$AH$9:$AH$1634,DPRavg!$B19,DPR!D$9:D$1634)</f>
        <v>9677808</v>
      </c>
      <c r="E19">
        <f>SUMIF(DPR!$AH$9:$AH$1634,DPRavg!$B19,DPR!E$9:E$1634)</f>
        <v>1000528</v>
      </c>
      <c r="F19">
        <f>SUMIF(DPR!$AH$9:$AH$1634,DPRavg!$B19,DPR!F$9:F$1634)</f>
        <v>638355.3600000001</v>
      </c>
      <c r="G19">
        <f>SUMIF(DPR!$AH$9:$AH$1634,DPRavg!$B19,DPR!G$9:G$1634)</f>
        <v>143859</v>
      </c>
      <c r="H19">
        <f>SUMIF(DPR!$AH$9:$AH$1634,DPRavg!$B19,DPR!H$9:H$1634)</f>
        <v>58534</v>
      </c>
      <c r="I19">
        <f>SUMIF(DPR!$AH$9:$AH$1634,DPRavg!$B19,DPR!I$9:I$1634)</f>
        <v>5085168</v>
      </c>
      <c r="J19">
        <f>SUMIF(DPR!$AH$9:$AH$1634,DPRavg!$B19,DPR!J$9:J$1634)</f>
        <v>4655086</v>
      </c>
      <c r="K19">
        <f>SUMIF(DPR!$AH$9:$AH$1634,DPRavg!$B19,DPR!K$9:K$1634)</f>
        <v>1528805.0399999998</v>
      </c>
      <c r="L19">
        <f>SUMIF(DPR!$AH$9:$AH$1634,DPRavg!$B19,DPR!L$9:L$1634)</f>
        <v>368090.4</v>
      </c>
      <c r="M19">
        <f>SUMIF(DPR!$AH$9:$AH$1634,DPRavg!$B19,DPR!M$9:M$1634)</f>
        <v>12807869</v>
      </c>
      <c r="N19">
        <f>SUMIF(DPR!$AH$9:$AH$1634,DPRavg!$B19,DPR!N$9:N$1634)</f>
        <v>208639</v>
      </c>
      <c r="O19">
        <f>SUMIF(DPR!$AH$9:$AH$1634,DPRavg!$B19,DPR!O$9:O$1634)</f>
        <v>165206</v>
      </c>
      <c r="P19">
        <f>SUMIF(DPR!$AH$9:$AH$1634,DPRavg!$B19,DPR!P$9:P$1634)</f>
        <v>0</v>
      </c>
      <c r="Q19">
        <f>SUMIF(DPR!$AH$9:$AH$1634,DPRavg!$B19,DPR!Q$9:Q$1634)</f>
        <v>0</v>
      </c>
      <c r="R19">
        <f>SUMIF(DPR!$AH$9:$AH$1634,DPRavg!$B19,DPR!R$9:R$1634)</f>
        <v>4430237.1749999998</v>
      </c>
      <c r="S19">
        <f>SUMIF(DPR!$AH$9:$AH$1634,DPRavg!$B19,DPR!S$9:S$1634)</f>
        <v>374.58905215108723</v>
      </c>
      <c r="T19">
        <f>SUMIF(DPR!$AH$9:$AH$1634,DPRavg!$B19,DPR!T$9:T$1634)</f>
        <v>13.998852999999997</v>
      </c>
      <c r="U19">
        <f>SUMIF(DPR!$AH$9:$AH$1634,DPRavg!$B19,DPR!U$9:U$1634)</f>
        <v>0.10271538481142414</v>
      </c>
      <c r="V19">
        <f>SUMIF(DPR!$AH$9:$AH$1634,DPRavg!$B19,DPR!V$9:V$1634)</f>
        <v>0.75500000000000034</v>
      </c>
      <c r="W19">
        <f>SUMIF(DPR!$AH$9:$AH$1634,DPRavg!$B19,DPR!W$9:W$1634)</f>
        <v>7.838070000000001</v>
      </c>
      <c r="X19">
        <f>SUMIF(DPR!$AH$9:$AH$1634,DPRavg!$B19,DPR!X$9:X$1634)</f>
        <v>229.84532623808212</v>
      </c>
      <c r="Y19">
        <f>SUMIF(DPR!$AH$9:$AH$1634,DPRavg!$B19,DPR!Y$9:Y$1634)</f>
        <v>293.54999999999995</v>
      </c>
      <c r="Z19">
        <f>SUMIF(DPR!$AH$9:$AH$1634,DPRavg!$B19,DPR!Z$9:Z$1634)</f>
        <v>0</v>
      </c>
      <c r="AA19">
        <f>SUMIF(DPR!$AH$9:$AH$1634,DPRavg!$B19,DPR!AA$9:AA$1634)</f>
        <v>0</v>
      </c>
      <c r="AB19">
        <f>SUMIF(DPR!$AH$9:$AH$1634,DPRavg!$B19,DPR!AB$9:AB$1634)</f>
        <v>0</v>
      </c>
      <c r="AC19">
        <f>SUMIF(DPR!$AH$9:$AH$1634,DPRavg!$B19,DPR!AC$9:AC$1634)</f>
        <v>5.7471817684986712</v>
      </c>
      <c r="AD19">
        <f>SUMIF(DPR!$AH$9:$AH$1634,DPRavg!$B19,DPR!AD$9:AD$1634)</f>
        <v>2.7088436260254221</v>
      </c>
      <c r="AE19">
        <f>SUMIF(DPR!$AH$9:$AH$1634,DPRavg!$B19,DPR!AE$9:AE$1634)</f>
        <v>0</v>
      </c>
      <c r="AF19">
        <f>SUMIF(DPR!$AH$9:$AH$1634,DPRavg!$B19,DPR!AF$9:AF$1634)</f>
        <v>433.39062769894684</v>
      </c>
      <c r="AG19">
        <f>SUMIF(DPR!$AH$9:$AH$1634,DPRavg!$B19,DPR!AG$9:AG$1634)</f>
        <v>220.6361894868017</v>
      </c>
    </row>
    <row r="20" spans="1:33">
      <c r="C20" t="s">
        <v>136</v>
      </c>
      <c r="D20">
        <f>COUNTIF(DPR!$AH$9:$AH$1634,DPRavg!$B19)</f>
        <v>30</v>
      </c>
      <c r="E20">
        <f>COUNTIF(DPR!$AH$9:$AH$1634,DPRavg!$B19)</f>
        <v>30</v>
      </c>
      <c r="F20">
        <f>COUNTIF(DPR!$AH$9:$AH$1634,DPRavg!$B19)</f>
        <v>30</v>
      </c>
      <c r="G20">
        <f>COUNTIF(DPR!$AH$9:$AH$1634,DPRavg!$B19)</f>
        <v>30</v>
      </c>
      <c r="H20">
        <f>COUNTIF(DPR!$AH$9:$AH$1634,DPRavg!$B19)</f>
        <v>30</v>
      </c>
      <c r="I20">
        <f>COUNTIF(DPR!$AH$9:$AH$1634,DPRavg!$B19)</f>
        <v>30</v>
      </c>
      <c r="J20">
        <f>COUNTIF(DPR!$AH$9:$AH$1634,DPRavg!$B19)</f>
        <v>30</v>
      </c>
      <c r="K20">
        <f>COUNTIF(DPR!$AH$9:$AH$1634,DPRavg!$B19)</f>
        <v>30</v>
      </c>
      <c r="L20">
        <f>COUNTIF(DPR!$AH$9:$AH$1634,DPRavg!$B19)</f>
        <v>30</v>
      </c>
      <c r="M20">
        <f>COUNTIF(DPR!$AH$9:$AH$1634,DPRavg!$B19)</f>
        <v>30</v>
      </c>
      <c r="N20">
        <f>COUNTIF(DPR!$AH$9:$AH$1634,DPRavg!$B19)</f>
        <v>30</v>
      </c>
      <c r="O20">
        <f>COUNTIF(DPR!$AH$9:$AH$1634,DPRavg!$B19)</f>
        <v>30</v>
      </c>
      <c r="P20">
        <f>COUNTIF(DPR!$AH$9:$AH$1634,DPRavg!$B19)</f>
        <v>30</v>
      </c>
      <c r="Q20">
        <f>COUNTIF(DPR!$AH$9:$AH$1634,DPRavg!$B19)</f>
        <v>30</v>
      </c>
      <c r="R20">
        <f>COUNTIF(DPR!$AH$9:$AH$1634,DPRavg!$B19)</f>
        <v>30</v>
      </c>
      <c r="S20">
        <f>COUNTIF(DPR!$AH$9:$AH$1634,DPRavg!$B19)</f>
        <v>30</v>
      </c>
      <c r="T20">
        <f>COUNTIF(DPR!$AH$9:$AH$1634,DPRavg!$B19)</f>
        <v>30</v>
      </c>
      <c r="U20">
        <f>COUNTIF(DPR!$AH$9:$AH$1634,DPRavg!$B19)</f>
        <v>30</v>
      </c>
      <c r="V20">
        <f>COUNTIF(DPR!$AH$9:$AH$1634,DPRavg!$B19)</f>
        <v>30</v>
      </c>
      <c r="W20">
        <f>COUNTIF(DPR!$AH$9:$AH$1634,DPRavg!$B19)</f>
        <v>30</v>
      </c>
      <c r="X20">
        <f>COUNTIF(DPR!$AH$9:$AH$1634,DPRavg!$B19)</f>
        <v>30</v>
      </c>
      <c r="Y20">
        <f>COUNTIF(DPR!$AH$9:$AH$1634,DPRavg!$B19)</f>
        <v>30</v>
      </c>
      <c r="Z20">
        <f>COUNTIF(DPR!$AH$9:$AH$1634,DPRavg!$B19)</f>
        <v>30</v>
      </c>
      <c r="AA20">
        <f>COUNTIF(DPR!$AH$9:$AH$1634,DPRavg!$B19)</f>
        <v>30</v>
      </c>
      <c r="AB20">
        <f>COUNTIF(DPR!$AH$9:$AH$1634,DPRavg!$B19)</f>
        <v>30</v>
      </c>
      <c r="AC20">
        <f>COUNTIF(DPR!$AH$9:$AH$1634,DPRavg!$B19)</f>
        <v>30</v>
      </c>
      <c r="AD20">
        <f>COUNTIF(DPR!$AH$9:$AH$1634,DPRavg!$B19)</f>
        <v>30</v>
      </c>
      <c r="AE20">
        <f>COUNTIF(DPR!$AH$9:$AH$1634,DPRavg!$B19)</f>
        <v>30</v>
      </c>
      <c r="AF20">
        <f>COUNTIF(DPR!$AH$9:$AH$1634,DPRavg!$B19)</f>
        <v>30</v>
      </c>
      <c r="AG20">
        <f>COUNTIF(DPR!$AH$9:$AH$1634,DPRavg!$B19)</f>
        <v>30</v>
      </c>
    </row>
    <row r="21" spans="1:33">
      <c r="C21" t="s">
        <v>137</v>
      </c>
      <c r="D21">
        <f t="shared" ref="D21:AG21" si="10">IFERROR(D19/D20,0)</f>
        <v>322593.59999999998</v>
      </c>
      <c r="E21">
        <f t="shared" si="10"/>
        <v>33350.933333333334</v>
      </c>
      <c r="F21">
        <f t="shared" si="10"/>
        <v>21278.512000000002</v>
      </c>
      <c r="G21">
        <f t="shared" si="10"/>
        <v>4795.3</v>
      </c>
      <c r="H21">
        <f t="shared" si="10"/>
        <v>1951.1333333333334</v>
      </c>
      <c r="I21">
        <f t="shared" si="10"/>
        <v>169505.6</v>
      </c>
      <c r="J21">
        <f t="shared" si="10"/>
        <v>155169.53333333333</v>
      </c>
      <c r="K21">
        <f t="shared" si="10"/>
        <v>50960.167999999991</v>
      </c>
      <c r="L21">
        <f t="shared" si="10"/>
        <v>12269.68</v>
      </c>
      <c r="M21">
        <f t="shared" si="10"/>
        <v>426928.96666666667</v>
      </c>
      <c r="N21">
        <f t="shared" si="10"/>
        <v>6954.6333333333332</v>
      </c>
      <c r="O21">
        <f t="shared" si="10"/>
        <v>5506.8666666666668</v>
      </c>
      <c r="P21">
        <f t="shared" si="10"/>
        <v>0</v>
      </c>
      <c r="Q21">
        <f t="shared" si="10"/>
        <v>0</v>
      </c>
      <c r="R21">
        <f t="shared" si="10"/>
        <v>147674.57249999998</v>
      </c>
      <c r="S21">
        <f t="shared" si="10"/>
        <v>12.486301738369574</v>
      </c>
      <c r="T21">
        <f t="shared" si="10"/>
        <v>0.4666284333333332</v>
      </c>
      <c r="U21">
        <f t="shared" si="10"/>
        <v>3.4238461603808049E-3</v>
      </c>
      <c r="V21">
        <f t="shared" si="10"/>
        <v>2.5166666666666677E-2</v>
      </c>
      <c r="W21">
        <f t="shared" si="10"/>
        <v>0.26126900000000003</v>
      </c>
      <c r="X21">
        <f t="shared" si="10"/>
        <v>7.6615108746027376</v>
      </c>
      <c r="Y21">
        <f t="shared" si="10"/>
        <v>9.7849999999999984</v>
      </c>
      <c r="Z21">
        <f t="shared" si="10"/>
        <v>0</v>
      </c>
      <c r="AA21">
        <f t="shared" si="10"/>
        <v>0</v>
      </c>
      <c r="AB21">
        <f t="shared" si="10"/>
        <v>0</v>
      </c>
      <c r="AC21">
        <f t="shared" si="10"/>
        <v>0.19157272561662236</v>
      </c>
      <c r="AD21">
        <f t="shared" si="10"/>
        <v>9.0294787534180729E-2</v>
      </c>
      <c r="AE21">
        <f t="shared" si="10"/>
        <v>0</v>
      </c>
      <c r="AF21">
        <f t="shared" si="10"/>
        <v>14.446354256631562</v>
      </c>
      <c r="AG21">
        <f t="shared" si="10"/>
        <v>7.3545396495600563</v>
      </c>
    </row>
    <row r="22" spans="1:33">
      <c r="C22" t="s">
        <v>149</v>
      </c>
      <c r="D22">
        <f>D19*C$6/D$4</f>
        <v>38150.417067695409</v>
      </c>
      <c r="E22">
        <f t="shared" ref="E22:O22" si="11">E19*E$6/E$4</f>
        <v>40650.946576890812</v>
      </c>
      <c r="F22">
        <f t="shared" si="11"/>
        <v>59310.96823028176</v>
      </c>
      <c r="G22">
        <f t="shared" si="11"/>
        <v>10608.919065739936</v>
      </c>
      <c r="H22">
        <f t="shared" si="11"/>
        <v>7585.3463355917984</v>
      </c>
      <c r="I22">
        <f t="shared" si="11"/>
        <v>138646.38765359053</v>
      </c>
      <c r="J22">
        <f t="shared" si="11"/>
        <v>162677.73656531176</v>
      </c>
      <c r="K22">
        <f t="shared" si="11"/>
        <v>52356.336979054671</v>
      </c>
      <c r="L22">
        <f t="shared" si="11"/>
        <v>13059.089432188197</v>
      </c>
      <c r="M22">
        <f t="shared" si="11"/>
        <v>67232.908147647904</v>
      </c>
      <c r="N22">
        <f t="shared" si="11"/>
        <v>3677.9310244846683</v>
      </c>
      <c r="O22">
        <f t="shared" si="11"/>
        <v>10058.203191633595</v>
      </c>
      <c r="P22">
        <f>IFERROR(P19*P$6/P$4,P19*P$6/P$3)</f>
        <v>0</v>
      </c>
      <c r="S22">
        <f>S19*C$6</f>
        <v>10.956729775419301</v>
      </c>
      <c r="T22">
        <f t="shared" ref="T22:AF22" si="12">T19*T$6</f>
        <v>3.7796903099999994</v>
      </c>
      <c r="U22">
        <f t="shared" si="12"/>
        <v>7.19007693679969E-2</v>
      </c>
      <c r="V22">
        <f t="shared" si="12"/>
        <v>0.37750000000000017</v>
      </c>
      <c r="W22">
        <f t="shared" si="12"/>
        <v>7.838070000000001</v>
      </c>
      <c r="X22">
        <f t="shared" si="12"/>
        <v>45.969065247616427</v>
      </c>
      <c r="Y22">
        <f t="shared" si="12"/>
        <v>76.322999999999993</v>
      </c>
      <c r="Z22">
        <f t="shared" si="12"/>
        <v>0</v>
      </c>
      <c r="AA22">
        <f t="shared" si="12"/>
        <v>0</v>
      </c>
      <c r="AB22">
        <f t="shared" si="12"/>
        <v>0</v>
      </c>
      <c r="AC22">
        <f t="shared" si="12"/>
        <v>0.63218999453485381</v>
      </c>
      <c r="AD22">
        <f t="shared" si="12"/>
        <v>1.0835374504101689</v>
      </c>
      <c r="AE22">
        <f t="shared" si="12"/>
        <v>0</v>
      </c>
      <c r="AF22">
        <f t="shared" si="12"/>
        <v>73.676406708820963</v>
      </c>
    </row>
    <row r="23" spans="1:33">
      <c r="C23" t="s">
        <v>150</v>
      </c>
      <c r="D23">
        <f t="shared" ref="D23:P23" si="13">D22/1000000</f>
        <v>3.8150417067695411E-2</v>
      </c>
      <c r="E23">
        <f t="shared" si="13"/>
        <v>4.0650946576890813E-2</v>
      </c>
      <c r="F23">
        <f t="shared" si="13"/>
        <v>5.9310968230281758E-2</v>
      </c>
      <c r="G23">
        <f t="shared" si="13"/>
        <v>1.0608919065739936E-2</v>
      </c>
      <c r="H23">
        <f t="shared" si="13"/>
        <v>7.585346335591798E-3</v>
      </c>
      <c r="I23">
        <f t="shared" si="13"/>
        <v>0.13864638765359052</v>
      </c>
      <c r="J23">
        <f t="shared" si="13"/>
        <v>0.16267773656531176</v>
      </c>
      <c r="K23">
        <f t="shared" si="13"/>
        <v>5.2356336979054674E-2</v>
      </c>
      <c r="L23">
        <f t="shared" si="13"/>
        <v>1.3059089432188196E-2</v>
      </c>
      <c r="M23">
        <f t="shared" si="13"/>
        <v>6.7232908147647902E-2</v>
      </c>
      <c r="N23">
        <f t="shared" si="13"/>
        <v>3.6779310244846684E-3</v>
      </c>
      <c r="O23">
        <f t="shared" si="13"/>
        <v>1.0058203191633594E-2</v>
      </c>
      <c r="P23">
        <f t="shared" si="13"/>
        <v>0</v>
      </c>
      <c r="S23">
        <f t="shared" ref="S23:AF23" si="14">S22/1000</f>
        <v>1.0956729775419302E-2</v>
      </c>
      <c r="T23">
        <f t="shared" si="14"/>
        <v>3.7796903099999992E-3</v>
      </c>
      <c r="U23">
        <f t="shared" si="14"/>
        <v>7.1900769367996896E-5</v>
      </c>
      <c r="V23">
        <f t="shared" si="14"/>
        <v>3.7750000000000018E-4</v>
      </c>
      <c r="W23">
        <f t="shared" si="14"/>
        <v>7.8380700000000008E-3</v>
      </c>
      <c r="X23">
        <f t="shared" si="14"/>
        <v>4.5969065247616431E-2</v>
      </c>
      <c r="Y23">
        <f t="shared" si="14"/>
        <v>7.6322999999999988E-2</v>
      </c>
      <c r="Z23">
        <f t="shared" si="14"/>
        <v>0</v>
      </c>
      <c r="AA23">
        <f t="shared" si="14"/>
        <v>0</v>
      </c>
      <c r="AB23">
        <f t="shared" si="14"/>
        <v>0</v>
      </c>
      <c r="AC23">
        <f t="shared" si="14"/>
        <v>6.3218999453485379E-4</v>
      </c>
      <c r="AD23">
        <f t="shared" si="14"/>
        <v>1.0835374504101689E-3</v>
      </c>
      <c r="AE23">
        <f t="shared" si="14"/>
        <v>0</v>
      </c>
      <c r="AF23">
        <f t="shared" si="14"/>
        <v>7.367640670882096E-2</v>
      </c>
    </row>
    <row r="24" spans="1:33">
      <c r="A24" t="str">
        <f>interFY_transition!D29</f>
        <v>July'26</v>
      </c>
      <c r="B24">
        <f>$A$4*100+7</f>
        <v>202607</v>
      </c>
      <c r="C24" t="s">
        <v>148</v>
      </c>
      <c r="D24">
        <f>SUMIF(DPR!$AH$9:$AH$1634,DPRavg!$B24,DPR!D$9:D$1634)</f>
        <v>10027810</v>
      </c>
      <c r="E24">
        <f>SUMIF(DPR!$AH$9:$AH$1634,DPRavg!$B24,DPR!E$9:E$1634)</f>
        <v>840509</v>
      </c>
      <c r="F24">
        <f>SUMIF(DPR!$AH$9:$AH$1634,DPRavg!$B24,DPR!F$9:F$1634)</f>
        <v>649280.53700000013</v>
      </c>
      <c r="G24">
        <f>SUMIF(DPR!$AH$9:$AH$1634,DPRavg!$B24,DPR!G$9:G$1634)</f>
        <v>151098</v>
      </c>
      <c r="H24">
        <f>SUMIF(DPR!$AH$9:$AH$1634,DPRavg!$B24,DPR!H$9:H$1634)</f>
        <v>58414</v>
      </c>
      <c r="I24">
        <f>SUMIF(DPR!$AH$9:$AH$1634,DPRavg!$B24,DPR!I$9:I$1634)</f>
        <v>5804964</v>
      </c>
      <c r="J24">
        <f>SUMIF(DPR!$AH$9:$AH$1634,DPRavg!$B24,DPR!J$9:J$1634)</f>
        <v>4847257</v>
      </c>
      <c r="K24">
        <f>SUMIF(DPR!$AH$9:$AH$1634,DPRavg!$B24,DPR!K$9:K$1634)</f>
        <v>1733967.1399999997</v>
      </c>
      <c r="L24">
        <f>SUMIF(DPR!$AH$9:$AH$1634,DPRavg!$B24,DPR!L$9:L$1634)</f>
        <v>369673</v>
      </c>
      <c r="M24">
        <f>SUMIF(DPR!$AH$9:$AH$1634,DPRavg!$B24,DPR!M$9:M$1634)</f>
        <v>10237185</v>
      </c>
      <c r="N24">
        <f>SUMIF(DPR!$AH$9:$AH$1634,DPRavg!$B24,DPR!N$9:N$1634)</f>
        <v>215600</v>
      </c>
      <c r="O24">
        <f>SUMIF(DPR!$AH$9:$AH$1634,DPRavg!$B24,DPR!O$9:O$1634)</f>
        <v>176874</v>
      </c>
      <c r="P24">
        <f>SUMIF(DPR!$AH$9:$AH$1634,DPRavg!$B24,DPR!P$9:P$1634)</f>
        <v>0</v>
      </c>
      <c r="Q24">
        <f>SUMIF(DPR!$AH$9:$AH$1634,DPRavg!$B24,DPR!Q$9:Q$1634)</f>
        <v>0</v>
      </c>
      <c r="R24">
        <f>SUMIF(DPR!$AH$9:$AH$1634,DPRavg!$B24,DPR!R$9:R$1634)</f>
        <v>4556618.2646499993</v>
      </c>
      <c r="S24">
        <f>SUMIF(DPR!$AH$9:$AH$1634,DPRavg!$B24,DPR!S$9:S$1634)</f>
        <v>256.18906574316071</v>
      </c>
      <c r="T24">
        <f>SUMIF(DPR!$AH$9:$AH$1634,DPRavg!$B24,DPR!T$9:T$1634)</f>
        <v>11.091721</v>
      </c>
      <c r="U24">
        <f>SUMIF(DPR!$AH$9:$AH$1634,DPRavg!$B24,DPR!U$9:U$1634)</f>
        <v>0.10572022245693719</v>
      </c>
      <c r="V24">
        <f>SUMIF(DPR!$AH$9:$AH$1634,DPRavg!$B24,DPR!V$9:V$1634)</f>
        <v>1.0330000000000004</v>
      </c>
      <c r="W24">
        <f>SUMIF(DPR!$AH$9:$AH$1634,DPRavg!$B24,DPR!W$9:W$1634)</f>
        <v>7.4743970000000006</v>
      </c>
      <c r="X24">
        <f>SUMIF(DPR!$AH$9:$AH$1634,DPRavg!$B24,DPR!X$9:X$1634)</f>
        <v>229.11008498727153</v>
      </c>
      <c r="Y24">
        <f>SUMIF(DPR!$AH$9:$AH$1634,DPRavg!$B24,DPR!Y$9:Y$1634)</f>
        <v>273.73499999999996</v>
      </c>
      <c r="Z24">
        <f>SUMIF(DPR!$AH$9:$AH$1634,DPRavg!$B24,DPR!Z$9:Z$1634)</f>
        <v>0</v>
      </c>
      <c r="AA24">
        <f>SUMIF(DPR!$AH$9:$AH$1634,DPRavg!$B24,DPR!AA$9:AA$1634)</f>
        <v>0</v>
      </c>
      <c r="AB24">
        <f>SUMIF(DPR!$AH$9:$AH$1634,DPRavg!$B24,DPR!AB$9:AB$1634)</f>
        <v>0</v>
      </c>
      <c r="AC24">
        <f>SUMIF(DPR!$AH$9:$AH$1634,DPRavg!$B24,DPR!AC$9:AC$1634)</f>
        <v>6.0487559005173477</v>
      </c>
      <c r="AD24">
        <f>SUMIF(DPR!$AH$9:$AH$1634,DPRavg!$B24,DPR!AD$9:AD$1634)</f>
        <v>3.3070647633988108</v>
      </c>
      <c r="AE24">
        <f>SUMIF(DPR!$AH$9:$AH$1634,DPRavg!$B24,DPR!AE$9:AE$1634)</f>
        <v>0</v>
      </c>
      <c r="AF24">
        <f>SUMIF(DPR!$AH$9:$AH$1634,DPRavg!$B24,DPR!AF$9:AF$1634)</f>
        <v>440.57834272979807</v>
      </c>
      <c r="AG24">
        <f>SUMIF(DPR!$AH$9:$AH$1634,DPRavg!$B24,DPR!AG$9:AG$1634)</f>
        <v>212.35881615892393</v>
      </c>
    </row>
    <row r="25" spans="1:33">
      <c r="C25" t="s">
        <v>136</v>
      </c>
      <c r="D25">
        <f>COUNTIF(DPR!$AH$9:$AH$1634,DPRavg!$B24)</f>
        <v>31</v>
      </c>
      <c r="E25">
        <f>COUNTIF(DPR!$AH$9:$AH$1634,DPRavg!$B24)</f>
        <v>31</v>
      </c>
      <c r="F25">
        <f>COUNTIF(DPR!$AH$9:$AH$1634,DPRavg!$B24)</f>
        <v>31</v>
      </c>
      <c r="G25">
        <f>COUNTIF(DPR!$AH$9:$AH$1634,DPRavg!$B24)</f>
        <v>31</v>
      </c>
      <c r="H25">
        <f>COUNTIF(DPR!$AH$9:$AH$1634,DPRavg!$B24)</f>
        <v>31</v>
      </c>
      <c r="I25">
        <f>COUNTIF(DPR!$AH$9:$AH$1634,DPRavg!$B24)</f>
        <v>31</v>
      </c>
      <c r="J25">
        <f>COUNTIF(DPR!$AH$9:$AH$1634,DPRavg!$B24)</f>
        <v>31</v>
      </c>
      <c r="K25">
        <f>COUNTIF(DPR!$AH$9:$AH$1634,DPRavg!$B24)</f>
        <v>31</v>
      </c>
      <c r="L25">
        <f>COUNTIF(DPR!$AH$9:$AH$1634,DPRavg!$B24)</f>
        <v>31</v>
      </c>
      <c r="M25">
        <f>COUNTIF(DPR!$AH$9:$AH$1634,DPRavg!$B24)</f>
        <v>31</v>
      </c>
      <c r="N25">
        <f>COUNTIF(DPR!$AH$9:$AH$1634,DPRavg!$B24)</f>
        <v>31</v>
      </c>
      <c r="O25">
        <f>COUNTIF(DPR!$AH$9:$AH$1634,DPRavg!$B24)</f>
        <v>31</v>
      </c>
      <c r="P25">
        <f>COUNTIF(DPR!$AH$9:$AH$1634,DPRavg!$B24)</f>
        <v>31</v>
      </c>
      <c r="Q25">
        <f>COUNTIF(DPR!$AH$9:$AH$1634,DPRavg!$B24)</f>
        <v>31</v>
      </c>
      <c r="R25">
        <f>COUNTIF(DPR!$AH$9:$AH$1634,DPRavg!$B24)</f>
        <v>31</v>
      </c>
      <c r="S25">
        <f>COUNTIF(DPR!$AH$9:$AH$1634,DPRavg!$B24)</f>
        <v>31</v>
      </c>
      <c r="T25">
        <f>COUNTIF(DPR!$AH$9:$AH$1634,DPRavg!$B24)</f>
        <v>31</v>
      </c>
      <c r="U25">
        <f>COUNTIF(DPR!$AH$9:$AH$1634,DPRavg!$B24)</f>
        <v>31</v>
      </c>
      <c r="V25">
        <f>COUNTIF(DPR!$AH$9:$AH$1634,DPRavg!$B24)</f>
        <v>31</v>
      </c>
      <c r="W25">
        <f>COUNTIF(DPR!$AH$9:$AH$1634,DPRavg!$B24)</f>
        <v>31</v>
      </c>
      <c r="X25">
        <f>COUNTIF(DPR!$AH$9:$AH$1634,DPRavg!$B24)</f>
        <v>31</v>
      </c>
      <c r="Y25">
        <f>COUNTIF(DPR!$AH$9:$AH$1634,DPRavg!$B24)</f>
        <v>31</v>
      </c>
      <c r="Z25">
        <f>COUNTIF(DPR!$AH$9:$AH$1634,DPRavg!$B24)</f>
        <v>31</v>
      </c>
      <c r="AA25">
        <f>COUNTIF(DPR!$AH$9:$AH$1634,DPRavg!$B24)</f>
        <v>31</v>
      </c>
      <c r="AB25">
        <f>COUNTIF(DPR!$AH$9:$AH$1634,DPRavg!$B24)</f>
        <v>31</v>
      </c>
      <c r="AC25">
        <f>COUNTIF(DPR!$AH$9:$AH$1634,DPRavg!$B24)</f>
        <v>31</v>
      </c>
      <c r="AD25">
        <f>COUNTIF(DPR!$AH$9:$AH$1634,DPRavg!$B24)</f>
        <v>31</v>
      </c>
      <c r="AE25">
        <f>COUNTIF(DPR!$AH$9:$AH$1634,DPRavg!$B24)</f>
        <v>31</v>
      </c>
      <c r="AF25">
        <f>COUNTIF(DPR!$AH$9:$AH$1634,DPRavg!$B24)</f>
        <v>31</v>
      </c>
      <c r="AG25">
        <f>COUNTIF(DPR!$AH$9:$AH$1634,DPRavg!$B24)</f>
        <v>31</v>
      </c>
    </row>
    <row r="26" spans="1:33">
      <c r="C26" t="s">
        <v>137</v>
      </c>
      <c r="D26">
        <f t="shared" ref="D26:AG26" si="15">IFERROR(D24/D25,0)</f>
        <v>323477.74193548388</v>
      </c>
      <c r="E26">
        <f t="shared" si="15"/>
        <v>27113.193548387098</v>
      </c>
      <c r="F26">
        <f t="shared" si="15"/>
        <v>20944.533451612908</v>
      </c>
      <c r="G26">
        <f t="shared" si="15"/>
        <v>4874.1290322580644</v>
      </c>
      <c r="H26">
        <f t="shared" si="15"/>
        <v>1884.3225806451612</v>
      </c>
      <c r="I26">
        <f t="shared" si="15"/>
        <v>187256.90322580645</v>
      </c>
      <c r="J26">
        <f t="shared" si="15"/>
        <v>156363.12903225806</v>
      </c>
      <c r="K26">
        <f t="shared" si="15"/>
        <v>55934.42387096773</v>
      </c>
      <c r="L26">
        <f t="shared" si="15"/>
        <v>11924.935483870968</v>
      </c>
      <c r="M26">
        <f t="shared" si="15"/>
        <v>330231.77419354836</v>
      </c>
      <c r="N26">
        <f t="shared" si="15"/>
        <v>6954.8387096774195</v>
      </c>
      <c r="O26">
        <f t="shared" si="15"/>
        <v>5705.6129032258068</v>
      </c>
      <c r="P26">
        <f t="shared" si="15"/>
        <v>0</v>
      </c>
      <c r="Q26">
        <f t="shared" si="15"/>
        <v>0</v>
      </c>
      <c r="R26">
        <f t="shared" si="15"/>
        <v>146987.68595645161</v>
      </c>
      <c r="S26">
        <f t="shared" si="15"/>
        <v>8.2641634110697009</v>
      </c>
      <c r="T26">
        <f t="shared" si="15"/>
        <v>0.35779745161290322</v>
      </c>
      <c r="U26">
        <f t="shared" si="15"/>
        <v>3.4103297566753931E-3</v>
      </c>
      <c r="V26">
        <f t="shared" si="15"/>
        <v>3.3322580645161304E-2</v>
      </c>
      <c r="W26">
        <f t="shared" si="15"/>
        <v>0.2411095806451613</v>
      </c>
      <c r="X26">
        <f t="shared" si="15"/>
        <v>7.3906479028152106</v>
      </c>
      <c r="Y26">
        <f t="shared" si="15"/>
        <v>8.8301612903225788</v>
      </c>
      <c r="Z26">
        <f t="shared" si="15"/>
        <v>0</v>
      </c>
      <c r="AA26">
        <f t="shared" si="15"/>
        <v>0</v>
      </c>
      <c r="AB26">
        <f t="shared" si="15"/>
        <v>0</v>
      </c>
      <c r="AC26">
        <f t="shared" si="15"/>
        <v>0.19512115808120475</v>
      </c>
      <c r="AD26">
        <f t="shared" si="15"/>
        <v>0.10667950849673584</v>
      </c>
      <c r="AE26">
        <f t="shared" si="15"/>
        <v>0</v>
      </c>
      <c r="AF26">
        <f t="shared" si="15"/>
        <v>14.212204604187034</v>
      </c>
      <c r="AG26">
        <f t="shared" si="15"/>
        <v>6.8502843922233527</v>
      </c>
    </row>
    <row r="27" spans="1:33">
      <c r="C27" t="s">
        <v>149</v>
      </c>
      <c r="D27">
        <f>D24*C$6/D$4</f>
        <v>39530.142959604767</v>
      </c>
      <c r="E27">
        <f t="shared" ref="E27:O27" si="16">E24*E$6/E$4</f>
        <v>34149.45554386876</v>
      </c>
      <c r="F27">
        <f t="shared" si="16"/>
        <v>60326.049901965707</v>
      </c>
      <c r="G27">
        <f t="shared" si="16"/>
        <v>11142.760988156271</v>
      </c>
      <c r="H27">
        <f t="shared" si="16"/>
        <v>7569.7956887836017</v>
      </c>
      <c r="I27">
        <f t="shared" si="16"/>
        <v>158271.52398094567</v>
      </c>
      <c r="J27">
        <f t="shared" si="16"/>
        <v>169393.38979137302</v>
      </c>
      <c r="K27">
        <f t="shared" si="16"/>
        <v>59382.436293150669</v>
      </c>
      <c r="L27">
        <f t="shared" si="16"/>
        <v>13115.236821349612</v>
      </c>
      <c r="M27">
        <f t="shared" si="16"/>
        <v>53738.503945931901</v>
      </c>
      <c r="N27">
        <f t="shared" si="16"/>
        <v>3800.6409582048154</v>
      </c>
      <c r="O27">
        <f t="shared" si="16"/>
        <v>10768.583655054903</v>
      </c>
      <c r="P27">
        <f>IFERROR(P24*P$6/P$4,P24*P$6/P$3)</f>
        <v>0</v>
      </c>
      <c r="S27">
        <f>S24*C$6</f>
        <v>7.4935301729874508</v>
      </c>
      <c r="T27">
        <f t="shared" ref="T27:AF27" si="17">T24*T$6</f>
        <v>2.9947646699999999</v>
      </c>
      <c r="U27">
        <f t="shared" si="17"/>
        <v>7.4004155719856024E-2</v>
      </c>
      <c r="V27">
        <f t="shared" si="17"/>
        <v>0.51650000000000018</v>
      </c>
      <c r="W27">
        <f t="shared" si="17"/>
        <v>7.4743970000000006</v>
      </c>
      <c r="X27">
        <f t="shared" si="17"/>
        <v>45.822016997454313</v>
      </c>
      <c r="Y27">
        <f t="shared" si="17"/>
        <v>71.171099999999996</v>
      </c>
      <c r="Z27">
        <f t="shared" si="17"/>
        <v>0</v>
      </c>
      <c r="AA27">
        <f t="shared" si="17"/>
        <v>0</v>
      </c>
      <c r="AB27">
        <f t="shared" si="17"/>
        <v>0</v>
      </c>
      <c r="AC27">
        <f t="shared" si="17"/>
        <v>0.6653631490569083</v>
      </c>
      <c r="AD27">
        <f t="shared" si="17"/>
        <v>1.3228259053595244</v>
      </c>
      <c r="AE27">
        <f t="shared" si="17"/>
        <v>0</v>
      </c>
      <c r="AF27">
        <f t="shared" si="17"/>
        <v>74.898318264065679</v>
      </c>
    </row>
    <row r="28" spans="1:33">
      <c r="C28" t="s">
        <v>150</v>
      </c>
      <c r="D28">
        <f t="shared" ref="D28:P28" si="18">D27/1000000</f>
        <v>3.9530142959604768E-2</v>
      </c>
      <c r="E28">
        <f t="shared" si="18"/>
        <v>3.4149455543868758E-2</v>
      </c>
      <c r="F28">
        <f t="shared" si="18"/>
        <v>6.032604990196571E-2</v>
      </c>
      <c r="G28">
        <f t="shared" si="18"/>
        <v>1.1142760988156272E-2</v>
      </c>
      <c r="H28">
        <f t="shared" si="18"/>
        <v>7.569795688783602E-3</v>
      </c>
      <c r="I28">
        <f t="shared" si="18"/>
        <v>0.15827152398094566</v>
      </c>
      <c r="J28">
        <f t="shared" si="18"/>
        <v>0.16939338979137303</v>
      </c>
      <c r="K28">
        <f t="shared" si="18"/>
        <v>5.9382436293150667E-2</v>
      </c>
      <c r="L28">
        <f t="shared" si="18"/>
        <v>1.3115236821349612E-2</v>
      </c>
      <c r="M28">
        <f t="shared" si="18"/>
        <v>5.3738503945931902E-2</v>
      </c>
      <c r="N28">
        <f t="shared" si="18"/>
        <v>3.8006409582048155E-3</v>
      </c>
      <c r="O28">
        <f t="shared" si="18"/>
        <v>1.0768583655054903E-2</v>
      </c>
      <c r="P28">
        <f t="shared" si="18"/>
        <v>0</v>
      </c>
      <c r="S28">
        <f t="shared" ref="S28:AF28" si="19">S27/1000</f>
        <v>7.4935301729874507E-3</v>
      </c>
      <c r="T28">
        <f t="shared" si="19"/>
        <v>2.9947646699999999E-3</v>
      </c>
      <c r="U28">
        <f t="shared" si="19"/>
        <v>7.4004155719856028E-5</v>
      </c>
      <c r="V28">
        <f t="shared" si="19"/>
        <v>5.1650000000000014E-4</v>
      </c>
      <c r="W28">
        <f t="shared" si="19"/>
        <v>7.4743970000000007E-3</v>
      </c>
      <c r="X28">
        <f t="shared" si="19"/>
        <v>4.5822016997454314E-2</v>
      </c>
      <c r="Y28">
        <f t="shared" si="19"/>
        <v>7.1171100000000001E-2</v>
      </c>
      <c r="Z28">
        <f t="shared" si="19"/>
        <v>0</v>
      </c>
      <c r="AA28">
        <f t="shared" si="19"/>
        <v>0</v>
      </c>
      <c r="AB28">
        <f t="shared" si="19"/>
        <v>0</v>
      </c>
      <c r="AC28">
        <f t="shared" si="19"/>
        <v>6.6536314905690829E-4</v>
      </c>
      <c r="AD28">
        <f t="shared" si="19"/>
        <v>1.3228259053595245E-3</v>
      </c>
      <c r="AE28">
        <f t="shared" si="19"/>
        <v>0</v>
      </c>
      <c r="AF28">
        <f t="shared" si="19"/>
        <v>7.4898318264065677E-2</v>
      </c>
    </row>
    <row r="29" spans="1:33">
      <c r="A29" t="str">
        <f>interFY_transition!D30</f>
        <v>Aug'26</v>
      </c>
      <c r="B29">
        <f>$A$4*100+8</f>
        <v>202608</v>
      </c>
      <c r="C29" t="s">
        <v>148</v>
      </c>
      <c r="D29">
        <f>SUMIF(DPR!$AH$9:$AH$1634,DPRavg!$B29,DPR!D$9:D$1634)</f>
        <v>9357859</v>
      </c>
      <c r="E29">
        <f>SUMIF(DPR!$AH$9:$AH$1634,DPRavg!$B29,DPR!E$9:E$1634)</f>
        <v>1095867</v>
      </c>
      <c r="F29">
        <f>SUMIF(DPR!$AH$9:$AH$1634,DPRavg!$B29,DPR!F$9:F$1634)</f>
        <v>669249.43000000005</v>
      </c>
      <c r="G29">
        <f>SUMIF(DPR!$AH$9:$AH$1634,DPRavg!$B29,DPR!G$9:G$1634)</f>
        <v>154282</v>
      </c>
      <c r="H29">
        <f>SUMIF(DPR!$AH$9:$AH$1634,DPRavg!$B29,DPR!H$9:H$1634)</f>
        <v>57551</v>
      </c>
      <c r="I29">
        <f>SUMIF(DPR!$AH$9:$AH$1634,DPRavg!$B29,DPR!I$9:I$1634)</f>
        <v>5683576</v>
      </c>
      <c r="J29">
        <f>SUMIF(DPR!$AH$9:$AH$1634,DPRavg!$B29,DPR!J$9:J$1634)</f>
        <v>4853930</v>
      </c>
      <c r="K29">
        <f>SUMIF(DPR!$AH$9:$AH$1634,DPRavg!$B29,DPR!K$9:K$1634)</f>
        <v>1676663.8900000001</v>
      </c>
      <c r="L29">
        <f>SUMIF(DPR!$AH$9:$AH$1634,DPRavg!$B29,DPR!L$9:L$1634)</f>
        <v>381945</v>
      </c>
      <c r="M29">
        <f>SUMIF(DPR!$AH$9:$AH$1634,DPRavg!$B29,DPR!M$9:M$1634)</f>
        <v>13365805</v>
      </c>
      <c r="N29">
        <f>SUMIF(DPR!$AH$9:$AH$1634,DPRavg!$B29,DPR!N$9:N$1634)</f>
        <v>214316</v>
      </c>
      <c r="O29">
        <f>SUMIF(DPR!$AH$9:$AH$1634,DPRavg!$B29,DPR!O$9:O$1634)</f>
        <v>176940</v>
      </c>
      <c r="P29">
        <f>SUMIF(DPR!$AH$9:$AH$1634,DPRavg!$B29,DPR!P$9:P$1634)</f>
        <v>0</v>
      </c>
      <c r="Q29">
        <f>SUMIF(DPR!$AH$9:$AH$1634,DPRavg!$B29,DPR!Q$9:Q$1634)</f>
        <v>0</v>
      </c>
      <c r="R29">
        <f>SUMIF(DPR!$AH$9:$AH$1634,DPRavg!$B29,DPR!R$9:R$1634)</f>
        <v>4711798.2305000005</v>
      </c>
      <c r="S29">
        <f>SUMIF(DPR!$AH$9:$AH$1634,DPRavg!$B29,DPR!S$9:S$1634)</f>
        <v>247.64842969075201</v>
      </c>
      <c r="T29">
        <f>SUMIF(DPR!$AH$9:$AH$1634,DPRavg!$B29,DPR!T$9:T$1634)</f>
        <v>15.960425000000004</v>
      </c>
      <c r="U29">
        <f>SUMIF(DPR!$AH$9:$AH$1634,DPRavg!$B29,DPR!U$9:U$1634)</f>
        <v>0.13229335092751743</v>
      </c>
      <c r="V29">
        <f>SUMIF(DPR!$AH$9:$AH$1634,DPRavg!$B29,DPR!V$9:V$1634)</f>
        <v>0.77000000000000046</v>
      </c>
      <c r="W29">
        <f>SUMIF(DPR!$AH$9:$AH$1634,DPRavg!$B29,DPR!W$9:W$1634)</f>
        <v>7.6499679999999985</v>
      </c>
      <c r="X29">
        <f>SUMIF(DPR!$AH$9:$AH$1634,DPRavg!$B29,DPR!X$9:X$1634)</f>
        <v>214.64185927390014</v>
      </c>
      <c r="Y29">
        <f>SUMIF(DPR!$AH$9:$AH$1634,DPRavg!$B29,DPR!Y$9:Y$1634)</f>
        <v>313.97758599999992</v>
      </c>
      <c r="Z29">
        <f>SUMIF(DPR!$AH$9:$AH$1634,DPRavg!$B29,DPR!Z$9:Z$1634)</f>
        <v>0</v>
      </c>
      <c r="AA29">
        <f>SUMIF(DPR!$AH$9:$AH$1634,DPRavg!$B29,DPR!AA$9:AA$1634)</f>
        <v>0</v>
      </c>
      <c r="AB29">
        <f>SUMIF(DPR!$AH$9:$AH$1634,DPRavg!$B29,DPR!AB$9:AB$1634)</f>
        <v>0</v>
      </c>
      <c r="AC29">
        <f>SUMIF(DPR!$AH$9:$AH$1634,DPRavg!$B29,DPR!AC$9:AC$1634)</f>
        <v>6.0085460162481912</v>
      </c>
      <c r="AD29">
        <f>SUMIF(DPR!$AH$9:$AH$1634,DPRavg!$B29,DPR!AD$9:AD$1634)</f>
        <v>2.6575052315324776</v>
      </c>
      <c r="AE29">
        <f>SUMIF(DPR!$AH$9:$AH$1634,DPRavg!$B29,DPR!AE$9:AE$1634)</f>
        <v>0</v>
      </c>
      <c r="AF29">
        <f>SUMIF(DPR!$AH$9:$AH$1634,DPRavg!$B29,DPR!AF$9:AF$1634)</f>
        <v>436.23292849719815</v>
      </c>
      <c r="AG29">
        <f>SUMIF(DPR!$AH$9:$AH$1634,DPRavg!$B29,DPR!AG$9:AG$1634)</f>
        <v>220.03408353215849</v>
      </c>
    </row>
    <row r="30" spans="1:33">
      <c r="C30" t="s">
        <v>136</v>
      </c>
      <c r="D30">
        <f>COUNTIF(DPR!$AH$9:$AH$1634,DPRavg!$B29)</f>
        <v>31</v>
      </c>
      <c r="E30">
        <f>COUNTIF(DPR!$AH$9:$AH$1634,DPRavg!$B29)</f>
        <v>31</v>
      </c>
      <c r="F30">
        <f>COUNTIF(DPR!$AH$9:$AH$1634,DPRavg!$B29)</f>
        <v>31</v>
      </c>
      <c r="G30">
        <f>COUNTIF(DPR!$AH$9:$AH$1634,DPRavg!$B29)</f>
        <v>31</v>
      </c>
      <c r="H30">
        <f>COUNTIF(DPR!$AH$9:$AH$1634,DPRavg!$B29)</f>
        <v>31</v>
      </c>
      <c r="I30">
        <f>COUNTIF(DPR!$AH$9:$AH$1634,DPRavg!$B29)</f>
        <v>31</v>
      </c>
      <c r="J30">
        <f>COUNTIF(DPR!$AH$9:$AH$1634,DPRavg!$B29)</f>
        <v>31</v>
      </c>
      <c r="K30">
        <f>COUNTIF(DPR!$AH$9:$AH$1634,DPRavg!$B29)</f>
        <v>31</v>
      </c>
      <c r="L30">
        <f>COUNTIF(DPR!$AH$9:$AH$1634,DPRavg!$B29)</f>
        <v>31</v>
      </c>
      <c r="M30">
        <f>COUNTIF(DPR!$AH$9:$AH$1634,DPRavg!$B29)</f>
        <v>31</v>
      </c>
      <c r="N30">
        <f>COUNTIF(DPR!$AH$9:$AH$1634,DPRavg!$B29)</f>
        <v>31</v>
      </c>
      <c r="O30">
        <f>COUNTIF(DPR!$AH$9:$AH$1634,DPRavg!$B29)</f>
        <v>31</v>
      </c>
      <c r="P30">
        <f>COUNTIF(DPR!$AH$9:$AH$1634,DPRavg!$B29)</f>
        <v>31</v>
      </c>
      <c r="Q30">
        <f>COUNTIF(DPR!$AH$9:$AH$1634,DPRavg!$B29)</f>
        <v>31</v>
      </c>
      <c r="R30">
        <f>COUNTIF(DPR!$AH$9:$AH$1634,DPRavg!$B29)</f>
        <v>31</v>
      </c>
      <c r="S30">
        <f>COUNTIF(DPR!$AH$9:$AH$1634,DPRavg!$B29)</f>
        <v>31</v>
      </c>
      <c r="T30">
        <f>COUNTIF(DPR!$AH$9:$AH$1634,DPRavg!$B29)</f>
        <v>31</v>
      </c>
      <c r="U30">
        <f>COUNTIF(DPR!$AH$9:$AH$1634,DPRavg!$B29)</f>
        <v>31</v>
      </c>
      <c r="V30">
        <f>COUNTIF(DPR!$AH$9:$AH$1634,DPRavg!$B29)</f>
        <v>31</v>
      </c>
      <c r="W30">
        <f>COUNTIF(DPR!$AH$9:$AH$1634,DPRavg!$B29)</f>
        <v>31</v>
      </c>
      <c r="X30">
        <f>COUNTIF(DPR!$AH$9:$AH$1634,DPRavg!$B29)</f>
        <v>31</v>
      </c>
      <c r="Y30">
        <f>COUNTIF(DPR!$AH$9:$AH$1634,DPRavg!$B29)</f>
        <v>31</v>
      </c>
      <c r="Z30">
        <f>COUNTIF(DPR!$AH$9:$AH$1634,DPRavg!$B29)</f>
        <v>31</v>
      </c>
      <c r="AA30">
        <f>COUNTIF(DPR!$AH$9:$AH$1634,DPRavg!$B29)</f>
        <v>31</v>
      </c>
      <c r="AB30">
        <f>COUNTIF(DPR!$AH$9:$AH$1634,DPRavg!$B29)</f>
        <v>31</v>
      </c>
      <c r="AC30">
        <f>COUNTIF(DPR!$AH$9:$AH$1634,DPRavg!$B29)</f>
        <v>31</v>
      </c>
      <c r="AD30">
        <f>COUNTIF(DPR!$AH$9:$AH$1634,DPRavg!$B29)</f>
        <v>31</v>
      </c>
      <c r="AE30">
        <f>COUNTIF(DPR!$AH$9:$AH$1634,DPRavg!$B29)</f>
        <v>31</v>
      </c>
      <c r="AF30">
        <f>COUNTIF(DPR!$AH$9:$AH$1634,DPRavg!$B29)</f>
        <v>31</v>
      </c>
      <c r="AG30">
        <f>COUNTIF(DPR!$AH$9:$AH$1634,DPRavg!$B29)</f>
        <v>31</v>
      </c>
    </row>
    <row r="31" spans="1:33">
      <c r="C31" t="s">
        <v>137</v>
      </c>
      <c r="D31">
        <f t="shared" ref="D31:AG31" si="20">IFERROR(D29/D30,0)</f>
        <v>301866.41935483873</v>
      </c>
      <c r="E31">
        <f t="shared" si="20"/>
        <v>35350.548387096773</v>
      </c>
      <c r="F31">
        <f t="shared" si="20"/>
        <v>21588.691290322582</v>
      </c>
      <c r="G31">
        <f t="shared" si="20"/>
        <v>4976.8387096774195</v>
      </c>
      <c r="H31">
        <f t="shared" si="20"/>
        <v>1856.483870967742</v>
      </c>
      <c r="I31">
        <f t="shared" si="20"/>
        <v>183341.16129032258</v>
      </c>
      <c r="J31">
        <f t="shared" si="20"/>
        <v>156578.38709677418</v>
      </c>
      <c r="K31">
        <f t="shared" si="20"/>
        <v>54085.931935483874</v>
      </c>
      <c r="L31">
        <f t="shared" si="20"/>
        <v>12320.806451612903</v>
      </c>
      <c r="M31">
        <f t="shared" si="20"/>
        <v>431155</v>
      </c>
      <c r="N31">
        <f t="shared" si="20"/>
        <v>6913.4193548387093</v>
      </c>
      <c r="O31">
        <f t="shared" si="20"/>
        <v>5707.7419354838712</v>
      </c>
      <c r="P31">
        <f t="shared" si="20"/>
        <v>0</v>
      </c>
      <c r="Q31">
        <f t="shared" si="20"/>
        <v>0</v>
      </c>
      <c r="R31">
        <f t="shared" si="20"/>
        <v>151993.49130645164</v>
      </c>
      <c r="S31">
        <f t="shared" si="20"/>
        <v>7.9886590222823228</v>
      </c>
      <c r="T31">
        <f t="shared" si="20"/>
        <v>0.51485241935483883</v>
      </c>
      <c r="U31">
        <f t="shared" si="20"/>
        <v>4.2675274492747555E-3</v>
      </c>
      <c r="V31">
        <f t="shared" si="20"/>
        <v>2.4838709677419371E-2</v>
      </c>
      <c r="W31">
        <f t="shared" si="20"/>
        <v>0.24677316129032253</v>
      </c>
      <c r="X31">
        <f t="shared" si="20"/>
        <v>6.9239309443193591</v>
      </c>
      <c r="Y31">
        <f t="shared" si="20"/>
        <v>10.128309225806449</v>
      </c>
      <c r="Z31">
        <f t="shared" si="20"/>
        <v>0</v>
      </c>
      <c r="AA31">
        <f t="shared" si="20"/>
        <v>0</v>
      </c>
      <c r="AB31">
        <f t="shared" si="20"/>
        <v>0</v>
      </c>
      <c r="AC31">
        <f t="shared" si="20"/>
        <v>0.19382406504026423</v>
      </c>
      <c r="AD31">
        <f t="shared" si="20"/>
        <v>8.5725975210725086E-2</v>
      </c>
      <c r="AE31">
        <f t="shared" si="20"/>
        <v>0</v>
      </c>
      <c r="AF31">
        <f t="shared" si="20"/>
        <v>14.07202995152252</v>
      </c>
      <c r="AG31">
        <f t="shared" si="20"/>
        <v>7.097873662327693</v>
      </c>
    </row>
    <row r="32" spans="1:33">
      <c r="C32" t="s">
        <v>149</v>
      </c>
      <c r="D32">
        <f>D29*C$6/D$4</f>
        <v>36889.161648039211</v>
      </c>
      <c r="E32">
        <f t="shared" ref="E32:O32" si="21">E29*E$6/E$4</f>
        <v>44524.521924801316</v>
      </c>
      <c r="F32">
        <f t="shared" si="21"/>
        <v>62181.402660837965</v>
      </c>
      <c r="G32">
        <f t="shared" si="21"/>
        <v>11377.565889520216</v>
      </c>
      <c r="H32">
        <f t="shared" si="21"/>
        <v>7457.9606204879829</v>
      </c>
      <c r="I32">
        <f t="shared" si="21"/>
        <v>154961.89729712831</v>
      </c>
      <c r="J32">
        <f t="shared" si="21"/>
        <v>169626.586027941</v>
      </c>
      <c r="K32">
        <f t="shared" si="21"/>
        <v>57419.996224929157</v>
      </c>
      <c r="L32">
        <f t="shared" si="21"/>
        <v>13550.622111245282</v>
      </c>
      <c r="M32">
        <f t="shared" si="21"/>
        <v>70161.706048396736</v>
      </c>
      <c r="N32">
        <f t="shared" si="21"/>
        <v>3778.0063432218144</v>
      </c>
      <c r="O32">
        <f t="shared" si="21"/>
        <v>10772.601919589166</v>
      </c>
      <c r="P32">
        <f>IFERROR(P29*P$6/P$4,P29*P$6/P$3)</f>
        <v>0</v>
      </c>
      <c r="S32">
        <f>S29*C$6</f>
        <v>7.2437165684544969</v>
      </c>
      <c r="T32">
        <f t="shared" ref="T32:AF32" si="22">T29*T$6</f>
        <v>4.3093147500000013</v>
      </c>
      <c r="U32">
        <f t="shared" si="22"/>
        <v>9.2605345649262191E-2</v>
      </c>
      <c r="V32">
        <f t="shared" si="22"/>
        <v>0.38500000000000023</v>
      </c>
      <c r="W32">
        <f t="shared" si="22"/>
        <v>7.6499679999999985</v>
      </c>
      <c r="X32">
        <f t="shared" si="22"/>
        <v>42.928371854780032</v>
      </c>
      <c r="Y32">
        <f t="shared" si="22"/>
        <v>81.63417235999998</v>
      </c>
      <c r="Z32">
        <f t="shared" si="22"/>
        <v>0</v>
      </c>
      <c r="AA32">
        <f t="shared" si="22"/>
        <v>0</v>
      </c>
      <c r="AB32">
        <f t="shared" si="22"/>
        <v>0</v>
      </c>
      <c r="AC32">
        <f t="shared" si="22"/>
        <v>0.66094006178730103</v>
      </c>
      <c r="AD32">
        <f t="shared" si="22"/>
        <v>1.0630020926129911</v>
      </c>
      <c r="AE32">
        <f t="shared" si="22"/>
        <v>0</v>
      </c>
      <c r="AF32">
        <f t="shared" si="22"/>
        <v>74.159597844523688</v>
      </c>
    </row>
    <row r="33" spans="1:33">
      <c r="C33" t="s">
        <v>150</v>
      </c>
      <c r="D33">
        <f t="shared" ref="D33:P33" si="23">D32/1000000</f>
        <v>3.6889161648039209E-2</v>
      </c>
      <c r="E33">
        <f t="shared" si="23"/>
        <v>4.4524521924801316E-2</v>
      </c>
      <c r="F33">
        <f t="shared" si="23"/>
        <v>6.2181402660837964E-2</v>
      </c>
      <c r="G33">
        <f t="shared" si="23"/>
        <v>1.1377565889520215E-2</v>
      </c>
      <c r="H33">
        <f t="shared" si="23"/>
        <v>7.4579606204879826E-3</v>
      </c>
      <c r="I33">
        <f t="shared" si="23"/>
        <v>0.15496189729712831</v>
      </c>
      <c r="J33">
        <f t="shared" si="23"/>
        <v>0.16962658602794101</v>
      </c>
      <c r="K33">
        <f t="shared" si="23"/>
        <v>5.741999622492916E-2</v>
      </c>
      <c r="L33">
        <f t="shared" si="23"/>
        <v>1.3550622111245282E-2</v>
      </c>
      <c r="M33">
        <f t="shared" si="23"/>
        <v>7.0161706048396735E-2</v>
      </c>
      <c r="N33">
        <f t="shared" si="23"/>
        <v>3.7780063432218142E-3</v>
      </c>
      <c r="O33">
        <f t="shared" si="23"/>
        <v>1.0772601919589167E-2</v>
      </c>
      <c r="P33">
        <f t="shared" si="23"/>
        <v>0</v>
      </c>
      <c r="S33">
        <f t="shared" ref="S33:AF33" si="24">S32/1000</f>
        <v>7.2437165684544969E-3</v>
      </c>
      <c r="T33">
        <f t="shared" si="24"/>
        <v>4.3093147500000012E-3</v>
      </c>
      <c r="U33">
        <f t="shared" si="24"/>
        <v>9.2605345649262195E-5</v>
      </c>
      <c r="V33">
        <f t="shared" si="24"/>
        <v>3.8500000000000025E-4</v>
      </c>
      <c r="W33">
        <f t="shared" si="24"/>
        <v>7.6499679999999983E-3</v>
      </c>
      <c r="X33">
        <f t="shared" si="24"/>
        <v>4.2928371854780031E-2</v>
      </c>
      <c r="Y33">
        <f t="shared" si="24"/>
        <v>8.1634172359999979E-2</v>
      </c>
      <c r="Z33">
        <f t="shared" si="24"/>
        <v>0</v>
      </c>
      <c r="AA33">
        <f t="shared" si="24"/>
        <v>0</v>
      </c>
      <c r="AB33">
        <f t="shared" si="24"/>
        <v>0</v>
      </c>
      <c r="AC33">
        <f t="shared" si="24"/>
        <v>6.6094006178730102E-4</v>
      </c>
      <c r="AD33">
        <f t="shared" si="24"/>
        <v>1.063002092612991E-3</v>
      </c>
      <c r="AE33">
        <f t="shared" si="24"/>
        <v>0</v>
      </c>
      <c r="AF33">
        <f t="shared" si="24"/>
        <v>7.4159597844523695E-2</v>
      </c>
    </row>
    <row r="34" spans="1:33">
      <c r="A34" t="str">
        <f>interFY_transition!D31</f>
        <v>Sep'26</v>
      </c>
      <c r="B34">
        <f>$A$4*100+9</f>
        <v>202609</v>
      </c>
      <c r="C34" t="s">
        <v>148</v>
      </c>
      <c r="D34">
        <f>SUMIF(DPR!$AH$9:$AH$1634,DPRavg!$B34,DPR!D$9:D$1634)</f>
        <v>0</v>
      </c>
      <c r="E34">
        <f>SUMIF(DPR!$AH$9:$AH$1634,DPRavg!$B34,DPR!E$9:E$1634)</f>
        <v>0</v>
      </c>
      <c r="F34">
        <f>SUMIF(DPR!$AH$9:$AH$1634,DPRavg!$B34,DPR!F$9:F$1634)</f>
        <v>0</v>
      </c>
      <c r="G34">
        <f>SUMIF(DPR!$AH$9:$AH$1634,DPRavg!$B34,DPR!G$9:G$1634)</f>
        <v>0</v>
      </c>
      <c r="H34">
        <f>SUMIF(DPR!$AH$9:$AH$1634,DPRavg!$B34,DPR!H$9:H$1634)</f>
        <v>0</v>
      </c>
      <c r="I34">
        <f>SUMIF(DPR!$AH$9:$AH$1634,DPRavg!$B34,DPR!I$9:I$1634)</f>
        <v>0</v>
      </c>
      <c r="J34">
        <f>SUMIF(DPR!$AH$9:$AH$1634,DPRavg!$B34,DPR!J$9:J$1634)</f>
        <v>0</v>
      </c>
      <c r="K34">
        <f>SUMIF(DPR!$AH$9:$AH$1634,DPRavg!$B34,DPR!K$9:K$1634)</f>
        <v>0</v>
      </c>
      <c r="L34">
        <f>SUMIF(DPR!$AH$9:$AH$1634,DPRavg!$B34,DPR!L$9:L$1634)</f>
        <v>0</v>
      </c>
      <c r="M34">
        <f>SUMIF(DPR!$AH$9:$AH$1634,DPRavg!$B34,DPR!M$9:M$1634)</f>
        <v>0</v>
      </c>
      <c r="N34">
        <f>SUMIF(DPR!$AH$9:$AH$1634,DPRavg!$B34,DPR!N$9:N$1634)</f>
        <v>0</v>
      </c>
      <c r="O34">
        <f>SUMIF(DPR!$AH$9:$AH$1634,DPRavg!$B34,DPR!O$9:O$1634)</f>
        <v>0</v>
      </c>
      <c r="P34">
        <f>SUMIF(DPR!$AH$9:$AH$1634,DPRavg!$B34,DPR!P$9:P$1634)</f>
        <v>0</v>
      </c>
      <c r="Q34">
        <f>SUMIF(DPR!$AH$9:$AH$1634,DPRavg!$B34,DPR!Q$9:Q$1634)</f>
        <v>0</v>
      </c>
      <c r="R34">
        <f>SUMIF(DPR!$AH$9:$AH$1634,DPRavg!$B34,DPR!R$9:R$1634)</f>
        <v>0</v>
      </c>
      <c r="S34">
        <f>SUMIF(DPR!$AH$9:$AH$1634,DPRavg!$B34,DPR!S$9:S$1634)</f>
        <v>0</v>
      </c>
      <c r="T34">
        <f>SUMIF(DPR!$AH$9:$AH$1634,DPRavg!$B34,DPR!T$9:T$1634)</f>
        <v>0</v>
      </c>
      <c r="U34">
        <f>SUMIF(DPR!$AH$9:$AH$1634,DPRavg!$B34,DPR!U$9:U$1634)</f>
        <v>0</v>
      </c>
      <c r="V34">
        <f>SUMIF(DPR!$AH$9:$AH$1634,DPRavg!$B34,DPR!V$9:V$1634)</f>
        <v>0</v>
      </c>
      <c r="W34">
        <f>SUMIF(DPR!$AH$9:$AH$1634,DPRavg!$B34,DPR!W$9:W$1634)</f>
        <v>0</v>
      </c>
      <c r="X34">
        <f>SUMIF(DPR!$AH$9:$AH$1634,DPRavg!$B34,DPR!X$9:X$1634)</f>
        <v>0</v>
      </c>
      <c r="Y34">
        <f>SUMIF(DPR!$AH$9:$AH$1634,DPRavg!$B34,DPR!Y$9:Y$1634)</f>
        <v>0</v>
      </c>
      <c r="Z34">
        <f>SUMIF(DPR!$AH$9:$AH$1634,DPRavg!$B34,DPR!Z$9:Z$1634)</f>
        <v>0</v>
      </c>
      <c r="AA34">
        <f>SUMIF(DPR!$AH$9:$AH$1634,DPRavg!$B34,DPR!AA$9:AA$1634)</f>
        <v>0</v>
      </c>
      <c r="AB34">
        <f>SUMIF(DPR!$AH$9:$AH$1634,DPRavg!$B34,DPR!AB$9:AB$1634)</f>
        <v>0</v>
      </c>
      <c r="AC34">
        <f>SUMIF(DPR!$AH$9:$AH$1634,DPRavg!$B34,DPR!AC$9:AC$1634)</f>
        <v>0</v>
      </c>
      <c r="AD34">
        <f>SUMIF(DPR!$AH$9:$AH$1634,DPRavg!$B34,DPR!AD$9:AD$1634)</f>
        <v>0</v>
      </c>
      <c r="AE34">
        <f>SUMIF(DPR!$AH$9:$AH$1634,DPRavg!$B34,DPR!AE$9:AE$1634)</f>
        <v>0</v>
      </c>
      <c r="AF34">
        <f>SUMIF(DPR!$AH$9:$AH$1634,DPRavg!$B34,DPR!AF$9:AF$1634)</f>
        <v>0</v>
      </c>
      <c r="AG34">
        <f>SUMIF(DPR!$AH$9:$AH$1634,DPRavg!$B34,DPR!AG$9:AG$1634)</f>
        <v>0</v>
      </c>
    </row>
    <row r="35" spans="1:33">
      <c r="C35" t="s">
        <v>136</v>
      </c>
      <c r="D35">
        <f>COUNTIF(DPR!$AH$9:$AH$1634,DPRavg!$B34)</f>
        <v>0</v>
      </c>
      <c r="E35">
        <f>COUNTIF(DPR!$AH$9:$AH$1634,DPRavg!$B34)</f>
        <v>0</v>
      </c>
      <c r="F35">
        <f>COUNTIF(DPR!$AH$9:$AH$1634,DPRavg!$B34)</f>
        <v>0</v>
      </c>
      <c r="G35">
        <f>COUNTIF(DPR!$AH$9:$AH$1634,DPRavg!$B34)</f>
        <v>0</v>
      </c>
      <c r="H35">
        <f>COUNTIF(DPR!$AH$9:$AH$1634,DPRavg!$B34)</f>
        <v>0</v>
      </c>
      <c r="I35">
        <f>COUNTIF(DPR!$AH$9:$AH$1634,DPRavg!$B34)</f>
        <v>0</v>
      </c>
      <c r="J35">
        <f>COUNTIF(DPR!$AH$9:$AH$1634,DPRavg!$B34)</f>
        <v>0</v>
      </c>
      <c r="K35">
        <f>COUNTIF(DPR!$AH$9:$AH$1634,DPRavg!$B34)</f>
        <v>0</v>
      </c>
      <c r="L35">
        <f>COUNTIF(DPR!$AH$9:$AH$1634,DPRavg!$B34)</f>
        <v>0</v>
      </c>
      <c r="M35">
        <f>COUNTIF(DPR!$AH$9:$AH$1634,DPRavg!$B34)</f>
        <v>0</v>
      </c>
      <c r="N35">
        <f>COUNTIF(DPR!$AH$9:$AH$1634,DPRavg!$B34)</f>
        <v>0</v>
      </c>
      <c r="O35">
        <f>COUNTIF(DPR!$AH$9:$AH$1634,DPRavg!$B34)</f>
        <v>0</v>
      </c>
      <c r="P35">
        <f>COUNTIF(DPR!$AH$9:$AH$1634,DPRavg!$B34)</f>
        <v>0</v>
      </c>
      <c r="Q35">
        <f>COUNTIF(DPR!$AH$9:$AH$1634,DPRavg!$B34)</f>
        <v>0</v>
      </c>
      <c r="R35">
        <f>COUNTIF(DPR!$AH$9:$AH$1634,DPRavg!$B34)</f>
        <v>0</v>
      </c>
      <c r="S35">
        <f>COUNTIF(DPR!$AH$9:$AH$1634,DPRavg!$B34)</f>
        <v>0</v>
      </c>
      <c r="T35">
        <f>COUNTIF(DPR!$AH$9:$AH$1634,DPRavg!$B34)</f>
        <v>0</v>
      </c>
      <c r="U35">
        <f>COUNTIF(DPR!$AH$9:$AH$1634,DPRavg!$B34)</f>
        <v>0</v>
      </c>
      <c r="V35">
        <f>COUNTIF(DPR!$AH$9:$AH$1634,DPRavg!$B34)</f>
        <v>0</v>
      </c>
      <c r="W35">
        <f>COUNTIF(DPR!$AH$9:$AH$1634,DPRavg!$B34)</f>
        <v>0</v>
      </c>
      <c r="X35">
        <f>COUNTIF(DPR!$AH$9:$AH$1634,DPRavg!$B34)</f>
        <v>0</v>
      </c>
      <c r="Y35">
        <f>COUNTIF(DPR!$AH$9:$AH$1634,DPRavg!$B34)</f>
        <v>0</v>
      </c>
      <c r="Z35">
        <f>COUNTIF(DPR!$AH$9:$AH$1634,DPRavg!$B34)</f>
        <v>0</v>
      </c>
      <c r="AA35">
        <f>COUNTIF(DPR!$AH$9:$AH$1634,DPRavg!$B34)</f>
        <v>0</v>
      </c>
      <c r="AB35">
        <f>COUNTIF(DPR!$AH$9:$AH$1634,DPRavg!$B34)</f>
        <v>0</v>
      </c>
      <c r="AC35">
        <f>COUNTIF(DPR!$AH$9:$AH$1634,DPRavg!$B34)</f>
        <v>0</v>
      </c>
      <c r="AD35">
        <f>COUNTIF(DPR!$AH$9:$AH$1634,DPRavg!$B34)</f>
        <v>0</v>
      </c>
      <c r="AE35">
        <f>COUNTIF(DPR!$AH$9:$AH$1634,DPRavg!$B34)</f>
        <v>0</v>
      </c>
      <c r="AF35">
        <f>COUNTIF(DPR!$AH$9:$AH$1634,DPRavg!$B34)</f>
        <v>0</v>
      </c>
      <c r="AG35">
        <f>COUNTIF(DPR!$AH$9:$AH$1634,DPRavg!$B34)</f>
        <v>0</v>
      </c>
    </row>
    <row r="36" spans="1:33">
      <c r="C36" t="s">
        <v>137</v>
      </c>
      <c r="D36">
        <f t="shared" ref="D36:AG36" si="25">IFERROR(D34/D35,0)</f>
        <v>0</v>
      </c>
      <c r="E36">
        <f t="shared" si="25"/>
        <v>0</v>
      </c>
      <c r="F36">
        <f t="shared" si="25"/>
        <v>0</v>
      </c>
      <c r="G36">
        <f t="shared" si="25"/>
        <v>0</v>
      </c>
      <c r="H36">
        <f t="shared" si="25"/>
        <v>0</v>
      </c>
      <c r="I36">
        <f t="shared" si="25"/>
        <v>0</v>
      </c>
      <c r="J36">
        <f t="shared" si="25"/>
        <v>0</v>
      </c>
      <c r="K36">
        <f t="shared" si="25"/>
        <v>0</v>
      </c>
      <c r="L36">
        <f t="shared" si="25"/>
        <v>0</v>
      </c>
      <c r="M36">
        <f t="shared" si="25"/>
        <v>0</v>
      </c>
      <c r="N36">
        <f t="shared" si="25"/>
        <v>0</v>
      </c>
      <c r="O36">
        <f t="shared" si="25"/>
        <v>0</v>
      </c>
      <c r="P36">
        <f t="shared" si="25"/>
        <v>0</v>
      </c>
      <c r="Q36">
        <f t="shared" si="25"/>
        <v>0</v>
      </c>
      <c r="R36">
        <f t="shared" si="25"/>
        <v>0</v>
      </c>
      <c r="S36">
        <f t="shared" si="25"/>
        <v>0</v>
      </c>
      <c r="T36">
        <f t="shared" si="25"/>
        <v>0</v>
      </c>
      <c r="U36">
        <f t="shared" si="25"/>
        <v>0</v>
      </c>
      <c r="V36">
        <f t="shared" si="25"/>
        <v>0</v>
      </c>
      <c r="W36">
        <f t="shared" si="25"/>
        <v>0</v>
      </c>
      <c r="X36">
        <f t="shared" si="25"/>
        <v>0</v>
      </c>
      <c r="Y36">
        <f t="shared" si="25"/>
        <v>0</v>
      </c>
      <c r="Z36">
        <f t="shared" si="25"/>
        <v>0</v>
      </c>
      <c r="AA36">
        <f t="shared" si="25"/>
        <v>0</v>
      </c>
      <c r="AB36">
        <f t="shared" si="25"/>
        <v>0</v>
      </c>
      <c r="AC36">
        <f t="shared" si="25"/>
        <v>0</v>
      </c>
      <c r="AD36">
        <f t="shared" si="25"/>
        <v>0</v>
      </c>
      <c r="AE36">
        <f t="shared" si="25"/>
        <v>0</v>
      </c>
      <c r="AF36">
        <f t="shared" si="25"/>
        <v>0</v>
      </c>
      <c r="AG36">
        <f t="shared" si="25"/>
        <v>0</v>
      </c>
    </row>
    <row r="37" spans="1:33">
      <c r="C37" t="s">
        <v>149</v>
      </c>
      <c r="D37">
        <f t="shared" ref="D37:O37" si="26">D34*D$6/D$4</f>
        <v>0</v>
      </c>
      <c r="E37">
        <f t="shared" si="26"/>
        <v>0</v>
      </c>
      <c r="F37">
        <f t="shared" si="26"/>
        <v>0</v>
      </c>
      <c r="G37">
        <f t="shared" si="26"/>
        <v>0</v>
      </c>
      <c r="H37">
        <f t="shared" si="26"/>
        <v>0</v>
      </c>
      <c r="I37">
        <f t="shared" si="26"/>
        <v>0</v>
      </c>
      <c r="J37">
        <f t="shared" si="26"/>
        <v>0</v>
      </c>
      <c r="K37">
        <f t="shared" si="26"/>
        <v>0</v>
      </c>
      <c r="L37">
        <f t="shared" si="26"/>
        <v>0</v>
      </c>
      <c r="M37">
        <f t="shared" si="26"/>
        <v>0</v>
      </c>
      <c r="N37">
        <f t="shared" si="26"/>
        <v>0</v>
      </c>
      <c r="O37">
        <f t="shared" si="26"/>
        <v>0</v>
      </c>
      <c r="P37">
        <f>IFERROR(P34*P$6/P$4,P34*P$6/P$3)</f>
        <v>0</v>
      </c>
      <c r="S37">
        <f t="shared" ref="S37:AF37" si="27">S34*S$6</f>
        <v>0</v>
      </c>
      <c r="T37">
        <f t="shared" si="27"/>
        <v>0</v>
      </c>
      <c r="U37">
        <f t="shared" si="27"/>
        <v>0</v>
      </c>
      <c r="V37">
        <f t="shared" si="27"/>
        <v>0</v>
      </c>
      <c r="W37">
        <f t="shared" si="27"/>
        <v>0</v>
      </c>
      <c r="X37">
        <f t="shared" si="27"/>
        <v>0</v>
      </c>
      <c r="Y37">
        <f t="shared" si="27"/>
        <v>0</v>
      </c>
      <c r="Z37">
        <f t="shared" si="27"/>
        <v>0</v>
      </c>
      <c r="AA37">
        <f t="shared" si="27"/>
        <v>0</v>
      </c>
      <c r="AB37">
        <f t="shared" si="27"/>
        <v>0</v>
      </c>
      <c r="AC37">
        <f t="shared" si="27"/>
        <v>0</v>
      </c>
      <c r="AD37">
        <f t="shared" si="27"/>
        <v>0</v>
      </c>
      <c r="AE37">
        <f t="shared" si="27"/>
        <v>0</v>
      </c>
      <c r="AF37">
        <f t="shared" si="27"/>
        <v>0</v>
      </c>
    </row>
    <row r="38" spans="1:33">
      <c r="C38" t="s">
        <v>150</v>
      </c>
      <c r="D38">
        <f t="shared" ref="D38:P38" si="28">D37/1000000</f>
        <v>0</v>
      </c>
      <c r="E38">
        <f t="shared" si="28"/>
        <v>0</v>
      </c>
      <c r="F38">
        <f t="shared" si="28"/>
        <v>0</v>
      </c>
      <c r="G38">
        <f t="shared" si="28"/>
        <v>0</v>
      </c>
      <c r="H38">
        <f t="shared" si="28"/>
        <v>0</v>
      </c>
      <c r="I38">
        <f t="shared" si="28"/>
        <v>0</v>
      </c>
      <c r="J38">
        <f t="shared" si="28"/>
        <v>0</v>
      </c>
      <c r="K38">
        <f t="shared" si="28"/>
        <v>0</v>
      </c>
      <c r="L38">
        <f t="shared" si="28"/>
        <v>0</v>
      </c>
      <c r="M38">
        <f t="shared" si="28"/>
        <v>0</v>
      </c>
      <c r="N38">
        <f t="shared" si="28"/>
        <v>0</v>
      </c>
      <c r="O38">
        <f t="shared" si="28"/>
        <v>0</v>
      </c>
      <c r="P38">
        <f t="shared" si="28"/>
        <v>0</v>
      </c>
      <c r="S38">
        <f t="shared" ref="S38:AF38" si="29">S37/1000</f>
        <v>0</v>
      </c>
      <c r="T38">
        <f t="shared" si="29"/>
        <v>0</v>
      </c>
      <c r="U38">
        <f t="shared" si="29"/>
        <v>0</v>
      </c>
      <c r="V38">
        <f t="shared" si="29"/>
        <v>0</v>
      </c>
      <c r="W38">
        <f t="shared" si="29"/>
        <v>0</v>
      </c>
      <c r="X38">
        <f t="shared" si="29"/>
        <v>0</v>
      </c>
      <c r="Y38">
        <f t="shared" si="29"/>
        <v>0</v>
      </c>
      <c r="Z38">
        <f t="shared" si="29"/>
        <v>0</v>
      </c>
      <c r="AA38">
        <f t="shared" si="29"/>
        <v>0</v>
      </c>
      <c r="AB38">
        <f t="shared" si="29"/>
        <v>0</v>
      </c>
      <c r="AC38">
        <f t="shared" si="29"/>
        <v>0</v>
      </c>
      <c r="AD38">
        <f t="shared" si="29"/>
        <v>0</v>
      </c>
      <c r="AE38">
        <f t="shared" si="29"/>
        <v>0</v>
      </c>
      <c r="AF38">
        <f t="shared" si="29"/>
        <v>0</v>
      </c>
    </row>
    <row r="39" spans="1:33">
      <c r="A39" t="str">
        <f>interFY_transition!D32</f>
        <v>Oct'26</v>
      </c>
      <c r="B39">
        <f>$A$4*100+10</f>
        <v>202610</v>
      </c>
      <c r="C39" t="s">
        <v>148</v>
      </c>
      <c r="D39">
        <f>SUMIF(DPR!$AH$9:$AH$1634,DPRavg!$B39,DPR!D$9:D$1634)</f>
        <v>0</v>
      </c>
      <c r="E39">
        <f>SUMIF(DPR!$AH$9:$AH$1634,DPRavg!$B39,DPR!E$9:E$1634)</f>
        <v>0</v>
      </c>
      <c r="F39">
        <f>SUMIF(DPR!$AH$9:$AH$1634,DPRavg!$B39,DPR!F$9:F$1634)</f>
        <v>0</v>
      </c>
      <c r="G39">
        <f>SUMIF(DPR!$AH$9:$AH$1634,DPRavg!$B39,DPR!G$9:G$1634)</f>
        <v>0</v>
      </c>
      <c r="H39">
        <f>SUMIF(DPR!$AH$9:$AH$1634,DPRavg!$B39,DPR!H$9:H$1634)</f>
        <v>0</v>
      </c>
      <c r="I39">
        <f>SUMIF(DPR!$AH$9:$AH$1634,DPRavg!$B39,DPR!I$9:I$1634)</f>
        <v>0</v>
      </c>
      <c r="J39">
        <f>SUMIF(DPR!$AH$9:$AH$1634,DPRavg!$B39,DPR!J$9:J$1634)</f>
        <v>0</v>
      </c>
      <c r="K39">
        <f>SUMIF(DPR!$AH$9:$AH$1634,DPRavg!$B39,DPR!K$9:K$1634)</f>
        <v>0</v>
      </c>
      <c r="L39">
        <f>SUMIF(DPR!$AH$9:$AH$1634,DPRavg!$B39,DPR!L$9:L$1634)</f>
        <v>0</v>
      </c>
      <c r="M39">
        <f>SUMIF(DPR!$AH$9:$AH$1634,DPRavg!$B39,DPR!M$9:M$1634)</f>
        <v>0</v>
      </c>
      <c r="N39">
        <f>SUMIF(DPR!$AH$9:$AH$1634,DPRavg!$B39,DPR!N$9:N$1634)</f>
        <v>0</v>
      </c>
      <c r="O39">
        <f>SUMIF(DPR!$AH$9:$AH$1634,DPRavg!$B39,DPR!O$9:O$1634)</f>
        <v>0</v>
      </c>
      <c r="P39">
        <f>SUMIF(DPR!$AH$9:$AH$1634,DPRavg!$B39,DPR!P$9:P$1634)</f>
        <v>0</v>
      </c>
      <c r="Q39">
        <f>SUMIF(DPR!$AH$9:$AH$1634,DPRavg!$B39,DPR!Q$9:Q$1634)</f>
        <v>0</v>
      </c>
      <c r="R39">
        <f>SUMIF(DPR!$AH$9:$AH$1634,DPRavg!$B39,DPR!R$9:R$1634)</f>
        <v>0</v>
      </c>
      <c r="S39">
        <f>SUMIF(DPR!$AH$9:$AH$1634,DPRavg!$B39,DPR!S$9:S$1634)</f>
        <v>0</v>
      </c>
      <c r="T39">
        <f>SUMIF(DPR!$AH$9:$AH$1634,DPRavg!$B39,DPR!T$9:T$1634)</f>
        <v>0</v>
      </c>
      <c r="U39">
        <f>SUMIF(DPR!$AH$9:$AH$1634,DPRavg!$B39,DPR!U$9:U$1634)</f>
        <v>0</v>
      </c>
      <c r="V39">
        <f>SUMIF(DPR!$AH$9:$AH$1634,DPRavg!$B39,DPR!V$9:V$1634)</f>
        <v>0</v>
      </c>
      <c r="W39">
        <f>SUMIF(DPR!$AH$9:$AH$1634,DPRavg!$B39,DPR!W$9:W$1634)</f>
        <v>0</v>
      </c>
      <c r="X39">
        <f>SUMIF(DPR!$AH$9:$AH$1634,DPRavg!$B39,DPR!X$9:X$1634)</f>
        <v>0</v>
      </c>
      <c r="Y39">
        <f>SUMIF(DPR!$AH$9:$AH$1634,DPRavg!$B39,DPR!Y$9:Y$1634)</f>
        <v>0</v>
      </c>
      <c r="Z39">
        <f>SUMIF(DPR!$AH$9:$AH$1634,DPRavg!$B39,DPR!Z$9:Z$1634)</f>
        <v>0</v>
      </c>
      <c r="AA39">
        <f>SUMIF(DPR!$AH$9:$AH$1634,DPRavg!$B39,DPR!AA$9:AA$1634)</f>
        <v>0</v>
      </c>
      <c r="AB39">
        <f>SUMIF(DPR!$AH$9:$AH$1634,DPRavg!$B39,DPR!AB$9:AB$1634)</f>
        <v>0</v>
      </c>
      <c r="AC39">
        <f>SUMIF(DPR!$AH$9:$AH$1634,DPRavg!$B39,DPR!AC$9:AC$1634)</f>
        <v>0</v>
      </c>
      <c r="AD39">
        <f>SUMIF(DPR!$AH$9:$AH$1634,DPRavg!$B39,DPR!AD$9:AD$1634)</f>
        <v>0</v>
      </c>
      <c r="AE39">
        <f>SUMIF(DPR!$AH$9:$AH$1634,DPRavg!$B39,DPR!AE$9:AE$1634)</f>
        <v>0</v>
      </c>
      <c r="AF39">
        <f>SUMIF(DPR!$AH$9:$AH$1634,DPRavg!$B39,DPR!AF$9:AF$1634)</f>
        <v>0</v>
      </c>
      <c r="AG39">
        <f>SUMIF(DPR!$AH$9:$AH$1634,DPRavg!$B39,DPR!AG$9:AG$1634)</f>
        <v>0</v>
      </c>
    </row>
    <row r="40" spans="1:33">
      <c r="C40" t="s">
        <v>136</v>
      </c>
      <c r="D40">
        <f>COUNTIF(DPR!$AH$9:$AH$1634,DPRavg!$B39)</f>
        <v>0</v>
      </c>
      <c r="E40">
        <f>COUNTIF(DPR!$AH$9:$AH$1634,DPRavg!$B39)</f>
        <v>0</v>
      </c>
      <c r="F40">
        <f>COUNTIF(DPR!$AH$9:$AH$1634,DPRavg!$B39)</f>
        <v>0</v>
      </c>
      <c r="G40">
        <f>COUNTIF(DPR!$AH$9:$AH$1634,DPRavg!$B39)</f>
        <v>0</v>
      </c>
      <c r="H40">
        <f>COUNTIF(DPR!$AH$9:$AH$1634,DPRavg!$B39)</f>
        <v>0</v>
      </c>
      <c r="I40">
        <f>COUNTIF(DPR!$AH$9:$AH$1634,DPRavg!$B39)</f>
        <v>0</v>
      </c>
      <c r="J40">
        <f>COUNTIF(DPR!$AH$9:$AH$1634,DPRavg!$B39)</f>
        <v>0</v>
      </c>
      <c r="K40">
        <f>COUNTIF(DPR!$AH$9:$AH$1634,DPRavg!$B39)</f>
        <v>0</v>
      </c>
      <c r="L40">
        <f>COUNTIF(DPR!$AH$9:$AH$1634,DPRavg!$B39)</f>
        <v>0</v>
      </c>
      <c r="M40">
        <f>COUNTIF(DPR!$AH$9:$AH$1634,DPRavg!$B39)</f>
        <v>0</v>
      </c>
      <c r="N40">
        <f>COUNTIF(DPR!$AH$9:$AH$1634,DPRavg!$B39)</f>
        <v>0</v>
      </c>
      <c r="O40">
        <f>COUNTIF(DPR!$AH$9:$AH$1634,DPRavg!$B39)</f>
        <v>0</v>
      </c>
      <c r="P40">
        <f>COUNTIF(DPR!$AH$9:$AH$1634,DPRavg!$B39)</f>
        <v>0</v>
      </c>
      <c r="Q40">
        <f>COUNTIF(DPR!$AH$9:$AH$1634,DPRavg!$B39)</f>
        <v>0</v>
      </c>
      <c r="R40">
        <f>COUNTIF(DPR!$AH$9:$AH$1634,DPRavg!$B39)</f>
        <v>0</v>
      </c>
      <c r="S40">
        <f>COUNTIF(DPR!$AH$9:$AH$1634,DPRavg!$B39)</f>
        <v>0</v>
      </c>
      <c r="T40">
        <f>COUNTIF(DPR!$AH$9:$AH$1634,DPRavg!$B39)</f>
        <v>0</v>
      </c>
      <c r="U40">
        <f>COUNTIF(DPR!$AH$9:$AH$1634,DPRavg!$B39)</f>
        <v>0</v>
      </c>
      <c r="V40">
        <f>COUNTIF(DPR!$AH$9:$AH$1634,DPRavg!$B39)</f>
        <v>0</v>
      </c>
      <c r="W40">
        <f>COUNTIF(DPR!$AH$9:$AH$1634,DPRavg!$B39)</f>
        <v>0</v>
      </c>
      <c r="X40">
        <f>COUNTIF(DPR!$AH$9:$AH$1634,DPRavg!$B39)</f>
        <v>0</v>
      </c>
      <c r="Y40">
        <f>COUNTIF(DPR!$AH$9:$AH$1634,DPRavg!$B39)</f>
        <v>0</v>
      </c>
      <c r="Z40">
        <f>COUNTIF(DPR!$AH$9:$AH$1634,DPRavg!$B39)</f>
        <v>0</v>
      </c>
      <c r="AA40">
        <f>COUNTIF(DPR!$AH$9:$AH$1634,DPRavg!$B39)</f>
        <v>0</v>
      </c>
      <c r="AB40">
        <f>COUNTIF(DPR!$AH$9:$AH$1634,DPRavg!$B39)</f>
        <v>0</v>
      </c>
      <c r="AC40">
        <f>COUNTIF(DPR!$AH$9:$AH$1634,DPRavg!$B39)</f>
        <v>0</v>
      </c>
      <c r="AD40">
        <f>COUNTIF(DPR!$AH$9:$AH$1634,DPRavg!$B39)</f>
        <v>0</v>
      </c>
      <c r="AE40">
        <f>COUNTIF(DPR!$AH$9:$AH$1634,DPRavg!$B39)</f>
        <v>0</v>
      </c>
      <c r="AF40">
        <f>COUNTIF(DPR!$AH$9:$AH$1634,DPRavg!$B39)</f>
        <v>0</v>
      </c>
      <c r="AG40">
        <f>COUNTIF(DPR!$AH$9:$AH$1634,DPRavg!$B39)</f>
        <v>0</v>
      </c>
    </row>
    <row r="41" spans="1:33">
      <c r="C41" t="s">
        <v>137</v>
      </c>
      <c r="D41">
        <f t="shared" ref="D41:AG41" si="30">IFERROR(D39/D40,0)</f>
        <v>0</v>
      </c>
      <c r="E41">
        <f t="shared" si="30"/>
        <v>0</v>
      </c>
      <c r="F41">
        <f t="shared" si="30"/>
        <v>0</v>
      </c>
      <c r="G41">
        <f t="shared" si="30"/>
        <v>0</v>
      </c>
      <c r="H41">
        <f t="shared" si="30"/>
        <v>0</v>
      </c>
      <c r="I41">
        <f t="shared" si="30"/>
        <v>0</v>
      </c>
      <c r="J41">
        <f t="shared" si="30"/>
        <v>0</v>
      </c>
      <c r="K41">
        <f t="shared" si="30"/>
        <v>0</v>
      </c>
      <c r="L41">
        <f t="shared" si="30"/>
        <v>0</v>
      </c>
      <c r="M41">
        <f t="shared" si="30"/>
        <v>0</v>
      </c>
      <c r="N41">
        <f t="shared" si="30"/>
        <v>0</v>
      </c>
      <c r="O41">
        <f t="shared" si="30"/>
        <v>0</v>
      </c>
      <c r="P41">
        <f t="shared" si="30"/>
        <v>0</v>
      </c>
      <c r="Q41">
        <f t="shared" si="30"/>
        <v>0</v>
      </c>
      <c r="R41">
        <f t="shared" si="30"/>
        <v>0</v>
      </c>
      <c r="S41">
        <f t="shared" si="30"/>
        <v>0</v>
      </c>
      <c r="T41">
        <f t="shared" si="30"/>
        <v>0</v>
      </c>
      <c r="U41">
        <f t="shared" si="30"/>
        <v>0</v>
      </c>
      <c r="V41">
        <f t="shared" si="30"/>
        <v>0</v>
      </c>
      <c r="W41">
        <f t="shared" si="30"/>
        <v>0</v>
      </c>
      <c r="X41">
        <f t="shared" si="30"/>
        <v>0</v>
      </c>
      <c r="Y41">
        <f t="shared" si="30"/>
        <v>0</v>
      </c>
      <c r="Z41">
        <f t="shared" si="30"/>
        <v>0</v>
      </c>
      <c r="AA41">
        <f t="shared" si="30"/>
        <v>0</v>
      </c>
      <c r="AB41">
        <f t="shared" si="30"/>
        <v>0</v>
      </c>
      <c r="AC41">
        <f t="shared" si="30"/>
        <v>0</v>
      </c>
      <c r="AD41">
        <f t="shared" si="30"/>
        <v>0</v>
      </c>
      <c r="AE41">
        <f t="shared" si="30"/>
        <v>0</v>
      </c>
      <c r="AF41">
        <f t="shared" si="30"/>
        <v>0</v>
      </c>
      <c r="AG41">
        <f t="shared" si="30"/>
        <v>0</v>
      </c>
    </row>
    <row r="42" spans="1:33">
      <c r="C42" t="s">
        <v>149</v>
      </c>
      <c r="D42">
        <f t="shared" ref="D42:O42" si="31">D39*D$6/D$4</f>
        <v>0</v>
      </c>
      <c r="E42">
        <f t="shared" si="31"/>
        <v>0</v>
      </c>
      <c r="F42">
        <f t="shared" si="31"/>
        <v>0</v>
      </c>
      <c r="G42">
        <f t="shared" si="31"/>
        <v>0</v>
      </c>
      <c r="H42">
        <f t="shared" si="31"/>
        <v>0</v>
      </c>
      <c r="I42">
        <f t="shared" si="31"/>
        <v>0</v>
      </c>
      <c r="J42">
        <f t="shared" si="31"/>
        <v>0</v>
      </c>
      <c r="K42">
        <f t="shared" si="31"/>
        <v>0</v>
      </c>
      <c r="L42">
        <f t="shared" si="31"/>
        <v>0</v>
      </c>
      <c r="M42">
        <f t="shared" si="31"/>
        <v>0</v>
      </c>
      <c r="N42">
        <f t="shared" si="31"/>
        <v>0</v>
      </c>
      <c r="O42">
        <f t="shared" si="31"/>
        <v>0</v>
      </c>
      <c r="P42">
        <f>IFERROR(P34*P$6/P$4,P34*P$6/P$3)</f>
        <v>0</v>
      </c>
      <c r="S42">
        <f t="shared" ref="S42:AF42" si="32">S39*S$6</f>
        <v>0</v>
      </c>
      <c r="T42">
        <f t="shared" si="32"/>
        <v>0</v>
      </c>
      <c r="U42">
        <f t="shared" si="32"/>
        <v>0</v>
      </c>
      <c r="V42">
        <f t="shared" si="32"/>
        <v>0</v>
      </c>
      <c r="W42">
        <f t="shared" si="32"/>
        <v>0</v>
      </c>
      <c r="X42">
        <f t="shared" si="32"/>
        <v>0</v>
      </c>
      <c r="Y42">
        <f t="shared" si="32"/>
        <v>0</v>
      </c>
      <c r="Z42">
        <f t="shared" si="32"/>
        <v>0</v>
      </c>
      <c r="AA42">
        <f t="shared" si="32"/>
        <v>0</v>
      </c>
      <c r="AB42">
        <f t="shared" si="32"/>
        <v>0</v>
      </c>
      <c r="AC42">
        <f t="shared" si="32"/>
        <v>0</v>
      </c>
      <c r="AD42">
        <f t="shared" si="32"/>
        <v>0</v>
      </c>
      <c r="AE42">
        <f t="shared" si="32"/>
        <v>0</v>
      </c>
      <c r="AF42">
        <f t="shared" si="32"/>
        <v>0</v>
      </c>
    </row>
    <row r="43" spans="1:33">
      <c r="C43" t="s">
        <v>150</v>
      </c>
      <c r="D43">
        <f t="shared" ref="D43:P43" si="33">D42/1000000</f>
        <v>0</v>
      </c>
      <c r="E43">
        <f t="shared" si="33"/>
        <v>0</v>
      </c>
      <c r="F43">
        <f t="shared" si="33"/>
        <v>0</v>
      </c>
      <c r="G43">
        <f t="shared" si="33"/>
        <v>0</v>
      </c>
      <c r="H43">
        <f t="shared" si="33"/>
        <v>0</v>
      </c>
      <c r="I43">
        <f t="shared" si="33"/>
        <v>0</v>
      </c>
      <c r="J43">
        <f t="shared" si="33"/>
        <v>0</v>
      </c>
      <c r="K43">
        <f t="shared" si="33"/>
        <v>0</v>
      </c>
      <c r="L43">
        <f t="shared" si="33"/>
        <v>0</v>
      </c>
      <c r="M43">
        <f t="shared" si="33"/>
        <v>0</v>
      </c>
      <c r="N43">
        <f t="shared" si="33"/>
        <v>0</v>
      </c>
      <c r="O43">
        <f t="shared" si="33"/>
        <v>0</v>
      </c>
      <c r="P43">
        <f t="shared" si="33"/>
        <v>0</v>
      </c>
      <c r="S43">
        <f t="shared" ref="S43:AF43" si="34">S42/1000</f>
        <v>0</v>
      </c>
      <c r="T43">
        <f t="shared" si="34"/>
        <v>0</v>
      </c>
      <c r="U43">
        <f t="shared" si="34"/>
        <v>0</v>
      </c>
      <c r="V43">
        <f t="shared" si="34"/>
        <v>0</v>
      </c>
      <c r="W43">
        <f t="shared" si="34"/>
        <v>0</v>
      </c>
      <c r="X43">
        <f t="shared" si="34"/>
        <v>0</v>
      </c>
      <c r="Y43">
        <f t="shared" si="34"/>
        <v>0</v>
      </c>
      <c r="Z43">
        <f t="shared" si="34"/>
        <v>0</v>
      </c>
      <c r="AA43">
        <f t="shared" si="34"/>
        <v>0</v>
      </c>
      <c r="AB43">
        <f t="shared" si="34"/>
        <v>0</v>
      </c>
      <c r="AC43">
        <f t="shared" si="34"/>
        <v>0</v>
      </c>
      <c r="AD43">
        <f t="shared" si="34"/>
        <v>0</v>
      </c>
      <c r="AE43">
        <f t="shared" si="34"/>
        <v>0</v>
      </c>
      <c r="AF43">
        <f t="shared" si="34"/>
        <v>0</v>
      </c>
    </row>
    <row r="44" spans="1:33">
      <c r="A44" t="str">
        <f>interFY_transition!D33</f>
        <v>Nov'26</v>
      </c>
      <c r="B44">
        <f>$A$4*100+11</f>
        <v>202611</v>
      </c>
      <c r="C44" t="s">
        <v>148</v>
      </c>
      <c r="D44">
        <f>SUMIF(DPR!$AH$9:$AH$1634,DPRavg!$B44,DPR!D$9:D$1634)</f>
        <v>0</v>
      </c>
      <c r="E44">
        <f>SUMIF(DPR!$AH$9:$AH$1634,DPRavg!$B44,DPR!E$9:E$1634)</f>
        <v>0</v>
      </c>
      <c r="F44">
        <f>SUMIF(DPR!$AH$9:$AH$1634,DPRavg!$B44,DPR!F$9:F$1634)</f>
        <v>0</v>
      </c>
      <c r="G44">
        <f>SUMIF(DPR!$AH$9:$AH$1634,DPRavg!$B44,DPR!G$9:G$1634)</f>
        <v>0</v>
      </c>
      <c r="H44">
        <f>SUMIF(DPR!$AH$9:$AH$1634,DPRavg!$B44,DPR!H$9:H$1634)</f>
        <v>0</v>
      </c>
      <c r="I44">
        <f>SUMIF(DPR!$AH$9:$AH$1634,DPRavg!$B44,DPR!I$9:I$1634)</f>
        <v>0</v>
      </c>
      <c r="J44">
        <f>SUMIF(DPR!$AH$9:$AH$1634,DPRavg!$B44,DPR!J$9:J$1634)</f>
        <v>0</v>
      </c>
      <c r="K44">
        <f>SUMIF(DPR!$AH$9:$AH$1634,DPRavg!$B44,DPR!K$9:K$1634)</f>
        <v>0</v>
      </c>
      <c r="L44">
        <f>SUMIF(DPR!$AH$9:$AH$1634,DPRavg!$B44,DPR!L$9:L$1634)</f>
        <v>0</v>
      </c>
      <c r="M44">
        <f>SUMIF(DPR!$AH$9:$AH$1634,DPRavg!$B44,DPR!M$9:M$1634)</f>
        <v>0</v>
      </c>
      <c r="N44">
        <f>SUMIF(DPR!$AH$9:$AH$1634,DPRavg!$B44,DPR!N$9:N$1634)</f>
        <v>0</v>
      </c>
      <c r="O44">
        <f>SUMIF(DPR!$AH$9:$AH$1634,DPRavg!$B44,DPR!O$9:O$1634)</f>
        <v>0</v>
      </c>
      <c r="P44">
        <f>SUMIF(DPR!$AH$9:$AH$1634,DPRavg!$B44,DPR!P$9:P$1634)</f>
        <v>0</v>
      </c>
      <c r="Q44">
        <f>SUMIF(DPR!$AH$9:$AH$1634,DPRavg!$B44,DPR!Q$9:Q$1634)</f>
        <v>0</v>
      </c>
      <c r="R44">
        <f>SUMIF(DPR!$AH$9:$AH$1634,DPRavg!$B44,DPR!R$9:R$1634)</f>
        <v>0</v>
      </c>
      <c r="S44">
        <f>SUMIF(DPR!$AH$9:$AH$1634,DPRavg!$B44,DPR!S$9:S$1634)</f>
        <v>0</v>
      </c>
      <c r="T44">
        <f>SUMIF(DPR!$AH$9:$AH$1634,DPRavg!$B44,DPR!T$9:T$1634)</f>
        <v>0</v>
      </c>
      <c r="U44">
        <f>SUMIF(DPR!$AH$9:$AH$1634,DPRavg!$B44,DPR!U$9:U$1634)</f>
        <v>0</v>
      </c>
      <c r="V44">
        <f>SUMIF(DPR!$AH$9:$AH$1634,DPRavg!$B44,DPR!V$9:V$1634)</f>
        <v>0</v>
      </c>
      <c r="W44">
        <f>SUMIF(DPR!$AH$9:$AH$1634,DPRavg!$B44,DPR!W$9:W$1634)</f>
        <v>0</v>
      </c>
      <c r="X44">
        <f>SUMIF(DPR!$AH$9:$AH$1634,DPRavg!$B44,DPR!X$9:X$1634)</f>
        <v>0</v>
      </c>
      <c r="Y44">
        <f>SUMIF(DPR!$AH$9:$AH$1634,DPRavg!$B44,DPR!Y$9:Y$1634)</f>
        <v>0</v>
      </c>
      <c r="Z44">
        <f>SUMIF(DPR!$AH$9:$AH$1634,DPRavg!$B44,DPR!Z$9:Z$1634)</f>
        <v>0</v>
      </c>
      <c r="AA44">
        <f>SUMIF(DPR!$AH$9:$AH$1634,DPRavg!$B44,DPR!AA$9:AA$1634)</f>
        <v>0</v>
      </c>
      <c r="AB44">
        <f>SUMIF(DPR!$AH$9:$AH$1634,DPRavg!$B44,DPR!AB$9:AB$1634)</f>
        <v>0</v>
      </c>
      <c r="AC44">
        <f>SUMIF(DPR!$AH$9:$AH$1634,DPRavg!$B44,DPR!AC$9:AC$1634)</f>
        <v>0</v>
      </c>
      <c r="AD44">
        <f>SUMIF(DPR!$AH$9:$AH$1634,DPRavg!$B44,DPR!AD$9:AD$1634)</f>
        <v>0</v>
      </c>
      <c r="AE44">
        <f>SUMIF(DPR!$AH$9:$AH$1634,DPRavg!$B44,DPR!AE$9:AE$1634)</f>
        <v>0</v>
      </c>
      <c r="AF44">
        <f>SUMIF(DPR!$AH$9:$AH$1634,DPRavg!$B44,DPR!AF$9:AF$1634)</f>
        <v>0</v>
      </c>
      <c r="AG44">
        <f>SUMIF(DPR!$AH$9:$AH$1634,DPRavg!$B44,DPR!AG$9:AG$1634)</f>
        <v>0</v>
      </c>
    </row>
    <row r="45" spans="1:33">
      <c r="C45" t="s">
        <v>136</v>
      </c>
      <c r="D45">
        <f>COUNTIF(DPR!$AH$9:$AH$1634,DPRavg!$B44)</f>
        <v>0</v>
      </c>
      <c r="E45">
        <f>COUNTIF(DPR!$AH$9:$AH$1634,DPRavg!$B44)</f>
        <v>0</v>
      </c>
      <c r="F45">
        <f>COUNTIF(DPR!$AH$9:$AH$1634,DPRavg!$B44)</f>
        <v>0</v>
      </c>
      <c r="G45">
        <f>COUNTIF(DPR!$AH$9:$AH$1634,DPRavg!$B44)</f>
        <v>0</v>
      </c>
      <c r="H45">
        <f>COUNTIF(DPR!$AH$9:$AH$1634,DPRavg!$B44)</f>
        <v>0</v>
      </c>
      <c r="I45">
        <f>COUNTIF(DPR!$AH$9:$AH$1634,DPRavg!$B44)</f>
        <v>0</v>
      </c>
      <c r="J45">
        <f>COUNTIF(DPR!$AH$9:$AH$1634,DPRavg!$B44)</f>
        <v>0</v>
      </c>
      <c r="K45">
        <f>COUNTIF(DPR!$AH$9:$AH$1634,DPRavg!$B44)</f>
        <v>0</v>
      </c>
      <c r="L45">
        <f>COUNTIF(DPR!$AH$9:$AH$1634,DPRavg!$B44)</f>
        <v>0</v>
      </c>
      <c r="M45">
        <f>COUNTIF(DPR!$AH$9:$AH$1634,DPRavg!$B44)</f>
        <v>0</v>
      </c>
      <c r="N45">
        <f>COUNTIF(DPR!$AH$9:$AH$1634,DPRavg!$B44)</f>
        <v>0</v>
      </c>
      <c r="O45">
        <f>COUNTIF(DPR!$AH$9:$AH$1634,DPRavg!$B44)</f>
        <v>0</v>
      </c>
      <c r="P45">
        <f>COUNTIF(DPR!$AH$9:$AH$1634,DPRavg!$B44)</f>
        <v>0</v>
      </c>
      <c r="Q45">
        <f>COUNTIF(DPR!$AH$9:$AH$1634,DPRavg!$B44)</f>
        <v>0</v>
      </c>
      <c r="R45">
        <f>COUNTIF(DPR!$AH$9:$AH$1634,DPRavg!$B44)</f>
        <v>0</v>
      </c>
      <c r="S45">
        <f>COUNTIF(DPR!$AH$9:$AH$1634,DPRavg!$B44)</f>
        <v>0</v>
      </c>
      <c r="T45">
        <f>COUNTIF(DPR!$AH$9:$AH$1634,DPRavg!$B44)</f>
        <v>0</v>
      </c>
      <c r="U45">
        <f>COUNTIF(DPR!$AH$9:$AH$1634,DPRavg!$B44)</f>
        <v>0</v>
      </c>
      <c r="V45">
        <f>COUNTIF(DPR!$AH$9:$AH$1634,DPRavg!$B44)</f>
        <v>0</v>
      </c>
      <c r="W45">
        <f>COUNTIF(DPR!$AH$9:$AH$1634,DPRavg!$B44)</f>
        <v>0</v>
      </c>
      <c r="X45">
        <f>COUNTIF(DPR!$AH$9:$AH$1634,DPRavg!$B44)</f>
        <v>0</v>
      </c>
      <c r="Y45">
        <f>COUNTIF(DPR!$AH$9:$AH$1634,DPRavg!$B44)</f>
        <v>0</v>
      </c>
      <c r="Z45">
        <f>COUNTIF(DPR!$AH$9:$AH$1634,DPRavg!$B44)</f>
        <v>0</v>
      </c>
      <c r="AA45">
        <f>COUNTIF(DPR!$AH$9:$AH$1634,DPRavg!$B44)</f>
        <v>0</v>
      </c>
      <c r="AB45">
        <f>COUNTIF(DPR!$AH$9:$AH$1634,DPRavg!$B44)</f>
        <v>0</v>
      </c>
      <c r="AC45">
        <f>COUNTIF(DPR!$AH$9:$AH$1634,DPRavg!$B44)</f>
        <v>0</v>
      </c>
      <c r="AD45">
        <f>COUNTIF(DPR!$AH$9:$AH$1634,DPRavg!$B44)</f>
        <v>0</v>
      </c>
      <c r="AE45">
        <f>COUNTIF(DPR!$AH$9:$AH$1634,DPRavg!$B44)</f>
        <v>0</v>
      </c>
      <c r="AF45">
        <f>COUNTIF(DPR!$AH$9:$AH$1634,DPRavg!$B44)</f>
        <v>0</v>
      </c>
      <c r="AG45">
        <f>COUNTIF(DPR!$AH$9:$AH$1634,DPRavg!$B44)</f>
        <v>0</v>
      </c>
    </row>
    <row r="46" spans="1:33">
      <c r="C46" t="s">
        <v>137</v>
      </c>
      <c r="D46">
        <f t="shared" ref="D46:AG46" si="35">IFERROR(D44/D45,0)</f>
        <v>0</v>
      </c>
      <c r="E46">
        <f t="shared" si="35"/>
        <v>0</v>
      </c>
      <c r="F46">
        <f t="shared" si="35"/>
        <v>0</v>
      </c>
      <c r="G46">
        <f t="shared" si="35"/>
        <v>0</v>
      </c>
      <c r="H46">
        <f t="shared" si="35"/>
        <v>0</v>
      </c>
      <c r="I46">
        <f t="shared" si="35"/>
        <v>0</v>
      </c>
      <c r="J46">
        <f t="shared" si="35"/>
        <v>0</v>
      </c>
      <c r="K46">
        <f t="shared" si="35"/>
        <v>0</v>
      </c>
      <c r="L46">
        <f t="shared" si="35"/>
        <v>0</v>
      </c>
      <c r="M46">
        <f t="shared" si="35"/>
        <v>0</v>
      </c>
      <c r="N46">
        <f t="shared" si="35"/>
        <v>0</v>
      </c>
      <c r="O46">
        <f t="shared" si="35"/>
        <v>0</v>
      </c>
      <c r="P46">
        <f t="shared" si="35"/>
        <v>0</v>
      </c>
      <c r="Q46">
        <f t="shared" si="35"/>
        <v>0</v>
      </c>
      <c r="R46">
        <f t="shared" si="35"/>
        <v>0</v>
      </c>
      <c r="S46">
        <f t="shared" si="35"/>
        <v>0</v>
      </c>
      <c r="T46">
        <f t="shared" si="35"/>
        <v>0</v>
      </c>
      <c r="U46">
        <f t="shared" si="35"/>
        <v>0</v>
      </c>
      <c r="V46">
        <f t="shared" si="35"/>
        <v>0</v>
      </c>
      <c r="W46">
        <f t="shared" si="35"/>
        <v>0</v>
      </c>
      <c r="X46">
        <f t="shared" si="35"/>
        <v>0</v>
      </c>
      <c r="Y46">
        <f t="shared" si="35"/>
        <v>0</v>
      </c>
      <c r="Z46">
        <f t="shared" si="35"/>
        <v>0</v>
      </c>
      <c r="AA46">
        <f t="shared" si="35"/>
        <v>0</v>
      </c>
      <c r="AB46">
        <f t="shared" si="35"/>
        <v>0</v>
      </c>
      <c r="AC46">
        <f t="shared" si="35"/>
        <v>0</v>
      </c>
      <c r="AD46">
        <f t="shared" si="35"/>
        <v>0</v>
      </c>
      <c r="AE46">
        <f t="shared" si="35"/>
        <v>0</v>
      </c>
      <c r="AF46">
        <f t="shared" si="35"/>
        <v>0</v>
      </c>
      <c r="AG46">
        <f t="shared" si="35"/>
        <v>0</v>
      </c>
    </row>
    <row r="47" spans="1:33">
      <c r="C47" t="s">
        <v>149</v>
      </c>
      <c r="D47">
        <f>D44*C$6/D$4</f>
        <v>0</v>
      </c>
      <c r="E47">
        <f t="shared" ref="E47:O47" si="36">E44*E$6/E$4</f>
        <v>0</v>
      </c>
      <c r="F47">
        <f t="shared" si="36"/>
        <v>0</v>
      </c>
      <c r="G47">
        <f t="shared" si="36"/>
        <v>0</v>
      </c>
      <c r="H47">
        <f t="shared" si="36"/>
        <v>0</v>
      </c>
      <c r="I47">
        <f t="shared" si="36"/>
        <v>0</v>
      </c>
      <c r="J47">
        <f t="shared" si="36"/>
        <v>0</v>
      </c>
      <c r="K47">
        <f t="shared" si="36"/>
        <v>0</v>
      </c>
      <c r="L47">
        <f t="shared" si="36"/>
        <v>0</v>
      </c>
      <c r="M47">
        <f t="shared" si="36"/>
        <v>0</v>
      </c>
      <c r="N47">
        <f t="shared" si="36"/>
        <v>0</v>
      </c>
      <c r="O47">
        <f t="shared" si="36"/>
        <v>0</v>
      </c>
      <c r="P47">
        <f>IFERROR(P44*P$6/P$4,P44*P$6/P$3)</f>
        <v>0</v>
      </c>
      <c r="S47">
        <f>S44*C$6</f>
        <v>0</v>
      </c>
      <c r="T47">
        <f t="shared" ref="T47:AF47" si="37">T44*T$6</f>
        <v>0</v>
      </c>
      <c r="U47">
        <f t="shared" si="37"/>
        <v>0</v>
      </c>
      <c r="V47">
        <f t="shared" si="37"/>
        <v>0</v>
      </c>
      <c r="W47">
        <f t="shared" si="37"/>
        <v>0</v>
      </c>
      <c r="X47">
        <f t="shared" si="37"/>
        <v>0</v>
      </c>
      <c r="Y47">
        <f t="shared" si="37"/>
        <v>0</v>
      </c>
      <c r="Z47">
        <f t="shared" si="37"/>
        <v>0</v>
      </c>
      <c r="AA47">
        <f t="shared" si="37"/>
        <v>0</v>
      </c>
      <c r="AB47">
        <f t="shared" si="37"/>
        <v>0</v>
      </c>
      <c r="AC47">
        <f t="shared" si="37"/>
        <v>0</v>
      </c>
      <c r="AD47">
        <f t="shared" si="37"/>
        <v>0</v>
      </c>
      <c r="AE47">
        <f t="shared" si="37"/>
        <v>0</v>
      </c>
      <c r="AF47">
        <f t="shared" si="37"/>
        <v>0</v>
      </c>
    </row>
    <row r="48" spans="1:33">
      <c r="C48" t="s">
        <v>150</v>
      </c>
      <c r="D48">
        <f t="shared" ref="D48:P48" si="38">D47/1000000</f>
        <v>0</v>
      </c>
      <c r="E48">
        <f t="shared" si="38"/>
        <v>0</v>
      </c>
      <c r="F48">
        <f t="shared" si="38"/>
        <v>0</v>
      </c>
      <c r="G48">
        <f t="shared" si="38"/>
        <v>0</v>
      </c>
      <c r="H48">
        <f t="shared" si="38"/>
        <v>0</v>
      </c>
      <c r="I48">
        <f t="shared" si="38"/>
        <v>0</v>
      </c>
      <c r="J48">
        <f t="shared" si="38"/>
        <v>0</v>
      </c>
      <c r="K48">
        <f t="shared" si="38"/>
        <v>0</v>
      </c>
      <c r="L48">
        <f t="shared" si="38"/>
        <v>0</v>
      </c>
      <c r="M48">
        <f t="shared" si="38"/>
        <v>0</v>
      </c>
      <c r="N48">
        <f t="shared" si="38"/>
        <v>0</v>
      </c>
      <c r="O48">
        <f t="shared" si="38"/>
        <v>0</v>
      </c>
      <c r="P48">
        <f t="shared" si="38"/>
        <v>0</v>
      </c>
      <c r="S48">
        <f t="shared" ref="S48:AF48" si="39">S47/1000</f>
        <v>0</v>
      </c>
      <c r="T48">
        <f t="shared" si="39"/>
        <v>0</v>
      </c>
      <c r="U48">
        <f t="shared" si="39"/>
        <v>0</v>
      </c>
      <c r="V48">
        <f t="shared" si="39"/>
        <v>0</v>
      </c>
      <c r="W48">
        <f t="shared" si="39"/>
        <v>0</v>
      </c>
      <c r="X48">
        <f t="shared" si="39"/>
        <v>0</v>
      </c>
      <c r="Y48">
        <f t="shared" si="39"/>
        <v>0</v>
      </c>
      <c r="Z48">
        <f t="shared" si="39"/>
        <v>0</v>
      </c>
      <c r="AA48">
        <f t="shared" si="39"/>
        <v>0</v>
      </c>
      <c r="AB48">
        <f t="shared" si="39"/>
        <v>0</v>
      </c>
      <c r="AC48">
        <f t="shared" si="39"/>
        <v>0</v>
      </c>
      <c r="AD48">
        <f t="shared" si="39"/>
        <v>0</v>
      </c>
      <c r="AE48">
        <f t="shared" si="39"/>
        <v>0</v>
      </c>
      <c r="AF48">
        <f t="shared" si="39"/>
        <v>0</v>
      </c>
    </row>
    <row r="49" spans="1:33">
      <c r="A49" t="str">
        <f>interFY_transition!D34</f>
        <v>Dec'26</v>
      </c>
      <c r="B49">
        <f>$A$4*100+12</f>
        <v>202612</v>
      </c>
      <c r="C49" t="s">
        <v>148</v>
      </c>
      <c r="D49">
        <f>SUMIF(DPR!$AH$9:$AH$1634,DPRavg!$B49,DPR!D$9:D$1634)</f>
        <v>0</v>
      </c>
      <c r="E49">
        <f>SUMIF(DPR!$AH$9:$AH$1634,DPRavg!$B49,DPR!E$9:E$1634)</f>
        <v>0</v>
      </c>
      <c r="F49">
        <f>SUMIF(DPR!$AH$9:$AH$1634,DPRavg!$B49,DPR!F$9:F$1634)</f>
        <v>0</v>
      </c>
      <c r="G49">
        <f>SUMIF(DPR!$AH$9:$AH$1634,DPRavg!$B49,DPR!G$9:G$1634)</f>
        <v>0</v>
      </c>
      <c r="H49">
        <f>SUMIF(DPR!$AH$9:$AH$1634,DPRavg!$B49,DPR!H$9:H$1634)</f>
        <v>0</v>
      </c>
      <c r="I49">
        <f>SUMIF(DPR!$AH$9:$AH$1634,DPRavg!$B49,DPR!I$9:I$1634)</f>
        <v>0</v>
      </c>
      <c r="J49">
        <f>SUMIF(DPR!$AH$9:$AH$1634,DPRavg!$B49,DPR!J$9:J$1634)</f>
        <v>0</v>
      </c>
      <c r="K49">
        <f>SUMIF(DPR!$AH$9:$AH$1634,DPRavg!$B49,DPR!K$9:K$1634)</f>
        <v>0</v>
      </c>
      <c r="L49">
        <f>SUMIF(DPR!$AH$9:$AH$1634,DPRavg!$B49,DPR!L$9:L$1634)</f>
        <v>0</v>
      </c>
      <c r="M49">
        <f>SUMIF(DPR!$AH$9:$AH$1634,DPRavg!$B49,DPR!M$9:M$1634)</f>
        <v>0</v>
      </c>
      <c r="N49">
        <f>SUMIF(DPR!$AH$9:$AH$1634,DPRavg!$B49,DPR!N$9:N$1634)</f>
        <v>0</v>
      </c>
      <c r="O49">
        <f>SUMIF(DPR!$AH$9:$AH$1634,DPRavg!$B49,DPR!O$9:O$1634)</f>
        <v>0</v>
      </c>
      <c r="P49">
        <f>SUMIF(DPR!$AH$9:$AH$1634,DPRavg!$B49,DPR!P$9:P$1634)</f>
        <v>0</v>
      </c>
      <c r="Q49">
        <f>SUMIF(DPR!$AH$9:$AH$1634,DPRavg!$B49,DPR!Q$9:Q$1634)</f>
        <v>0</v>
      </c>
      <c r="R49">
        <f>SUMIF(DPR!$AH$9:$AH$1634,DPRavg!$B49,DPR!R$9:R$1634)</f>
        <v>0</v>
      </c>
      <c r="S49">
        <f>SUMIF(DPR!$AH$9:$AH$1634,DPRavg!$B49,DPR!S$9:S$1634)</f>
        <v>0</v>
      </c>
      <c r="T49">
        <f>SUMIF(DPR!$AH$9:$AH$1634,DPRavg!$B49,DPR!T$9:T$1634)</f>
        <v>0</v>
      </c>
      <c r="U49">
        <f>SUMIF(DPR!$AH$9:$AH$1634,DPRavg!$B49,DPR!U$9:U$1634)</f>
        <v>0</v>
      </c>
      <c r="V49">
        <f>SUMIF(DPR!$AH$9:$AH$1634,DPRavg!$B49,DPR!V$9:V$1634)</f>
        <v>0</v>
      </c>
      <c r="W49">
        <f>SUMIF(DPR!$AH$9:$AH$1634,DPRavg!$B49,DPR!W$9:W$1634)</f>
        <v>0</v>
      </c>
      <c r="X49">
        <f>SUMIF(DPR!$AH$9:$AH$1634,DPRavg!$B49,DPR!X$9:X$1634)</f>
        <v>0</v>
      </c>
      <c r="Y49">
        <f>SUMIF(DPR!$AH$9:$AH$1634,DPRavg!$B49,DPR!Y$9:Y$1634)</f>
        <v>0</v>
      </c>
      <c r="Z49">
        <f>SUMIF(DPR!$AH$9:$AH$1634,DPRavg!$B49,DPR!Z$9:Z$1634)</f>
        <v>0</v>
      </c>
      <c r="AA49">
        <f>SUMIF(DPR!$AH$9:$AH$1634,DPRavg!$B49,DPR!AA$9:AA$1634)</f>
        <v>0</v>
      </c>
      <c r="AB49">
        <f>SUMIF(DPR!$AH$9:$AH$1634,DPRavg!$B49,DPR!AB$9:AB$1634)</f>
        <v>0</v>
      </c>
      <c r="AC49">
        <f>SUMIF(DPR!$AH$9:$AH$1634,DPRavg!$B49,DPR!AC$9:AC$1634)</f>
        <v>0</v>
      </c>
      <c r="AD49">
        <f>SUMIF(DPR!$AH$9:$AH$1634,DPRavg!$B49,DPR!AD$9:AD$1634)</f>
        <v>0</v>
      </c>
      <c r="AE49">
        <f>SUMIF(DPR!$AH$9:$AH$1634,DPRavg!$B49,DPR!AE$9:AE$1634)</f>
        <v>0</v>
      </c>
      <c r="AF49">
        <f>SUMIF(DPR!$AH$9:$AH$1634,DPRavg!$B49,DPR!AF$9:AF$1634)</f>
        <v>0</v>
      </c>
      <c r="AG49">
        <f>SUMIF(DPR!$AH$9:$AH$1634,DPRavg!$B49,DPR!AG$9:AG$1634)</f>
        <v>0</v>
      </c>
    </row>
    <row r="50" spans="1:33">
      <c r="C50" t="s">
        <v>136</v>
      </c>
      <c r="D50">
        <f>COUNTIF(DPR!$AH$9:$AH$1634,DPRavg!$B49)</f>
        <v>0</v>
      </c>
      <c r="E50">
        <f>COUNTIF(DPR!$AH$9:$AH$1634,DPRavg!$B49)</f>
        <v>0</v>
      </c>
      <c r="F50">
        <f>COUNTIF(DPR!$AH$9:$AH$1634,DPRavg!$B49)</f>
        <v>0</v>
      </c>
      <c r="G50">
        <f>COUNTIF(DPR!$AH$9:$AH$1634,DPRavg!$B49)</f>
        <v>0</v>
      </c>
      <c r="H50">
        <f>COUNTIF(DPR!$AH$9:$AH$1634,DPRavg!$B49)</f>
        <v>0</v>
      </c>
      <c r="I50">
        <f>COUNTIF(DPR!$AH$9:$AH$1634,DPRavg!$B49)</f>
        <v>0</v>
      </c>
      <c r="J50">
        <f>COUNTIF(DPR!$AH$9:$AH$1634,DPRavg!$B49)</f>
        <v>0</v>
      </c>
      <c r="K50">
        <f>COUNTIF(DPR!$AH$9:$AH$1634,DPRavg!$B49)</f>
        <v>0</v>
      </c>
      <c r="L50">
        <f>COUNTIF(DPR!$AH$9:$AH$1634,DPRavg!$B49)</f>
        <v>0</v>
      </c>
      <c r="M50">
        <f>COUNTIF(DPR!$AH$9:$AH$1634,DPRavg!$B49)</f>
        <v>0</v>
      </c>
      <c r="N50">
        <f>COUNTIF(DPR!$AH$9:$AH$1634,DPRavg!$B49)</f>
        <v>0</v>
      </c>
      <c r="O50">
        <f>COUNTIF(DPR!$AH$9:$AH$1634,DPRavg!$B49)</f>
        <v>0</v>
      </c>
      <c r="P50">
        <f>COUNTIF(DPR!$AH$9:$AH$1634,DPRavg!$B49)</f>
        <v>0</v>
      </c>
      <c r="Q50">
        <f>COUNTIF(DPR!$AH$9:$AH$1634,DPRavg!$B49)</f>
        <v>0</v>
      </c>
      <c r="R50">
        <f>COUNTIF(DPR!$AH$9:$AH$1634,DPRavg!$B49)</f>
        <v>0</v>
      </c>
      <c r="S50">
        <f>COUNTIF(DPR!$AH$9:$AH$1634,DPRavg!$B49)</f>
        <v>0</v>
      </c>
      <c r="T50">
        <f>COUNTIF(DPR!$AH$9:$AH$1634,DPRavg!$B49)</f>
        <v>0</v>
      </c>
      <c r="U50">
        <f>COUNTIF(DPR!$AH$9:$AH$1634,DPRavg!$B49)</f>
        <v>0</v>
      </c>
      <c r="V50">
        <f>COUNTIF(DPR!$AH$9:$AH$1634,DPRavg!$B49)</f>
        <v>0</v>
      </c>
      <c r="W50">
        <f>COUNTIF(DPR!$AH$9:$AH$1634,DPRavg!$B49)</f>
        <v>0</v>
      </c>
      <c r="X50">
        <f>COUNTIF(DPR!$AH$9:$AH$1634,DPRavg!$B49)</f>
        <v>0</v>
      </c>
      <c r="Y50">
        <f>COUNTIF(DPR!$AH$9:$AH$1634,DPRavg!$B49)</f>
        <v>0</v>
      </c>
      <c r="Z50">
        <f>COUNTIF(DPR!$AH$9:$AH$1634,DPRavg!$B49)</f>
        <v>0</v>
      </c>
      <c r="AA50">
        <f>COUNTIF(DPR!$AH$9:$AH$1634,DPRavg!$B49)</f>
        <v>0</v>
      </c>
      <c r="AB50">
        <f>COUNTIF(DPR!$AH$9:$AH$1634,DPRavg!$B49)</f>
        <v>0</v>
      </c>
      <c r="AC50">
        <f>COUNTIF(DPR!$AH$9:$AH$1634,DPRavg!$B49)</f>
        <v>0</v>
      </c>
      <c r="AD50">
        <f>COUNTIF(DPR!$AH$9:$AH$1634,DPRavg!$B49)</f>
        <v>0</v>
      </c>
      <c r="AE50">
        <f>COUNTIF(DPR!$AH$9:$AH$1634,DPRavg!$B49)</f>
        <v>0</v>
      </c>
      <c r="AF50">
        <f>COUNTIF(DPR!$AH$9:$AH$1634,DPRavg!$B49)</f>
        <v>0</v>
      </c>
      <c r="AG50">
        <f>COUNTIF(DPR!$AH$9:$AH$1634,DPRavg!$B49)</f>
        <v>0</v>
      </c>
    </row>
    <row r="51" spans="1:33">
      <c r="C51" t="s">
        <v>137</v>
      </c>
      <c r="D51">
        <f t="shared" ref="D51:AG51" si="40">IFERROR(D49/D50,0)</f>
        <v>0</v>
      </c>
      <c r="E51">
        <f t="shared" si="40"/>
        <v>0</v>
      </c>
      <c r="F51">
        <f t="shared" si="40"/>
        <v>0</v>
      </c>
      <c r="G51">
        <f t="shared" si="40"/>
        <v>0</v>
      </c>
      <c r="H51">
        <f t="shared" si="40"/>
        <v>0</v>
      </c>
      <c r="I51">
        <f t="shared" si="40"/>
        <v>0</v>
      </c>
      <c r="J51">
        <f t="shared" si="40"/>
        <v>0</v>
      </c>
      <c r="K51">
        <f t="shared" si="40"/>
        <v>0</v>
      </c>
      <c r="L51">
        <f t="shared" si="40"/>
        <v>0</v>
      </c>
      <c r="M51">
        <f t="shared" si="40"/>
        <v>0</v>
      </c>
      <c r="N51">
        <f t="shared" si="40"/>
        <v>0</v>
      </c>
      <c r="O51">
        <f t="shared" si="40"/>
        <v>0</v>
      </c>
      <c r="P51">
        <f t="shared" si="40"/>
        <v>0</v>
      </c>
      <c r="Q51">
        <f t="shared" si="40"/>
        <v>0</v>
      </c>
      <c r="R51">
        <f t="shared" si="40"/>
        <v>0</v>
      </c>
      <c r="S51">
        <f t="shared" si="40"/>
        <v>0</v>
      </c>
      <c r="T51">
        <f t="shared" si="40"/>
        <v>0</v>
      </c>
      <c r="U51">
        <f t="shared" si="40"/>
        <v>0</v>
      </c>
      <c r="V51">
        <f t="shared" si="40"/>
        <v>0</v>
      </c>
      <c r="W51">
        <f t="shared" si="40"/>
        <v>0</v>
      </c>
      <c r="X51">
        <f t="shared" si="40"/>
        <v>0</v>
      </c>
      <c r="Y51">
        <f t="shared" si="40"/>
        <v>0</v>
      </c>
      <c r="Z51">
        <f t="shared" si="40"/>
        <v>0</v>
      </c>
      <c r="AA51">
        <f t="shared" si="40"/>
        <v>0</v>
      </c>
      <c r="AB51">
        <f t="shared" si="40"/>
        <v>0</v>
      </c>
      <c r="AC51">
        <f t="shared" si="40"/>
        <v>0</v>
      </c>
      <c r="AD51">
        <f t="shared" si="40"/>
        <v>0</v>
      </c>
      <c r="AE51">
        <f t="shared" si="40"/>
        <v>0</v>
      </c>
      <c r="AF51">
        <f t="shared" si="40"/>
        <v>0</v>
      </c>
      <c r="AG51">
        <f t="shared" si="40"/>
        <v>0</v>
      </c>
    </row>
    <row r="52" spans="1:33">
      <c r="C52" t="s">
        <v>149</v>
      </c>
      <c r="D52">
        <f>D49*C$6/D$4</f>
        <v>0</v>
      </c>
      <c r="E52">
        <f t="shared" ref="E52:O52" si="41">E49*E$6/E$4</f>
        <v>0</v>
      </c>
      <c r="F52">
        <f t="shared" si="41"/>
        <v>0</v>
      </c>
      <c r="G52">
        <f t="shared" si="41"/>
        <v>0</v>
      </c>
      <c r="H52">
        <f t="shared" si="41"/>
        <v>0</v>
      </c>
      <c r="I52">
        <f t="shared" si="41"/>
        <v>0</v>
      </c>
      <c r="J52">
        <f t="shared" si="41"/>
        <v>0</v>
      </c>
      <c r="K52">
        <f t="shared" si="41"/>
        <v>0</v>
      </c>
      <c r="L52">
        <f t="shared" si="41"/>
        <v>0</v>
      </c>
      <c r="M52">
        <f t="shared" si="41"/>
        <v>0</v>
      </c>
      <c r="N52">
        <f t="shared" si="41"/>
        <v>0</v>
      </c>
      <c r="O52">
        <f t="shared" si="41"/>
        <v>0</v>
      </c>
      <c r="P52">
        <f>IFERROR(P49*P$6/P$4,P49*P$6/P$3)</f>
        <v>0</v>
      </c>
      <c r="S52">
        <f>S49*C$6</f>
        <v>0</v>
      </c>
      <c r="T52">
        <f t="shared" ref="T52:AF52" si="42">T49*T$6</f>
        <v>0</v>
      </c>
      <c r="U52">
        <f t="shared" si="42"/>
        <v>0</v>
      </c>
      <c r="V52">
        <f t="shared" si="42"/>
        <v>0</v>
      </c>
      <c r="W52">
        <f t="shared" si="42"/>
        <v>0</v>
      </c>
      <c r="X52">
        <f t="shared" si="42"/>
        <v>0</v>
      </c>
      <c r="Y52">
        <f t="shared" si="42"/>
        <v>0</v>
      </c>
      <c r="Z52">
        <f t="shared" si="42"/>
        <v>0</v>
      </c>
      <c r="AA52">
        <f t="shared" si="42"/>
        <v>0</v>
      </c>
      <c r="AB52">
        <f t="shared" si="42"/>
        <v>0</v>
      </c>
      <c r="AC52">
        <f t="shared" si="42"/>
        <v>0</v>
      </c>
      <c r="AD52">
        <f t="shared" si="42"/>
        <v>0</v>
      </c>
      <c r="AE52">
        <f t="shared" si="42"/>
        <v>0</v>
      </c>
      <c r="AF52">
        <f t="shared" si="42"/>
        <v>0</v>
      </c>
    </row>
    <row r="53" spans="1:33">
      <c r="C53" t="s">
        <v>150</v>
      </c>
      <c r="D53">
        <f t="shared" ref="D53:P53" si="43">D52/1000000</f>
        <v>0</v>
      </c>
      <c r="E53">
        <f t="shared" si="43"/>
        <v>0</v>
      </c>
      <c r="F53">
        <f t="shared" si="43"/>
        <v>0</v>
      </c>
      <c r="G53">
        <f t="shared" si="43"/>
        <v>0</v>
      </c>
      <c r="H53">
        <f t="shared" si="43"/>
        <v>0</v>
      </c>
      <c r="I53">
        <f t="shared" si="43"/>
        <v>0</v>
      </c>
      <c r="J53">
        <f t="shared" si="43"/>
        <v>0</v>
      </c>
      <c r="K53">
        <f t="shared" si="43"/>
        <v>0</v>
      </c>
      <c r="L53">
        <f t="shared" si="43"/>
        <v>0</v>
      </c>
      <c r="M53">
        <f t="shared" si="43"/>
        <v>0</v>
      </c>
      <c r="N53">
        <f t="shared" si="43"/>
        <v>0</v>
      </c>
      <c r="O53">
        <f t="shared" si="43"/>
        <v>0</v>
      </c>
      <c r="P53" s="756">
        <f t="shared" si="43"/>
        <v>0</v>
      </c>
      <c r="S53">
        <f t="shared" ref="S53:AF53" si="44">S52/1000</f>
        <v>0</v>
      </c>
      <c r="T53">
        <f t="shared" si="44"/>
        <v>0</v>
      </c>
      <c r="U53">
        <f t="shared" si="44"/>
        <v>0</v>
      </c>
      <c r="V53">
        <f t="shared" si="44"/>
        <v>0</v>
      </c>
      <c r="W53">
        <f t="shared" si="44"/>
        <v>0</v>
      </c>
      <c r="X53">
        <f t="shared" si="44"/>
        <v>0</v>
      </c>
      <c r="Y53">
        <f t="shared" si="44"/>
        <v>0</v>
      </c>
      <c r="Z53">
        <f t="shared" si="44"/>
        <v>0</v>
      </c>
      <c r="AA53">
        <f t="shared" si="44"/>
        <v>0</v>
      </c>
      <c r="AB53">
        <f t="shared" si="44"/>
        <v>0</v>
      </c>
      <c r="AC53">
        <f t="shared" si="44"/>
        <v>0</v>
      </c>
      <c r="AD53">
        <f t="shared" si="44"/>
        <v>0</v>
      </c>
      <c r="AE53">
        <f t="shared" si="44"/>
        <v>0</v>
      </c>
      <c r="AF53">
        <f t="shared" si="44"/>
        <v>0</v>
      </c>
    </row>
    <row r="54" spans="1:33">
      <c r="A54" t="str">
        <f>interFY_transition!D35</f>
        <v>Jan'27</v>
      </c>
      <c r="B54">
        <f>$A$5*100+1</f>
        <v>202701</v>
      </c>
      <c r="C54" t="s">
        <v>148</v>
      </c>
      <c r="D54">
        <f>SUMIF(DPR!$AH$9:$AH$1634,DPRavg!$B54,DPR!D$9:D$1634)</f>
        <v>0</v>
      </c>
      <c r="E54">
        <f>SUMIF(DPR!$AH$9:$AH$1634,DPRavg!$B54,DPR!E$9:E$1634)</f>
        <v>0</v>
      </c>
      <c r="F54">
        <f>SUMIF(DPR!$AH$9:$AH$1634,DPRavg!$B54,DPR!F$9:F$1634)</f>
        <v>0</v>
      </c>
      <c r="G54">
        <f>SUMIF(DPR!$AH$9:$AH$1634,DPRavg!$B54,DPR!G$9:G$1634)</f>
        <v>0</v>
      </c>
      <c r="H54">
        <f>SUMIF(DPR!$AH$9:$AH$1634,DPRavg!$B54,DPR!H$9:H$1634)</f>
        <v>0</v>
      </c>
      <c r="I54">
        <f>SUMIF(DPR!$AH$9:$AH$1634,DPRavg!$B54,DPR!I$9:I$1634)</f>
        <v>0</v>
      </c>
      <c r="J54">
        <f>SUMIF(DPR!$AH$9:$AH$1634,DPRavg!$B54,DPR!J$9:J$1634)</f>
        <v>0</v>
      </c>
      <c r="K54">
        <f>SUMIF(DPR!$AH$9:$AH$1634,DPRavg!$B54,DPR!K$9:K$1634)</f>
        <v>0</v>
      </c>
      <c r="L54">
        <f>SUMIF(DPR!$AH$9:$AH$1634,DPRavg!$B54,DPR!L$9:L$1634)</f>
        <v>0</v>
      </c>
      <c r="M54">
        <f>SUMIF(DPR!$AH$9:$AH$1634,DPRavg!$B54,DPR!M$9:M$1634)</f>
        <v>0</v>
      </c>
      <c r="N54">
        <f>SUMIF(DPR!$AH$9:$AH$1634,DPRavg!$B54,DPR!N$9:N$1634)</f>
        <v>0</v>
      </c>
      <c r="O54">
        <f>SUMIF(DPR!$AH$9:$AH$1634,DPRavg!$B54,DPR!O$9:O$1634)</f>
        <v>0</v>
      </c>
      <c r="P54">
        <f>SUMIF(DPR!$AH$9:$AH$1634,DPRavg!$B54,DPR!P$9:P$1634)</f>
        <v>0</v>
      </c>
      <c r="Q54">
        <f>SUMIF(DPR!$AH$9:$AH$1634,DPRavg!$B54,DPR!Q$9:Q$1634)</f>
        <v>0</v>
      </c>
      <c r="R54">
        <f>SUMIF(DPR!$AH$9:$AH$1634,DPRavg!$B54,DPR!R$9:R$1634)</f>
        <v>0</v>
      </c>
      <c r="S54">
        <f>SUMIF(DPR!$AH$9:$AH$1634,DPRavg!$B54,DPR!S$9:S$1634)</f>
        <v>0</v>
      </c>
      <c r="T54">
        <f>SUMIF(DPR!$AH$9:$AH$1634,DPRavg!$B54,DPR!T$9:T$1634)</f>
        <v>0</v>
      </c>
      <c r="U54">
        <f>SUMIF(DPR!$AH$9:$AH$1634,DPRavg!$B54,DPR!U$9:U$1634)</f>
        <v>0</v>
      </c>
      <c r="V54">
        <f>SUMIF(DPR!$AH$9:$AH$1634,DPRavg!$B54,DPR!V$9:V$1634)</f>
        <v>0</v>
      </c>
      <c r="W54">
        <f>SUMIF(DPR!$AH$9:$AH$1634,DPRavg!$B54,DPR!W$9:W$1634)</f>
        <v>0</v>
      </c>
      <c r="X54">
        <f>SUMIF(DPR!$AH$9:$AH$1634,DPRavg!$B54,DPR!X$9:X$1634)</f>
        <v>0</v>
      </c>
      <c r="Y54">
        <f>SUMIF(DPR!$AH$9:$AH$1634,DPRavg!$B54,DPR!Y$9:Y$1634)</f>
        <v>0</v>
      </c>
      <c r="Z54">
        <f>SUMIF(DPR!$AH$9:$AH$1634,DPRavg!$B54,DPR!Z$9:Z$1634)</f>
        <v>0</v>
      </c>
      <c r="AA54">
        <f>SUMIF(DPR!$AH$9:$AH$1634,DPRavg!$B54,DPR!AA$9:AA$1634)</f>
        <v>0</v>
      </c>
      <c r="AB54">
        <f>SUMIF(DPR!$AH$9:$AH$1634,DPRavg!$B54,DPR!AB$9:AB$1634)</f>
        <v>0</v>
      </c>
      <c r="AC54">
        <f>SUMIF(DPR!$AH$9:$AH$1634,DPRavg!$B54,DPR!AC$9:AC$1634)</f>
        <v>0</v>
      </c>
      <c r="AD54">
        <f>SUMIF(DPR!$AH$9:$AH$1634,DPRavg!$B54,DPR!AD$9:AD$1634)</f>
        <v>0</v>
      </c>
      <c r="AE54">
        <f>SUMIF(DPR!$AH$9:$AH$1634,DPRavg!$B54,DPR!AE$9:AE$1634)</f>
        <v>0</v>
      </c>
      <c r="AF54">
        <f>SUMIF(DPR!$AH$9:$AH$1634,DPRavg!$B54,DPR!AF$9:AF$1634)</f>
        <v>0</v>
      </c>
      <c r="AG54">
        <f>SUMIF(DPR!$AH$9:$AH$1634,DPRavg!$B54,DPR!AG$9:AG$1634)</f>
        <v>0</v>
      </c>
    </row>
    <row r="55" spans="1:33">
      <c r="C55" t="s">
        <v>136</v>
      </c>
      <c r="D55">
        <f>COUNTIF(DPR!$AH$9:$AH$1634,DPRavg!$B54)</f>
        <v>0</v>
      </c>
      <c r="E55">
        <f>COUNTIF(DPR!$AH$9:$AH$1634,DPRavg!$B54)</f>
        <v>0</v>
      </c>
      <c r="F55">
        <f>COUNTIF(DPR!$AH$9:$AH$1634,DPRavg!$B54)</f>
        <v>0</v>
      </c>
      <c r="G55">
        <f>COUNTIF(DPR!$AH$9:$AH$1634,DPRavg!$B54)</f>
        <v>0</v>
      </c>
      <c r="H55">
        <f>COUNTIF(DPR!$AH$9:$AH$1634,DPRavg!$B54)</f>
        <v>0</v>
      </c>
      <c r="I55">
        <f>COUNTIF(DPR!$AH$9:$AH$1634,DPRavg!$B54)</f>
        <v>0</v>
      </c>
      <c r="J55">
        <f>COUNTIF(DPR!$AH$9:$AH$1634,DPRavg!$B54)</f>
        <v>0</v>
      </c>
      <c r="K55">
        <f>COUNTIF(DPR!$AH$9:$AH$1634,DPRavg!$B54)</f>
        <v>0</v>
      </c>
      <c r="L55">
        <f>COUNTIF(DPR!$AH$9:$AH$1634,DPRavg!$B54)</f>
        <v>0</v>
      </c>
      <c r="M55">
        <f>COUNTIF(DPR!$AH$9:$AH$1634,DPRavg!$B54)</f>
        <v>0</v>
      </c>
      <c r="N55">
        <f>COUNTIF(DPR!$AH$9:$AH$1634,DPRavg!$B54)</f>
        <v>0</v>
      </c>
      <c r="O55">
        <f>COUNTIF(DPR!$AH$9:$AH$1634,DPRavg!$B54)</f>
        <v>0</v>
      </c>
      <c r="P55">
        <f>COUNTIF(DPR!$AH$9:$AH$1634,DPRavg!$B54)</f>
        <v>0</v>
      </c>
      <c r="Q55">
        <f>COUNTIF(DPR!$AH$9:$AH$1634,DPRavg!$B54)</f>
        <v>0</v>
      </c>
      <c r="R55">
        <f>COUNTIF(DPR!$AH$9:$AH$1634,DPRavg!$B54)</f>
        <v>0</v>
      </c>
      <c r="S55">
        <f>COUNTIF(DPR!$AH$9:$AH$1634,DPRavg!$B54)</f>
        <v>0</v>
      </c>
      <c r="T55">
        <f>COUNTIF(DPR!$AH$9:$AH$1634,DPRavg!$B54)</f>
        <v>0</v>
      </c>
      <c r="U55">
        <f>COUNTIF(DPR!$AH$9:$AH$1634,DPRavg!$B54)</f>
        <v>0</v>
      </c>
      <c r="V55">
        <f>COUNTIF(DPR!$AH$9:$AH$1634,DPRavg!$B54)</f>
        <v>0</v>
      </c>
      <c r="W55">
        <f>COUNTIF(DPR!$AH$9:$AH$1634,DPRavg!$B54)</f>
        <v>0</v>
      </c>
      <c r="X55">
        <f>COUNTIF(DPR!$AH$9:$AH$1634,DPRavg!$B54)</f>
        <v>0</v>
      </c>
      <c r="Y55">
        <f>COUNTIF(DPR!$AH$9:$AH$1634,DPRavg!$B54)</f>
        <v>0</v>
      </c>
      <c r="Z55">
        <f>COUNTIF(DPR!$AH$9:$AH$1634,DPRavg!$B54)</f>
        <v>0</v>
      </c>
      <c r="AA55">
        <f>COUNTIF(DPR!$AH$9:$AH$1634,DPRavg!$B54)</f>
        <v>0</v>
      </c>
      <c r="AB55">
        <f>COUNTIF(DPR!$AH$9:$AH$1634,DPRavg!$B54)</f>
        <v>0</v>
      </c>
      <c r="AC55">
        <f>COUNTIF(DPR!$AH$9:$AH$1634,DPRavg!$B54)</f>
        <v>0</v>
      </c>
      <c r="AD55">
        <f>COUNTIF(DPR!$AH$9:$AH$1634,DPRavg!$B54)</f>
        <v>0</v>
      </c>
      <c r="AE55">
        <f>COUNTIF(DPR!$AH$9:$AH$1634,DPRavg!$B54)</f>
        <v>0</v>
      </c>
      <c r="AF55">
        <f>COUNTIF(DPR!$AH$9:$AH$1634,DPRavg!$B54)</f>
        <v>0</v>
      </c>
      <c r="AG55">
        <f>COUNTIF(DPR!$AH$9:$AH$1634,DPRavg!$B54)</f>
        <v>0</v>
      </c>
    </row>
    <row r="56" spans="1:33">
      <c r="C56" t="s">
        <v>137</v>
      </c>
      <c r="D56">
        <f t="shared" ref="D56:AG56" si="45">IFERROR(D54/D55,0)</f>
        <v>0</v>
      </c>
      <c r="E56">
        <f t="shared" si="45"/>
        <v>0</v>
      </c>
      <c r="F56">
        <f t="shared" si="45"/>
        <v>0</v>
      </c>
      <c r="G56">
        <f t="shared" si="45"/>
        <v>0</v>
      </c>
      <c r="H56">
        <f t="shared" si="45"/>
        <v>0</v>
      </c>
      <c r="I56">
        <f t="shared" si="45"/>
        <v>0</v>
      </c>
      <c r="J56">
        <f t="shared" si="45"/>
        <v>0</v>
      </c>
      <c r="K56">
        <f t="shared" si="45"/>
        <v>0</v>
      </c>
      <c r="L56">
        <f t="shared" si="45"/>
        <v>0</v>
      </c>
      <c r="M56">
        <f t="shared" si="45"/>
        <v>0</v>
      </c>
      <c r="N56">
        <f t="shared" si="45"/>
        <v>0</v>
      </c>
      <c r="O56">
        <f t="shared" si="45"/>
        <v>0</v>
      </c>
      <c r="P56">
        <f t="shared" si="45"/>
        <v>0</v>
      </c>
      <c r="Q56">
        <f t="shared" si="45"/>
        <v>0</v>
      </c>
      <c r="R56">
        <f t="shared" si="45"/>
        <v>0</v>
      </c>
      <c r="S56">
        <f t="shared" si="45"/>
        <v>0</v>
      </c>
      <c r="T56">
        <f t="shared" si="45"/>
        <v>0</v>
      </c>
      <c r="U56">
        <f t="shared" si="45"/>
        <v>0</v>
      </c>
      <c r="V56">
        <f t="shared" si="45"/>
        <v>0</v>
      </c>
      <c r="W56">
        <f t="shared" si="45"/>
        <v>0</v>
      </c>
      <c r="X56">
        <f t="shared" si="45"/>
        <v>0</v>
      </c>
      <c r="Y56">
        <f t="shared" si="45"/>
        <v>0</v>
      </c>
      <c r="Z56">
        <f t="shared" si="45"/>
        <v>0</v>
      </c>
      <c r="AA56">
        <f t="shared" si="45"/>
        <v>0</v>
      </c>
      <c r="AB56">
        <f t="shared" si="45"/>
        <v>0</v>
      </c>
      <c r="AC56">
        <f t="shared" si="45"/>
        <v>0</v>
      </c>
      <c r="AD56">
        <f t="shared" si="45"/>
        <v>0</v>
      </c>
      <c r="AE56">
        <f t="shared" si="45"/>
        <v>0</v>
      </c>
      <c r="AF56">
        <f t="shared" si="45"/>
        <v>0</v>
      </c>
      <c r="AG56">
        <f t="shared" si="45"/>
        <v>0</v>
      </c>
    </row>
    <row r="57" spans="1:33">
      <c r="C57" t="s">
        <v>149</v>
      </c>
      <c r="D57">
        <f>D54*C$6/D$4</f>
        <v>0</v>
      </c>
      <c r="E57">
        <f t="shared" ref="E57:O57" si="46">E54*E$6/E$4</f>
        <v>0</v>
      </c>
      <c r="F57">
        <f t="shared" si="46"/>
        <v>0</v>
      </c>
      <c r="G57">
        <f t="shared" si="46"/>
        <v>0</v>
      </c>
      <c r="H57">
        <f t="shared" si="46"/>
        <v>0</v>
      </c>
      <c r="I57">
        <f t="shared" si="46"/>
        <v>0</v>
      </c>
      <c r="J57">
        <f t="shared" si="46"/>
        <v>0</v>
      </c>
      <c r="K57">
        <f t="shared" si="46"/>
        <v>0</v>
      </c>
      <c r="L57">
        <f t="shared" si="46"/>
        <v>0</v>
      </c>
      <c r="M57">
        <f t="shared" si="46"/>
        <v>0</v>
      </c>
      <c r="N57">
        <f t="shared" si="46"/>
        <v>0</v>
      </c>
      <c r="O57">
        <f t="shared" si="46"/>
        <v>0</v>
      </c>
      <c r="P57">
        <f>IFERROR(P54*P$6/P$4,P54*P$6/P$3)</f>
        <v>0</v>
      </c>
      <c r="S57">
        <f>S54*C$6</f>
        <v>0</v>
      </c>
      <c r="T57">
        <f t="shared" ref="T57:AF57" si="47">T54*T$6</f>
        <v>0</v>
      </c>
      <c r="U57">
        <f t="shared" si="47"/>
        <v>0</v>
      </c>
      <c r="V57">
        <f t="shared" si="47"/>
        <v>0</v>
      </c>
      <c r="W57">
        <f t="shared" si="47"/>
        <v>0</v>
      </c>
      <c r="X57">
        <f t="shared" si="47"/>
        <v>0</v>
      </c>
      <c r="Y57">
        <f t="shared" si="47"/>
        <v>0</v>
      </c>
      <c r="Z57">
        <f t="shared" si="47"/>
        <v>0</v>
      </c>
      <c r="AA57">
        <f t="shared" si="47"/>
        <v>0</v>
      </c>
      <c r="AB57">
        <f t="shared" si="47"/>
        <v>0</v>
      </c>
      <c r="AC57">
        <f t="shared" si="47"/>
        <v>0</v>
      </c>
      <c r="AD57">
        <f t="shared" si="47"/>
        <v>0</v>
      </c>
      <c r="AE57">
        <f t="shared" si="47"/>
        <v>0</v>
      </c>
      <c r="AF57">
        <f t="shared" si="47"/>
        <v>0</v>
      </c>
    </row>
    <row r="58" spans="1:33">
      <c r="C58" t="s">
        <v>150</v>
      </c>
      <c r="D58">
        <f t="shared" ref="D58:P58" si="48">D57/1000000</f>
        <v>0</v>
      </c>
      <c r="E58">
        <f t="shared" si="48"/>
        <v>0</v>
      </c>
      <c r="F58">
        <f t="shared" si="48"/>
        <v>0</v>
      </c>
      <c r="G58">
        <f t="shared" si="48"/>
        <v>0</v>
      </c>
      <c r="H58">
        <f t="shared" si="48"/>
        <v>0</v>
      </c>
      <c r="I58">
        <f t="shared" si="48"/>
        <v>0</v>
      </c>
      <c r="J58">
        <f t="shared" si="48"/>
        <v>0</v>
      </c>
      <c r="K58">
        <f t="shared" si="48"/>
        <v>0</v>
      </c>
      <c r="L58">
        <f t="shared" si="48"/>
        <v>0</v>
      </c>
      <c r="M58">
        <f t="shared" si="48"/>
        <v>0</v>
      </c>
      <c r="N58">
        <f t="shared" si="48"/>
        <v>0</v>
      </c>
      <c r="O58">
        <f t="shared" si="48"/>
        <v>0</v>
      </c>
      <c r="P58">
        <f t="shared" si="48"/>
        <v>0</v>
      </c>
      <c r="S58">
        <f t="shared" ref="S58:AF58" si="49">S57/1000</f>
        <v>0</v>
      </c>
      <c r="T58">
        <f t="shared" si="49"/>
        <v>0</v>
      </c>
      <c r="U58">
        <f t="shared" si="49"/>
        <v>0</v>
      </c>
      <c r="V58">
        <f t="shared" si="49"/>
        <v>0</v>
      </c>
      <c r="W58">
        <f t="shared" si="49"/>
        <v>0</v>
      </c>
      <c r="X58">
        <f t="shared" si="49"/>
        <v>0</v>
      </c>
      <c r="Y58">
        <f t="shared" si="49"/>
        <v>0</v>
      </c>
      <c r="Z58">
        <f t="shared" si="49"/>
        <v>0</v>
      </c>
      <c r="AA58">
        <f t="shared" si="49"/>
        <v>0</v>
      </c>
      <c r="AB58">
        <f t="shared" si="49"/>
        <v>0</v>
      </c>
      <c r="AC58">
        <f t="shared" si="49"/>
        <v>0</v>
      </c>
      <c r="AD58">
        <f t="shared" si="49"/>
        <v>0</v>
      </c>
      <c r="AE58">
        <f t="shared" si="49"/>
        <v>0</v>
      </c>
      <c r="AF58">
        <f t="shared" si="49"/>
        <v>0</v>
      </c>
    </row>
    <row r="59" spans="1:33">
      <c r="A59" t="str">
        <f>interFY_transition!D36</f>
        <v>Feb'27</v>
      </c>
      <c r="B59">
        <f>$A$5*100+2</f>
        <v>202702</v>
      </c>
      <c r="C59" t="s">
        <v>148</v>
      </c>
      <c r="D59">
        <f>SUMIF(DPR!$AH$9:$AH$1634,DPRavg!$B59,DPR!D$9:D$1634)</f>
        <v>0</v>
      </c>
      <c r="E59">
        <f>SUMIF(DPR!$AH$9:$AH$1634,DPRavg!$B59,DPR!E$9:E$1634)</f>
        <v>0</v>
      </c>
      <c r="F59">
        <f>SUMIF(DPR!$AH$9:$AH$1634,DPRavg!$B59,DPR!F$9:F$1634)</f>
        <v>0</v>
      </c>
      <c r="G59">
        <f>SUMIF(DPR!$AH$9:$AH$1634,DPRavg!$B59,DPR!G$9:G$1634)</f>
        <v>0</v>
      </c>
      <c r="H59">
        <f>SUMIF(DPR!$AH$9:$AH$1634,DPRavg!$B59,DPR!H$9:H$1634)</f>
        <v>0</v>
      </c>
      <c r="I59">
        <f>SUMIF(DPR!$AH$9:$AH$1634,DPRavg!$B59,DPR!I$9:I$1634)</f>
        <v>0</v>
      </c>
      <c r="J59">
        <f>SUMIF(DPR!$AH$9:$AH$1634,DPRavg!$B59,DPR!J$9:J$1634)</f>
        <v>0</v>
      </c>
      <c r="K59">
        <f>SUMIF(DPR!$AH$9:$AH$1634,DPRavg!$B59,DPR!K$9:K$1634)</f>
        <v>0</v>
      </c>
      <c r="L59">
        <f>SUMIF(DPR!$AH$9:$AH$1634,DPRavg!$B59,DPR!L$9:L$1634)</f>
        <v>0</v>
      </c>
      <c r="M59">
        <f>SUMIF(DPR!$AH$9:$AH$1634,DPRavg!$B59,DPR!M$9:M$1634)</f>
        <v>0</v>
      </c>
      <c r="N59">
        <f>SUMIF(DPR!$AH$9:$AH$1634,DPRavg!$B59,DPR!N$9:N$1634)</f>
        <v>0</v>
      </c>
      <c r="O59">
        <f>SUMIF(DPR!$AH$9:$AH$1634,DPRavg!$B59,DPR!O$9:O$1634)</f>
        <v>0</v>
      </c>
      <c r="P59">
        <f>SUMIF(DPR!$AH$9:$AH$1634,DPRavg!$B59,DPR!P$9:P$1634)</f>
        <v>0</v>
      </c>
      <c r="Q59">
        <f>SUMIF(DPR!$AH$9:$AH$1634,DPRavg!$B59,DPR!Q$9:Q$1634)</f>
        <v>0</v>
      </c>
      <c r="R59">
        <f>SUMIF(DPR!$AH$9:$AH$1634,DPRavg!$B59,DPR!R$9:R$1634)</f>
        <v>0</v>
      </c>
      <c r="S59">
        <f>SUMIF(DPR!$AH$9:$AH$1634,DPRavg!$B59,DPR!S$9:S$1634)</f>
        <v>0</v>
      </c>
      <c r="T59">
        <f>SUMIF(DPR!$AH$9:$AH$1634,DPRavg!$B59,DPR!T$9:T$1634)</f>
        <v>0</v>
      </c>
      <c r="U59">
        <f>SUMIF(DPR!$AH$9:$AH$1634,DPRavg!$B59,DPR!U$9:U$1634)</f>
        <v>0</v>
      </c>
      <c r="V59">
        <f>SUMIF(DPR!$AH$9:$AH$1634,DPRavg!$B59,DPR!V$9:V$1634)</f>
        <v>0</v>
      </c>
      <c r="W59">
        <f>SUMIF(DPR!$AH$9:$AH$1634,DPRavg!$B59,DPR!W$9:W$1634)</f>
        <v>0</v>
      </c>
      <c r="X59">
        <f>SUMIF(DPR!$AH$9:$AH$1634,DPRavg!$B59,DPR!X$9:X$1634)</f>
        <v>0</v>
      </c>
      <c r="Y59">
        <f>SUMIF(DPR!$AH$9:$AH$1634,DPRavg!$B59,DPR!Y$9:Y$1634)</f>
        <v>0</v>
      </c>
      <c r="Z59">
        <f>SUMIF(DPR!$AH$9:$AH$1634,DPRavg!$B59,DPR!Z$9:Z$1634)</f>
        <v>0</v>
      </c>
      <c r="AA59">
        <f>SUMIF(DPR!$AH$9:$AH$1634,DPRavg!$B59,DPR!AA$9:AA$1634)</f>
        <v>0</v>
      </c>
      <c r="AB59">
        <f>SUMIF(DPR!$AH$9:$AH$1634,DPRavg!$B59,DPR!AB$9:AB$1634)</f>
        <v>0</v>
      </c>
      <c r="AC59">
        <f>SUMIF(DPR!$AH$9:$AH$1634,DPRavg!$B59,DPR!AC$9:AC$1634)</f>
        <v>0</v>
      </c>
      <c r="AD59">
        <f>SUMIF(DPR!$AH$9:$AH$1634,DPRavg!$B59,DPR!AD$9:AD$1634)</f>
        <v>0</v>
      </c>
      <c r="AE59">
        <f>SUMIF(DPR!$AH$9:$AH$1634,DPRavg!$B59,DPR!AE$9:AE$1634)</f>
        <v>0</v>
      </c>
      <c r="AF59">
        <f>SUMIF(DPR!$AH$9:$AH$1634,DPRavg!$B59,DPR!AF$9:AF$1634)</f>
        <v>0</v>
      </c>
      <c r="AG59">
        <f>SUMIF(DPR!$AH$9:$AH$1634,DPRavg!$B59,DPR!AG$9:AG$1634)</f>
        <v>0</v>
      </c>
    </row>
    <row r="60" spans="1:33">
      <c r="C60" t="s">
        <v>136</v>
      </c>
      <c r="D60">
        <f>COUNTIF(DPR!$AH$9:$AH$1634,DPRavg!$B59)</f>
        <v>0</v>
      </c>
      <c r="E60">
        <f>COUNTIF(DPR!$AH$9:$AH$1634,DPRavg!$B59)</f>
        <v>0</v>
      </c>
      <c r="F60">
        <f>COUNTIF(DPR!$AH$9:$AH$1634,DPRavg!$B59)</f>
        <v>0</v>
      </c>
      <c r="G60">
        <f>COUNTIF(DPR!$AH$9:$AH$1634,DPRavg!$B59)</f>
        <v>0</v>
      </c>
      <c r="H60">
        <f>COUNTIF(DPR!$AH$9:$AH$1634,DPRavg!$B59)</f>
        <v>0</v>
      </c>
      <c r="I60">
        <f>COUNTIF(DPR!$AH$9:$AH$1634,DPRavg!$B59)</f>
        <v>0</v>
      </c>
      <c r="J60">
        <f>COUNTIF(DPR!$AH$9:$AH$1634,DPRavg!$B59)</f>
        <v>0</v>
      </c>
      <c r="K60">
        <f>COUNTIF(DPR!$AH$9:$AH$1634,DPRavg!$B59)</f>
        <v>0</v>
      </c>
      <c r="L60">
        <f>COUNTIF(DPR!$AH$9:$AH$1634,DPRavg!$B59)</f>
        <v>0</v>
      </c>
      <c r="M60">
        <f>COUNTIF(DPR!$AH$9:$AH$1634,DPRavg!$B59)</f>
        <v>0</v>
      </c>
      <c r="N60">
        <f>COUNTIF(DPR!$AH$9:$AH$1634,DPRavg!$B59)</f>
        <v>0</v>
      </c>
      <c r="O60">
        <f>COUNTIF(DPR!$AH$9:$AH$1634,DPRavg!$B59)</f>
        <v>0</v>
      </c>
      <c r="P60">
        <f>COUNTIF(DPR!$AH$9:$AH$1634,DPRavg!$B59)</f>
        <v>0</v>
      </c>
      <c r="Q60">
        <f>COUNTIF(DPR!$AH$9:$AH$1634,DPRavg!$B59)</f>
        <v>0</v>
      </c>
      <c r="R60">
        <f>COUNTIF(DPR!$AH$9:$AH$1634,DPRavg!$B59)</f>
        <v>0</v>
      </c>
      <c r="S60">
        <f>COUNTIF(DPR!$AH$9:$AH$1634,DPRavg!$B59)</f>
        <v>0</v>
      </c>
      <c r="T60">
        <f>COUNTIF(DPR!$AH$9:$AH$1634,DPRavg!$B59)</f>
        <v>0</v>
      </c>
      <c r="U60">
        <f>COUNTIF(DPR!$AH$9:$AH$1634,DPRavg!$B59)</f>
        <v>0</v>
      </c>
      <c r="V60">
        <f>COUNTIF(DPR!$AH$9:$AH$1634,DPRavg!$B59)</f>
        <v>0</v>
      </c>
      <c r="W60">
        <f>COUNTIF(DPR!$AH$9:$AH$1634,DPRavg!$B59)</f>
        <v>0</v>
      </c>
      <c r="X60">
        <f>COUNTIF(DPR!$AH$9:$AH$1634,DPRavg!$B59)</f>
        <v>0</v>
      </c>
      <c r="Y60">
        <f>COUNTIF(DPR!$AH$9:$AH$1634,DPRavg!$B59)</f>
        <v>0</v>
      </c>
      <c r="Z60">
        <f>COUNTIF(DPR!$AH$9:$AH$1634,DPRavg!$B59)</f>
        <v>0</v>
      </c>
      <c r="AA60">
        <f>COUNTIF(DPR!$AH$9:$AH$1634,DPRavg!$B59)</f>
        <v>0</v>
      </c>
      <c r="AB60">
        <f>COUNTIF(DPR!$AH$9:$AH$1634,DPRavg!$B59)</f>
        <v>0</v>
      </c>
      <c r="AC60">
        <f>COUNTIF(DPR!$AH$9:$AH$1634,DPRavg!$B59)</f>
        <v>0</v>
      </c>
      <c r="AD60">
        <f>COUNTIF(DPR!$AH$9:$AH$1634,DPRavg!$B59)</f>
        <v>0</v>
      </c>
      <c r="AE60">
        <f>COUNTIF(DPR!$AH$9:$AH$1634,DPRavg!$B59)</f>
        <v>0</v>
      </c>
      <c r="AF60">
        <f>COUNTIF(DPR!$AH$9:$AH$1634,DPRavg!$B59)</f>
        <v>0</v>
      </c>
      <c r="AG60">
        <f>COUNTIF(DPR!$AH$9:$AH$1634,DPRavg!$B59)</f>
        <v>0</v>
      </c>
    </row>
    <row r="61" spans="1:33">
      <c r="C61" t="s">
        <v>137</v>
      </c>
      <c r="D61">
        <f t="shared" ref="D61:AG61" si="50">IFERROR(D59/D60,0)</f>
        <v>0</v>
      </c>
      <c r="E61">
        <f t="shared" si="50"/>
        <v>0</v>
      </c>
      <c r="F61">
        <f t="shared" si="50"/>
        <v>0</v>
      </c>
      <c r="G61">
        <f t="shared" si="50"/>
        <v>0</v>
      </c>
      <c r="H61">
        <f t="shared" si="50"/>
        <v>0</v>
      </c>
      <c r="I61">
        <f t="shared" si="50"/>
        <v>0</v>
      </c>
      <c r="J61">
        <f t="shared" si="50"/>
        <v>0</v>
      </c>
      <c r="K61">
        <f t="shared" si="50"/>
        <v>0</v>
      </c>
      <c r="L61">
        <f t="shared" si="50"/>
        <v>0</v>
      </c>
      <c r="M61">
        <f t="shared" si="50"/>
        <v>0</v>
      </c>
      <c r="N61">
        <f t="shared" si="50"/>
        <v>0</v>
      </c>
      <c r="O61">
        <f t="shared" si="50"/>
        <v>0</v>
      </c>
      <c r="P61">
        <f t="shared" si="50"/>
        <v>0</v>
      </c>
      <c r="Q61">
        <f t="shared" si="50"/>
        <v>0</v>
      </c>
      <c r="R61">
        <f t="shared" si="50"/>
        <v>0</v>
      </c>
      <c r="S61">
        <f t="shared" si="50"/>
        <v>0</v>
      </c>
      <c r="T61">
        <f t="shared" si="50"/>
        <v>0</v>
      </c>
      <c r="U61">
        <f t="shared" si="50"/>
        <v>0</v>
      </c>
      <c r="V61">
        <f t="shared" si="50"/>
        <v>0</v>
      </c>
      <c r="W61">
        <f t="shared" si="50"/>
        <v>0</v>
      </c>
      <c r="X61">
        <f t="shared" si="50"/>
        <v>0</v>
      </c>
      <c r="Y61">
        <f t="shared" si="50"/>
        <v>0</v>
      </c>
      <c r="Z61">
        <f t="shared" si="50"/>
        <v>0</v>
      </c>
      <c r="AA61">
        <f t="shared" si="50"/>
        <v>0</v>
      </c>
      <c r="AB61">
        <f t="shared" si="50"/>
        <v>0</v>
      </c>
      <c r="AC61">
        <f t="shared" si="50"/>
        <v>0</v>
      </c>
      <c r="AD61">
        <f t="shared" si="50"/>
        <v>0</v>
      </c>
      <c r="AE61">
        <f t="shared" si="50"/>
        <v>0</v>
      </c>
      <c r="AF61">
        <f t="shared" si="50"/>
        <v>0</v>
      </c>
      <c r="AG61">
        <f t="shared" si="50"/>
        <v>0</v>
      </c>
    </row>
    <row r="62" spans="1:33">
      <c r="C62" t="s">
        <v>149</v>
      </c>
      <c r="D62">
        <f>D59*C$6/D$4</f>
        <v>0</v>
      </c>
      <c r="E62">
        <f t="shared" ref="E62:O62" si="51">E59*E$6/E$4</f>
        <v>0</v>
      </c>
      <c r="F62">
        <f t="shared" si="51"/>
        <v>0</v>
      </c>
      <c r="G62">
        <f t="shared" si="51"/>
        <v>0</v>
      </c>
      <c r="H62">
        <f t="shared" si="51"/>
        <v>0</v>
      </c>
      <c r="I62">
        <f t="shared" si="51"/>
        <v>0</v>
      </c>
      <c r="J62">
        <f t="shared" si="51"/>
        <v>0</v>
      </c>
      <c r="K62">
        <f t="shared" si="51"/>
        <v>0</v>
      </c>
      <c r="L62">
        <f t="shared" si="51"/>
        <v>0</v>
      </c>
      <c r="M62">
        <f t="shared" si="51"/>
        <v>0</v>
      </c>
      <c r="N62">
        <f t="shared" si="51"/>
        <v>0</v>
      </c>
      <c r="O62">
        <f t="shared" si="51"/>
        <v>0</v>
      </c>
      <c r="P62">
        <f>IFERROR(P59*P$6/P$4,P59*P$6/P$3)</f>
        <v>0</v>
      </c>
      <c r="S62">
        <f>S59*C$6</f>
        <v>0</v>
      </c>
      <c r="T62">
        <f t="shared" ref="T62:AF62" si="52">T59*T$6</f>
        <v>0</v>
      </c>
      <c r="U62">
        <f t="shared" si="52"/>
        <v>0</v>
      </c>
      <c r="V62">
        <f t="shared" si="52"/>
        <v>0</v>
      </c>
      <c r="W62">
        <f t="shared" si="52"/>
        <v>0</v>
      </c>
      <c r="X62">
        <f t="shared" si="52"/>
        <v>0</v>
      </c>
      <c r="Y62">
        <f t="shared" si="52"/>
        <v>0</v>
      </c>
      <c r="Z62">
        <f t="shared" si="52"/>
        <v>0</v>
      </c>
      <c r="AA62">
        <f t="shared" si="52"/>
        <v>0</v>
      </c>
      <c r="AB62">
        <f t="shared" si="52"/>
        <v>0</v>
      </c>
      <c r="AC62">
        <f t="shared" si="52"/>
        <v>0</v>
      </c>
      <c r="AD62">
        <f t="shared" si="52"/>
        <v>0</v>
      </c>
      <c r="AE62">
        <f t="shared" si="52"/>
        <v>0</v>
      </c>
      <c r="AF62">
        <f t="shared" si="52"/>
        <v>0</v>
      </c>
    </row>
    <row r="63" spans="1:33">
      <c r="C63" t="s">
        <v>150</v>
      </c>
      <c r="D63">
        <f t="shared" ref="D63:P63" si="53">D62/1000000</f>
        <v>0</v>
      </c>
      <c r="E63">
        <f t="shared" si="53"/>
        <v>0</v>
      </c>
      <c r="F63">
        <f t="shared" si="53"/>
        <v>0</v>
      </c>
      <c r="G63">
        <f t="shared" si="53"/>
        <v>0</v>
      </c>
      <c r="H63">
        <f t="shared" si="53"/>
        <v>0</v>
      </c>
      <c r="I63">
        <f t="shared" si="53"/>
        <v>0</v>
      </c>
      <c r="J63">
        <f t="shared" si="53"/>
        <v>0</v>
      </c>
      <c r="K63">
        <f t="shared" si="53"/>
        <v>0</v>
      </c>
      <c r="L63">
        <f t="shared" si="53"/>
        <v>0</v>
      </c>
      <c r="M63">
        <f t="shared" si="53"/>
        <v>0</v>
      </c>
      <c r="N63">
        <f t="shared" si="53"/>
        <v>0</v>
      </c>
      <c r="O63">
        <f t="shared" si="53"/>
        <v>0</v>
      </c>
      <c r="P63">
        <f t="shared" si="53"/>
        <v>0</v>
      </c>
      <c r="S63">
        <f t="shared" ref="S63:AF63" si="54">S62/1000</f>
        <v>0</v>
      </c>
      <c r="T63">
        <f t="shared" si="54"/>
        <v>0</v>
      </c>
      <c r="U63">
        <f t="shared" si="54"/>
        <v>0</v>
      </c>
      <c r="V63">
        <f t="shared" si="54"/>
        <v>0</v>
      </c>
      <c r="W63">
        <f t="shared" si="54"/>
        <v>0</v>
      </c>
      <c r="X63">
        <f t="shared" si="54"/>
        <v>0</v>
      </c>
      <c r="Y63">
        <f t="shared" si="54"/>
        <v>0</v>
      </c>
      <c r="Z63">
        <f t="shared" si="54"/>
        <v>0</v>
      </c>
      <c r="AA63">
        <f t="shared" si="54"/>
        <v>0</v>
      </c>
      <c r="AB63">
        <f t="shared" si="54"/>
        <v>0</v>
      </c>
      <c r="AC63">
        <f t="shared" si="54"/>
        <v>0</v>
      </c>
      <c r="AD63">
        <f t="shared" si="54"/>
        <v>0</v>
      </c>
      <c r="AE63">
        <f t="shared" si="54"/>
        <v>0</v>
      </c>
      <c r="AF63">
        <f t="shared" si="54"/>
        <v>0</v>
      </c>
    </row>
    <row r="64" spans="1:33">
      <c r="A64" t="str">
        <f>interFY_transition!D37</f>
        <v>Mar'27</v>
      </c>
      <c r="B64">
        <f>$A$5*100+3</f>
        <v>202703</v>
      </c>
      <c r="C64" t="s">
        <v>148</v>
      </c>
      <c r="D64">
        <f>SUMIF(DPR!$AH$9:$AH$1634,DPRavg!$B64,DPR!D$9:D$1634)</f>
        <v>0</v>
      </c>
      <c r="E64">
        <f>SUMIF(DPR!$AH$9:$AH$1634,DPRavg!$B64,DPR!E$9:E$1634)</f>
        <v>0</v>
      </c>
      <c r="F64">
        <f>SUMIF(DPR!$AH$9:$AH$1634,DPRavg!$B64,DPR!F$9:F$1634)</f>
        <v>0</v>
      </c>
      <c r="G64">
        <f>SUMIF(DPR!$AH$9:$AH$1634,DPRavg!$B64,DPR!G$9:G$1634)</f>
        <v>0</v>
      </c>
      <c r="H64">
        <f>SUMIF(DPR!$AH$9:$AH$1634,DPRavg!$B64,DPR!H$9:H$1634)</f>
        <v>0</v>
      </c>
      <c r="I64">
        <f>SUMIF(DPR!$AH$9:$AH$1634,DPRavg!$B64,DPR!I$9:I$1634)</f>
        <v>0</v>
      </c>
      <c r="J64">
        <f>SUMIF(DPR!$AH$9:$AH$1634,DPRavg!$B64,DPR!J$9:J$1634)</f>
        <v>0</v>
      </c>
      <c r="K64">
        <f>SUMIF(DPR!$AH$9:$AH$1634,DPRavg!$B64,DPR!K$9:K$1634)</f>
        <v>0</v>
      </c>
      <c r="L64">
        <f>SUMIF(DPR!$AH$9:$AH$1634,DPRavg!$B64,DPR!L$9:L$1634)</f>
        <v>0</v>
      </c>
      <c r="M64">
        <f>SUMIF(DPR!$AH$9:$AH$1634,DPRavg!$B64,DPR!M$9:M$1634)</f>
        <v>0</v>
      </c>
      <c r="N64">
        <f>SUMIF(DPR!$AH$9:$AH$1634,DPRavg!$B64,DPR!N$9:N$1634)</f>
        <v>0</v>
      </c>
      <c r="O64">
        <f>SUMIF(DPR!$AH$9:$AH$1634,DPRavg!$B64,DPR!O$9:O$1634)</f>
        <v>0</v>
      </c>
      <c r="P64">
        <f>SUMIF(DPR!$AH$9:$AH$1634,DPRavg!$B64,DPR!P$9:P$1634)</f>
        <v>0</v>
      </c>
      <c r="Q64">
        <f>SUMIF(DPR!$AH$9:$AH$1634,DPRavg!$B64,DPR!Q$9:Q$1634)</f>
        <v>0</v>
      </c>
      <c r="R64">
        <f>SUMIF(DPR!$AH$9:$AH$1634,DPRavg!$B64,DPR!R$9:R$1634)</f>
        <v>0</v>
      </c>
      <c r="S64">
        <f>SUMIF(DPR!$AH$9:$AH$1634,DPRavg!$B64,DPR!S$9:S$1634)</f>
        <v>0</v>
      </c>
      <c r="T64">
        <f>SUMIF(DPR!$AH$9:$AH$1634,DPRavg!$B64,DPR!T$9:T$1634)</f>
        <v>0</v>
      </c>
      <c r="U64">
        <f>SUMIF(DPR!$AH$9:$AH$1634,DPRavg!$B64,DPR!U$9:U$1634)</f>
        <v>0</v>
      </c>
      <c r="V64">
        <f>SUMIF(DPR!$AH$9:$AH$1634,DPRavg!$B64,DPR!V$9:V$1634)</f>
        <v>0</v>
      </c>
      <c r="W64">
        <f>SUMIF(DPR!$AH$9:$AH$1634,DPRavg!$B64,DPR!W$9:W$1634)</f>
        <v>0</v>
      </c>
      <c r="X64">
        <f>SUMIF(DPR!$AH$9:$AH$1634,DPRavg!$B64,DPR!X$9:X$1634)</f>
        <v>0</v>
      </c>
      <c r="Y64">
        <f>SUMIF(DPR!$AH$9:$AH$1634,DPRavg!$B64,DPR!Y$9:Y$1634)</f>
        <v>0</v>
      </c>
      <c r="Z64">
        <f>SUMIF(DPR!$AH$9:$AH$1634,DPRavg!$B64,DPR!Z$9:Z$1634)</f>
        <v>0</v>
      </c>
      <c r="AA64">
        <f>SUMIF(DPR!$AH$9:$AH$1634,DPRavg!$B64,DPR!AA$9:AA$1634)</f>
        <v>0</v>
      </c>
      <c r="AB64">
        <f>SUMIF(DPR!$AH$9:$AH$1634,DPRavg!$B64,DPR!AB$9:AB$1634)</f>
        <v>0</v>
      </c>
      <c r="AC64">
        <f>SUMIF(DPR!$AH$9:$AH$1634,DPRavg!$B64,DPR!AC$9:AC$1634)</f>
        <v>0</v>
      </c>
      <c r="AD64">
        <f>SUMIF(DPR!$AH$9:$AH$1634,DPRavg!$B64,DPR!AD$9:AD$1634)</f>
        <v>0</v>
      </c>
      <c r="AE64">
        <f>SUMIF(DPR!$AH$9:$AH$1634,DPRavg!$B64,DPR!AE$9:AE$1634)</f>
        <v>0</v>
      </c>
      <c r="AF64">
        <f>SUMIF(DPR!$AH$9:$AH$1634,DPRavg!$B64,DPR!AF$9:AF$1634)</f>
        <v>0</v>
      </c>
      <c r="AG64">
        <f>SUMIF(DPR!$AH$9:$AH$1634,DPRavg!$B64,DPR!AG$9:AG$1634)</f>
        <v>0</v>
      </c>
    </row>
    <row r="65" spans="3:33">
      <c r="C65" t="s">
        <v>136</v>
      </c>
      <c r="D65">
        <f>COUNTIF(DPR!$AH$9:$AH$1634,DPRavg!$B64)</f>
        <v>0</v>
      </c>
      <c r="E65">
        <f>COUNTIF(DPR!$AH$9:$AH$1634,DPRavg!$B64)</f>
        <v>0</v>
      </c>
      <c r="F65">
        <f>COUNTIF(DPR!$AH$9:$AH$1634,DPRavg!$B64)</f>
        <v>0</v>
      </c>
      <c r="G65">
        <f>COUNTIF(DPR!$AH$9:$AH$1634,DPRavg!$B64)</f>
        <v>0</v>
      </c>
      <c r="H65">
        <f>COUNTIF(DPR!$AH$9:$AH$1634,DPRavg!$B64)</f>
        <v>0</v>
      </c>
      <c r="I65">
        <f>COUNTIF(DPR!$AH$9:$AH$1634,DPRavg!$B64)</f>
        <v>0</v>
      </c>
      <c r="J65">
        <f>COUNTIF(DPR!$AH$9:$AH$1634,DPRavg!$B64)</f>
        <v>0</v>
      </c>
      <c r="K65">
        <f>COUNTIF(DPR!$AH$9:$AH$1634,DPRavg!$B64)</f>
        <v>0</v>
      </c>
      <c r="L65">
        <f>COUNTIF(DPR!$AH$9:$AH$1634,DPRavg!$B64)</f>
        <v>0</v>
      </c>
      <c r="M65">
        <f>COUNTIF(DPR!$AH$9:$AH$1634,DPRavg!$B64)</f>
        <v>0</v>
      </c>
      <c r="N65">
        <f>COUNTIF(DPR!$AH$9:$AH$1634,DPRavg!$B64)</f>
        <v>0</v>
      </c>
      <c r="O65">
        <f>COUNTIF(DPR!$AH$9:$AH$1634,DPRavg!$B64)</f>
        <v>0</v>
      </c>
      <c r="P65">
        <f>COUNTIF(DPR!$AH$9:$AH$1634,DPRavg!$B64)</f>
        <v>0</v>
      </c>
      <c r="Q65">
        <f>COUNTIF(DPR!$AH$9:$AH$1634,DPRavg!$B64)</f>
        <v>0</v>
      </c>
      <c r="R65">
        <f>COUNTIF(DPR!$AH$9:$AH$1634,DPRavg!$B64)</f>
        <v>0</v>
      </c>
      <c r="S65">
        <f>COUNTIF(DPR!$AH$9:$AH$1634,DPRavg!$B64)</f>
        <v>0</v>
      </c>
      <c r="T65">
        <f>COUNTIF(DPR!$AH$9:$AH$1634,DPRavg!$B64)</f>
        <v>0</v>
      </c>
      <c r="U65">
        <f>COUNTIF(DPR!$AH$9:$AH$1634,DPRavg!$B64)</f>
        <v>0</v>
      </c>
      <c r="V65">
        <f>COUNTIF(DPR!$AH$9:$AH$1634,DPRavg!$B64)</f>
        <v>0</v>
      </c>
      <c r="W65">
        <f>COUNTIF(DPR!$AH$9:$AH$1634,DPRavg!$B64)</f>
        <v>0</v>
      </c>
      <c r="X65">
        <f>COUNTIF(DPR!$AH$9:$AH$1634,DPRavg!$B64)</f>
        <v>0</v>
      </c>
      <c r="Y65">
        <f>COUNTIF(DPR!$AH$9:$AH$1634,DPRavg!$B64)</f>
        <v>0</v>
      </c>
      <c r="Z65">
        <f>COUNTIF(DPR!$AH$9:$AH$1634,DPRavg!$B64)</f>
        <v>0</v>
      </c>
      <c r="AA65">
        <f>COUNTIF(DPR!$AH$9:$AH$1634,DPRavg!$B64)</f>
        <v>0</v>
      </c>
      <c r="AB65">
        <f>COUNTIF(DPR!$AH$9:$AH$1634,DPRavg!$B64)</f>
        <v>0</v>
      </c>
      <c r="AC65">
        <f>COUNTIF(DPR!$AH$9:$AH$1634,DPRavg!$B64)</f>
        <v>0</v>
      </c>
      <c r="AD65">
        <f>COUNTIF(DPR!$AH$9:$AH$1634,DPRavg!$B64)</f>
        <v>0</v>
      </c>
      <c r="AE65">
        <f>COUNTIF(DPR!$AH$9:$AH$1634,DPRavg!$B64)</f>
        <v>0</v>
      </c>
      <c r="AF65">
        <f>COUNTIF(DPR!$AH$9:$AH$1634,DPRavg!$B64)</f>
        <v>0</v>
      </c>
      <c r="AG65">
        <f>COUNTIF(DPR!$AH$9:$AH$1634,DPRavg!$B64)</f>
        <v>0</v>
      </c>
    </row>
    <row r="66" spans="3:33">
      <c r="C66" t="s">
        <v>137</v>
      </c>
      <c r="D66">
        <f t="shared" ref="D66:AG66" si="55">IFERROR(D64/D65,0)</f>
        <v>0</v>
      </c>
      <c r="E66">
        <f t="shared" si="55"/>
        <v>0</v>
      </c>
      <c r="F66">
        <f t="shared" si="55"/>
        <v>0</v>
      </c>
      <c r="G66">
        <f t="shared" si="55"/>
        <v>0</v>
      </c>
      <c r="H66">
        <f t="shared" si="55"/>
        <v>0</v>
      </c>
      <c r="I66">
        <f t="shared" si="55"/>
        <v>0</v>
      </c>
      <c r="J66">
        <f t="shared" si="55"/>
        <v>0</v>
      </c>
      <c r="K66">
        <f t="shared" si="55"/>
        <v>0</v>
      </c>
      <c r="L66">
        <f t="shared" si="55"/>
        <v>0</v>
      </c>
      <c r="M66">
        <f t="shared" si="55"/>
        <v>0</v>
      </c>
      <c r="N66">
        <f t="shared" si="55"/>
        <v>0</v>
      </c>
      <c r="O66">
        <f t="shared" si="55"/>
        <v>0</v>
      </c>
      <c r="P66">
        <f t="shared" si="55"/>
        <v>0</v>
      </c>
      <c r="Q66">
        <f t="shared" si="55"/>
        <v>0</v>
      </c>
      <c r="R66">
        <f t="shared" si="55"/>
        <v>0</v>
      </c>
      <c r="S66">
        <f t="shared" si="55"/>
        <v>0</v>
      </c>
      <c r="T66">
        <f t="shared" si="55"/>
        <v>0</v>
      </c>
      <c r="U66">
        <f t="shared" si="55"/>
        <v>0</v>
      </c>
      <c r="V66">
        <f t="shared" si="55"/>
        <v>0</v>
      </c>
      <c r="W66">
        <f t="shared" si="55"/>
        <v>0</v>
      </c>
      <c r="X66">
        <f t="shared" si="55"/>
        <v>0</v>
      </c>
      <c r="Y66">
        <f t="shared" si="55"/>
        <v>0</v>
      </c>
      <c r="Z66">
        <f t="shared" si="55"/>
        <v>0</v>
      </c>
      <c r="AA66">
        <f t="shared" si="55"/>
        <v>0</v>
      </c>
      <c r="AB66">
        <f t="shared" si="55"/>
        <v>0</v>
      </c>
      <c r="AC66">
        <f t="shared" si="55"/>
        <v>0</v>
      </c>
      <c r="AD66">
        <f t="shared" si="55"/>
        <v>0</v>
      </c>
      <c r="AE66">
        <f t="shared" si="55"/>
        <v>0</v>
      </c>
      <c r="AF66">
        <f t="shared" si="55"/>
        <v>0</v>
      </c>
      <c r="AG66">
        <f t="shared" si="55"/>
        <v>0</v>
      </c>
    </row>
    <row r="67" spans="3:33">
      <c r="C67" t="s">
        <v>149</v>
      </c>
      <c r="D67">
        <f>D64*C$6/D$4</f>
        <v>0</v>
      </c>
      <c r="E67">
        <f t="shared" ref="E67:O67" si="56">E64*E$6/E$4</f>
        <v>0</v>
      </c>
      <c r="F67">
        <f t="shared" si="56"/>
        <v>0</v>
      </c>
      <c r="G67">
        <f t="shared" si="56"/>
        <v>0</v>
      </c>
      <c r="H67">
        <f t="shared" si="56"/>
        <v>0</v>
      </c>
      <c r="I67">
        <f t="shared" si="56"/>
        <v>0</v>
      </c>
      <c r="J67">
        <f t="shared" si="56"/>
        <v>0</v>
      </c>
      <c r="K67">
        <f t="shared" si="56"/>
        <v>0</v>
      </c>
      <c r="L67">
        <f t="shared" si="56"/>
        <v>0</v>
      </c>
      <c r="M67">
        <f t="shared" si="56"/>
        <v>0</v>
      </c>
      <c r="N67">
        <f t="shared" si="56"/>
        <v>0</v>
      </c>
      <c r="O67">
        <f t="shared" si="56"/>
        <v>0</v>
      </c>
      <c r="P67">
        <f>IFERROR(P64*P$6/P$4,P64*P$6/P$3)</f>
        <v>0</v>
      </c>
      <c r="S67">
        <f>S64*C$6</f>
        <v>0</v>
      </c>
      <c r="T67">
        <f t="shared" ref="T67:AF67" si="57">T64*T$6</f>
        <v>0</v>
      </c>
      <c r="U67">
        <f t="shared" si="57"/>
        <v>0</v>
      </c>
      <c r="V67">
        <f t="shared" si="57"/>
        <v>0</v>
      </c>
      <c r="W67">
        <f t="shared" si="57"/>
        <v>0</v>
      </c>
      <c r="X67">
        <f t="shared" si="57"/>
        <v>0</v>
      </c>
      <c r="Y67">
        <f t="shared" si="57"/>
        <v>0</v>
      </c>
      <c r="Z67">
        <f t="shared" si="57"/>
        <v>0</v>
      </c>
      <c r="AA67">
        <f t="shared" si="57"/>
        <v>0</v>
      </c>
      <c r="AB67">
        <f t="shared" si="57"/>
        <v>0</v>
      </c>
      <c r="AC67">
        <f t="shared" si="57"/>
        <v>0</v>
      </c>
      <c r="AD67">
        <f t="shared" si="57"/>
        <v>0</v>
      </c>
      <c r="AE67">
        <f t="shared" si="57"/>
        <v>0</v>
      </c>
      <c r="AF67">
        <f t="shared" si="57"/>
        <v>0</v>
      </c>
    </row>
    <row r="68" spans="3:33">
      <c r="C68" t="s">
        <v>150</v>
      </c>
      <c r="D68">
        <f t="shared" ref="D68:P68" si="58">D67/1000000</f>
        <v>0</v>
      </c>
      <c r="E68">
        <f t="shared" si="58"/>
        <v>0</v>
      </c>
      <c r="F68">
        <f t="shared" si="58"/>
        <v>0</v>
      </c>
      <c r="G68">
        <f t="shared" si="58"/>
        <v>0</v>
      </c>
      <c r="H68">
        <f t="shared" si="58"/>
        <v>0</v>
      </c>
      <c r="I68">
        <f t="shared" si="58"/>
        <v>0</v>
      </c>
      <c r="J68">
        <f t="shared" si="58"/>
        <v>0</v>
      </c>
      <c r="K68">
        <f t="shared" si="58"/>
        <v>0</v>
      </c>
      <c r="L68">
        <f t="shared" si="58"/>
        <v>0</v>
      </c>
      <c r="M68">
        <f t="shared" si="58"/>
        <v>0</v>
      </c>
      <c r="N68">
        <f t="shared" si="58"/>
        <v>0</v>
      </c>
      <c r="O68">
        <f t="shared" si="58"/>
        <v>0</v>
      </c>
      <c r="P68">
        <f t="shared" si="58"/>
        <v>0</v>
      </c>
      <c r="S68">
        <f t="shared" ref="S68:AF68" si="59">S67/1000</f>
        <v>0</v>
      </c>
      <c r="T68">
        <f t="shared" si="59"/>
        <v>0</v>
      </c>
      <c r="U68">
        <f t="shared" si="59"/>
        <v>0</v>
      </c>
      <c r="V68">
        <f t="shared" si="59"/>
        <v>0</v>
      </c>
      <c r="W68">
        <f t="shared" si="59"/>
        <v>0</v>
      </c>
      <c r="X68">
        <f t="shared" si="59"/>
        <v>0</v>
      </c>
      <c r="Y68">
        <f t="shared" si="59"/>
        <v>0</v>
      </c>
      <c r="Z68">
        <f t="shared" si="59"/>
        <v>0</v>
      </c>
      <c r="AA68">
        <f t="shared" si="59"/>
        <v>0</v>
      </c>
      <c r="AB68">
        <f t="shared" si="59"/>
        <v>0</v>
      </c>
      <c r="AC68">
        <f t="shared" si="59"/>
        <v>0</v>
      </c>
      <c r="AD68">
        <f t="shared" si="59"/>
        <v>0</v>
      </c>
      <c r="AE68">
        <f t="shared" si="59"/>
        <v>0</v>
      </c>
      <c r="AF68">
        <f t="shared" si="59"/>
        <v>0</v>
      </c>
    </row>
  </sheetData>
  <mergeCells count="2">
    <mergeCell ref="D5:R5"/>
    <mergeCell ref="S5:AG5"/>
  </mergeCell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14:formula1>
            <xm:f>Dropdowns!$C$16:$C$28</xm:f>
          </x14:formula1>
          <xm:sqref>F2</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rgb="FF7030A0"/>
  </sheetPr>
  <dimension ref="A1:BM76"/>
  <sheetViews>
    <sheetView workbookViewId="0">
      <selection activeCell="F41" sqref="F41"/>
    </sheetView>
  </sheetViews>
  <sheetFormatPr defaultColWidth="8.85546875" defaultRowHeight="15"/>
  <cols>
    <col min="7" max="7" width="9.140625" customWidth="1"/>
    <col min="29" max="29" width="10.42578125" customWidth="1"/>
    <col min="30" max="30" width="11.42578125" customWidth="1"/>
    <col min="40" max="40" width="10.85546875" bestFit="1" customWidth="1"/>
    <col min="46" max="46" width="9.85546875" bestFit="1" customWidth="1"/>
    <col min="54" max="59" width="10.42578125" bestFit="1" customWidth="1"/>
  </cols>
  <sheetData>
    <row r="1" spans="1:65">
      <c r="AM1">
        <v>1</v>
      </c>
      <c r="AN1">
        <v>2</v>
      </c>
      <c r="AO1">
        <v>3</v>
      </c>
      <c r="AP1">
        <v>4</v>
      </c>
      <c r="AQ1">
        <v>5</v>
      </c>
      <c r="AR1">
        <v>6</v>
      </c>
      <c r="AS1">
        <v>7</v>
      </c>
      <c r="AT1">
        <v>8</v>
      </c>
      <c r="AU1">
        <v>9</v>
      </c>
      <c r="AV1">
        <v>10</v>
      </c>
      <c r="AW1">
        <v>11</v>
      </c>
      <c r="AX1">
        <v>12</v>
      </c>
    </row>
    <row r="2" spans="1:65">
      <c r="A2" s="482" t="str">
        <f>interFY_transition!D20</f>
        <v>2026-27</v>
      </c>
      <c r="B2" t="s">
        <v>862</v>
      </c>
      <c r="G2" t="s">
        <v>151</v>
      </c>
      <c r="Y2" t="s">
        <v>153</v>
      </c>
      <c r="AA2">
        <f>CF_lat!F2</f>
        <v>4</v>
      </c>
      <c r="AB2" t="s">
        <v>152</v>
      </c>
      <c r="AM2">
        <f>AM1-$AA$2</f>
        <v>-3</v>
      </c>
      <c r="AN2">
        <f t="shared" ref="AN2:AX2" si="0">AN1-$AA$2</f>
        <v>-2</v>
      </c>
      <c r="AO2">
        <f t="shared" si="0"/>
        <v>-1</v>
      </c>
      <c r="AP2">
        <f t="shared" si="0"/>
        <v>0</v>
      </c>
      <c r="AQ2">
        <f t="shared" si="0"/>
        <v>1</v>
      </c>
      <c r="AR2">
        <f t="shared" si="0"/>
        <v>2</v>
      </c>
      <c r="AS2">
        <f t="shared" si="0"/>
        <v>3</v>
      </c>
      <c r="AT2">
        <f t="shared" si="0"/>
        <v>4</v>
      </c>
      <c r="AU2">
        <f t="shared" si="0"/>
        <v>5</v>
      </c>
      <c r="AV2">
        <f t="shared" si="0"/>
        <v>6</v>
      </c>
      <c r="AW2">
        <f t="shared" si="0"/>
        <v>7</v>
      </c>
      <c r="AX2">
        <f t="shared" si="0"/>
        <v>8</v>
      </c>
    </row>
    <row r="3" spans="1:65">
      <c r="A3" s="482">
        <f>interFY_transition!D21</f>
        <v>2026</v>
      </c>
      <c r="J3" t="s">
        <v>144</v>
      </c>
      <c r="AM3">
        <f>IF(AM2&gt;0,0,1)</f>
        <v>1</v>
      </c>
      <c r="AN3">
        <f t="shared" ref="AN3:AX3" si="1">IF(AN2&gt;0,0,1)</f>
        <v>1</v>
      </c>
      <c r="AO3">
        <f t="shared" si="1"/>
        <v>1</v>
      </c>
      <c r="AP3">
        <f t="shared" si="1"/>
        <v>1</v>
      </c>
      <c r="AQ3">
        <f t="shared" si="1"/>
        <v>0</v>
      </c>
      <c r="AR3">
        <f t="shared" si="1"/>
        <v>0</v>
      </c>
      <c r="AS3">
        <f t="shared" si="1"/>
        <v>0</v>
      </c>
      <c r="AT3">
        <f t="shared" si="1"/>
        <v>0</v>
      </c>
      <c r="AU3">
        <f t="shared" si="1"/>
        <v>0</v>
      </c>
      <c r="AV3">
        <f t="shared" si="1"/>
        <v>0</v>
      </c>
      <c r="AW3">
        <f t="shared" si="1"/>
        <v>0</v>
      </c>
      <c r="AX3">
        <f t="shared" si="1"/>
        <v>0</v>
      </c>
    </row>
    <row r="4" spans="1:65">
      <c r="A4" s="482">
        <f>interFY_transition!D22</f>
        <v>2027</v>
      </c>
      <c r="W4" s="418">
        <f>$A$3*100+4</f>
        <v>202604</v>
      </c>
      <c r="X4" s="418">
        <f>$A$3*100+5</f>
        <v>202605</v>
      </c>
      <c r="Y4" s="418">
        <f>$A$3*100+6</f>
        <v>202606</v>
      </c>
      <c r="Z4" s="418">
        <f>$A$3*100+7</f>
        <v>202607</v>
      </c>
      <c r="AA4" s="418">
        <f>$A$3*100+8</f>
        <v>202608</v>
      </c>
      <c r="AB4" s="418">
        <f>$A$3*100+9</f>
        <v>202609</v>
      </c>
      <c r="AC4" s="418">
        <f>$A$3*100+10</f>
        <v>202610</v>
      </c>
      <c r="AD4" s="418">
        <f>$A$3*100+11</f>
        <v>202611</v>
      </c>
      <c r="AE4" s="418">
        <f>$A$3*100+12</f>
        <v>202612</v>
      </c>
      <c r="AF4" s="418">
        <f>$A$4*100+1</f>
        <v>202701</v>
      </c>
      <c r="AG4" s="418">
        <f>$A$4*100+2</f>
        <v>202702</v>
      </c>
      <c r="AH4" s="418">
        <f>$A$4*100+3</f>
        <v>202703</v>
      </c>
      <c r="AM4" s="340" t="s">
        <v>410</v>
      </c>
      <c r="AN4" s="340"/>
      <c r="AO4" s="340"/>
      <c r="AP4" s="340"/>
      <c r="AQ4" s="340"/>
      <c r="AR4" s="340"/>
      <c r="AU4" s="340" t="s">
        <v>411</v>
      </c>
      <c r="AV4" s="340"/>
      <c r="AW4" s="340"/>
      <c r="AX4" s="340" t="str">
        <f>DPRavg!F2</f>
        <v>July'26</v>
      </c>
    </row>
    <row r="5" spans="1:65">
      <c r="D5" s="184" t="s">
        <v>30</v>
      </c>
      <c r="E5" s="184" t="s">
        <v>71</v>
      </c>
      <c r="F5" s="184" t="s">
        <v>72</v>
      </c>
      <c r="G5" s="184" t="s">
        <v>73</v>
      </c>
      <c r="H5" s="184" t="s">
        <v>140</v>
      </c>
      <c r="I5" s="184" t="s">
        <v>141</v>
      </c>
      <c r="J5" s="184" t="s">
        <v>142</v>
      </c>
      <c r="K5" s="184" t="s">
        <v>143</v>
      </c>
      <c r="L5" s="184" t="s">
        <v>42</v>
      </c>
      <c r="M5" s="184" t="s">
        <v>339</v>
      </c>
      <c r="N5" s="184" t="s">
        <v>340</v>
      </c>
      <c r="O5" s="184" t="s">
        <v>341</v>
      </c>
      <c r="W5" s="184" t="str">
        <f>HLOOKUP(W$4,Storage_Reconciled_prod_chosen!$D$7:$CU$23,Storage_Reconciled_prod_chosen!$C8,FALSE)</f>
        <v xml:space="preserve">Apr'26 </v>
      </c>
      <c r="X5" s="184" t="str">
        <f>HLOOKUP(X$4,Storage_Reconciled_prod_chosen!$D$7:$CU$23,Storage_Reconciled_prod_chosen!$C8,FALSE)</f>
        <v>May'26</v>
      </c>
      <c r="Y5" s="184" t="str">
        <f>HLOOKUP(Y$4,Storage_Reconciled_prod_chosen!$D$7:$CU$23,Storage_Reconciled_prod_chosen!$C8,FALSE)</f>
        <v>Jun'26</v>
      </c>
      <c r="Z5" s="184" t="str">
        <f>HLOOKUP(Z$4,Storage_Reconciled_prod_chosen!$D$7:$CU$23,Storage_Reconciled_prod_chosen!$C8,FALSE)</f>
        <v>Jul'26</v>
      </c>
      <c r="AA5" s="184" t="str">
        <f>HLOOKUP(AA$4,Storage_Reconciled_prod_chosen!$D$7:$CU$23,Storage_Reconciled_prod_chosen!$C8,FALSE)</f>
        <v>Aug'26</v>
      </c>
      <c r="AB5" s="184" t="str">
        <f>HLOOKUP(AB$4,Storage_Reconciled_prod_chosen!$D$7:$CU$23,Storage_Reconciled_prod_chosen!$C8,FALSE)</f>
        <v>Sep'26</v>
      </c>
      <c r="AC5" s="184" t="str">
        <f>HLOOKUP(AC$4,Storage_Reconciled_prod_chosen!$D$7:$CU$23,Storage_Reconciled_prod_chosen!$C8,FALSE)</f>
        <v>Oct'26</v>
      </c>
      <c r="AD5" s="184" t="str">
        <f>HLOOKUP(AD$4,Storage_Reconciled_prod_chosen!$D$7:$CU$23,Storage_Reconciled_prod_chosen!$C8,FALSE)</f>
        <v>Nov'26</v>
      </c>
      <c r="AE5" s="184" t="str">
        <f>HLOOKUP(AE$4,Storage_Reconciled_prod_chosen!$D$7:$CU$23,Storage_Reconciled_prod_chosen!$C8,FALSE)</f>
        <v>Dec'26</v>
      </c>
      <c r="AF5" s="184" t="str">
        <f>HLOOKUP(AF$4,Storage_Reconciled_prod_chosen!$D$7:$CU$23,Storage_Reconciled_prod_chosen!$C8,FALSE)</f>
        <v>Jan'27</v>
      </c>
      <c r="AG5" s="184" t="str">
        <f>HLOOKUP(AG$4,Storage_Reconciled_prod_chosen!$D$7:$CU$23,Storage_Reconciled_prod_chosen!$C8,FALSE)</f>
        <v>Feb'27</v>
      </c>
      <c r="AH5" s="184" t="str">
        <f>HLOOKUP(AH$4,Storage_Reconciled_prod_chosen!$D$7:$CU$23,Storage_Reconciled_prod_chosen!$C8,FALSE)</f>
        <v>Mar'27</v>
      </c>
      <c r="AM5" s="184" t="s">
        <v>30</v>
      </c>
      <c r="AN5" s="184" t="s">
        <v>71</v>
      </c>
      <c r="AO5" s="184" t="s">
        <v>72</v>
      </c>
      <c r="AP5" s="184" t="s">
        <v>73</v>
      </c>
      <c r="AQ5" s="184" t="s">
        <v>140</v>
      </c>
      <c r="AR5" s="184" t="s">
        <v>141</v>
      </c>
      <c r="AS5" s="184" t="s">
        <v>142</v>
      </c>
      <c r="AT5" s="184" t="s">
        <v>143</v>
      </c>
      <c r="AU5" s="184" t="s">
        <v>42</v>
      </c>
      <c r="AV5" s="184" t="s">
        <v>339</v>
      </c>
      <c r="AW5" s="184" t="s">
        <v>340</v>
      </c>
      <c r="AX5" s="184" t="s">
        <v>341</v>
      </c>
      <c r="BB5" s="184" t="s">
        <v>30</v>
      </c>
      <c r="BC5" s="184" t="s">
        <v>71</v>
      </c>
      <c r="BD5" s="184" t="s">
        <v>72</v>
      </c>
      <c r="BE5" s="184" t="s">
        <v>73</v>
      </c>
      <c r="BF5" s="184" t="s">
        <v>140</v>
      </c>
      <c r="BG5" s="184" t="s">
        <v>141</v>
      </c>
      <c r="BH5" s="184" t="s">
        <v>142</v>
      </c>
      <c r="BI5" s="184" t="s">
        <v>143</v>
      </c>
      <c r="BJ5" s="184" t="s">
        <v>42</v>
      </c>
      <c r="BK5" s="184" t="s">
        <v>339</v>
      </c>
      <c r="BL5" s="184" t="s">
        <v>340</v>
      </c>
      <c r="BM5" s="184" t="s">
        <v>341</v>
      </c>
    </row>
    <row r="6" spans="1:65">
      <c r="C6" s="209" t="s">
        <v>60</v>
      </c>
      <c r="D6" s="184">
        <f>DPRavg!I11</f>
        <v>189203.96666666667</v>
      </c>
      <c r="E6" s="184">
        <f>DPRavg!I16</f>
        <v>184262.29032258064</v>
      </c>
      <c r="F6" s="184">
        <f>DPRavg!I21</f>
        <v>169505.6</v>
      </c>
      <c r="G6" s="184">
        <f>DPRavg!I26</f>
        <v>187256.90322580645</v>
      </c>
      <c r="H6" s="184">
        <f>DPRavg!I31</f>
        <v>183341.16129032258</v>
      </c>
      <c r="I6" s="184">
        <f>DPRavg!I36</f>
        <v>0</v>
      </c>
      <c r="J6" s="184">
        <f>DPRavg!I41</f>
        <v>0</v>
      </c>
      <c r="K6" s="184">
        <f>DPRavg!I46</f>
        <v>0</v>
      </c>
      <c r="L6" s="184">
        <f>DPRavg!I51</f>
        <v>0</v>
      </c>
      <c r="M6" s="184">
        <f>DPRavg!I56</f>
        <v>0</v>
      </c>
      <c r="N6" s="184">
        <f>DPRavg!I61</f>
        <v>0</v>
      </c>
      <c r="O6" s="184">
        <f>DPRavg!I66</f>
        <v>0</v>
      </c>
      <c r="V6" s="209" t="s">
        <v>60</v>
      </c>
      <c r="W6" s="184">
        <f>HLOOKUP(W$4,Storage_Reconciled_prod_chosen!$D$7:$CU$23,Storage_Reconciled_prod_chosen!$C9,FALSE)</f>
        <v>189203.96666666667</v>
      </c>
      <c r="X6" s="184">
        <f>HLOOKUP(X$4,Storage_Reconciled_prod_chosen!$D$7:$CU$23,Storage_Reconciled_prod_chosen!$C9,FALSE)</f>
        <v>184262.29032290322</v>
      </c>
      <c r="Y6" s="184">
        <f>HLOOKUP(Y$4,Storage_Reconciled_prod_chosen!$D$7:$CU$23,Storage_Reconciled_prod_chosen!$C9,FALSE)</f>
        <v>169196.10000066666</v>
      </c>
      <c r="Z6" s="184">
        <f>HLOOKUP(Z$4,Storage_Reconciled_prod_chosen!$D$7:$CU$23,Storage_Reconciled_prod_chosen!$C9,FALSE)</f>
        <v>187261.55464516129</v>
      </c>
      <c r="AA6" s="184">
        <f>HLOOKUP(AA$4,Storage_Reconciled_prod_chosen!$D$7:$CU$23,Storage_Reconciled_prod_chosen!$C9,FALSE)</f>
        <v>0</v>
      </c>
      <c r="AB6" s="184">
        <f>HLOOKUP(AB$4,Storage_Reconciled_prod_chosen!$D$7:$CU$23,Storage_Reconciled_prod_chosen!$C9,FALSE)</f>
        <v>0</v>
      </c>
      <c r="AC6" s="184">
        <f>HLOOKUP(AC$4,Storage_Reconciled_prod_chosen!$D$7:$CU$23,Storage_Reconciled_prod_chosen!$C9,FALSE)</f>
        <v>0</v>
      </c>
      <c r="AD6" s="184">
        <f>HLOOKUP(AD$4,Storage_Reconciled_prod_chosen!$D$7:$CU$23,Storage_Reconciled_prod_chosen!$C9,FALSE)</f>
        <v>0</v>
      </c>
      <c r="AE6" s="184">
        <f>HLOOKUP(AE$4,Storage_Reconciled_prod_chosen!$D$7:$CU$23,Storage_Reconciled_prod_chosen!$C9,FALSE)</f>
        <v>0</v>
      </c>
      <c r="AF6" s="184">
        <f>HLOOKUP(AF$4,Storage_Reconciled_prod_chosen!$D$7:$CU$23,Storage_Reconciled_prod_chosen!$C9,FALSE)</f>
        <v>0</v>
      </c>
      <c r="AG6" s="184">
        <f>HLOOKUP(AG$4,Storage_Reconciled_prod_chosen!$D$7:$CU$23,Storage_Reconciled_prod_chosen!$C9,FALSE)</f>
        <v>0</v>
      </c>
      <c r="AH6" s="184">
        <f>HLOOKUP(AH$4,Storage_Reconciled_prod_chosen!$D$7:$CU$23,Storage_Reconciled_prod_chosen!$C9,FALSE)</f>
        <v>0</v>
      </c>
      <c r="AL6" s="209" t="s">
        <v>60</v>
      </c>
      <c r="AM6" s="318">
        <f>(IFERROR((W6/D6)-1,0))*AM$3</f>
        <v>0</v>
      </c>
      <c r="AN6" s="318">
        <f t="shared" ref="AN6:AX19" si="2">(IFERROR((X6/E6)-1,0))*AN$3</f>
        <v>1.7505996652289468E-12</v>
      </c>
      <c r="AO6" s="318">
        <f t="shared" si="2"/>
        <v>-1.8258983734658063E-3</v>
      </c>
      <c r="AP6" s="318">
        <f t="shared" si="2"/>
        <v>2.4839775061513691E-5</v>
      </c>
      <c r="AQ6" s="318">
        <f t="shared" si="2"/>
        <v>0</v>
      </c>
      <c r="AR6" s="318">
        <f t="shared" si="2"/>
        <v>0</v>
      </c>
      <c r="AS6" s="318">
        <f t="shared" si="2"/>
        <v>0</v>
      </c>
      <c r="AT6" s="318">
        <f t="shared" si="2"/>
        <v>0</v>
      </c>
      <c r="AU6" s="318">
        <f t="shared" si="2"/>
        <v>0</v>
      </c>
      <c r="AV6" s="318">
        <f t="shared" si="2"/>
        <v>0</v>
      </c>
      <c r="AW6" s="318">
        <f t="shared" si="2"/>
        <v>0</v>
      </c>
      <c r="AX6" s="318">
        <f t="shared" si="2"/>
        <v>0</v>
      </c>
      <c r="BA6" s="209" t="s">
        <v>60</v>
      </c>
      <c r="BB6">
        <f>W6-D6</f>
        <v>0</v>
      </c>
      <c r="BC6">
        <f t="shared" ref="BC6:BM19" si="3">X6-E6</f>
        <v>3.2258685678243637E-7</v>
      </c>
      <c r="BD6">
        <f t="shared" si="3"/>
        <v>-309.49999933334766</v>
      </c>
      <c r="BE6">
        <f t="shared" si="3"/>
        <v>4.6514193548355252</v>
      </c>
      <c r="BF6">
        <f t="shared" si="3"/>
        <v>-183341.16129032258</v>
      </c>
      <c r="BG6">
        <f t="shared" si="3"/>
        <v>0</v>
      </c>
      <c r="BH6">
        <f t="shared" si="3"/>
        <v>0</v>
      </c>
      <c r="BI6">
        <f t="shared" si="3"/>
        <v>0</v>
      </c>
      <c r="BJ6">
        <f t="shared" si="3"/>
        <v>0</v>
      </c>
      <c r="BK6">
        <f t="shared" si="3"/>
        <v>0</v>
      </c>
      <c r="BL6">
        <f t="shared" si="3"/>
        <v>0</v>
      </c>
      <c r="BM6">
        <f t="shared" si="3"/>
        <v>0</v>
      </c>
    </row>
    <row r="7" spans="1:65">
      <c r="C7" s="209" t="s">
        <v>61</v>
      </c>
      <c r="D7" s="184">
        <f>DPRavg!J11</f>
        <v>155715.76666666666</v>
      </c>
      <c r="E7" s="184">
        <f>DPRavg!J16</f>
        <v>155546.67741935485</v>
      </c>
      <c r="F7" s="184">
        <f>DPRavg!J21</f>
        <v>155169.53333333333</v>
      </c>
      <c r="G7" s="184">
        <f>DPRavg!J26</f>
        <v>156363.12903225806</v>
      </c>
      <c r="H7" s="184">
        <f>DPRavg!J31</f>
        <v>156578.38709677418</v>
      </c>
      <c r="I7" s="184">
        <f>DPRavg!J36</f>
        <v>0</v>
      </c>
      <c r="J7" s="184">
        <f>DPRavg!J41</f>
        <v>0</v>
      </c>
      <c r="K7" s="184">
        <f>DPRavg!J46</f>
        <v>0</v>
      </c>
      <c r="L7" s="184">
        <f>DPRavg!J51</f>
        <v>0</v>
      </c>
      <c r="M7" s="184">
        <f>DPRavg!J56</f>
        <v>0</v>
      </c>
      <c r="N7" s="184">
        <f>DPRavg!J61</f>
        <v>0</v>
      </c>
      <c r="O7" s="184">
        <f>DPRavg!J66</f>
        <v>0</v>
      </c>
      <c r="V7" s="209" t="s">
        <v>61</v>
      </c>
      <c r="W7" s="184">
        <f>HLOOKUP(W$4,Storage_Reconciled_prod_chosen!$D$7:$CU$23,Storage_Reconciled_prod_chosen!$C10,FALSE)</f>
        <v>155673.12433366667</v>
      </c>
      <c r="X7" s="184">
        <f>HLOOKUP(X$4,Storage_Reconciled_prod_chosen!$D$7:$CU$23,Storage_Reconciled_prod_chosen!$C10,FALSE)</f>
        <v>155546.70022645159</v>
      </c>
      <c r="Y7" s="184">
        <f>HLOOKUP(Y$4,Storage_Reconciled_prod_chosen!$D$7:$CU$23,Storage_Reconciled_prod_chosen!$C10,FALSE)</f>
        <v>155214.86819966664</v>
      </c>
      <c r="Z7" s="184">
        <f>HLOOKUP(Z$4,Storage_Reconciled_prod_chosen!$D$7:$CU$23,Storage_Reconciled_prod_chosen!$C10,FALSE)</f>
        <v>156314.0740648387</v>
      </c>
      <c r="AA7" s="184">
        <f>HLOOKUP(AA$4,Storage_Reconciled_prod_chosen!$D$7:$CU$23,Storage_Reconciled_prod_chosen!$C10,FALSE)</f>
        <v>0</v>
      </c>
      <c r="AB7" s="184">
        <f>HLOOKUP(AB$4,Storage_Reconciled_prod_chosen!$D$7:$CU$23,Storage_Reconciled_prod_chosen!$C10,FALSE)</f>
        <v>0</v>
      </c>
      <c r="AC7" s="184">
        <f>HLOOKUP(AC$4,Storage_Reconciled_prod_chosen!$D$7:$CU$23,Storage_Reconciled_prod_chosen!$C10,FALSE)</f>
        <v>0</v>
      </c>
      <c r="AD7" s="184">
        <f>HLOOKUP(AD$4,Storage_Reconciled_prod_chosen!$D$7:$CU$23,Storage_Reconciled_prod_chosen!$C10,FALSE)</f>
        <v>0</v>
      </c>
      <c r="AE7" s="184">
        <f>HLOOKUP(AE$4,Storage_Reconciled_prod_chosen!$D$7:$CU$23,Storage_Reconciled_prod_chosen!$C10,FALSE)</f>
        <v>0</v>
      </c>
      <c r="AF7" s="184">
        <f>HLOOKUP(AF$4,Storage_Reconciled_prod_chosen!$D$7:$CU$23,Storage_Reconciled_prod_chosen!$C10,FALSE)</f>
        <v>0</v>
      </c>
      <c r="AG7" s="184">
        <f>HLOOKUP(AG$4,Storage_Reconciled_prod_chosen!$D$7:$CU$23,Storage_Reconciled_prod_chosen!$C10,FALSE)</f>
        <v>0</v>
      </c>
      <c r="AH7" s="184">
        <f>HLOOKUP(AH$4,Storage_Reconciled_prod_chosen!$D$7:$CU$23,Storage_Reconciled_prod_chosen!$C10,FALSE)</f>
        <v>0</v>
      </c>
      <c r="AL7" s="209" t="s">
        <v>61</v>
      </c>
      <c r="AM7" s="318">
        <f t="shared" ref="AM7:AM19" si="4">(IFERROR((W7/D7)-1,0))*AM$3</f>
        <v>-2.7384724047418985E-4</v>
      </c>
      <c r="AN7" s="318">
        <f t="shared" si="2"/>
        <v>1.4662541891752312E-7</v>
      </c>
      <c r="AO7" s="318">
        <f t="shared" si="2"/>
        <v>2.9216345090077311E-4</v>
      </c>
      <c r="AP7" s="318">
        <f t="shared" si="2"/>
        <v>-3.1372464674350731E-4</v>
      </c>
      <c r="AQ7" s="318">
        <f t="shared" si="2"/>
        <v>0</v>
      </c>
      <c r="AR7" s="318">
        <f t="shared" si="2"/>
        <v>0</v>
      </c>
      <c r="AS7" s="318">
        <f t="shared" si="2"/>
        <v>0</v>
      </c>
      <c r="AT7" s="318">
        <f t="shared" si="2"/>
        <v>0</v>
      </c>
      <c r="AU7" s="318">
        <f t="shared" si="2"/>
        <v>0</v>
      </c>
      <c r="AV7" s="318">
        <f t="shared" si="2"/>
        <v>0</v>
      </c>
      <c r="AW7" s="318">
        <f t="shared" si="2"/>
        <v>0</v>
      </c>
      <c r="AX7" s="318">
        <f t="shared" si="2"/>
        <v>0</v>
      </c>
      <c r="BA7" s="209" t="s">
        <v>61</v>
      </c>
      <c r="BB7">
        <f t="shared" ref="BB7:BB19" si="5">W7-D7</f>
        <v>-42.642332999996142</v>
      </c>
      <c r="BC7">
        <f t="shared" si="3"/>
        <v>2.2807096742326394E-2</v>
      </c>
      <c r="BD7">
        <f t="shared" si="3"/>
        <v>45.334866333316313</v>
      </c>
      <c r="BE7">
        <f t="shared" si="3"/>
        <v>-49.054967419360764</v>
      </c>
      <c r="BF7">
        <f t="shared" si="3"/>
        <v>-156578.38709677418</v>
      </c>
      <c r="BG7">
        <f t="shared" si="3"/>
        <v>0</v>
      </c>
      <c r="BH7">
        <f t="shared" si="3"/>
        <v>0</v>
      </c>
      <c r="BI7">
        <f t="shared" si="3"/>
        <v>0</v>
      </c>
      <c r="BJ7">
        <f t="shared" si="3"/>
        <v>0</v>
      </c>
      <c r="BK7">
        <f t="shared" si="3"/>
        <v>0</v>
      </c>
      <c r="BL7">
        <f t="shared" si="3"/>
        <v>0</v>
      </c>
      <c r="BM7">
        <f t="shared" si="3"/>
        <v>0</v>
      </c>
    </row>
    <row r="8" spans="1:65">
      <c r="C8" s="209" t="s">
        <v>62</v>
      </c>
      <c r="D8" s="184">
        <f>DPRavg!H11</f>
        <v>1968.8</v>
      </c>
      <c r="E8" s="184">
        <f>DPRavg!H16</f>
        <v>1868.8387096774193</v>
      </c>
      <c r="F8" s="184">
        <f>DPRavg!H21</f>
        <v>1951.1333333333334</v>
      </c>
      <c r="G8" s="184">
        <f>DPRavg!H26</f>
        <v>1884.3225806451612</v>
      </c>
      <c r="H8" s="184">
        <f>DPRavg!H31</f>
        <v>1856.483870967742</v>
      </c>
      <c r="I8" s="184">
        <f>DPRavg!H36</f>
        <v>0</v>
      </c>
      <c r="J8" s="184">
        <f>DPRavg!H41</f>
        <v>0</v>
      </c>
      <c r="K8" s="184">
        <f>DPRavg!H46</f>
        <v>0</v>
      </c>
      <c r="L8" s="184">
        <f>DPRavg!H51</f>
        <v>0</v>
      </c>
      <c r="M8" s="184">
        <f>DPRavg!H56</f>
        <v>0</v>
      </c>
      <c r="N8" s="184">
        <f>DPRavg!H61</f>
        <v>0</v>
      </c>
      <c r="O8" s="184">
        <f>DPRavg!H66</f>
        <v>0</v>
      </c>
      <c r="V8" s="209" t="s">
        <v>62</v>
      </c>
      <c r="W8" s="184">
        <f>HLOOKUP(W$4,Storage_Reconciled_prod_chosen!$D$7:$CU$23,Storage_Reconciled_prod_chosen!$C11,FALSE)</f>
        <v>1967.1666666666667</v>
      </c>
      <c r="X8" s="184">
        <f>HLOOKUP(X$4,Storage_Reconciled_prod_chosen!$D$7:$CU$23,Storage_Reconciled_prod_chosen!$C11,FALSE)</f>
        <v>1868.8709658064517</v>
      </c>
      <c r="Y8" s="184">
        <f>HLOOKUP(Y$4,Storage_Reconciled_prod_chosen!$D$7:$CU$23,Storage_Reconciled_prod_chosen!$C11,FALSE)</f>
        <v>1976.7666666666667</v>
      </c>
      <c r="Z8" s="184">
        <f>HLOOKUP(Z$4,Storage_Reconciled_prod_chosen!$D$7:$CU$23,Storage_Reconciled_prod_chosen!$C11,FALSE)</f>
        <v>1912.9999990322581</v>
      </c>
      <c r="AA8" s="184">
        <f>HLOOKUP(AA$4,Storage_Reconciled_prod_chosen!$D$7:$CU$23,Storage_Reconciled_prod_chosen!$C11,FALSE)</f>
        <v>0</v>
      </c>
      <c r="AB8" s="184">
        <f>HLOOKUP(AB$4,Storage_Reconciled_prod_chosen!$D$7:$CU$23,Storage_Reconciled_prod_chosen!$C11,FALSE)</f>
        <v>0</v>
      </c>
      <c r="AC8" s="184">
        <f>HLOOKUP(AC$4,Storage_Reconciled_prod_chosen!$D$7:$CU$23,Storage_Reconciled_prod_chosen!$C11,FALSE)</f>
        <v>0</v>
      </c>
      <c r="AD8" s="184">
        <f>HLOOKUP(AD$4,Storage_Reconciled_prod_chosen!$D$7:$CU$23,Storage_Reconciled_prod_chosen!$C11,FALSE)</f>
        <v>0</v>
      </c>
      <c r="AE8" s="184">
        <f>HLOOKUP(AE$4,Storage_Reconciled_prod_chosen!$D$7:$CU$23,Storage_Reconciled_prod_chosen!$C11,FALSE)</f>
        <v>0</v>
      </c>
      <c r="AF8" s="184">
        <f>HLOOKUP(AF$4,Storage_Reconciled_prod_chosen!$D$7:$CU$23,Storage_Reconciled_prod_chosen!$C11,FALSE)</f>
        <v>0</v>
      </c>
      <c r="AG8" s="184">
        <f>HLOOKUP(AG$4,Storage_Reconciled_prod_chosen!$D$7:$CU$23,Storage_Reconciled_prod_chosen!$C11,FALSE)</f>
        <v>0</v>
      </c>
      <c r="AH8" s="184">
        <f>HLOOKUP(AH$4,Storage_Reconciled_prod_chosen!$D$7:$CU$23,Storage_Reconciled_prod_chosen!$C11,FALSE)</f>
        <v>0</v>
      </c>
      <c r="AL8" s="209" t="s">
        <v>62</v>
      </c>
      <c r="AM8" s="318">
        <f t="shared" si="4"/>
        <v>-8.2960856020586338E-4</v>
      </c>
      <c r="AN8" s="318">
        <f t="shared" si="2"/>
        <v>1.7259985500839292E-5</v>
      </c>
      <c r="AO8" s="318">
        <f t="shared" si="2"/>
        <v>1.3137663580141457E-2</v>
      </c>
      <c r="AP8" s="318">
        <f t="shared" si="2"/>
        <v>1.5218953846680705E-2</v>
      </c>
      <c r="AQ8" s="318">
        <f t="shared" si="2"/>
        <v>0</v>
      </c>
      <c r="AR8" s="318">
        <f t="shared" si="2"/>
        <v>0</v>
      </c>
      <c r="AS8" s="318">
        <f t="shared" si="2"/>
        <v>0</v>
      </c>
      <c r="AT8" s="318">
        <f t="shared" si="2"/>
        <v>0</v>
      </c>
      <c r="AU8" s="318">
        <f t="shared" si="2"/>
        <v>0</v>
      </c>
      <c r="AV8" s="318">
        <f t="shared" si="2"/>
        <v>0</v>
      </c>
      <c r="AW8" s="318">
        <f t="shared" si="2"/>
        <v>0</v>
      </c>
      <c r="AX8" s="318">
        <f t="shared" si="2"/>
        <v>0</v>
      </c>
      <c r="BA8" s="209" t="s">
        <v>62</v>
      </c>
      <c r="BB8">
        <f t="shared" si="5"/>
        <v>-1.6333333333332121</v>
      </c>
      <c r="BC8">
        <f t="shared" si="3"/>
        <v>3.2256129032475656E-2</v>
      </c>
      <c r="BD8">
        <f t="shared" si="3"/>
        <v>25.633333333333212</v>
      </c>
      <c r="BE8">
        <f t="shared" si="3"/>
        <v>28.67741838709685</v>
      </c>
      <c r="BF8">
        <f t="shared" si="3"/>
        <v>-1856.483870967742</v>
      </c>
      <c r="BG8">
        <f t="shared" si="3"/>
        <v>0</v>
      </c>
      <c r="BH8">
        <f t="shared" si="3"/>
        <v>0</v>
      </c>
      <c r="BI8">
        <f t="shared" si="3"/>
        <v>0</v>
      </c>
      <c r="BJ8">
        <f t="shared" si="3"/>
        <v>0</v>
      </c>
      <c r="BK8">
        <f t="shared" si="3"/>
        <v>0</v>
      </c>
      <c r="BL8">
        <f t="shared" si="3"/>
        <v>0</v>
      </c>
      <c r="BM8">
        <f t="shared" si="3"/>
        <v>0</v>
      </c>
    </row>
    <row r="9" spans="1:65">
      <c r="C9" s="209" t="s">
        <v>57</v>
      </c>
      <c r="D9" s="184">
        <f>DPRavg!D11</f>
        <v>321916.7</v>
      </c>
      <c r="E9" s="184">
        <f>DPRavg!D16</f>
        <v>318939.22580645164</v>
      </c>
      <c r="F9" s="184">
        <f>DPRavg!D21</f>
        <v>322593.59999999998</v>
      </c>
      <c r="G9" s="184">
        <f>DPRavg!D26</f>
        <v>323477.74193548388</v>
      </c>
      <c r="H9" s="184">
        <f>DPRavg!D31</f>
        <v>301866.41935483873</v>
      </c>
      <c r="I9" s="184">
        <f>DPRavg!D36</f>
        <v>0</v>
      </c>
      <c r="J9" s="184">
        <f>DPRavg!D41</f>
        <v>0</v>
      </c>
      <c r="K9" s="184">
        <f>DPRavg!D46</f>
        <v>0</v>
      </c>
      <c r="L9" s="184">
        <f>DPRavg!D51</f>
        <v>0</v>
      </c>
      <c r="M9" s="184">
        <f>DPRavg!D56</f>
        <v>0</v>
      </c>
      <c r="N9" s="184">
        <f>DPRavg!D61</f>
        <v>0</v>
      </c>
      <c r="O9" s="184">
        <f>DPRavg!D66</f>
        <v>0</v>
      </c>
      <c r="V9" s="209" t="s">
        <v>57</v>
      </c>
      <c r="W9" s="184">
        <f>HLOOKUP(W$4,Storage_Reconciled_prod_chosen!$D$7:$CU$23,Storage_Reconciled_prod_chosen!$C12,FALSE)</f>
        <v>321916.63333333336</v>
      </c>
      <c r="X9" s="184">
        <f>HLOOKUP(X$4,Storage_Reconciled_prod_chosen!$D$7:$CU$23,Storage_Reconciled_prod_chosen!$C12,FALSE)</f>
        <v>318392.1935480645</v>
      </c>
      <c r="Y9" s="184">
        <f>HLOOKUP(Y$4,Storage_Reconciled_prod_chosen!$D$7:$CU$23,Storage_Reconciled_prod_chosen!$C12,FALSE)</f>
        <v>322595.96666833333</v>
      </c>
      <c r="Z9" s="184">
        <f>HLOOKUP(Z$4,Storage_Reconciled_prod_chosen!$D$7:$CU$23,Storage_Reconciled_prod_chosen!$C12,FALSE)</f>
        <v>323387.48387387092</v>
      </c>
      <c r="AA9" s="184">
        <f>HLOOKUP(AA$4,Storage_Reconciled_prod_chosen!$D$7:$CU$23,Storage_Reconciled_prod_chosen!$C12,FALSE)</f>
        <v>0</v>
      </c>
      <c r="AB9" s="184">
        <f>HLOOKUP(AB$4,Storage_Reconciled_prod_chosen!$D$7:$CU$23,Storage_Reconciled_prod_chosen!$C12,FALSE)</f>
        <v>0</v>
      </c>
      <c r="AC9" s="184">
        <f>HLOOKUP(AC$4,Storage_Reconciled_prod_chosen!$D$7:$CU$23,Storage_Reconciled_prod_chosen!$C12,FALSE)</f>
        <v>0</v>
      </c>
      <c r="AD9" s="184">
        <f>HLOOKUP(AD$4,Storage_Reconciled_prod_chosen!$D$7:$CU$23,Storage_Reconciled_prod_chosen!$C12,FALSE)</f>
        <v>0</v>
      </c>
      <c r="AE9" s="184">
        <f>HLOOKUP(AE$4,Storage_Reconciled_prod_chosen!$D$7:$CU$23,Storage_Reconciled_prod_chosen!$C12,FALSE)</f>
        <v>0</v>
      </c>
      <c r="AF9" s="184">
        <f>HLOOKUP(AF$4,Storage_Reconciled_prod_chosen!$D$7:$CU$23,Storage_Reconciled_prod_chosen!$C12,FALSE)</f>
        <v>0</v>
      </c>
      <c r="AG9" s="184">
        <f>HLOOKUP(AG$4,Storage_Reconciled_prod_chosen!$D$7:$CU$23,Storage_Reconciled_prod_chosen!$C12,FALSE)</f>
        <v>0</v>
      </c>
      <c r="AH9" s="184">
        <f>HLOOKUP(AH$4,Storage_Reconciled_prod_chosen!$D$7:$CU$23,Storage_Reconciled_prod_chosen!$C12,FALSE)</f>
        <v>0</v>
      </c>
      <c r="AL9" s="209" t="s">
        <v>57</v>
      </c>
      <c r="AM9" s="318">
        <f t="shared" si="4"/>
        <v>-2.0709291148612863E-7</v>
      </c>
      <c r="AN9" s="318">
        <f t="shared" si="2"/>
        <v>-1.7151614292784112E-3</v>
      </c>
      <c r="AO9" s="318">
        <f t="shared" si="2"/>
        <v>7.3363772044032771E-6</v>
      </c>
      <c r="AP9" s="318">
        <f t="shared" si="2"/>
        <v>-2.7902402518609204E-4</v>
      </c>
      <c r="AQ9" s="318">
        <f t="shared" si="2"/>
        <v>0</v>
      </c>
      <c r="AR9" s="318">
        <f t="shared" si="2"/>
        <v>0</v>
      </c>
      <c r="AS9" s="318">
        <f t="shared" si="2"/>
        <v>0</v>
      </c>
      <c r="AT9" s="318">
        <f t="shared" si="2"/>
        <v>0</v>
      </c>
      <c r="AU9" s="318">
        <f t="shared" si="2"/>
        <v>0</v>
      </c>
      <c r="AV9" s="318">
        <f t="shared" si="2"/>
        <v>0</v>
      </c>
      <c r="AW9" s="318">
        <f t="shared" si="2"/>
        <v>0</v>
      </c>
      <c r="AX9" s="318">
        <f t="shared" si="2"/>
        <v>0</v>
      </c>
      <c r="BA9" s="209" t="s">
        <v>57</v>
      </c>
      <c r="BB9">
        <f t="shared" si="5"/>
        <v>-6.6666666651144624E-2</v>
      </c>
      <c r="BC9">
        <f t="shared" si="3"/>
        <v>-547.03225838713115</v>
      </c>
      <c r="BD9">
        <f t="shared" si="3"/>
        <v>2.3666683333576657</v>
      </c>
      <c r="BE9">
        <f t="shared" si="3"/>
        <v>-90.258061612956226</v>
      </c>
      <c r="BF9">
        <f t="shared" si="3"/>
        <v>-301866.41935483873</v>
      </c>
      <c r="BG9">
        <f t="shared" si="3"/>
        <v>0</v>
      </c>
      <c r="BH9">
        <f t="shared" si="3"/>
        <v>0</v>
      </c>
      <c r="BI9">
        <f t="shared" si="3"/>
        <v>0</v>
      </c>
      <c r="BJ9">
        <f t="shared" si="3"/>
        <v>0</v>
      </c>
      <c r="BK9">
        <f t="shared" si="3"/>
        <v>0</v>
      </c>
      <c r="BL9">
        <f t="shared" si="3"/>
        <v>0</v>
      </c>
      <c r="BM9">
        <f t="shared" si="3"/>
        <v>0</v>
      </c>
    </row>
    <row r="10" spans="1:65">
      <c r="C10" s="209" t="s">
        <v>58</v>
      </c>
      <c r="D10" s="184">
        <f>DPRavg!E11</f>
        <v>34859.4</v>
      </c>
      <c r="E10" s="184">
        <f>DPRavg!E16</f>
        <v>28023.967741935485</v>
      </c>
      <c r="F10" s="184">
        <f>DPRavg!E21</f>
        <v>33350.933333333334</v>
      </c>
      <c r="G10" s="184">
        <f>DPRavg!E26</f>
        <v>27113.193548387098</v>
      </c>
      <c r="H10" s="184">
        <f>DPRavg!E31</f>
        <v>35350.548387096773</v>
      </c>
      <c r="I10" s="184">
        <f>DPRavg!E36</f>
        <v>0</v>
      </c>
      <c r="J10" s="184">
        <f>DPRavg!E41</f>
        <v>0</v>
      </c>
      <c r="K10" s="184">
        <f>DPRavg!E46</f>
        <v>0</v>
      </c>
      <c r="L10" s="184">
        <f>DPRavg!E51</f>
        <v>0</v>
      </c>
      <c r="M10" s="184">
        <f>DPRavg!E56</f>
        <v>0</v>
      </c>
      <c r="N10" s="184">
        <f>DPRavg!E61</f>
        <v>0</v>
      </c>
      <c r="O10" s="184">
        <f>DPRavg!E66</f>
        <v>0</v>
      </c>
      <c r="V10" s="209" t="s">
        <v>58</v>
      </c>
      <c r="W10" s="184">
        <f>HLOOKUP(W$4,Storage_Reconciled_prod_chosen!$D$7:$CU$23,Storage_Reconciled_prod_chosen!$C13,FALSE)</f>
        <v>35545.783334333333</v>
      </c>
      <c r="X10" s="184">
        <f>HLOOKUP(X$4,Storage_Reconciled_prod_chosen!$D$7:$CU$23,Storage_Reconciled_prod_chosen!$C13,FALSE)</f>
        <v>28023.939678064518</v>
      </c>
      <c r="Y10" s="184">
        <f>HLOOKUP(Y$4,Storage_Reconciled_prod_chosen!$D$7:$CU$23,Storage_Reconciled_prod_chosen!$C13,FALSE)</f>
        <v>32279.925667666666</v>
      </c>
      <c r="Z10" s="184">
        <f>HLOOKUP(Z$4,Storage_Reconciled_prod_chosen!$D$7:$CU$23,Storage_Reconciled_prod_chosen!$C13,FALSE)</f>
        <v>26900.451613225807</v>
      </c>
      <c r="AA10" s="184">
        <f>HLOOKUP(AA$4,Storage_Reconciled_prod_chosen!$D$7:$CU$23,Storage_Reconciled_prod_chosen!$C13,FALSE)</f>
        <v>0</v>
      </c>
      <c r="AB10" s="184">
        <f>HLOOKUP(AB$4,Storage_Reconciled_prod_chosen!$D$7:$CU$23,Storage_Reconciled_prod_chosen!$C13,FALSE)</f>
        <v>0</v>
      </c>
      <c r="AC10" s="184">
        <f>HLOOKUP(AC$4,Storage_Reconciled_prod_chosen!$D$7:$CU$23,Storage_Reconciled_prod_chosen!$C13,FALSE)</f>
        <v>0</v>
      </c>
      <c r="AD10" s="184">
        <f>HLOOKUP(AD$4,Storage_Reconciled_prod_chosen!$D$7:$CU$23,Storage_Reconciled_prod_chosen!$C13,FALSE)</f>
        <v>0</v>
      </c>
      <c r="AE10" s="184">
        <f>HLOOKUP(AE$4,Storage_Reconciled_prod_chosen!$D$7:$CU$23,Storage_Reconciled_prod_chosen!$C13,FALSE)</f>
        <v>0</v>
      </c>
      <c r="AF10" s="184">
        <f>HLOOKUP(AF$4,Storage_Reconciled_prod_chosen!$D$7:$CU$23,Storage_Reconciled_prod_chosen!$C13,FALSE)</f>
        <v>0</v>
      </c>
      <c r="AG10" s="184">
        <f>HLOOKUP(AG$4,Storage_Reconciled_prod_chosen!$D$7:$CU$23,Storage_Reconciled_prod_chosen!$C13,FALSE)</f>
        <v>0</v>
      </c>
      <c r="AH10" s="184">
        <f>HLOOKUP(AH$4,Storage_Reconciled_prod_chosen!$D$7:$CU$23,Storage_Reconciled_prod_chosen!$C13,FALSE)</f>
        <v>0</v>
      </c>
      <c r="AL10" s="209" t="s">
        <v>58</v>
      </c>
      <c r="AM10" s="318">
        <f t="shared" si="4"/>
        <v>1.9690050153856165E-2</v>
      </c>
      <c r="AN10" s="318">
        <f t="shared" si="2"/>
        <v>-1.0014238963629296E-6</v>
      </c>
      <c r="AO10" s="318">
        <f t="shared" si="2"/>
        <v>-3.2113274161242877E-2</v>
      </c>
      <c r="AP10" s="318">
        <f t="shared" si="2"/>
        <v>-7.8464358977715642E-3</v>
      </c>
      <c r="AQ10" s="318">
        <f t="shared" si="2"/>
        <v>0</v>
      </c>
      <c r="AR10" s="318">
        <f t="shared" si="2"/>
        <v>0</v>
      </c>
      <c r="AS10" s="318">
        <f t="shared" si="2"/>
        <v>0</v>
      </c>
      <c r="AT10" s="318">
        <f t="shared" si="2"/>
        <v>0</v>
      </c>
      <c r="AU10" s="318">
        <f t="shared" si="2"/>
        <v>0</v>
      </c>
      <c r="AV10" s="318">
        <f t="shared" si="2"/>
        <v>0</v>
      </c>
      <c r="AW10" s="318">
        <f t="shared" si="2"/>
        <v>0</v>
      </c>
      <c r="AX10" s="318">
        <f t="shared" si="2"/>
        <v>0</v>
      </c>
      <c r="BA10" s="209" t="s">
        <v>58</v>
      </c>
      <c r="BB10">
        <f t="shared" si="5"/>
        <v>686.38333433333173</v>
      </c>
      <c r="BC10">
        <f t="shared" si="3"/>
        <v>-2.8063870966434479E-2</v>
      </c>
      <c r="BD10">
        <f t="shared" si="3"/>
        <v>-1071.0076656666679</v>
      </c>
      <c r="BE10">
        <f t="shared" si="3"/>
        <v>-212.74193516129162</v>
      </c>
      <c r="BF10">
        <f t="shared" si="3"/>
        <v>-35350.548387096773</v>
      </c>
      <c r="BG10">
        <f t="shared" si="3"/>
        <v>0</v>
      </c>
      <c r="BH10">
        <f t="shared" si="3"/>
        <v>0</v>
      </c>
      <c r="BI10">
        <f t="shared" si="3"/>
        <v>0</v>
      </c>
      <c r="BJ10">
        <f t="shared" si="3"/>
        <v>0</v>
      </c>
      <c r="BK10">
        <f t="shared" si="3"/>
        <v>0</v>
      </c>
      <c r="BL10">
        <f t="shared" si="3"/>
        <v>0</v>
      </c>
      <c r="BM10">
        <f t="shared" si="3"/>
        <v>0</v>
      </c>
    </row>
    <row r="11" spans="1:65">
      <c r="C11" s="209" t="s">
        <v>59</v>
      </c>
      <c r="D11" s="184">
        <f>DPRavg!G11</f>
        <v>4482.5666666666666</v>
      </c>
      <c r="E11" s="184">
        <f>DPRavg!G16</f>
        <v>4449.4516129032254</v>
      </c>
      <c r="F11" s="184">
        <f>DPRavg!G21</f>
        <v>4795.3</v>
      </c>
      <c r="G11" s="184">
        <f>DPRavg!G26</f>
        <v>4874.1290322580644</v>
      </c>
      <c r="H11" s="184">
        <f>DPRavg!G31</f>
        <v>4976.8387096774195</v>
      </c>
      <c r="I11" s="184">
        <f>DPRavg!G36</f>
        <v>0</v>
      </c>
      <c r="J11" s="184">
        <f>DPRavg!G41</f>
        <v>0</v>
      </c>
      <c r="K11" s="184">
        <f>DPRavg!G46</f>
        <v>0</v>
      </c>
      <c r="L11" s="184">
        <f>DPRavg!G51</f>
        <v>0</v>
      </c>
      <c r="M11" s="184">
        <f>DPRavg!G56</f>
        <v>0</v>
      </c>
      <c r="N11" s="184">
        <f>DPRavg!G61</f>
        <v>0</v>
      </c>
      <c r="O11" s="184">
        <f>DPRavg!G66</f>
        <v>0</v>
      </c>
      <c r="V11" s="209" t="s">
        <v>59</v>
      </c>
      <c r="W11" s="184">
        <f>HLOOKUP(W$4,Storage_Reconciled_prod_chosen!$D$7:$CU$23,Storage_Reconciled_prod_chosen!$C14,FALSE)</f>
        <v>4482.5666663333341</v>
      </c>
      <c r="X11" s="184">
        <f>HLOOKUP(X$4,Storage_Reconciled_prod_chosen!$D$7:$CU$23,Storage_Reconciled_prod_chosen!$C14,FALSE)</f>
        <v>4449.7741938709678</v>
      </c>
      <c r="Y11" s="184">
        <f>HLOOKUP(Y$4,Storage_Reconciled_prod_chosen!$D$7:$CU$23,Storage_Reconciled_prod_chosen!$C14,FALSE)</f>
        <v>4795.3</v>
      </c>
      <c r="Z11" s="184">
        <f>HLOOKUP(Z$4,Storage_Reconciled_prod_chosen!$D$7:$CU$23,Storage_Reconciled_prod_chosen!$C14,FALSE)</f>
        <v>4872.4838709677415</v>
      </c>
      <c r="AA11" s="184">
        <f>HLOOKUP(AA$4,Storage_Reconciled_prod_chosen!$D$7:$CU$23,Storage_Reconciled_prod_chosen!$C14,FALSE)</f>
        <v>0</v>
      </c>
      <c r="AB11" s="184">
        <f>HLOOKUP(AB$4,Storage_Reconciled_prod_chosen!$D$7:$CU$23,Storage_Reconciled_prod_chosen!$C14,FALSE)</f>
        <v>0</v>
      </c>
      <c r="AC11" s="184">
        <f>HLOOKUP(AC$4,Storage_Reconciled_prod_chosen!$D$7:$CU$23,Storage_Reconciled_prod_chosen!$C14,FALSE)</f>
        <v>0</v>
      </c>
      <c r="AD11" s="184">
        <f>HLOOKUP(AD$4,Storage_Reconciled_prod_chosen!$D$7:$CU$23,Storage_Reconciled_prod_chosen!$C14,FALSE)</f>
        <v>0</v>
      </c>
      <c r="AE11" s="184">
        <f>HLOOKUP(AE$4,Storage_Reconciled_prod_chosen!$D$7:$CU$23,Storage_Reconciled_prod_chosen!$C14,FALSE)</f>
        <v>0</v>
      </c>
      <c r="AF11" s="184">
        <f>HLOOKUP(AF$4,Storage_Reconciled_prod_chosen!$D$7:$CU$23,Storage_Reconciled_prod_chosen!$C14,FALSE)</f>
        <v>0</v>
      </c>
      <c r="AG11" s="184">
        <f>HLOOKUP(AG$4,Storage_Reconciled_prod_chosen!$D$7:$CU$23,Storage_Reconciled_prod_chosen!$C14,FALSE)</f>
        <v>0</v>
      </c>
      <c r="AH11" s="184">
        <f>HLOOKUP(AH$4,Storage_Reconciled_prod_chosen!$D$7:$CU$23,Storage_Reconciled_prod_chosen!$C14,FALSE)</f>
        <v>0</v>
      </c>
      <c r="AL11" s="209" t="s">
        <v>59</v>
      </c>
      <c r="AM11" s="318">
        <f t="shared" si="4"/>
        <v>-7.4361961033275747E-11</v>
      </c>
      <c r="AN11" s="318">
        <f t="shared" si="2"/>
        <v>7.2499039388773667E-5</v>
      </c>
      <c r="AO11" s="318">
        <f t="shared" si="2"/>
        <v>0</v>
      </c>
      <c r="AP11" s="318">
        <f t="shared" si="2"/>
        <v>-3.3752928562924556E-4</v>
      </c>
      <c r="AQ11" s="318">
        <f t="shared" si="2"/>
        <v>0</v>
      </c>
      <c r="AR11" s="318">
        <f t="shared" si="2"/>
        <v>0</v>
      </c>
      <c r="AS11" s="318">
        <f t="shared" si="2"/>
        <v>0</v>
      </c>
      <c r="AT11" s="318">
        <f t="shared" si="2"/>
        <v>0</v>
      </c>
      <c r="AU11" s="318">
        <f t="shared" si="2"/>
        <v>0</v>
      </c>
      <c r="AV11" s="318">
        <f t="shared" si="2"/>
        <v>0</v>
      </c>
      <c r="AW11" s="318">
        <f t="shared" si="2"/>
        <v>0</v>
      </c>
      <c r="AX11" s="318">
        <f t="shared" si="2"/>
        <v>0</v>
      </c>
      <c r="BA11" s="209" t="s">
        <v>59</v>
      </c>
      <c r="BB11">
        <f t="shared" si="5"/>
        <v>-3.3333253668388352E-7</v>
      </c>
      <c r="BC11">
        <f t="shared" si="3"/>
        <v>0.32258096774239675</v>
      </c>
      <c r="BD11">
        <f t="shared" si="3"/>
        <v>0</v>
      </c>
      <c r="BE11">
        <f t="shared" si="3"/>
        <v>-1.6451612903229034</v>
      </c>
      <c r="BF11">
        <f t="shared" si="3"/>
        <v>-4976.8387096774195</v>
      </c>
      <c r="BG11">
        <f t="shared" si="3"/>
        <v>0</v>
      </c>
      <c r="BH11">
        <f t="shared" si="3"/>
        <v>0</v>
      </c>
      <c r="BI11">
        <f t="shared" si="3"/>
        <v>0</v>
      </c>
      <c r="BJ11">
        <f t="shared" si="3"/>
        <v>0</v>
      </c>
      <c r="BK11">
        <f t="shared" si="3"/>
        <v>0</v>
      </c>
      <c r="BL11">
        <f t="shared" si="3"/>
        <v>0</v>
      </c>
      <c r="BM11">
        <f t="shared" si="3"/>
        <v>0</v>
      </c>
    </row>
    <row r="12" spans="1:65">
      <c r="C12" s="209" t="s">
        <v>63</v>
      </c>
      <c r="D12" s="184">
        <f>DPRavg!F11</f>
        <v>18270.511333333336</v>
      </c>
      <c r="E12" s="184">
        <f>DPRavg!F16</f>
        <v>21662.291612903231</v>
      </c>
      <c r="F12" s="184">
        <f>DPRavg!F21</f>
        <v>21278.512000000002</v>
      </c>
      <c r="G12" s="184">
        <f>DPRavg!F26</f>
        <v>20944.533451612908</v>
      </c>
      <c r="H12" s="184">
        <f>DPRavg!F31</f>
        <v>21588.691290322582</v>
      </c>
      <c r="I12" s="184">
        <f>DPRavg!F36</f>
        <v>0</v>
      </c>
      <c r="J12" s="184">
        <f>DPRavg!F41</f>
        <v>0</v>
      </c>
      <c r="K12" s="184">
        <f>DPRavg!F46</f>
        <v>0</v>
      </c>
      <c r="L12" s="184">
        <f>DPRavg!F51</f>
        <v>0</v>
      </c>
      <c r="M12" s="184">
        <f>DPRavg!F56</f>
        <v>0</v>
      </c>
      <c r="N12" s="184">
        <f>DPRavg!F61</f>
        <v>0</v>
      </c>
      <c r="O12" s="184">
        <f>DPRavg!F66</f>
        <v>0</v>
      </c>
      <c r="V12" s="209" t="s">
        <v>63</v>
      </c>
      <c r="W12" s="184">
        <f>HLOOKUP(W$4,Storage_Reconciled_prod_chosen!$D$7:$CU$23,Storage_Reconciled_prod_chosen!$C15,FALSE)</f>
        <v>18270.500001</v>
      </c>
      <c r="X12" s="184">
        <f>HLOOKUP(X$4,Storage_Reconciled_prod_chosen!$D$7:$CU$23,Storage_Reconciled_prod_chosen!$C15,FALSE)</f>
        <v>21726.806451612902</v>
      </c>
      <c r="Y12" s="184">
        <f>HLOOKUP(Y$4,Storage_Reconciled_prod_chosen!$D$7:$CU$23,Storage_Reconciled_prod_chosen!$C15,FALSE)</f>
        <v>21278.499999</v>
      </c>
      <c r="Z12" s="184">
        <f>HLOOKUP(Z$4,Storage_Reconciled_prod_chosen!$D$7:$CU$23,Storage_Reconciled_prod_chosen!$C15,FALSE)</f>
        <v>20944.51612967742</v>
      </c>
      <c r="AA12" s="184">
        <f>HLOOKUP(AA$4,Storage_Reconciled_prod_chosen!$D$7:$CU$23,Storage_Reconciled_prod_chosen!$C15,FALSE)</f>
        <v>0</v>
      </c>
      <c r="AB12" s="184">
        <f>HLOOKUP(AB$4,Storage_Reconciled_prod_chosen!$D$7:$CU$23,Storage_Reconciled_prod_chosen!$C15,FALSE)</f>
        <v>0</v>
      </c>
      <c r="AC12" s="184">
        <f>HLOOKUP(AC$4,Storage_Reconciled_prod_chosen!$D$7:$CU$23,Storage_Reconciled_prod_chosen!$C15,FALSE)</f>
        <v>0</v>
      </c>
      <c r="AD12" s="184">
        <f>HLOOKUP(AD$4,Storage_Reconciled_prod_chosen!$D$7:$CU$23,Storage_Reconciled_prod_chosen!$C15,FALSE)</f>
        <v>0</v>
      </c>
      <c r="AE12" s="184">
        <f>HLOOKUP(AE$4,Storage_Reconciled_prod_chosen!$D$7:$CU$23,Storage_Reconciled_prod_chosen!$C15,FALSE)</f>
        <v>0</v>
      </c>
      <c r="AF12" s="184">
        <f>HLOOKUP(AF$4,Storage_Reconciled_prod_chosen!$D$7:$CU$23,Storage_Reconciled_prod_chosen!$C15,FALSE)</f>
        <v>0</v>
      </c>
      <c r="AG12" s="184">
        <f>HLOOKUP(AG$4,Storage_Reconciled_prod_chosen!$D$7:$CU$23,Storage_Reconciled_prod_chosen!$C15,FALSE)</f>
        <v>0</v>
      </c>
      <c r="AH12" s="184">
        <f>HLOOKUP(AH$4,Storage_Reconciled_prod_chosen!$D$7:$CU$23,Storage_Reconciled_prod_chosen!$C15,FALSE)</f>
        <v>0</v>
      </c>
      <c r="AL12" s="209" t="s">
        <v>63</v>
      </c>
      <c r="AM12" s="318">
        <f t="shared" si="4"/>
        <v>-6.2025266445164817E-7</v>
      </c>
      <c r="AN12" s="318">
        <f t="shared" si="2"/>
        <v>2.9782093170254154E-3</v>
      </c>
      <c r="AO12" s="318">
        <f t="shared" si="2"/>
        <v>-5.6399620440572562E-7</v>
      </c>
      <c r="AP12" s="318">
        <f t="shared" si="2"/>
        <v>-8.270384980191281E-7</v>
      </c>
      <c r="AQ12" s="318">
        <f t="shared" si="2"/>
        <v>0</v>
      </c>
      <c r="AR12" s="318">
        <f t="shared" si="2"/>
        <v>0</v>
      </c>
      <c r="AS12" s="318">
        <f t="shared" si="2"/>
        <v>0</v>
      </c>
      <c r="AT12" s="318">
        <f t="shared" si="2"/>
        <v>0</v>
      </c>
      <c r="AU12" s="318">
        <f t="shared" si="2"/>
        <v>0</v>
      </c>
      <c r="AV12" s="318">
        <f t="shared" si="2"/>
        <v>0</v>
      </c>
      <c r="AW12" s="318">
        <f t="shared" si="2"/>
        <v>0</v>
      </c>
      <c r="AX12" s="318">
        <f t="shared" si="2"/>
        <v>0</v>
      </c>
      <c r="BA12" s="209" t="s">
        <v>63</v>
      </c>
      <c r="BB12">
        <f t="shared" si="5"/>
        <v>-1.1332333335303701E-2</v>
      </c>
      <c r="BC12">
        <f t="shared" si="3"/>
        <v>64.514838709670585</v>
      </c>
      <c r="BD12">
        <f t="shared" si="3"/>
        <v>-1.2001000002783258E-2</v>
      </c>
      <c r="BE12">
        <f t="shared" si="3"/>
        <v>-1.732193548741634E-2</v>
      </c>
      <c r="BF12">
        <f t="shared" si="3"/>
        <v>-21588.691290322582</v>
      </c>
      <c r="BG12">
        <f t="shared" si="3"/>
        <v>0</v>
      </c>
      <c r="BH12">
        <f t="shared" si="3"/>
        <v>0</v>
      </c>
      <c r="BI12">
        <f t="shared" si="3"/>
        <v>0</v>
      </c>
      <c r="BJ12">
        <f t="shared" si="3"/>
        <v>0</v>
      </c>
      <c r="BK12">
        <f t="shared" si="3"/>
        <v>0</v>
      </c>
      <c r="BL12">
        <f t="shared" si="3"/>
        <v>0</v>
      </c>
      <c r="BM12">
        <f t="shared" si="3"/>
        <v>0</v>
      </c>
    </row>
    <row r="13" spans="1:65">
      <c r="C13" s="209" t="s">
        <v>64</v>
      </c>
      <c r="D13" s="184">
        <f>DPRavg!N11</f>
        <v>7012.7</v>
      </c>
      <c r="E13" s="184">
        <f>DPRavg!N16</f>
        <v>6942.1290322580644</v>
      </c>
      <c r="F13" s="184">
        <f>DPRavg!N21</f>
        <v>6954.6333333333332</v>
      </c>
      <c r="G13" s="184">
        <f>DPRavg!N26</f>
        <v>6954.8387096774195</v>
      </c>
      <c r="H13" s="184">
        <f>DPRavg!N31</f>
        <v>6913.4193548387093</v>
      </c>
      <c r="I13" s="184">
        <f>DPRavg!N36</f>
        <v>0</v>
      </c>
      <c r="J13" s="184">
        <f>DPRavg!N41</f>
        <v>0</v>
      </c>
      <c r="K13" s="184">
        <f>DPRavg!N46</f>
        <v>0</v>
      </c>
      <c r="L13" s="184">
        <f>DPRavg!N51</f>
        <v>0</v>
      </c>
      <c r="M13" s="184">
        <f>DPRavg!N56</f>
        <v>0</v>
      </c>
      <c r="N13" s="184">
        <f>DPRavg!N61</f>
        <v>0</v>
      </c>
      <c r="O13" s="184">
        <f>DPRavg!N66</f>
        <v>0</v>
      </c>
      <c r="V13" s="209" t="s">
        <v>64</v>
      </c>
      <c r="W13" s="184">
        <f>HLOOKUP(W$4,Storage_Reconciled_prod_chosen!$D$7:$CU$23,Storage_Reconciled_prod_chosen!$C16,FALSE)</f>
        <v>7023.0999993333335</v>
      </c>
      <c r="X13" s="184">
        <f>HLOOKUP(X$4,Storage_Reconciled_prod_chosen!$D$7:$CU$23,Storage_Reconciled_prod_chosen!$C16,FALSE)</f>
        <v>6952.0645158064517</v>
      </c>
      <c r="Y13" s="184">
        <f>HLOOKUP(Y$4,Storage_Reconciled_prod_chosen!$D$7:$CU$23,Storage_Reconciled_prod_chosen!$C16,FALSE)</f>
        <v>6969.2999993333333</v>
      </c>
      <c r="Z13" s="184">
        <f>HLOOKUP(Z$4,Storage_Reconciled_prod_chosen!$D$7:$CU$23,Storage_Reconciled_prod_chosen!$C16,FALSE)</f>
        <v>6954.8064516129034</v>
      </c>
      <c r="AA13" s="184">
        <f>HLOOKUP(AA$4,Storage_Reconciled_prod_chosen!$D$7:$CU$23,Storage_Reconciled_prod_chosen!$C16,FALSE)</f>
        <v>0</v>
      </c>
      <c r="AB13" s="184">
        <f>HLOOKUP(AB$4,Storage_Reconciled_prod_chosen!$D$7:$CU$23,Storage_Reconciled_prod_chosen!$C16,FALSE)</f>
        <v>0</v>
      </c>
      <c r="AC13" s="184">
        <f>HLOOKUP(AC$4,Storage_Reconciled_prod_chosen!$D$7:$CU$23,Storage_Reconciled_prod_chosen!$C16,FALSE)</f>
        <v>0</v>
      </c>
      <c r="AD13" s="184">
        <f>HLOOKUP(AD$4,Storage_Reconciled_prod_chosen!$D$7:$CU$23,Storage_Reconciled_prod_chosen!$C16,FALSE)</f>
        <v>0</v>
      </c>
      <c r="AE13" s="184">
        <f>HLOOKUP(AE$4,Storage_Reconciled_prod_chosen!$D$7:$CU$23,Storage_Reconciled_prod_chosen!$C16,FALSE)</f>
        <v>0</v>
      </c>
      <c r="AF13" s="184">
        <f>HLOOKUP(AF$4,Storage_Reconciled_prod_chosen!$D$7:$CU$23,Storage_Reconciled_prod_chosen!$C16,FALSE)</f>
        <v>0</v>
      </c>
      <c r="AG13" s="184">
        <f>HLOOKUP(AG$4,Storage_Reconciled_prod_chosen!$D$7:$CU$23,Storage_Reconciled_prod_chosen!$C16,FALSE)</f>
        <v>0</v>
      </c>
      <c r="AH13" s="184">
        <f>HLOOKUP(AH$4,Storage_Reconciled_prod_chosen!$D$7:$CU$23,Storage_Reconciled_prod_chosen!$C16,FALSE)</f>
        <v>0</v>
      </c>
      <c r="AL13" s="209" t="s">
        <v>64</v>
      </c>
      <c r="AM13" s="318">
        <f t="shared" si="4"/>
        <v>1.4830235620137966E-3</v>
      </c>
      <c r="AN13" s="318">
        <f t="shared" si="2"/>
        <v>1.4311868163527919E-3</v>
      </c>
      <c r="AO13" s="318">
        <f t="shared" si="2"/>
        <v>2.1089057175311954E-3</v>
      </c>
      <c r="AP13" s="318">
        <f t="shared" si="2"/>
        <v>-4.6382189239357885E-6</v>
      </c>
      <c r="AQ13" s="318">
        <f t="shared" si="2"/>
        <v>0</v>
      </c>
      <c r="AR13" s="318">
        <f t="shared" si="2"/>
        <v>0</v>
      </c>
      <c r="AS13" s="318">
        <f t="shared" si="2"/>
        <v>0</v>
      </c>
      <c r="AT13" s="318">
        <f t="shared" si="2"/>
        <v>0</v>
      </c>
      <c r="AU13" s="318">
        <f t="shared" si="2"/>
        <v>0</v>
      </c>
      <c r="AV13" s="318">
        <f t="shared" si="2"/>
        <v>0</v>
      </c>
      <c r="AW13" s="318">
        <f t="shared" si="2"/>
        <v>0</v>
      </c>
      <c r="AX13" s="318">
        <f t="shared" si="2"/>
        <v>0</v>
      </c>
      <c r="BA13" s="209" t="s">
        <v>64</v>
      </c>
      <c r="BB13">
        <f t="shared" si="5"/>
        <v>10.399999333333653</v>
      </c>
      <c r="BC13">
        <f t="shared" si="3"/>
        <v>9.9354835483873103</v>
      </c>
      <c r="BD13">
        <f t="shared" si="3"/>
        <v>14.666666000000077</v>
      </c>
      <c r="BE13">
        <f t="shared" si="3"/>
        <v>-3.2258064516099694E-2</v>
      </c>
      <c r="BF13">
        <f t="shared" si="3"/>
        <v>-6913.4193548387093</v>
      </c>
      <c r="BG13">
        <f t="shared" si="3"/>
        <v>0</v>
      </c>
      <c r="BH13">
        <f t="shared" si="3"/>
        <v>0</v>
      </c>
      <c r="BI13">
        <f t="shared" si="3"/>
        <v>0</v>
      </c>
      <c r="BJ13">
        <f t="shared" si="3"/>
        <v>0</v>
      </c>
      <c r="BK13">
        <f t="shared" si="3"/>
        <v>0</v>
      </c>
      <c r="BL13">
        <f t="shared" si="3"/>
        <v>0</v>
      </c>
      <c r="BM13">
        <f t="shared" si="3"/>
        <v>0</v>
      </c>
    </row>
    <row r="14" spans="1:65">
      <c r="C14" s="209" t="s">
        <v>65</v>
      </c>
      <c r="D14" s="184">
        <f>DPRavg!O11</f>
        <v>4270.3666666666668</v>
      </c>
      <c r="E14" s="184">
        <f>DPRavg!O16</f>
        <v>5453.3870967741932</v>
      </c>
      <c r="F14" s="184">
        <f>DPRavg!O21</f>
        <v>5506.8666666666668</v>
      </c>
      <c r="G14" s="184">
        <f>DPRavg!O26</f>
        <v>5705.6129032258068</v>
      </c>
      <c r="H14" s="184">
        <f>DPRavg!O31</f>
        <v>5707.7419354838712</v>
      </c>
      <c r="I14" s="184">
        <f>DPRavg!O36</f>
        <v>0</v>
      </c>
      <c r="J14" s="184">
        <f>DPRavg!O41</f>
        <v>0</v>
      </c>
      <c r="K14" s="184">
        <f>DPRavg!O46</f>
        <v>0</v>
      </c>
      <c r="L14" s="184">
        <f>DPRavg!O51</f>
        <v>0</v>
      </c>
      <c r="M14" s="184">
        <f>DPRavg!O56</f>
        <v>0</v>
      </c>
      <c r="N14" s="184">
        <f>DPRavg!O61</f>
        <v>0</v>
      </c>
      <c r="O14" s="184">
        <f>DPRavg!O66</f>
        <v>0</v>
      </c>
      <c r="V14" s="209" t="s">
        <v>65</v>
      </c>
      <c r="W14" s="184">
        <f>HLOOKUP(W$4,Storage_Reconciled_prod_chosen!$D$7:$CU$23,Storage_Reconciled_prod_chosen!$C17,FALSE)</f>
        <v>4330.0000003333334</v>
      </c>
      <c r="X14" s="184">
        <f>HLOOKUP(X$4,Storage_Reconciled_prod_chosen!$D$7:$CU$23,Storage_Reconciled_prod_chosen!$C17,FALSE)</f>
        <v>5385.1612909677424</v>
      </c>
      <c r="Y14" s="184">
        <f>HLOOKUP(Y$4,Storage_Reconciled_prod_chosen!$D$7:$CU$23,Storage_Reconciled_prod_chosen!$C17,FALSE)</f>
        <v>5641.1333330000007</v>
      </c>
      <c r="Z14" s="184">
        <f>HLOOKUP(Z$4,Storage_Reconciled_prod_chosen!$D$7:$CU$23,Storage_Reconciled_prod_chosen!$C17,FALSE)</f>
        <v>5701.3870974193551</v>
      </c>
      <c r="AA14" s="184">
        <f>HLOOKUP(AA$4,Storage_Reconciled_prod_chosen!$D$7:$CU$23,Storage_Reconciled_prod_chosen!$C17,FALSE)</f>
        <v>0</v>
      </c>
      <c r="AB14" s="184">
        <f>HLOOKUP(AB$4,Storage_Reconciled_prod_chosen!$D$7:$CU$23,Storage_Reconciled_prod_chosen!$C17,FALSE)</f>
        <v>0</v>
      </c>
      <c r="AC14" s="184">
        <f>HLOOKUP(AC$4,Storage_Reconciled_prod_chosen!$D$7:$CU$23,Storage_Reconciled_prod_chosen!$C17,FALSE)</f>
        <v>0</v>
      </c>
      <c r="AD14" s="184">
        <f>HLOOKUP(AD$4,Storage_Reconciled_prod_chosen!$D$7:$CU$23,Storage_Reconciled_prod_chosen!$C17,FALSE)</f>
        <v>0</v>
      </c>
      <c r="AE14" s="184">
        <f>HLOOKUP(AE$4,Storage_Reconciled_prod_chosen!$D$7:$CU$23,Storage_Reconciled_prod_chosen!$C17,FALSE)</f>
        <v>0</v>
      </c>
      <c r="AF14" s="184">
        <f>HLOOKUP(AF$4,Storage_Reconciled_prod_chosen!$D$7:$CU$23,Storage_Reconciled_prod_chosen!$C17,FALSE)</f>
        <v>0</v>
      </c>
      <c r="AG14" s="184">
        <f>HLOOKUP(AG$4,Storage_Reconciled_prod_chosen!$D$7:$CU$23,Storage_Reconciled_prod_chosen!$C17,FALSE)</f>
        <v>0</v>
      </c>
      <c r="AH14" s="184">
        <f>HLOOKUP(AH$4,Storage_Reconciled_prod_chosen!$D$7:$CU$23,Storage_Reconciled_prod_chosen!$C17,FALSE)</f>
        <v>0</v>
      </c>
      <c r="AL14" s="209" t="s">
        <v>65</v>
      </c>
      <c r="AM14" s="318">
        <f t="shared" si="4"/>
        <v>1.3964452779230418E-2</v>
      </c>
      <c r="AN14" s="318">
        <f t="shared" si="2"/>
        <v>-1.2510721244565204E-2</v>
      </c>
      <c r="AO14" s="318">
        <f t="shared" si="2"/>
        <v>2.4381680992215937E-2</v>
      </c>
      <c r="AP14" s="318">
        <f t="shared" si="2"/>
        <v>-7.4064011669328078E-4</v>
      </c>
      <c r="AQ14" s="318">
        <f t="shared" si="2"/>
        <v>0</v>
      </c>
      <c r="AR14" s="318">
        <f t="shared" si="2"/>
        <v>0</v>
      </c>
      <c r="AS14" s="318">
        <f t="shared" si="2"/>
        <v>0</v>
      </c>
      <c r="AT14" s="318">
        <f t="shared" si="2"/>
        <v>0</v>
      </c>
      <c r="AU14" s="318">
        <f t="shared" si="2"/>
        <v>0</v>
      </c>
      <c r="AV14" s="318">
        <f t="shared" si="2"/>
        <v>0</v>
      </c>
      <c r="AW14" s="318">
        <f t="shared" si="2"/>
        <v>0</v>
      </c>
      <c r="AX14" s="318">
        <f t="shared" si="2"/>
        <v>0</v>
      </c>
      <c r="BA14" s="209" t="s">
        <v>65</v>
      </c>
      <c r="BB14">
        <f t="shared" si="5"/>
        <v>59.633333666666658</v>
      </c>
      <c r="BC14">
        <f t="shared" si="3"/>
        <v>-68.225805806450808</v>
      </c>
      <c r="BD14">
        <f t="shared" si="3"/>
        <v>134.26666633333389</v>
      </c>
      <c r="BE14">
        <f t="shared" si="3"/>
        <v>-4.2258058064517172</v>
      </c>
      <c r="BF14">
        <f t="shared" si="3"/>
        <v>-5707.7419354838712</v>
      </c>
      <c r="BG14">
        <f t="shared" si="3"/>
        <v>0</v>
      </c>
      <c r="BH14">
        <f t="shared" si="3"/>
        <v>0</v>
      </c>
      <c r="BI14">
        <f t="shared" si="3"/>
        <v>0</v>
      </c>
      <c r="BJ14">
        <f t="shared" si="3"/>
        <v>0</v>
      </c>
      <c r="BK14">
        <f t="shared" si="3"/>
        <v>0</v>
      </c>
      <c r="BL14">
        <f t="shared" si="3"/>
        <v>0</v>
      </c>
      <c r="BM14">
        <f t="shared" si="3"/>
        <v>0</v>
      </c>
    </row>
    <row r="15" spans="1:65" ht="14.1" customHeight="1">
      <c r="C15" s="209" t="s">
        <v>66</v>
      </c>
      <c r="D15" s="184">
        <f>DPRavg!M11</f>
        <v>240789.06666666668</v>
      </c>
      <c r="E15" s="184">
        <f>DPRavg!M16</f>
        <v>270001.6451612903</v>
      </c>
      <c r="F15" s="184">
        <f>DPRavg!M21</f>
        <v>426928.96666666667</v>
      </c>
      <c r="G15" s="184">
        <f>DPRavg!M26</f>
        <v>330231.77419354836</v>
      </c>
      <c r="H15" s="184">
        <f>DPRavg!M31</f>
        <v>431155</v>
      </c>
      <c r="I15" s="184">
        <f>DPRavg!M36</f>
        <v>0</v>
      </c>
      <c r="J15" s="184">
        <f>DPRavg!M41</f>
        <v>0</v>
      </c>
      <c r="K15" s="184">
        <f>DPRavg!M46</f>
        <v>0</v>
      </c>
      <c r="L15" s="184">
        <f>DPRavg!M51</f>
        <v>0</v>
      </c>
      <c r="M15" s="184">
        <f>DPRavg!M56</f>
        <v>0</v>
      </c>
      <c r="N15" s="184">
        <f>DPRavg!M61</f>
        <v>0</v>
      </c>
      <c r="O15" s="184">
        <f>DPRavg!M66</f>
        <v>0</v>
      </c>
      <c r="V15" s="209" t="s">
        <v>66</v>
      </c>
      <c r="W15" s="184">
        <f>HLOOKUP(W$4,Storage_Reconciled_prod_chosen!$D$7:$CU$23,Storage_Reconciled_prod_chosen!$C18,FALSE)</f>
        <v>240539.03333333333</v>
      </c>
      <c r="X15" s="184">
        <f>HLOOKUP(X$4,Storage_Reconciled_prod_chosen!$D$7:$CU$23,Storage_Reconciled_prod_chosen!$C18,FALSE)</f>
        <v>270012.38709645165</v>
      </c>
      <c r="Y15" s="184">
        <f>HLOOKUP(Y$4,Storage_Reconciled_prod_chosen!$D$7:$CU$23,Storage_Reconciled_prod_chosen!$C18,FALSE)</f>
        <v>426928.96666666667</v>
      </c>
      <c r="Z15" s="184">
        <f>HLOOKUP(Z$4,Storage_Reconciled_prod_chosen!$D$7:$CU$23,Storage_Reconciled_prod_chosen!$C18,FALSE)</f>
        <v>330226.16128967743</v>
      </c>
      <c r="AA15" s="184">
        <f>HLOOKUP(AA$4,Storage_Reconciled_prod_chosen!$D$7:$CU$23,Storage_Reconciled_prod_chosen!$C18,FALSE)</f>
        <v>0</v>
      </c>
      <c r="AB15" s="184">
        <f>HLOOKUP(AB$4,Storage_Reconciled_prod_chosen!$D$7:$CU$23,Storage_Reconciled_prod_chosen!$C18,FALSE)</f>
        <v>0</v>
      </c>
      <c r="AC15" s="184">
        <f>HLOOKUP(AC$4,Storage_Reconciled_prod_chosen!$D$7:$CU$23,Storage_Reconciled_prod_chosen!$C18,FALSE)</f>
        <v>0</v>
      </c>
      <c r="AD15" s="184">
        <f>HLOOKUP(AD$4,Storage_Reconciled_prod_chosen!$D$7:$CU$23,Storage_Reconciled_prod_chosen!$C18,FALSE)</f>
        <v>0</v>
      </c>
      <c r="AE15" s="184">
        <f>HLOOKUP(AE$4,Storage_Reconciled_prod_chosen!$D$7:$CU$23,Storage_Reconciled_prod_chosen!$C18,FALSE)</f>
        <v>0</v>
      </c>
      <c r="AF15" s="184">
        <f>HLOOKUP(AF$4,Storage_Reconciled_prod_chosen!$D$7:$CU$23,Storage_Reconciled_prod_chosen!$C18,FALSE)</f>
        <v>0</v>
      </c>
      <c r="AG15" s="184">
        <f>HLOOKUP(AG$4,Storage_Reconciled_prod_chosen!$D$7:$CU$23,Storage_Reconciled_prod_chosen!$C18,FALSE)</f>
        <v>0</v>
      </c>
      <c r="AH15" s="184">
        <f>HLOOKUP(AH$4,Storage_Reconciled_prod_chosen!$D$7:$CU$23,Storage_Reconciled_prod_chosen!$C18,FALSE)</f>
        <v>0</v>
      </c>
      <c r="AL15" s="209" t="s">
        <v>66</v>
      </c>
      <c r="AM15" s="318">
        <f t="shared" si="4"/>
        <v>-1.0383915548768385E-3</v>
      </c>
      <c r="AN15" s="318">
        <f t="shared" si="2"/>
        <v>3.9784702626333157E-5</v>
      </c>
      <c r="AO15" s="318">
        <f t="shared" si="2"/>
        <v>0</v>
      </c>
      <c r="AP15" s="318">
        <f t="shared" si="2"/>
        <v>-1.6996861930240748E-5</v>
      </c>
      <c r="AQ15" s="318">
        <f t="shared" si="2"/>
        <v>0</v>
      </c>
      <c r="AR15" s="318">
        <f t="shared" si="2"/>
        <v>0</v>
      </c>
      <c r="AS15" s="318">
        <f t="shared" si="2"/>
        <v>0</v>
      </c>
      <c r="AT15" s="318">
        <f t="shared" si="2"/>
        <v>0</v>
      </c>
      <c r="AU15" s="318">
        <f t="shared" si="2"/>
        <v>0</v>
      </c>
      <c r="AV15" s="318">
        <f t="shared" si="2"/>
        <v>0</v>
      </c>
      <c r="AW15" s="318">
        <f t="shared" si="2"/>
        <v>0</v>
      </c>
      <c r="AX15" s="318">
        <f t="shared" si="2"/>
        <v>0</v>
      </c>
      <c r="BA15" s="209" t="s">
        <v>66</v>
      </c>
      <c r="BB15">
        <f t="shared" si="5"/>
        <v>-250.03333333335468</v>
      </c>
      <c r="BC15">
        <f t="shared" si="3"/>
        <v>10.741935161349829</v>
      </c>
      <c r="BD15">
        <f t="shared" si="3"/>
        <v>0</v>
      </c>
      <c r="BE15">
        <f t="shared" si="3"/>
        <v>-5.6129038709332235</v>
      </c>
      <c r="BF15">
        <f t="shared" si="3"/>
        <v>-431155</v>
      </c>
      <c r="BG15">
        <f t="shared" si="3"/>
        <v>0</v>
      </c>
      <c r="BH15">
        <f t="shared" si="3"/>
        <v>0</v>
      </c>
      <c r="BI15">
        <f t="shared" si="3"/>
        <v>0</v>
      </c>
      <c r="BJ15">
        <f t="shared" si="3"/>
        <v>0</v>
      </c>
      <c r="BK15">
        <f t="shared" si="3"/>
        <v>0</v>
      </c>
      <c r="BL15">
        <f t="shared" si="3"/>
        <v>0</v>
      </c>
      <c r="BM15">
        <f t="shared" si="3"/>
        <v>0</v>
      </c>
    </row>
    <row r="16" spans="1:65">
      <c r="C16" s="209" t="s">
        <v>67</v>
      </c>
      <c r="D16" s="184">
        <f>DPRavg!K11</f>
        <v>53730.952666666686</v>
      </c>
      <c r="E16" s="184">
        <f>DPRavg!K16</f>
        <v>53451.667741935475</v>
      </c>
      <c r="F16" s="184">
        <f>DPRavg!K21</f>
        <v>50960.167999999991</v>
      </c>
      <c r="G16" s="184">
        <f>DPRavg!K26</f>
        <v>55934.42387096773</v>
      </c>
      <c r="H16" s="184">
        <f>DPRavg!K31</f>
        <v>54085.931935483874</v>
      </c>
      <c r="I16" s="184">
        <f>DPRavg!K36</f>
        <v>0</v>
      </c>
      <c r="J16" s="184">
        <f>DPRavg!K41</f>
        <v>0</v>
      </c>
      <c r="K16" s="184">
        <f>DPRavg!K46</f>
        <v>0</v>
      </c>
      <c r="L16" s="184">
        <f>DPRavg!K51</f>
        <v>0</v>
      </c>
      <c r="M16" s="184">
        <f>DPRavg!K56</f>
        <v>0</v>
      </c>
      <c r="N16" s="184">
        <f>DPRavg!K61</f>
        <v>0</v>
      </c>
      <c r="O16" s="184">
        <f>DPRavg!K66</f>
        <v>0</v>
      </c>
      <c r="V16" s="209" t="s">
        <v>67</v>
      </c>
      <c r="W16" s="184">
        <f>HLOOKUP(W$4,Storage_Reconciled_prod_chosen!$D$7:$CU$23,Storage_Reconciled_prod_chosen!$C19,FALSE)</f>
        <v>53730.633332999998</v>
      </c>
      <c r="X16" s="184">
        <f>HLOOKUP(X$4,Storage_Reconciled_prod_chosen!$D$7:$CU$23,Storage_Reconciled_prod_chosen!$C19,FALSE)</f>
        <v>53451.677419032254</v>
      </c>
      <c r="Y16" s="184">
        <f>HLOOKUP(Y$4,Storage_Reconciled_prod_chosen!$D$7:$CU$23,Storage_Reconciled_prod_chosen!$C19,FALSE)</f>
        <v>50960.200000999997</v>
      </c>
      <c r="Z16" s="184">
        <f>HLOOKUP(Z$4,Storage_Reconciled_prod_chosen!$D$7:$CU$23,Storage_Reconciled_prod_chosen!$C19,FALSE)</f>
        <v>55934.419356129038</v>
      </c>
      <c r="AA16" s="184">
        <f>HLOOKUP(AA$4,Storage_Reconciled_prod_chosen!$D$7:$CU$23,Storage_Reconciled_prod_chosen!$C19,FALSE)</f>
        <v>0</v>
      </c>
      <c r="AB16" s="184">
        <f>HLOOKUP(AB$4,Storage_Reconciled_prod_chosen!$D$7:$CU$23,Storage_Reconciled_prod_chosen!$C19,FALSE)</f>
        <v>0</v>
      </c>
      <c r="AC16" s="184">
        <f>HLOOKUP(AC$4,Storage_Reconciled_prod_chosen!$D$7:$CU$23,Storage_Reconciled_prod_chosen!$C19,FALSE)</f>
        <v>0</v>
      </c>
      <c r="AD16" s="184">
        <f>HLOOKUP(AD$4,Storage_Reconciled_prod_chosen!$D$7:$CU$23,Storage_Reconciled_prod_chosen!$C19,FALSE)</f>
        <v>0</v>
      </c>
      <c r="AE16" s="184">
        <f>HLOOKUP(AE$4,Storage_Reconciled_prod_chosen!$D$7:$CU$23,Storage_Reconciled_prod_chosen!$C19,FALSE)</f>
        <v>0</v>
      </c>
      <c r="AF16" s="184">
        <f>HLOOKUP(AF$4,Storage_Reconciled_prod_chosen!$D$7:$CU$23,Storage_Reconciled_prod_chosen!$C19,FALSE)</f>
        <v>0</v>
      </c>
      <c r="AG16" s="184">
        <f>HLOOKUP(AG$4,Storage_Reconciled_prod_chosen!$D$7:$CU$23,Storage_Reconciled_prod_chosen!$C19,FALSE)</f>
        <v>0</v>
      </c>
      <c r="AH16" s="184">
        <f>HLOOKUP(AH$4,Storage_Reconciled_prod_chosen!$D$7:$CU$23,Storage_Reconciled_prod_chosen!$C19,FALSE)</f>
        <v>0</v>
      </c>
      <c r="AL16" s="209" t="s">
        <v>67</v>
      </c>
      <c r="AM16" s="318">
        <f t="shared" si="4"/>
        <v>-5.943197558200275E-6</v>
      </c>
      <c r="AN16" s="318">
        <f t="shared" si="2"/>
        <v>1.8104386989570287E-7</v>
      </c>
      <c r="AO16" s="318">
        <f t="shared" si="2"/>
        <v>6.2796103827977845E-7</v>
      </c>
      <c r="AP16" s="318">
        <f t="shared" si="2"/>
        <v>-8.0716638928279849E-8</v>
      </c>
      <c r="AQ16" s="318">
        <f t="shared" si="2"/>
        <v>0</v>
      </c>
      <c r="AR16" s="318">
        <f t="shared" si="2"/>
        <v>0</v>
      </c>
      <c r="AS16" s="318">
        <f t="shared" si="2"/>
        <v>0</v>
      </c>
      <c r="AT16" s="318">
        <f t="shared" si="2"/>
        <v>0</v>
      </c>
      <c r="AU16" s="318">
        <f t="shared" si="2"/>
        <v>0</v>
      </c>
      <c r="AV16" s="318">
        <f t="shared" si="2"/>
        <v>0</v>
      </c>
      <c r="AW16" s="318">
        <f t="shared" si="2"/>
        <v>0</v>
      </c>
      <c r="AX16" s="318">
        <f t="shared" si="2"/>
        <v>0</v>
      </c>
      <c r="BA16" s="209" t="s">
        <v>67</v>
      </c>
      <c r="BB16">
        <f t="shared" si="5"/>
        <v>-0.31933366668818053</v>
      </c>
      <c r="BC16">
        <f t="shared" si="3"/>
        <v>9.6770967793418095E-3</v>
      </c>
      <c r="BD16">
        <f t="shared" si="3"/>
        <v>3.2001000006857794E-2</v>
      </c>
      <c r="BE16">
        <f t="shared" si="3"/>
        <v>-4.5148386925575323E-3</v>
      </c>
      <c r="BF16">
        <f t="shared" si="3"/>
        <v>-54085.931935483874</v>
      </c>
      <c r="BG16">
        <f t="shared" si="3"/>
        <v>0</v>
      </c>
      <c r="BH16">
        <f t="shared" si="3"/>
        <v>0</v>
      </c>
      <c r="BI16">
        <f t="shared" si="3"/>
        <v>0</v>
      </c>
      <c r="BJ16">
        <f t="shared" si="3"/>
        <v>0</v>
      </c>
      <c r="BK16">
        <f t="shared" si="3"/>
        <v>0</v>
      </c>
      <c r="BL16">
        <f t="shared" si="3"/>
        <v>0</v>
      </c>
      <c r="BM16">
        <f t="shared" si="3"/>
        <v>0</v>
      </c>
    </row>
    <row r="17" spans="3:65">
      <c r="C17" s="209" t="s">
        <v>68</v>
      </c>
      <c r="D17" s="184">
        <f>DPRavg!L11</f>
        <v>13140.766666666666</v>
      </c>
      <c r="E17" s="184">
        <f>DPRavg!L16</f>
        <v>12288.967741935483</v>
      </c>
      <c r="F17" s="184">
        <f>DPRavg!L21</f>
        <v>12269.68</v>
      </c>
      <c r="G17" s="184">
        <f>DPRavg!L26</f>
        <v>11924.935483870968</v>
      </c>
      <c r="H17" s="184">
        <f>DPRavg!L31</f>
        <v>12320.806451612903</v>
      </c>
      <c r="I17" s="184">
        <f>DPRavg!L36</f>
        <v>0</v>
      </c>
      <c r="J17" s="184">
        <f>DPRavg!L41</f>
        <v>0</v>
      </c>
      <c r="K17" s="184">
        <f>DPRavg!L46</f>
        <v>0</v>
      </c>
      <c r="L17" s="184">
        <f>DPRavg!L51</f>
        <v>0</v>
      </c>
      <c r="M17" s="184">
        <f>DPRavg!L56</f>
        <v>0</v>
      </c>
      <c r="N17" s="184">
        <f>DPRavg!L61</f>
        <v>0</v>
      </c>
      <c r="O17" s="184">
        <f>DPRavg!L66</f>
        <v>0</v>
      </c>
      <c r="V17" s="209" t="s">
        <v>68</v>
      </c>
      <c r="W17" s="184">
        <f>HLOOKUP(W$4,Storage_Reconciled_prod_chosen!$D$7:$CU$23,Storage_Reconciled_prod_chosen!$C20,FALSE)</f>
        <v>13140.733333</v>
      </c>
      <c r="X17" s="184">
        <f>HLOOKUP(X$4,Storage_Reconciled_prod_chosen!$D$7:$CU$23,Storage_Reconciled_prod_chosen!$C20,FALSE)</f>
        <v>12289.032258387097</v>
      </c>
      <c r="Y17" s="184">
        <f>HLOOKUP(Y$4,Storage_Reconciled_prod_chosen!$D$7:$CU$23,Storage_Reconciled_prod_chosen!$C20,FALSE)</f>
        <v>12269.733333999999</v>
      </c>
      <c r="Z17" s="184">
        <f>HLOOKUP(Z$4,Storage_Reconciled_prod_chosen!$D$7:$CU$23,Storage_Reconciled_prod_chosen!$C20,FALSE)</f>
        <v>11924.967742580644</v>
      </c>
      <c r="AA17" s="184">
        <f>HLOOKUP(AA$4,Storage_Reconciled_prod_chosen!$D$7:$CU$23,Storage_Reconciled_prod_chosen!$C20,FALSE)</f>
        <v>0</v>
      </c>
      <c r="AB17" s="184">
        <f>HLOOKUP(AB$4,Storage_Reconciled_prod_chosen!$D$7:$CU$23,Storage_Reconciled_prod_chosen!$C20,FALSE)</f>
        <v>0</v>
      </c>
      <c r="AC17" s="184">
        <f>HLOOKUP(AC$4,Storage_Reconciled_prod_chosen!$D$7:$CU$23,Storage_Reconciled_prod_chosen!$C20,FALSE)</f>
        <v>0</v>
      </c>
      <c r="AD17" s="184">
        <f>HLOOKUP(AD$4,Storage_Reconciled_prod_chosen!$D$7:$CU$23,Storage_Reconciled_prod_chosen!$C20,FALSE)</f>
        <v>0</v>
      </c>
      <c r="AE17" s="184">
        <f>HLOOKUP(AE$4,Storage_Reconciled_prod_chosen!$D$7:$CU$23,Storage_Reconciled_prod_chosen!$C20,FALSE)</f>
        <v>0</v>
      </c>
      <c r="AF17" s="184">
        <f>HLOOKUP(AF$4,Storage_Reconciled_prod_chosen!$D$7:$CU$23,Storage_Reconciled_prod_chosen!$C20,FALSE)</f>
        <v>0</v>
      </c>
      <c r="AG17" s="184">
        <f>HLOOKUP(AG$4,Storage_Reconciled_prod_chosen!$D$7:$CU$23,Storage_Reconciled_prod_chosen!$C20,FALSE)</f>
        <v>0</v>
      </c>
      <c r="AH17" s="184">
        <f>HLOOKUP(AH$4,Storage_Reconciled_prod_chosen!$D$7:$CU$23,Storage_Reconciled_prod_chosen!$C20,FALSE)</f>
        <v>0</v>
      </c>
      <c r="AL17" s="209" t="s">
        <v>68</v>
      </c>
      <c r="AM17" s="318">
        <f t="shared" si="4"/>
        <v>-2.53666072247416E-6</v>
      </c>
      <c r="AN17" s="318">
        <f t="shared" si="2"/>
        <v>5.2499488132351502E-6</v>
      </c>
      <c r="AO17" s="318">
        <f t="shared" si="2"/>
        <v>4.3468126307288912E-6</v>
      </c>
      <c r="AP17" s="318">
        <f t="shared" si="2"/>
        <v>2.7051475222084065E-6</v>
      </c>
      <c r="AQ17" s="318">
        <f t="shared" si="2"/>
        <v>0</v>
      </c>
      <c r="AR17" s="318">
        <f t="shared" si="2"/>
        <v>0</v>
      </c>
      <c r="AS17" s="318">
        <f t="shared" si="2"/>
        <v>0</v>
      </c>
      <c r="AT17" s="318">
        <f t="shared" si="2"/>
        <v>0</v>
      </c>
      <c r="AU17" s="318">
        <f t="shared" si="2"/>
        <v>0</v>
      </c>
      <c r="AV17" s="318">
        <f t="shared" si="2"/>
        <v>0</v>
      </c>
      <c r="AW17" s="318">
        <f t="shared" si="2"/>
        <v>0</v>
      </c>
      <c r="AX17" s="318">
        <f t="shared" si="2"/>
        <v>0</v>
      </c>
      <c r="BA17" s="209" t="s">
        <v>68</v>
      </c>
      <c r="BB17">
        <f t="shared" si="5"/>
        <v>-3.3333666666294448E-2</v>
      </c>
      <c r="BC17">
        <f t="shared" si="3"/>
        <v>6.4516451613599202E-2</v>
      </c>
      <c r="BD17">
        <f t="shared" si="3"/>
        <v>5.3333999998358195E-2</v>
      </c>
      <c r="BE17">
        <f t="shared" si="3"/>
        <v>3.2258709676170838E-2</v>
      </c>
      <c r="BF17">
        <f t="shared" si="3"/>
        <v>-12320.806451612903</v>
      </c>
      <c r="BG17">
        <f t="shared" si="3"/>
        <v>0</v>
      </c>
      <c r="BH17">
        <f t="shared" si="3"/>
        <v>0</v>
      </c>
      <c r="BI17">
        <f t="shared" si="3"/>
        <v>0</v>
      </c>
      <c r="BJ17">
        <f t="shared" si="3"/>
        <v>0</v>
      </c>
      <c r="BK17">
        <f t="shared" si="3"/>
        <v>0</v>
      </c>
      <c r="BL17">
        <f t="shared" si="3"/>
        <v>0</v>
      </c>
      <c r="BM17">
        <f t="shared" si="3"/>
        <v>0</v>
      </c>
    </row>
    <row r="18" spans="3:65">
      <c r="C18" s="209" t="s">
        <v>69</v>
      </c>
      <c r="D18" s="184">
        <f>DPRavg!P11</f>
        <v>0</v>
      </c>
      <c r="E18" s="184">
        <f>DPRavg!P16</f>
        <v>0</v>
      </c>
      <c r="F18" s="184">
        <f>DPRavg!P21</f>
        <v>0</v>
      </c>
      <c r="G18" s="184">
        <f>DPRavg!P26</f>
        <v>0</v>
      </c>
      <c r="H18" s="184">
        <f>DPRavg!P31</f>
        <v>0</v>
      </c>
      <c r="I18" s="184">
        <f>DPRavg!P36</f>
        <v>0</v>
      </c>
      <c r="J18" s="184">
        <f>DPRavg!P41</f>
        <v>0</v>
      </c>
      <c r="K18" s="184">
        <f>DPRavg!P46</f>
        <v>0</v>
      </c>
      <c r="L18" s="184">
        <f>DPRavg!P51</f>
        <v>0</v>
      </c>
      <c r="M18" s="184">
        <f>DPRavg!P56</f>
        <v>0</v>
      </c>
      <c r="N18" s="184">
        <f>DPRavg!P61</f>
        <v>0</v>
      </c>
      <c r="O18" s="184">
        <f>DPRavg!P66</f>
        <v>0</v>
      </c>
      <c r="V18" s="209" t="s">
        <v>69</v>
      </c>
      <c r="W18" s="184">
        <f>HLOOKUP(W$4,Storage_Reconciled_prod_chosen!$D$7:$CU$23,Storage_Reconciled_prod_chosen!$C21,FALSE)</f>
        <v>0</v>
      </c>
      <c r="X18" s="184">
        <f>HLOOKUP(X$4,Storage_Reconciled_prod_chosen!$D$7:$CU$23,Storage_Reconciled_prod_chosen!$C21,FALSE)</f>
        <v>0</v>
      </c>
      <c r="Y18" s="184">
        <f>HLOOKUP(Y$4,Storage_Reconciled_prod_chosen!$D$7:$CU$23,Storage_Reconciled_prod_chosen!$C21,FALSE)</f>
        <v>0</v>
      </c>
      <c r="Z18" s="184">
        <f>HLOOKUP(Z$4,Storage_Reconciled_prod_chosen!$D$7:$CU$23,Storage_Reconciled_prod_chosen!$C21,FALSE)</f>
        <v>0</v>
      </c>
      <c r="AA18" s="184">
        <f>HLOOKUP(AA$4,Storage_Reconciled_prod_chosen!$D$7:$CU$23,Storage_Reconciled_prod_chosen!$C21,FALSE)</f>
        <v>0</v>
      </c>
      <c r="AB18" s="184">
        <f>HLOOKUP(AB$4,Storage_Reconciled_prod_chosen!$D$7:$CU$23,Storage_Reconciled_prod_chosen!$C21,FALSE)</f>
        <v>0</v>
      </c>
      <c r="AC18" s="184">
        <f>HLOOKUP(AC$4,Storage_Reconciled_prod_chosen!$D$7:$CU$23,Storage_Reconciled_prod_chosen!$C21,FALSE)</f>
        <v>0</v>
      </c>
      <c r="AD18" s="184">
        <f>HLOOKUP(AD$4,Storage_Reconciled_prod_chosen!$D$7:$CU$23,Storage_Reconciled_prod_chosen!$C21,FALSE)</f>
        <v>0</v>
      </c>
      <c r="AE18" s="184">
        <f>HLOOKUP(AE$4,Storage_Reconciled_prod_chosen!$D$7:$CU$23,Storage_Reconciled_prod_chosen!$C21,FALSE)</f>
        <v>0</v>
      </c>
      <c r="AF18" s="184">
        <f>HLOOKUP(AF$4,Storage_Reconciled_prod_chosen!$D$7:$CU$23,Storage_Reconciled_prod_chosen!$C21,FALSE)</f>
        <v>0</v>
      </c>
      <c r="AG18" s="184">
        <f>HLOOKUP(AG$4,Storage_Reconciled_prod_chosen!$D$7:$CU$23,Storage_Reconciled_prod_chosen!$C21,FALSE)</f>
        <v>0</v>
      </c>
      <c r="AH18" s="184">
        <f>HLOOKUP(AH$4,Storage_Reconciled_prod_chosen!$D$7:$CU$23,Storage_Reconciled_prod_chosen!$C21,FALSE)</f>
        <v>0</v>
      </c>
      <c r="AL18" s="209" t="s">
        <v>69</v>
      </c>
      <c r="AM18" s="318">
        <f t="shared" si="4"/>
        <v>0</v>
      </c>
      <c r="AN18" s="318">
        <f t="shared" si="2"/>
        <v>0</v>
      </c>
      <c r="AO18" s="318">
        <f t="shared" si="2"/>
        <v>0</v>
      </c>
      <c r="AP18" s="318">
        <f t="shared" si="2"/>
        <v>0</v>
      </c>
      <c r="AQ18" s="318">
        <f t="shared" si="2"/>
        <v>0</v>
      </c>
      <c r="AR18" s="318">
        <f t="shared" si="2"/>
        <v>0</v>
      </c>
      <c r="AS18" s="318">
        <f t="shared" si="2"/>
        <v>0</v>
      </c>
      <c r="AT18" s="318">
        <f t="shared" si="2"/>
        <v>0</v>
      </c>
      <c r="AU18" s="318">
        <f t="shared" si="2"/>
        <v>0</v>
      </c>
      <c r="AV18" s="318">
        <f t="shared" si="2"/>
        <v>0</v>
      </c>
      <c r="AW18" s="318">
        <f t="shared" si="2"/>
        <v>0</v>
      </c>
      <c r="AX18" s="318">
        <f t="shared" si="2"/>
        <v>0</v>
      </c>
      <c r="BA18" s="209" t="s">
        <v>69</v>
      </c>
      <c r="BB18">
        <f t="shared" si="5"/>
        <v>0</v>
      </c>
      <c r="BC18">
        <f t="shared" si="3"/>
        <v>0</v>
      </c>
      <c r="BD18">
        <f t="shared" si="3"/>
        <v>0</v>
      </c>
      <c r="BE18">
        <f t="shared" si="3"/>
        <v>0</v>
      </c>
      <c r="BF18">
        <f t="shared" si="3"/>
        <v>0</v>
      </c>
      <c r="BG18">
        <f t="shared" si="3"/>
        <v>0</v>
      </c>
      <c r="BH18">
        <f t="shared" si="3"/>
        <v>0</v>
      </c>
      <c r="BI18">
        <f t="shared" si="3"/>
        <v>0</v>
      </c>
      <c r="BJ18">
        <f t="shared" si="3"/>
        <v>0</v>
      </c>
      <c r="BK18">
        <f t="shared" si="3"/>
        <v>0</v>
      </c>
      <c r="BL18">
        <f t="shared" si="3"/>
        <v>0</v>
      </c>
      <c r="BM18">
        <f t="shared" si="3"/>
        <v>0</v>
      </c>
    </row>
    <row r="19" spans="3:65">
      <c r="C19" s="209" t="s">
        <v>70</v>
      </c>
      <c r="D19" s="184">
        <f>DPRavg!Q11</f>
        <v>0</v>
      </c>
      <c r="E19" s="184">
        <f>DPRavg!Q16</f>
        <v>0</v>
      </c>
      <c r="F19" s="184">
        <f>DPRavg!Q21</f>
        <v>0</v>
      </c>
      <c r="G19" s="184">
        <f>DPRavg!Q26</f>
        <v>0</v>
      </c>
      <c r="H19" s="184">
        <f>DPRavg!Q31</f>
        <v>0</v>
      </c>
      <c r="I19" s="184">
        <f>DPRavg!Q36</f>
        <v>0</v>
      </c>
      <c r="J19" s="184">
        <f>DPRavg!Q41</f>
        <v>0</v>
      </c>
      <c r="K19" s="184">
        <f>DPRavg!Q46</f>
        <v>0</v>
      </c>
      <c r="L19" s="184">
        <f>DPRavg!Q51</f>
        <v>0</v>
      </c>
      <c r="M19" s="184">
        <f>DPRavg!Q56</f>
        <v>0</v>
      </c>
      <c r="N19" s="184">
        <f>DPRavg!Q61</f>
        <v>0</v>
      </c>
      <c r="O19" s="184">
        <f>DPRavg!Q66</f>
        <v>0</v>
      </c>
      <c r="V19" s="209" t="s">
        <v>70</v>
      </c>
      <c r="W19" s="184">
        <f>HLOOKUP(W$4,Storage_Reconciled_prod_chosen!$D$7:$CU$23,Storage_Reconciled_prod_chosen!$C22,FALSE)</f>
        <v>0</v>
      </c>
      <c r="X19" s="184">
        <f>HLOOKUP(X$4,Storage_Reconciled_prod_chosen!$D$7:$CU$23,Storage_Reconciled_prod_chosen!$C22,FALSE)</f>
        <v>0</v>
      </c>
      <c r="Y19" s="184">
        <f>HLOOKUP(Y$4,Storage_Reconciled_prod_chosen!$D$7:$CU$23,Storage_Reconciled_prod_chosen!$C22,FALSE)</f>
        <v>0</v>
      </c>
      <c r="Z19" s="184">
        <f>HLOOKUP(Z$4,Storage_Reconciled_prod_chosen!$D$7:$CU$23,Storage_Reconciled_prod_chosen!$C22,FALSE)</f>
        <v>0</v>
      </c>
      <c r="AA19" s="184">
        <f>HLOOKUP(AA$4,Storage_Reconciled_prod_chosen!$D$7:$CU$23,Storage_Reconciled_prod_chosen!$C22,FALSE)</f>
        <v>0</v>
      </c>
      <c r="AB19" s="184">
        <f>HLOOKUP(AB$4,Storage_Reconciled_prod_chosen!$D$7:$CU$23,Storage_Reconciled_prod_chosen!$C22,FALSE)</f>
        <v>0</v>
      </c>
      <c r="AC19" s="184">
        <f>HLOOKUP(AC$4,Storage_Reconciled_prod_chosen!$D$7:$CU$23,Storage_Reconciled_prod_chosen!$C22,FALSE)</f>
        <v>0</v>
      </c>
      <c r="AD19" s="184">
        <f>HLOOKUP(AD$4,Storage_Reconciled_prod_chosen!$D$7:$CU$23,Storage_Reconciled_prod_chosen!$C22,FALSE)</f>
        <v>0</v>
      </c>
      <c r="AE19" s="184">
        <f>HLOOKUP(AE$4,Storage_Reconciled_prod_chosen!$D$7:$CU$23,Storage_Reconciled_prod_chosen!$C22,FALSE)</f>
        <v>0</v>
      </c>
      <c r="AF19" s="184">
        <f>HLOOKUP(AF$4,Storage_Reconciled_prod_chosen!$D$7:$CU$23,Storage_Reconciled_prod_chosen!$C22,FALSE)</f>
        <v>0</v>
      </c>
      <c r="AG19" s="184">
        <f>HLOOKUP(AG$4,Storage_Reconciled_prod_chosen!$D$7:$CU$23,Storage_Reconciled_prod_chosen!$C22,FALSE)</f>
        <v>0</v>
      </c>
      <c r="AH19" s="184">
        <f>HLOOKUP(AH$4,Storage_Reconciled_prod_chosen!$D$7:$CU$23,Storage_Reconciled_prod_chosen!$C22,FALSE)</f>
        <v>0</v>
      </c>
      <c r="AL19" s="209" t="s">
        <v>70</v>
      </c>
      <c r="AM19" s="318">
        <f t="shared" si="4"/>
        <v>0</v>
      </c>
      <c r="AN19" s="318">
        <f t="shared" si="2"/>
        <v>0</v>
      </c>
      <c r="AO19" s="318">
        <f t="shared" si="2"/>
        <v>0</v>
      </c>
      <c r="AP19" s="318">
        <f t="shared" si="2"/>
        <v>0</v>
      </c>
      <c r="AQ19" s="318">
        <f t="shared" si="2"/>
        <v>0</v>
      </c>
      <c r="AR19" s="318">
        <f t="shared" si="2"/>
        <v>0</v>
      </c>
      <c r="AS19" s="318">
        <f t="shared" si="2"/>
        <v>0</v>
      </c>
      <c r="AT19" s="318">
        <f t="shared" si="2"/>
        <v>0</v>
      </c>
      <c r="AU19" s="318">
        <f t="shared" si="2"/>
        <v>0</v>
      </c>
      <c r="AV19" s="318">
        <f t="shared" si="2"/>
        <v>0</v>
      </c>
      <c r="AW19" s="318">
        <f t="shared" si="2"/>
        <v>0</v>
      </c>
      <c r="AX19" s="318">
        <f t="shared" si="2"/>
        <v>0</v>
      </c>
      <c r="BA19" s="209" t="s">
        <v>70</v>
      </c>
      <c r="BB19">
        <f t="shared" si="5"/>
        <v>0</v>
      </c>
      <c r="BC19">
        <f t="shared" si="3"/>
        <v>0</v>
      </c>
      <c r="BD19">
        <f t="shared" si="3"/>
        <v>0</v>
      </c>
      <c r="BE19">
        <f t="shared" si="3"/>
        <v>0</v>
      </c>
      <c r="BF19">
        <f t="shared" si="3"/>
        <v>0</v>
      </c>
      <c r="BG19">
        <f t="shared" si="3"/>
        <v>0</v>
      </c>
      <c r="BH19">
        <f t="shared" si="3"/>
        <v>0</v>
      </c>
      <c r="BI19">
        <f t="shared" si="3"/>
        <v>0</v>
      </c>
      <c r="BJ19">
        <f t="shared" si="3"/>
        <v>0</v>
      </c>
      <c r="BK19">
        <f t="shared" si="3"/>
        <v>0</v>
      </c>
      <c r="BL19">
        <f t="shared" si="3"/>
        <v>0</v>
      </c>
      <c r="BM19">
        <f t="shared" si="3"/>
        <v>0</v>
      </c>
    </row>
    <row r="21" spans="3:65">
      <c r="I21" t="s">
        <v>145</v>
      </c>
      <c r="AB21" t="s">
        <v>145</v>
      </c>
    </row>
    <row r="22" spans="3:65">
      <c r="W22" s="418">
        <f>$A$3*100+4</f>
        <v>202604</v>
      </c>
      <c r="X22" s="418">
        <f>$A$3*100+5</f>
        <v>202605</v>
      </c>
      <c r="Y22" s="418">
        <f>$A$3*100+6</f>
        <v>202606</v>
      </c>
      <c r="Z22" s="418">
        <f>$A$3*100+7</f>
        <v>202607</v>
      </c>
      <c r="AA22" s="418">
        <f>$A$3*100+8</f>
        <v>202608</v>
      </c>
      <c r="AB22" s="418">
        <f>$A$3*100+9</f>
        <v>202609</v>
      </c>
      <c r="AC22" s="418">
        <f>$A$3*100+10</f>
        <v>202610</v>
      </c>
      <c r="AD22" s="418">
        <f>$A$3*100+11</f>
        <v>202611</v>
      </c>
      <c r="AE22" s="418">
        <f>$A$3*100+12</f>
        <v>202612</v>
      </c>
      <c r="AF22" s="418">
        <f>$A$4*100+1</f>
        <v>202701</v>
      </c>
      <c r="AG22" s="418">
        <f>$A$4*100+2</f>
        <v>202702</v>
      </c>
      <c r="AH22" s="418">
        <f>$A$4*100+3</f>
        <v>202703</v>
      </c>
      <c r="AM22" s="184" t="s">
        <v>30</v>
      </c>
      <c r="AN22" s="184" t="s">
        <v>71</v>
      </c>
      <c r="AO22" s="184" t="s">
        <v>72</v>
      </c>
      <c r="AP22" s="184" t="s">
        <v>73</v>
      </c>
      <c r="AQ22" s="184" t="s">
        <v>140</v>
      </c>
      <c r="AR22" s="184" t="s">
        <v>141</v>
      </c>
      <c r="AS22" s="184" t="s">
        <v>142</v>
      </c>
      <c r="AT22" s="184" t="s">
        <v>143</v>
      </c>
      <c r="AU22" s="184" t="s">
        <v>42</v>
      </c>
      <c r="AV22" s="184" t="s">
        <v>339</v>
      </c>
      <c r="AW22" s="184" t="s">
        <v>340</v>
      </c>
      <c r="AX22" s="184" t="s">
        <v>341</v>
      </c>
    </row>
    <row r="23" spans="3:65">
      <c r="C23" s="144" t="s">
        <v>60</v>
      </c>
      <c r="D23" s="184">
        <f>DPRavg!X11</f>
        <v>9.7019498211792818</v>
      </c>
      <c r="E23" s="184">
        <f>DPRavg!X16</f>
        <v>8.3419067925382784</v>
      </c>
      <c r="F23" s="184">
        <f>DPRavg!X21</f>
        <v>7.6615108746027376</v>
      </c>
      <c r="G23" s="184">
        <f>DPRavg!X26</f>
        <v>7.3906479028152106</v>
      </c>
      <c r="H23" s="184">
        <f>DPRavg!X31</f>
        <v>6.9239309443193591</v>
      </c>
      <c r="I23" s="184">
        <f>DPRavg!X36</f>
        <v>0</v>
      </c>
      <c r="J23" s="184">
        <f>DPRavg!X41</f>
        <v>0</v>
      </c>
      <c r="K23" s="184">
        <f>DPRavg!X46</f>
        <v>0</v>
      </c>
      <c r="L23" s="184">
        <f>DPRavg!X51</f>
        <v>0</v>
      </c>
      <c r="M23" s="184">
        <f>DPRavg!X56</f>
        <v>0</v>
      </c>
      <c r="N23" s="184">
        <f>DPRavg!X61</f>
        <v>0</v>
      </c>
      <c r="O23" s="184">
        <f>DPRavg!X66</f>
        <v>0</v>
      </c>
      <c r="V23" s="144" t="s">
        <v>60</v>
      </c>
      <c r="W23" s="249">
        <f>HLOOKUP(W$4,Storage_Reconciled_prod_chosen!$D$26:$CU$42,Storage_Reconciled_prod_chosen!$C28,FALSE)</f>
        <v>9.7017673333333327</v>
      </c>
      <c r="X23" s="249">
        <f>HLOOKUP(X$4,Storage_Reconciled_prod_chosen!$D$26:$CU$42,Storage_Reconciled_prod_chosen!$C28,FALSE)</f>
        <v>8.3419374193548386</v>
      </c>
      <c r="Y23" s="249">
        <f>HLOOKUP(Y$4,Storage_Reconciled_prod_chosen!$D$26:$CU$42,Storage_Reconciled_prod_chosen!$C28,FALSE)</f>
        <v>7.6709000000000005</v>
      </c>
      <c r="Z23" s="249">
        <f>HLOOKUP(Z$4,Storage_Reconciled_prod_chosen!$D$26:$CU$42,Storage_Reconciled_prod_chosen!$C28,FALSE)</f>
        <v>7.3924512903225805</v>
      </c>
      <c r="AA23" s="249">
        <f>HLOOKUP(AA$4,Storage_Reconciled_prod_chosen!$D$26:$CU$42,Storage_Reconciled_prod_chosen!$C28,FALSE)</f>
        <v>0</v>
      </c>
      <c r="AB23" s="249">
        <f>HLOOKUP(AB$4,Storage_Reconciled_prod_chosen!$D$26:$CU$42,Storage_Reconciled_prod_chosen!$C28,FALSE)</f>
        <v>0</v>
      </c>
      <c r="AC23" s="249">
        <f>HLOOKUP(AC$4,Storage_Reconciled_prod_chosen!$D$26:$CU$42,Storage_Reconciled_prod_chosen!$C28,FALSE)</f>
        <v>0</v>
      </c>
      <c r="AD23" s="249">
        <f>HLOOKUP(AD$4,Storage_Reconciled_prod_chosen!$D$26:$CU$42,Storage_Reconciled_prod_chosen!$C28,FALSE)</f>
        <v>0</v>
      </c>
      <c r="AE23" s="249">
        <f>HLOOKUP(AE$4,Storage_Reconciled_prod_chosen!$D$26:$CU$42,Storage_Reconciled_prod_chosen!$C28,FALSE)</f>
        <v>0</v>
      </c>
      <c r="AF23" s="249">
        <f>HLOOKUP(AF$4,Storage_Reconciled_prod_chosen!$D$26:$CU$42,Storage_Reconciled_prod_chosen!$C28,FALSE)</f>
        <v>0</v>
      </c>
      <c r="AG23" s="249">
        <f>HLOOKUP(AG$4,Storage_Reconciled_prod_chosen!$D$26:$CU$42,Storage_Reconciled_prod_chosen!$C28,FALSE)</f>
        <v>0</v>
      </c>
      <c r="AH23" s="249">
        <f>HLOOKUP(AH$4,Storage_Reconciled_prod_chosen!$D$26:$CU$42,Storage_Reconciled_prod_chosen!$C28,FALSE)</f>
        <v>0</v>
      </c>
      <c r="AL23" s="209" t="s">
        <v>60</v>
      </c>
      <c r="AM23" s="318">
        <f>(IFERROR((W23/D23)-1,0))*AM$3</f>
        <v>-1.8809399070507382E-5</v>
      </c>
      <c r="AN23" s="318">
        <f t="shared" ref="AN23:AX36" si="6">(IFERROR((X23/E23)-1,0))*AN$3</f>
        <v>3.6714407534166327E-6</v>
      </c>
      <c r="AO23" s="318">
        <f t="shared" si="6"/>
        <v>1.2254926672996547E-3</v>
      </c>
      <c r="AP23" s="318">
        <f t="shared" si="6"/>
        <v>2.440093928277598E-4</v>
      </c>
      <c r="AQ23" s="318">
        <f t="shared" si="6"/>
        <v>0</v>
      </c>
      <c r="AR23" s="318">
        <f t="shared" si="6"/>
        <v>0</v>
      </c>
      <c r="AS23" s="318">
        <f t="shared" si="6"/>
        <v>0</v>
      </c>
      <c r="AT23" s="318">
        <f t="shared" si="6"/>
        <v>0</v>
      </c>
      <c r="AU23" s="318">
        <f t="shared" si="6"/>
        <v>0</v>
      </c>
      <c r="AV23" s="318">
        <f t="shared" si="6"/>
        <v>0</v>
      </c>
      <c r="AW23" s="318">
        <f t="shared" si="6"/>
        <v>0</v>
      </c>
      <c r="AX23" s="318">
        <f t="shared" si="6"/>
        <v>0</v>
      </c>
      <c r="BA23" s="209" t="s">
        <v>60</v>
      </c>
      <c r="BB23" s="197">
        <f>W23-D23</f>
        <v>-1.824878459490975E-4</v>
      </c>
      <c r="BC23" s="197">
        <f t="shared" ref="BC23:BC36" si="7">X23-E23</f>
        <v>3.0626816560186398E-5</v>
      </c>
      <c r="BD23" s="197">
        <f t="shared" ref="BD23:BD36" si="8">Y23-F23</f>
        <v>9.3891253972628874E-3</v>
      </c>
      <c r="BE23" s="197">
        <f t="shared" ref="BE23:BE36" si="9">Z23-G23</f>
        <v>1.803387507369969E-3</v>
      </c>
      <c r="BF23" s="197">
        <f t="shared" ref="BF23:BF36" si="10">AA23-H23</f>
        <v>-6.9239309443193591</v>
      </c>
      <c r="BG23" s="197">
        <f t="shared" ref="BG23:BG36" si="11">AB23-I23</f>
        <v>0</v>
      </c>
      <c r="BH23" s="197">
        <f t="shared" ref="BH23:BH36" si="12">AC23-J23</f>
        <v>0</v>
      </c>
      <c r="BI23" s="197">
        <f t="shared" ref="BI23:BI36" si="13">AD23-K23</f>
        <v>0</v>
      </c>
      <c r="BJ23" s="197">
        <f t="shared" ref="BJ23:BJ36" si="14">AE23-L23</f>
        <v>0</v>
      </c>
      <c r="BK23">
        <f t="shared" ref="BK23:BK36" si="15">AF23-M23</f>
        <v>0</v>
      </c>
      <c r="BL23">
        <f t="shared" ref="BL23:BL36" si="16">AG23-N23</f>
        <v>0</v>
      </c>
      <c r="BM23">
        <f t="shared" ref="BM23:BM36" si="17">AH23-O23</f>
        <v>0</v>
      </c>
    </row>
    <row r="24" spans="3:65">
      <c r="C24" s="144" t="s">
        <v>61</v>
      </c>
      <c r="D24" s="184">
        <f>DPRavg!Y11</f>
        <v>9.9730000000000008</v>
      </c>
      <c r="E24" s="184">
        <f>DPRavg!Y16</f>
        <v>9.9403225806451587</v>
      </c>
      <c r="F24" s="184">
        <f>DPRavg!Y21</f>
        <v>9.7849999999999984</v>
      </c>
      <c r="G24" s="184">
        <f>DPRavg!Y26</f>
        <v>8.8301612903225788</v>
      </c>
      <c r="H24" s="184">
        <f>DPRavg!Y31</f>
        <v>10.128309225806449</v>
      </c>
      <c r="I24" s="184">
        <f>DPRavg!Y36</f>
        <v>0</v>
      </c>
      <c r="J24" s="184">
        <f>DPRavg!Y41</f>
        <v>0</v>
      </c>
      <c r="K24" s="184">
        <f>DPRavg!Y46</f>
        <v>0</v>
      </c>
      <c r="L24" s="184">
        <f>DPRavg!Y51</f>
        <v>0</v>
      </c>
      <c r="M24" s="184">
        <f>DPRavg!Y56</f>
        <v>0</v>
      </c>
      <c r="N24" s="184">
        <f>DPRavg!Y61</f>
        <v>0</v>
      </c>
      <c r="O24" s="184">
        <f>DPRavg!Y66</f>
        <v>0</v>
      </c>
      <c r="V24" s="144" t="s">
        <v>61</v>
      </c>
      <c r="W24" s="249">
        <f>HLOOKUP(W$4,Storage_Reconciled_prod_chosen!$D$26:$CU$42,Storage_Reconciled_prod_chosen!$C29,FALSE)</f>
        <v>9.9731976666666657</v>
      </c>
      <c r="X24" s="249">
        <f>HLOOKUP(X$4,Storage_Reconciled_prod_chosen!$D$26:$CU$42,Storage_Reconciled_prod_chosen!$C29,FALSE)</f>
        <v>9.9403735483870967</v>
      </c>
      <c r="Y24" s="249">
        <f>HLOOKUP(Y$4,Storage_Reconciled_prod_chosen!$D$26:$CU$42,Storage_Reconciled_prod_chosen!$C29,FALSE)</f>
        <v>9.7900666666666663</v>
      </c>
      <c r="Z24" s="249">
        <f>HLOOKUP(Z$4,Storage_Reconciled_prod_chosen!$D$26:$CU$42,Storage_Reconciled_prod_chosen!$C29,FALSE)</f>
        <v>8.8381954838709671</v>
      </c>
      <c r="AA24" s="249">
        <f>HLOOKUP(AA$4,Storage_Reconciled_prod_chosen!$D$26:$CU$42,Storage_Reconciled_prod_chosen!$C29,FALSE)</f>
        <v>0</v>
      </c>
      <c r="AB24" s="249">
        <f>HLOOKUP(AB$4,Storage_Reconciled_prod_chosen!$D$26:$CU$42,Storage_Reconciled_prod_chosen!$C29,FALSE)</f>
        <v>0</v>
      </c>
      <c r="AC24" s="249">
        <f>HLOOKUP(AC$4,Storage_Reconciled_prod_chosen!$D$26:$CU$42,Storage_Reconciled_prod_chosen!$C29,FALSE)</f>
        <v>0</v>
      </c>
      <c r="AD24" s="249">
        <f>HLOOKUP(AD$4,Storage_Reconciled_prod_chosen!$D$26:$CU$42,Storage_Reconciled_prod_chosen!$C29,FALSE)</f>
        <v>0</v>
      </c>
      <c r="AE24" s="249">
        <f>HLOOKUP(AE$4,Storage_Reconciled_prod_chosen!$D$26:$CU$42,Storage_Reconciled_prod_chosen!$C29,FALSE)</f>
        <v>0</v>
      </c>
      <c r="AF24" s="249">
        <f>HLOOKUP(AF$4,Storage_Reconciled_prod_chosen!$D$26:$CU$42,Storage_Reconciled_prod_chosen!$C29,FALSE)</f>
        <v>0</v>
      </c>
      <c r="AG24" s="249">
        <f>HLOOKUP(AG$4,Storage_Reconciled_prod_chosen!$D$26:$CU$42,Storage_Reconciled_prod_chosen!$C29,FALSE)</f>
        <v>0</v>
      </c>
      <c r="AH24" s="249">
        <f>HLOOKUP(AH$4,Storage_Reconciled_prod_chosen!$D$26:$CU$42,Storage_Reconciled_prod_chosen!$C29,FALSE)</f>
        <v>0</v>
      </c>
      <c r="AL24" s="209" t="s">
        <v>61</v>
      </c>
      <c r="AM24" s="318">
        <f t="shared" ref="AM24:AM36" si="18">(IFERROR((W24/D24)-1,0))*AM$3</f>
        <v>1.9820181155649763E-5</v>
      </c>
      <c r="AN24" s="318">
        <f t="shared" si="6"/>
        <v>5.1273730328205147E-6</v>
      </c>
      <c r="AO24" s="318">
        <f t="shared" si="6"/>
        <v>5.1779935275098055E-4</v>
      </c>
      <c r="AP24" s="318">
        <f t="shared" si="6"/>
        <v>9.0985807441512634E-4</v>
      </c>
      <c r="AQ24" s="318">
        <f t="shared" si="6"/>
        <v>0</v>
      </c>
      <c r="AR24" s="318">
        <f t="shared" si="6"/>
        <v>0</v>
      </c>
      <c r="AS24" s="318">
        <f t="shared" si="6"/>
        <v>0</v>
      </c>
      <c r="AT24" s="318">
        <f t="shared" si="6"/>
        <v>0</v>
      </c>
      <c r="AU24" s="318">
        <f t="shared" si="6"/>
        <v>0</v>
      </c>
      <c r="AV24" s="318">
        <f t="shared" si="6"/>
        <v>0</v>
      </c>
      <c r="AW24" s="318">
        <f t="shared" si="6"/>
        <v>0</v>
      </c>
      <c r="AX24" s="318">
        <f t="shared" si="6"/>
        <v>0</v>
      </c>
      <c r="BA24" s="209" t="s">
        <v>61</v>
      </c>
      <c r="BB24" s="197">
        <f t="shared" ref="BB24:BB36" si="19">W24-D24</f>
        <v>1.9766666666498622E-4</v>
      </c>
      <c r="BC24" s="197">
        <f t="shared" si="7"/>
        <v>5.0967741938023892E-5</v>
      </c>
      <c r="BD24" s="197">
        <f t="shared" si="8"/>
        <v>5.066666666667885E-3</v>
      </c>
      <c r="BE24" s="197">
        <f t="shared" si="9"/>
        <v>8.034193548388302E-3</v>
      </c>
      <c r="BF24" s="197">
        <f t="shared" si="10"/>
        <v>-10.128309225806449</v>
      </c>
      <c r="BG24" s="197">
        <f t="shared" si="11"/>
        <v>0</v>
      </c>
      <c r="BH24" s="197">
        <f t="shared" si="12"/>
        <v>0</v>
      </c>
      <c r="BI24" s="197">
        <f t="shared" si="13"/>
        <v>0</v>
      </c>
      <c r="BJ24" s="197">
        <f t="shared" si="14"/>
        <v>0</v>
      </c>
      <c r="BK24">
        <f t="shared" si="15"/>
        <v>0</v>
      </c>
      <c r="BL24">
        <f t="shared" si="16"/>
        <v>0</v>
      </c>
      <c r="BM24">
        <f t="shared" si="17"/>
        <v>0</v>
      </c>
    </row>
    <row r="25" spans="3:65">
      <c r="C25" s="144" t="s">
        <v>62</v>
      </c>
      <c r="D25" s="184">
        <f>DPRavg!W11</f>
        <v>0.27878200000000003</v>
      </c>
      <c r="E25" s="184">
        <f>DPRavg!W16</f>
        <v>0.24107225806451618</v>
      </c>
      <c r="F25" s="184">
        <f>DPRavg!W21</f>
        <v>0.26126900000000003</v>
      </c>
      <c r="G25" s="184">
        <f>DPRavg!W26</f>
        <v>0.2411095806451613</v>
      </c>
      <c r="H25" s="184">
        <f>DPRavg!W31</f>
        <v>0.24677316129032253</v>
      </c>
      <c r="I25" s="184">
        <f>DPRavg!W36</f>
        <v>0</v>
      </c>
      <c r="J25" s="184">
        <f>DPRavg!W41</f>
        <v>0</v>
      </c>
      <c r="K25" s="184">
        <f>DPRavg!W46</f>
        <v>0</v>
      </c>
      <c r="L25" s="184">
        <f>DPRavg!W51</f>
        <v>0</v>
      </c>
      <c r="M25" s="184">
        <f>DPRavg!W56</f>
        <v>0</v>
      </c>
      <c r="N25" s="184">
        <f>DPRavg!W61</f>
        <v>0</v>
      </c>
      <c r="O25" s="184">
        <f>DPRavg!W66</f>
        <v>0</v>
      </c>
      <c r="V25" s="144" t="s">
        <v>62</v>
      </c>
      <c r="W25" s="249">
        <f>HLOOKUP(W$4,Storage_Reconciled_prod_chosen!$D$26:$CU$42,Storage_Reconciled_prod_chosen!$C30,FALSE)</f>
        <v>0.27867500000000001</v>
      </c>
      <c r="X25" s="249">
        <f>HLOOKUP(X$4,Storage_Reconciled_prod_chosen!$D$26:$CU$42,Storage_Reconciled_prod_chosen!$C30,FALSE)</f>
        <v>0.24100064516129033</v>
      </c>
      <c r="Y25" s="249">
        <f>HLOOKUP(Y$4,Storage_Reconciled_prod_chosen!$D$26:$CU$42,Storage_Reconciled_prod_chosen!$C30,FALSE)</f>
        <v>0.261299</v>
      </c>
      <c r="Z25" s="249">
        <f>HLOOKUP(Z$4,Storage_Reconciled_prod_chosen!$D$26:$CU$42,Storage_Reconciled_prod_chosen!$C30,FALSE)</f>
        <v>0.24090483870967741</v>
      </c>
      <c r="AA25" s="249">
        <f>HLOOKUP(AA$4,Storage_Reconciled_prod_chosen!$D$26:$CU$42,Storage_Reconciled_prod_chosen!$C30,FALSE)</f>
        <v>0</v>
      </c>
      <c r="AB25" s="249">
        <f>HLOOKUP(AB$4,Storage_Reconciled_prod_chosen!$D$26:$CU$42,Storage_Reconciled_prod_chosen!$C30,FALSE)</f>
        <v>0</v>
      </c>
      <c r="AC25" s="249">
        <f>HLOOKUP(AC$4,Storage_Reconciled_prod_chosen!$D$26:$CU$42,Storage_Reconciled_prod_chosen!$C30,FALSE)</f>
        <v>0</v>
      </c>
      <c r="AD25" s="249">
        <f>HLOOKUP(AD$4,Storage_Reconciled_prod_chosen!$D$26:$CU$42,Storage_Reconciled_prod_chosen!$C30,FALSE)</f>
        <v>0</v>
      </c>
      <c r="AE25" s="249">
        <f>HLOOKUP(AE$4,Storage_Reconciled_prod_chosen!$D$26:$CU$42,Storage_Reconciled_prod_chosen!$C30,FALSE)</f>
        <v>0</v>
      </c>
      <c r="AF25" s="249">
        <f>HLOOKUP(AF$4,Storage_Reconciled_prod_chosen!$D$26:$CU$42,Storage_Reconciled_prod_chosen!$C30,FALSE)</f>
        <v>0</v>
      </c>
      <c r="AG25" s="249">
        <f>HLOOKUP(AG$4,Storage_Reconciled_prod_chosen!$D$26:$CU$42,Storage_Reconciled_prod_chosen!$C30,FALSE)</f>
        <v>0</v>
      </c>
      <c r="AH25" s="249">
        <f>HLOOKUP(AH$4,Storage_Reconciled_prod_chosen!$D$26:$CU$42,Storage_Reconciled_prod_chosen!$C30,FALSE)</f>
        <v>0</v>
      </c>
      <c r="AL25" s="209" t="s">
        <v>62</v>
      </c>
      <c r="AM25" s="318">
        <f t="shared" si="18"/>
        <v>-3.8381244126239888E-4</v>
      </c>
      <c r="AN25" s="318">
        <f t="shared" si="6"/>
        <v>-2.9705990975825713E-4</v>
      </c>
      <c r="AO25" s="318">
        <f t="shared" si="6"/>
        <v>1.1482418503527825E-4</v>
      </c>
      <c r="AP25" s="318">
        <f t="shared" si="6"/>
        <v>-8.491654912096136E-4</v>
      </c>
      <c r="AQ25" s="318">
        <f t="shared" si="6"/>
        <v>0</v>
      </c>
      <c r="AR25" s="318">
        <f t="shared" si="6"/>
        <v>0</v>
      </c>
      <c r="AS25" s="318">
        <f t="shared" si="6"/>
        <v>0</v>
      </c>
      <c r="AT25" s="318">
        <f t="shared" si="6"/>
        <v>0</v>
      </c>
      <c r="AU25" s="318">
        <f t="shared" si="6"/>
        <v>0</v>
      </c>
      <c r="AV25" s="318">
        <f t="shared" si="6"/>
        <v>0</v>
      </c>
      <c r="AW25" s="318">
        <f t="shared" si="6"/>
        <v>0</v>
      </c>
      <c r="AX25" s="318">
        <f t="shared" si="6"/>
        <v>0</v>
      </c>
      <c r="BA25" s="209" t="s">
        <v>62</v>
      </c>
      <c r="BB25" s="197">
        <f t="shared" si="19"/>
        <v>-1.0700000000002374E-4</v>
      </c>
      <c r="BC25" s="197">
        <f t="shared" si="7"/>
        <v>-7.1612903225853897E-5</v>
      </c>
      <c r="BD25" s="197">
        <f t="shared" si="8"/>
        <v>2.9999999999974492E-5</v>
      </c>
      <c r="BE25" s="197">
        <f t="shared" si="9"/>
        <v>-2.0474193548389308E-4</v>
      </c>
      <c r="BF25" s="197">
        <f t="shared" si="10"/>
        <v>-0.24677316129032253</v>
      </c>
      <c r="BG25" s="197">
        <f t="shared" si="11"/>
        <v>0</v>
      </c>
      <c r="BH25" s="197">
        <f t="shared" si="12"/>
        <v>0</v>
      </c>
      <c r="BI25" s="197">
        <f t="shared" si="13"/>
        <v>0</v>
      </c>
      <c r="BJ25" s="197">
        <f t="shared" si="14"/>
        <v>0</v>
      </c>
      <c r="BK25">
        <f t="shared" si="15"/>
        <v>0</v>
      </c>
      <c r="BL25">
        <f t="shared" si="16"/>
        <v>0</v>
      </c>
      <c r="BM25">
        <f t="shared" si="17"/>
        <v>0</v>
      </c>
    </row>
    <row r="26" spans="3:65">
      <c r="C26" s="144" t="s">
        <v>57</v>
      </c>
      <c r="D26" s="184">
        <f>DPRavg!S11</f>
        <v>14.434168783348955</v>
      </c>
      <c r="E26" s="184">
        <f>DPRavg!S16</f>
        <v>13.721728053117237</v>
      </c>
      <c r="F26" s="184">
        <f>DPRavg!S21</f>
        <v>12.486301738369574</v>
      </c>
      <c r="G26" s="184">
        <f>DPRavg!S26</f>
        <v>8.2641634110697009</v>
      </c>
      <c r="H26" s="184">
        <f>DPRavg!S31</f>
        <v>7.9886590222823228</v>
      </c>
      <c r="I26" s="184">
        <f>DPRavg!S36</f>
        <v>0</v>
      </c>
      <c r="J26" s="184">
        <f>DPRavg!S41</f>
        <v>0</v>
      </c>
      <c r="K26" s="184">
        <f>DPRavg!S46</f>
        <v>0</v>
      </c>
      <c r="L26" s="184">
        <f>DPRavg!S51</f>
        <v>0</v>
      </c>
      <c r="M26" s="184">
        <f>DPRavg!S56</f>
        <v>0</v>
      </c>
      <c r="N26" s="184">
        <f>DPRavg!S61</f>
        <v>0</v>
      </c>
      <c r="O26" s="184">
        <f>DPRavg!S66</f>
        <v>0</v>
      </c>
      <c r="V26" s="144" t="s">
        <v>57</v>
      </c>
      <c r="W26" s="249">
        <f>HLOOKUP(W$4,Storage_Reconciled_prod_chosen!$D$26:$CU$42,Storage_Reconciled_prod_chosen!$C31,FALSE)</f>
        <v>14.437598333333334</v>
      </c>
      <c r="X26" s="249">
        <f>HLOOKUP(X$4,Storage_Reconciled_prod_chosen!$D$26:$CU$42,Storage_Reconciled_prod_chosen!$C31,FALSE)</f>
        <v>13.815902258064517</v>
      </c>
      <c r="Y26" s="249">
        <f>HLOOKUP(Y$4,Storage_Reconciled_prod_chosen!$D$26:$CU$42,Storage_Reconciled_prod_chosen!$C31,FALSE)</f>
        <v>12.623732333333333</v>
      </c>
      <c r="Z26" s="249">
        <f>HLOOKUP(Z$4,Storage_Reconciled_prod_chosen!$D$26:$CU$42,Storage_Reconciled_prod_chosen!$C31,FALSE)</f>
        <v>8.2639664516129034</v>
      </c>
      <c r="AA26" s="249">
        <f>HLOOKUP(AA$4,Storage_Reconciled_prod_chosen!$D$26:$CU$42,Storage_Reconciled_prod_chosen!$C31,FALSE)</f>
        <v>0</v>
      </c>
      <c r="AB26" s="249">
        <f>HLOOKUP(AB$4,Storage_Reconciled_prod_chosen!$D$26:$CU$42,Storage_Reconciled_prod_chosen!$C31,FALSE)</f>
        <v>0</v>
      </c>
      <c r="AC26" s="249">
        <f>HLOOKUP(AC$4,Storage_Reconciled_prod_chosen!$D$26:$CU$42,Storage_Reconciled_prod_chosen!$C31,FALSE)</f>
        <v>0</v>
      </c>
      <c r="AD26" s="249">
        <f>HLOOKUP(AD$4,Storage_Reconciled_prod_chosen!$D$26:$CU$42,Storage_Reconciled_prod_chosen!$C31,FALSE)</f>
        <v>0</v>
      </c>
      <c r="AE26" s="249">
        <f>HLOOKUP(AE$4,Storage_Reconciled_prod_chosen!$D$26:$CU$42,Storage_Reconciled_prod_chosen!$C31,FALSE)</f>
        <v>0</v>
      </c>
      <c r="AF26" s="249">
        <f>HLOOKUP(AF$4,Storage_Reconciled_prod_chosen!$D$26:$CU$42,Storage_Reconciled_prod_chosen!$C31,FALSE)</f>
        <v>0</v>
      </c>
      <c r="AG26" s="249">
        <f>HLOOKUP(AG$4,Storage_Reconciled_prod_chosen!$D$26:$CU$42,Storage_Reconciled_prod_chosen!$C31,FALSE)</f>
        <v>0</v>
      </c>
      <c r="AH26" s="249">
        <f>HLOOKUP(AH$4,Storage_Reconciled_prod_chosen!$D$26:$CU$42,Storage_Reconciled_prod_chosen!$C31,FALSE)</f>
        <v>0</v>
      </c>
      <c r="AL26" s="209" t="s">
        <v>57</v>
      </c>
      <c r="AM26" s="318">
        <f t="shared" si="18"/>
        <v>2.3759940983469896E-4</v>
      </c>
      <c r="AN26" s="318">
        <f t="shared" si="6"/>
        <v>6.8631446843085975E-3</v>
      </c>
      <c r="AO26" s="318">
        <f t="shared" si="6"/>
        <v>1.1006509200514047E-2</v>
      </c>
      <c r="AP26" s="318">
        <f t="shared" si="6"/>
        <v>-2.3832957675273825E-5</v>
      </c>
      <c r="AQ26" s="318">
        <f t="shared" si="6"/>
        <v>0</v>
      </c>
      <c r="AR26" s="318">
        <f t="shared" si="6"/>
        <v>0</v>
      </c>
      <c r="AS26" s="318">
        <f t="shared" si="6"/>
        <v>0</v>
      </c>
      <c r="AT26" s="318">
        <f t="shared" si="6"/>
        <v>0</v>
      </c>
      <c r="AU26" s="318">
        <f t="shared" si="6"/>
        <v>0</v>
      </c>
      <c r="AV26" s="318">
        <f t="shared" si="6"/>
        <v>0</v>
      </c>
      <c r="AW26" s="318">
        <f t="shared" si="6"/>
        <v>0</v>
      </c>
      <c r="AX26" s="318">
        <f t="shared" si="6"/>
        <v>0</v>
      </c>
      <c r="BA26" s="209" t="s">
        <v>57</v>
      </c>
      <c r="BB26" s="197">
        <f t="shared" si="19"/>
        <v>3.4295499843786104E-3</v>
      </c>
      <c r="BC26" s="197">
        <f t="shared" si="7"/>
        <v>9.417420494727935E-2</v>
      </c>
      <c r="BD26" s="197">
        <f t="shared" si="8"/>
        <v>0.13743059496375842</v>
      </c>
      <c r="BE26" s="197">
        <f t="shared" si="9"/>
        <v>-1.9695945679742977E-4</v>
      </c>
      <c r="BF26" s="197">
        <f t="shared" si="10"/>
        <v>-7.9886590222823228</v>
      </c>
      <c r="BG26" s="197">
        <f t="shared" si="11"/>
        <v>0</v>
      </c>
      <c r="BH26" s="197">
        <f t="shared" si="12"/>
        <v>0</v>
      </c>
      <c r="BI26" s="197">
        <f t="shared" si="13"/>
        <v>0</v>
      </c>
      <c r="BJ26" s="197">
        <f t="shared" si="14"/>
        <v>0</v>
      </c>
      <c r="BK26">
        <f t="shared" si="15"/>
        <v>0</v>
      </c>
      <c r="BL26">
        <f t="shared" si="16"/>
        <v>0</v>
      </c>
      <c r="BM26">
        <f t="shared" si="17"/>
        <v>0</v>
      </c>
    </row>
    <row r="27" spans="3:65">
      <c r="C27" s="144" t="s">
        <v>58</v>
      </c>
      <c r="D27" s="184">
        <f>DPRavg!T11</f>
        <v>0.45350133333333331</v>
      </c>
      <c r="E27" s="184">
        <f>DPRavg!T16</f>
        <v>0.29923383870967746</v>
      </c>
      <c r="F27" s="184">
        <f>DPRavg!T21</f>
        <v>0.4666284333333332</v>
      </c>
      <c r="G27" s="184">
        <f>DPRavg!T26</f>
        <v>0.35779745161290322</v>
      </c>
      <c r="H27" s="184">
        <f>DPRavg!T31</f>
        <v>0.51485241935483883</v>
      </c>
      <c r="I27" s="184">
        <f>DPRavg!T36</f>
        <v>0</v>
      </c>
      <c r="J27" s="184">
        <f>DPRavg!T41</f>
        <v>0</v>
      </c>
      <c r="K27" s="184">
        <f>DPRavg!T46</f>
        <v>0</v>
      </c>
      <c r="L27" s="184">
        <f>DPRavg!T51</f>
        <v>0</v>
      </c>
      <c r="M27" s="184">
        <f>DPRavg!T56</f>
        <v>0</v>
      </c>
      <c r="N27" s="184">
        <f>DPRavg!T61</f>
        <v>0</v>
      </c>
      <c r="O27" s="184">
        <f>DPRavg!T66</f>
        <v>0</v>
      </c>
      <c r="V27" s="144" t="s">
        <v>58</v>
      </c>
      <c r="W27" s="249">
        <f>HLOOKUP(W$4,Storage_Reconciled_prod_chosen!$D$26:$CU$42,Storage_Reconciled_prod_chosen!$C32,FALSE)</f>
        <v>0.45333333333333331</v>
      </c>
      <c r="X27" s="249">
        <f>HLOOKUP(X$4,Storage_Reconciled_prod_chosen!$D$26:$CU$42,Storage_Reconciled_prod_chosen!$C32,FALSE)</f>
        <v>0.2992258064516129</v>
      </c>
      <c r="Y27" s="249">
        <f>HLOOKUP(Y$4,Storage_Reconciled_prod_chosen!$D$26:$CU$42,Storage_Reconciled_prod_chosen!$C32,FALSE)</f>
        <v>0.465667</v>
      </c>
      <c r="Z27" s="249">
        <f>HLOOKUP(Z$4,Storage_Reconciled_prod_chosen!$D$26:$CU$42,Storage_Reconciled_prod_chosen!$C32,FALSE)</f>
        <v>0.35741999999999996</v>
      </c>
      <c r="AA27" s="249">
        <f>HLOOKUP(AA$4,Storage_Reconciled_prod_chosen!$D$26:$CU$42,Storage_Reconciled_prod_chosen!$C32,FALSE)</f>
        <v>0</v>
      </c>
      <c r="AB27" s="249">
        <f>HLOOKUP(AB$4,Storage_Reconciled_prod_chosen!$D$26:$CU$42,Storage_Reconciled_prod_chosen!$C32,FALSE)</f>
        <v>0</v>
      </c>
      <c r="AC27" s="249">
        <f>HLOOKUP(AC$4,Storage_Reconciled_prod_chosen!$D$26:$CU$42,Storage_Reconciled_prod_chosen!$C32,FALSE)</f>
        <v>0</v>
      </c>
      <c r="AD27" s="249">
        <f>HLOOKUP(AD$4,Storage_Reconciled_prod_chosen!$D$26:$CU$42,Storage_Reconciled_prod_chosen!$C32,FALSE)</f>
        <v>0</v>
      </c>
      <c r="AE27" s="249">
        <f>HLOOKUP(AE$4,Storage_Reconciled_prod_chosen!$D$26:$CU$42,Storage_Reconciled_prod_chosen!$C32,FALSE)</f>
        <v>0</v>
      </c>
      <c r="AF27" s="249">
        <f>HLOOKUP(AF$4,Storage_Reconciled_prod_chosen!$D$26:$CU$42,Storage_Reconciled_prod_chosen!$C32,FALSE)</f>
        <v>0</v>
      </c>
      <c r="AG27" s="249">
        <f>HLOOKUP(AG$4,Storage_Reconciled_prod_chosen!$D$26:$CU$42,Storage_Reconciled_prod_chosen!$C32,FALSE)</f>
        <v>0</v>
      </c>
      <c r="AH27" s="249">
        <f>HLOOKUP(AH$4,Storage_Reconciled_prod_chosen!$D$26:$CU$42,Storage_Reconciled_prod_chosen!$C32,FALSE)</f>
        <v>0</v>
      </c>
      <c r="AL27" s="209" t="s">
        <v>58</v>
      </c>
      <c r="AM27" s="318">
        <f t="shared" si="18"/>
        <v>-3.7045095053012123E-4</v>
      </c>
      <c r="AN27" s="318">
        <f t="shared" si="6"/>
        <v>-2.6842746459365685E-5</v>
      </c>
      <c r="AO27" s="318">
        <f t="shared" si="6"/>
        <v>-2.0603830899571518E-3</v>
      </c>
      <c r="AP27" s="318">
        <f t="shared" si="6"/>
        <v>-1.0549309705861765E-3</v>
      </c>
      <c r="AQ27" s="318">
        <f t="shared" si="6"/>
        <v>0</v>
      </c>
      <c r="AR27" s="318">
        <f t="shared" si="6"/>
        <v>0</v>
      </c>
      <c r="AS27" s="318">
        <f t="shared" si="6"/>
        <v>0</v>
      </c>
      <c r="AT27" s="318">
        <f t="shared" si="6"/>
        <v>0</v>
      </c>
      <c r="AU27" s="318">
        <f t="shared" si="6"/>
        <v>0</v>
      </c>
      <c r="AV27" s="318">
        <f t="shared" si="6"/>
        <v>0</v>
      </c>
      <c r="AW27" s="318">
        <f t="shared" si="6"/>
        <v>0</v>
      </c>
      <c r="AX27" s="318">
        <f t="shared" si="6"/>
        <v>0</v>
      </c>
      <c r="BA27" s="209" t="s">
        <v>58</v>
      </c>
      <c r="BB27" s="197">
        <f t="shared" si="19"/>
        <v>-1.6800000000000148E-4</v>
      </c>
      <c r="BC27" s="197">
        <f t="shared" si="7"/>
        <v>-8.032258064560871E-6</v>
      </c>
      <c r="BD27" s="197">
        <f t="shared" si="8"/>
        <v>-9.6143333333320591E-4</v>
      </c>
      <c r="BE27" s="197">
        <f t="shared" si="9"/>
        <v>-3.7745161290325679E-4</v>
      </c>
      <c r="BF27" s="197">
        <f t="shared" si="10"/>
        <v>-0.51485241935483883</v>
      </c>
      <c r="BG27" s="197">
        <f t="shared" si="11"/>
        <v>0</v>
      </c>
      <c r="BH27" s="197">
        <f t="shared" si="12"/>
        <v>0</v>
      </c>
      <c r="BI27" s="197">
        <f t="shared" si="13"/>
        <v>0</v>
      </c>
      <c r="BJ27" s="197">
        <f t="shared" si="14"/>
        <v>0</v>
      </c>
      <c r="BK27">
        <f t="shared" si="15"/>
        <v>0</v>
      </c>
      <c r="BL27">
        <f t="shared" si="16"/>
        <v>0</v>
      </c>
      <c r="BM27">
        <f t="shared" si="17"/>
        <v>0</v>
      </c>
    </row>
    <row r="28" spans="3:65">
      <c r="C28" s="144" t="s">
        <v>59</v>
      </c>
      <c r="D28" s="184">
        <f>DPRavg!V11</f>
        <v>2.8037057066666683E-2</v>
      </c>
      <c r="E28" s="184">
        <f>DPRavg!V16</f>
        <v>2.2248023225806459E-2</v>
      </c>
      <c r="F28" s="184">
        <f>DPRavg!V21</f>
        <v>2.5166666666666677E-2</v>
      </c>
      <c r="G28" s="184">
        <f>DPRavg!V26</f>
        <v>3.3322580645161304E-2</v>
      </c>
      <c r="H28" s="184">
        <f>DPRavg!V31</f>
        <v>2.4838709677419371E-2</v>
      </c>
      <c r="I28" s="184">
        <f>DPRavg!V36</f>
        <v>0</v>
      </c>
      <c r="J28" s="184">
        <f>DPRavg!V41</f>
        <v>0</v>
      </c>
      <c r="K28" s="184">
        <f>DPRavg!V46</f>
        <v>0</v>
      </c>
      <c r="L28" s="184">
        <f>DPRavg!V51</f>
        <v>0</v>
      </c>
      <c r="M28" s="184">
        <f>DPRavg!V56</f>
        <v>0</v>
      </c>
      <c r="N28" s="184">
        <f>DPRavg!V61</f>
        <v>0</v>
      </c>
      <c r="O28" s="184">
        <f>DPRavg!V66</f>
        <v>0</v>
      </c>
      <c r="V28" s="144" t="s">
        <v>59</v>
      </c>
      <c r="W28" s="249">
        <f>HLOOKUP(W$4,Storage_Reconciled_prod_chosen!$D$26:$CU$42,Storage_Reconciled_prod_chosen!$C33,FALSE)</f>
        <v>2.8069999999999998E-2</v>
      </c>
      <c r="X28" s="249">
        <f>HLOOKUP(X$4,Storage_Reconciled_prod_chosen!$D$26:$CU$42,Storage_Reconciled_prod_chosen!$C33,FALSE)</f>
        <v>2.2259999999999999E-2</v>
      </c>
      <c r="Y28" s="249">
        <f>HLOOKUP(Y$4,Storage_Reconciled_prod_chosen!$D$26:$CU$42,Storage_Reconciled_prod_chosen!$C33,FALSE)</f>
        <v>2.563E-2</v>
      </c>
      <c r="Z28" s="249">
        <f>HLOOKUP(Z$4,Storage_Reconciled_prod_chosen!$D$26:$CU$42,Storage_Reconciled_prod_chosen!$C33,FALSE)</f>
        <v>2.5769999999999998E-2</v>
      </c>
      <c r="AA28" s="249">
        <f>HLOOKUP(AA$4,Storage_Reconciled_prod_chosen!$D$26:$CU$42,Storage_Reconciled_prod_chosen!$C33,FALSE)</f>
        <v>0</v>
      </c>
      <c r="AB28" s="249">
        <f>HLOOKUP(AB$4,Storage_Reconciled_prod_chosen!$D$26:$CU$42,Storage_Reconciled_prod_chosen!$C33,FALSE)</f>
        <v>0</v>
      </c>
      <c r="AC28" s="249">
        <f>HLOOKUP(AC$4,Storage_Reconciled_prod_chosen!$D$26:$CU$42,Storage_Reconciled_prod_chosen!$C33,FALSE)</f>
        <v>0</v>
      </c>
      <c r="AD28" s="249">
        <f>HLOOKUP(AD$4,Storage_Reconciled_prod_chosen!$D$26:$CU$42,Storage_Reconciled_prod_chosen!$C33,FALSE)</f>
        <v>0</v>
      </c>
      <c r="AE28" s="249">
        <f>HLOOKUP(AE$4,Storage_Reconciled_prod_chosen!$D$26:$CU$42,Storage_Reconciled_prod_chosen!$C33,FALSE)</f>
        <v>0</v>
      </c>
      <c r="AF28" s="249">
        <f>HLOOKUP(AF$4,Storage_Reconciled_prod_chosen!$D$26:$CU$42,Storage_Reconciled_prod_chosen!$C33,FALSE)</f>
        <v>0</v>
      </c>
      <c r="AG28" s="249">
        <f>HLOOKUP(AG$4,Storage_Reconciled_prod_chosen!$D$26:$CU$42,Storage_Reconciled_prod_chosen!$C33,FALSE)</f>
        <v>0</v>
      </c>
      <c r="AH28" s="249">
        <f>HLOOKUP(AH$4,Storage_Reconciled_prod_chosen!$D$26:$CU$42,Storage_Reconciled_prod_chosen!$C33,FALSE)</f>
        <v>0</v>
      </c>
      <c r="AL28" s="209" t="s">
        <v>59</v>
      </c>
      <c r="AM28" s="318">
        <f t="shared" si="18"/>
        <v>1.1749782887333637E-3</v>
      </c>
      <c r="AN28" s="318">
        <f t="shared" si="6"/>
        <v>5.3832981348422848E-4</v>
      </c>
      <c r="AO28" s="318">
        <f t="shared" si="6"/>
        <v>1.8410596026489534E-2</v>
      </c>
      <c r="AP28" s="318">
        <f t="shared" si="6"/>
        <v>-0.22665053242981648</v>
      </c>
      <c r="AQ28" s="318">
        <f t="shared" si="6"/>
        <v>0</v>
      </c>
      <c r="AR28" s="318">
        <f t="shared" si="6"/>
        <v>0</v>
      </c>
      <c r="AS28" s="318">
        <f t="shared" si="6"/>
        <v>0</v>
      </c>
      <c r="AT28" s="318">
        <f t="shared" si="6"/>
        <v>0</v>
      </c>
      <c r="AU28" s="318">
        <f t="shared" si="6"/>
        <v>0</v>
      </c>
      <c r="AV28" s="318">
        <f t="shared" si="6"/>
        <v>0</v>
      </c>
      <c r="AW28" s="318">
        <f t="shared" si="6"/>
        <v>0</v>
      </c>
      <c r="AX28" s="318">
        <f t="shared" si="6"/>
        <v>0</v>
      </c>
      <c r="BA28" s="209" t="s">
        <v>59</v>
      </c>
      <c r="BB28" s="197">
        <f t="shared" si="19"/>
        <v>3.2942933333314495E-5</v>
      </c>
      <c r="BC28" s="197">
        <f t="shared" si="7"/>
        <v>1.1976774193539486E-5</v>
      </c>
      <c r="BD28" s="197">
        <f t="shared" si="8"/>
        <v>4.6333333333332255E-4</v>
      </c>
      <c r="BE28" s="197">
        <f t="shared" si="9"/>
        <v>-7.552580645161306E-3</v>
      </c>
      <c r="BF28" s="197">
        <f t="shared" si="10"/>
        <v>-2.4838709677419371E-2</v>
      </c>
      <c r="BG28" s="197">
        <f t="shared" si="11"/>
        <v>0</v>
      </c>
      <c r="BH28" s="197">
        <f t="shared" si="12"/>
        <v>0</v>
      </c>
      <c r="BI28" s="197">
        <f t="shared" si="13"/>
        <v>0</v>
      </c>
      <c r="BJ28" s="197">
        <f t="shared" si="14"/>
        <v>0</v>
      </c>
      <c r="BK28">
        <f t="shared" si="15"/>
        <v>0</v>
      </c>
      <c r="BL28">
        <f t="shared" si="16"/>
        <v>0</v>
      </c>
      <c r="BM28">
        <f t="shared" si="17"/>
        <v>0</v>
      </c>
    </row>
    <row r="29" spans="3:65">
      <c r="C29" s="144" t="s">
        <v>63</v>
      </c>
      <c r="D29" s="184">
        <f>DPRavg!U11</f>
        <v>2.8771926421575149E-3</v>
      </c>
      <c r="E29" s="184">
        <f>DPRavg!U16</f>
        <v>3.354981389911923E-3</v>
      </c>
      <c r="F29" s="184">
        <f>DPRavg!U21</f>
        <v>3.4238461603808049E-3</v>
      </c>
      <c r="G29" s="184">
        <f>DPRavg!U26</f>
        <v>3.4103297566753931E-3</v>
      </c>
      <c r="H29" s="184">
        <f>DPRavg!U31</f>
        <v>4.2675274492747555E-3</v>
      </c>
      <c r="I29" s="184">
        <f>DPRavg!U36</f>
        <v>0</v>
      </c>
      <c r="J29" s="184">
        <f>DPRavg!U41</f>
        <v>0</v>
      </c>
      <c r="K29" s="184">
        <f>DPRavg!U46</f>
        <v>0</v>
      </c>
      <c r="L29" s="184">
        <f>DPRavg!U51</f>
        <v>0</v>
      </c>
      <c r="M29" s="184">
        <f>DPRavg!U56</f>
        <v>0</v>
      </c>
      <c r="N29" s="184">
        <f>DPRavg!U61</f>
        <v>0</v>
      </c>
      <c r="O29" s="184">
        <f>DPRavg!U66</f>
        <v>0</v>
      </c>
      <c r="V29" s="144" t="s">
        <v>63</v>
      </c>
      <c r="W29" s="249">
        <f>HLOOKUP(W$4,Storage_Reconciled_prod_chosen!$D$26:$CU$42,Storage_Reconciled_prod_chosen!$C34,FALSE)</f>
        <v>2.9666666666666665E-3</v>
      </c>
      <c r="X29" s="249">
        <f>HLOOKUP(X$4,Storage_Reconciled_prod_chosen!$D$26:$CU$42,Storage_Reconciled_prod_chosen!$C34,FALSE)</f>
        <v>3.3861290322580642E-3</v>
      </c>
      <c r="Y29" s="249">
        <f>HLOOKUP(Y$4,Storage_Reconciled_prod_chosen!$D$26:$CU$42,Storage_Reconciled_prod_chosen!$C34,FALSE)</f>
        <v>3.4336666666666669E-3</v>
      </c>
      <c r="Z29" s="249">
        <f>HLOOKUP(Z$4,Storage_Reconciled_prod_chosen!$D$26:$CU$42,Storage_Reconciled_prod_chosen!$C34,FALSE)</f>
        <v>3.4519354838709678E-3</v>
      </c>
      <c r="AA29" s="249">
        <f>HLOOKUP(AA$4,Storage_Reconciled_prod_chosen!$D$26:$CU$42,Storage_Reconciled_prod_chosen!$C34,FALSE)</f>
        <v>0</v>
      </c>
      <c r="AB29" s="249">
        <f>HLOOKUP(AB$4,Storage_Reconciled_prod_chosen!$D$26:$CU$42,Storage_Reconciled_prod_chosen!$C34,FALSE)</f>
        <v>0</v>
      </c>
      <c r="AC29" s="249">
        <f>HLOOKUP(AC$4,Storage_Reconciled_prod_chosen!$D$26:$CU$42,Storage_Reconciled_prod_chosen!$C34,FALSE)</f>
        <v>0</v>
      </c>
      <c r="AD29" s="249">
        <f>HLOOKUP(AD$4,Storage_Reconciled_prod_chosen!$D$26:$CU$42,Storage_Reconciled_prod_chosen!$C34,FALSE)</f>
        <v>0</v>
      </c>
      <c r="AE29" s="249">
        <f>HLOOKUP(AE$4,Storage_Reconciled_prod_chosen!$D$26:$CU$42,Storage_Reconciled_prod_chosen!$C34,FALSE)</f>
        <v>0</v>
      </c>
      <c r="AF29" s="249">
        <f>HLOOKUP(AF$4,Storage_Reconciled_prod_chosen!$D$26:$CU$42,Storage_Reconciled_prod_chosen!$C34,FALSE)</f>
        <v>0</v>
      </c>
      <c r="AG29" s="249">
        <f>HLOOKUP(AG$4,Storage_Reconciled_prod_chosen!$D$26:$CU$42,Storage_Reconciled_prod_chosen!$C34,FALSE)</f>
        <v>0</v>
      </c>
      <c r="AH29" s="249">
        <f>HLOOKUP(AH$4,Storage_Reconciled_prod_chosen!$D$26:$CU$42,Storage_Reconciled_prod_chosen!$C34,FALSE)</f>
        <v>0</v>
      </c>
      <c r="AL29" s="209" t="s">
        <v>63</v>
      </c>
      <c r="AM29" s="318">
        <f t="shared" si="18"/>
        <v>3.109768292819548E-2</v>
      </c>
      <c r="AN29" s="318">
        <f t="shared" si="6"/>
        <v>9.283998546101957E-3</v>
      </c>
      <c r="AO29" s="318">
        <f t="shared" si="6"/>
        <v>2.8682673887339138E-3</v>
      </c>
      <c r="AP29" s="318">
        <f t="shared" si="6"/>
        <v>1.219991325300307E-2</v>
      </c>
      <c r="AQ29" s="318">
        <f t="shared" si="6"/>
        <v>0</v>
      </c>
      <c r="AR29" s="318">
        <f t="shared" si="6"/>
        <v>0</v>
      </c>
      <c r="AS29" s="318">
        <f t="shared" si="6"/>
        <v>0</v>
      </c>
      <c r="AT29" s="318">
        <f t="shared" si="6"/>
        <v>0</v>
      </c>
      <c r="AU29" s="318">
        <f t="shared" si="6"/>
        <v>0</v>
      </c>
      <c r="AV29" s="318">
        <f t="shared" si="6"/>
        <v>0</v>
      </c>
      <c r="AW29" s="318">
        <f t="shared" si="6"/>
        <v>0</v>
      </c>
      <c r="AX29" s="318">
        <f t="shared" si="6"/>
        <v>0</v>
      </c>
      <c r="BA29" s="209" t="s">
        <v>63</v>
      </c>
      <c r="BB29" s="197">
        <f t="shared" si="19"/>
        <v>8.947402450915163E-5</v>
      </c>
      <c r="BC29" s="197">
        <f t="shared" si="7"/>
        <v>3.1147642346141154E-5</v>
      </c>
      <c r="BD29" s="197">
        <f t="shared" si="8"/>
        <v>9.8205062858619865E-6</v>
      </c>
      <c r="BE29" s="197">
        <f t="shared" si="9"/>
        <v>4.1605727195574704E-5</v>
      </c>
      <c r="BF29" s="197">
        <f t="shared" si="10"/>
        <v>-4.2675274492747555E-3</v>
      </c>
      <c r="BG29" s="197">
        <f t="shared" si="11"/>
        <v>0</v>
      </c>
      <c r="BH29" s="197">
        <f t="shared" si="12"/>
        <v>0</v>
      </c>
      <c r="BI29" s="197">
        <f t="shared" si="13"/>
        <v>0</v>
      </c>
      <c r="BJ29" s="197">
        <f t="shared" si="14"/>
        <v>0</v>
      </c>
      <c r="BK29">
        <f t="shared" si="15"/>
        <v>0</v>
      </c>
      <c r="BL29">
        <f t="shared" si="16"/>
        <v>0</v>
      </c>
      <c r="BM29">
        <f t="shared" si="17"/>
        <v>0</v>
      </c>
    </row>
    <row r="30" spans="3:65">
      <c r="C30" s="144" t="s">
        <v>64</v>
      </c>
      <c r="D30" s="184">
        <f>DPRavg!AC11</f>
        <v>0.20271067478037941</v>
      </c>
      <c r="E30" s="184">
        <f>DPRavg!AC16</f>
        <v>0.19420771227772546</v>
      </c>
      <c r="F30" s="184">
        <f>DPRavg!AC21</f>
        <v>0.19157272561662236</v>
      </c>
      <c r="G30" s="184">
        <f>DPRavg!AC26</f>
        <v>0.19512115808120475</v>
      </c>
      <c r="H30" s="184">
        <f>DPRavg!AC31</f>
        <v>0.19382406504026423</v>
      </c>
      <c r="I30" s="184">
        <f>DPRavg!AC36</f>
        <v>0</v>
      </c>
      <c r="J30" s="184">
        <f>DPRavg!AC41</f>
        <v>0</v>
      </c>
      <c r="K30" s="184">
        <f>DPRavg!AC46</f>
        <v>0</v>
      </c>
      <c r="L30" s="184">
        <f>DPRavg!AC51</f>
        <v>0</v>
      </c>
      <c r="M30" s="184">
        <f>DPRavg!AC56</f>
        <v>0</v>
      </c>
      <c r="N30" s="184">
        <f>DPRavg!AC61</f>
        <v>0</v>
      </c>
      <c r="O30" s="184">
        <f>DPRavg!AC66</f>
        <v>0</v>
      </c>
      <c r="V30" s="144" t="s">
        <v>64</v>
      </c>
      <c r="W30" s="249">
        <f>HLOOKUP(W$4,Storage_Reconciled_prod_chosen!$D$26:$CU$42,Storage_Reconciled_prod_chosen!$C35,FALSE)</f>
        <v>0.20245600000000002</v>
      </c>
      <c r="X30" s="249">
        <f>HLOOKUP(X$4,Storage_Reconciled_prod_chosen!$D$26:$CU$42,Storage_Reconciled_prod_chosen!$C35,FALSE)</f>
        <v>0.19437000000000001</v>
      </c>
      <c r="Y30" s="249">
        <f>HLOOKUP(Y$4,Storage_Reconciled_prod_chosen!$D$26:$CU$42,Storage_Reconciled_prod_chosen!$C35,FALSE)</f>
        <v>0.19165266666666667</v>
      </c>
      <c r="Z30" s="249">
        <f>HLOOKUP(Z$4,Storage_Reconciled_prod_chosen!$D$26:$CU$42,Storage_Reconciled_prod_chosen!$C35,FALSE)</f>
        <v>0.19517483870967742</v>
      </c>
      <c r="AA30" s="249">
        <f>HLOOKUP(AA$4,Storage_Reconciled_prod_chosen!$D$26:$CU$42,Storage_Reconciled_prod_chosen!$C35,FALSE)</f>
        <v>0</v>
      </c>
      <c r="AB30" s="249">
        <f>HLOOKUP(AB$4,Storage_Reconciled_prod_chosen!$D$26:$CU$42,Storage_Reconciled_prod_chosen!$C35,FALSE)</f>
        <v>0</v>
      </c>
      <c r="AC30" s="249">
        <f>HLOOKUP(AC$4,Storage_Reconciled_prod_chosen!$D$26:$CU$42,Storage_Reconciled_prod_chosen!$C35,FALSE)</f>
        <v>0</v>
      </c>
      <c r="AD30" s="249">
        <f>HLOOKUP(AD$4,Storage_Reconciled_prod_chosen!$D$26:$CU$42,Storage_Reconciled_prod_chosen!$C35,FALSE)</f>
        <v>0</v>
      </c>
      <c r="AE30" s="249">
        <f>HLOOKUP(AE$4,Storage_Reconciled_prod_chosen!$D$26:$CU$42,Storage_Reconciled_prod_chosen!$C35,FALSE)</f>
        <v>0</v>
      </c>
      <c r="AF30" s="249">
        <f>HLOOKUP(AF$4,Storage_Reconciled_prod_chosen!$D$26:$CU$42,Storage_Reconciled_prod_chosen!$C35,FALSE)</f>
        <v>0</v>
      </c>
      <c r="AG30" s="249">
        <f>HLOOKUP(AG$4,Storage_Reconciled_prod_chosen!$D$26:$CU$42,Storage_Reconciled_prod_chosen!$C35,FALSE)</f>
        <v>0</v>
      </c>
      <c r="AH30" s="249">
        <f>HLOOKUP(AH$4,Storage_Reconciled_prod_chosen!$D$26:$CU$42,Storage_Reconciled_prod_chosen!$C35,FALSE)</f>
        <v>0</v>
      </c>
      <c r="AL30" s="209" t="s">
        <v>64</v>
      </c>
      <c r="AM30" s="318">
        <f t="shared" si="18"/>
        <v>-1.2563461724711678E-3</v>
      </c>
      <c r="AN30" s="318">
        <f t="shared" si="6"/>
        <v>8.3563994638113925E-4</v>
      </c>
      <c r="AO30" s="318">
        <f t="shared" si="6"/>
        <v>4.1728826369724636E-4</v>
      </c>
      <c r="AP30" s="318">
        <f t="shared" si="6"/>
        <v>2.7511433921656447E-4</v>
      </c>
      <c r="AQ30" s="318">
        <f t="shared" si="6"/>
        <v>0</v>
      </c>
      <c r="AR30" s="318">
        <f t="shared" si="6"/>
        <v>0</v>
      </c>
      <c r="AS30" s="318">
        <f t="shared" si="6"/>
        <v>0</v>
      </c>
      <c r="AT30" s="318">
        <f t="shared" si="6"/>
        <v>0</v>
      </c>
      <c r="AU30" s="318">
        <f t="shared" si="6"/>
        <v>0</v>
      </c>
      <c r="AV30" s="318">
        <f t="shared" si="6"/>
        <v>0</v>
      </c>
      <c r="AW30" s="318">
        <f t="shared" si="6"/>
        <v>0</v>
      </c>
      <c r="AX30" s="318">
        <f t="shared" si="6"/>
        <v>0</v>
      </c>
      <c r="BA30" s="209" t="s">
        <v>64</v>
      </c>
      <c r="BB30" s="197">
        <f t="shared" si="19"/>
        <v>-2.5467478037938251E-4</v>
      </c>
      <c r="BC30" s="197">
        <f t="shared" si="7"/>
        <v>1.6228772227455668E-4</v>
      </c>
      <c r="BD30" s="197">
        <f t="shared" si="8"/>
        <v>7.9941050044302076E-5</v>
      </c>
      <c r="BE30" s="197">
        <f t="shared" si="9"/>
        <v>5.3680628472663194E-5</v>
      </c>
      <c r="BF30" s="197">
        <f t="shared" si="10"/>
        <v>-0.19382406504026423</v>
      </c>
      <c r="BG30" s="197">
        <f t="shared" si="11"/>
        <v>0</v>
      </c>
      <c r="BH30" s="197">
        <f t="shared" si="12"/>
        <v>0</v>
      </c>
      <c r="BI30" s="197">
        <f t="shared" si="13"/>
        <v>0</v>
      </c>
      <c r="BJ30" s="197">
        <f t="shared" si="14"/>
        <v>0</v>
      </c>
      <c r="BK30">
        <f t="shared" si="15"/>
        <v>0</v>
      </c>
      <c r="BL30">
        <f t="shared" si="16"/>
        <v>0</v>
      </c>
      <c r="BM30">
        <f t="shared" si="17"/>
        <v>0</v>
      </c>
    </row>
    <row r="31" spans="3:65">
      <c r="C31" s="144" t="s">
        <v>65</v>
      </c>
      <c r="D31" s="184">
        <f>DPRavg!AD11</f>
        <v>8.9789804245823973E-2</v>
      </c>
      <c r="E31" s="184">
        <f>DPRavg!AD16</f>
        <v>9.1023047425101339E-2</v>
      </c>
      <c r="F31" s="184">
        <f>DPRavg!AD21</f>
        <v>9.0294787534180729E-2</v>
      </c>
      <c r="G31" s="184">
        <f>DPRavg!AD26</f>
        <v>0.10667950849673584</v>
      </c>
      <c r="H31" s="184">
        <f>DPRavg!AD31</f>
        <v>8.5725975210725086E-2</v>
      </c>
      <c r="I31" s="184">
        <f>DPRavg!AD36</f>
        <v>0</v>
      </c>
      <c r="J31" s="184">
        <f>DPRavg!AD41</f>
        <v>0</v>
      </c>
      <c r="K31" s="184">
        <f>DPRavg!AD46</f>
        <v>0</v>
      </c>
      <c r="L31" s="184">
        <f>DPRavg!AD51</f>
        <v>0</v>
      </c>
      <c r="M31" s="184">
        <f>DPRavg!AD56</f>
        <v>0</v>
      </c>
      <c r="N31" s="184">
        <f>DPRavg!AD61</f>
        <v>0</v>
      </c>
      <c r="O31" s="184">
        <f>DPRavg!AD66</f>
        <v>0</v>
      </c>
      <c r="V31" s="144" t="s">
        <v>65</v>
      </c>
      <c r="W31" s="249">
        <f>HLOOKUP(W$4,Storage_Reconciled_prod_chosen!$D$26:$CU$42,Storage_Reconciled_prod_chosen!$C36,FALSE)</f>
        <v>9.3833E-2</v>
      </c>
      <c r="X31" s="249">
        <f>HLOOKUP(X$4,Storage_Reconciled_prod_chosen!$D$26:$CU$42,Storage_Reconciled_prod_chosen!$C36,FALSE)</f>
        <v>9.2815806451612901E-2</v>
      </c>
      <c r="Y31" s="249">
        <f>HLOOKUP(Y$4,Storage_Reconciled_prod_chosen!$D$26:$CU$42,Storage_Reconciled_prod_chosen!$C36,FALSE)</f>
        <v>8.6883666666666665E-2</v>
      </c>
      <c r="Z31" s="249">
        <f>HLOOKUP(Z$4,Storage_Reconciled_prod_chosen!$D$26:$CU$42,Storage_Reconciled_prod_chosen!$C36,FALSE)</f>
        <v>9.5066774193548392E-2</v>
      </c>
      <c r="AA31" s="249">
        <f>HLOOKUP(AA$4,Storage_Reconciled_prod_chosen!$D$26:$CU$42,Storage_Reconciled_prod_chosen!$C36,FALSE)</f>
        <v>0</v>
      </c>
      <c r="AB31" s="249">
        <f>HLOOKUP(AB$4,Storage_Reconciled_prod_chosen!$D$26:$CU$42,Storage_Reconciled_prod_chosen!$C36,FALSE)</f>
        <v>0</v>
      </c>
      <c r="AC31" s="249">
        <f>HLOOKUP(AC$4,Storage_Reconciled_prod_chosen!$D$26:$CU$42,Storage_Reconciled_prod_chosen!$C36,FALSE)</f>
        <v>0</v>
      </c>
      <c r="AD31" s="249">
        <f>HLOOKUP(AD$4,Storage_Reconciled_prod_chosen!$D$26:$CU$42,Storage_Reconciled_prod_chosen!$C36,FALSE)</f>
        <v>0</v>
      </c>
      <c r="AE31" s="249">
        <f>HLOOKUP(AE$4,Storage_Reconciled_prod_chosen!$D$26:$CU$42,Storage_Reconciled_prod_chosen!$C36,FALSE)</f>
        <v>0</v>
      </c>
      <c r="AF31" s="249">
        <f>HLOOKUP(AF$4,Storage_Reconciled_prod_chosen!$D$26:$CU$42,Storage_Reconciled_prod_chosen!$C36,FALSE)</f>
        <v>0</v>
      </c>
      <c r="AG31" s="249">
        <f>HLOOKUP(AG$4,Storage_Reconciled_prod_chosen!$D$26:$CU$42,Storage_Reconciled_prod_chosen!$C36,FALSE)</f>
        <v>0</v>
      </c>
      <c r="AH31" s="249">
        <f>HLOOKUP(AH$4,Storage_Reconciled_prod_chosen!$D$26:$CU$42,Storage_Reconciled_prod_chosen!$C36,FALSE)</f>
        <v>0</v>
      </c>
      <c r="AL31" s="209" t="s">
        <v>65</v>
      </c>
      <c r="AM31" s="318">
        <f t="shared" si="18"/>
        <v>4.5029564193131311E-2</v>
      </c>
      <c r="AN31" s="318">
        <f t="shared" si="6"/>
        <v>1.9695660354447586E-2</v>
      </c>
      <c r="AO31" s="318">
        <f t="shared" si="6"/>
        <v>-3.777760555915588E-2</v>
      </c>
      <c r="AP31" s="318">
        <f t="shared" si="6"/>
        <v>-0.10885627865020364</v>
      </c>
      <c r="AQ31" s="318">
        <f t="shared" si="6"/>
        <v>0</v>
      </c>
      <c r="AR31" s="318">
        <f t="shared" si="6"/>
        <v>0</v>
      </c>
      <c r="AS31" s="318">
        <f t="shared" si="6"/>
        <v>0</v>
      </c>
      <c r="AT31" s="318">
        <f t="shared" si="6"/>
        <v>0</v>
      </c>
      <c r="AU31" s="318">
        <f t="shared" si="6"/>
        <v>0</v>
      </c>
      <c r="AV31" s="318">
        <f t="shared" si="6"/>
        <v>0</v>
      </c>
      <c r="AW31" s="318">
        <f t="shared" si="6"/>
        <v>0</v>
      </c>
      <c r="AX31" s="318">
        <f t="shared" si="6"/>
        <v>0</v>
      </c>
      <c r="BA31" s="209" t="s">
        <v>65</v>
      </c>
      <c r="BB31" s="197">
        <f t="shared" si="19"/>
        <v>4.0431957541760266E-3</v>
      </c>
      <c r="BC31" s="197">
        <f t="shared" si="7"/>
        <v>1.7927590265115617E-3</v>
      </c>
      <c r="BD31" s="197">
        <f t="shared" si="8"/>
        <v>-3.4111208675140642E-3</v>
      </c>
      <c r="BE31" s="197">
        <f t="shared" si="9"/>
        <v>-1.1612734303187447E-2</v>
      </c>
      <c r="BF31" s="197">
        <f t="shared" si="10"/>
        <v>-8.5725975210725086E-2</v>
      </c>
      <c r="BG31" s="197">
        <f t="shared" si="11"/>
        <v>0</v>
      </c>
      <c r="BH31" s="197">
        <f t="shared" si="12"/>
        <v>0</v>
      </c>
      <c r="BI31" s="197">
        <f t="shared" si="13"/>
        <v>0</v>
      </c>
      <c r="BJ31" s="197">
        <f t="shared" si="14"/>
        <v>0</v>
      </c>
      <c r="BK31">
        <f t="shared" si="15"/>
        <v>0</v>
      </c>
      <c r="BL31">
        <f t="shared" si="16"/>
        <v>0</v>
      </c>
      <c r="BM31">
        <f t="shared" si="17"/>
        <v>0</v>
      </c>
    </row>
    <row r="32" spans="3:65">
      <c r="C32" s="144" t="s">
        <v>66</v>
      </c>
      <c r="D32" s="184">
        <f>DPRavg!AB11</f>
        <v>0</v>
      </c>
      <c r="E32" s="184">
        <f>DPRavg!AB16</f>
        <v>0</v>
      </c>
      <c r="F32" s="184">
        <f>DPRavg!AB21</f>
        <v>0</v>
      </c>
      <c r="G32" s="184">
        <f>DPRavg!AB26</f>
        <v>0</v>
      </c>
      <c r="H32" s="184">
        <f>DPRavg!AB31</f>
        <v>0</v>
      </c>
      <c r="I32" s="184">
        <f>DPRavg!AB36</f>
        <v>0</v>
      </c>
      <c r="J32" s="184">
        <f>DPRavg!AB41</f>
        <v>0</v>
      </c>
      <c r="K32" s="184">
        <f>DPRavg!AB46</f>
        <v>0</v>
      </c>
      <c r="L32" s="184">
        <f>DPRavg!AB51</f>
        <v>0</v>
      </c>
      <c r="M32" s="184">
        <f>DPRavg!AB56</f>
        <v>0</v>
      </c>
      <c r="N32" s="184">
        <f>DPRavg!AB61</f>
        <v>0</v>
      </c>
      <c r="O32" s="184">
        <f>DPRavg!AB66</f>
        <v>0</v>
      </c>
      <c r="V32" s="144" t="s">
        <v>66</v>
      </c>
      <c r="W32" s="249">
        <f>HLOOKUP(W$4,Storage_Reconciled_prod_chosen!$D$26:$CU$42,Storage_Reconciled_prod_chosen!$C37,FALSE)</f>
        <v>0</v>
      </c>
      <c r="X32" s="249">
        <f>HLOOKUP(X$4,Storage_Reconciled_prod_chosen!$D$26:$CU$42,Storage_Reconciled_prod_chosen!$C37,FALSE)</f>
        <v>0</v>
      </c>
      <c r="Y32" s="249">
        <f>HLOOKUP(Y$4,Storage_Reconciled_prod_chosen!$D$26:$CU$42,Storage_Reconciled_prod_chosen!$C37,FALSE)</f>
        <v>0</v>
      </c>
      <c r="Z32" s="249">
        <f>HLOOKUP(Z$4,Storage_Reconciled_prod_chosen!$D$26:$CU$42,Storage_Reconciled_prod_chosen!$C37,FALSE)</f>
        <v>0</v>
      </c>
      <c r="AA32" s="249">
        <f>HLOOKUP(AA$4,Storage_Reconciled_prod_chosen!$D$26:$CU$42,Storage_Reconciled_prod_chosen!$C37,FALSE)</f>
        <v>0</v>
      </c>
      <c r="AB32" s="249">
        <f>HLOOKUP(AB$4,Storage_Reconciled_prod_chosen!$D$26:$CU$42,Storage_Reconciled_prod_chosen!$C37,FALSE)</f>
        <v>0</v>
      </c>
      <c r="AC32" s="249">
        <f>HLOOKUP(AC$4,Storage_Reconciled_prod_chosen!$D$26:$CU$42,Storage_Reconciled_prod_chosen!$C37,FALSE)</f>
        <v>0</v>
      </c>
      <c r="AD32" s="249">
        <f>HLOOKUP(AD$4,Storage_Reconciled_prod_chosen!$D$26:$CU$42,Storage_Reconciled_prod_chosen!$C37,FALSE)</f>
        <v>0</v>
      </c>
      <c r="AE32" s="249">
        <f>HLOOKUP(AE$4,Storage_Reconciled_prod_chosen!$D$26:$CU$42,Storage_Reconciled_prod_chosen!$C37,FALSE)</f>
        <v>0</v>
      </c>
      <c r="AF32" s="249">
        <f>HLOOKUP(AF$4,Storage_Reconciled_prod_chosen!$D$26:$CU$42,Storage_Reconciled_prod_chosen!$C37,FALSE)</f>
        <v>0</v>
      </c>
      <c r="AG32" s="249">
        <f>HLOOKUP(AG$4,Storage_Reconciled_prod_chosen!$D$26:$CU$42,Storage_Reconciled_prod_chosen!$C37,FALSE)</f>
        <v>0</v>
      </c>
      <c r="AH32" s="249">
        <f>HLOOKUP(AH$4,Storage_Reconciled_prod_chosen!$D$26:$CU$42,Storage_Reconciled_prod_chosen!$C37,FALSE)</f>
        <v>0</v>
      </c>
      <c r="AL32" s="209" t="s">
        <v>66</v>
      </c>
      <c r="AM32" s="318">
        <f t="shared" si="18"/>
        <v>0</v>
      </c>
      <c r="AN32" s="318">
        <f t="shared" si="6"/>
        <v>0</v>
      </c>
      <c r="AO32" s="318">
        <f t="shared" si="6"/>
        <v>0</v>
      </c>
      <c r="AP32" s="318">
        <f t="shared" si="6"/>
        <v>0</v>
      </c>
      <c r="AQ32" s="318">
        <f t="shared" si="6"/>
        <v>0</v>
      </c>
      <c r="AR32" s="318">
        <f t="shared" si="6"/>
        <v>0</v>
      </c>
      <c r="AS32" s="318">
        <f t="shared" si="6"/>
        <v>0</v>
      </c>
      <c r="AT32" s="318">
        <f t="shared" si="6"/>
        <v>0</v>
      </c>
      <c r="AU32" s="318">
        <f t="shared" si="6"/>
        <v>0</v>
      </c>
      <c r="AV32" s="318">
        <f t="shared" si="6"/>
        <v>0</v>
      </c>
      <c r="AW32" s="318">
        <f t="shared" si="6"/>
        <v>0</v>
      </c>
      <c r="AX32" s="318">
        <f t="shared" si="6"/>
        <v>0</v>
      </c>
      <c r="BA32" s="209" t="s">
        <v>66</v>
      </c>
      <c r="BB32" s="197">
        <f t="shared" si="19"/>
        <v>0</v>
      </c>
      <c r="BC32" s="197">
        <f t="shared" si="7"/>
        <v>0</v>
      </c>
      <c r="BD32" s="197">
        <f t="shared" si="8"/>
        <v>0</v>
      </c>
      <c r="BE32" s="197">
        <f t="shared" si="9"/>
        <v>0</v>
      </c>
      <c r="BF32" s="197">
        <f t="shared" si="10"/>
        <v>0</v>
      </c>
      <c r="BG32" s="197">
        <f t="shared" si="11"/>
        <v>0</v>
      </c>
      <c r="BH32" s="197">
        <f t="shared" si="12"/>
        <v>0</v>
      </c>
      <c r="BI32" s="197">
        <f t="shared" si="13"/>
        <v>0</v>
      </c>
      <c r="BJ32" s="197">
        <f t="shared" si="14"/>
        <v>0</v>
      </c>
      <c r="BK32">
        <f t="shared" si="15"/>
        <v>0</v>
      </c>
      <c r="BL32">
        <f t="shared" si="16"/>
        <v>0</v>
      </c>
      <c r="BM32">
        <f t="shared" si="17"/>
        <v>0</v>
      </c>
    </row>
    <row r="33" spans="3:65">
      <c r="C33" s="144" t="s">
        <v>67</v>
      </c>
      <c r="D33" s="184">
        <f>DPRavg!Z11</f>
        <v>0</v>
      </c>
      <c r="E33" s="184">
        <f>DPRavg!Z16</f>
        <v>0</v>
      </c>
      <c r="F33" s="184">
        <f>DPRavg!Z21</f>
        <v>0</v>
      </c>
      <c r="G33" s="184">
        <f>DPRavg!Z26</f>
        <v>0</v>
      </c>
      <c r="H33" s="184">
        <f>DPRavg!Z31</f>
        <v>0</v>
      </c>
      <c r="I33" s="184">
        <f>DPRavg!Z36</f>
        <v>0</v>
      </c>
      <c r="J33" s="184">
        <f>DPRavg!Z41</f>
        <v>0</v>
      </c>
      <c r="K33" s="184">
        <f>DPRavg!Z46</f>
        <v>0</v>
      </c>
      <c r="L33" s="184">
        <f>DPRavg!Z51</f>
        <v>0</v>
      </c>
      <c r="M33" s="184">
        <f>DPRavg!Z56</f>
        <v>0</v>
      </c>
      <c r="N33" s="184">
        <f>DPRavg!Z61</f>
        <v>0</v>
      </c>
      <c r="O33" s="184">
        <f>DPRavg!Z66</f>
        <v>0</v>
      </c>
      <c r="V33" s="144" t="s">
        <v>67</v>
      </c>
      <c r="W33" s="249">
        <f>HLOOKUP(W$4,Storage_Reconciled_prod_chosen!$D$26:$CU$42,Storage_Reconciled_prod_chosen!$C38,FALSE)</f>
        <v>0</v>
      </c>
      <c r="X33" s="249">
        <f>HLOOKUP(X$4,Storage_Reconciled_prod_chosen!$D$26:$CU$42,Storage_Reconciled_prod_chosen!$C38,FALSE)</f>
        <v>0</v>
      </c>
      <c r="Y33" s="249">
        <f>HLOOKUP(Y$4,Storage_Reconciled_prod_chosen!$D$26:$CU$42,Storage_Reconciled_prod_chosen!$C38,FALSE)</f>
        <v>0</v>
      </c>
      <c r="Z33" s="249">
        <f>HLOOKUP(Z$4,Storage_Reconciled_prod_chosen!$D$26:$CU$42,Storage_Reconciled_prod_chosen!$C38,FALSE)</f>
        <v>0</v>
      </c>
      <c r="AA33" s="249">
        <f>HLOOKUP(AA$4,Storage_Reconciled_prod_chosen!$D$26:$CU$42,Storage_Reconciled_prod_chosen!$C38,FALSE)</f>
        <v>0</v>
      </c>
      <c r="AB33" s="249">
        <f>HLOOKUP(AB$4,Storage_Reconciled_prod_chosen!$D$26:$CU$42,Storage_Reconciled_prod_chosen!$C38,FALSE)</f>
        <v>0</v>
      </c>
      <c r="AC33" s="249">
        <f>HLOOKUP(AC$4,Storage_Reconciled_prod_chosen!$D$26:$CU$42,Storage_Reconciled_prod_chosen!$C38,FALSE)</f>
        <v>0</v>
      </c>
      <c r="AD33" s="249">
        <f>HLOOKUP(AD$4,Storage_Reconciled_prod_chosen!$D$26:$CU$42,Storage_Reconciled_prod_chosen!$C38,FALSE)</f>
        <v>0</v>
      </c>
      <c r="AE33" s="249">
        <f>HLOOKUP(AE$4,Storage_Reconciled_prod_chosen!$D$26:$CU$42,Storage_Reconciled_prod_chosen!$C38,FALSE)</f>
        <v>0</v>
      </c>
      <c r="AF33" s="249">
        <f>HLOOKUP(AF$4,Storage_Reconciled_prod_chosen!$D$26:$CU$42,Storage_Reconciled_prod_chosen!$C38,FALSE)</f>
        <v>0</v>
      </c>
      <c r="AG33" s="249">
        <f>HLOOKUP(AG$4,Storage_Reconciled_prod_chosen!$D$26:$CU$42,Storage_Reconciled_prod_chosen!$C38,FALSE)</f>
        <v>0</v>
      </c>
      <c r="AH33" s="249">
        <f>HLOOKUP(AH$4,Storage_Reconciled_prod_chosen!$D$26:$CU$42,Storage_Reconciled_prod_chosen!$C38,FALSE)</f>
        <v>0</v>
      </c>
      <c r="AL33" s="209" t="s">
        <v>67</v>
      </c>
      <c r="AM33" s="318">
        <f t="shared" si="18"/>
        <v>0</v>
      </c>
      <c r="AN33" s="318">
        <f t="shared" si="6"/>
        <v>0</v>
      </c>
      <c r="AO33" s="318">
        <f t="shared" si="6"/>
        <v>0</v>
      </c>
      <c r="AP33" s="318">
        <f t="shared" si="6"/>
        <v>0</v>
      </c>
      <c r="AQ33" s="318">
        <f t="shared" si="6"/>
        <v>0</v>
      </c>
      <c r="AR33" s="318">
        <f t="shared" si="6"/>
        <v>0</v>
      </c>
      <c r="AS33" s="318">
        <f t="shared" si="6"/>
        <v>0</v>
      </c>
      <c r="AT33" s="318">
        <f t="shared" si="6"/>
        <v>0</v>
      </c>
      <c r="AU33" s="318">
        <f t="shared" si="6"/>
        <v>0</v>
      </c>
      <c r="AV33" s="318">
        <f t="shared" si="6"/>
        <v>0</v>
      </c>
      <c r="AW33" s="318">
        <f t="shared" si="6"/>
        <v>0</v>
      </c>
      <c r="AX33" s="318">
        <f t="shared" si="6"/>
        <v>0</v>
      </c>
      <c r="BA33" s="209" t="s">
        <v>67</v>
      </c>
      <c r="BB33" s="197">
        <f t="shared" si="19"/>
        <v>0</v>
      </c>
      <c r="BC33" s="197">
        <f t="shared" si="7"/>
        <v>0</v>
      </c>
      <c r="BD33" s="197">
        <f t="shared" si="8"/>
        <v>0</v>
      </c>
      <c r="BE33" s="197">
        <f t="shared" si="9"/>
        <v>0</v>
      </c>
      <c r="BF33" s="197">
        <f t="shared" si="10"/>
        <v>0</v>
      </c>
      <c r="BG33" s="197">
        <f t="shared" si="11"/>
        <v>0</v>
      </c>
      <c r="BH33" s="197">
        <f t="shared" si="12"/>
        <v>0</v>
      </c>
      <c r="BI33" s="197">
        <f t="shared" si="13"/>
        <v>0</v>
      </c>
      <c r="BJ33" s="197">
        <f t="shared" si="14"/>
        <v>0</v>
      </c>
      <c r="BK33">
        <f t="shared" si="15"/>
        <v>0</v>
      </c>
      <c r="BL33">
        <f t="shared" si="16"/>
        <v>0</v>
      </c>
      <c r="BM33">
        <f t="shared" si="17"/>
        <v>0</v>
      </c>
    </row>
    <row r="34" spans="3:65">
      <c r="C34" s="144" t="s">
        <v>68</v>
      </c>
      <c r="D34" s="184">
        <f>DPRavg!AA11</f>
        <v>0</v>
      </c>
      <c r="E34" s="184">
        <f>DPRavg!AA16</f>
        <v>0</v>
      </c>
      <c r="F34" s="184">
        <f>DPRavg!AA21</f>
        <v>0</v>
      </c>
      <c r="G34" s="184">
        <f>DPRavg!AA26</f>
        <v>0</v>
      </c>
      <c r="H34" s="184">
        <f>DPRavg!AA31</f>
        <v>0</v>
      </c>
      <c r="I34" s="184">
        <f>DPRavg!AA36</f>
        <v>0</v>
      </c>
      <c r="J34" s="184">
        <f>DPRavg!AA41</f>
        <v>0</v>
      </c>
      <c r="K34" s="184">
        <f>DPRavg!AA46</f>
        <v>0</v>
      </c>
      <c r="L34" s="184">
        <f>DPRavg!AA51</f>
        <v>0</v>
      </c>
      <c r="M34" s="184">
        <f>DPRavg!AA56</f>
        <v>0</v>
      </c>
      <c r="N34" s="184">
        <f>DPRavg!AA61</f>
        <v>0</v>
      </c>
      <c r="O34" s="184">
        <f>DPRavg!AA66</f>
        <v>0</v>
      </c>
      <c r="V34" s="144" t="s">
        <v>68</v>
      </c>
      <c r="W34" s="249">
        <f>HLOOKUP(W$4,Storage_Reconciled_prod_chosen!$D$26:$CU$42,Storage_Reconciled_prod_chosen!$C39,FALSE)</f>
        <v>0</v>
      </c>
      <c r="X34" s="249">
        <f>HLOOKUP(X$4,Storage_Reconciled_prod_chosen!$D$26:$CU$42,Storage_Reconciled_prod_chosen!$C39,FALSE)</f>
        <v>0</v>
      </c>
      <c r="Y34" s="249">
        <f>HLOOKUP(Y$4,Storage_Reconciled_prod_chosen!$D$26:$CU$42,Storage_Reconciled_prod_chosen!$C39,FALSE)</f>
        <v>0</v>
      </c>
      <c r="Z34" s="249">
        <f>HLOOKUP(Z$4,Storage_Reconciled_prod_chosen!$D$26:$CU$42,Storage_Reconciled_prod_chosen!$C39,FALSE)</f>
        <v>0</v>
      </c>
      <c r="AA34" s="249">
        <f>HLOOKUP(AA$4,Storage_Reconciled_prod_chosen!$D$26:$CU$42,Storage_Reconciled_prod_chosen!$C39,FALSE)</f>
        <v>0</v>
      </c>
      <c r="AB34" s="249">
        <f>HLOOKUP(AB$4,Storage_Reconciled_prod_chosen!$D$26:$CU$42,Storage_Reconciled_prod_chosen!$C39,FALSE)</f>
        <v>0</v>
      </c>
      <c r="AC34" s="249">
        <f>HLOOKUP(AC$4,Storage_Reconciled_prod_chosen!$D$26:$CU$42,Storage_Reconciled_prod_chosen!$C39,FALSE)</f>
        <v>0</v>
      </c>
      <c r="AD34" s="249">
        <f>HLOOKUP(AD$4,Storage_Reconciled_prod_chosen!$D$26:$CU$42,Storage_Reconciled_prod_chosen!$C39,FALSE)</f>
        <v>0</v>
      </c>
      <c r="AE34" s="249">
        <f>HLOOKUP(AE$4,Storage_Reconciled_prod_chosen!$D$26:$CU$42,Storage_Reconciled_prod_chosen!$C39,FALSE)</f>
        <v>0</v>
      </c>
      <c r="AF34" s="249">
        <f>HLOOKUP(AF$4,Storage_Reconciled_prod_chosen!$D$26:$CU$42,Storage_Reconciled_prod_chosen!$C39,FALSE)</f>
        <v>0</v>
      </c>
      <c r="AG34" s="249">
        <f>HLOOKUP(AG$4,Storage_Reconciled_prod_chosen!$D$26:$CU$42,Storage_Reconciled_prod_chosen!$C39,FALSE)</f>
        <v>0</v>
      </c>
      <c r="AH34" s="249">
        <f>HLOOKUP(AH$4,Storage_Reconciled_prod_chosen!$D$26:$CU$42,Storage_Reconciled_prod_chosen!$C39,FALSE)</f>
        <v>0</v>
      </c>
      <c r="AL34" s="209" t="s">
        <v>68</v>
      </c>
      <c r="AM34" s="318">
        <f t="shared" si="18"/>
        <v>0</v>
      </c>
      <c r="AN34" s="318">
        <f t="shared" si="6"/>
        <v>0</v>
      </c>
      <c r="AO34" s="318">
        <f t="shared" si="6"/>
        <v>0</v>
      </c>
      <c r="AP34" s="318">
        <f t="shared" si="6"/>
        <v>0</v>
      </c>
      <c r="AQ34" s="318">
        <f t="shared" si="6"/>
        <v>0</v>
      </c>
      <c r="AR34" s="318">
        <f t="shared" si="6"/>
        <v>0</v>
      </c>
      <c r="AS34" s="318">
        <f t="shared" si="6"/>
        <v>0</v>
      </c>
      <c r="AT34" s="318">
        <f t="shared" si="6"/>
        <v>0</v>
      </c>
      <c r="AU34" s="318">
        <f t="shared" si="6"/>
        <v>0</v>
      </c>
      <c r="AV34" s="318">
        <f t="shared" si="6"/>
        <v>0</v>
      </c>
      <c r="AW34" s="318">
        <f t="shared" si="6"/>
        <v>0</v>
      </c>
      <c r="AX34" s="318">
        <f t="shared" si="6"/>
        <v>0</v>
      </c>
      <c r="BA34" s="209" t="s">
        <v>68</v>
      </c>
      <c r="BB34" s="197">
        <f t="shared" si="19"/>
        <v>0</v>
      </c>
      <c r="BC34" s="197">
        <f t="shared" si="7"/>
        <v>0</v>
      </c>
      <c r="BD34" s="197">
        <f t="shared" si="8"/>
        <v>0</v>
      </c>
      <c r="BE34" s="197">
        <f t="shared" si="9"/>
        <v>0</v>
      </c>
      <c r="BF34" s="197">
        <f t="shared" si="10"/>
        <v>0</v>
      </c>
      <c r="BG34" s="197">
        <f t="shared" si="11"/>
        <v>0</v>
      </c>
      <c r="BH34" s="197">
        <f t="shared" si="12"/>
        <v>0</v>
      </c>
      <c r="BI34" s="197">
        <f t="shared" si="13"/>
        <v>0</v>
      </c>
      <c r="BJ34" s="197">
        <f t="shared" si="14"/>
        <v>0</v>
      </c>
      <c r="BK34">
        <f t="shared" si="15"/>
        <v>0</v>
      </c>
      <c r="BL34">
        <f t="shared" si="16"/>
        <v>0</v>
      </c>
      <c r="BM34">
        <f t="shared" si="17"/>
        <v>0</v>
      </c>
    </row>
    <row r="35" spans="3:65">
      <c r="C35" s="144" t="s">
        <v>69</v>
      </c>
      <c r="D35" s="184">
        <f>DPRavg!AE11</f>
        <v>0</v>
      </c>
      <c r="E35" s="184">
        <f>DPRavg!AE16</f>
        <v>0</v>
      </c>
      <c r="F35" s="184">
        <f>DPRavg!AE21</f>
        <v>0</v>
      </c>
      <c r="G35" s="184">
        <f>DPRavg!AE26</f>
        <v>0</v>
      </c>
      <c r="H35" s="184">
        <f>DPRavg!AE31</f>
        <v>0</v>
      </c>
      <c r="I35" s="184">
        <f>DPRavg!AE36</f>
        <v>0</v>
      </c>
      <c r="J35" s="184">
        <f>DPRavg!AE41</f>
        <v>0</v>
      </c>
      <c r="K35" s="184">
        <f>DPRavg!AE46</f>
        <v>0</v>
      </c>
      <c r="L35" s="184">
        <f>DPRavg!AE51</f>
        <v>0</v>
      </c>
      <c r="M35" s="184">
        <f>DPRavg!AE56</f>
        <v>0</v>
      </c>
      <c r="N35" s="184">
        <f>DPRavg!AE61</f>
        <v>0</v>
      </c>
      <c r="O35" s="184">
        <f>DPRavg!AE66</f>
        <v>0</v>
      </c>
      <c r="V35" s="144" t="s">
        <v>69</v>
      </c>
      <c r="W35" s="249">
        <f>HLOOKUP(W$4,Storage_Reconciled_prod_chosen!$D$26:$CU$42,Storage_Reconciled_prod_chosen!$C40,FALSE)</f>
        <v>0</v>
      </c>
      <c r="X35" s="249">
        <f>HLOOKUP(X$4,Storage_Reconciled_prod_chosen!$D$26:$CU$42,Storage_Reconciled_prod_chosen!$C40,FALSE)</f>
        <v>0</v>
      </c>
      <c r="Y35" s="249">
        <f>HLOOKUP(Y$4,Storage_Reconciled_prod_chosen!$D$26:$CU$42,Storage_Reconciled_prod_chosen!$C40,FALSE)</f>
        <v>0</v>
      </c>
      <c r="Z35" s="249">
        <f>HLOOKUP(Z$4,Storage_Reconciled_prod_chosen!$D$26:$CU$42,Storage_Reconciled_prod_chosen!$C40,FALSE)</f>
        <v>0</v>
      </c>
      <c r="AA35" s="249">
        <f>HLOOKUP(AA$4,Storage_Reconciled_prod_chosen!$D$26:$CU$42,Storage_Reconciled_prod_chosen!$C40,FALSE)</f>
        <v>0</v>
      </c>
      <c r="AB35" s="249">
        <f>HLOOKUP(AB$4,Storage_Reconciled_prod_chosen!$D$26:$CU$42,Storage_Reconciled_prod_chosen!$C40,FALSE)</f>
        <v>0</v>
      </c>
      <c r="AC35" s="249">
        <f>HLOOKUP(AC$4,Storage_Reconciled_prod_chosen!$D$26:$CU$42,Storage_Reconciled_prod_chosen!$C40,FALSE)</f>
        <v>0</v>
      </c>
      <c r="AD35" s="249">
        <f>HLOOKUP(AD$4,Storage_Reconciled_prod_chosen!$D$26:$CU$42,Storage_Reconciled_prod_chosen!$C40,FALSE)</f>
        <v>0</v>
      </c>
      <c r="AE35" s="249">
        <f>HLOOKUP(AE$4,Storage_Reconciled_prod_chosen!$D$26:$CU$42,Storage_Reconciled_prod_chosen!$C40,FALSE)</f>
        <v>0</v>
      </c>
      <c r="AF35" s="249">
        <f>HLOOKUP(AF$4,Storage_Reconciled_prod_chosen!$D$26:$CU$42,Storage_Reconciled_prod_chosen!$C40,FALSE)</f>
        <v>0</v>
      </c>
      <c r="AG35" s="249">
        <f>HLOOKUP(AG$4,Storage_Reconciled_prod_chosen!$D$26:$CU$42,Storage_Reconciled_prod_chosen!$C40,FALSE)</f>
        <v>0</v>
      </c>
      <c r="AH35" s="249">
        <f>HLOOKUP(AH$4,Storage_Reconciled_prod_chosen!$D$26:$CU$42,Storage_Reconciled_prod_chosen!$C40,FALSE)</f>
        <v>0</v>
      </c>
      <c r="AL35" s="209" t="s">
        <v>69</v>
      </c>
      <c r="AM35" s="318">
        <f t="shared" si="18"/>
        <v>0</v>
      </c>
      <c r="AN35" s="318">
        <f t="shared" si="6"/>
        <v>0</v>
      </c>
      <c r="AO35" s="318">
        <f t="shared" si="6"/>
        <v>0</v>
      </c>
      <c r="AP35" s="318">
        <f t="shared" si="6"/>
        <v>0</v>
      </c>
      <c r="AQ35" s="318">
        <f t="shared" si="6"/>
        <v>0</v>
      </c>
      <c r="AR35" s="318">
        <f t="shared" si="6"/>
        <v>0</v>
      </c>
      <c r="AS35" s="318">
        <f t="shared" si="6"/>
        <v>0</v>
      </c>
      <c r="AT35" s="318">
        <f t="shared" si="6"/>
        <v>0</v>
      </c>
      <c r="AU35" s="318">
        <f t="shared" si="6"/>
        <v>0</v>
      </c>
      <c r="AV35" s="318">
        <f t="shared" si="6"/>
        <v>0</v>
      </c>
      <c r="AW35" s="318">
        <f t="shared" si="6"/>
        <v>0</v>
      </c>
      <c r="AX35" s="318">
        <f t="shared" si="6"/>
        <v>0</v>
      </c>
      <c r="BA35" s="209" t="s">
        <v>69</v>
      </c>
      <c r="BB35" s="197">
        <f t="shared" si="19"/>
        <v>0</v>
      </c>
      <c r="BC35" s="197">
        <f t="shared" si="7"/>
        <v>0</v>
      </c>
      <c r="BD35" s="197">
        <f t="shared" si="8"/>
        <v>0</v>
      </c>
      <c r="BE35" s="197">
        <f t="shared" si="9"/>
        <v>0</v>
      </c>
      <c r="BF35" s="197">
        <f t="shared" si="10"/>
        <v>0</v>
      </c>
      <c r="BG35" s="197">
        <f t="shared" si="11"/>
        <v>0</v>
      </c>
      <c r="BH35" s="197">
        <f t="shared" si="12"/>
        <v>0</v>
      </c>
      <c r="BI35" s="197">
        <f t="shared" si="13"/>
        <v>0</v>
      </c>
      <c r="BJ35" s="197">
        <f t="shared" si="14"/>
        <v>0</v>
      </c>
      <c r="BK35">
        <f t="shared" si="15"/>
        <v>0</v>
      </c>
      <c r="BL35">
        <f t="shared" si="16"/>
        <v>0</v>
      </c>
      <c r="BM35">
        <f t="shared" si="17"/>
        <v>0</v>
      </c>
    </row>
    <row r="36" spans="3:65">
      <c r="C36" s="144" t="s">
        <v>70</v>
      </c>
      <c r="D36" s="184">
        <f>DPRavg!AF11</f>
        <v>13.187839624858769</v>
      </c>
      <c r="E36" s="184">
        <f>DPRavg!AF16</f>
        <v>13.751692729254572</v>
      </c>
      <c r="F36" s="184">
        <f>DPRavg!AF21</f>
        <v>14.446354256631562</v>
      </c>
      <c r="G36" s="184">
        <f>DPRavg!AF26</f>
        <v>14.212204604187034</v>
      </c>
      <c r="H36" s="184">
        <f>DPRavg!AF31</f>
        <v>14.07202995152252</v>
      </c>
      <c r="I36" s="184">
        <f>DPRavg!AF36</f>
        <v>0</v>
      </c>
      <c r="J36" s="184">
        <f>DPRavg!AF41</f>
        <v>0</v>
      </c>
      <c r="K36" s="184">
        <f>DPRavg!AF46</f>
        <v>0</v>
      </c>
      <c r="L36" s="184">
        <f>DPRavg!AF51</f>
        <v>0</v>
      </c>
      <c r="M36" s="184">
        <f>DPRavg!AF56</f>
        <v>0</v>
      </c>
      <c r="N36" s="184">
        <f>DPRavg!AF61</f>
        <v>0</v>
      </c>
      <c r="O36" s="184">
        <f>DPRavg!AF66</f>
        <v>0</v>
      </c>
      <c r="V36" s="144" t="s">
        <v>70</v>
      </c>
      <c r="W36" s="249">
        <f>HLOOKUP(W$4,Storage_Reconciled_prod_chosen!$D$26:$CU$42,Storage_Reconciled_prod_chosen!$C41,FALSE)</f>
        <v>13.193331000000001</v>
      </c>
      <c r="X36" s="249">
        <f>HLOOKUP(X$4,Storage_Reconciled_prod_chosen!$D$26:$CU$42,Storage_Reconciled_prod_chosen!$C41,FALSE)</f>
        <v>13.75741935483871</v>
      </c>
      <c r="Y36" s="249">
        <f>HLOOKUP(Y$4,Storage_Reconciled_prod_chosen!$D$26:$CU$42,Storage_Reconciled_prod_chosen!$C41,FALSE)</f>
        <v>14.452372</v>
      </c>
      <c r="Z36" s="249">
        <f>HLOOKUP(Z$4,Storage_Reconciled_prod_chosen!$D$26:$CU$42,Storage_Reconciled_prod_chosen!$C41,FALSE)</f>
        <v>14.21812129032258</v>
      </c>
      <c r="AA36" s="249">
        <f>HLOOKUP(AA$4,Storage_Reconciled_prod_chosen!$D$26:$CU$42,Storage_Reconciled_prod_chosen!$C41,FALSE)</f>
        <v>0</v>
      </c>
      <c r="AB36" s="249">
        <f>HLOOKUP(AB$4,Storage_Reconciled_prod_chosen!$D$26:$CU$42,Storage_Reconciled_prod_chosen!$C41,FALSE)</f>
        <v>0</v>
      </c>
      <c r="AC36" s="249">
        <f>HLOOKUP(AC$4,Storage_Reconciled_prod_chosen!$D$26:$CU$42,Storage_Reconciled_prod_chosen!$C41,FALSE)</f>
        <v>0</v>
      </c>
      <c r="AD36" s="249">
        <f>HLOOKUP(AD$4,Storage_Reconciled_prod_chosen!$D$26:$CU$42,Storage_Reconciled_prod_chosen!$C41,FALSE)</f>
        <v>0</v>
      </c>
      <c r="AE36" s="249">
        <f>HLOOKUP(AE$4,Storage_Reconciled_prod_chosen!$D$26:$CU$42,Storage_Reconciled_prod_chosen!$C41,FALSE)</f>
        <v>0</v>
      </c>
      <c r="AF36" s="249">
        <f>HLOOKUP(AF$4,Storage_Reconciled_prod_chosen!$D$26:$CU$42,Storage_Reconciled_prod_chosen!$C41,FALSE)</f>
        <v>0</v>
      </c>
      <c r="AG36" s="249">
        <f>HLOOKUP(AG$4,Storage_Reconciled_prod_chosen!$D$26:$CU$42,Storage_Reconciled_prod_chosen!$C41,FALSE)</f>
        <v>0</v>
      </c>
      <c r="AH36" s="249">
        <f>HLOOKUP(AH$4,Storage_Reconciled_prod_chosen!$D$26:$CU$42,Storage_Reconciled_prod_chosen!$C41,FALSE)</f>
        <v>0</v>
      </c>
      <c r="AL36" s="209" t="s">
        <v>70</v>
      </c>
      <c r="AM36" s="318">
        <f t="shared" si="18"/>
        <v>4.1639686995287306E-4</v>
      </c>
      <c r="AN36" s="318">
        <f t="shared" si="6"/>
        <v>4.1643059490104051E-4</v>
      </c>
      <c r="AO36" s="318">
        <f t="shared" si="6"/>
        <v>4.1655792607153685E-4</v>
      </c>
      <c r="AP36" s="318">
        <f t="shared" si="6"/>
        <v>4.1631022774635262E-4</v>
      </c>
      <c r="AQ36" s="318">
        <f t="shared" si="6"/>
        <v>0</v>
      </c>
      <c r="AR36" s="318">
        <f t="shared" si="6"/>
        <v>0</v>
      </c>
      <c r="AS36" s="318">
        <f t="shared" si="6"/>
        <v>0</v>
      </c>
      <c r="AT36" s="318">
        <f t="shared" si="6"/>
        <v>0</v>
      </c>
      <c r="AU36" s="318">
        <f t="shared" si="6"/>
        <v>0</v>
      </c>
      <c r="AV36" s="318">
        <f t="shared" si="6"/>
        <v>0</v>
      </c>
      <c r="AW36" s="318">
        <f t="shared" si="6"/>
        <v>0</v>
      </c>
      <c r="AX36" s="318">
        <f t="shared" si="6"/>
        <v>0</v>
      </c>
      <c r="BA36" s="209" t="s">
        <v>70</v>
      </c>
      <c r="BB36" s="197">
        <f t="shared" si="19"/>
        <v>5.4913751412311029E-3</v>
      </c>
      <c r="BC36" s="197">
        <f t="shared" si="7"/>
        <v>5.7266255841383895E-3</v>
      </c>
      <c r="BD36" s="197">
        <f t="shared" si="8"/>
        <v>6.0177433684387438E-3</v>
      </c>
      <c r="BE36" s="197">
        <f t="shared" si="9"/>
        <v>5.9166861355457456E-3</v>
      </c>
      <c r="BF36" s="197">
        <f t="shared" si="10"/>
        <v>-14.07202995152252</v>
      </c>
      <c r="BG36" s="197">
        <f t="shared" si="11"/>
        <v>0</v>
      </c>
      <c r="BH36" s="197">
        <f t="shared" si="12"/>
        <v>0</v>
      </c>
      <c r="BI36" s="197">
        <f t="shared" si="13"/>
        <v>0</v>
      </c>
      <c r="BJ36" s="197">
        <f t="shared" si="14"/>
        <v>0</v>
      </c>
      <c r="BK36">
        <f t="shared" si="15"/>
        <v>0</v>
      </c>
      <c r="BL36">
        <f t="shared" si="16"/>
        <v>0</v>
      </c>
      <c r="BM36">
        <f t="shared" si="17"/>
        <v>0</v>
      </c>
    </row>
    <row r="39" spans="3:65">
      <c r="I39" t="s">
        <v>146</v>
      </c>
      <c r="AB39" t="s">
        <v>146</v>
      </c>
    </row>
    <row r="40" spans="3:65">
      <c r="W40" s="418">
        <f>$A$3*100+4</f>
        <v>202604</v>
      </c>
      <c r="X40" s="418">
        <f>$A$3*100+5</f>
        <v>202605</v>
      </c>
      <c r="Y40" s="418">
        <f>$A$3*100+6</f>
        <v>202606</v>
      </c>
      <c r="Z40" s="418">
        <f>$A$3*100+7</f>
        <v>202607</v>
      </c>
      <c r="AA40" s="418">
        <f>$A$3*100+8</f>
        <v>202608</v>
      </c>
      <c r="AB40" s="418">
        <f>$A$3*100+9</f>
        <v>202609</v>
      </c>
      <c r="AC40" s="418">
        <f>$A$3*100+10</f>
        <v>202610</v>
      </c>
      <c r="AD40" s="418">
        <f>$A$3*100+11</f>
        <v>202611</v>
      </c>
      <c r="AE40" s="418">
        <f>$A$3*100+12</f>
        <v>202612</v>
      </c>
      <c r="AF40" s="418">
        <f>$A$4*100+1</f>
        <v>202701</v>
      </c>
      <c r="AG40" s="418">
        <f>$A$4*100+2</f>
        <v>202702</v>
      </c>
      <c r="AH40" s="418">
        <f>$A$4*100+3</f>
        <v>202703</v>
      </c>
    </row>
    <row r="41" spans="3:65">
      <c r="C41" s="144" t="s">
        <v>60</v>
      </c>
      <c r="D41" s="184">
        <f>DPRavg!I13</f>
        <v>0.15475858324482311</v>
      </c>
      <c r="E41" s="184">
        <f>DPRavg!I18</f>
        <v>0.15574044534105691</v>
      </c>
      <c r="F41" s="184">
        <f>DPRavg!I23</f>
        <v>0.13864638765359052</v>
      </c>
      <c r="G41" s="184">
        <f>DPRavg!I28</f>
        <v>0.15827152398094566</v>
      </c>
      <c r="H41" s="184">
        <f>DPRavg!I33</f>
        <v>0.15496189729712831</v>
      </c>
      <c r="I41" s="184">
        <f>DPRavg!I38</f>
        <v>0</v>
      </c>
      <c r="J41" s="184">
        <f>DPRavg!I43</f>
        <v>0</v>
      </c>
      <c r="K41" s="184">
        <f>DPRavg!I48</f>
        <v>0</v>
      </c>
      <c r="L41" s="184">
        <f>DPRavg!I53</f>
        <v>0</v>
      </c>
      <c r="M41" s="184">
        <f>DPRavg!I58</f>
        <v>0</v>
      </c>
      <c r="N41" s="184">
        <f>DPRavg!I63</f>
        <v>0</v>
      </c>
      <c r="O41" s="184">
        <f>DPRavg!I68</f>
        <v>0</v>
      </c>
      <c r="V41" s="144" t="s">
        <v>60</v>
      </c>
      <c r="W41" s="499">
        <f>HLOOKUP(W$4,Storage_Reconciled_prod_chosen!$D$45:$CU$61,Storage_Reconciled_prod_chosen!$C47,FALSE)</f>
        <v>0.155</v>
      </c>
      <c r="X41" s="499">
        <f>HLOOKUP(X$4,Storage_Reconciled_prod_chosen!$D$45:$CU$61,Storage_Reconciled_prod_chosen!$C47,FALSE)</f>
        <v>0.156</v>
      </c>
      <c r="Y41" s="499">
        <f>HLOOKUP(Y$4,Storage_Reconciled_prod_chosen!$D$45:$CU$61,Storage_Reconciled_prod_chosen!$C47,FALSE)</f>
        <v>0.13400000000000001</v>
      </c>
      <c r="Z41" s="499">
        <f>HLOOKUP(Z$4,Storage_Reconciled_prod_chosen!$D$45:$CU$61,Storage_Reconciled_prod_chosen!$C47,FALSE)</f>
        <v>0.158</v>
      </c>
      <c r="AA41" s="499">
        <f>HLOOKUP(AA$4,Storage_Reconciled_prod_chosen!$D$45:$CU$61,Storage_Reconciled_prod_chosen!$C47,FALSE)</f>
        <v>0</v>
      </c>
      <c r="AB41" s="499">
        <f>HLOOKUP(AB$4,Storage_Reconciled_prod_chosen!$D$45:$CU$61,Storage_Reconciled_prod_chosen!$C47,FALSE)</f>
        <v>0</v>
      </c>
      <c r="AC41" s="499">
        <f>HLOOKUP(AC$4,Storage_Reconciled_prod_chosen!$D$45:$CU$61,Storage_Reconciled_prod_chosen!$C47,FALSE)</f>
        <v>0</v>
      </c>
      <c r="AD41" s="499">
        <f>HLOOKUP(AD$4,Storage_Reconciled_prod_chosen!$D$45:$CU$61,Storage_Reconciled_prod_chosen!$C47,FALSE)</f>
        <v>0</v>
      </c>
      <c r="AE41" s="499">
        <f>HLOOKUP(AE$4,Storage_Reconciled_prod_chosen!$D$45:$CU$61,Storage_Reconciled_prod_chosen!$C47,FALSE)</f>
        <v>0</v>
      </c>
      <c r="AF41" s="499">
        <f>HLOOKUP(AF$4,Storage_Reconciled_prod_chosen!$D$45:$CU$61,Storage_Reconciled_prod_chosen!$C47,FALSE)</f>
        <v>0</v>
      </c>
      <c r="AG41" s="499">
        <f>HLOOKUP(AG$4,Storage_Reconciled_prod_chosen!$D$45:$CU$61,Storage_Reconciled_prod_chosen!$C47,FALSE)</f>
        <v>0</v>
      </c>
      <c r="AH41" s="499">
        <f>HLOOKUP(AH$4,Storage_Reconciled_prod_chosen!$D$45:$CU$61,Storage_Reconciled_prod_chosen!$C47,FALSE)</f>
        <v>0</v>
      </c>
    </row>
    <row r="42" spans="3:65">
      <c r="C42" s="144" t="s">
        <v>61</v>
      </c>
      <c r="D42" s="184">
        <f>DPRavg!J13</f>
        <v>0.16325040054382808</v>
      </c>
      <c r="E42" s="184">
        <f>DPRavg!J18</f>
        <v>0.16850890054402759</v>
      </c>
      <c r="F42" s="184">
        <f>DPRavg!J23</f>
        <v>0.16267773656531176</v>
      </c>
      <c r="G42" s="184">
        <f>DPRavg!J28</f>
        <v>0.16939338979137303</v>
      </c>
      <c r="H42" s="184">
        <f>DPRavg!J33</f>
        <v>0.16962658602794101</v>
      </c>
      <c r="I42" s="184">
        <f>DPRavg!J38</f>
        <v>0</v>
      </c>
      <c r="J42" s="184">
        <f>DPRavg!J43</f>
        <v>0</v>
      </c>
      <c r="K42" s="184">
        <f>DPRavg!J48</f>
        <v>0</v>
      </c>
      <c r="L42" s="184">
        <f>DPRavg!J53</f>
        <v>0</v>
      </c>
      <c r="M42" s="184">
        <f>DPRavg!J58</f>
        <v>0</v>
      </c>
      <c r="N42" s="184">
        <f>DPRavg!J63</f>
        <v>0</v>
      </c>
      <c r="O42" s="184">
        <f>DPRavg!J68</f>
        <v>0</v>
      </c>
      <c r="V42" s="144" t="s">
        <v>61</v>
      </c>
      <c r="W42" s="499">
        <f>HLOOKUP(W$4,Storage_Reconciled_prod_chosen!$D$45:$CU$61,Storage_Reconciled_prod_chosen!$C48,FALSE)</f>
        <v>0.16300000000000001</v>
      </c>
      <c r="X42" s="499">
        <f>HLOOKUP(X$4,Storage_Reconciled_prod_chosen!$D$45:$CU$61,Storage_Reconciled_prod_chosen!$C48,FALSE)</f>
        <v>0.16900000000000001</v>
      </c>
      <c r="Y42" s="499">
        <f>HLOOKUP(Y$4,Storage_Reconciled_prod_chosen!$D$45:$CU$61,Storage_Reconciled_prod_chosen!$C48,FALSE)</f>
        <v>0.16300000000000001</v>
      </c>
      <c r="Z42" s="499">
        <f>HLOOKUP(Z$4,Storage_Reconciled_prod_chosen!$D$45:$CU$61,Storage_Reconciled_prod_chosen!$C48,FALSE)</f>
        <v>0.16900000000000001</v>
      </c>
      <c r="AA42" s="499">
        <f>HLOOKUP(AA$4,Storage_Reconciled_prod_chosen!$D$45:$CU$61,Storage_Reconciled_prod_chosen!$C48,FALSE)</f>
        <v>0</v>
      </c>
      <c r="AB42" s="499">
        <f>HLOOKUP(AB$4,Storage_Reconciled_prod_chosen!$D$45:$CU$61,Storage_Reconciled_prod_chosen!$C48,FALSE)</f>
        <v>0</v>
      </c>
      <c r="AC42" s="499">
        <f>HLOOKUP(AC$4,Storage_Reconciled_prod_chosen!$D$45:$CU$61,Storage_Reconciled_prod_chosen!$C48,FALSE)</f>
        <v>0</v>
      </c>
      <c r="AD42" s="499">
        <f>HLOOKUP(AD$4,Storage_Reconciled_prod_chosen!$D$45:$CU$61,Storage_Reconciled_prod_chosen!$C48,FALSE)</f>
        <v>0</v>
      </c>
      <c r="AE42" s="499">
        <f>HLOOKUP(AE$4,Storage_Reconciled_prod_chosen!$D$45:$CU$61,Storage_Reconciled_prod_chosen!$C48,FALSE)</f>
        <v>0</v>
      </c>
      <c r="AF42" s="499">
        <f>HLOOKUP(AF$4,Storage_Reconciled_prod_chosen!$D$45:$CU$61,Storage_Reconciled_prod_chosen!$C48,FALSE)</f>
        <v>0</v>
      </c>
      <c r="AG42" s="499">
        <f>HLOOKUP(AG$4,Storage_Reconciled_prod_chosen!$D$45:$CU$61,Storage_Reconciled_prod_chosen!$C48,FALSE)</f>
        <v>0</v>
      </c>
      <c r="AH42" s="499">
        <f>HLOOKUP(AH$4,Storage_Reconciled_prod_chosen!$D$45:$CU$61,Storage_Reconciled_prod_chosen!$C48,FALSE)</f>
        <v>0</v>
      </c>
    </row>
    <row r="43" spans="3:65">
      <c r="C43" s="144" t="s">
        <v>62</v>
      </c>
      <c r="D43" s="184">
        <f>DPRavg!H13</f>
        <v>7.6540283589946693E-3</v>
      </c>
      <c r="E43" s="184">
        <f>DPRavg!H18</f>
        <v>7.5075931015508119E-3</v>
      </c>
      <c r="F43" s="184">
        <f>DPRavg!H23</f>
        <v>7.585346335591798E-3</v>
      </c>
      <c r="G43" s="184">
        <f>DPRavg!H28</f>
        <v>7.569795688783602E-3</v>
      </c>
      <c r="H43" s="184">
        <f>DPRavg!H33</f>
        <v>7.4579606204879826E-3</v>
      </c>
      <c r="I43" s="184">
        <f>DPRavg!H38</f>
        <v>0</v>
      </c>
      <c r="J43" s="184">
        <f>DPRavg!H43</f>
        <v>0</v>
      </c>
      <c r="K43" s="184">
        <f>DPRavg!H48</f>
        <v>0</v>
      </c>
      <c r="L43" s="184">
        <f>DPRavg!H53</f>
        <v>0</v>
      </c>
      <c r="M43" s="184">
        <f>DPRavg!H58</f>
        <v>0</v>
      </c>
      <c r="N43" s="184">
        <f>DPRavg!H63</f>
        <v>0</v>
      </c>
      <c r="O43" s="184">
        <f>DPRavg!H68</f>
        <v>0</v>
      </c>
      <c r="V43" s="144" t="s">
        <v>62</v>
      </c>
      <c r="W43" s="499">
        <f>HLOOKUP(W$4,Storage_Reconciled_prod_chosen!$D$45:$CU$61,Storage_Reconciled_prod_chosen!$C49,FALSE)</f>
        <v>8.0000000000000002E-3</v>
      </c>
      <c r="X43" s="499">
        <f>HLOOKUP(X$4,Storage_Reconciled_prod_chosen!$D$45:$CU$61,Storage_Reconciled_prod_chosen!$C49,FALSE)</f>
        <v>7.0000000000000001E-3</v>
      </c>
      <c r="Y43" s="499">
        <f>HLOOKUP(Y$4,Storage_Reconciled_prod_chosen!$D$45:$CU$61,Storage_Reconciled_prod_chosen!$C49,FALSE)</f>
        <v>8.0000000000000002E-3</v>
      </c>
      <c r="Z43" s="499">
        <f>HLOOKUP(Z$4,Storage_Reconciled_prod_chosen!$D$45:$CU$61,Storage_Reconciled_prod_chosen!$C49,FALSE)</f>
        <v>8.0000000000000002E-3</v>
      </c>
      <c r="AA43" s="499">
        <f>HLOOKUP(AA$4,Storage_Reconciled_prod_chosen!$D$45:$CU$61,Storage_Reconciled_prod_chosen!$C49,FALSE)</f>
        <v>0</v>
      </c>
      <c r="AB43" s="499">
        <f>HLOOKUP(AB$4,Storage_Reconciled_prod_chosen!$D$45:$CU$61,Storage_Reconciled_prod_chosen!$C49,FALSE)</f>
        <v>0</v>
      </c>
      <c r="AC43" s="499">
        <f>HLOOKUP(AC$4,Storage_Reconciled_prod_chosen!$D$45:$CU$61,Storage_Reconciled_prod_chosen!$C49,FALSE)</f>
        <v>0</v>
      </c>
      <c r="AD43" s="499">
        <f>HLOOKUP(AD$4,Storage_Reconciled_prod_chosen!$D$45:$CU$61,Storage_Reconciled_prod_chosen!$C49,FALSE)</f>
        <v>0</v>
      </c>
      <c r="AE43" s="499">
        <f>HLOOKUP(AE$4,Storage_Reconciled_prod_chosen!$D$45:$CU$61,Storage_Reconciled_prod_chosen!$C49,FALSE)</f>
        <v>0</v>
      </c>
      <c r="AF43" s="499">
        <f>HLOOKUP(AF$4,Storage_Reconciled_prod_chosen!$D$45:$CU$61,Storage_Reconciled_prod_chosen!$C49,FALSE)</f>
        <v>0</v>
      </c>
      <c r="AG43" s="499">
        <f>HLOOKUP(AG$4,Storage_Reconciled_prod_chosen!$D$45:$CU$61,Storage_Reconciled_prod_chosen!$C49,FALSE)</f>
        <v>0</v>
      </c>
      <c r="AH43" s="499">
        <f>HLOOKUP(AH$4,Storage_Reconciled_prod_chosen!$D$45:$CU$61,Storage_Reconciled_prod_chosen!$C49,FALSE)</f>
        <v>0</v>
      </c>
    </row>
    <row r="44" spans="3:65">
      <c r="C44" s="144" t="s">
        <v>57</v>
      </c>
      <c r="D44" s="184">
        <f>DPRavg!D13</f>
        <v>3.8070365828882471E-2</v>
      </c>
      <c r="E44" s="184">
        <f>DPRavg!D18</f>
        <v>3.8975519972775277E-2</v>
      </c>
      <c r="F44" s="184">
        <f>DPRavg!D23</f>
        <v>3.8150417067695411E-2</v>
      </c>
      <c r="G44" s="184">
        <f>DPRavg!D28</f>
        <v>3.9530142959604768E-2</v>
      </c>
      <c r="H44" s="184">
        <f>DPRavg!D33</f>
        <v>3.6889161648039209E-2</v>
      </c>
      <c r="I44" s="184">
        <f>DPRavg!D38</f>
        <v>0</v>
      </c>
      <c r="J44" s="184">
        <f>DPRavg!D43</f>
        <v>0</v>
      </c>
      <c r="K44" s="184">
        <f>DPRavg!D48</f>
        <v>0</v>
      </c>
      <c r="L44" s="184">
        <f>DPRavg!D53</f>
        <v>0</v>
      </c>
      <c r="M44" s="184">
        <f>DPRavg!D58</f>
        <v>0</v>
      </c>
      <c r="N44" s="184">
        <f>DPRavg!D63</f>
        <v>0</v>
      </c>
      <c r="O44" s="184">
        <f>DPRavg!D68</f>
        <v>0</v>
      </c>
      <c r="V44" s="144" t="s">
        <v>57</v>
      </c>
      <c r="W44" s="499">
        <f>HLOOKUP(W$4,Storage_Reconciled_prod_chosen!$D$45:$CU$61,Storage_Reconciled_prod_chosen!$C50,FALSE)</f>
        <v>3.7999999999999999E-2</v>
      </c>
      <c r="X44" s="499">
        <f>HLOOKUP(X$4,Storage_Reconciled_prod_chosen!$D$45:$CU$61,Storage_Reconciled_prod_chosen!$C50,FALSE)</f>
        <v>3.9E-2</v>
      </c>
      <c r="Y44" s="499">
        <f>HLOOKUP(Y$4,Storage_Reconciled_prod_chosen!$D$45:$CU$61,Storage_Reconciled_prod_chosen!$C50,FALSE)</f>
        <v>3.7999999999999999E-2</v>
      </c>
      <c r="Z44" s="499">
        <f>HLOOKUP(Z$4,Storage_Reconciled_prod_chosen!$D$45:$CU$61,Storage_Reconciled_prod_chosen!$C50,FALSE)</f>
        <v>0.04</v>
      </c>
      <c r="AA44" s="499">
        <f>HLOOKUP(AA$4,Storage_Reconciled_prod_chosen!$D$45:$CU$61,Storage_Reconciled_prod_chosen!$C50,FALSE)</f>
        <v>0</v>
      </c>
      <c r="AB44" s="499">
        <f>HLOOKUP(AB$4,Storage_Reconciled_prod_chosen!$D$45:$CU$61,Storage_Reconciled_prod_chosen!$C50,FALSE)</f>
        <v>0</v>
      </c>
      <c r="AC44" s="499">
        <f>HLOOKUP(AC$4,Storage_Reconciled_prod_chosen!$D$45:$CU$61,Storage_Reconciled_prod_chosen!$C50,FALSE)</f>
        <v>0</v>
      </c>
      <c r="AD44" s="499">
        <f>HLOOKUP(AD$4,Storage_Reconciled_prod_chosen!$D$45:$CU$61,Storage_Reconciled_prod_chosen!$C50,FALSE)</f>
        <v>0</v>
      </c>
      <c r="AE44" s="499">
        <f>HLOOKUP(AE$4,Storage_Reconciled_prod_chosen!$D$45:$CU$61,Storage_Reconciled_prod_chosen!$C50,FALSE)</f>
        <v>0</v>
      </c>
      <c r="AF44" s="499">
        <f>HLOOKUP(AF$4,Storage_Reconciled_prod_chosen!$D$45:$CU$61,Storage_Reconciled_prod_chosen!$C50,FALSE)</f>
        <v>0</v>
      </c>
      <c r="AG44" s="499">
        <f>HLOOKUP(AG$4,Storage_Reconciled_prod_chosen!$D$45:$CU$61,Storage_Reconciled_prod_chosen!$C50,FALSE)</f>
        <v>0</v>
      </c>
      <c r="AH44" s="499">
        <f>HLOOKUP(AH$4,Storage_Reconciled_prod_chosen!$D$45:$CU$61,Storage_Reconciled_prod_chosen!$C50,FALSE)</f>
        <v>0</v>
      </c>
    </row>
    <row r="45" spans="3:65">
      <c r="C45" s="144" t="s">
        <v>58</v>
      </c>
      <c r="D45" s="184">
        <f>DPRavg!E13</f>
        <v>4.2489593707596425E-2</v>
      </c>
      <c r="E45" s="184">
        <f>DPRavg!E18</f>
        <v>3.5296588683223121E-2</v>
      </c>
      <c r="F45" s="184">
        <f>DPRavg!E23</f>
        <v>4.0650946576890813E-2</v>
      </c>
      <c r="G45" s="184">
        <f>DPRavg!E28</f>
        <v>3.4149455543868758E-2</v>
      </c>
      <c r="H45" s="184">
        <f>DPRavg!E33</f>
        <v>4.4524521924801316E-2</v>
      </c>
      <c r="I45" s="184">
        <f>DPRavg!E38</f>
        <v>0</v>
      </c>
      <c r="J45" s="184">
        <f>DPRavg!E43</f>
        <v>0</v>
      </c>
      <c r="K45" s="184">
        <f>DPRavg!E48</f>
        <v>0</v>
      </c>
      <c r="L45" s="184">
        <f>DPRavg!E53</f>
        <v>0</v>
      </c>
      <c r="M45" s="184">
        <f>DPRavg!E58</f>
        <v>0</v>
      </c>
      <c r="N45" s="184">
        <f>DPRavg!E63</f>
        <v>0</v>
      </c>
      <c r="O45" s="184">
        <f>DPRavg!E68</f>
        <v>0</v>
      </c>
      <c r="V45" s="144" t="s">
        <v>58</v>
      </c>
      <c r="W45" s="499">
        <f>HLOOKUP(W$4,Storage_Reconciled_prod_chosen!$D$45:$CU$61,Storage_Reconciled_prod_chosen!$C51,FALSE)</f>
        <v>4.2999999999999997E-2</v>
      </c>
      <c r="X45" s="499">
        <f>HLOOKUP(X$4,Storage_Reconciled_prod_chosen!$D$45:$CU$61,Storage_Reconciled_prod_chosen!$C51,FALSE)</f>
        <v>3.6999999999999998E-2</v>
      </c>
      <c r="Y45" s="499">
        <f>HLOOKUP(Y$4,Storage_Reconciled_prod_chosen!$D$45:$CU$61,Storage_Reconciled_prod_chosen!$C51,FALSE)</f>
        <v>3.9E-2</v>
      </c>
      <c r="Z45" s="499">
        <f>HLOOKUP(Z$4,Storage_Reconciled_prod_chosen!$D$45:$CU$61,Storage_Reconciled_prod_chosen!$C51,FALSE)</f>
        <v>3.4000000000000002E-2</v>
      </c>
      <c r="AA45" s="499">
        <f>HLOOKUP(AA$4,Storage_Reconciled_prod_chosen!$D$45:$CU$61,Storage_Reconciled_prod_chosen!$C51,FALSE)</f>
        <v>0</v>
      </c>
      <c r="AB45" s="499">
        <f>HLOOKUP(AB$4,Storage_Reconciled_prod_chosen!$D$45:$CU$61,Storage_Reconciled_prod_chosen!$C51,FALSE)</f>
        <v>0</v>
      </c>
      <c r="AC45" s="499">
        <f>HLOOKUP(AC$4,Storage_Reconciled_prod_chosen!$D$45:$CU$61,Storage_Reconciled_prod_chosen!$C51,FALSE)</f>
        <v>0</v>
      </c>
      <c r="AD45" s="499">
        <f>HLOOKUP(AD$4,Storage_Reconciled_prod_chosen!$D$45:$CU$61,Storage_Reconciled_prod_chosen!$C51,FALSE)</f>
        <v>0</v>
      </c>
      <c r="AE45" s="499">
        <f>HLOOKUP(AE$4,Storage_Reconciled_prod_chosen!$D$45:$CU$61,Storage_Reconciled_prod_chosen!$C51,FALSE)</f>
        <v>0</v>
      </c>
      <c r="AF45" s="499">
        <f>HLOOKUP(AF$4,Storage_Reconciled_prod_chosen!$D$45:$CU$61,Storage_Reconciled_prod_chosen!$C51,FALSE)</f>
        <v>0</v>
      </c>
      <c r="AG45" s="499">
        <f>HLOOKUP(AG$4,Storage_Reconciled_prod_chosen!$D$45:$CU$61,Storage_Reconciled_prod_chosen!$C51,FALSE)</f>
        <v>0</v>
      </c>
      <c r="AH45" s="499">
        <f>HLOOKUP(AH$4,Storage_Reconciled_prod_chosen!$D$45:$CU$61,Storage_Reconciled_prod_chosen!$C51,FALSE)</f>
        <v>0</v>
      </c>
    </row>
    <row r="46" spans="3:65">
      <c r="C46" s="144" t="s">
        <v>59</v>
      </c>
      <c r="D46" s="184">
        <f>DPRavg!G13</f>
        <v>9.9170410555023281E-3</v>
      </c>
      <c r="E46" s="184">
        <f>DPRavg!G18</f>
        <v>1.0171904667033044E-2</v>
      </c>
      <c r="F46" s="184">
        <f>DPRavg!G23</f>
        <v>1.0608919065739936E-2</v>
      </c>
      <c r="G46" s="184">
        <f>DPRavg!G28</f>
        <v>1.1142760988156272E-2</v>
      </c>
      <c r="H46" s="184">
        <f>DPRavg!G33</f>
        <v>1.1377565889520215E-2</v>
      </c>
      <c r="I46" s="184">
        <f>DPRavg!G38</f>
        <v>0</v>
      </c>
      <c r="J46" s="184">
        <f>DPRavg!G43</f>
        <v>0</v>
      </c>
      <c r="K46" s="184">
        <f>DPRavg!G48</f>
        <v>0</v>
      </c>
      <c r="L46" s="184">
        <f>DPRavg!G53</f>
        <v>0</v>
      </c>
      <c r="M46" s="184">
        <f>DPRavg!G58</f>
        <v>0</v>
      </c>
      <c r="N46" s="184">
        <f>DPRavg!G63</f>
        <v>0</v>
      </c>
      <c r="O46" s="184">
        <f>DPRavg!G68</f>
        <v>0</v>
      </c>
      <c r="V46" s="144" t="s">
        <v>59</v>
      </c>
      <c r="W46" s="499">
        <f>HLOOKUP(W$4,Storage_Reconciled_prod_chosen!$D$45:$CU$61,Storage_Reconciled_prod_chosen!$C52,FALSE)</f>
        <v>0.01</v>
      </c>
      <c r="X46" s="499">
        <f>HLOOKUP(X$4,Storage_Reconciled_prod_chosen!$D$45:$CU$61,Storage_Reconciled_prod_chosen!$C52,FALSE)</f>
        <v>0.01</v>
      </c>
      <c r="Y46" s="499">
        <f>HLOOKUP(Y$4,Storage_Reconciled_prod_chosen!$D$45:$CU$61,Storage_Reconciled_prod_chosen!$C52,FALSE)</f>
        <v>1.0999999999999999E-2</v>
      </c>
      <c r="Z46" s="499">
        <f>HLOOKUP(Z$4,Storage_Reconciled_prod_chosen!$D$45:$CU$61,Storage_Reconciled_prod_chosen!$C52,FALSE)</f>
        <v>1.0999999999999999E-2</v>
      </c>
      <c r="AA46" s="499">
        <f>HLOOKUP(AA$4,Storage_Reconciled_prod_chosen!$D$45:$CU$61,Storage_Reconciled_prod_chosen!$C52,FALSE)</f>
        <v>0</v>
      </c>
      <c r="AB46" s="499">
        <f>HLOOKUP(AB$4,Storage_Reconciled_prod_chosen!$D$45:$CU$61,Storage_Reconciled_prod_chosen!$C52,FALSE)</f>
        <v>0</v>
      </c>
      <c r="AC46" s="499">
        <f>HLOOKUP(AC$4,Storage_Reconciled_prod_chosen!$D$45:$CU$61,Storage_Reconciled_prod_chosen!$C52,FALSE)</f>
        <v>0</v>
      </c>
      <c r="AD46" s="499">
        <f>HLOOKUP(AD$4,Storage_Reconciled_prod_chosen!$D$45:$CU$61,Storage_Reconciled_prod_chosen!$C52,FALSE)</f>
        <v>0</v>
      </c>
      <c r="AE46" s="499">
        <f>HLOOKUP(AE$4,Storage_Reconciled_prod_chosen!$D$45:$CU$61,Storage_Reconciled_prod_chosen!$C52,FALSE)</f>
        <v>0</v>
      </c>
      <c r="AF46" s="499">
        <f>HLOOKUP(AF$4,Storage_Reconciled_prod_chosen!$D$45:$CU$61,Storage_Reconciled_prod_chosen!$C52,FALSE)</f>
        <v>0</v>
      </c>
      <c r="AG46" s="499">
        <f>HLOOKUP(AG$4,Storage_Reconciled_prod_chosen!$D$45:$CU$61,Storage_Reconciled_prod_chosen!$C52,FALSE)</f>
        <v>0</v>
      </c>
      <c r="AH46" s="499">
        <f>HLOOKUP(AH$4,Storage_Reconciled_prod_chosen!$D$45:$CU$61,Storage_Reconciled_prod_chosen!$C52,FALSE)</f>
        <v>0</v>
      </c>
    </row>
    <row r="47" spans="3:65">
      <c r="C47" s="144" t="s">
        <v>63</v>
      </c>
      <c r="D47" s="184">
        <f>DPRavg!F13</f>
        <v>5.0926574059423704E-2</v>
      </c>
      <c r="E47" s="184">
        <f>DPRavg!F18</f>
        <v>6.2393391948785501E-2</v>
      </c>
      <c r="F47" s="184">
        <f>DPRavg!F23</f>
        <v>5.9310968230281758E-2</v>
      </c>
      <c r="G47" s="184">
        <f>DPRavg!F28</f>
        <v>6.032604990196571E-2</v>
      </c>
      <c r="H47" s="184">
        <f>DPRavg!F33</f>
        <v>6.2181402660837964E-2</v>
      </c>
      <c r="I47" s="184">
        <f>DPRavg!F38</f>
        <v>0</v>
      </c>
      <c r="J47" s="184">
        <f>DPRavg!F43</f>
        <v>0</v>
      </c>
      <c r="K47" s="184">
        <f>DPRavg!F48</f>
        <v>0</v>
      </c>
      <c r="L47" s="184">
        <f>DPRavg!F53</f>
        <v>0</v>
      </c>
      <c r="M47" s="184">
        <f>DPRavg!F58</f>
        <v>0</v>
      </c>
      <c r="N47" s="184">
        <f>DPRavg!F63</f>
        <v>0</v>
      </c>
      <c r="O47" s="184">
        <f>DPRavg!F68</f>
        <v>0</v>
      </c>
      <c r="V47" s="144" t="s">
        <v>63</v>
      </c>
      <c r="W47" s="499">
        <f>HLOOKUP(W$4,Storage_Reconciled_prod_chosen!$D$45:$CU$61,Storage_Reconciled_prod_chosen!$C53,FALSE)</f>
        <v>5.1999999999999998E-2</v>
      </c>
      <c r="X47" s="499">
        <f>HLOOKUP(X$4,Storage_Reconciled_prod_chosen!$D$45:$CU$61,Storage_Reconciled_prod_chosen!$C53,FALSE)</f>
        <v>6.4000000000000001E-2</v>
      </c>
      <c r="Y47" s="499">
        <f>HLOOKUP(Y$4,Storage_Reconciled_prod_chosen!$D$45:$CU$61,Storage_Reconciled_prod_chosen!$C53,FALSE)</f>
        <v>6.0999999999999999E-2</v>
      </c>
      <c r="Z47" s="499">
        <f>HLOOKUP(Z$4,Storage_Reconciled_prod_chosen!$D$45:$CU$61,Storage_Reconciled_prod_chosen!$C53,FALSE)</f>
        <v>0.06</v>
      </c>
      <c r="AA47" s="499">
        <f>HLOOKUP(AA$4,Storage_Reconciled_prod_chosen!$D$45:$CU$61,Storage_Reconciled_prod_chosen!$C53,FALSE)</f>
        <v>0</v>
      </c>
      <c r="AB47" s="499">
        <f>HLOOKUP(AB$4,Storage_Reconciled_prod_chosen!$D$45:$CU$61,Storage_Reconciled_prod_chosen!$C53,FALSE)</f>
        <v>0</v>
      </c>
      <c r="AC47" s="499">
        <f>HLOOKUP(AC$4,Storage_Reconciled_prod_chosen!$D$45:$CU$61,Storage_Reconciled_prod_chosen!$C53,FALSE)</f>
        <v>0</v>
      </c>
      <c r="AD47" s="499">
        <f>HLOOKUP(AD$4,Storage_Reconciled_prod_chosen!$D$45:$CU$61,Storage_Reconciled_prod_chosen!$C53,FALSE)</f>
        <v>0</v>
      </c>
      <c r="AE47" s="499">
        <f>HLOOKUP(AE$4,Storage_Reconciled_prod_chosen!$D$45:$CU$61,Storage_Reconciled_prod_chosen!$C53,FALSE)</f>
        <v>0</v>
      </c>
      <c r="AF47" s="499">
        <f>HLOOKUP(AF$4,Storage_Reconciled_prod_chosen!$D$45:$CU$61,Storage_Reconciled_prod_chosen!$C53,FALSE)</f>
        <v>0</v>
      </c>
      <c r="AG47" s="499">
        <f>HLOOKUP(AG$4,Storage_Reconciled_prod_chosen!$D$45:$CU$61,Storage_Reconciled_prod_chosen!$C53,FALSE)</f>
        <v>0</v>
      </c>
      <c r="AH47" s="499">
        <f>HLOOKUP(AH$4,Storage_Reconciled_prod_chosen!$D$45:$CU$61,Storage_Reconciled_prod_chosen!$C53,FALSE)</f>
        <v>0</v>
      </c>
    </row>
    <row r="48" spans="3:65">
      <c r="C48" s="144" t="s">
        <v>64</v>
      </c>
      <c r="D48" s="184">
        <f>DPRavg!N13</f>
        <v>3.7086393572731318E-3</v>
      </c>
      <c r="E48" s="184">
        <f>DPRavg!N18</f>
        <v>3.7936954455075394E-3</v>
      </c>
      <c r="F48" s="184">
        <f>DPRavg!N23</f>
        <v>3.6779310244846684E-3</v>
      </c>
      <c r="G48" s="184">
        <f>DPRavg!N28</f>
        <v>3.8006409582048155E-3</v>
      </c>
      <c r="H48" s="184">
        <f>DPRavg!N33</f>
        <v>3.7780063432218142E-3</v>
      </c>
      <c r="I48" s="184">
        <f>DPRavg!N38</f>
        <v>0</v>
      </c>
      <c r="J48" s="184">
        <f>DPRavg!N43</f>
        <v>0</v>
      </c>
      <c r="K48" s="184">
        <f>DPRavg!N48</f>
        <v>0</v>
      </c>
      <c r="L48" s="184">
        <f>DPRavg!N53</f>
        <v>0</v>
      </c>
      <c r="M48" s="184">
        <f>DPRavg!N58</f>
        <v>0</v>
      </c>
      <c r="N48" s="184">
        <f>DPRavg!N63</f>
        <v>0</v>
      </c>
      <c r="O48" s="184">
        <f>DPRavg!N68</f>
        <v>0</v>
      </c>
      <c r="V48" s="144" t="s">
        <v>64</v>
      </c>
      <c r="W48" s="499">
        <f>HLOOKUP(W$4,Storage_Reconciled_prod_chosen!$D$45:$CU$61,Storage_Reconciled_prod_chosen!$C54,FALSE)</f>
        <v>4.0000000000000001E-3</v>
      </c>
      <c r="X48" s="499">
        <f>HLOOKUP(X$4,Storage_Reconciled_prod_chosen!$D$45:$CU$61,Storage_Reconciled_prod_chosen!$C54,FALSE)</f>
        <v>4.0000000000000001E-3</v>
      </c>
      <c r="Y48" s="499">
        <f>HLOOKUP(Y$4,Storage_Reconciled_prod_chosen!$D$45:$CU$61,Storage_Reconciled_prod_chosen!$C54,FALSE)</f>
        <v>3.0000000000000001E-3</v>
      </c>
      <c r="Z48" s="499">
        <f>HLOOKUP(Z$4,Storage_Reconciled_prod_chosen!$D$45:$CU$61,Storage_Reconciled_prod_chosen!$C54,FALSE)</f>
        <v>4.0000000000000001E-3</v>
      </c>
      <c r="AA48" s="499">
        <f>HLOOKUP(AA$4,Storage_Reconciled_prod_chosen!$D$45:$CU$61,Storage_Reconciled_prod_chosen!$C54,FALSE)</f>
        <v>0</v>
      </c>
      <c r="AB48" s="499">
        <f>HLOOKUP(AB$4,Storage_Reconciled_prod_chosen!$D$45:$CU$61,Storage_Reconciled_prod_chosen!$C54,FALSE)</f>
        <v>0</v>
      </c>
      <c r="AC48" s="499">
        <f>HLOOKUP(AC$4,Storage_Reconciled_prod_chosen!$D$45:$CU$61,Storage_Reconciled_prod_chosen!$C54,FALSE)</f>
        <v>0</v>
      </c>
      <c r="AD48" s="499">
        <f>HLOOKUP(AD$4,Storage_Reconciled_prod_chosen!$D$45:$CU$61,Storage_Reconciled_prod_chosen!$C54,FALSE)</f>
        <v>0</v>
      </c>
      <c r="AE48" s="499">
        <f>HLOOKUP(AE$4,Storage_Reconciled_prod_chosen!$D$45:$CU$61,Storage_Reconciled_prod_chosen!$C54,FALSE)</f>
        <v>0</v>
      </c>
      <c r="AF48" s="499">
        <f>HLOOKUP(AF$4,Storage_Reconciled_prod_chosen!$D$45:$CU$61,Storage_Reconciled_prod_chosen!$C54,FALSE)</f>
        <v>0</v>
      </c>
      <c r="AG48" s="499">
        <f>HLOOKUP(AG$4,Storage_Reconciled_prod_chosen!$D$45:$CU$61,Storage_Reconciled_prod_chosen!$C54,FALSE)</f>
        <v>0</v>
      </c>
      <c r="AH48" s="499">
        <f>HLOOKUP(AH$4,Storage_Reconciled_prod_chosen!$D$45:$CU$61,Storage_Reconciled_prod_chosen!$C54,FALSE)</f>
        <v>0</v>
      </c>
    </row>
    <row r="49" spans="3:34">
      <c r="C49" s="144" t="s">
        <v>65</v>
      </c>
      <c r="D49" s="184">
        <f>DPRavg!O13</f>
        <v>7.7997558749886278E-3</v>
      </c>
      <c r="E49" s="184">
        <f>DPRavg!O18</f>
        <v>1.0292541073336423E-2</v>
      </c>
      <c r="F49" s="184">
        <f>DPRavg!O23</f>
        <v>1.0058203191633594E-2</v>
      </c>
      <c r="G49" s="184">
        <f>DPRavg!O28</f>
        <v>1.0768583655054903E-2</v>
      </c>
      <c r="H49" s="184">
        <f>DPRavg!O33</f>
        <v>1.0772601919589167E-2</v>
      </c>
      <c r="I49" s="184">
        <f>DPRavg!O38</f>
        <v>0</v>
      </c>
      <c r="J49" s="184">
        <f>DPRavg!O43</f>
        <v>0</v>
      </c>
      <c r="K49" s="184">
        <f>DPRavg!O48</f>
        <v>0</v>
      </c>
      <c r="L49" s="184">
        <f>DPRavg!O53</f>
        <v>0</v>
      </c>
      <c r="M49" s="184">
        <f>DPRavg!O58</f>
        <v>0</v>
      </c>
      <c r="N49" s="184">
        <f>DPRavg!O63</f>
        <v>0</v>
      </c>
      <c r="O49" s="184">
        <f>DPRavg!O68</f>
        <v>0</v>
      </c>
      <c r="V49" s="144" t="s">
        <v>65</v>
      </c>
      <c r="W49" s="499">
        <f>HLOOKUP(W$4,Storage_Reconciled_prod_chosen!$D$45:$CU$61,Storage_Reconciled_prod_chosen!$C55,FALSE)</f>
        <v>8.0000000000000002E-3</v>
      </c>
      <c r="X49" s="499">
        <f>HLOOKUP(X$4,Storage_Reconciled_prod_chosen!$D$45:$CU$61,Storage_Reconciled_prod_chosen!$C55,FALSE)</f>
        <v>0.01</v>
      </c>
      <c r="Y49" s="499">
        <f>HLOOKUP(Y$4,Storage_Reconciled_prod_chosen!$D$45:$CU$61,Storage_Reconciled_prod_chosen!$C55,FALSE)</f>
        <v>0.01</v>
      </c>
      <c r="Z49" s="499">
        <f>HLOOKUP(Z$4,Storage_Reconciled_prod_chosen!$D$45:$CU$61,Storage_Reconciled_prod_chosen!$C55,FALSE)</f>
        <v>1.0999999999999999E-2</v>
      </c>
      <c r="AA49" s="499">
        <f>HLOOKUP(AA$4,Storage_Reconciled_prod_chosen!$D$45:$CU$61,Storage_Reconciled_prod_chosen!$C55,FALSE)</f>
        <v>0</v>
      </c>
      <c r="AB49" s="499">
        <f>HLOOKUP(AB$4,Storage_Reconciled_prod_chosen!$D$45:$CU$61,Storage_Reconciled_prod_chosen!$C55,FALSE)</f>
        <v>0</v>
      </c>
      <c r="AC49" s="499">
        <f>HLOOKUP(AC$4,Storage_Reconciled_prod_chosen!$D$45:$CU$61,Storage_Reconciled_prod_chosen!$C55,FALSE)</f>
        <v>0</v>
      </c>
      <c r="AD49" s="499">
        <f>HLOOKUP(AD$4,Storage_Reconciled_prod_chosen!$D$45:$CU$61,Storage_Reconciled_prod_chosen!$C55,FALSE)</f>
        <v>0</v>
      </c>
      <c r="AE49" s="499">
        <f>HLOOKUP(AE$4,Storage_Reconciled_prod_chosen!$D$45:$CU$61,Storage_Reconciled_prod_chosen!$C55,FALSE)</f>
        <v>0</v>
      </c>
      <c r="AF49" s="499">
        <f>HLOOKUP(AF$4,Storage_Reconciled_prod_chosen!$D$45:$CU$61,Storage_Reconciled_prod_chosen!$C55,FALSE)</f>
        <v>0</v>
      </c>
      <c r="AG49" s="499">
        <f>HLOOKUP(AG$4,Storage_Reconciled_prod_chosen!$D$45:$CU$61,Storage_Reconciled_prod_chosen!$C55,FALSE)</f>
        <v>0</v>
      </c>
      <c r="AH49" s="499">
        <f>HLOOKUP(AH$4,Storage_Reconciled_prod_chosen!$D$45:$CU$61,Storage_Reconciled_prod_chosen!$C55,FALSE)</f>
        <v>0</v>
      </c>
    </row>
    <row r="50" spans="3:34">
      <c r="C50" s="144" t="s">
        <v>66</v>
      </c>
      <c r="D50" s="184">
        <f>DPRavg!M13</f>
        <v>3.7919538064039852E-2</v>
      </c>
      <c r="E50" s="184">
        <f>DPRavg!M18</f>
        <v>4.3937275597847575E-2</v>
      </c>
      <c r="F50" s="184">
        <f>DPRavg!M23</f>
        <v>6.7232908147647902E-2</v>
      </c>
      <c r="G50" s="184">
        <f>DPRavg!M28</f>
        <v>5.3738503945931902E-2</v>
      </c>
      <c r="H50" s="184">
        <f>DPRavg!M33</f>
        <v>7.0161706048396735E-2</v>
      </c>
      <c r="I50" s="184">
        <f>DPRavg!M38</f>
        <v>0</v>
      </c>
      <c r="J50" s="184">
        <f>DPRavg!M43</f>
        <v>0</v>
      </c>
      <c r="K50" s="184">
        <f>DPRavg!M48</f>
        <v>0</v>
      </c>
      <c r="L50" s="184">
        <f>DPRavg!M53</f>
        <v>0</v>
      </c>
      <c r="M50" s="184">
        <f>DPRavg!M58</f>
        <v>0</v>
      </c>
      <c r="N50" s="184">
        <f>DPRavg!M63</f>
        <v>0</v>
      </c>
      <c r="O50" s="184">
        <f>DPRavg!M68</f>
        <v>0</v>
      </c>
      <c r="V50" s="144" t="s">
        <v>66</v>
      </c>
      <c r="W50" s="499">
        <f>HLOOKUP(W$4,Storage_Reconciled_prod_chosen!$D$45:$CU$61,Storage_Reconciled_prod_chosen!$C56,FALSE)</f>
        <v>3.7999999999999999E-2</v>
      </c>
      <c r="X50" s="499">
        <f>HLOOKUP(X$4,Storage_Reconciled_prod_chosen!$D$45:$CU$61,Storage_Reconciled_prod_chosen!$C56,FALSE)</f>
        <v>4.3999999999999997E-2</v>
      </c>
      <c r="Y50" s="499">
        <f>HLOOKUP(Y$4,Storage_Reconciled_prod_chosen!$D$45:$CU$61,Storage_Reconciled_prod_chosen!$C56,FALSE)</f>
        <v>6.7000000000000004E-2</v>
      </c>
      <c r="Z50" s="499">
        <f>HLOOKUP(Z$4,Storage_Reconciled_prod_chosen!$D$45:$CU$61,Storage_Reconciled_prod_chosen!$C56,FALSE)</f>
        <v>5.3999999999999999E-2</v>
      </c>
      <c r="AA50" s="499">
        <f>HLOOKUP(AA$4,Storage_Reconciled_prod_chosen!$D$45:$CU$61,Storage_Reconciled_prod_chosen!$C56,FALSE)</f>
        <v>0</v>
      </c>
      <c r="AB50" s="499">
        <f>HLOOKUP(AB$4,Storage_Reconciled_prod_chosen!$D$45:$CU$61,Storage_Reconciled_prod_chosen!$C56,FALSE)</f>
        <v>0</v>
      </c>
      <c r="AC50" s="499">
        <f>HLOOKUP(AC$4,Storage_Reconciled_prod_chosen!$D$45:$CU$61,Storage_Reconciled_prod_chosen!$C56,FALSE)</f>
        <v>0</v>
      </c>
      <c r="AD50" s="499">
        <f>HLOOKUP(AD$4,Storage_Reconciled_prod_chosen!$D$45:$CU$61,Storage_Reconciled_prod_chosen!$C56,FALSE)</f>
        <v>0</v>
      </c>
      <c r="AE50" s="499">
        <f>HLOOKUP(AE$4,Storage_Reconciled_prod_chosen!$D$45:$CU$61,Storage_Reconciled_prod_chosen!$C56,FALSE)</f>
        <v>0</v>
      </c>
      <c r="AF50" s="499">
        <f>HLOOKUP(AF$4,Storage_Reconciled_prod_chosen!$D$45:$CU$61,Storage_Reconciled_prod_chosen!$C56,FALSE)</f>
        <v>0</v>
      </c>
      <c r="AG50" s="499">
        <f>HLOOKUP(AG$4,Storage_Reconciled_prod_chosen!$D$45:$CU$61,Storage_Reconciled_prod_chosen!$C56,FALSE)</f>
        <v>0</v>
      </c>
      <c r="AH50" s="499">
        <f>HLOOKUP(AH$4,Storage_Reconciled_prod_chosen!$D$45:$CU$61,Storage_Reconciled_prod_chosen!$C56,FALSE)</f>
        <v>0</v>
      </c>
    </row>
    <row r="51" spans="3:34">
      <c r="C51" s="144" t="s">
        <v>67</v>
      </c>
      <c r="D51" s="184">
        <f>DPRavg!K13</f>
        <v>5.5203033554003147E-2</v>
      </c>
      <c r="E51" s="184">
        <f>DPRavg!K18</f>
        <v>5.6746633553789463E-2</v>
      </c>
      <c r="F51" s="184">
        <f>DPRavg!K23</f>
        <v>5.2356336979054674E-2</v>
      </c>
      <c r="G51" s="184">
        <f>DPRavg!K28</f>
        <v>5.9382436293150667E-2</v>
      </c>
      <c r="H51" s="184">
        <f>DPRavg!K33</f>
        <v>5.741999622492916E-2</v>
      </c>
      <c r="I51" s="184">
        <f>DPRavg!K38</f>
        <v>0</v>
      </c>
      <c r="J51" s="184">
        <f>DPRavg!K43</f>
        <v>0</v>
      </c>
      <c r="K51" s="184">
        <f>DPRavg!K48</f>
        <v>0</v>
      </c>
      <c r="L51" s="184">
        <f>DPRavg!K53</f>
        <v>0</v>
      </c>
      <c r="M51" s="184">
        <f>DPRavg!K58</f>
        <v>0</v>
      </c>
      <c r="N51" s="184">
        <f>DPRavg!K63</f>
        <v>0</v>
      </c>
      <c r="O51" s="184">
        <f>DPRavg!K68</f>
        <v>0</v>
      </c>
      <c r="V51" s="144" t="s">
        <v>67</v>
      </c>
      <c r="W51" s="499">
        <f>HLOOKUP(W$4,Storage_Reconciled_prod_chosen!$D$45:$CU$61,Storage_Reconciled_prod_chosen!$C57,FALSE)</f>
        <v>5.5E-2</v>
      </c>
      <c r="X51" s="499">
        <f>HLOOKUP(X$4,Storage_Reconciled_prod_chosen!$D$45:$CU$61,Storage_Reconciled_prod_chosen!$C57,FALSE)</f>
        <v>5.7000000000000002E-2</v>
      </c>
      <c r="Y51" s="499">
        <f>HLOOKUP(Y$4,Storage_Reconciled_prod_chosen!$D$45:$CU$61,Storage_Reconciled_prod_chosen!$C57,FALSE)</f>
        <v>5.1999999999999998E-2</v>
      </c>
      <c r="Z51" s="499">
        <f>HLOOKUP(Z$4,Storage_Reconciled_prod_chosen!$D$45:$CU$61,Storage_Reconciled_prod_chosen!$C57,FALSE)</f>
        <v>5.8999999999999997E-2</v>
      </c>
      <c r="AA51" s="499">
        <f>HLOOKUP(AA$4,Storage_Reconciled_prod_chosen!$D$45:$CU$61,Storage_Reconciled_prod_chosen!$C57,FALSE)</f>
        <v>0</v>
      </c>
      <c r="AB51" s="499">
        <f>HLOOKUP(AB$4,Storage_Reconciled_prod_chosen!$D$45:$CU$61,Storage_Reconciled_prod_chosen!$C57,FALSE)</f>
        <v>0</v>
      </c>
      <c r="AC51" s="499">
        <f>HLOOKUP(AC$4,Storage_Reconciled_prod_chosen!$D$45:$CU$61,Storage_Reconciled_prod_chosen!$C57,FALSE)</f>
        <v>0</v>
      </c>
      <c r="AD51" s="499">
        <f>HLOOKUP(AD$4,Storage_Reconciled_prod_chosen!$D$45:$CU$61,Storage_Reconciled_prod_chosen!$C57,FALSE)</f>
        <v>0</v>
      </c>
      <c r="AE51" s="499">
        <f>HLOOKUP(AE$4,Storage_Reconciled_prod_chosen!$D$45:$CU$61,Storage_Reconciled_prod_chosen!$C57,FALSE)</f>
        <v>0</v>
      </c>
      <c r="AF51" s="499">
        <f>HLOOKUP(AF$4,Storage_Reconciled_prod_chosen!$D$45:$CU$61,Storage_Reconciled_prod_chosen!$C57,FALSE)</f>
        <v>0</v>
      </c>
      <c r="AG51" s="499">
        <f>HLOOKUP(AG$4,Storage_Reconciled_prod_chosen!$D$45:$CU$61,Storage_Reconciled_prod_chosen!$C57,FALSE)</f>
        <v>0</v>
      </c>
      <c r="AH51" s="499">
        <f>HLOOKUP(AH$4,Storage_Reconciled_prod_chosen!$D$45:$CU$61,Storage_Reconciled_prod_chosen!$C57,FALSE)</f>
        <v>0</v>
      </c>
    </row>
    <row r="52" spans="3:34">
      <c r="C52" s="144" t="s">
        <v>68</v>
      </c>
      <c r="D52" s="184">
        <f>DPRavg!L13</f>
        <v>1.3986220268785947E-2</v>
      </c>
      <c r="E52" s="184">
        <f>DPRavg!L18</f>
        <v>1.3515605383643665E-2</v>
      </c>
      <c r="F52" s="184">
        <f>DPRavg!L23</f>
        <v>1.3059089432188196E-2</v>
      </c>
      <c r="G52" s="184">
        <f>DPRavg!L28</f>
        <v>1.3115236821349612E-2</v>
      </c>
      <c r="H52" s="184">
        <f>DPRavg!L33</f>
        <v>1.3550622111245282E-2</v>
      </c>
      <c r="I52" s="184">
        <f>DPRavg!L38</f>
        <v>0</v>
      </c>
      <c r="J52" s="184">
        <f>DPRavg!L43</f>
        <v>0</v>
      </c>
      <c r="K52" s="184">
        <f>DPRavg!L48</f>
        <v>0</v>
      </c>
      <c r="L52" s="184">
        <f>DPRavg!L53</f>
        <v>0</v>
      </c>
      <c r="M52" s="184">
        <f>DPRavg!L58</f>
        <v>0</v>
      </c>
      <c r="N52" s="184">
        <f>DPRavg!L63</f>
        <v>0</v>
      </c>
      <c r="O52" s="184">
        <f>DPRavg!L68</f>
        <v>0</v>
      </c>
      <c r="V52" s="144" t="s">
        <v>68</v>
      </c>
      <c r="W52" s="499">
        <f>HLOOKUP(W$4,Storage_Reconciled_prod_chosen!$D$45:$CU$61,Storage_Reconciled_prod_chosen!$C58,FALSE)</f>
        <v>1.4E-2</v>
      </c>
      <c r="X52" s="499">
        <f>HLOOKUP(X$4,Storage_Reconciled_prod_chosen!$D$45:$CU$61,Storage_Reconciled_prod_chosen!$C58,FALSE)</f>
        <v>1.4E-2</v>
      </c>
      <c r="Y52" s="499">
        <f>HLOOKUP(Y$4,Storage_Reconciled_prod_chosen!$D$45:$CU$61,Storage_Reconciled_prod_chosen!$C58,FALSE)</f>
        <v>1.2999999999999999E-2</v>
      </c>
      <c r="Z52" s="499">
        <f>HLOOKUP(Z$4,Storage_Reconciled_prod_chosen!$D$45:$CU$61,Storage_Reconciled_prod_chosen!$C58,FALSE)</f>
        <v>1.2999999999999999E-2</v>
      </c>
      <c r="AA52" s="499">
        <f>HLOOKUP(AA$4,Storage_Reconciled_prod_chosen!$D$45:$CU$61,Storage_Reconciled_prod_chosen!$C58,FALSE)</f>
        <v>0</v>
      </c>
      <c r="AB52" s="499">
        <f>HLOOKUP(AB$4,Storage_Reconciled_prod_chosen!$D$45:$CU$61,Storage_Reconciled_prod_chosen!$C58,FALSE)</f>
        <v>0</v>
      </c>
      <c r="AC52" s="499">
        <f>HLOOKUP(AC$4,Storage_Reconciled_prod_chosen!$D$45:$CU$61,Storage_Reconciled_prod_chosen!$C58,FALSE)</f>
        <v>0</v>
      </c>
      <c r="AD52" s="499">
        <f>HLOOKUP(AD$4,Storage_Reconciled_prod_chosen!$D$45:$CU$61,Storage_Reconciled_prod_chosen!$C58,FALSE)</f>
        <v>0</v>
      </c>
      <c r="AE52" s="499">
        <f>HLOOKUP(AE$4,Storage_Reconciled_prod_chosen!$D$45:$CU$61,Storage_Reconciled_prod_chosen!$C58,FALSE)</f>
        <v>0</v>
      </c>
      <c r="AF52" s="499">
        <f>HLOOKUP(AF$4,Storage_Reconciled_prod_chosen!$D$45:$CU$61,Storage_Reconciled_prod_chosen!$C58,FALSE)</f>
        <v>0</v>
      </c>
      <c r="AG52" s="499">
        <f>HLOOKUP(AG$4,Storage_Reconciled_prod_chosen!$D$45:$CU$61,Storage_Reconciled_prod_chosen!$C58,FALSE)</f>
        <v>0</v>
      </c>
      <c r="AH52" s="499">
        <f>HLOOKUP(AH$4,Storage_Reconciled_prod_chosen!$D$45:$CU$61,Storage_Reconciled_prod_chosen!$C58,FALSE)</f>
        <v>0</v>
      </c>
    </row>
    <row r="53" spans="3:34">
      <c r="C53" s="144" t="s">
        <v>69</v>
      </c>
      <c r="D53" s="184">
        <f>DPRavg!P13</f>
        <v>0</v>
      </c>
      <c r="E53" s="184">
        <f>DPRavg!P18</f>
        <v>0</v>
      </c>
      <c r="F53" s="184">
        <f>DPRavg!P23</f>
        <v>0</v>
      </c>
      <c r="G53" s="184">
        <f>DPRavg!P28</f>
        <v>0</v>
      </c>
      <c r="H53" s="184">
        <f>DPRavg!P33</f>
        <v>0</v>
      </c>
      <c r="I53" s="184">
        <f>DPRavg!P38</f>
        <v>0</v>
      </c>
      <c r="J53" s="184">
        <f>DPRavg!P43</f>
        <v>0</v>
      </c>
      <c r="K53" s="184">
        <f>DPRavg!P48</f>
        <v>0</v>
      </c>
      <c r="L53" s="184">
        <f>DPRavg!P53</f>
        <v>0</v>
      </c>
      <c r="M53" s="184">
        <f>DPRavg!P58</f>
        <v>0</v>
      </c>
      <c r="N53" s="184">
        <f>DPRavg!P63</f>
        <v>0</v>
      </c>
      <c r="O53" s="184">
        <f>DPRavg!P68</f>
        <v>0</v>
      </c>
      <c r="V53" s="144" t="s">
        <v>69</v>
      </c>
      <c r="W53" s="499">
        <f>HLOOKUP(W$4,Storage_Reconciled_prod_chosen!$D$45:$CU$61,Storage_Reconciled_prod_chosen!$C59,FALSE)</f>
        <v>0</v>
      </c>
      <c r="X53" s="499">
        <f>HLOOKUP(X$4,Storage_Reconciled_prod_chosen!$D$45:$CU$61,Storage_Reconciled_prod_chosen!$C59,FALSE)</f>
        <v>0</v>
      </c>
      <c r="Y53" s="499">
        <f>HLOOKUP(Y$4,Storage_Reconciled_prod_chosen!$D$45:$CU$61,Storage_Reconciled_prod_chosen!$C59,FALSE)</f>
        <v>0</v>
      </c>
      <c r="Z53" s="499">
        <f>HLOOKUP(Z$4,Storage_Reconciled_prod_chosen!$D$45:$CU$61,Storage_Reconciled_prod_chosen!$C59,FALSE)</f>
        <v>0</v>
      </c>
      <c r="AA53" s="499">
        <f>HLOOKUP(AA$4,Storage_Reconciled_prod_chosen!$D$45:$CU$61,Storage_Reconciled_prod_chosen!$C59,FALSE)</f>
        <v>0</v>
      </c>
      <c r="AB53" s="499">
        <f>HLOOKUP(AB$4,Storage_Reconciled_prod_chosen!$D$45:$CU$61,Storage_Reconciled_prod_chosen!$C59,FALSE)</f>
        <v>0</v>
      </c>
      <c r="AC53" s="499">
        <f>HLOOKUP(AC$4,Storage_Reconciled_prod_chosen!$D$45:$CU$61,Storage_Reconciled_prod_chosen!$C59,FALSE)</f>
        <v>0</v>
      </c>
      <c r="AD53" s="499">
        <f>HLOOKUP(AD$4,Storage_Reconciled_prod_chosen!$D$45:$CU$61,Storage_Reconciled_prod_chosen!$C59,FALSE)</f>
        <v>0</v>
      </c>
      <c r="AE53" s="499">
        <f>HLOOKUP(AE$4,Storage_Reconciled_prod_chosen!$D$45:$CU$61,Storage_Reconciled_prod_chosen!$C59,FALSE)</f>
        <v>0</v>
      </c>
      <c r="AF53" s="499">
        <f>HLOOKUP(AF$4,Storage_Reconciled_prod_chosen!$D$45:$CU$61,Storage_Reconciled_prod_chosen!$C59,FALSE)</f>
        <v>0</v>
      </c>
      <c r="AG53" s="499">
        <f>HLOOKUP(AG$4,Storage_Reconciled_prod_chosen!$D$45:$CU$61,Storage_Reconciled_prod_chosen!$C59,FALSE)</f>
        <v>0</v>
      </c>
      <c r="AH53" s="499">
        <f>HLOOKUP(AH$4,Storage_Reconciled_prod_chosen!$D$45:$CU$61,Storage_Reconciled_prod_chosen!$C59,FALSE)</f>
        <v>0</v>
      </c>
    </row>
    <row r="54" spans="3:34">
      <c r="C54" s="144" t="s">
        <v>70</v>
      </c>
      <c r="D54" s="184">
        <f>DPRavg!Q13</f>
        <v>0</v>
      </c>
      <c r="E54" s="184">
        <f>DPRavg!Q18</f>
        <v>0</v>
      </c>
      <c r="F54" s="184">
        <f>DPRavg!Q23</f>
        <v>0</v>
      </c>
      <c r="G54" s="184">
        <f>DPRavg!Q28</f>
        <v>0</v>
      </c>
      <c r="H54" s="184">
        <f>DPRavg!Q33</f>
        <v>0</v>
      </c>
      <c r="I54" s="184">
        <f>DPRavg!Q38</f>
        <v>0</v>
      </c>
      <c r="J54" s="184">
        <f>DPRavg!Q43</f>
        <v>0</v>
      </c>
      <c r="K54" s="184">
        <f>DPRavg!Q48</f>
        <v>0</v>
      </c>
      <c r="L54" s="184">
        <f>DPRavg!Q53</f>
        <v>0</v>
      </c>
      <c r="M54" s="184">
        <f>DPRavg!Q58</f>
        <v>0</v>
      </c>
      <c r="N54" s="184">
        <f>DPRavg!Q63</f>
        <v>0</v>
      </c>
      <c r="O54" s="184">
        <f>DPRavg!Q68</f>
        <v>0</v>
      </c>
      <c r="V54" s="144" t="s">
        <v>70</v>
      </c>
      <c r="W54" s="499">
        <f>HLOOKUP(W$4,Storage_Reconciled_prod_chosen!$D$45:$CU$61,Storage_Reconciled_prod_chosen!$C60,FALSE)</f>
        <v>0</v>
      </c>
      <c r="X54" s="499">
        <f>HLOOKUP(X$4,Storage_Reconciled_prod_chosen!$D$45:$CU$61,Storage_Reconciled_prod_chosen!$C60,FALSE)</f>
        <v>0</v>
      </c>
      <c r="Y54" s="499">
        <f>HLOOKUP(Y$4,Storage_Reconciled_prod_chosen!$D$45:$CU$61,Storage_Reconciled_prod_chosen!$C60,FALSE)</f>
        <v>0</v>
      </c>
      <c r="Z54" s="499">
        <f>HLOOKUP(Z$4,Storage_Reconciled_prod_chosen!$D$45:$CU$61,Storage_Reconciled_prod_chosen!$C60,FALSE)</f>
        <v>0</v>
      </c>
      <c r="AA54" s="499">
        <f>HLOOKUP(AA$4,Storage_Reconciled_prod_chosen!$D$45:$CU$61,Storage_Reconciled_prod_chosen!$C60,FALSE)</f>
        <v>0</v>
      </c>
      <c r="AB54" s="499">
        <f>HLOOKUP(AB$4,Storage_Reconciled_prod_chosen!$D$45:$CU$61,Storage_Reconciled_prod_chosen!$C60,FALSE)</f>
        <v>0</v>
      </c>
      <c r="AC54" s="499">
        <f>HLOOKUP(AC$4,Storage_Reconciled_prod_chosen!$D$45:$CU$61,Storage_Reconciled_prod_chosen!$C60,FALSE)</f>
        <v>0</v>
      </c>
      <c r="AD54" s="499">
        <f>HLOOKUP(AD$4,Storage_Reconciled_prod_chosen!$D$45:$CU$61,Storage_Reconciled_prod_chosen!$C60,FALSE)</f>
        <v>0</v>
      </c>
      <c r="AE54" s="499">
        <f>HLOOKUP(AE$4,Storage_Reconciled_prod_chosen!$D$45:$CU$61,Storage_Reconciled_prod_chosen!$C60,FALSE)</f>
        <v>0</v>
      </c>
      <c r="AF54" s="499">
        <f>HLOOKUP(AF$4,Storage_Reconciled_prod_chosen!$D$45:$CU$61,Storage_Reconciled_prod_chosen!$C60,FALSE)</f>
        <v>0</v>
      </c>
      <c r="AG54" s="499">
        <f>HLOOKUP(AG$4,Storage_Reconciled_prod_chosen!$D$45:$CU$61,Storage_Reconciled_prod_chosen!$C60,FALSE)</f>
        <v>0</v>
      </c>
      <c r="AH54" s="499">
        <f>HLOOKUP(AH$4,Storage_Reconciled_prod_chosen!$D$45:$CU$61,Storage_Reconciled_prod_chosen!$C60,FALSE)</f>
        <v>0</v>
      </c>
    </row>
    <row r="56" spans="3:34">
      <c r="I56" t="s">
        <v>147</v>
      </c>
      <c r="AB56" t="s">
        <v>147</v>
      </c>
    </row>
    <row r="57" spans="3:34">
      <c r="W57" s="418">
        <f>$A$3*100+4</f>
        <v>202604</v>
      </c>
      <c r="X57" s="418">
        <f>$A$3*100+5</f>
        <v>202605</v>
      </c>
      <c r="Y57" s="418">
        <f>$A$3*100+6</f>
        <v>202606</v>
      </c>
      <c r="Z57" s="418">
        <f>$A$3*100+7</f>
        <v>202607</v>
      </c>
      <c r="AA57" s="418">
        <f>$A$3*100+8</f>
        <v>202608</v>
      </c>
      <c r="AB57" s="418">
        <f>$A$3*100+9</f>
        <v>202609</v>
      </c>
      <c r="AC57" s="418">
        <f>$A$3*100+10</f>
        <v>202610</v>
      </c>
      <c r="AD57" s="418">
        <f>$A$3*100+11</f>
        <v>202611</v>
      </c>
      <c r="AE57" s="418">
        <f>$A$3*100+12</f>
        <v>202612</v>
      </c>
      <c r="AF57" s="418">
        <f>$A$4*100+1</f>
        <v>202701</v>
      </c>
      <c r="AG57" s="418">
        <f>$A$4*100+2</f>
        <v>202702</v>
      </c>
      <c r="AH57" s="418">
        <f>$A$4*100+3</f>
        <v>202703</v>
      </c>
    </row>
    <row r="58" spans="3:34">
      <c r="C58" s="144" t="s">
        <v>60</v>
      </c>
      <c r="D58" s="184">
        <f>DPRavg!X13</f>
        <v>5.8211698927075693E-2</v>
      </c>
      <c r="E58" s="184">
        <f>DPRavg!X18</f>
        <v>5.1719822113737331E-2</v>
      </c>
      <c r="F58" s="184">
        <f>DPRavg!X23</f>
        <v>4.5969065247616431E-2</v>
      </c>
      <c r="G58" s="184">
        <f>DPRavg!X28</f>
        <v>4.5822016997454314E-2</v>
      </c>
      <c r="H58" s="184">
        <f>DPRavg!X33</f>
        <v>4.2928371854780031E-2</v>
      </c>
      <c r="I58" s="184">
        <f>DPRavg!X38</f>
        <v>0</v>
      </c>
      <c r="J58" s="184">
        <f>DPRavg!X43</f>
        <v>0</v>
      </c>
      <c r="K58" s="184">
        <f>DPRavg!X48</f>
        <v>0</v>
      </c>
      <c r="L58" s="184">
        <f>DPRavg!X53</f>
        <v>0</v>
      </c>
      <c r="M58" s="184">
        <f>DPRavg!X58</f>
        <v>0</v>
      </c>
      <c r="N58" s="184">
        <f>DPRavg!X63</f>
        <v>0</v>
      </c>
      <c r="O58" s="184">
        <f>DPRavg!X68</f>
        <v>0</v>
      </c>
      <c r="V58" s="144" t="s">
        <v>60</v>
      </c>
      <c r="W58" s="499">
        <f>HLOOKUP(W$4,Storage_Reconciled_prod_chosen!$D$64:$CU$80,Storage_Reconciled_prod_chosen!$C66,FALSE)</f>
        <v>5.8000000000000003E-2</v>
      </c>
      <c r="X58" s="499">
        <f>HLOOKUP(X$4,Storage_Reconciled_prod_chosen!$D$64:$CU$80,Storage_Reconciled_prod_chosen!$C66,FALSE)</f>
        <v>5.1999999999999998E-2</v>
      </c>
      <c r="Y58" s="499">
        <f>HLOOKUP(Y$4,Storage_Reconciled_prod_chosen!$D$64:$CU$80,Storage_Reconciled_prod_chosen!$C66,FALSE)</f>
        <v>4.5999999999999999E-2</v>
      </c>
      <c r="Z58" s="499">
        <f>HLOOKUP(Z$4,Storage_Reconciled_prod_chosen!$D$64:$CU$80,Storage_Reconciled_prod_chosen!$C66,FALSE)</f>
        <v>4.5999999999999999E-2</v>
      </c>
      <c r="AA58" s="499">
        <f>HLOOKUP(AA$4,Storage_Reconciled_prod_chosen!$D$64:$CU$80,Storage_Reconciled_prod_chosen!$C66,FALSE)</f>
        <v>0</v>
      </c>
      <c r="AB58" s="499">
        <f>HLOOKUP(AB$4,Storage_Reconciled_prod_chosen!$D$64:$CU$80,Storage_Reconciled_prod_chosen!$C66,FALSE)</f>
        <v>0</v>
      </c>
      <c r="AC58" s="499">
        <f>HLOOKUP(AC$4,Storage_Reconciled_prod_chosen!$D$64:$CU$80,Storage_Reconciled_prod_chosen!$C66,FALSE)</f>
        <v>0</v>
      </c>
      <c r="AD58" s="499">
        <f>HLOOKUP(AD$4,Storage_Reconciled_prod_chosen!$D$64:$CU$80,Storage_Reconciled_prod_chosen!$C66,FALSE)</f>
        <v>0</v>
      </c>
      <c r="AE58" s="499">
        <f>HLOOKUP(AE$4,Storage_Reconciled_prod_chosen!$D$64:$CU$80,Storage_Reconciled_prod_chosen!$C66,FALSE)</f>
        <v>0</v>
      </c>
      <c r="AF58" s="499">
        <f>HLOOKUP(AF$4,Storage_Reconciled_prod_chosen!$D$64:$CU$80,Storage_Reconciled_prod_chosen!$C66,FALSE)</f>
        <v>0</v>
      </c>
      <c r="AG58" s="499">
        <f>HLOOKUP(AG$4,Storage_Reconciled_prod_chosen!$D$64:$CU$80,Storage_Reconciled_prod_chosen!$C66,FALSE)</f>
        <v>0</v>
      </c>
      <c r="AH58" s="499">
        <f>HLOOKUP(AH$4,Storage_Reconciled_prod_chosen!$D$64:$CU$80,Storage_Reconciled_prod_chosen!$C66,FALSE)</f>
        <v>0</v>
      </c>
    </row>
    <row r="59" spans="3:34">
      <c r="C59" s="144" t="s">
        <v>61</v>
      </c>
      <c r="D59" s="184">
        <f>DPRavg!Y13</f>
        <v>7.7789399999999995E-2</v>
      </c>
      <c r="E59" s="184">
        <f>DPRavg!Y18</f>
        <v>8.0118999999999982E-2</v>
      </c>
      <c r="F59" s="184">
        <f>DPRavg!Y23</f>
        <v>7.6322999999999988E-2</v>
      </c>
      <c r="G59" s="184">
        <f>DPRavg!Y28</f>
        <v>7.1171100000000001E-2</v>
      </c>
      <c r="H59" s="184">
        <f>DPRavg!Y33</f>
        <v>8.1634172359999979E-2</v>
      </c>
      <c r="I59" s="184">
        <f>DPRavg!Y38</f>
        <v>0</v>
      </c>
      <c r="J59" s="184">
        <f>DPRavg!Y43</f>
        <v>0</v>
      </c>
      <c r="K59" s="184">
        <f>DPRavg!Y48</f>
        <v>0</v>
      </c>
      <c r="L59" s="184">
        <f>DPRavg!Y53</f>
        <v>0</v>
      </c>
      <c r="M59" s="184">
        <f>DPRavg!Y58</f>
        <v>0</v>
      </c>
      <c r="N59" s="184">
        <f>DPRavg!Y63</f>
        <v>0</v>
      </c>
      <c r="O59" s="184">
        <f>DPRavg!Y68</f>
        <v>0</v>
      </c>
      <c r="V59" s="144" t="s">
        <v>61</v>
      </c>
      <c r="W59" s="499">
        <f>HLOOKUP(W$4,Storage_Reconciled_prod_chosen!$D$64:$CU$80,Storage_Reconciled_prod_chosen!$C67,FALSE)</f>
        <v>7.8E-2</v>
      </c>
      <c r="X59" s="499">
        <f>HLOOKUP(X$4,Storage_Reconciled_prod_chosen!$D$64:$CU$80,Storage_Reconciled_prod_chosen!$C67,FALSE)</f>
        <v>0.08</v>
      </c>
      <c r="Y59" s="499">
        <f>HLOOKUP(Y$4,Storage_Reconciled_prod_chosen!$D$64:$CU$80,Storage_Reconciled_prod_chosen!$C67,FALSE)</f>
        <v>7.5999999999999998E-2</v>
      </c>
      <c r="Z59" s="499">
        <f>HLOOKUP(Z$4,Storage_Reconciled_prod_chosen!$D$64:$CU$80,Storage_Reconciled_prod_chosen!$C67,FALSE)</f>
        <v>7.0999999999999994E-2</v>
      </c>
      <c r="AA59" s="499">
        <f>HLOOKUP(AA$4,Storage_Reconciled_prod_chosen!$D$64:$CU$80,Storage_Reconciled_prod_chosen!$C67,FALSE)</f>
        <v>0</v>
      </c>
      <c r="AB59" s="499">
        <f>HLOOKUP(AB$4,Storage_Reconciled_prod_chosen!$D$64:$CU$80,Storage_Reconciled_prod_chosen!$C67,FALSE)</f>
        <v>0</v>
      </c>
      <c r="AC59" s="499">
        <f>HLOOKUP(AC$4,Storage_Reconciled_prod_chosen!$D$64:$CU$80,Storage_Reconciled_prod_chosen!$C67,FALSE)</f>
        <v>0</v>
      </c>
      <c r="AD59" s="499">
        <f>HLOOKUP(AD$4,Storage_Reconciled_prod_chosen!$D$64:$CU$80,Storage_Reconciled_prod_chosen!$C67,FALSE)</f>
        <v>0</v>
      </c>
      <c r="AE59" s="499">
        <f>HLOOKUP(AE$4,Storage_Reconciled_prod_chosen!$D$64:$CU$80,Storage_Reconciled_prod_chosen!$C67,FALSE)</f>
        <v>0</v>
      </c>
      <c r="AF59" s="499">
        <f>HLOOKUP(AF$4,Storage_Reconciled_prod_chosen!$D$64:$CU$80,Storage_Reconciled_prod_chosen!$C67,FALSE)</f>
        <v>0</v>
      </c>
      <c r="AG59" s="499">
        <f>HLOOKUP(AG$4,Storage_Reconciled_prod_chosen!$D$64:$CU$80,Storage_Reconciled_prod_chosen!$C67,FALSE)</f>
        <v>0</v>
      </c>
      <c r="AH59" s="499">
        <f>HLOOKUP(AH$4,Storage_Reconciled_prod_chosen!$D$64:$CU$80,Storage_Reconciled_prod_chosen!$C67,FALSE)</f>
        <v>0</v>
      </c>
    </row>
    <row r="60" spans="3:34">
      <c r="C60" s="144" t="s">
        <v>62</v>
      </c>
      <c r="D60" s="184">
        <f>DPRavg!W13</f>
        <v>8.3634600000000014E-3</v>
      </c>
      <c r="E60" s="184">
        <f>DPRavg!W18</f>
        <v>7.4732400000000017E-3</v>
      </c>
      <c r="F60" s="184">
        <f>DPRavg!W23</f>
        <v>7.8380700000000008E-3</v>
      </c>
      <c r="G60" s="184">
        <f>DPRavg!W28</f>
        <v>7.4743970000000007E-3</v>
      </c>
      <c r="H60" s="184">
        <f>DPRavg!W33</f>
        <v>7.6499679999999983E-3</v>
      </c>
      <c r="I60" s="184">
        <f>DPRavg!W38</f>
        <v>0</v>
      </c>
      <c r="J60" s="184">
        <f>DPRavg!W43</f>
        <v>0</v>
      </c>
      <c r="K60" s="184">
        <f>DPRavg!W48</f>
        <v>0</v>
      </c>
      <c r="L60" s="184">
        <f>DPRavg!W53</f>
        <v>0</v>
      </c>
      <c r="M60" s="184">
        <f>DPRavg!W58</f>
        <v>0</v>
      </c>
      <c r="N60" s="184">
        <f>DPRavg!W63</f>
        <v>0</v>
      </c>
      <c r="O60" s="184">
        <f>DPRavg!W68</f>
        <v>0</v>
      </c>
      <c r="V60" s="144" t="s">
        <v>62</v>
      </c>
      <c r="W60" s="499">
        <f>HLOOKUP(W$4,Storage_Reconciled_prod_chosen!$D$64:$CU$80,Storage_Reconciled_prod_chosen!$C68,FALSE)</f>
        <v>8.0000000000000002E-3</v>
      </c>
      <c r="X60" s="499">
        <f>HLOOKUP(X$4,Storage_Reconciled_prod_chosen!$D$64:$CU$80,Storage_Reconciled_prod_chosen!$C68,FALSE)</f>
        <v>7.0000000000000001E-3</v>
      </c>
      <c r="Y60" s="499">
        <f>HLOOKUP(Y$4,Storage_Reconciled_prod_chosen!$D$64:$CU$80,Storage_Reconciled_prod_chosen!$C68,FALSE)</f>
        <v>8.9999999999999993E-3</v>
      </c>
      <c r="Z60" s="499">
        <f>HLOOKUP(Z$4,Storage_Reconciled_prod_chosen!$D$64:$CU$80,Storage_Reconciled_prod_chosen!$C68,FALSE)</f>
        <v>7.0000000000000001E-3</v>
      </c>
      <c r="AA60" s="499">
        <f>HLOOKUP(AA$4,Storage_Reconciled_prod_chosen!$D$64:$CU$80,Storage_Reconciled_prod_chosen!$C68,FALSE)</f>
        <v>0</v>
      </c>
      <c r="AB60" s="499">
        <f>HLOOKUP(AB$4,Storage_Reconciled_prod_chosen!$D$64:$CU$80,Storage_Reconciled_prod_chosen!$C68,FALSE)</f>
        <v>0</v>
      </c>
      <c r="AC60" s="499">
        <f>HLOOKUP(AC$4,Storage_Reconciled_prod_chosen!$D$64:$CU$80,Storage_Reconciled_prod_chosen!$C68,FALSE)</f>
        <v>0</v>
      </c>
      <c r="AD60" s="499">
        <f>HLOOKUP(AD$4,Storage_Reconciled_prod_chosen!$D$64:$CU$80,Storage_Reconciled_prod_chosen!$C68,FALSE)</f>
        <v>0</v>
      </c>
      <c r="AE60" s="499">
        <f>HLOOKUP(AE$4,Storage_Reconciled_prod_chosen!$D$64:$CU$80,Storage_Reconciled_prod_chosen!$C68,FALSE)</f>
        <v>0</v>
      </c>
      <c r="AF60" s="499">
        <f>HLOOKUP(AF$4,Storage_Reconciled_prod_chosen!$D$64:$CU$80,Storage_Reconciled_prod_chosen!$C68,FALSE)</f>
        <v>0</v>
      </c>
      <c r="AG60" s="499">
        <f>HLOOKUP(AG$4,Storage_Reconciled_prod_chosen!$D$64:$CU$80,Storage_Reconciled_prod_chosen!$C68,FALSE)</f>
        <v>0</v>
      </c>
      <c r="AH60" s="499">
        <f>HLOOKUP(AH$4,Storage_Reconciled_prod_chosen!$D$64:$CU$80,Storage_Reconciled_prod_chosen!$C68,FALSE)</f>
        <v>0</v>
      </c>
    </row>
    <row r="61" spans="3:34">
      <c r="C61" s="144" t="s">
        <v>57</v>
      </c>
      <c r="D61" s="184">
        <f>DPRavg!S13</f>
        <v>1.2665983107388708E-2</v>
      </c>
      <c r="E61" s="184">
        <f>DPRavg!S18</f>
        <v>1.2442176912164054E-2</v>
      </c>
      <c r="F61" s="184">
        <f>DPRavg!S23</f>
        <v>1.0956729775419302E-2</v>
      </c>
      <c r="G61" s="184">
        <f>DPRavg!S28</f>
        <v>7.4935301729874507E-3</v>
      </c>
      <c r="H61" s="184">
        <f>DPRavg!S33</f>
        <v>7.2437165684544969E-3</v>
      </c>
      <c r="I61" s="184">
        <f>DPRavg!S38</f>
        <v>0</v>
      </c>
      <c r="J61" s="184">
        <f>DPRavg!S43</f>
        <v>0</v>
      </c>
      <c r="K61" s="184">
        <f>DPRavg!S48</f>
        <v>0</v>
      </c>
      <c r="L61" s="184">
        <f>DPRavg!S53</f>
        <v>0</v>
      </c>
      <c r="M61" s="184">
        <f>DPRavg!S58</f>
        <v>0</v>
      </c>
      <c r="N61" s="184">
        <f>DPRavg!S63</f>
        <v>0</v>
      </c>
      <c r="O61" s="184">
        <f>DPRavg!S68</f>
        <v>0</v>
      </c>
      <c r="V61" s="144" t="s">
        <v>57</v>
      </c>
      <c r="W61" s="499">
        <f>HLOOKUP(W$4,Storage_Reconciled_prod_chosen!$D$64:$CU$80,Storage_Reconciled_prod_chosen!$C69,FALSE)</f>
        <v>1.2999999999999999E-2</v>
      </c>
      <c r="X61" s="499">
        <f>HLOOKUP(X$4,Storage_Reconciled_prod_chosen!$D$64:$CU$80,Storage_Reconciled_prod_chosen!$C69,FALSE)</f>
        <v>1.2999999999999999E-2</v>
      </c>
      <c r="Y61" s="499">
        <f>HLOOKUP(Y$4,Storage_Reconciled_prod_chosen!$D$64:$CU$80,Storage_Reconciled_prod_chosen!$C69,FALSE)</f>
        <v>0.01</v>
      </c>
      <c r="Z61" s="499">
        <f>HLOOKUP(Z$4,Storage_Reconciled_prod_chosen!$D$64:$CU$80,Storage_Reconciled_prod_chosen!$C69,FALSE)</f>
        <v>8.0000000000000002E-3</v>
      </c>
      <c r="AA61" s="499">
        <f>HLOOKUP(AA$4,Storage_Reconciled_prod_chosen!$D$64:$CU$80,Storage_Reconciled_prod_chosen!$C69,FALSE)</f>
        <v>0</v>
      </c>
      <c r="AB61" s="499">
        <f>HLOOKUP(AB$4,Storage_Reconciled_prod_chosen!$D$64:$CU$80,Storage_Reconciled_prod_chosen!$C69,FALSE)</f>
        <v>0</v>
      </c>
      <c r="AC61" s="499">
        <f>HLOOKUP(AC$4,Storage_Reconciled_prod_chosen!$D$64:$CU$80,Storage_Reconciled_prod_chosen!$C69,FALSE)</f>
        <v>0</v>
      </c>
      <c r="AD61" s="499">
        <f>HLOOKUP(AD$4,Storage_Reconciled_prod_chosen!$D$64:$CU$80,Storage_Reconciled_prod_chosen!$C69,FALSE)</f>
        <v>0</v>
      </c>
      <c r="AE61" s="499">
        <f>HLOOKUP(AE$4,Storage_Reconciled_prod_chosen!$D$64:$CU$80,Storage_Reconciled_prod_chosen!$C69,FALSE)</f>
        <v>0</v>
      </c>
      <c r="AF61" s="499">
        <f>HLOOKUP(AF$4,Storage_Reconciled_prod_chosen!$D$64:$CU$80,Storage_Reconciled_prod_chosen!$C69,FALSE)</f>
        <v>0</v>
      </c>
      <c r="AG61" s="499">
        <f>HLOOKUP(AG$4,Storage_Reconciled_prod_chosen!$D$64:$CU$80,Storage_Reconciled_prod_chosen!$C69,FALSE)</f>
        <v>0</v>
      </c>
      <c r="AH61" s="499">
        <f>HLOOKUP(AH$4,Storage_Reconciled_prod_chosen!$D$64:$CU$80,Storage_Reconciled_prod_chosen!$C69,FALSE)</f>
        <v>0</v>
      </c>
    </row>
    <row r="62" spans="3:34">
      <c r="C62" s="144" t="s">
        <v>58</v>
      </c>
      <c r="D62" s="184">
        <f>DPRavg!T13</f>
        <v>3.6733607999999999E-3</v>
      </c>
      <c r="E62" s="184">
        <f>DPRavg!T18</f>
        <v>2.5045872300000008E-3</v>
      </c>
      <c r="F62" s="184">
        <f>DPRavg!T23</f>
        <v>3.7796903099999992E-3</v>
      </c>
      <c r="G62" s="184">
        <f>DPRavg!T28</f>
        <v>2.9947646699999999E-3</v>
      </c>
      <c r="H62" s="184">
        <f>DPRavg!T33</f>
        <v>4.3093147500000012E-3</v>
      </c>
      <c r="I62" s="184">
        <f>DPRavg!T38</f>
        <v>0</v>
      </c>
      <c r="J62" s="184">
        <f>DPRavg!T43</f>
        <v>0</v>
      </c>
      <c r="K62" s="184">
        <f>DPRavg!T48</f>
        <v>0</v>
      </c>
      <c r="L62" s="184">
        <f>DPRavg!T53</f>
        <v>0</v>
      </c>
      <c r="M62" s="184">
        <f>DPRavg!T58</f>
        <v>0</v>
      </c>
      <c r="N62" s="184">
        <f>DPRavg!T63</f>
        <v>0</v>
      </c>
      <c r="O62" s="184">
        <f>DPRavg!T68</f>
        <v>0</v>
      </c>
      <c r="V62" s="144" t="s">
        <v>58</v>
      </c>
      <c r="W62" s="499">
        <f>HLOOKUP(W$4,Storage_Reconciled_prod_chosen!$D$64:$CU$80,Storage_Reconciled_prod_chosen!$C70,FALSE)</f>
        <v>4.0000000000000001E-3</v>
      </c>
      <c r="X62" s="499">
        <f>HLOOKUP(X$4,Storage_Reconciled_prod_chosen!$D$64:$CU$80,Storage_Reconciled_prod_chosen!$C70,FALSE)</f>
        <v>2E-3</v>
      </c>
      <c r="Y62" s="499">
        <f>HLOOKUP(Y$4,Storage_Reconciled_prod_chosen!$D$64:$CU$80,Storage_Reconciled_prod_chosen!$C70,FALSE)</f>
        <v>4.0000000000000001E-3</v>
      </c>
      <c r="Z62" s="499">
        <f>HLOOKUP(Z$4,Storage_Reconciled_prod_chosen!$D$64:$CU$80,Storage_Reconciled_prod_chosen!$C70,FALSE)</f>
        <v>3.0000000000000001E-3</v>
      </c>
      <c r="AA62" s="499">
        <f>HLOOKUP(AA$4,Storage_Reconciled_prod_chosen!$D$64:$CU$80,Storage_Reconciled_prod_chosen!$C70,FALSE)</f>
        <v>0</v>
      </c>
      <c r="AB62" s="499">
        <f>HLOOKUP(AB$4,Storage_Reconciled_prod_chosen!$D$64:$CU$80,Storage_Reconciled_prod_chosen!$C70,FALSE)</f>
        <v>0</v>
      </c>
      <c r="AC62" s="499">
        <f>HLOOKUP(AC$4,Storage_Reconciled_prod_chosen!$D$64:$CU$80,Storage_Reconciled_prod_chosen!$C70,FALSE)</f>
        <v>0</v>
      </c>
      <c r="AD62" s="499">
        <f>HLOOKUP(AD$4,Storage_Reconciled_prod_chosen!$D$64:$CU$80,Storage_Reconciled_prod_chosen!$C70,FALSE)</f>
        <v>0</v>
      </c>
      <c r="AE62" s="499">
        <f>HLOOKUP(AE$4,Storage_Reconciled_prod_chosen!$D$64:$CU$80,Storage_Reconciled_prod_chosen!$C70,FALSE)</f>
        <v>0</v>
      </c>
      <c r="AF62" s="499">
        <f>HLOOKUP(AF$4,Storage_Reconciled_prod_chosen!$D$64:$CU$80,Storage_Reconciled_prod_chosen!$C70,FALSE)</f>
        <v>0</v>
      </c>
      <c r="AG62" s="499">
        <f>HLOOKUP(AG$4,Storage_Reconciled_prod_chosen!$D$64:$CU$80,Storage_Reconciled_prod_chosen!$C70,FALSE)</f>
        <v>0</v>
      </c>
      <c r="AH62" s="499">
        <f>HLOOKUP(AH$4,Storage_Reconciled_prod_chosen!$D$64:$CU$80,Storage_Reconciled_prod_chosen!$C70,FALSE)</f>
        <v>0</v>
      </c>
    </row>
    <row r="63" spans="3:34">
      <c r="C63" s="144" t="s">
        <v>59</v>
      </c>
      <c r="D63" s="184">
        <f>DPRavg!V13</f>
        <v>4.2055585600000024E-4</v>
      </c>
      <c r="E63" s="184">
        <f>DPRavg!V18</f>
        <v>3.4484436000000015E-4</v>
      </c>
      <c r="F63" s="184">
        <f>DPRavg!V23</f>
        <v>3.7750000000000018E-4</v>
      </c>
      <c r="G63" s="184">
        <f>DPRavg!V28</f>
        <v>5.1650000000000014E-4</v>
      </c>
      <c r="H63" s="184">
        <f>DPRavg!V33</f>
        <v>3.8500000000000025E-4</v>
      </c>
      <c r="I63" s="184">
        <f>DPRavg!V38</f>
        <v>0</v>
      </c>
      <c r="J63" s="184">
        <f>DPRavg!V43</f>
        <v>0</v>
      </c>
      <c r="K63" s="184">
        <f>DPRavg!V48</f>
        <v>0</v>
      </c>
      <c r="L63" s="184">
        <f>DPRavg!V53</f>
        <v>0</v>
      </c>
      <c r="M63" s="184">
        <f>DPRavg!V58</f>
        <v>0</v>
      </c>
      <c r="N63" s="184">
        <f>DPRavg!V63</f>
        <v>0</v>
      </c>
      <c r="O63" s="184">
        <f>DPRavg!V68</f>
        <v>0</v>
      </c>
      <c r="V63" s="144" t="s">
        <v>59</v>
      </c>
      <c r="W63" s="499">
        <f>HLOOKUP(W$4,Storage_Reconciled_prod_chosen!$D$64:$CU$80,Storage_Reconciled_prod_chosen!$C71,FALSE)</f>
        <v>0</v>
      </c>
      <c r="X63" s="499">
        <f>HLOOKUP(X$4,Storage_Reconciled_prod_chosen!$D$64:$CU$80,Storage_Reconciled_prod_chosen!$C71,FALSE)</f>
        <v>0</v>
      </c>
      <c r="Y63" s="499">
        <f>HLOOKUP(Y$4,Storage_Reconciled_prod_chosen!$D$64:$CU$80,Storage_Reconciled_prod_chosen!$C71,FALSE)</f>
        <v>1E-3</v>
      </c>
      <c r="Z63" s="499">
        <f>HLOOKUP(Z$4,Storage_Reconciled_prod_chosen!$D$64:$CU$80,Storage_Reconciled_prod_chosen!$C71,FALSE)</f>
        <v>0</v>
      </c>
      <c r="AA63" s="499">
        <f>HLOOKUP(AA$4,Storage_Reconciled_prod_chosen!$D$64:$CU$80,Storage_Reconciled_prod_chosen!$C71,FALSE)</f>
        <v>0</v>
      </c>
      <c r="AB63" s="499">
        <f>HLOOKUP(AB$4,Storage_Reconciled_prod_chosen!$D$64:$CU$80,Storage_Reconciled_prod_chosen!$C71,FALSE)</f>
        <v>0</v>
      </c>
      <c r="AC63" s="499">
        <f>HLOOKUP(AC$4,Storage_Reconciled_prod_chosen!$D$64:$CU$80,Storage_Reconciled_prod_chosen!$C71,FALSE)</f>
        <v>0</v>
      </c>
      <c r="AD63" s="499">
        <f>HLOOKUP(AD$4,Storage_Reconciled_prod_chosen!$D$64:$CU$80,Storage_Reconciled_prod_chosen!$C71,FALSE)</f>
        <v>0</v>
      </c>
      <c r="AE63" s="499">
        <f>HLOOKUP(AE$4,Storage_Reconciled_prod_chosen!$D$64:$CU$80,Storage_Reconciled_prod_chosen!$C71,FALSE)</f>
        <v>0</v>
      </c>
      <c r="AF63" s="499">
        <f>HLOOKUP(AF$4,Storage_Reconciled_prod_chosen!$D$64:$CU$80,Storage_Reconciled_prod_chosen!$C71,FALSE)</f>
        <v>0</v>
      </c>
      <c r="AG63" s="499">
        <f>HLOOKUP(AG$4,Storage_Reconciled_prod_chosen!$D$64:$CU$80,Storage_Reconciled_prod_chosen!$C71,FALSE)</f>
        <v>0</v>
      </c>
      <c r="AH63" s="499">
        <f>HLOOKUP(AH$4,Storage_Reconciled_prod_chosen!$D$64:$CU$80,Storage_Reconciled_prod_chosen!$C71,FALSE)</f>
        <v>0</v>
      </c>
    </row>
    <row r="64" spans="3:34">
      <c r="C64" s="144" t="s">
        <v>63</v>
      </c>
      <c r="D64" s="184">
        <f>DPRavg!U13</f>
        <v>6.0421045485307804E-5</v>
      </c>
      <c r="E64" s="184">
        <f>DPRavg!U18</f>
        <v>7.2803096161088723E-5</v>
      </c>
      <c r="F64" s="184">
        <f>DPRavg!U23</f>
        <v>7.1900769367996896E-5</v>
      </c>
      <c r="G64" s="184">
        <f>DPRavg!U28</f>
        <v>7.4004155719856028E-5</v>
      </c>
      <c r="H64" s="184">
        <f>DPRavg!U33</f>
        <v>9.2605345649262195E-5</v>
      </c>
      <c r="I64" s="184">
        <f>DPRavg!U38</f>
        <v>0</v>
      </c>
      <c r="J64" s="184">
        <f>DPRavg!U43</f>
        <v>0</v>
      </c>
      <c r="K64" s="184">
        <f>DPRavg!U48</f>
        <v>0</v>
      </c>
      <c r="L64" s="184">
        <f>DPRavg!U53</f>
        <v>0</v>
      </c>
      <c r="M64" s="184">
        <f>DPRavg!U58</f>
        <v>0</v>
      </c>
      <c r="N64" s="184">
        <f>DPRavg!U63</f>
        <v>0</v>
      </c>
      <c r="O64" s="184">
        <f>DPRavg!U68</f>
        <v>0</v>
      </c>
      <c r="V64" s="144" t="s">
        <v>63</v>
      </c>
      <c r="W64" s="499">
        <f>HLOOKUP(W$4,Storage_Reconciled_prod_chosen!$D$64:$CU$80,Storage_Reconciled_prod_chosen!$C72,FALSE)</f>
        <v>0</v>
      </c>
      <c r="X64" s="499">
        <f>HLOOKUP(X$4,Storage_Reconciled_prod_chosen!$D$64:$CU$80,Storage_Reconciled_prod_chosen!$C72,FALSE)</f>
        <v>0</v>
      </c>
      <c r="Y64" s="499">
        <f>HLOOKUP(Y$4,Storage_Reconciled_prod_chosen!$D$64:$CU$80,Storage_Reconciled_prod_chosen!$C72,FALSE)</f>
        <v>0</v>
      </c>
      <c r="Z64" s="499">
        <f>HLOOKUP(Z$4,Storage_Reconciled_prod_chosen!$D$64:$CU$80,Storage_Reconciled_prod_chosen!$C72,FALSE)</f>
        <v>8.0000000000000002E-3</v>
      </c>
      <c r="AA64" s="499">
        <f>HLOOKUP(AA$4,Storage_Reconciled_prod_chosen!$D$64:$CU$80,Storage_Reconciled_prod_chosen!$C72,FALSE)</f>
        <v>0</v>
      </c>
      <c r="AB64" s="499">
        <f>HLOOKUP(AB$4,Storage_Reconciled_prod_chosen!$D$64:$CU$80,Storage_Reconciled_prod_chosen!$C72,FALSE)</f>
        <v>0</v>
      </c>
      <c r="AC64" s="499">
        <f>HLOOKUP(AC$4,Storage_Reconciled_prod_chosen!$D$64:$CU$80,Storage_Reconciled_prod_chosen!$C72,FALSE)</f>
        <v>0</v>
      </c>
      <c r="AD64" s="499">
        <f>HLOOKUP(AD$4,Storage_Reconciled_prod_chosen!$D$64:$CU$80,Storage_Reconciled_prod_chosen!$C72,FALSE)</f>
        <v>0</v>
      </c>
      <c r="AE64" s="499">
        <f>HLOOKUP(AE$4,Storage_Reconciled_prod_chosen!$D$64:$CU$80,Storage_Reconciled_prod_chosen!$C72,FALSE)</f>
        <v>0</v>
      </c>
      <c r="AF64" s="499">
        <f>HLOOKUP(AF$4,Storage_Reconciled_prod_chosen!$D$64:$CU$80,Storage_Reconciled_prod_chosen!$C72,FALSE)</f>
        <v>0</v>
      </c>
      <c r="AG64" s="499">
        <f>HLOOKUP(AG$4,Storage_Reconciled_prod_chosen!$D$64:$CU$80,Storage_Reconciled_prod_chosen!$C72,FALSE)</f>
        <v>0</v>
      </c>
      <c r="AH64" s="499">
        <f>HLOOKUP(AH$4,Storage_Reconciled_prod_chosen!$D$64:$CU$80,Storage_Reconciled_prod_chosen!$C72,FALSE)</f>
        <v>0</v>
      </c>
    </row>
    <row r="65" spans="3:34">
      <c r="C65" s="144" t="s">
        <v>64</v>
      </c>
      <c r="D65" s="184">
        <f>DPRavg!AC13</f>
        <v>6.6894522677525201E-4</v>
      </c>
      <c r="E65" s="184">
        <f>DPRavg!AC18</f>
        <v>6.6224829886704379E-4</v>
      </c>
      <c r="F65" s="184">
        <f>DPRavg!AC23</f>
        <v>6.3218999453485379E-4</v>
      </c>
      <c r="G65" s="184">
        <f>DPRavg!AC28</f>
        <v>6.6536314905690829E-4</v>
      </c>
      <c r="H65" s="184">
        <f>DPRavg!AC33</f>
        <v>6.6094006178730102E-4</v>
      </c>
      <c r="I65" s="184">
        <f>DPRavg!AC38</f>
        <v>0</v>
      </c>
      <c r="J65" s="184">
        <f>DPRavg!AC43</f>
        <v>0</v>
      </c>
      <c r="K65" s="184">
        <f>DPRavg!AC48</f>
        <v>0</v>
      </c>
      <c r="L65" s="184">
        <f>DPRavg!AC53</f>
        <v>0</v>
      </c>
      <c r="M65" s="184">
        <f>DPRavg!AC58</f>
        <v>0</v>
      </c>
      <c r="N65" s="184">
        <f>DPRavg!AC63</f>
        <v>0</v>
      </c>
      <c r="O65" s="184">
        <f>DPRavg!AC68</f>
        <v>0</v>
      </c>
      <c r="V65" s="144" t="s">
        <v>64</v>
      </c>
      <c r="W65" s="499">
        <f>HLOOKUP(W$4,Storage_Reconciled_prod_chosen!$D$64:$CU$80,Storage_Reconciled_prod_chosen!$C73,FALSE)</f>
        <v>1E-3</v>
      </c>
      <c r="X65" s="499">
        <f>HLOOKUP(X$4,Storage_Reconciled_prod_chosen!$D$64:$CU$80,Storage_Reconciled_prod_chosen!$C73,FALSE)</f>
        <v>1E-3</v>
      </c>
      <c r="Y65" s="499">
        <f>HLOOKUP(Y$4,Storage_Reconciled_prod_chosen!$D$64:$CU$80,Storage_Reconciled_prod_chosen!$C73,FALSE)</f>
        <v>1E-3</v>
      </c>
      <c r="Z65" s="499">
        <f>HLOOKUP(Z$4,Storage_Reconciled_prod_chosen!$D$64:$CU$80,Storage_Reconciled_prod_chosen!$C73,FALSE)</f>
        <v>1E-3</v>
      </c>
      <c r="AA65" s="499">
        <f>HLOOKUP(AA$4,Storage_Reconciled_prod_chosen!$D$64:$CU$80,Storage_Reconciled_prod_chosen!$C73,FALSE)</f>
        <v>0</v>
      </c>
      <c r="AB65" s="499">
        <f>HLOOKUP(AB$4,Storage_Reconciled_prod_chosen!$D$64:$CU$80,Storage_Reconciled_prod_chosen!$C73,FALSE)</f>
        <v>0</v>
      </c>
      <c r="AC65" s="499">
        <f>HLOOKUP(AC$4,Storage_Reconciled_prod_chosen!$D$64:$CU$80,Storage_Reconciled_prod_chosen!$C73,FALSE)</f>
        <v>0</v>
      </c>
      <c r="AD65" s="499">
        <f>HLOOKUP(AD$4,Storage_Reconciled_prod_chosen!$D$64:$CU$80,Storage_Reconciled_prod_chosen!$C73,FALSE)</f>
        <v>0</v>
      </c>
      <c r="AE65" s="499">
        <f>HLOOKUP(AE$4,Storage_Reconciled_prod_chosen!$D$64:$CU$80,Storage_Reconciled_prod_chosen!$C73,FALSE)</f>
        <v>0</v>
      </c>
      <c r="AF65" s="499">
        <f>HLOOKUP(AF$4,Storage_Reconciled_prod_chosen!$D$64:$CU$80,Storage_Reconciled_prod_chosen!$C73,FALSE)</f>
        <v>0</v>
      </c>
      <c r="AG65" s="499">
        <f>HLOOKUP(AG$4,Storage_Reconciled_prod_chosen!$D$64:$CU$80,Storage_Reconciled_prod_chosen!$C73,FALSE)</f>
        <v>0</v>
      </c>
      <c r="AH65" s="499">
        <f>HLOOKUP(AH$4,Storage_Reconciled_prod_chosen!$D$64:$CU$80,Storage_Reconciled_prod_chosen!$C73,FALSE)</f>
        <v>0</v>
      </c>
    </row>
    <row r="66" spans="3:34">
      <c r="C66" s="144" t="s">
        <v>65</v>
      </c>
      <c r="D66" s="184">
        <f>DPRavg!AD13</f>
        <v>1.0774776509498876E-3</v>
      </c>
      <c r="E66" s="184">
        <f>DPRavg!AD18</f>
        <v>1.1286857880712566E-3</v>
      </c>
      <c r="F66" s="184">
        <f>DPRavg!AD23</f>
        <v>1.0835374504101689E-3</v>
      </c>
      <c r="G66" s="184">
        <f>DPRavg!AD28</f>
        <v>1.3228259053595245E-3</v>
      </c>
      <c r="H66" s="184">
        <f>DPRavg!AD33</f>
        <v>1.063002092612991E-3</v>
      </c>
      <c r="I66" s="184">
        <f>DPRavg!AD38</f>
        <v>0</v>
      </c>
      <c r="J66" s="184">
        <f>DPRavg!AD43</f>
        <v>0</v>
      </c>
      <c r="K66" s="184">
        <f>DPRavg!AD48</f>
        <v>0</v>
      </c>
      <c r="L66" s="184">
        <f>DPRavg!AD53</f>
        <v>0</v>
      </c>
      <c r="M66" s="184">
        <f>DPRavg!AD58</f>
        <v>0</v>
      </c>
      <c r="N66" s="184">
        <f>DPRavg!AD63</f>
        <v>0</v>
      </c>
      <c r="O66" s="184">
        <f>DPRavg!AD68</f>
        <v>0</v>
      </c>
      <c r="V66" s="144" t="s">
        <v>65</v>
      </c>
      <c r="W66" s="499">
        <f>HLOOKUP(W$4,Storage_Reconciled_prod_chosen!$D$64:$CU$80,Storage_Reconciled_prod_chosen!$C74,FALSE)</f>
        <v>1E-3</v>
      </c>
      <c r="X66" s="499">
        <f>HLOOKUP(X$4,Storage_Reconciled_prod_chosen!$D$64:$CU$80,Storage_Reconciled_prod_chosen!$C74,FALSE)</f>
        <v>1E-3</v>
      </c>
      <c r="Y66" s="499">
        <f>HLOOKUP(Y$4,Storage_Reconciled_prod_chosen!$D$64:$CU$80,Storage_Reconciled_prod_chosen!$C74,FALSE)</f>
        <v>1E-3</v>
      </c>
      <c r="Z66" s="499">
        <f>HLOOKUP(Z$4,Storage_Reconciled_prod_chosen!$D$64:$CU$80,Storage_Reconciled_prod_chosen!$C74,FALSE)</f>
        <v>2E-3</v>
      </c>
      <c r="AA66" s="499">
        <f>HLOOKUP(AA$4,Storage_Reconciled_prod_chosen!$D$64:$CU$80,Storage_Reconciled_prod_chosen!$C74,FALSE)</f>
        <v>0</v>
      </c>
      <c r="AB66" s="499">
        <f>HLOOKUP(AB$4,Storage_Reconciled_prod_chosen!$D$64:$CU$80,Storage_Reconciled_prod_chosen!$C74,FALSE)</f>
        <v>0</v>
      </c>
      <c r="AC66" s="499">
        <f>HLOOKUP(AC$4,Storage_Reconciled_prod_chosen!$D$64:$CU$80,Storage_Reconciled_prod_chosen!$C74,FALSE)</f>
        <v>0</v>
      </c>
      <c r="AD66" s="499">
        <f>HLOOKUP(AD$4,Storage_Reconciled_prod_chosen!$D$64:$CU$80,Storage_Reconciled_prod_chosen!$C74,FALSE)</f>
        <v>0</v>
      </c>
      <c r="AE66" s="499">
        <f>HLOOKUP(AE$4,Storage_Reconciled_prod_chosen!$D$64:$CU$80,Storage_Reconciled_prod_chosen!$C74,FALSE)</f>
        <v>0</v>
      </c>
      <c r="AF66" s="499">
        <f>HLOOKUP(AF$4,Storage_Reconciled_prod_chosen!$D$64:$CU$80,Storage_Reconciled_prod_chosen!$C74,FALSE)</f>
        <v>0</v>
      </c>
      <c r="AG66" s="499">
        <f>HLOOKUP(AG$4,Storage_Reconciled_prod_chosen!$D$64:$CU$80,Storage_Reconciled_prod_chosen!$C74,FALSE)</f>
        <v>0</v>
      </c>
      <c r="AH66" s="499">
        <f>HLOOKUP(AH$4,Storage_Reconciled_prod_chosen!$D$64:$CU$80,Storage_Reconciled_prod_chosen!$C74,FALSE)</f>
        <v>0</v>
      </c>
    </row>
    <row r="67" spans="3:34">
      <c r="C67" s="144" t="s">
        <v>66</v>
      </c>
      <c r="D67" s="184">
        <f>DPRavg!AB13</f>
        <v>0</v>
      </c>
      <c r="E67" s="184">
        <f>DPRavg!AB18</f>
        <v>0</v>
      </c>
      <c r="F67" s="184">
        <f>DPRavg!AB23</f>
        <v>0</v>
      </c>
      <c r="G67" s="184">
        <f>DPRavg!AB28</f>
        <v>0</v>
      </c>
      <c r="H67" s="184">
        <f>DPRavg!AB33</f>
        <v>0</v>
      </c>
      <c r="I67" s="184">
        <f>DPRavg!AB38</f>
        <v>0</v>
      </c>
      <c r="J67" s="184">
        <f>DPRavg!AB43</f>
        <v>0</v>
      </c>
      <c r="K67" s="184">
        <f>DPRavg!AB48</f>
        <v>0</v>
      </c>
      <c r="L67" s="184">
        <f>DPRavg!AB53</f>
        <v>0</v>
      </c>
      <c r="M67" s="184">
        <f>DPRavg!AB58</f>
        <v>0</v>
      </c>
      <c r="N67" s="184">
        <f>DPRavg!AB63</f>
        <v>0</v>
      </c>
      <c r="O67" s="184">
        <f>DPRavg!AB68</f>
        <v>0</v>
      </c>
      <c r="V67" s="144" t="s">
        <v>66</v>
      </c>
      <c r="W67" s="499">
        <f>HLOOKUP(W$4,Storage_Reconciled_prod_chosen!$D$64:$CU$80,Storage_Reconciled_prod_chosen!$C75,FALSE)</f>
        <v>0</v>
      </c>
      <c r="X67" s="499">
        <f>HLOOKUP(X$4,Storage_Reconciled_prod_chosen!$D$64:$CU$80,Storage_Reconciled_prod_chosen!$C75,FALSE)</f>
        <v>0</v>
      </c>
      <c r="Y67" s="499">
        <f>HLOOKUP(Y$4,Storage_Reconciled_prod_chosen!$D$64:$CU$80,Storage_Reconciled_prod_chosen!$C75,FALSE)</f>
        <v>0</v>
      </c>
      <c r="Z67" s="499">
        <f>HLOOKUP(Z$4,Storage_Reconciled_prod_chosen!$D$64:$CU$80,Storage_Reconciled_prod_chosen!$C75,FALSE)</f>
        <v>0</v>
      </c>
      <c r="AA67" s="499">
        <f>HLOOKUP(AA$4,Storage_Reconciled_prod_chosen!$D$64:$CU$80,Storage_Reconciled_prod_chosen!$C75,FALSE)</f>
        <v>0</v>
      </c>
      <c r="AB67" s="499">
        <f>HLOOKUP(AB$4,Storage_Reconciled_prod_chosen!$D$64:$CU$80,Storage_Reconciled_prod_chosen!$C75,FALSE)</f>
        <v>0</v>
      </c>
      <c r="AC67" s="499">
        <f>HLOOKUP(AC$4,Storage_Reconciled_prod_chosen!$D$64:$CU$80,Storage_Reconciled_prod_chosen!$C75,FALSE)</f>
        <v>0</v>
      </c>
      <c r="AD67" s="499">
        <f>HLOOKUP(AD$4,Storage_Reconciled_prod_chosen!$D$64:$CU$80,Storage_Reconciled_prod_chosen!$C75,FALSE)</f>
        <v>0</v>
      </c>
      <c r="AE67" s="499">
        <f>HLOOKUP(AE$4,Storage_Reconciled_prod_chosen!$D$64:$CU$80,Storage_Reconciled_prod_chosen!$C75,FALSE)</f>
        <v>0</v>
      </c>
      <c r="AF67" s="499">
        <f>HLOOKUP(AF$4,Storage_Reconciled_prod_chosen!$D$64:$CU$80,Storage_Reconciled_prod_chosen!$C75,FALSE)</f>
        <v>0</v>
      </c>
      <c r="AG67" s="499">
        <f>HLOOKUP(AG$4,Storage_Reconciled_prod_chosen!$D$64:$CU$80,Storage_Reconciled_prod_chosen!$C75,FALSE)</f>
        <v>0</v>
      </c>
      <c r="AH67" s="499">
        <f>HLOOKUP(AH$4,Storage_Reconciled_prod_chosen!$D$64:$CU$80,Storage_Reconciled_prod_chosen!$C75,FALSE)</f>
        <v>0</v>
      </c>
    </row>
    <row r="68" spans="3:34">
      <c r="C68" s="144" t="s">
        <v>67</v>
      </c>
      <c r="D68" s="184">
        <f>DPRavg!Z13</f>
        <v>0</v>
      </c>
      <c r="E68" s="184">
        <f>DPRavg!Z18</f>
        <v>0</v>
      </c>
      <c r="F68" s="184">
        <f>DPRavg!Z23</f>
        <v>0</v>
      </c>
      <c r="G68" s="184">
        <f>DPRavg!Z28</f>
        <v>0</v>
      </c>
      <c r="H68" s="184">
        <f>DPRavg!Z33</f>
        <v>0</v>
      </c>
      <c r="I68" s="184">
        <f>DPRavg!Z38</f>
        <v>0</v>
      </c>
      <c r="J68" s="184">
        <f>DPRavg!Z43</f>
        <v>0</v>
      </c>
      <c r="K68" s="184">
        <f>DPRavg!Z48</f>
        <v>0</v>
      </c>
      <c r="L68" s="184">
        <f>DPRavg!Z53</f>
        <v>0</v>
      </c>
      <c r="M68" s="184">
        <f>DPRavg!Z58</f>
        <v>0</v>
      </c>
      <c r="N68" s="184">
        <f>DPRavg!Z63</f>
        <v>0</v>
      </c>
      <c r="O68" s="184">
        <f>DPRavg!Z68</f>
        <v>0</v>
      </c>
      <c r="V68" s="144" t="s">
        <v>67</v>
      </c>
      <c r="W68" s="499">
        <f>HLOOKUP(W$4,Storage_Reconciled_prod_chosen!$D$64:$CU$80,Storage_Reconciled_prod_chosen!$C76,FALSE)</f>
        <v>0</v>
      </c>
      <c r="X68" s="499">
        <f>HLOOKUP(X$4,Storage_Reconciled_prod_chosen!$D$64:$CU$80,Storage_Reconciled_prod_chosen!$C76,FALSE)</f>
        <v>0</v>
      </c>
      <c r="Y68" s="499">
        <f>HLOOKUP(Y$4,Storage_Reconciled_prod_chosen!$D$64:$CU$80,Storage_Reconciled_prod_chosen!$C76,FALSE)</f>
        <v>0</v>
      </c>
      <c r="Z68" s="499">
        <f>HLOOKUP(Z$4,Storage_Reconciled_prod_chosen!$D$64:$CU$80,Storage_Reconciled_prod_chosen!$C76,FALSE)</f>
        <v>0</v>
      </c>
      <c r="AA68" s="499">
        <f>HLOOKUP(AA$4,Storage_Reconciled_prod_chosen!$D$64:$CU$80,Storage_Reconciled_prod_chosen!$C76,FALSE)</f>
        <v>0</v>
      </c>
      <c r="AB68" s="499">
        <f>HLOOKUP(AB$4,Storage_Reconciled_prod_chosen!$D$64:$CU$80,Storage_Reconciled_prod_chosen!$C76,FALSE)</f>
        <v>0</v>
      </c>
      <c r="AC68" s="499">
        <f>HLOOKUP(AC$4,Storage_Reconciled_prod_chosen!$D$64:$CU$80,Storage_Reconciled_prod_chosen!$C76,FALSE)</f>
        <v>0</v>
      </c>
      <c r="AD68" s="499">
        <f>HLOOKUP(AD$4,Storage_Reconciled_prod_chosen!$D$64:$CU$80,Storage_Reconciled_prod_chosen!$C76,FALSE)</f>
        <v>0</v>
      </c>
      <c r="AE68" s="499">
        <f>HLOOKUP(AE$4,Storage_Reconciled_prod_chosen!$D$64:$CU$80,Storage_Reconciled_prod_chosen!$C76,FALSE)</f>
        <v>0</v>
      </c>
      <c r="AF68" s="499">
        <f>HLOOKUP(AF$4,Storage_Reconciled_prod_chosen!$D$64:$CU$80,Storage_Reconciled_prod_chosen!$C76,FALSE)</f>
        <v>0</v>
      </c>
      <c r="AG68" s="499">
        <f>HLOOKUP(AG$4,Storage_Reconciled_prod_chosen!$D$64:$CU$80,Storage_Reconciled_prod_chosen!$C76,FALSE)</f>
        <v>0</v>
      </c>
      <c r="AH68" s="499">
        <f>HLOOKUP(AH$4,Storage_Reconciled_prod_chosen!$D$64:$CU$80,Storage_Reconciled_prod_chosen!$C76,FALSE)</f>
        <v>0</v>
      </c>
    </row>
    <row r="69" spans="3:34">
      <c r="C69" s="144" t="s">
        <v>68</v>
      </c>
      <c r="D69" s="184">
        <f>DPRavg!AA13</f>
        <v>0</v>
      </c>
      <c r="E69" s="184">
        <f>DPRavg!AA18</f>
        <v>0</v>
      </c>
      <c r="F69" s="184">
        <f>DPRavg!AA23</f>
        <v>0</v>
      </c>
      <c r="G69" s="184">
        <f>DPRavg!AA28</f>
        <v>0</v>
      </c>
      <c r="H69" s="184">
        <f>DPRavg!AA33</f>
        <v>0</v>
      </c>
      <c r="I69" s="184">
        <f>DPRavg!AA38</f>
        <v>0</v>
      </c>
      <c r="J69" s="184">
        <f>DPRavg!AA43</f>
        <v>0</v>
      </c>
      <c r="K69" s="184">
        <f>DPRavg!AA48</f>
        <v>0</v>
      </c>
      <c r="L69" s="184">
        <f>DPRavg!AA53</f>
        <v>0</v>
      </c>
      <c r="M69" s="184">
        <f>DPRavg!AA58</f>
        <v>0</v>
      </c>
      <c r="N69" s="184">
        <f>DPRavg!AA63</f>
        <v>0</v>
      </c>
      <c r="O69" s="184">
        <f>DPRavg!AA68</f>
        <v>0</v>
      </c>
      <c r="V69" s="144" t="s">
        <v>68</v>
      </c>
      <c r="W69" s="499">
        <f>HLOOKUP(W$4,Storage_Reconciled_prod_chosen!$D$64:$CU$80,Storage_Reconciled_prod_chosen!$C77,FALSE)</f>
        <v>0</v>
      </c>
      <c r="X69" s="499">
        <f>HLOOKUP(X$4,Storage_Reconciled_prod_chosen!$D$64:$CU$80,Storage_Reconciled_prod_chosen!$C77,FALSE)</f>
        <v>0</v>
      </c>
      <c r="Y69" s="499">
        <f>HLOOKUP(Y$4,Storage_Reconciled_prod_chosen!$D$64:$CU$80,Storage_Reconciled_prod_chosen!$C77,FALSE)</f>
        <v>0</v>
      </c>
      <c r="Z69" s="499">
        <f>HLOOKUP(Z$4,Storage_Reconciled_prod_chosen!$D$64:$CU$80,Storage_Reconciled_prod_chosen!$C77,FALSE)</f>
        <v>0</v>
      </c>
      <c r="AA69" s="499">
        <f>HLOOKUP(AA$4,Storage_Reconciled_prod_chosen!$D$64:$CU$80,Storage_Reconciled_prod_chosen!$C77,FALSE)</f>
        <v>0</v>
      </c>
      <c r="AB69" s="499">
        <f>HLOOKUP(AB$4,Storage_Reconciled_prod_chosen!$D$64:$CU$80,Storage_Reconciled_prod_chosen!$C77,FALSE)</f>
        <v>0</v>
      </c>
      <c r="AC69" s="499">
        <f>HLOOKUP(AC$4,Storage_Reconciled_prod_chosen!$D$64:$CU$80,Storage_Reconciled_prod_chosen!$C77,FALSE)</f>
        <v>0</v>
      </c>
      <c r="AD69" s="499">
        <f>HLOOKUP(AD$4,Storage_Reconciled_prod_chosen!$D$64:$CU$80,Storage_Reconciled_prod_chosen!$C77,FALSE)</f>
        <v>0</v>
      </c>
      <c r="AE69" s="499">
        <f>HLOOKUP(AE$4,Storage_Reconciled_prod_chosen!$D$64:$CU$80,Storage_Reconciled_prod_chosen!$C77,FALSE)</f>
        <v>0</v>
      </c>
      <c r="AF69" s="499">
        <f>HLOOKUP(AF$4,Storage_Reconciled_prod_chosen!$D$64:$CU$80,Storage_Reconciled_prod_chosen!$C77,FALSE)</f>
        <v>0</v>
      </c>
      <c r="AG69" s="499">
        <f>HLOOKUP(AG$4,Storage_Reconciled_prod_chosen!$D$64:$CU$80,Storage_Reconciled_prod_chosen!$C77,FALSE)</f>
        <v>0</v>
      </c>
      <c r="AH69" s="499">
        <f>HLOOKUP(AH$4,Storage_Reconciled_prod_chosen!$D$64:$CU$80,Storage_Reconciled_prod_chosen!$C77,FALSE)</f>
        <v>0</v>
      </c>
    </row>
    <row r="70" spans="3:34">
      <c r="C70" s="144" t="s">
        <v>69</v>
      </c>
      <c r="D70" s="184">
        <f>DPRavg!AE13</f>
        <v>0</v>
      </c>
      <c r="E70" s="184">
        <f>DPRavg!AE18</f>
        <v>0</v>
      </c>
      <c r="F70" s="184">
        <f>DPRavg!AE23</f>
        <v>0</v>
      </c>
      <c r="G70" s="184">
        <f>DPRavg!AE28</f>
        <v>0</v>
      </c>
      <c r="H70" s="184">
        <f>DPRavg!AE33</f>
        <v>0</v>
      </c>
      <c r="I70" s="184">
        <f>DPRavg!AE38</f>
        <v>0</v>
      </c>
      <c r="J70" s="184">
        <f>DPRavg!AE43</f>
        <v>0</v>
      </c>
      <c r="K70" s="184">
        <f>DPRavg!AE48</f>
        <v>0</v>
      </c>
      <c r="L70" s="184">
        <f>DPRavg!AE53</f>
        <v>0</v>
      </c>
      <c r="M70" s="184">
        <f>DPRavg!AE58</f>
        <v>0</v>
      </c>
      <c r="N70" s="184">
        <f>DPRavg!AE63</f>
        <v>0</v>
      </c>
      <c r="O70" s="184">
        <f>DPRavg!AE68</f>
        <v>0</v>
      </c>
      <c r="V70" s="144" t="s">
        <v>69</v>
      </c>
      <c r="W70" s="499">
        <f>HLOOKUP(W$4,Storage_Reconciled_prod_chosen!$D$64:$CU$80,Storage_Reconciled_prod_chosen!$C78,FALSE)</f>
        <v>0</v>
      </c>
      <c r="X70" s="499">
        <f>HLOOKUP(X$4,Storage_Reconciled_prod_chosen!$D$64:$CU$80,Storage_Reconciled_prod_chosen!$C78,FALSE)</f>
        <v>0</v>
      </c>
      <c r="Y70" s="499">
        <f>HLOOKUP(Y$4,Storage_Reconciled_prod_chosen!$D$64:$CU$80,Storage_Reconciled_prod_chosen!$C78,FALSE)</f>
        <v>0</v>
      </c>
      <c r="Z70" s="499">
        <f>HLOOKUP(Z$4,Storage_Reconciled_prod_chosen!$D$64:$CU$80,Storage_Reconciled_prod_chosen!$C78,FALSE)</f>
        <v>0</v>
      </c>
      <c r="AA70" s="499">
        <f>HLOOKUP(AA$4,Storage_Reconciled_prod_chosen!$D$64:$CU$80,Storage_Reconciled_prod_chosen!$C78,FALSE)</f>
        <v>0</v>
      </c>
      <c r="AB70" s="499">
        <f>HLOOKUP(AB$4,Storage_Reconciled_prod_chosen!$D$64:$CU$80,Storage_Reconciled_prod_chosen!$C78,FALSE)</f>
        <v>0</v>
      </c>
      <c r="AC70" s="499">
        <f>HLOOKUP(AC$4,Storage_Reconciled_prod_chosen!$D$64:$CU$80,Storage_Reconciled_prod_chosen!$C78,FALSE)</f>
        <v>0</v>
      </c>
      <c r="AD70" s="499">
        <f>HLOOKUP(AD$4,Storage_Reconciled_prod_chosen!$D$64:$CU$80,Storage_Reconciled_prod_chosen!$C78,FALSE)</f>
        <v>0</v>
      </c>
      <c r="AE70" s="499">
        <f>HLOOKUP(AE$4,Storage_Reconciled_prod_chosen!$D$64:$CU$80,Storage_Reconciled_prod_chosen!$C78,FALSE)</f>
        <v>0</v>
      </c>
      <c r="AF70" s="499">
        <f>HLOOKUP(AF$4,Storage_Reconciled_prod_chosen!$D$64:$CU$80,Storage_Reconciled_prod_chosen!$C78,FALSE)</f>
        <v>0</v>
      </c>
      <c r="AG70" s="499">
        <f>HLOOKUP(AG$4,Storage_Reconciled_prod_chosen!$D$64:$CU$80,Storage_Reconciled_prod_chosen!$C78,FALSE)</f>
        <v>0</v>
      </c>
      <c r="AH70" s="499">
        <f>HLOOKUP(AH$4,Storage_Reconciled_prod_chosen!$D$64:$CU$80,Storage_Reconciled_prod_chosen!$C78,FALSE)</f>
        <v>0</v>
      </c>
    </row>
    <row r="71" spans="3:34">
      <c r="C71" s="144" t="s">
        <v>70</v>
      </c>
      <c r="D71" s="184">
        <f>DPRavg!AF13</f>
        <v>6.7257982086779716E-2</v>
      </c>
      <c r="E71" s="184">
        <f>DPRavg!AF18</f>
        <v>7.2471420683171597E-2</v>
      </c>
      <c r="F71" s="184">
        <f>DPRavg!AF23</f>
        <v>7.367640670882096E-2</v>
      </c>
      <c r="G71" s="184">
        <f>DPRavg!AF28</f>
        <v>7.4898318264065677E-2</v>
      </c>
      <c r="H71" s="184">
        <f>DPRavg!AF33</f>
        <v>7.4159597844523695E-2</v>
      </c>
      <c r="I71" s="184">
        <f>DPRavg!AF38</f>
        <v>0</v>
      </c>
      <c r="J71" s="184">
        <f>DPRavg!AF43</f>
        <v>0</v>
      </c>
      <c r="K71" s="184">
        <f>DPRavg!AF48</f>
        <v>0</v>
      </c>
      <c r="L71" s="184">
        <f>DPRavg!AF53</f>
        <v>0</v>
      </c>
      <c r="M71" s="184">
        <f>DPRavg!AF58</f>
        <v>0</v>
      </c>
      <c r="N71" s="184">
        <f>DPRavg!AF63</f>
        <v>0</v>
      </c>
      <c r="O71" s="184">
        <f>DPRavg!AF68</f>
        <v>0</v>
      </c>
      <c r="V71" s="144" t="s">
        <v>70</v>
      </c>
      <c r="W71" s="499">
        <f>HLOOKUP(W$4,Storage_Reconciled_prod_chosen!$D$64:$CU$80,Storage_Reconciled_prod_chosen!$C79,FALSE)</f>
        <v>6.7000000000000004E-2</v>
      </c>
      <c r="X71" s="499">
        <f>HLOOKUP(X$4,Storage_Reconciled_prod_chosen!$D$64:$CU$80,Storage_Reconciled_prod_chosen!$C79,FALSE)</f>
        <v>7.2999999999999995E-2</v>
      </c>
      <c r="Y71" s="499">
        <f>HLOOKUP(Y$4,Storage_Reconciled_prod_chosen!$D$64:$CU$80,Storage_Reconciled_prod_chosen!$C79,FALSE)</f>
        <v>7.3999999999999996E-2</v>
      </c>
      <c r="Z71" s="499">
        <f>HLOOKUP(Z$4,Storage_Reconciled_prod_chosen!$D$64:$CU$80,Storage_Reconciled_prod_chosen!$C79,FALSE)</f>
        <v>7.4999999999999997E-2</v>
      </c>
      <c r="AA71" s="499">
        <f>HLOOKUP(AA$4,Storage_Reconciled_prod_chosen!$D$64:$CU$80,Storage_Reconciled_prod_chosen!$C79,FALSE)</f>
        <v>0</v>
      </c>
      <c r="AB71" s="499">
        <f>HLOOKUP(AB$4,Storage_Reconciled_prod_chosen!$D$64:$CU$80,Storage_Reconciled_prod_chosen!$C79,FALSE)</f>
        <v>0</v>
      </c>
      <c r="AC71" s="499">
        <f>HLOOKUP(AC$4,Storage_Reconciled_prod_chosen!$D$64:$CU$80,Storage_Reconciled_prod_chosen!$C79,FALSE)</f>
        <v>0</v>
      </c>
      <c r="AD71" s="499">
        <f>HLOOKUP(AD$4,Storage_Reconciled_prod_chosen!$D$64:$CU$80,Storage_Reconciled_prod_chosen!$C79,FALSE)</f>
        <v>0</v>
      </c>
      <c r="AE71" s="499">
        <f>HLOOKUP(AE$4,Storage_Reconciled_prod_chosen!$D$64:$CU$80,Storage_Reconciled_prod_chosen!$C79,FALSE)</f>
        <v>0</v>
      </c>
      <c r="AF71" s="499">
        <f>HLOOKUP(AF$4,Storage_Reconciled_prod_chosen!$D$64:$CU$80,Storage_Reconciled_prod_chosen!$C79,FALSE)</f>
        <v>0</v>
      </c>
      <c r="AG71" s="499">
        <f>HLOOKUP(AG$4,Storage_Reconciled_prod_chosen!$D$64:$CU$80,Storage_Reconciled_prod_chosen!$C79,FALSE)</f>
        <v>0</v>
      </c>
      <c r="AH71" s="499">
        <f>HLOOKUP(AH$4,Storage_Reconciled_prod_chosen!$D$64:$CU$80,Storage_Reconciled_prod_chosen!$C79,FALSE)</f>
        <v>0</v>
      </c>
    </row>
    <row r="75" spans="3:34">
      <c r="D75">
        <v>1</v>
      </c>
      <c r="E75">
        <v>2</v>
      </c>
      <c r="F75">
        <v>3</v>
      </c>
      <c r="G75">
        <v>4</v>
      </c>
      <c r="H75">
        <v>5</v>
      </c>
      <c r="I75">
        <v>6</v>
      </c>
      <c r="J75">
        <v>7</v>
      </c>
      <c r="K75">
        <v>8</v>
      </c>
      <c r="L75">
        <v>9</v>
      </c>
      <c r="M75">
        <v>10</v>
      </c>
      <c r="N75">
        <v>11</v>
      </c>
      <c r="O75">
        <v>12</v>
      </c>
      <c r="W75">
        <v>1</v>
      </c>
      <c r="X75">
        <v>2</v>
      </c>
      <c r="Y75">
        <v>3</v>
      </c>
      <c r="Z75">
        <v>4</v>
      </c>
      <c r="AA75">
        <v>5</v>
      </c>
      <c r="AB75">
        <v>6</v>
      </c>
      <c r="AC75">
        <v>7</v>
      </c>
      <c r="AD75">
        <v>8</v>
      </c>
      <c r="AE75">
        <v>9</v>
      </c>
      <c r="AF75">
        <v>10</v>
      </c>
      <c r="AG75">
        <v>11</v>
      </c>
      <c r="AH75">
        <v>12</v>
      </c>
    </row>
    <row r="76" spans="3:34">
      <c r="D76">
        <f>1-W76</f>
        <v>0</v>
      </c>
      <c r="E76">
        <f>1-X76</f>
        <v>0</v>
      </c>
      <c r="F76">
        <f t="shared" ref="F76:O76" si="20">1-Y76</f>
        <v>0</v>
      </c>
      <c r="G76">
        <f t="shared" si="20"/>
        <v>0</v>
      </c>
      <c r="H76">
        <f t="shared" si="20"/>
        <v>1</v>
      </c>
      <c r="I76">
        <f t="shared" si="20"/>
        <v>1</v>
      </c>
      <c r="J76">
        <f t="shared" si="20"/>
        <v>1</v>
      </c>
      <c r="K76">
        <f>1-AD76</f>
        <v>1</v>
      </c>
      <c r="L76">
        <f t="shared" si="20"/>
        <v>1</v>
      </c>
      <c r="M76">
        <f t="shared" si="20"/>
        <v>1</v>
      </c>
      <c r="N76">
        <f t="shared" si="20"/>
        <v>1</v>
      </c>
      <c r="O76">
        <f t="shared" si="20"/>
        <v>1</v>
      </c>
      <c r="W76">
        <f>IF($AA$2&gt;=W75,1,0)</f>
        <v>1</v>
      </c>
      <c r="X76">
        <f t="shared" ref="X76:AH76" si="21">IF($AA$2&gt;=X75,1,0)</f>
        <v>1</v>
      </c>
      <c r="Y76">
        <f t="shared" si="21"/>
        <v>1</v>
      </c>
      <c r="Z76">
        <f t="shared" si="21"/>
        <v>1</v>
      </c>
      <c r="AA76">
        <f t="shared" si="21"/>
        <v>0</v>
      </c>
      <c r="AB76">
        <f t="shared" si="21"/>
        <v>0</v>
      </c>
      <c r="AC76">
        <f t="shared" si="21"/>
        <v>0</v>
      </c>
      <c r="AD76">
        <f t="shared" si="21"/>
        <v>0</v>
      </c>
      <c r="AE76">
        <f t="shared" si="21"/>
        <v>0</v>
      </c>
      <c r="AF76">
        <f t="shared" si="21"/>
        <v>0</v>
      </c>
      <c r="AG76">
        <f t="shared" si="21"/>
        <v>0</v>
      </c>
      <c r="AH76">
        <f t="shared" si="21"/>
        <v>0</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3"/>
  <dimension ref="A7:BT88"/>
  <sheetViews>
    <sheetView workbookViewId="0">
      <selection activeCell="F23" sqref="F23"/>
    </sheetView>
  </sheetViews>
  <sheetFormatPr defaultColWidth="8.85546875" defaultRowHeight="15"/>
  <cols>
    <col min="3" max="3" width="25" bestFit="1" customWidth="1"/>
    <col min="4" max="4" width="26.42578125" bestFit="1" customWidth="1"/>
    <col min="7" max="7" width="9.7109375" customWidth="1"/>
    <col min="8" max="8" width="13.85546875" customWidth="1"/>
    <col min="9" max="9" width="9.140625" customWidth="1"/>
    <col min="45" max="45" width="12.28515625" customWidth="1"/>
    <col min="66" max="66" width="11.7109375" customWidth="1"/>
    <col min="67" max="67" width="13.28515625" customWidth="1"/>
    <col min="68" max="68" width="12.7109375" customWidth="1"/>
    <col min="69" max="69" width="13.42578125" customWidth="1"/>
    <col min="70" max="70" width="12.42578125" customWidth="1"/>
    <col min="72" max="72" width="11.7109375" customWidth="1"/>
  </cols>
  <sheetData>
    <row r="7" spans="4:72">
      <c r="D7">
        <v>1</v>
      </c>
      <c r="E7">
        <v>2</v>
      </c>
      <c r="F7">
        <v>3</v>
      </c>
      <c r="G7">
        <v>4</v>
      </c>
      <c r="H7">
        <v>5</v>
      </c>
      <c r="I7">
        <v>6</v>
      </c>
      <c r="J7">
        <v>7</v>
      </c>
      <c r="K7">
        <v>8</v>
      </c>
      <c r="L7">
        <v>9</v>
      </c>
      <c r="M7">
        <v>10</v>
      </c>
      <c r="N7">
        <v>11</v>
      </c>
      <c r="O7">
        <v>12</v>
      </c>
      <c r="P7">
        <v>13</v>
      </c>
      <c r="Q7">
        <v>14</v>
      </c>
      <c r="R7">
        <v>15</v>
      </c>
      <c r="S7">
        <v>16</v>
      </c>
      <c r="T7">
        <v>17</v>
      </c>
      <c r="U7">
        <v>18</v>
      </c>
      <c r="V7">
        <v>19</v>
      </c>
      <c r="W7">
        <v>20</v>
      </c>
      <c r="X7">
        <v>21</v>
      </c>
      <c r="Y7">
        <v>22</v>
      </c>
      <c r="Z7">
        <v>23</v>
      </c>
      <c r="AA7">
        <v>24</v>
      </c>
      <c r="AB7">
        <v>25</v>
      </c>
      <c r="AC7">
        <v>26</v>
      </c>
      <c r="AD7">
        <v>27</v>
      </c>
      <c r="AE7">
        <v>28</v>
      </c>
      <c r="AF7">
        <v>29</v>
      </c>
      <c r="AG7">
        <v>30</v>
      </c>
      <c r="AH7">
        <v>31</v>
      </c>
      <c r="AI7">
        <v>32</v>
      </c>
      <c r="AJ7">
        <v>33</v>
      </c>
      <c r="AK7">
        <v>34</v>
      </c>
      <c r="AL7">
        <v>35</v>
      </c>
      <c r="AM7">
        <v>36</v>
      </c>
      <c r="AN7">
        <v>37</v>
      </c>
      <c r="AO7">
        <v>38</v>
      </c>
      <c r="AP7">
        <v>39</v>
      </c>
      <c r="AQ7">
        <v>40</v>
      </c>
      <c r="AR7">
        <v>41</v>
      </c>
      <c r="AS7">
        <v>42</v>
      </c>
      <c r="AT7">
        <v>43</v>
      </c>
      <c r="AU7">
        <v>44</v>
      </c>
      <c r="AV7">
        <v>45</v>
      </c>
      <c r="AW7">
        <v>46</v>
      </c>
      <c r="AX7">
        <v>47</v>
      </c>
      <c r="AY7">
        <v>48</v>
      </c>
      <c r="AZ7">
        <v>49</v>
      </c>
      <c r="BA7">
        <v>50</v>
      </c>
      <c r="BB7">
        <v>51</v>
      </c>
      <c r="BC7">
        <v>52</v>
      </c>
      <c r="BD7">
        <v>53</v>
      </c>
      <c r="BE7">
        <v>54</v>
      </c>
      <c r="BF7">
        <v>55</v>
      </c>
      <c r="BG7">
        <v>56</v>
      </c>
      <c r="BH7">
        <v>57</v>
      </c>
      <c r="BI7">
        <v>58</v>
      </c>
      <c r="BJ7">
        <v>59</v>
      </c>
      <c r="BK7">
        <v>60</v>
      </c>
      <c r="BL7">
        <v>61</v>
      </c>
      <c r="BM7">
        <v>62</v>
      </c>
      <c r="BN7">
        <v>63</v>
      </c>
      <c r="BO7">
        <v>64</v>
      </c>
      <c r="BP7">
        <v>65</v>
      </c>
      <c r="BQ7">
        <v>66</v>
      </c>
      <c r="BR7">
        <v>67</v>
      </c>
      <c r="BS7">
        <v>68</v>
      </c>
      <c r="BT7">
        <v>69</v>
      </c>
    </row>
    <row r="8" spans="4:72">
      <c r="D8" s="184" t="s">
        <v>658</v>
      </c>
      <c r="E8" s="184" t="s">
        <v>660</v>
      </c>
      <c r="F8" s="184" t="s">
        <v>661</v>
      </c>
      <c r="G8" s="184" t="s">
        <v>662</v>
      </c>
      <c r="H8" s="184" t="s">
        <v>663</v>
      </c>
      <c r="I8" s="184" t="s">
        <v>659</v>
      </c>
      <c r="J8" s="280" t="s">
        <v>664</v>
      </c>
      <c r="K8" s="270" t="s">
        <v>665</v>
      </c>
      <c r="L8" s="270" t="s">
        <v>666</v>
      </c>
      <c r="M8" s="270" t="s">
        <v>667</v>
      </c>
      <c r="N8" s="270" t="s">
        <v>668</v>
      </c>
      <c r="O8" s="270" t="s">
        <v>669</v>
      </c>
      <c r="P8" s="270" t="s">
        <v>670</v>
      </c>
      <c r="Q8" s="270" t="s">
        <v>671</v>
      </c>
      <c r="R8" s="270" t="s">
        <v>672</v>
      </c>
      <c r="S8" s="270" t="s">
        <v>673</v>
      </c>
      <c r="T8" s="270" t="s">
        <v>674</v>
      </c>
      <c r="U8" s="271" t="s">
        <v>675</v>
      </c>
      <c r="V8" s="280" t="s">
        <v>82</v>
      </c>
      <c r="W8" s="270" t="s">
        <v>83</v>
      </c>
      <c r="X8" s="270" t="s">
        <v>84</v>
      </c>
      <c r="Y8" s="270" t="s">
        <v>86</v>
      </c>
      <c r="Z8" s="270" t="s">
        <v>39</v>
      </c>
      <c r="AA8" s="270" t="s">
        <v>48</v>
      </c>
      <c r="AB8" s="271" t="s">
        <v>85</v>
      </c>
      <c r="AC8" s="280" t="s">
        <v>676</v>
      </c>
      <c r="AD8" s="270" t="s">
        <v>677</v>
      </c>
      <c r="AE8" s="270" t="s">
        <v>678</v>
      </c>
      <c r="AF8" s="270" t="s">
        <v>679</v>
      </c>
      <c r="AG8" s="270" t="s">
        <v>680</v>
      </c>
      <c r="AH8" s="270" t="s">
        <v>681</v>
      </c>
      <c r="AI8" s="270" t="s">
        <v>682</v>
      </c>
      <c r="AJ8" s="270" t="s">
        <v>683</v>
      </c>
      <c r="AK8" s="270" t="s">
        <v>684</v>
      </c>
      <c r="AL8" s="270" t="s">
        <v>685</v>
      </c>
      <c r="AM8" s="270" t="s">
        <v>686</v>
      </c>
      <c r="AN8" s="271" t="s">
        <v>687</v>
      </c>
      <c r="AO8" s="280" t="s">
        <v>688</v>
      </c>
      <c r="AP8" s="270" t="s">
        <v>689</v>
      </c>
      <c r="AQ8" s="270" t="s">
        <v>690</v>
      </c>
      <c r="AR8" s="271" t="s">
        <v>691</v>
      </c>
      <c r="AS8" s="280" t="s">
        <v>692</v>
      </c>
      <c r="AT8" s="270" t="s">
        <v>693</v>
      </c>
      <c r="AU8" s="270" t="s">
        <v>694</v>
      </c>
      <c r="AV8" s="270" t="s">
        <v>695</v>
      </c>
      <c r="AW8" s="270" t="s">
        <v>696</v>
      </c>
      <c r="AX8" s="270" t="s">
        <v>697</v>
      </c>
      <c r="AY8" s="270" t="s">
        <v>698</v>
      </c>
      <c r="AZ8" s="270" t="s">
        <v>699</v>
      </c>
      <c r="BA8" s="270" t="s">
        <v>700</v>
      </c>
      <c r="BB8" s="270" t="s">
        <v>701</v>
      </c>
      <c r="BC8" s="270" t="s">
        <v>702</v>
      </c>
      <c r="BD8" s="271" t="s">
        <v>703</v>
      </c>
      <c r="BE8" s="280" t="s">
        <v>704</v>
      </c>
      <c r="BF8" s="270" t="s">
        <v>705</v>
      </c>
      <c r="BG8" s="270" t="s">
        <v>706</v>
      </c>
      <c r="BH8" s="270" t="s">
        <v>707</v>
      </c>
      <c r="BI8" s="270" t="s">
        <v>708</v>
      </c>
      <c r="BJ8" s="270" t="s">
        <v>709</v>
      </c>
      <c r="BK8" s="271" t="s">
        <v>710</v>
      </c>
      <c r="BL8" s="280" t="s">
        <v>711</v>
      </c>
      <c r="BM8" s="271" t="s">
        <v>712</v>
      </c>
      <c r="BN8" s="280" t="s">
        <v>713</v>
      </c>
      <c r="BO8" s="270" t="s">
        <v>714</v>
      </c>
      <c r="BP8" s="270" t="s">
        <v>715</v>
      </c>
      <c r="BQ8" s="271" t="s">
        <v>716</v>
      </c>
      <c r="BR8" s="476" t="s">
        <v>718</v>
      </c>
      <c r="BS8" s="280" t="s">
        <v>717</v>
      </c>
      <c r="BT8" s="271" t="s">
        <v>722</v>
      </c>
    </row>
    <row r="9" spans="4:72">
      <c r="D9" s="184" t="s">
        <v>719</v>
      </c>
      <c r="E9" s="184">
        <v>2023</v>
      </c>
      <c r="F9" s="184">
        <v>2024</v>
      </c>
      <c r="G9" s="184" t="s">
        <v>463</v>
      </c>
      <c r="H9" s="184" t="s">
        <v>723</v>
      </c>
      <c r="I9" s="184">
        <v>29</v>
      </c>
      <c r="J9" s="272" t="s">
        <v>726</v>
      </c>
      <c r="K9" t="s">
        <v>727</v>
      </c>
      <c r="L9" t="s">
        <v>728</v>
      </c>
      <c r="M9" t="s">
        <v>729</v>
      </c>
      <c r="N9" t="s">
        <v>730</v>
      </c>
      <c r="O9" t="s">
        <v>731</v>
      </c>
      <c r="P9" t="s">
        <v>732</v>
      </c>
      <c r="Q9" t="s">
        <v>733</v>
      </c>
      <c r="R9" t="s">
        <v>734</v>
      </c>
      <c r="S9" t="s">
        <v>735</v>
      </c>
      <c r="T9" t="s">
        <v>736</v>
      </c>
      <c r="U9" s="273" t="s">
        <v>737</v>
      </c>
      <c r="V9" s="272" t="s">
        <v>762</v>
      </c>
      <c r="W9" t="s">
        <v>765</v>
      </c>
      <c r="X9" t="s">
        <v>768</v>
      </c>
      <c r="Y9" t="s">
        <v>771</v>
      </c>
      <c r="Z9" t="s">
        <v>774</v>
      </c>
      <c r="AA9" t="s">
        <v>777</v>
      </c>
      <c r="AB9" s="273" t="s">
        <v>780</v>
      </c>
      <c r="AC9" s="272" t="s">
        <v>319</v>
      </c>
      <c r="AD9" s="272" t="s">
        <v>726</v>
      </c>
      <c r="AE9" t="s">
        <v>727</v>
      </c>
      <c r="AF9" t="s">
        <v>728</v>
      </c>
      <c r="AG9" t="s">
        <v>729</v>
      </c>
      <c r="AH9" t="s">
        <v>730</v>
      </c>
      <c r="AI9" t="s">
        <v>731</v>
      </c>
      <c r="AJ9" t="s">
        <v>732</v>
      </c>
      <c r="AK9" t="s">
        <v>733</v>
      </c>
      <c r="AL9" t="s">
        <v>734</v>
      </c>
      <c r="AM9" t="s">
        <v>735</v>
      </c>
      <c r="AN9" t="s">
        <v>736</v>
      </c>
      <c r="AO9" s="272" t="s">
        <v>395</v>
      </c>
      <c r="AP9" s="272" t="s">
        <v>762</v>
      </c>
      <c r="AQ9" t="s">
        <v>765</v>
      </c>
      <c r="AR9" s="273" t="s">
        <v>768</v>
      </c>
      <c r="AS9" s="272" t="s">
        <v>308</v>
      </c>
      <c r="AT9" t="s">
        <v>309</v>
      </c>
      <c r="AU9" t="s">
        <v>310</v>
      </c>
      <c r="AV9" t="s">
        <v>311</v>
      </c>
      <c r="AW9" t="s">
        <v>312</v>
      </c>
      <c r="AX9" t="s">
        <v>313</v>
      </c>
      <c r="AY9" t="s">
        <v>314</v>
      </c>
      <c r="AZ9" t="s">
        <v>315</v>
      </c>
      <c r="BA9" t="s">
        <v>316</v>
      </c>
      <c r="BB9" t="s">
        <v>317</v>
      </c>
      <c r="BC9" t="s">
        <v>318</v>
      </c>
      <c r="BD9" s="273" t="s">
        <v>319</v>
      </c>
      <c r="BE9" s="272" t="s">
        <v>392</v>
      </c>
      <c r="BF9" t="s">
        <v>393</v>
      </c>
      <c r="BG9" t="s">
        <v>394</v>
      </c>
      <c r="BH9" t="s">
        <v>395</v>
      </c>
      <c r="BI9" t="s">
        <v>622</v>
      </c>
      <c r="BJ9" t="s">
        <v>623</v>
      </c>
      <c r="BK9" s="273" t="s">
        <v>624</v>
      </c>
      <c r="BL9" t="s">
        <v>623</v>
      </c>
      <c r="BM9" t="s">
        <v>774</v>
      </c>
      <c r="BN9" s="474">
        <v>45107</v>
      </c>
      <c r="BO9" s="246">
        <v>45199</v>
      </c>
      <c r="BP9" s="246">
        <v>45291</v>
      </c>
      <c r="BQ9" s="475">
        <v>45382</v>
      </c>
      <c r="BR9" s="477">
        <v>45016</v>
      </c>
      <c r="BS9" s="272" t="s">
        <v>783</v>
      </c>
      <c r="BT9" s="272" t="s">
        <v>504</v>
      </c>
    </row>
    <row r="10" spans="4:72">
      <c r="D10" s="184" t="s">
        <v>720</v>
      </c>
      <c r="E10" s="184">
        <v>2024</v>
      </c>
      <c r="F10" s="184">
        <v>2025</v>
      </c>
      <c r="G10" s="184" t="s">
        <v>719</v>
      </c>
      <c r="H10" s="184" t="s">
        <v>724</v>
      </c>
      <c r="I10" s="184">
        <v>28</v>
      </c>
      <c r="J10" s="272" t="s">
        <v>738</v>
      </c>
      <c r="K10" t="s">
        <v>740</v>
      </c>
      <c r="L10" t="s">
        <v>741</v>
      </c>
      <c r="M10" t="s">
        <v>742</v>
      </c>
      <c r="N10" t="s">
        <v>743</v>
      </c>
      <c r="O10" t="s">
        <v>744</v>
      </c>
      <c r="P10" t="s">
        <v>745</v>
      </c>
      <c r="Q10" t="s">
        <v>746</v>
      </c>
      <c r="R10" t="s">
        <v>747</v>
      </c>
      <c r="S10" t="s">
        <v>748</v>
      </c>
      <c r="T10" t="s">
        <v>749</v>
      </c>
      <c r="U10" s="273" t="s">
        <v>750</v>
      </c>
      <c r="V10" s="272" t="s">
        <v>763</v>
      </c>
      <c r="W10" t="s">
        <v>766</v>
      </c>
      <c r="X10" t="s">
        <v>769</v>
      </c>
      <c r="Y10" t="s">
        <v>772</v>
      </c>
      <c r="Z10" t="s">
        <v>775</v>
      </c>
      <c r="AA10" t="s">
        <v>778</v>
      </c>
      <c r="AB10" s="273" t="s">
        <v>781</v>
      </c>
      <c r="AC10" s="272" t="s">
        <v>737</v>
      </c>
      <c r="AD10" s="272" t="s">
        <v>738</v>
      </c>
      <c r="AE10" t="s">
        <v>740</v>
      </c>
      <c r="AF10" t="s">
        <v>741</v>
      </c>
      <c r="AG10" t="s">
        <v>742</v>
      </c>
      <c r="AH10" t="s">
        <v>743</v>
      </c>
      <c r="AI10" t="s">
        <v>744</v>
      </c>
      <c r="AJ10" t="s">
        <v>745</v>
      </c>
      <c r="AK10" t="s">
        <v>746</v>
      </c>
      <c r="AL10" t="s">
        <v>747</v>
      </c>
      <c r="AM10" t="s">
        <v>748</v>
      </c>
      <c r="AN10" t="s">
        <v>749</v>
      </c>
      <c r="AO10" s="272" t="s">
        <v>771</v>
      </c>
      <c r="AP10" s="272" t="s">
        <v>763</v>
      </c>
      <c r="AQ10" t="s">
        <v>766</v>
      </c>
      <c r="AR10" s="273" t="s">
        <v>769</v>
      </c>
      <c r="AS10" s="272" t="s">
        <v>726</v>
      </c>
      <c r="AT10" t="s">
        <v>727</v>
      </c>
      <c r="AU10" t="s">
        <v>728</v>
      </c>
      <c r="AV10" t="s">
        <v>729</v>
      </c>
      <c r="AW10" t="s">
        <v>730</v>
      </c>
      <c r="AX10" t="s">
        <v>731</v>
      </c>
      <c r="AY10" t="s">
        <v>732</v>
      </c>
      <c r="AZ10" t="s">
        <v>733</v>
      </c>
      <c r="BA10" t="s">
        <v>734</v>
      </c>
      <c r="BB10" t="s">
        <v>735</v>
      </c>
      <c r="BC10" t="s">
        <v>736</v>
      </c>
      <c r="BD10" s="273" t="s">
        <v>737</v>
      </c>
      <c r="BE10" s="272" t="s">
        <v>762</v>
      </c>
      <c r="BF10" t="s">
        <v>765</v>
      </c>
      <c r="BG10" t="s">
        <v>768</v>
      </c>
      <c r="BH10" t="s">
        <v>771</v>
      </c>
      <c r="BI10" t="s">
        <v>774</v>
      </c>
      <c r="BJ10" t="s">
        <v>777</v>
      </c>
      <c r="BK10" s="273" t="s">
        <v>780</v>
      </c>
      <c r="BL10" t="s">
        <v>777</v>
      </c>
      <c r="BM10" t="s">
        <v>775</v>
      </c>
      <c r="BN10" s="474">
        <v>45473</v>
      </c>
      <c r="BO10" s="246">
        <v>45565</v>
      </c>
      <c r="BP10" s="246">
        <v>45657</v>
      </c>
      <c r="BQ10" s="475">
        <v>45747</v>
      </c>
      <c r="BR10" s="477">
        <v>45382</v>
      </c>
      <c r="BS10" s="272" t="s">
        <v>784</v>
      </c>
      <c r="BT10" s="272" t="s">
        <v>783</v>
      </c>
    </row>
    <row r="11" spans="4:72">
      <c r="D11" s="184" t="s">
        <v>721</v>
      </c>
      <c r="E11" s="184">
        <v>2025</v>
      </c>
      <c r="F11" s="184">
        <v>2026</v>
      </c>
      <c r="G11" s="184" t="s">
        <v>720</v>
      </c>
      <c r="H11" s="184" t="s">
        <v>725</v>
      </c>
      <c r="I11" s="184">
        <v>28</v>
      </c>
      <c r="J11" s="281" t="s">
        <v>739</v>
      </c>
      <c r="K11" s="282" t="s">
        <v>751</v>
      </c>
      <c r="L11" s="282" t="s">
        <v>752</v>
      </c>
      <c r="M11" s="282" t="s">
        <v>753</v>
      </c>
      <c r="N11" s="282" t="s">
        <v>754</v>
      </c>
      <c r="O11" s="282" t="s">
        <v>755</v>
      </c>
      <c r="P11" s="282" t="s">
        <v>756</v>
      </c>
      <c r="Q11" s="282" t="s">
        <v>757</v>
      </c>
      <c r="R11" s="282" t="s">
        <v>758</v>
      </c>
      <c r="S11" s="282" t="s">
        <v>759</v>
      </c>
      <c r="T11" s="282" t="s">
        <v>760</v>
      </c>
      <c r="U11" s="283" t="s">
        <v>761</v>
      </c>
      <c r="V11" s="272" t="s">
        <v>764</v>
      </c>
      <c r="W11" t="s">
        <v>767</v>
      </c>
      <c r="X11" t="s">
        <v>770</v>
      </c>
      <c r="Y11" t="s">
        <v>773</v>
      </c>
      <c r="Z11" t="s">
        <v>776</v>
      </c>
      <c r="AA11" t="s">
        <v>779</v>
      </c>
      <c r="AB11" s="273" t="s">
        <v>782</v>
      </c>
      <c r="AC11" s="281" t="s">
        <v>750</v>
      </c>
      <c r="AD11" s="281" t="s">
        <v>739</v>
      </c>
      <c r="AE11" s="282" t="s">
        <v>751</v>
      </c>
      <c r="AF11" s="282" t="s">
        <v>752</v>
      </c>
      <c r="AG11" s="282" t="s">
        <v>753</v>
      </c>
      <c r="AH11" s="282" t="s">
        <v>754</v>
      </c>
      <c r="AI11" s="282" t="s">
        <v>755</v>
      </c>
      <c r="AJ11" s="282" t="s">
        <v>756</v>
      </c>
      <c r="AK11" s="282" t="s">
        <v>757</v>
      </c>
      <c r="AL11" s="282" t="s">
        <v>758</v>
      </c>
      <c r="AM11" s="282" t="s">
        <v>759</v>
      </c>
      <c r="AN11" s="282" t="s">
        <v>760</v>
      </c>
      <c r="AO11" s="281" t="s">
        <v>772</v>
      </c>
      <c r="AP11" s="281" t="s">
        <v>764</v>
      </c>
      <c r="AQ11" s="282" t="s">
        <v>767</v>
      </c>
      <c r="AR11" s="283" t="s">
        <v>770</v>
      </c>
      <c r="AS11" s="272" t="s">
        <v>738</v>
      </c>
      <c r="AT11" t="s">
        <v>740</v>
      </c>
      <c r="AU11" t="s">
        <v>741</v>
      </c>
      <c r="AV11" t="s">
        <v>742</v>
      </c>
      <c r="AW11" t="s">
        <v>743</v>
      </c>
      <c r="AX11" t="s">
        <v>744</v>
      </c>
      <c r="AY11" t="s">
        <v>745</v>
      </c>
      <c r="AZ11" t="s">
        <v>746</v>
      </c>
      <c r="BA11" t="s">
        <v>747</v>
      </c>
      <c r="BB11" t="s">
        <v>748</v>
      </c>
      <c r="BC11" t="s">
        <v>749</v>
      </c>
      <c r="BD11" s="273" t="s">
        <v>750</v>
      </c>
      <c r="BE11" s="272" t="s">
        <v>763</v>
      </c>
      <c r="BF11" t="s">
        <v>766</v>
      </c>
      <c r="BG11" t="s">
        <v>769</v>
      </c>
      <c r="BH11" t="s">
        <v>772</v>
      </c>
      <c r="BI11" t="s">
        <v>775</v>
      </c>
      <c r="BJ11" t="s">
        <v>778</v>
      </c>
      <c r="BK11" s="273" t="s">
        <v>781</v>
      </c>
      <c r="BL11" t="s">
        <v>778</v>
      </c>
      <c r="BM11" t="s">
        <v>776</v>
      </c>
      <c r="BN11" s="474">
        <v>45838</v>
      </c>
      <c r="BO11" s="246">
        <v>45930</v>
      </c>
      <c r="BP11" s="246">
        <v>46022</v>
      </c>
      <c r="BQ11" s="475">
        <v>46112</v>
      </c>
      <c r="BR11" s="477">
        <v>45747</v>
      </c>
      <c r="BS11" s="272" t="s">
        <v>785</v>
      </c>
      <c r="BT11" s="272" t="s">
        <v>784</v>
      </c>
    </row>
    <row r="12" spans="4:72" ht="45">
      <c r="D12" s="328" t="s">
        <v>2259</v>
      </c>
      <c r="E12" s="328">
        <v>2026</v>
      </c>
      <c r="F12" s="328">
        <v>2027</v>
      </c>
      <c r="G12" s="328" t="s">
        <v>721</v>
      </c>
      <c r="H12" s="364" t="s">
        <v>2275</v>
      </c>
      <c r="I12" s="184">
        <v>28</v>
      </c>
      <c r="J12" s="281" t="s">
        <v>2150</v>
      </c>
      <c r="K12" s="282" t="s">
        <v>2151</v>
      </c>
      <c r="L12" s="282" t="s">
        <v>2152</v>
      </c>
      <c r="M12" s="282" t="s">
        <v>2153</v>
      </c>
      <c r="N12" s="282" t="s">
        <v>2154</v>
      </c>
      <c r="O12" s="282" t="s">
        <v>2155</v>
      </c>
      <c r="P12" s="282" t="s">
        <v>2156</v>
      </c>
      <c r="Q12" s="282" t="s">
        <v>2157</v>
      </c>
      <c r="R12" s="282" t="s">
        <v>2158</v>
      </c>
      <c r="S12" s="282" t="s">
        <v>2159</v>
      </c>
      <c r="T12" s="282" t="s">
        <v>2160</v>
      </c>
      <c r="U12" s="283" t="s">
        <v>2149</v>
      </c>
      <c r="V12" s="272" t="s">
        <v>2260</v>
      </c>
      <c r="W12" t="s">
        <v>2261</v>
      </c>
      <c r="X12" t="s">
        <v>2262</v>
      </c>
      <c r="Y12" t="s">
        <v>2263</v>
      </c>
      <c r="Z12" t="s">
        <v>2264</v>
      </c>
      <c r="AA12" t="s">
        <v>2265</v>
      </c>
      <c r="AB12" s="273" t="s">
        <v>2266</v>
      </c>
      <c r="AC12" s="281" t="s">
        <v>761</v>
      </c>
      <c r="AD12" s="281" t="s">
        <v>2150</v>
      </c>
      <c r="AE12" s="282" t="s">
        <v>2151</v>
      </c>
      <c r="AF12" s="282" t="s">
        <v>2152</v>
      </c>
      <c r="AG12" s="282" t="s">
        <v>2153</v>
      </c>
      <c r="AH12" s="282" t="s">
        <v>2154</v>
      </c>
      <c r="AI12" s="282" t="s">
        <v>2155</v>
      </c>
      <c r="AJ12" s="282" t="s">
        <v>2156</v>
      </c>
      <c r="AK12" s="282" t="s">
        <v>2157</v>
      </c>
      <c r="AL12" s="282" t="s">
        <v>2158</v>
      </c>
      <c r="AM12" s="282" t="s">
        <v>2159</v>
      </c>
      <c r="AN12" s="282" t="s">
        <v>2160</v>
      </c>
      <c r="AO12" s="281" t="s">
        <v>773</v>
      </c>
      <c r="AP12" s="281" t="s">
        <v>2260</v>
      </c>
      <c r="AQ12" s="282" t="s">
        <v>2261</v>
      </c>
      <c r="AR12" s="283" t="s">
        <v>2262</v>
      </c>
      <c r="AS12" s="272" t="s">
        <v>739</v>
      </c>
      <c r="AT12" t="s">
        <v>751</v>
      </c>
      <c r="AU12" t="s">
        <v>752</v>
      </c>
      <c r="AV12" t="s">
        <v>753</v>
      </c>
      <c r="AW12" t="s">
        <v>754</v>
      </c>
      <c r="AX12" t="s">
        <v>755</v>
      </c>
      <c r="AY12" t="s">
        <v>756</v>
      </c>
      <c r="AZ12" t="s">
        <v>757</v>
      </c>
      <c r="BA12" t="s">
        <v>758</v>
      </c>
      <c r="BB12" t="s">
        <v>759</v>
      </c>
      <c r="BC12" t="s">
        <v>760</v>
      </c>
      <c r="BD12" s="273" t="s">
        <v>761</v>
      </c>
      <c r="BE12" s="272" t="s">
        <v>764</v>
      </c>
      <c r="BF12" t="s">
        <v>767</v>
      </c>
      <c r="BG12" t="s">
        <v>770</v>
      </c>
      <c r="BH12" t="s">
        <v>773</v>
      </c>
      <c r="BI12" t="s">
        <v>776</v>
      </c>
      <c r="BJ12" t="s">
        <v>779</v>
      </c>
      <c r="BK12" s="273" t="s">
        <v>782</v>
      </c>
      <c r="BL12" t="s">
        <v>779</v>
      </c>
      <c r="BM12" t="s">
        <v>2264</v>
      </c>
      <c r="BN12" s="474">
        <v>46203</v>
      </c>
      <c r="BO12" s="246">
        <v>46295</v>
      </c>
      <c r="BP12" s="246">
        <v>46387</v>
      </c>
      <c r="BQ12" s="475">
        <v>46477</v>
      </c>
      <c r="BR12" s="477">
        <v>46112</v>
      </c>
      <c r="BS12" s="272" t="s">
        <v>2267</v>
      </c>
      <c r="BT12" s="272" t="s">
        <v>785</v>
      </c>
    </row>
    <row r="13" spans="4:72">
      <c r="D13" s="328"/>
      <c r="E13" s="328"/>
      <c r="F13" s="328"/>
      <c r="G13" s="328"/>
      <c r="J13" s="281"/>
      <c r="K13" s="282"/>
      <c r="L13" s="282"/>
      <c r="M13" s="282"/>
      <c r="N13" s="282"/>
      <c r="O13" s="282"/>
      <c r="P13" s="282"/>
      <c r="Q13" s="282"/>
      <c r="R13" s="282"/>
      <c r="S13" s="282"/>
      <c r="T13" s="282"/>
      <c r="U13" s="283"/>
      <c r="V13" s="272"/>
      <c r="AB13" s="273"/>
      <c r="AC13" s="281"/>
      <c r="AD13" s="281"/>
      <c r="AE13" s="282"/>
      <c r="AF13" s="282"/>
      <c r="AG13" s="282"/>
      <c r="AH13" s="282"/>
      <c r="AI13" s="282"/>
      <c r="AJ13" s="282"/>
      <c r="AK13" s="282"/>
      <c r="AL13" s="282"/>
      <c r="AM13" s="282"/>
      <c r="AN13" s="282"/>
      <c r="AO13" s="281"/>
      <c r="AP13" s="281"/>
      <c r="AQ13" s="282"/>
      <c r="AR13" s="283"/>
      <c r="AS13" s="272"/>
      <c r="BD13" s="273"/>
      <c r="BE13" s="272"/>
      <c r="BK13" s="273"/>
      <c r="BN13" s="474"/>
      <c r="BO13" s="246"/>
      <c r="BP13" s="246"/>
      <c r="BQ13" s="475"/>
      <c r="BR13" s="477"/>
      <c r="BS13" s="272"/>
      <c r="BT13" s="272"/>
    </row>
    <row r="15" spans="4:72" ht="15.75" customHeight="1"/>
    <row r="16" spans="4:72">
      <c r="D16" s="1168" t="s">
        <v>926</v>
      </c>
      <c r="E16" s="1168"/>
    </row>
    <row r="17" spans="1:72">
      <c r="A17" t="s">
        <v>864</v>
      </c>
      <c r="B17" t="s">
        <v>847</v>
      </c>
      <c r="C17" s="420" t="s">
        <v>843</v>
      </c>
      <c r="D17" s="166" t="s">
        <v>2259</v>
      </c>
      <c r="E17" s="552" t="s">
        <v>2153</v>
      </c>
      <c r="H17" s="402" t="s">
        <v>896</v>
      </c>
      <c r="I17">
        <f>VLOOKUP(D17,D9:I12,6,FALSE)</f>
        <v>28</v>
      </c>
    </row>
    <row r="19" spans="1:72">
      <c r="C19" s="420"/>
      <c r="D19" s="420" t="s">
        <v>845</v>
      </c>
      <c r="E19" s="479" t="s">
        <v>660</v>
      </c>
      <c r="F19" s="420" t="s">
        <v>661</v>
      </c>
      <c r="G19" s="420" t="s">
        <v>662</v>
      </c>
      <c r="H19" s="420" t="s">
        <v>663</v>
      </c>
      <c r="I19" s="420" t="s">
        <v>659</v>
      </c>
      <c r="J19" s="420" t="s">
        <v>664</v>
      </c>
      <c r="K19" s="420" t="s">
        <v>665</v>
      </c>
      <c r="L19" s="420" t="s">
        <v>666</v>
      </c>
      <c r="M19" s="420" t="s">
        <v>667</v>
      </c>
      <c r="N19" s="420" t="s">
        <v>668</v>
      </c>
      <c r="O19" s="420" t="s">
        <v>669</v>
      </c>
      <c r="P19" s="420" t="s">
        <v>670</v>
      </c>
      <c r="Q19" s="420" t="s">
        <v>671</v>
      </c>
      <c r="R19" s="420" t="s">
        <v>672</v>
      </c>
      <c r="S19" s="420" t="s">
        <v>673</v>
      </c>
      <c r="T19" s="420" t="s">
        <v>674</v>
      </c>
      <c r="U19" s="420" t="s">
        <v>675</v>
      </c>
      <c r="V19" s="420" t="s">
        <v>82</v>
      </c>
      <c r="W19" s="420" t="s">
        <v>83</v>
      </c>
      <c r="X19" s="420" t="s">
        <v>84</v>
      </c>
      <c r="Y19" s="420" t="s">
        <v>86</v>
      </c>
      <c r="Z19" s="420" t="s">
        <v>39</v>
      </c>
      <c r="AA19" s="420" t="s">
        <v>48</v>
      </c>
      <c r="AB19" s="420" t="s">
        <v>85</v>
      </c>
      <c r="AC19" s="420" t="s">
        <v>676</v>
      </c>
      <c r="AD19" s="420" t="s">
        <v>677</v>
      </c>
      <c r="AE19" s="420" t="s">
        <v>678</v>
      </c>
      <c r="AF19" s="420" t="s">
        <v>679</v>
      </c>
      <c r="AG19" s="420" t="s">
        <v>680</v>
      </c>
      <c r="AH19" s="420" t="s">
        <v>681</v>
      </c>
      <c r="AI19" s="420" t="s">
        <v>682</v>
      </c>
      <c r="AJ19" s="420" t="s">
        <v>683</v>
      </c>
      <c r="AK19" s="420" t="s">
        <v>684</v>
      </c>
      <c r="AL19" s="420" t="s">
        <v>685</v>
      </c>
      <c r="AM19" s="420" t="s">
        <v>686</v>
      </c>
      <c r="AN19" s="420" t="s">
        <v>687</v>
      </c>
      <c r="AO19" s="420" t="s">
        <v>688</v>
      </c>
      <c r="AP19" s="420" t="s">
        <v>689</v>
      </c>
      <c r="AQ19" s="420" t="s">
        <v>690</v>
      </c>
      <c r="AR19" s="420" t="s">
        <v>691</v>
      </c>
      <c r="AS19" s="420" t="s">
        <v>692</v>
      </c>
      <c r="AT19" s="420" t="s">
        <v>693</v>
      </c>
      <c r="AU19" s="420" t="s">
        <v>694</v>
      </c>
      <c r="AV19" s="420" t="s">
        <v>695</v>
      </c>
      <c r="AW19" s="420" t="s">
        <v>696</v>
      </c>
      <c r="AX19" s="420" t="s">
        <v>697</v>
      </c>
      <c r="AY19" s="420" t="s">
        <v>698</v>
      </c>
      <c r="AZ19" s="420" t="s">
        <v>699</v>
      </c>
      <c r="BA19" s="420" t="s">
        <v>700</v>
      </c>
      <c r="BB19" s="420" t="s">
        <v>701</v>
      </c>
      <c r="BC19" s="420" t="s">
        <v>702</v>
      </c>
      <c r="BD19" s="420" t="s">
        <v>703</v>
      </c>
      <c r="BE19" s="420" t="s">
        <v>704</v>
      </c>
      <c r="BF19" s="420" t="s">
        <v>705</v>
      </c>
      <c r="BG19" s="420" t="s">
        <v>706</v>
      </c>
      <c r="BH19" s="420" t="s">
        <v>707</v>
      </c>
      <c r="BI19" s="420" t="s">
        <v>708</v>
      </c>
      <c r="BJ19" s="420" t="s">
        <v>709</v>
      </c>
      <c r="BK19" s="420" t="s">
        <v>710</v>
      </c>
      <c r="BL19" s="420" t="s">
        <v>711</v>
      </c>
      <c r="BM19" s="420" t="s">
        <v>712</v>
      </c>
      <c r="BN19" s="420" t="s">
        <v>713</v>
      </c>
      <c r="BO19" s="420" t="s">
        <v>714</v>
      </c>
      <c r="BP19" s="420" t="s">
        <v>715</v>
      </c>
      <c r="BQ19" s="420" t="s">
        <v>716</v>
      </c>
      <c r="BR19" s="420" t="s">
        <v>718</v>
      </c>
      <c r="BS19" s="420" t="s">
        <v>717</v>
      </c>
      <c r="BT19" s="420" t="s">
        <v>722</v>
      </c>
    </row>
    <row r="20" spans="1:72">
      <c r="A20" t="s">
        <v>927</v>
      </c>
      <c r="B20" t="s">
        <v>846</v>
      </c>
      <c r="C20" s="420" t="s">
        <v>845</v>
      </c>
      <c r="D20" s="166" t="s">
        <v>2259</v>
      </c>
      <c r="E20" s="479">
        <f t="shared" ref="E20:AJ20" si="0">VLOOKUP($D$20,$D$9:$BT$12,E7,FALSE)</f>
        <v>2026</v>
      </c>
      <c r="F20" s="420">
        <f t="shared" si="0"/>
        <v>2027</v>
      </c>
      <c r="G20" s="420" t="str">
        <f t="shared" si="0"/>
        <v>2025-26</v>
      </c>
      <c r="H20" s="420" t="str">
        <f t="shared" si="0"/>
        <v>Production Dashboard
 2026-27</v>
      </c>
      <c r="I20" s="420">
        <f t="shared" si="0"/>
        <v>28</v>
      </c>
      <c r="J20" s="420" t="str">
        <f t="shared" si="0"/>
        <v>Apr'26</v>
      </c>
      <c r="K20" s="420" t="str">
        <f t="shared" si="0"/>
        <v>May'26</v>
      </c>
      <c r="L20" s="420" t="str">
        <f t="shared" si="0"/>
        <v>June'26</v>
      </c>
      <c r="M20" s="420" t="str">
        <f t="shared" si="0"/>
        <v>July'26</v>
      </c>
      <c r="N20" s="420" t="str">
        <f t="shared" si="0"/>
        <v>Aug'26</v>
      </c>
      <c r="O20" s="420" t="str">
        <f t="shared" si="0"/>
        <v>Sep'26</v>
      </c>
      <c r="P20" s="420" t="str">
        <f t="shared" si="0"/>
        <v>Oct'26</v>
      </c>
      <c r="Q20" s="420" t="str">
        <f t="shared" si="0"/>
        <v>Nov'26</v>
      </c>
      <c r="R20" s="420" t="str">
        <f t="shared" si="0"/>
        <v>Dec'26</v>
      </c>
      <c r="S20" s="420" t="str">
        <f t="shared" si="0"/>
        <v>Jan'27</v>
      </c>
      <c r="T20" s="420" t="str">
        <f t="shared" si="0"/>
        <v>Feb'27</v>
      </c>
      <c r="U20" s="420" t="str">
        <f t="shared" si="0"/>
        <v>Mar'27</v>
      </c>
      <c r="V20" s="420" t="str">
        <f t="shared" si="0"/>
        <v>Q1 26-27</v>
      </c>
      <c r="W20" s="420" t="str">
        <f t="shared" si="0"/>
        <v>Q2 26-27</v>
      </c>
      <c r="X20" s="420" t="str">
        <f t="shared" si="0"/>
        <v>Q3 26-27</v>
      </c>
      <c r="Y20" s="420" t="str">
        <f t="shared" si="0"/>
        <v>Q4 26-27</v>
      </c>
      <c r="Z20" s="420" t="str">
        <f t="shared" si="0"/>
        <v>H1 26-27</v>
      </c>
      <c r="AA20" s="420" t="str">
        <f t="shared" si="0"/>
        <v>H2 26-27</v>
      </c>
      <c r="AB20" s="420" t="str">
        <f t="shared" si="0"/>
        <v>9M 26-27</v>
      </c>
      <c r="AC20" s="420" t="str">
        <f t="shared" si="0"/>
        <v>Mar'26</v>
      </c>
      <c r="AD20" s="420" t="str">
        <f t="shared" si="0"/>
        <v>Apr'26</v>
      </c>
      <c r="AE20" s="420" t="str">
        <f t="shared" si="0"/>
        <v>May'26</v>
      </c>
      <c r="AF20" s="420" t="str">
        <f t="shared" si="0"/>
        <v>June'26</v>
      </c>
      <c r="AG20" s="420" t="str">
        <f t="shared" si="0"/>
        <v>July'26</v>
      </c>
      <c r="AH20" s="420" t="str">
        <f t="shared" si="0"/>
        <v>Aug'26</v>
      </c>
      <c r="AI20" s="420" t="str">
        <f t="shared" si="0"/>
        <v>Sep'26</v>
      </c>
      <c r="AJ20" s="420" t="str">
        <f t="shared" si="0"/>
        <v>Oct'26</v>
      </c>
      <c r="AK20" s="420" t="str">
        <f t="shared" ref="AK20:BT20" si="1">VLOOKUP($D$20,$D$9:$BT$12,AK7,FALSE)</f>
        <v>Nov'26</v>
      </c>
      <c r="AL20" s="420" t="str">
        <f t="shared" si="1"/>
        <v>Dec'26</v>
      </c>
      <c r="AM20" s="420" t="str">
        <f t="shared" si="1"/>
        <v>Jan'27</v>
      </c>
      <c r="AN20" s="420" t="str">
        <f t="shared" si="1"/>
        <v>Feb'27</v>
      </c>
      <c r="AO20" s="420" t="str">
        <f t="shared" si="1"/>
        <v>Q4 25-26</v>
      </c>
      <c r="AP20" s="420" t="str">
        <f t="shared" si="1"/>
        <v>Q1 26-27</v>
      </c>
      <c r="AQ20" s="420" t="str">
        <f t="shared" si="1"/>
        <v>Q2 26-27</v>
      </c>
      <c r="AR20" s="420" t="str">
        <f t="shared" si="1"/>
        <v>Q3 26-27</v>
      </c>
      <c r="AS20" s="420" t="str">
        <f t="shared" si="1"/>
        <v>Apr'25</v>
      </c>
      <c r="AT20" s="420" t="str">
        <f t="shared" si="1"/>
        <v>May'25</v>
      </c>
      <c r="AU20" s="420" t="str">
        <f t="shared" si="1"/>
        <v>June'25</v>
      </c>
      <c r="AV20" s="420" t="str">
        <f t="shared" si="1"/>
        <v>July'25</v>
      </c>
      <c r="AW20" s="420" t="str">
        <f t="shared" si="1"/>
        <v>Aug'25</v>
      </c>
      <c r="AX20" s="420" t="str">
        <f t="shared" si="1"/>
        <v>Sep'25</v>
      </c>
      <c r="AY20" s="420" t="str">
        <f t="shared" si="1"/>
        <v>Oct'25</v>
      </c>
      <c r="AZ20" s="420" t="str">
        <f t="shared" si="1"/>
        <v>Nov'25</v>
      </c>
      <c r="BA20" s="420" t="str">
        <f t="shared" si="1"/>
        <v>Dec'25</v>
      </c>
      <c r="BB20" s="420" t="str">
        <f t="shared" si="1"/>
        <v>Jan'26</v>
      </c>
      <c r="BC20" s="420" t="str">
        <f t="shared" si="1"/>
        <v>Feb'26</v>
      </c>
      <c r="BD20" s="420" t="str">
        <f t="shared" si="1"/>
        <v>Mar'26</v>
      </c>
      <c r="BE20" s="420" t="str">
        <f t="shared" si="1"/>
        <v>Q1 25-26</v>
      </c>
      <c r="BF20" s="420" t="str">
        <f t="shared" si="1"/>
        <v>Q2 25-26</v>
      </c>
      <c r="BG20" s="420" t="str">
        <f t="shared" si="1"/>
        <v>Q3 25-26</v>
      </c>
      <c r="BH20" s="420" t="str">
        <f t="shared" si="1"/>
        <v>Q4 25-26</v>
      </c>
      <c r="BI20" s="420" t="str">
        <f t="shared" si="1"/>
        <v>H1 25-26</v>
      </c>
      <c r="BJ20" s="420" t="str">
        <f t="shared" si="1"/>
        <v>H2 25-26</v>
      </c>
      <c r="BK20" s="420" t="str">
        <f t="shared" si="1"/>
        <v>9M 25-26</v>
      </c>
      <c r="BL20" s="420" t="str">
        <f t="shared" si="1"/>
        <v>H2 25-26</v>
      </c>
      <c r="BM20" s="420" t="str">
        <f t="shared" si="1"/>
        <v>H1 26-27</v>
      </c>
      <c r="BN20" s="478">
        <f t="shared" si="1"/>
        <v>46203</v>
      </c>
      <c r="BO20" s="478">
        <f t="shared" si="1"/>
        <v>46295</v>
      </c>
      <c r="BP20" s="478">
        <f t="shared" si="1"/>
        <v>46387</v>
      </c>
      <c r="BQ20" s="478">
        <f t="shared" si="1"/>
        <v>46477</v>
      </c>
      <c r="BR20" s="478">
        <f t="shared" si="1"/>
        <v>46112</v>
      </c>
      <c r="BS20" s="420" t="str">
        <f t="shared" si="1"/>
        <v>FY 2026-27</v>
      </c>
      <c r="BT20" s="420" t="str">
        <f t="shared" si="1"/>
        <v>FY 2025-26</v>
      </c>
    </row>
    <row r="21" spans="1:72">
      <c r="C21" s="420" t="s">
        <v>660</v>
      </c>
      <c r="D21" s="420">
        <f>VLOOKUP($D$20,$D$9:$BT$12,E7,FALSE)</f>
        <v>2026</v>
      </c>
      <c r="J21" s="420">
        <f>$D$21*100+4</f>
        <v>202604</v>
      </c>
      <c r="K21" s="420">
        <f>$D$21*100+5</f>
        <v>202605</v>
      </c>
      <c r="L21" s="420">
        <f>$D$21*100+6</f>
        <v>202606</v>
      </c>
      <c r="M21" s="420">
        <f>$D$21*100+7</f>
        <v>202607</v>
      </c>
      <c r="N21" s="420">
        <f>$D$21*100+8</f>
        <v>202608</v>
      </c>
      <c r="O21" s="420">
        <f>$D$21*100+9</f>
        <v>202609</v>
      </c>
      <c r="P21" s="420">
        <f>$D$21*100+10</f>
        <v>202610</v>
      </c>
      <c r="Q21" s="420">
        <f>$D$21*100+11</f>
        <v>202611</v>
      </c>
      <c r="R21" s="420">
        <f>$D$21*100+12</f>
        <v>202612</v>
      </c>
      <c r="S21" s="420">
        <f>$D$22*100+1</f>
        <v>202701</v>
      </c>
      <c r="T21" s="420">
        <f>$D$22*100+2</f>
        <v>202702</v>
      </c>
      <c r="U21" s="420">
        <f>$D$22*100+3</f>
        <v>202703</v>
      </c>
    </row>
    <row r="22" spans="1:72">
      <c r="C22" s="420" t="s">
        <v>661</v>
      </c>
      <c r="D22" s="420">
        <f>VLOOKUP($D$20,$D$9:$BT$12,F7,FALSE)</f>
        <v>2027</v>
      </c>
    </row>
    <row r="23" spans="1:72">
      <c r="C23" s="420" t="s">
        <v>662</v>
      </c>
      <c r="D23" s="420" t="str">
        <f>VLOOKUP($D$20,$D$9:$BT$12,G7,FALSE)</f>
        <v>2025-26</v>
      </c>
    </row>
    <row r="24" spans="1:72">
      <c r="C24" s="420" t="s">
        <v>663</v>
      </c>
      <c r="D24" s="420" t="str">
        <f>VLOOKUP($D$20,$D$9:$BT$12,H7,FALSE)</f>
        <v>Production Dashboard
 2026-27</v>
      </c>
    </row>
    <row r="25" spans="1:72">
      <c r="C25" s="420" t="s">
        <v>659</v>
      </c>
      <c r="D25" s="420">
        <f>VLOOKUP($D$20,$D$9:$BT$12,I7,FALSE)</f>
        <v>28</v>
      </c>
      <c r="G25" t="s">
        <v>786</v>
      </c>
    </row>
    <row r="26" spans="1:72">
      <c r="C26" s="420" t="s">
        <v>664</v>
      </c>
      <c r="D26" s="420" t="str">
        <f>VLOOKUP($D$20,$D$9:$BT$12,J7,FALSE)</f>
        <v>Apr'26</v>
      </c>
      <c r="G26" t="s">
        <v>787</v>
      </c>
    </row>
    <row r="27" spans="1:72">
      <c r="C27" s="420" t="s">
        <v>665</v>
      </c>
      <c r="D27" s="420" t="str">
        <f>VLOOKUP($D$20,$D$9:$BT$12,K7,FALSE)</f>
        <v>May'26</v>
      </c>
    </row>
    <row r="28" spans="1:72">
      <c r="C28" s="420" t="s">
        <v>666</v>
      </c>
      <c r="D28" s="420" t="str">
        <f>VLOOKUP($D$20,$D$9:$BT$12,L7,FALSE)</f>
        <v>June'26</v>
      </c>
    </row>
    <row r="29" spans="1:72">
      <c r="C29" s="420" t="s">
        <v>667</v>
      </c>
      <c r="D29" s="420" t="str">
        <f>VLOOKUP($D$20,$D$9:$BT$12,M7,FALSE)</f>
        <v>July'26</v>
      </c>
    </row>
    <row r="30" spans="1:72">
      <c r="C30" s="420" t="s">
        <v>668</v>
      </c>
      <c r="D30" s="420" t="str">
        <f>VLOOKUP($D$20,$D$9:$BT$12,N7,FALSE)</f>
        <v>Aug'26</v>
      </c>
      <c r="G30" t="s">
        <v>858</v>
      </c>
    </row>
    <row r="31" spans="1:72">
      <c r="C31" s="420" t="s">
        <v>669</v>
      </c>
      <c r="D31" s="420" t="str">
        <f>VLOOKUP($D$20,$D$9:$BT$12,O7,FALSE)</f>
        <v>Sep'26</v>
      </c>
      <c r="G31" s="500" t="str">
        <f>Dropdowns!D295</f>
        <v>July'26</v>
      </c>
      <c r="H31" t="s">
        <v>866</v>
      </c>
    </row>
    <row r="32" spans="1:72">
      <c r="C32" s="420" t="s">
        <v>670</v>
      </c>
      <c r="D32" s="420" t="str">
        <f>VLOOKUP($D$20,$D$9:$BT$12,P7,FALSE)</f>
        <v>Oct'26</v>
      </c>
    </row>
    <row r="33" spans="3:14">
      <c r="C33" s="420" t="s">
        <v>671</v>
      </c>
      <c r="D33" s="420" t="str">
        <f>VLOOKUP($D$20,$D$9:$BT$12,Q7,FALSE)</f>
        <v>Nov'26</v>
      </c>
    </row>
    <row r="34" spans="3:14">
      <c r="C34" s="420" t="s">
        <v>672</v>
      </c>
      <c r="D34" s="420" t="str">
        <f>VLOOKUP($D$20,$D$9:$BT$12,R7,FALSE)</f>
        <v>Dec'26</v>
      </c>
      <c r="G34" t="s">
        <v>859</v>
      </c>
    </row>
    <row r="35" spans="3:14">
      <c r="C35" s="420" t="s">
        <v>673</v>
      </c>
      <c r="D35" s="420" t="str">
        <f>VLOOKUP($D$20,$D$9:$BT$12,S7,FALSE)</f>
        <v>Jan'27</v>
      </c>
      <c r="G35" t="s">
        <v>860</v>
      </c>
    </row>
    <row r="36" spans="3:14">
      <c r="C36" s="420" t="s">
        <v>674</v>
      </c>
      <c r="D36" s="420" t="str">
        <f>VLOOKUP($D$20,$D$9:$BT$12,T7,FALSE)</f>
        <v>Feb'27</v>
      </c>
    </row>
    <row r="37" spans="3:14">
      <c r="C37" s="420" t="s">
        <v>675</v>
      </c>
      <c r="D37" s="420" t="str">
        <f>VLOOKUP($D$20,$D$9:$BT$12,U7,FALSE)</f>
        <v>Mar'27</v>
      </c>
    </row>
    <row r="38" spans="3:14">
      <c r="C38" s="420" t="s">
        <v>82</v>
      </c>
      <c r="D38" s="420" t="str">
        <f>VLOOKUP($D$20,$D$9:$BT$12,V7,FALSE)</f>
        <v>Q1 26-27</v>
      </c>
      <c r="G38" t="s">
        <v>862</v>
      </c>
      <c r="H38" t="s">
        <v>863</v>
      </c>
      <c r="I38" t="s">
        <v>928</v>
      </c>
    </row>
    <row r="39" spans="3:14">
      <c r="C39" s="420" t="s">
        <v>83</v>
      </c>
      <c r="D39" s="420" t="str">
        <f>VLOOKUP($D$20,$D$9:$BT$12,W7,FALSE)</f>
        <v>Q2 26-27</v>
      </c>
      <c r="G39" t="s">
        <v>864</v>
      </c>
      <c r="H39" t="s">
        <v>865</v>
      </c>
      <c r="I39" t="s">
        <v>929</v>
      </c>
    </row>
    <row r="40" spans="3:14">
      <c r="C40" s="420" t="s">
        <v>84</v>
      </c>
      <c r="D40" s="420" t="str">
        <f>VLOOKUP($D$20,$D$9:$BT$12,X7,FALSE)</f>
        <v>Q3 26-27</v>
      </c>
    </row>
    <row r="41" spans="3:14">
      <c r="C41" s="420" t="s">
        <v>86</v>
      </c>
      <c r="D41" s="420" t="str">
        <f>VLOOKUP($D$20,$D$9:$BT$12,Y7,FALSE)</f>
        <v>Q4 26-27</v>
      </c>
    </row>
    <row r="42" spans="3:14">
      <c r="C42" s="420" t="s">
        <v>39</v>
      </c>
      <c r="D42" s="420" t="str">
        <f>VLOOKUP($D$20,$D$9:$BT$12,Z7,FALSE)</f>
        <v>H1 26-27</v>
      </c>
    </row>
    <row r="43" spans="3:14">
      <c r="C43" s="420" t="s">
        <v>48</v>
      </c>
      <c r="D43" s="420" t="str">
        <f>VLOOKUP($D$20,$D$9:$BT$12,AA7,FALSE)</f>
        <v>H2 26-27</v>
      </c>
      <c r="G43" t="s">
        <v>880</v>
      </c>
    </row>
    <row r="44" spans="3:14">
      <c r="C44" s="420" t="s">
        <v>85</v>
      </c>
      <c r="D44" s="420" t="str">
        <f>VLOOKUP($D$20,$D$9:$BT$12,AB7,FALSE)</f>
        <v>9M 26-27</v>
      </c>
    </row>
    <row r="45" spans="3:14">
      <c r="C45" s="420" t="s">
        <v>676</v>
      </c>
      <c r="D45" s="420" t="str">
        <f>VLOOKUP($D$20,$D$9:$BT$12,AC7,FALSE)</f>
        <v>Mar'26</v>
      </c>
    </row>
    <row r="46" spans="3:14">
      <c r="C46" s="420" t="s">
        <v>677</v>
      </c>
      <c r="D46" s="420" t="str">
        <f>VLOOKUP($D$20,$D$9:$BT$12,AD7,FALSE)</f>
        <v>Apr'26</v>
      </c>
      <c r="G46" t="s">
        <v>887</v>
      </c>
    </row>
    <row r="47" spans="3:14">
      <c r="C47" s="420" t="s">
        <v>678</v>
      </c>
      <c r="D47" s="420" t="str">
        <f>VLOOKUP($D$20,$D$9:$BT$12,AE7,FALSE)</f>
        <v>May'26</v>
      </c>
    </row>
    <row r="48" spans="3:14">
      <c r="C48" s="420" t="s">
        <v>679</v>
      </c>
      <c r="D48" s="420" t="str">
        <f>VLOOKUP($D$20,$D$9:$BT$12,AF7,FALSE)</f>
        <v>June'26</v>
      </c>
    </row>
    <row r="49" spans="3:7">
      <c r="C49" s="420" t="s">
        <v>680</v>
      </c>
      <c r="D49" s="420" t="str">
        <f>VLOOKUP($D$20,$D$9:$BT$12,AG7,FALSE)</f>
        <v>July'26</v>
      </c>
      <c r="G49" t="s">
        <v>901</v>
      </c>
    </row>
    <row r="50" spans="3:7">
      <c r="C50" s="420" t="s">
        <v>681</v>
      </c>
      <c r="D50" s="420" t="str">
        <f>VLOOKUP($D$20,$D$9:$BT$12,AH7,FALSE)</f>
        <v>Aug'26</v>
      </c>
    </row>
    <row r="51" spans="3:7">
      <c r="C51" s="420" t="s">
        <v>682</v>
      </c>
      <c r="D51" s="420" t="str">
        <f>VLOOKUP($D$20,$D$9:$BT$12,AI7,FALSE)</f>
        <v>Sep'26</v>
      </c>
      <c r="G51" s="233" t="s">
        <v>902</v>
      </c>
    </row>
    <row r="52" spans="3:7">
      <c r="C52" s="420" t="s">
        <v>683</v>
      </c>
      <c r="D52" s="420" t="str">
        <f>VLOOKUP($D$20,$D$9:$BT$12,AJ7,FALSE)</f>
        <v>Oct'26</v>
      </c>
      <c r="G52" t="s">
        <v>903</v>
      </c>
    </row>
    <row r="53" spans="3:7">
      <c r="C53" s="420" t="s">
        <v>684</v>
      </c>
      <c r="D53" s="420" t="str">
        <f>VLOOKUP($D$20,$D$9:$BT$12,AK7,FALSE)</f>
        <v>Nov'26</v>
      </c>
      <c r="G53" t="s">
        <v>904</v>
      </c>
    </row>
    <row r="54" spans="3:7">
      <c r="C54" s="420" t="s">
        <v>685</v>
      </c>
      <c r="D54" s="420" t="str">
        <f>VLOOKUP($D$20,$D$9:$BT$12,AL7,FALSE)</f>
        <v>Dec'26</v>
      </c>
      <c r="G54" t="s">
        <v>1541</v>
      </c>
    </row>
    <row r="55" spans="3:7">
      <c r="C55" s="420" t="s">
        <v>686</v>
      </c>
      <c r="D55" s="420" t="str">
        <f>VLOOKUP($D$20,$D$9:$BT$12,AM7,FALSE)</f>
        <v>Jan'27</v>
      </c>
      <c r="G55" t="s">
        <v>905</v>
      </c>
    </row>
    <row r="56" spans="3:7">
      <c r="C56" s="420" t="s">
        <v>687</v>
      </c>
      <c r="D56" s="420" t="str">
        <f>VLOOKUP($D$20,$D$9:$BT$12,AN7,FALSE)</f>
        <v>Feb'27</v>
      </c>
      <c r="G56" t="s">
        <v>906</v>
      </c>
    </row>
    <row r="57" spans="3:7">
      <c r="C57" s="420" t="s">
        <v>688</v>
      </c>
      <c r="D57" s="420" t="str">
        <f>VLOOKUP($D$20,$D$9:$BT$12,AO7,FALSE)</f>
        <v>Q4 25-26</v>
      </c>
      <c r="G57" t="s">
        <v>907</v>
      </c>
    </row>
    <row r="58" spans="3:7">
      <c r="C58" s="420" t="s">
        <v>689</v>
      </c>
      <c r="D58" s="420" t="str">
        <f>VLOOKUP($D$20,$D$9:$BT$12,AP7,FALSE)</f>
        <v>Q1 26-27</v>
      </c>
    </row>
    <row r="59" spans="3:7">
      <c r="C59" s="420" t="s">
        <v>690</v>
      </c>
      <c r="D59" s="420" t="str">
        <f>VLOOKUP($D$20,$D$9:$BT$12,AQ7,FALSE)</f>
        <v>Q2 26-27</v>
      </c>
      <c r="G59" t="s">
        <v>909</v>
      </c>
    </row>
    <row r="60" spans="3:7">
      <c r="C60" s="420" t="s">
        <v>691</v>
      </c>
      <c r="D60" s="420" t="str">
        <f>VLOOKUP($D$20,$D$9:$BT$12,AR7,FALSE)</f>
        <v>Q3 26-27</v>
      </c>
    </row>
    <row r="61" spans="3:7">
      <c r="C61" s="420" t="s">
        <v>692</v>
      </c>
      <c r="D61" s="420" t="str">
        <f>VLOOKUP($D$20,$D$9:$BT$12,AS7,FALSE)</f>
        <v>Apr'25</v>
      </c>
    </row>
    <row r="62" spans="3:7">
      <c r="C62" s="420" t="s">
        <v>693</v>
      </c>
      <c r="D62" s="420" t="str">
        <f>VLOOKUP($D$20,$D$9:$BT$12,AT7,FALSE)</f>
        <v>May'25</v>
      </c>
    </row>
    <row r="63" spans="3:7">
      <c r="C63" s="420" t="s">
        <v>694</v>
      </c>
      <c r="D63" s="420" t="str">
        <f>VLOOKUP($D$20,$D$9:$BT$12,AU7,FALSE)</f>
        <v>June'25</v>
      </c>
    </row>
    <row r="64" spans="3:7">
      <c r="C64" s="420" t="s">
        <v>695</v>
      </c>
      <c r="D64" s="420" t="str">
        <f>VLOOKUP($D$20,$D$9:$BT$12,AV7,FALSE)</f>
        <v>July'25</v>
      </c>
    </row>
    <row r="65" spans="3:14">
      <c r="C65" s="420" t="s">
        <v>696</v>
      </c>
      <c r="D65" s="420" t="str">
        <f>VLOOKUP($D$20,$D$9:$BT$12,AW7,FALSE)</f>
        <v>Aug'25</v>
      </c>
    </row>
    <row r="66" spans="3:14">
      <c r="C66" s="420" t="s">
        <v>697</v>
      </c>
      <c r="D66" s="420" t="str">
        <f>VLOOKUP($D$20,$D$9:$BT$12,AX7,FALSE)</f>
        <v>Sep'25</v>
      </c>
    </row>
    <row r="67" spans="3:14">
      <c r="C67" s="420" t="s">
        <v>698</v>
      </c>
      <c r="D67" s="420" t="str">
        <f>VLOOKUP($D$20,$D$9:$BT$12,AY7,FALSE)</f>
        <v>Oct'25</v>
      </c>
    </row>
    <row r="68" spans="3:14">
      <c r="C68" s="420" t="s">
        <v>699</v>
      </c>
      <c r="D68" s="420" t="str">
        <f>VLOOKUP($D$20,$D$9:$BT$12,AZ7,FALSE)</f>
        <v>Nov'25</v>
      </c>
    </row>
    <row r="69" spans="3:14">
      <c r="C69" s="420" t="s">
        <v>700</v>
      </c>
      <c r="D69" s="420" t="str">
        <f>VLOOKUP($D$20,$D$9:$BT$12,BA7,FALSE)</f>
        <v>Dec'25</v>
      </c>
    </row>
    <row r="70" spans="3:14">
      <c r="C70" s="420" t="s">
        <v>701</v>
      </c>
      <c r="D70" s="420" t="str">
        <f>VLOOKUP($D$20,$D$9:$BT$12,BB7,FALSE)</f>
        <v>Jan'26</v>
      </c>
    </row>
    <row r="71" spans="3:14">
      <c r="C71" s="420" t="s">
        <v>702</v>
      </c>
      <c r="D71" s="420" t="str">
        <f>VLOOKUP($D$20,$D$9:$BT$12,BC7,FALSE)</f>
        <v>Feb'26</v>
      </c>
    </row>
    <row r="72" spans="3:14">
      <c r="C72" s="420" t="s">
        <v>703</v>
      </c>
      <c r="D72" s="420" t="str">
        <f>VLOOKUP($D$20,$D$9:$BT$12,BD7,FALSE)</f>
        <v>Mar'26</v>
      </c>
    </row>
    <row r="73" spans="3:14">
      <c r="C73" s="420" t="s">
        <v>704</v>
      </c>
      <c r="D73" s="420" t="str">
        <f>VLOOKUP($D$20,$D$9:$BT$12,BE7,FALSE)</f>
        <v>Q1 25-26</v>
      </c>
    </row>
    <row r="74" spans="3:14">
      <c r="C74" s="420" t="s">
        <v>705</v>
      </c>
      <c r="D74" s="420" t="str">
        <f>VLOOKUP($D$20,$D$9:$BT$12,BF7,FALSE)</f>
        <v>Q2 25-26</v>
      </c>
    </row>
    <row r="75" spans="3:14">
      <c r="C75" s="420" t="s">
        <v>706</v>
      </c>
      <c r="D75" s="420" t="str">
        <f>VLOOKUP($D$20,$D$9:$BT$12,BG7,FALSE)</f>
        <v>Q3 25-26</v>
      </c>
    </row>
    <row r="76" spans="3:14">
      <c r="C76" s="420" t="s">
        <v>707</v>
      </c>
      <c r="D76" s="420" t="str">
        <f>VLOOKUP($D$20,$D$9:$BT$12,BH7,FALSE)</f>
        <v>Q4 25-26</v>
      </c>
    </row>
    <row r="77" spans="3:14">
      <c r="C77" s="420" t="s">
        <v>708</v>
      </c>
      <c r="D77" s="420" t="str">
        <f>VLOOKUP($D$20,$D$9:$BT$12,BI7,FALSE)</f>
        <v>H1 25-26</v>
      </c>
    </row>
    <row r="78" spans="3:14">
      <c r="C78" s="420" t="s">
        <v>709</v>
      </c>
      <c r="D78" s="420" t="str">
        <f>VLOOKUP($D$20,$D$9:$BT$12,BJ7,FALSE)</f>
        <v>H2 25-26</v>
      </c>
    </row>
    <row r="79" spans="3:14">
      <c r="C79" s="420" t="s">
        <v>710</v>
      </c>
      <c r="D79" s="420" t="str">
        <f>VLOOKUP($D$20,$D$9:$BT$12,BK7,FALSE)</f>
        <v>9M 25-26</v>
      </c>
    </row>
    <row r="80" spans="3:14">
      <c r="C80" s="420" t="s">
        <v>711</v>
      </c>
      <c r="D80" s="420" t="str">
        <f>VLOOKUP($D$20,$D$9:$BT$12,BL7,FALSE)</f>
        <v>H2 25-26</v>
      </c>
    </row>
    <row r="81" spans="3:4">
      <c r="C81" s="420" t="s">
        <v>712</v>
      </c>
      <c r="D81" s="420" t="str">
        <f>VLOOKUP($D$20,$D$9:$BT$12,BM7,FALSE)</f>
        <v>H1 26-27</v>
      </c>
    </row>
    <row r="82" spans="3:4">
      <c r="C82" s="420" t="s">
        <v>713</v>
      </c>
      <c r="D82" s="478">
        <f>VLOOKUP($D$20,$D$9:$BT$12,BN7,FALSE)</f>
        <v>46203</v>
      </c>
    </row>
    <row r="83" spans="3:4">
      <c r="C83" s="420" t="s">
        <v>714</v>
      </c>
      <c r="D83" s="478">
        <f>VLOOKUP($D$20,$D$9:$BT$12,BO7,FALSE)</f>
        <v>46295</v>
      </c>
    </row>
    <row r="84" spans="3:4">
      <c r="C84" s="420" t="s">
        <v>715</v>
      </c>
      <c r="D84" s="478">
        <f>VLOOKUP($D$20,$D$9:$BT$12,BP7,FALSE)</f>
        <v>46387</v>
      </c>
    </row>
    <row r="85" spans="3:4">
      <c r="C85" s="420" t="s">
        <v>716</v>
      </c>
      <c r="D85" s="478">
        <f>VLOOKUP($D$20,$D$9:$BT$12,BQ7,FALSE)</f>
        <v>46477</v>
      </c>
    </row>
    <row r="86" spans="3:4">
      <c r="C86" s="420" t="s">
        <v>718</v>
      </c>
      <c r="D86" s="478">
        <f>VLOOKUP($D$20,$D$9:$BT$12,BR7,FALSE)</f>
        <v>46112</v>
      </c>
    </row>
    <row r="87" spans="3:4">
      <c r="C87" s="420" t="s">
        <v>717</v>
      </c>
      <c r="D87" s="420" t="str">
        <f>VLOOKUP($D$20,$D$9:$BT$12,BS7,FALSE)</f>
        <v>FY 2026-27</v>
      </c>
    </row>
    <row r="88" spans="3:4">
      <c r="C88" s="420" t="s">
        <v>722</v>
      </c>
      <c r="D88" s="420" t="str">
        <f>VLOOKUP($D$20,$D$9:$BT$12,BT7,FALSE)</f>
        <v>FY 2025-26</v>
      </c>
    </row>
  </sheetData>
  <mergeCells count="1">
    <mergeCell ref="D16:E16"/>
  </mergeCells>
  <phoneticPr fontId="14" type="noConversion"/>
  <dataValidations count="1">
    <dataValidation type="list" allowBlank="1" showInputMessage="1" showErrorMessage="1" sqref="D20">
      <formula1>$D$9:$D$12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6546" r:id="rId4" name="Button 2">
              <controlPr defaultSize="0" print="0" autoFill="0" autoPict="0" macro="[0]!save_and_freeze_reconciled">
                <anchor moveWithCells="1" sizeWithCells="1">
                  <from>
                    <xdr:col>9</xdr:col>
                    <xdr:colOff>114300</xdr:colOff>
                    <xdr:row>15</xdr:row>
                    <xdr:rowOff>0</xdr:rowOff>
                  </from>
                  <to>
                    <xdr:col>12</xdr:col>
                    <xdr:colOff>314325</xdr:colOff>
                    <xdr:row>17</xdr:row>
                    <xdr:rowOff>47625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Dropdowns!$B$263:$B$266</xm:f>
          </x14:formula1>
          <xm:sqref>D17</xm:sqref>
        </x14:dataValidation>
        <x14:dataValidation type="list" allowBlank="1" showInputMessage="1" showErrorMessage="1">
          <x14:formula1>
            <xm:f>Dropdowns!$B$278:$B$290</xm:f>
          </x14:formula1>
          <xm:sqref>E17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92D050"/>
  </sheetPr>
  <dimension ref="A1:X160"/>
  <sheetViews>
    <sheetView topLeftCell="A65" workbookViewId="0">
      <selection activeCell="D84" sqref="D84:V98"/>
    </sheetView>
  </sheetViews>
  <sheetFormatPr defaultColWidth="8.85546875" defaultRowHeight="15"/>
  <cols>
    <col min="3" max="3" width="11.7109375" bestFit="1" customWidth="1"/>
    <col min="4" max="4" width="12.42578125" bestFit="1" customWidth="1"/>
    <col min="5" max="5" width="11.42578125" customWidth="1"/>
    <col min="6" max="6" width="11.42578125" bestFit="1" customWidth="1"/>
    <col min="7" max="7" width="12.7109375" bestFit="1" customWidth="1"/>
    <col min="8" max="9" width="12.42578125" bestFit="1" customWidth="1"/>
    <col min="10" max="10" width="11.42578125" bestFit="1" customWidth="1"/>
    <col min="11" max="12" width="12.7109375" bestFit="1" customWidth="1"/>
    <col min="13" max="13" width="9.85546875" customWidth="1"/>
    <col min="14" max="14" width="12.140625" bestFit="1" customWidth="1"/>
    <col min="15" max="15" width="10.140625" bestFit="1" customWidth="1"/>
    <col min="16" max="16" width="11.42578125" customWidth="1"/>
    <col min="17" max="17" width="12.7109375" bestFit="1" customWidth="1"/>
    <col min="18" max="20" width="9.42578125" bestFit="1" customWidth="1"/>
    <col min="21" max="21" width="11.7109375" customWidth="1"/>
    <col min="22" max="22" width="14.28515625" bestFit="1" customWidth="1"/>
    <col min="23" max="23" width="7" style="443" customWidth="1"/>
    <col min="24" max="24" width="11.140625" bestFit="1" customWidth="1"/>
  </cols>
  <sheetData>
    <row r="1" spans="3:23">
      <c r="M1" t="s">
        <v>1444</v>
      </c>
      <c r="W1" s="443" t="s">
        <v>502</v>
      </c>
    </row>
    <row r="2" spans="3:23" ht="15.75">
      <c r="H2" s="232" t="s">
        <v>114</v>
      </c>
      <c r="N2" s="445" t="str">
        <f>interFY_transition!D17</f>
        <v>2026-27</v>
      </c>
      <c r="O2" t="s">
        <v>895</v>
      </c>
    </row>
    <row r="4" spans="3:23">
      <c r="C4" s="1110" t="s">
        <v>88</v>
      </c>
      <c r="D4" s="1111"/>
      <c r="E4" s="1111"/>
      <c r="F4" s="1111"/>
      <c r="G4" s="1111"/>
      <c r="H4" s="1111"/>
      <c r="I4" s="1111"/>
      <c r="J4" s="1111"/>
      <c r="K4" s="1111"/>
      <c r="L4" s="1111"/>
      <c r="M4" s="1111"/>
      <c r="N4" s="1111"/>
      <c r="O4" s="1111"/>
      <c r="P4" s="1111"/>
      <c r="Q4" s="1111"/>
      <c r="R4" s="1111"/>
      <c r="S4" s="1111"/>
      <c r="T4" s="1111"/>
      <c r="U4" s="1111"/>
      <c r="V4" s="1112"/>
    </row>
    <row r="5" spans="3:23">
      <c r="C5" s="144"/>
      <c r="D5" s="144" t="s">
        <v>30</v>
      </c>
      <c r="E5" s="144" t="s">
        <v>71</v>
      </c>
      <c r="F5" s="144" t="s">
        <v>72</v>
      </c>
      <c r="G5" s="142" t="s">
        <v>82</v>
      </c>
      <c r="H5" s="144" t="s">
        <v>73</v>
      </c>
      <c r="I5" s="144" t="s">
        <v>74</v>
      </c>
      <c r="J5" s="144" t="s">
        <v>75</v>
      </c>
      <c r="K5" s="142" t="s">
        <v>83</v>
      </c>
      <c r="L5" s="166" t="s">
        <v>39</v>
      </c>
      <c r="M5" s="144" t="s">
        <v>76</v>
      </c>
      <c r="N5" s="144" t="s">
        <v>77</v>
      </c>
      <c r="O5" s="144" t="s">
        <v>78</v>
      </c>
      <c r="P5" s="142" t="s">
        <v>84</v>
      </c>
      <c r="Q5" s="166" t="s">
        <v>85</v>
      </c>
      <c r="R5" s="144" t="s">
        <v>79</v>
      </c>
      <c r="S5" s="144" t="s">
        <v>80</v>
      </c>
      <c r="T5" s="144" t="s">
        <v>81</v>
      </c>
      <c r="U5" s="142" t="s">
        <v>86</v>
      </c>
      <c r="V5" s="168" t="s">
        <v>87</v>
      </c>
    </row>
    <row r="6" spans="3:23" ht="15.75">
      <c r="C6" s="144" t="s">
        <v>60</v>
      </c>
      <c r="D6" s="141">
        <f>'from CP sheet'!D6/'from CP sheet'!D$1</f>
        <v>189203.96666666667</v>
      </c>
      <c r="E6" s="141">
        <f>'from CP sheet'!E6/'from CP sheet'!E$1</f>
        <v>184262.29032290322</v>
      </c>
      <c r="F6" s="141">
        <f>'from CP sheet'!F6/'from CP sheet'!F$1</f>
        <v>169196.10000066666</v>
      </c>
      <c r="G6" s="143">
        <f>'from CP sheet'!G6/'from CP sheet'!G$1</f>
        <v>180924.53846186813</v>
      </c>
      <c r="H6" s="141">
        <f>'from CP sheet'!H6/'from CP sheet'!H$1</f>
        <v>187261.55464516129</v>
      </c>
      <c r="I6" s="141">
        <f>'from CP sheet'!I6/'from CP sheet'!I$1</f>
        <v>0</v>
      </c>
      <c r="J6" s="141">
        <f>'from CP sheet'!J6/'from CP sheet'!J$1</f>
        <v>0</v>
      </c>
      <c r="K6" s="143">
        <f>'from CP sheet'!K6/'from CP sheet'!K$1</f>
        <v>63099.002108695655</v>
      </c>
      <c r="L6" s="167">
        <f>'from CP sheet'!L6/'from CP sheet'!L$1</f>
        <v>121689.84259032788</v>
      </c>
      <c r="M6" s="141">
        <f>'from CP sheet'!M6/'from CP sheet'!M$1</f>
        <v>0</v>
      </c>
      <c r="N6" s="141">
        <f>'from CP sheet'!N6/'from CP sheet'!N$1</f>
        <v>0</v>
      </c>
      <c r="O6" s="141">
        <f>'from CP sheet'!O6/'from CP sheet'!O$1</f>
        <v>0</v>
      </c>
      <c r="P6" s="143">
        <f>'from CP sheet'!P6/'from CP sheet'!P$1</f>
        <v>0</v>
      </c>
      <c r="Q6" s="167">
        <f>'from CP sheet'!Q6/'from CP sheet'!Q$1</f>
        <v>80979.05888738182</v>
      </c>
      <c r="R6" s="141">
        <f>'from CP sheet'!R6/'from CP sheet'!R$1</f>
        <v>0</v>
      </c>
      <c r="S6" s="141">
        <f>'from CP sheet'!S6/'from CP sheet'!S$1</f>
        <v>0</v>
      </c>
      <c r="T6" s="141">
        <f>'from CP sheet'!T6/'from CP sheet'!T$1</f>
        <v>0</v>
      </c>
      <c r="U6" s="143">
        <f>'from CP sheet'!U6/'from CP sheet'!U$1</f>
        <v>0</v>
      </c>
      <c r="V6" s="169">
        <f>'from CP sheet'!V6/'from CP sheet'!V$1</f>
        <v>61011.619709671235</v>
      </c>
    </row>
    <row r="7" spans="3:23" ht="15.75">
      <c r="C7" s="144" t="s">
        <v>61</v>
      </c>
      <c r="D7" s="141">
        <f>'from CP sheet'!D7/'from CP sheet'!D$1</f>
        <v>155673.12433366667</v>
      </c>
      <c r="E7" s="141">
        <f>'from CP sheet'!E7/'from CP sheet'!E$1</f>
        <v>155546.70022645159</v>
      </c>
      <c r="F7" s="141">
        <f>'from CP sheet'!F7/'from CP sheet'!F$1</f>
        <v>155214.86819966664</v>
      </c>
      <c r="G7" s="143">
        <f>'from CP sheet'!G7/'from CP sheet'!G$1</f>
        <v>155478.98332989009</v>
      </c>
      <c r="H7" s="141">
        <f>'from CP sheet'!H7/'from CP sheet'!H$1</f>
        <v>156314.0740648387</v>
      </c>
      <c r="I7" s="141">
        <f>'from CP sheet'!I7/'from CP sheet'!I$1</f>
        <v>0</v>
      </c>
      <c r="J7" s="141">
        <f>'from CP sheet'!J7/'from CP sheet'!J$1</f>
        <v>0</v>
      </c>
      <c r="K7" s="143">
        <f>'from CP sheet'!K7/'from CP sheet'!K$1</f>
        <v>52671.046695760866</v>
      </c>
      <c r="L7" s="167">
        <f>'from CP sheet'!L7/'from CP sheet'!L$1</f>
        <v>103794.11901109289</v>
      </c>
      <c r="M7" s="141">
        <f>'from CP sheet'!M7/'from CP sheet'!M$1</f>
        <v>0</v>
      </c>
      <c r="N7" s="141">
        <f>'from CP sheet'!N7/'from CP sheet'!N$1</f>
        <v>0</v>
      </c>
      <c r="O7" s="141">
        <f>'from CP sheet'!O7/'from CP sheet'!O$1</f>
        <v>0</v>
      </c>
      <c r="P7" s="143">
        <f>'from CP sheet'!P7/'from CP sheet'!P$1</f>
        <v>0</v>
      </c>
      <c r="Q7" s="167">
        <f>'from CP sheet'!Q7/'from CP sheet'!Q$1</f>
        <v>69070.268287381812</v>
      </c>
      <c r="R7" s="141">
        <f>'from CP sheet'!R7/'from CP sheet'!R$1</f>
        <v>0</v>
      </c>
      <c r="S7" s="141">
        <f>'from CP sheet'!S7/'from CP sheet'!S$1</f>
        <v>0</v>
      </c>
      <c r="T7" s="141">
        <f>'from CP sheet'!T7/'from CP sheet'!T$1</f>
        <v>0</v>
      </c>
      <c r="U7" s="143">
        <f>'from CP sheet'!U7/'from CP sheet'!U$1</f>
        <v>0</v>
      </c>
      <c r="V7" s="169">
        <f>'from CP sheet'!V7/'from CP sheet'!V$1</f>
        <v>52039.243230219174</v>
      </c>
    </row>
    <row r="8" spans="3:23" ht="15.75">
      <c r="C8" s="144" t="s">
        <v>62</v>
      </c>
      <c r="D8" s="141">
        <f>'from CP sheet'!D8/'from CP sheet'!D$1</f>
        <v>1967.1666666666667</v>
      </c>
      <c r="E8" s="141">
        <f>'from CP sheet'!E8/'from CP sheet'!E$1</f>
        <v>1868.8709658064517</v>
      </c>
      <c r="F8" s="141">
        <f>'from CP sheet'!F8/'from CP sheet'!F$1</f>
        <v>1976.7666666666667</v>
      </c>
      <c r="G8" s="143">
        <f>'from CP sheet'!G8/'from CP sheet'!G$1</f>
        <v>1936.8461531868134</v>
      </c>
      <c r="H8" s="141">
        <f>'from CP sheet'!H8/'from CP sheet'!H$1</f>
        <v>1912.9999990322581</v>
      </c>
      <c r="I8" s="141">
        <f>'from CP sheet'!I8/'from CP sheet'!I$1</f>
        <v>0</v>
      </c>
      <c r="J8" s="141">
        <f>'from CP sheet'!J8/'from CP sheet'!J$1</f>
        <v>0</v>
      </c>
      <c r="K8" s="143">
        <f>'from CP sheet'!K8/'from CP sheet'!K$1</f>
        <v>644.59782576086957</v>
      </c>
      <c r="L8" s="167">
        <f>'from CP sheet'!L8/'from CP sheet'!L$1</f>
        <v>1287.191256338798</v>
      </c>
      <c r="M8" s="141">
        <f>'from CP sheet'!M8/'from CP sheet'!M$1</f>
        <v>0</v>
      </c>
      <c r="N8" s="141">
        <f>'from CP sheet'!N8/'from CP sheet'!N$1</f>
        <v>0</v>
      </c>
      <c r="O8" s="141">
        <f>'from CP sheet'!O8/'from CP sheet'!O$1</f>
        <v>0</v>
      </c>
      <c r="P8" s="143">
        <f>'from CP sheet'!P8/'from CP sheet'!P$1</f>
        <v>0</v>
      </c>
      <c r="Q8" s="167">
        <f>'from CP sheet'!Q8/'from CP sheet'!Q$1</f>
        <v>856.56727240000009</v>
      </c>
      <c r="R8" s="141">
        <f>'from CP sheet'!R8/'from CP sheet'!R$1</f>
        <v>0</v>
      </c>
      <c r="S8" s="141">
        <f>'from CP sheet'!S8/'from CP sheet'!S$1</f>
        <v>0</v>
      </c>
      <c r="T8" s="141">
        <f>'from CP sheet'!T8/'from CP sheet'!T$1</f>
        <v>0</v>
      </c>
      <c r="U8" s="143">
        <f>'from CP sheet'!U8/'from CP sheet'!U$1</f>
        <v>0</v>
      </c>
      <c r="V8" s="169">
        <f>'from CP sheet'!V8/'from CP sheet'!V$1</f>
        <v>645.35890386301378</v>
      </c>
    </row>
    <row r="9" spans="3:23" ht="15.75">
      <c r="C9" s="144" t="s">
        <v>57</v>
      </c>
      <c r="D9" s="141">
        <f>'from CP sheet'!D9/'from CP sheet'!D$1</f>
        <v>321916.63333333336</v>
      </c>
      <c r="E9" s="141">
        <f>'from CP sheet'!E9/'from CP sheet'!E$1</f>
        <v>318392.1935480645</v>
      </c>
      <c r="F9" s="141">
        <f>'from CP sheet'!F9/'from CP sheet'!F$1</f>
        <v>322595.96666833333</v>
      </c>
      <c r="G9" s="143">
        <f>'from CP sheet'!G9/'from CP sheet'!G$1</f>
        <v>320939.95604439563</v>
      </c>
      <c r="H9" s="141">
        <f>'from CP sheet'!H9/'from CP sheet'!H$1</f>
        <v>323387.48387387092</v>
      </c>
      <c r="I9" s="141">
        <f>'from CP sheet'!I9/'from CP sheet'!I$1</f>
        <v>0</v>
      </c>
      <c r="J9" s="141">
        <f>'from CP sheet'!J9/'from CP sheet'!J$1</f>
        <v>0</v>
      </c>
      <c r="K9" s="143">
        <f>'from CP sheet'!K9/'from CP sheet'!K$1</f>
        <v>108967.52174010868</v>
      </c>
      <c r="L9" s="167">
        <f>'from CP sheet'!L9/'from CP sheet'!L$1</f>
        <v>214374.57923568305</v>
      </c>
      <c r="M9" s="141">
        <f>'from CP sheet'!M9/'from CP sheet'!M$1</f>
        <v>0</v>
      </c>
      <c r="N9" s="141">
        <f>'from CP sheet'!N9/'from CP sheet'!N$1</f>
        <v>0</v>
      </c>
      <c r="O9" s="141">
        <f>'from CP sheet'!O9/'from CP sheet'!O$1</f>
        <v>0</v>
      </c>
      <c r="P9" s="143">
        <f>'from CP sheet'!P9/'from CP sheet'!P$1</f>
        <v>0</v>
      </c>
      <c r="Q9" s="167">
        <f>'from CP sheet'!Q9/'from CP sheet'!Q$1</f>
        <v>142656.53818229091</v>
      </c>
      <c r="R9" s="141">
        <f>'from CP sheet'!R9/'from CP sheet'!R$1</f>
        <v>0</v>
      </c>
      <c r="S9" s="141">
        <f>'from CP sheet'!S9/'from CP sheet'!S$1</f>
        <v>0</v>
      </c>
      <c r="T9" s="141">
        <f>'from CP sheet'!T9/'from CP sheet'!T$1</f>
        <v>0</v>
      </c>
      <c r="U9" s="143">
        <f>'from CP sheet'!U9/'from CP sheet'!U$1</f>
        <v>0</v>
      </c>
      <c r="V9" s="169">
        <f>'from CP sheet'!V9/'from CP sheet'!V$1</f>
        <v>107480.95342501369</v>
      </c>
    </row>
    <row r="10" spans="3:23" ht="15.75">
      <c r="C10" s="144" t="s">
        <v>58</v>
      </c>
      <c r="D10" s="141">
        <f>'from CP sheet'!D10/'from CP sheet'!D$1</f>
        <v>35545.783334333333</v>
      </c>
      <c r="E10" s="141">
        <f>'from CP sheet'!E10/'from CP sheet'!E$1</f>
        <v>28023.939678064518</v>
      </c>
      <c r="F10" s="141">
        <f>'from CP sheet'!F10/'from CP sheet'!F$1</f>
        <v>32279.925667666666</v>
      </c>
      <c r="G10" s="143">
        <f>'from CP sheet'!G10/'from CP sheet'!G$1</f>
        <v>31906.740660219781</v>
      </c>
      <c r="H10" s="141">
        <f>'from CP sheet'!H10/'from CP sheet'!H$1</f>
        <v>26900.451613225807</v>
      </c>
      <c r="I10" s="141">
        <f>'from CP sheet'!I10/'from CP sheet'!I$1</f>
        <v>0</v>
      </c>
      <c r="J10" s="141">
        <f>'from CP sheet'!J10/'from CP sheet'!J$1</f>
        <v>0</v>
      </c>
      <c r="K10" s="143">
        <f>'from CP sheet'!K10/'from CP sheet'!K$1</f>
        <v>9064.2826088043475</v>
      </c>
      <c r="L10" s="167">
        <f>'from CP sheet'!L10/'from CP sheet'!L$1</f>
        <v>20423.100546939892</v>
      </c>
      <c r="M10" s="141">
        <f>'from CP sheet'!M10/'from CP sheet'!M$1</f>
        <v>0</v>
      </c>
      <c r="N10" s="141">
        <f>'from CP sheet'!N10/'from CP sheet'!N$1</f>
        <v>0</v>
      </c>
      <c r="O10" s="141">
        <f>'from CP sheet'!O10/'from CP sheet'!O$1</f>
        <v>0</v>
      </c>
      <c r="P10" s="143">
        <f>'from CP sheet'!P10/'from CP sheet'!P$1</f>
        <v>0</v>
      </c>
      <c r="Q10" s="167">
        <f>'from CP sheet'!Q10/'from CP sheet'!Q$1</f>
        <v>13590.645091236363</v>
      </c>
      <c r="R10" s="141">
        <f>'from CP sheet'!R10/'from CP sheet'!R$1</f>
        <v>0</v>
      </c>
      <c r="S10" s="141">
        <f>'from CP sheet'!S10/'from CP sheet'!S$1</f>
        <v>0</v>
      </c>
      <c r="T10" s="141">
        <f>'from CP sheet'!T10/'from CP sheet'!T$1</f>
        <v>0</v>
      </c>
      <c r="U10" s="143">
        <f>'from CP sheet'!U10/'from CP sheet'!U$1</f>
        <v>0</v>
      </c>
      <c r="V10" s="169">
        <f>'from CP sheet'!V10/'from CP sheet'!V$1</f>
        <v>10239.527123534246</v>
      </c>
    </row>
    <row r="11" spans="3:23" ht="15.75">
      <c r="C11" s="144" t="s">
        <v>59</v>
      </c>
      <c r="D11" s="141">
        <f>'from CP sheet'!D11/'from CP sheet'!D$1</f>
        <v>4482.5666663333341</v>
      </c>
      <c r="E11" s="141">
        <f>'from CP sheet'!E11/'from CP sheet'!E$1</f>
        <v>4449.7741938709678</v>
      </c>
      <c r="F11" s="141">
        <f>'from CP sheet'!F11/'from CP sheet'!F$1</f>
        <v>4795.3</v>
      </c>
      <c r="G11" s="143">
        <f>'from CP sheet'!G11/'from CP sheet'!G$1</f>
        <v>4574.4945054945056</v>
      </c>
      <c r="H11" s="141">
        <f>'from CP sheet'!H11/'from CP sheet'!H$1</f>
        <v>4872.4838709677415</v>
      </c>
      <c r="I11" s="141">
        <f>'from CP sheet'!I11/'from CP sheet'!I$1</f>
        <v>0</v>
      </c>
      <c r="J11" s="141">
        <f>'from CP sheet'!J11/'from CP sheet'!J$1</f>
        <v>0</v>
      </c>
      <c r="K11" s="143">
        <f>'from CP sheet'!K11/'from CP sheet'!K$1</f>
        <v>1641.8152173913043</v>
      </c>
      <c r="L11" s="167">
        <f>'from CP sheet'!L11/'from CP sheet'!L$1</f>
        <v>3100.1420765027324</v>
      </c>
      <c r="M11" s="141">
        <f>'from CP sheet'!M11/'from CP sheet'!M$1</f>
        <v>0</v>
      </c>
      <c r="N11" s="141">
        <f>'from CP sheet'!N11/'from CP sheet'!N$1</f>
        <v>0</v>
      </c>
      <c r="O11" s="141">
        <f>'from CP sheet'!O11/'from CP sheet'!O$1</f>
        <v>0</v>
      </c>
      <c r="P11" s="143">
        <f>'from CP sheet'!P11/'from CP sheet'!P$1</f>
        <v>0</v>
      </c>
      <c r="Q11" s="167">
        <f>'from CP sheet'!Q11/'from CP sheet'!Q$1</f>
        <v>2063.0036363636364</v>
      </c>
      <c r="R11" s="141">
        <f>'from CP sheet'!R11/'from CP sheet'!R$1</f>
        <v>0</v>
      </c>
      <c r="S11" s="141">
        <f>'from CP sheet'!S11/'from CP sheet'!S$1</f>
        <v>0</v>
      </c>
      <c r="T11" s="141">
        <f>'from CP sheet'!T11/'from CP sheet'!T$1</f>
        <v>0</v>
      </c>
      <c r="U11" s="143">
        <f>'from CP sheet'!U11/'from CP sheet'!U$1</f>
        <v>0</v>
      </c>
      <c r="V11" s="169">
        <f>'from CP sheet'!V11/'from CP sheet'!V$1</f>
        <v>1554.317808219178</v>
      </c>
    </row>
    <row r="12" spans="3:23" ht="15.75">
      <c r="C12" s="144" t="s">
        <v>63</v>
      </c>
      <c r="D12" s="141">
        <f>'from CP sheet'!D12/'from CP sheet'!D$1</f>
        <v>18270.500001</v>
      </c>
      <c r="E12" s="141">
        <f>'from CP sheet'!E12/'from CP sheet'!E$1</f>
        <v>21726.806451612902</v>
      </c>
      <c r="F12" s="141">
        <f>'from CP sheet'!F12/'from CP sheet'!F$1</f>
        <v>21278.499999</v>
      </c>
      <c r="G12" s="143">
        <f>'from CP sheet'!G12/'from CP sheet'!G$1</f>
        <v>20439.571428571428</v>
      </c>
      <c r="H12" s="141">
        <f>'from CP sheet'!H12/'from CP sheet'!H$1</f>
        <v>20944.51612967742</v>
      </c>
      <c r="I12" s="141">
        <f>'from CP sheet'!I12/'from CP sheet'!I$1</f>
        <v>0</v>
      </c>
      <c r="J12" s="141">
        <f>'from CP sheet'!J12/'from CP sheet'!J$1</f>
        <v>0</v>
      </c>
      <c r="K12" s="143">
        <f>'from CP sheet'!K12/'from CP sheet'!K$1</f>
        <v>7057.391304565218</v>
      </c>
      <c r="L12" s="167">
        <f>'from CP sheet'!L12/'from CP sheet'!L$1</f>
        <v>13711.918032896176</v>
      </c>
      <c r="M12" s="141">
        <f>'from CP sheet'!M12/'from CP sheet'!M$1</f>
        <v>0</v>
      </c>
      <c r="N12" s="141">
        <f>'from CP sheet'!N12/'from CP sheet'!N$1</f>
        <v>0</v>
      </c>
      <c r="O12" s="141">
        <f>'from CP sheet'!O12/'from CP sheet'!O$1</f>
        <v>0</v>
      </c>
      <c r="P12" s="143">
        <f>'from CP sheet'!P12/'from CP sheet'!P$1</f>
        <v>0</v>
      </c>
      <c r="Q12" s="167">
        <f>'from CP sheet'!Q12/'from CP sheet'!Q$1</f>
        <v>9124.658181890909</v>
      </c>
      <c r="R12" s="141">
        <f>'from CP sheet'!R12/'from CP sheet'!R$1</f>
        <v>0</v>
      </c>
      <c r="S12" s="141">
        <f>'from CP sheet'!S12/'from CP sheet'!S$1</f>
        <v>0</v>
      </c>
      <c r="T12" s="141">
        <f>'from CP sheet'!T12/'from CP sheet'!T$1</f>
        <v>0</v>
      </c>
      <c r="U12" s="143">
        <f>'from CP sheet'!U12/'from CP sheet'!U$1</f>
        <v>0</v>
      </c>
      <c r="V12" s="169">
        <f>'from CP sheet'!V12/'from CP sheet'!V$1</f>
        <v>6874.74246580822</v>
      </c>
    </row>
    <row r="13" spans="3:23" ht="15.75">
      <c r="C13" s="144" t="s">
        <v>64</v>
      </c>
      <c r="D13" s="141">
        <f>'from CP sheet'!D13/'from CP sheet'!D$1</f>
        <v>7023.0999993333335</v>
      </c>
      <c r="E13" s="141">
        <f>'from CP sheet'!E13/'from CP sheet'!E$1</f>
        <v>6952.0645158064517</v>
      </c>
      <c r="F13" s="141">
        <f>'from CP sheet'!F13/'from CP sheet'!F$1</f>
        <v>6969.2999993333333</v>
      </c>
      <c r="G13" s="143">
        <f>'from CP sheet'!G13/'from CP sheet'!G$1</f>
        <v>6981.1648346153843</v>
      </c>
      <c r="H13" s="141">
        <f>'from CP sheet'!H13/'from CP sheet'!H$1</f>
        <v>6954.8064516129034</v>
      </c>
      <c r="I13" s="141">
        <f>'from CP sheet'!I13/'from CP sheet'!I$1</f>
        <v>0</v>
      </c>
      <c r="J13" s="141">
        <f>'from CP sheet'!J13/'from CP sheet'!J$1</f>
        <v>0</v>
      </c>
      <c r="K13" s="143">
        <f>'from CP sheet'!K13/'from CP sheet'!K$1</f>
        <v>2343.467391304348</v>
      </c>
      <c r="L13" s="167">
        <f>'from CP sheet'!L13/'from CP sheet'!L$1</f>
        <v>4649.644808469945</v>
      </c>
      <c r="M13" s="141">
        <f>'from CP sheet'!M13/'from CP sheet'!M$1</f>
        <v>0</v>
      </c>
      <c r="N13" s="141">
        <f>'from CP sheet'!N13/'from CP sheet'!N$1</f>
        <v>0</v>
      </c>
      <c r="O13" s="141">
        <f>'from CP sheet'!O13/'from CP sheet'!O$1</f>
        <v>0</v>
      </c>
      <c r="P13" s="143">
        <f>'from CP sheet'!P13/'from CP sheet'!P$1</f>
        <v>0</v>
      </c>
      <c r="Q13" s="167">
        <f>'from CP sheet'!Q13/'from CP sheet'!Q$1</f>
        <v>3094.1272725454546</v>
      </c>
      <c r="R13" s="141">
        <f>'from CP sheet'!R13/'from CP sheet'!R$1</f>
        <v>0</v>
      </c>
      <c r="S13" s="141">
        <f>'from CP sheet'!S13/'from CP sheet'!S$1</f>
        <v>0</v>
      </c>
      <c r="T13" s="141">
        <f>'from CP sheet'!T13/'from CP sheet'!T$1</f>
        <v>0</v>
      </c>
      <c r="U13" s="143">
        <f>'from CP sheet'!U13/'from CP sheet'!U$1</f>
        <v>0</v>
      </c>
      <c r="V13" s="169">
        <f>'from CP sheet'!V13/'from CP sheet'!V$1</f>
        <v>2331.1917806849315</v>
      </c>
    </row>
    <row r="14" spans="3:23" ht="15.75">
      <c r="C14" s="144" t="s">
        <v>65</v>
      </c>
      <c r="D14" s="141">
        <f>'from CP sheet'!D14/'from CP sheet'!D$1</f>
        <v>4330.0000003333334</v>
      </c>
      <c r="E14" s="141">
        <f>'from CP sheet'!E14/'from CP sheet'!E$1</f>
        <v>5385.1612909677424</v>
      </c>
      <c r="F14" s="141">
        <f>'from CP sheet'!F14/'from CP sheet'!F$1</f>
        <v>5641.1333330000007</v>
      </c>
      <c r="G14" s="143">
        <f>'from CP sheet'!G14/'from CP sheet'!G$1</f>
        <v>5121.6923079120879</v>
      </c>
      <c r="H14" s="141">
        <f>'from CP sheet'!H14/'from CP sheet'!H$1</f>
        <v>5701.3870974193551</v>
      </c>
      <c r="I14" s="141">
        <f>'from CP sheet'!I14/'from CP sheet'!I$1</f>
        <v>0</v>
      </c>
      <c r="J14" s="141">
        <f>'from CP sheet'!J14/'from CP sheet'!J$1</f>
        <v>0</v>
      </c>
      <c r="K14" s="143">
        <f>'from CP sheet'!K14/'from CP sheet'!K$1</f>
        <v>1921.1195654347828</v>
      </c>
      <c r="L14" s="167">
        <f>'from CP sheet'!L14/'from CP sheet'!L$1</f>
        <v>3512.661202404372</v>
      </c>
      <c r="M14" s="141">
        <f>'from CP sheet'!M14/'from CP sheet'!M$1</f>
        <v>0</v>
      </c>
      <c r="N14" s="141">
        <f>'from CP sheet'!N14/'from CP sheet'!N$1</f>
        <v>0</v>
      </c>
      <c r="O14" s="141">
        <f>'from CP sheet'!O14/'from CP sheet'!O$1</f>
        <v>0</v>
      </c>
      <c r="P14" s="143">
        <f>'from CP sheet'!P14/'from CP sheet'!P$1</f>
        <v>0</v>
      </c>
      <c r="Q14" s="167">
        <f>'from CP sheet'!Q14/'from CP sheet'!Q$1</f>
        <v>2337.5163637818187</v>
      </c>
      <c r="R14" s="141">
        <f>'from CP sheet'!R14/'from CP sheet'!R$1</f>
        <v>0</v>
      </c>
      <c r="S14" s="141">
        <f>'from CP sheet'!S14/'from CP sheet'!S$1</f>
        <v>0</v>
      </c>
      <c r="T14" s="141">
        <f>'from CP sheet'!T14/'from CP sheet'!T$1</f>
        <v>0</v>
      </c>
      <c r="U14" s="143">
        <f>'from CP sheet'!U14/'from CP sheet'!U$1</f>
        <v>0</v>
      </c>
      <c r="V14" s="169">
        <f>'from CP sheet'!V14/'from CP sheet'!V$1</f>
        <v>1761.142465863014</v>
      </c>
    </row>
    <row r="15" spans="3:23" ht="15.75">
      <c r="C15" s="144" t="s">
        <v>66</v>
      </c>
      <c r="D15" s="141">
        <f>'from CP sheet'!D15/'from CP sheet'!D$1</f>
        <v>240539.03333333333</v>
      </c>
      <c r="E15" s="141">
        <f>'from CP sheet'!E15/'from CP sheet'!E$1</f>
        <v>270012.38709645165</v>
      </c>
      <c r="F15" s="141">
        <f>'from CP sheet'!F15/'from CP sheet'!F$1</f>
        <v>426928.96666666667</v>
      </c>
      <c r="G15" s="143">
        <f>'from CP sheet'!G15/'from CP sheet'!G$1</f>
        <v>312026.63736252749</v>
      </c>
      <c r="H15" s="141">
        <f>'from CP sheet'!H15/'from CP sheet'!H$1</f>
        <v>330226.16128967743</v>
      </c>
      <c r="I15" s="141">
        <f>'from CP sheet'!I15/'from CP sheet'!I$1</f>
        <v>0</v>
      </c>
      <c r="J15" s="141">
        <f>'from CP sheet'!J15/'from CP sheet'!J$1</f>
        <v>0</v>
      </c>
      <c r="K15" s="143">
        <f>'from CP sheet'!K15/'from CP sheet'!K$1</f>
        <v>111271.85869543478</v>
      </c>
      <c r="L15" s="167">
        <f>'from CP sheet'!L15/'from CP sheet'!L$1</f>
        <v>211100.73770475411</v>
      </c>
      <c r="M15" s="141">
        <f>'from CP sheet'!M15/'from CP sheet'!M$1</f>
        <v>0</v>
      </c>
      <c r="N15" s="141">
        <f>'from CP sheet'!N15/'from CP sheet'!N$1</f>
        <v>0</v>
      </c>
      <c r="O15" s="141">
        <f>'from CP sheet'!O15/'from CP sheet'!O$1</f>
        <v>0</v>
      </c>
      <c r="P15" s="143">
        <f>'from CP sheet'!P15/'from CP sheet'!P$1</f>
        <v>0</v>
      </c>
      <c r="Q15" s="167">
        <f>'from CP sheet'!Q15/'from CP sheet'!Q$1</f>
        <v>140477.94545443638</v>
      </c>
      <c r="R15" s="141">
        <f>'from CP sheet'!R15/'from CP sheet'!R$1</f>
        <v>0</v>
      </c>
      <c r="S15" s="141">
        <f>'from CP sheet'!S15/'from CP sheet'!S$1</f>
        <v>0</v>
      </c>
      <c r="T15" s="141">
        <f>'from CP sheet'!T15/'from CP sheet'!T$1</f>
        <v>0</v>
      </c>
      <c r="U15" s="143">
        <f>'from CP sheet'!U15/'from CP sheet'!U$1</f>
        <v>0</v>
      </c>
      <c r="V15" s="169">
        <f>'from CP sheet'!V15/'from CP sheet'!V$1</f>
        <v>105839.5479451233</v>
      </c>
    </row>
    <row r="16" spans="3:23" ht="15.75">
      <c r="C16" s="144" t="s">
        <v>67</v>
      </c>
      <c r="D16" s="141">
        <f>'from CP sheet'!D16/'from CP sheet'!D$1</f>
        <v>53730.633332999998</v>
      </c>
      <c r="E16" s="141">
        <f>'from CP sheet'!E16/'from CP sheet'!E$1</f>
        <v>53451.677419032254</v>
      </c>
      <c r="F16" s="141">
        <f>'from CP sheet'!F16/'from CP sheet'!F$1</f>
        <v>50960.200000999997</v>
      </c>
      <c r="G16" s="143">
        <f>'from CP sheet'!G16/'from CP sheet'!G$1</f>
        <v>52722.27472538461</v>
      </c>
      <c r="H16" s="141">
        <f>'from CP sheet'!H16/'from CP sheet'!H$1</f>
        <v>55934.419356129038</v>
      </c>
      <c r="I16" s="141">
        <f>'from CP sheet'!I16/'from CP sheet'!I$1</f>
        <v>0</v>
      </c>
      <c r="J16" s="141">
        <f>'from CP sheet'!J16/'from CP sheet'!J$1</f>
        <v>0</v>
      </c>
      <c r="K16" s="143">
        <f>'from CP sheet'!K16/'from CP sheet'!K$1</f>
        <v>18847.46739173913</v>
      </c>
      <c r="L16" s="167">
        <f>'from CP sheet'!L16/'from CP sheet'!L$1</f>
        <v>35692.316940163932</v>
      </c>
      <c r="M16" s="141">
        <f>'from CP sheet'!M16/'from CP sheet'!M$1</f>
        <v>0</v>
      </c>
      <c r="N16" s="141">
        <f>'from CP sheet'!N16/'from CP sheet'!N$1</f>
        <v>0</v>
      </c>
      <c r="O16" s="141">
        <f>'from CP sheet'!O16/'from CP sheet'!O$1</f>
        <v>0</v>
      </c>
      <c r="P16" s="143">
        <f>'from CP sheet'!P16/'from CP sheet'!P$1</f>
        <v>0</v>
      </c>
      <c r="Q16" s="167">
        <f>'from CP sheet'!Q16/'from CP sheet'!Q$1</f>
        <v>23751.614545636363</v>
      </c>
      <c r="R16" s="141">
        <f>'from CP sheet'!R16/'from CP sheet'!R$1</f>
        <v>0</v>
      </c>
      <c r="S16" s="141">
        <f>'from CP sheet'!S16/'from CP sheet'!S$1</f>
        <v>0</v>
      </c>
      <c r="T16" s="141">
        <f>'from CP sheet'!T16/'from CP sheet'!T$1</f>
        <v>0</v>
      </c>
      <c r="U16" s="143">
        <f>'from CP sheet'!U16/'from CP sheet'!U$1</f>
        <v>0</v>
      </c>
      <c r="V16" s="169">
        <f>'from CP sheet'!V16/'from CP sheet'!V$1</f>
        <v>17895.052054931508</v>
      </c>
    </row>
    <row r="17" spans="3:22" ht="15.75">
      <c r="C17" s="144" t="s">
        <v>68</v>
      </c>
      <c r="D17" s="141">
        <f>'from CP sheet'!D17/'from CP sheet'!D$1</f>
        <v>13140.733333</v>
      </c>
      <c r="E17" s="141">
        <f>'from CP sheet'!E17/'from CP sheet'!E$1</f>
        <v>12289.032258387097</v>
      </c>
      <c r="F17" s="141">
        <f>'from CP sheet'!F17/'from CP sheet'!F$1</f>
        <v>12269.733333999999</v>
      </c>
      <c r="G17" s="143">
        <f>'from CP sheet'!G17/'from CP sheet'!G$1</f>
        <v>12563.45054967033</v>
      </c>
      <c r="H17" s="141">
        <f>'from CP sheet'!H17/'from CP sheet'!H$1</f>
        <v>11924.967742580644</v>
      </c>
      <c r="I17" s="141">
        <f>'from CP sheet'!I17/'from CP sheet'!I$1</f>
        <v>0</v>
      </c>
      <c r="J17" s="141">
        <f>'from CP sheet'!J17/'from CP sheet'!J$1</f>
        <v>0</v>
      </c>
      <c r="K17" s="143">
        <f>'from CP sheet'!K17/'from CP sheet'!K$1</f>
        <v>4018.1956523913041</v>
      </c>
      <c r="L17" s="167">
        <f>'from CP sheet'!L17/'from CP sheet'!L$1</f>
        <v>8267.4754100546434</v>
      </c>
      <c r="M17" s="141">
        <f>'from CP sheet'!M17/'from CP sheet'!M$1</f>
        <v>0</v>
      </c>
      <c r="N17" s="141">
        <f>'from CP sheet'!N17/'from CP sheet'!N$1</f>
        <v>0</v>
      </c>
      <c r="O17" s="141">
        <f>'from CP sheet'!O17/'from CP sheet'!O$1</f>
        <v>0</v>
      </c>
      <c r="P17" s="143">
        <f>'from CP sheet'!P17/'from CP sheet'!P$1</f>
        <v>0</v>
      </c>
      <c r="Q17" s="167">
        <f>'from CP sheet'!Q17/'from CP sheet'!Q$1</f>
        <v>5501.6290910545449</v>
      </c>
      <c r="R17" s="141">
        <f>'from CP sheet'!R17/'from CP sheet'!R$1</f>
        <v>0</v>
      </c>
      <c r="S17" s="141">
        <f>'from CP sheet'!S17/'from CP sheet'!S$1</f>
        <v>0</v>
      </c>
      <c r="T17" s="141">
        <f>'from CP sheet'!T17/'from CP sheet'!T$1</f>
        <v>0</v>
      </c>
      <c r="U17" s="143">
        <f>'from CP sheet'!U17/'from CP sheet'!U$1</f>
        <v>0</v>
      </c>
      <c r="V17" s="169">
        <f>'from CP sheet'!V17/'from CP sheet'!V$1</f>
        <v>4145.0630138082188</v>
      </c>
    </row>
    <row r="18" spans="3:22" ht="15.75">
      <c r="C18" s="144" t="s">
        <v>69</v>
      </c>
      <c r="D18" s="141">
        <f>'from CP sheet'!D18/'from CP sheet'!D$1</f>
        <v>0</v>
      </c>
      <c r="E18" s="141">
        <f>'from CP sheet'!E18/'from CP sheet'!E$1</f>
        <v>0</v>
      </c>
      <c r="F18" s="141">
        <f>'from CP sheet'!F18/'from CP sheet'!F$1</f>
        <v>0</v>
      </c>
      <c r="G18" s="143">
        <f>'from CP sheet'!G18/'from CP sheet'!G$1</f>
        <v>0</v>
      </c>
      <c r="H18" s="141">
        <f>'from CP sheet'!H18/'from CP sheet'!H$1</f>
        <v>0</v>
      </c>
      <c r="I18" s="141">
        <f>'from CP sheet'!I18/'from CP sheet'!I$1</f>
        <v>0</v>
      </c>
      <c r="J18" s="141">
        <f>'from CP sheet'!J18/'from CP sheet'!J$1</f>
        <v>0</v>
      </c>
      <c r="K18" s="143">
        <f>'from CP sheet'!K18/'from CP sheet'!K$1</f>
        <v>0</v>
      </c>
      <c r="L18" s="167">
        <f>'from CP sheet'!L18/'from CP sheet'!L$1</f>
        <v>0</v>
      </c>
      <c r="M18" s="141">
        <f>'from CP sheet'!M18/'from CP sheet'!M$1</f>
        <v>0</v>
      </c>
      <c r="N18" s="141">
        <f>'from CP sheet'!N18/'from CP sheet'!N$1</f>
        <v>0</v>
      </c>
      <c r="O18" s="141">
        <f>'from CP sheet'!O18/'from CP sheet'!O$1</f>
        <v>0</v>
      </c>
      <c r="P18" s="143">
        <f>'from CP sheet'!P18/'from CP sheet'!P$1</f>
        <v>0</v>
      </c>
      <c r="Q18" s="167">
        <f>'from CP sheet'!Q18/'from CP sheet'!Q$1</f>
        <v>0</v>
      </c>
      <c r="R18" s="141">
        <f>'from CP sheet'!R18/'from CP sheet'!R$1</f>
        <v>0</v>
      </c>
      <c r="S18" s="141">
        <f>'from CP sheet'!S18/'from CP sheet'!S$1</f>
        <v>0</v>
      </c>
      <c r="T18" s="141">
        <f>'from CP sheet'!T18/'from CP sheet'!T$1</f>
        <v>0</v>
      </c>
      <c r="U18" s="143">
        <f>'from CP sheet'!U18/'from CP sheet'!U$1</f>
        <v>0</v>
      </c>
      <c r="V18" s="169">
        <f>'from CP sheet'!V18/'from CP sheet'!V$1</f>
        <v>0</v>
      </c>
    </row>
    <row r="19" spans="3:22" ht="15.75">
      <c r="C19" s="144" t="s">
        <v>70</v>
      </c>
      <c r="D19" s="141">
        <f>'from CP sheet'!D19/'from CP sheet'!D$1</f>
        <v>0</v>
      </c>
      <c r="E19" s="141">
        <f>'from CP sheet'!E19/'from CP sheet'!E$1</f>
        <v>0</v>
      </c>
      <c r="F19" s="141">
        <f>'from CP sheet'!F19/'from CP sheet'!F$1</f>
        <v>0</v>
      </c>
      <c r="G19" s="143">
        <f>'from CP sheet'!G19/'from CP sheet'!G$1</f>
        <v>0</v>
      </c>
      <c r="H19" s="141">
        <f>'from CP sheet'!H19/'from CP sheet'!H$1</f>
        <v>0</v>
      </c>
      <c r="I19" s="141">
        <f>'from CP sheet'!I19/'from CP sheet'!I$1</f>
        <v>0</v>
      </c>
      <c r="J19" s="141">
        <f>'from CP sheet'!J19/'from CP sheet'!J$1</f>
        <v>0</v>
      </c>
      <c r="K19" s="143">
        <f>'from CP sheet'!K19/'from CP sheet'!K$1</f>
        <v>0</v>
      </c>
      <c r="L19" s="167">
        <f>'from CP sheet'!L19/'from CP sheet'!L$1</f>
        <v>0</v>
      </c>
      <c r="M19" s="141">
        <f>'from CP sheet'!M19/'from CP sheet'!M$1</f>
        <v>0</v>
      </c>
      <c r="N19" s="141">
        <f>'from CP sheet'!N19/'from CP sheet'!N$1</f>
        <v>0</v>
      </c>
      <c r="O19" s="141">
        <f>'from CP sheet'!O19/'from CP sheet'!O$1</f>
        <v>0</v>
      </c>
      <c r="P19" s="143">
        <f>'from CP sheet'!P19/'from CP sheet'!P$1</f>
        <v>0</v>
      </c>
      <c r="Q19" s="167">
        <f>'from CP sheet'!Q19/'from CP sheet'!Q$1</f>
        <v>0</v>
      </c>
      <c r="R19" s="141">
        <f>'from CP sheet'!R19/'from CP sheet'!R$1</f>
        <v>0</v>
      </c>
      <c r="S19" s="141">
        <f>'from CP sheet'!S19/'from CP sheet'!S$1</f>
        <v>0</v>
      </c>
      <c r="T19" s="141">
        <f>'from CP sheet'!T19/'from CP sheet'!T$1</f>
        <v>0</v>
      </c>
      <c r="U19" s="143">
        <f>'from CP sheet'!U19/'from CP sheet'!U$1</f>
        <v>0</v>
      </c>
      <c r="V19" s="169">
        <f>'from CP sheet'!V19/'from CP sheet'!V$1</f>
        <v>0</v>
      </c>
    </row>
    <row r="20" spans="3:22">
      <c r="D20" s="140"/>
      <c r="E20" s="140"/>
      <c r="F20" s="140"/>
      <c r="G20" s="140"/>
      <c r="H20" s="140"/>
      <c r="I20" s="140"/>
      <c r="J20" s="140"/>
      <c r="K20" s="140"/>
      <c r="L20" s="140"/>
      <c r="M20" s="140"/>
      <c r="N20" s="140"/>
      <c r="O20" s="140"/>
      <c r="P20" s="140"/>
      <c r="Q20" s="140"/>
      <c r="R20" s="140"/>
      <c r="S20" s="140"/>
      <c r="T20" s="140"/>
      <c r="U20" s="140"/>
      <c r="V20" s="140"/>
    </row>
    <row r="22" spans="3:22">
      <c r="C22" s="1113" t="s">
        <v>89</v>
      </c>
      <c r="D22" s="1113"/>
      <c r="E22" s="1113"/>
      <c r="F22" s="1113"/>
      <c r="G22" s="1113"/>
      <c r="H22" s="1113"/>
      <c r="I22" s="1113"/>
      <c r="J22" s="1113"/>
      <c r="K22" s="1113"/>
      <c r="L22" s="1113"/>
      <c r="M22" s="1113"/>
      <c r="N22" s="1113"/>
      <c r="O22" s="1113"/>
      <c r="P22" s="1113"/>
      <c r="Q22" s="1113"/>
      <c r="R22" s="1113"/>
      <c r="S22" s="1113"/>
      <c r="T22" s="1113"/>
      <c r="U22" s="1113"/>
      <c r="V22" s="1113"/>
    </row>
    <row r="23" spans="3:22">
      <c r="C23" s="144"/>
      <c r="D23" s="144" t="s">
        <v>30</v>
      </c>
      <c r="E23" s="144" t="s">
        <v>71</v>
      </c>
      <c r="F23" s="144" t="s">
        <v>72</v>
      </c>
      <c r="G23" s="148" t="s">
        <v>82</v>
      </c>
      <c r="H23" s="144" t="s">
        <v>73</v>
      </c>
      <c r="I23" s="144" t="s">
        <v>74</v>
      </c>
      <c r="J23" s="144" t="s">
        <v>75</v>
      </c>
      <c r="K23" s="148" t="s">
        <v>83</v>
      </c>
      <c r="L23" s="170" t="s">
        <v>39</v>
      </c>
      <c r="M23" s="144" t="s">
        <v>76</v>
      </c>
      <c r="N23" s="144" t="s">
        <v>77</v>
      </c>
      <c r="O23" s="144" t="s">
        <v>78</v>
      </c>
      <c r="P23" s="148" t="s">
        <v>84</v>
      </c>
      <c r="Q23" s="170" t="s">
        <v>85</v>
      </c>
      <c r="R23" s="144" t="s">
        <v>79</v>
      </c>
      <c r="S23" s="144" t="s">
        <v>80</v>
      </c>
      <c r="T23" s="144" t="s">
        <v>81</v>
      </c>
      <c r="U23" s="148" t="s">
        <v>86</v>
      </c>
      <c r="V23" s="170" t="s">
        <v>87</v>
      </c>
    </row>
    <row r="24" spans="3:22" ht="15.75">
      <c r="C24" s="144" t="s">
        <v>60</v>
      </c>
      <c r="D24" s="146">
        <f>'from CP sheet'!D24/'from CP sheet'!D$1</f>
        <v>9.7017673333333327</v>
      </c>
      <c r="E24" s="146">
        <f>'from CP sheet'!E24/'from CP sheet'!E$1</f>
        <v>8.3419374193548386</v>
      </c>
      <c r="F24" s="146">
        <f>'from CP sheet'!F24/'from CP sheet'!F$1</f>
        <v>7.6709000000000005</v>
      </c>
      <c r="G24" s="149">
        <f>'from CP sheet'!G24/'from CP sheet'!G$1</f>
        <v>8.5690118681318683</v>
      </c>
      <c r="H24" s="146">
        <f>'from CP sheet'!H24/'from CP sheet'!H$1</f>
        <v>7.3924512903225805</v>
      </c>
      <c r="I24" s="146">
        <f>'from CP sheet'!I24/'from CP sheet'!I$1</f>
        <v>0</v>
      </c>
      <c r="J24" s="146">
        <f>'from CP sheet'!J24/'from CP sheet'!J$1</f>
        <v>0</v>
      </c>
      <c r="K24" s="181">
        <f>'from CP sheet'!K24/'from CP sheet'!K$1</f>
        <v>2.4909346739130434</v>
      </c>
      <c r="L24" s="172">
        <f>'from CP sheet'!L24/'from CP sheet'!L$1</f>
        <v>5.5133665027322403</v>
      </c>
      <c r="M24" s="183">
        <f>'from CP sheet'!M24/'from CP sheet'!M$1</f>
        <v>0</v>
      </c>
      <c r="N24" s="183">
        <f>'from CP sheet'!N24/'from CP sheet'!N$1</f>
        <v>0</v>
      </c>
      <c r="O24" s="183">
        <f>'from CP sheet'!O24/'from CP sheet'!O$1</f>
        <v>0</v>
      </c>
      <c r="P24" s="181">
        <f>'from CP sheet'!P24/'from CP sheet'!P$1</f>
        <v>0</v>
      </c>
      <c r="Q24" s="172">
        <f>'from CP sheet'!Q24/'from CP sheet'!Q$1</f>
        <v>3.6688947999999999</v>
      </c>
      <c r="R24" s="183">
        <f>'from CP sheet'!R24/'from CP sheet'!R$1</f>
        <v>0</v>
      </c>
      <c r="S24" s="183">
        <f>'from CP sheet'!S24/'from CP sheet'!S$1</f>
        <v>0</v>
      </c>
      <c r="T24" s="183">
        <f>'from CP sheet'!T24/'from CP sheet'!T$1</f>
        <v>0</v>
      </c>
      <c r="U24" s="181">
        <f>'from CP sheet'!U24/'from CP sheet'!U$1</f>
        <v>0</v>
      </c>
      <c r="V24" s="172">
        <f>'from CP sheet'!V24/'from CP sheet'!V$1</f>
        <v>2.764235808219178</v>
      </c>
    </row>
    <row r="25" spans="3:22" ht="15.75">
      <c r="C25" s="144" t="s">
        <v>61</v>
      </c>
      <c r="D25" s="146">
        <f>'from CP sheet'!D25/'from CP sheet'!D$1</f>
        <v>9.9731976666666657</v>
      </c>
      <c r="E25" s="146">
        <f>'from CP sheet'!E25/'from CP sheet'!E$1</f>
        <v>9.9403735483870967</v>
      </c>
      <c r="F25" s="146">
        <f>'from CP sheet'!F25/'from CP sheet'!F$1</f>
        <v>9.7900666666666663</v>
      </c>
      <c r="G25" s="149">
        <f>'from CP sheet'!G25/'from CP sheet'!G$1</f>
        <v>9.9016429670329682</v>
      </c>
      <c r="H25" s="146">
        <f>'from CP sheet'!H25/'from CP sheet'!H$1</f>
        <v>8.8381954838709671</v>
      </c>
      <c r="I25" s="146">
        <f>'from CP sheet'!I25/'from CP sheet'!I$1</f>
        <v>0</v>
      </c>
      <c r="J25" s="146">
        <f>'from CP sheet'!J25/'from CP sheet'!J$1</f>
        <v>0</v>
      </c>
      <c r="K25" s="181">
        <f>'from CP sheet'!K25/'from CP sheet'!K$1</f>
        <v>2.978087608695652</v>
      </c>
      <c r="L25" s="172">
        <f>'from CP sheet'!L25/'from CP sheet'!L$1</f>
        <v>6.4209484699453556</v>
      </c>
      <c r="M25" s="183">
        <f>'from CP sheet'!M25/'from CP sheet'!M$1</f>
        <v>0</v>
      </c>
      <c r="N25" s="183">
        <f>'from CP sheet'!N25/'from CP sheet'!N$1</f>
        <v>0</v>
      </c>
      <c r="O25" s="183">
        <f>'from CP sheet'!O25/'from CP sheet'!O$1</f>
        <v>0</v>
      </c>
      <c r="P25" s="181">
        <f>'from CP sheet'!P25/'from CP sheet'!P$1</f>
        <v>0</v>
      </c>
      <c r="Q25" s="172">
        <f>'from CP sheet'!Q25/'from CP sheet'!Q$1</f>
        <v>4.2728493454545458</v>
      </c>
      <c r="R25" s="183">
        <f>'from CP sheet'!R25/'from CP sheet'!R$1</f>
        <v>0</v>
      </c>
      <c r="S25" s="183">
        <f>'from CP sheet'!S25/'from CP sheet'!S$1</f>
        <v>0</v>
      </c>
      <c r="T25" s="183">
        <f>'from CP sheet'!T25/'from CP sheet'!T$1</f>
        <v>0</v>
      </c>
      <c r="U25" s="181">
        <f>'from CP sheet'!U25/'from CP sheet'!U$1</f>
        <v>0</v>
      </c>
      <c r="V25" s="172">
        <f>'from CP sheet'!V25/'from CP sheet'!V$1</f>
        <v>3.2192700547945208</v>
      </c>
    </row>
    <row r="26" spans="3:22" ht="15.75">
      <c r="C26" s="144" t="s">
        <v>62</v>
      </c>
      <c r="D26" s="146">
        <f>'from CP sheet'!D26/'from CP sheet'!D$1</f>
        <v>0.27867500000000001</v>
      </c>
      <c r="E26" s="146">
        <f>'from CP sheet'!E26/'from CP sheet'!E$1</f>
        <v>0.24100064516129033</v>
      </c>
      <c r="F26" s="146">
        <f>'from CP sheet'!F26/'from CP sheet'!F$1</f>
        <v>0.261299</v>
      </c>
      <c r="G26" s="149">
        <f>'from CP sheet'!G26/'from CP sheet'!G$1</f>
        <v>0.26011252747252744</v>
      </c>
      <c r="H26" s="146">
        <f>'from CP sheet'!H26/'from CP sheet'!H$1</f>
        <v>0.24090483870967741</v>
      </c>
      <c r="I26" s="146">
        <f>'from CP sheet'!I26/'from CP sheet'!I$1</f>
        <v>0</v>
      </c>
      <c r="J26" s="146">
        <f>'from CP sheet'!J26/'from CP sheet'!J$1</f>
        <v>0</v>
      </c>
      <c r="K26" s="181">
        <f>'from CP sheet'!K26/'from CP sheet'!K$1</f>
        <v>8.117445652173913E-2</v>
      </c>
      <c r="L26" s="172">
        <f>'from CP sheet'!L26/'from CP sheet'!L$1</f>
        <v>0.17015459016393442</v>
      </c>
      <c r="M26" s="183">
        <f>'from CP sheet'!M26/'from CP sheet'!M$1</f>
        <v>0</v>
      </c>
      <c r="N26" s="183">
        <f>'from CP sheet'!N26/'from CP sheet'!N$1</f>
        <v>0</v>
      </c>
      <c r="O26" s="183">
        <f>'from CP sheet'!O26/'from CP sheet'!O$1</f>
        <v>0</v>
      </c>
      <c r="P26" s="181">
        <f>'from CP sheet'!P26/'from CP sheet'!P$1</f>
        <v>0</v>
      </c>
      <c r="Q26" s="172">
        <f>'from CP sheet'!Q26/'from CP sheet'!Q$1</f>
        <v>0.11323014545454545</v>
      </c>
      <c r="R26" s="183">
        <f>'from CP sheet'!R26/'from CP sheet'!R$1</f>
        <v>0</v>
      </c>
      <c r="S26" s="183">
        <f>'from CP sheet'!S26/'from CP sheet'!S$1</f>
        <v>0</v>
      </c>
      <c r="T26" s="183">
        <f>'from CP sheet'!T26/'from CP sheet'!T$1</f>
        <v>0</v>
      </c>
      <c r="U26" s="181">
        <f>'from CP sheet'!U26/'from CP sheet'!U$1</f>
        <v>0</v>
      </c>
      <c r="V26" s="172">
        <f>'from CP sheet'!V26/'from CP sheet'!V$1</f>
        <v>8.5310383561643832E-2</v>
      </c>
    </row>
    <row r="27" spans="3:22" ht="15.75">
      <c r="C27" s="144" t="s">
        <v>57</v>
      </c>
      <c r="D27" s="146">
        <f>'from CP sheet'!D27/'from CP sheet'!D$1</f>
        <v>14.437598333333334</v>
      </c>
      <c r="E27" s="146">
        <f>'from CP sheet'!E27/'from CP sheet'!E$1</f>
        <v>13.815902258064517</v>
      </c>
      <c r="F27" s="146">
        <f>'from CP sheet'!F27/'from CP sheet'!F$1</f>
        <v>12.623732333333333</v>
      </c>
      <c r="G27" s="149">
        <f>'from CP sheet'!G27/'from CP sheet'!G$1</f>
        <v>13.627833956043958</v>
      </c>
      <c r="H27" s="146">
        <f>'from CP sheet'!H27/'from CP sheet'!H$1</f>
        <v>8.2639664516129034</v>
      </c>
      <c r="I27" s="146">
        <f>'from CP sheet'!I27/'from CP sheet'!I$1</f>
        <v>0</v>
      </c>
      <c r="J27" s="146">
        <f>'from CP sheet'!J27/'from CP sheet'!J$1</f>
        <v>0</v>
      </c>
      <c r="K27" s="181">
        <f>'from CP sheet'!K27/'from CP sheet'!K$1</f>
        <v>2.7845973913043478</v>
      </c>
      <c r="L27" s="172">
        <f>'from CP sheet'!L27/'from CP sheet'!L$1</f>
        <v>8.176589344262295</v>
      </c>
      <c r="M27" s="183">
        <f>'from CP sheet'!M27/'from CP sheet'!M$1</f>
        <v>0</v>
      </c>
      <c r="N27" s="183">
        <f>'from CP sheet'!N27/'from CP sheet'!N$1</f>
        <v>0</v>
      </c>
      <c r="O27" s="183">
        <f>'from CP sheet'!O27/'from CP sheet'!O$1</f>
        <v>0</v>
      </c>
      <c r="P27" s="181">
        <f>'from CP sheet'!P27/'from CP sheet'!P$1</f>
        <v>0</v>
      </c>
      <c r="Q27" s="172">
        <f>'from CP sheet'!Q27/'from CP sheet'!Q$1</f>
        <v>5.4411485454545456</v>
      </c>
      <c r="R27" s="183">
        <f>'from CP sheet'!R27/'from CP sheet'!R$1</f>
        <v>0</v>
      </c>
      <c r="S27" s="183">
        <f>'from CP sheet'!S27/'from CP sheet'!S$1</f>
        <v>0</v>
      </c>
      <c r="T27" s="183">
        <f>'from CP sheet'!T27/'from CP sheet'!T$1</f>
        <v>0</v>
      </c>
      <c r="U27" s="181">
        <f>'from CP sheet'!U27/'from CP sheet'!U$1</f>
        <v>0</v>
      </c>
      <c r="V27" s="172">
        <f>'from CP sheet'!V27/'from CP sheet'!V$1</f>
        <v>4.0994954794520551</v>
      </c>
    </row>
    <row r="28" spans="3:22" ht="15.75">
      <c r="C28" s="144" t="s">
        <v>58</v>
      </c>
      <c r="D28" s="146">
        <f>'from CP sheet'!D28/'from CP sheet'!D$1</f>
        <v>0.45333333333333331</v>
      </c>
      <c r="E28" s="146">
        <f>'from CP sheet'!E28/'from CP sheet'!E$1</f>
        <v>0.2992258064516129</v>
      </c>
      <c r="F28" s="146">
        <f>'from CP sheet'!F28/'from CP sheet'!F$1</f>
        <v>0.465667</v>
      </c>
      <c r="G28" s="149">
        <f>'from CP sheet'!G28/'from CP sheet'!G$1</f>
        <v>0.40490120879120878</v>
      </c>
      <c r="H28" s="146">
        <f>'from CP sheet'!H28/'from CP sheet'!H$1</f>
        <v>0.35741999999999996</v>
      </c>
      <c r="I28" s="146">
        <f>'from CP sheet'!I28/'from CP sheet'!I$1</f>
        <v>0</v>
      </c>
      <c r="J28" s="146">
        <f>'from CP sheet'!J28/'from CP sheet'!J$1</f>
        <v>0</v>
      </c>
      <c r="K28" s="181">
        <f>'from CP sheet'!K28/'from CP sheet'!K$1</f>
        <v>0.12043499999999999</v>
      </c>
      <c r="L28" s="172">
        <f>'from CP sheet'!L28/'from CP sheet'!L$1</f>
        <v>0.26189087431693986</v>
      </c>
      <c r="M28" s="183">
        <f>'from CP sheet'!M28/'from CP sheet'!M$1</f>
        <v>0</v>
      </c>
      <c r="N28" s="183">
        <f>'from CP sheet'!N28/'from CP sheet'!N$1</f>
        <v>0</v>
      </c>
      <c r="O28" s="183">
        <f>'from CP sheet'!O28/'from CP sheet'!O$1</f>
        <v>0</v>
      </c>
      <c r="P28" s="181">
        <f>'from CP sheet'!P28/'from CP sheet'!P$1</f>
        <v>0</v>
      </c>
      <c r="Q28" s="172">
        <f>'from CP sheet'!Q28/'from CP sheet'!Q$1</f>
        <v>0.17427647272727273</v>
      </c>
      <c r="R28" s="183">
        <f>'from CP sheet'!R28/'from CP sheet'!R$1</f>
        <v>0</v>
      </c>
      <c r="S28" s="183">
        <f>'from CP sheet'!S28/'from CP sheet'!S$1</f>
        <v>0</v>
      </c>
      <c r="T28" s="183">
        <f>'from CP sheet'!T28/'from CP sheet'!T$1</f>
        <v>0</v>
      </c>
      <c r="U28" s="181">
        <f>'from CP sheet'!U28/'from CP sheet'!U$1</f>
        <v>0</v>
      </c>
      <c r="V28" s="172">
        <f>'from CP sheet'!V28/'from CP sheet'!V$1</f>
        <v>0.13130419178082192</v>
      </c>
    </row>
    <row r="29" spans="3:22" ht="15.75">
      <c r="C29" s="144" t="s">
        <v>59</v>
      </c>
      <c r="D29" s="146">
        <f>'from CP sheet'!D29/'from CP sheet'!D$1</f>
        <v>2.8069999999999998E-2</v>
      </c>
      <c r="E29" s="146">
        <f>'from CP sheet'!E29/'from CP sheet'!E$1</f>
        <v>2.2259999999999999E-2</v>
      </c>
      <c r="F29" s="146">
        <f>'from CP sheet'!F29/'from CP sheet'!F$1</f>
        <v>2.563E-2</v>
      </c>
      <c r="G29" s="149">
        <f>'from CP sheet'!G29/'from CP sheet'!G$1</f>
        <v>2.5286373626373627E-2</v>
      </c>
      <c r="H29" s="146">
        <f>'from CP sheet'!H29/'from CP sheet'!H$1</f>
        <v>2.5769999999999998E-2</v>
      </c>
      <c r="I29" s="146">
        <f>'from CP sheet'!I29/'from CP sheet'!I$1</f>
        <v>0</v>
      </c>
      <c r="J29" s="146">
        <f>'from CP sheet'!J29/'from CP sheet'!J$1</f>
        <v>0</v>
      </c>
      <c r="K29" s="181">
        <f>'from CP sheet'!K29/'from CP sheet'!K$1</f>
        <v>8.6833695652173918E-3</v>
      </c>
      <c r="L29" s="172">
        <f>'from CP sheet'!L29/'from CP sheet'!L$1</f>
        <v>1.6939508196721312E-2</v>
      </c>
      <c r="M29" s="183">
        <f>'from CP sheet'!M29/'from CP sheet'!M$1</f>
        <v>0</v>
      </c>
      <c r="N29" s="183">
        <f>'from CP sheet'!N29/'from CP sheet'!N$1</f>
        <v>0</v>
      </c>
      <c r="O29" s="183">
        <f>'from CP sheet'!O29/'from CP sheet'!O$1</f>
        <v>0</v>
      </c>
      <c r="P29" s="181">
        <f>'from CP sheet'!P29/'from CP sheet'!P$1</f>
        <v>0</v>
      </c>
      <c r="Q29" s="172">
        <f>'from CP sheet'!Q29/'from CP sheet'!Q$1</f>
        <v>1.1272472727272727E-2</v>
      </c>
      <c r="R29" s="183">
        <f>'from CP sheet'!R29/'from CP sheet'!R$1</f>
        <v>0</v>
      </c>
      <c r="S29" s="183">
        <f>'from CP sheet'!S29/'from CP sheet'!S$1</f>
        <v>0</v>
      </c>
      <c r="T29" s="183">
        <f>'from CP sheet'!T29/'from CP sheet'!T$1</f>
        <v>0</v>
      </c>
      <c r="U29" s="181">
        <f>'from CP sheet'!U29/'from CP sheet'!U$1</f>
        <v>0</v>
      </c>
      <c r="V29" s="172">
        <f>'from CP sheet'!V29/'from CP sheet'!V$1</f>
        <v>8.4929589041095894E-3</v>
      </c>
    </row>
    <row r="30" spans="3:22" ht="15.75">
      <c r="C30" s="144" t="s">
        <v>63</v>
      </c>
      <c r="D30" s="146">
        <f>'from CP sheet'!D30/'from CP sheet'!D$1</f>
        <v>2.9666666666666665E-3</v>
      </c>
      <c r="E30" s="146">
        <f>'from CP sheet'!E30/'from CP sheet'!E$1</f>
        <v>3.3861290322580642E-3</v>
      </c>
      <c r="F30" s="146">
        <f>'from CP sheet'!F30/'from CP sheet'!F$1</f>
        <v>3.4336666666666669E-3</v>
      </c>
      <c r="G30" s="149">
        <f>'from CP sheet'!G30/'from CP sheet'!G$1</f>
        <v>3.2635164835164831E-3</v>
      </c>
      <c r="H30" s="146">
        <f>'from CP sheet'!H30/'from CP sheet'!H$1</f>
        <v>3.4519354838709678E-3</v>
      </c>
      <c r="I30" s="146">
        <f>'from CP sheet'!I30/'from CP sheet'!I$1</f>
        <v>0</v>
      </c>
      <c r="J30" s="146">
        <f>'from CP sheet'!J30/'from CP sheet'!J$1</f>
        <v>0</v>
      </c>
      <c r="K30" s="181">
        <f>'from CP sheet'!K30/'from CP sheet'!K$1</f>
        <v>1.1631521739130435E-3</v>
      </c>
      <c r="L30" s="172">
        <f>'from CP sheet'!L30/'from CP sheet'!L$1</f>
        <v>2.2075956284153004E-3</v>
      </c>
      <c r="M30" s="183">
        <f>'from CP sheet'!M30/'from CP sheet'!M$1</f>
        <v>0</v>
      </c>
      <c r="N30" s="183">
        <f>'from CP sheet'!N30/'from CP sheet'!N$1</f>
        <v>0</v>
      </c>
      <c r="O30" s="183">
        <f>'from CP sheet'!O30/'from CP sheet'!O$1</f>
        <v>0</v>
      </c>
      <c r="P30" s="181">
        <f>'from CP sheet'!P30/'from CP sheet'!P$1</f>
        <v>0</v>
      </c>
      <c r="Q30" s="172">
        <f>'from CP sheet'!Q30/'from CP sheet'!Q$1</f>
        <v>1.4690545454545453E-3</v>
      </c>
      <c r="R30" s="183">
        <f>'from CP sheet'!R30/'from CP sheet'!R$1</f>
        <v>0</v>
      </c>
      <c r="S30" s="183">
        <f>'from CP sheet'!S30/'from CP sheet'!S$1</f>
        <v>0</v>
      </c>
      <c r="T30" s="183">
        <f>'from CP sheet'!T30/'from CP sheet'!T$1</f>
        <v>0</v>
      </c>
      <c r="U30" s="181">
        <f>'from CP sheet'!U30/'from CP sheet'!U$1</f>
        <v>0</v>
      </c>
      <c r="V30" s="172">
        <f>'from CP sheet'!V30/'from CP sheet'!V$1</f>
        <v>1.106821917808219E-3</v>
      </c>
    </row>
    <row r="31" spans="3:22" ht="15.75">
      <c r="C31" s="144" t="s">
        <v>64</v>
      </c>
      <c r="D31" s="146">
        <f>'from CP sheet'!D31/'from CP sheet'!D$1</f>
        <v>0.20245600000000002</v>
      </c>
      <c r="E31" s="146">
        <f>'from CP sheet'!E31/'from CP sheet'!E$1</f>
        <v>0.19437000000000001</v>
      </c>
      <c r="F31" s="146">
        <f>'from CP sheet'!F31/'from CP sheet'!F$1</f>
        <v>0.19165266666666667</v>
      </c>
      <c r="G31" s="149">
        <f>'from CP sheet'!G31/'from CP sheet'!G$1</f>
        <v>0.19613989010989014</v>
      </c>
      <c r="H31" s="146">
        <f>'from CP sheet'!H31/'from CP sheet'!H$1</f>
        <v>0.19517483870967742</v>
      </c>
      <c r="I31" s="146">
        <f>'from CP sheet'!I31/'from CP sheet'!I$1</f>
        <v>0</v>
      </c>
      <c r="J31" s="146">
        <f>'from CP sheet'!J31/'from CP sheet'!J$1</f>
        <v>0</v>
      </c>
      <c r="K31" s="181">
        <f>'from CP sheet'!K31/'from CP sheet'!K$1</f>
        <v>6.5765434782608698E-2</v>
      </c>
      <c r="L31" s="172">
        <f>'from CP sheet'!L31/'from CP sheet'!L$1</f>
        <v>0.1305964480874317</v>
      </c>
      <c r="M31" s="183">
        <f>'from CP sheet'!M31/'from CP sheet'!M$1</f>
        <v>0</v>
      </c>
      <c r="N31" s="183">
        <f>'from CP sheet'!N31/'from CP sheet'!N$1</f>
        <v>0</v>
      </c>
      <c r="O31" s="183">
        <f>'from CP sheet'!O31/'from CP sheet'!O$1</f>
        <v>0</v>
      </c>
      <c r="P31" s="181">
        <f>'from CP sheet'!P31/'from CP sheet'!P$1</f>
        <v>0</v>
      </c>
      <c r="Q31" s="172">
        <f>'from CP sheet'!Q31/'from CP sheet'!Q$1</f>
        <v>8.6906000000000011E-2</v>
      </c>
      <c r="R31" s="183">
        <f>'from CP sheet'!R31/'from CP sheet'!R$1</f>
        <v>0</v>
      </c>
      <c r="S31" s="183">
        <f>'from CP sheet'!S31/'from CP sheet'!S$1</f>
        <v>0</v>
      </c>
      <c r="T31" s="183">
        <f>'from CP sheet'!T31/'from CP sheet'!T$1</f>
        <v>0</v>
      </c>
      <c r="U31" s="181">
        <f>'from CP sheet'!U31/'from CP sheet'!U$1</f>
        <v>0</v>
      </c>
      <c r="V31" s="172">
        <f>'from CP sheet'!V31/'from CP sheet'!V$1</f>
        <v>6.5477123287671246E-2</v>
      </c>
    </row>
    <row r="32" spans="3:22" ht="15.75">
      <c r="C32" s="144" t="s">
        <v>65</v>
      </c>
      <c r="D32" s="146">
        <f>'from CP sheet'!D32/'from CP sheet'!D$1</f>
        <v>9.3833E-2</v>
      </c>
      <c r="E32" s="146">
        <f>'from CP sheet'!E32/'from CP sheet'!E$1</f>
        <v>9.2815806451612901E-2</v>
      </c>
      <c r="F32" s="146">
        <f>'from CP sheet'!F32/'from CP sheet'!F$1</f>
        <v>8.6883666666666665E-2</v>
      </c>
      <c r="G32" s="149">
        <f>'from CP sheet'!G32/'from CP sheet'!G$1</f>
        <v>9.1195494505494509E-2</v>
      </c>
      <c r="H32" s="146">
        <f>'from CP sheet'!H32/'from CP sheet'!H$1</f>
        <v>9.5066774193548392E-2</v>
      </c>
      <c r="I32" s="146">
        <f>'from CP sheet'!I32/'from CP sheet'!I$1</f>
        <v>0</v>
      </c>
      <c r="J32" s="146">
        <f>'from CP sheet'!J32/'from CP sheet'!J$1</f>
        <v>0</v>
      </c>
      <c r="K32" s="181">
        <f>'from CP sheet'!K32/'from CP sheet'!K$1</f>
        <v>3.2033369565217393E-2</v>
      </c>
      <c r="L32" s="172">
        <f>'from CP sheet'!L32/'from CP sheet'!L$1</f>
        <v>6.1452786885245907E-2</v>
      </c>
      <c r="M32" s="183">
        <f>'from CP sheet'!M32/'from CP sheet'!M$1</f>
        <v>0</v>
      </c>
      <c r="N32" s="183">
        <f>'from CP sheet'!N32/'from CP sheet'!N$1</f>
        <v>0</v>
      </c>
      <c r="O32" s="183">
        <f>'from CP sheet'!O32/'from CP sheet'!O$1</f>
        <v>0</v>
      </c>
      <c r="P32" s="181">
        <f>'from CP sheet'!P32/'from CP sheet'!P$1</f>
        <v>0</v>
      </c>
      <c r="Q32" s="172">
        <f>'from CP sheet'!Q32/'from CP sheet'!Q$1</f>
        <v>4.0894036363636366E-2</v>
      </c>
      <c r="R32" s="183">
        <f>'from CP sheet'!R32/'from CP sheet'!R$1</f>
        <v>0</v>
      </c>
      <c r="S32" s="183">
        <f>'from CP sheet'!S32/'from CP sheet'!S$1</f>
        <v>0</v>
      </c>
      <c r="T32" s="183">
        <f>'from CP sheet'!T32/'from CP sheet'!T$1</f>
        <v>0</v>
      </c>
      <c r="U32" s="181">
        <f>'from CP sheet'!U32/'from CP sheet'!U$1</f>
        <v>0</v>
      </c>
      <c r="V32" s="172">
        <f>'from CP sheet'!V32/'from CP sheet'!V$1</f>
        <v>3.0810575342465753E-2</v>
      </c>
    </row>
    <row r="33" spans="3:22" ht="15.75">
      <c r="C33" s="144" t="s">
        <v>66</v>
      </c>
      <c r="D33" s="146">
        <f>'from CP sheet'!D33/'from CP sheet'!D$1</f>
        <v>0</v>
      </c>
      <c r="E33" s="146">
        <f>'from CP sheet'!E33/'from CP sheet'!E$1</f>
        <v>0</v>
      </c>
      <c r="F33" s="146">
        <f>'from CP sheet'!F33/'from CP sheet'!F$1</f>
        <v>0</v>
      </c>
      <c r="G33" s="149">
        <f>'from CP sheet'!G33/'from CP sheet'!G$1</f>
        <v>0</v>
      </c>
      <c r="H33" s="146">
        <f>'from CP sheet'!H33/'from CP sheet'!H$1</f>
        <v>0</v>
      </c>
      <c r="I33" s="146">
        <f>'from CP sheet'!I33/'from CP sheet'!I$1</f>
        <v>0</v>
      </c>
      <c r="J33" s="146">
        <f>'from CP sheet'!J33/'from CP sheet'!J$1</f>
        <v>0</v>
      </c>
      <c r="K33" s="181">
        <f>'from CP sheet'!K33/'from CP sheet'!K$1</f>
        <v>0</v>
      </c>
      <c r="L33" s="172">
        <f>'from CP sheet'!L33/'from CP sheet'!L$1</f>
        <v>0</v>
      </c>
      <c r="M33" s="183">
        <f>'from CP sheet'!M33/'from CP sheet'!M$1</f>
        <v>0</v>
      </c>
      <c r="N33" s="183">
        <f>'from CP sheet'!N33/'from CP sheet'!N$1</f>
        <v>0</v>
      </c>
      <c r="O33" s="183">
        <f>'from CP sheet'!O33/'from CP sheet'!O$1</f>
        <v>0</v>
      </c>
      <c r="P33" s="181">
        <f>'from CP sheet'!P33/'from CP sheet'!P$1</f>
        <v>0</v>
      </c>
      <c r="Q33" s="172">
        <f>'from CP sheet'!Q33/'from CP sheet'!Q$1</f>
        <v>0</v>
      </c>
      <c r="R33" s="183">
        <f>'from CP sheet'!R33/'from CP sheet'!R$1</f>
        <v>0</v>
      </c>
      <c r="S33" s="183">
        <f>'from CP sheet'!S33/'from CP sheet'!S$1</f>
        <v>0</v>
      </c>
      <c r="T33" s="183">
        <f>'from CP sheet'!T33/'from CP sheet'!T$1</f>
        <v>0</v>
      </c>
      <c r="U33" s="181">
        <f>'from CP sheet'!U33/'from CP sheet'!U$1</f>
        <v>0</v>
      </c>
      <c r="V33" s="172">
        <f>'from CP sheet'!V33/'from CP sheet'!V$1</f>
        <v>0</v>
      </c>
    </row>
    <row r="34" spans="3:22" ht="15.75">
      <c r="C34" s="144" t="s">
        <v>67</v>
      </c>
      <c r="D34" s="146">
        <f>'from CP sheet'!D34/'from CP sheet'!D$1</f>
        <v>0</v>
      </c>
      <c r="E34" s="146">
        <f>'from CP sheet'!E34/'from CP sheet'!E$1</f>
        <v>0</v>
      </c>
      <c r="F34" s="146">
        <f>'from CP sheet'!F34/'from CP sheet'!F$1</f>
        <v>0</v>
      </c>
      <c r="G34" s="149">
        <f>'from CP sheet'!G34/'from CP sheet'!G$1</f>
        <v>0</v>
      </c>
      <c r="H34" s="146">
        <f>'from CP sheet'!H34/'from CP sheet'!H$1</f>
        <v>0</v>
      </c>
      <c r="I34" s="146">
        <f>'from CP sheet'!I34/'from CP sheet'!I$1</f>
        <v>0</v>
      </c>
      <c r="J34" s="146">
        <f>'from CP sheet'!J34/'from CP sheet'!J$1</f>
        <v>0</v>
      </c>
      <c r="K34" s="181">
        <f>'from CP sheet'!K34/'from CP sheet'!K$1</f>
        <v>0</v>
      </c>
      <c r="L34" s="172">
        <f>'from CP sheet'!L34/'from CP sheet'!L$1</f>
        <v>0</v>
      </c>
      <c r="M34" s="183">
        <f>'from CP sheet'!M34/'from CP sheet'!M$1</f>
        <v>0</v>
      </c>
      <c r="N34" s="183">
        <f>'from CP sheet'!N34/'from CP sheet'!N$1</f>
        <v>0</v>
      </c>
      <c r="O34" s="183">
        <f>'from CP sheet'!O34/'from CP sheet'!O$1</f>
        <v>0</v>
      </c>
      <c r="P34" s="181">
        <f>'from CP sheet'!P34/'from CP sheet'!P$1</f>
        <v>0</v>
      </c>
      <c r="Q34" s="172">
        <f>'from CP sheet'!Q34/'from CP sheet'!Q$1</f>
        <v>0</v>
      </c>
      <c r="R34" s="183">
        <f>'from CP sheet'!R34/'from CP sheet'!R$1</f>
        <v>0</v>
      </c>
      <c r="S34" s="183">
        <f>'from CP sheet'!S34/'from CP sheet'!S$1</f>
        <v>0</v>
      </c>
      <c r="T34" s="183">
        <f>'from CP sheet'!T34/'from CP sheet'!T$1</f>
        <v>0</v>
      </c>
      <c r="U34" s="181">
        <f>'from CP sheet'!U34/'from CP sheet'!U$1</f>
        <v>0</v>
      </c>
      <c r="V34" s="172">
        <f>'from CP sheet'!V34/'from CP sheet'!V$1</f>
        <v>0</v>
      </c>
    </row>
    <row r="35" spans="3:22" ht="15.75">
      <c r="C35" s="144" t="s">
        <v>68</v>
      </c>
      <c r="D35" s="146">
        <f>'from CP sheet'!D35/'from CP sheet'!D$1</f>
        <v>0</v>
      </c>
      <c r="E35" s="146">
        <f>'from CP sheet'!E35/'from CP sheet'!E$1</f>
        <v>0</v>
      </c>
      <c r="F35" s="146">
        <f>'from CP sheet'!F35/'from CP sheet'!F$1</f>
        <v>0</v>
      </c>
      <c r="G35" s="149">
        <f>'from CP sheet'!G35/'from CP sheet'!G$1</f>
        <v>0</v>
      </c>
      <c r="H35" s="146">
        <f>'from CP sheet'!H35/'from CP sheet'!H$1</f>
        <v>0</v>
      </c>
      <c r="I35" s="146">
        <f>'from CP sheet'!I35/'from CP sheet'!I$1</f>
        <v>0</v>
      </c>
      <c r="J35" s="146">
        <f>'from CP sheet'!J35/'from CP sheet'!J$1</f>
        <v>0</v>
      </c>
      <c r="K35" s="181">
        <f>'from CP sheet'!K35/'from CP sheet'!K$1</f>
        <v>0</v>
      </c>
      <c r="L35" s="172">
        <f>'from CP sheet'!L35/'from CP sheet'!L$1</f>
        <v>0</v>
      </c>
      <c r="M35" s="183">
        <f>'from CP sheet'!M35/'from CP sheet'!M$1</f>
        <v>0</v>
      </c>
      <c r="N35" s="183">
        <f>'from CP sheet'!N35/'from CP sheet'!N$1</f>
        <v>0</v>
      </c>
      <c r="O35" s="183">
        <f>'from CP sheet'!O35/'from CP sheet'!O$1</f>
        <v>0</v>
      </c>
      <c r="P35" s="181">
        <f>'from CP sheet'!P35/'from CP sheet'!P$1</f>
        <v>0</v>
      </c>
      <c r="Q35" s="172">
        <f>'from CP sheet'!Q35/'from CP sheet'!Q$1</f>
        <v>0</v>
      </c>
      <c r="R35" s="183">
        <f>'from CP sheet'!R35/'from CP sheet'!R$1</f>
        <v>0</v>
      </c>
      <c r="S35" s="183">
        <f>'from CP sheet'!S35/'from CP sheet'!S$1</f>
        <v>0</v>
      </c>
      <c r="T35" s="183">
        <f>'from CP sheet'!T35/'from CP sheet'!T$1</f>
        <v>0</v>
      </c>
      <c r="U35" s="181">
        <f>'from CP sheet'!U35/'from CP sheet'!U$1</f>
        <v>0</v>
      </c>
      <c r="V35" s="172">
        <f>'from CP sheet'!V35/'from CP sheet'!V$1</f>
        <v>0</v>
      </c>
    </row>
    <row r="36" spans="3:22" ht="15.75">
      <c r="C36" s="144" t="s">
        <v>69</v>
      </c>
      <c r="D36" s="146">
        <f>'from CP sheet'!D36/'from CP sheet'!D$1</f>
        <v>0</v>
      </c>
      <c r="E36" s="146">
        <f>'from CP sheet'!E36/'from CP sheet'!E$1</f>
        <v>0</v>
      </c>
      <c r="F36" s="146">
        <f>'from CP sheet'!F36/'from CP sheet'!F$1</f>
        <v>0</v>
      </c>
      <c r="G36" s="149">
        <f>'from CP sheet'!G36/'from CP sheet'!G$1</f>
        <v>0</v>
      </c>
      <c r="H36" s="146">
        <f>'from CP sheet'!H36/'from CP sheet'!H$1</f>
        <v>0</v>
      </c>
      <c r="I36" s="146">
        <f>'from CP sheet'!I36/'from CP sheet'!I$1</f>
        <v>0</v>
      </c>
      <c r="J36" s="146">
        <f>'from CP sheet'!J36/'from CP sheet'!J$1</f>
        <v>0</v>
      </c>
      <c r="K36" s="181">
        <f>'from CP sheet'!K36/'from CP sheet'!K$1</f>
        <v>0</v>
      </c>
      <c r="L36" s="172">
        <f>'from CP sheet'!L36/'from CP sheet'!L$1</f>
        <v>0</v>
      </c>
      <c r="M36" s="183">
        <f>'from CP sheet'!M36/'from CP sheet'!M$1</f>
        <v>0</v>
      </c>
      <c r="N36" s="183">
        <f>'from CP sheet'!N36/'from CP sheet'!N$1</f>
        <v>0</v>
      </c>
      <c r="O36" s="183">
        <f>'from CP sheet'!O36/'from CP sheet'!O$1</f>
        <v>0</v>
      </c>
      <c r="P36" s="181">
        <f>'from CP sheet'!P36/'from CP sheet'!P$1</f>
        <v>0</v>
      </c>
      <c r="Q36" s="172">
        <f>'from CP sheet'!Q36/'from CP sheet'!Q$1</f>
        <v>0</v>
      </c>
      <c r="R36" s="183">
        <f>'from CP sheet'!R36/'from CP sheet'!R$1</f>
        <v>0</v>
      </c>
      <c r="S36" s="183">
        <f>'from CP sheet'!S36/'from CP sheet'!S$1</f>
        <v>0</v>
      </c>
      <c r="T36" s="183">
        <f>'from CP sheet'!T36/'from CP sheet'!T$1</f>
        <v>0</v>
      </c>
      <c r="U36" s="181">
        <f>'from CP sheet'!U36/'from CP sheet'!U$1</f>
        <v>0</v>
      </c>
      <c r="V36" s="172">
        <f>'from CP sheet'!V36/'from CP sheet'!V$1</f>
        <v>0</v>
      </c>
    </row>
    <row r="37" spans="3:22" ht="15.75">
      <c r="C37" s="144" t="s">
        <v>70</v>
      </c>
      <c r="D37" s="146">
        <f>'from CP sheet'!D37/'from CP sheet'!D$1</f>
        <v>13.193331000000001</v>
      </c>
      <c r="E37" s="146">
        <f>'from CP sheet'!E37/'from CP sheet'!E$1</f>
        <v>13.75741935483871</v>
      </c>
      <c r="F37" s="146">
        <f>'from CP sheet'!F37/'from CP sheet'!F$1</f>
        <v>14.452372</v>
      </c>
      <c r="G37" s="149">
        <f>'from CP sheet'!G37/'from CP sheet'!G$1</f>
        <v>13.800561428571429</v>
      </c>
      <c r="H37" s="146">
        <f>'from CP sheet'!H37/'from CP sheet'!H$1</f>
        <v>14.21812129032258</v>
      </c>
      <c r="I37" s="146">
        <f>'from CP sheet'!I37/'from CP sheet'!I$1</f>
        <v>0</v>
      </c>
      <c r="J37" s="146">
        <f>'from CP sheet'!J37/'from CP sheet'!J$1</f>
        <v>0</v>
      </c>
      <c r="K37" s="181">
        <f>'from CP sheet'!K37/'from CP sheet'!K$1</f>
        <v>4.7908886956521739</v>
      </c>
      <c r="L37" s="172">
        <f>'from CP sheet'!L37/'from CP sheet'!L$1</f>
        <v>9.2711084699453554</v>
      </c>
      <c r="M37" s="183">
        <f>'from CP sheet'!M37/'from CP sheet'!M$1</f>
        <v>0</v>
      </c>
      <c r="N37" s="183">
        <f>'from CP sheet'!N37/'from CP sheet'!N$1</f>
        <v>0</v>
      </c>
      <c r="O37" s="183">
        <f>'from CP sheet'!O37/'from CP sheet'!O$1</f>
        <v>0</v>
      </c>
      <c r="P37" s="181">
        <f>'from CP sheet'!P37/'from CP sheet'!P$1</f>
        <v>0</v>
      </c>
      <c r="Q37" s="172">
        <f>'from CP sheet'!Q37/'from CP sheet'!Q$1</f>
        <v>6.1695012727272722</v>
      </c>
      <c r="R37" s="183">
        <f>'from CP sheet'!R37/'from CP sheet'!R$1</f>
        <v>0</v>
      </c>
      <c r="S37" s="183">
        <f>'from CP sheet'!S37/'from CP sheet'!S$1</f>
        <v>0</v>
      </c>
      <c r="T37" s="183">
        <f>'from CP sheet'!T37/'from CP sheet'!T$1</f>
        <v>0</v>
      </c>
      <c r="U37" s="181">
        <f>'from CP sheet'!U37/'from CP sheet'!U$1</f>
        <v>0</v>
      </c>
      <c r="V37" s="172">
        <f>'from CP sheet'!V37/'from CP sheet'!V$1</f>
        <v>4.6482543835616434</v>
      </c>
    </row>
    <row r="42" spans="3:22">
      <c r="C42" s="1110" t="s">
        <v>90</v>
      </c>
      <c r="D42" s="1111"/>
      <c r="E42" s="1111"/>
      <c r="F42" s="1111"/>
      <c r="G42" s="1111"/>
      <c r="H42" s="1111"/>
      <c r="I42" s="1111"/>
      <c r="J42" s="1111"/>
      <c r="K42" s="1111"/>
      <c r="L42" s="1111"/>
      <c r="M42" s="1111"/>
      <c r="N42" s="1111"/>
      <c r="O42" s="1111"/>
      <c r="P42" s="1111"/>
      <c r="Q42" s="1111"/>
      <c r="R42" s="1111"/>
      <c r="S42" s="1111"/>
      <c r="T42" s="1111"/>
      <c r="U42" s="1111"/>
      <c r="V42" s="1112"/>
    </row>
    <row r="43" spans="3:22">
      <c r="C43" s="144"/>
      <c r="D43" s="144" t="s">
        <v>30</v>
      </c>
      <c r="E43" s="144" t="s">
        <v>71</v>
      </c>
      <c r="F43" s="144" t="s">
        <v>72</v>
      </c>
      <c r="G43" s="142" t="s">
        <v>82</v>
      </c>
      <c r="H43" s="144" t="s">
        <v>73</v>
      </c>
      <c r="I43" s="144" t="s">
        <v>74</v>
      </c>
      <c r="J43" s="144" t="s">
        <v>75</v>
      </c>
      <c r="K43" s="142" t="s">
        <v>83</v>
      </c>
      <c r="L43" s="166" t="s">
        <v>39</v>
      </c>
      <c r="M43" s="144" t="s">
        <v>76</v>
      </c>
      <c r="N43" s="144" t="s">
        <v>77</v>
      </c>
      <c r="O43" s="144" t="s">
        <v>78</v>
      </c>
      <c r="P43" s="142" t="s">
        <v>84</v>
      </c>
      <c r="Q43" s="166" t="s">
        <v>85</v>
      </c>
      <c r="R43" s="144" t="s">
        <v>79</v>
      </c>
      <c r="S43" s="144" t="s">
        <v>80</v>
      </c>
      <c r="T43" s="144" t="s">
        <v>81</v>
      </c>
      <c r="U43" s="142" t="s">
        <v>86</v>
      </c>
      <c r="V43" s="166" t="s">
        <v>87</v>
      </c>
    </row>
    <row r="44" spans="3:22" ht="15.75">
      <c r="C44" s="144" t="s">
        <v>60</v>
      </c>
      <c r="D44" s="147">
        <f>'from CP sheet'!D44/1000000</f>
        <v>0.15501744852999999</v>
      </c>
      <c r="E44" s="147">
        <f>'from CP sheet'!E44/1000000</f>
        <v>0.15600095595999999</v>
      </c>
      <c r="F44" s="147">
        <f>'from CP sheet'!F44/1000000</f>
        <v>0.13369120000000001</v>
      </c>
      <c r="G44" s="150">
        <f>'from CP sheet'!G44/1000000</f>
        <v>0.44470960449000002</v>
      </c>
      <c r="H44" s="147">
        <f>'from CP sheet'!H44/1000000</f>
        <v>0.15827545540999999</v>
      </c>
      <c r="I44" s="147">
        <f>'from CP sheet'!I44/1000000</f>
        <v>0</v>
      </c>
      <c r="J44" s="147">
        <f>'from CP sheet'!J44/1000000</f>
        <v>0</v>
      </c>
      <c r="K44" s="150">
        <f>'from CP sheet'!K44/1000000</f>
        <v>0.15827545540999999</v>
      </c>
      <c r="L44" s="171">
        <f>'from CP sheet'!L44/1000000</f>
        <v>0.60298505989999995</v>
      </c>
      <c r="M44" s="147">
        <f>'from CP sheet'!M44/1000000</f>
        <v>0</v>
      </c>
      <c r="N44" s="147">
        <f>'from CP sheet'!N44/1000000</f>
        <v>0</v>
      </c>
      <c r="O44" s="147">
        <f>'from CP sheet'!O44/1000000</f>
        <v>0</v>
      </c>
      <c r="P44" s="150">
        <f>'from CP sheet'!P44/1000000</f>
        <v>0</v>
      </c>
      <c r="Q44" s="171">
        <f>'from CP sheet'!Q44/1000000</f>
        <v>0.60298505989999995</v>
      </c>
      <c r="R44" s="147">
        <f>'from CP sheet'!R44/1000000</f>
        <v>0</v>
      </c>
      <c r="S44" s="147">
        <f>'from CP sheet'!S44/1000000</f>
        <v>0</v>
      </c>
      <c r="T44" s="147">
        <f>'from CP sheet'!T44/1000000</f>
        <v>0</v>
      </c>
      <c r="U44" s="150">
        <f>'from CP sheet'!U44/1000000</f>
        <v>0</v>
      </c>
      <c r="V44" s="171">
        <f>'from CP sheet'!V44/1000000</f>
        <v>0.60298505989999995</v>
      </c>
    </row>
    <row r="45" spans="3:22" ht="15.75">
      <c r="C45" s="144" t="s">
        <v>61</v>
      </c>
      <c r="D45" s="147">
        <f>'from CP sheet'!D45/1000000</f>
        <v>0.16320569486</v>
      </c>
      <c r="E45" s="147">
        <f>'from CP sheet'!E45/1000000</f>
        <v>0.16850892526</v>
      </c>
      <c r="F45" s="147">
        <f>'from CP sheet'!F45/1000000</f>
        <v>0.16272526506000001</v>
      </c>
      <c r="G45" s="150">
        <f>'from CP sheet'!G45/1000000</f>
        <v>0.49443988517999998</v>
      </c>
      <c r="H45" s="147">
        <f>'from CP sheet'!H45/1000000</f>
        <v>0.16934024690999999</v>
      </c>
      <c r="I45" s="147">
        <f>'from CP sheet'!I45/1000000</f>
        <v>0</v>
      </c>
      <c r="J45" s="147">
        <f>'from CP sheet'!J45/1000000</f>
        <v>0</v>
      </c>
      <c r="K45" s="150">
        <f>'from CP sheet'!K45/1000000</f>
        <v>0.16934024690999999</v>
      </c>
      <c r="L45" s="171">
        <f>'from CP sheet'!L45/1000000</f>
        <v>0.66378013208999997</v>
      </c>
      <c r="M45" s="147">
        <f>'from CP sheet'!M45/1000000</f>
        <v>0</v>
      </c>
      <c r="N45" s="147">
        <f>'from CP sheet'!N45/1000000</f>
        <v>0</v>
      </c>
      <c r="O45" s="147">
        <f>'from CP sheet'!O45/1000000</f>
        <v>0</v>
      </c>
      <c r="P45" s="150">
        <f>'from CP sheet'!P45/1000000</f>
        <v>0</v>
      </c>
      <c r="Q45" s="171">
        <f>'from CP sheet'!Q45/1000000</f>
        <v>0.66378013208999997</v>
      </c>
      <c r="R45" s="147">
        <f>'from CP sheet'!R45/1000000</f>
        <v>0</v>
      </c>
      <c r="S45" s="147">
        <f>'from CP sheet'!S45/1000000</f>
        <v>0</v>
      </c>
      <c r="T45" s="147">
        <f>'from CP sheet'!T45/1000000</f>
        <v>0</v>
      </c>
      <c r="U45" s="150">
        <f>'from CP sheet'!U45/1000000</f>
        <v>0</v>
      </c>
      <c r="V45" s="171">
        <f>'from CP sheet'!V45/1000000</f>
        <v>0.66378013208999997</v>
      </c>
    </row>
    <row r="46" spans="3:22" ht="15.75">
      <c r="C46" s="144" t="s">
        <v>62</v>
      </c>
      <c r="D46" s="147">
        <f>'from CP sheet'!D46/1000000</f>
        <v>7.6360000300000003E-3</v>
      </c>
      <c r="E46" s="147">
        <f>'from CP sheet'!E46/1000000</f>
        <v>7.5549998999999996E-3</v>
      </c>
      <c r="F46" s="147">
        <f>'from CP sheet'!F46/1000000</f>
        <v>7.68500001E-3</v>
      </c>
      <c r="G46" s="150">
        <f>'from CP sheet'!G46/1000000</f>
        <v>2.2875999940000002E-2</v>
      </c>
      <c r="H46" s="147">
        <f>'from CP sheet'!H46/1000000</f>
        <v>7.6850000600000006E-3</v>
      </c>
      <c r="I46" s="147">
        <f>'from CP sheet'!I46/1000000</f>
        <v>0</v>
      </c>
      <c r="J46" s="147">
        <f>'from CP sheet'!J46/1000000</f>
        <v>0</v>
      </c>
      <c r="K46" s="150">
        <f>'from CP sheet'!K46/1000000</f>
        <v>7.6850000600000006E-3</v>
      </c>
      <c r="L46" s="171">
        <f>'from CP sheet'!L46/1000000</f>
        <v>3.0561000000000001E-2</v>
      </c>
      <c r="M46" s="147">
        <f>'from CP sheet'!M46/1000000</f>
        <v>0</v>
      </c>
      <c r="N46" s="147">
        <f>'from CP sheet'!N46/1000000</f>
        <v>0</v>
      </c>
      <c r="O46" s="147">
        <f>'from CP sheet'!O46/1000000</f>
        <v>0</v>
      </c>
      <c r="P46" s="150">
        <f>'from CP sheet'!P46/1000000</f>
        <v>0</v>
      </c>
      <c r="Q46" s="171">
        <f>'from CP sheet'!Q46/1000000</f>
        <v>3.0561000000000001E-2</v>
      </c>
      <c r="R46" s="147">
        <f>'from CP sheet'!R46/1000000</f>
        <v>0</v>
      </c>
      <c r="S46" s="147">
        <f>'from CP sheet'!S46/1000000</f>
        <v>0</v>
      </c>
      <c r="T46" s="147">
        <f>'from CP sheet'!T46/1000000</f>
        <v>0</v>
      </c>
      <c r="U46" s="150">
        <f>'from CP sheet'!U46/1000000</f>
        <v>0</v>
      </c>
      <c r="V46" s="171">
        <f>'from CP sheet'!V46/1000000</f>
        <v>3.0561000000000001E-2</v>
      </c>
    </row>
    <row r="47" spans="3:22" ht="15.75">
      <c r="C47" s="144" t="s">
        <v>57</v>
      </c>
      <c r="D47" s="147">
        <f>'from CP sheet'!D47/1000000</f>
        <v>3.796799E-2</v>
      </c>
      <c r="E47" s="147">
        <f>'from CP sheet'!E47/1000000</f>
        <v>3.8751151729999996E-2</v>
      </c>
      <c r="F47" s="147">
        <f>'from CP sheet'!F47/1000000</f>
        <v>3.8150668189999994E-2</v>
      </c>
      <c r="G47" s="150">
        <f>'from CP sheet'!G47/1000000</f>
        <v>0.11486980992</v>
      </c>
      <c r="H47" s="147">
        <f>'from CP sheet'!H47/1000000</f>
        <v>3.9519113100000003E-2</v>
      </c>
      <c r="I47" s="147">
        <f>'from CP sheet'!I47/1000000</f>
        <v>0</v>
      </c>
      <c r="J47" s="147">
        <f>'from CP sheet'!J47/1000000</f>
        <v>0</v>
      </c>
      <c r="K47" s="150">
        <f>'from CP sheet'!K47/1000000</f>
        <v>3.9519113100000003E-2</v>
      </c>
      <c r="L47" s="171">
        <f>'from CP sheet'!L47/1000000</f>
        <v>0.15438892301999999</v>
      </c>
      <c r="M47" s="147">
        <f>'from CP sheet'!M47/1000000</f>
        <v>0</v>
      </c>
      <c r="N47" s="147">
        <f>'from CP sheet'!N47/1000000</f>
        <v>0</v>
      </c>
      <c r="O47" s="147">
        <f>'from CP sheet'!O47/1000000</f>
        <v>0</v>
      </c>
      <c r="P47" s="150">
        <f>'from CP sheet'!P47/1000000</f>
        <v>0</v>
      </c>
      <c r="Q47" s="171">
        <f>'from CP sheet'!Q47/1000000</f>
        <v>0.15438892301999999</v>
      </c>
      <c r="R47" s="147">
        <f>'from CP sheet'!R47/1000000</f>
        <v>0</v>
      </c>
      <c r="S47" s="147">
        <f>'from CP sheet'!S47/1000000</f>
        <v>0</v>
      </c>
      <c r="T47" s="147">
        <f>'from CP sheet'!T47/1000000</f>
        <v>0</v>
      </c>
      <c r="U47" s="150">
        <f>'from CP sheet'!U47/1000000</f>
        <v>0</v>
      </c>
      <c r="V47" s="171">
        <f>'from CP sheet'!V47/1000000</f>
        <v>0.15438892301999999</v>
      </c>
    </row>
    <row r="48" spans="3:22" ht="15.75">
      <c r="C48" s="144" t="s">
        <v>58</v>
      </c>
      <c r="D48" s="147">
        <f>'from CP sheet'!D48/1000000</f>
        <v>4.3198919969999999E-2</v>
      </c>
      <c r="E48" s="147">
        <f>'from CP sheet'!E48/1000000</f>
        <v>3.7292113259999995E-2</v>
      </c>
      <c r="F48" s="147">
        <f>'from CP sheet'!F48/1000000</f>
        <v>3.9229919990000001E-2</v>
      </c>
      <c r="G48" s="150">
        <f>'from CP sheet'!G48/1000000</f>
        <v>0.11972095322</v>
      </c>
      <c r="H48" s="147">
        <f>'from CP sheet'!H48/1000000</f>
        <v>3.3881504029999995E-2</v>
      </c>
      <c r="I48" s="147">
        <f>'from CP sheet'!I48/1000000</f>
        <v>0</v>
      </c>
      <c r="J48" s="147">
        <f>'from CP sheet'!J48/1000000</f>
        <v>0</v>
      </c>
      <c r="K48" s="150">
        <f>'from CP sheet'!K48/1000000</f>
        <v>3.3881504029999995E-2</v>
      </c>
      <c r="L48" s="171">
        <f>'from CP sheet'!L48/1000000</f>
        <v>0.15360245724999999</v>
      </c>
      <c r="M48" s="147">
        <f>'from CP sheet'!M48/1000000</f>
        <v>0</v>
      </c>
      <c r="N48" s="147">
        <f>'from CP sheet'!N48/1000000</f>
        <v>0</v>
      </c>
      <c r="O48" s="147">
        <f>'from CP sheet'!O48/1000000</f>
        <v>0</v>
      </c>
      <c r="P48" s="150">
        <f>'from CP sheet'!P48/1000000</f>
        <v>0</v>
      </c>
      <c r="Q48" s="171">
        <f>'from CP sheet'!Q48/1000000</f>
        <v>0.15360245724999999</v>
      </c>
      <c r="R48" s="147">
        <f>'from CP sheet'!R48/1000000</f>
        <v>0</v>
      </c>
      <c r="S48" s="147">
        <f>'from CP sheet'!S48/1000000</f>
        <v>0</v>
      </c>
      <c r="T48" s="147">
        <f>'from CP sheet'!T48/1000000</f>
        <v>0</v>
      </c>
      <c r="U48" s="150">
        <f>'from CP sheet'!U48/1000000</f>
        <v>0</v>
      </c>
      <c r="V48" s="171">
        <f>'from CP sheet'!V48/1000000</f>
        <v>0.15360245724999999</v>
      </c>
    </row>
    <row r="49" spans="3:22" ht="15.75">
      <c r="C49" s="144" t="s">
        <v>59</v>
      </c>
      <c r="D49" s="147">
        <f>'from CP sheet'!D49/1000000</f>
        <v>9.9170000099999996E-3</v>
      </c>
      <c r="E49" s="147">
        <f>'from CP sheet'!E49/1000000</f>
        <v>1.0173E-2</v>
      </c>
      <c r="F49" s="147">
        <f>'from CP sheet'!F49/1000000</f>
        <v>1.0609E-2</v>
      </c>
      <c r="G49" s="150">
        <f>'from CP sheet'!G49/1000000</f>
        <v>3.0699000010000001E-2</v>
      </c>
      <c r="H49" s="147">
        <f>'from CP sheet'!H49/1000000</f>
        <v>1.113899998E-2</v>
      </c>
      <c r="I49" s="147">
        <f>'from CP sheet'!I49/1000000</f>
        <v>0</v>
      </c>
      <c r="J49" s="147">
        <f>'from CP sheet'!J49/1000000</f>
        <v>0</v>
      </c>
      <c r="K49" s="150">
        <f>'from CP sheet'!K49/1000000</f>
        <v>1.113899998E-2</v>
      </c>
      <c r="L49" s="171">
        <f>'from CP sheet'!L49/1000000</f>
        <v>4.1837999989999999E-2</v>
      </c>
      <c r="M49" s="147">
        <f>'from CP sheet'!M49/1000000</f>
        <v>0</v>
      </c>
      <c r="N49" s="147">
        <f>'from CP sheet'!N49/1000000</f>
        <v>0</v>
      </c>
      <c r="O49" s="147">
        <f>'from CP sheet'!O49/1000000</f>
        <v>0</v>
      </c>
      <c r="P49" s="150">
        <f>'from CP sheet'!P49/1000000</f>
        <v>0</v>
      </c>
      <c r="Q49" s="171">
        <f>'from CP sheet'!Q49/1000000</f>
        <v>4.1837999989999999E-2</v>
      </c>
      <c r="R49" s="147">
        <f>'from CP sheet'!R49/1000000</f>
        <v>0</v>
      </c>
      <c r="S49" s="147">
        <f>'from CP sheet'!S49/1000000</f>
        <v>0</v>
      </c>
      <c r="T49" s="147">
        <f>'from CP sheet'!T49/1000000</f>
        <v>0</v>
      </c>
      <c r="U49" s="150">
        <f>'from CP sheet'!U49/1000000</f>
        <v>0</v>
      </c>
      <c r="V49" s="171">
        <f>'from CP sheet'!V49/1000000</f>
        <v>4.1837999989999999E-2</v>
      </c>
    </row>
    <row r="50" spans="3:22" ht="15.75">
      <c r="C50" s="144" t="s">
        <v>63</v>
      </c>
      <c r="D50" s="147">
        <f>'from CP sheet'!D50/1000000</f>
        <v>5.2011400040000003E-2</v>
      </c>
      <c r="E50" s="147">
        <f>'from CP sheet'!E50/1000000</f>
        <v>6.388690004E-2</v>
      </c>
      <c r="F50" s="147">
        <f>'from CP sheet'!F50/1000000</f>
        <v>6.0564699989999998E-2</v>
      </c>
      <c r="G50" s="150">
        <f>'from CP sheet'!G50/1000000</f>
        <v>0.17646300007000001</v>
      </c>
      <c r="H50" s="147">
        <f>'from CP sheet'!H50/1000000</f>
        <v>6.0326000010000005E-2</v>
      </c>
      <c r="I50" s="147">
        <f>'from CP sheet'!I50/1000000</f>
        <v>0</v>
      </c>
      <c r="J50" s="147">
        <f>'from CP sheet'!J50/1000000</f>
        <v>0</v>
      </c>
      <c r="K50" s="150">
        <f>'from CP sheet'!K50/1000000</f>
        <v>6.0326000010000005E-2</v>
      </c>
      <c r="L50" s="171">
        <f>'from CP sheet'!L50/1000000</f>
        <v>0.23678900008000003</v>
      </c>
      <c r="M50" s="147">
        <f>'from CP sheet'!M50/1000000</f>
        <v>0</v>
      </c>
      <c r="N50" s="147">
        <f>'from CP sheet'!N50/1000000</f>
        <v>0</v>
      </c>
      <c r="O50" s="147">
        <f>'from CP sheet'!O50/1000000</f>
        <v>0</v>
      </c>
      <c r="P50" s="150">
        <f>'from CP sheet'!P50/1000000</f>
        <v>0</v>
      </c>
      <c r="Q50" s="171">
        <f>'from CP sheet'!Q50/1000000</f>
        <v>0.23678900008000003</v>
      </c>
      <c r="R50" s="147">
        <f>'from CP sheet'!R50/1000000</f>
        <v>0</v>
      </c>
      <c r="S50" s="147">
        <f>'from CP sheet'!S50/1000000</f>
        <v>0</v>
      </c>
      <c r="T50" s="147">
        <f>'from CP sheet'!T50/1000000</f>
        <v>0</v>
      </c>
      <c r="U50" s="150">
        <f>'from CP sheet'!U50/1000000</f>
        <v>0</v>
      </c>
      <c r="V50" s="171">
        <f>'from CP sheet'!V50/1000000</f>
        <v>0.23678900008000003</v>
      </c>
    </row>
    <row r="51" spans="3:22" ht="15.75">
      <c r="C51" s="144" t="s">
        <v>64</v>
      </c>
      <c r="D51" s="147">
        <f>'from CP sheet'!D51/1000000</f>
        <v>3.7141390199999999E-3</v>
      </c>
      <c r="E51" s="147">
        <f>'from CP sheet'!E51/1000000</f>
        <v>3.7991249899999996E-3</v>
      </c>
      <c r="F51" s="147">
        <f>'from CP sheet'!F51/1000000</f>
        <v>3.68568754E-3</v>
      </c>
      <c r="G51" s="150">
        <f>'from CP sheet'!G51/1000000</f>
        <v>1.1198951549999999E-2</v>
      </c>
      <c r="H51" s="147">
        <f>'from CP sheet'!H51/1000000</f>
        <v>3.8006233299999999E-3</v>
      </c>
      <c r="I51" s="147">
        <f>'from CP sheet'!I51/1000000</f>
        <v>0</v>
      </c>
      <c r="J51" s="147">
        <f>'from CP sheet'!J51/1000000</f>
        <v>0</v>
      </c>
      <c r="K51" s="150">
        <f>'from CP sheet'!K51/1000000</f>
        <v>3.8006233299999999E-3</v>
      </c>
      <c r="L51" s="171">
        <f>'from CP sheet'!L51/1000000</f>
        <v>1.499957488E-2</v>
      </c>
      <c r="M51" s="147">
        <f>'from CP sheet'!M51/1000000</f>
        <v>0</v>
      </c>
      <c r="N51" s="147">
        <f>'from CP sheet'!N51/1000000</f>
        <v>0</v>
      </c>
      <c r="O51" s="147">
        <f>'from CP sheet'!O51/1000000</f>
        <v>0</v>
      </c>
      <c r="P51" s="150">
        <f>'from CP sheet'!P51/1000000</f>
        <v>0</v>
      </c>
      <c r="Q51" s="171">
        <f>'from CP sheet'!Q51/1000000</f>
        <v>1.499957488E-2</v>
      </c>
      <c r="R51" s="147">
        <f>'from CP sheet'!R51/1000000</f>
        <v>0</v>
      </c>
      <c r="S51" s="147">
        <f>'from CP sheet'!S51/1000000</f>
        <v>0</v>
      </c>
      <c r="T51" s="147">
        <f>'from CP sheet'!T51/1000000</f>
        <v>0</v>
      </c>
      <c r="U51" s="150">
        <f>'from CP sheet'!U51/1000000</f>
        <v>0</v>
      </c>
      <c r="V51" s="171">
        <f>'from CP sheet'!V51/1000000</f>
        <v>1.499957488E-2</v>
      </c>
    </row>
    <row r="52" spans="3:22" ht="15.75">
      <c r="C52" s="144" t="s">
        <v>65</v>
      </c>
      <c r="D52" s="147">
        <f>'from CP sheet'!D52/1000000</f>
        <v>7.9086720099999994E-3</v>
      </c>
      <c r="E52" s="147">
        <f>'from CP sheet'!E52/1000000</f>
        <v>1.016377439E-2</v>
      </c>
      <c r="F52" s="147">
        <f>'from CP sheet'!F52/1000000</f>
        <v>1.0303435980000001E-2</v>
      </c>
      <c r="G52" s="150">
        <f>'from CP sheet'!G52/1000000</f>
        <v>2.8375882380000002E-2</v>
      </c>
      <c r="H52" s="147">
        <f>'from CP sheet'!H52/1000000</f>
        <v>1.076060801E-2</v>
      </c>
      <c r="I52" s="147">
        <f>'from CP sheet'!I52/1000000</f>
        <v>0</v>
      </c>
      <c r="J52" s="147">
        <f>'from CP sheet'!J52/1000000</f>
        <v>0</v>
      </c>
      <c r="K52" s="150">
        <f>'from CP sheet'!K52/1000000</f>
        <v>1.076060801E-2</v>
      </c>
      <c r="L52" s="171">
        <f>'from CP sheet'!L52/1000000</f>
        <v>3.9136490390000007E-2</v>
      </c>
      <c r="M52" s="147">
        <f>'from CP sheet'!M52/1000000</f>
        <v>0</v>
      </c>
      <c r="N52" s="147">
        <f>'from CP sheet'!N52/1000000</f>
        <v>0</v>
      </c>
      <c r="O52" s="147">
        <f>'from CP sheet'!O52/1000000</f>
        <v>0</v>
      </c>
      <c r="P52" s="150">
        <f>'from CP sheet'!P52/1000000</f>
        <v>0</v>
      </c>
      <c r="Q52" s="171">
        <f>'from CP sheet'!Q52/1000000</f>
        <v>3.9136490390000007E-2</v>
      </c>
      <c r="R52" s="147">
        <f>'from CP sheet'!R52/1000000</f>
        <v>0</v>
      </c>
      <c r="S52" s="147">
        <f>'from CP sheet'!S52/1000000</f>
        <v>0</v>
      </c>
      <c r="T52" s="147">
        <f>'from CP sheet'!T52/1000000</f>
        <v>0</v>
      </c>
      <c r="U52" s="150">
        <f>'from CP sheet'!U52/1000000</f>
        <v>0</v>
      </c>
      <c r="V52" s="171">
        <f>'from CP sheet'!V52/1000000</f>
        <v>3.9136490390000007E-2</v>
      </c>
    </row>
    <row r="53" spans="3:22" ht="15.75">
      <c r="C53" s="144" t="s">
        <v>66</v>
      </c>
      <c r="D53" s="147">
        <f>'from CP sheet'!D53/1000000</f>
        <v>3.7880162729999993E-2</v>
      </c>
      <c r="E53" s="147">
        <f>'from CP sheet'!E53/1000000</f>
        <v>4.3939039980000004E-2</v>
      </c>
      <c r="F53" s="147">
        <f>'from CP sheet'!F53/1000000</f>
        <v>6.7232908140000006E-2</v>
      </c>
      <c r="G53" s="150">
        <f>'from CP sheet'!G53/1000000</f>
        <v>0.14905211085</v>
      </c>
      <c r="H53" s="147">
        <f>'from CP sheet'!H53/1000000</f>
        <v>5.373759056E-2</v>
      </c>
      <c r="I53" s="147">
        <f>'from CP sheet'!I53/1000000</f>
        <v>0</v>
      </c>
      <c r="J53" s="147">
        <f>'from CP sheet'!J53/1000000</f>
        <v>0</v>
      </c>
      <c r="K53" s="150">
        <f>'from CP sheet'!K53/1000000</f>
        <v>5.373759056E-2</v>
      </c>
      <c r="L53" s="171">
        <f>'from CP sheet'!L53/1000000</f>
        <v>0.20278970140999997</v>
      </c>
      <c r="M53" s="147">
        <f>'from CP sheet'!M53/1000000</f>
        <v>0</v>
      </c>
      <c r="N53" s="147">
        <f>'from CP sheet'!N53/1000000</f>
        <v>0</v>
      </c>
      <c r="O53" s="147">
        <f>'from CP sheet'!O53/1000000</f>
        <v>0</v>
      </c>
      <c r="P53" s="150">
        <f>'from CP sheet'!P53/1000000</f>
        <v>0</v>
      </c>
      <c r="Q53" s="171">
        <f>'from CP sheet'!Q53/1000000</f>
        <v>0.20278970140999997</v>
      </c>
      <c r="R53" s="147">
        <f>'from CP sheet'!R53/1000000</f>
        <v>0</v>
      </c>
      <c r="S53" s="147">
        <f>'from CP sheet'!S53/1000000</f>
        <v>0</v>
      </c>
      <c r="T53" s="147">
        <f>'from CP sheet'!T53/1000000</f>
        <v>0</v>
      </c>
      <c r="U53" s="150">
        <f>'from CP sheet'!U53/1000000</f>
        <v>0</v>
      </c>
      <c r="V53" s="171">
        <f>'from CP sheet'!V53/1000000</f>
        <v>0.20278970140999997</v>
      </c>
    </row>
    <row r="54" spans="3:22" ht="15.75">
      <c r="C54" s="144" t="s">
        <v>67</v>
      </c>
      <c r="D54" s="147">
        <f>'from CP sheet'!D54/1000000</f>
        <v>5.5202705499999997E-2</v>
      </c>
      <c r="E54" s="147">
        <f>'from CP sheet'!E54/1000000</f>
        <v>5.6746643770000001E-2</v>
      </c>
      <c r="F54" s="147">
        <f>'from CP sheet'!F54/1000000</f>
        <v>5.2356369749999999E-2</v>
      </c>
      <c r="G54" s="150">
        <f>'from CP sheet'!G54/1000000</f>
        <v>0.16430571902000002</v>
      </c>
      <c r="H54" s="147">
        <f>'from CP sheet'!H54/1000000</f>
        <v>5.9382431499999999E-2</v>
      </c>
      <c r="I54" s="147">
        <f>'from CP sheet'!I54/1000000</f>
        <v>0</v>
      </c>
      <c r="J54" s="147">
        <f>'from CP sheet'!J54/1000000</f>
        <v>0</v>
      </c>
      <c r="K54" s="150">
        <f>'from CP sheet'!K54/1000000</f>
        <v>5.9382431499999999E-2</v>
      </c>
      <c r="L54" s="171">
        <f>'from CP sheet'!L54/1000000</f>
        <v>0.22368815052000002</v>
      </c>
      <c r="M54" s="147">
        <f>'from CP sheet'!M54/1000000</f>
        <v>0</v>
      </c>
      <c r="N54" s="147">
        <f>'from CP sheet'!N54/1000000</f>
        <v>0</v>
      </c>
      <c r="O54" s="147">
        <f>'from CP sheet'!O54/1000000</f>
        <v>0</v>
      </c>
      <c r="P54" s="150">
        <f>'from CP sheet'!P54/1000000</f>
        <v>0</v>
      </c>
      <c r="Q54" s="171">
        <f>'from CP sheet'!Q54/1000000</f>
        <v>0.22368815052000002</v>
      </c>
      <c r="R54" s="147">
        <f>'from CP sheet'!R54/1000000</f>
        <v>0</v>
      </c>
      <c r="S54" s="147">
        <f>'from CP sheet'!S54/1000000</f>
        <v>0</v>
      </c>
      <c r="T54" s="147">
        <f>'from CP sheet'!T54/1000000</f>
        <v>0</v>
      </c>
      <c r="U54" s="150">
        <f>'from CP sheet'!U54/1000000</f>
        <v>0</v>
      </c>
      <c r="V54" s="171">
        <f>'from CP sheet'!V54/1000000</f>
        <v>0.22368815052000002</v>
      </c>
    </row>
    <row r="55" spans="3:22" ht="15.75">
      <c r="C55" s="144" t="s">
        <v>68</v>
      </c>
      <c r="D55" s="147">
        <f>'from CP sheet'!D55/1000000</f>
        <v>1.3986185030000001E-2</v>
      </c>
      <c r="E55" s="147">
        <f>'from CP sheet'!E55/1000000</f>
        <v>1.3515676359999999E-2</v>
      </c>
      <c r="F55" s="147">
        <f>'from CP sheet'!F55/1000000</f>
        <v>1.305914622E-2</v>
      </c>
      <c r="G55" s="150">
        <f>'from CP sheet'!G55/1000000</f>
        <v>4.0561007609999998E-2</v>
      </c>
      <c r="H55" s="147">
        <f>'from CP sheet'!H55/1000000</f>
        <v>1.3115272300000001E-2</v>
      </c>
      <c r="I55" s="147">
        <f>'from CP sheet'!I55/1000000</f>
        <v>0</v>
      </c>
      <c r="J55" s="147">
        <f>'from CP sheet'!J55/1000000</f>
        <v>0</v>
      </c>
      <c r="K55" s="150">
        <f>'from CP sheet'!K55/1000000</f>
        <v>1.3115272300000001E-2</v>
      </c>
      <c r="L55" s="171">
        <f>'from CP sheet'!L55/1000000</f>
        <v>5.3676279909999999E-2</v>
      </c>
      <c r="M55" s="147">
        <f>'from CP sheet'!M55/1000000</f>
        <v>0</v>
      </c>
      <c r="N55" s="147">
        <f>'from CP sheet'!N55/1000000</f>
        <v>0</v>
      </c>
      <c r="O55" s="147">
        <f>'from CP sheet'!O55/1000000</f>
        <v>0</v>
      </c>
      <c r="P55" s="150">
        <f>'from CP sheet'!P55/1000000</f>
        <v>0</v>
      </c>
      <c r="Q55" s="171">
        <f>'from CP sheet'!Q55/1000000</f>
        <v>5.3676279909999999E-2</v>
      </c>
      <c r="R55" s="147">
        <f>'from CP sheet'!R55/1000000</f>
        <v>0</v>
      </c>
      <c r="S55" s="147">
        <f>'from CP sheet'!S55/1000000</f>
        <v>0</v>
      </c>
      <c r="T55" s="147">
        <f>'from CP sheet'!T55/1000000</f>
        <v>0</v>
      </c>
      <c r="U55" s="150">
        <f>'from CP sheet'!U55/1000000</f>
        <v>0</v>
      </c>
      <c r="V55" s="171">
        <f>'from CP sheet'!V55/1000000</f>
        <v>5.3676279909999999E-2</v>
      </c>
    </row>
    <row r="56" spans="3:22" ht="15.75">
      <c r="C56" s="144" t="s">
        <v>69</v>
      </c>
      <c r="D56" s="147">
        <f>'from CP sheet'!D56/1000000</f>
        <v>0</v>
      </c>
      <c r="E56" s="147">
        <f>'from CP sheet'!E56/1000000</f>
        <v>0</v>
      </c>
      <c r="F56" s="147">
        <f>'from CP sheet'!F56/1000000</f>
        <v>0</v>
      </c>
      <c r="G56" s="150">
        <f>'from CP sheet'!G56/1000000</f>
        <v>0</v>
      </c>
      <c r="H56" s="147">
        <f>'from CP sheet'!H56/1000000</f>
        <v>0</v>
      </c>
      <c r="I56" s="147">
        <f>'from CP sheet'!I56/1000000</f>
        <v>0</v>
      </c>
      <c r="J56" s="147">
        <f>'from CP sheet'!J56/1000000</f>
        <v>0</v>
      </c>
      <c r="K56" s="150">
        <f>'from CP sheet'!K56/1000000</f>
        <v>0</v>
      </c>
      <c r="L56" s="171">
        <f>'from CP sheet'!L56/1000000</f>
        <v>0</v>
      </c>
      <c r="M56" s="147">
        <f>'from CP sheet'!M56/1000000</f>
        <v>0</v>
      </c>
      <c r="N56" s="147">
        <f>'from CP sheet'!N56/1000000</f>
        <v>0</v>
      </c>
      <c r="O56" s="147">
        <f>'from CP sheet'!O56/1000000</f>
        <v>0</v>
      </c>
      <c r="P56" s="150">
        <f>'from CP sheet'!P56/1000000</f>
        <v>0</v>
      </c>
      <c r="Q56" s="171">
        <f>'from CP sheet'!Q56/1000000</f>
        <v>0</v>
      </c>
      <c r="R56" s="147">
        <f>'from CP sheet'!R56/1000000</f>
        <v>0</v>
      </c>
      <c r="S56" s="147">
        <f>'from CP sheet'!S56/1000000</f>
        <v>0</v>
      </c>
      <c r="T56" s="147">
        <f>'from CP sheet'!T56/1000000</f>
        <v>0</v>
      </c>
      <c r="U56" s="150">
        <f>'from CP sheet'!U56/1000000</f>
        <v>0</v>
      </c>
      <c r="V56" s="171">
        <f>'from CP sheet'!V56/1000000</f>
        <v>0</v>
      </c>
    </row>
    <row r="57" spans="3:22" ht="15.75">
      <c r="C57" s="144" t="s">
        <v>70</v>
      </c>
      <c r="D57" s="147">
        <f>'from CP sheet'!D57/1000000</f>
        <v>0</v>
      </c>
      <c r="E57" s="147">
        <f>'from CP sheet'!E57/1000000</f>
        <v>0</v>
      </c>
      <c r="F57" s="147">
        <f>'from CP sheet'!F57/1000000</f>
        <v>0</v>
      </c>
      <c r="G57" s="150">
        <f>'from CP sheet'!G57/1000000</f>
        <v>0</v>
      </c>
      <c r="H57" s="147">
        <f>'from CP sheet'!H57/1000000</f>
        <v>0</v>
      </c>
      <c r="I57" s="147">
        <f>'from CP sheet'!I57/1000000</f>
        <v>0</v>
      </c>
      <c r="J57" s="147">
        <f>'from CP sheet'!J57/1000000</f>
        <v>0</v>
      </c>
      <c r="K57" s="150">
        <f>'from CP sheet'!K57/1000000</f>
        <v>0</v>
      </c>
      <c r="L57" s="171">
        <f>'from CP sheet'!L57/1000000</f>
        <v>0</v>
      </c>
      <c r="M57" s="147">
        <f>'from CP sheet'!M57/1000000</f>
        <v>0</v>
      </c>
      <c r="N57" s="147">
        <f>'from CP sheet'!N57/1000000</f>
        <v>0</v>
      </c>
      <c r="O57" s="147">
        <f>'from CP sheet'!O57/1000000</f>
        <v>0</v>
      </c>
      <c r="P57" s="150">
        <f>'from CP sheet'!P57/1000000</f>
        <v>0</v>
      </c>
      <c r="Q57" s="171">
        <f>'from CP sheet'!Q57/1000000</f>
        <v>0</v>
      </c>
      <c r="R57" s="147">
        <f>'from CP sheet'!R57/1000000</f>
        <v>0</v>
      </c>
      <c r="S57" s="147">
        <f>'from CP sheet'!S57/1000000</f>
        <v>0</v>
      </c>
      <c r="T57" s="147">
        <f>'from CP sheet'!T57/1000000</f>
        <v>0</v>
      </c>
      <c r="U57" s="150">
        <f>'from CP sheet'!U57/1000000</f>
        <v>0</v>
      </c>
      <c r="V57" s="171">
        <f>'from CP sheet'!V57/1000000</f>
        <v>0</v>
      </c>
    </row>
    <row r="58" spans="3:22" ht="15.75">
      <c r="C58" s="145" t="s">
        <v>92</v>
      </c>
      <c r="D58" s="151">
        <f>SUM(D44:D57)</f>
        <v>0.58764631772999998</v>
      </c>
      <c r="E58" s="151">
        <f t="shared" ref="E58:V58" si="0">SUM(E44:E57)</f>
        <v>0.61033230563999996</v>
      </c>
      <c r="F58" s="151">
        <f t="shared" si="0"/>
        <v>0.5992933008700001</v>
      </c>
      <c r="G58" s="185">
        <f t="shared" si="0"/>
        <v>1.7972719242400004</v>
      </c>
      <c r="H58" s="151">
        <f t="shared" si="0"/>
        <v>0.6209628452</v>
      </c>
      <c r="I58" s="151">
        <f t="shared" si="0"/>
        <v>0</v>
      </c>
      <c r="J58" s="151">
        <f t="shared" si="0"/>
        <v>0</v>
      </c>
      <c r="K58" s="185">
        <f t="shared" si="0"/>
        <v>0.6209628452</v>
      </c>
      <c r="L58" s="186">
        <f t="shared" si="0"/>
        <v>2.4182347694400002</v>
      </c>
      <c r="M58" s="151">
        <f t="shared" si="0"/>
        <v>0</v>
      </c>
      <c r="N58" s="151">
        <f t="shared" si="0"/>
        <v>0</v>
      </c>
      <c r="O58" s="151">
        <f t="shared" si="0"/>
        <v>0</v>
      </c>
      <c r="P58" s="185">
        <f t="shared" si="0"/>
        <v>0</v>
      </c>
      <c r="Q58" s="186">
        <f t="shared" si="0"/>
        <v>2.4182347694400002</v>
      </c>
      <c r="R58" s="151">
        <f t="shared" si="0"/>
        <v>0</v>
      </c>
      <c r="S58" s="151">
        <f t="shared" si="0"/>
        <v>0</v>
      </c>
      <c r="T58" s="151">
        <f t="shared" si="0"/>
        <v>0</v>
      </c>
      <c r="U58" s="185">
        <f t="shared" si="0"/>
        <v>0</v>
      </c>
      <c r="V58" s="186">
        <f t="shared" si="0"/>
        <v>2.4182347694400002</v>
      </c>
    </row>
    <row r="61" spans="3:22">
      <c r="C61" s="1113" t="s">
        <v>91</v>
      </c>
      <c r="D61" s="1113" t="s">
        <v>91</v>
      </c>
      <c r="E61" s="1113"/>
      <c r="F61" s="1113"/>
      <c r="G61" s="1113"/>
      <c r="H61" s="1113"/>
      <c r="I61" s="1113"/>
      <c r="J61" s="1113"/>
      <c r="K61" s="1113"/>
      <c r="L61" s="1113"/>
      <c r="M61" s="1113"/>
      <c r="N61" s="1113"/>
      <c r="O61" s="1113"/>
      <c r="P61" s="1113"/>
      <c r="Q61" s="1113"/>
      <c r="R61" s="1113"/>
      <c r="S61" s="1113"/>
      <c r="T61" s="1113"/>
      <c r="U61" s="1113"/>
      <c r="V61" s="1113"/>
    </row>
    <row r="62" spans="3:22">
      <c r="C62" s="144"/>
      <c r="D62" s="144" t="s">
        <v>30</v>
      </c>
      <c r="E62" s="144" t="s">
        <v>71</v>
      </c>
      <c r="F62" s="144" t="s">
        <v>72</v>
      </c>
      <c r="G62" s="148" t="s">
        <v>82</v>
      </c>
      <c r="H62" s="144" t="s">
        <v>73</v>
      </c>
      <c r="I62" s="144" t="s">
        <v>74</v>
      </c>
      <c r="J62" s="144" t="s">
        <v>75</v>
      </c>
      <c r="K62" s="148" t="s">
        <v>83</v>
      </c>
      <c r="L62" s="170" t="s">
        <v>39</v>
      </c>
      <c r="M62" s="144" t="s">
        <v>76</v>
      </c>
      <c r="N62" s="144" t="s">
        <v>77</v>
      </c>
      <c r="O62" s="144" t="s">
        <v>78</v>
      </c>
      <c r="P62" s="148" t="s">
        <v>84</v>
      </c>
      <c r="Q62" s="170" t="s">
        <v>85</v>
      </c>
      <c r="R62" s="144" t="s">
        <v>79</v>
      </c>
      <c r="S62" s="144" t="s">
        <v>80</v>
      </c>
      <c r="T62" s="144" t="s">
        <v>81</v>
      </c>
      <c r="U62" s="148" t="s">
        <v>86</v>
      </c>
      <c r="V62" s="170" t="s">
        <v>87</v>
      </c>
    </row>
    <row r="63" spans="3:22" ht="15.75">
      <c r="C63" s="144" t="s">
        <v>60</v>
      </c>
      <c r="D63" s="146">
        <f>'from CP sheet'!D24*'from CP sheet'!$B24*0.001</f>
        <v>5.8210604000000006E-2</v>
      </c>
      <c r="E63" s="146">
        <f>'from CP sheet'!E24*'from CP sheet'!$B24*0.001</f>
        <v>5.1720011999999996E-2</v>
      </c>
      <c r="F63" s="146">
        <f>'from CP sheet'!F24*'from CP sheet'!$B24*0.001</f>
        <v>4.6025400000000008E-2</v>
      </c>
      <c r="G63" s="149">
        <f>D63+E63+F63</f>
        <v>0.15595601600000003</v>
      </c>
      <c r="H63" s="146">
        <f>'from CP sheet'!H24*'from CP sheet'!$B24*0.001</f>
        <v>4.5833198000000006E-2</v>
      </c>
      <c r="I63" s="146">
        <f>'from CP sheet'!I24*'from CP sheet'!$B24*0.001</f>
        <v>0</v>
      </c>
      <c r="J63" s="146">
        <f>'from CP sheet'!J24*'from CP sheet'!$B24*0.001</f>
        <v>0</v>
      </c>
      <c r="K63" s="149">
        <f>H63+I63+J63</f>
        <v>4.5833198000000006E-2</v>
      </c>
      <c r="L63" s="172">
        <f>G63+K63</f>
        <v>0.20178921400000005</v>
      </c>
      <c r="M63" s="146">
        <f>'from CP sheet'!M24*'from CP sheet'!$B24*0.001</f>
        <v>0</v>
      </c>
      <c r="N63" s="146">
        <f>'from CP sheet'!N24*'from CP sheet'!$B24*0.001</f>
        <v>0</v>
      </c>
      <c r="O63" s="146">
        <f>'from CP sheet'!O24*'from CP sheet'!$B24*0.001</f>
        <v>0</v>
      </c>
      <c r="P63" s="149">
        <f>M63+N63+O63</f>
        <v>0</v>
      </c>
      <c r="Q63" s="172">
        <f>L63+P63</f>
        <v>0.20178921400000005</v>
      </c>
      <c r="R63" s="146">
        <f>'from CP sheet'!R24*'from CP sheet'!$B24*0.001</f>
        <v>0</v>
      </c>
      <c r="S63" s="146">
        <f>'from CP sheet'!S24*'from CP sheet'!$B24*0.001</f>
        <v>0</v>
      </c>
      <c r="T63" s="146">
        <f>'from CP sheet'!T24*'from CP sheet'!$B24*0.001</f>
        <v>0</v>
      </c>
      <c r="U63" s="149">
        <f>R63+S63+T63</f>
        <v>0</v>
      </c>
      <c r="V63" s="172">
        <f>Q63+U63</f>
        <v>0.20178921400000005</v>
      </c>
    </row>
    <row r="64" spans="3:22" ht="15.75">
      <c r="C64" s="144" t="s">
        <v>61</v>
      </c>
      <c r="D64" s="146">
        <f>'from CP sheet'!D25*'from CP sheet'!$B25*0.001</f>
        <v>7.7790941799999999E-2</v>
      </c>
      <c r="E64" s="146">
        <f>'from CP sheet'!E25*'from CP sheet'!$B25*0.001</f>
        <v>8.0119410800000013E-2</v>
      </c>
      <c r="F64" s="146">
        <f>'from CP sheet'!F25*'from CP sheet'!$B25*0.001</f>
        <v>7.6362520000000003E-2</v>
      </c>
      <c r="G64" s="149">
        <f t="shared" ref="G64:G76" si="1">D64+E64+F64</f>
        <v>0.23427287260000002</v>
      </c>
      <c r="H64" s="146">
        <f>'from CP sheet'!H25*'from CP sheet'!$B25*0.001</f>
        <v>7.1235855600000009E-2</v>
      </c>
      <c r="I64" s="146">
        <f>'from CP sheet'!I25*'from CP sheet'!$B25*0.001</f>
        <v>0</v>
      </c>
      <c r="J64" s="146">
        <f>'from CP sheet'!J25*'from CP sheet'!$B25*0.001</f>
        <v>0</v>
      </c>
      <c r="K64" s="149">
        <f t="shared" ref="K64:K76" si="2">H64+I64+J64</f>
        <v>7.1235855600000009E-2</v>
      </c>
      <c r="L64" s="172">
        <f t="shared" ref="L64:L76" si="3">G64+K64</f>
        <v>0.30550872820000002</v>
      </c>
      <c r="M64" s="146">
        <f>'from CP sheet'!M25*'from CP sheet'!$B25*0.001</f>
        <v>0</v>
      </c>
      <c r="N64" s="146">
        <f>'from CP sheet'!N25*'from CP sheet'!$B25*0.001</f>
        <v>0</v>
      </c>
      <c r="O64" s="146">
        <f>'from CP sheet'!O25*'from CP sheet'!$B25*0.001</f>
        <v>0</v>
      </c>
      <c r="P64" s="149">
        <f t="shared" ref="P64:P76" si="4">M64+N64+O64</f>
        <v>0</v>
      </c>
      <c r="Q64" s="172">
        <f t="shared" ref="Q64:Q76" si="5">L64+P64</f>
        <v>0.30550872820000002</v>
      </c>
      <c r="R64" s="146">
        <f>'from CP sheet'!R25*'from CP sheet'!$B25*0.001</f>
        <v>0</v>
      </c>
      <c r="S64" s="146">
        <f>'from CP sheet'!S25*'from CP sheet'!$B25*0.001</f>
        <v>0</v>
      </c>
      <c r="T64" s="146">
        <f>'from CP sheet'!T25*'from CP sheet'!$B25*0.001</f>
        <v>0</v>
      </c>
      <c r="U64" s="149">
        <f t="shared" ref="U64:U76" si="6">R64+S64+T64</f>
        <v>0</v>
      </c>
      <c r="V64" s="172">
        <f t="shared" ref="V64:V76" si="7">Q64+U64</f>
        <v>0.30550872820000002</v>
      </c>
    </row>
    <row r="65" spans="3:22" ht="15.75">
      <c r="C65" s="144" t="s">
        <v>62</v>
      </c>
      <c r="D65" s="146">
        <f>'from CP sheet'!D26*'from CP sheet'!$B26*0.001</f>
        <v>8.3602500000000014E-3</v>
      </c>
      <c r="E65" s="146">
        <f>'from CP sheet'!E26*'from CP sheet'!$B26*0.001</f>
        <v>7.4710200000000001E-3</v>
      </c>
      <c r="F65" s="146">
        <f>'from CP sheet'!F26*'from CP sheet'!$B26*0.001</f>
        <v>7.8389700000000007E-3</v>
      </c>
      <c r="G65" s="149">
        <f t="shared" si="1"/>
        <v>2.3670240000000002E-2</v>
      </c>
      <c r="H65" s="146">
        <f>'from CP sheet'!H26*'from CP sheet'!$B26*0.001</f>
        <v>7.4680500000000004E-3</v>
      </c>
      <c r="I65" s="146">
        <f>'from CP sheet'!I26*'from CP sheet'!$B26*0.001</f>
        <v>0</v>
      </c>
      <c r="J65" s="146">
        <f>'from CP sheet'!J26*'from CP sheet'!$B26*0.001</f>
        <v>0</v>
      </c>
      <c r="K65" s="149">
        <f t="shared" si="2"/>
        <v>7.4680500000000004E-3</v>
      </c>
      <c r="L65" s="172">
        <f t="shared" si="3"/>
        <v>3.1138290000000002E-2</v>
      </c>
      <c r="M65" s="146">
        <f>'from CP sheet'!M26*'from CP sheet'!$B26*0.001</f>
        <v>0</v>
      </c>
      <c r="N65" s="146">
        <f>'from CP sheet'!N26*'from CP sheet'!$B26*0.001</f>
        <v>0</v>
      </c>
      <c r="O65" s="146">
        <f>'from CP sheet'!O26*'from CP sheet'!$B26*0.001</f>
        <v>0</v>
      </c>
      <c r="P65" s="149">
        <f t="shared" si="4"/>
        <v>0</v>
      </c>
      <c r="Q65" s="172">
        <f t="shared" si="5"/>
        <v>3.1138290000000002E-2</v>
      </c>
      <c r="R65" s="146">
        <f>'from CP sheet'!R26*'from CP sheet'!$B26*0.001</f>
        <v>0</v>
      </c>
      <c r="S65" s="146">
        <f>'from CP sheet'!S26*'from CP sheet'!$B26*0.001</f>
        <v>0</v>
      </c>
      <c r="T65" s="146">
        <f>'from CP sheet'!T26*'from CP sheet'!$B26*0.001</f>
        <v>0</v>
      </c>
      <c r="U65" s="149">
        <f t="shared" si="6"/>
        <v>0</v>
      </c>
      <c r="V65" s="172">
        <f t="shared" si="7"/>
        <v>3.1138290000000002E-2</v>
      </c>
    </row>
    <row r="66" spans="3:22" ht="15.75">
      <c r="C66" s="144" t="s">
        <v>57</v>
      </c>
      <c r="D66" s="146">
        <f>'from CP sheet'!D27*'from CP sheet'!$B27*0.001</f>
        <v>1.2668992537500002E-2</v>
      </c>
      <c r="E66" s="146">
        <f>'from CP sheet'!E27*'from CP sheet'!$B27*0.001</f>
        <v>1.2527569372500002E-2</v>
      </c>
      <c r="F66" s="146">
        <f>'from CP sheet'!F27*'from CP sheet'!$B27*0.001</f>
        <v>1.1077325122500002E-2</v>
      </c>
      <c r="G66" s="149">
        <f t="shared" si="1"/>
        <v>3.6273887032500007E-2</v>
      </c>
      <c r="H66" s="146">
        <f>'from CP sheet'!H27*'from CP sheet'!$B27*0.001</f>
        <v>7.4933515799999999E-3</v>
      </c>
      <c r="I66" s="146">
        <f>'from CP sheet'!I27*'from CP sheet'!$B27*0.001</f>
        <v>0</v>
      </c>
      <c r="J66" s="146">
        <f>'from CP sheet'!J27*'from CP sheet'!$B27*0.001</f>
        <v>0</v>
      </c>
      <c r="K66" s="149">
        <f t="shared" si="2"/>
        <v>7.4933515799999999E-3</v>
      </c>
      <c r="L66" s="172">
        <f t="shared" si="3"/>
        <v>4.3767238612500009E-2</v>
      </c>
      <c r="M66" s="146">
        <f>'from CP sheet'!M27*'from CP sheet'!$B27*0.001</f>
        <v>0</v>
      </c>
      <c r="N66" s="146">
        <f>'from CP sheet'!N27*'from CP sheet'!$A27*0.001</f>
        <v>0</v>
      </c>
      <c r="O66" s="146">
        <f>'from CP sheet'!O27*'from CP sheet'!$A27*0.001</f>
        <v>0</v>
      </c>
      <c r="P66" s="149">
        <f t="shared" si="4"/>
        <v>0</v>
      </c>
      <c r="Q66" s="172">
        <f t="shared" si="5"/>
        <v>4.3767238612500009E-2</v>
      </c>
      <c r="R66" s="146">
        <f>'from CP sheet'!R27*'from CP sheet'!$A27*0.001</f>
        <v>0</v>
      </c>
      <c r="S66" s="146">
        <f>'from CP sheet'!S27*'from CP sheet'!$A27*0.001</f>
        <v>0</v>
      </c>
      <c r="T66" s="146">
        <f>'from CP sheet'!T27*'from CP sheet'!$A27*0.001</f>
        <v>0</v>
      </c>
      <c r="U66" s="149">
        <f t="shared" si="6"/>
        <v>0</v>
      </c>
      <c r="V66" s="172">
        <f t="shared" si="7"/>
        <v>4.3767238612500009E-2</v>
      </c>
    </row>
    <row r="67" spans="3:22" ht="15.75">
      <c r="C67" s="144" t="s">
        <v>58</v>
      </c>
      <c r="D67" s="146">
        <f>'from CP sheet'!D28*'from CP sheet'!$B28*0.001</f>
        <v>3.6720000000000004E-3</v>
      </c>
      <c r="E67" s="146">
        <f>'from CP sheet'!E28*'from CP sheet'!$B28*0.001</f>
        <v>2.5045200000000005E-3</v>
      </c>
      <c r="F67" s="146">
        <f>'from CP sheet'!F28*'from CP sheet'!$B28*0.001</f>
        <v>3.7719027000000004E-3</v>
      </c>
      <c r="G67" s="149">
        <f t="shared" si="1"/>
        <v>9.9484227000000008E-3</v>
      </c>
      <c r="H67" s="146">
        <f>'from CP sheet'!H28*'from CP sheet'!$B28*0.001</f>
        <v>2.9916054000000002E-3</v>
      </c>
      <c r="I67" s="146">
        <f>'from CP sheet'!I28*'from CP sheet'!$B28*0.001</f>
        <v>0</v>
      </c>
      <c r="J67" s="146">
        <f>'from CP sheet'!J28*'from CP sheet'!$B28*0.001</f>
        <v>0</v>
      </c>
      <c r="K67" s="149">
        <f t="shared" si="2"/>
        <v>2.9916054000000002E-3</v>
      </c>
      <c r="L67" s="172">
        <f t="shared" si="3"/>
        <v>1.2940028100000001E-2</v>
      </c>
      <c r="M67" s="146">
        <f>'from CP sheet'!M28*'from CP sheet'!$B28*0.001</f>
        <v>0</v>
      </c>
      <c r="N67" s="146">
        <f>'from CP sheet'!N28*'from CP sheet'!$B28*0.001</f>
        <v>0</v>
      </c>
      <c r="O67" s="146">
        <f>'from CP sheet'!O28*'from CP sheet'!$B28*0.001</f>
        <v>0</v>
      </c>
      <c r="P67" s="149">
        <f t="shared" si="4"/>
        <v>0</v>
      </c>
      <c r="Q67" s="172">
        <f t="shared" si="5"/>
        <v>1.2940028100000001E-2</v>
      </c>
      <c r="R67" s="146">
        <f>'from CP sheet'!R28*'from CP sheet'!$B28*0.001</f>
        <v>0</v>
      </c>
      <c r="S67" s="146">
        <f>'from CP sheet'!S28*'from CP sheet'!$B28*0.001</f>
        <v>0</v>
      </c>
      <c r="T67" s="146">
        <f>'from CP sheet'!T28*'from CP sheet'!$B28*0.001</f>
        <v>0</v>
      </c>
      <c r="U67" s="149">
        <f t="shared" si="6"/>
        <v>0</v>
      </c>
      <c r="V67" s="172">
        <f t="shared" si="7"/>
        <v>1.2940028100000001E-2</v>
      </c>
    </row>
    <row r="68" spans="3:22" ht="15.75">
      <c r="C68" s="144" t="s">
        <v>59</v>
      </c>
      <c r="D68" s="146">
        <f>'from CP sheet'!D29*'from CP sheet'!$B29*0.001</f>
        <v>4.2104999999999996E-4</v>
      </c>
      <c r="E68" s="146">
        <f>'from CP sheet'!E29*'from CP sheet'!$B29*0.001</f>
        <v>3.4503000000000002E-4</v>
      </c>
      <c r="F68" s="146">
        <f>'from CP sheet'!F29*'from CP sheet'!$B29*0.001</f>
        <v>3.8445000000000005E-4</v>
      </c>
      <c r="G68" s="149">
        <f t="shared" si="1"/>
        <v>1.1505299999999999E-3</v>
      </c>
      <c r="H68" s="146">
        <f>'from CP sheet'!H29*'from CP sheet'!$B29*0.001</f>
        <v>3.9943500000000001E-4</v>
      </c>
      <c r="I68" s="146">
        <f>'from CP sheet'!I29*'from CP sheet'!$B29*0.001</f>
        <v>0</v>
      </c>
      <c r="J68" s="146">
        <f>'from CP sheet'!J29*'from CP sheet'!$B29*0.001</f>
        <v>0</v>
      </c>
      <c r="K68" s="149">
        <f t="shared" si="2"/>
        <v>3.9943500000000001E-4</v>
      </c>
      <c r="L68" s="172">
        <f t="shared" si="3"/>
        <v>1.5499649999999999E-3</v>
      </c>
      <c r="M68" s="146">
        <f>'from CP sheet'!M29*'from CP sheet'!$B29*0.001</f>
        <v>0</v>
      </c>
      <c r="N68" s="146">
        <f>'from CP sheet'!N29*'from CP sheet'!$B29*0.001</f>
        <v>0</v>
      </c>
      <c r="O68" s="146">
        <f>'from CP sheet'!O29*'from CP sheet'!$B29*0.001</f>
        <v>0</v>
      </c>
      <c r="P68" s="149">
        <f t="shared" si="4"/>
        <v>0</v>
      </c>
      <c r="Q68" s="172">
        <f t="shared" si="5"/>
        <v>1.5499649999999999E-3</v>
      </c>
      <c r="R68" s="146">
        <f>'from CP sheet'!R29*'from CP sheet'!$B29*0.001</f>
        <v>0</v>
      </c>
      <c r="S68" s="146">
        <f>'from CP sheet'!S29*'from CP sheet'!$B29*0.001</f>
        <v>0</v>
      </c>
      <c r="T68" s="146">
        <f>'from CP sheet'!T29*'from CP sheet'!$B29*0.001</f>
        <v>0</v>
      </c>
      <c r="U68" s="149">
        <f t="shared" si="6"/>
        <v>0</v>
      </c>
      <c r="V68" s="172">
        <f t="shared" si="7"/>
        <v>1.5499649999999999E-3</v>
      </c>
    </row>
    <row r="69" spans="3:22" ht="15.75">
      <c r="C69" s="144" t="s">
        <v>63</v>
      </c>
      <c r="D69" s="146">
        <f>'from CP sheet'!D30*'from CP sheet'!$B30*0.001</f>
        <v>6.2299999999999996E-5</v>
      </c>
      <c r="E69" s="146">
        <f>'from CP sheet'!E30*'from CP sheet'!$B30*0.001</f>
        <v>7.3478999999999992E-5</v>
      </c>
      <c r="F69" s="146">
        <f>'from CP sheet'!F30*'from CP sheet'!$B30*0.001</f>
        <v>7.2107000000000006E-5</v>
      </c>
      <c r="G69" s="149">
        <f t="shared" si="1"/>
        <v>2.0788600000000001E-4</v>
      </c>
      <c r="H69" s="146">
        <f>'from CP sheet'!H30*'from CP sheet'!$B30*0.001</f>
        <v>7.4906999999999993E-5</v>
      </c>
      <c r="I69" s="146">
        <f>'from CP sheet'!I30*'from CP sheet'!$B30*0.001</f>
        <v>0</v>
      </c>
      <c r="J69" s="146">
        <f>'from CP sheet'!J30*'from CP sheet'!$B30*0.001</f>
        <v>0</v>
      </c>
      <c r="K69" s="149">
        <f t="shared" si="2"/>
        <v>7.4906999999999993E-5</v>
      </c>
      <c r="L69" s="172">
        <f t="shared" si="3"/>
        <v>2.8279299999999999E-4</v>
      </c>
      <c r="M69" s="146">
        <f>'from CP sheet'!M30*'from CP sheet'!$B30*0.001</f>
        <v>0</v>
      </c>
      <c r="N69" s="146">
        <f>'from CP sheet'!N30*'from CP sheet'!$B30*0.001</f>
        <v>0</v>
      </c>
      <c r="O69" s="146">
        <f>'from CP sheet'!O30*'from CP sheet'!$B30*0.001</f>
        <v>0</v>
      </c>
      <c r="P69" s="149">
        <f t="shared" si="4"/>
        <v>0</v>
      </c>
      <c r="Q69" s="172">
        <f t="shared" si="5"/>
        <v>2.8279299999999999E-4</v>
      </c>
      <c r="R69" s="146">
        <f>'from CP sheet'!R30*'from CP sheet'!$B30*0.001</f>
        <v>0</v>
      </c>
      <c r="S69" s="146">
        <f>'from CP sheet'!S30*'from CP sheet'!$B30*0.001</f>
        <v>0</v>
      </c>
      <c r="T69" s="146">
        <f>'from CP sheet'!T30*'from CP sheet'!$B30*0.001</f>
        <v>0</v>
      </c>
      <c r="U69" s="149">
        <f t="shared" si="6"/>
        <v>0</v>
      </c>
      <c r="V69" s="172">
        <f t="shared" si="7"/>
        <v>2.8279299999999999E-4</v>
      </c>
    </row>
    <row r="70" spans="3:22" ht="15.75">
      <c r="C70" s="144" t="s">
        <v>64</v>
      </c>
      <c r="D70" s="146">
        <f>'from CP sheet'!D31*'from CP sheet'!$B31*0.001</f>
        <v>6.6810480000000004E-4</v>
      </c>
      <c r="E70" s="146">
        <f>'from CP sheet'!E31*'from CP sheet'!$B31*0.001</f>
        <v>6.628017000000001E-4</v>
      </c>
      <c r="F70" s="146">
        <f>'from CP sheet'!F31*'from CP sheet'!$B31*0.001</f>
        <v>6.324538E-4</v>
      </c>
      <c r="G70" s="149">
        <f t="shared" si="1"/>
        <v>1.9633603E-3</v>
      </c>
      <c r="H70" s="146">
        <f>'from CP sheet'!H31*'from CP sheet'!$B31*0.001</f>
        <v>6.655462E-4</v>
      </c>
      <c r="I70" s="146">
        <f>'from CP sheet'!I31*'from CP sheet'!$B31*0.001</f>
        <v>0</v>
      </c>
      <c r="J70" s="146">
        <f>'from CP sheet'!J31*'from CP sheet'!$B31*0.001</f>
        <v>0</v>
      </c>
      <c r="K70" s="149">
        <f t="shared" si="2"/>
        <v>6.655462E-4</v>
      </c>
      <c r="L70" s="172">
        <f t="shared" si="3"/>
        <v>2.6289065E-3</v>
      </c>
      <c r="M70" s="146">
        <f>'from CP sheet'!M31*'from CP sheet'!$B31*0.001</f>
        <v>0</v>
      </c>
      <c r="N70" s="146">
        <f>'from CP sheet'!N31*'from CP sheet'!$B31*0.001</f>
        <v>0</v>
      </c>
      <c r="O70" s="146">
        <f>'from CP sheet'!O31*'from CP sheet'!$B31*0.001</f>
        <v>0</v>
      </c>
      <c r="P70" s="149">
        <f t="shared" si="4"/>
        <v>0</v>
      </c>
      <c r="Q70" s="172">
        <f t="shared" si="5"/>
        <v>2.6289065E-3</v>
      </c>
      <c r="R70" s="146">
        <f>'from CP sheet'!R31*'from CP sheet'!$B31*0.001</f>
        <v>0</v>
      </c>
      <c r="S70" s="146">
        <f>'from CP sheet'!S31*'from CP sheet'!$B31*0.001</f>
        <v>0</v>
      </c>
      <c r="T70" s="146">
        <f>'from CP sheet'!T31*'from CP sheet'!$B31*0.001</f>
        <v>0</v>
      </c>
      <c r="U70" s="149">
        <f t="shared" si="6"/>
        <v>0</v>
      </c>
      <c r="V70" s="172">
        <f t="shared" si="7"/>
        <v>2.6289065E-3</v>
      </c>
    </row>
    <row r="71" spans="3:22" ht="15.75">
      <c r="C71" s="144" t="s">
        <v>65</v>
      </c>
      <c r="D71" s="146">
        <f>'from CP sheet'!D32*'from CP sheet'!$B32*0.001</f>
        <v>1.125996E-3</v>
      </c>
      <c r="E71" s="146">
        <f>'from CP sheet'!E32*'from CP sheet'!$B32*0.001</f>
        <v>1.1509160000000001E-3</v>
      </c>
      <c r="F71" s="146">
        <f>'from CP sheet'!F32*'from CP sheet'!$B32*0.001</f>
        <v>1.0426040000000001E-3</v>
      </c>
      <c r="G71" s="149">
        <f t="shared" si="1"/>
        <v>3.3195159999999998E-3</v>
      </c>
      <c r="H71" s="146">
        <f>'from CP sheet'!H32*'from CP sheet'!$B32*0.001</f>
        <v>1.178828E-3</v>
      </c>
      <c r="I71" s="146">
        <f>'from CP sheet'!I32*'from CP sheet'!$B32*0.001</f>
        <v>0</v>
      </c>
      <c r="J71" s="146">
        <f>'from CP sheet'!J32*'from CP sheet'!$B32*0.001</f>
        <v>0</v>
      </c>
      <c r="K71" s="149">
        <f t="shared" si="2"/>
        <v>1.178828E-3</v>
      </c>
      <c r="L71" s="172">
        <f t="shared" si="3"/>
        <v>4.4983439999999996E-3</v>
      </c>
      <c r="M71" s="146">
        <f>'from CP sheet'!M32*'from CP sheet'!$B32*0.001</f>
        <v>0</v>
      </c>
      <c r="N71" s="146">
        <f>'from CP sheet'!N32*'from CP sheet'!$B32*0.001</f>
        <v>0</v>
      </c>
      <c r="O71" s="146">
        <f>'from CP sheet'!O32*'from CP sheet'!$B32*0.001</f>
        <v>0</v>
      </c>
      <c r="P71" s="149">
        <f t="shared" si="4"/>
        <v>0</v>
      </c>
      <c r="Q71" s="172">
        <f t="shared" si="5"/>
        <v>4.4983439999999996E-3</v>
      </c>
      <c r="R71" s="146">
        <f>'from CP sheet'!R32*'from CP sheet'!$B32*0.001</f>
        <v>0</v>
      </c>
      <c r="S71" s="146">
        <f>'from CP sheet'!S32*'from CP sheet'!$B32*0.001</f>
        <v>0</v>
      </c>
      <c r="T71" s="146">
        <f>'from CP sheet'!T32*'from CP sheet'!$B32*0.001</f>
        <v>0</v>
      </c>
      <c r="U71" s="149">
        <f t="shared" si="6"/>
        <v>0</v>
      </c>
      <c r="V71" s="172">
        <f t="shared" si="7"/>
        <v>4.4983439999999996E-3</v>
      </c>
    </row>
    <row r="72" spans="3:22" ht="15.75">
      <c r="C72" s="144" t="s">
        <v>66</v>
      </c>
      <c r="D72" s="146">
        <f>'from CP sheet'!D33*'from CP sheet'!$B33*0.001</f>
        <v>0</v>
      </c>
      <c r="E72" s="146">
        <f>'from CP sheet'!E33*'from CP sheet'!$B33*0.001</f>
        <v>0</v>
      </c>
      <c r="F72" s="146">
        <f>'from CP sheet'!F33*'from CP sheet'!$B33*0.001</f>
        <v>0</v>
      </c>
      <c r="G72" s="149">
        <f t="shared" si="1"/>
        <v>0</v>
      </c>
      <c r="H72" s="146">
        <f>'from CP sheet'!H33*'from CP sheet'!$B33*0.001</f>
        <v>0</v>
      </c>
      <c r="I72" s="146">
        <f>'from CP sheet'!I33*'from CP sheet'!$B33*0.001</f>
        <v>0</v>
      </c>
      <c r="J72" s="146">
        <f>'from CP sheet'!J33*'from CP sheet'!$B33*0.001</f>
        <v>0</v>
      </c>
      <c r="K72" s="149">
        <f t="shared" si="2"/>
        <v>0</v>
      </c>
      <c r="L72" s="172">
        <f t="shared" si="3"/>
        <v>0</v>
      </c>
      <c r="M72" s="146">
        <f>'from CP sheet'!M33*'from CP sheet'!$B33*0.001</f>
        <v>0</v>
      </c>
      <c r="N72" s="146">
        <f>'from CP sheet'!N33*'from CP sheet'!$B33*0.001</f>
        <v>0</v>
      </c>
      <c r="O72" s="146">
        <f>'from CP sheet'!O33*'from CP sheet'!$B33*0.001</f>
        <v>0</v>
      </c>
      <c r="P72" s="149">
        <f t="shared" si="4"/>
        <v>0</v>
      </c>
      <c r="Q72" s="172">
        <f t="shared" si="5"/>
        <v>0</v>
      </c>
      <c r="R72" s="146">
        <f>'from CP sheet'!R33*'from CP sheet'!$B33*0.001</f>
        <v>0</v>
      </c>
      <c r="S72" s="146">
        <f>'from CP sheet'!S33*'from CP sheet'!$B33*0.001</f>
        <v>0</v>
      </c>
      <c r="T72" s="146">
        <f>'from CP sheet'!T33*'from CP sheet'!$B33*0.001</f>
        <v>0</v>
      </c>
      <c r="U72" s="149">
        <f t="shared" si="6"/>
        <v>0</v>
      </c>
      <c r="V72" s="172">
        <f t="shared" si="7"/>
        <v>0</v>
      </c>
    </row>
    <row r="73" spans="3:22" ht="15.75">
      <c r="C73" s="144" t="s">
        <v>67</v>
      </c>
      <c r="D73" s="146">
        <f>'from CP sheet'!D34*'from CP sheet'!$B34*0.001</f>
        <v>0</v>
      </c>
      <c r="E73" s="146">
        <f>'from CP sheet'!E34*'from CP sheet'!$B34*0.001</f>
        <v>0</v>
      </c>
      <c r="F73" s="146">
        <f>'from CP sheet'!F34*'from CP sheet'!$B34*0.001</f>
        <v>0</v>
      </c>
      <c r="G73" s="149">
        <f t="shared" si="1"/>
        <v>0</v>
      </c>
      <c r="H73" s="146">
        <f>'from CP sheet'!H34*'from CP sheet'!$B34*0.001</f>
        <v>0</v>
      </c>
      <c r="I73" s="146">
        <f>'from CP sheet'!I34*'from CP sheet'!$B34*0.001</f>
        <v>0</v>
      </c>
      <c r="J73" s="146">
        <f>'from CP sheet'!J34*'from CP sheet'!$B34*0.001</f>
        <v>0</v>
      </c>
      <c r="K73" s="149">
        <f t="shared" si="2"/>
        <v>0</v>
      </c>
      <c r="L73" s="172">
        <f t="shared" si="3"/>
        <v>0</v>
      </c>
      <c r="M73" s="146">
        <f>'from CP sheet'!M34*'from CP sheet'!$B34*0.001</f>
        <v>0</v>
      </c>
      <c r="N73" s="146">
        <f>'from CP sheet'!N34*'from CP sheet'!$B34*0.001</f>
        <v>0</v>
      </c>
      <c r="O73" s="146">
        <f>'from CP sheet'!O34*'from CP sheet'!$B34*0.001</f>
        <v>0</v>
      </c>
      <c r="P73" s="149">
        <f t="shared" si="4"/>
        <v>0</v>
      </c>
      <c r="Q73" s="172">
        <f t="shared" si="5"/>
        <v>0</v>
      </c>
      <c r="R73" s="146">
        <f>'from CP sheet'!R34*'from CP sheet'!$B34*0.001</f>
        <v>0</v>
      </c>
      <c r="S73" s="146">
        <f>'from CP sheet'!S34*'from CP sheet'!$B34*0.001</f>
        <v>0</v>
      </c>
      <c r="T73" s="146">
        <f>'from CP sheet'!T34*'from CP sheet'!$B34*0.001</f>
        <v>0</v>
      </c>
      <c r="U73" s="149">
        <f t="shared" si="6"/>
        <v>0</v>
      </c>
      <c r="V73" s="172">
        <f t="shared" si="7"/>
        <v>0</v>
      </c>
    </row>
    <row r="74" spans="3:22" ht="15.75">
      <c r="C74" s="144" t="s">
        <v>68</v>
      </c>
      <c r="D74" s="146">
        <f>'from CP sheet'!D35*'from CP sheet'!$B35*0.001</f>
        <v>0</v>
      </c>
      <c r="E74" s="146">
        <f>'from CP sheet'!E35*'from CP sheet'!$B35*0.001</f>
        <v>0</v>
      </c>
      <c r="F74" s="146">
        <f>'from CP sheet'!F35*'from CP sheet'!$B35*0.001</f>
        <v>0</v>
      </c>
      <c r="G74" s="149">
        <f t="shared" si="1"/>
        <v>0</v>
      </c>
      <c r="H74" s="146">
        <f>'from CP sheet'!H35*'from CP sheet'!$B35*0.001</f>
        <v>0</v>
      </c>
      <c r="I74" s="146">
        <f>'from CP sheet'!I35*'from CP sheet'!$B35*0.001</f>
        <v>0</v>
      </c>
      <c r="J74" s="146">
        <f>'from CP sheet'!J35*'from CP sheet'!$B35*0.001</f>
        <v>0</v>
      </c>
      <c r="K74" s="149">
        <f t="shared" si="2"/>
        <v>0</v>
      </c>
      <c r="L74" s="172">
        <f t="shared" si="3"/>
        <v>0</v>
      </c>
      <c r="M74" s="146">
        <f>'from CP sheet'!M35*'from CP sheet'!$B35*0.001</f>
        <v>0</v>
      </c>
      <c r="N74" s="146">
        <f>'from CP sheet'!N35*'from CP sheet'!$B35*0.001</f>
        <v>0</v>
      </c>
      <c r="O74" s="146">
        <f>'from CP sheet'!O35*'from CP sheet'!$B35*0.001</f>
        <v>0</v>
      </c>
      <c r="P74" s="149">
        <f t="shared" si="4"/>
        <v>0</v>
      </c>
      <c r="Q74" s="172">
        <f t="shared" si="5"/>
        <v>0</v>
      </c>
      <c r="R74" s="146">
        <f>'from CP sheet'!R35*'from CP sheet'!$B35*0.001</f>
        <v>0</v>
      </c>
      <c r="S74" s="146">
        <f>'from CP sheet'!S35*'from CP sheet'!$B35*0.001</f>
        <v>0</v>
      </c>
      <c r="T74" s="146">
        <f>'from CP sheet'!T35*'from CP sheet'!$B35*0.001</f>
        <v>0</v>
      </c>
      <c r="U74" s="149">
        <f t="shared" si="6"/>
        <v>0</v>
      </c>
      <c r="V74" s="172">
        <f t="shared" si="7"/>
        <v>0</v>
      </c>
    </row>
    <row r="75" spans="3:22" ht="15.75">
      <c r="C75" s="144" t="s">
        <v>69</v>
      </c>
      <c r="D75" s="146">
        <f>'from CP sheet'!D36*'from CP sheet'!$B36*0.001</f>
        <v>0</v>
      </c>
      <c r="E75" s="146">
        <f>'from CP sheet'!E36*'from CP sheet'!$B36*0.001</f>
        <v>0</v>
      </c>
      <c r="F75" s="146">
        <f>'from CP sheet'!F36*'from CP sheet'!$B36*0.001</f>
        <v>0</v>
      </c>
      <c r="G75" s="149">
        <f t="shared" si="1"/>
        <v>0</v>
      </c>
      <c r="H75" s="146">
        <f>'from CP sheet'!H36*'from CP sheet'!$B36*0.001</f>
        <v>0</v>
      </c>
      <c r="I75" s="146">
        <f>'from CP sheet'!I36*'from CP sheet'!$B36*0.001</f>
        <v>0</v>
      </c>
      <c r="J75" s="146">
        <f>'from CP sheet'!J36*'from CP sheet'!$B36*0.001</f>
        <v>0</v>
      </c>
      <c r="K75" s="149">
        <f t="shared" si="2"/>
        <v>0</v>
      </c>
      <c r="L75" s="172">
        <f t="shared" si="3"/>
        <v>0</v>
      </c>
      <c r="M75" s="146">
        <f>'from CP sheet'!M36*'from CP sheet'!$B36*0.001</f>
        <v>0</v>
      </c>
      <c r="N75" s="146">
        <f>'from CP sheet'!N36*'from CP sheet'!$B36*0.001</f>
        <v>0</v>
      </c>
      <c r="O75" s="146">
        <f>'from CP sheet'!O36*'from CP sheet'!$B36*0.001</f>
        <v>0</v>
      </c>
      <c r="P75" s="149">
        <f t="shared" si="4"/>
        <v>0</v>
      </c>
      <c r="Q75" s="172">
        <f t="shared" si="5"/>
        <v>0</v>
      </c>
      <c r="R75" s="146">
        <f>'from CP sheet'!R36*'from CP sheet'!$B36*0.001</f>
        <v>0</v>
      </c>
      <c r="S75" s="146">
        <f>'from CP sheet'!S36*'from CP sheet'!$B36*0.001</f>
        <v>0</v>
      </c>
      <c r="T75" s="146">
        <f>'from CP sheet'!T36*'from CP sheet'!$B36*0.001</f>
        <v>0</v>
      </c>
      <c r="U75" s="149">
        <f t="shared" si="6"/>
        <v>0</v>
      </c>
      <c r="V75" s="172">
        <f t="shared" si="7"/>
        <v>0</v>
      </c>
    </row>
    <row r="76" spans="3:22" ht="15.75">
      <c r="C76" s="144" t="s">
        <v>70</v>
      </c>
      <c r="D76" s="146">
        <f>'from CP sheet'!D37*'from CP sheet'!$B37*0.001</f>
        <v>6.7285988100000013E-2</v>
      </c>
      <c r="E76" s="146">
        <f>'from CP sheet'!E37*'from CP sheet'!$B37*0.001</f>
        <v>7.2501600000000013E-2</v>
      </c>
      <c r="F76" s="146">
        <f>'from CP sheet'!F37*'from CP sheet'!$B37*0.001</f>
        <v>7.3707097200000002E-2</v>
      </c>
      <c r="G76" s="149">
        <f t="shared" si="1"/>
        <v>0.21349468530000004</v>
      </c>
      <c r="H76" s="146">
        <f>'from CP sheet'!H37*'from CP sheet'!$B37*0.001</f>
        <v>7.4929499199999999E-2</v>
      </c>
      <c r="I76" s="146">
        <f>'from CP sheet'!I37*'from CP sheet'!$B37*0.001</f>
        <v>0</v>
      </c>
      <c r="J76" s="146">
        <f>'from CP sheet'!J37*'from CP sheet'!$B37*0.001</f>
        <v>0</v>
      </c>
      <c r="K76" s="149">
        <f t="shared" si="2"/>
        <v>7.4929499199999999E-2</v>
      </c>
      <c r="L76" s="172">
        <f t="shared" si="3"/>
        <v>0.28842418450000007</v>
      </c>
      <c r="M76" s="146">
        <f>'from CP sheet'!M37*'from CP sheet'!$B37*0.001</f>
        <v>0</v>
      </c>
      <c r="N76" s="146">
        <f>'from CP sheet'!N37*'from CP sheet'!$B37*0.001</f>
        <v>0</v>
      </c>
      <c r="O76" s="146">
        <f>'from CP sheet'!O37*'from CP sheet'!$B37*0.001</f>
        <v>0</v>
      </c>
      <c r="P76" s="149">
        <f t="shared" si="4"/>
        <v>0</v>
      </c>
      <c r="Q76" s="172">
        <f t="shared" si="5"/>
        <v>0.28842418450000007</v>
      </c>
      <c r="R76" s="146">
        <f>'from CP sheet'!R37*'from CP sheet'!$B37*0.001</f>
        <v>0</v>
      </c>
      <c r="S76" s="146">
        <f>'from CP sheet'!S37*'from CP sheet'!$B37*0.001</f>
        <v>0</v>
      </c>
      <c r="T76" s="146">
        <f>'from CP sheet'!T37*'from CP sheet'!$B37*0.001</f>
        <v>0</v>
      </c>
      <c r="U76" s="149">
        <f t="shared" si="6"/>
        <v>0</v>
      </c>
      <c r="V76" s="172">
        <f t="shared" si="7"/>
        <v>0.28842418450000007</v>
      </c>
    </row>
    <row r="77" spans="3:22" ht="15.75">
      <c r="C77" s="144" t="s">
        <v>92</v>
      </c>
      <c r="D77" s="152">
        <f>SUM(D63:D76)</f>
        <v>0.23026622723750007</v>
      </c>
      <c r="E77" s="152">
        <f t="shared" ref="E77:V77" si="8">SUM(E63:E76)</f>
        <v>0.2290763588725</v>
      </c>
      <c r="F77" s="152">
        <f t="shared" si="8"/>
        <v>0.22091482982249999</v>
      </c>
      <c r="G77" s="153">
        <f t="shared" si="8"/>
        <v>0.68025741593250011</v>
      </c>
      <c r="H77" s="152">
        <f t="shared" si="8"/>
        <v>0.21227027598000003</v>
      </c>
      <c r="I77" s="152">
        <f t="shared" si="8"/>
        <v>0</v>
      </c>
      <c r="J77" s="152">
        <f t="shared" si="8"/>
        <v>0</v>
      </c>
      <c r="K77" s="153">
        <f t="shared" si="8"/>
        <v>0.21227027598000003</v>
      </c>
      <c r="L77" s="173">
        <f t="shared" si="8"/>
        <v>0.89252769191250036</v>
      </c>
      <c r="M77" s="152">
        <f t="shared" si="8"/>
        <v>0</v>
      </c>
      <c r="N77" s="152">
        <f t="shared" si="8"/>
        <v>0</v>
      </c>
      <c r="O77" s="152">
        <f t="shared" si="8"/>
        <v>0</v>
      </c>
      <c r="P77" s="153">
        <f t="shared" si="8"/>
        <v>0</v>
      </c>
      <c r="Q77" s="173">
        <f t="shared" si="8"/>
        <v>0.89252769191250036</v>
      </c>
      <c r="R77" s="152">
        <f t="shared" si="8"/>
        <v>0</v>
      </c>
      <c r="S77" s="152">
        <f t="shared" si="8"/>
        <v>0</v>
      </c>
      <c r="T77" s="152">
        <f t="shared" si="8"/>
        <v>0</v>
      </c>
      <c r="U77" s="153">
        <f t="shared" si="8"/>
        <v>0</v>
      </c>
      <c r="V77" s="173">
        <f t="shared" si="8"/>
        <v>0.89252769191250036</v>
      </c>
    </row>
    <row r="82" spans="3:22">
      <c r="C82" s="1170" t="s">
        <v>3</v>
      </c>
      <c r="D82" s="1170"/>
      <c r="E82" s="1170"/>
      <c r="F82" s="1170"/>
      <c r="G82" s="1170"/>
      <c r="H82" s="1170"/>
      <c r="I82" s="1170"/>
      <c r="J82" s="1170"/>
      <c r="K82" s="1170"/>
      <c r="L82" s="1170"/>
      <c r="M82" s="1170"/>
      <c r="N82" s="1170"/>
      <c r="O82" s="1170"/>
      <c r="P82" s="1170"/>
      <c r="Q82" s="1170"/>
      <c r="R82" s="1170"/>
      <c r="S82" s="1170"/>
      <c r="T82" s="1170"/>
      <c r="U82" s="1170"/>
      <c r="V82" s="1170"/>
    </row>
    <row r="83" spans="3:22">
      <c r="C83" s="144"/>
      <c r="D83" s="144" t="s">
        <v>30</v>
      </c>
      <c r="E83" s="144" t="s">
        <v>71</v>
      </c>
      <c r="F83" s="144" t="s">
        <v>72</v>
      </c>
      <c r="G83" s="154" t="s">
        <v>82</v>
      </c>
      <c r="H83" s="144" t="s">
        <v>73</v>
      </c>
      <c r="I83" s="144" t="s">
        <v>74</v>
      </c>
      <c r="J83" s="144" t="s">
        <v>75</v>
      </c>
      <c r="K83" s="154" t="s">
        <v>83</v>
      </c>
      <c r="L83" s="156" t="s">
        <v>39</v>
      </c>
      <c r="M83" s="144" t="s">
        <v>76</v>
      </c>
      <c r="N83" s="144" t="s">
        <v>77</v>
      </c>
      <c r="O83" s="144" t="s">
        <v>78</v>
      </c>
      <c r="P83" s="154" t="s">
        <v>84</v>
      </c>
      <c r="Q83" s="156" t="s">
        <v>85</v>
      </c>
      <c r="R83" s="144" t="s">
        <v>79</v>
      </c>
      <c r="S83" s="144" t="s">
        <v>80</v>
      </c>
      <c r="T83" s="144" t="s">
        <v>81</v>
      </c>
      <c r="U83" s="154" t="s">
        <v>86</v>
      </c>
      <c r="V83" s="156" t="s">
        <v>87</v>
      </c>
    </row>
    <row r="84" spans="3:22" ht="15.75">
      <c r="C84" s="144" t="s">
        <v>60</v>
      </c>
      <c r="D84" s="147">
        <f t="shared" ref="D84:V84" si="9">D44+D63</f>
        <v>0.21322805252999999</v>
      </c>
      <c r="E84" s="147">
        <f t="shared" si="9"/>
        <v>0.20772096796</v>
      </c>
      <c r="F84" s="147">
        <f t="shared" si="9"/>
        <v>0.1797166</v>
      </c>
      <c r="G84" s="155">
        <f t="shared" si="9"/>
        <v>0.60066562049000005</v>
      </c>
      <c r="H84" s="147">
        <f t="shared" si="9"/>
        <v>0.20410865341000001</v>
      </c>
      <c r="I84" s="147">
        <f t="shared" si="9"/>
        <v>0</v>
      </c>
      <c r="J84" s="147">
        <f t="shared" si="9"/>
        <v>0</v>
      </c>
      <c r="K84" s="155">
        <f t="shared" si="9"/>
        <v>0.20410865341000001</v>
      </c>
      <c r="L84" s="157">
        <f t="shared" si="9"/>
        <v>0.8047742739</v>
      </c>
      <c r="M84" s="147">
        <f t="shared" si="9"/>
        <v>0</v>
      </c>
      <c r="N84" s="147">
        <f t="shared" si="9"/>
        <v>0</v>
      </c>
      <c r="O84" s="147">
        <f t="shared" si="9"/>
        <v>0</v>
      </c>
      <c r="P84" s="155">
        <f t="shared" si="9"/>
        <v>0</v>
      </c>
      <c r="Q84" s="157">
        <f t="shared" si="9"/>
        <v>0.8047742739</v>
      </c>
      <c r="R84" s="147">
        <f t="shared" si="9"/>
        <v>0</v>
      </c>
      <c r="S84" s="147">
        <f t="shared" si="9"/>
        <v>0</v>
      </c>
      <c r="T84" s="147">
        <f t="shared" si="9"/>
        <v>0</v>
      </c>
      <c r="U84" s="155">
        <f t="shared" si="9"/>
        <v>0</v>
      </c>
      <c r="V84" s="157">
        <f t="shared" si="9"/>
        <v>0.8047742739</v>
      </c>
    </row>
    <row r="85" spans="3:22" ht="15.75">
      <c r="C85" s="144" t="s">
        <v>61</v>
      </c>
      <c r="D85" s="147">
        <f t="shared" ref="D85:V85" si="10">D45+D64</f>
        <v>0.24099663665999999</v>
      </c>
      <c r="E85" s="147">
        <f t="shared" si="10"/>
        <v>0.24862833606000001</v>
      </c>
      <c r="F85" s="147">
        <f t="shared" si="10"/>
        <v>0.23908778506</v>
      </c>
      <c r="G85" s="155">
        <f t="shared" si="10"/>
        <v>0.72871275778</v>
      </c>
      <c r="H85" s="147">
        <f t="shared" si="10"/>
        <v>0.24057610251</v>
      </c>
      <c r="I85" s="147">
        <f t="shared" si="10"/>
        <v>0</v>
      </c>
      <c r="J85" s="147">
        <f t="shared" si="10"/>
        <v>0</v>
      </c>
      <c r="K85" s="155">
        <f t="shared" si="10"/>
        <v>0.24057610251</v>
      </c>
      <c r="L85" s="157">
        <f t="shared" si="10"/>
        <v>0.96928886029000005</v>
      </c>
      <c r="M85" s="147">
        <f t="shared" si="10"/>
        <v>0</v>
      </c>
      <c r="N85" s="147">
        <f t="shared" si="10"/>
        <v>0</v>
      </c>
      <c r="O85" s="147">
        <f t="shared" si="10"/>
        <v>0</v>
      </c>
      <c r="P85" s="155">
        <f t="shared" si="10"/>
        <v>0</v>
      </c>
      <c r="Q85" s="157">
        <f t="shared" si="10"/>
        <v>0.96928886029000005</v>
      </c>
      <c r="R85" s="147">
        <f t="shared" si="10"/>
        <v>0</v>
      </c>
      <c r="S85" s="147">
        <f t="shared" si="10"/>
        <v>0</v>
      </c>
      <c r="T85" s="147">
        <f t="shared" si="10"/>
        <v>0</v>
      </c>
      <c r="U85" s="155">
        <f t="shared" si="10"/>
        <v>0</v>
      </c>
      <c r="V85" s="157">
        <f t="shared" si="10"/>
        <v>0.96928886029000005</v>
      </c>
    </row>
    <row r="86" spans="3:22" ht="15.75">
      <c r="C86" s="144" t="s">
        <v>62</v>
      </c>
      <c r="D86" s="147">
        <f t="shared" ref="D86:V86" si="11">D46+D65</f>
        <v>1.5996250030000003E-2</v>
      </c>
      <c r="E86" s="147">
        <f t="shared" si="11"/>
        <v>1.50260199E-2</v>
      </c>
      <c r="F86" s="147">
        <f t="shared" si="11"/>
        <v>1.5523970010000001E-2</v>
      </c>
      <c r="G86" s="155">
        <f t="shared" si="11"/>
        <v>4.6546239940000005E-2</v>
      </c>
      <c r="H86" s="147">
        <f t="shared" si="11"/>
        <v>1.5153050060000001E-2</v>
      </c>
      <c r="I86" s="147">
        <f t="shared" si="11"/>
        <v>0</v>
      </c>
      <c r="J86" s="147">
        <f t="shared" si="11"/>
        <v>0</v>
      </c>
      <c r="K86" s="155">
        <f t="shared" si="11"/>
        <v>1.5153050060000001E-2</v>
      </c>
      <c r="L86" s="157">
        <f t="shared" si="11"/>
        <v>6.1699290000000004E-2</v>
      </c>
      <c r="M86" s="147">
        <f t="shared" si="11"/>
        <v>0</v>
      </c>
      <c r="N86" s="147">
        <f t="shared" si="11"/>
        <v>0</v>
      </c>
      <c r="O86" s="147">
        <f t="shared" si="11"/>
        <v>0</v>
      </c>
      <c r="P86" s="155">
        <f t="shared" si="11"/>
        <v>0</v>
      </c>
      <c r="Q86" s="157">
        <f t="shared" si="11"/>
        <v>6.1699290000000004E-2</v>
      </c>
      <c r="R86" s="147">
        <f t="shared" si="11"/>
        <v>0</v>
      </c>
      <c r="S86" s="147">
        <f t="shared" si="11"/>
        <v>0</v>
      </c>
      <c r="T86" s="147">
        <f t="shared" si="11"/>
        <v>0</v>
      </c>
      <c r="U86" s="155">
        <f t="shared" si="11"/>
        <v>0</v>
      </c>
      <c r="V86" s="157">
        <f t="shared" si="11"/>
        <v>6.1699290000000004E-2</v>
      </c>
    </row>
    <row r="87" spans="3:22" ht="15.75">
      <c r="C87" s="144" t="s">
        <v>57</v>
      </c>
      <c r="D87" s="147">
        <f t="shared" ref="D87:V87" si="12">D47+D66</f>
        <v>5.06369825375E-2</v>
      </c>
      <c r="E87" s="147">
        <f t="shared" si="12"/>
        <v>5.1278721102499994E-2</v>
      </c>
      <c r="F87" s="147">
        <f t="shared" si="12"/>
        <v>4.9227993312499996E-2</v>
      </c>
      <c r="G87" s="155">
        <f t="shared" si="12"/>
        <v>0.15114369695250002</v>
      </c>
      <c r="H87" s="147">
        <f t="shared" si="12"/>
        <v>4.7012464680000005E-2</v>
      </c>
      <c r="I87" s="147">
        <f t="shared" si="12"/>
        <v>0</v>
      </c>
      <c r="J87" s="147">
        <f t="shared" si="12"/>
        <v>0</v>
      </c>
      <c r="K87" s="155">
        <f t="shared" si="12"/>
        <v>4.7012464680000005E-2</v>
      </c>
      <c r="L87" s="157">
        <f t="shared" si="12"/>
        <v>0.19815616163249999</v>
      </c>
      <c r="M87" s="147">
        <f t="shared" si="12"/>
        <v>0</v>
      </c>
      <c r="N87" s="147">
        <f t="shared" si="12"/>
        <v>0</v>
      </c>
      <c r="O87" s="147">
        <f t="shared" si="12"/>
        <v>0</v>
      </c>
      <c r="P87" s="155">
        <f t="shared" si="12"/>
        <v>0</v>
      </c>
      <c r="Q87" s="157">
        <f t="shared" si="12"/>
        <v>0.19815616163249999</v>
      </c>
      <c r="R87" s="147">
        <f t="shared" si="12"/>
        <v>0</v>
      </c>
      <c r="S87" s="147">
        <f t="shared" si="12"/>
        <v>0</v>
      </c>
      <c r="T87" s="147">
        <f t="shared" si="12"/>
        <v>0</v>
      </c>
      <c r="U87" s="155">
        <f t="shared" si="12"/>
        <v>0</v>
      </c>
      <c r="V87" s="157">
        <f t="shared" si="12"/>
        <v>0.19815616163249999</v>
      </c>
    </row>
    <row r="88" spans="3:22" ht="15.75">
      <c r="C88" s="144" t="s">
        <v>58</v>
      </c>
      <c r="D88" s="147">
        <f t="shared" ref="D88:V88" si="13">D48+D67</f>
        <v>4.6870919970000001E-2</v>
      </c>
      <c r="E88" s="147">
        <f t="shared" si="13"/>
        <v>3.9796633259999999E-2</v>
      </c>
      <c r="F88" s="147">
        <f t="shared" si="13"/>
        <v>4.3001822690000004E-2</v>
      </c>
      <c r="G88" s="155">
        <f t="shared" si="13"/>
        <v>0.12966937592</v>
      </c>
      <c r="H88" s="147">
        <f t="shared" si="13"/>
        <v>3.6873109429999995E-2</v>
      </c>
      <c r="I88" s="147">
        <f t="shared" si="13"/>
        <v>0</v>
      </c>
      <c r="J88" s="147">
        <f t="shared" si="13"/>
        <v>0</v>
      </c>
      <c r="K88" s="155">
        <f t="shared" si="13"/>
        <v>3.6873109429999995E-2</v>
      </c>
      <c r="L88" s="157">
        <f t="shared" si="13"/>
        <v>0.16654248534999999</v>
      </c>
      <c r="M88" s="147">
        <f t="shared" si="13"/>
        <v>0</v>
      </c>
      <c r="N88" s="147">
        <f t="shared" si="13"/>
        <v>0</v>
      </c>
      <c r="O88" s="147">
        <f t="shared" si="13"/>
        <v>0</v>
      </c>
      <c r="P88" s="155">
        <f t="shared" si="13"/>
        <v>0</v>
      </c>
      <c r="Q88" s="157">
        <f t="shared" si="13"/>
        <v>0.16654248534999999</v>
      </c>
      <c r="R88" s="147">
        <f t="shared" si="13"/>
        <v>0</v>
      </c>
      <c r="S88" s="147">
        <f t="shared" si="13"/>
        <v>0</v>
      </c>
      <c r="T88" s="147">
        <f t="shared" si="13"/>
        <v>0</v>
      </c>
      <c r="U88" s="155">
        <f t="shared" si="13"/>
        <v>0</v>
      </c>
      <c r="V88" s="157">
        <f t="shared" si="13"/>
        <v>0.16654248534999999</v>
      </c>
    </row>
    <row r="89" spans="3:22" ht="15.75">
      <c r="C89" s="144" t="s">
        <v>59</v>
      </c>
      <c r="D89" s="147">
        <f t="shared" ref="D89:V89" si="14">D49+D68</f>
        <v>1.0338050009999999E-2</v>
      </c>
      <c r="E89" s="147">
        <f t="shared" si="14"/>
        <v>1.0518029999999999E-2</v>
      </c>
      <c r="F89" s="147">
        <f t="shared" si="14"/>
        <v>1.099345E-2</v>
      </c>
      <c r="G89" s="155">
        <f t="shared" si="14"/>
        <v>3.1849530010000002E-2</v>
      </c>
      <c r="H89" s="147">
        <f t="shared" si="14"/>
        <v>1.153843498E-2</v>
      </c>
      <c r="I89" s="147">
        <f t="shared" si="14"/>
        <v>0</v>
      </c>
      <c r="J89" s="147">
        <f t="shared" si="14"/>
        <v>0</v>
      </c>
      <c r="K89" s="155">
        <f t="shared" si="14"/>
        <v>1.153843498E-2</v>
      </c>
      <c r="L89" s="157">
        <f t="shared" si="14"/>
        <v>4.338796499E-2</v>
      </c>
      <c r="M89" s="147">
        <f t="shared" si="14"/>
        <v>0</v>
      </c>
      <c r="N89" s="147">
        <f t="shared" si="14"/>
        <v>0</v>
      </c>
      <c r="O89" s="147">
        <f t="shared" si="14"/>
        <v>0</v>
      </c>
      <c r="P89" s="155">
        <f t="shared" si="14"/>
        <v>0</v>
      </c>
      <c r="Q89" s="157">
        <f t="shared" si="14"/>
        <v>4.338796499E-2</v>
      </c>
      <c r="R89" s="147">
        <f t="shared" si="14"/>
        <v>0</v>
      </c>
      <c r="S89" s="147">
        <f t="shared" si="14"/>
        <v>0</v>
      </c>
      <c r="T89" s="147">
        <f t="shared" si="14"/>
        <v>0</v>
      </c>
      <c r="U89" s="155">
        <f t="shared" si="14"/>
        <v>0</v>
      </c>
      <c r="V89" s="157">
        <f t="shared" si="14"/>
        <v>4.338796499E-2</v>
      </c>
    </row>
    <row r="90" spans="3:22" ht="15.75">
      <c r="C90" s="144" t="s">
        <v>63</v>
      </c>
      <c r="D90" s="147">
        <f t="shared" ref="D90:V90" si="15">D50+D69</f>
        <v>5.2073700040000004E-2</v>
      </c>
      <c r="E90" s="147">
        <f t="shared" si="15"/>
        <v>6.3960379040000001E-2</v>
      </c>
      <c r="F90" s="147">
        <f t="shared" si="15"/>
        <v>6.063680699E-2</v>
      </c>
      <c r="G90" s="155">
        <f t="shared" si="15"/>
        <v>0.17667088607</v>
      </c>
      <c r="H90" s="147">
        <f t="shared" si="15"/>
        <v>6.0400907010000005E-2</v>
      </c>
      <c r="I90" s="147">
        <f t="shared" si="15"/>
        <v>0</v>
      </c>
      <c r="J90" s="147">
        <f t="shared" si="15"/>
        <v>0</v>
      </c>
      <c r="K90" s="155">
        <f t="shared" si="15"/>
        <v>6.0400907010000005E-2</v>
      </c>
      <c r="L90" s="157">
        <f t="shared" si="15"/>
        <v>0.23707179308000004</v>
      </c>
      <c r="M90" s="147">
        <f t="shared" si="15"/>
        <v>0</v>
      </c>
      <c r="N90" s="147">
        <f t="shared" si="15"/>
        <v>0</v>
      </c>
      <c r="O90" s="147">
        <f t="shared" si="15"/>
        <v>0</v>
      </c>
      <c r="P90" s="155">
        <f t="shared" si="15"/>
        <v>0</v>
      </c>
      <c r="Q90" s="157">
        <f t="shared" si="15"/>
        <v>0.23707179308000004</v>
      </c>
      <c r="R90" s="147">
        <f t="shared" si="15"/>
        <v>0</v>
      </c>
      <c r="S90" s="147">
        <f t="shared" si="15"/>
        <v>0</v>
      </c>
      <c r="T90" s="147">
        <f t="shared" si="15"/>
        <v>0</v>
      </c>
      <c r="U90" s="155">
        <f t="shared" si="15"/>
        <v>0</v>
      </c>
      <c r="V90" s="157">
        <f t="shared" si="15"/>
        <v>0.23707179308000004</v>
      </c>
    </row>
    <row r="91" spans="3:22" ht="15.75">
      <c r="C91" s="144" t="s">
        <v>64</v>
      </c>
      <c r="D91" s="147">
        <f t="shared" ref="D91:V91" si="16">D51+D70</f>
        <v>4.3822438200000003E-3</v>
      </c>
      <c r="E91" s="147">
        <f t="shared" si="16"/>
        <v>4.4619266899999996E-3</v>
      </c>
      <c r="F91" s="147">
        <f t="shared" si="16"/>
        <v>4.3181413399999997E-3</v>
      </c>
      <c r="G91" s="155">
        <f t="shared" si="16"/>
        <v>1.3162311849999999E-2</v>
      </c>
      <c r="H91" s="147">
        <f t="shared" si="16"/>
        <v>4.4661695299999995E-3</v>
      </c>
      <c r="I91" s="147">
        <f t="shared" si="16"/>
        <v>0</v>
      </c>
      <c r="J91" s="147">
        <f t="shared" si="16"/>
        <v>0</v>
      </c>
      <c r="K91" s="155">
        <f t="shared" si="16"/>
        <v>4.4661695299999995E-3</v>
      </c>
      <c r="L91" s="157">
        <f t="shared" si="16"/>
        <v>1.7628481379999998E-2</v>
      </c>
      <c r="M91" s="147">
        <f t="shared" si="16"/>
        <v>0</v>
      </c>
      <c r="N91" s="147">
        <f t="shared" si="16"/>
        <v>0</v>
      </c>
      <c r="O91" s="147">
        <f t="shared" si="16"/>
        <v>0</v>
      </c>
      <c r="P91" s="155">
        <f t="shared" si="16"/>
        <v>0</v>
      </c>
      <c r="Q91" s="157">
        <f t="shared" si="16"/>
        <v>1.7628481379999998E-2</v>
      </c>
      <c r="R91" s="147">
        <f t="shared" si="16"/>
        <v>0</v>
      </c>
      <c r="S91" s="147">
        <f t="shared" si="16"/>
        <v>0</v>
      </c>
      <c r="T91" s="147">
        <f t="shared" si="16"/>
        <v>0</v>
      </c>
      <c r="U91" s="155">
        <f t="shared" si="16"/>
        <v>0</v>
      </c>
      <c r="V91" s="157">
        <f t="shared" si="16"/>
        <v>1.7628481379999998E-2</v>
      </c>
    </row>
    <row r="92" spans="3:22" ht="15.75">
      <c r="C92" s="144" t="s">
        <v>65</v>
      </c>
      <c r="D92" s="147">
        <f t="shared" ref="D92:V92" si="17">D52+D71</f>
        <v>9.03466801E-3</v>
      </c>
      <c r="E92" s="147">
        <f t="shared" si="17"/>
        <v>1.131469039E-2</v>
      </c>
      <c r="F92" s="147">
        <f t="shared" si="17"/>
        <v>1.1346039980000002E-2</v>
      </c>
      <c r="G92" s="155">
        <f t="shared" si="17"/>
        <v>3.1695398380000003E-2</v>
      </c>
      <c r="H92" s="147">
        <f t="shared" si="17"/>
        <v>1.193943601E-2</v>
      </c>
      <c r="I92" s="147">
        <f t="shared" si="17"/>
        <v>0</v>
      </c>
      <c r="J92" s="147">
        <f t="shared" si="17"/>
        <v>0</v>
      </c>
      <c r="K92" s="155">
        <f t="shared" si="17"/>
        <v>1.193943601E-2</v>
      </c>
      <c r="L92" s="157">
        <f t="shared" si="17"/>
        <v>4.3634834390000009E-2</v>
      </c>
      <c r="M92" s="147">
        <f t="shared" si="17"/>
        <v>0</v>
      </c>
      <c r="N92" s="147">
        <f t="shared" si="17"/>
        <v>0</v>
      </c>
      <c r="O92" s="147">
        <f t="shared" si="17"/>
        <v>0</v>
      </c>
      <c r="P92" s="155">
        <f t="shared" si="17"/>
        <v>0</v>
      </c>
      <c r="Q92" s="157">
        <f t="shared" si="17"/>
        <v>4.3634834390000009E-2</v>
      </c>
      <c r="R92" s="147">
        <f t="shared" si="17"/>
        <v>0</v>
      </c>
      <c r="S92" s="147">
        <f t="shared" si="17"/>
        <v>0</v>
      </c>
      <c r="T92" s="147">
        <f t="shared" si="17"/>
        <v>0</v>
      </c>
      <c r="U92" s="155">
        <f t="shared" si="17"/>
        <v>0</v>
      </c>
      <c r="V92" s="157">
        <f t="shared" si="17"/>
        <v>4.3634834390000009E-2</v>
      </c>
    </row>
    <row r="93" spans="3:22" ht="15.75">
      <c r="C93" s="144" t="s">
        <v>66</v>
      </c>
      <c r="D93" s="147">
        <f t="shared" ref="D93:V93" si="18">D53+D72</f>
        <v>3.7880162729999993E-2</v>
      </c>
      <c r="E93" s="147">
        <f t="shared" si="18"/>
        <v>4.3939039980000004E-2</v>
      </c>
      <c r="F93" s="147">
        <f t="shared" si="18"/>
        <v>6.7232908140000006E-2</v>
      </c>
      <c r="G93" s="155">
        <f t="shared" si="18"/>
        <v>0.14905211085</v>
      </c>
      <c r="H93" s="147">
        <f t="shared" si="18"/>
        <v>5.373759056E-2</v>
      </c>
      <c r="I93" s="147">
        <f t="shared" si="18"/>
        <v>0</v>
      </c>
      <c r="J93" s="147">
        <f t="shared" si="18"/>
        <v>0</v>
      </c>
      <c r="K93" s="155">
        <f t="shared" si="18"/>
        <v>5.373759056E-2</v>
      </c>
      <c r="L93" s="157">
        <f t="shared" si="18"/>
        <v>0.20278970140999997</v>
      </c>
      <c r="M93" s="147">
        <f t="shared" si="18"/>
        <v>0</v>
      </c>
      <c r="N93" s="147">
        <f t="shared" si="18"/>
        <v>0</v>
      </c>
      <c r="O93" s="147">
        <f t="shared" si="18"/>
        <v>0</v>
      </c>
      <c r="P93" s="155">
        <f t="shared" si="18"/>
        <v>0</v>
      </c>
      <c r="Q93" s="157">
        <f t="shared" si="18"/>
        <v>0.20278970140999997</v>
      </c>
      <c r="R93" s="147">
        <f t="shared" si="18"/>
        <v>0</v>
      </c>
      <c r="S93" s="147">
        <f t="shared" si="18"/>
        <v>0</v>
      </c>
      <c r="T93" s="147">
        <f t="shared" si="18"/>
        <v>0</v>
      </c>
      <c r="U93" s="155">
        <f t="shared" si="18"/>
        <v>0</v>
      </c>
      <c r="V93" s="157">
        <f t="shared" si="18"/>
        <v>0.20278970140999997</v>
      </c>
    </row>
    <row r="94" spans="3:22" ht="15.75">
      <c r="C94" s="144" t="s">
        <v>67</v>
      </c>
      <c r="D94" s="147">
        <f t="shared" ref="D94:V94" si="19">D54+D73</f>
        <v>5.5202705499999997E-2</v>
      </c>
      <c r="E94" s="147">
        <f t="shared" si="19"/>
        <v>5.6746643770000001E-2</v>
      </c>
      <c r="F94" s="147">
        <f t="shared" si="19"/>
        <v>5.2356369749999999E-2</v>
      </c>
      <c r="G94" s="155">
        <f t="shared" si="19"/>
        <v>0.16430571902000002</v>
      </c>
      <c r="H94" s="147">
        <f t="shared" si="19"/>
        <v>5.9382431499999999E-2</v>
      </c>
      <c r="I94" s="147">
        <f t="shared" si="19"/>
        <v>0</v>
      </c>
      <c r="J94" s="147">
        <f t="shared" si="19"/>
        <v>0</v>
      </c>
      <c r="K94" s="155">
        <f t="shared" si="19"/>
        <v>5.9382431499999999E-2</v>
      </c>
      <c r="L94" s="157">
        <f t="shared" si="19"/>
        <v>0.22368815052000002</v>
      </c>
      <c r="M94" s="147">
        <f t="shared" si="19"/>
        <v>0</v>
      </c>
      <c r="N94" s="147">
        <f t="shared" si="19"/>
        <v>0</v>
      </c>
      <c r="O94" s="147">
        <f t="shared" si="19"/>
        <v>0</v>
      </c>
      <c r="P94" s="155">
        <f t="shared" si="19"/>
        <v>0</v>
      </c>
      <c r="Q94" s="157">
        <f t="shared" si="19"/>
        <v>0.22368815052000002</v>
      </c>
      <c r="R94" s="147">
        <f t="shared" si="19"/>
        <v>0</v>
      </c>
      <c r="S94" s="147">
        <f t="shared" si="19"/>
        <v>0</v>
      </c>
      <c r="T94" s="147">
        <f t="shared" si="19"/>
        <v>0</v>
      </c>
      <c r="U94" s="155">
        <f t="shared" si="19"/>
        <v>0</v>
      </c>
      <c r="V94" s="157">
        <f t="shared" si="19"/>
        <v>0.22368815052000002</v>
      </c>
    </row>
    <row r="95" spans="3:22" ht="15.75">
      <c r="C95" s="144" t="s">
        <v>68</v>
      </c>
      <c r="D95" s="147">
        <f t="shared" ref="D95:V95" si="20">D55+D74</f>
        <v>1.3986185030000001E-2</v>
      </c>
      <c r="E95" s="147">
        <f t="shared" si="20"/>
        <v>1.3515676359999999E-2</v>
      </c>
      <c r="F95" s="147">
        <f t="shared" si="20"/>
        <v>1.305914622E-2</v>
      </c>
      <c r="G95" s="155">
        <f t="shared" si="20"/>
        <v>4.0561007609999998E-2</v>
      </c>
      <c r="H95" s="147">
        <f t="shared" si="20"/>
        <v>1.3115272300000001E-2</v>
      </c>
      <c r="I95" s="147">
        <f t="shared" si="20"/>
        <v>0</v>
      </c>
      <c r="J95" s="147">
        <f t="shared" si="20"/>
        <v>0</v>
      </c>
      <c r="K95" s="155">
        <f t="shared" si="20"/>
        <v>1.3115272300000001E-2</v>
      </c>
      <c r="L95" s="157">
        <f t="shared" si="20"/>
        <v>5.3676279909999999E-2</v>
      </c>
      <c r="M95" s="147">
        <f t="shared" si="20"/>
        <v>0</v>
      </c>
      <c r="N95" s="147">
        <f t="shared" si="20"/>
        <v>0</v>
      </c>
      <c r="O95" s="147">
        <f t="shared" si="20"/>
        <v>0</v>
      </c>
      <c r="P95" s="155">
        <f t="shared" si="20"/>
        <v>0</v>
      </c>
      <c r="Q95" s="157">
        <f t="shared" si="20"/>
        <v>5.3676279909999999E-2</v>
      </c>
      <c r="R95" s="147">
        <f t="shared" si="20"/>
        <v>0</v>
      </c>
      <c r="S95" s="147">
        <f t="shared" si="20"/>
        <v>0</v>
      </c>
      <c r="T95" s="147">
        <f t="shared" si="20"/>
        <v>0</v>
      </c>
      <c r="U95" s="155">
        <f t="shared" si="20"/>
        <v>0</v>
      </c>
      <c r="V95" s="157">
        <f t="shared" si="20"/>
        <v>5.3676279909999999E-2</v>
      </c>
    </row>
    <row r="96" spans="3:22" ht="15.75">
      <c r="C96" s="144" t="s">
        <v>69</v>
      </c>
      <c r="D96" s="147">
        <f t="shared" ref="D96:V96" si="21">D56+D75</f>
        <v>0</v>
      </c>
      <c r="E96" s="147">
        <f t="shared" si="21"/>
        <v>0</v>
      </c>
      <c r="F96" s="147">
        <f t="shared" si="21"/>
        <v>0</v>
      </c>
      <c r="G96" s="155">
        <f t="shared" si="21"/>
        <v>0</v>
      </c>
      <c r="H96" s="147">
        <f t="shared" si="21"/>
        <v>0</v>
      </c>
      <c r="I96" s="147">
        <f t="shared" si="21"/>
        <v>0</v>
      </c>
      <c r="J96" s="147">
        <f t="shared" si="21"/>
        <v>0</v>
      </c>
      <c r="K96" s="155">
        <f t="shared" si="21"/>
        <v>0</v>
      </c>
      <c r="L96" s="157">
        <f t="shared" si="21"/>
        <v>0</v>
      </c>
      <c r="M96" s="147">
        <f t="shared" si="21"/>
        <v>0</v>
      </c>
      <c r="N96" s="147">
        <f t="shared" si="21"/>
        <v>0</v>
      </c>
      <c r="O96" s="147">
        <f t="shared" si="21"/>
        <v>0</v>
      </c>
      <c r="P96" s="155">
        <f t="shared" si="21"/>
        <v>0</v>
      </c>
      <c r="Q96" s="157">
        <f t="shared" si="21"/>
        <v>0</v>
      </c>
      <c r="R96" s="147">
        <f t="shared" si="21"/>
        <v>0</v>
      </c>
      <c r="S96" s="147">
        <f t="shared" si="21"/>
        <v>0</v>
      </c>
      <c r="T96" s="147">
        <f t="shared" si="21"/>
        <v>0</v>
      </c>
      <c r="U96" s="155">
        <f t="shared" si="21"/>
        <v>0</v>
      </c>
      <c r="V96" s="157">
        <f t="shared" si="21"/>
        <v>0</v>
      </c>
    </row>
    <row r="97" spans="3:22" ht="15.75">
      <c r="C97" s="144" t="s">
        <v>70</v>
      </c>
      <c r="D97" s="147">
        <f t="shared" ref="D97:V97" si="22">D57+D76</f>
        <v>6.7285988100000013E-2</v>
      </c>
      <c r="E97" s="147">
        <f t="shared" si="22"/>
        <v>7.2501600000000013E-2</v>
      </c>
      <c r="F97" s="147">
        <f t="shared" si="22"/>
        <v>7.3707097200000002E-2</v>
      </c>
      <c r="G97" s="155">
        <f t="shared" si="22"/>
        <v>0.21349468530000004</v>
      </c>
      <c r="H97" s="147">
        <f t="shared" si="22"/>
        <v>7.4929499199999999E-2</v>
      </c>
      <c r="I97" s="147">
        <f t="shared" si="22"/>
        <v>0</v>
      </c>
      <c r="J97" s="147">
        <f t="shared" si="22"/>
        <v>0</v>
      </c>
      <c r="K97" s="155">
        <f t="shared" si="22"/>
        <v>7.4929499199999999E-2</v>
      </c>
      <c r="L97" s="157">
        <f t="shared" si="22"/>
        <v>0.28842418450000007</v>
      </c>
      <c r="M97" s="147">
        <f t="shared" si="22"/>
        <v>0</v>
      </c>
      <c r="N97" s="147">
        <f t="shared" si="22"/>
        <v>0</v>
      </c>
      <c r="O97" s="147">
        <f t="shared" si="22"/>
        <v>0</v>
      </c>
      <c r="P97" s="155">
        <f t="shared" si="22"/>
        <v>0</v>
      </c>
      <c r="Q97" s="157">
        <f t="shared" si="22"/>
        <v>0.28842418450000007</v>
      </c>
      <c r="R97" s="147">
        <f t="shared" si="22"/>
        <v>0</v>
      </c>
      <c r="S97" s="147">
        <f t="shared" si="22"/>
        <v>0</v>
      </c>
      <c r="T97" s="147">
        <f t="shared" si="22"/>
        <v>0</v>
      </c>
      <c r="U97" s="155">
        <f t="shared" si="22"/>
        <v>0</v>
      </c>
      <c r="V97" s="157">
        <f t="shared" si="22"/>
        <v>0.28842418450000007</v>
      </c>
    </row>
    <row r="98" spans="3:22" ht="15.75">
      <c r="C98" s="145" t="s">
        <v>92</v>
      </c>
      <c r="D98" s="158">
        <f>SUM(D84:D97)</f>
        <v>0.81791254496749988</v>
      </c>
      <c r="E98" s="158">
        <f t="shared" ref="E98:V98" si="23">SUM(E84:E97)</f>
        <v>0.83940866451250007</v>
      </c>
      <c r="F98" s="158">
        <f t="shared" si="23"/>
        <v>0.82020813069250009</v>
      </c>
      <c r="G98" s="159">
        <f t="shared" si="23"/>
        <v>2.4775293401725</v>
      </c>
      <c r="H98" s="158">
        <f t="shared" si="23"/>
        <v>0.83323312118000004</v>
      </c>
      <c r="I98" s="158">
        <f t="shared" si="23"/>
        <v>0</v>
      </c>
      <c r="J98" s="158">
        <f t="shared" si="23"/>
        <v>0</v>
      </c>
      <c r="K98" s="159">
        <f t="shared" si="23"/>
        <v>0.83323312118000004</v>
      </c>
      <c r="L98" s="160">
        <f t="shared" si="23"/>
        <v>3.3107624613525002</v>
      </c>
      <c r="M98" s="158">
        <f t="shared" si="23"/>
        <v>0</v>
      </c>
      <c r="N98" s="158">
        <f t="shared" si="23"/>
        <v>0</v>
      </c>
      <c r="O98" s="158">
        <f t="shared" si="23"/>
        <v>0</v>
      </c>
      <c r="P98" s="159">
        <f t="shared" si="23"/>
        <v>0</v>
      </c>
      <c r="Q98" s="160">
        <f t="shared" si="23"/>
        <v>3.3107624613525002</v>
      </c>
      <c r="R98" s="158">
        <f t="shared" si="23"/>
        <v>0</v>
      </c>
      <c r="S98" s="158">
        <f t="shared" si="23"/>
        <v>0</v>
      </c>
      <c r="T98" s="158">
        <f t="shared" si="23"/>
        <v>0</v>
      </c>
      <c r="U98" s="159">
        <f t="shared" si="23"/>
        <v>0</v>
      </c>
      <c r="V98" s="160">
        <f t="shared" si="23"/>
        <v>3.3107624613525002</v>
      </c>
    </row>
    <row r="101" spans="3:22">
      <c r="C101" s="1110" t="s">
        <v>103</v>
      </c>
      <c r="D101" s="1111"/>
      <c r="E101" s="1111"/>
      <c r="F101" s="1111"/>
      <c r="G101" s="1111"/>
      <c r="H101" s="1111"/>
      <c r="I101" s="1111"/>
      <c r="J101" s="1111"/>
      <c r="K101" s="1111"/>
      <c r="L101" s="1111"/>
      <c r="M101" s="1111"/>
      <c r="N101" s="1111"/>
      <c r="O101" s="1111"/>
      <c r="P101" s="1111"/>
      <c r="Q101" s="1111"/>
      <c r="R101" s="1111"/>
      <c r="S101" s="1111"/>
      <c r="T101" s="1111"/>
      <c r="U101" s="1111"/>
      <c r="V101" s="1112"/>
    </row>
    <row r="102" spans="3:22">
      <c r="C102" s="144"/>
      <c r="D102" s="144" t="s">
        <v>30</v>
      </c>
      <c r="E102" s="144" t="s">
        <v>71</v>
      </c>
      <c r="F102" s="144" t="s">
        <v>72</v>
      </c>
      <c r="G102" s="142" t="s">
        <v>82</v>
      </c>
      <c r="H102" s="144" t="s">
        <v>73</v>
      </c>
      <c r="I102" s="144" t="s">
        <v>74</v>
      </c>
      <c r="J102" s="144" t="s">
        <v>75</v>
      </c>
      <c r="K102" s="142" t="s">
        <v>83</v>
      </c>
      <c r="L102" s="166" t="s">
        <v>39</v>
      </c>
      <c r="M102" s="144" t="s">
        <v>76</v>
      </c>
      <c r="N102" s="144" t="s">
        <v>77</v>
      </c>
      <c r="O102" s="144" t="s">
        <v>78</v>
      </c>
      <c r="P102" s="142" t="s">
        <v>84</v>
      </c>
      <c r="Q102" s="166" t="s">
        <v>85</v>
      </c>
      <c r="R102" s="144" t="s">
        <v>79</v>
      </c>
      <c r="S102" s="144" t="s">
        <v>80</v>
      </c>
      <c r="T102" s="144" t="s">
        <v>81</v>
      </c>
      <c r="U102" s="142" t="s">
        <v>86</v>
      </c>
      <c r="V102" s="168" t="s">
        <v>87</v>
      </c>
    </row>
    <row r="103" spans="3:22" ht="15.75">
      <c r="C103" s="144" t="s">
        <v>60</v>
      </c>
      <c r="D103" s="141">
        <f>'from CP sheet'!D6*'from CP sheet'!$B6</f>
        <v>1135223.8</v>
      </c>
      <c r="E103" s="141">
        <f>'from CP sheet'!E6*'from CP sheet'!$B6</f>
        <v>1142426.200002</v>
      </c>
      <c r="F103" s="141">
        <f>'from CP sheet'!F6*'from CP sheet'!$B6</f>
        <v>1015176.6000040001</v>
      </c>
      <c r="G103" s="143">
        <f>D103+E103+F103</f>
        <v>3292826.6000060001</v>
      </c>
      <c r="H103" s="141">
        <f>'from CP sheet'!H6*'from CP sheet'!$B6</f>
        <v>1161021.6388000001</v>
      </c>
      <c r="I103" s="141">
        <f>'from CP sheet'!I6*'from CP sheet'!$B6</f>
        <v>0</v>
      </c>
      <c r="J103" s="141">
        <f>'from CP sheet'!J6*'from CP sheet'!$B6</f>
        <v>0</v>
      </c>
      <c r="K103" s="143">
        <f>H103+I103+J103</f>
        <v>1161021.6388000001</v>
      </c>
      <c r="L103" s="167">
        <f>G103+K103</f>
        <v>4453848.238806</v>
      </c>
      <c r="M103" s="141">
        <f>'from CP sheet'!M6*'from CP sheet'!$B6</f>
        <v>0</v>
      </c>
      <c r="N103" s="141">
        <f>'from CP sheet'!N6*'from CP sheet'!$B6</f>
        <v>0</v>
      </c>
      <c r="O103" s="141">
        <f>'from CP sheet'!O6*'from CP sheet'!$B6</f>
        <v>0</v>
      </c>
      <c r="P103" s="143">
        <f>M103+N103+O103</f>
        <v>0</v>
      </c>
      <c r="Q103" s="167">
        <f>L103+P103</f>
        <v>4453848.238806</v>
      </c>
      <c r="R103" s="141">
        <f>'from CP sheet'!R6*'from CP sheet'!$B6</f>
        <v>0</v>
      </c>
      <c r="S103" s="141">
        <f>'from CP sheet'!S6*'from CP sheet'!$B6</f>
        <v>0</v>
      </c>
      <c r="T103" s="141">
        <f>'from CP sheet'!T6*'from CP sheet'!$B6</f>
        <v>0</v>
      </c>
      <c r="U103" s="143">
        <f>R103+S103+T103</f>
        <v>0</v>
      </c>
      <c r="V103" s="169">
        <f>Q103+U103</f>
        <v>4453848.238806</v>
      </c>
    </row>
    <row r="104" spans="3:22" ht="15.75">
      <c r="C104" s="144" t="s">
        <v>61</v>
      </c>
      <c r="D104" s="141">
        <f>'from CP sheet'!D7*'from CP sheet'!$B7</f>
        <v>1214250.3698026</v>
      </c>
      <c r="E104" s="141">
        <f>'from CP sheet'!E7*'from CP sheet'!$B7</f>
        <v>1253706.4038251999</v>
      </c>
      <c r="F104" s="141">
        <f>'from CP sheet'!F7*'from CP sheet'!$B7</f>
        <v>1210675.9719574</v>
      </c>
      <c r="G104" s="143">
        <f t="shared" ref="G104:G115" si="24">D104+E104+F104</f>
        <v>3678632.7455851999</v>
      </c>
      <c r="H104" s="141">
        <f>'from CP sheet'!H7*'from CP sheet'!$B7</f>
        <v>1259891.4369625999</v>
      </c>
      <c r="I104" s="141">
        <f>'from CP sheet'!I7*'from CP sheet'!$B7</f>
        <v>0</v>
      </c>
      <c r="J104" s="141">
        <f>'from CP sheet'!J7*'from CP sheet'!$B7</f>
        <v>0</v>
      </c>
      <c r="K104" s="143">
        <f t="shared" ref="K104:K115" si="25">H104+I104+J104</f>
        <v>1259891.4369625999</v>
      </c>
      <c r="L104" s="167">
        <f t="shared" ref="L104:L116" si="26">G104+K104</f>
        <v>4938524.1825478002</v>
      </c>
      <c r="M104" s="141">
        <f>'from CP sheet'!M7*'from CP sheet'!$B7</f>
        <v>0</v>
      </c>
      <c r="N104" s="141">
        <f>'from CP sheet'!N7*'from CP sheet'!$B7</f>
        <v>0</v>
      </c>
      <c r="O104" s="141">
        <f>'from CP sheet'!O7*'from CP sheet'!$B7</f>
        <v>0</v>
      </c>
      <c r="P104" s="143">
        <f t="shared" ref="P104:P115" si="27">M104+N104+O104</f>
        <v>0</v>
      </c>
      <c r="Q104" s="167">
        <f t="shared" ref="Q104:Q116" si="28">L104+P104</f>
        <v>4938524.1825478002</v>
      </c>
      <c r="R104" s="141">
        <f>'from CP sheet'!R7*'from CP sheet'!$B7</f>
        <v>0</v>
      </c>
      <c r="S104" s="141">
        <f>'from CP sheet'!S7*'from CP sheet'!$B7</f>
        <v>0</v>
      </c>
      <c r="T104" s="141">
        <f>'from CP sheet'!T7*'from CP sheet'!$B7</f>
        <v>0</v>
      </c>
      <c r="U104" s="143">
        <f t="shared" ref="U104:U115" si="29">R104+S104+T104</f>
        <v>0</v>
      </c>
      <c r="V104" s="169">
        <f t="shared" ref="V104:V116" si="30">Q104+U104</f>
        <v>4938524.1825478002</v>
      </c>
    </row>
    <row r="105" spans="3:22" ht="15.75">
      <c r="C105" s="144" t="s">
        <v>62</v>
      </c>
      <c r="D105" s="141">
        <f>'from CP sheet'!D8*'from CP sheet'!$B8</f>
        <v>59015</v>
      </c>
      <c r="E105" s="141">
        <f>'from CP sheet'!E8*'from CP sheet'!$B8</f>
        <v>57934.999940000002</v>
      </c>
      <c r="F105" s="141">
        <f>'from CP sheet'!F8*'from CP sheet'!$B8</f>
        <v>59303</v>
      </c>
      <c r="G105" s="143">
        <f t="shared" si="24"/>
        <v>176252.99994000001</v>
      </c>
      <c r="H105" s="141">
        <f>'from CP sheet'!H8*'from CP sheet'!$B8</f>
        <v>59302.999969999997</v>
      </c>
      <c r="I105" s="141">
        <f>'from CP sheet'!I8*'from CP sheet'!$B8</f>
        <v>0</v>
      </c>
      <c r="J105" s="141">
        <f>'from CP sheet'!J8*'from CP sheet'!$B8</f>
        <v>0</v>
      </c>
      <c r="K105" s="143">
        <f t="shared" si="25"/>
        <v>59302.999969999997</v>
      </c>
      <c r="L105" s="167">
        <f t="shared" si="26"/>
        <v>235555.99991000001</v>
      </c>
      <c r="M105" s="141">
        <f>'from CP sheet'!M8*'from CP sheet'!$B8</f>
        <v>0</v>
      </c>
      <c r="N105" s="141">
        <f>'from CP sheet'!N8*'from CP sheet'!$B8</f>
        <v>0</v>
      </c>
      <c r="O105" s="141">
        <f>'from CP sheet'!O8*'from CP sheet'!$B8</f>
        <v>0</v>
      </c>
      <c r="P105" s="143">
        <f t="shared" si="27"/>
        <v>0</v>
      </c>
      <c r="Q105" s="167">
        <f t="shared" si="28"/>
        <v>235555.99991000001</v>
      </c>
      <c r="R105" s="141">
        <f>'from CP sheet'!R8*'from CP sheet'!$B8</f>
        <v>0</v>
      </c>
      <c r="S105" s="141">
        <f>'from CP sheet'!S8*'from CP sheet'!$B8</f>
        <v>0</v>
      </c>
      <c r="T105" s="141">
        <f>'from CP sheet'!T8*'from CP sheet'!$B8</f>
        <v>0</v>
      </c>
      <c r="U105" s="143">
        <f t="shared" si="29"/>
        <v>0</v>
      </c>
      <c r="V105" s="169">
        <f t="shared" si="30"/>
        <v>235555.99991000001</v>
      </c>
    </row>
    <row r="106" spans="3:22" ht="15.75">
      <c r="C106" s="144" t="s">
        <v>57</v>
      </c>
      <c r="D106" s="141">
        <f>'from CP sheet'!D9*'from CP sheet'!$B9</f>
        <v>282481.84575000004</v>
      </c>
      <c r="E106" s="141">
        <f>'from CP sheet'!E9*'from CP sheet'!$B9</f>
        <v>288702.12149970751</v>
      </c>
      <c r="F106" s="141">
        <f>'from CP sheet'!F9*'from CP sheet'!$B9</f>
        <v>283077.96075146255</v>
      </c>
      <c r="G106" s="143">
        <f t="shared" si="24"/>
        <v>854261.92800117005</v>
      </c>
      <c r="H106" s="141">
        <f>'from CP sheet'!H9*'from CP sheet'!$B9</f>
        <v>293231.60100263252</v>
      </c>
      <c r="I106" s="141">
        <f>'from CP sheet'!I9*'from CP sheet'!$B9</f>
        <v>0</v>
      </c>
      <c r="J106" s="141">
        <f>'from CP sheet'!J9*'from CP sheet'!$B9</f>
        <v>0</v>
      </c>
      <c r="K106" s="143">
        <f t="shared" si="25"/>
        <v>293231.60100263252</v>
      </c>
      <c r="L106" s="167">
        <f t="shared" si="26"/>
        <v>1147493.5290038027</v>
      </c>
      <c r="M106" s="141">
        <f>'from CP sheet'!M9*'from CP sheet'!$B9</f>
        <v>0</v>
      </c>
      <c r="N106" s="141">
        <f>'from CP sheet'!N9*'from CP sheet'!$A9</f>
        <v>0</v>
      </c>
      <c r="O106" s="141">
        <f>'from CP sheet'!O9*'from CP sheet'!$A9</f>
        <v>0</v>
      </c>
      <c r="P106" s="143">
        <f t="shared" si="27"/>
        <v>0</v>
      </c>
      <c r="Q106" s="167">
        <f t="shared" si="28"/>
        <v>1147493.5290038027</v>
      </c>
      <c r="R106" s="141">
        <f>'from CP sheet'!R9*'from CP sheet'!$A9</f>
        <v>0</v>
      </c>
      <c r="S106" s="141">
        <f>'from CP sheet'!S9*'from CP sheet'!$A9</f>
        <v>0</v>
      </c>
      <c r="T106" s="141">
        <f>'from CP sheet'!T9*'from CP sheet'!$A9</f>
        <v>0</v>
      </c>
      <c r="U106" s="143">
        <f t="shared" si="29"/>
        <v>0</v>
      </c>
      <c r="V106" s="169">
        <f t="shared" si="30"/>
        <v>1147493.5290038027</v>
      </c>
    </row>
    <row r="107" spans="3:22" ht="15.75">
      <c r="C107" s="144" t="s">
        <v>58</v>
      </c>
      <c r="D107" s="141">
        <f>'from CP sheet'!D10*'from CP sheet'!$B10</f>
        <v>287920.84500810003</v>
      </c>
      <c r="E107" s="141">
        <f>'from CP sheet'!E10*'from CP sheet'!$B10</f>
        <v>234560.37510540002</v>
      </c>
      <c r="F107" s="141">
        <f>'from CP sheet'!F10*'from CP sheet'!$B10</f>
        <v>261467.39790810001</v>
      </c>
      <c r="G107" s="143">
        <f t="shared" si="24"/>
        <v>783948.61802160006</v>
      </c>
      <c r="H107" s="141">
        <f>'from CP sheet'!H10*'from CP sheet'!$B10</f>
        <v>225156.78000269999</v>
      </c>
      <c r="I107" s="141">
        <f>'from CP sheet'!I10*'from CP sheet'!$B10</f>
        <v>0</v>
      </c>
      <c r="J107" s="141">
        <f>'from CP sheet'!J10*'from CP sheet'!$B10</f>
        <v>0</v>
      </c>
      <c r="K107" s="143">
        <f t="shared" si="25"/>
        <v>225156.78000269999</v>
      </c>
      <c r="L107" s="167">
        <f t="shared" si="26"/>
        <v>1009105.3980243001</v>
      </c>
      <c r="M107" s="141">
        <f>'from CP sheet'!M10*'from CP sheet'!$B10</f>
        <v>0</v>
      </c>
      <c r="N107" s="141">
        <f>'from CP sheet'!N10*'from CP sheet'!$B10</f>
        <v>0</v>
      </c>
      <c r="O107" s="163">
        <f>'from CP sheet'!O10*'from CP sheet'!$B10</f>
        <v>0</v>
      </c>
      <c r="P107" s="143">
        <f t="shared" si="27"/>
        <v>0</v>
      </c>
      <c r="Q107" s="167">
        <f t="shared" si="28"/>
        <v>1009105.3980243001</v>
      </c>
      <c r="R107" s="141">
        <f>'from CP sheet'!R10*'from CP sheet'!$B10</f>
        <v>0</v>
      </c>
      <c r="S107" s="141">
        <f>'from CP sheet'!S10*'from CP sheet'!$B10</f>
        <v>0</v>
      </c>
      <c r="T107" s="141">
        <f>'from CP sheet'!T10*'from CP sheet'!$B10</f>
        <v>0</v>
      </c>
      <c r="U107" s="143">
        <f t="shared" si="29"/>
        <v>0</v>
      </c>
      <c r="V107" s="169">
        <f t="shared" si="30"/>
        <v>1009105.3980243001</v>
      </c>
    </row>
    <row r="108" spans="3:22" ht="15.75">
      <c r="C108" s="144" t="s">
        <v>59</v>
      </c>
      <c r="D108" s="141">
        <f>'from CP sheet'!D11*'from CP sheet'!$B11</f>
        <v>67238.499995000006</v>
      </c>
      <c r="E108" s="141">
        <f>'from CP sheet'!E11*'from CP sheet'!$B11</f>
        <v>68971.500004999994</v>
      </c>
      <c r="F108" s="141">
        <f>'from CP sheet'!F11*'from CP sheet'!$B11</f>
        <v>71929.5</v>
      </c>
      <c r="G108" s="143">
        <f t="shared" si="24"/>
        <v>208139.5</v>
      </c>
      <c r="H108" s="141">
        <f>'from CP sheet'!H11*'from CP sheet'!$B11</f>
        <v>75523.5</v>
      </c>
      <c r="I108" s="141">
        <f>'from CP sheet'!I11*'from CP sheet'!$B11</f>
        <v>0</v>
      </c>
      <c r="J108" s="141">
        <f>'from CP sheet'!J11*'from CP sheet'!$B11</f>
        <v>0</v>
      </c>
      <c r="K108" s="143">
        <f t="shared" si="25"/>
        <v>75523.5</v>
      </c>
      <c r="L108" s="167">
        <f t="shared" si="26"/>
        <v>283663</v>
      </c>
      <c r="M108" s="141">
        <f>'from CP sheet'!M11*'from CP sheet'!$B11</f>
        <v>0</v>
      </c>
      <c r="N108" s="141">
        <f>'from CP sheet'!N11*'from CP sheet'!$B11</f>
        <v>0</v>
      </c>
      <c r="O108" s="141">
        <f>'from CP sheet'!O11*'from CP sheet'!$B11</f>
        <v>0</v>
      </c>
      <c r="P108" s="143">
        <f t="shared" si="27"/>
        <v>0</v>
      </c>
      <c r="Q108" s="167">
        <f t="shared" si="28"/>
        <v>283663</v>
      </c>
      <c r="R108" s="141">
        <f>'from CP sheet'!R11*'from CP sheet'!$B11</f>
        <v>0</v>
      </c>
      <c r="S108" s="141">
        <f>'from CP sheet'!S11*'from CP sheet'!$B11</f>
        <v>0</v>
      </c>
      <c r="T108" s="141">
        <f>'from CP sheet'!T11*'from CP sheet'!$B11</f>
        <v>0</v>
      </c>
      <c r="U108" s="143">
        <f t="shared" si="29"/>
        <v>0</v>
      </c>
      <c r="V108" s="169">
        <f t="shared" si="30"/>
        <v>283663</v>
      </c>
    </row>
    <row r="109" spans="3:22" ht="15.75">
      <c r="C109" s="144" t="s">
        <v>63</v>
      </c>
      <c r="D109" s="141">
        <f>'from CP sheet'!D12*'from CP sheet'!$B12</f>
        <v>383680.50002099999</v>
      </c>
      <c r="E109" s="141">
        <f>'from CP sheet'!E12*'from CP sheet'!$B12</f>
        <v>471471.69999999995</v>
      </c>
      <c r="F109" s="141">
        <f>'from CP sheet'!F12*'from CP sheet'!$B12</f>
        <v>446848.49997899996</v>
      </c>
      <c r="G109" s="143">
        <f t="shared" si="24"/>
        <v>1302000.6999999997</v>
      </c>
      <c r="H109" s="141">
        <f>'from CP sheet'!H12*'from CP sheet'!$B12</f>
        <v>454496.00001399999</v>
      </c>
      <c r="I109" s="141">
        <f>'from CP sheet'!I12*'from CP sheet'!$B12</f>
        <v>0</v>
      </c>
      <c r="J109" s="141">
        <f>'from CP sheet'!J12*'from CP sheet'!$B12</f>
        <v>0</v>
      </c>
      <c r="K109" s="143">
        <f t="shared" si="25"/>
        <v>454496.00001399999</v>
      </c>
      <c r="L109" s="167">
        <f t="shared" si="26"/>
        <v>1756496.7000139998</v>
      </c>
      <c r="M109" s="141">
        <f>'from CP sheet'!M12*'from CP sheet'!$B12</f>
        <v>0</v>
      </c>
      <c r="N109" s="141">
        <f>'from CP sheet'!N12*'from CP sheet'!$B12</f>
        <v>0</v>
      </c>
      <c r="O109" s="141">
        <f>'from CP sheet'!O12*'from CP sheet'!$B12</f>
        <v>0</v>
      </c>
      <c r="P109" s="143">
        <f t="shared" si="27"/>
        <v>0</v>
      </c>
      <c r="Q109" s="167">
        <f t="shared" si="28"/>
        <v>1756496.7000139998</v>
      </c>
      <c r="R109" s="141">
        <f>'from CP sheet'!R12*'from CP sheet'!$B12</f>
        <v>0</v>
      </c>
      <c r="S109" s="141">
        <f>'from CP sheet'!S12*'from CP sheet'!$B12</f>
        <v>0</v>
      </c>
      <c r="T109" s="141">
        <f>'from CP sheet'!T12*'from CP sheet'!$B12</f>
        <v>0</v>
      </c>
      <c r="U109" s="143">
        <f t="shared" si="29"/>
        <v>0</v>
      </c>
      <c r="V109" s="169">
        <f t="shared" si="30"/>
        <v>1756496.7000139998</v>
      </c>
    </row>
    <row r="110" spans="3:22" ht="15.75">
      <c r="C110" s="144" t="s">
        <v>64</v>
      </c>
      <c r="D110" s="141">
        <f>'from CP sheet'!D13*'from CP sheet'!$B13</f>
        <v>23176.229997800001</v>
      </c>
      <c r="E110" s="141">
        <f>'from CP sheet'!E13*'from CP sheet'!$B13</f>
        <v>23706.5399989</v>
      </c>
      <c r="F110" s="141">
        <f>'from CP sheet'!F13*'from CP sheet'!$B13</f>
        <v>22998.6899978</v>
      </c>
      <c r="G110" s="143">
        <f t="shared" si="24"/>
        <v>69881.459994500008</v>
      </c>
      <c r="H110" s="141">
        <f>'from CP sheet'!H13*'from CP sheet'!$B13</f>
        <v>23715.89</v>
      </c>
      <c r="I110" s="141">
        <f>'from CP sheet'!I13*'from CP sheet'!$B13</f>
        <v>0</v>
      </c>
      <c r="J110" s="141">
        <f>'from CP sheet'!J13*'from CP sheet'!$B13</f>
        <v>0</v>
      </c>
      <c r="K110" s="143">
        <f t="shared" si="25"/>
        <v>23715.89</v>
      </c>
      <c r="L110" s="167">
        <f t="shared" si="26"/>
        <v>93597.349994500008</v>
      </c>
      <c r="M110" s="141">
        <f>'from CP sheet'!M13*'from CP sheet'!$B13</f>
        <v>0</v>
      </c>
      <c r="N110" s="141">
        <f>'from CP sheet'!N13*'from CP sheet'!$B13</f>
        <v>0</v>
      </c>
      <c r="O110" s="141">
        <f>'from CP sheet'!O13*'from CP sheet'!$B13</f>
        <v>0</v>
      </c>
      <c r="P110" s="143">
        <f t="shared" si="27"/>
        <v>0</v>
      </c>
      <c r="Q110" s="167">
        <f t="shared" si="28"/>
        <v>93597.349994500008</v>
      </c>
      <c r="R110" s="141">
        <f>'from CP sheet'!R13*'from CP sheet'!$B13</f>
        <v>0</v>
      </c>
      <c r="S110" s="141">
        <f>'from CP sheet'!S13*'from CP sheet'!$B13</f>
        <v>0</v>
      </c>
      <c r="T110" s="141">
        <f>'from CP sheet'!T13*'from CP sheet'!$B13</f>
        <v>0</v>
      </c>
      <c r="U110" s="143">
        <f t="shared" si="29"/>
        <v>0</v>
      </c>
      <c r="V110" s="169">
        <f t="shared" si="30"/>
        <v>93597.349994500008</v>
      </c>
    </row>
    <row r="111" spans="3:22" ht="15.75">
      <c r="C111" s="144" t="s">
        <v>65</v>
      </c>
      <c r="D111" s="141">
        <f>'from CP sheet'!D14*'from CP sheet'!$B14</f>
        <v>51960.000004000001</v>
      </c>
      <c r="E111" s="141">
        <f>'from CP sheet'!E14*'from CP sheet'!$B14</f>
        <v>66776.000008000003</v>
      </c>
      <c r="F111" s="141">
        <f>'from CP sheet'!F14*'from CP sheet'!$B14</f>
        <v>67693.599996000004</v>
      </c>
      <c r="G111" s="143">
        <f t="shared" si="24"/>
        <v>186429.60000800001</v>
      </c>
      <c r="H111" s="141">
        <f>'from CP sheet'!H14*'from CP sheet'!$B14</f>
        <v>70697.200008</v>
      </c>
      <c r="I111" s="141">
        <f>'from CP sheet'!I14*'from CP sheet'!$B14</f>
        <v>0</v>
      </c>
      <c r="J111" s="141">
        <f>'from CP sheet'!J14*'from CP sheet'!$B14</f>
        <v>0</v>
      </c>
      <c r="K111" s="143">
        <f t="shared" si="25"/>
        <v>70697.200008</v>
      </c>
      <c r="L111" s="167">
        <f t="shared" si="26"/>
        <v>257126.80001599999</v>
      </c>
      <c r="M111" s="141">
        <f>'from CP sheet'!M14*'from CP sheet'!$B14</f>
        <v>0</v>
      </c>
      <c r="N111" s="141">
        <f>'from CP sheet'!N14*'from CP sheet'!$B14</f>
        <v>0</v>
      </c>
      <c r="O111" s="141">
        <f>'from CP sheet'!O14*'from CP sheet'!$B14</f>
        <v>0</v>
      </c>
      <c r="P111" s="143">
        <f t="shared" si="27"/>
        <v>0</v>
      </c>
      <c r="Q111" s="167">
        <f t="shared" si="28"/>
        <v>257126.80001599999</v>
      </c>
      <c r="R111" s="141">
        <f>'from CP sheet'!R14*'from CP sheet'!$B14</f>
        <v>0</v>
      </c>
      <c r="S111" s="141">
        <f>'from CP sheet'!S14*'from CP sheet'!$B14</f>
        <v>0</v>
      </c>
      <c r="T111" s="141">
        <f>'from CP sheet'!T14*'from CP sheet'!$B14</f>
        <v>0</v>
      </c>
      <c r="U111" s="143">
        <f t="shared" si="29"/>
        <v>0</v>
      </c>
      <c r="V111" s="169">
        <f t="shared" si="30"/>
        <v>257126.80001599999</v>
      </c>
    </row>
    <row r="112" spans="3:22" ht="15.75">
      <c r="C112" s="144" t="s">
        <v>66</v>
      </c>
      <c r="D112" s="141">
        <f>'from CP sheet'!D15*'from CP sheet'!$B15</f>
        <v>288646.84000000003</v>
      </c>
      <c r="E112" s="141">
        <f>'from CP sheet'!E15*'from CP sheet'!$B15</f>
        <v>334815.35999960004</v>
      </c>
      <c r="F112" s="141">
        <f>'from CP sheet'!F15*'from CP sheet'!$B15</f>
        <v>512314.76</v>
      </c>
      <c r="G112" s="143">
        <f t="shared" si="24"/>
        <v>1135776.9599996</v>
      </c>
      <c r="H112" s="141">
        <f>'from CP sheet'!H15*'from CP sheet'!$B15</f>
        <v>409480.43999920005</v>
      </c>
      <c r="I112" s="141">
        <f>'from CP sheet'!I15*'from CP sheet'!$B15</f>
        <v>0</v>
      </c>
      <c r="J112" s="141">
        <f>'from CP sheet'!J15*'from CP sheet'!$B15</f>
        <v>0</v>
      </c>
      <c r="K112" s="143">
        <f t="shared" si="25"/>
        <v>409480.43999920005</v>
      </c>
      <c r="L112" s="167">
        <f t="shared" si="26"/>
        <v>1545257.3999987999</v>
      </c>
      <c r="M112" s="141">
        <f>'from CP sheet'!M15*'from CP sheet'!$B15</f>
        <v>0</v>
      </c>
      <c r="N112" s="141">
        <f>'from CP sheet'!N15*'from CP sheet'!$B15</f>
        <v>0</v>
      </c>
      <c r="O112" s="141">
        <f>'from CP sheet'!O15*'from CP sheet'!$B15</f>
        <v>0</v>
      </c>
      <c r="P112" s="143">
        <f t="shared" si="27"/>
        <v>0</v>
      </c>
      <c r="Q112" s="167">
        <f t="shared" si="28"/>
        <v>1545257.3999987999</v>
      </c>
      <c r="R112" s="141">
        <f>'from CP sheet'!R15*'from CP sheet'!$B15</f>
        <v>0</v>
      </c>
      <c r="S112" s="141">
        <f>'from CP sheet'!S15*'from CP sheet'!$B15</f>
        <v>0</v>
      </c>
      <c r="T112" s="141">
        <f>'from CP sheet'!T15*'from CP sheet'!$B15</f>
        <v>0</v>
      </c>
      <c r="U112" s="143">
        <f t="shared" si="29"/>
        <v>0</v>
      </c>
      <c r="V112" s="169">
        <f t="shared" si="30"/>
        <v>1545257.3999987999</v>
      </c>
    </row>
    <row r="113" spans="3:24" ht="15.75">
      <c r="C113" s="144" t="s">
        <v>67</v>
      </c>
      <c r="D113" s="141">
        <f>'from CP sheet'!D16*'from CP sheet'!$B16</f>
        <v>402979.74999749998</v>
      </c>
      <c r="E113" s="141">
        <f>'from CP sheet'!E16*'from CP sheet'!$B16</f>
        <v>414250.49999749998</v>
      </c>
      <c r="F113" s="141">
        <f>'from CP sheet'!F16*'from CP sheet'!$B16</f>
        <v>382201.5000075</v>
      </c>
      <c r="G113" s="143">
        <f t="shared" si="24"/>
        <v>1199431.7500024999</v>
      </c>
      <c r="H113" s="141">
        <f>'from CP sheet'!H16*'from CP sheet'!$B16</f>
        <v>433491.75001000002</v>
      </c>
      <c r="I113" s="141">
        <f>'from CP sheet'!I16*'from CP sheet'!$B16</f>
        <v>0</v>
      </c>
      <c r="J113" s="141">
        <f>'from CP sheet'!J16*'from CP sheet'!$B16</f>
        <v>0</v>
      </c>
      <c r="K113" s="143">
        <f t="shared" si="25"/>
        <v>433491.75001000002</v>
      </c>
      <c r="L113" s="167">
        <f t="shared" si="26"/>
        <v>1632923.5000125</v>
      </c>
      <c r="M113" s="141">
        <f>'from CP sheet'!M16*'from CP sheet'!$B16</f>
        <v>0</v>
      </c>
      <c r="N113" s="141">
        <f>'from CP sheet'!N16*'from CP sheet'!$B16</f>
        <v>0</v>
      </c>
      <c r="O113" s="141">
        <f>'from CP sheet'!O16*'from CP sheet'!$B16</f>
        <v>0</v>
      </c>
      <c r="P113" s="143">
        <f t="shared" si="27"/>
        <v>0</v>
      </c>
      <c r="Q113" s="167">
        <f t="shared" si="28"/>
        <v>1632923.5000125</v>
      </c>
      <c r="R113" s="141">
        <f>'from CP sheet'!R16*'from CP sheet'!$B16</f>
        <v>0</v>
      </c>
      <c r="S113" s="141">
        <f>'from CP sheet'!S16*'from CP sheet'!$B16</f>
        <v>0</v>
      </c>
      <c r="T113" s="141">
        <f>'from CP sheet'!T16*'from CP sheet'!$B16</f>
        <v>0</v>
      </c>
      <c r="U113" s="143">
        <f t="shared" si="29"/>
        <v>0</v>
      </c>
      <c r="V113" s="169">
        <f t="shared" si="30"/>
        <v>1632923.5000125</v>
      </c>
    </row>
    <row r="114" spans="3:24" ht="15.75">
      <c r="C114" s="144" t="s">
        <v>68</v>
      </c>
      <c r="D114" s="141">
        <f>'from CP sheet'!D17*'from CP sheet'!$B17</f>
        <v>95106.057497587492</v>
      </c>
      <c r="E114" s="141">
        <f>'from CP sheet'!E17*'from CP sheet'!$B17</f>
        <v>91906.600002412495</v>
      </c>
      <c r="F114" s="141">
        <f>'from CP sheet'!F17*'from CP sheet'!$B17</f>
        <v>88802.195004824986</v>
      </c>
      <c r="G114" s="143">
        <f t="shared" si="24"/>
        <v>275814.85250482499</v>
      </c>
      <c r="H114" s="141">
        <f>'from CP sheet'!H17*'from CP sheet'!$B17</f>
        <v>89183.852504824987</v>
      </c>
      <c r="I114" s="141">
        <f>'from CP sheet'!I17*'from CP sheet'!$B17</f>
        <v>0</v>
      </c>
      <c r="J114" s="141">
        <f>'from CP sheet'!J17*'from CP sheet'!$B17</f>
        <v>0</v>
      </c>
      <c r="K114" s="143">
        <f t="shared" si="25"/>
        <v>89183.852504824987</v>
      </c>
      <c r="L114" s="167">
        <f t="shared" si="26"/>
        <v>364998.70500964997</v>
      </c>
      <c r="M114" s="141">
        <f>'from CP sheet'!M17*'from CP sheet'!$B17</f>
        <v>0</v>
      </c>
      <c r="N114" s="141">
        <f>'from CP sheet'!N17*'from CP sheet'!$B17</f>
        <v>0</v>
      </c>
      <c r="O114" s="141">
        <f>'from CP sheet'!O17*'from CP sheet'!$B17</f>
        <v>0</v>
      </c>
      <c r="P114" s="143">
        <f t="shared" si="27"/>
        <v>0</v>
      </c>
      <c r="Q114" s="167">
        <f t="shared" si="28"/>
        <v>364998.70500964997</v>
      </c>
      <c r="R114" s="141">
        <f>'from CP sheet'!R17*'from CP sheet'!$B17</f>
        <v>0</v>
      </c>
      <c r="S114" s="141">
        <f>'from CP sheet'!S17*'from CP sheet'!$B17</f>
        <v>0</v>
      </c>
      <c r="T114" s="141">
        <f>'from CP sheet'!T17*'from CP sheet'!$B17</f>
        <v>0</v>
      </c>
      <c r="U114" s="143">
        <f t="shared" si="29"/>
        <v>0</v>
      </c>
      <c r="V114" s="169">
        <f t="shared" si="30"/>
        <v>364998.70500964997</v>
      </c>
    </row>
    <row r="115" spans="3:24" ht="15.75">
      <c r="C115" s="144" t="s">
        <v>69</v>
      </c>
      <c r="D115" s="141">
        <f>'from CP sheet'!D18*'from CP sheet'!$B18</f>
        <v>0</v>
      </c>
      <c r="E115" s="141">
        <f>'from CP sheet'!E18*'from CP sheet'!$B18</f>
        <v>0</v>
      </c>
      <c r="F115" s="141">
        <f>'from CP sheet'!F18*'from CP sheet'!$B18</f>
        <v>0</v>
      </c>
      <c r="G115" s="143">
        <f t="shared" si="24"/>
        <v>0</v>
      </c>
      <c r="H115" s="141">
        <f>'from CP sheet'!H18*'from CP sheet'!$B18</f>
        <v>0</v>
      </c>
      <c r="I115" s="141">
        <f>'from CP sheet'!I18*'from CP sheet'!$B18</f>
        <v>0</v>
      </c>
      <c r="J115" s="141">
        <f>'from CP sheet'!J18*'from CP sheet'!$B18</f>
        <v>0</v>
      </c>
      <c r="K115" s="143">
        <f t="shared" si="25"/>
        <v>0</v>
      </c>
      <c r="L115" s="167">
        <f t="shared" si="26"/>
        <v>0</v>
      </c>
      <c r="M115" s="141">
        <f>'from CP sheet'!M18*'from CP sheet'!$B18</f>
        <v>0</v>
      </c>
      <c r="N115" s="141">
        <f>'from CP sheet'!N18*'from CP sheet'!$B18</f>
        <v>0</v>
      </c>
      <c r="O115" s="141">
        <f>'from CP sheet'!O18*'from CP sheet'!$B18</f>
        <v>0</v>
      </c>
      <c r="P115" s="143">
        <f t="shared" si="27"/>
        <v>0</v>
      </c>
      <c r="Q115" s="167">
        <f t="shared" si="28"/>
        <v>0</v>
      </c>
      <c r="R115" s="141">
        <f>'from CP sheet'!R18*'from CP sheet'!$B18</f>
        <v>0</v>
      </c>
      <c r="S115" s="141">
        <f>'from CP sheet'!S18*'from CP sheet'!$B18</f>
        <v>0</v>
      </c>
      <c r="T115" s="141">
        <f>'from CP sheet'!T18*'from CP sheet'!$B18</f>
        <v>0</v>
      </c>
      <c r="U115" s="143">
        <f t="shared" si="29"/>
        <v>0</v>
      </c>
      <c r="V115" s="169">
        <f t="shared" si="30"/>
        <v>0</v>
      </c>
    </row>
    <row r="116" spans="3:24" ht="15.75">
      <c r="C116" s="144" t="s">
        <v>70</v>
      </c>
      <c r="D116" s="141">
        <f>'from CP sheet'!D19*'from CP sheet'!$B19</f>
        <v>0</v>
      </c>
      <c r="E116" s="141">
        <f>'from CP sheet'!E19*'from CP sheet'!$B19</f>
        <v>0</v>
      </c>
      <c r="F116" s="141">
        <f>'from CP sheet'!F19*'from CP sheet'!$B19</f>
        <v>0</v>
      </c>
      <c r="G116" s="143">
        <f>D116+E116+F116</f>
        <v>0</v>
      </c>
      <c r="H116" s="141">
        <f>'from CP sheet'!H19*'from CP sheet'!$B19</f>
        <v>0</v>
      </c>
      <c r="I116" s="141">
        <f>'from CP sheet'!I19*'from CP sheet'!$B19</f>
        <v>0</v>
      </c>
      <c r="J116" s="141">
        <f>'from CP sheet'!J19*'from CP sheet'!$B19</f>
        <v>0</v>
      </c>
      <c r="K116" s="143">
        <f>H116+I116+J116</f>
        <v>0</v>
      </c>
      <c r="L116" s="167">
        <f t="shared" si="26"/>
        <v>0</v>
      </c>
      <c r="M116" s="141">
        <f>'from CP sheet'!M19*'from CP sheet'!$B19</f>
        <v>0</v>
      </c>
      <c r="N116" s="141">
        <f>'from CP sheet'!N19*'from CP sheet'!$B19</f>
        <v>0</v>
      </c>
      <c r="O116" s="141">
        <f>'from CP sheet'!O19*'from CP sheet'!$B19</f>
        <v>0</v>
      </c>
      <c r="P116" s="143">
        <f>M116+N116+O116</f>
        <v>0</v>
      </c>
      <c r="Q116" s="167">
        <f t="shared" si="28"/>
        <v>0</v>
      </c>
      <c r="R116" s="141">
        <f>'from CP sheet'!R19*'from CP sheet'!$B19</f>
        <v>0</v>
      </c>
      <c r="S116" s="141">
        <f>'from CP sheet'!S19*'from CP sheet'!$B19</f>
        <v>0</v>
      </c>
      <c r="T116" s="141">
        <f>'from CP sheet'!T19*'from CP sheet'!$B19</f>
        <v>0</v>
      </c>
      <c r="U116" s="143">
        <f>R116+S116+T116</f>
        <v>0</v>
      </c>
      <c r="V116" s="169">
        <f t="shared" si="30"/>
        <v>0</v>
      </c>
    </row>
    <row r="117" spans="3:24" ht="15.75">
      <c r="C117" s="145" t="s">
        <v>92</v>
      </c>
      <c r="D117" s="188">
        <f>SUM(D103:D116)</f>
        <v>4291679.7380735874</v>
      </c>
      <c r="E117" s="188">
        <f t="shared" ref="E117:V117" si="31">SUM(E103:E116)</f>
        <v>4449228.3003837205</v>
      </c>
      <c r="F117" s="188">
        <f t="shared" si="31"/>
        <v>4422489.6756060878</v>
      </c>
      <c r="G117" s="189">
        <f t="shared" si="31"/>
        <v>13163397.714063397</v>
      </c>
      <c r="H117" s="188">
        <f t="shared" si="31"/>
        <v>4555193.0892739575</v>
      </c>
      <c r="I117" s="188">
        <f t="shared" si="31"/>
        <v>0</v>
      </c>
      <c r="J117" s="188">
        <f t="shared" si="31"/>
        <v>0</v>
      </c>
      <c r="K117" s="189">
        <f t="shared" si="31"/>
        <v>4555193.0892739575</v>
      </c>
      <c r="L117" s="169">
        <f t="shared" si="31"/>
        <v>17718590.80333735</v>
      </c>
      <c r="M117" s="188">
        <f t="shared" si="31"/>
        <v>0</v>
      </c>
      <c r="N117" s="188">
        <f t="shared" si="31"/>
        <v>0</v>
      </c>
      <c r="O117" s="188">
        <f t="shared" si="31"/>
        <v>0</v>
      </c>
      <c r="P117" s="189">
        <f t="shared" si="31"/>
        <v>0</v>
      </c>
      <c r="Q117" s="169">
        <f t="shared" si="31"/>
        <v>17718590.80333735</v>
      </c>
      <c r="R117" s="188">
        <f t="shared" si="31"/>
        <v>0</v>
      </c>
      <c r="S117" s="188">
        <f t="shared" si="31"/>
        <v>0</v>
      </c>
      <c r="T117" s="188">
        <f t="shared" si="31"/>
        <v>0</v>
      </c>
      <c r="U117" s="189">
        <f t="shared" si="31"/>
        <v>0</v>
      </c>
      <c r="V117" s="169">
        <f t="shared" si="31"/>
        <v>17718590.80333735</v>
      </c>
    </row>
    <row r="120" spans="3:24">
      <c r="C120" s="1169" t="s">
        <v>93</v>
      </c>
      <c r="D120" s="1169"/>
      <c r="E120" s="1169"/>
      <c r="F120" s="1169"/>
      <c r="G120" s="1169"/>
      <c r="H120" s="1169"/>
      <c r="I120" s="1169"/>
      <c r="J120" s="1169"/>
      <c r="K120" s="1169"/>
      <c r="L120" s="1169"/>
      <c r="M120" s="1169"/>
      <c r="N120" s="1169"/>
      <c r="O120" s="1169"/>
      <c r="P120" s="1169"/>
      <c r="Q120" s="1169"/>
      <c r="R120" s="1169"/>
      <c r="S120" s="1169"/>
      <c r="T120" s="1169"/>
      <c r="U120" s="1169"/>
      <c r="V120" s="1169"/>
      <c r="W120" s="443">
        <f>interFY_transition!D21*100+(interFY_transition!D22-2000)</f>
        <v>202627</v>
      </c>
      <c r="X120" t="s">
        <v>898</v>
      </c>
    </row>
    <row r="121" spans="3:24">
      <c r="C121" s="144"/>
      <c r="D121" s="144" t="s">
        <v>30</v>
      </c>
      <c r="E121" s="144" t="s">
        <v>71</v>
      </c>
      <c r="F121" s="144" t="s">
        <v>72</v>
      </c>
      <c r="G121" s="161" t="s">
        <v>82</v>
      </c>
      <c r="H121" s="144" t="s">
        <v>73</v>
      </c>
      <c r="I121" s="144" t="s">
        <v>74</v>
      </c>
      <c r="J121" s="144" t="s">
        <v>75</v>
      </c>
      <c r="K121" s="161" t="s">
        <v>83</v>
      </c>
      <c r="L121" s="162" t="s">
        <v>39</v>
      </c>
      <c r="M121" s="144" t="s">
        <v>76</v>
      </c>
      <c r="N121" s="144" t="s">
        <v>77</v>
      </c>
      <c r="O121" s="144" t="s">
        <v>78</v>
      </c>
      <c r="P121" s="161" t="s">
        <v>84</v>
      </c>
      <c r="Q121" s="162" t="s">
        <v>85</v>
      </c>
      <c r="R121" s="144" t="s">
        <v>79</v>
      </c>
      <c r="S121" s="144" t="s">
        <v>80</v>
      </c>
      <c r="T121" s="144" t="s">
        <v>81</v>
      </c>
      <c r="U121" s="161" t="s">
        <v>86</v>
      </c>
      <c r="V121" s="162" t="s">
        <v>87</v>
      </c>
      <c r="W121" s="444" t="s">
        <v>389</v>
      </c>
    </row>
    <row r="122" spans="3:24" ht="15.75">
      <c r="C122" s="144" t="s">
        <v>60</v>
      </c>
      <c r="D122" s="163">
        <f>IFERROR(D103/'from CP sheet'!D44,"-")</f>
        <v>7.3232001349854761</v>
      </c>
      <c r="E122" s="163">
        <f>IFERROR(E103/'from CP sheet'!E44,"-")</f>
        <v>7.3231999956136677</v>
      </c>
      <c r="F122" s="163">
        <f>IFERROR(F103/'from CP sheet'!F44,"-")</f>
        <v>7.5934436971468582</v>
      </c>
      <c r="G122" s="164">
        <f>IFERROR(G103/'from CP sheet'!G44,"-")</f>
        <v>7.4044422849429248</v>
      </c>
      <c r="H122" s="163">
        <f>IFERROR(H103/'from CP sheet'!H44,"-")</f>
        <v>7.3354496803845279</v>
      </c>
      <c r="I122" s="163" t="str">
        <f>IFERROR(I103/'from CP sheet'!I44,"-")</f>
        <v>-</v>
      </c>
      <c r="J122" s="163" t="str">
        <f>IFERROR(J103/'from CP sheet'!J44,"-")</f>
        <v>-</v>
      </c>
      <c r="K122" s="164">
        <f>IFERROR(K103/'from CP sheet'!K44,"-")</f>
        <v>7.3354496803845279</v>
      </c>
      <c r="L122" s="165">
        <f>IFERROR(L103/'from CP sheet'!L44,"-")</f>
        <v>7.3863326556459512</v>
      </c>
      <c r="M122" s="163" t="str">
        <f>IFERROR(M103/'from CP sheet'!M44,"-")</f>
        <v>-</v>
      </c>
      <c r="N122" s="163" t="str">
        <f>IFERROR(N103/'from CP sheet'!N44,"-")</f>
        <v>-</v>
      </c>
      <c r="O122" s="163" t="str">
        <f>IFERROR(O103/'from CP sheet'!O44,"-")</f>
        <v>-</v>
      </c>
      <c r="P122" s="164" t="str">
        <f>IFERROR(P103/'from CP sheet'!P44,"-")</f>
        <v>-</v>
      </c>
      <c r="Q122" s="165">
        <f>IFERROR(Q103/'from CP sheet'!Q44,"-")</f>
        <v>7.3863326556459512</v>
      </c>
      <c r="R122" s="163" t="str">
        <f>IFERROR(R103/'from CP sheet'!R44,"-")</f>
        <v>-</v>
      </c>
      <c r="S122" s="163" t="str">
        <f>IFERROR(S103/'from CP sheet'!S44,"-")</f>
        <v>-</v>
      </c>
      <c r="T122" s="163" t="str">
        <f>IFERROR(T103/'from CP sheet'!T44,"-")</f>
        <v>-</v>
      </c>
      <c r="U122" s="164" t="str">
        <f>IFERROR(U103/'from CP sheet'!U44,"-")</f>
        <v>-</v>
      </c>
      <c r="V122" s="165">
        <v>7.3900291863417413</v>
      </c>
      <c r="W122" s="443">
        <f>HLOOKUP($W$120,carryforward_cf!$C$9:$G$26,carryforward_cf!B12,FALSE)</f>
        <v>7.3900291863417413</v>
      </c>
    </row>
    <row r="123" spans="3:24" ht="15.75">
      <c r="C123" s="144" t="s">
        <v>61</v>
      </c>
      <c r="D123" s="163">
        <f>IFERROR(D104/'from CP sheet'!D45,"-")</f>
        <v>7.4400000002708246</v>
      </c>
      <c r="E123" s="163">
        <f>IFERROR(E104/'from CP sheet'!E45,"-")</f>
        <v>7.4399999993519632</v>
      </c>
      <c r="F123" s="163">
        <f>IFERROR(F104/'from CP sheet'!F45,"-")</f>
        <v>7.4399999994530654</v>
      </c>
      <c r="G123" s="164">
        <f>IFERROR(G104/'from CP sheet'!G45,"-")</f>
        <v>7.4399999996885366</v>
      </c>
      <c r="H123" s="163">
        <f>IFERROR(H104/'from CP sheet'!H45,"-")</f>
        <v>7.4399999997177275</v>
      </c>
      <c r="I123" s="163" t="str">
        <f>IFERROR(I104/'from CP sheet'!I45,"-")</f>
        <v>-</v>
      </c>
      <c r="J123" s="163" t="str">
        <f>IFERROR(J104/'from CP sheet'!J45,"-")</f>
        <v>-</v>
      </c>
      <c r="K123" s="164">
        <f>IFERROR(K104/'from CP sheet'!K45,"-")</f>
        <v>7.4399999997177275</v>
      </c>
      <c r="L123" s="165">
        <f>IFERROR(L104/'from CP sheet'!L45,"-")</f>
        <v>7.439999999695984</v>
      </c>
      <c r="M123" s="163" t="str">
        <f>IFERROR(M104/'from CP sheet'!M45,"-")</f>
        <v>-</v>
      </c>
      <c r="N123" s="163" t="str">
        <f>IFERROR(N104/'from CP sheet'!N45,"-")</f>
        <v>-</v>
      </c>
      <c r="O123" s="163" t="str">
        <f>IFERROR(O104/'from CP sheet'!O45,"-")</f>
        <v>-</v>
      </c>
      <c r="P123" s="164" t="str">
        <f>IFERROR(P104/'from CP sheet'!P45,"-")</f>
        <v>-</v>
      </c>
      <c r="Q123" s="165">
        <f>IFERROR(Q104/'from CP sheet'!Q45,"-")</f>
        <v>7.439999999695984</v>
      </c>
      <c r="R123" s="163" t="str">
        <f>IFERROR(R104/'from CP sheet'!R45,"-")</f>
        <v>-</v>
      </c>
      <c r="S123" s="163" t="str">
        <f>IFERROR(S104/'from CP sheet'!S45,"-")</f>
        <v>-</v>
      </c>
      <c r="T123" s="163" t="str">
        <f>IFERROR(T104/'from CP sheet'!T45,"-")</f>
        <v>-</v>
      </c>
      <c r="U123" s="164" t="str">
        <f>IFERROR(U104/'from CP sheet'!U45,"-")</f>
        <v>-</v>
      </c>
      <c r="V123" s="165">
        <v>7.4399999996033328</v>
      </c>
      <c r="W123" s="443">
        <f>HLOOKUP($W$120,carryforward_cf!$C$9:$G$26,carryforward_cf!B13,FALSE)</f>
        <v>7.4399999996033328</v>
      </c>
    </row>
    <row r="124" spans="3:24" ht="15.75">
      <c r="C124" s="144" t="s">
        <v>62</v>
      </c>
      <c r="D124" s="163">
        <f>IFERROR(D105/'from CP sheet'!D46,"-")</f>
        <v>7.7285227564358721</v>
      </c>
      <c r="E124" s="163">
        <f>IFERROR(E105/'from CP sheet'!E46,"-")</f>
        <v>7.6684315958759974</v>
      </c>
      <c r="F124" s="163">
        <f>IFERROR(F105/'from CP sheet'!F46,"-")</f>
        <v>7.7167208747993223</v>
      </c>
      <c r="G124" s="164">
        <f>IFERROR(G105/'from CP sheet'!G46,"-")</f>
        <v>7.7047123798864634</v>
      </c>
      <c r="H124" s="163">
        <f>IFERROR(H105/'from CP sheet'!H46,"-")</f>
        <v>7.7167208206892317</v>
      </c>
      <c r="I124" s="163" t="str">
        <f>IFERROR(I105/'from CP sheet'!I46,"-")</f>
        <v>-</v>
      </c>
      <c r="J124" s="163" t="str">
        <f>IFERROR(J105/'from CP sheet'!J46,"-")</f>
        <v>-</v>
      </c>
      <c r="K124" s="164">
        <f>IFERROR(K105/'from CP sheet'!K46,"-")</f>
        <v>7.7167208206892317</v>
      </c>
      <c r="L124" s="165">
        <f>IFERROR(L105/'from CP sheet'!L46,"-")</f>
        <v>7.7077320738850172</v>
      </c>
      <c r="M124" s="163" t="str">
        <f>IFERROR(M105/'from CP sheet'!M46,"-")</f>
        <v>-</v>
      </c>
      <c r="N124" s="163" t="str">
        <f>IFERROR(N105/'from CP sheet'!N46,"-")</f>
        <v>-</v>
      </c>
      <c r="O124" s="163" t="str">
        <f>IFERROR(O105/'from CP sheet'!O46,"-")</f>
        <v>-</v>
      </c>
      <c r="P124" s="164" t="str">
        <f>IFERROR(P105/'from CP sheet'!P46,"-")</f>
        <v>-</v>
      </c>
      <c r="Q124" s="165">
        <f>IFERROR(Q105/'from CP sheet'!Q46,"-")</f>
        <v>7.7077320738850172</v>
      </c>
      <c r="R124" s="163" t="str">
        <f>IFERROR(R105/'from CP sheet'!R46,"-")</f>
        <v>-</v>
      </c>
      <c r="S124" s="163" t="str">
        <f>IFERROR(S105/'from CP sheet'!S46,"-")</f>
        <v>-</v>
      </c>
      <c r="T124" s="163" t="str">
        <f>IFERROR(T105/'from CP sheet'!T46,"-")</f>
        <v>-</v>
      </c>
      <c r="U124" s="164" t="str">
        <f>IFERROR(U105/'from CP sheet'!U46,"-")</f>
        <v>-</v>
      </c>
      <c r="V124" s="165">
        <v>7.6928362276893392</v>
      </c>
      <c r="W124" s="443">
        <f>HLOOKUP($W$120,carryforward_cf!$C$9:$G$26,carryforward_cf!B14,FALSE)</f>
        <v>7.6928362276893392</v>
      </c>
    </row>
    <row r="125" spans="3:24" ht="15.75">
      <c r="C125" s="144" t="s">
        <v>57</v>
      </c>
      <c r="D125" s="163">
        <f>IFERROR(D106/'from CP sheet'!D47,"-")</f>
        <v>7.4400000039506979</v>
      </c>
      <c r="E125" s="163">
        <f>IFERROR(E106/'from CP sheet'!E47,"-")</f>
        <v>7.4501558950105435</v>
      </c>
      <c r="F125" s="163">
        <f>IFERROR(F106/'from CP sheet'!F47,"-")</f>
        <v>7.4200000729125524</v>
      </c>
      <c r="G125" s="164">
        <f>IFERROR(G106/'from CP sheet'!G47,"-")</f>
        <v>7.436783682293135</v>
      </c>
      <c r="H125" s="163">
        <f>IFERROR(H106/'from CP sheet'!H47,"-")</f>
        <v>7.4199944786370349</v>
      </c>
      <c r="I125" s="163" t="str">
        <f>IFERROR(I106/'from CP sheet'!I47,"-")</f>
        <v>-</v>
      </c>
      <c r="J125" s="163" t="str">
        <f>IFERROR(J106/'from CP sheet'!J47,"-")</f>
        <v>-</v>
      </c>
      <c r="K125" s="164">
        <f>IFERROR(K106/'from CP sheet'!K47,"-")</f>
        <v>7.4199944786370349</v>
      </c>
      <c r="L125" s="165">
        <f>IFERROR(L106/'from CP sheet'!L47,"-")</f>
        <v>7.4324861302073666</v>
      </c>
      <c r="M125" s="163" t="str">
        <f>IFERROR(M106/'from CP sheet'!M47,"-")</f>
        <v>-</v>
      </c>
      <c r="N125" s="163" t="str">
        <f>IFERROR(N106/'from CP sheet'!N47,"-")</f>
        <v>-</v>
      </c>
      <c r="O125" s="163" t="str">
        <f>IFERROR(O106/'from CP sheet'!O47,"-")</f>
        <v>-</v>
      </c>
      <c r="P125" s="164" t="str">
        <f>IFERROR(P106/'from CP sheet'!P47,"-")</f>
        <v>-</v>
      </c>
      <c r="Q125" s="165">
        <f>IFERROR(Q106/'from CP sheet'!Q47,"-")</f>
        <v>7.4324861302073666</v>
      </c>
      <c r="R125" s="163" t="str">
        <f>IFERROR(R106/'from CP sheet'!R47,"-")</f>
        <v>-</v>
      </c>
      <c r="S125" s="163" t="str">
        <f>IFERROR(S106/'from CP sheet'!S47,"-")</f>
        <v>-</v>
      </c>
      <c r="T125" s="163" t="str">
        <f>IFERROR(T106/'from CP sheet'!T47,"-")</f>
        <v>-</v>
      </c>
      <c r="U125" s="164" t="str">
        <f>IFERROR(U106/'from CP sheet'!U47,"-")</f>
        <v>-</v>
      </c>
      <c r="V125" s="165">
        <v>7.4335480362651323</v>
      </c>
      <c r="W125" s="443">
        <f>HLOOKUP($W$120,carryforward_cf!$C$9:$G$26,carryforward_cf!B15,FALSE)</f>
        <v>7.4335480362651323</v>
      </c>
    </row>
    <row r="126" spans="3:24" ht="15.75">
      <c r="C126" s="144" t="s">
        <v>58</v>
      </c>
      <c r="D126" s="163">
        <f>IFERROR(D107/'from CP sheet'!D48,"-")</f>
        <v>6.6650010048410939</v>
      </c>
      <c r="E126" s="163">
        <f>IFERROR(E107/'from CP sheet'!E48,"-")</f>
        <v>6.2898118288456581</v>
      </c>
      <c r="F126" s="163">
        <f>IFERROR(F107/'from CP sheet'!F48,"-")</f>
        <v>6.6649995201302987</v>
      </c>
      <c r="G126" s="164">
        <f>IFERROR(G107/'from CP sheet'!G48,"-")</f>
        <v>6.5481321100159553</v>
      </c>
      <c r="H126" s="163">
        <f>IFERROR(H107/'from CP sheet'!H48,"-")</f>
        <v>6.6454186863528095</v>
      </c>
      <c r="I126" s="163" t="str">
        <f>IFERROR(I107/'from CP sheet'!I48,"-")</f>
        <v>-</v>
      </c>
      <c r="J126" s="163" t="str">
        <f>IFERROR(J107/'from CP sheet'!J48,"-")</f>
        <v>-</v>
      </c>
      <c r="K126" s="164">
        <f>IFERROR(K107/'from CP sheet'!K48,"-")</f>
        <v>6.6454186863528095</v>
      </c>
      <c r="L126" s="165">
        <f>IFERROR(L107/'from CP sheet'!L48,"-")</f>
        <v>6.5695915032264258</v>
      </c>
      <c r="M126" s="163" t="str">
        <f>IFERROR(M107/'from CP sheet'!M48,"-")</f>
        <v>-</v>
      </c>
      <c r="N126" s="163" t="str">
        <f>IFERROR(N107/'from CP sheet'!N48,"-")</f>
        <v>-</v>
      </c>
      <c r="O126" s="163"/>
      <c r="P126" s="164" t="str">
        <f>IFERROR(P107/'from CP sheet'!P48,"-")</f>
        <v>-</v>
      </c>
      <c r="Q126" s="165">
        <f>IFERROR(Q107/'from CP sheet'!Q48,"-")</f>
        <v>6.5695915032264258</v>
      </c>
      <c r="R126" s="163" t="str">
        <f>IFERROR(R107/'from CP sheet'!R48,"-")</f>
        <v>-</v>
      </c>
      <c r="S126" s="163" t="str">
        <f>IFERROR(S107/'from CP sheet'!S48,"-")</f>
        <v>-</v>
      </c>
      <c r="T126" s="163" t="str">
        <f>IFERROR(T107/'from CP sheet'!T48,"-")</f>
        <v>-</v>
      </c>
      <c r="U126" s="164" t="str">
        <f>IFERROR(U107/'from CP sheet'!U48,"-")</f>
        <v>-</v>
      </c>
      <c r="V126" s="165">
        <v>6.5565167534396744</v>
      </c>
      <c r="W126" s="443">
        <f>HLOOKUP($W$120,carryforward_cf!$C$9:$G$26,carryforward_cf!B16,FALSE)</f>
        <v>6.5565167534396744</v>
      </c>
    </row>
    <row r="127" spans="3:24" ht="15.75">
      <c r="C127" s="144" t="s">
        <v>59</v>
      </c>
      <c r="D127" s="163">
        <f>IFERROR(D108/'from CP sheet'!D49,"-")</f>
        <v>6.7801250304728002</v>
      </c>
      <c r="E127" s="163">
        <f>IFERROR(E108/'from CP sheet'!E49,"-")</f>
        <v>6.7798584493266487</v>
      </c>
      <c r="F127" s="163">
        <f>IFERROR(F108/'from CP sheet'!F49,"-")</f>
        <v>6.7800452446036381</v>
      </c>
      <c r="G127" s="164">
        <f>IFERROR(G108/'from CP sheet'!G49,"-")</f>
        <v>6.7800091186097236</v>
      </c>
      <c r="H127" s="163">
        <f>IFERROR(H108/'from CP sheet'!H49,"-")</f>
        <v>6.7800969688124546</v>
      </c>
      <c r="I127" s="163" t="str">
        <f>IFERROR(I108/'from CP sheet'!I49,"-")</f>
        <v>-</v>
      </c>
      <c r="J127" s="163" t="str">
        <f>IFERROR(J108/'from CP sheet'!J49,"-")</f>
        <v>-</v>
      </c>
      <c r="K127" s="164">
        <f>IFERROR(K108/'from CP sheet'!K49,"-")</f>
        <v>6.7800969688124546</v>
      </c>
      <c r="L127" s="165">
        <f>IFERROR(L108/'from CP sheet'!L49,"-")</f>
        <v>6.7800325079544992</v>
      </c>
      <c r="M127" s="163" t="str">
        <f>IFERROR(M108/'from CP sheet'!M49,"-")</f>
        <v>-</v>
      </c>
      <c r="N127" s="163" t="str">
        <f>IFERROR(N108/'from CP sheet'!N49,"-")</f>
        <v>-</v>
      </c>
      <c r="O127" s="163" t="str">
        <f>IFERROR(O108/'from CP sheet'!O49,"-")</f>
        <v>-</v>
      </c>
      <c r="P127" s="164" t="str">
        <f>IFERROR(P108/'from CP sheet'!P49,"-")</f>
        <v>-</v>
      </c>
      <c r="Q127" s="165">
        <f>IFERROR(Q108/'from CP sheet'!Q49,"-")</f>
        <v>6.7800325079544992</v>
      </c>
      <c r="R127" s="163" t="str">
        <f>IFERROR(R108/'from CP sheet'!R49,"-")</f>
        <v>-</v>
      </c>
      <c r="S127" s="163" t="str">
        <f>IFERROR(S108/'from CP sheet'!S49,"-")</f>
        <v>-</v>
      </c>
      <c r="T127" s="163" t="str">
        <f>IFERROR(T108/'from CP sheet'!T49,"-")</f>
        <v>-</v>
      </c>
      <c r="U127" s="164" t="str">
        <f>IFERROR(U108/'from CP sheet'!U49,"-")</f>
        <v>-</v>
      </c>
      <c r="V127" s="165">
        <v>6.7800695882505657</v>
      </c>
      <c r="W127" s="443">
        <f>HLOOKUP($W$120,carryforward_cf!$C$9:$G$26,carryforward_cf!B17,FALSE)</f>
        <v>6.7800695882505657</v>
      </c>
    </row>
    <row r="128" spans="3:24" ht="15.75">
      <c r="C128" s="144" t="s">
        <v>63</v>
      </c>
      <c r="D128" s="163">
        <f>IFERROR(D109/'from CP sheet'!D50,"-")</f>
        <v>7.3768539152171604</v>
      </c>
      <c r="E128" s="163">
        <f>IFERROR(E109/'from CP sheet'!E50,"-")</f>
        <v>7.3797867748287755</v>
      </c>
      <c r="F128" s="163">
        <f>IFERROR(F109/'from CP sheet'!F50,"-")</f>
        <v>7.3780353911235474</v>
      </c>
      <c r="G128" s="164">
        <f>IFERROR(G109/'from CP sheet'!G50,"-")</f>
        <v>7.3783212315528877</v>
      </c>
      <c r="H128" s="163">
        <f>IFERROR(H109/'from CP sheet'!H50,"-")</f>
        <v>7.5339986065487512</v>
      </c>
      <c r="I128" s="163" t="str">
        <f>IFERROR(I109/'from CP sheet'!I50,"-")</f>
        <v>-</v>
      </c>
      <c r="J128" s="163" t="str">
        <f>IFERROR(J109/'from CP sheet'!J50,"-")</f>
        <v>-</v>
      </c>
      <c r="K128" s="164">
        <f>IFERROR(K109/'from CP sheet'!K50,"-")</f>
        <v>7.5339986065487512</v>
      </c>
      <c r="L128" s="165">
        <f>IFERROR(L109/'from CP sheet'!L50,"-")</f>
        <v>7.417982674113075</v>
      </c>
      <c r="M128" s="163" t="str">
        <f>IFERROR(M109/'from CP sheet'!M50,"-")</f>
        <v>-</v>
      </c>
      <c r="N128" s="163" t="str">
        <f>IFERROR(N109/'from CP sheet'!N50,"-")</f>
        <v>-</v>
      </c>
      <c r="O128" s="163" t="str">
        <f>IFERROR(O109/'from CP sheet'!O50,"-")</f>
        <v>-</v>
      </c>
      <c r="P128" s="164" t="str">
        <f>IFERROR(P109/'from CP sheet'!P50,"-")</f>
        <v>-</v>
      </c>
      <c r="Q128" s="165">
        <f>IFERROR(Q109/'from CP sheet'!Q50,"-")</f>
        <v>7.417982674113075</v>
      </c>
      <c r="R128" s="163" t="str">
        <f>IFERROR(R109/'from CP sheet'!R50,"-")</f>
        <v>-</v>
      </c>
      <c r="S128" s="163" t="str">
        <f>IFERROR(S109/'from CP sheet'!S50,"-")</f>
        <v>-</v>
      </c>
      <c r="T128" s="163" t="str">
        <f>IFERROR(T109/'from CP sheet'!T50,"-")</f>
        <v>-</v>
      </c>
      <c r="U128" s="164" t="str">
        <f>IFERROR(U109/'from CP sheet'!U50,"-")</f>
        <v>-</v>
      </c>
      <c r="V128" s="165">
        <v>7.3739303482780141</v>
      </c>
      <c r="W128" s="443">
        <f>HLOOKUP($W$120,carryforward_cf!$C$9:$G$26,carryforward_cf!B18,FALSE)</f>
        <v>7.3739303482780141</v>
      </c>
    </row>
    <row r="129" spans="3:23" ht="15.75">
      <c r="C129" s="144" t="s">
        <v>64</v>
      </c>
      <c r="D129" s="163">
        <f>IFERROR(D110/'from CP sheet'!D51,"-")</f>
        <v>6.2400006766036453</v>
      </c>
      <c r="E129" s="163">
        <f>IFERROR(E110/'from CP sheet'!E51,"-")</f>
        <v>6.2400000161352942</v>
      </c>
      <c r="F129" s="163">
        <f>IFERROR(F110/'from CP sheet'!F51,"-")</f>
        <v>6.239999931681675</v>
      </c>
      <c r="G129" s="164">
        <f>IFERROR(G110/'from CP sheet'!G51,"-")</f>
        <v>6.2400002073854859</v>
      </c>
      <c r="H129" s="163">
        <f>IFERROR(H110/'from CP sheet'!H51,"-")</f>
        <v>6.2400001107186807</v>
      </c>
      <c r="I129" s="163" t="str">
        <f>IFERROR(I110/'from CP sheet'!I51,"-")</f>
        <v>-</v>
      </c>
      <c r="J129" s="163" t="str">
        <f>IFERROR(J110/'from CP sheet'!J51,"-")</f>
        <v>-</v>
      </c>
      <c r="K129" s="164">
        <f>IFERROR(K110/'from CP sheet'!K51,"-")</f>
        <v>6.2400001107186807</v>
      </c>
      <c r="L129" s="165">
        <f>IFERROR(L110/'from CP sheet'!L51,"-")</f>
        <v>6.2400001828918503</v>
      </c>
      <c r="M129" s="163" t="str">
        <f>IFERROR(M110/'from CP sheet'!M51,"-")</f>
        <v>-</v>
      </c>
      <c r="N129" s="163" t="str">
        <f>IFERROR(N110/'from CP sheet'!N51,"-")</f>
        <v>-</v>
      </c>
      <c r="O129" s="163" t="str">
        <f>IFERROR(O110/'from CP sheet'!O51,"-")</f>
        <v>-</v>
      </c>
      <c r="P129" s="164" t="str">
        <f>IFERROR(P110/'from CP sheet'!P51,"-")</f>
        <v>-</v>
      </c>
      <c r="Q129" s="165">
        <f>IFERROR(Q110/'from CP sheet'!Q51,"-")</f>
        <v>6.2400001828918503</v>
      </c>
      <c r="R129" s="163" t="str">
        <f>IFERROR(R110/'from CP sheet'!R51,"-")</f>
        <v>-</v>
      </c>
      <c r="S129" s="163" t="str">
        <f>IFERROR(S110/'from CP sheet'!S51,"-")</f>
        <v>-</v>
      </c>
      <c r="T129" s="163" t="str">
        <f>IFERROR(T110/'from CP sheet'!T51,"-")</f>
        <v>-</v>
      </c>
      <c r="U129" s="164" t="str">
        <f>IFERROR(U110/'from CP sheet'!U51,"-")</f>
        <v>-</v>
      </c>
      <c r="V129" s="165">
        <v>6.2400012569447592</v>
      </c>
      <c r="W129" s="443">
        <f>HLOOKUP($W$120,carryforward_cf!$C$9:$G$26,carryforward_cf!B19,FALSE)</f>
        <v>6.2400012569447592</v>
      </c>
    </row>
    <row r="130" spans="3:23" ht="15.75">
      <c r="C130" s="144" t="s">
        <v>65</v>
      </c>
      <c r="D130" s="163">
        <f>IFERROR(D111/'from CP sheet'!D52,"-")</f>
        <v>6.5700031482276628</v>
      </c>
      <c r="E130" s="163">
        <f>IFERROR(E111/'from CP sheet'!E52,"-")</f>
        <v>6.5700002229191554</v>
      </c>
      <c r="F130" s="163">
        <f>IFERROR(F111/'from CP sheet'!F52,"-")</f>
        <v>6.5700024853262597</v>
      </c>
      <c r="G130" s="164">
        <f>IFERROR(G111/'from CP sheet'!G52,"-")</f>
        <v>6.5700018597271894</v>
      </c>
      <c r="H130" s="163">
        <f>IFERROR(H111/'from CP sheet'!H52,"-")</f>
        <v>6.5700005001854906</v>
      </c>
      <c r="I130" s="163" t="str">
        <f>IFERROR(I111/'from CP sheet'!I52,"-")</f>
        <v>-</v>
      </c>
      <c r="J130" s="163" t="str">
        <f>IFERROR(J111/'from CP sheet'!J52,"-")</f>
        <v>-</v>
      </c>
      <c r="K130" s="164">
        <f>IFERROR(K111/'from CP sheet'!K52,"-")</f>
        <v>6.5700005001854906</v>
      </c>
      <c r="L130" s="165">
        <f>IFERROR(L111/'from CP sheet'!L52,"-")</f>
        <v>6.570001485920157</v>
      </c>
      <c r="M130" s="163" t="str">
        <f>IFERROR(M111/'from CP sheet'!M52,"-")</f>
        <v>-</v>
      </c>
      <c r="N130" s="163" t="str">
        <f>IFERROR(N111/'from CP sheet'!N52,"-")</f>
        <v>-</v>
      </c>
      <c r="O130" s="163" t="str">
        <f>IFERROR(O111/'from CP sheet'!O52,"-")</f>
        <v>-</v>
      </c>
      <c r="P130" s="164" t="str">
        <f>IFERROR(P111/'from CP sheet'!P52,"-")</f>
        <v>-</v>
      </c>
      <c r="Q130" s="165">
        <f>IFERROR(Q111/'from CP sheet'!Q52,"-")</f>
        <v>6.570001485920157</v>
      </c>
      <c r="R130" s="163" t="str">
        <f>IFERROR(R111/'from CP sheet'!R52,"-")</f>
        <v>-</v>
      </c>
      <c r="S130" s="163" t="str">
        <f>IFERROR(S111/'from CP sheet'!S52,"-")</f>
        <v>-</v>
      </c>
      <c r="T130" s="163" t="str">
        <f>IFERROR(T111/'from CP sheet'!T52,"-")</f>
        <v>-</v>
      </c>
      <c r="U130" s="164" t="str">
        <f>IFERROR(U111/'from CP sheet'!U52,"-")</f>
        <v>-</v>
      </c>
      <c r="V130" s="165">
        <v>6.5700026688558726</v>
      </c>
      <c r="W130" s="443">
        <f>HLOOKUP($W$120,carryforward_cf!$C$9:$G$26,carryforward_cf!B20,FALSE)</f>
        <v>6.5700026688558726</v>
      </c>
    </row>
    <row r="131" spans="3:23" ht="15.75">
      <c r="C131" s="144" t="s">
        <v>66</v>
      </c>
      <c r="D131" s="163">
        <f>IFERROR(D112/'from CP sheet'!D53,"-")</f>
        <v>7.6199999999313635</v>
      </c>
      <c r="E131" s="163">
        <f>IFERROR(E112/'from CP sheet'!E53,"-")</f>
        <v>7.6199971631605967</v>
      </c>
      <c r="F131" s="163">
        <f>IFERROR(F112/'from CP sheet'!F53,"-")</f>
        <v>7.6199999996013856</v>
      </c>
      <c r="G131" s="164">
        <f>IFERROR(G112/'from CP sheet'!G53,"-")</f>
        <v>7.6199991635314701</v>
      </c>
      <c r="H131" s="163">
        <f>IFERROR(H112/'from CP sheet'!H53,"-")</f>
        <v>7.6199999987345928</v>
      </c>
      <c r="I131" s="163" t="str">
        <f>IFERROR(I112/'from CP sheet'!I53,"-")</f>
        <v>-</v>
      </c>
      <c r="J131" s="163" t="str">
        <f>IFERROR(J112/'from CP sheet'!J53,"-")</f>
        <v>-</v>
      </c>
      <c r="K131" s="164">
        <f>IFERROR(K112/'from CP sheet'!K53,"-")</f>
        <v>7.6199999987345928</v>
      </c>
      <c r="L131" s="165">
        <f>IFERROR(L112/'from CP sheet'!L53,"-")</f>
        <v>7.6199993848533776</v>
      </c>
      <c r="M131" s="163" t="str">
        <f>IFERROR(M112/'from CP sheet'!M53,"-")</f>
        <v>-</v>
      </c>
      <c r="N131" s="163" t="str">
        <f>IFERROR(N112/'from CP sheet'!N53,"-")</f>
        <v>-</v>
      </c>
      <c r="O131" s="163" t="str">
        <f>IFERROR(O112/'from CP sheet'!O53,"-")</f>
        <v>-</v>
      </c>
      <c r="P131" s="164" t="str">
        <f>IFERROR(P112/'from CP sheet'!P53,"-")</f>
        <v>-</v>
      </c>
      <c r="Q131" s="165">
        <f>IFERROR(Q112/'from CP sheet'!Q53,"-")</f>
        <v>7.6199993848533776</v>
      </c>
      <c r="R131" s="163" t="str">
        <f>IFERROR(R112/'from CP sheet'!R53,"-")</f>
        <v>-</v>
      </c>
      <c r="S131" s="163" t="str">
        <f>IFERROR(S112/'from CP sheet'!S53,"-")</f>
        <v>-</v>
      </c>
      <c r="T131" s="163" t="str">
        <f>IFERROR(T112/'from CP sheet'!T53,"-")</f>
        <v>-</v>
      </c>
      <c r="U131" s="164" t="str">
        <f>IFERROR(U112/'from CP sheet'!U53,"-")</f>
        <v>-</v>
      </c>
      <c r="V131" s="165">
        <v>7.6199996677979662</v>
      </c>
      <c r="W131" s="443">
        <f>HLOOKUP($W$120,carryforward_cf!$C$9:$G$26,carryforward_cf!B21,FALSE)</f>
        <v>7.6199996677979662</v>
      </c>
    </row>
    <row r="132" spans="3:23" ht="15.75">
      <c r="C132" s="144" t="s">
        <v>67</v>
      </c>
      <c r="D132" s="163">
        <f>IFERROR(D113/'from CP sheet'!D54,"-")</f>
        <v>7.2999999972374541</v>
      </c>
      <c r="E132" s="163">
        <f>IFERROR(E113/'from CP sheet'!E54,"-")</f>
        <v>7.3000000083969718</v>
      </c>
      <c r="F132" s="163">
        <f>IFERROR(F113/'from CP sheet'!F54,"-")</f>
        <v>7.3000000159006442</v>
      </c>
      <c r="G132" s="164">
        <f>IFERROR(G113/'from CP sheet'!G54,"-")</f>
        <v>7.3000000070387063</v>
      </c>
      <c r="H132" s="163">
        <f>IFERROR(H113/'from CP sheet'!H54,"-")</f>
        <v>7.3000000010104005</v>
      </c>
      <c r="I132" s="163" t="str">
        <f>IFERROR(I113/'from CP sheet'!I54,"-")</f>
        <v>-</v>
      </c>
      <c r="J132" s="163" t="str">
        <f>IFERROR(J113/'from CP sheet'!J54,"-")</f>
        <v>-</v>
      </c>
      <c r="K132" s="164">
        <f>IFERROR(K113/'from CP sheet'!K54,"-")</f>
        <v>7.3000000010104005</v>
      </c>
      <c r="L132" s="165">
        <f>IFERROR(L113/'from CP sheet'!L54,"-")</f>
        <v>7.300000005438374</v>
      </c>
      <c r="M132" s="163" t="str">
        <f>IFERROR(M113/'from CP sheet'!M54,"-")</f>
        <v>-</v>
      </c>
      <c r="N132" s="163" t="str">
        <f>IFERROR(N113/'from CP sheet'!N54,"-")</f>
        <v>-</v>
      </c>
      <c r="O132" s="163" t="str">
        <f>IFERROR(O113/'from CP sheet'!O54,"-")</f>
        <v>-</v>
      </c>
      <c r="P132" s="164" t="str">
        <f>IFERROR(P113/'from CP sheet'!P54,"-")</f>
        <v>-</v>
      </c>
      <c r="Q132" s="165">
        <f>IFERROR(Q113/'from CP sheet'!Q54,"-")</f>
        <v>7.300000005438374</v>
      </c>
      <c r="R132" s="163" t="str">
        <f>IFERROR(R113/'from CP sheet'!R54,"-")</f>
        <v>-</v>
      </c>
      <c r="S132" s="163" t="str">
        <f>IFERROR(S113/'from CP sheet'!S54,"-")</f>
        <v>-</v>
      </c>
      <c r="T132" s="163" t="str">
        <f>IFERROR(T113/'from CP sheet'!T54,"-")</f>
        <v>-</v>
      </c>
      <c r="U132" s="164" t="str">
        <f>IFERROR(U113/'from CP sheet'!U54,"-")</f>
        <v>-</v>
      </c>
      <c r="V132" s="165">
        <v>7.3000022119061292</v>
      </c>
      <c r="W132" s="443">
        <f>HLOOKUP($W$120,carryforward_cf!$C$9:$G$26,carryforward_cf!B22,FALSE)</f>
        <v>7.3000022119061292</v>
      </c>
    </row>
    <row r="133" spans="3:23" ht="15.75">
      <c r="C133" s="144" t="s">
        <v>68</v>
      </c>
      <c r="D133" s="163">
        <f>IFERROR(D114/'from CP sheet'!D55,"-")</f>
        <v>6.7999999494921228</v>
      </c>
      <c r="E133" s="163">
        <f>IFERROR(E114/'from CP sheet'!E55,"-")</f>
        <v>6.8000000558175913</v>
      </c>
      <c r="F133" s="163">
        <f>IFERROR(F114/'from CP sheet'!F55,"-")</f>
        <v>6.8000000542780494</v>
      </c>
      <c r="G133" s="164">
        <f>IFERROR(G114/'from CP sheet'!G55,"-")</f>
        <v>6.8000000186589293</v>
      </c>
      <c r="H133" s="163">
        <f>IFERROR(H114/'from CP sheet'!H55,"-")</f>
        <v>6.8000000659402993</v>
      </c>
      <c r="I133" s="163" t="str">
        <f>IFERROR(I114/'from CP sheet'!I55,"-")</f>
        <v>-</v>
      </c>
      <c r="J133" s="163" t="str">
        <f>IFERROR(J114/'from CP sheet'!J55,"-")</f>
        <v>-</v>
      </c>
      <c r="K133" s="164">
        <f>IFERROR(K114/'from CP sheet'!K55,"-")</f>
        <v>6.8000000659402993</v>
      </c>
      <c r="L133" s="165">
        <f>IFERROR(L114/'from CP sheet'!L55,"-")</f>
        <v>6.8000000302116685</v>
      </c>
      <c r="M133" s="163" t="str">
        <f>IFERROR(M114/'from CP sheet'!M55,"-")</f>
        <v>-</v>
      </c>
      <c r="N133" s="163" t="str">
        <f>IFERROR(N114/'from CP sheet'!N55,"-")</f>
        <v>-</v>
      </c>
      <c r="O133" s="163" t="str">
        <f>IFERROR(O114/'from CP sheet'!O55,"-")</f>
        <v>-</v>
      </c>
      <c r="P133" s="164" t="str">
        <f>IFERROR(P114/'from CP sheet'!P55,"-")</f>
        <v>-</v>
      </c>
      <c r="Q133" s="165">
        <f>IFERROR(Q114/'from CP sheet'!Q55,"-")</f>
        <v>6.8000000302116685</v>
      </c>
      <c r="R133" s="163" t="str">
        <f>IFERROR(R114/'from CP sheet'!R55,"-")</f>
        <v>-</v>
      </c>
      <c r="S133" s="163" t="str">
        <f>IFERROR(S114/'from CP sheet'!S55,"-")</f>
        <v>-</v>
      </c>
      <c r="T133" s="163" t="str">
        <f>IFERROR(T114/'from CP sheet'!T55,"-")</f>
        <v>-</v>
      </c>
      <c r="U133" s="164" t="str">
        <f>IFERROR(U114/'from CP sheet'!U55,"-")</f>
        <v>-</v>
      </c>
      <c r="V133" s="165">
        <v>6.7999686312182712</v>
      </c>
      <c r="W133" s="443">
        <f>HLOOKUP($W$120,carryforward_cf!$C$9:$G$26,carryforward_cf!B23,FALSE)</f>
        <v>6.7999686312182712</v>
      </c>
    </row>
    <row r="134" spans="3:23" ht="15.75">
      <c r="C134" s="144" t="s">
        <v>69</v>
      </c>
      <c r="D134" s="163" t="str">
        <f>IFERROR(D115/'from CP sheet'!D56,"-")</f>
        <v>-</v>
      </c>
      <c r="E134" s="163" t="str">
        <f>IFERROR(E115/'from CP sheet'!E56,"-")</f>
        <v>-</v>
      </c>
      <c r="F134" s="163" t="str">
        <f>IFERROR(F115/'from CP sheet'!F56,"-")</f>
        <v>-</v>
      </c>
      <c r="G134" s="164" t="str">
        <f>IFERROR(G115/'from CP sheet'!G56,"-")</f>
        <v>-</v>
      </c>
      <c r="H134" s="163" t="str">
        <f>IFERROR(H115/'from CP sheet'!H56,"-")</f>
        <v>-</v>
      </c>
      <c r="I134" s="163" t="str">
        <f>IFERROR(I115/'from CP sheet'!I56,"-")</f>
        <v>-</v>
      </c>
      <c r="J134" s="163" t="str">
        <f>IFERROR(J115/'from CP sheet'!J56,"-")</f>
        <v>-</v>
      </c>
      <c r="K134" s="164" t="str">
        <f>IFERROR(K115/'from CP sheet'!K56,"-")</f>
        <v>-</v>
      </c>
      <c r="L134" s="165" t="str">
        <f>IFERROR(L115/'from CP sheet'!L56,"-")</f>
        <v>-</v>
      </c>
      <c r="M134" s="163" t="str">
        <f>IFERROR(M115/'from CP sheet'!M56,"-")</f>
        <v>-</v>
      </c>
      <c r="N134" s="163" t="str">
        <f>IFERROR(N115/'from CP sheet'!N56,"-")</f>
        <v>-</v>
      </c>
      <c r="O134" s="163" t="str">
        <f>IFERROR(O115/'from CP sheet'!O56,"-")</f>
        <v>-</v>
      </c>
      <c r="P134" s="164" t="str">
        <f>IFERROR(P115/'from CP sheet'!P56,"-")</f>
        <v>-</v>
      </c>
      <c r="Q134" s="165" t="str">
        <f>IFERROR(Q115/'from CP sheet'!Q56,"-")</f>
        <v>-</v>
      </c>
      <c r="R134" s="163" t="str">
        <f>IFERROR(R115/'from CP sheet'!R56,"-")</f>
        <v>-</v>
      </c>
      <c r="S134" s="163" t="str">
        <f>IFERROR(S115/'from CP sheet'!S56,"-")</f>
        <v>-</v>
      </c>
      <c r="T134" s="163" t="str">
        <f>IFERROR(T115/'from CP sheet'!T56,"-")</f>
        <v>-</v>
      </c>
      <c r="U134" s="164" t="str">
        <f>IFERROR(U115/'from CP sheet'!U56,"-")</f>
        <v>-</v>
      </c>
      <c r="V134" s="165">
        <v>8.4717747193353503</v>
      </c>
      <c r="W134" s="443">
        <f>HLOOKUP($W$120,carryforward_cf!$C$9:$G$26,carryforward_cf!B24,FALSE)</f>
        <v>8.4717747193353503</v>
      </c>
    </row>
    <row r="135" spans="3:23" ht="15.75">
      <c r="C135" s="144" t="s">
        <v>70</v>
      </c>
      <c r="D135" s="163" t="str">
        <f>IFERROR(D116/'from CP sheet'!D57,"-")</f>
        <v>-</v>
      </c>
      <c r="E135" s="163" t="str">
        <f>IFERROR(E116/'from CP sheet'!E57,"-")</f>
        <v>-</v>
      </c>
      <c r="F135" s="163" t="str">
        <f>IFERROR(F116/'from CP sheet'!F57,"-")</f>
        <v>-</v>
      </c>
      <c r="G135" s="164" t="str">
        <f>IFERROR(G116/'from CP sheet'!G57,"-")</f>
        <v>-</v>
      </c>
      <c r="H135" s="163" t="str">
        <f>IFERROR(H116/'from CP sheet'!H57,"-")</f>
        <v>-</v>
      </c>
      <c r="I135" s="163" t="str">
        <f>IFERROR(I116/'from CP sheet'!I57,"-")</f>
        <v>-</v>
      </c>
      <c r="J135" s="163" t="str">
        <f>IFERROR(J116/'from CP sheet'!J57,"-")</f>
        <v>-</v>
      </c>
      <c r="K135" s="164" t="str">
        <f>IFERROR(K116/'from CP sheet'!K57,"-")</f>
        <v>-</v>
      </c>
      <c r="L135" s="165" t="str">
        <f>IFERROR(L116/'from CP sheet'!L57,"-")</f>
        <v>-</v>
      </c>
      <c r="M135" s="163" t="str">
        <f>IFERROR(M116/'from CP sheet'!M57,"-")</f>
        <v>-</v>
      </c>
      <c r="N135" s="163" t="str">
        <f>IFERROR(N116/'from CP sheet'!N57,"-")</f>
        <v>-</v>
      </c>
      <c r="O135" s="163" t="str">
        <f>IFERROR(O116/'from CP sheet'!O57,"-")</f>
        <v>-</v>
      </c>
      <c r="P135" s="164" t="str">
        <f>IFERROR(P116/'from CP sheet'!P57,"-")</f>
        <v>-</v>
      </c>
      <c r="Q135" s="165" t="str">
        <f>IFERROR(Q116/'from CP sheet'!Q57,"-")</f>
        <v>-</v>
      </c>
      <c r="R135" s="163" t="str">
        <f>IFERROR(R116/'from CP sheet'!R57,"-")</f>
        <v>-</v>
      </c>
      <c r="S135" s="163" t="str">
        <f>IFERROR(S116/'from CP sheet'!S57,"-")</f>
        <v>-</v>
      </c>
      <c r="T135" s="163" t="str">
        <f>IFERROR(T116/'from CP sheet'!T57,"-")</f>
        <v>-</v>
      </c>
      <c r="U135" s="164" t="str">
        <f>IFERROR(U116/'from CP sheet'!U57,"-")</f>
        <v>-</v>
      </c>
      <c r="V135" s="165" t="s">
        <v>56</v>
      </c>
      <c r="W135" s="443" t="str">
        <f>HLOOKUP($W$120,carryforward_cf!$C$9:$G$26,carryforward_cf!B25,FALSE)</f>
        <v>-</v>
      </c>
    </row>
    <row r="136" spans="3:23" ht="15.75">
      <c r="C136" s="145" t="s">
        <v>106</v>
      </c>
      <c r="D136" s="190">
        <f>IFERROR(D117/'from CP sheet'!D58,"-")</f>
        <v>7.3031679236105465</v>
      </c>
      <c r="E136" s="190">
        <f>IFERROR(E117/'from CP sheet'!E58,"-")</f>
        <v>7.289845645182127</v>
      </c>
      <c r="F136" s="190">
        <f>IFERROR(F117/'from CP sheet'!F58,"-")</f>
        <v>7.3795079457519641</v>
      </c>
      <c r="G136" s="191">
        <f>IFERROR(G117/'from CP sheet'!G58,"-")</f>
        <v>7.324099117405237</v>
      </c>
      <c r="H136" s="190">
        <f>IFERROR(H117/'from CP sheet'!H58,"-")</f>
        <v>7.3356934710108446</v>
      </c>
      <c r="I136" s="190" t="str">
        <f>IFERROR(I117/'from CP sheet'!I58,"-")</f>
        <v>-</v>
      </c>
      <c r="J136" s="190" t="str">
        <f>IFERROR(J117/'from CP sheet'!J58,"-")</f>
        <v>-</v>
      </c>
      <c r="K136" s="191">
        <f>IFERROR(K117/'from CP sheet'!K58,"-")</f>
        <v>7.3356934710108446</v>
      </c>
      <c r="L136" s="192">
        <f>IFERROR(L117/'from CP sheet'!L58,"-")</f>
        <v>7.3270763563789609</v>
      </c>
      <c r="M136" s="190" t="str">
        <f>IFERROR(M117/'from CP sheet'!M58,"-")</f>
        <v>-</v>
      </c>
      <c r="N136" s="190" t="str">
        <f>IFERROR(N117/'from CP sheet'!N58,"-")</f>
        <v>-</v>
      </c>
      <c r="O136" s="190" t="str">
        <f>IFERROR(O117/'from CP sheet'!O58,"-")</f>
        <v>-</v>
      </c>
      <c r="P136" s="191" t="str">
        <f>IFERROR(P117/'from CP sheet'!P58,"-")</f>
        <v>-</v>
      </c>
      <c r="Q136" s="192">
        <f>IFERROR(Q117/'from CP sheet'!Q58,"-")</f>
        <v>7.3270763563789609</v>
      </c>
      <c r="R136" s="190" t="str">
        <f>IFERROR(R117/'from CP sheet'!R58,"-")</f>
        <v>-</v>
      </c>
      <c r="S136" s="190" t="str">
        <f>IFERROR(S117/'from CP sheet'!S58,"-")</f>
        <v>-</v>
      </c>
      <c r="T136" s="190" t="str">
        <f>IFERROR(T117/'from CP sheet'!T58,"-")</f>
        <v>-</v>
      </c>
      <c r="U136" s="191" t="str">
        <f>IFERROR(U117/'from CP sheet'!U58,"-")</f>
        <v>-</v>
      </c>
      <c r="V136" s="192">
        <v>7.3457664690888214</v>
      </c>
      <c r="W136" s="443">
        <f>HLOOKUP($W$120,carryforward_cf!$C$9:$G$26,carryforward_cf!B26,FALSE)</f>
        <v>7.3457664690888214</v>
      </c>
    </row>
    <row r="140" spans="3:23">
      <c r="D140" s="289"/>
      <c r="E140" s="289"/>
      <c r="F140" s="289"/>
      <c r="G140" s="289"/>
      <c r="H140" s="289"/>
      <c r="I140" s="289"/>
      <c r="J140" s="289"/>
      <c r="K140" s="289"/>
      <c r="L140" s="289"/>
      <c r="M140" s="289"/>
      <c r="N140" s="289"/>
      <c r="O140" s="289"/>
      <c r="P140" s="289"/>
      <c r="Q140" s="289"/>
      <c r="R140" s="289"/>
      <c r="S140" s="289"/>
      <c r="T140" s="289"/>
      <c r="U140" s="289"/>
      <c r="V140" s="289"/>
    </row>
    <row r="141" spans="3:23">
      <c r="D141" s="289"/>
      <c r="E141" s="289"/>
      <c r="F141" s="289"/>
      <c r="G141" s="289"/>
      <c r="H141" s="289"/>
      <c r="I141" s="289"/>
      <c r="J141" s="289"/>
      <c r="K141" s="289"/>
      <c r="L141" s="289"/>
      <c r="M141" s="289"/>
      <c r="N141" s="289"/>
      <c r="O141" s="289"/>
      <c r="P141" s="289"/>
      <c r="Q141" s="289"/>
      <c r="R141" s="289"/>
      <c r="S141" s="289"/>
      <c r="T141" s="289"/>
      <c r="U141" s="289"/>
      <c r="V141" s="289"/>
    </row>
    <row r="144" spans="3:23">
      <c r="C144" s="166" t="s">
        <v>107</v>
      </c>
      <c r="D144" s="144" t="s">
        <v>30</v>
      </c>
      <c r="E144" s="144" t="s">
        <v>71</v>
      </c>
      <c r="F144" s="144" t="s">
        <v>72</v>
      </c>
      <c r="G144" s="193" t="s">
        <v>82</v>
      </c>
      <c r="H144" s="144" t="s">
        <v>73</v>
      </c>
      <c r="I144" s="144" t="s">
        <v>74</v>
      </c>
      <c r="J144" s="144" t="s">
        <v>75</v>
      </c>
      <c r="K144" s="193" t="s">
        <v>83</v>
      </c>
      <c r="L144" s="148" t="s">
        <v>39</v>
      </c>
      <c r="M144" s="144" t="s">
        <v>76</v>
      </c>
      <c r="N144" s="144" t="s">
        <v>77</v>
      </c>
      <c r="O144" s="144" t="s">
        <v>78</v>
      </c>
      <c r="P144" s="148" t="s">
        <v>84</v>
      </c>
      <c r="Q144" s="162" t="s">
        <v>85</v>
      </c>
      <c r="R144" s="144" t="s">
        <v>79</v>
      </c>
      <c r="S144" s="144" t="s">
        <v>80</v>
      </c>
      <c r="T144" s="144" t="s">
        <v>81</v>
      </c>
      <c r="U144" s="193" t="s">
        <v>86</v>
      </c>
      <c r="V144" s="148" t="s">
        <v>87</v>
      </c>
    </row>
    <row r="145" spans="1:23">
      <c r="C145" s="184" t="s">
        <v>104</v>
      </c>
      <c r="D145" s="194">
        <f>IFERROR(D117/'from CP sheet'!D20,"-")</f>
        <v>0.13678792520636171</v>
      </c>
      <c r="E145" s="194">
        <f>IFERROR(E117/'from CP sheet'!E20,"-")</f>
        <v>0.1350986221681954</v>
      </c>
      <c r="F145" s="194">
        <f>IFERROR(F117/'from CP sheet'!F20,"-")</f>
        <v>0.12182092301914496</v>
      </c>
      <c r="G145" s="195">
        <f>IFERROR(G117/'from CP sheet'!G20,"-")</f>
        <v>0.13083446358673656</v>
      </c>
      <c r="H145" s="194">
        <f>IFERROR(H117/'from CP sheet'!H20,"-")</f>
        <v>0.12976872818607521</v>
      </c>
      <c r="I145" s="194" t="str">
        <f>IFERROR(I117/'from CP sheet'!I20,"-")</f>
        <v>-</v>
      </c>
      <c r="J145" s="194" t="str">
        <f>IFERROR(J117/'from CP sheet'!J20,"-")</f>
        <v>-</v>
      </c>
      <c r="K145" s="195">
        <f>IFERROR(K117/'from CP sheet'!K20,"-")</f>
        <v>0.12976872818607521</v>
      </c>
      <c r="L145" s="196">
        <f>IFERROR(L117/'from CP sheet'!L20,"-")</f>
        <v>0.13055881032221228</v>
      </c>
      <c r="M145" s="194" t="str">
        <f>IFERROR(M117/'from CP sheet'!M20,"-")</f>
        <v>-</v>
      </c>
      <c r="N145" s="194" t="str">
        <f>IFERROR(N117/'from CP sheet'!N20,"-")</f>
        <v>-</v>
      </c>
      <c r="O145" s="194" t="str">
        <f>IFERROR(O117/'from CP sheet'!O20,"-")</f>
        <v>-</v>
      </c>
      <c r="P145" s="196" t="str">
        <f>IFERROR(P117/'from CP sheet'!P20,"-")</f>
        <v>-</v>
      </c>
      <c r="Q145" s="194">
        <f>IFERROR(Q117/'from CP sheet'!Q20,"-")</f>
        <v>0.13055881032221228</v>
      </c>
      <c r="R145" s="194" t="str">
        <f>IFERROR(R117/'from CP sheet'!R20,"-")</f>
        <v>-</v>
      </c>
      <c r="S145" s="194" t="str">
        <f>IFERROR(S117/'from CP sheet'!S20,"-")</f>
        <v>-</v>
      </c>
      <c r="T145" s="194" t="str">
        <f>IFERROR(T117/'from CP sheet'!T20,"-")</f>
        <v>-</v>
      </c>
      <c r="U145" s="195" t="str">
        <f>IFERROR(U117/'from CP sheet'!U20,"-")</f>
        <v>-</v>
      </c>
      <c r="V145" s="196">
        <f>IFERROR(V117/'from CP sheet'!V20,"-")</f>
        <v>0.13055881032221228</v>
      </c>
    </row>
    <row r="146" spans="1:23">
      <c r="C146" s="184" t="s">
        <v>105</v>
      </c>
      <c r="D146" s="194">
        <f>IFERROR((D77*1000)/'from CP sheet'!D38,"-")</f>
        <v>0.15869956934797894</v>
      </c>
      <c r="E146" s="194">
        <f>IFERROR((E77*1000)/'from CP sheet'!E38,"-")</f>
        <v>0.15820524640119818</v>
      </c>
      <c r="F146" s="194">
        <f>IFERROR((F77*1000)/'from CP sheet'!F38,"-")</f>
        <v>0.16158795570038442</v>
      </c>
      <c r="G146" s="195">
        <f>IFERROR((G77*1000)/'from CP sheet'!G38,"-")</f>
        <v>0.15945742991829179</v>
      </c>
      <c r="H146" s="194">
        <f>IFERROR((H77*1000)/'from CP sheet'!H38,"-")</f>
        <v>0.17278167825693755</v>
      </c>
      <c r="I146" s="194" t="str">
        <f>IFERROR((I77*1000)/'from CP sheet'!I38,"-")</f>
        <v>-</v>
      </c>
      <c r="J146" s="194" t="str">
        <f>IFERROR((J77*1000)/'from CP sheet'!J38,"-")</f>
        <v>-</v>
      </c>
      <c r="K146" s="195">
        <f>IFERROR((K77*1000)/'from CP sheet'!K38,"-")</f>
        <v>0.17278167825693755</v>
      </c>
      <c r="L146" s="196">
        <f>IFERROR((L77*1000)/'from CP sheet'!L38,"-")</f>
        <v>0.16243660774326416</v>
      </c>
      <c r="M146" s="194" t="str">
        <f>IFERROR((M77*1000)/'from CP sheet'!M38,"-")</f>
        <v>-</v>
      </c>
      <c r="N146" s="194" t="str">
        <f>IFERROR((N77*1000)/'from CP sheet'!N38,"-")</f>
        <v>-</v>
      </c>
      <c r="O146" s="194" t="str">
        <f>IFERROR((O77*1000)/'from CP sheet'!O38,"-")</f>
        <v>-</v>
      </c>
      <c r="P146" s="196" t="str">
        <f>IFERROR((P77*1000)/'from CP sheet'!P38,"-")</f>
        <v>-</v>
      </c>
      <c r="Q146" s="194">
        <f>IFERROR((Q77*1000)/'from CP sheet'!Q38,"-")</f>
        <v>0.16243660774326416</v>
      </c>
      <c r="R146" s="194" t="str">
        <f>IFERROR((R77*1000)/'from CP sheet'!R38,"-")</f>
        <v>-</v>
      </c>
      <c r="S146" s="194" t="str">
        <f>IFERROR((S77*1000)/'from CP sheet'!S38,"-")</f>
        <v>-</v>
      </c>
      <c r="T146" s="194" t="str">
        <f>IFERROR((T77*1000)/'from CP sheet'!T38,"-")</f>
        <v>-</v>
      </c>
      <c r="U146" s="195" t="str">
        <f>IFERROR((U77*1000)/'from CP sheet'!U38,"-")</f>
        <v>-</v>
      </c>
      <c r="V146" s="196">
        <f>IFERROR((V77*1000)/'from CP sheet'!V38,"-")</f>
        <v>0.16243660774326416</v>
      </c>
    </row>
    <row r="151" spans="1:23">
      <c r="D151" t="s">
        <v>1442</v>
      </c>
    </row>
    <row r="157" spans="1:23" s="443" customFormat="1">
      <c r="A157" s="443" t="s">
        <v>502</v>
      </c>
    </row>
    <row r="158" spans="1:23" s="443" customFormat="1">
      <c r="A158" s="443" t="s">
        <v>502</v>
      </c>
      <c r="D158" s="443">
        <v>1</v>
      </c>
      <c r="E158" s="443">
        <v>2</v>
      </c>
      <c r="F158" s="443">
        <v>3</v>
      </c>
      <c r="H158" s="443">
        <v>4</v>
      </c>
      <c r="I158" s="443">
        <v>5</v>
      </c>
      <c r="J158" s="443">
        <v>6</v>
      </c>
      <c r="M158" s="443">
        <v>7</v>
      </c>
      <c r="N158" s="443">
        <v>8</v>
      </c>
      <c r="O158" s="443">
        <v>9</v>
      </c>
      <c r="R158" s="443">
        <v>10</v>
      </c>
      <c r="S158" s="443">
        <v>11</v>
      </c>
      <c r="T158" s="443">
        <v>12</v>
      </c>
      <c r="W158" s="443">
        <v>-99</v>
      </c>
    </row>
    <row r="159" spans="1:23" s="443" customFormat="1">
      <c r="A159" s="443" t="s">
        <v>502</v>
      </c>
      <c r="D159" s="443">
        <f>IF(CF_lat!$F$2='Processed_Reconciled Prod'!D158,1,0)</f>
        <v>0</v>
      </c>
      <c r="E159" s="443">
        <f>IF(CF_lat!$F$2='Processed_Reconciled Prod'!E158,1,0)</f>
        <v>0</v>
      </c>
      <c r="F159" s="443">
        <f>IF(CF_lat!$F$2='Processed_Reconciled Prod'!F158,1,0)</f>
        <v>0</v>
      </c>
      <c r="H159" s="443">
        <f>IF(CF_lat!$F$2='Processed_Reconciled Prod'!H158,1,0)</f>
        <v>1</v>
      </c>
      <c r="I159" s="443">
        <f>IF(CF_lat!$F$2='Processed_Reconciled Prod'!I158,1,0)</f>
        <v>0</v>
      </c>
      <c r="J159" s="443">
        <f>IF(CF_lat!$F$2='Processed_Reconciled Prod'!J158,1,0)</f>
        <v>0</v>
      </c>
      <c r="M159" s="443">
        <f>IF(CF_lat!$F$2='Processed_Reconciled Prod'!M158,1,0)</f>
        <v>0</v>
      </c>
      <c r="N159" s="443">
        <f>IF(CF_lat!$F$2='Processed_Reconciled Prod'!N158,1,0)</f>
        <v>0</v>
      </c>
      <c r="O159" s="443">
        <f>IF(CF_lat!$F$2='Processed_Reconciled Prod'!O158,1,0)</f>
        <v>0</v>
      </c>
      <c r="R159" s="443">
        <f>IF(CF_lat!$F$2='Processed_Reconciled Prod'!R158,1,0)</f>
        <v>0</v>
      </c>
      <c r="S159" s="443">
        <f>IF(CF_lat!$F$2='Processed_Reconciled Prod'!S158,1,0)</f>
        <v>0</v>
      </c>
      <c r="T159" s="443">
        <f>IF(CF_lat!$F$2='Processed_Reconciled Prod'!T158,1,0)</f>
        <v>0</v>
      </c>
      <c r="W159" s="443">
        <f>IF(CF_lat!$F$2='Processed_Reconciled Prod'!W158,1,0)</f>
        <v>0</v>
      </c>
    </row>
    <row r="160" spans="1:23" s="443" customFormat="1">
      <c r="A160" s="443" t="s">
        <v>502</v>
      </c>
    </row>
  </sheetData>
  <mergeCells count="7">
    <mergeCell ref="C120:V120"/>
    <mergeCell ref="C4:V4"/>
    <mergeCell ref="C22:V22"/>
    <mergeCell ref="C42:V42"/>
    <mergeCell ref="C61:V61"/>
    <mergeCell ref="C82:V82"/>
    <mergeCell ref="C101:V101"/>
  </mergeCells>
  <phoneticPr fontId="14" type="noConversion"/>
  <pageMargins left="0.7" right="0.7" top="0.75" bottom="0.75" header="0.3" footer="0.3"/>
  <pageSetup scale="3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print="0" autoFill="0" autoPict="0" macro="[0]!EXPORT_ACTIVE_SHEET">
                <anchor moveWithCells="1" sizeWithCells="1">
                  <from>
                    <xdr:col>23</xdr:col>
                    <xdr:colOff>561975</xdr:colOff>
                    <xdr:row>18</xdr:row>
                    <xdr:rowOff>76200</xdr:rowOff>
                  </from>
                  <to>
                    <xdr:col>25</xdr:col>
                    <xdr:colOff>523875</xdr:colOff>
                    <xdr:row>22</xdr:row>
                    <xdr:rowOff>123825</xdr:rowOff>
                  </to>
                </anchor>
              </controlPr>
            </control>
          </mc:Choice>
        </mc:AlternateContent>
        <mc:AlternateContent xmlns:mc="http://schemas.openxmlformats.org/markup-compatibility/2006">
          <mc:Choice Requires="x14">
            <control shapeId="118786" r:id="rId5" name="Button 2">
              <controlPr defaultSize="0" print="0" autoFill="0" autoPict="0" macro="[0]!Back_to_Dashboard">
                <anchor moveWithCells="1" sizeWithCells="1">
                  <from>
                    <xdr:col>23</xdr:col>
                    <xdr:colOff>542925</xdr:colOff>
                    <xdr:row>24</xdr:row>
                    <xdr:rowOff>190500</xdr:rowOff>
                  </from>
                  <to>
                    <xdr:col>25</xdr:col>
                    <xdr:colOff>561975</xdr:colOff>
                    <xdr:row>29</xdr:row>
                    <xdr:rowOff>28575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rgb="FF92D050"/>
  </sheetPr>
  <dimension ref="A1:AC110"/>
  <sheetViews>
    <sheetView workbookViewId="0"/>
  </sheetViews>
  <sheetFormatPr defaultColWidth="8.85546875" defaultRowHeight="15"/>
  <cols>
    <col min="3" max="3" width="10.7109375" bestFit="1" customWidth="1"/>
    <col min="4" max="4" width="13.42578125" customWidth="1"/>
    <col min="5" max="5" width="12.85546875" customWidth="1"/>
    <col min="6" max="6" width="12.28515625" customWidth="1"/>
    <col min="7" max="7" width="13.28515625" customWidth="1"/>
    <col min="8" max="8" width="12.42578125" customWidth="1"/>
    <col min="9" max="9" width="13" customWidth="1"/>
    <col min="10" max="10" width="13.42578125" customWidth="1"/>
    <col min="11" max="12" width="12" customWidth="1"/>
    <col min="13" max="13" width="11.42578125" customWidth="1"/>
    <col min="14" max="14" width="13.42578125" customWidth="1"/>
    <col min="15" max="15" width="12" customWidth="1"/>
    <col min="16" max="16" width="12.140625" customWidth="1"/>
    <col min="17" max="17" width="12" customWidth="1"/>
    <col min="18" max="18" width="14.28515625" customWidth="1"/>
    <col min="19" max="19" width="12.140625" customWidth="1"/>
    <col min="20" max="20" width="13.28515625" customWidth="1"/>
    <col min="21" max="21" width="14.140625" customWidth="1"/>
    <col min="22" max="22" width="14.7109375" customWidth="1"/>
    <col min="25" max="25" width="7.42578125" style="443" customWidth="1"/>
    <col min="26" max="26" width="9.42578125" style="443" hidden="1" customWidth="1"/>
    <col min="27" max="27" width="7.28515625" style="443" hidden="1" customWidth="1"/>
    <col min="28" max="28" width="11.85546875" style="443" hidden="1" customWidth="1"/>
    <col min="29" max="29" width="0" hidden="1" customWidth="1"/>
  </cols>
  <sheetData>
    <row r="1" spans="1:27">
      <c r="A1">
        <f>interFY_transition!D21-1</f>
        <v>2025</v>
      </c>
      <c r="K1" t="str">
        <f>Dropdowns!D406</f>
        <v>(rounded)</v>
      </c>
      <c r="Y1" s="443" t="s">
        <v>503</v>
      </c>
    </row>
    <row r="2" spans="1:27">
      <c r="A2">
        <f>interFY_transition!D22-1</f>
        <v>2026</v>
      </c>
      <c r="H2" t="s">
        <v>848</v>
      </c>
      <c r="K2" s="492" t="str">
        <f>interFY_transition!D88</f>
        <v>FY 2025-26</v>
      </c>
      <c r="M2" t="s">
        <v>899</v>
      </c>
      <c r="Z2" s="443">
        <f>prod_compiled!AA78</f>
        <v>5</v>
      </c>
      <c r="AA2" s="443" t="s">
        <v>362</v>
      </c>
    </row>
    <row r="3" spans="1:27">
      <c r="Z3" s="443">
        <f>prod_compiled!AA79</f>
        <v>2</v>
      </c>
      <c r="AA3" s="443" t="s">
        <v>361</v>
      </c>
    </row>
    <row r="4" spans="1:27">
      <c r="C4" s="1110" t="s">
        <v>88</v>
      </c>
      <c r="D4" s="1171"/>
      <c r="E4" s="1171"/>
      <c r="F4" s="1171"/>
      <c r="G4" s="1171"/>
      <c r="H4" s="1171"/>
      <c r="I4" s="1171"/>
      <c r="J4" s="1171"/>
      <c r="K4" s="1171"/>
      <c r="L4" s="1171"/>
      <c r="M4" s="1171"/>
      <c r="N4" s="1171"/>
      <c r="O4" s="1171"/>
      <c r="P4" s="1171"/>
      <c r="Q4" s="1171"/>
      <c r="R4" s="1171"/>
      <c r="S4" s="1171"/>
      <c r="T4" s="1171"/>
      <c r="U4" s="1171"/>
      <c r="V4" s="1112"/>
    </row>
    <row r="5" spans="1:27">
      <c r="C5" s="144"/>
      <c r="D5" s="144" t="str">
        <f>HLOOKUP(D$109,Storage_Reconciled_prod_chosen!$D$7:$CU$23,Storage_Reconciled_prod_chosen!$C8,FALSE)</f>
        <v>Apr'25</v>
      </c>
      <c r="E5" s="144" t="str">
        <f>HLOOKUP(E$109,Storage_Reconciled_prod_chosen!$D$7:$CU$23,Storage_Reconciled_prod_chosen!$C8,FALSE)</f>
        <v>May'25</v>
      </c>
      <c r="F5" s="144" t="str">
        <f>HLOOKUP(F$109,Storage_Reconciled_prod_chosen!$D$7:$CU$23,Storage_Reconciled_prod_chosen!$C8,FALSE)</f>
        <v>Jun'25</v>
      </c>
      <c r="G5" s="142" t="str">
        <f>HLOOKUP(G$109,Storage_Reconciled_prod_chosen!$D$7:$CU$23,Storage_Reconciled_prod_chosen!$C8,FALSE)</f>
        <v>Q1 25-26</v>
      </c>
      <c r="H5" s="144" t="str">
        <f>HLOOKUP(H$109,Storage_Reconciled_prod_chosen!$D$7:$CU$23,Storage_Reconciled_prod_chosen!$C8,FALSE)</f>
        <v>Jul'25</v>
      </c>
      <c r="I5" s="144" t="str">
        <f>HLOOKUP(I$109,Storage_Reconciled_prod_chosen!$D$7:$CU$23,Storage_Reconciled_prod_chosen!$C8,FALSE)</f>
        <v>Aug'25</v>
      </c>
      <c r="J5" s="144" t="str">
        <f>HLOOKUP(J$109,Storage_Reconciled_prod_chosen!$D$7:$CU$23,Storage_Reconciled_prod_chosen!$C8,FALSE)</f>
        <v>Sep'25</v>
      </c>
      <c r="K5" s="142" t="str">
        <f>HLOOKUP(K$109,Storage_Reconciled_prod_chosen!$D$7:$CU$23,Storage_Reconciled_prod_chosen!$C8,FALSE)</f>
        <v>Q2 25-26</v>
      </c>
      <c r="L5" s="166" t="str">
        <f>HLOOKUP(L$109,Storage_Reconciled_prod_chosen!$D$7:$CU$23,Storage_Reconciled_prod_chosen!$C8,FALSE)</f>
        <v>H1 25-26</v>
      </c>
      <c r="M5" s="144" t="str">
        <f>HLOOKUP(M$109,Storage_Reconciled_prod_chosen!$D$7:$CU$23,Storage_Reconciled_prod_chosen!$C8,FALSE)</f>
        <v>Oct'25</v>
      </c>
      <c r="N5" s="144" t="str">
        <f>HLOOKUP(N$109,Storage_Reconciled_prod_chosen!$D$7:$CU$23,Storage_Reconciled_prod_chosen!$C8,FALSE)</f>
        <v>Nov'25</v>
      </c>
      <c r="O5" s="144" t="str">
        <f>HLOOKUP(O$109,Storage_Reconciled_prod_chosen!$D$7:$CU$23,Storage_Reconciled_prod_chosen!$C8,FALSE)</f>
        <v>Dec'25</v>
      </c>
      <c r="P5" s="142" t="str">
        <f>HLOOKUP(P$109,Storage_Reconciled_prod_chosen!$D$7:$CU$23,Storage_Reconciled_prod_chosen!$C8,FALSE)</f>
        <v>Q3 25-26</v>
      </c>
      <c r="Q5" s="166" t="str">
        <f>HLOOKUP(Q$109,Storage_Reconciled_prod_chosen!$D$7:$CU$23,Storage_Reconciled_prod_chosen!$C8,FALSE)</f>
        <v>9M 25-26</v>
      </c>
      <c r="R5" s="144" t="str">
        <f>HLOOKUP(R$109,Storage_Reconciled_prod_chosen!$D$7:$CU$23,Storage_Reconciled_prod_chosen!$C8,FALSE)</f>
        <v>Jan'26</v>
      </c>
      <c r="S5" s="144" t="str">
        <f>HLOOKUP(S$109,Storage_Reconciled_prod_chosen!$D$7:$CU$23,Storage_Reconciled_prod_chosen!$C8,FALSE)</f>
        <v>Feb'26</v>
      </c>
      <c r="T5" s="144" t="str">
        <f>HLOOKUP(T$109,Storage_Reconciled_prod_chosen!$D$7:$CU$23,Storage_Reconciled_prod_chosen!$C8,FALSE)</f>
        <v>Mar'26</v>
      </c>
      <c r="U5" s="142" t="str">
        <f>HLOOKUP(U$109,Storage_Reconciled_prod_chosen!$D$7:$CU$23,Storage_Reconciled_prod_chosen!$C8,FALSE)</f>
        <v>Q4 25-26</v>
      </c>
      <c r="V5" s="166" t="str">
        <f>HLOOKUP(V$109,Storage_Reconciled_prod_chosen!$D$7:$CU$23,Storage_Reconciled_prod_chosen!$C8,FALSE)</f>
        <v>25-26</v>
      </c>
      <c r="Z5" s="443" t="s">
        <v>359</v>
      </c>
      <c r="AA5" s="443" t="s">
        <v>360</v>
      </c>
    </row>
    <row r="6" spans="1:27" ht="15.75">
      <c r="C6" s="144" t="s">
        <v>60</v>
      </c>
      <c r="D6" s="141">
        <f>HLOOKUP(D$109,Storage_Reconciled_prod_chosen!$D$7:$CU$23,Storage_Reconciled_prod_chosen!$C9,FALSE)</f>
        <v>153256.93333333332</v>
      </c>
      <c r="E6" s="141">
        <f>HLOOKUP(E$109,Storage_Reconciled_prod_chosen!$D$7:$CU$23,Storage_Reconciled_prod_chosen!$C9,FALSE)</f>
        <v>138294.45161290321</v>
      </c>
      <c r="F6" s="141">
        <f>HLOOKUP(F$109,Storage_Reconciled_prod_chosen!$D$7:$CU$23,Storage_Reconciled_prod_chosen!$C9,FALSE)</f>
        <v>133238.93333333332</v>
      </c>
      <c r="G6" s="143">
        <f>HLOOKUP(G$109,Storage_Reconciled_prod_chosen!$D$7:$CU$23,Storage_Reconciled_prod_chosen!$C9,FALSE)</f>
        <v>141560.48351648351</v>
      </c>
      <c r="H6" s="141">
        <f>HLOOKUP(H$109,Storage_Reconciled_prod_chosen!$D$7:$CU$23,Storage_Reconciled_prod_chosen!$C9,FALSE)</f>
        <v>133465.48387096773</v>
      </c>
      <c r="I6" s="141">
        <f>HLOOKUP(I$109,Storage_Reconciled_prod_chosen!$D$7:$CU$23,Storage_Reconciled_prod_chosen!$C9,FALSE)</f>
        <v>31854.806451612902</v>
      </c>
      <c r="J6" s="141">
        <f>HLOOKUP(J$109,Storage_Reconciled_prod_chosen!$D$7:$CU$23,Storage_Reconciled_prod_chosen!$C9,FALSE)</f>
        <v>141057.83333333334</v>
      </c>
      <c r="K6" s="143">
        <f>HLOOKUP(K$109,Storage_Reconciled_prod_chosen!$D$7:$CU$23,Storage_Reconciled_prod_chosen!$C9,FALSE)</f>
        <v>101702.86956521739</v>
      </c>
      <c r="L6" s="167">
        <f>HLOOKUP(L$109,Storage_Reconciled_prod_chosen!$D$7:$CU$23,Storage_Reconciled_prod_chosen!$C9,FALSE)</f>
        <v>121522.77595628415</v>
      </c>
      <c r="M6" s="141">
        <f>HLOOKUP(M$109,Storage_Reconciled_prod_chosen!$D$7:$CU$23,Storage_Reconciled_prod_chosen!$C9,FALSE)</f>
        <v>142110.25806451612</v>
      </c>
      <c r="N6" s="141">
        <f>HLOOKUP(N$109,Storage_Reconciled_prod_chosen!$D$7:$CU$23,Storage_Reconciled_prod_chosen!$C9,FALSE)</f>
        <v>150871.33333333334</v>
      </c>
      <c r="O6" s="141">
        <f>HLOOKUP(O$109,Storage_Reconciled_prod_chosen!$D$7:$CU$23,Storage_Reconciled_prod_chosen!$C9,FALSE)</f>
        <v>152047.96774193548</v>
      </c>
      <c r="P6" s="143">
        <f>HLOOKUP(P$109,Storage_Reconciled_prod_chosen!$D$7:$CU$23,Storage_Reconciled_prod_chosen!$C9,FALSE)</f>
        <v>148315.70652173914</v>
      </c>
      <c r="Q6" s="167">
        <f>HLOOKUP(Q$109,Storage_Reconciled_prod_chosen!$D$7:$CU$23,Storage_Reconciled_prod_chosen!$C9,FALSE)</f>
        <v>130486.2290909091</v>
      </c>
      <c r="R6" s="141">
        <f>HLOOKUP(R$109,Storage_Reconciled_prod_chosen!$D$7:$CU$23,Storage_Reconciled_prod_chosen!$C9,FALSE)</f>
        <v>174168.06451612903</v>
      </c>
      <c r="S6" s="141">
        <f>HLOOKUP(S$109,Storage_Reconciled_prod_chosen!$D$7:$CU$23,Storage_Reconciled_prod_chosen!$C9,FALSE)</f>
        <v>184934.14285714287</v>
      </c>
      <c r="T6" s="141">
        <f>HLOOKUP(T$109,Storage_Reconciled_prod_chosen!$D$7:$CU$23,Storage_Reconciled_prod_chosen!$C9,FALSE)</f>
        <v>0</v>
      </c>
      <c r="U6" s="143">
        <f>HLOOKUP(U$109,Storage_Reconciled_prod_chosen!$D$7:$CU$23,Storage_Reconciled_prod_chosen!$C9,FALSE)</f>
        <v>117526.28888888888</v>
      </c>
      <c r="V6" s="167">
        <f>HLOOKUP(V$109,Storage_Reconciled_prod_chosen!$D$7:$CU$23,Storage_Reconciled_prod_chosen!$C9,FALSE)</f>
        <v>127290.62739726028</v>
      </c>
      <c r="Z6" s="443">
        <f>SUMIF($D$103:$V$103,$Z$2,$D6:$V6)</f>
        <v>31854.806451612902</v>
      </c>
      <c r="AA6" s="443">
        <f>SUMIF($D$104:$V$104,$Z$3,$D6:$V6)</f>
        <v>101702.86956521739</v>
      </c>
    </row>
    <row r="7" spans="1:27" ht="15.75">
      <c r="C7" s="144" t="s">
        <v>61</v>
      </c>
      <c r="D7" s="141">
        <f>HLOOKUP(D$109,Storage_Reconciled_prod_chosen!$D$7:$CU$23,Storage_Reconciled_prod_chosen!$C10,FALSE)</f>
        <v>169628.7</v>
      </c>
      <c r="E7" s="141">
        <f>HLOOKUP(E$109,Storage_Reconciled_prod_chosen!$D$7:$CU$23,Storage_Reconciled_prod_chosen!$C10,FALSE)</f>
        <v>168812.77419354839</v>
      </c>
      <c r="F7" s="141">
        <f>HLOOKUP(F$109,Storage_Reconciled_prod_chosen!$D$7:$CU$23,Storage_Reconciled_prod_chosen!$C10,FALSE)</f>
        <v>168850.03333333333</v>
      </c>
      <c r="G7" s="143">
        <f>HLOOKUP(G$109,Storage_Reconciled_prod_chosen!$D$7:$CU$23,Storage_Reconciled_prod_chosen!$C10,FALSE)</f>
        <v>169094.04395604396</v>
      </c>
      <c r="H7" s="141">
        <f>HLOOKUP(H$109,Storage_Reconciled_prod_chosen!$D$7:$CU$23,Storage_Reconciled_prod_chosen!$C10,FALSE)</f>
        <v>166841.80645161291</v>
      </c>
      <c r="I7" s="141">
        <f>HLOOKUP(I$109,Storage_Reconciled_prod_chosen!$D$7:$CU$23,Storage_Reconciled_prod_chosen!$C10,FALSE)</f>
        <v>165807.67741935485</v>
      </c>
      <c r="J7" s="141">
        <f>HLOOKUP(J$109,Storage_Reconciled_prod_chosen!$D$7:$CU$23,Storage_Reconciled_prod_chosen!$C10,FALSE)</f>
        <v>165987.66666666666</v>
      </c>
      <c r="K7" s="143">
        <f>HLOOKUP(K$109,Storage_Reconciled_prod_chosen!$D$7:$CU$23,Storage_Reconciled_prod_chosen!$C10,FALSE)</f>
        <v>166214.82608695651</v>
      </c>
      <c r="L7" s="167">
        <f>HLOOKUP(L$109,Storage_Reconciled_prod_chosen!$D$7:$CU$23,Storage_Reconciled_prod_chosen!$C10,FALSE)</f>
        <v>167646.56830601091</v>
      </c>
      <c r="M7" s="141">
        <f>HLOOKUP(M$109,Storage_Reconciled_prod_chosen!$D$7:$CU$23,Storage_Reconciled_prod_chosen!$C10,FALSE)</f>
        <v>165006.4193548387</v>
      </c>
      <c r="N7" s="141">
        <f>HLOOKUP(N$109,Storage_Reconciled_prod_chosen!$D$7:$CU$23,Storage_Reconciled_prod_chosen!$C10,FALSE)</f>
        <v>163985.06666666668</v>
      </c>
      <c r="O7" s="141">
        <f>HLOOKUP(O$109,Storage_Reconciled_prod_chosen!$D$7:$CU$23,Storage_Reconciled_prod_chosen!$C10,FALSE)</f>
        <v>161157.12903225806</v>
      </c>
      <c r="P7" s="143">
        <f>HLOOKUP(P$109,Storage_Reconciled_prod_chosen!$D$7:$CU$23,Storage_Reconciled_prod_chosen!$C10,FALSE)</f>
        <v>163376.32608695651</v>
      </c>
      <c r="Q7" s="167">
        <f>HLOOKUP(Q$109,Storage_Reconciled_prod_chosen!$D$7:$CU$23,Storage_Reconciled_prod_chosen!$C10,FALSE)</f>
        <v>166217.97818181818</v>
      </c>
      <c r="R7" s="141">
        <f>HLOOKUP(R$109,Storage_Reconciled_prod_chosen!$D$7:$CU$23,Storage_Reconciled_prod_chosen!$C10,FALSE)</f>
        <v>157926.83870967742</v>
      </c>
      <c r="S7" s="141">
        <f>HLOOKUP(S$109,Storage_Reconciled_prod_chosen!$D$7:$CU$23,Storage_Reconciled_prod_chosen!$C10,FALSE)</f>
        <v>162113.60714285713</v>
      </c>
      <c r="T7" s="141">
        <f>HLOOKUP(T$109,Storage_Reconciled_prod_chosen!$D$7:$CU$23,Storage_Reconciled_prod_chosen!$C10,FALSE)</f>
        <v>0</v>
      </c>
      <c r="U7" s="143">
        <f>HLOOKUP(U$109,Storage_Reconciled_prod_chosen!$D$7:$CU$23,Storage_Reconciled_prod_chosen!$C10,FALSE)</f>
        <v>104832.36666666667</v>
      </c>
      <c r="V7" s="167">
        <f>HLOOKUP(V$109,Storage_Reconciled_prod_chosen!$D$7:$CU$23,Storage_Reconciled_prod_chosen!$C10,FALSE)</f>
        <v>151081.79999999999</v>
      </c>
      <c r="Z7" s="443">
        <f t="shared" ref="Z7:Z20" si="0">SUMIF($D$103:$V$103,$Z$2,$D7:$V7)</f>
        <v>165807.67741935485</v>
      </c>
      <c r="AA7" s="443">
        <f t="shared" ref="AA7:AA20" si="1">SUMIF($D$104:$V$104,$Z$3,$D7:$V7)</f>
        <v>166214.82608695651</v>
      </c>
    </row>
    <row r="8" spans="1:27" ht="15.75">
      <c r="C8" s="144" t="s">
        <v>62</v>
      </c>
      <c r="D8" s="141">
        <f>HLOOKUP(D$109,Storage_Reconciled_prod_chosen!$D$7:$CU$23,Storage_Reconciled_prod_chosen!$C11,FALSE)</f>
        <v>2067.0333333333333</v>
      </c>
      <c r="E8" s="141">
        <f>HLOOKUP(E$109,Storage_Reconciled_prod_chosen!$D$7:$CU$23,Storage_Reconciled_prod_chosen!$C11,FALSE)</f>
        <v>2143.2258064516127</v>
      </c>
      <c r="F8" s="141">
        <f>HLOOKUP(F$109,Storage_Reconciled_prod_chosen!$D$7:$CU$23,Storage_Reconciled_prod_chosen!$C11,FALSE)</f>
        <v>2071.2333333333331</v>
      </c>
      <c r="G8" s="143">
        <f>HLOOKUP(G$109,Storage_Reconciled_prod_chosen!$D$7:$CU$23,Storage_Reconciled_prod_chosen!$C11,FALSE)</f>
        <v>2094.3736263736264</v>
      </c>
      <c r="H8" s="141">
        <f>HLOOKUP(H$109,Storage_Reconciled_prod_chosen!$D$7:$CU$23,Storage_Reconciled_prod_chosen!$C11,FALSE)</f>
        <v>2050.5483870967741</v>
      </c>
      <c r="I8" s="141">
        <f>HLOOKUP(I$109,Storage_Reconciled_prod_chosen!$D$7:$CU$23,Storage_Reconciled_prod_chosen!$C11,FALSE)</f>
        <v>2086.1290322580644</v>
      </c>
      <c r="J8" s="141">
        <f>HLOOKUP(J$109,Storage_Reconciled_prod_chosen!$D$7:$CU$23,Storage_Reconciled_prod_chosen!$C11,FALSE)</f>
        <v>2161.8666666666668</v>
      </c>
      <c r="K8" s="143">
        <f>HLOOKUP(K$109,Storage_Reconciled_prod_chosen!$D$7:$CU$23,Storage_Reconciled_prod_chosen!$C11,FALSE)</f>
        <v>2098.836956521739</v>
      </c>
      <c r="L8" s="167">
        <f>HLOOKUP(L$109,Storage_Reconciled_prod_chosen!$D$7:$CU$23,Storage_Reconciled_prod_chosen!$C11,FALSE)</f>
        <v>2096.6174863387978</v>
      </c>
      <c r="M8" s="141">
        <f>HLOOKUP(M$109,Storage_Reconciled_prod_chosen!$D$7:$CU$23,Storage_Reconciled_prod_chosen!$C11,FALSE)</f>
        <v>2440.6129032258063</v>
      </c>
      <c r="N8" s="141">
        <f>HLOOKUP(N$109,Storage_Reconciled_prod_chosen!$D$7:$CU$23,Storage_Reconciled_prod_chosen!$C11,FALSE)</f>
        <v>2386.5333333333333</v>
      </c>
      <c r="O8" s="141">
        <f>HLOOKUP(O$109,Storage_Reconciled_prod_chosen!$D$7:$CU$23,Storage_Reconciled_prod_chosen!$C11,FALSE)</f>
        <v>2263.3225806451615</v>
      </c>
      <c r="P8" s="143">
        <f>HLOOKUP(P$109,Storage_Reconciled_prod_chosen!$D$7:$CU$23,Storage_Reconciled_prod_chosen!$C11,FALSE)</f>
        <v>2363.2391304347825</v>
      </c>
      <c r="Q8" s="167">
        <f>HLOOKUP(Q$109,Storage_Reconciled_prod_chosen!$D$7:$CU$23,Storage_Reconciled_prod_chosen!$C11,FALSE)</f>
        <v>2185.8145454545456</v>
      </c>
      <c r="R8" s="141">
        <f>HLOOKUP(R$109,Storage_Reconciled_prod_chosen!$D$7:$CU$23,Storage_Reconciled_prod_chosen!$C11,FALSE)</f>
        <v>2181.7419354838707</v>
      </c>
      <c r="S8" s="141">
        <f>HLOOKUP(S$109,Storage_Reconciled_prod_chosen!$D$7:$CU$23,Storage_Reconciled_prod_chosen!$C11,FALSE)</f>
        <v>2115.7142857142858</v>
      </c>
      <c r="T8" s="141">
        <f>HLOOKUP(T$109,Storage_Reconciled_prod_chosen!$D$7:$CU$23,Storage_Reconciled_prod_chosen!$C11,FALSE)</f>
        <v>0</v>
      </c>
      <c r="U8" s="143">
        <f>HLOOKUP(U$109,Storage_Reconciled_prod_chosen!$D$7:$CU$23,Storage_Reconciled_prod_chosen!$C11,FALSE)</f>
        <v>1409.7111111111112</v>
      </c>
      <c r="V8" s="167">
        <f>HLOOKUP(V$109,Storage_Reconciled_prod_chosen!$D$7:$CU$23,Storage_Reconciled_prod_chosen!$C11,FALSE)</f>
        <v>1994.4465753424658</v>
      </c>
      <c r="Z8" s="443">
        <f t="shared" si="0"/>
        <v>2086.1290322580644</v>
      </c>
      <c r="AA8" s="443">
        <f t="shared" si="1"/>
        <v>2098.836956521739</v>
      </c>
    </row>
    <row r="9" spans="1:27" ht="15.75">
      <c r="C9" s="144" t="s">
        <v>57</v>
      </c>
      <c r="D9" s="141">
        <f>HLOOKUP(D$109,Storage_Reconciled_prod_chosen!$D$7:$CU$23,Storage_Reconciled_prod_chosen!$C12,FALSE)</f>
        <v>325302.40000000002</v>
      </c>
      <c r="E9" s="141">
        <f>HLOOKUP(E$109,Storage_Reconciled_prod_chosen!$D$7:$CU$23,Storage_Reconciled_prod_chosen!$C12,FALSE)</f>
        <v>322067.22580645164</v>
      </c>
      <c r="F9" s="141">
        <f>HLOOKUP(F$109,Storage_Reconciled_prod_chosen!$D$7:$CU$23,Storage_Reconciled_prod_chosen!$C12,FALSE)</f>
        <v>321355.33333333331</v>
      </c>
      <c r="G9" s="143">
        <f>HLOOKUP(G$109,Storage_Reconciled_prod_chosen!$D$7:$CU$23,Storage_Reconciled_prod_chosen!$C12,FALSE)</f>
        <v>322899.07692307694</v>
      </c>
      <c r="H9" s="141">
        <f>HLOOKUP(H$109,Storage_Reconciled_prod_chosen!$D$7:$CU$23,Storage_Reconciled_prod_chosen!$C12,FALSE)</f>
        <v>326927.80645161291</v>
      </c>
      <c r="I9" s="141">
        <f>HLOOKUP(I$109,Storage_Reconciled_prod_chosen!$D$7:$CU$23,Storage_Reconciled_prod_chosen!$C12,FALSE)</f>
        <v>328463.09677419357</v>
      </c>
      <c r="J9" s="141">
        <f>HLOOKUP(J$109,Storage_Reconciled_prod_chosen!$D$7:$CU$23,Storage_Reconciled_prod_chosen!$C12,FALSE)</f>
        <v>331043.5</v>
      </c>
      <c r="K9" s="143">
        <f>HLOOKUP(K$109,Storage_Reconciled_prod_chosen!$D$7:$CU$23,Storage_Reconciled_prod_chosen!$C12,FALSE)</f>
        <v>328787.20652173914</v>
      </c>
      <c r="L9" s="167">
        <f>HLOOKUP(L$109,Storage_Reconciled_prod_chosen!$D$7:$CU$23,Storage_Reconciled_prod_chosen!$C12,FALSE)</f>
        <v>325859.2295081967</v>
      </c>
      <c r="M9" s="141">
        <f>HLOOKUP(M$109,Storage_Reconciled_prod_chosen!$D$7:$CU$23,Storage_Reconciled_prod_chosen!$C12,FALSE)</f>
        <v>337654.67741935485</v>
      </c>
      <c r="N9" s="141">
        <f>HLOOKUP(N$109,Storage_Reconciled_prod_chosen!$D$7:$CU$23,Storage_Reconciled_prod_chosen!$C12,FALSE)</f>
        <v>336508.26666666666</v>
      </c>
      <c r="O9" s="141">
        <f>HLOOKUP(O$109,Storage_Reconciled_prod_chosen!$D$7:$CU$23,Storage_Reconciled_prod_chosen!$C12,FALSE)</f>
        <v>338023.90322580643</v>
      </c>
      <c r="P9" s="143">
        <f>HLOOKUP(P$109,Storage_Reconciled_prod_chosen!$D$7:$CU$23,Storage_Reconciled_prod_chosen!$C12,FALSE)</f>
        <v>337405.26086956525</v>
      </c>
      <c r="Q9" s="167">
        <f>HLOOKUP(Q$109,Storage_Reconciled_prod_chosen!$D$7:$CU$23,Storage_Reconciled_prod_chosen!$C12,FALSE)</f>
        <v>329721.9018181818</v>
      </c>
      <c r="R9" s="141">
        <f>HLOOKUP(R$109,Storage_Reconciled_prod_chosen!$D$7:$CU$23,Storage_Reconciled_prod_chosen!$C12,FALSE)</f>
        <v>319254.51612903224</v>
      </c>
      <c r="S9" s="141">
        <f>HLOOKUP(S$109,Storage_Reconciled_prod_chosen!$D$7:$CU$23,Storage_Reconciled_prod_chosen!$C12,FALSE)</f>
        <v>329916.35714285716</v>
      </c>
      <c r="T9" s="141">
        <f>HLOOKUP(T$109,Storage_Reconciled_prod_chosen!$D$7:$CU$23,Storage_Reconciled_prod_chosen!$C12,FALSE)</f>
        <v>0</v>
      </c>
      <c r="U9" s="143">
        <f>HLOOKUP(U$109,Storage_Reconciled_prod_chosen!$D$7:$CU$23,Storage_Reconciled_prod_chosen!$C12,FALSE)</f>
        <v>212606.08888888889</v>
      </c>
      <c r="V9" s="167">
        <f>HLOOKUP(V$109,Storage_Reconciled_prod_chosen!$D$7:$CU$23,Storage_Reconciled_prod_chosen!$C12,FALSE)</f>
        <v>300844.03013698629</v>
      </c>
      <c r="Z9" s="443">
        <f t="shared" si="0"/>
        <v>328463.09677419357</v>
      </c>
      <c r="AA9" s="443">
        <f t="shared" si="1"/>
        <v>328787.20652173914</v>
      </c>
    </row>
    <row r="10" spans="1:27" ht="15.75">
      <c r="C10" s="144" t="s">
        <v>58</v>
      </c>
      <c r="D10" s="141">
        <f>HLOOKUP(D$109,Storage_Reconciled_prod_chosen!$D$7:$CU$23,Storage_Reconciled_prod_chosen!$C13,FALSE)</f>
        <v>26396.066666666666</v>
      </c>
      <c r="E10" s="141">
        <f>HLOOKUP(E$109,Storage_Reconciled_prod_chosen!$D$7:$CU$23,Storage_Reconciled_prod_chosen!$C13,FALSE)</f>
        <v>28117.83870967742</v>
      </c>
      <c r="F10" s="141">
        <f>HLOOKUP(F$109,Storage_Reconciled_prod_chosen!$D$7:$CU$23,Storage_Reconciled_prod_chosen!$C13,FALSE)</f>
        <v>30197.033333333333</v>
      </c>
      <c r="G10" s="143">
        <f>HLOOKUP(G$109,Storage_Reconciled_prod_chosen!$D$7:$CU$23,Storage_Reconciled_prod_chosen!$C13,FALSE)</f>
        <v>28235.670329670331</v>
      </c>
      <c r="H10" s="141">
        <f>HLOOKUP(H$109,Storage_Reconciled_prod_chosen!$D$7:$CU$23,Storage_Reconciled_prod_chosen!$C13,FALSE)</f>
        <v>29261.645161290322</v>
      </c>
      <c r="I10" s="141">
        <f>HLOOKUP(I$109,Storage_Reconciled_prod_chosen!$D$7:$CU$23,Storage_Reconciled_prod_chosen!$C13,FALSE)</f>
        <v>29758.870967741936</v>
      </c>
      <c r="J10" s="141">
        <f>HLOOKUP(J$109,Storage_Reconciled_prod_chosen!$D$7:$CU$23,Storage_Reconciled_prod_chosen!$C13,FALSE)</f>
        <v>28479.966666666667</v>
      </c>
      <c r="K10" s="143">
        <f>HLOOKUP(K$109,Storage_Reconciled_prod_chosen!$D$7:$CU$23,Storage_Reconciled_prod_chosen!$C13,FALSE)</f>
        <v>29174.293478260868</v>
      </c>
      <c r="L10" s="167">
        <f>HLOOKUP(L$109,Storage_Reconciled_prod_chosen!$D$7:$CU$23,Storage_Reconciled_prod_chosen!$C13,FALSE)</f>
        <v>28707.546448087433</v>
      </c>
      <c r="M10" s="141">
        <f>HLOOKUP(M$109,Storage_Reconciled_prod_chosen!$D$7:$CU$23,Storage_Reconciled_prod_chosen!$C13,FALSE)</f>
        <v>31224.870967741936</v>
      </c>
      <c r="N10" s="141">
        <f>HLOOKUP(N$109,Storage_Reconciled_prod_chosen!$D$7:$CU$23,Storage_Reconciled_prod_chosen!$C13,FALSE)</f>
        <v>17791.5</v>
      </c>
      <c r="O10" s="141">
        <f>HLOOKUP(O$109,Storage_Reconciled_prod_chosen!$D$7:$CU$23,Storage_Reconciled_prod_chosen!$C13,FALSE)</f>
        <v>0</v>
      </c>
      <c r="P10" s="143">
        <f>HLOOKUP(P$109,Storage_Reconciled_prod_chosen!$D$7:$CU$23,Storage_Reconciled_prod_chosen!$C13,FALSE)</f>
        <v>16323</v>
      </c>
      <c r="Q10" s="167">
        <f>HLOOKUP(Q$109,Storage_Reconciled_prod_chosen!$D$7:$CU$23,Storage_Reconciled_prod_chosen!$C13,FALSE)</f>
        <v>24564.352727272726</v>
      </c>
      <c r="R10" s="141">
        <f>HLOOKUP(R$109,Storage_Reconciled_prod_chosen!$D$7:$CU$23,Storage_Reconciled_prod_chosen!$C13,FALSE)</f>
        <v>4367.1290322580644</v>
      </c>
      <c r="S10" s="141">
        <f>HLOOKUP(S$109,Storage_Reconciled_prod_chosen!$D$7:$CU$23,Storage_Reconciled_prod_chosen!$C13,FALSE)</f>
        <v>28956.357142857141</v>
      </c>
      <c r="T10" s="141">
        <f>HLOOKUP(T$109,Storage_Reconciled_prod_chosen!$D$7:$CU$23,Storage_Reconciled_prod_chosen!$C13,FALSE)</f>
        <v>0</v>
      </c>
      <c r="U10" s="143">
        <f>HLOOKUP(U$109,Storage_Reconciled_prod_chosen!$D$7:$CU$23,Storage_Reconciled_prod_chosen!$C13,FALSE)</f>
        <v>10512.877777777778</v>
      </c>
      <c r="V10" s="167">
        <f>HLOOKUP(V$109,Storage_Reconciled_prod_chosen!$D$7:$CU$23,Storage_Reconciled_prod_chosen!$C13,FALSE)</f>
        <v>21099.605479452053</v>
      </c>
      <c r="Z10" s="443">
        <f t="shared" si="0"/>
        <v>29758.870967741936</v>
      </c>
      <c r="AA10" s="443">
        <f t="shared" si="1"/>
        <v>29174.293478260868</v>
      </c>
    </row>
    <row r="11" spans="1:27" ht="15.75">
      <c r="C11" s="144" t="s">
        <v>59</v>
      </c>
      <c r="D11" s="141">
        <f>HLOOKUP(D$109,Storage_Reconciled_prod_chosen!$D$7:$CU$23,Storage_Reconciled_prod_chosen!$C14,FALSE)</f>
        <v>4930.0666666666666</v>
      </c>
      <c r="E11" s="141">
        <f>HLOOKUP(E$109,Storage_Reconciled_prod_chosen!$D$7:$CU$23,Storage_Reconciled_prod_chosen!$C14,FALSE)</f>
        <v>4752.7419354838712</v>
      </c>
      <c r="F11" s="141">
        <f>HLOOKUP(F$109,Storage_Reconciled_prod_chosen!$D$7:$CU$23,Storage_Reconciled_prod_chosen!$C14,FALSE)</f>
        <v>4544.666666666667</v>
      </c>
      <c r="G11" s="143">
        <f>HLOOKUP(G$109,Storage_Reconciled_prod_chosen!$D$7:$CU$23,Storage_Reconciled_prod_chosen!$C14,FALSE)</f>
        <v>4742.6043956043959</v>
      </c>
      <c r="H11" s="141">
        <f>HLOOKUP(H$109,Storage_Reconciled_prod_chosen!$D$7:$CU$23,Storage_Reconciled_prod_chosen!$C14,FALSE)</f>
        <v>4657.5806451612907</v>
      </c>
      <c r="I11" s="141">
        <f>HLOOKUP(I$109,Storage_Reconciled_prod_chosen!$D$7:$CU$23,Storage_Reconciled_prod_chosen!$C14,FALSE)</f>
        <v>4993.2580645161288</v>
      </c>
      <c r="J11" s="141">
        <f>HLOOKUP(J$109,Storage_Reconciled_prod_chosen!$D$7:$CU$23,Storage_Reconciled_prod_chosen!$C14,FALSE)</f>
        <v>5141.166666666667</v>
      </c>
      <c r="K11" s="143">
        <f>HLOOKUP(K$109,Storage_Reconciled_prod_chosen!$D$7:$CU$23,Storage_Reconciled_prod_chosen!$C14,FALSE)</f>
        <v>4928.380434782609</v>
      </c>
      <c r="L11" s="167">
        <f>HLOOKUP(L$109,Storage_Reconciled_prod_chosen!$D$7:$CU$23,Storage_Reconciled_prod_chosen!$C14,FALSE)</f>
        <v>4836</v>
      </c>
      <c r="M11" s="141">
        <f>HLOOKUP(M$109,Storage_Reconciled_prod_chosen!$D$7:$CU$23,Storage_Reconciled_prod_chosen!$C14,FALSE)</f>
        <v>5161.322580645161</v>
      </c>
      <c r="N11" s="141">
        <f>HLOOKUP(N$109,Storage_Reconciled_prod_chosen!$D$7:$CU$23,Storage_Reconciled_prod_chosen!$C14,FALSE)</f>
        <v>5223.9333333333334</v>
      </c>
      <c r="O11" s="141">
        <f>HLOOKUP(O$109,Storage_Reconciled_prod_chosen!$D$7:$CU$23,Storage_Reconciled_prod_chosen!$C14,FALSE)</f>
        <v>4925.4838709677415</v>
      </c>
      <c r="P11" s="143">
        <f>HLOOKUP(P$109,Storage_Reconciled_prod_chosen!$D$7:$CU$23,Storage_Reconciled_prod_chosen!$C14,FALSE)</f>
        <v>5102.271739130435</v>
      </c>
      <c r="Q11" s="167">
        <f>HLOOKUP(Q$109,Storage_Reconciled_prod_chosen!$D$7:$CU$23,Storage_Reconciled_prod_chosen!$C14,FALSE)</f>
        <v>4925.08</v>
      </c>
      <c r="R11" s="141">
        <f>HLOOKUP(R$109,Storage_Reconciled_prod_chosen!$D$7:$CU$23,Storage_Reconciled_prod_chosen!$C14,FALSE)</f>
        <v>4594.3548387096771</v>
      </c>
      <c r="S11" s="141">
        <f>HLOOKUP(S$109,Storage_Reconciled_prod_chosen!$D$7:$CU$23,Storage_Reconciled_prod_chosen!$C14,FALSE)</f>
        <v>4692.3214285714284</v>
      </c>
      <c r="T11" s="141">
        <f>HLOOKUP(T$109,Storage_Reconciled_prod_chosen!$D$7:$CU$23,Storage_Reconciled_prod_chosen!$C14,FALSE)</f>
        <v>0</v>
      </c>
      <c r="U11" s="143">
        <f>HLOOKUP(U$109,Storage_Reconciled_prod_chosen!$D$7:$CU$23,Storage_Reconciled_prod_chosen!$C14,FALSE)</f>
        <v>3042.3333333333335</v>
      </c>
      <c r="V11" s="167">
        <f>HLOOKUP(V$109,Storage_Reconciled_prod_chosen!$D$7:$CU$23,Storage_Reconciled_prod_chosen!$C14,FALSE)</f>
        <v>4460.8410958904105</v>
      </c>
      <c r="Z11" s="443">
        <f t="shared" si="0"/>
        <v>4993.2580645161288</v>
      </c>
      <c r="AA11" s="443">
        <f t="shared" si="1"/>
        <v>4928.380434782609</v>
      </c>
    </row>
    <row r="12" spans="1:27" ht="15.75">
      <c r="C12" s="144" t="s">
        <v>63</v>
      </c>
      <c r="D12" s="141">
        <f>HLOOKUP(D$109,Storage_Reconciled_prod_chosen!$D$7:$CU$23,Storage_Reconciled_prod_chosen!$C15,FALSE)</f>
        <v>24918.766666666666</v>
      </c>
      <c r="E12" s="141">
        <f>HLOOKUP(E$109,Storage_Reconciled_prod_chosen!$D$7:$CU$23,Storage_Reconciled_prod_chosen!$C15,FALSE)</f>
        <v>19691.354838709678</v>
      </c>
      <c r="F12" s="141">
        <f>HLOOKUP(F$109,Storage_Reconciled_prod_chosen!$D$7:$CU$23,Storage_Reconciled_prod_chosen!$C15,FALSE)</f>
        <v>16410.033333333333</v>
      </c>
      <c r="G12" s="143">
        <f>HLOOKUP(G$109,Storage_Reconciled_prod_chosen!$D$7:$CU$23,Storage_Reconciled_prod_chosen!$C15,FALSE)</f>
        <v>20332.923076923078</v>
      </c>
      <c r="H12" s="141">
        <f>HLOOKUP(H$109,Storage_Reconciled_prod_chosen!$D$7:$CU$23,Storage_Reconciled_prod_chosen!$C15,FALSE)</f>
        <v>23712.290322580644</v>
      </c>
      <c r="I12" s="141">
        <f>HLOOKUP(I$109,Storage_Reconciled_prod_chosen!$D$7:$CU$23,Storage_Reconciled_prod_chosen!$C15,FALSE)</f>
        <v>23713.419354838708</v>
      </c>
      <c r="J12" s="141">
        <f>HLOOKUP(J$109,Storage_Reconciled_prod_chosen!$D$7:$CU$23,Storage_Reconciled_prod_chosen!$C15,FALSE)</f>
        <v>23297.666666666668</v>
      </c>
      <c r="K12" s="143">
        <f>HLOOKUP(K$109,Storage_Reconciled_prod_chosen!$D$7:$CU$23,Storage_Reconciled_prod_chosen!$C15,FALSE)</f>
        <v>23577.467391304348</v>
      </c>
      <c r="L12" s="167">
        <f>HLOOKUP(L$109,Storage_Reconciled_prod_chosen!$D$7:$CU$23,Storage_Reconciled_prod_chosen!$C15,FALSE)</f>
        <v>21964.060109289618</v>
      </c>
      <c r="M12" s="141">
        <f>HLOOKUP(M$109,Storage_Reconciled_prod_chosen!$D$7:$CU$23,Storage_Reconciled_prod_chosen!$C15,FALSE)</f>
        <v>20466.516129032258</v>
      </c>
      <c r="N12" s="141">
        <f>HLOOKUP(N$109,Storage_Reconciled_prod_chosen!$D$7:$CU$23,Storage_Reconciled_prod_chosen!$C15,FALSE)</f>
        <v>18590.400000000001</v>
      </c>
      <c r="O12" s="141">
        <f>HLOOKUP(O$109,Storage_Reconciled_prod_chosen!$D$7:$CU$23,Storage_Reconciled_prod_chosen!$C15,FALSE)</f>
        <v>22419.709677419356</v>
      </c>
      <c r="P12" s="143">
        <f>HLOOKUP(P$109,Storage_Reconciled_prod_chosen!$D$7:$CU$23,Storage_Reconciled_prod_chosen!$C15,FALSE)</f>
        <v>20512.880434782608</v>
      </c>
      <c r="Q12" s="167">
        <f>HLOOKUP(Q$109,Storage_Reconciled_prod_chosen!$D$7:$CU$23,Storage_Reconciled_prod_chosen!$C15,FALSE)</f>
        <v>21478.574545454547</v>
      </c>
      <c r="R12" s="141">
        <f>HLOOKUP(R$109,Storage_Reconciled_prod_chosen!$D$7:$CU$23,Storage_Reconciled_prod_chosen!$C15,FALSE)</f>
        <v>22054.354838709678</v>
      </c>
      <c r="S12" s="141">
        <f>HLOOKUP(S$109,Storage_Reconciled_prod_chosen!$D$7:$CU$23,Storage_Reconciled_prod_chosen!$C15,FALSE)</f>
        <v>15968.178571428571</v>
      </c>
      <c r="T12" s="141">
        <f>HLOOKUP(T$109,Storage_Reconciled_prod_chosen!$D$7:$CU$23,Storage_Reconciled_prod_chosen!$C15,FALSE)</f>
        <v>0</v>
      </c>
      <c r="U12" s="143">
        <f>HLOOKUP(U$109,Storage_Reconciled_prod_chosen!$D$7:$CU$23,Storage_Reconciled_prod_chosen!$C15,FALSE)</f>
        <v>12564.377777777778</v>
      </c>
      <c r="V12" s="167">
        <f>HLOOKUP(V$109,Storage_Reconciled_prod_chosen!$D$7:$CU$23,Storage_Reconciled_prod_chosen!$C15,FALSE)</f>
        <v>19280.553424657533</v>
      </c>
      <c r="Z12" s="443">
        <f t="shared" si="0"/>
        <v>23713.419354838708</v>
      </c>
      <c r="AA12" s="443">
        <f t="shared" si="1"/>
        <v>23577.467391304348</v>
      </c>
    </row>
    <row r="13" spans="1:27" ht="15.75">
      <c r="C13" s="144" t="s">
        <v>64</v>
      </c>
      <c r="D13" s="141">
        <f>HLOOKUP(D$109,Storage_Reconciled_prod_chosen!$D$7:$CU$23,Storage_Reconciled_prod_chosen!$C16,FALSE)</f>
        <v>7181.6333333333332</v>
      </c>
      <c r="E13" s="141">
        <f>HLOOKUP(E$109,Storage_Reconciled_prod_chosen!$D$7:$CU$23,Storage_Reconciled_prod_chosen!$C16,FALSE)</f>
        <v>7352.1290322580644</v>
      </c>
      <c r="F13" s="141">
        <f>HLOOKUP(F$109,Storage_Reconciled_prod_chosen!$D$7:$CU$23,Storage_Reconciled_prod_chosen!$C16,FALSE)</f>
        <v>6906.8</v>
      </c>
      <c r="G13" s="143">
        <f>HLOOKUP(G$109,Storage_Reconciled_prod_chosen!$D$7:$CU$23,Storage_Reconciled_prod_chosen!$C16,FALSE)</f>
        <v>7149.1098901098903</v>
      </c>
      <c r="H13" s="141">
        <f>HLOOKUP(H$109,Storage_Reconciled_prod_chosen!$D$7:$CU$23,Storage_Reconciled_prod_chosen!$C16,FALSE)</f>
        <v>7389.8709677419356</v>
      </c>
      <c r="I13" s="141">
        <f>HLOOKUP(I$109,Storage_Reconciled_prod_chosen!$D$7:$CU$23,Storage_Reconciled_prod_chosen!$C16,FALSE)</f>
        <v>7440.4516129032254</v>
      </c>
      <c r="J13" s="141">
        <f>HLOOKUP(J$109,Storage_Reconciled_prod_chosen!$D$7:$CU$23,Storage_Reconciled_prod_chosen!$C16,FALSE)</f>
        <v>7281.166666666667</v>
      </c>
      <c r="K13" s="143">
        <f>HLOOKUP(K$109,Storage_Reconciled_prod_chosen!$D$7:$CU$23,Storage_Reconciled_prod_chosen!$C16,FALSE)</f>
        <v>7371.467391304348</v>
      </c>
      <c r="L13" s="167">
        <f>HLOOKUP(L$109,Storage_Reconciled_prod_chosen!$D$7:$CU$23,Storage_Reconciled_prod_chosen!$C16,FALSE)</f>
        <v>7260.8961748633883</v>
      </c>
      <c r="M13" s="141">
        <f>HLOOKUP(M$109,Storage_Reconciled_prod_chosen!$D$7:$CU$23,Storage_Reconciled_prod_chosen!$C16,FALSE)</f>
        <v>6927.3548387096771</v>
      </c>
      <c r="N13" s="141">
        <f>HLOOKUP(N$109,Storage_Reconciled_prod_chosen!$D$7:$CU$23,Storage_Reconciled_prod_chosen!$C16,FALSE)</f>
        <v>7465.1333333333332</v>
      </c>
      <c r="O13" s="141">
        <f>HLOOKUP(O$109,Storage_Reconciled_prod_chosen!$D$7:$CU$23,Storage_Reconciled_prod_chosen!$C16,FALSE)</f>
        <v>6593.8709677419356</v>
      </c>
      <c r="P13" s="143">
        <f>HLOOKUP(P$109,Storage_Reconciled_prod_chosen!$D$7:$CU$23,Storage_Reconciled_prod_chosen!$C16,FALSE)</f>
        <v>6990.347826086957</v>
      </c>
      <c r="Q13" s="167">
        <f>HLOOKUP(Q$109,Storage_Reconciled_prod_chosen!$D$7:$CU$23,Storage_Reconciled_prod_chosen!$C16,FALSE)</f>
        <v>7170.3854545454542</v>
      </c>
      <c r="R13" s="141">
        <f>HLOOKUP(R$109,Storage_Reconciled_prod_chosen!$D$7:$CU$23,Storage_Reconciled_prod_chosen!$C16,FALSE)</f>
        <v>1980.9677419354839</v>
      </c>
      <c r="S13" s="141">
        <f>HLOOKUP(S$109,Storage_Reconciled_prod_chosen!$D$7:$CU$23,Storage_Reconciled_prod_chosen!$C16,FALSE)</f>
        <v>6836.25</v>
      </c>
      <c r="T13" s="141">
        <f>HLOOKUP(T$109,Storage_Reconciled_prod_chosen!$D$7:$CU$23,Storage_Reconciled_prod_chosen!$C16,FALSE)</f>
        <v>0</v>
      </c>
      <c r="U13" s="143">
        <f>HLOOKUP(U$109,Storage_Reconciled_prod_chosen!$D$7:$CU$23,Storage_Reconciled_prod_chosen!$C16,FALSE)</f>
        <v>2809.1666666666665</v>
      </c>
      <c r="V13" s="167">
        <f>HLOOKUP(V$109,Storage_Reconciled_prod_chosen!$D$7:$CU$23,Storage_Reconciled_prod_chosen!$C16,FALSE)</f>
        <v>6095.0164383561641</v>
      </c>
      <c r="Z13" s="443">
        <f t="shared" si="0"/>
        <v>7440.4516129032254</v>
      </c>
      <c r="AA13" s="443">
        <f t="shared" si="1"/>
        <v>7371.467391304348</v>
      </c>
    </row>
    <row r="14" spans="1:27" ht="15.75">
      <c r="C14" s="144" t="s">
        <v>65</v>
      </c>
      <c r="D14" s="141">
        <f>HLOOKUP(D$109,Storage_Reconciled_prod_chosen!$D$7:$CU$23,Storage_Reconciled_prod_chosen!$C17,FALSE)</f>
        <v>4313.2666666666664</v>
      </c>
      <c r="E14" s="141">
        <f>HLOOKUP(E$109,Storage_Reconciled_prod_chosen!$D$7:$CU$23,Storage_Reconciled_prod_chosen!$C17,FALSE)</f>
        <v>4499.677419354839</v>
      </c>
      <c r="F14" s="141">
        <f>HLOOKUP(F$109,Storage_Reconciled_prod_chosen!$D$7:$CU$23,Storage_Reconciled_prod_chosen!$C17,FALSE)</f>
        <v>4673.7666666666664</v>
      </c>
      <c r="G14" s="143">
        <f>HLOOKUP(G$109,Storage_Reconciled_prod_chosen!$D$7:$CU$23,Storage_Reconciled_prod_chosen!$C17,FALSE)</f>
        <v>4495.6153846153848</v>
      </c>
      <c r="H14" s="141">
        <f>HLOOKUP(H$109,Storage_Reconciled_prod_chosen!$D$7:$CU$23,Storage_Reconciled_prod_chosen!$C17,FALSE)</f>
        <v>4907.0967741935483</v>
      </c>
      <c r="I14" s="141">
        <f>HLOOKUP(I$109,Storage_Reconciled_prod_chosen!$D$7:$CU$23,Storage_Reconciled_prod_chosen!$C17,FALSE)</f>
        <v>5076.5161290322585</v>
      </c>
      <c r="J14" s="141">
        <f>HLOOKUP(J$109,Storage_Reconciled_prod_chosen!$D$7:$CU$23,Storage_Reconciled_prod_chosen!$C17,FALSE)</f>
        <v>4821.8</v>
      </c>
      <c r="K14" s="143">
        <f>HLOOKUP(K$109,Storage_Reconciled_prod_chosen!$D$7:$CU$23,Storage_Reconciled_prod_chosen!$C17,FALSE)</f>
        <v>4936.369565217391</v>
      </c>
      <c r="L14" s="167">
        <f>HLOOKUP(L$109,Storage_Reconciled_prod_chosen!$D$7:$CU$23,Storage_Reconciled_prod_chosen!$C17,FALSE)</f>
        <v>4717.1967213114758</v>
      </c>
      <c r="M14" s="141">
        <f>HLOOKUP(M$109,Storage_Reconciled_prod_chosen!$D$7:$CU$23,Storage_Reconciled_prod_chosen!$C17,FALSE)</f>
        <v>4631.3870967741932</v>
      </c>
      <c r="N14" s="141">
        <f>HLOOKUP(N$109,Storage_Reconciled_prod_chosen!$D$7:$CU$23,Storage_Reconciled_prod_chosen!$C17,FALSE)</f>
        <v>4820.833333333333</v>
      </c>
      <c r="O14" s="141">
        <f>HLOOKUP(O$109,Storage_Reconciled_prod_chosen!$D$7:$CU$23,Storage_Reconciled_prod_chosen!$C17,FALSE)</f>
        <v>5067.7096774193551</v>
      </c>
      <c r="P14" s="143">
        <f>HLOOKUP(P$109,Storage_Reconciled_prod_chosen!$D$7:$CU$23,Storage_Reconciled_prod_chosen!$C17,FALSE)</f>
        <v>4840.184782608696</v>
      </c>
      <c r="Q14" s="167">
        <f>HLOOKUP(Q$109,Storage_Reconciled_prod_chosen!$D$7:$CU$23,Storage_Reconciled_prod_chosen!$C17,FALSE)</f>
        <v>4758.3418181818179</v>
      </c>
      <c r="R14" s="141">
        <f>HLOOKUP(R$109,Storage_Reconciled_prod_chosen!$D$7:$CU$23,Storage_Reconciled_prod_chosen!$C17,FALSE)</f>
        <v>2081.1290322580644</v>
      </c>
      <c r="S14" s="141">
        <f>HLOOKUP(S$109,Storage_Reconciled_prod_chosen!$D$7:$CU$23,Storage_Reconciled_prod_chosen!$C17,FALSE)</f>
        <v>1985.75</v>
      </c>
      <c r="T14" s="141">
        <f>HLOOKUP(T$109,Storage_Reconciled_prod_chosen!$D$7:$CU$23,Storage_Reconciled_prod_chosen!$C17,FALSE)</f>
        <v>0</v>
      </c>
      <c r="U14" s="143">
        <f>HLOOKUP(U$109,Storage_Reconciled_prod_chosen!$D$7:$CU$23,Storage_Reconciled_prod_chosen!$C17,FALSE)</f>
        <v>1334.6222222222223</v>
      </c>
      <c r="V14" s="167">
        <f>HLOOKUP(V$109,Storage_Reconciled_prod_chosen!$D$7:$CU$23,Storage_Reconciled_prod_chosen!$C17,FALSE)</f>
        <v>3914.1369863013697</v>
      </c>
      <c r="Z14" s="443">
        <f t="shared" si="0"/>
        <v>5076.5161290322585</v>
      </c>
      <c r="AA14" s="443">
        <f t="shared" si="1"/>
        <v>4936.369565217391</v>
      </c>
    </row>
    <row r="15" spans="1:27" ht="15.75">
      <c r="C15" s="144" t="s">
        <v>66</v>
      </c>
      <c r="D15" s="141">
        <f>HLOOKUP(D$109,Storage_Reconciled_prod_chosen!$D$7:$CU$23,Storage_Reconciled_prod_chosen!$C18,FALSE)</f>
        <v>322098.56666666665</v>
      </c>
      <c r="E15" s="141">
        <f>HLOOKUP(E$109,Storage_Reconciled_prod_chosen!$D$7:$CU$23,Storage_Reconciled_prod_chosen!$C18,FALSE)</f>
        <v>412203.16129032261</v>
      </c>
      <c r="F15" s="141">
        <f>HLOOKUP(F$109,Storage_Reconciled_prod_chosen!$D$7:$CU$23,Storage_Reconciled_prod_chosen!$C18,FALSE)</f>
        <v>426000</v>
      </c>
      <c r="G15" s="143">
        <f>HLOOKUP(G$109,Storage_Reconciled_prod_chosen!$D$7:$CU$23,Storage_Reconciled_prod_chosen!$C18,FALSE)</f>
        <v>387046.75824175822</v>
      </c>
      <c r="H15" s="141">
        <f>HLOOKUP(H$109,Storage_Reconciled_prod_chosen!$D$7:$CU$23,Storage_Reconciled_prod_chosen!$C18,FALSE)</f>
        <v>422958.51612903224</v>
      </c>
      <c r="I15" s="141">
        <f>HLOOKUP(I$109,Storage_Reconciled_prod_chosen!$D$7:$CU$23,Storage_Reconciled_prod_chosen!$C18,FALSE)</f>
        <v>433831.32258064515</v>
      </c>
      <c r="J15" s="141">
        <f>HLOOKUP(J$109,Storage_Reconciled_prod_chosen!$D$7:$CU$23,Storage_Reconciled_prod_chosen!$C18,FALSE)</f>
        <v>425918.5</v>
      </c>
      <c r="K15" s="143">
        <f>HLOOKUP(K$109,Storage_Reconciled_prod_chosen!$D$7:$CU$23,Storage_Reconciled_prod_chosen!$C18,FALSE)</f>
        <v>427587.39130434784</v>
      </c>
      <c r="L15" s="167">
        <f>HLOOKUP(L$109,Storage_Reconciled_prod_chosen!$D$7:$CU$23,Storage_Reconciled_prod_chosen!$C18,FALSE)</f>
        <v>407427.84153005463</v>
      </c>
      <c r="M15" s="141">
        <f>HLOOKUP(M$109,Storage_Reconciled_prod_chosen!$D$7:$CU$23,Storage_Reconciled_prod_chosen!$C18,FALSE)</f>
        <v>425422</v>
      </c>
      <c r="N15" s="141">
        <f>HLOOKUP(N$109,Storage_Reconciled_prod_chosen!$D$7:$CU$23,Storage_Reconciled_prod_chosen!$C18,FALSE)</f>
        <v>427634.66666666669</v>
      </c>
      <c r="O15" s="141">
        <f>HLOOKUP(O$109,Storage_Reconciled_prod_chosen!$D$7:$CU$23,Storage_Reconciled_prod_chosen!$C18,FALSE)</f>
        <v>402175.32258064515</v>
      </c>
      <c r="P15" s="143">
        <f>HLOOKUP(P$109,Storage_Reconciled_prod_chosen!$D$7:$CU$23,Storage_Reconciled_prod_chosen!$C18,FALSE)</f>
        <v>418310.40217391303</v>
      </c>
      <c r="Q15" s="167">
        <f>HLOOKUP(Q$109,Storage_Reconciled_prod_chosen!$D$7:$CU$23,Storage_Reconciled_prod_chosen!$C18,FALSE)</f>
        <v>411068.55272727273</v>
      </c>
      <c r="R15" s="141">
        <f>HLOOKUP(R$109,Storage_Reconciled_prod_chosen!$D$7:$CU$23,Storage_Reconciled_prod_chosen!$C18,FALSE)</f>
        <v>445858.41935483873</v>
      </c>
      <c r="S15" s="141">
        <f>HLOOKUP(S$109,Storage_Reconciled_prod_chosen!$D$7:$CU$23,Storage_Reconciled_prod_chosen!$C18,FALSE)</f>
        <v>443148.10714285716</v>
      </c>
      <c r="T15" s="141">
        <f>HLOOKUP(T$109,Storage_Reconciled_prod_chosen!$D$7:$CU$23,Storage_Reconciled_prod_chosen!$C18,FALSE)</f>
        <v>0</v>
      </c>
      <c r="U15" s="143">
        <f>HLOOKUP(U$109,Storage_Reconciled_prod_chosen!$D$7:$CU$23,Storage_Reconciled_prod_chosen!$C18,FALSE)</f>
        <v>291441.75555555557</v>
      </c>
      <c r="V15" s="167">
        <f>HLOOKUP(V$109,Storage_Reconciled_prod_chosen!$D$7:$CU$23,Storage_Reconciled_prod_chosen!$C18,FALSE)</f>
        <v>381571.53424657532</v>
      </c>
      <c r="Z15" s="443">
        <f t="shared" si="0"/>
        <v>433831.32258064515</v>
      </c>
      <c r="AA15" s="443">
        <f t="shared" si="1"/>
        <v>427587.39130434784</v>
      </c>
    </row>
    <row r="16" spans="1:27" ht="15.75">
      <c r="C16" s="144" t="s">
        <v>67</v>
      </c>
      <c r="D16" s="141">
        <f>HLOOKUP(D$109,Storage_Reconciled_prod_chosen!$D$7:$CU$23,Storage_Reconciled_prod_chosen!$C19,FALSE)</f>
        <v>48943.366666666669</v>
      </c>
      <c r="E16" s="141">
        <f>HLOOKUP(E$109,Storage_Reconciled_prod_chosen!$D$7:$CU$23,Storage_Reconciled_prod_chosen!$C19,FALSE)</f>
        <v>52185</v>
      </c>
      <c r="F16" s="141">
        <f>HLOOKUP(F$109,Storage_Reconciled_prod_chosen!$D$7:$CU$23,Storage_Reconciled_prod_chosen!$C19,FALSE)</f>
        <v>50723.533333333333</v>
      </c>
      <c r="G16" s="143">
        <f>HLOOKUP(G$109,Storage_Reconciled_prod_chosen!$D$7:$CU$23,Storage_Reconciled_prod_chosen!$C19,FALSE)</f>
        <v>50634.527472527472</v>
      </c>
      <c r="H16" s="141">
        <f>HLOOKUP(H$109,Storage_Reconciled_prod_chosen!$D$7:$CU$23,Storage_Reconciled_prod_chosen!$C19,FALSE)</f>
        <v>48627.06451612903</v>
      </c>
      <c r="I16" s="141">
        <f>HLOOKUP(I$109,Storage_Reconciled_prod_chosen!$D$7:$CU$23,Storage_Reconciled_prod_chosen!$C19,FALSE)</f>
        <v>48381.774193548386</v>
      </c>
      <c r="J16" s="141">
        <f>HLOOKUP(J$109,Storage_Reconciled_prod_chosen!$D$7:$CU$23,Storage_Reconciled_prod_chosen!$C19,FALSE)</f>
        <v>46215.033333333333</v>
      </c>
      <c r="K16" s="143">
        <f>HLOOKUP(K$109,Storage_Reconciled_prod_chosen!$D$7:$CU$23,Storage_Reconciled_prod_chosen!$C19,FALSE)</f>
        <v>47757.880434782608</v>
      </c>
      <c r="L16" s="167">
        <f>HLOOKUP(L$109,Storage_Reconciled_prod_chosen!$D$7:$CU$23,Storage_Reconciled_prod_chosen!$C19,FALSE)</f>
        <v>49188.344262295082</v>
      </c>
      <c r="M16" s="141">
        <f>HLOOKUP(M$109,Storage_Reconciled_prod_chosen!$D$7:$CU$23,Storage_Reconciled_prod_chosen!$C19,FALSE)</f>
        <v>49474.032258064515</v>
      </c>
      <c r="N16" s="141">
        <f>HLOOKUP(N$109,Storage_Reconciled_prod_chosen!$D$7:$CU$23,Storage_Reconciled_prod_chosen!$C19,FALSE)</f>
        <v>39779.23333333333</v>
      </c>
      <c r="O16" s="141">
        <f>HLOOKUP(O$109,Storage_Reconciled_prod_chosen!$D$7:$CU$23,Storage_Reconciled_prod_chosen!$C19,FALSE)</f>
        <v>12211</v>
      </c>
      <c r="P16" s="143">
        <f>HLOOKUP(P$109,Storage_Reconciled_prod_chosen!$D$7:$CU$23,Storage_Reconciled_prod_chosen!$C19,FALSE)</f>
        <v>33756.663043478264</v>
      </c>
      <c r="Q16" s="167">
        <f>HLOOKUP(Q$109,Storage_Reconciled_prod_chosen!$D$7:$CU$23,Storage_Reconciled_prod_chosen!$C19,FALSE)</f>
        <v>44025.745454545453</v>
      </c>
      <c r="R16" s="141">
        <f>HLOOKUP(R$109,Storage_Reconciled_prod_chosen!$D$7:$CU$23,Storage_Reconciled_prod_chosen!$C19,FALSE)</f>
        <v>51153.483870967742</v>
      </c>
      <c r="S16" s="141">
        <f>HLOOKUP(S$109,Storage_Reconciled_prod_chosen!$D$7:$CU$23,Storage_Reconciled_prod_chosen!$C19,FALSE)</f>
        <v>52538.821428571428</v>
      </c>
      <c r="T16" s="141">
        <f>HLOOKUP(T$109,Storage_Reconciled_prod_chosen!$D$7:$CU$23,Storage_Reconciled_prod_chosen!$C19,FALSE)</f>
        <v>0</v>
      </c>
      <c r="U16" s="143">
        <f>HLOOKUP(U$109,Storage_Reconciled_prod_chosen!$D$7:$CU$23,Storage_Reconciled_prod_chosen!$C19,FALSE)</f>
        <v>33964.944444444445</v>
      </c>
      <c r="V16" s="167">
        <f>HLOOKUP(V$109,Storage_Reconciled_prod_chosen!$D$7:$CU$23,Storage_Reconciled_prod_chosen!$C19,FALSE)</f>
        <v>41545</v>
      </c>
      <c r="Z16" s="443">
        <f t="shared" si="0"/>
        <v>48381.774193548386</v>
      </c>
      <c r="AA16" s="443">
        <f t="shared" si="1"/>
        <v>47757.880434782608</v>
      </c>
    </row>
    <row r="17" spans="3:27" ht="15.75">
      <c r="C17" s="144" t="s">
        <v>68</v>
      </c>
      <c r="D17" s="141">
        <f>HLOOKUP(D$109,Storage_Reconciled_prod_chosen!$D$7:$CU$23,Storage_Reconciled_prod_chosen!$C20,FALSE)</f>
        <v>10561</v>
      </c>
      <c r="E17" s="141">
        <f>HLOOKUP(E$109,Storage_Reconciled_prod_chosen!$D$7:$CU$23,Storage_Reconciled_prod_chosen!$C20,FALSE)</f>
        <v>10660.451612903225</v>
      </c>
      <c r="F17" s="141">
        <f>HLOOKUP(F$109,Storage_Reconciled_prod_chosen!$D$7:$CU$23,Storage_Reconciled_prod_chosen!$C20,FALSE)</f>
        <v>11767.466666666667</v>
      </c>
      <c r="G17" s="143">
        <f>HLOOKUP(G$109,Storage_Reconciled_prod_chosen!$D$7:$CU$23,Storage_Reconciled_prod_chosen!$C20,FALSE)</f>
        <v>10992.615384615385</v>
      </c>
      <c r="H17" s="141">
        <f>HLOOKUP(H$109,Storage_Reconciled_prod_chosen!$D$7:$CU$23,Storage_Reconciled_prod_chosen!$C20,FALSE)</f>
        <v>11279.290322580646</v>
      </c>
      <c r="I17" s="141">
        <f>HLOOKUP(I$109,Storage_Reconciled_prod_chosen!$D$7:$CU$23,Storage_Reconciled_prod_chosen!$C20,FALSE)</f>
        <v>11865.225806451614</v>
      </c>
      <c r="J17" s="141">
        <f>HLOOKUP(J$109,Storage_Reconciled_prod_chosen!$D$7:$CU$23,Storage_Reconciled_prod_chosen!$C20,FALSE)</f>
        <v>8252.7000000000007</v>
      </c>
      <c r="K17" s="143">
        <f>HLOOKUP(K$109,Storage_Reconciled_prod_chosen!$D$7:$CU$23,Storage_Reconciled_prod_chosen!$C20,FALSE)</f>
        <v>10489.79347826087</v>
      </c>
      <c r="L17" s="167">
        <f>HLOOKUP(L$109,Storage_Reconciled_prod_chosen!$D$7:$CU$23,Storage_Reconciled_prod_chosen!$C20,FALSE)</f>
        <v>10739.830601092895</v>
      </c>
      <c r="M17" s="141">
        <f>HLOOKUP(M$109,Storage_Reconciled_prod_chosen!$D$7:$CU$23,Storage_Reconciled_prod_chosen!$C20,FALSE)</f>
        <v>12756.41935483871</v>
      </c>
      <c r="N17" s="141">
        <f>HLOOKUP(N$109,Storage_Reconciled_prod_chosen!$D$7:$CU$23,Storage_Reconciled_prod_chosen!$C20,FALSE)</f>
        <v>12639.866666666667</v>
      </c>
      <c r="O17" s="141">
        <f>HLOOKUP(O$109,Storage_Reconciled_prod_chosen!$D$7:$CU$23,Storage_Reconciled_prod_chosen!$C20,FALSE)</f>
        <v>3968.5806451612902</v>
      </c>
      <c r="P17" s="143">
        <f>HLOOKUP(P$109,Storage_Reconciled_prod_chosen!$D$7:$CU$23,Storage_Reconciled_prod_chosen!$C20,FALSE)</f>
        <v>9757.29347826087</v>
      </c>
      <c r="Q17" s="167">
        <f>HLOOKUP(Q$109,Storage_Reconciled_prod_chosen!$D$7:$CU$23,Storage_Reconciled_prod_chosen!$C20,FALSE)</f>
        <v>10411.127272727274</v>
      </c>
      <c r="R17" s="141">
        <f>HLOOKUP(R$109,Storage_Reconciled_prod_chosen!$D$7:$CU$23,Storage_Reconciled_prod_chosen!$C20,FALSE)</f>
        <v>9050.0645161290322</v>
      </c>
      <c r="S17" s="141">
        <f>HLOOKUP(S$109,Storage_Reconciled_prod_chosen!$D$7:$CU$23,Storage_Reconciled_prod_chosen!$C20,FALSE)</f>
        <v>12822.928571428571</v>
      </c>
      <c r="T17" s="141">
        <f>HLOOKUP(T$109,Storage_Reconciled_prod_chosen!$D$7:$CU$23,Storage_Reconciled_prod_chosen!$C20,FALSE)</f>
        <v>0</v>
      </c>
      <c r="U17" s="143">
        <f>HLOOKUP(U$109,Storage_Reconciled_prod_chosen!$D$7:$CU$23,Storage_Reconciled_prod_chosen!$C20,FALSE)</f>
        <v>7106.6</v>
      </c>
      <c r="V17" s="167">
        <f>HLOOKUP(V$109,Storage_Reconciled_prod_chosen!$D$7:$CU$23,Storage_Reconciled_prod_chosen!$C20,FALSE)</f>
        <v>9596.3123287671224</v>
      </c>
      <c r="Z17" s="443">
        <f t="shared" si="0"/>
        <v>11865.225806451614</v>
      </c>
      <c r="AA17" s="443">
        <f t="shared" si="1"/>
        <v>10489.79347826087</v>
      </c>
    </row>
    <row r="18" spans="3:27" ht="15.75">
      <c r="C18" s="144" t="s">
        <v>69</v>
      </c>
      <c r="D18" s="141">
        <f>HLOOKUP(D$109,Storage_Reconciled_prod_chosen!$D$7:$CU$23,Storage_Reconciled_prod_chosen!$C21,FALSE)</f>
        <v>131.4</v>
      </c>
      <c r="E18" s="141">
        <f>HLOOKUP(E$109,Storage_Reconciled_prod_chosen!$D$7:$CU$23,Storage_Reconciled_prod_chosen!$C21,FALSE)</f>
        <v>132.64516129032259</v>
      </c>
      <c r="F18" s="141">
        <f>HLOOKUP(F$109,Storage_Reconciled_prod_chosen!$D$7:$CU$23,Storage_Reconciled_prod_chosen!$C21,FALSE)</f>
        <v>138.4</v>
      </c>
      <c r="G18" s="143">
        <f>HLOOKUP(G$109,Storage_Reconciled_prod_chosen!$D$7:$CU$23,Storage_Reconciled_prod_chosen!$C21,FALSE)</f>
        <v>134.13186813186815</v>
      </c>
      <c r="H18" s="141">
        <f>HLOOKUP(H$109,Storage_Reconciled_prod_chosen!$D$7:$CU$23,Storage_Reconciled_prod_chosen!$C21,FALSE)</f>
        <v>0</v>
      </c>
      <c r="I18" s="141">
        <f>HLOOKUP(I$109,Storage_Reconciled_prod_chosen!$D$7:$CU$23,Storage_Reconciled_prod_chosen!$C21,FALSE)</f>
        <v>0</v>
      </c>
      <c r="J18" s="141">
        <f>HLOOKUP(J$109,Storage_Reconciled_prod_chosen!$D$7:$CU$23,Storage_Reconciled_prod_chosen!$C21,FALSE)</f>
        <v>0</v>
      </c>
      <c r="K18" s="143">
        <f>HLOOKUP(K$109,Storage_Reconciled_prod_chosen!$D$7:$CU$23,Storage_Reconciled_prod_chosen!$C21,FALSE)</f>
        <v>0</v>
      </c>
      <c r="L18" s="167">
        <f>HLOOKUP(L$109,Storage_Reconciled_prod_chosen!$D$7:$CU$23,Storage_Reconciled_prod_chosen!$C21,FALSE)</f>
        <v>66.699453551912569</v>
      </c>
      <c r="M18" s="141">
        <f>HLOOKUP(M$109,Storage_Reconciled_prod_chosen!$D$7:$CU$23,Storage_Reconciled_prod_chosen!$C21,FALSE)</f>
        <v>0</v>
      </c>
      <c r="N18" s="141">
        <f>HLOOKUP(N$109,Storage_Reconciled_prod_chosen!$D$7:$CU$23,Storage_Reconciled_prod_chosen!$C21,FALSE)</f>
        <v>0</v>
      </c>
      <c r="O18" s="141">
        <f>HLOOKUP(O$109,Storage_Reconciled_prod_chosen!$D$7:$CU$23,Storage_Reconciled_prod_chosen!$C21,FALSE)</f>
        <v>0</v>
      </c>
      <c r="P18" s="143">
        <f>HLOOKUP(P$109,Storage_Reconciled_prod_chosen!$D$7:$CU$23,Storage_Reconciled_prod_chosen!$C21,FALSE)</f>
        <v>0</v>
      </c>
      <c r="Q18" s="167">
        <f>HLOOKUP(Q$109,Storage_Reconciled_prod_chosen!$D$7:$CU$23,Storage_Reconciled_prod_chosen!$C21,FALSE)</f>
        <v>44.385454545454543</v>
      </c>
      <c r="R18" s="141">
        <f>HLOOKUP(R$109,Storage_Reconciled_prod_chosen!$D$7:$CU$23,Storage_Reconciled_prod_chosen!$C21,FALSE)</f>
        <v>0</v>
      </c>
      <c r="S18" s="141">
        <f>HLOOKUP(S$109,Storage_Reconciled_prod_chosen!$D$7:$CU$23,Storage_Reconciled_prod_chosen!$C21,FALSE)</f>
        <v>0</v>
      </c>
      <c r="T18" s="141">
        <f>HLOOKUP(T$109,Storage_Reconciled_prod_chosen!$D$7:$CU$23,Storage_Reconciled_prod_chosen!$C21,FALSE)</f>
        <v>0</v>
      </c>
      <c r="U18" s="143">
        <f>HLOOKUP(U$109,Storage_Reconciled_prod_chosen!$D$7:$CU$23,Storage_Reconciled_prod_chosen!$C21,FALSE)</f>
        <v>0</v>
      </c>
      <c r="V18" s="167">
        <f>HLOOKUP(V$109,Storage_Reconciled_prod_chosen!$D$7:$CU$23,Storage_Reconciled_prod_chosen!$C21,FALSE)</f>
        <v>33.441095890410956</v>
      </c>
      <c r="Z18" s="443">
        <f t="shared" si="0"/>
        <v>0</v>
      </c>
      <c r="AA18" s="443">
        <f t="shared" si="1"/>
        <v>0</v>
      </c>
    </row>
    <row r="19" spans="3:27" ht="15.75">
      <c r="C19" s="144" t="s">
        <v>70</v>
      </c>
      <c r="D19" s="141">
        <f>HLOOKUP(D$109,Storage_Reconciled_prod_chosen!$D$7:$CU$23,Storage_Reconciled_prod_chosen!$C22,FALSE)</f>
        <v>0</v>
      </c>
      <c r="E19" s="141">
        <f>HLOOKUP(E$109,Storage_Reconciled_prod_chosen!$D$7:$CU$23,Storage_Reconciled_prod_chosen!$C22,FALSE)</f>
        <v>0</v>
      </c>
      <c r="F19" s="141">
        <f>HLOOKUP(F$109,Storage_Reconciled_prod_chosen!$D$7:$CU$23,Storage_Reconciled_prod_chosen!$C22,FALSE)</f>
        <v>0</v>
      </c>
      <c r="G19" s="143">
        <f>HLOOKUP(G$109,Storage_Reconciled_prod_chosen!$D$7:$CU$23,Storage_Reconciled_prod_chosen!$C22,FALSE)</f>
        <v>0</v>
      </c>
      <c r="H19" s="141">
        <f>HLOOKUP(H$109,Storage_Reconciled_prod_chosen!$D$7:$CU$23,Storage_Reconciled_prod_chosen!$C22,FALSE)</f>
        <v>0</v>
      </c>
      <c r="I19" s="141">
        <f>HLOOKUP(I$109,Storage_Reconciled_prod_chosen!$D$7:$CU$23,Storage_Reconciled_prod_chosen!$C22,FALSE)</f>
        <v>0</v>
      </c>
      <c r="J19" s="141">
        <f>HLOOKUP(J$109,Storage_Reconciled_prod_chosen!$D$7:$CU$23,Storage_Reconciled_prod_chosen!$C22,FALSE)</f>
        <v>0</v>
      </c>
      <c r="K19" s="143">
        <f>HLOOKUP(K$109,Storage_Reconciled_prod_chosen!$D$7:$CU$23,Storage_Reconciled_prod_chosen!$C22,FALSE)</f>
        <v>0</v>
      </c>
      <c r="L19" s="167">
        <f>HLOOKUP(L$109,Storage_Reconciled_prod_chosen!$D$7:$CU$23,Storage_Reconciled_prod_chosen!$C22,FALSE)</f>
        <v>0</v>
      </c>
      <c r="M19" s="141">
        <f>HLOOKUP(M$109,Storage_Reconciled_prod_chosen!$D$7:$CU$23,Storage_Reconciled_prod_chosen!$C22,FALSE)</f>
        <v>0</v>
      </c>
      <c r="N19" s="141">
        <f>HLOOKUP(N$109,Storage_Reconciled_prod_chosen!$D$7:$CU$23,Storage_Reconciled_prod_chosen!$C22,FALSE)</f>
        <v>0</v>
      </c>
      <c r="O19" s="141">
        <f>HLOOKUP(O$109,Storage_Reconciled_prod_chosen!$D$7:$CU$23,Storage_Reconciled_prod_chosen!$C22,FALSE)</f>
        <v>0</v>
      </c>
      <c r="P19" s="143">
        <f>HLOOKUP(P$109,Storage_Reconciled_prod_chosen!$D$7:$CU$23,Storage_Reconciled_prod_chosen!$C22,FALSE)</f>
        <v>0</v>
      </c>
      <c r="Q19" s="167">
        <f>HLOOKUP(Q$109,Storage_Reconciled_prod_chosen!$D$7:$CU$23,Storage_Reconciled_prod_chosen!$C22,FALSE)</f>
        <v>0</v>
      </c>
      <c r="R19" s="141">
        <f>HLOOKUP(R$109,Storage_Reconciled_prod_chosen!$D$7:$CU$23,Storage_Reconciled_prod_chosen!$C22,FALSE)</f>
        <v>0</v>
      </c>
      <c r="S19" s="141">
        <f>HLOOKUP(S$109,Storage_Reconciled_prod_chosen!$D$7:$CU$23,Storage_Reconciled_prod_chosen!$C22,FALSE)</f>
        <v>0</v>
      </c>
      <c r="T19" s="141">
        <f>HLOOKUP(T$109,Storage_Reconciled_prod_chosen!$D$7:$CU$23,Storage_Reconciled_prod_chosen!$C22,FALSE)</f>
        <v>0</v>
      </c>
      <c r="U19" s="143">
        <f>HLOOKUP(U$109,Storage_Reconciled_prod_chosen!$D$7:$CU$23,Storage_Reconciled_prod_chosen!$C22,FALSE)</f>
        <v>0</v>
      </c>
      <c r="V19" s="167">
        <f>HLOOKUP(V$109,Storage_Reconciled_prod_chosen!$D$7:$CU$23,Storage_Reconciled_prod_chosen!$C22,FALSE)</f>
        <v>0</v>
      </c>
      <c r="Z19" s="443">
        <f t="shared" si="0"/>
        <v>0</v>
      </c>
      <c r="AA19" s="443">
        <f t="shared" si="1"/>
        <v>0</v>
      </c>
    </row>
    <row r="20" spans="3:27" ht="15.75">
      <c r="C20" s="145" t="s">
        <v>390</v>
      </c>
      <c r="D20" s="207">
        <f>HLOOKUP(D$109,Storage_Reconciled_prod_chosen!$D$7:$CU$23,Storage_Reconciled_prod_chosen!$C23,FALSE)</f>
        <v>0</v>
      </c>
      <c r="E20" s="207">
        <f>HLOOKUP(E$109,Storage_Reconciled_prod_chosen!$D$7:$CU$23,Storage_Reconciled_prod_chosen!$C23,FALSE)</f>
        <v>0</v>
      </c>
      <c r="F20" s="207">
        <f>HLOOKUP(F$109,Storage_Reconciled_prod_chosen!$D$7:$CU$23,Storage_Reconciled_prod_chosen!$C23,FALSE)</f>
        <v>0</v>
      </c>
      <c r="G20" s="189">
        <f>HLOOKUP(G$109,Storage_Reconciled_prod_chosen!$D$7:$CU$23,Storage_Reconciled_prod_chosen!$C23,FALSE)</f>
        <v>0</v>
      </c>
      <c r="H20" s="207">
        <f>HLOOKUP(H$109,Storage_Reconciled_prod_chosen!$D$7:$CU$23,Storage_Reconciled_prod_chosen!$C23,FALSE)</f>
        <v>0</v>
      </c>
      <c r="I20" s="207">
        <f>HLOOKUP(I$109,Storage_Reconciled_prod_chosen!$D$7:$CU$23,Storage_Reconciled_prod_chosen!$C23,FALSE)</f>
        <v>0</v>
      </c>
      <c r="J20" s="207">
        <f>HLOOKUP(J$109,Storage_Reconciled_prod_chosen!$D$7:$CU$23,Storage_Reconciled_prod_chosen!$C23,FALSE)</f>
        <v>0</v>
      </c>
      <c r="K20" s="189">
        <f>HLOOKUP(K$109,Storage_Reconciled_prod_chosen!$D$7:$CU$23,Storage_Reconciled_prod_chosen!$C23,FALSE)</f>
        <v>0</v>
      </c>
      <c r="L20" s="169">
        <f>HLOOKUP(L$109,Storage_Reconciled_prod_chosen!$D$7:$CU$23,Storage_Reconciled_prod_chosen!$C23,FALSE)</f>
        <v>0</v>
      </c>
      <c r="M20" s="207">
        <f>HLOOKUP(M$109,Storage_Reconciled_prod_chosen!$D$7:$CU$23,Storage_Reconciled_prod_chosen!$C23,FALSE)</f>
        <v>0</v>
      </c>
      <c r="N20" s="207">
        <f>HLOOKUP(N$109,Storage_Reconciled_prod_chosen!$D$7:$CU$23,Storage_Reconciled_prod_chosen!$C23,FALSE)</f>
        <v>0</v>
      </c>
      <c r="O20" s="207">
        <f>HLOOKUP(O$109,Storage_Reconciled_prod_chosen!$D$7:$CU$23,Storage_Reconciled_prod_chosen!$C23,FALSE)</f>
        <v>0</v>
      </c>
      <c r="P20" s="189">
        <f>HLOOKUP(P$109,Storage_Reconciled_prod_chosen!$D$7:$CU$23,Storage_Reconciled_prod_chosen!$C23,FALSE)</f>
        <v>0</v>
      </c>
      <c r="Q20" s="169">
        <f>HLOOKUP(Q$109,Storage_Reconciled_prod_chosen!$D$7:$CU$23,Storage_Reconciled_prod_chosen!$C23,FALSE)</f>
        <v>0</v>
      </c>
      <c r="R20" s="207">
        <f>HLOOKUP(R$109,Storage_Reconciled_prod_chosen!$D$7:$CU$23,Storage_Reconciled_prod_chosen!$C23,FALSE)</f>
        <v>0</v>
      </c>
      <c r="S20" s="207">
        <f>HLOOKUP(S$109,Storage_Reconciled_prod_chosen!$D$7:$CU$23,Storage_Reconciled_prod_chosen!$C23,FALSE)</f>
        <v>0</v>
      </c>
      <c r="T20" s="207">
        <f>HLOOKUP(T$109,Storage_Reconciled_prod_chosen!$D$7:$CU$23,Storage_Reconciled_prod_chosen!$C23,FALSE)</f>
        <v>0</v>
      </c>
      <c r="U20" s="189">
        <f>HLOOKUP(U$109,Storage_Reconciled_prod_chosen!$D$7:$CU$23,Storage_Reconciled_prod_chosen!$C23,FALSE)</f>
        <v>0</v>
      </c>
      <c r="V20" s="169">
        <f>HLOOKUP(V$109,Storage_Reconciled_prod_chosen!$D$7:$CU$23,Storage_Reconciled_prod_chosen!$C23,FALSE)</f>
        <v>0</v>
      </c>
      <c r="Z20" s="443">
        <f t="shared" si="0"/>
        <v>0</v>
      </c>
      <c r="AA20" s="443">
        <f t="shared" si="1"/>
        <v>0</v>
      </c>
    </row>
    <row r="22" spans="3:27">
      <c r="C22" s="1172" t="s">
        <v>89</v>
      </c>
      <c r="D22" s="1173"/>
      <c r="E22" s="1173"/>
      <c r="F22" s="1173"/>
      <c r="G22" s="1173"/>
      <c r="H22" s="1173"/>
      <c r="I22" s="1173"/>
      <c r="J22" s="1173"/>
      <c r="K22" s="1173"/>
      <c r="L22" s="1173"/>
      <c r="M22" s="1173"/>
      <c r="N22" s="1173"/>
      <c r="O22" s="1173"/>
      <c r="P22" s="1173"/>
      <c r="Q22" s="1173"/>
      <c r="R22" s="1173"/>
      <c r="S22" s="1173"/>
      <c r="T22" s="1173"/>
      <c r="U22" s="1173"/>
      <c r="V22" s="1174"/>
    </row>
    <row r="23" spans="3:27">
      <c r="C23" s="144"/>
      <c r="D23" s="144" t="str">
        <f>HLOOKUP(D$109,Storage_Reconciled_prod_chosen!$D$26:$CU$42,Storage_Reconciled_prod_chosen!$C27,FALSE)</f>
        <v>Apr'25</v>
      </c>
      <c r="E23" s="144" t="str">
        <f>HLOOKUP(E$109,Storage_Reconciled_prod_chosen!$D$26:$CU$42,Storage_Reconciled_prod_chosen!$C27,FALSE)</f>
        <v>May'25</v>
      </c>
      <c r="F23" s="144" t="str">
        <f>HLOOKUP(F$109,Storage_Reconciled_prod_chosen!$D$26:$CU$42,Storage_Reconciled_prod_chosen!$C27,FALSE)</f>
        <v>Jun'25</v>
      </c>
      <c r="G23" s="148" t="str">
        <f>HLOOKUP(G$109,Storage_Reconciled_prod_chosen!$D$26:$CU$42,Storage_Reconciled_prod_chosen!$C27,FALSE)</f>
        <v>Q1 25-26</v>
      </c>
      <c r="H23" s="144" t="str">
        <f>HLOOKUP(H$109,Storage_Reconciled_prod_chosen!$D$26:$CU$42,Storage_Reconciled_prod_chosen!$C27,FALSE)</f>
        <v>Jul'25</v>
      </c>
      <c r="I23" s="144" t="str">
        <f>HLOOKUP(I$109,Storage_Reconciled_prod_chosen!$D$26:$CU$42,Storage_Reconciled_prod_chosen!$C27,FALSE)</f>
        <v>Aug'25</v>
      </c>
      <c r="J23" s="144" t="str">
        <f>HLOOKUP(J$109,Storage_Reconciled_prod_chosen!$D$26:$CU$42,Storage_Reconciled_prod_chosen!$C27,FALSE)</f>
        <v>Sep'25</v>
      </c>
      <c r="K23" s="148" t="str">
        <f>HLOOKUP(K$109,Storage_Reconciled_prod_chosen!$D$26:$CU$42,Storage_Reconciled_prod_chosen!$C27,FALSE)</f>
        <v>Q2 25-26</v>
      </c>
      <c r="L23" s="170" t="str">
        <f>HLOOKUP(L$109,Storage_Reconciled_prod_chosen!$D$26:$CU$42,Storage_Reconciled_prod_chosen!$C27,FALSE)</f>
        <v>H1 25-26</v>
      </c>
      <c r="M23" s="144" t="str">
        <f>HLOOKUP(M$109,Storage_Reconciled_prod_chosen!$D$26:$CU$42,Storage_Reconciled_prod_chosen!$C27,FALSE)</f>
        <v>Oct'25</v>
      </c>
      <c r="N23" s="144" t="str">
        <f>HLOOKUP(N$109,Storage_Reconciled_prod_chosen!$D$26:$CU$42,Storage_Reconciled_prod_chosen!$C27,FALSE)</f>
        <v>Nov'25</v>
      </c>
      <c r="O23" s="144" t="str">
        <f>HLOOKUP(O$109,Storage_Reconciled_prod_chosen!$D$26:$CU$42,Storage_Reconciled_prod_chosen!$C27,FALSE)</f>
        <v>Dec'25</v>
      </c>
      <c r="P23" s="148" t="str">
        <f>HLOOKUP(P$109,Storage_Reconciled_prod_chosen!$D$26:$CU$42,Storage_Reconciled_prod_chosen!$C27,FALSE)</f>
        <v>Q3 25-26</v>
      </c>
      <c r="Q23" s="170" t="str">
        <f>HLOOKUP(Q$109,Storage_Reconciled_prod_chosen!$D$26:$CU$42,Storage_Reconciled_prod_chosen!$C27,FALSE)</f>
        <v>9M 25-26</v>
      </c>
      <c r="R23" s="144" t="str">
        <f>HLOOKUP(R$109,Storage_Reconciled_prod_chosen!$D$26:$CU$42,Storage_Reconciled_prod_chosen!$C27,FALSE)</f>
        <v>Jan'26</v>
      </c>
      <c r="S23" s="144" t="str">
        <f>HLOOKUP(S$109,Storage_Reconciled_prod_chosen!$D$26:$CU$42,Storage_Reconciled_prod_chosen!$C27,FALSE)</f>
        <v>Feb'26</v>
      </c>
      <c r="T23" s="144" t="str">
        <f>HLOOKUP(T$109,Storage_Reconciled_prod_chosen!$D$26:$CU$42,Storage_Reconciled_prod_chosen!$C27,FALSE)</f>
        <v>Mar'26</v>
      </c>
      <c r="U23" s="148" t="str">
        <f>HLOOKUP(U$109,Storage_Reconciled_prod_chosen!$D$26:$CU$42,Storage_Reconciled_prod_chosen!$C27,FALSE)</f>
        <v>Q4 25-26</v>
      </c>
      <c r="V23" s="170" t="str">
        <f>HLOOKUP(V$109,Storage_Reconciled_prod_chosen!$D$26:$CU$42,Storage_Reconciled_prod_chosen!$C27,FALSE)</f>
        <v>25-26</v>
      </c>
    </row>
    <row r="24" spans="3:27" ht="15.75">
      <c r="C24" s="144" t="s">
        <v>60</v>
      </c>
      <c r="D24" s="183">
        <f>HLOOKUP(D$109,Storage_Reconciled_prod_chosen!$D$26:$CU$42,Storage_Reconciled_prod_chosen!$C28,FALSE)</f>
        <v>9.1</v>
      </c>
      <c r="E24" s="183">
        <f>HLOOKUP(E$109,Storage_Reconciled_prod_chosen!$D$26:$CU$42,Storage_Reconciled_prod_chosen!$C28,FALSE)</f>
        <v>8.2548387096774203</v>
      </c>
      <c r="F24" s="183">
        <f>HLOOKUP(F$109,Storage_Reconciled_prod_chosen!$D$26:$CU$42,Storage_Reconciled_prod_chosen!$C28,FALSE)</f>
        <v>7.9314999999999998</v>
      </c>
      <c r="G24" s="181">
        <f>HLOOKUP(G$109,Storage_Reconciled_prod_chosen!$D$26:$CU$42,Storage_Reconciled_prod_chosen!$C28,FALSE)</f>
        <v>8.4268681318681313</v>
      </c>
      <c r="H24" s="183">
        <f>HLOOKUP(H$109,Storage_Reconciled_prod_chosen!$D$26:$CU$42,Storage_Reconciled_prod_chosen!$C28,FALSE)</f>
        <v>4.7340322580645156</v>
      </c>
      <c r="I24" s="183">
        <f>HLOOKUP(I$109,Storage_Reconciled_prod_chosen!$D$26:$CU$42,Storage_Reconciled_prod_chosen!$C28,FALSE)</f>
        <v>1.1774193548387097</v>
      </c>
      <c r="J24" s="183">
        <f>HLOOKUP(J$109,Storage_Reconciled_prod_chosen!$D$26:$CU$42,Storage_Reconciled_prod_chosen!$C28,FALSE)</f>
        <v>7.4434333333333331</v>
      </c>
      <c r="K24" s="181">
        <f>HLOOKUP(K$109,Storage_Reconciled_prod_chosen!$D$26:$CU$42,Storage_Reconciled_prod_chosen!$C28,FALSE)</f>
        <v>4.4191086956521737</v>
      </c>
      <c r="L24" s="182">
        <f>HLOOKUP(L$109,Storage_Reconciled_prod_chosen!$D$26:$CU$42,Storage_Reconciled_prod_chosen!$C28,FALSE)</f>
        <v>6.4120382513661207</v>
      </c>
      <c r="M24" s="183">
        <f>HLOOKUP(M$109,Storage_Reconciled_prod_chosen!$D$26:$CU$42,Storage_Reconciled_prod_chosen!$C28,FALSE)</f>
        <v>7.6773225806451615</v>
      </c>
      <c r="N24" s="183">
        <f>HLOOKUP(N$109,Storage_Reconciled_prod_chosen!$D$26:$CU$42,Storage_Reconciled_prod_chosen!$C28,FALSE)</f>
        <v>10.15</v>
      </c>
      <c r="O24" s="183">
        <f>HLOOKUP(O$109,Storage_Reconciled_prod_chosen!$D$26:$CU$42,Storage_Reconciled_prod_chosen!$C28,FALSE)</f>
        <v>8.3706129032258065</v>
      </c>
      <c r="P24" s="181">
        <f>HLOOKUP(P$109,Storage_Reconciled_prod_chosen!$D$26:$CU$42,Storage_Reconciled_prod_chosen!$C28,FALSE)</f>
        <v>8.717239130434784</v>
      </c>
      <c r="Q24" s="182">
        <f>HLOOKUP(Q$109,Storage_Reconciled_prod_chosen!$D$26:$CU$42,Storage_Reconciled_prod_chosen!$C28,FALSE)</f>
        <v>7.1832327272727277</v>
      </c>
      <c r="R24" s="183">
        <f>HLOOKUP(R$109,Storage_Reconciled_prod_chosen!$D$26:$CU$42,Storage_Reconciled_prod_chosen!$C28,FALSE)</f>
        <v>12.161129032258065</v>
      </c>
      <c r="S24" s="183">
        <f>HLOOKUP(S$109,Storage_Reconciled_prod_chosen!$D$26:$CU$42,Storage_Reconciled_prod_chosen!$C28,FALSE)</f>
        <v>12.244392857142858</v>
      </c>
      <c r="T24" s="183">
        <f>HLOOKUP(T$109,Storage_Reconciled_prod_chosen!$D$26:$CU$42,Storage_Reconciled_prod_chosen!$C28,FALSE)</f>
        <v>0</v>
      </c>
      <c r="U24" s="181">
        <f>HLOOKUP(U$109,Storage_Reconciled_prod_chosen!$D$26:$CU$42,Storage_Reconciled_prod_chosen!$C28,FALSE)</f>
        <v>7.9981999999999998</v>
      </c>
      <c r="V24" s="182">
        <f>HLOOKUP(V$109,Storage_Reconciled_prod_chosen!$D$26:$CU$42,Storage_Reconciled_prod_chosen!$C28,FALSE)</f>
        <v>7.3841835616438356</v>
      </c>
      <c r="Z24" s="443">
        <f t="shared" ref="Z24:Z38" si="2">SUMIF($D$103:$V$103,$Z$2,$D24:$V24)</f>
        <v>1.1774193548387097</v>
      </c>
      <c r="AA24" s="443">
        <f>SUMIF($D$104:$V$104,$Z$3,$D24:$V24)</f>
        <v>4.4191086956521737</v>
      </c>
    </row>
    <row r="25" spans="3:27" ht="15.75">
      <c r="C25" s="144" t="s">
        <v>61</v>
      </c>
      <c r="D25" s="183">
        <f>HLOOKUP(D$109,Storage_Reconciled_prod_chosen!$D$26:$CU$42,Storage_Reconciled_prod_chosen!$C29,FALSE)</f>
        <v>10.124733333333333</v>
      </c>
      <c r="E25" s="183">
        <f>HLOOKUP(E$109,Storage_Reconciled_prod_chosen!$D$26:$CU$42,Storage_Reconciled_prod_chosen!$C29,FALSE)</f>
        <v>10.64083870967742</v>
      </c>
      <c r="F25" s="183">
        <f>HLOOKUP(F$109,Storage_Reconciled_prod_chosen!$D$26:$CU$42,Storage_Reconciled_prod_chosen!$C29,FALSE)</f>
        <v>10.501866666666666</v>
      </c>
      <c r="G25" s="181">
        <f>HLOOKUP(G$109,Storage_Reconciled_prod_chosen!$D$26:$CU$42,Storage_Reconciled_prod_chosen!$C29,FALSE)</f>
        <v>10.424879120879121</v>
      </c>
      <c r="H25" s="183">
        <f>HLOOKUP(H$109,Storage_Reconciled_prod_chosen!$D$26:$CU$42,Storage_Reconciled_prod_chosen!$C29,FALSE)</f>
        <v>10.837225806451613</v>
      </c>
      <c r="I25" s="183">
        <f>HLOOKUP(I$109,Storage_Reconciled_prod_chosen!$D$26:$CU$42,Storage_Reconciled_prod_chosen!$C29,FALSE)</f>
        <v>9.1157419354838716</v>
      </c>
      <c r="J25" s="183">
        <f>HLOOKUP(J$109,Storage_Reconciled_prod_chosen!$D$26:$CU$42,Storage_Reconciled_prod_chosen!$C29,FALSE)</f>
        <v>10.6249</v>
      </c>
      <c r="K25" s="181">
        <f>HLOOKUP(K$109,Storage_Reconciled_prod_chosen!$D$26:$CU$42,Storage_Reconciled_prod_chosen!$C29,FALSE)</f>
        <v>10.187923913043479</v>
      </c>
      <c r="L25" s="182">
        <f>HLOOKUP(L$109,Storage_Reconciled_prod_chosen!$D$26:$CU$42,Storage_Reconciled_prod_chosen!$C29,FALSE)</f>
        <v>10.305754098360655</v>
      </c>
      <c r="M25" s="183">
        <f>HLOOKUP(M$109,Storage_Reconciled_prod_chosen!$D$26:$CU$42,Storage_Reconciled_prod_chosen!$C29,FALSE)</f>
        <v>10.405806451612902</v>
      </c>
      <c r="N25" s="183">
        <f>HLOOKUP(N$109,Storage_Reconciled_prod_chosen!$D$26:$CU$42,Storage_Reconciled_prod_chosen!$C29,FALSE)</f>
        <v>10.407466666666666</v>
      </c>
      <c r="O25" s="183">
        <f>HLOOKUP(O$109,Storage_Reconciled_prod_chosen!$D$26:$CU$42,Storage_Reconciled_prod_chosen!$C29,FALSE)</f>
        <v>9.9532580645161293</v>
      </c>
      <c r="P25" s="181">
        <f>HLOOKUP(P$109,Storage_Reconciled_prod_chosen!$D$26:$CU$42,Storage_Reconciled_prod_chosen!$C29,FALSE)</f>
        <v>10.253858695652173</v>
      </c>
      <c r="Q25" s="182">
        <f>HLOOKUP(Q$109,Storage_Reconciled_prod_chosen!$D$26:$CU$42,Storage_Reconciled_prod_chosen!$C29,FALSE)</f>
        <v>10.288392727272727</v>
      </c>
      <c r="R25" s="183">
        <f>HLOOKUP(R$109,Storage_Reconciled_prod_chosen!$D$26:$CU$42,Storage_Reconciled_prod_chosen!$C29,FALSE)</f>
        <v>10.026903225806452</v>
      </c>
      <c r="S25" s="183">
        <f>HLOOKUP(S$109,Storage_Reconciled_prod_chosen!$D$26:$CU$42,Storage_Reconciled_prod_chosen!$C29,FALSE)</f>
        <v>9.928571428571429E-3</v>
      </c>
      <c r="T25" s="183">
        <f>HLOOKUP(T$109,Storage_Reconciled_prod_chosen!$D$26:$CU$42,Storage_Reconciled_prod_chosen!$C29,FALSE)</f>
        <v>0</v>
      </c>
      <c r="U25" s="181">
        <f>HLOOKUP(U$109,Storage_Reconciled_prod_chosen!$D$26:$CU$42,Storage_Reconciled_prod_chosen!$C29,FALSE)</f>
        <v>3.4568000000000003</v>
      </c>
      <c r="V25" s="182">
        <f>HLOOKUP(V$109,Storage_Reconciled_prod_chosen!$D$26:$CU$42,Storage_Reconciled_prod_chosen!$C29,FALSE)</f>
        <v>8.6038904109589041</v>
      </c>
      <c r="Z25" s="443">
        <f t="shared" si="2"/>
        <v>9.1157419354838716</v>
      </c>
      <c r="AA25" s="443">
        <f t="shared" ref="AA25:AA38" si="3">SUMIF($D$104:$V$104,$Z$3,$D25:$V25)</f>
        <v>10.187923913043479</v>
      </c>
    </row>
    <row r="26" spans="3:27" ht="15.75">
      <c r="C26" s="144" t="s">
        <v>62</v>
      </c>
      <c r="D26" s="183">
        <f>HLOOKUP(D$109,Storage_Reconciled_prod_chosen!$D$26:$CU$42,Storage_Reconciled_prod_chosen!$C30,FALSE)</f>
        <v>0.28206666666666663</v>
      </c>
      <c r="E26" s="183">
        <f>HLOOKUP(E$109,Storage_Reconciled_prod_chosen!$D$26:$CU$42,Storage_Reconciled_prod_chosen!$C30,FALSE)</f>
        <v>0.25932258064516128</v>
      </c>
      <c r="F26" s="183">
        <f>HLOOKUP(F$109,Storage_Reconciled_prod_chosen!$D$26:$CU$42,Storage_Reconciled_prod_chosen!$C30,FALSE)</f>
        <v>0.2641</v>
      </c>
      <c r="G26" s="181">
        <f>HLOOKUP(G$109,Storage_Reconciled_prod_chosen!$D$26:$CU$42,Storage_Reconciled_prod_chosen!$C30,FALSE)</f>
        <v>0.26839560439560439</v>
      </c>
      <c r="H26" s="183">
        <f>HLOOKUP(H$109,Storage_Reconciled_prod_chosen!$D$26:$CU$42,Storage_Reconciled_prod_chosen!$C30,FALSE)</f>
        <v>0.25987096774193547</v>
      </c>
      <c r="I26" s="183">
        <f>HLOOKUP(I$109,Storage_Reconciled_prod_chosen!$D$26:$CU$42,Storage_Reconciled_prod_chosen!$C30,FALSE)</f>
        <v>0.27529032258064517</v>
      </c>
      <c r="J26" s="183">
        <f>HLOOKUP(J$109,Storage_Reconciled_prod_chosen!$D$26:$CU$42,Storage_Reconciled_prod_chosen!$C30,FALSE)</f>
        <v>0.25303333333333333</v>
      </c>
      <c r="K26" s="181">
        <f>HLOOKUP(K$109,Storage_Reconciled_prod_chosen!$D$26:$CU$42,Storage_Reconciled_prod_chosen!$C30,FALSE)</f>
        <v>0.26283695652173916</v>
      </c>
      <c r="L26" s="182">
        <f>HLOOKUP(L$109,Storage_Reconciled_prod_chosen!$D$26:$CU$42,Storage_Reconciled_prod_chosen!$C30,FALSE)</f>
        <v>0.2656010928961749</v>
      </c>
      <c r="M26" s="183">
        <f>HLOOKUP(M$109,Storage_Reconciled_prod_chosen!$D$26:$CU$42,Storage_Reconciled_prod_chosen!$C30,FALSE)</f>
        <v>0.27925806451612906</v>
      </c>
      <c r="N26" s="183">
        <f>HLOOKUP(N$109,Storage_Reconciled_prod_chosen!$D$26:$CU$42,Storage_Reconciled_prod_chosen!$C30,FALSE)</f>
        <v>0.28396666666666665</v>
      </c>
      <c r="O26" s="183">
        <f>HLOOKUP(O$109,Storage_Reconciled_prod_chosen!$D$26:$CU$42,Storage_Reconciled_prod_chosen!$C30,FALSE)</f>
        <v>0.28748387096774197</v>
      </c>
      <c r="P26" s="181">
        <f>HLOOKUP(P$109,Storage_Reconciled_prod_chosen!$D$26:$CU$42,Storage_Reconciled_prod_chosen!$C30,FALSE)</f>
        <v>0.28356521739130436</v>
      </c>
      <c r="Q26" s="182">
        <f>HLOOKUP(Q$109,Storage_Reconciled_prod_chosen!$D$26:$CU$42,Storage_Reconciled_prod_chosen!$C30,FALSE)</f>
        <v>0.27161090909090913</v>
      </c>
      <c r="R26" s="183">
        <f>HLOOKUP(R$109,Storage_Reconciled_prod_chosen!$D$26:$CU$42,Storage_Reconciled_prod_chosen!$C30,FALSE)</f>
        <v>0.28935483870967743</v>
      </c>
      <c r="S26" s="183">
        <f>HLOOKUP(S$109,Storage_Reconciled_prod_chosen!$D$26:$CU$42,Storage_Reconciled_prod_chosen!$C30,FALSE)</f>
        <v>0.28742857142857142</v>
      </c>
      <c r="T26" s="183">
        <f>HLOOKUP(T$109,Storage_Reconciled_prod_chosen!$D$26:$CU$42,Storage_Reconciled_prod_chosen!$C30,FALSE)</f>
        <v>0</v>
      </c>
      <c r="U26" s="181">
        <f>HLOOKUP(U$109,Storage_Reconciled_prod_chosen!$D$26:$CU$42,Storage_Reconciled_prod_chosen!$C30,FALSE)</f>
        <v>0.18908888888888889</v>
      </c>
      <c r="V26" s="182">
        <f>HLOOKUP(V$109,Storage_Reconciled_prod_chosen!$D$26:$CU$42,Storage_Reconciled_prod_chosen!$C30,FALSE)</f>
        <v>0.25126301369863019</v>
      </c>
      <c r="Z26" s="443">
        <f t="shared" si="2"/>
        <v>0.27529032258064517</v>
      </c>
      <c r="AA26" s="443">
        <f t="shared" si="3"/>
        <v>0.26283695652173916</v>
      </c>
    </row>
    <row r="27" spans="3:27" ht="15.75">
      <c r="C27" s="144" t="s">
        <v>57</v>
      </c>
      <c r="D27" s="183">
        <f>HLOOKUP(D$109,Storage_Reconciled_prod_chosen!$D$26:$CU$42,Storage_Reconciled_prod_chosen!$C31,FALSE)</f>
        <v>10.639033333333334</v>
      </c>
      <c r="E27" s="183">
        <f>HLOOKUP(E$109,Storage_Reconciled_prod_chosen!$D$26:$CU$42,Storage_Reconciled_prod_chosen!$C31,FALSE)</f>
        <v>8.9830322580645152</v>
      </c>
      <c r="F27" s="183">
        <f>HLOOKUP(F$109,Storage_Reconciled_prod_chosen!$D$26:$CU$42,Storage_Reconciled_prod_chosen!$C31,FALSE)</f>
        <v>8.2010333333333332</v>
      </c>
      <c r="G27" s="181">
        <f>HLOOKUP(G$109,Storage_Reconciled_prod_chosen!$D$26:$CU$42,Storage_Reconciled_prod_chosen!$C31,FALSE)</f>
        <v>9.2711648351648339</v>
      </c>
      <c r="H27" s="183">
        <f>HLOOKUP(H$109,Storage_Reconciled_prod_chosen!$D$26:$CU$42,Storage_Reconciled_prod_chosen!$C31,FALSE)</f>
        <v>9.4027419354838706</v>
      </c>
      <c r="I27" s="183">
        <f>HLOOKUP(I$109,Storage_Reconciled_prod_chosen!$D$26:$CU$42,Storage_Reconciled_prod_chosen!$C31,FALSE)</f>
        <v>9.4024516129032261</v>
      </c>
      <c r="J27" s="183">
        <f>HLOOKUP(J$109,Storage_Reconciled_prod_chosen!$D$26:$CU$42,Storage_Reconciled_prod_chosen!$C31,FALSE)</f>
        <v>11.933400000000001</v>
      </c>
      <c r="K27" s="181">
        <f>HLOOKUP(K$109,Storage_Reconciled_prod_chosen!$D$26:$CU$42,Storage_Reconciled_prod_chosen!$C31,FALSE)</f>
        <v>10.227858695652174</v>
      </c>
      <c r="L27" s="182">
        <f>HLOOKUP(L$109,Storage_Reconciled_prod_chosen!$D$26:$CU$42,Storage_Reconciled_prod_chosen!$C31,FALSE)</f>
        <v>9.7521256830601093</v>
      </c>
      <c r="M27" s="183">
        <f>HLOOKUP(M$109,Storage_Reconciled_prod_chosen!$D$26:$CU$42,Storage_Reconciled_prod_chosen!$C31,FALSE)</f>
        <v>11.031064516129033</v>
      </c>
      <c r="N27" s="183">
        <f>HLOOKUP(N$109,Storage_Reconciled_prod_chosen!$D$26:$CU$42,Storage_Reconciled_prod_chosen!$C31,FALSE)</f>
        <v>12.5198</v>
      </c>
      <c r="O27" s="183">
        <f>HLOOKUP(O$109,Storage_Reconciled_prod_chosen!$D$26:$CU$42,Storage_Reconciled_prod_chosen!$C31,FALSE)</f>
        <v>12.985709677419356</v>
      </c>
      <c r="P27" s="181">
        <f>HLOOKUP(P$109,Storage_Reconciled_prod_chosen!$D$26:$CU$42,Storage_Reconciled_prod_chosen!$C31,FALSE)</f>
        <v>12.175152173913045</v>
      </c>
      <c r="Q27" s="182">
        <f>HLOOKUP(Q$109,Storage_Reconciled_prod_chosen!$D$26:$CU$42,Storage_Reconciled_prod_chosen!$C31,FALSE)</f>
        <v>10.562738181818181</v>
      </c>
      <c r="R27" s="183">
        <f>HLOOKUP(R$109,Storage_Reconciled_prod_chosen!$D$26:$CU$42,Storage_Reconciled_prod_chosen!$C31,FALSE)</f>
        <v>16.445258064516128</v>
      </c>
      <c r="S27" s="183">
        <f>HLOOKUP(S$109,Storage_Reconciled_prod_chosen!$D$26:$CU$42,Storage_Reconciled_prod_chosen!$C31,FALSE)</f>
        <v>15.491785714285713</v>
      </c>
      <c r="T27" s="183">
        <f>HLOOKUP(T$109,Storage_Reconciled_prod_chosen!$D$26:$CU$42,Storage_Reconciled_prod_chosen!$C31,FALSE)</f>
        <v>0</v>
      </c>
      <c r="U27" s="181">
        <f>HLOOKUP(U$109,Storage_Reconciled_prod_chosen!$D$26:$CU$42,Storage_Reconciled_prod_chosen!$C31,FALSE)</f>
        <v>10.484144444444444</v>
      </c>
      <c r="V27" s="182">
        <f>HLOOKUP(V$109,Storage_Reconciled_prod_chosen!$D$26:$CU$42,Storage_Reconciled_prod_chosen!$C31,FALSE)</f>
        <v>10.543358904109589</v>
      </c>
      <c r="Z27" s="443">
        <f t="shared" si="2"/>
        <v>9.4024516129032261</v>
      </c>
      <c r="AA27" s="443">
        <f t="shared" si="3"/>
        <v>10.227858695652174</v>
      </c>
    </row>
    <row r="28" spans="3:27" ht="15.75">
      <c r="C28" s="144" t="s">
        <v>58</v>
      </c>
      <c r="D28" s="183">
        <f>HLOOKUP(D$109,Storage_Reconciled_prod_chosen!$D$26:$CU$42,Storage_Reconciled_prod_chosen!$C32,FALSE)</f>
        <v>0.30416666666666664</v>
      </c>
      <c r="E28" s="183">
        <f>HLOOKUP(E$109,Storage_Reconciled_prod_chosen!$D$26:$CU$42,Storage_Reconciled_prod_chosen!$C32,FALSE)</f>
        <v>0.35135483870967738</v>
      </c>
      <c r="F28" s="183">
        <f>HLOOKUP(F$109,Storage_Reconciled_prod_chosen!$D$26:$CU$42,Storage_Reconciled_prod_chosen!$C32,FALSE)</f>
        <v>0.51133333333333331</v>
      </c>
      <c r="G28" s="181">
        <f>HLOOKUP(G$109,Storage_Reconciled_prod_chosen!$D$26:$CU$42,Storage_Reconciled_prod_chosen!$C32,FALSE)</f>
        <v>0.38853846153846155</v>
      </c>
      <c r="H28" s="183">
        <f>HLOOKUP(H$109,Storage_Reconciled_prod_chosen!$D$26:$CU$42,Storage_Reconciled_prod_chosen!$C32,FALSE)</f>
        <v>0.4374193548387097</v>
      </c>
      <c r="I28" s="183">
        <f>HLOOKUP(I$109,Storage_Reconciled_prod_chosen!$D$26:$CU$42,Storage_Reconciled_prod_chosen!$C32,FALSE)</f>
        <v>0.36580645161290321</v>
      </c>
      <c r="J28" s="183">
        <f>HLOOKUP(J$109,Storage_Reconciled_prod_chosen!$D$26:$CU$42,Storage_Reconciled_prod_chosen!$C32,FALSE)</f>
        <v>0.44400000000000001</v>
      </c>
      <c r="K28" s="181">
        <f>HLOOKUP(K$109,Storage_Reconciled_prod_chosen!$D$26:$CU$42,Storage_Reconciled_prod_chosen!$C32,FALSE)</f>
        <v>0.41543478260869565</v>
      </c>
      <c r="L28" s="182">
        <f>HLOOKUP(L$109,Storage_Reconciled_prod_chosen!$D$26:$CU$42,Storage_Reconciled_prod_chosen!$C32,FALSE)</f>
        <v>0.4020601092896175</v>
      </c>
      <c r="M28" s="183">
        <f>HLOOKUP(M$109,Storage_Reconciled_prod_chosen!$D$26:$CU$42,Storage_Reconciled_prod_chosen!$C32,FALSE)</f>
        <v>0.4906451612903226</v>
      </c>
      <c r="N28" s="183">
        <f>HLOOKUP(N$109,Storage_Reconciled_prod_chosen!$D$26:$CU$42,Storage_Reconciled_prod_chosen!$C32,FALSE)</f>
        <v>0.27123333333333333</v>
      </c>
      <c r="O28" s="183">
        <f>HLOOKUP(O$109,Storage_Reconciled_prod_chosen!$D$26:$CU$42,Storage_Reconciled_prod_chosen!$C32,FALSE)</f>
        <v>0</v>
      </c>
      <c r="P28" s="181">
        <f>HLOOKUP(P$109,Storage_Reconciled_prod_chosen!$D$26:$CU$42,Storage_Reconciled_prod_chosen!$C32,FALSE)</f>
        <v>0.25377173913043477</v>
      </c>
      <c r="Q28" s="182">
        <f>HLOOKUP(Q$109,Storage_Reconciled_prod_chosen!$D$26:$CU$42,Storage_Reconciled_prod_chosen!$C32,FALSE)</f>
        <v>0.35245090909090909</v>
      </c>
      <c r="R28" s="183">
        <f>HLOOKUP(R$109,Storage_Reconciled_prod_chosen!$D$26:$CU$42,Storage_Reconciled_prod_chosen!$C32,FALSE)</f>
        <v>4.0322580645161289E-2</v>
      </c>
      <c r="S28" s="183">
        <f>HLOOKUP(S$109,Storage_Reconciled_prod_chosen!$D$26:$CU$42,Storage_Reconciled_prod_chosen!$C32,FALSE)</f>
        <v>0.31642857142857139</v>
      </c>
      <c r="T28" s="183">
        <f>HLOOKUP(T$109,Storage_Reconciled_prod_chosen!$D$26:$CU$42,Storage_Reconciled_prod_chosen!$C32,FALSE)</f>
        <v>0</v>
      </c>
      <c r="U28" s="181">
        <f>HLOOKUP(U$109,Storage_Reconciled_prod_chosen!$D$26:$CU$42,Storage_Reconciled_prod_chosen!$C32,FALSE)</f>
        <v>0.11233333333333333</v>
      </c>
      <c r="V28" s="182">
        <f>HLOOKUP(V$109,Storage_Reconciled_prod_chosen!$D$26:$CU$42,Storage_Reconciled_prod_chosen!$C32,FALSE)</f>
        <v>0.29324383561643835</v>
      </c>
      <c r="Z28" s="443">
        <f t="shared" si="2"/>
        <v>0.36580645161290321</v>
      </c>
      <c r="AA28" s="443">
        <f t="shared" si="3"/>
        <v>0.41543478260869565</v>
      </c>
    </row>
    <row r="29" spans="3:27" ht="15.75">
      <c r="C29" s="144" t="s">
        <v>59</v>
      </c>
      <c r="D29" s="183">
        <f>HLOOKUP(D$109,Storage_Reconciled_prod_chosen!$D$26:$CU$42,Storage_Reconciled_prod_chosen!$C33,FALSE)</f>
        <v>2.7899999999999998E-2</v>
      </c>
      <c r="E29" s="183">
        <f>HLOOKUP(E$109,Storage_Reconciled_prod_chosen!$D$26:$CU$42,Storage_Reconciled_prod_chosen!$C33,FALSE)</f>
        <v>2.661290322580645E-2</v>
      </c>
      <c r="F29" s="183">
        <f>HLOOKUP(F$109,Storage_Reconciled_prod_chosen!$D$26:$CU$42,Storage_Reconciled_prod_chosen!$C33,FALSE)</f>
        <v>2.47E-2</v>
      </c>
      <c r="G29" s="181">
        <f>HLOOKUP(G$109,Storage_Reconciled_prod_chosen!$D$26:$CU$42,Storage_Reconciled_prod_chosen!$C33,FALSE)</f>
        <v>2.6406593406593407E-2</v>
      </c>
      <c r="H29" s="183">
        <f>HLOOKUP(H$109,Storage_Reconciled_prod_chosen!$D$26:$CU$42,Storage_Reconciled_prod_chosen!$C33,FALSE)</f>
        <v>2.8258064516129031E-2</v>
      </c>
      <c r="I29" s="183">
        <f>HLOOKUP(I$109,Storage_Reconciled_prod_chosen!$D$26:$CU$42,Storage_Reconciled_prod_chosen!$C33,FALSE)</f>
        <v>2.9870967741935487E-2</v>
      </c>
      <c r="J29" s="183">
        <f>HLOOKUP(J$109,Storage_Reconciled_prod_chosen!$D$26:$CU$42,Storage_Reconciled_prod_chosen!$C33,FALSE)</f>
        <v>3.1866666666666668E-2</v>
      </c>
      <c r="K29" s="181">
        <f>HLOOKUP(K$109,Storage_Reconciled_prod_chosen!$D$26:$CU$42,Storage_Reconciled_prod_chosen!$C33,FALSE)</f>
        <v>2.9978260869565218E-2</v>
      </c>
      <c r="L29" s="182">
        <f>HLOOKUP(L$109,Storage_Reconciled_prod_chosen!$D$26:$CU$42,Storage_Reconciled_prod_chosen!$C33,FALSE)</f>
        <v>2.8202185792349725E-2</v>
      </c>
      <c r="M29" s="183">
        <f>HLOOKUP(M$109,Storage_Reconciled_prod_chosen!$D$26:$CU$42,Storage_Reconciled_prod_chosen!$C33,FALSE)</f>
        <v>3.3870967741935487E-2</v>
      </c>
      <c r="N29" s="183">
        <f>HLOOKUP(N$109,Storage_Reconciled_prod_chosen!$D$26:$CU$42,Storage_Reconciled_prod_chosen!$C33,FALSE)</f>
        <v>3.39E-2</v>
      </c>
      <c r="O29" s="183">
        <f>HLOOKUP(O$109,Storage_Reconciled_prod_chosen!$D$26:$CU$42,Storage_Reconciled_prod_chosen!$C33,FALSE)</f>
        <v>3.0870967741935481E-2</v>
      </c>
      <c r="P29" s="181">
        <f>HLOOKUP(P$109,Storage_Reconciled_prod_chosen!$D$26:$CU$42,Storage_Reconciled_prod_chosen!$C33,FALSE)</f>
        <v>3.2869565217391303E-2</v>
      </c>
      <c r="Q29" s="182">
        <f>HLOOKUP(Q$109,Storage_Reconciled_prod_chosen!$D$26:$CU$42,Storage_Reconciled_prod_chosen!$C33,FALSE)</f>
        <v>2.976363636363636E-2</v>
      </c>
      <c r="R29" s="183">
        <f>HLOOKUP(R$109,Storage_Reconciled_prod_chosen!$D$26:$CU$42,Storage_Reconciled_prod_chosen!$C33,FALSE)</f>
        <v>2.8580645161290323E-2</v>
      </c>
      <c r="S29" s="183">
        <f>HLOOKUP(S$109,Storage_Reconciled_prod_chosen!$D$26:$CU$42,Storage_Reconciled_prod_chosen!$C33,FALSE)</f>
        <v>2.8821428571428574E-2</v>
      </c>
      <c r="T29" s="183">
        <f>HLOOKUP(T$109,Storage_Reconciled_prod_chosen!$D$26:$CU$42,Storage_Reconciled_prod_chosen!$C33,FALSE)</f>
        <v>0</v>
      </c>
      <c r="U29" s="181">
        <f>HLOOKUP(U$109,Storage_Reconciled_prod_chosen!$D$26:$CU$42,Storage_Reconciled_prod_chosen!$C33,FALSE)</f>
        <v>1.8811111111111112E-2</v>
      </c>
      <c r="V29" s="182">
        <f>HLOOKUP(V$109,Storage_Reconciled_prod_chosen!$D$26:$CU$42,Storage_Reconciled_prod_chosen!$C33,FALSE)</f>
        <v>2.7063013698630133E-2</v>
      </c>
      <c r="Z29" s="443">
        <f t="shared" si="2"/>
        <v>2.9870967741935487E-2</v>
      </c>
      <c r="AA29" s="443">
        <f t="shared" si="3"/>
        <v>2.9978260869565218E-2</v>
      </c>
    </row>
    <row r="30" spans="3:27" ht="15.75">
      <c r="C30" s="144" t="s">
        <v>63</v>
      </c>
      <c r="D30" s="183">
        <f>HLOOKUP(D$109,Storage_Reconciled_prod_chosen!$D$26:$CU$42,Storage_Reconciled_prod_chosen!$C34,FALSE)</f>
        <v>4.0666666666666663E-3</v>
      </c>
      <c r="E30" s="183">
        <f>HLOOKUP(E$109,Storage_Reconciled_prod_chosen!$D$26:$CU$42,Storage_Reconciled_prod_chosen!$C34,FALSE)</f>
        <v>3.0645161290322582E-3</v>
      </c>
      <c r="F30" s="183">
        <f>HLOOKUP(F$109,Storage_Reconciled_prod_chosen!$D$26:$CU$42,Storage_Reconciled_prod_chosen!$C34,FALSE)</f>
        <v>2.3999999999999998E-3</v>
      </c>
      <c r="G30" s="181">
        <f>HLOOKUP(G$109,Storage_Reconciled_prod_chosen!$D$26:$CU$42,Storage_Reconciled_prod_chosen!$C34,FALSE)</f>
        <v>3.1758241758241758E-3</v>
      </c>
      <c r="H30" s="183">
        <f>HLOOKUP(H$109,Storage_Reconciled_prod_chosen!$D$26:$CU$42,Storage_Reconciled_prod_chosen!$C34,FALSE)</f>
        <v>3.9032258064516127E-3</v>
      </c>
      <c r="I30" s="183">
        <f>HLOOKUP(I$109,Storage_Reconciled_prod_chosen!$D$26:$CU$42,Storage_Reconciled_prod_chosen!$C34,FALSE)</f>
        <v>4.0322580645161289E-3</v>
      </c>
      <c r="J30" s="183">
        <f>HLOOKUP(J$109,Storage_Reconciled_prod_chosen!$D$26:$CU$42,Storage_Reconciled_prod_chosen!$C34,FALSE)</f>
        <v>4.0666666666666663E-3</v>
      </c>
      <c r="K30" s="181">
        <f>HLOOKUP(K$109,Storage_Reconciled_prod_chosen!$D$26:$CU$42,Storage_Reconciled_prod_chosen!$C34,FALSE)</f>
        <v>4.0000000000000001E-3</v>
      </c>
      <c r="L30" s="182">
        <f>HLOOKUP(L$109,Storage_Reconciled_prod_chosen!$D$26:$CU$42,Storage_Reconciled_prod_chosen!$C34,FALSE)</f>
        <v>3.5901639344262295E-3</v>
      </c>
      <c r="M30" s="183">
        <f>HLOOKUP(M$109,Storage_Reconciled_prod_chosen!$D$26:$CU$42,Storage_Reconciled_prod_chosen!$C34,FALSE)</f>
        <v>3.6451612903225807E-3</v>
      </c>
      <c r="N30" s="183">
        <f>HLOOKUP(N$109,Storage_Reconciled_prod_chosen!$D$26:$CU$42,Storage_Reconciled_prod_chosen!$C34,FALSE)</f>
        <v>3.0999999999999999E-3</v>
      </c>
      <c r="O30" s="183">
        <f>HLOOKUP(O$109,Storage_Reconciled_prod_chosen!$D$26:$CU$42,Storage_Reconciled_prod_chosen!$C34,FALSE)</f>
        <v>3.7419354838709681E-3</v>
      </c>
      <c r="P30" s="181">
        <f>HLOOKUP(P$109,Storage_Reconciled_prod_chosen!$D$26:$CU$42,Storage_Reconciled_prod_chosen!$C34,FALSE)</f>
        <v>3.5000000000000001E-3</v>
      </c>
      <c r="Q30" s="182">
        <f>HLOOKUP(Q$109,Storage_Reconciled_prod_chosen!$D$26:$CU$42,Storage_Reconciled_prod_chosen!$C34,FALSE)</f>
        <v>3.5600000000000002E-3</v>
      </c>
      <c r="R30" s="183">
        <f>HLOOKUP(R$109,Storage_Reconciled_prod_chosen!$D$26:$CU$42,Storage_Reconciled_prod_chosen!$C34,FALSE)</f>
        <v>3.5483870967741938E-3</v>
      </c>
      <c r="S30" s="183">
        <f>HLOOKUP(S$109,Storage_Reconciled_prod_chosen!$D$26:$CU$42,Storage_Reconciled_prod_chosen!$C34,FALSE)</f>
        <v>2.5357142857142857E-3</v>
      </c>
      <c r="T30" s="183">
        <f>HLOOKUP(T$109,Storage_Reconciled_prod_chosen!$D$26:$CU$42,Storage_Reconciled_prod_chosen!$C34,FALSE)</f>
        <v>0</v>
      </c>
      <c r="U30" s="181">
        <f>HLOOKUP(U$109,Storage_Reconciled_prod_chosen!$D$26:$CU$42,Storage_Reconciled_prod_chosen!$C34,FALSE)</f>
        <v>2.0111111111111111E-3</v>
      </c>
      <c r="V30" s="182">
        <f>HLOOKUP(V$109,Storage_Reconciled_prod_chosen!$D$26:$CU$42,Storage_Reconciled_prod_chosen!$C34,FALSE)</f>
        <v>3.1780821917808222E-3</v>
      </c>
      <c r="Z30" s="443">
        <f t="shared" si="2"/>
        <v>4.0322580645161289E-3</v>
      </c>
      <c r="AA30" s="443">
        <f t="shared" si="3"/>
        <v>4.0000000000000001E-3</v>
      </c>
    </row>
    <row r="31" spans="3:27" ht="15.75">
      <c r="C31" s="144" t="s">
        <v>64</v>
      </c>
      <c r="D31" s="183">
        <f>HLOOKUP(D$109,Storage_Reconciled_prod_chosen!$D$26:$CU$42,Storage_Reconciled_prod_chosen!$C35,FALSE)</f>
        <v>0.19126666666666667</v>
      </c>
      <c r="E31" s="183">
        <f>HLOOKUP(E$109,Storage_Reconciled_prod_chosen!$D$26:$CU$42,Storage_Reconciled_prod_chosen!$C35,FALSE)</f>
        <v>0.1884193548387097</v>
      </c>
      <c r="F31" s="183">
        <f>HLOOKUP(F$109,Storage_Reconciled_prod_chosen!$D$26:$CU$42,Storage_Reconciled_prod_chosen!$C35,FALSE)</f>
        <v>0.18953333333333333</v>
      </c>
      <c r="G31" s="181">
        <f>HLOOKUP(G$109,Storage_Reconciled_prod_chosen!$D$26:$CU$42,Storage_Reconciled_prod_chosen!$C35,FALSE)</f>
        <v>0.18972527472527473</v>
      </c>
      <c r="H31" s="183">
        <f>HLOOKUP(H$109,Storage_Reconciled_prod_chosen!$D$26:$CU$42,Storage_Reconciled_prod_chosen!$C35,FALSE)</f>
        <v>0.20270967741935483</v>
      </c>
      <c r="I31" s="183">
        <f>HLOOKUP(I$109,Storage_Reconciled_prod_chosen!$D$26:$CU$42,Storage_Reconciled_prod_chosen!$C35,FALSE)</f>
        <v>0.21251612903225806</v>
      </c>
      <c r="J31" s="183">
        <f>HLOOKUP(J$109,Storage_Reconciled_prod_chosen!$D$26:$CU$42,Storage_Reconciled_prod_chosen!$C35,FALSE)</f>
        <v>0.1958</v>
      </c>
      <c r="K31" s="181">
        <f>HLOOKUP(K$109,Storage_Reconciled_prod_chosen!$D$26:$CU$42,Storage_Reconciled_prod_chosen!$C35,FALSE)</f>
        <v>0.20376086956521738</v>
      </c>
      <c r="L31" s="182">
        <f>HLOOKUP(L$109,Storage_Reconciled_prod_chosen!$D$26:$CU$42,Storage_Reconciled_prod_chosen!$C35,FALSE)</f>
        <v>0.1967814207650273</v>
      </c>
      <c r="M31" s="183">
        <f>HLOOKUP(M$109,Storage_Reconciled_prod_chosen!$D$26:$CU$42,Storage_Reconciled_prod_chosen!$C35,FALSE)</f>
        <v>0.1984516129032258</v>
      </c>
      <c r="N31" s="183">
        <f>HLOOKUP(N$109,Storage_Reconciled_prod_chosen!$D$26:$CU$42,Storage_Reconciled_prod_chosen!$C35,FALSE)</f>
        <v>0.21546666666666667</v>
      </c>
      <c r="O31" s="183">
        <f>HLOOKUP(O$109,Storage_Reconciled_prod_chosen!$D$26:$CU$42,Storage_Reconciled_prod_chosen!$C35,FALSE)</f>
        <v>0.20580645161290323</v>
      </c>
      <c r="P31" s="181">
        <f>HLOOKUP(P$109,Storage_Reconciled_prod_chosen!$D$26:$CU$42,Storage_Reconciled_prod_chosen!$C35,FALSE)</f>
        <v>0.20647826086956519</v>
      </c>
      <c r="Q31" s="182">
        <f>HLOOKUP(Q$109,Storage_Reconciled_prod_chosen!$D$26:$CU$42,Storage_Reconciled_prod_chosen!$C35,FALSE)</f>
        <v>0.20002545454545451</v>
      </c>
      <c r="R31" s="183">
        <f>HLOOKUP(R$109,Storage_Reconciled_prod_chosen!$D$26:$CU$42,Storage_Reconciled_prod_chosen!$C35,FALSE)</f>
        <v>0.12619354838709676</v>
      </c>
      <c r="S31" s="183">
        <f>HLOOKUP(S$109,Storage_Reconciled_prod_chosen!$D$26:$CU$42,Storage_Reconciled_prod_chosen!$C35,FALSE)</f>
        <v>0.22010714285714286</v>
      </c>
      <c r="T31" s="183">
        <f>HLOOKUP(T$109,Storage_Reconciled_prod_chosen!$D$26:$CU$42,Storage_Reconciled_prod_chosen!$C35,FALSE)</f>
        <v>0</v>
      </c>
      <c r="U31" s="181">
        <f>HLOOKUP(U$109,Storage_Reconciled_prod_chosen!$D$26:$CU$42,Storage_Reconciled_prod_chosen!$C35,FALSE)</f>
        <v>0.11194444444444443</v>
      </c>
      <c r="V31" s="182">
        <f>HLOOKUP(V$109,Storage_Reconciled_prod_chosen!$D$26:$CU$42,Storage_Reconciled_prod_chosen!$C35,FALSE)</f>
        <v>0.17830684931506849</v>
      </c>
      <c r="Z31" s="443">
        <f t="shared" si="2"/>
        <v>0.21251612903225806</v>
      </c>
      <c r="AA31" s="443">
        <f t="shared" si="3"/>
        <v>0.20376086956521738</v>
      </c>
    </row>
    <row r="32" spans="3:27" ht="15.75">
      <c r="C32" s="144" t="s">
        <v>65</v>
      </c>
      <c r="D32" s="183">
        <f>HLOOKUP(D$109,Storage_Reconciled_prod_chosen!$D$26:$CU$42,Storage_Reconciled_prod_chosen!$C36,FALSE)</f>
        <v>0.13766666666666666</v>
      </c>
      <c r="E32" s="183">
        <f>HLOOKUP(E$109,Storage_Reconciled_prod_chosen!$D$26:$CU$42,Storage_Reconciled_prod_chosen!$C36,FALSE)</f>
        <v>8.2129032258064505E-2</v>
      </c>
      <c r="F32" s="183">
        <f>HLOOKUP(F$109,Storage_Reconciled_prod_chosen!$D$26:$CU$42,Storage_Reconciled_prod_chosen!$C36,FALSE)</f>
        <v>6.6233333333333338E-2</v>
      </c>
      <c r="G32" s="181">
        <f>HLOOKUP(G$109,Storage_Reconciled_prod_chosen!$D$26:$CU$42,Storage_Reconciled_prod_chosen!$C36,FALSE)</f>
        <v>9.5197802197802203E-2</v>
      </c>
      <c r="H32" s="183">
        <f>HLOOKUP(H$109,Storage_Reconciled_prod_chosen!$D$26:$CU$42,Storage_Reconciled_prod_chosen!$C36,FALSE)</f>
        <v>7.9709677419354835E-2</v>
      </c>
      <c r="I32" s="183">
        <f>HLOOKUP(I$109,Storage_Reconciled_prod_chosen!$D$26:$CU$42,Storage_Reconciled_prod_chosen!$C36,FALSE)</f>
        <v>9.1483870967741937E-2</v>
      </c>
      <c r="J32" s="183">
        <f>HLOOKUP(J$109,Storage_Reconciled_prod_chosen!$D$26:$CU$42,Storage_Reconciled_prod_chosen!$C36,FALSE)</f>
        <v>9.74E-2</v>
      </c>
      <c r="K32" s="181">
        <f>HLOOKUP(K$109,Storage_Reconciled_prod_chosen!$D$26:$CU$42,Storage_Reconciled_prod_chosen!$C36,FALSE)</f>
        <v>8.9445652173913051E-2</v>
      </c>
      <c r="L32" s="182">
        <f>HLOOKUP(L$109,Storage_Reconciled_prod_chosen!$D$26:$CU$42,Storage_Reconciled_prod_chosen!$C36,FALSE)</f>
        <v>9.2306010928961763E-2</v>
      </c>
      <c r="M32" s="183">
        <f>HLOOKUP(M$109,Storage_Reconciled_prod_chosen!$D$26:$CU$42,Storage_Reconciled_prod_chosen!$C36,FALSE)</f>
        <v>9.7838709677419353E-2</v>
      </c>
      <c r="N32" s="183">
        <f>HLOOKUP(N$109,Storage_Reconciled_prod_chosen!$D$26:$CU$42,Storage_Reconciled_prod_chosen!$C36,FALSE)</f>
        <v>9.8033333333333333E-2</v>
      </c>
      <c r="O32" s="183">
        <f>HLOOKUP(O$109,Storage_Reconciled_prod_chosen!$D$26:$CU$42,Storage_Reconciled_prod_chosen!$C36,FALSE)</f>
        <v>8.8064516129032253E-2</v>
      </c>
      <c r="P32" s="181">
        <f>HLOOKUP(P$109,Storage_Reconciled_prod_chosen!$D$26:$CU$42,Storage_Reconciled_prod_chosen!$C36,FALSE)</f>
        <v>9.4608695652173919E-2</v>
      </c>
      <c r="Q32" s="182">
        <f>HLOOKUP(Q$109,Storage_Reconciled_prod_chosen!$D$26:$CU$42,Storage_Reconciled_prod_chosen!$C36,FALSE)</f>
        <v>9.3076363636363652E-2</v>
      </c>
      <c r="R32" s="183">
        <f>HLOOKUP(R$109,Storage_Reconciled_prod_chosen!$D$26:$CU$42,Storage_Reconciled_prod_chosen!$C36,FALSE)</f>
        <v>3.9225806451612902E-2</v>
      </c>
      <c r="S32" s="183">
        <f>HLOOKUP(S$109,Storage_Reconciled_prod_chosen!$D$26:$CU$42,Storage_Reconciled_prod_chosen!$C36,FALSE)</f>
        <v>0.11460714285714287</v>
      </c>
      <c r="T32" s="183">
        <f>HLOOKUP(T$109,Storage_Reconciled_prod_chosen!$D$26:$CU$42,Storage_Reconciled_prod_chosen!$C36,FALSE)</f>
        <v>0</v>
      </c>
      <c r="U32" s="181">
        <f>HLOOKUP(U$109,Storage_Reconciled_prod_chosen!$D$26:$CU$42,Storage_Reconciled_prod_chosen!$C36,FALSE)</f>
        <v>4.9166666666666664E-2</v>
      </c>
      <c r="V32" s="182">
        <f>HLOOKUP(V$109,Storage_Reconciled_prod_chosen!$D$26:$CU$42,Storage_Reconciled_prod_chosen!$C36,FALSE)</f>
        <v>8.2249315068493159E-2</v>
      </c>
      <c r="Z32" s="443">
        <f t="shared" si="2"/>
        <v>9.1483870967741937E-2</v>
      </c>
      <c r="AA32" s="443">
        <f t="shared" si="3"/>
        <v>8.9445652173913051E-2</v>
      </c>
    </row>
    <row r="33" spans="3:29" ht="15.75">
      <c r="C33" s="144" t="s">
        <v>66</v>
      </c>
      <c r="D33" s="183">
        <f>HLOOKUP(D$109,Storage_Reconciled_prod_chosen!$D$26:$CU$42,Storage_Reconciled_prod_chosen!$C37,FALSE)</f>
        <v>0</v>
      </c>
      <c r="E33" s="183">
        <f>HLOOKUP(E$109,Storage_Reconciled_prod_chosen!$D$26:$CU$42,Storage_Reconciled_prod_chosen!$C37,FALSE)</f>
        <v>0</v>
      </c>
      <c r="F33" s="183">
        <f>HLOOKUP(F$109,Storage_Reconciled_prod_chosen!$D$26:$CU$42,Storage_Reconciled_prod_chosen!$C37,FALSE)</f>
        <v>0</v>
      </c>
      <c r="G33" s="181">
        <f>HLOOKUP(G$109,Storage_Reconciled_prod_chosen!$D$26:$CU$42,Storage_Reconciled_prod_chosen!$C37,FALSE)</f>
        <v>0</v>
      </c>
      <c r="H33" s="183">
        <f>HLOOKUP(H$109,Storage_Reconciled_prod_chosen!$D$26:$CU$42,Storage_Reconciled_prod_chosen!$C37,FALSE)</f>
        <v>0</v>
      </c>
      <c r="I33" s="183">
        <f>HLOOKUP(I$109,Storage_Reconciled_prod_chosen!$D$26:$CU$42,Storage_Reconciled_prod_chosen!$C37,FALSE)</f>
        <v>0</v>
      </c>
      <c r="J33" s="183">
        <f>HLOOKUP(J$109,Storage_Reconciled_prod_chosen!$D$26:$CU$42,Storage_Reconciled_prod_chosen!$C37,FALSE)</f>
        <v>0</v>
      </c>
      <c r="K33" s="181">
        <f>HLOOKUP(K$109,Storage_Reconciled_prod_chosen!$D$26:$CU$42,Storage_Reconciled_prod_chosen!$C37,FALSE)</f>
        <v>0</v>
      </c>
      <c r="L33" s="182">
        <f>HLOOKUP(L$109,Storage_Reconciled_prod_chosen!$D$26:$CU$42,Storage_Reconciled_prod_chosen!$C37,FALSE)</f>
        <v>0</v>
      </c>
      <c r="M33" s="183">
        <f>HLOOKUP(M$109,Storage_Reconciled_prod_chosen!$D$26:$CU$42,Storage_Reconciled_prod_chosen!$C37,FALSE)</f>
        <v>0</v>
      </c>
      <c r="N33" s="183">
        <f>HLOOKUP(N$109,Storage_Reconciled_prod_chosen!$D$26:$CU$42,Storage_Reconciled_prod_chosen!$C37,FALSE)</f>
        <v>0</v>
      </c>
      <c r="O33" s="183">
        <f>HLOOKUP(O$109,Storage_Reconciled_prod_chosen!$D$26:$CU$42,Storage_Reconciled_prod_chosen!$C37,FALSE)</f>
        <v>0</v>
      </c>
      <c r="P33" s="181">
        <f>HLOOKUP(P$109,Storage_Reconciled_prod_chosen!$D$26:$CU$42,Storage_Reconciled_prod_chosen!$C37,FALSE)</f>
        <v>0</v>
      </c>
      <c r="Q33" s="182">
        <f>HLOOKUP(Q$109,Storage_Reconciled_prod_chosen!$D$26:$CU$42,Storage_Reconciled_prod_chosen!$C37,FALSE)</f>
        <v>0</v>
      </c>
      <c r="R33" s="183">
        <f>HLOOKUP(R$109,Storage_Reconciled_prod_chosen!$D$26:$CU$42,Storage_Reconciled_prod_chosen!$C37,FALSE)</f>
        <v>0</v>
      </c>
      <c r="S33" s="183">
        <f>HLOOKUP(S$109,Storage_Reconciled_prod_chosen!$D$26:$CU$42,Storage_Reconciled_prod_chosen!$C37,FALSE)</f>
        <v>0</v>
      </c>
      <c r="T33" s="183">
        <f>HLOOKUP(T$109,Storage_Reconciled_prod_chosen!$D$26:$CU$42,Storage_Reconciled_prod_chosen!$C37,FALSE)</f>
        <v>0</v>
      </c>
      <c r="U33" s="181">
        <f>HLOOKUP(U$109,Storage_Reconciled_prod_chosen!$D$26:$CU$42,Storage_Reconciled_prod_chosen!$C37,FALSE)</f>
        <v>0</v>
      </c>
      <c r="V33" s="182">
        <f>HLOOKUP(V$109,Storage_Reconciled_prod_chosen!$D$26:$CU$42,Storage_Reconciled_prod_chosen!$C37,FALSE)</f>
        <v>0</v>
      </c>
      <c r="Z33" s="443">
        <f t="shared" si="2"/>
        <v>0</v>
      </c>
      <c r="AA33" s="443">
        <f t="shared" si="3"/>
        <v>0</v>
      </c>
    </row>
    <row r="34" spans="3:29" ht="15.75">
      <c r="C34" s="144" t="s">
        <v>67</v>
      </c>
      <c r="D34" s="183">
        <f>HLOOKUP(D$109,Storage_Reconciled_prod_chosen!$D$26:$CU$42,Storage_Reconciled_prod_chosen!$C38,FALSE)</f>
        <v>0</v>
      </c>
      <c r="E34" s="183">
        <f>HLOOKUP(E$109,Storage_Reconciled_prod_chosen!$D$26:$CU$42,Storage_Reconciled_prod_chosen!$C38,FALSE)</f>
        <v>0</v>
      </c>
      <c r="F34" s="183">
        <f>HLOOKUP(F$109,Storage_Reconciled_prod_chosen!$D$26:$CU$42,Storage_Reconciled_prod_chosen!$C38,FALSE)</f>
        <v>0</v>
      </c>
      <c r="G34" s="181">
        <f>HLOOKUP(G$109,Storage_Reconciled_prod_chosen!$D$26:$CU$42,Storage_Reconciled_prod_chosen!$C38,FALSE)</f>
        <v>0</v>
      </c>
      <c r="H34" s="183">
        <f>HLOOKUP(H$109,Storage_Reconciled_prod_chosen!$D$26:$CU$42,Storage_Reconciled_prod_chosen!$C38,FALSE)</f>
        <v>0</v>
      </c>
      <c r="I34" s="183">
        <f>HLOOKUP(I$109,Storage_Reconciled_prod_chosen!$D$26:$CU$42,Storage_Reconciled_prod_chosen!$C38,FALSE)</f>
        <v>0</v>
      </c>
      <c r="J34" s="183">
        <f>HLOOKUP(J$109,Storage_Reconciled_prod_chosen!$D$26:$CU$42,Storage_Reconciled_prod_chosen!$C38,FALSE)</f>
        <v>0</v>
      </c>
      <c r="K34" s="181">
        <f>HLOOKUP(K$109,Storage_Reconciled_prod_chosen!$D$26:$CU$42,Storage_Reconciled_prod_chosen!$C38,FALSE)</f>
        <v>0</v>
      </c>
      <c r="L34" s="182">
        <f>HLOOKUP(L$109,Storage_Reconciled_prod_chosen!$D$26:$CU$42,Storage_Reconciled_prod_chosen!$C38,FALSE)</f>
        <v>0</v>
      </c>
      <c r="M34" s="183">
        <f>HLOOKUP(M$109,Storage_Reconciled_prod_chosen!$D$26:$CU$42,Storage_Reconciled_prod_chosen!$C38,FALSE)</f>
        <v>0</v>
      </c>
      <c r="N34" s="183">
        <f>HLOOKUP(N$109,Storage_Reconciled_prod_chosen!$D$26:$CU$42,Storage_Reconciled_prod_chosen!$C38,FALSE)</f>
        <v>0</v>
      </c>
      <c r="O34" s="183">
        <f>HLOOKUP(O$109,Storage_Reconciled_prod_chosen!$D$26:$CU$42,Storage_Reconciled_prod_chosen!$C38,FALSE)</f>
        <v>0</v>
      </c>
      <c r="P34" s="181">
        <f>HLOOKUP(P$109,Storage_Reconciled_prod_chosen!$D$26:$CU$42,Storage_Reconciled_prod_chosen!$C38,FALSE)</f>
        <v>0</v>
      </c>
      <c r="Q34" s="182">
        <f>HLOOKUP(Q$109,Storage_Reconciled_prod_chosen!$D$26:$CU$42,Storage_Reconciled_prod_chosen!$C38,FALSE)</f>
        <v>0</v>
      </c>
      <c r="R34" s="183">
        <f>HLOOKUP(R$109,Storage_Reconciled_prod_chosen!$D$26:$CU$42,Storage_Reconciled_prod_chosen!$C38,FALSE)</f>
        <v>0</v>
      </c>
      <c r="S34" s="183">
        <f>HLOOKUP(S$109,Storage_Reconciled_prod_chosen!$D$26:$CU$42,Storage_Reconciled_prod_chosen!$C38,FALSE)</f>
        <v>0</v>
      </c>
      <c r="T34" s="183">
        <f>HLOOKUP(T$109,Storage_Reconciled_prod_chosen!$D$26:$CU$42,Storage_Reconciled_prod_chosen!$C38,FALSE)</f>
        <v>0</v>
      </c>
      <c r="U34" s="181">
        <f>HLOOKUP(U$109,Storage_Reconciled_prod_chosen!$D$26:$CU$42,Storage_Reconciled_prod_chosen!$C38,FALSE)</f>
        <v>0</v>
      </c>
      <c r="V34" s="182">
        <f>HLOOKUP(V$109,Storage_Reconciled_prod_chosen!$D$26:$CU$42,Storage_Reconciled_prod_chosen!$C38,FALSE)</f>
        <v>0</v>
      </c>
      <c r="Z34" s="443">
        <f t="shared" si="2"/>
        <v>0</v>
      </c>
      <c r="AA34" s="443">
        <f t="shared" si="3"/>
        <v>0</v>
      </c>
    </row>
    <row r="35" spans="3:29" ht="15.75">
      <c r="C35" s="144" t="s">
        <v>68</v>
      </c>
      <c r="D35" s="183">
        <f>HLOOKUP(D$109,Storage_Reconciled_prod_chosen!$D$26:$CU$42,Storage_Reconciled_prod_chosen!$C39,FALSE)</f>
        <v>0</v>
      </c>
      <c r="E35" s="183">
        <f>HLOOKUP(E$109,Storage_Reconciled_prod_chosen!$D$26:$CU$42,Storage_Reconciled_prod_chosen!$C39,FALSE)</f>
        <v>0</v>
      </c>
      <c r="F35" s="183">
        <f>HLOOKUP(F$109,Storage_Reconciled_prod_chosen!$D$26:$CU$42,Storage_Reconciled_prod_chosen!$C39,FALSE)</f>
        <v>0</v>
      </c>
      <c r="G35" s="181">
        <f>HLOOKUP(G$109,Storage_Reconciled_prod_chosen!$D$26:$CU$42,Storage_Reconciled_prod_chosen!$C39,FALSE)</f>
        <v>0</v>
      </c>
      <c r="H35" s="183">
        <f>HLOOKUP(H$109,Storage_Reconciled_prod_chosen!$D$26:$CU$42,Storage_Reconciled_prod_chosen!$C39,FALSE)</f>
        <v>0</v>
      </c>
      <c r="I35" s="183">
        <f>HLOOKUP(I$109,Storage_Reconciled_prod_chosen!$D$26:$CU$42,Storage_Reconciled_prod_chosen!$C39,FALSE)</f>
        <v>0</v>
      </c>
      <c r="J35" s="183">
        <f>HLOOKUP(J$109,Storage_Reconciled_prod_chosen!$D$26:$CU$42,Storage_Reconciled_prod_chosen!$C39,FALSE)</f>
        <v>0</v>
      </c>
      <c r="K35" s="181">
        <f>HLOOKUP(K$109,Storage_Reconciled_prod_chosen!$D$26:$CU$42,Storage_Reconciled_prod_chosen!$C39,FALSE)</f>
        <v>0</v>
      </c>
      <c r="L35" s="182">
        <f>HLOOKUP(L$109,Storage_Reconciled_prod_chosen!$D$26:$CU$42,Storage_Reconciled_prod_chosen!$C39,FALSE)</f>
        <v>0</v>
      </c>
      <c r="M35" s="183">
        <f>HLOOKUP(M$109,Storage_Reconciled_prod_chosen!$D$26:$CU$42,Storage_Reconciled_prod_chosen!$C39,FALSE)</f>
        <v>0</v>
      </c>
      <c r="N35" s="183">
        <f>HLOOKUP(N$109,Storage_Reconciled_prod_chosen!$D$26:$CU$42,Storage_Reconciled_prod_chosen!$C39,FALSE)</f>
        <v>0</v>
      </c>
      <c r="O35" s="183">
        <f>HLOOKUP(O$109,Storage_Reconciled_prod_chosen!$D$26:$CU$42,Storage_Reconciled_prod_chosen!$C39,FALSE)</f>
        <v>0</v>
      </c>
      <c r="P35" s="181">
        <f>HLOOKUP(P$109,Storage_Reconciled_prod_chosen!$D$26:$CU$42,Storage_Reconciled_prod_chosen!$C39,FALSE)</f>
        <v>0</v>
      </c>
      <c r="Q35" s="182">
        <f>HLOOKUP(Q$109,Storage_Reconciled_prod_chosen!$D$26:$CU$42,Storage_Reconciled_prod_chosen!$C39,FALSE)</f>
        <v>0</v>
      </c>
      <c r="R35" s="183">
        <f>HLOOKUP(R$109,Storage_Reconciled_prod_chosen!$D$26:$CU$42,Storage_Reconciled_prod_chosen!$C39,FALSE)</f>
        <v>0</v>
      </c>
      <c r="S35" s="183">
        <f>HLOOKUP(S$109,Storage_Reconciled_prod_chosen!$D$26:$CU$42,Storage_Reconciled_prod_chosen!$C39,FALSE)</f>
        <v>0</v>
      </c>
      <c r="T35" s="183">
        <f>HLOOKUP(T$109,Storage_Reconciled_prod_chosen!$D$26:$CU$42,Storage_Reconciled_prod_chosen!$C39,FALSE)</f>
        <v>0</v>
      </c>
      <c r="U35" s="181">
        <f>HLOOKUP(U$109,Storage_Reconciled_prod_chosen!$D$26:$CU$42,Storage_Reconciled_prod_chosen!$C39,FALSE)</f>
        <v>0</v>
      </c>
      <c r="V35" s="182">
        <f>HLOOKUP(V$109,Storage_Reconciled_prod_chosen!$D$26:$CU$42,Storage_Reconciled_prod_chosen!$C39,FALSE)</f>
        <v>0</v>
      </c>
      <c r="Z35" s="443">
        <f t="shared" si="2"/>
        <v>0</v>
      </c>
      <c r="AA35" s="443">
        <f t="shared" si="3"/>
        <v>0</v>
      </c>
    </row>
    <row r="36" spans="3:29" ht="15.75">
      <c r="C36" s="144" t="s">
        <v>69</v>
      </c>
      <c r="D36" s="183">
        <f>HLOOKUP(D$109,Storage_Reconciled_prod_chosen!$D$26:$CU$42,Storage_Reconciled_prod_chosen!$C40,FALSE)</f>
        <v>0.48399999999999999</v>
      </c>
      <c r="E36" s="183">
        <f>HLOOKUP(E$109,Storage_Reconciled_prod_chosen!$D$26:$CU$42,Storage_Reconciled_prod_chosen!$C40,FALSE)</f>
        <v>0.38096774193548388</v>
      </c>
      <c r="F36" s="183">
        <f>HLOOKUP(F$109,Storage_Reconciled_prod_chosen!$D$26:$CU$42,Storage_Reconciled_prod_chosen!$C40,FALSE)</f>
        <v>0.36199999999999999</v>
      </c>
      <c r="G36" s="181">
        <f>HLOOKUP(G$109,Storage_Reconciled_prod_chosen!$D$26:$CU$42,Storage_Reconciled_prod_chosen!$C40,FALSE)</f>
        <v>0.40868131868131868</v>
      </c>
      <c r="H36" s="183">
        <f>HLOOKUP(H$109,Storage_Reconciled_prod_chosen!$D$26:$CU$42,Storage_Reconciled_prod_chosen!$C40,FALSE)</f>
        <v>0</v>
      </c>
      <c r="I36" s="183">
        <f>HLOOKUP(I$109,Storage_Reconciled_prod_chosen!$D$26:$CU$42,Storage_Reconciled_prod_chosen!$C40,FALSE)</f>
        <v>0</v>
      </c>
      <c r="J36" s="183">
        <f>HLOOKUP(J$109,Storage_Reconciled_prod_chosen!$D$26:$CU$42,Storage_Reconciled_prod_chosen!$C40,FALSE)</f>
        <v>0</v>
      </c>
      <c r="K36" s="181">
        <f>HLOOKUP(K$109,Storage_Reconciled_prod_chosen!$D$26:$CU$42,Storage_Reconciled_prod_chosen!$C40,FALSE)</f>
        <v>0</v>
      </c>
      <c r="L36" s="182">
        <f>HLOOKUP(L$109,Storage_Reconciled_prod_chosen!$D$26:$CU$42,Storage_Reconciled_prod_chosen!$C40,FALSE)</f>
        <v>0.20322404371584699</v>
      </c>
      <c r="M36" s="183">
        <f>HLOOKUP(M$109,Storage_Reconciled_prod_chosen!$D$26:$CU$42,Storage_Reconciled_prod_chosen!$C40,FALSE)</f>
        <v>0</v>
      </c>
      <c r="N36" s="183">
        <f>HLOOKUP(N$109,Storage_Reconciled_prod_chosen!$D$26:$CU$42,Storage_Reconciled_prod_chosen!$C40,FALSE)</f>
        <v>0</v>
      </c>
      <c r="O36" s="183">
        <f>HLOOKUP(O$109,Storage_Reconciled_prod_chosen!$D$26:$CU$42,Storage_Reconciled_prod_chosen!$C40,FALSE)</f>
        <v>0</v>
      </c>
      <c r="P36" s="181">
        <f>HLOOKUP(P$109,Storage_Reconciled_prod_chosen!$D$26:$CU$42,Storage_Reconciled_prod_chosen!$C40,FALSE)</f>
        <v>0</v>
      </c>
      <c r="Q36" s="182">
        <f>HLOOKUP(Q$109,Storage_Reconciled_prod_chosen!$D$26:$CU$42,Storage_Reconciled_prod_chosen!$C40,FALSE)</f>
        <v>0.13523636363636363</v>
      </c>
      <c r="R36" s="183">
        <f>HLOOKUP(R$109,Storage_Reconciled_prod_chosen!$D$26:$CU$42,Storage_Reconciled_prod_chosen!$C40,FALSE)</f>
        <v>0</v>
      </c>
      <c r="S36" s="183">
        <f>HLOOKUP(S$109,Storage_Reconciled_prod_chosen!$D$26:$CU$42,Storage_Reconciled_prod_chosen!$C40,FALSE)</f>
        <v>0</v>
      </c>
      <c r="T36" s="183">
        <f>HLOOKUP(T$109,Storage_Reconciled_prod_chosen!$D$26:$CU$42,Storage_Reconciled_prod_chosen!$C40,FALSE)</f>
        <v>0</v>
      </c>
      <c r="U36" s="181">
        <f>HLOOKUP(U$109,Storage_Reconciled_prod_chosen!$D$26:$CU$42,Storage_Reconciled_prod_chosen!$C40,FALSE)</f>
        <v>0</v>
      </c>
      <c r="V36" s="182">
        <f>HLOOKUP(V$109,Storage_Reconciled_prod_chosen!$D$26:$CU$42,Storage_Reconciled_prod_chosen!$C40,FALSE)</f>
        <v>0.10189041095890411</v>
      </c>
      <c r="Z36" s="443">
        <f t="shared" si="2"/>
        <v>0</v>
      </c>
      <c r="AA36" s="443">
        <f t="shared" si="3"/>
        <v>0</v>
      </c>
    </row>
    <row r="37" spans="3:29" ht="15.75">
      <c r="C37" s="144" t="s">
        <v>70</v>
      </c>
      <c r="D37" s="183">
        <f>HLOOKUP(D$109,Storage_Reconciled_prod_chosen!$D$26:$CU$42,Storage_Reconciled_prod_chosen!$C41,FALSE)</f>
        <v>13.435566666666666</v>
      </c>
      <c r="E37" s="183">
        <f>HLOOKUP(E$109,Storage_Reconciled_prod_chosen!$D$26:$CU$42,Storage_Reconciled_prod_chosen!$C41,FALSE)</f>
        <v>13.915516129032257</v>
      </c>
      <c r="F37" s="183">
        <f>HLOOKUP(F$109,Storage_Reconciled_prod_chosen!$D$26:$CU$42,Storage_Reconciled_prod_chosen!$C41,FALSE)</f>
        <v>14.258433333333333</v>
      </c>
      <c r="G37" s="181">
        <f>HLOOKUP(G$109,Storage_Reconciled_prod_chosen!$D$26:$CU$42,Storage_Reconciled_prod_chosen!$C41,FALSE)</f>
        <v>13.870340659340659</v>
      </c>
      <c r="H37" s="183">
        <f>HLOOKUP(H$109,Storage_Reconciled_prod_chosen!$D$26:$CU$42,Storage_Reconciled_prod_chosen!$C41,FALSE)</f>
        <v>14.528096774193548</v>
      </c>
      <c r="I37" s="183">
        <f>HLOOKUP(I$109,Storage_Reconciled_prod_chosen!$D$26:$CU$42,Storage_Reconciled_prod_chosen!$C41,FALSE)</f>
        <v>14.26067741935484</v>
      </c>
      <c r="J37" s="183">
        <f>HLOOKUP(J$109,Storage_Reconciled_prod_chosen!$D$26:$CU$42,Storage_Reconciled_prod_chosen!$C41,FALSE)</f>
        <v>12.1387</v>
      </c>
      <c r="K37" s="181">
        <f>HLOOKUP(K$109,Storage_Reconciled_prod_chosen!$D$26:$CU$42,Storage_Reconciled_prod_chosen!$C41,FALSE)</f>
        <v>13.658836956521739</v>
      </c>
      <c r="L37" s="182">
        <f>HLOOKUP(L$109,Storage_Reconciled_prod_chosen!$D$26:$CU$42,Storage_Reconciled_prod_chosen!$C41,FALSE)</f>
        <v>13.764010928961751</v>
      </c>
      <c r="M37" s="183">
        <f>HLOOKUP(M$109,Storage_Reconciled_prod_chosen!$D$26:$CU$42,Storage_Reconciled_prod_chosen!$C41,FALSE)</f>
        <v>12.119483870967743</v>
      </c>
      <c r="N37" s="183">
        <f>HLOOKUP(N$109,Storage_Reconciled_prod_chosen!$D$26:$CU$42,Storage_Reconciled_prod_chosen!$C41,FALSE)</f>
        <v>14.235800000000001</v>
      </c>
      <c r="O37" s="183">
        <f>HLOOKUP(O$109,Storage_Reconciled_prod_chosen!$D$26:$CU$42,Storage_Reconciled_prod_chosen!$C41,FALSE)</f>
        <v>14.121032258064517</v>
      </c>
      <c r="P37" s="181">
        <f>HLOOKUP(P$109,Storage_Reconciled_prod_chosen!$D$26:$CU$42,Storage_Reconciled_prod_chosen!$C41,FALSE)</f>
        <v>13.484021739130435</v>
      </c>
      <c r="Q37" s="182">
        <f>HLOOKUP(Q$109,Storage_Reconciled_prod_chosen!$D$26:$CU$42,Storage_Reconciled_prod_chosen!$C41,FALSE)</f>
        <v>13.670341818181818</v>
      </c>
      <c r="R37" s="183">
        <f>HLOOKUP(R$109,Storage_Reconciled_prod_chosen!$D$26:$CU$42,Storage_Reconciled_prod_chosen!$C41,FALSE)</f>
        <v>15.581161290322582</v>
      </c>
      <c r="S37" s="183">
        <f>HLOOKUP(S$109,Storage_Reconciled_prod_chosen!$D$26:$CU$42,Storage_Reconciled_prod_chosen!$C41,FALSE)</f>
        <v>14.58882142857143</v>
      </c>
      <c r="T37" s="183">
        <f>HLOOKUP(T$109,Storage_Reconciled_prod_chosen!$D$26:$CU$42,Storage_Reconciled_prod_chosen!$C41,FALSE)</f>
        <v>0</v>
      </c>
      <c r="U37" s="181">
        <f>HLOOKUP(U$109,Storage_Reconciled_prod_chosen!$D$26:$CU$42,Storage_Reconciled_prod_chosen!$C41,FALSE)</f>
        <v>9.9055888888888894</v>
      </c>
      <c r="V37" s="182">
        <f>HLOOKUP(V$109,Storage_Reconciled_prod_chosen!$D$26:$CU$42,Storage_Reconciled_prod_chosen!$C41,FALSE)</f>
        <v>12.742046575342465</v>
      </c>
      <c r="Z37" s="443">
        <f t="shared" si="2"/>
        <v>14.26067741935484</v>
      </c>
      <c r="AA37" s="443">
        <f t="shared" si="3"/>
        <v>13.658836956521739</v>
      </c>
    </row>
    <row r="38" spans="3:29" ht="15.75">
      <c r="C38" s="145" t="s">
        <v>390</v>
      </c>
      <c r="D38" s="204">
        <f>HLOOKUP(D$109,Storage_Reconciled_prod_chosen!$D$26:$CU$42,Storage_Reconciled_prod_chosen!$C42,FALSE)</f>
        <v>0</v>
      </c>
      <c r="E38" s="204">
        <f>HLOOKUP(E$109,Storage_Reconciled_prod_chosen!$D$26:$CU$42,Storage_Reconciled_prod_chosen!$C42,FALSE)</f>
        <v>0</v>
      </c>
      <c r="F38" s="204">
        <f>HLOOKUP(F$109,Storage_Reconciled_prod_chosen!$D$26:$CU$42,Storage_Reconciled_prod_chosen!$C42,FALSE)</f>
        <v>0</v>
      </c>
      <c r="G38" s="205">
        <f>HLOOKUP(G$109,Storage_Reconciled_prod_chosen!$D$26:$CU$42,Storage_Reconciled_prod_chosen!$C42,FALSE)</f>
        <v>0</v>
      </c>
      <c r="H38" s="204">
        <f>HLOOKUP(H$109,Storage_Reconciled_prod_chosen!$D$26:$CU$42,Storage_Reconciled_prod_chosen!$C42,FALSE)</f>
        <v>0</v>
      </c>
      <c r="I38" s="204">
        <f>HLOOKUP(I$109,Storage_Reconciled_prod_chosen!$D$26:$CU$42,Storage_Reconciled_prod_chosen!$C42,FALSE)</f>
        <v>0</v>
      </c>
      <c r="J38" s="204">
        <f>HLOOKUP(J$109,Storage_Reconciled_prod_chosen!$D$26:$CU$42,Storage_Reconciled_prod_chosen!$C42,FALSE)</f>
        <v>0</v>
      </c>
      <c r="K38" s="205">
        <f>HLOOKUP(K$109,Storage_Reconciled_prod_chosen!$D$26:$CU$42,Storage_Reconciled_prod_chosen!$C42,FALSE)</f>
        <v>0</v>
      </c>
      <c r="L38" s="206">
        <f>HLOOKUP(L$109,Storage_Reconciled_prod_chosen!$D$26:$CU$42,Storage_Reconciled_prod_chosen!$C42,FALSE)</f>
        <v>0</v>
      </c>
      <c r="M38" s="204">
        <f>HLOOKUP(M$109,Storage_Reconciled_prod_chosen!$D$26:$CU$42,Storage_Reconciled_prod_chosen!$C42,FALSE)</f>
        <v>0</v>
      </c>
      <c r="N38" s="204">
        <f>HLOOKUP(N$109,Storage_Reconciled_prod_chosen!$D$26:$CU$42,Storage_Reconciled_prod_chosen!$C42,FALSE)</f>
        <v>0</v>
      </c>
      <c r="O38" s="204">
        <f>HLOOKUP(O$109,Storage_Reconciled_prod_chosen!$D$26:$CU$42,Storage_Reconciled_prod_chosen!$C42,FALSE)</f>
        <v>0</v>
      </c>
      <c r="P38" s="205">
        <f>HLOOKUP(P$109,Storage_Reconciled_prod_chosen!$D$26:$CU$42,Storage_Reconciled_prod_chosen!$C42,FALSE)</f>
        <v>0</v>
      </c>
      <c r="Q38" s="206">
        <f>HLOOKUP(Q$109,Storage_Reconciled_prod_chosen!$D$26:$CU$42,Storage_Reconciled_prod_chosen!$C42,FALSE)</f>
        <v>0</v>
      </c>
      <c r="R38" s="204">
        <f>HLOOKUP(R$109,Storage_Reconciled_prod_chosen!$D$26:$CU$42,Storage_Reconciled_prod_chosen!$C42,FALSE)</f>
        <v>0</v>
      </c>
      <c r="S38" s="204">
        <f>HLOOKUP(S$109,Storage_Reconciled_prod_chosen!$D$26:$CU$42,Storage_Reconciled_prod_chosen!$C42,FALSE)</f>
        <v>0</v>
      </c>
      <c r="T38" s="204">
        <f>HLOOKUP(T$109,Storage_Reconciled_prod_chosen!$D$26:$CU$42,Storage_Reconciled_prod_chosen!$C42,FALSE)</f>
        <v>0</v>
      </c>
      <c r="U38" s="205">
        <f>HLOOKUP(U$109,Storage_Reconciled_prod_chosen!$D$26:$CU$42,Storage_Reconciled_prod_chosen!$C42,FALSE)</f>
        <v>0</v>
      </c>
      <c r="V38" s="206">
        <f>HLOOKUP(V$109,Storage_Reconciled_prod_chosen!$D$26:$CU$42,Storage_Reconciled_prod_chosen!$C42,FALSE)</f>
        <v>0</v>
      </c>
      <c r="Z38" s="443">
        <f t="shared" si="2"/>
        <v>0</v>
      </c>
      <c r="AA38" s="443">
        <f t="shared" si="3"/>
        <v>0</v>
      </c>
    </row>
    <row r="42" spans="3:29">
      <c r="C42" s="1110" t="s">
        <v>90</v>
      </c>
      <c r="D42" s="1171"/>
      <c r="E42" s="1171"/>
      <c r="F42" s="1171"/>
      <c r="G42" s="1171"/>
      <c r="H42" s="1171"/>
      <c r="I42" s="1171"/>
      <c r="J42" s="1171"/>
      <c r="K42" s="1171"/>
      <c r="L42" s="1171"/>
      <c r="M42" s="1171"/>
      <c r="N42" s="1171"/>
      <c r="O42" s="1171"/>
      <c r="P42" s="1171"/>
      <c r="Q42" s="1171"/>
      <c r="R42" s="1171"/>
      <c r="S42" s="1171"/>
      <c r="T42" s="1171"/>
      <c r="U42" s="1171"/>
      <c r="V42" s="1112"/>
      <c r="AC42" t="s">
        <v>1348</v>
      </c>
    </row>
    <row r="43" spans="3:29">
      <c r="C43" s="144"/>
      <c r="D43" s="144" t="str">
        <f>HLOOKUP(D$109,Storage_Reconciled_prod_chosen!$D$45:$CU$61,Storage_Reconciled_prod_chosen!$C46,FALSE)</f>
        <v>Apr'25</v>
      </c>
      <c r="E43" s="144" t="str">
        <f>HLOOKUP(E$109,Storage_Reconciled_prod_chosen!$D$45:$CU$61,Storage_Reconciled_prod_chosen!$C46,FALSE)</f>
        <v>May'25</v>
      </c>
      <c r="F43" s="144" t="str">
        <f>HLOOKUP(F$109,Storage_Reconciled_prod_chosen!$D$45:$CU$61,Storage_Reconciled_prod_chosen!$C46,FALSE)</f>
        <v>Jun'25</v>
      </c>
      <c r="G43" s="142" t="str">
        <f>HLOOKUP(G$109,Storage_Reconciled_prod_chosen!$D$45:$CU$61,Storage_Reconciled_prod_chosen!$C46,FALSE)</f>
        <v>Q1 25-26</v>
      </c>
      <c r="H43" s="144" t="str">
        <f>HLOOKUP(H$109,Storage_Reconciled_prod_chosen!$D$45:$CU$61,Storage_Reconciled_prod_chosen!$C46,FALSE)</f>
        <v>Jul'25</v>
      </c>
      <c r="I43" s="144" t="str">
        <f>HLOOKUP(I$109,Storage_Reconciled_prod_chosen!$D$45:$CU$61,Storage_Reconciled_prod_chosen!$C46,FALSE)</f>
        <v>Aug'25</v>
      </c>
      <c r="J43" s="144" t="str">
        <f>HLOOKUP(J$109,Storage_Reconciled_prod_chosen!$D$45:$CU$61,Storage_Reconciled_prod_chosen!$C46,FALSE)</f>
        <v>Sep'25</v>
      </c>
      <c r="K43" s="142" t="str">
        <f>HLOOKUP(K$109,Storage_Reconciled_prod_chosen!$D$45:$CU$61,Storage_Reconciled_prod_chosen!$C46,FALSE)</f>
        <v>Q2 25-26</v>
      </c>
      <c r="L43" s="166" t="str">
        <f>HLOOKUP(L$109,Storage_Reconciled_prod_chosen!$D$45:$CU$61,Storage_Reconciled_prod_chosen!$C46,FALSE)</f>
        <v>H1 25-26</v>
      </c>
      <c r="M43" s="144" t="str">
        <f>HLOOKUP(M$109,Storage_Reconciled_prod_chosen!$D$45:$CU$61,Storage_Reconciled_prod_chosen!$C46,FALSE)</f>
        <v>Oct'25</v>
      </c>
      <c r="N43" s="144" t="str">
        <f>HLOOKUP(N$109,Storage_Reconciled_prod_chosen!$D$45:$CU$61,Storage_Reconciled_prod_chosen!$C46,FALSE)</f>
        <v>Nov'25</v>
      </c>
      <c r="O43" s="144" t="str">
        <f>HLOOKUP(O$109,Storage_Reconciled_prod_chosen!$D$45:$CU$61,Storage_Reconciled_prod_chosen!$C46,FALSE)</f>
        <v>Dec'25</v>
      </c>
      <c r="P43" s="142" t="str">
        <f>HLOOKUP(P$109,Storage_Reconciled_prod_chosen!$D$45:$CU$61,Storage_Reconciled_prod_chosen!$C46,FALSE)</f>
        <v>Q3 25-26</v>
      </c>
      <c r="Q43" s="166" t="str">
        <f>HLOOKUP(Q$109,Storage_Reconciled_prod_chosen!$D$45:$CU$61,Storage_Reconciled_prod_chosen!$C46,FALSE)</f>
        <v>9M 25-26</v>
      </c>
      <c r="R43" s="144" t="str">
        <f>HLOOKUP(R$109,Storage_Reconciled_prod_chosen!$D$45:$CU$61,Storage_Reconciled_prod_chosen!$C46,FALSE)</f>
        <v>Jan'26</v>
      </c>
      <c r="S43" s="144" t="str">
        <f>HLOOKUP(S$109,Storage_Reconciled_prod_chosen!$D$45:$CU$61,Storage_Reconciled_prod_chosen!$C46,FALSE)</f>
        <v>Feb'26</v>
      </c>
      <c r="T43" s="144" t="str">
        <f>HLOOKUP(T$109,Storage_Reconciled_prod_chosen!$D$45:$CU$61,Storage_Reconciled_prod_chosen!$C46,FALSE)</f>
        <v>Mar'26</v>
      </c>
      <c r="U43" s="142" t="str">
        <f>HLOOKUP(U$109,Storage_Reconciled_prod_chosen!$D$45:$CU$61,Storage_Reconciled_prod_chosen!$C46,FALSE)</f>
        <v>Q4 25-26</v>
      </c>
      <c r="V43" s="166" t="str">
        <f>HLOOKUP(V$109,Storage_Reconciled_prod_chosen!$D$45:$CU$61,Storage_Reconciled_prod_chosen!$C46,FALSE)</f>
        <v>25-26</v>
      </c>
    </row>
    <row r="44" spans="3:29" ht="15.75">
      <c r="C44" s="144" t="s">
        <v>60</v>
      </c>
      <c r="D44" s="147">
        <f>HLOOKUP(D$109,Storage_Reconciled_prod_chosen!$D$45:$CU$61,Storage_Reconciled_prod_chosen!$C47,FALSE)</f>
        <v>0.124</v>
      </c>
      <c r="E44" s="147">
        <f>HLOOKUP(E$109,Storage_Reconciled_prod_chosen!$D$45:$CU$61,Storage_Reconciled_prod_chosen!$C47,FALSE)</f>
        <v>0.11600000000000001</v>
      </c>
      <c r="F44" s="147">
        <f>HLOOKUP(F$109,Storage_Reconciled_prod_chosen!$D$45:$CU$61,Storage_Reconciled_prod_chosen!$C47,FALSE)</f>
        <v>0.108</v>
      </c>
      <c r="G44" s="150">
        <f>HLOOKUP(G$109,Storage_Reconciled_prod_chosen!$D$45:$CU$61,Storage_Reconciled_prod_chosen!$C47,FALSE)</f>
        <v>0.34799999999999998</v>
      </c>
      <c r="H44" s="147">
        <f>HLOOKUP(H$109,Storage_Reconciled_prod_chosen!$D$45:$CU$61,Storage_Reconciled_prod_chosen!$C47,FALSE)</f>
        <v>0.112</v>
      </c>
      <c r="I44" s="147">
        <f>HLOOKUP(I$109,Storage_Reconciled_prod_chosen!$D$45:$CU$61,Storage_Reconciled_prod_chosen!$C47,FALSE)</f>
        <v>2.7E-2</v>
      </c>
      <c r="J44" s="147">
        <f>HLOOKUP(J$109,Storage_Reconciled_prod_chosen!$D$45:$CU$61,Storage_Reconciled_prod_chosen!$C47,FALSE)</f>
        <v>0.11600000000000001</v>
      </c>
      <c r="K44" s="150">
        <f>HLOOKUP(K$109,Storage_Reconciled_prod_chosen!$D$45:$CU$61,Storage_Reconciled_prod_chosen!$C47,FALSE)</f>
        <v>0.255</v>
      </c>
      <c r="L44" s="171">
        <f>HLOOKUP(L$109,Storage_Reconciled_prod_chosen!$D$45:$CU$61,Storage_Reconciled_prod_chosen!$C47,FALSE)</f>
        <v>0.60299999999999998</v>
      </c>
      <c r="M44" s="147">
        <f>HLOOKUP(M$109,Storage_Reconciled_prod_chosen!$D$45:$CU$61,Storage_Reconciled_prod_chosen!$C47,FALSE)</f>
        <v>0.11899999999999999</v>
      </c>
      <c r="N44" s="147">
        <f>HLOOKUP(N$109,Storage_Reconciled_prod_chosen!$D$45:$CU$61,Storage_Reconciled_prod_chosen!$C47,FALSE)</f>
        <v>0.123</v>
      </c>
      <c r="O44" s="147">
        <f>HLOOKUP(O$109,Storage_Reconciled_prod_chosen!$D$45:$CU$61,Storage_Reconciled_prod_chosen!$C47,FALSE)</f>
        <v>0.127</v>
      </c>
      <c r="P44" s="150">
        <f>HLOOKUP(P$109,Storage_Reconciled_prod_chosen!$D$45:$CU$61,Storage_Reconciled_prod_chosen!$C47,FALSE)</f>
        <v>0.36899999999999999</v>
      </c>
      <c r="Q44" s="171">
        <f>HLOOKUP(Q$109,Storage_Reconciled_prod_chosen!$D$45:$CU$61,Storage_Reconciled_prod_chosen!$C47,FALSE)</f>
        <v>0.97199999999999998</v>
      </c>
      <c r="R44" s="147">
        <f>HLOOKUP(R$109,Storage_Reconciled_prod_chosen!$D$45:$CU$61,Storage_Reconciled_prod_chosen!$C47,FALSE)</f>
        <v>0.17199999999999999</v>
      </c>
      <c r="S44" s="147">
        <f>HLOOKUP(S$109,Storage_Reconciled_prod_chosen!$D$45:$CU$61,Storage_Reconciled_prod_chosen!$C47,FALSE)</f>
        <v>0.14099999999999999</v>
      </c>
      <c r="T44" s="147">
        <f>HLOOKUP(T$109,Storage_Reconciled_prod_chosen!$D$45:$CU$61,Storage_Reconciled_prod_chosen!$C47,FALSE)</f>
        <v>0.156</v>
      </c>
      <c r="U44" s="150">
        <f>HLOOKUP(U$109,Storage_Reconciled_prod_chosen!$D$45:$CU$61,Storage_Reconciled_prod_chosen!$C47,FALSE)</f>
        <v>0.46899999999999997</v>
      </c>
      <c r="V44" s="171">
        <f>HLOOKUP(V$109,Storage_Reconciled_prod_chosen!$D$45:$CU$61,Storage_Reconciled_prod_chosen!$C47,FALSE)</f>
        <v>1.4159999999999999</v>
      </c>
      <c r="Z44" s="443">
        <f t="shared" ref="Z44:Z58" si="4">SUMIF($D$103:$V$103,$Z$2,$D44:$V44)</f>
        <v>2.7E-2</v>
      </c>
      <c r="AA44" s="443">
        <f>SUMIF($D$104:$V$104,$Z$3,$D44:$V44)</f>
        <v>0.255</v>
      </c>
      <c r="AC44">
        <f>SUMIF($D$106:$V$106,1,D44:V44)</f>
        <v>0.48699999999999999</v>
      </c>
    </row>
    <row r="45" spans="3:29" ht="15.75">
      <c r="C45" s="144" t="s">
        <v>61</v>
      </c>
      <c r="D45" s="147">
        <f>HLOOKUP(D$109,Storage_Reconciled_prod_chosen!$D$45:$CU$61,Storage_Reconciled_prod_chosen!$C48,FALSE)</f>
        <v>0.17799999999999999</v>
      </c>
      <c r="E45" s="147">
        <f>HLOOKUP(E$109,Storage_Reconciled_prod_chosen!$D$45:$CU$61,Storage_Reconciled_prod_chosen!$C48,FALSE)</f>
        <v>0.183</v>
      </c>
      <c r="F45" s="147">
        <f>HLOOKUP(F$109,Storage_Reconciled_prod_chosen!$D$45:$CU$61,Storage_Reconciled_prod_chosen!$C48,FALSE)</f>
        <v>0.17699999999999999</v>
      </c>
      <c r="G45" s="150">
        <f>HLOOKUP(G$109,Storage_Reconciled_prod_chosen!$D$45:$CU$61,Storage_Reconciled_prod_chosen!$C48,FALSE)</f>
        <v>0.53800000000000003</v>
      </c>
      <c r="H45" s="147">
        <f>HLOOKUP(H$109,Storage_Reconciled_prod_chosen!$D$45:$CU$61,Storage_Reconciled_prod_chosen!$C48,FALSE)</f>
        <v>0.18099999999999999</v>
      </c>
      <c r="I45" s="147">
        <f>HLOOKUP(I$109,Storage_Reconciled_prod_chosen!$D$45:$CU$61,Storage_Reconciled_prod_chosen!$C48,FALSE)</f>
        <v>0.18</v>
      </c>
      <c r="J45" s="147">
        <f>HLOOKUP(J$109,Storage_Reconciled_prod_chosen!$D$45:$CU$61,Storage_Reconciled_prod_chosen!$C48,FALSE)</f>
        <v>0.17299999999999999</v>
      </c>
      <c r="K45" s="150">
        <f>HLOOKUP(K$109,Storage_Reconciled_prod_chosen!$D$45:$CU$61,Storage_Reconciled_prod_chosen!$C48,FALSE)</f>
        <v>0.53400000000000003</v>
      </c>
      <c r="L45" s="171">
        <f>HLOOKUP(L$109,Storage_Reconciled_prod_chosen!$D$45:$CU$61,Storage_Reconciled_prod_chosen!$C48,FALSE)</f>
        <v>1.0720000000000001</v>
      </c>
      <c r="M45" s="147">
        <f>HLOOKUP(M$109,Storage_Reconciled_prod_chosen!$D$45:$CU$61,Storage_Reconciled_prod_chosen!$C48,FALSE)</f>
        <v>0.17899999999999999</v>
      </c>
      <c r="N45" s="147">
        <f>HLOOKUP(N$109,Storage_Reconciled_prod_chosen!$D$45:$CU$61,Storage_Reconciled_prod_chosen!$C48,FALSE)</f>
        <v>0.17199999999999999</v>
      </c>
      <c r="O45" s="147">
        <f>HLOOKUP(O$109,Storage_Reconciled_prod_chosen!$D$45:$CU$61,Storage_Reconciled_prod_chosen!$C48,FALSE)</f>
        <v>0.17499999999999999</v>
      </c>
      <c r="P45" s="150">
        <f>HLOOKUP(P$109,Storage_Reconciled_prod_chosen!$D$45:$CU$61,Storage_Reconciled_prod_chosen!$C48,FALSE)</f>
        <v>0.52600000000000002</v>
      </c>
      <c r="Q45" s="171">
        <f>HLOOKUP(Q$109,Storage_Reconciled_prod_chosen!$D$45:$CU$61,Storage_Reconciled_prod_chosen!$C48,FALSE)</f>
        <v>1.5980000000000001</v>
      </c>
      <c r="R45" s="147">
        <f>HLOOKUP(R$109,Storage_Reconciled_prod_chosen!$D$45:$CU$61,Storage_Reconciled_prod_chosen!$C48,FALSE)</f>
        <v>0.14699999999999999</v>
      </c>
      <c r="S45" s="147">
        <f>HLOOKUP(S$109,Storage_Reconciled_prod_chosen!$D$45:$CU$61,Storage_Reconciled_prod_chosen!$C48,FALSE)</f>
        <v>0.159</v>
      </c>
      <c r="T45" s="147">
        <f>HLOOKUP(T$109,Storage_Reconciled_prod_chosen!$D$45:$CU$61,Storage_Reconciled_prod_chosen!$C48,FALSE)</f>
        <v>0.16700000000000001</v>
      </c>
      <c r="U45" s="150">
        <f>HLOOKUP(U$109,Storage_Reconciled_prod_chosen!$D$45:$CU$61,Storage_Reconciled_prod_chosen!$C48,FALSE)</f>
        <v>0.47299999999999998</v>
      </c>
      <c r="V45" s="171">
        <f>HLOOKUP(V$109,Storage_Reconciled_prod_chosen!$D$45:$CU$61,Storage_Reconciled_prod_chosen!$C48,FALSE)</f>
        <v>2.0950000000000002</v>
      </c>
      <c r="Z45" s="443">
        <f t="shared" si="4"/>
        <v>0.18</v>
      </c>
      <c r="AA45" s="443">
        <f t="shared" ref="AA45:AA58" si="5">SUMIF($D$104:$V$104,$Z$3,$D45:$V45)</f>
        <v>0.53400000000000003</v>
      </c>
      <c r="AC45">
        <f t="shared" ref="AC45:AC58" si="6">SUMIF($D$106:$V$106,1,D45:V45)</f>
        <v>0.89900000000000002</v>
      </c>
    </row>
    <row r="46" spans="3:29" ht="15.75">
      <c r="C46" s="144" t="s">
        <v>62</v>
      </c>
      <c r="D46" s="147">
        <f>HLOOKUP(D$109,Storage_Reconciled_prod_chosen!$D$45:$CU$61,Storage_Reconciled_prod_chosen!$C49,FALSE)</f>
        <v>8.0000000000000002E-3</v>
      </c>
      <c r="E46" s="147">
        <f>HLOOKUP(E$109,Storage_Reconciled_prod_chosen!$D$45:$CU$61,Storage_Reconciled_prod_chosen!$C49,FALSE)</f>
        <v>8.9999999999999993E-3</v>
      </c>
      <c r="F46" s="147">
        <f>HLOOKUP(F$109,Storage_Reconciled_prod_chosen!$D$45:$CU$61,Storage_Reconciled_prod_chosen!$C49,FALSE)</f>
        <v>8.0000000000000002E-3</v>
      </c>
      <c r="G46" s="150">
        <f>HLOOKUP(G$109,Storage_Reconciled_prod_chosen!$D$45:$CU$61,Storage_Reconciled_prod_chosen!$C49,FALSE)</f>
        <v>2.5000000000000001E-2</v>
      </c>
      <c r="H46" s="147">
        <f>HLOOKUP(H$109,Storage_Reconciled_prod_chosen!$D$45:$CU$61,Storage_Reconciled_prod_chosen!$C49,FALSE)</f>
        <v>8.0000000000000002E-3</v>
      </c>
      <c r="I46" s="147">
        <f>HLOOKUP(I$109,Storage_Reconciled_prod_chosen!$D$45:$CU$61,Storage_Reconciled_prod_chosen!$C49,FALSE)</f>
        <v>8.0000000000000002E-3</v>
      </c>
      <c r="J46" s="147">
        <f>HLOOKUP(J$109,Storage_Reconciled_prod_chosen!$D$45:$CU$61,Storage_Reconciled_prod_chosen!$C49,FALSE)</f>
        <v>8.9999999999999993E-3</v>
      </c>
      <c r="K46" s="150">
        <f>HLOOKUP(K$109,Storage_Reconciled_prod_chosen!$D$45:$CU$61,Storage_Reconciled_prod_chosen!$C49,FALSE)</f>
        <v>2.5000000000000001E-2</v>
      </c>
      <c r="L46" s="171">
        <f>HLOOKUP(L$109,Storage_Reconciled_prod_chosen!$D$45:$CU$61,Storage_Reconciled_prod_chosen!$C49,FALSE)</f>
        <v>0.05</v>
      </c>
      <c r="M46" s="147">
        <f>HLOOKUP(M$109,Storage_Reconciled_prod_chosen!$D$45:$CU$61,Storage_Reconciled_prod_chosen!$C49,FALSE)</f>
        <v>0.01</v>
      </c>
      <c r="N46" s="147">
        <f>HLOOKUP(N$109,Storage_Reconciled_prod_chosen!$D$45:$CU$61,Storage_Reconciled_prod_chosen!$C49,FALSE)</f>
        <v>8.9999999999999993E-3</v>
      </c>
      <c r="O46" s="147">
        <f>HLOOKUP(O$109,Storage_Reconciled_prod_chosen!$D$45:$CU$61,Storage_Reconciled_prod_chosen!$C49,FALSE)</f>
        <v>8.9999999999999993E-3</v>
      </c>
      <c r="P46" s="150">
        <f>HLOOKUP(P$109,Storage_Reconciled_prod_chosen!$D$45:$CU$61,Storage_Reconciled_prod_chosen!$C49,FALSE)</f>
        <v>2.7999999999999997E-2</v>
      </c>
      <c r="Q46" s="171">
        <f>HLOOKUP(Q$109,Storage_Reconciled_prod_chosen!$D$45:$CU$61,Storage_Reconciled_prod_chosen!$C49,FALSE)</f>
        <v>7.8E-2</v>
      </c>
      <c r="R46" s="147">
        <f>HLOOKUP(R$109,Storage_Reconciled_prod_chosen!$D$45:$CU$61,Storage_Reconciled_prod_chosen!$C49,FALSE)</f>
        <v>8.9999999999999993E-3</v>
      </c>
      <c r="S46" s="147">
        <f>HLOOKUP(S$109,Storage_Reconciled_prod_chosen!$D$45:$CU$61,Storage_Reconciled_prod_chosen!$C49,FALSE)</f>
        <v>7.0000000000000001E-3</v>
      </c>
      <c r="T46" s="147">
        <f>HLOOKUP(T$109,Storage_Reconciled_prod_chosen!$D$45:$CU$61,Storage_Reconciled_prod_chosen!$C49,FALSE)</f>
        <v>8.0000000000000002E-3</v>
      </c>
      <c r="U46" s="150">
        <f>HLOOKUP(U$109,Storage_Reconciled_prod_chosen!$D$45:$CU$61,Storage_Reconciled_prod_chosen!$C49,FALSE)</f>
        <v>2.4E-2</v>
      </c>
      <c r="V46" s="171">
        <f>HLOOKUP(V$109,Storage_Reconciled_prod_chosen!$D$45:$CU$61,Storage_Reconciled_prod_chosen!$C49,FALSE)</f>
        <v>0.10299999999999999</v>
      </c>
      <c r="Z46" s="443">
        <f t="shared" si="4"/>
        <v>8.0000000000000002E-3</v>
      </c>
      <c r="AA46" s="443">
        <f t="shared" si="5"/>
        <v>2.5000000000000001E-2</v>
      </c>
      <c r="AC46">
        <f t="shared" si="6"/>
        <v>4.1000000000000002E-2</v>
      </c>
    </row>
    <row r="47" spans="3:29" ht="15.75">
      <c r="C47" s="144" t="s">
        <v>57</v>
      </c>
      <c r="D47" s="147">
        <f>HLOOKUP(D$109,Storage_Reconciled_prod_chosen!$D$45:$CU$61,Storage_Reconciled_prod_chosen!$C50,FALSE)</f>
        <v>3.7999999999999999E-2</v>
      </c>
      <c r="E47" s="147">
        <f>HLOOKUP(E$109,Storage_Reconciled_prod_chosen!$D$45:$CU$61,Storage_Reconciled_prod_chosen!$C50,FALSE)</f>
        <v>3.9E-2</v>
      </c>
      <c r="F47" s="147">
        <f>HLOOKUP(F$109,Storage_Reconciled_prod_chosen!$D$45:$CU$61,Storage_Reconciled_prod_chosen!$C50,FALSE)</f>
        <v>3.7999999999999999E-2</v>
      </c>
      <c r="G47" s="150">
        <f>HLOOKUP(G$109,Storage_Reconciled_prod_chosen!$D$45:$CU$61,Storage_Reconciled_prod_chosen!$C50,FALSE)</f>
        <v>0.11499999999999999</v>
      </c>
      <c r="H47" s="147">
        <f>HLOOKUP(H$109,Storage_Reconciled_prod_chosen!$D$45:$CU$61,Storage_Reconciled_prod_chosen!$C50,FALSE)</f>
        <v>0.04</v>
      </c>
      <c r="I47" s="147">
        <f>HLOOKUP(I$109,Storage_Reconciled_prod_chosen!$D$45:$CU$61,Storage_Reconciled_prod_chosen!$C50,FALSE)</f>
        <v>0.04</v>
      </c>
      <c r="J47" s="147">
        <f>HLOOKUP(J$109,Storage_Reconciled_prod_chosen!$D$45:$CU$61,Storage_Reconciled_prod_chosen!$C50,FALSE)</f>
        <v>0.04</v>
      </c>
      <c r="K47" s="150">
        <f>HLOOKUP(K$109,Storage_Reconciled_prod_chosen!$D$45:$CU$61,Storage_Reconciled_prod_chosen!$C50,FALSE)</f>
        <v>0.12</v>
      </c>
      <c r="L47" s="171">
        <f>HLOOKUP(L$109,Storage_Reconciled_prod_chosen!$D$45:$CU$61,Storage_Reconciled_prod_chosen!$C50,FALSE)</f>
        <v>0.23499999999999999</v>
      </c>
      <c r="M47" s="147">
        <f>HLOOKUP(M$109,Storage_Reconciled_prod_chosen!$D$45:$CU$61,Storage_Reconciled_prod_chosen!$C50,FALSE)</f>
        <v>4.1000000000000002E-2</v>
      </c>
      <c r="N47" s="147">
        <f>HLOOKUP(N$109,Storage_Reconciled_prod_chosen!$D$45:$CU$61,Storage_Reconciled_prod_chosen!$C50,FALSE)</f>
        <v>0.04</v>
      </c>
      <c r="O47" s="147">
        <f>HLOOKUP(O$109,Storage_Reconciled_prod_chosen!$D$45:$CU$61,Storage_Reconciled_prod_chosen!$C50,FALSE)</f>
        <v>4.1000000000000002E-2</v>
      </c>
      <c r="P47" s="150">
        <f>HLOOKUP(P$109,Storage_Reconciled_prod_chosen!$D$45:$CU$61,Storage_Reconciled_prod_chosen!$C50,FALSE)</f>
        <v>0.122</v>
      </c>
      <c r="Q47" s="171">
        <f>HLOOKUP(Q$109,Storage_Reconciled_prod_chosen!$D$45:$CU$61,Storage_Reconciled_prod_chosen!$C50,FALSE)</f>
        <v>0.35699999999999998</v>
      </c>
      <c r="R47" s="147">
        <f>HLOOKUP(R$109,Storage_Reconciled_prod_chosen!$D$45:$CU$61,Storage_Reconciled_prod_chosen!$C50,FALSE)</f>
        <v>3.9E-2</v>
      </c>
      <c r="S47" s="147">
        <f>HLOOKUP(S$109,Storage_Reconciled_prod_chosen!$D$45:$CU$61,Storage_Reconciled_prod_chosen!$C50,FALSE)</f>
        <v>3.5999999999999997E-2</v>
      </c>
      <c r="T47" s="147">
        <f>HLOOKUP(T$109,Storage_Reconciled_prod_chosen!$D$45:$CU$61,Storage_Reconciled_prod_chosen!$C50,FALSE)</f>
        <v>0.04</v>
      </c>
      <c r="U47" s="150">
        <f>HLOOKUP(U$109,Storage_Reconciled_prod_chosen!$D$45:$CU$61,Storage_Reconciled_prod_chosen!$C50,FALSE)</f>
        <v>0.11499999999999999</v>
      </c>
      <c r="V47" s="171">
        <f>HLOOKUP(V$109,Storage_Reconciled_prod_chosen!$D$45:$CU$61,Storage_Reconciled_prod_chosen!$C50,FALSE)</f>
        <v>0.47199999999999998</v>
      </c>
      <c r="Z47" s="443">
        <f t="shared" si="4"/>
        <v>0.04</v>
      </c>
      <c r="AA47" s="443">
        <f t="shared" si="5"/>
        <v>0.12</v>
      </c>
      <c r="AC47">
        <f t="shared" si="6"/>
        <v>0.19500000000000001</v>
      </c>
    </row>
    <row r="48" spans="3:29" ht="15.75">
      <c r="C48" s="144" t="s">
        <v>58</v>
      </c>
      <c r="D48" s="147">
        <f>HLOOKUP(D$109,Storage_Reconciled_prod_chosen!$D$45:$CU$61,Storage_Reconciled_prod_chosen!$C51,FALSE)</f>
        <v>3.2000000000000001E-2</v>
      </c>
      <c r="E48" s="147">
        <f>HLOOKUP(E$109,Storage_Reconciled_prod_chosen!$D$45:$CU$61,Storage_Reconciled_prod_chosen!$C51,FALSE)</f>
        <v>3.5000000000000003E-2</v>
      </c>
      <c r="F48" s="147">
        <f>HLOOKUP(F$109,Storage_Reconciled_prod_chosen!$D$45:$CU$61,Storage_Reconciled_prod_chosen!$C51,FALSE)</f>
        <v>3.6999999999999998E-2</v>
      </c>
      <c r="G48" s="150">
        <f>HLOOKUP(G$109,Storage_Reconciled_prod_chosen!$D$45:$CU$61,Storage_Reconciled_prod_chosen!$C51,FALSE)</f>
        <v>0.10400000000000001</v>
      </c>
      <c r="H48" s="147">
        <f>HLOOKUP(H$109,Storage_Reconciled_prod_chosen!$D$45:$CU$61,Storage_Reconciled_prod_chosen!$C51,FALSE)</f>
        <v>3.6999999999999998E-2</v>
      </c>
      <c r="I48" s="147">
        <f>HLOOKUP(I$109,Storage_Reconciled_prod_chosen!$D$45:$CU$61,Storage_Reconciled_prod_chosen!$C51,FALSE)</f>
        <v>3.6999999999999998E-2</v>
      </c>
      <c r="J48" s="147">
        <f>HLOOKUP(J$109,Storage_Reconciled_prod_chosen!$D$45:$CU$61,Storage_Reconciled_prod_chosen!$C51,FALSE)</f>
        <v>3.5000000000000003E-2</v>
      </c>
      <c r="K48" s="150">
        <f>HLOOKUP(K$109,Storage_Reconciled_prod_chosen!$D$45:$CU$61,Storage_Reconciled_prod_chosen!$C51,FALSE)</f>
        <v>0.109</v>
      </c>
      <c r="L48" s="171">
        <f>HLOOKUP(L$109,Storage_Reconciled_prod_chosen!$D$45:$CU$61,Storage_Reconciled_prod_chosen!$C51,FALSE)</f>
        <v>0.21300000000000002</v>
      </c>
      <c r="M48" s="147">
        <f>HLOOKUP(M$109,Storage_Reconciled_prod_chosen!$D$45:$CU$61,Storage_Reconciled_prod_chosen!$C51,FALSE)</f>
        <v>3.9E-2</v>
      </c>
      <c r="N48" s="147">
        <f>HLOOKUP(N$109,Storage_Reconciled_prod_chosen!$D$45:$CU$61,Storage_Reconciled_prod_chosen!$C51,FALSE)</f>
        <v>2.1999999999999999E-2</v>
      </c>
      <c r="O48" s="147">
        <f>HLOOKUP(O$109,Storage_Reconciled_prod_chosen!$D$45:$CU$61,Storage_Reconciled_prod_chosen!$C51,FALSE)</f>
        <v>0</v>
      </c>
      <c r="P48" s="150">
        <f>HLOOKUP(P$109,Storage_Reconciled_prod_chosen!$D$45:$CU$61,Storage_Reconciled_prod_chosen!$C51,FALSE)</f>
        <v>6.0999999999999999E-2</v>
      </c>
      <c r="Q48" s="171">
        <f>HLOOKUP(Q$109,Storage_Reconciled_prod_chosen!$D$45:$CU$61,Storage_Reconciled_prod_chosen!$C51,FALSE)</f>
        <v>0.27400000000000002</v>
      </c>
      <c r="R48" s="147">
        <f>HLOOKUP(R$109,Storage_Reconciled_prod_chosen!$D$45:$CU$61,Storage_Reconciled_prod_chosen!$C51,FALSE)</f>
        <v>5.0000000000000001E-3</v>
      </c>
      <c r="S48" s="147">
        <f>HLOOKUP(S$109,Storage_Reconciled_prod_chosen!$D$45:$CU$61,Storage_Reconciled_prod_chosen!$C51,FALSE)</f>
        <v>3.3000000000000002E-2</v>
      </c>
      <c r="T48" s="147">
        <f>HLOOKUP(T$109,Storage_Reconciled_prod_chosen!$D$45:$CU$61,Storage_Reconciled_prod_chosen!$C51,FALSE)</f>
        <v>4.2000000000000003E-2</v>
      </c>
      <c r="U48" s="150">
        <f>HLOOKUP(U$109,Storage_Reconciled_prod_chosen!$D$45:$CU$61,Storage_Reconciled_prod_chosen!$C51,FALSE)</f>
        <v>0.08</v>
      </c>
      <c r="V48" s="171">
        <f>HLOOKUP(V$109,Storage_Reconciled_prod_chosen!$D$45:$CU$61,Storage_Reconciled_prod_chosen!$C51,FALSE)</f>
        <v>0.35399999999999998</v>
      </c>
      <c r="Z48" s="443">
        <f t="shared" si="4"/>
        <v>3.6999999999999998E-2</v>
      </c>
      <c r="AA48" s="443">
        <f t="shared" si="5"/>
        <v>0.109</v>
      </c>
      <c r="AC48">
        <f t="shared" si="6"/>
        <v>0.17800000000000002</v>
      </c>
    </row>
    <row r="49" spans="3:29" ht="15.75">
      <c r="C49" s="144" t="s">
        <v>59</v>
      </c>
      <c r="D49" s="147">
        <f>HLOOKUP(D$109,Storage_Reconciled_prod_chosen!$D$45:$CU$61,Storage_Reconciled_prod_chosen!$C52,FALSE)</f>
        <v>1.0999999999999999E-2</v>
      </c>
      <c r="E49" s="147">
        <f>HLOOKUP(E$109,Storage_Reconciled_prod_chosen!$D$45:$CU$61,Storage_Reconciled_prod_chosen!$C52,FALSE)</f>
        <v>1.0999999999999999E-2</v>
      </c>
      <c r="F49" s="147">
        <f>HLOOKUP(F$109,Storage_Reconciled_prod_chosen!$D$45:$CU$61,Storage_Reconciled_prod_chosen!$C52,FALSE)</f>
        <v>0.01</v>
      </c>
      <c r="G49" s="150">
        <f>HLOOKUP(G$109,Storage_Reconciled_prod_chosen!$D$45:$CU$61,Storage_Reconciled_prod_chosen!$C52,FALSE)</f>
        <v>3.2000000000000001E-2</v>
      </c>
      <c r="H49" s="147">
        <f>HLOOKUP(H$109,Storage_Reconciled_prod_chosen!$D$45:$CU$61,Storage_Reconciled_prod_chosen!$C52,FALSE)</f>
        <v>1.0999999999999999E-2</v>
      </c>
      <c r="I49" s="147">
        <f>HLOOKUP(I$109,Storage_Reconciled_prod_chosen!$D$45:$CU$61,Storage_Reconciled_prod_chosen!$C52,FALSE)</f>
        <v>1.0999999999999999E-2</v>
      </c>
      <c r="J49" s="147">
        <f>HLOOKUP(J$109,Storage_Reconciled_prod_chosen!$D$45:$CU$61,Storage_Reconciled_prod_chosen!$C52,FALSE)</f>
        <v>1.0999999999999999E-2</v>
      </c>
      <c r="K49" s="150">
        <f>HLOOKUP(K$109,Storage_Reconciled_prod_chosen!$D$45:$CU$61,Storage_Reconciled_prod_chosen!$C52,FALSE)</f>
        <v>3.3000000000000002E-2</v>
      </c>
      <c r="L49" s="171">
        <f>HLOOKUP(L$109,Storage_Reconciled_prod_chosen!$D$45:$CU$61,Storage_Reconciled_prod_chosen!$C52,FALSE)</f>
        <v>6.5000000000000002E-2</v>
      </c>
      <c r="M49" s="147">
        <f>HLOOKUP(M$109,Storage_Reconciled_prod_chosen!$D$45:$CU$61,Storage_Reconciled_prod_chosen!$C52,FALSE)</f>
        <v>1.2E-2</v>
      </c>
      <c r="N49" s="147">
        <f>HLOOKUP(N$109,Storage_Reconciled_prod_chosen!$D$45:$CU$61,Storage_Reconciled_prod_chosen!$C52,FALSE)</f>
        <v>1.2E-2</v>
      </c>
      <c r="O49" s="147">
        <f>HLOOKUP(O$109,Storage_Reconciled_prod_chosen!$D$45:$CU$61,Storage_Reconciled_prod_chosen!$C52,FALSE)</f>
        <v>1.0999999999999999E-2</v>
      </c>
      <c r="P49" s="150">
        <f>HLOOKUP(P$109,Storage_Reconciled_prod_chosen!$D$45:$CU$61,Storage_Reconciled_prod_chosen!$C52,FALSE)</f>
        <v>3.5000000000000003E-2</v>
      </c>
      <c r="Q49" s="171">
        <f>HLOOKUP(Q$109,Storage_Reconciled_prod_chosen!$D$45:$CU$61,Storage_Reconciled_prod_chosen!$C52,FALSE)</f>
        <v>0.1</v>
      </c>
      <c r="R49" s="147">
        <f>HLOOKUP(R$109,Storage_Reconciled_prod_chosen!$D$45:$CU$61,Storage_Reconciled_prod_chosen!$C52,FALSE)</f>
        <v>0.01</v>
      </c>
      <c r="S49" s="147">
        <f>HLOOKUP(S$109,Storage_Reconciled_prod_chosen!$D$45:$CU$61,Storage_Reconciled_prod_chosen!$C52,FALSE)</f>
        <v>0.01</v>
      </c>
      <c r="T49" s="147">
        <f>HLOOKUP(T$109,Storage_Reconciled_prod_chosen!$D$45:$CU$61,Storage_Reconciled_prod_chosen!$C52,FALSE)</f>
        <v>0.01</v>
      </c>
      <c r="U49" s="150">
        <f>HLOOKUP(U$109,Storage_Reconciled_prod_chosen!$D$45:$CU$61,Storage_Reconciled_prod_chosen!$C52,FALSE)</f>
        <v>0.03</v>
      </c>
      <c r="V49" s="171">
        <f>HLOOKUP(V$109,Storage_Reconciled_prod_chosen!$D$45:$CU$61,Storage_Reconciled_prod_chosen!$C52,FALSE)</f>
        <v>0.13</v>
      </c>
      <c r="Z49" s="443">
        <f t="shared" si="4"/>
        <v>1.0999999999999999E-2</v>
      </c>
      <c r="AA49" s="443">
        <f t="shared" si="5"/>
        <v>3.3000000000000002E-2</v>
      </c>
      <c r="AC49">
        <f t="shared" si="6"/>
        <v>5.3999999999999992E-2</v>
      </c>
    </row>
    <row r="50" spans="3:29" ht="15.75">
      <c r="C50" s="144" t="s">
        <v>63</v>
      </c>
      <c r="D50" s="147">
        <f>HLOOKUP(D$109,Storage_Reconciled_prod_chosen!$D$45:$CU$61,Storage_Reconciled_prod_chosen!$C53,FALSE)</f>
        <v>7.0999999999999994E-2</v>
      </c>
      <c r="E50" s="147">
        <f>HLOOKUP(E$109,Storage_Reconciled_prod_chosen!$D$45:$CU$61,Storage_Reconciled_prod_chosen!$C53,FALSE)</f>
        <v>5.8000000000000003E-2</v>
      </c>
      <c r="F50" s="147">
        <f>HLOOKUP(F$109,Storage_Reconciled_prod_chosen!$D$45:$CU$61,Storage_Reconciled_prod_chosen!$C53,FALSE)</f>
        <v>4.7E-2</v>
      </c>
      <c r="G50" s="150">
        <f>HLOOKUP(G$109,Storage_Reconciled_prod_chosen!$D$45:$CU$61,Storage_Reconciled_prod_chosen!$C53,FALSE)</f>
        <v>0.17599999999999999</v>
      </c>
      <c r="H50" s="147">
        <f>HLOOKUP(H$109,Storage_Reconciled_prod_chosen!$D$45:$CU$61,Storage_Reconciled_prod_chosen!$C53,FALSE)</f>
        <v>7.0000000000000007E-2</v>
      </c>
      <c r="I50" s="147">
        <f>HLOOKUP(I$109,Storage_Reconciled_prod_chosen!$D$45:$CU$61,Storage_Reconciled_prod_chosen!$C53,FALSE)</f>
        <v>7.0000000000000007E-2</v>
      </c>
      <c r="J50" s="147">
        <f>HLOOKUP(J$109,Storage_Reconciled_prod_chosen!$D$45:$CU$61,Storage_Reconciled_prod_chosen!$C53,FALSE)</f>
        <v>6.6000000000000003E-2</v>
      </c>
      <c r="K50" s="150">
        <f>HLOOKUP(K$109,Storage_Reconciled_prod_chosen!$D$45:$CU$61,Storage_Reconciled_prod_chosen!$C53,FALSE)</f>
        <v>0.20600000000000002</v>
      </c>
      <c r="L50" s="171">
        <f>HLOOKUP(L$109,Storage_Reconciled_prod_chosen!$D$45:$CU$61,Storage_Reconciled_prod_chosen!$C53,FALSE)</f>
        <v>0.38200000000000001</v>
      </c>
      <c r="M50" s="147">
        <f>HLOOKUP(M$109,Storage_Reconciled_prod_chosen!$D$45:$CU$61,Storage_Reconciled_prod_chosen!$C53,FALSE)</f>
        <v>0.06</v>
      </c>
      <c r="N50" s="147">
        <f>HLOOKUP(N$109,Storage_Reconciled_prod_chosen!$D$45:$CU$61,Storage_Reconciled_prod_chosen!$C53,FALSE)</f>
        <v>5.2999999999999999E-2</v>
      </c>
      <c r="O50" s="147">
        <f>HLOOKUP(O$109,Storage_Reconciled_prod_chosen!$D$45:$CU$61,Storage_Reconciled_prod_chosen!$C53,FALSE)</f>
        <v>6.6000000000000003E-2</v>
      </c>
      <c r="P50" s="150">
        <f>HLOOKUP(P$109,Storage_Reconciled_prod_chosen!$D$45:$CU$61,Storage_Reconciled_prod_chosen!$C53,FALSE)</f>
        <v>0.17899999999999999</v>
      </c>
      <c r="Q50" s="171">
        <f>HLOOKUP(Q$109,Storage_Reconciled_prod_chosen!$D$45:$CU$61,Storage_Reconciled_prod_chosen!$C53,FALSE)</f>
        <v>0.56099999999999994</v>
      </c>
      <c r="R50" s="147">
        <f>HLOOKUP(R$109,Storage_Reconciled_prod_chosen!$D$45:$CU$61,Storage_Reconciled_prod_chosen!$C53,FALSE)</f>
        <v>6.5000000000000002E-2</v>
      </c>
      <c r="S50" s="147">
        <f>HLOOKUP(S$109,Storage_Reconciled_prod_chosen!$D$45:$CU$61,Storage_Reconciled_prod_chosen!$C53,FALSE)</f>
        <v>4.2000000000000003E-2</v>
      </c>
      <c r="T50" s="147">
        <f>HLOOKUP(T$109,Storage_Reconciled_prod_chosen!$D$45:$CU$61,Storage_Reconciled_prod_chosen!$C53,FALSE)</f>
        <v>6.6000000000000003E-2</v>
      </c>
      <c r="U50" s="150">
        <f>HLOOKUP(U$109,Storage_Reconciled_prod_chosen!$D$45:$CU$61,Storage_Reconciled_prod_chosen!$C53,FALSE)</f>
        <v>0.17300000000000001</v>
      </c>
      <c r="V50" s="171">
        <f>HLOOKUP(V$109,Storage_Reconciled_prod_chosen!$D$45:$CU$61,Storage_Reconciled_prod_chosen!$C53,FALSE)</f>
        <v>0.73399999999999999</v>
      </c>
      <c r="Z50" s="443">
        <f t="shared" si="4"/>
        <v>7.0000000000000007E-2</v>
      </c>
      <c r="AA50" s="443">
        <f t="shared" si="5"/>
        <v>0.20600000000000002</v>
      </c>
      <c r="AC50">
        <f t="shared" si="6"/>
        <v>0.316</v>
      </c>
    </row>
    <row r="51" spans="3:29" ht="15.75">
      <c r="C51" s="144" t="s">
        <v>64</v>
      </c>
      <c r="D51" s="147">
        <f>HLOOKUP(D$109,Storage_Reconciled_prod_chosen!$D$45:$CU$61,Storage_Reconciled_prod_chosen!$C54,FALSE)</f>
        <v>4.0000000000000001E-3</v>
      </c>
      <c r="E51" s="147">
        <f>HLOOKUP(E$109,Storage_Reconciled_prod_chosen!$D$45:$CU$61,Storage_Reconciled_prod_chosen!$C54,FALSE)</f>
        <v>4.0000000000000001E-3</v>
      </c>
      <c r="F51" s="147">
        <f>HLOOKUP(F$109,Storage_Reconciled_prod_chosen!$D$45:$CU$61,Storage_Reconciled_prod_chosen!$C54,FALSE)</f>
        <v>4.0000000000000001E-3</v>
      </c>
      <c r="G51" s="150">
        <f>HLOOKUP(G$109,Storage_Reconciled_prod_chosen!$D$45:$CU$61,Storage_Reconciled_prod_chosen!$C54,FALSE)</f>
        <v>1.2E-2</v>
      </c>
      <c r="H51" s="147">
        <f>HLOOKUP(H$109,Storage_Reconciled_prod_chosen!$D$45:$CU$61,Storage_Reconciled_prod_chosen!$C54,FALSE)</f>
        <v>4.0000000000000001E-3</v>
      </c>
      <c r="I51" s="147">
        <f>HLOOKUP(I$109,Storage_Reconciled_prod_chosen!$D$45:$CU$61,Storage_Reconciled_prod_chosen!$C54,FALSE)</f>
        <v>4.0000000000000001E-3</v>
      </c>
      <c r="J51" s="147">
        <f>HLOOKUP(J$109,Storage_Reconciled_prod_chosen!$D$45:$CU$61,Storage_Reconciled_prod_chosen!$C54,FALSE)</f>
        <v>4.0000000000000001E-3</v>
      </c>
      <c r="K51" s="150">
        <f>HLOOKUP(K$109,Storage_Reconciled_prod_chosen!$D$45:$CU$61,Storage_Reconciled_prod_chosen!$C54,FALSE)</f>
        <v>1.2E-2</v>
      </c>
      <c r="L51" s="171">
        <f>HLOOKUP(L$109,Storage_Reconciled_prod_chosen!$D$45:$CU$61,Storage_Reconciled_prod_chosen!$C54,FALSE)</f>
        <v>2.4E-2</v>
      </c>
      <c r="M51" s="147">
        <f>HLOOKUP(M$109,Storage_Reconciled_prod_chosen!$D$45:$CU$61,Storage_Reconciled_prod_chosen!$C54,FALSE)</f>
        <v>4.0000000000000001E-3</v>
      </c>
      <c r="N51" s="147">
        <f>HLOOKUP(N$109,Storage_Reconciled_prod_chosen!$D$45:$CU$61,Storage_Reconciled_prod_chosen!$C54,FALSE)</f>
        <v>3.0000000000000001E-3</v>
      </c>
      <c r="O51" s="147">
        <f>HLOOKUP(O$109,Storage_Reconciled_prod_chosen!$D$45:$CU$61,Storage_Reconciled_prod_chosen!$C54,FALSE)</f>
        <v>4.0000000000000001E-3</v>
      </c>
      <c r="P51" s="150">
        <f>HLOOKUP(P$109,Storage_Reconciled_prod_chosen!$D$45:$CU$61,Storage_Reconciled_prod_chosen!$C54,FALSE)</f>
        <v>1.0999999999999999E-2</v>
      </c>
      <c r="Q51" s="171">
        <f>HLOOKUP(Q$109,Storage_Reconciled_prod_chosen!$D$45:$CU$61,Storage_Reconciled_prod_chosen!$C54,FALSE)</f>
        <v>3.5000000000000003E-2</v>
      </c>
      <c r="R51" s="147">
        <f>HLOOKUP(R$109,Storage_Reconciled_prod_chosen!$D$45:$CU$61,Storage_Reconciled_prod_chosen!$C54,FALSE)</f>
        <v>1E-3</v>
      </c>
      <c r="S51" s="147">
        <f>HLOOKUP(S$109,Storage_Reconciled_prod_chosen!$D$45:$CU$61,Storage_Reconciled_prod_chosen!$C54,FALSE)</f>
        <v>3.0000000000000001E-3</v>
      </c>
      <c r="T51" s="147">
        <f>HLOOKUP(T$109,Storage_Reconciled_prod_chosen!$D$45:$CU$61,Storage_Reconciled_prod_chosen!$C54,FALSE)</f>
        <v>4.0000000000000001E-3</v>
      </c>
      <c r="U51" s="150">
        <f>HLOOKUP(U$109,Storage_Reconciled_prod_chosen!$D$45:$CU$61,Storage_Reconciled_prod_chosen!$C54,FALSE)</f>
        <v>8.0000000000000002E-3</v>
      </c>
      <c r="V51" s="171">
        <f>HLOOKUP(V$109,Storage_Reconciled_prod_chosen!$D$45:$CU$61,Storage_Reconciled_prod_chosen!$C54,FALSE)</f>
        <v>4.2999999999999997E-2</v>
      </c>
      <c r="Z51" s="443">
        <f t="shared" si="4"/>
        <v>4.0000000000000001E-3</v>
      </c>
      <c r="AA51" s="443">
        <f t="shared" si="5"/>
        <v>1.2E-2</v>
      </c>
      <c r="AC51">
        <f t="shared" si="6"/>
        <v>0.02</v>
      </c>
    </row>
    <row r="52" spans="3:29" ht="15.75">
      <c r="C52" s="144" t="s">
        <v>65</v>
      </c>
      <c r="D52" s="147">
        <f>HLOOKUP(D$109,Storage_Reconciled_prod_chosen!$D$45:$CU$61,Storage_Reconciled_prod_chosen!$C55,FALSE)</f>
        <v>8.0000000000000002E-3</v>
      </c>
      <c r="E52" s="147">
        <f>HLOOKUP(E$109,Storage_Reconciled_prod_chosen!$D$45:$CU$61,Storage_Reconciled_prod_chosen!$C55,FALSE)</f>
        <v>8.9999999999999993E-3</v>
      </c>
      <c r="F52" s="147">
        <f>HLOOKUP(F$109,Storage_Reconciled_prod_chosen!$D$45:$CU$61,Storage_Reconciled_prod_chosen!$C55,FALSE)</f>
        <v>8.0000000000000002E-3</v>
      </c>
      <c r="G52" s="150">
        <f>HLOOKUP(G$109,Storage_Reconciled_prod_chosen!$D$45:$CU$61,Storage_Reconciled_prod_chosen!$C55,FALSE)</f>
        <v>2.5000000000000001E-2</v>
      </c>
      <c r="H52" s="147">
        <f>HLOOKUP(H$109,Storage_Reconciled_prod_chosen!$D$45:$CU$61,Storage_Reconciled_prod_chosen!$C55,FALSE)</f>
        <v>8.9999999999999993E-3</v>
      </c>
      <c r="I52" s="147">
        <f>HLOOKUP(I$109,Storage_Reconciled_prod_chosen!$D$45:$CU$61,Storage_Reconciled_prod_chosen!$C55,FALSE)</f>
        <v>0.01</v>
      </c>
      <c r="J52" s="147">
        <f>HLOOKUP(J$109,Storage_Reconciled_prod_chosen!$D$45:$CU$61,Storage_Reconciled_prod_chosen!$C55,FALSE)</f>
        <v>8.9999999999999993E-3</v>
      </c>
      <c r="K52" s="150">
        <f>HLOOKUP(K$109,Storage_Reconciled_prod_chosen!$D$45:$CU$61,Storage_Reconciled_prod_chosen!$C55,FALSE)</f>
        <v>2.7999999999999997E-2</v>
      </c>
      <c r="L52" s="171">
        <f>HLOOKUP(L$109,Storage_Reconciled_prod_chosen!$D$45:$CU$61,Storage_Reconciled_prod_chosen!$C55,FALSE)</f>
        <v>5.2999999999999999E-2</v>
      </c>
      <c r="M52" s="147">
        <f>HLOOKUP(M$109,Storage_Reconciled_prod_chosen!$D$45:$CU$61,Storage_Reconciled_prod_chosen!$C55,FALSE)</f>
        <v>8.9999999999999993E-3</v>
      </c>
      <c r="N52" s="147">
        <f>HLOOKUP(N$109,Storage_Reconciled_prod_chosen!$D$45:$CU$61,Storage_Reconciled_prod_chosen!$C55,FALSE)</f>
        <v>8.9999999999999993E-3</v>
      </c>
      <c r="O52" s="147">
        <f>HLOOKUP(O$109,Storage_Reconciled_prod_chosen!$D$45:$CU$61,Storage_Reconciled_prod_chosen!$C55,FALSE)</f>
        <v>8.9999999999999993E-3</v>
      </c>
      <c r="P52" s="150">
        <f>HLOOKUP(P$109,Storage_Reconciled_prod_chosen!$D$45:$CU$61,Storage_Reconciled_prod_chosen!$C55,FALSE)</f>
        <v>2.6999999999999996E-2</v>
      </c>
      <c r="Q52" s="171">
        <f>HLOOKUP(Q$109,Storage_Reconciled_prod_chosen!$D$45:$CU$61,Storage_Reconciled_prod_chosen!$C55,FALSE)</f>
        <v>7.9999999999999988E-2</v>
      </c>
      <c r="R52" s="147">
        <f>HLOOKUP(R$109,Storage_Reconciled_prod_chosen!$D$45:$CU$61,Storage_Reconciled_prod_chosen!$C55,FALSE)</f>
        <v>3.0000000000000001E-3</v>
      </c>
      <c r="S52" s="147">
        <f>HLOOKUP(S$109,Storage_Reconciled_prod_chosen!$D$45:$CU$61,Storage_Reconciled_prod_chosen!$C55,FALSE)</f>
        <v>3.0000000000000001E-3</v>
      </c>
      <c r="T52" s="147">
        <f>HLOOKUP(T$109,Storage_Reconciled_prod_chosen!$D$45:$CU$61,Storage_Reconciled_prod_chosen!$C55,FALSE)</f>
        <v>6.0000000000000001E-3</v>
      </c>
      <c r="U52" s="150">
        <f>HLOOKUP(U$109,Storage_Reconciled_prod_chosen!$D$45:$CU$61,Storage_Reconciled_prod_chosen!$C55,FALSE)</f>
        <v>1.2E-2</v>
      </c>
      <c r="V52" s="171">
        <f>HLOOKUP(V$109,Storage_Reconciled_prod_chosen!$D$45:$CU$61,Storage_Reconciled_prod_chosen!$C55,FALSE)</f>
        <v>9.2999999999999999E-2</v>
      </c>
      <c r="Z52" s="443">
        <f t="shared" si="4"/>
        <v>0.01</v>
      </c>
      <c r="AA52" s="443">
        <f t="shared" si="5"/>
        <v>2.7999999999999997E-2</v>
      </c>
      <c r="AC52">
        <f t="shared" si="6"/>
        <v>4.4000000000000004E-2</v>
      </c>
    </row>
    <row r="53" spans="3:29" ht="15.75">
      <c r="C53" s="144" t="s">
        <v>66</v>
      </c>
      <c r="D53" s="147">
        <f>HLOOKUP(D$109,Storage_Reconciled_prod_chosen!$D$45:$CU$61,Storage_Reconciled_prod_chosen!$C56,FALSE)</f>
        <v>5.0999999999999997E-2</v>
      </c>
      <c r="E53" s="147">
        <f>HLOOKUP(E$109,Storage_Reconciled_prod_chosen!$D$45:$CU$61,Storage_Reconciled_prod_chosen!$C56,FALSE)</f>
        <v>6.7000000000000004E-2</v>
      </c>
      <c r="F53" s="147">
        <f>HLOOKUP(F$109,Storage_Reconciled_prod_chosen!$D$45:$CU$61,Storage_Reconciled_prod_chosen!$C56,FALSE)</f>
        <v>6.7000000000000004E-2</v>
      </c>
      <c r="G53" s="150">
        <f>HLOOKUP(G$109,Storage_Reconciled_prod_chosen!$D$45:$CU$61,Storage_Reconciled_prod_chosen!$C56,FALSE)</f>
        <v>0.185</v>
      </c>
      <c r="H53" s="147">
        <f>HLOOKUP(H$109,Storage_Reconciled_prod_chosen!$D$45:$CU$61,Storage_Reconciled_prod_chosen!$C56,FALSE)</f>
        <v>6.9000000000000006E-2</v>
      </c>
      <c r="I53" s="147">
        <f>HLOOKUP(I$109,Storage_Reconciled_prod_chosen!$D$45:$CU$61,Storage_Reconciled_prod_chosen!$C56,FALSE)</f>
        <v>7.0999999999999994E-2</v>
      </c>
      <c r="J53" s="147">
        <f>HLOOKUP(J$109,Storage_Reconciled_prod_chosen!$D$45:$CU$61,Storage_Reconciled_prod_chosen!$C56,FALSE)</f>
        <v>6.6000000000000003E-2</v>
      </c>
      <c r="K53" s="150">
        <f>HLOOKUP(K$109,Storage_Reconciled_prod_chosen!$D$45:$CU$61,Storage_Reconciled_prod_chosen!$C56,FALSE)</f>
        <v>0.20600000000000002</v>
      </c>
      <c r="L53" s="171">
        <f>HLOOKUP(L$109,Storage_Reconciled_prod_chosen!$D$45:$CU$61,Storage_Reconciled_prod_chosen!$C56,FALSE)</f>
        <v>0.39100000000000001</v>
      </c>
      <c r="M53" s="147">
        <f>HLOOKUP(M$109,Storage_Reconciled_prod_chosen!$D$45:$CU$61,Storage_Reconciled_prod_chosen!$C56,FALSE)</f>
        <v>6.9000000000000006E-2</v>
      </c>
      <c r="N53" s="147">
        <f>HLOOKUP(N$109,Storage_Reconciled_prod_chosen!$D$45:$CU$61,Storage_Reconciled_prod_chosen!$C56,FALSE)</f>
        <v>6.7000000000000004E-2</v>
      </c>
      <c r="O53" s="147">
        <f>HLOOKUP(O$109,Storage_Reconciled_prod_chosen!$D$45:$CU$61,Storage_Reconciled_prod_chosen!$C56,FALSE)</f>
        <v>6.6000000000000003E-2</v>
      </c>
      <c r="P53" s="150">
        <f>HLOOKUP(P$109,Storage_Reconciled_prod_chosen!$D$45:$CU$61,Storage_Reconciled_prod_chosen!$C56,FALSE)</f>
        <v>0.20200000000000001</v>
      </c>
      <c r="Q53" s="171">
        <f>HLOOKUP(Q$109,Storage_Reconciled_prod_chosen!$D$45:$CU$61,Storage_Reconciled_prod_chosen!$C56,FALSE)</f>
        <v>0.59299999999999997</v>
      </c>
      <c r="R53" s="147">
        <f>HLOOKUP(R$109,Storage_Reconciled_prod_chosen!$D$45:$CU$61,Storage_Reconciled_prod_chosen!$C56,FALSE)</f>
        <v>7.3999999999999996E-2</v>
      </c>
      <c r="S53" s="147">
        <f>HLOOKUP(S$109,Storage_Reconciled_prod_chosen!$D$45:$CU$61,Storage_Reconciled_prod_chosen!$C56,FALSE)</f>
        <v>6.5000000000000002E-2</v>
      </c>
      <c r="T53" s="147">
        <f>HLOOKUP(T$109,Storage_Reconciled_prod_chosen!$D$45:$CU$61,Storage_Reconciled_prod_chosen!$C56,FALSE)</f>
        <v>1.7000000000000001E-2</v>
      </c>
      <c r="U53" s="150">
        <f>HLOOKUP(U$109,Storage_Reconciled_prod_chosen!$D$45:$CU$61,Storage_Reconciled_prod_chosen!$C56,FALSE)</f>
        <v>0.15600000000000003</v>
      </c>
      <c r="V53" s="171">
        <f>HLOOKUP(V$109,Storage_Reconciled_prod_chosen!$D$45:$CU$61,Storage_Reconciled_prod_chosen!$C56,FALSE)</f>
        <v>0.748</v>
      </c>
      <c r="Z53" s="443">
        <f t="shared" si="4"/>
        <v>7.0999999999999994E-2</v>
      </c>
      <c r="AA53" s="443">
        <f t="shared" si="5"/>
        <v>0.20600000000000002</v>
      </c>
      <c r="AC53">
        <f t="shared" si="6"/>
        <v>0.32500000000000001</v>
      </c>
    </row>
    <row r="54" spans="3:29" ht="15.75">
      <c r="C54" s="144" t="s">
        <v>67</v>
      </c>
      <c r="D54" s="147">
        <f>HLOOKUP(D$109,Storage_Reconciled_prod_chosen!$D$45:$CU$61,Storage_Reconciled_prod_chosen!$C57,FALSE)</f>
        <v>0.05</v>
      </c>
      <c r="E54" s="147">
        <f>HLOOKUP(E$109,Storage_Reconciled_prod_chosen!$D$45:$CU$61,Storage_Reconciled_prod_chosen!$C57,FALSE)</f>
        <v>5.5E-2</v>
      </c>
      <c r="F54" s="147">
        <f>HLOOKUP(F$109,Storage_Reconciled_prod_chosen!$D$45:$CU$61,Storage_Reconciled_prod_chosen!$C57,FALSE)</f>
        <v>5.2999999999999999E-2</v>
      </c>
      <c r="G54" s="150">
        <f>HLOOKUP(G$109,Storage_Reconciled_prod_chosen!$D$45:$CU$61,Storage_Reconciled_prod_chosen!$C57,FALSE)</f>
        <v>0.158</v>
      </c>
      <c r="H54" s="147">
        <f>HLOOKUP(H$109,Storage_Reconciled_prod_chosen!$D$45:$CU$61,Storage_Reconciled_prod_chosen!$C57,FALSE)</f>
        <v>5.1999999999999998E-2</v>
      </c>
      <c r="I54" s="147">
        <f>HLOOKUP(I$109,Storage_Reconciled_prod_chosen!$D$45:$CU$61,Storage_Reconciled_prod_chosen!$C57,FALSE)</f>
        <v>5.0999999999999997E-2</v>
      </c>
      <c r="J54" s="147">
        <f>HLOOKUP(J$109,Storage_Reconciled_prod_chosen!$D$45:$CU$61,Storage_Reconciled_prod_chosen!$C57,FALSE)</f>
        <v>4.7E-2</v>
      </c>
      <c r="K54" s="150">
        <f>HLOOKUP(K$109,Storage_Reconciled_prod_chosen!$D$45:$CU$61,Storage_Reconciled_prod_chosen!$C57,FALSE)</f>
        <v>0.15</v>
      </c>
      <c r="L54" s="171">
        <f>HLOOKUP(L$109,Storage_Reconciled_prod_chosen!$D$45:$CU$61,Storage_Reconciled_prod_chosen!$C57,FALSE)</f>
        <v>0.308</v>
      </c>
      <c r="M54" s="147">
        <f>HLOOKUP(M$109,Storage_Reconciled_prod_chosen!$D$45:$CU$61,Storage_Reconciled_prod_chosen!$C57,FALSE)</f>
        <v>5.2999999999999999E-2</v>
      </c>
      <c r="N54" s="147">
        <f>HLOOKUP(N$109,Storage_Reconciled_prod_chosen!$D$45:$CU$61,Storage_Reconciled_prod_chosen!$C57,FALSE)</f>
        <v>4.1000000000000002E-2</v>
      </c>
      <c r="O54" s="147">
        <f>HLOOKUP(O$109,Storage_Reconciled_prod_chosen!$D$45:$CU$61,Storage_Reconciled_prod_chosen!$C57,FALSE)</f>
        <v>1.2999999999999999E-2</v>
      </c>
      <c r="P54" s="150">
        <f>HLOOKUP(P$109,Storage_Reconciled_prod_chosen!$D$45:$CU$61,Storage_Reconciled_prod_chosen!$C57,FALSE)</f>
        <v>0.107</v>
      </c>
      <c r="Q54" s="171">
        <f>HLOOKUP(Q$109,Storage_Reconciled_prod_chosen!$D$45:$CU$61,Storage_Reconciled_prod_chosen!$C57,FALSE)</f>
        <v>0.41499999999999998</v>
      </c>
      <c r="R54" s="147">
        <f>HLOOKUP(R$109,Storage_Reconciled_prod_chosen!$D$45:$CU$61,Storage_Reconciled_prod_chosen!$C57,FALSE)</f>
        <v>5.3999999999999999E-2</v>
      </c>
      <c r="S54" s="147">
        <f>HLOOKUP(S$109,Storage_Reconciled_prod_chosen!$D$45:$CU$61,Storage_Reconciled_prod_chosen!$C57,FALSE)</f>
        <v>0.05</v>
      </c>
      <c r="T54" s="147">
        <f>HLOOKUP(T$109,Storage_Reconciled_prod_chosen!$D$45:$CU$61,Storage_Reconciled_prod_chosen!$C57,FALSE)</f>
        <v>5.6000000000000001E-2</v>
      </c>
      <c r="U54" s="150">
        <f>HLOOKUP(U$109,Storage_Reconciled_prod_chosen!$D$45:$CU$61,Storage_Reconciled_prod_chosen!$C57,FALSE)</f>
        <v>0.16</v>
      </c>
      <c r="V54" s="171">
        <f>HLOOKUP(V$109,Storage_Reconciled_prod_chosen!$D$45:$CU$61,Storage_Reconciled_prod_chosen!$C57,FALSE)</f>
        <v>0.57499999999999996</v>
      </c>
      <c r="Z54" s="443">
        <f t="shared" si="4"/>
        <v>5.0999999999999997E-2</v>
      </c>
      <c r="AA54" s="443">
        <f t="shared" si="5"/>
        <v>0.15</v>
      </c>
      <c r="AC54">
        <f t="shared" si="6"/>
        <v>0.26100000000000001</v>
      </c>
    </row>
    <row r="55" spans="3:29" ht="15.75">
      <c r="C55" s="144" t="s">
        <v>68</v>
      </c>
      <c r="D55" s="147">
        <f>HLOOKUP(D$109,Storage_Reconciled_prod_chosen!$D$45:$CU$61,Storage_Reconciled_prod_chosen!$C58,FALSE)</f>
        <v>1.0999999999999999E-2</v>
      </c>
      <c r="E55" s="147">
        <f>HLOOKUP(E$109,Storage_Reconciled_prod_chosen!$D$45:$CU$61,Storage_Reconciled_prod_chosen!$C58,FALSE)</f>
        <v>1.2E-2</v>
      </c>
      <c r="F55" s="147">
        <f>HLOOKUP(F$109,Storage_Reconciled_prod_chosen!$D$45:$CU$61,Storage_Reconciled_prod_chosen!$C58,FALSE)</f>
        <v>1.2E-2</v>
      </c>
      <c r="G55" s="150">
        <f>HLOOKUP(G$109,Storage_Reconciled_prod_chosen!$D$45:$CU$61,Storage_Reconciled_prod_chosen!$C58,FALSE)</f>
        <v>3.5000000000000003E-2</v>
      </c>
      <c r="H55" s="147">
        <f>HLOOKUP(H$109,Storage_Reconciled_prod_chosen!$D$45:$CU$61,Storage_Reconciled_prod_chosen!$C58,FALSE)</f>
        <v>1.2E-2</v>
      </c>
      <c r="I55" s="147">
        <f>HLOOKUP(I$109,Storage_Reconciled_prod_chosen!$D$45:$CU$61,Storage_Reconciled_prod_chosen!$C58,FALSE)</f>
        <v>1.2999999999999999E-2</v>
      </c>
      <c r="J55" s="147">
        <f>HLOOKUP(J$109,Storage_Reconciled_prod_chosen!$D$45:$CU$61,Storage_Reconciled_prod_chosen!$C58,FALSE)</f>
        <v>0.01</v>
      </c>
      <c r="K55" s="150">
        <f>HLOOKUP(K$109,Storage_Reconciled_prod_chosen!$D$45:$CU$61,Storage_Reconciled_prod_chosen!$C58,FALSE)</f>
        <v>3.5000000000000003E-2</v>
      </c>
      <c r="L55" s="171">
        <f>HLOOKUP(L$109,Storage_Reconciled_prod_chosen!$D$45:$CU$61,Storage_Reconciled_prod_chosen!$C58,FALSE)</f>
        <v>7.0000000000000007E-2</v>
      </c>
      <c r="M55" s="147">
        <f>HLOOKUP(M$109,Storage_Reconciled_prod_chosen!$D$45:$CU$61,Storage_Reconciled_prod_chosen!$C58,FALSE)</f>
        <v>1.4E-2</v>
      </c>
      <c r="N55" s="147">
        <f>HLOOKUP(N$109,Storage_Reconciled_prod_chosen!$D$45:$CU$61,Storage_Reconciled_prod_chosen!$C58,FALSE)</f>
        <v>1.2999999999999999E-2</v>
      </c>
      <c r="O55" s="147">
        <f>HLOOKUP(O$109,Storage_Reconciled_prod_chosen!$D$45:$CU$61,Storage_Reconciled_prod_chosen!$C58,FALSE)</f>
        <v>4.0000000000000001E-3</v>
      </c>
      <c r="P55" s="150">
        <f>HLOOKUP(P$109,Storage_Reconciled_prod_chosen!$D$45:$CU$61,Storage_Reconciled_prod_chosen!$C58,FALSE)</f>
        <v>3.1E-2</v>
      </c>
      <c r="Q55" s="171">
        <f>HLOOKUP(Q$109,Storage_Reconciled_prod_chosen!$D$45:$CU$61,Storage_Reconciled_prod_chosen!$C58,FALSE)</f>
        <v>0.10100000000000001</v>
      </c>
      <c r="R55" s="147">
        <f>HLOOKUP(R$109,Storage_Reconciled_prod_chosen!$D$45:$CU$61,Storage_Reconciled_prod_chosen!$C58,FALSE)</f>
        <v>0.01</v>
      </c>
      <c r="S55" s="147">
        <f>HLOOKUP(S$109,Storage_Reconciled_prod_chosen!$D$45:$CU$61,Storage_Reconciled_prod_chosen!$C58,FALSE)</f>
        <v>1.2999999999999999E-2</v>
      </c>
      <c r="T55" s="147">
        <f>HLOOKUP(T$109,Storage_Reconciled_prod_chosen!$D$45:$CU$61,Storage_Reconciled_prod_chosen!$C58,FALSE)</f>
        <v>1.2E-2</v>
      </c>
      <c r="U55" s="150">
        <f>HLOOKUP(U$109,Storage_Reconciled_prod_chosen!$D$45:$CU$61,Storage_Reconciled_prod_chosen!$C58,FALSE)</f>
        <v>3.5000000000000003E-2</v>
      </c>
      <c r="V55" s="171">
        <f>HLOOKUP(V$109,Storage_Reconciled_prod_chosen!$D$45:$CU$61,Storage_Reconciled_prod_chosen!$C58,FALSE)</f>
        <v>0.13600000000000001</v>
      </c>
      <c r="Z55" s="443">
        <f t="shared" si="4"/>
        <v>1.2999999999999999E-2</v>
      </c>
      <c r="AA55" s="443">
        <f t="shared" si="5"/>
        <v>3.5000000000000003E-2</v>
      </c>
      <c r="AC55">
        <f t="shared" si="6"/>
        <v>0.06</v>
      </c>
    </row>
    <row r="56" spans="3:29" ht="15.75">
      <c r="C56" s="144" t="s">
        <v>69</v>
      </c>
      <c r="D56" s="147">
        <f>HLOOKUP(D$109,Storage_Reconciled_prod_chosen!$D$45:$CU$61,Storage_Reconciled_prod_chosen!$C59,FALSE)</f>
        <v>0</v>
      </c>
      <c r="E56" s="147">
        <f>HLOOKUP(E$109,Storage_Reconciled_prod_chosen!$D$45:$CU$61,Storage_Reconciled_prod_chosen!$C59,FALSE)</f>
        <v>0</v>
      </c>
      <c r="F56" s="147">
        <f>HLOOKUP(F$109,Storage_Reconciled_prod_chosen!$D$45:$CU$61,Storage_Reconciled_prod_chosen!$C59,FALSE)</f>
        <v>1E-3</v>
      </c>
      <c r="G56" s="150">
        <f>HLOOKUP(G$109,Storage_Reconciled_prod_chosen!$D$45:$CU$61,Storage_Reconciled_prod_chosen!$C59,FALSE)</f>
        <v>1E-3</v>
      </c>
      <c r="H56" s="147">
        <f>HLOOKUP(H$109,Storage_Reconciled_prod_chosen!$D$45:$CU$61,Storage_Reconciled_prod_chosen!$C59,FALSE)</f>
        <v>0</v>
      </c>
      <c r="I56" s="147">
        <f>HLOOKUP(I$109,Storage_Reconciled_prod_chosen!$D$45:$CU$61,Storage_Reconciled_prod_chosen!$C59,FALSE)</f>
        <v>0</v>
      </c>
      <c r="J56" s="147">
        <f>HLOOKUP(J$109,Storage_Reconciled_prod_chosen!$D$45:$CU$61,Storage_Reconciled_prod_chosen!$C59,FALSE)</f>
        <v>0</v>
      </c>
      <c r="K56" s="150">
        <f>HLOOKUP(K$109,Storage_Reconciled_prod_chosen!$D$45:$CU$61,Storage_Reconciled_prod_chosen!$C59,FALSE)</f>
        <v>0</v>
      </c>
      <c r="L56" s="171">
        <f>HLOOKUP(L$109,Storage_Reconciled_prod_chosen!$D$45:$CU$61,Storage_Reconciled_prod_chosen!$C59,FALSE)</f>
        <v>1E-3</v>
      </c>
      <c r="M56" s="147">
        <f>HLOOKUP(M$109,Storage_Reconciled_prod_chosen!$D$45:$CU$61,Storage_Reconciled_prod_chosen!$C59,FALSE)</f>
        <v>0</v>
      </c>
      <c r="N56" s="147">
        <f>HLOOKUP(N$109,Storage_Reconciled_prod_chosen!$D$45:$CU$61,Storage_Reconciled_prod_chosen!$C59,FALSE)</f>
        <v>0</v>
      </c>
      <c r="O56" s="147">
        <f>HLOOKUP(O$109,Storage_Reconciled_prod_chosen!$D$45:$CU$61,Storage_Reconciled_prod_chosen!$C59,FALSE)</f>
        <v>0</v>
      </c>
      <c r="P56" s="150">
        <f>HLOOKUP(P$109,Storage_Reconciled_prod_chosen!$D$45:$CU$61,Storage_Reconciled_prod_chosen!$C59,FALSE)</f>
        <v>0</v>
      </c>
      <c r="Q56" s="171">
        <f>HLOOKUP(Q$109,Storage_Reconciled_prod_chosen!$D$45:$CU$61,Storage_Reconciled_prod_chosen!$C59,FALSE)</f>
        <v>1E-3</v>
      </c>
      <c r="R56" s="147">
        <f>HLOOKUP(R$109,Storage_Reconciled_prod_chosen!$D$45:$CU$61,Storage_Reconciled_prod_chosen!$C59,FALSE)</f>
        <v>0</v>
      </c>
      <c r="S56" s="147">
        <f>HLOOKUP(S$109,Storage_Reconciled_prod_chosen!$D$45:$CU$61,Storage_Reconciled_prod_chosen!$C59,FALSE)</f>
        <v>0</v>
      </c>
      <c r="T56" s="147">
        <f>HLOOKUP(T$109,Storage_Reconciled_prod_chosen!$D$45:$CU$61,Storage_Reconciled_prod_chosen!$C59,FALSE)</f>
        <v>0</v>
      </c>
      <c r="U56" s="150">
        <f>HLOOKUP(U$109,Storage_Reconciled_prod_chosen!$D$45:$CU$61,Storage_Reconciled_prod_chosen!$C59,FALSE)</f>
        <v>0</v>
      </c>
      <c r="V56" s="171">
        <f>HLOOKUP(V$109,Storage_Reconciled_prod_chosen!$D$45:$CU$61,Storage_Reconciled_prod_chosen!$C59,FALSE)</f>
        <v>1E-3</v>
      </c>
      <c r="Z56" s="443">
        <f t="shared" si="4"/>
        <v>0</v>
      </c>
      <c r="AA56" s="443">
        <f t="shared" si="5"/>
        <v>0</v>
      </c>
      <c r="AC56">
        <f t="shared" si="6"/>
        <v>1E-3</v>
      </c>
    </row>
    <row r="57" spans="3:29" ht="15.75">
      <c r="C57" s="144" t="s">
        <v>70</v>
      </c>
      <c r="D57" s="147">
        <f>HLOOKUP(D$109,Storage_Reconciled_prod_chosen!$D$45:$CU$61,Storage_Reconciled_prod_chosen!$C60,FALSE)</f>
        <v>0</v>
      </c>
      <c r="E57" s="147">
        <f>HLOOKUP(E$109,Storage_Reconciled_prod_chosen!$D$45:$CU$61,Storage_Reconciled_prod_chosen!$C60,FALSE)</f>
        <v>0</v>
      </c>
      <c r="F57" s="147">
        <f>HLOOKUP(F$109,Storage_Reconciled_prod_chosen!$D$45:$CU$61,Storage_Reconciled_prod_chosen!$C60,FALSE)</f>
        <v>0</v>
      </c>
      <c r="G57" s="150">
        <f>HLOOKUP(G$109,Storage_Reconciled_prod_chosen!$D$45:$CU$61,Storage_Reconciled_prod_chosen!$C60,FALSE)</f>
        <v>0</v>
      </c>
      <c r="H57" s="147">
        <f>HLOOKUP(H$109,Storage_Reconciled_prod_chosen!$D$45:$CU$61,Storage_Reconciled_prod_chosen!$C60,FALSE)</f>
        <v>0</v>
      </c>
      <c r="I57" s="147">
        <f>HLOOKUP(I$109,Storage_Reconciled_prod_chosen!$D$45:$CU$61,Storage_Reconciled_prod_chosen!$C60,FALSE)</f>
        <v>0</v>
      </c>
      <c r="J57" s="147">
        <f>HLOOKUP(J$109,Storage_Reconciled_prod_chosen!$D$45:$CU$61,Storage_Reconciled_prod_chosen!$C60,FALSE)</f>
        <v>0</v>
      </c>
      <c r="K57" s="150">
        <f>HLOOKUP(K$109,Storage_Reconciled_prod_chosen!$D$45:$CU$61,Storage_Reconciled_prod_chosen!$C60,FALSE)</f>
        <v>0</v>
      </c>
      <c r="L57" s="171">
        <f>HLOOKUP(L$109,Storage_Reconciled_prod_chosen!$D$45:$CU$61,Storage_Reconciled_prod_chosen!$C60,FALSE)</f>
        <v>0</v>
      </c>
      <c r="M57" s="147">
        <f>HLOOKUP(M$109,Storage_Reconciled_prod_chosen!$D$45:$CU$61,Storage_Reconciled_prod_chosen!$C60,FALSE)</f>
        <v>0</v>
      </c>
      <c r="N57" s="147">
        <f>HLOOKUP(N$109,Storage_Reconciled_prod_chosen!$D$45:$CU$61,Storage_Reconciled_prod_chosen!$C60,FALSE)</f>
        <v>0</v>
      </c>
      <c r="O57" s="147">
        <f>HLOOKUP(O$109,Storage_Reconciled_prod_chosen!$D$45:$CU$61,Storage_Reconciled_prod_chosen!$C60,FALSE)</f>
        <v>0</v>
      </c>
      <c r="P57" s="150">
        <f>HLOOKUP(P$109,Storage_Reconciled_prod_chosen!$D$45:$CU$61,Storage_Reconciled_prod_chosen!$C60,FALSE)</f>
        <v>0</v>
      </c>
      <c r="Q57" s="171">
        <f>HLOOKUP(Q$109,Storage_Reconciled_prod_chosen!$D$45:$CU$61,Storage_Reconciled_prod_chosen!$C60,FALSE)</f>
        <v>0</v>
      </c>
      <c r="R57" s="147">
        <f>HLOOKUP(R$109,Storage_Reconciled_prod_chosen!$D$45:$CU$61,Storage_Reconciled_prod_chosen!$C60,FALSE)</f>
        <v>0</v>
      </c>
      <c r="S57" s="147">
        <f>HLOOKUP(S$109,Storage_Reconciled_prod_chosen!$D$45:$CU$61,Storage_Reconciled_prod_chosen!$C60,FALSE)</f>
        <v>0</v>
      </c>
      <c r="T57" s="147">
        <f>HLOOKUP(T$109,Storage_Reconciled_prod_chosen!$D$45:$CU$61,Storage_Reconciled_prod_chosen!$C60,FALSE)</f>
        <v>0</v>
      </c>
      <c r="U57" s="150">
        <f>HLOOKUP(U$109,Storage_Reconciled_prod_chosen!$D$45:$CU$61,Storage_Reconciled_prod_chosen!$C60,FALSE)</f>
        <v>0</v>
      </c>
      <c r="V57" s="171">
        <f>HLOOKUP(V$109,Storage_Reconciled_prod_chosen!$D$45:$CU$61,Storage_Reconciled_prod_chosen!$C60,FALSE)</f>
        <v>0</v>
      </c>
      <c r="Z57" s="443">
        <f t="shared" si="4"/>
        <v>0</v>
      </c>
      <c r="AA57" s="443">
        <f t="shared" si="5"/>
        <v>0</v>
      </c>
      <c r="AC57">
        <f t="shared" si="6"/>
        <v>0</v>
      </c>
    </row>
    <row r="58" spans="3:29" ht="15.75">
      <c r="C58" s="145" t="s">
        <v>92</v>
      </c>
      <c r="D58" s="151">
        <f>HLOOKUP(D$109,Storage_Reconciled_prod_chosen!$D$45:$CU$61,Storage_Reconciled_prod_chosen!$C61,FALSE)</f>
        <v>0.58600000000000008</v>
      </c>
      <c r="E58" s="151">
        <f>HLOOKUP(E$109,Storage_Reconciled_prod_chosen!$D$45:$CU$61,Storage_Reconciled_prod_chosen!$C61,FALSE)</f>
        <v>0.59800000000000009</v>
      </c>
      <c r="F58" s="151">
        <f>HLOOKUP(F$109,Storage_Reconciled_prod_chosen!$D$45:$CU$61,Storage_Reconciled_prod_chosen!$C61,FALSE)</f>
        <v>0.57000000000000006</v>
      </c>
      <c r="G58" s="185">
        <f>HLOOKUP(G$109,Storage_Reconciled_prod_chosen!$D$45:$CU$61,Storage_Reconciled_prod_chosen!$C61,FALSE)</f>
        <v>1.7539999999999998</v>
      </c>
      <c r="H58" s="151">
        <f>HLOOKUP(H$109,Storage_Reconciled_prod_chosen!$D$45:$CU$61,Storage_Reconciled_prod_chosen!$C61,FALSE)</f>
        <v>0.60499999999999998</v>
      </c>
      <c r="I58" s="151">
        <f>HLOOKUP(I$109,Storage_Reconciled_prod_chosen!$D$45:$CU$61,Storage_Reconciled_prod_chosen!$C61,FALSE)</f>
        <v>0.52200000000000002</v>
      </c>
      <c r="J58" s="151">
        <f>HLOOKUP(J$109,Storage_Reconciled_prod_chosen!$D$45:$CU$61,Storage_Reconciled_prod_chosen!$C61,FALSE)</f>
        <v>0.58600000000000008</v>
      </c>
      <c r="K58" s="185">
        <f>HLOOKUP(K$109,Storage_Reconciled_prod_chosen!$D$45:$CU$61,Storage_Reconciled_prod_chosen!$C61,FALSE)</f>
        <v>1.7130000000000001</v>
      </c>
      <c r="L58" s="186">
        <f>HLOOKUP(L$109,Storage_Reconciled_prod_chosen!$D$45:$CU$61,Storage_Reconciled_prod_chosen!$C61,FALSE)</f>
        <v>3.4669999999999996</v>
      </c>
      <c r="M58" s="151">
        <f>HLOOKUP(M$109,Storage_Reconciled_prod_chosen!$D$45:$CU$61,Storage_Reconciled_prod_chosen!$C61,FALSE)</f>
        <v>0.61</v>
      </c>
      <c r="N58" s="151">
        <f>HLOOKUP(N$109,Storage_Reconciled_prod_chosen!$D$45:$CU$61,Storage_Reconciled_prod_chosen!$C61,FALSE)</f>
        <v>0.56499999999999995</v>
      </c>
      <c r="O58" s="151">
        <f>HLOOKUP(O$109,Storage_Reconciled_prod_chosen!$D$45:$CU$61,Storage_Reconciled_prod_chosen!$C61,FALSE)</f>
        <v>0.52700000000000002</v>
      </c>
      <c r="P58" s="185">
        <f>HLOOKUP(P$109,Storage_Reconciled_prod_chosen!$D$45:$CU$61,Storage_Reconciled_prod_chosen!$C61,FALSE)</f>
        <v>1.702</v>
      </c>
      <c r="Q58" s="186">
        <f>HLOOKUP(Q$109,Storage_Reconciled_prod_chosen!$D$45:$CU$61,Storage_Reconciled_prod_chosen!$C61,FALSE)</f>
        <v>5.1689999999999996</v>
      </c>
      <c r="R58" s="151">
        <f>HLOOKUP(R$109,Storage_Reconciled_prod_chosen!$D$45:$CU$61,Storage_Reconciled_prod_chosen!$C61,FALSE)</f>
        <v>0.59</v>
      </c>
      <c r="S58" s="151">
        <f>HLOOKUP(S$109,Storage_Reconciled_prod_chosen!$D$45:$CU$61,Storage_Reconciled_prod_chosen!$C61,FALSE)</f>
        <v>0.56299999999999994</v>
      </c>
      <c r="T58" s="151">
        <f>HLOOKUP(T$109,Storage_Reconciled_prod_chosen!$D$45:$CU$61,Storage_Reconciled_prod_chosen!$C61,FALSE)</f>
        <v>0.58499999999999996</v>
      </c>
      <c r="U58" s="185">
        <f>HLOOKUP(U$109,Storage_Reconciled_prod_chosen!$D$45:$CU$61,Storage_Reconciled_prod_chosen!$C61,FALSE)</f>
        <v>1.7349999999999999</v>
      </c>
      <c r="V58" s="186">
        <f>HLOOKUP(V$109,Storage_Reconciled_prod_chosen!$D$45:$CU$61,Storage_Reconciled_prod_chosen!$C61,FALSE)</f>
        <v>6.9080000000000004</v>
      </c>
      <c r="Z58" s="443">
        <f t="shared" si="4"/>
        <v>0.52200000000000002</v>
      </c>
      <c r="AA58" s="443">
        <f t="shared" si="5"/>
        <v>1.7130000000000001</v>
      </c>
      <c r="AC58">
        <f t="shared" si="6"/>
        <v>2.8810000000000002</v>
      </c>
    </row>
    <row r="61" spans="3:29">
      <c r="C61" s="1172" t="s">
        <v>91</v>
      </c>
      <c r="D61" s="1173" t="s">
        <v>91</v>
      </c>
      <c r="E61" s="1173"/>
      <c r="F61" s="1173"/>
      <c r="G61" s="1173"/>
      <c r="H61" s="1173"/>
      <c r="I61" s="1173"/>
      <c r="J61" s="1173"/>
      <c r="K61" s="1173"/>
      <c r="L61" s="1173"/>
      <c r="M61" s="1173"/>
      <c r="N61" s="1173"/>
      <c r="O61" s="1173"/>
      <c r="P61" s="1173"/>
      <c r="Q61" s="1173"/>
      <c r="R61" s="1173"/>
      <c r="S61" s="1173"/>
      <c r="T61" s="1173"/>
      <c r="U61" s="1173"/>
      <c r="V61" s="1174"/>
    </row>
    <row r="62" spans="3:29">
      <c r="C62" s="144"/>
      <c r="D62" s="144" t="str">
        <f>HLOOKUP(D$109,Storage_Reconciled_prod_chosen!$D$64:$CU$80,Storage_Reconciled_prod_chosen!$C65,FALSE)</f>
        <v>Apr'25</v>
      </c>
      <c r="E62" s="144" t="str">
        <f>HLOOKUP(E$109,Storage_Reconciled_prod_chosen!$D$64:$CU$80,Storage_Reconciled_prod_chosen!$C65,FALSE)</f>
        <v>May'25</v>
      </c>
      <c r="F62" s="144" t="str">
        <f>HLOOKUP(F$109,Storage_Reconciled_prod_chosen!$D$64:$CU$80,Storage_Reconciled_prod_chosen!$C65,FALSE)</f>
        <v>Jun'25</v>
      </c>
      <c r="G62" s="148" t="str">
        <f>HLOOKUP(G$109,Storage_Reconciled_prod_chosen!$D$64:$CU$80,Storage_Reconciled_prod_chosen!$C65,FALSE)</f>
        <v>Q1 25-26</v>
      </c>
      <c r="H62" s="144" t="str">
        <f>HLOOKUP(H$109,Storage_Reconciled_prod_chosen!$D$64:$CU$80,Storage_Reconciled_prod_chosen!$C65,FALSE)</f>
        <v>Jul'25</v>
      </c>
      <c r="I62" s="144" t="str">
        <f>HLOOKUP(I$109,Storage_Reconciled_prod_chosen!$D$64:$CU$80,Storage_Reconciled_prod_chosen!$C65,FALSE)</f>
        <v>Aug'25</v>
      </c>
      <c r="J62" s="144" t="str">
        <f>HLOOKUP(J$109,Storage_Reconciled_prod_chosen!$D$64:$CU$80,Storage_Reconciled_prod_chosen!$C65,FALSE)</f>
        <v>Sep'25</v>
      </c>
      <c r="K62" s="148" t="str">
        <f>HLOOKUP(K$109,Storage_Reconciled_prod_chosen!$D$64:$CU$80,Storage_Reconciled_prod_chosen!$C65,FALSE)</f>
        <v>Q2 25-26</v>
      </c>
      <c r="L62" s="170" t="str">
        <f>HLOOKUP(L$109,Storage_Reconciled_prod_chosen!$D$64:$CU$80,Storage_Reconciled_prod_chosen!$C65,FALSE)</f>
        <v>H1 25-26</v>
      </c>
      <c r="M62" s="144" t="str">
        <f>HLOOKUP(M$109,Storage_Reconciled_prod_chosen!$D$64:$CU$80,Storage_Reconciled_prod_chosen!$C65,FALSE)</f>
        <v>Oct'25</v>
      </c>
      <c r="N62" s="144" t="str">
        <f>HLOOKUP(N$109,Storage_Reconciled_prod_chosen!$D$64:$CU$80,Storage_Reconciled_prod_chosen!$C65,FALSE)</f>
        <v>Nov'25</v>
      </c>
      <c r="O62" s="144" t="str">
        <f>HLOOKUP(O$109,Storage_Reconciled_prod_chosen!$D$64:$CU$80,Storage_Reconciled_prod_chosen!$C65,FALSE)</f>
        <v>Dec'25</v>
      </c>
      <c r="P62" s="148" t="str">
        <f>HLOOKUP(P$109,Storage_Reconciled_prod_chosen!$D$64:$CU$80,Storage_Reconciled_prod_chosen!$C65,FALSE)</f>
        <v>Q3 25-26</v>
      </c>
      <c r="Q62" s="170" t="str">
        <f>HLOOKUP(Q$109,Storage_Reconciled_prod_chosen!$D$64:$CU$80,Storage_Reconciled_prod_chosen!$C65,FALSE)</f>
        <v>9M 25-26</v>
      </c>
      <c r="R62" s="144" t="str">
        <f>HLOOKUP(R$109,Storage_Reconciled_prod_chosen!$D$64:$CU$80,Storage_Reconciled_prod_chosen!$C65,FALSE)</f>
        <v>Jan'26</v>
      </c>
      <c r="S62" s="144" t="str">
        <f>HLOOKUP(S$109,Storage_Reconciled_prod_chosen!$D$64:$CU$80,Storage_Reconciled_prod_chosen!$C65,FALSE)</f>
        <v>Feb'26</v>
      </c>
      <c r="T62" s="144" t="str">
        <f>HLOOKUP(T$109,Storage_Reconciled_prod_chosen!$D$64:$CU$80,Storage_Reconciled_prod_chosen!$C65,FALSE)</f>
        <v>Mar'26</v>
      </c>
      <c r="U62" s="148" t="str">
        <f>HLOOKUP(U$109,Storage_Reconciled_prod_chosen!$D$64:$CU$80,Storage_Reconciled_prod_chosen!$C65,FALSE)</f>
        <v>Q4 25-26</v>
      </c>
      <c r="V62" s="170" t="str">
        <f>HLOOKUP(V$109,Storage_Reconciled_prod_chosen!$D$64:$CU$80,Storage_Reconciled_prod_chosen!$C65,FALSE)</f>
        <v>25-26</v>
      </c>
    </row>
    <row r="63" spans="3:29" ht="15.75">
      <c r="C63" s="144" t="s">
        <v>60</v>
      </c>
      <c r="D63" s="146">
        <f>HLOOKUP(D$109,Storage_Reconciled_prod_chosen!$D$64:$CU$80,Storage_Reconciled_prod_chosen!$C66,FALSE)</f>
        <v>5.5E-2</v>
      </c>
      <c r="E63" s="146">
        <f>HLOOKUP(E$109,Storage_Reconciled_prod_chosen!$D$64:$CU$80,Storage_Reconciled_prod_chosen!$C66,FALSE)</f>
        <v>5.0999999999999997E-2</v>
      </c>
      <c r="F63" s="146">
        <f>HLOOKUP(F$109,Storage_Reconciled_prod_chosen!$D$64:$CU$80,Storage_Reconciled_prod_chosen!$C66,FALSE)</f>
        <v>4.7E-2</v>
      </c>
      <c r="G63" s="149">
        <f>HLOOKUP(G$109,Storage_Reconciled_prod_chosen!$D$64:$CU$80,Storage_Reconciled_prod_chosen!$C66,FALSE)</f>
        <v>0.153</v>
      </c>
      <c r="H63" s="146">
        <f>HLOOKUP(H$109,Storage_Reconciled_prod_chosen!$D$64:$CU$80,Storage_Reconciled_prod_chosen!$C66,FALSE)</f>
        <v>0.03</v>
      </c>
      <c r="I63" s="146">
        <f>HLOOKUP(I$109,Storage_Reconciled_prod_chosen!$D$64:$CU$80,Storage_Reconciled_prod_chosen!$C66,FALSE)</f>
        <v>7.0000000000000001E-3</v>
      </c>
      <c r="J63" s="146">
        <f>HLOOKUP(J$109,Storage_Reconciled_prod_chosen!$D$64:$CU$80,Storage_Reconciled_prod_chosen!$C66,FALSE)</f>
        <v>4.4999999999999998E-2</v>
      </c>
      <c r="K63" s="149">
        <f>HLOOKUP(K$109,Storage_Reconciled_prod_chosen!$D$64:$CU$80,Storage_Reconciled_prod_chosen!$C66,FALSE)</f>
        <v>8.199999999999999E-2</v>
      </c>
      <c r="L63" s="172">
        <f>HLOOKUP(L$109,Storage_Reconciled_prod_chosen!$D$64:$CU$80,Storage_Reconciled_prod_chosen!$C66,FALSE)</f>
        <v>0.23499999999999999</v>
      </c>
      <c r="M63" s="146">
        <f>HLOOKUP(M$109,Storage_Reconciled_prod_chosen!$D$64:$CU$80,Storage_Reconciled_prod_chosen!$C66,FALSE)</f>
        <v>4.7E-2</v>
      </c>
      <c r="N63" s="146">
        <f>HLOOKUP(N$109,Storage_Reconciled_prod_chosen!$D$64:$CU$80,Storage_Reconciled_prod_chosen!$C66,FALSE)</f>
        <v>6.0999999999999999E-2</v>
      </c>
      <c r="O63" s="146">
        <f>HLOOKUP(O$109,Storage_Reconciled_prod_chosen!$D$64:$CU$80,Storage_Reconciled_prod_chosen!$C66,FALSE)</f>
        <v>5.1999999999999998E-2</v>
      </c>
      <c r="P63" s="149">
        <f>HLOOKUP(P$109,Storage_Reconciled_prod_chosen!$D$64:$CU$80,Storage_Reconciled_prod_chosen!$C66,FALSE)</f>
        <v>0.16</v>
      </c>
      <c r="Q63" s="172">
        <f>HLOOKUP(Q$109,Storage_Reconciled_prod_chosen!$D$64:$CU$80,Storage_Reconciled_prod_chosen!$C66,FALSE)</f>
        <v>0.39500000000000002</v>
      </c>
      <c r="R63" s="146">
        <f>HLOOKUP(R$109,Storage_Reconciled_prod_chosen!$D$64:$CU$80,Storage_Reconciled_prod_chosen!$C66,FALSE)</f>
        <v>4.2999999999999997E-2</v>
      </c>
      <c r="S63" s="146">
        <f>HLOOKUP(S$109,Storage_Reconciled_prod_chosen!$D$64:$CU$80,Storage_Reconciled_prod_chosen!$C66,FALSE)</f>
        <v>6.8000000000000005E-2</v>
      </c>
      <c r="T63" s="146">
        <f>HLOOKUP(T$109,Storage_Reconciled_prod_chosen!$D$64:$CU$80,Storage_Reconciled_prod_chosen!$C66,FALSE)</f>
        <v>8.4000000000000005E-2</v>
      </c>
      <c r="U63" s="149">
        <f>HLOOKUP(U$109,Storage_Reconciled_prod_chosen!$D$64:$CU$80,Storage_Reconciled_prod_chosen!$C66,FALSE)</f>
        <v>0.19500000000000001</v>
      </c>
      <c r="V63" s="172">
        <f>HLOOKUP(V$109,Storage_Reconciled_prod_chosen!$D$64:$CU$80,Storage_Reconciled_prod_chosen!$C66,FALSE)</f>
        <v>0.623</v>
      </c>
      <c r="Z63" s="443">
        <f t="shared" ref="Z63:Z77" si="7">SUMIF($D$103:$V$103,$Z$2,$D63:$V63)</f>
        <v>7.0000000000000001E-3</v>
      </c>
      <c r="AA63" s="443">
        <f>SUMIF($D$104:$V$104,$Z$3,$D63:$V63)</f>
        <v>8.199999999999999E-2</v>
      </c>
      <c r="AC63">
        <f>SUMIF($D$106:$V$106,1,D63:V63)</f>
        <v>0.19</v>
      </c>
    </row>
    <row r="64" spans="3:29" ht="15.75">
      <c r="C64" s="144" t="s">
        <v>61</v>
      </c>
      <c r="D64" s="146">
        <f>HLOOKUP(D$109,Storage_Reconciled_prod_chosen!$D$64:$CU$80,Storage_Reconciled_prod_chosen!$C67,FALSE)</f>
        <v>7.9000000000000001E-2</v>
      </c>
      <c r="E64" s="146">
        <f>HLOOKUP(E$109,Storage_Reconciled_prod_chosen!$D$64:$CU$80,Storage_Reconciled_prod_chosen!$C67,FALSE)</f>
        <v>8.5999999999999993E-2</v>
      </c>
      <c r="F64" s="146">
        <f>HLOOKUP(F$109,Storage_Reconciled_prod_chosen!$D$64:$CU$80,Storage_Reconciled_prod_chosen!$C67,FALSE)</f>
        <v>8.2000000000000003E-2</v>
      </c>
      <c r="G64" s="149">
        <f>HLOOKUP(G$109,Storage_Reconciled_prod_chosen!$D$64:$CU$80,Storage_Reconciled_prod_chosen!$C67,FALSE)</f>
        <v>0.247</v>
      </c>
      <c r="H64" s="146">
        <f>HLOOKUP(H$109,Storage_Reconciled_prod_chosen!$D$64:$CU$80,Storage_Reconciled_prod_chosen!$C67,FALSE)</f>
        <v>8.6999999999999994E-2</v>
      </c>
      <c r="I64" s="146">
        <f>HLOOKUP(I$109,Storage_Reconciled_prod_chosen!$D$64:$CU$80,Storage_Reconciled_prod_chosen!$C67,FALSE)</f>
        <v>7.3999999999999996E-2</v>
      </c>
      <c r="J64" s="146">
        <f>HLOOKUP(J$109,Storage_Reconciled_prod_chosen!$D$64:$CU$80,Storage_Reconciled_prod_chosen!$C67,FALSE)</f>
        <v>8.2000000000000003E-2</v>
      </c>
      <c r="K64" s="149">
        <f>HLOOKUP(K$109,Storage_Reconciled_prod_chosen!$D$64:$CU$80,Storage_Reconciled_prod_chosen!$C67,FALSE)</f>
        <v>0.24299999999999999</v>
      </c>
      <c r="L64" s="172">
        <f>HLOOKUP(L$109,Storage_Reconciled_prod_chosen!$D$64:$CU$80,Storage_Reconciled_prod_chosen!$C67,FALSE)</f>
        <v>0.49</v>
      </c>
      <c r="M64" s="146">
        <f>HLOOKUP(M$109,Storage_Reconciled_prod_chosen!$D$64:$CU$80,Storage_Reconciled_prod_chosen!$C67,FALSE)</f>
        <v>8.4000000000000005E-2</v>
      </c>
      <c r="N64" s="146">
        <f>HLOOKUP(N$109,Storage_Reconciled_prod_chosen!$D$64:$CU$80,Storage_Reconciled_prod_chosen!$C67,FALSE)</f>
        <v>8.1000000000000003E-2</v>
      </c>
      <c r="O64" s="146">
        <f>HLOOKUP(O$109,Storage_Reconciled_prod_chosen!$D$64:$CU$80,Storage_Reconciled_prod_chosen!$C67,FALSE)</f>
        <v>8.1000000000000003E-2</v>
      </c>
      <c r="P64" s="149">
        <f>HLOOKUP(P$109,Storage_Reconciled_prod_chosen!$D$64:$CU$80,Storage_Reconciled_prod_chosen!$C67,FALSE)</f>
        <v>0.246</v>
      </c>
      <c r="Q64" s="172">
        <f>HLOOKUP(Q$109,Storage_Reconciled_prod_chosen!$D$64:$CU$80,Storage_Reconciled_prod_chosen!$C67,FALSE)</f>
        <v>0.73599999999999999</v>
      </c>
      <c r="R64" s="146">
        <f>HLOOKUP(R$109,Storage_Reconciled_prod_chosen!$D$64:$CU$80,Storage_Reconciled_prod_chosen!$C67,FALSE)</f>
        <v>8.2000000000000003E-2</v>
      </c>
      <c r="S64" s="146">
        <f>HLOOKUP(S$109,Storage_Reconciled_prod_chosen!$D$64:$CU$80,Storage_Reconciled_prod_chosen!$C67,FALSE)</f>
        <v>7.1999999999999995E-2</v>
      </c>
      <c r="T64" s="146">
        <f>HLOOKUP(T$109,Storage_Reconciled_prod_chosen!$D$64:$CU$80,Storage_Reconciled_prod_chosen!$C67,FALSE)</f>
        <v>7.5999999999999998E-2</v>
      </c>
      <c r="U64" s="149">
        <f>HLOOKUP(U$109,Storage_Reconciled_prod_chosen!$D$64:$CU$80,Storage_Reconciled_prod_chosen!$C67,FALSE)</f>
        <v>0.22999999999999998</v>
      </c>
      <c r="V64" s="172">
        <f>HLOOKUP(V$109,Storage_Reconciled_prod_chosen!$D$64:$CU$80,Storage_Reconciled_prod_chosen!$C67,FALSE)</f>
        <v>0.96499999999999997</v>
      </c>
      <c r="Z64" s="443">
        <f t="shared" si="7"/>
        <v>7.3999999999999996E-2</v>
      </c>
      <c r="AA64" s="443">
        <f t="shared" ref="AA64:AA77" si="8">SUMIF($D$104:$V$104,$Z$3,$D64:$V64)</f>
        <v>0.24299999999999999</v>
      </c>
      <c r="AC64">
        <f t="shared" ref="AC64:AC77" si="9">SUMIF($D$106:$V$106,1,D64:V64)</f>
        <v>0.40799999999999997</v>
      </c>
    </row>
    <row r="65" spans="3:29" ht="15.75">
      <c r="C65" s="144" t="s">
        <v>62</v>
      </c>
      <c r="D65" s="146">
        <f>HLOOKUP(D$109,Storage_Reconciled_prod_chosen!$D$64:$CU$80,Storage_Reconciled_prod_chosen!$C68,FALSE)</f>
        <v>8.9999999999999993E-3</v>
      </c>
      <c r="E65" s="146">
        <f>HLOOKUP(E$109,Storage_Reconciled_prod_chosen!$D$64:$CU$80,Storage_Reconciled_prod_chosen!$C68,FALSE)</f>
        <v>8.0000000000000002E-3</v>
      </c>
      <c r="F65" s="146">
        <f>HLOOKUP(F$109,Storage_Reconciled_prod_chosen!$D$64:$CU$80,Storage_Reconciled_prod_chosen!$C68,FALSE)</f>
        <v>7.0000000000000001E-3</v>
      </c>
      <c r="G65" s="149">
        <f>HLOOKUP(G$109,Storage_Reconciled_prod_chosen!$D$64:$CU$80,Storage_Reconciled_prod_chosen!$C68,FALSE)</f>
        <v>2.4E-2</v>
      </c>
      <c r="H65" s="146">
        <f>HLOOKUP(H$109,Storage_Reconciled_prod_chosen!$D$64:$CU$80,Storage_Reconciled_prod_chosen!$C68,FALSE)</f>
        <v>8.0000000000000002E-3</v>
      </c>
      <c r="I65" s="146">
        <f>HLOOKUP(I$109,Storage_Reconciled_prod_chosen!$D$64:$CU$80,Storage_Reconciled_prod_chosen!$C68,FALSE)</f>
        <v>8.9999999999999993E-3</v>
      </c>
      <c r="J65" s="146">
        <f>HLOOKUP(J$109,Storage_Reconciled_prod_chosen!$D$64:$CU$80,Storage_Reconciled_prod_chosen!$C68,FALSE)</f>
        <v>8.0000000000000002E-3</v>
      </c>
      <c r="K65" s="149">
        <f>HLOOKUP(K$109,Storage_Reconciled_prod_chosen!$D$64:$CU$80,Storage_Reconciled_prod_chosen!$C68,FALSE)</f>
        <v>2.5000000000000001E-2</v>
      </c>
      <c r="L65" s="172">
        <f>HLOOKUP(L$109,Storage_Reconciled_prod_chosen!$D$64:$CU$80,Storage_Reconciled_prod_chosen!$C68,FALSE)</f>
        <v>4.9000000000000002E-2</v>
      </c>
      <c r="M65" s="146">
        <f>HLOOKUP(M$109,Storage_Reconciled_prod_chosen!$D$64:$CU$80,Storage_Reconciled_prod_chosen!$C68,FALSE)</f>
        <v>8.9999999999999993E-3</v>
      </c>
      <c r="N65" s="146">
        <f>HLOOKUP(N$109,Storage_Reconciled_prod_chosen!$D$64:$CU$80,Storage_Reconciled_prod_chosen!$C68,FALSE)</f>
        <v>8.9999999999999993E-3</v>
      </c>
      <c r="O65" s="146">
        <f>HLOOKUP(O$109,Storage_Reconciled_prod_chosen!$D$64:$CU$80,Storage_Reconciled_prod_chosen!$C68,FALSE)</f>
        <v>8.0000000000000002E-3</v>
      </c>
      <c r="P65" s="149">
        <f>HLOOKUP(P$109,Storage_Reconciled_prod_chosen!$D$64:$CU$80,Storage_Reconciled_prod_chosen!$C68,FALSE)</f>
        <v>2.5999999999999999E-2</v>
      </c>
      <c r="Q65" s="172">
        <f>HLOOKUP(Q$109,Storage_Reconciled_prod_chosen!$D$64:$CU$80,Storage_Reconciled_prod_chosen!$C68,FALSE)</f>
        <v>7.4999999999999997E-2</v>
      </c>
      <c r="R65" s="146">
        <f>HLOOKUP(R$109,Storage_Reconciled_prod_chosen!$D$64:$CU$80,Storage_Reconciled_prod_chosen!$C68,FALSE)</f>
        <v>8.0000000000000002E-3</v>
      </c>
      <c r="S65" s="146">
        <f>HLOOKUP(S$109,Storage_Reconciled_prod_chosen!$D$64:$CU$80,Storage_Reconciled_prod_chosen!$C68,FALSE)</f>
        <v>8.0000000000000002E-3</v>
      </c>
      <c r="T65" s="146">
        <f>HLOOKUP(T$109,Storage_Reconciled_prod_chosen!$D$64:$CU$80,Storage_Reconciled_prod_chosen!$C68,FALSE)</f>
        <v>8.9999999999999993E-3</v>
      </c>
      <c r="U65" s="149">
        <f>HLOOKUP(U$109,Storage_Reconciled_prod_chosen!$D$64:$CU$80,Storage_Reconciled_prod_chosen!$C68,FALSE)</f>
        <v>2.5000000000000001E-2</v>
      </c>
      <c r="V65" s="172">
        <f>HLOOKUP(V$109,Storage_Reconciled_prod_chosen!$D$64:$CU$80,Storage_Reconciled_prod_chosen!$C68,FALSE)</f>
        <v>0.10100000000000001</v>
      </c>
      <c r="Z65" s="443">
        <f t="shared" si="7"/>
        <v>8.9999999999999993E-3</v>
      </c>
      <c r="AA65" s="443">
        <f t="shared" si="8"/>
        <v>2.5000000000000001E-2</v>
      </c>
      <c r="AC65">
        <f t="shared" si="9"/>
        <v>4.1000000000000002E-2</v>
      </c>
    </row>
    <row r="66" spans="3:29" ht="15.75">
      <c r="C66" s="144" t="s">
        <v>57</v>
      </c>
      <c r="D66" s="146">
        <f>HLOOKUP(D$109,Storage_Reconciled_prod_chosen!$D$64:$CU$80,Storage_Reconciled_prod_chosen!$C69,FALSE)</f>
        <v>8.9999999999999993E-3</v>
      </c>
      <c r="E66" s="146">
        <f>HLOOKUP(E$109,Storage_Reconciled_prod_chosen!$D$64:$CU$80,Storage_Reconciled_prod_chosen!$C69,FALSE)</f>
        <v>8.0000000000000002E-3</v>
      </c>
      <c r="F66" s="146">
        <f>HLOOKUP(F$109,Storage_Reconciled_prod_chosen!$D$64:$CU$80,Storage_Reconciled_prod_chosen!$C69,FALSE)</f>
        <v>8.0000000000000002E-3</v>
      </c>
      <c r="G66" s="149">
        <f>HLOOKUP(G$109,Storage_Reconciled_prod_chosen!$D$64:$CU$80,Storage_Reconciled_prod_chosen!$C69,FALSE)</f>
        <v>2.5000000000000001E-2</v>
      </c>
      <c r="H66" s="146">
        <f>HLOOKUP(H$109,Storage_Reconciled_prod_chosen!$D$64:$CU$80,Storage_Reconciled_prod_chosen!$C69,FALSE)</f>
        <v>8.0000000000000002E-3</v>
      </c>
      <c r="I66" s="146">
        <f>HLOOKUP(I$109,Storage_Reconciled_prod_chosen!$D$64:$CU$80,Storage_Reconciled_prod_chosen!$C69,FALSE)</f>
        <v>8.9999999999999993E-3</v>
      </c>
      <c r="J66" s="146">
        <f>HLOOKUP(J$109,Storage_Reconciled_prod_chosen!$D$64:$CU$80,Storage_Reconciled_prod_chosen!$C69,FALSE)</f>
        <v>0.01</v>
      </c>
      <c r="K66" s="149">
        <f>HLOOKUP(K$109,Storage_Reconciled_prod_chosen!$D$64:$CU$80,Storage_Reconciled_prod_chosen!$C69,FALSE)</f>
        <v>2.7000000000000003E-2</v>
      </c>
      <c r="L66" s="172">
        <f>HLOOKUP(L$109,Storage_Reconciled_prod_chosen!$D$64:$CU$80,Storage_Reconciled_prod_chosen!$C69,FALSE)</f>
        <v>5.2000000000000005E-2</v>
      </c>
      <c r="M66" s="146">
        <f>HLOOKUP(M$109,Storage_Reconciled_prod_chosen!$D$64:$CU$80,Storage_Reconciled_prod_chosen!$C69,FALSE)</f>
        <v>0.01</v>
      </c>
      <c r="N66" s="146">
        <f>HLOOKUP(N$109,Storage_Reconciled_prod_chosen!$D$64:$CU$80,Storage_Reconciled_prod_chosen!$C69,FALSE)</f>
        <v>1.0999999999999999E-2</v>
      </c>
      <c r="O66" s="146">
        <f>HLOOKUP(O$109,Storage_Reconciled_prod_chosen!$D$64:$CU$80,Storage_Reconciled_prod_chosen!$C69,FALSE)</f>
        <v>1.2E-2</v>
      </c>
      <c r="P66" s="149">
        <f>HLOOKUP(P$109,Storage_Reconciled_prod_chosen!$D$64:$CU$80,Storage_Reconciled_prod_chosen!$C69,FALSE)</f>
        <v>3.3000000000000002E-2</v>
      </c>
      <c r="Q66" s="172">
        <f>HLOOKUP(Q$109,Storage_Reconciled_prod_chosen!$D$64:$CU$80,Storage_Reconciled_prod_chosen!$C69,FALSE)</f>
        <v>8.5000000000000006E-2</v>
      </c>
      <c r="R66" s="146">
        <f>HLOOKUP(R$109,Storage_Reconciled_prod_chosen!$D$64:$CU$80,Storage_Reconciled_prod_chosen!$C69,FALSE)</f>
        <v>1.4999999999999999E-2</v>
      </c>
      <c r="S66" s="146">
        <f>HLOOKUP(S$109,Storage_Reconciled_prod_chosen!$D$64:$CU$80,Storage_Reconciled_prod_chosen!$C69,FALSE)</f>
        <v>1.2999999999999999E-2</v>
      </c>
      <c r="T66" s="146">
        <f>HLOOKUP(T$109,Storage_Reconciled_prod_chosen!$D$64:$CU$80,Storage_Reconciled_prod_chosen!$C69,FALSE)</f>
        <v>1.2999999999999999E-2</v>
      </c>
      <c r="U66" s="149">
        <f>HLOOKUP(U$109,Storage_Reconciled_prod_chosen!$D$64:$CU$80,Storage_Reconciled_prod_chosen!$C69,FALSE)</f>
        <v>4.0999999999999995E-2</v>
      </c>
      <c r="V66" s="172">
        <f>HLOOKUP(V$109,Storage_Reconciled_prod_chosen!$D$64:$CU$80,Storage_Reconciled_prod_chosen!$C69,FALSE)</f>
        <v>0.127</v>
      </c>
      <c r="Z66" s="443">
        <f t="shared" si="7"/>
        <v>8.9999999999999993E-3</v>
      </c>
      <c r="AA66" s="443">
        <f t="shared" si="8"/>
        <v>2.7000000000000003E-2</v>
      </c>
      <c r="AC66">
        <f t="shared" si="9"/>
        <v>4.2000000000000003E-2</v>
      </c>
    </row>
    <row r="67" spans="3:29" ht="15.75">
      <c r="C67" s="144" t="s">
        <v>58</v>
      </c>
      <c r="D67" s="146">
        <f>HLOOKUP(D$109,Storage_Reconciled_prod_chosen!$D$64:$CU$80,Storage_Reconciled_prod_chosen!$C70,FALSE)</f>
        <v>2E-3</v>
      </c>
      <c r="E67" s="146">
        <f>HLOOKUP(E$109,Storage_Reconciled_prod_chosen!$D$64:$CU$80,Storage_Reconciled_prod_chosen!$C70,FALSE)</f>
        <v>3.0000000000000001E-3</v>
      </c>
      <c r="F67" s="146">
        <f>HLOOKUP(F$109,Storage_Reconciled_prod_chosen!$D$64:$CU$80,Storage_Reconciled_prod_chosen!$C70,FALSE)</f>
        <v>4.0000000000000001E-3</v>
      </c>
      <c r="G67" s="149">
        <f>HLOOKUP(G$109,Storage_Reconciled_prod_chosen!$D$64:$CU$80,Storage_Reconciled_prod_chosen!$C70,FALSE)</f>
        <v>9.0000000000000011E-3</v>
      </c>
      <c r="H67" s="146">
        <f>HLOOKUP(H$109,Storage_Reconciled_prod_chosen!$D$64:$CU$80,Storage_Reconciled_prod_chosen!$C70,FALSE)</f>
        <v>4.0000000000000001E-3</v>
      </c>
      <c r="I67" s="146">
        <f>HLOOKUP(I$109,Storage_Reconciled_prod_chosen!$D$64:$CU$80,Storage_Reconciled_prod_chosen!$C70,FALSE)</f>
        <v>3.0000000000000001E-3</v>
      </c>
      <c r="J67" s="146">
        <f>HLOOKUP(J$109,Storage_Reconciled_prod_chosen!$D$64:$CU$80,Storage_Reconciled_prod_chosen!$C70,FALSE)</f>
        <v>4.0000000000000001E-3</v>
      </c>
      <c r="K67" s="149">
        <f>HLOOKUP(K$109,Storage_Reconciled_prod_chosen!$D$64:$CU$80,Storage_Reconciled_prod_chosen!$C70,FALSE)</f>
        <v>1.0999999999999999E-2</v>
      </c>
      <c r="L67" s="172">
        <f>HLOOKUP(L$109,Storage_Reconciled_prod_chosen!$D$64:$CU$80,Storage_Reconciled_prod_chosen!$C70,FALSE)</f>
        <v>0.02</v>
      </c>
      <c r="M67" s="146">
        <f>HLOOKUP(M$109,Storage_Reconciled_prod_chosen!$D$64:$CU$80,Storage_Reconciled_prod_chosen!$C70,FALSE)</f>
        <v>4.0000000000000001E-3</v>
      </c>
      <c r="N67" s="146">
        <f>HLOOKUP(N$109,Storage_Reconciled_prod_chosen!$D$64:$CU$80,Storage_Reconciled_prod_chosen!$C70,FALSE)</f>
        <v>2E-3</v>
      </c>
      <c r="O67" s="146">
        <f>HLOOKUP(O$109,Storage_Reconciled_prod_chosen!$D$64:$CU$80,Storage_Reconciled_prod_chosen!$C70,FALSE)</f>
        <v>0</v>
      </c>
      <c r="P67" s="149">
        <f>HLOOKUP(P$109,Storage_Reconciled_prod_chosen!$D$64:$CU$80,Storage_Reconciled_prod_chosen!$C70,FALSE)</f>
        <v>6.0000000000000001E-3</v>
      </c>
      <c r="Q67" s="172">
        <f>HLOOKUP(Q$109,Storage_Reconciled_prod_chosen!$D$64:$CU$80,Storage_Reconciled_prod_chosen!$C70,FALSE)</f>
        <v>2.6000000000000002E-2</v>
      </c>
      <c r="R67" s="146">
        <f>HLOOKUP(R$109,Storage_Reconciled_prod_chosen!$D$64:$CU$80,Storage_Reconciled_prod_chosen!$C70,FALSE)</f>
        <v>0</v>
      </c>
      <c r="S67" s="146">
        <f>HLOOKUP(S$109,Storage_Reconciled_prod_chosen!$D$64:$CU$80,Storage_Reconciled_prod_chosen!$C70,FALSE)</f>
        <v>3.0000000000000001E-3</v>
      </c>
      <c r="T67" s="146">
        <f>HLOOKUP(T$109,Storage_Reconciled_prod_chosen!$D$64:$CU$80,Storage_Reconciled_prod_chosen!$C70,FALSE)</f>
        <v>4.0000000000000001E-3</v>
      </c>
      <c r="U67" s="149">
        <f>HLOOKUP(U$109,Storage_Reconciled_prod_chosen!$D$64:$CU$80,Storage_Reconciled_prod_chosen!$C70,FALSE)</f>
        <v>7.0000000000000001E-3</v>
      </c>
      <c r="V67" s="172">
        <f>HLOOKUP(V$109,Storage_Reconciled_prod_chosen!$D$64:$CU$80,Storage_Reconciled_prod_chosen!$C70,FALSE)</f>
        <v>3.3000000000000002E-2</v>
      </c>
      <c r="Z67" s="443">
        <f t="shared" si="7"/>
        <v>3.0000000000000001E-3</v>
      </c>
      <c r="AA67" s="443">
        <f t="shared" si="8"/>
        <v>1.0999999999999999E-2</v>
      </c>
      <c r="AC67">
        <f t="shared" si="9"/>
        <v>1.6E-2</v>
      </c>
    </row>
    <row r="68" spans="3:29" ht="15.75">
      <c r="C68" s="144" t="s">
        <v>59</v>
      </c>
      <c r="D68" s="146">
        <f>HLOOKUP(D$109,Storage_Reconciled_prod_chosen!$D$64:$CU$80,Storage_Reconciled_prod_chosen!$C71,FALSE)</f>
        <v>0</v>
      </c>
      <c r="E68" s="146">
        <f>HLOOKUP(E$109,Storage_Reconciled_prod_chosen!$D$64:$CU$80,Storage_Reconciled_prod_chosen!$C71,FALSE)</f>
        <v>0</v>
      </c>
      <c r="F68" s="146">
        <f>HLOOKUP(F$109,Storage_Reconciled_prod_chosen!$D$64:$CU$80,Storage_Reconciled_prod_chosen!$C71,FALSE)</f>
        <v>1E-3</v>
      </c>
      <c r="G68" s="149">
        <f>HLOOKUP(G$109,Storage_Reconciled_prod_chosen!$D$64:$CU$80,Storage_Reconciled_prod_chosen!$C71,FALSE)</f>
        <v>1E-3</v>
      </c>
      <c r="H68" s="146">
        <f>HLOOKUP(H$109,Storage_Reconciled_prod_chosen!$D$64:$CU$80,Storage_Reconciled_prod_chosen!$C71,FALSE)</f>
        <v>0</v>
      </c>
      <c r="I68" s="146">
        <f>HLOOKUP(I$109,Storage_Reconciled_prod_chosen!$D$64:$CU$80,Storage_Reconciled_prod_chosen!$C71,FALSE)</f>
        <v>0</v>
      </c>
      <c r="J68" s="146">
        <f>HLOOKUP(J$109,Storage_Reconciled_prod_chosen!$D$64:$CU$80,Storage_Reconciled_prod_chosen!$C71,FALSE)</f>
        <v>0</v>
      </c>
      <c r="K68" s="149">
        <f>HLOOKUP(K$109,Storage_Reconciled_prod_chosen!$D$64:$CU$80,Storage_Reconciled_prod_chosen!$C71,FALSE)</f>
        <v>0</v>
      </c>
      <c r="L68" s="172">
        <f>HLOOKUP(L$109,Storage_Reconciled_prod_chosen!$D$64:$CU$80,Storage_Reconciled_prod_chosen!$C71,FALSE)</f>
        <v>1E-3</v>
      </c>
      <c r="M68" s="146">
        <f>HLOOKUP(M$109,Storage_Reconciled_prod_chosen!$D$64:$CU$80,Storage_Reconciled_prod_chosen!$C71,FALSE)</f>
        <v>1E-3</v>
      </c>
      <c r="N68" s="146">
        <f>HLOOKUP(N$109,Storage_Reconciled_prod_chosen!$D$64:$CU$80,Storage_Reconciled_prod_chosen!$C71,FALSE)</f>
        <v>1E-3</v>
      </c>
      <c r="O68" s="146">
        <f>HLOOKUP(O$109,Storage_Reconciled_prod_chosen!$D$64:$CU$80,Storage_Reconciled_prod_chosen!$C71,FALSE)</f>
        <v>0</v>
      </c>
      <c r="P68" s="149">
        <f>HLOOKUP(P$109,Storage_Reconciled_prod_chosen!$D$64:$CU$80,Storage_Reconciled_prod_chosen!$C71,FALSE)</f>
        <v>2E-3</v>
      </c>
      <c r="Q68" s="172">
        <f>HLOOKUP(Q$109,Storage_Reconciled_prod_chosen!$D$64:$CU$80,Storage_Reconciled_prod_chosen!$C71,FALSE)</f>
        <v>3.0000000000000001E-3</v>
      </c>
      <c r="R68" s="146">
        <f>HLOOKUP(R$109,Storage_Reconciled_prod_chosen!$D$64:$CU$80,Storage_Reconciled_prod_chosen!$C71,FALSE)</f>
        <v>0</v>
      </c>
      <c r="S68" s="146">
        <f>HLOOKUP(S$109,Storage_Reconciled_prod_chosen!$D$64:$CU$80,Storage_Reconciled_prod_chosen!$C71,FALSE)</f>
        <v>0</v>
      </c>
      <c r="T68" s="146">
        <f>HLOOKUP(T$109,Storage_Reconciled_prod_chosen!$D$64:$CU$80,Storage_Reconciled_prod_chosen!$C71,FALSE)</f>
        <v>1E-3</v>
      </c>
      <c r="U68" s="149">
        <f>HLOOKUP(U$109,Storage_Reconciled_prod_chosen!$D$64:$CU$80,Storage_Reconciled_prod_chosen!$C71,FALSE)</f>
        <v>1E-3</v>
      </c>
      <c r="V68" s="172">
        <f>HLOOKUP(V$109,Storage_Reconciled_prod_chosen!$D$64:$CU$80,Storage_Reconciled_prod_chosen!$C71,FALSE)</f>
        <v>3.0000000000000001E-3</v>
      </c>
      <c r="Z68" s="443">
        <f t="shared" si="7"/>
        <v>0</v>
      </c>
      <c r="AA68" s="443">
        <f t="shared" si="8"/>
        <v>0</v>
      </c>
      <c r="AC68">
        <f t="shared" si="9"/>
        <v>1E-3</v>
      </c>
    </row>
    <row r="69" spans="3:29" ht="15.75">
      <c r="C69" s="144" t="s">
        <v>63</v>
      </c>
      <c r="D69" s="146">
        <f>HLOOKUP(D$109,Storage_Reconciled_prod_chosen!$D$64:$CU$80,Storage_Reconciled_prod_chosen!$C72,FALSE)</f>
        <v>0</v>
      </c>
      <c r="E69" s="146">
        <f>HLOOKUP(E$109,Storage_Reconciled_prod_chosen!$D$64:$CU$80,Storage_Reconciled_prod_chosen!$C72,FALSE)</f>
        <v>0</v>
      </c>
      <c r="F69" s="146">
        <f>HLOOKUP(F$109,Storage_Reconciled_prod_chosen!$D$64:$CU$80,Storage_Reconciled_prod_chosen!$C72,FALSE)</f>
        <v>0</v>
      </c>
      <c r="G69" s="149">
        <f>HLOOKUP(G$109,Storage_Reconciled_prod_chosen!$D$64:$CU$80,Storage_Reconciled_prod_chosen!$C72,FALSE)</f>
        <v>0</v>
      </c>
      <c r="H69" s="146">
        <f>HLOOKUP(H$109,Storage_Reconciled_prod_chosen!$D$64:$CU$80,Storage_Reconciled_prod_chosen!$C72,FALSE)</f>
        <v>0</v>
      </c>
      <c r="I69" s="146">
        <f>HLOOKUP(I$109,Storage_Reconciled_prod_chosen!$D$64:$CU$80,Storage_Reconciled_prod_chosen!$C72,FALSE)</f>
        <v>0</v>
      </c>
      <c r="J69" s="146">
        <f>HLOOKUP(J$109,Storage_Reconciled_prod_chosen!$D$64:$CU$80,Storage_Reconciled_prod_chosen!$C72,FALSE)</f>
        <v>0</v>
      </c>
      <c r="K69" s="149">
        <f>HLOOKUP(K$109,Storage_Reconciled_prod_chosen!$D$64:$CU$80,Storage_Reconciled_prod_chosen!$C72,FALSE)</f>
        <v>0</v>
      </c>
      <c r="L69" s="172">
        <f>HLOOKUP(L$109,Storage_Reconciled_prod_chosen!$D$64:$CU$80,Storage_Reconciled_prod_chosen!$C72,FALSE)</f>
        <v>0</v>
      </c>
      <c r="M69" s="146">
        <f>HLOOKUP(M$109,Storage_Reconciled_prod_chosen!$D$64:$CU$80,Storage_Reconciled_prod_chosen!$C72,FALSE)</f>
        <v>0</v>
      </c>
      <c r="N69" s="146">
        <f>HLOOKUP(N$109,Storage_Reconciled_prod_chosen!$D$64:$CU$80,Storage_Reconciled_prod_chosen!$C72,FALSE)</f>
        <v>0</v>
      </c>
      <c r="O69" s="146">
        <f>HLOOKUP(O$109,Storage_Reconciled_prod_chosen!$D$64:$CU$80,Storage_Reconciled_prod_chosen!$C72,FALSE)</f>
        <v>1E-3</v>
      </c>
      <c r="P69" s="149">
        <f>HLOOKUP(P$109,Storage_Reconciled_prod_chosen!$D$64:$CU$80,Storage_Reconciled_prod_chosen!$C72,FALSE)</f>
        <v>1E-3</v>
      </c>
      <c r="Q69" s="172">
        <f>HLOOKUP(Q$109,Storage_Reconciled_prod_chosen!$D$64:$CU$80,Storage_Reconciled_prod_chosen!$C72,FALSE)</f>
        <v>1E-3</v>
      </c>
      <c r="R69" s="146">
        <f>HLOOKUP(R$109,Storage_Reconciled_prod_chosen!$D$64:$CU$80,Storage_Reconciled_prod_chosen!$C72,FALSE)</f>
        <v>1E-3</v>
      </c>
      <c r="S69" s="146">
        <f>HLOOKUP(S$109,Storage_Reconciled_prod_chosen!$D$64:$CU$80,Storage_Reconciled_prod_chosen!$C72,FALSE)</f>
        <v>0</v>
      </c>
      <c r="T69" s="146">
        <f>HLOOKUP(T$109,Storage_Reconciled_prod_chosen!$D$64:$CU$80,Storage_Reconciled_prod_chosen!$C72,FALSE)</f>
        <v>0</v>
      </c>
      <c r="U69" s="149">
        <f>HLOOKUP(U$109,Storage_Reconciled_prod_chosen!$D$64:$CU$80,Storage_Reconciled_prod_chosen!$C72,FALSE)</f>
        <v>1E-3</v>
      </c>
      <c r="V69" s="172">
        <f>HLOOKUP(V$109,Storage_Reconciled_prod_chosen!$D$64:$CU$80,Storage_Reconciled_prod_chosen!$C72,FALSE)</f>
        <v>2E-3</v>
      </c>
      <c r="Z69" s="443">
        <f t="shared" si="7"/>
        <v>0</v>
      </c>
      <c r="AA69" s="443">
        <f t="shared" si="8"/>
        <v>0</v>
      </c>
      <c r="AC69">
        <f t="shared" si="9"/>
        <v>0</v>
      </c>
    </row>
    <row r="70" spans="3:29" ht="15.75">
      <c r="C70" s="144" t="s">
        <v>64</v>
      </c>
      <c r="D70" s="146">
        <f>HLOOKUP(D$109,Storage_Reconciled_prod_chosen!$D$64:$CU$80,Storage_Reconciled_prod_chosen!$C73,FALSE)</f>
        <v>1E-3</v>
      </c>
      <c r="E70" s="146">
        <f>HLOOKUP(E$109,Storage_Reconciled_prod_chosen!$D$64:$CU$80,Storage_Reconciled_prod_chosen!$C73,FALSE)</f>
        <v>1E-3</v>
      </c>
      <c r="F70" s="146">
        <f>HLOOKUP(F$109,Storage_Reconciled_prod_chosen!$D$64:$CU$80,Storage_Reconciled_prod_chosen!$C73,FALSE)</f>
        <v>0</v>
      </c>
      <c r="G70" s="149">
        <f>HLOOKUP(G$109,Storage_Reconciled_prod_chosen!$D$64:$CU$80,Storage_Reconciled_prod_chosen!$C73,FALSE)</f>
        <v>2E-3</v>
      </c>
      <c r="H70" s="146">
        <f>HLOOKUP(H$109,Storage_Reconciled_prod_chosen!$D$64:$CU$80,Storage_Reconciled_prod_chosen!$C73,FALSE)</f>
        <v>1E-3</v>
      </c>
      <c r="I70" s="146">
        <f>HLOOKUP(I$109,Storage_Reconciled_prod_chosen!$D$64:$CU$80,Storage_Reconciled_prod_chosen!$C73,FALSE)</f>
        <v>0</v>
      </c>
      <c r="J70" s="146">
        <f>HLOOKUP(J$109,Storage_Reconciled_prod_chosen!$D$64:$CU$80,Storage_Reconciled_prod_chosen!$C73,FALSE)</f>
        <v>1E-3</v>
      </c>
      <c r="K70" s="149">
        <f>HLOOKUP(K$109,Storage_Reconciled_prod_chosen!$D$64:$CU$80,Storage_Reconciled_prod_chosen!$C73,FALSE)</f>
        <v>2E-3</v>
      </c>
      <c r="L70" s="172">
        <f>HLOOKUP(L$109,Storage_Reconciled_prod_chosen!$D$64:$CU$80,Storage_Reconciled_prod_chosen!$C73,FALSE)</f>
        <v>4.0000000000000001E-3</v>
      </c>
      <c r="M70" s="146">
        <f>HLOOKUP(M$109,Storage_Reconciled_prod_chosen!$D$64:$CU$80,Storage_Reconciled_prod_chosen!$C73,FALSE)</f>
        <v>1E-3</v>
      </c>
      <c r="N70" s="146">
        <f>HLOOKUP(N$109,Storage_Reconciled_prod_chosen!$D$64:$CU$80,Storage_Reconciled_prod_chosen!$C73,FALSE)</f>
        <v>0</v>
      </c>
      <c r="O70" s="146">
        <f>HLOOKUP(O$109,Storage_Reconciled_prod_chosen!$D$64:$CU$80,Storage_Reconciled_prod_chosen!$C73,FALSE)</f>
        <v>1E-3</v>
      </c>
      <c r="P70" s="149">
        <f>HLOOKUP(P$109,Storage_Reconciled_prod_chosen!$D$64:$CU$80,Storage_Reconciled_prod_chosen!$C73,FALSE)</f>
        <v>2E-3</v>
      </c>
      <c r="Q70" s="172">
        <f>HLOOKUP(Q$109,Storage_Reconciled_prod_chosen!$D$64:$CU$80,Storage_Reconciled_prod_chosen!$C73,FALSE)</f>
        <v>6.0000000000000001E-3</v>
      </c>
      <c r="R70" s="146">
        <f>HLOOKUP(R$109,Storage_Reconciled_prod_chosen!$D$64:$CU$80,Storage_Reconciled_prod_chosen!$C73,FALSE)</f>
        <v>0</v>
      </c>
      <c r="S70" s="146">
        <f>HLOOKUP(S$109,Storage_Reconciled_prod_chosen!$D$64:$CU$80,Storage_Reconciled_prod_chosen!$C73,FALSE)</f>
        <v>1E-3</v>
      </c>
      <c r="T70" s="146">
        <f>HLOOKUP(T$109,Storage_Reconciled_prod_chosen!$D$64:$CU$80,Storage_Reconciled_prod_chosen!$C73,FALSE)</f>
        <v>1E-3</v>
      </c>
      <c r="U70" s="149">
        <f>HLOOKUP(U$109,Storage_Reconciled_prod_chosen!$D$64:$CU$80,Storage_Reconciled_prod_chosen!$C73,FALSE)</f>
        <v>2E-3</v>
      </c>
      <c r="V70" s="172">
        <f>HLOOKUP(V$109,Storage_Reconciled_prod_chosen!$D$64:$CU$80,Storage_Reconciled_prod_chosen!$C73,FALSE)</f>
        <v>8.0000000000000002E-3</v>
      </c>
      <c r="Z70" s="443">
        <f t="shared" si="7"/>
        <v>0</v>
      </c>
      <c r="AA70" s="443">
        <f t="shared" si="8"/>
        <v>2E-3</v>
      </c>
      <c r="AC70">
        <f t="shared" si="9"/>
        <v>3.0000000000000001E-3</v>
      </c>
    </row>
    <row r="71" spans="3:29" ht="15.75">
      <c r="C71" s="144" t="s">
        <v>65</v>
      </c>
      <c r="D71" s="146">
        <f>HLOOKUP(D$109,Storage_Reconciled_prod_chosen!$D$64:$CU$80,Storage_Reconciled_prod_chosen!$C74,FALSE)</f>
        <v>2E-3</v>
      </c>
      <c r="E71" s="146">
        <f>HLOOKUP(E$109,Storage_Reconciled_prod_chosen!$D$64:$CU$80,Storage_Reconciled_prod_chosen!$C74,FALSE)</f>
        <v>1E-3</v>
      </c>
      <c r="F71" s="146">
        <f>HLOOKUP(F$109,Storage_Reconciled_prod_chosen!$D$64:$CU$80,Storage_Reconciled_prod_chosen!$C74,FALSE)</f>
        <v>1E-3</v>
      </c>
      <c r="G71" s="149">
        <f>HLOOKUP(G$109,Storage_Reconciled_prod_chosen!$D$64:$CU$80,Storage_Reconciled_prod_chosen!$C74,FALSE)</f>
        <v>4.0000000000000001E-3</v>
      </c>
      <c r="H71" s="146">
        <f>HLOOKUP(H$109,Storage_Reconciled_prod_chosen!$D$64:$CU$80,Storage_Reconciled_prod_chosen!$C74,FALSE)</f>
        <v>1E-3</v>
      </c>
      <c r="I71" s="146">
        <f>HLOOKUP(I$109,Storage_Reconciled_prod_chosen!$D$64:$CU$80,Storage_Reconciled_prod_chosen!$C74,FALSE)</f>
        <v>1E-3</v>
      </c>
      <c r="J71" s="146">
        <f>HLOOKUP(J$109,Storage_Reconciled_prod_chosen!$D$64:$CU$80,Storage_Reconciled_prod_chosen!$C74,FALSE)</f>
        <v>1E-3</v>
      </c>
      <c r="K71" s="149">
        <f>HLOOKUP(K$109,Storage_Reconciled_prod_chosen!$D$64:$CU$80,Storage_Reconciled_prod_chosen!$C74,FALSE)</f>
        <v>3.0000000000000001E-3</v>
      </c>
      <c r="L71" s="172">
        <f>HLOOKUP(L$109,Storage_Reconciled_prod_chosen!$D$64:$CU$80,Storage_Reconciled_prod_chosen!$C74,FALSE)</f>
        <v>7.0000000000000001E-3</v>
      </c>
      <c r="M71" s="146">
        <f>HLOOKUP(M$109,Storage_Reconciled_prod_chosen!$D$64:$CU$80,Storage_Reconciled_prod_chosen!$C74,FALSE)</f>
        <v>1E-3</v>
      </c>
      <c r="N71" s="146">
        <f>HLOOKUP(N$109,Storage_Reconciled_prod_chosen!$D$64:$CU$80,Storage_Reconciled_prod_chosen!$C74,FALSE)</f>
        <v>1E-3</v>
      </c>
      <c r="O71" s="146">
        <f>HLOOKUP(O$109,Storage_Reconciled_prod_chosen!$D$64:$CU$80,Storage_Reconciled_prod_chosen!$C74,FALSE)</f>
        <v>1E-3</v>
      </c>
      <c r="P71" s="149">
        <f>HLOOKUP(P$109,Storage_Reconciled_prod_chosen!$D$64:$CU$80,Storage_Reconciled_prod_chosen!$C74,FALSE)</f>
        <v>3.0000000000000001E-3</v>
      </c>
      <c r="Q71" s="172">
        <f>HLOOKUP(Q$109,Storage_Reconciled_prod_chosen!$D$64:$CU$80,Storage_Reconciled_prod_chosen!$C74,FALSE)</f>
        <v>0.01</v>
      </c>
      <c r="R71" s="146">
        <f>HLOOKUP(R$109,Storage_Reconciled_prod_chosen!$D$64:$CU$80,Storage_Reconciled_prod_chosen!$C74,FALSE)</f>
        <v>1E-3</v>
      </c>
      <c r="S71" s="146">
        <f>HLOOKUP(S$109,Storage_Reconciled_prod_chosen!$D$64:$CU$80,Storage_Reconciled_prod_chosen!$C74,FALSE)</f>
        <v>1E-3</v>
      </c>
      <c r="T71" s="146">
        <f>HLOOKUP(T$109,Storage_Reconciled_prod_chosen!$D$64:$CU$80,Storage_Reconciled_prod_chosen!$C74,FALSE)</f>
        <v>1E-3</v>
      </c>
      <c r="U71" s="149">
        <f>HLOOKUP(U$109,Storage_Reconciled_prod_chosen!$D$64:$CU$80,Storage_Reconciled_prod_chosen!$C74,FALSE)</f>
        <v>3.0000000000000001E-3</v>
      </c>
      <c r="V71" s="172">
        <f>HLOOKUP(V$109,Storage_Reconciled_prod_chosen!$D$64:$CU$80,Storage_Reconciled_prod_chosen!$C74,FALSE)</f>
        <v>1.2999999999999999E-2</v>
      </c>
      <c r="Z71" s="443">
        <f t="shared" si="7"/>
        <v>1E-3</v>
      </c>
      <c r="AA71" s="443">
        <f t="shared" si="8"/>
        <v>3.0000000000000001E-3</v>
      </c>
      <c r="AC71">
        <f t="shared" si="9"/>
        <v>6.0000000000000001E-3</v>
      </c>
    </row>
    <row r="72" spans="3:29" ht="15.75">
      <c r="C72" s="144" t="s">
        <v>66</v>
      </c>
      <c r="D72" s="146">
        <f>HLOOKUP(D$109,Storage_Reconciled_prod_chosen!$D$64:$CU$80,Storage_Reconciled_prod_chosen!$C75,FALSE)</f>
        <v>0</v>
      </c>
      <c r="E72" s="146">
        <f>HLOOKUP(E$109,Storage_Reconciled_prod_chosen!$D$64:$CU$80,Storage_Reconciled_prod_chosen!$C75,FALSE)</f>
        <v>0</v>
      </c>
      <c r="F72" s="146">
        <f>HLOOKUP(F$109,Storage_Reconciled_prod_chosen!$D$64:$CU$80,Storage_Reconciled_prod_chosen!$C75,FALSE)</f>
        <v>0</v>
      </c>
      <c r="G72" s="149">
        <f>HLOOKUP(G$109,Storage_Reconciled_prod_chosen!$D$64:$CU$80,Storage_Reconciled_prod_chosen!$C75,FALSE)</f>
        <v>0</v>
      </c>
      <c r="H72" s="146">
        <f>HLOOKUP(H$109,Storage_Reconciled_prod_chosen!$D$64:$CU$80,Storage_Reconciled_prod_chosen!$C75,FALSE)</f>
        <v>0</v>
      </c>
      <c r="I72" s="146">
        <f>HLOOKUP(I$109,Storage_Reconciled_prod_chosen!$D$64:$CU$80,Storage_Reconciled_prod_chosen!$C75,FALSE)</f>
        <v>0</v>
      </c>
      <c r="J72" s="146">
        <f>HLOOKUP(J$109,Storage_Reconciled_prod_chosen!$D$64:$CU$80,Storage_Reconciled_prod_chosen!$C75,FALSE)</f>
        <v>0</v>
      </c>
      <c r="K72" s="149">
        <f>HLOOKUP(K$109,Storage_Reconciled_prod_chosen!$D$64:$CU$80,Storage_Reconciled_prod_chosen!$C75,FALSE)</f>
        <v>0</v>
      </c>
      <c r="L72" s="172">
        <f>HLOOKUP(L$109,Storage_Reconciled_prod_chosen!$D$64:$CU$80,Storage_Reconciled_prod_chosen!$C75,FALSE)</f>
        <v>0</v>
      </c>
      <c r="M72" s="146">
        <f>HLOOKUP(M$109,Storage_Reconciled_prod_chosen!$D$64:$CU$80,Storage_Reconciled_prod_chosen!$C75,FALSE)</f>
        <v>0</v>
      </c>
      <c r="N72" s="146">
        <f>HLOOKUP(N$109,Storage_Reconciled_prod_chosen!$D$64:$CU$80,Storage_Reconciled_prod_chosen!$C75,FALSE)</f>
        <v>0</v>
      </c>
      <c r="O72" s="146">
        <f>HLOOKUP(O$109,Storage_Reconciled_prod_chosen!$D$64:$CU$80,Storage_Reconciled_prod_chosen!$C75,FALSE)</f>
        <v>0</v>
      </c>
      <c r="P72" s="149">
        <f>HLOOKUP(P$109,Storage_Reconciled_prod_chosen!$D$64:$CU$80,Storage_Reconciled_prod_chosen!$C75,FALSE)</f>
        <v>0</v>
      </c>
      <c r="Q72" s="172">
        <f>HLOOKUP(Q$109,Storage_Reconciled_prod_chosen!$D$64:$CU$80,Storage_Reconciled_prod_chosen!$C75,FALSE)</f>
        <v>0</v>
      </c>
      <c r="R72" s="146">
        <f>HLOOKUP(R$109,Storage_Reconciled_prod_chosen!$D$64:$CU$80,Storage_Reconciled_prod_chosen!$C75,FALSE)</f>
        <v>0</v>
      </c>
      <c r="S72" s="146">
        <f>HLOOKUP(S$109,Storage_Reconciled_prod_chosen!$D$64:$CU$80,Storage_Reconciled_prod_chosen!$C75,FALSE)</f>
        <v>0</v>
      </c>
      <c r="T72" s="146">
        <f>HLOOKUP(T$109,Storage_Reconciled_prod_chosen!$D$64:$CU$80,Storage_Reconciled_prod_chosen!$C75,FALSE)</f>
        <v>0</v>
      </c>
      <c r="U72" s="149">
        <f>HLOOKUP(U$109,Storage_Reconciled_prod_chosen!$D$64:$CU$80,Storage_Reconciled_prod_chosen!$C75,FALSE)</f>
        <v>0</v>
      </c>
      <c r="V72" s="172">
        <f>HLOOKUP(V$109,Storage_Reconciled_prod_chosen!$D$64:$CU$80,Storage_Reconciled_prod_chosen!$C75,FALSE)</f>
        <v>0</v>
      </c>
      <c r="Z72" s="443">
        <f t="shared" si="7"/>
        <v>0</v>
      </c>
      <c r="AA72" s="443">
        <f t="shared" si="8"/>
        <v>0</v>
      </c>
      <c r="AC72">
        <f t="shared" si="9"/>
        <v>0</v>
      </c>
    </row>
    <row r="73" spans="3:29" ht="15.75">
      <c r="C73" s="144" t="s">
        <v>67</v>
      </c>
      <c r="D73" s="146">
        <f>HLOOKUP(D$109,Storage_Reconciled_prod_chosen!$D$64:$CU$80,Storage_Reconciled_prod_chosen!$C76,FALSE)</f>
        <v>0</v>
      </c>
      <c r="E73" s="146">
        <f>HLOOKUP(E$109,Storage_Reconciled_prod_chosen!$D$64:$CU$80,Storage_Reconciled_prod_chosen!$C76,FALSE)</f>
        <v>0</v>
      </c>
      <c r="F73" s="146">
        <f>HLOOKUP(F$109,Storage_Reconciled_prod_chosen!$D$64:$CU$80,Storage_Reconciled_prod_chosen!$C76,FALSE)</f>
        <v>0</v>
      </c>
      <c r="G73" s="149">
        <f>HLOOKUP(G$109,Storage_Reconciled_prod_chosen!$D$64:$CU$80,Storage_Reconciled_prod_chosen!$C76,FALSE)</f>
        <v>0</v>
      </c>
      <c r="H73" s="146">
        <f>HLOOKUP(H$109,Storage_Reconciled_prod_chosen!$D$64:$CU$80,Storage_Reconciled_prod_chosen!$C76,FALSE)</f>
        <v>0</v>
      </c>
      <c r="I73" s="146">
        <f>HLOOKUP(I$109,Storage_Reconciled_prod_chosen!$D$64:$CU$80,Storage_Reconciled_prod_chosen!$C76,FALSE)</f>
        <v>0</v>
      </c>
      <c r="J73" s="146">
        <f>HLOOKUP(J$109,Storage_Reconciled_prod_chosen!$D$64:$CU$80,Storage_Reconciled_prod_chosen!$C76,FALSE)</f>
        <v>0</v>
      </c>
      <c r="K73" s="149">
        <f>HLOOKUP(K$109,Storage_Reconciled_prod_chosen!$D$64:$CU$80,Storage_Reconciled_prod_chosen!$C76,FALSE)</f>
        <v>0</v>
      </c>
      <c r="L73" s="172">
        <f>HLOOKUP(L$109,Storage_Reconciled_prod_chosen!$D$64:$CU$80,Storage_Reconciled_prod_chosen!$C76,FALSE)</f>
        <v>0</v>
      </c>
      <c r="M73" s="146">
        <f>HLOOKUP(M$109,Storage_Reconciled_prod_chosen!$D$64:$CU$80,Storage_Reconciled_prod_chosen!$C76,FALSE)</f>
        <v>0</v>
      </c>
      <c r="N73" s="146">
        <f>HLOOKUP(N$109,Storage_Reconciled_prod_chosen!$D$64:$CU$80,Storage_Reconciled_prod_chosen!$C76,FALSE)</f>
        <v>0</v>
      </c>
      <c r="O73" s="146">
        <f>HLOOKUP(O$109,Storage_Reconciled_prod_chosen!$D$64:$CU$80,Storage_Reconciled_prod_chosen!$C76,FALSE)</f>
        <v>0</v>
      </c>
      <c r="P73" s="149">
        <f>HLOOKUP(P$109,Storage_Reconciled_prod_chosen!$D$64:$CU$80,Storage_Reconciled_prod_chosen!$C76,FALSE)</f>
        <v>0</v>
      </c>
      <c r="Q73" s="172">
        <f>HLOOKUP(Q$109,Storage_Reconciled_prod_chosen!$D$64:$CU$80,Storage_Reconciled_prod_chosen!$C76,FALSE)</f>
        <v>0</v>
      </c>
      <c r="R73" s="146">
        <f>HLOOKUP(R$109,Storage_Reconciled_prod_chosen!$D$64:$CU$80,Storage_Reconciled_prod_chosen!$C76,FALSE)</f>
        <v>0</v>
      </c>
      <c r="S73" s="146">
        <f>HLOOKUP(S$109,Storage_Reconciled_prod_chosen!$D$64:$CU$80,Storage_Reconciled_prod_chosen!$C76,FALSE)</f>
        <v>0</v>
      </c>
      <c r="T73" s="146">
        <f>HLOOKUP(T$109,Storage_Reconciled_prod_chosen!$D$64:$CU$80,Storage_Reconciled_prod_chosen!$C76,FALSE)</f>
        <v>0</v>
      </c>
      <c r="U73" s="149">
        <f>HLOOKUP(U$109,Storage_Reconciled_prod_chosen!$D$64:$CU$80,Storage_Reconciled_prod_chosen!$C76,FALSE)</f>
        <v>0</v>
      </c>
      <c r="V73" s="172">
        <f>HLOOKUP(V$109,Storage_Reconciled_prod_chosen!$D$64:$CU$80,Storage_Reconciled_prod_chosen!$C76,FALSE)</f>
        <v>0</v>
      </c>
      <c r="Z73" s="443">
        <f t="shared" si="7"/>
        <v>0</v>
      </c>
      <c r="AA73" s="443">
        <f t="shared" si="8"/>
        <v>0</v>
      </c>
      <c r="AC73">
        <f t="shared" si="9"/>
        <v>0</v>
      </c>
    </row>
    <row r="74" spans="3:29" ht="15.75">
      <c r="C74" s="144" t="s">
        <v>68</v>
      </c>
      <c r="D74" s="146">
        <f>HLOOKUP(D$109,Storage_Reconciled_prod_chosen!$D$64:$CU$80,Storage_Reconciled_prod_chosen!$C77,FALSE)</f>
        <v>0</v>
      </c>
      <c r="E74" s="146">
        <f>HLOOKUP(E$109,Storage_Reconciled_prod_chosen!$D$64:$CU$80,Storage_Reconciled_prod_chosen!$C77,FALSE)</f>
        <v>0</v>
      </c>
      <c r="F74" s="146">
        <f>HLOOKUP(F$109,Storage_Reconciled_prod_chosen!$D$64:$CU$80,Storage_Reconciled_prod_chosen!$C77,FALSE)</f>
        <v>0</v>
      </c>
      <c r="G74" s="149">
        <f>HLOOKUP(G$109,Storage_Reconciled_prod_chosen!$D$64:$CU$80,Storage_Reconciled_prod_chosen!$C77,FALSE)</f>
        <v>0</v>
      </c>
      <c r="H74" s="146">
        <f>HLOOKUP(H$109,Storage_Reconciled_prod_chosen!$D$64:$CU$80,Storage_Reconciled_prod_chosen!$C77,FALSE)</f>
        <v>0</v>
      </c>
      <c r="I74" s="146">
        <f>HLOOKUP(I$109,Storage_Reconciled_prod_chosen!$D$64:$CU$80,Storage_Reconciled_prod_chosen!$C77,FALSE)</f>
        <v>0</v>
      </c>
      <c r="J74" s="146">
        <f>HLOOKUP(J$109,Storage_Reconciled_prod_chosen!$D$64:$CU$80,Storage_Reconciled_prod_chosen!$C77,FALSE)</f>
        <v>0</v>
      </c>
      <c r="K74" s="149">
        <f>HLOOKUP(K$109,Storage_Reconciled_prod_chosen!$D$64:$CU$80,Storage_Reconciled_prod_chosen!$C77,FALSE)</f>
        <v>0</v>
      </c>
      <c r="L74" s="172">
        <f>HLOOKUP(L$109,Storage_Reconciled_prod_chosen!$D$64:$CU$80,Storage_Reconciled_prod_chosen!$C77,FALSE)</f>
        <v>0</v>
      </c>
      <c r="M74" s="146">
        <f>HLOOKUP(M$109,Storage_Reconciled_prod_chosen!$D$64:$CU$80,Storage_Reconciled_prod_chosen!$C77,FALSE)</f>
        <v>0</v>
      </c>
      <c r="N74" s="146">
        <f>HLOOKUP(N$109,Storage_Reconciled_prod_chosen!$D$64:$CU$80,Storage_Reconciled_prod_chosen!$C77,FALSE)</f>
        <v>0</v>
      </c>
      <c r="O74" s="146">
        <f>HLOOKUP(O$109,Storage_Reconciled_prod_chosen!$D$64:$CU$80,Storage_Reconciled_prod_chosen!$C77,FALSE)</f>
        <v>0</v>
      </c>
      <c r="P74" s="149">
        <f>HLOOKUP(P$109,Storage_Reconciled_prod_chosen!$D$64:$CU$80,Storage_Reconciled_prod_chosen!$C77,FALSE)</f>
        <v>0</v>
      </c>
      <c r="Q74" s="172">
        <f>HLOOKUP(Q$109,Storage_Reconciled_prod_chosen!$D$64:$CU$80,Storage_Reconciled_prod_chosen!$C77,FALSE)</f>
        <v>0</v>
      </c>
      <c r="R74" s="146">
        <f>HLOOKUP(R$109,Storage_Reconciled_prod_chosen!$D$64:$CU$80,Storage_Reconciled_prod_chosen!$C77,FALSE)</f>
        <v>0</v>
      </c>
      <c r="S74" s="146">
        <f>HLOOKUP(S$109,Storage_Reconciled_prod_chosen!$D$64:$CU$80,Storage_Reconciled_prod_chosen!$C77,FALSE)</f>
        <v>0</v>
      </c>
      <c r="T74" s="146">
        <f>HLOOKUP(T$109,Storage_Reconciled_prod_chosen!$D$64:$CU$80,Storage_Reconciled_prod_chosen!$C77,FALSE)</f>
        <v>0</v>
      </c>
      <c r="U74" s="149">
        <f>HLOOKUP(U$109,Storage_Reconciled_prod_chosen!$D$64:$CU$80,Storage_Reconciled_prod_chosen!$C77,FALSE)</f>
        <v>0</v>
      </c>
      <c r="V74" s="172">
        <f>HLOOKUP(V$109,Storage_Reconciled_prod_chosen!$D$64:$CU$80,Storage_Reconciled_prod_chosen!$C77,FALSE)</f>
        <v>0</v>
      </c>
      <c r="Z74" s="443">
        <f t="shared" si="7"/>
        <v>0</v>
      </c>
      <c r="AA74" s="443">
        <f t="shared" si="8"/>
        <v>0</v>
      </c>
      <c r="AC74">
        <f t="shared" si="9"/>
        <v>0</v>
      </c>
    </row>
    <row r="75" spans="3:29" ht="15.75">
      <c r="C75" s="144" t="s">
        <v>69</v>
      </c>
      <c r="D75" s="146">
        <f>HLOOKUP(D$109,Storage_Reconciled_prod_chosen!$D$64:$CU$80,Storage_Reconciled_prod_chosen!$C78,FALSE)</f>
        <v>6.0000000000000001E-3</v>
      </c>
      <c r="E75" s="146">
        <f>HLOOKUP(E$109,Storage_Reconciled_prod_chosen!$D$64:$CU$80,Storage_Reconciled_prod_chosen!$C78,FALSE)</f>
        <v>6.0000000000000001E-3</v>
      </c>
      <c r="F75" s="146">
        <f>HLOOKUP(F$109,Storage_Reconciled_prod_chosen!$D$64:$CU$80,Storage_Reconciled_prod_chosen!$C78,FALSE)</f>
        <v>5.0000000000000001E-3</v>
      </c>
      <c r="G75" s="149">
        <f>HLOOKUP(G$109,Storage_Reconciled_prod_chosen!$D$64:$CU$80,Storage_Reconciled_prod_chosen!$C78,FALSE)</f>
        <v>1.7000000000000001E-2</v>
      </c>
      <c r="H75" s="146">
        <f>HLOOKUP(H$109,Storage_Reconciled_prod_chosen!$D$64:$CU$80,Storage_Reconciled_prod_chosen!$C78,FALSE)</f>
        <v>0</v>
      </c>
      <c r="I75" s="146">
        <f>HLOOKUP(I$109,Storage_Reconciled_prod_chosen!$D$64:$CU$80,Storage_Reconciled_prod_chosen!$C78,FALSE)</f>
        <v>0</v>
      </c>
      <c r="J75" s="146">
        <f>HLOOKUP(J$109,Storage_Reconciled_prod_chosen!$D$64:$CU$80,Storage_Reconciled_prod_chosen!$C78,FALSE)</f>
        <v>0</v>
      </c>
      <c r="K75" s="149">
        <f>HLOOKUP(K$109,Storage_Reconciled_prod_chosen!$D$64:$CU$80,Storage_Reconciled_prod_chosen!$C78,FALSE)</f>
        <v>0</v>
      </c>
      <c r="L75" s="172">
        <f>HLOOKUP(L$109,Storage_Reconciled_prod_chosen!$D$64:$CU$80,Storage_Reconciled_prod_chosen!$C78,FALSE)</f>
        <v>1.7000000000000001E-2</v>
      </c>
      <c r="M75" s="146">
        <f>HLOOKUP(M$109,Storage_Reconciled_prod_chosen!$D$64:$CU$80,Storage_Reconciled_prod_chosen!$C78,FALSE)</f>
        <v>0</v>
      </c>
      <c r="N75" s="146">
        <f>HLOOKUP(N$109,Storage_Reconciled_prod_chosen!$D$64:$CU$80,Storage_Reconciled_prod_chosen!$C78,FALSE)</f>
        <v>0</v>
      </c>
      <c r="O75" s="146">
        <f>HLOOKUP(O$109,Storage_Reconciled_prod_chosen!$D$64:$CU$80,Storage_Reconciled_prod_chosen!$C78,FALSE)</f>
        <v>0</v>
      </c>
      <c r="P75" s="149">
        <f>HLOOKUP(P$109,Storage_Reconciled_prod_chosen!$D$64:$CU$80,Storage_Reconciled_prod_chosen!$C78,FALSE)</f>
        <v>0</v>
      </c>
      <c r="Q75" s="172">
        <f>HLOOKUP(Q$109,Storage_Reconciled_prod_chosen!$D$64:$CU$80,Storage_Reconciled_prod_chosen!$C78,FALSE)</f>
        <v>1.7000000000000001E-2</v>
      </c>
      <c r="R75" s="146">
        <f>HLOOKUP(R$109,Storage_Reconciled_prod_chosen!$D$64:$CU$80,Storage_Reconciled_prod_chosen!$C78,FALSE)</f>
        <v>0</v>
      </c>
      <c r="S75" s="146">
        <f>HLOOKUP(S$109,Storage_Reconciled_prod_chosen!$D$64:$CU$80,Storage_Reconciled_prod_chosen!$C78,FALSE)</f>
        <v>0</v>
      </c>
      <c r="T75" s="146">
        <f>HLOOKUP(T$109,Storage_Reconciled_prod_chosen!$D$64:$CU$80,Storage_Reconciled_prod_chosen!$C78,FALSE)</f>
        <v>0</v>
      </c>
      <c r="U75" s="149">
        <f>HLOOKUP(U$109,Storage_Reconciled_prod_chosen!$D$64:$CU$80,Storage_Reconciled_prod_chosen!$C78,FALSE)</f>
        <v>0</v>
      </c>
      <c r="V75" s="172">
        <f>HLOOKUP(V$109,Storage_Reconciled_prod_chosen!$D$64:$CU$80,Storage_Reconciled_prod_chosen!$C78,FALSE)</f>
        <v>1.7000000000000001E-2</v>
      </c>
      <c r="Z75" s="443">
        <f t="shared" si="7"/>
        <v>0</v>
      </c>
      <c r="AA75" s="443">
        <f t="shared" si="8"/>
        <v>0</v>
      </c>
      <c r="AC75">
        <f t="shared" si="9"/>
        <v>1.7000000000000001E-2</v>
      </c>
    </row>
    <row r="76" spans="3:29" ht="15.75">
      <c r="C76" s="144" t="s">
        <v>70</v>
      </c>
      <c r="D76" s="146">
        <f>HLOOKUP(D$109,Storage_Reconciled_prod_chosen!$D$64:$CU$80,Storage_Reconciled_prod_chosen!$C79,FALSE)</f>
        <v>6.9000000000000006E-2</v>
      </c>
      <c r="E76" s="146">
        <f>HLOOKUP(E$109,Storage_Reconciled_prod_chosen!$D$64:$CU$80,Storage_Reconciled_prod_chosen!$C79,FALSE)</f>
        <v>7.2999999999999995E-2</v>
      </c>
      <c r="F76" s="146">
        <f>HLOOKUP(F$109,Storage_Reconciled_prod_chosen!$D$64:$CU$80,Storage_Reconciled_prod_chosen!$C79,FALSE)</f>
        <v>7.2999999999999995E-2</v>
      </c>
      <c r="G76" s="149">
        <f>HLOOKUP(G$109,Storage_Reconciled_prod_chosen!$D$64:$CU$80,Storage_Reconciled_prod_chosen!$C79,FALSE)</f>
        <v>0.21500000000000002</v>
      </c>
      <c r="H76" s="146">
        <f>HLOOKUP(H$109,Storage_Reconciled_prod_chosen!$D$64:$CU$80,Storage_Reconciled_prod_chosen!$C79,FALSE)</f>
        <v>7.6999999999999999E-2</v>
      </c>
      <c r="I76" s="146">
        <f>HLOOKUP(I$109,Storage_Reconciled_prod_chosen!$D$64:$CU$80,Storage_Reconciled_prod_chosen!$C79,FALSE)</f>
        <v>7.4999999999999997E-2</v>
      </c>
      <c r="J76" s="146">
        <f>HLOOKUP(J$109,Storage_Reconciled_prod_chosen!$D$64:$CU$80,Storage_Reconciled_prod_chosen!$C79,FALSE)</f>
        <v>6.2E-2</v>
      </c>
      <c r="K76" s="149">
        <f>HLOOKUP(K$109,Storage_Reconciled_prod_chosen!$D$64:$CU$80,Storage_Reconciled_prod_chosen!$C79,FALSE)</f>
        <v>0.214</v>
      </c>
      <c r="L76" s="172">
        <f>HLOOKUP(L$109,Storage_Reconciled_prod_chosen!$D$64:$CU$80,Storage_Reconciled_prod_chosen!$C79,FALSE)</f>
        <v>0.42900000000000005</v>
      </c>
      <c r="M76" s="146">
        <f>HLOOKUP(M$109,Storage_Reconciled_prod_chosen!$D$64:$CU$80,Storage_Reconciled_prod_chosen!$C79,FALSE)</f>
        <v>6.4000000000000001E-2</v>
      </c>
      <c r="N76" s="146">
        <f>HLOOKUP(N$109,Storage_Reconciled_prod_chosen!$D$64:$CU$80,Storage_Reconciled_prod_chosen!$C79,FALSE)</f>
        <v>7.2999999999999995E-2</v>
      </c>
      <c r="O76" s="146">
        <f>HLOOKUP(O$109,Storage_Reconciled_prod_chosen!$D$64:$CU$80,Storage_Reconciled_prod_chosen!$C79,FALSE)</f>
        <v>7.3999999999999996E-2</v>
      </c>
      <c r="P76" s="149">
        <f>HLOOKUP(P$109,Storage_Reconciled_prod_chosen!$D$64:$CU$80,Storage_Reconciled_prod_chosen!$C79,FALSE)</f>
        <v>0.21100000000000002</v>
      </c>
      <c r="Q76" s="172">
        <f>HLOOKUP(Q$109,Storage_Reconciled_prod_chosen!$D$64:$CU$80,Storage_Reconciled_prod_chosen!$C79,FALSE)</f>
        <v>0.64000000000000012</v>
      </c>
      <c r="R76" s="146">
        <f>HLOOKUP(R$109,Storage_Reconciled_prod_chosen!$D$64:$CU$80,Storage_Reconciled_prod_chosen!$C79,FALSE)</f>
        <v>8.2000000000000003E-2</v>
      </c>
      <c r="S76" s="146">
        <f>HLOOKUP(S$109,Storage_Reconciled_prod_chosen!$D$64:$CU$80,Storage_Reconciled_prod_chosen!$C79,FALSE)</f>
        <v>6.9000000000000006E-2</v>
      </c>
      <c r="T76" s="146">
        <f>HLOOKUP(T$109,Storage_Reconciled_prod_chosen!$D$64:$CU$80,Storage_Reconciled_prod_chosen!$C79,FALSE)</f>
        <v>7.8E-2</v>
      </c>
      <c r="U76" s="149">
        <f>HLOOKUP(U$109,Storage_Reconciled_prod_chosen!$D$64:$CU$80,Storage_Reconciled_prod_chosen!$C79,FALSE)</f>
        <v>0.22900000000000004</v>
      </c>
      <c r="V76" s="172">
        <f>HLOOKUP(V$109,Storage_Reconciled_prod_chosen!$D$64:$CU$80,Storage_Reconciled_prod_chosen!$C79,FALSE)</f>
        <v>0.86799999999999999</v>
      </c>
      <c r="Z76" s="443">
        <f t="shared" si="7"/>
        <v>7.4999999999999997E-2</v>
      </c>
      <c r="AA76" s="443">
        <f t="shared" si="8"/>
        <v>0.214</v>
      </c>
      <c r="AC76">
        <f t="shared" si="9"/>
        <v>0.36700000000000005</v>
      </c>
    </row>
    <row r="77" spans="3:29" ht="15.75">
      <c r="C77" s="145" t="s">
        <v>92</v>
      </c>
      <c r="D77" s="152">
        <f>HLOOKUP(D$109,Storage_Reconciled_prod_chosen!$D$64:$CU$80,Storage_Reconciled_prod_chosen!$C80,FALSE)</f>
        <v>0.23200000000000004</v>
      </c>
      <c r="E77" s="152">
        <f>HLOOKUP(E$109,Storage_Reconciled_prod_chosen!$D$64:$CU$80,Storage_Reconciled_prod_chosen!$C80,FALSE)</f>
        <v>0.23699999999999999</v>
      </c>
      <c r="F77" s="152">
        <f>HLOOKUP(F$109,Storage_Reconciled_prod_chosen!$D$64:$CU$80,Storage_Reconciled_prod_chosen!$C80,FALSE)</f>
        <v>0.22800000000000004</v>
      </c>
      <c r="G77" s="153">
        <f>HLOOKUP(G$109,Storage_Reconciled_prod_chosen!$D$64:$CU$80,Storage_Reconciled_prod_chosen!$C80,FALSE)</f>
        <v>0.69700000000000006</v>
      </c>
      <c r="H77" s="152">
        <f>HLOOKUP(H$109,Storage_Reconciled_prod_chosen!$D$64:$CU$80,Storage_Reconciled_prod_chosen!$C80,FALSE)</f>
        <v>0.21600000000000003</v>
      </c>
      <c r="I77" s="152">
        <f>HLOOKUP(I$109,Storage_Reconciled_prod_chosen!$D$64:$CU$80,Storage_Reconciled_prod_chosen!$C80,FALSE)</f>
        <v>0.17799999999999999</v>
      </c>
      <c r="J77" s="152">
        <f>HLOOKUP(J$109,Storage_Reconciled_prod_chosen!$D$64:$CU$80,Storage_Reconciled_prod_chosen!$C80,FALSE)</f>
        <v>0.21300000000000002</v>
      </c>
      <c r="K77" s="153">
        <f>HLOOKUP(K$109,Storage_Reconciled_prod_chosen!$D$64:$CU$80,Storage_Reconciled_prod_chosen!$C80,FALSE)</f>
        <v>0.60699999999999998</v>
      </c>
      <c r="L77" s="173">
        <f>HLOOKUP(L$109,Storage_Reconciled_prod_chosen!$D$64:$CU$80,Storage_Reconciled_prod_chosen!$C80,FALSE)</f>
        <v>1.304</v>
      </c>
      <c r="M77" s="152">
        <f>HLOOKUP(M$109,Storage_Reconciled_prod_chosen!$D$64:$CU$80,Storage_Reconciled_prod_chosen!$C80,FALSE)</f>
        <v>0.221</v>
      </c>
      <c r="N77" s="152">
        <f>HLOOKUP(N$109,Storage_Reconciled_prod_chosen!$D$64:$CU$80,Storage_Reconciled_prod_chosen!$C80,FALSE)</f>
        <v>0.23899999999999999</v>
      </c>
      <c r="O77" s="152">
        <f>HLOOKUP(O$109,Storage_Reconciled_prod_chosen!$D$64:$CU$80,Storage_Reconciled_prod_chosen!$C80,FALSE)</f>
        <v>0.23</v>
      </c>
      <c r="P77" s="153">
        <f>HLOOKUP(P$109,Storage_Reconciled_prod_chosen!$D$64:$CU$80,Storage_Reconciled_prod_chosen!$C80,FALSE)</f>
        <v>0.69</v>
      </c>
      <c r="Q77" s="173">
        <f>HLOOKUP(Q$109,Storage_Reconciled_prod_chosen!$D$64:$CU$80,Storage_Reconciled_prod_chosen!$C80,FALSE)</f>
        <v>1.994</v>
      </c>
      <c r="R77" s="152">
        <f>HLOOKUP(R$109,Storage_Reconciled_prod_chosen!$D$64:$CU$80,Storage_Reconciled_prod_chosen!$C80,FALSE)</f>
        <v>0.23200000000000001</v>
      </c>
      <c r="S77" s="152">
        <f>HLOOKUP(S$109,Storage_Reconciled_prod_chosen!$D$64:$CU$80,Storage_Reconciled_prod_chosen!$C80,FALSE)</f>
        <v>0.23499999999999999</v>
      </c>
      <c r="T77" s="152">
        <f>HLOOKUP(T$109,Storage_Reconciled_prod_chosen!$D$64:$CU$80,Storage_Reconciled_prod_chosen!$C80,FALSE)</f>
        <v>0.26700000000000002</v>
      </c>
      <c r="U77" s="153">
        <f>HLOOKUP(U$109,Storage_Reconciled_prod_chosen!$D$64:$CU$80,Storage_Reconciled_prod_chosen!$C80,FALSE)</f>
        <v>0.73399999999999999</v>
      </c>
      <c r="V77" s="173">
        <f>HLOOKUP(V$109,Storage_Reconciled_prod_chosen!$D$64:$CU$80,Storage_Reconciled_prod_chosen!$C80,FALSE)</f>
        <v>2.7629999999999999</v>
      </c>
      <c r="Z77" s="443">
        <f t="shared" si="7"/>
        <v>0.17799999999999999</v>
      </c>
      <c r="AA77" s="443">
        <f t="shared" si="8"/>
        <v>0.60699999999999998</v>
      </c>
      <c r="AC77">
        <f t="shared" si="9"/>
        <v>1.091</v>
      </c>
    </row>
    <row r="82" spans="3:29">
      <c r="C82" s="1175" t="s">
        <v>3</v>
      </c>
      <c r="D82" s="1176"/>
      <c r="E82" s="1176"/>
      <c r="F82" s="1176"/>
      <c r="G82" s="1176"/>
      <c r="H82" s="1176"/>
      <c r="I82" s="1176"/>
      <c r="J82" s="1176"/>
      <c r="K82" s="1176"/>
      <c r="L82" s="1176"/>
      <c r="M82" s="1176"/>
      <c r="N82" s="1176"/>
      <c r="O82" s="1176"/>
      <c r="P82" s="1176"/>
      <c r="Q82" s="1176"/>
      <c r="R82" s="1176"/>
      <c r="S82" s="1176"/>
      <c r="T82" s="1176"/>
      <c r="U82" s="1176"/>
      <c r="V82" s="1177"/>
    </row>
    <row r="83" spans="3:29">
      <c r="C83" s="144"/>
      <c r="D83" s="144" t="str">
        <f>HLOOKUP(D$109,Storage_Reconciled_prod_chosen!$D$83:$CU$99,Storage_Reconciled_prod_chosen!$C84,FALSE)</f>
        <v>Apr'25</v>
      </c>
      <c r="E83" s="144" t="str">
        <f>HLOOKUP(E$109,Storage_Reconciled_prod_chosen!$D$83:$CU$99,Storage_Reconciled_prod_chosen!$C84,FALSE)</f>
        <v>May'25</v>
      </c>
      <c r="F83" s="144" t="str">
        <f>HLOOKUP(F$109,Storage_Reconciled_prod_chosen!$D$83:$CU$99,Storage_Reconciled_prod_chosen!$C84,FALSE)</f>
        <v>Jun'25</v>
      </c>
      <c r="G83" s="154" t="str">
        <f>HLOOKUP(G$109,Storage_Reconciled_prod_chosen!$D$83:$CU$99,Storage_Reconciled_prod_chosen!$C84,FALSE)</f>
        <v>Q1 25-26</v>
      </c>
      <c r="H83" s="144" t="str">
        <f>HLOOKUP(H$109,Storage_Reconciled_prod_chosen!$D$83:$CU$99,Storage_Reconciled_prod_chosen!$C84,FALSE)</f>
        <v>Jul'25</v>
      </c>
      <c r="I83" s="144" t="str">
        <f>HLOOKUP(I$109,Storage_Reconciled_prod_chosen!$D$83:$CU$99,Storage_Reconciled_prod_chosen!$C84,FALSE)</f>
        <v>Aug'25</v>
      </c>
      <c r="J83" s="144" t="str">
        <f>HLOOKUP(J$109,Storage_Reconciled_prod_chosen!$D$83:$CU$99,Storage_Reconciled_prod_chosen!$C84,FALSE)</f>
        <v>Sep'25</v>
      </c>
      <c r="K83" s="154" t="str">
        <f>HLOOKUP(K$109,Storage_Reconciled_prod_chosen!$D$83:$CU$99,Storage_Reconciled_prod_chosen!$C84,FALSE)</f>
        <v>Q2 25-26</v>
      </c>
      <c r="L83" s="156" t="str">
        <f>HLOOKUP(L$109,Storage_Reconciled_prod_chosen!$D$83:$CU$99,Storage_Reconciled_prod_chosen!$C84,FALSE)</f>
        <v>H1 25-26</v>
      </c>
      <c r="M83" s="144" t="str">
        <f>HLOOKUP(M$109,Storage_Reconciled_prod_chosen!$D$83:$CU$99,Storage_Reconciled_prod_chosen!$C84,FALSE)</f>
        <v>Oct'25</v>
      </c>
      <c r="N83" s="144" t="str">
        <f>HLOOKUP(N$109,Storage_Reconciled_prod_chosen!$D$83:$CU$99,Storage_Reconciled_prod_chosen!$C84,FALSE)</f>
        <v>Nov'25</v>
      </c>
      <c r="O83" s="144" t="str">
        <f>HLOOKUP(O$109,Storage_Reconciled_prod_chosen!$D$83:$CU$99,Storage_Reconciled_prod_chosen!$C84,FALSE)</f>
        <v>Dec'25</v>
      </c>
      <c r="P83" s="154" t="str">
        <f>HLOOKUP(P$109,Storage_Reconciled_prod_chosen!$D$83:$CU$99,Storage_Reconciled_prod_chosen!$C84,FALSE)</f>
        <v>Q3 25-26</v>
      </c>
      <c r="Q83" s="156" t="str">
        <f>HLOOKUP(Q$109,Storage_Reconciled_prod_chosen!$D$83:$CU$99,Storage_Reconciled_prod_chosen!$C84,FALSE)</f>
        <v>9M 25-26</v>
      </c>
      <c r="R83" s="144" t="str">
        <f>HLOOKUP(R$109,Storage_Reconciled_prod_chosen!$D$83:$CU$99,Storage_Reconciled_prod_chosen!$C84,FALSE)</f>
        <v>Jan'26</v>
      </c>
      <c r="S83" s="144" t="str">
        <f>HLOOKUP(S$109,Storage_Reconciled_prod_chosen!$D$83:$CU$99,Storage_Reconciled_prod_chosen!$C84,FALSE)</f>
        <v>Feb'26</v>
      </c>
      <c r="T83" s="144" t="str">
        <f>HLOOKUP(T$109,Storage_Reconciled_prod_chosen!$D$83:$CU$99,Storage_Reconciled_prod_chosen!$C84,FALSE)</f>
        <v>Mar'26</v>
      </c>
      <c r="U83" s="154" t="str">
        <f>HLOOKUP(U$109,Storage_Reconciled_prod_chosen!$D$83:$CU$99,Storage_Reconciled_prod_chosen!$C84,FALSE)</f>
        <v>Q4 25-26</v>
      </c>
      <c r="V83" s="156" t="str">
        <f>HLOOKUP(V$109,Storage_Reconciled_prod_chosen!$D$83:$CU$99,Storage_Reconciled_prod_chosen!$C84,FALSE)</f>
        <v>25-26</v>
      </c>
    </row>
    <row r="84" spans="3:29" ht="15.75">
      <c r="C84" s="144" t="s">
        <v>60</v>
      </c>
      <c r="D84" s="147">
        <f>HLOOKUP(D$109,Storage_Reconciled_prod_chosen!$D$83:$CU$99,Storage_Reconciled_prod_chosen!$C85,FALSE)</f>
        <v>0.17899999999999999</v>
      </c>
      <c r="E84" s="147">
        <f>HLOOKUP(E$109,Storage_Reconciled_prod_chosen!$D$83:$CU$99,Storage_Reconciled_prod_chosen!$C85,FALSE)</f>
        <v>0.16700000000000001</v>
      </c>
      <c r="F84" s="147">
        <f>HLOOKUP(F$109,Storage_Reconciled_prod_chosen!$D$83:$CU$99,Storage_Reconciled_prod_chosen!$C85,FALSE)</f>
        <v>0.155</v>
      </c>
      <c r="G84" s="155">
        <f>HLOOKUP(G$109,Storage_Reconciled_prod_chosen!$D$83:$CU$99,Storage_Reconciled_prod_chosen!$C85,FALSE)</f>
        <v>0.501</v>
      </c>
      <c r="H84" s="147">
        <f>HLOOKUP(H$109,Storage_Reconciled_prod_chosen!$D$83:$CU$99,Storage_Reconciled_prod_chosen!$C85,FALSE)</f>
        <v>0.14200000000000002</v>
      </c>
      <c r="I84" s="147">
        <f>HLOOKUP(I$109,Storage_Reconciled_prod_chosen!$D$83:$CU$99,Storage_Reconciled_prod_chosen!$C85,FALSE)</f>
        <v>3.4000000000000002E-2</v>
      </c>
      <c r="J84" s="147">
        <f>HLOOKUP(J$109,Storage_Reconciled_prod_chosen!$D$83:$CU$99,Storage_Reconciled_prod_chosen!$C85,FALSE)</f>
        <v>0.161</v>
      </c>
      <c r="K84" s="155">
        <f>HLOOKUP(K$109,Storage_Reconciled_prod_chosen!$D$83:$CU$99,Storage_Reconciled_prod_chosen!$C85,FALSE)</f>
        <v>0.33700000000000002</v>
      </c>
      <c r="L84" s="157">
        <f>HLOOKUP(L$109,Storage_Reconciled_prod_chosen!$D$83:$CU$99,Storage_Reconciled_prod_chosen!$C85,FALSE)</f>
        <v>0.83800000000000008</v>
      </c>
      <c r="M84" s="147">
        <f>HLOOKUP(M$109,Storage_Reconciled_prod_chosen!$D$83:$CU$99,Storage_Reconciled_prod_chosen!$C85,FALSE)</f>
        <v>0.16599999999999998</v>
      </c>
      <c r="N84" s="147">
        <f>HLOOKUP(N$109,Storage_Reconciled_prod_chosen!$D$83:$CU$99,Storage_Reconciled_prod_chosen!$C85,FALSE)</f>
        <v>0.184</v>
      </c>
      <c r="O84" s="147">
        <f>HLOOKUP(O$109,Storage_Reconciled_prod_chosen!$D$83:$CU$99,Storage_Reconciled_prod_chosen!$C85,FALSE)</f>
        <v>0.17899999999999999</v>
      </c>
      <c r="P84" s="155">
        <f>HLOOKUP(P$109,Storage_Reconciled_prod_chosen!$D$83:$CU$99,Storage_Reconciled_prod_chosen!$C85,FALSE)</f>
        <v>0.52899999999999991</v>
      </c>
      <c r="Q84" s="157">
        <f>HLOOKUP(Q$109,Storage_Reconciled_prod_chosen!$D$83:$CU$99,Storage_Reconciled_prod_chosen!$C85,FALSE)</f>
        <v>1.367</v>
      </c>
      <c r="R84" s="147">
        <f>HLOOKUP(R$109,Storage_Reconciled_prod_chosen!$D$83:$CU$99,Storage_Reconciled_prod_chosen!$C85,FALSE)</f>
        <v>0.21499999999999997</v>
      </c>
      <c r="S84" s="147">
        <f>HLOOKUP(S$109,Storage_Reconciled_prod_chosen!$D$83:$CU$99,Storage_Reconciled_prod_chosen!$C85,FALSE)</f>
        <v>0.20899999999999999</v>
      </c>
      <c r="T84" s="147">
        <f>HLOOKUP(T$109,Storage_Reconciled_prod_chosen!$D$83:$CU$99,Storage_Reconciled_prod_chosen!$C85,FALSE)</f>
        <v>0.24</v>
      </c>
      <c r="U84" s="155">
        <f>HLOOKUP(U$109,Storage_Reconciled_prod_chosen!$D$83:$CU$99,Storage_Reconciled_prod_chosen!$C85,FALSE)</f>
        <v>0.66399999999999992</v>
      </c>
      <c r="V84" s="157">
        <f>HLOOKUP(V$109,Storage_Reconciled_prod_chosen!$D$83:$CU$99,Storage_Reconciled_prod_chosen!$C85,FALSE)</f>
        <v>2.0390000000000001</v>
      </c>
      <c r="Z84" s="443">
        <f t="shared" ref="Z84:Z98" si="10">SUMIF($D$103:$V$103,$Z$2,$D84:$V84)</f>
        <v>3.4000000000000002E-2</v>
      </c>
      <c r="AA84" s="443">
        <f>SUMIF($D$104:$V$104,$Z$3,$D84:$V84)</f>
        <v>0.33700000000000002</v>
      </c>
      <c r="AC84">
        <f>SUMIF($D$106:$V$106,1,D84:V84)</f>
        <v>0.67700000000000005</v>
      </c>
    </row>
    <row r="85" spans="3:29" ht="15.75">
      <c r="C85" s="144" t="s">
        <v>61</v>
      </c>
      <c r="D85" s="147">
        <f>HLOOKUP(D$109,Storage_Reconciled_prod_chosen!$D$83:$CU$99,Storage_Reconciled_prod_chosen!$C86,FALSE)</f>
        <v>0.25700000000000001</v>
      </c>
      <c r="E85" s="147">
        <f>HLOOKUP(E$109,Storage_Reconciled_prod_chosen!$D$83:$CU$99,Storage_Reconciled_prod_chosen!$C86,FALSE)</f>
        <v>0.26900000000000002</v>
      </c>
      <c r="F85" s="147">
        <f>HLOOKUP(F$109,Storage_Reconciled_prod_chosen!$D$83:$CU$99,Storage_Reconciled_prod_chosen!$C86,FALSE)</f>
        <v>0.25900000000000001</v>
      </c>
      <c r="G85" s="155">
        <f>HLOOKUP(G$109,Storage_Reconciled_prod_chosen!$D$83:$CU$99,Storage_Reconciled_prod_chosen!$C86,FALSE)</f>
        <v>0.78500000000000003</v>
      </c>
      <c r="H85" s="147">
        <f>HLOOKUP(H$109,Storage_Reconciled_prod_chosen!$D$83:$CU$99,Storage_Reconciled_prod_chosen!$C86,FALSE)</f>
        <v>0.26800000000000002</v>
      </c>
      <c r="I85" s="147">
        <f>HLOOKUP(I$109,Storage_Reconciled_prod_chosen!$D$83:$CU$99,Storage_Reconciled_prod_chosen!$C86,FALSE)</f>
        <v>0.254</v>
      </c>
      <c r="J85" s="147">
        <f>HLOOKUP(J$109,Storage_Reconciled_prod_chosen!$D$83:$CU$99,Storage_Reconciled_prod_chosen!$C86,FALSE)</f>
        <v>0.255</v>
      </c>
      <c r="K85" s="155">
        <f>HLOOKUP(K$109,Storage_Reconciled_prod_chosen!$D$83:$CU$99,Storage_Reconciled_prod_chosen!$C86,FALSE)</f>
        <v>0.77700000000000002</v>
      </c>
      <c r="L85" s="157">
        <f>HLOOKUP(L$109,Storage_Reconciled_prod_chosen!$D$83:$CU$99,Storage_Reconciled_prod_chosen!$C86,FALSE)</f>
        <v>1.5620000000000001</v>
      </c>
      <c r="M85" s="147">
        <f>HLOOKUP(M$109,Storage_Reconciled_prod_chosen!$D$83:$CU$99,Storage_Reconciled_prod_chosen!$C86,FALSE)</f>
        <v>0.26300000000000001</v>
      </c>
      <c r="N85" s="147">
        <f>HLOOKUP(N$109,Storage_Reconciled_prod_chosen!$D$83:$CU$99,Storage_Reconciled_prod_chosen!$C86,FALSE)</f>
        <v>0.253</v>
      </c>
      <c r="O85" s="147">
        <f>HLOOKUP(O$109,Storage_Reconciled_prod_chosen!$D$83:$CU$99,Storage_Reconciled_prod_chosen!$C86,FALSE)</f>
        <v>0.25600000000000001</v>
      </c>
      <c r="P85" s="155">
        <f>HLOOKUP(P$109,Storage_Reconciled_prod_chosen!$D$83:$CU$99,Storage_Reconciled_prod_chosen!$C86,FALSE)</f>
        <v>0.77200000000000002</v>
      </c>
      <c r="Q85" s="157">
        <f>HLOOKUP(Q$109,Storage_Reconciled_prod_chosen!$D$83:$CU$99,Storage_Reconciled_prod_chosen!$C86,FALSE)</f>
        <v>2.3340000000000001</v>
      </c>
      <c r="R85" s="147">
        <f>HLOOKUP(R$109,Storage_Reconciled_prod_chosen!$D$83:$CU$99,Storage_Reconciled_prod_chosen!$C86,FALSE)</f>
        <v>0.22899999999999998</v>
      </c>
      <c r="S85" s="147">
        <f>HLOOKUP(S$109,Storage_Reconciled_prod_chosen!$D$83:$CU$99,Storage_Reconciled_prod_chosen!$C86,FALSE)</f>
        <v>0.23099999999999998</v>
      </c>
      <c r="T85" s="147">
        <f>HLOOKUP(T$109,Storage_Reconciled_prod_chosen!$D$83:$CU$99,Storage_Reconciled_prod_chosen!$C86,FALSE)</f>
        <v>0.24299999999999999</v>
      </c>
      <c r="U85" s="155">
        <f>HLOOKUP(U$109,Storage_Reconciled_prod_chosen!$D$83:$CU$99,Storage_Reconciled_prod_chosen!$C86,FALSE)</f>
        <v>0.70299999999999996</v>
      </c>
      <c r="V85" s="157">
        <f>HLOOKUP(V$109,Storage_Reconciled_prod_chosen!$D$83:$CU$99,Storage_Reconciled_prod_chosen!$C86,FALSE)</f>
        <v>3.06</v>
      </c>
      <c r="Z85" s="443">
        <f t="shared" si="10"/>
        <v>0.254</v>
      </c>
      <c r="AA85" s="443">
        <f t="shared" ref="AA85:AA98" si="11">SUMIF($D$104:$V$104,$Z$3,$D85:$V85)</f>
        <v>0.77700000000000002</v>
      </c>
      <c r="AC85">
        <f t="shared" ref="AC85:AC98" si="12">SUMIF($D$106:$V$106,1,D85:V85)</f>
        <v>1.3069999999999999</v>
      </c>
    </row>
    <row r="86" spans="3:29" ht="15.75">
      <c r="C86" s="144" t="s">
        <v>62</v>
      </c>
      <c r="D86" s="147">
        <f>HLOOKUP(D$109,Storage_Reconciled_prod_chosen!$D$83:$CU$99,Storage_Reconciled_prod_chosen!$C87,FALSE)</f>
        <v>1.7000000000000001E-2</v>
      </c>
      <c r="E86" s="147">
        <f>HLOOKUP(E$109,Storage_Reconciled_prod_chosen!$D$83:$CU$99,Storage_Reconciled_prod_chosen!$C87,FALSE)</f>
        <v>1.7000000000000001E-2</v>
      </c>
      <c r="F86" s="147">
        <f>HLOOKUP(F$109,Storage_Reconciled_prod_chosen!$D$83:$CU$99,Storage_Reconciled_prod_chosen!$C87,FALSE)</f>
        <v>1.4999999999999999E-2</v>
      </c>
      <c r="G86" s="155">
        <f>HLOOKUP(G$109,Storage_Reconciled_prod_chosen!$D$83:$CU$99,Storage_Reconciled_prod_chosen!$C87,FALSE)</f>
        <v>4.9000000000000002E-2</v>
      </c>
      <c r="H86" s="147">
        <f>HLOOKUP(H$109,Storage_Reconciled_prod_chosen!$D$83:$CU$99,Storage_Reconciled_prod_chosen!$C87,FALSE)</f>
        <v>1.6E-2</v>
      </c>
      <c r="I86" s="147">
        <f>HLOOKUP(I$109,Storage_Reconciled_prod_chosen!$D$83:$CU$99,Storage_Reconciled_prod_chosen!$C87,FALSE)</f>
        <v>1.7000000000000001E-2</v>
      </c>
      <c r="J86" s="147">
        <f>HLOOKUP(J$109,Storage_Reconciled_prod_chosen!$D$83:$CU$99,Storage_Reconciled_prod_chosen!$C87,FALSE)</f>
        <v>1.7000000000000001E-2</v>
      </c>
      <c r="K86" s="155">
        <f>HLOOKUP(K$109,Storage_Reconciled_prod_chosen!$D$83:$CU$99,Storage_Reconciled_prod_chosen!$C87,FALSE)</f>
        <v>0.05</v>
      </c>
      <c r="L86" s="157">
        <f>HLOOKUP(L$109,Storage_Reconciled_prod_chosen!$D$83:$CU$99,Storage_Reconciled_prod_chosen!$C87,FALSE)</f>
        <v>9.9000000000000005E-2</v>
      </c>
      <c r="M86" s="147">
        <f>HLOOKUP(M$109,Storage_Reconciled_prod_chosen!$D$83:$CU$99,Storage_Reconciled_prod_chosen!$C87,FALSE)</f>
        <v>1.9E-2</v>
      </c>
      <c r="N86" s="147">
        <f>HLOOKUP(N$109,Storage_Reconciled_prod_chosen!$D$83:$CU$99,Storage_Reconciled_prod_chosen!$C87,FALSE)</f>
        <v>1.7999999999999999E-2</v>
      </c>
      <c r="O86" s="147">
        <f>HLOOKUP(O$109,Storage_Reconciled_prod_chosen!$D$83:$CU$99,Storage_Reconciled_prod_chosen!$C87,FALSE)</f>
        <v>1.7000000000000001E-2</v>
      </c>
      <c r="P86" s="155">
        <f>HLOOKUP(P$109,Storage_Reconciled_prod_chosen!$D$83:$CU$99,Storage_Reconciled_prod_chosen!$C87,FALSE)</f>
        <v>5.3999999999999999E-2</v>
      </c>
      <c r="Q86" s="157">
        <f>HLOOKUP(Q$109,Storage_Reconciled_prod_chosen!$D$83:$CU$99,Storage_Reconciled_prod_chosen!$C87,FALSE)</f>
        <v>0.153</v>
      </c>
      <c r="R86" s="147">
        <f>HLOOKUP(R$109,Storage_Reconciled_prod_chosen!$D$83:$CU$99,Storage_Reconciled_prod_chosen!$C87,FALSE)</f>
        <v>1.7000000000000001E-2</v>
      </c>
      <c r="S86" s="147">
        <f>HLOOKUP(S$109,Storage_Reconciled_prod_chosen!$D$83:$CU$99,Storage_Reconciled_prod_chosen!$C87,FALSE)</f>
        <v>1.4999999999999999E-2</v>
      </c>
      <c r="T86" s="147">
        <f>HLOOKUP(T$109,Storage_Reconciled_prod_chosen!$D$83:$CU$99,Storage_Reconciled_prod_chosen!$C87,FALSE)</f>
        <v>1.7000000000000001E-2</v>
      </c>
      <c r="U86" s="155">
        <f>HLOOKUP(U$109,Storage_Reconciled_prod_chosen!$D$83:$CU$99,Storage_Reconciled_prod_chosen!$C87,FALSE)</f>
        <v>4.9000000000000002E-2</v>
      </c>
      <c r="V86" s="157">
        <f>HLOOKUP(V$109,Storage_Reconciled_prod_chosen!$D$83:$CU$99,Storage_Reconciled_prod_chosen!$C87,FALSE)</f>
        <v>0.20399999999999999</v>
      </c>
      <c r="Z86" s="443">
        <f t="shared" si="10"/>
        <v>1.7000000000000001E-2</v>
      </c>
      <c r="AA86" s="443">
        <f t="shared" si="11"/>
        <v>0.05</v>
      </c>
      <c r="AC86">
        <f t="shared" si="12"/>
        <v>8.2000000000000003E-2</v>
      </c>
    </row>
    <row r="87" spans="3:29" ht="15.75">
      <c r="C87" s="144" t="s">
        <v>57</v>
      </c>
      <c r="D87" s="147">
        <f>HLOOKUP(D$109,Storage_Reconciled_prod_chosen!$D$83:$CU$99,Storage_Reconciled_prod_chosen!$C88,FALSE)</f>
        <v>4.7E-2</v>
      </c>
      <c r="E87" s="147">
        <f>HLOOKUP(E$109,Storage_Reconciled_prod_chosen!$D$83:$CU$99,Storage_Reconciled_prod_chosen!$C88,FALSE)</f>
        <v>4.7E-2</v>
      </c>
      <c r="F87" s="147">
        <f>HLOOKUP(F$109,Storage_Reconciled_prod_chosen!$D$83:$CU$99,Storage_Reconciled_prod_chosen!$C88,FALSE)</f>
        <v>4.5999999999999999E-2</v>
      </c>
      <c r="G87" s="155">
        <f>HLOOKUP(G$109,Storage_Reconciled_prod_chosen!$D$83:$CU$99,Storage_Reconciled_prod_chosen!$C88,FALSE)</f>
        <v>0.14000000000000001</v>
      </c>
      <c r="H87" s="147">
        <f>HLOOKUP(H$109,Storage_Reconciled_prod_chosen!$D$83:$CU$99,Storage_Reconciled_prod_chosen!$C88,FALSE)</f>
        <v>4.8000000000000001E-2</v>
      </c>
      <c r="I87" s="147">
        <f>HLOOKUP(I$109,Storage_Reconciled_prod_chosen!$D$83:$CU$99,Storage_Reconciled_prod_chosen!$C88,FALSE)</f>
        <v>4.9000000000000002E-2</v>
      </c>
      <c r="J87" s="147">
        <f>HLOOKUP(J$109,Storage_Reconciled_prod_chosen!$D$83:$CU$99,Storage_Reconciled_prod_chosen!$C88,FALSE)</f>
        <v>0.05</v>
      </c>
      <c r="K87" s="155">
        <f>HLOOKUP(K$109,Storage_Reconciled_prod_chosen!$D$83:$CU$99,Storage_Reconciled_prod_chosen!$C88,FALSE)</f>
        <v>0.14700000000000002</v>
      </c>
      <c r="L87" s="157">
        <f>HLOOKUP(L$109,Storage_Reconciled_prod_chosen!$D$83:$CU$99,Storage_Reconciled_prod_chosen!$C88,FALSE)</f>
        <v>0.28700000000000003</v>
      </c>
      <c r="M87" s="147">
        <f>HLOOKUP(M$109,Storage_Reconciled_prod_chosen!$D$83:$CU$99,Storage_Reconciled_prod_chosen!$C88,FALSE)</f>
        <v>5.1000000000000004E-2</v>
      </c>
      <c r="N87" s="147">
        <f>HLOOKUP(N$109,Storage_Reconciled_prod_chosen!$D$83:$CU$99,Storage_Reconciled_prod_chosen!$C88,FALSE)</f>
        <v>5.1000000000000004E-2</v>
      </c>
      <c r="O87" s="147">
        <f>HLOOKUP(O$109,Storage_Reconciled_prod_chosen!$D$83:$CU$99,Storage_Reconciled_prod_chosen!$C88,FALSE)</f>
        <v>5.3000000000000005E-2</v>
      </c>
      <c r="P87" s="155">
        <f>HLOOKUP(P$109,Storage_Reconciled_prod_chosen!$D$83:$CU$99,Storage_Reconciled_prod_chosen!$C88,FALSE)</f>
        <v>0.15500000000000003</v>
      </c>
      <c r="Q87" s="157">
        <f>HLOOKUP(Q$109,Storage_Reconciled_prod_chosen!$D$83:$CU$99,Storage_Reconciled_prod_chosen!$C88,FALSE)</f>
        <v>0.44200000000000006</v>
      </c>
      <c r="R87" s="147">
        <f>HLOOKUP(R$109,Storage_Reconciled_prod_chosen!$D$83:$CU$99,Storage_Reconciled_prod_chosen!$C88,FALSE)</f>
        <v>5.3999999999999999E-2</v>
      </c>
      <c r="S87" s="147">
        <f>HLOOKUP(S$109,Storage_Reconciled_prod_chosen!$D$83:$CU$99,Storage_Reconciled_prod_chosen!$C88,FALSE)</f>
        <v>4.8999999999999995E-2</v>
      </c>
      <c r="T87" s="147">
        <f>HLOOKUP(T$109,Storage_Reconciled_prod_chosen!$D$83:$CU$99,Storage_Reconciled_prod_chosen!$C88,FALSE)</f>
        <v>5.2999999999999999E-2</v>
      </c>
      <c r="U87" s="155">
        <f>HLOOKUP(U$109,Storage_Reconciled_prod_chosen!$D$83:$CU$99,Storage_Reconciled_prod_chosen!$C88,FALSE)</f>
        <v>0.156</v>
      </c>
      <c r="V87" s="157">
        <f>HLOOKUP(V$109,Storage_Reconciled_prod_chosen!$D$83:$CU$99,Storage_Reconciled_prod_chosen!$C88,FALSE)</f>
        <v>0.59899999999999998</v>
      </c>
      <c r="Z87" s="443">
        <f t="shared" si="10"/>
        <v>4.9000000000000002E-2</v>
      </c>
      <c r="AA87" s="443">
        <f t="shared" si="11"/>
        <v>0.14700000000000002</v>
      </c>
      <c r="AC87">
        <f t="shared" si="12"/>
        <v>0.23699999999999999</v>
      </c>
    </row>
    <row r="88" spans="3:29" ht="15.75">
      <c r="C88" s="144" t="s">
        <v>58</v>
      </c>
      <c r="D88" s="147">
        <f>HLOOKUP(D$109,Storage_Reconciled_prod_chosen!$D$83:$CU$99,Storage_Reconciled_prod_chosen!$C89,FALSE)</f>
        <v>3.4000000000000002E-2</v>
      </c>
      <c r="E88" s="147">
        <f>HLOOKUP(E$109,Storage_Reconciled_prod_chosen!$D$83:$CU$99,Storage_Reconciled_prod_chosen!$C89,FALSE)</f>
        <v>3.8000000000000006E-2</v>
      </c>
      <c r="F88" s="147">
        <f>HLOOKUP(F$109,Storage_Reconciled_prod_chosen!$D$83:$CU$99,Storage_Reconciled_prod_chosen!$C89,FALSE)</f>
        <v>4.0999999999999995E-2</v>
      </c>
      <c r="G88" s="155">
        <f>HLOOKUP(G$109,Storage_Reconciled_prod_chosen!$D$83:$CU$99,Storage_Reconciled_prod_chosen!$C89,FALSE)</f>
        <v>0.113</v>
      </c>
      <c r="H88" s="147">
        <f>HLOOKUP(H$109,Storage_Reconciled_prod_chosen!$D$83:$CU$99,Storage_Reconciled_prod_chosen!$C89,FALSE)</f>
        <v>4.0999999999999995E-2</v>
      </c>
      <c r="I88" s="147">
        <f>HLOOKUP(I$109,Storage_Reconciled_prod_chosen!$D$83:$CU$99,Storage_Reconciled_prod_chosen!$C89,FALSE)</f>
        <v>0.04</v>
      </c>
      <c r="J88" s="147">
        <f>HLOOKUP(J$109,Storage_Reconciled_prod_chosen!$D$83:$CU$99,Storage_Reconciled_prod_chosen!$C89,FALSE)</f>
        <v>3.9000000000000007E-2</v>
      </c>
      <c r="K88" s="155">
        <f>HLOOKUP(K$109,Storage_Reconciled_prod_chosen!$D$83:$CU$99,Storage_Reconciled_prod_chosen!$C89,FALSE)</f>
        <v>0.12</v>
      </c>
      <c r="L88" s="157">
        <f>HLOOKUP(L$109,Storage_Reconciled_prod_chosen!$D$83:$CU$99,Storage_Reconciled_prod_chosen!$C89,FALSE)</f>
        <v>0.23299999999999998</v>
      </c>
      <c r="M88" s="147">
        <f>HLOOKUP(M$109,Storage_Reconciled_prod_chosen!$D$83:$CU$99,Storage_Reconciled_prod_chosen!$C89,FALSE)</f>
        <v>4.2999999999999997E-2</v>
      </c>
      <c r="N88" s="147">
        <f>HLOOKUP(N$109,Storage_Reconciled_prod_chosen!$D$83:$CU$99,Storage_Reconciled_prod_chosen!$C89,FALSE)</f>
        <v>2.4E-2</v>
      </c>
      <c r="O88" s="147">
        <f>HLOOKUP(O$109,Storage_Reconciled_prod_chosen!$D$83:$CU$99,Storage_Reconciled_prod_chosen!$C89,FALSE)</f>
        <v>0</v>
      </c>
      <c r="P88" s="155">
        <f>HLOOKUP(P$109,Storage_Reconciled_prod_chosen!$D$83:$CU$99,Storage_Reconciled_prod_chosen!$C89,FALSE)</f>
        <v>6.7000000000000004E-2</v>
      </c>
      <c r="Q88" s="157">
        <f>HLOOKUP(Q$109,Storage_Reconciled_prod_chosen!$D$83:$CU$99,Storage_Reconciled_prod_chosen!$C89,FALSE)</f>
        <v>0.3</v>
      </c>
      <c r="R88" s="147">
        <f>HLOOKUP(R$109,Storage_Reconciled_prod_chosen!$D$83:$CU$99,Storage_Reconciled_prod_chosen!$C89,FALSE)</f>
        <v>5.0000000000000001E-3</v>
      </c>
      <c r="S88" s="147">
        <f>HLOOKUP(S$109,Storage_Reconciled_prod_chosen!$D$83:$CU$99,Storage_Reconciled_prod_chosen!$C89,FALSE)</f>
        <v>3.6000000000000004E-2</v>
      </c>
      <c r="T88" s="147">
        <f>HLOOKUP(T$109,Storage_Reconciled_prod_chosen!$D$83:$CU$99,Storage_Reconciled_prod_chosen!$C89,FALSE)</f>
        <v>4.5999999999999999E-2</v>
      </c>
      <c r="U88" s="155">
        <f>HLOOKUP(U$109,Storage_Reconciled_prod_chosen!$D$83:$CU$99,Storage_Reconciled_prod_chosen!$C89,FALSE)</f>
        <v>8.6999999999999994E-2</v>
      </c>
      <c r="V88" s="157">
        <f>HLOOKUP(V$109,Storage_Reconciled_prod_chosen!$D$83:$CU$99,Storage_Reconciled_prod_chosen!$C89,FALSE)</f>
        <v>0.38700000000000001</v>
      </c>
      <c r="Z88" s="443">
        <f t="shared" si="10"/>
        <v>0.04</v>
      </c>
      <c r="AA88" s="443">
        <f t="shared" si="11"/>
        <v>0.12</v>
      </c>
      <c r="AC88">
        <f t="shared" si="12"/>
        <v>0.19400000000000001</v>
      </c>
    </row>
    <row r="89" spans="3:29" ht="15.75">
      <c r="C89" s="144" t="s">
        <v>59</v>
      </c>
      <c r="D89" s="147">
        <f>HLOOKUP(D$109,Storage_Reconciled_prod_chosen!$D$83:$CU$99,Storage_Reconciled_prod_chosen!$C90,FALSE)</f>
        <v>1.0999999999999999E-2</v>
      </c>
      <c r="E89" s="147">
        <f>HLOOKUP(E$109,Storage_Reconciled_prod_chosen!$D$83:$CU$99,Storage_Reconciled_prod_chosen!$C90,FALSE)</f>
        <v>1.0999999999999999E-2</v>
      </c>
      <c r="F89" s="147">
        <f>HLOOKUP(F$109,Storage_Reconciled_prod_chosen!$D$83:$CU$99,Storage_Reconciled_prod_chosen!$C90,FALSE)</f>
        <v>1.0999999999999999E-2</v>
      </c>
      <c r="G89" s="155">
        <f>HLOOKUP(G$109,Storage_Reconciled_prod_chosen!$D$83:$CU$99,Storage_Reconciled_prod_chosen!$C90,FALSE)</f>
        <v>3.3000000000000002E-2</v>
      </c>
      <c r="H89" s="147">
        <f>HLOOKUP(H$109,Storage_Reconciled_prod_chosen!$D$83:$CU$99,Storage_Reconciled_prod_chosen!$C90,FALSE)</f>
        <v>1.0999999999999999E-2</v>
      </c>
      <c r="I89" s="147">
        <f>HLOOKUP(I$109,Storage_Reconciled_prod_chosen!$D$83:$CU$99,Storage_Reconciled_prod_chosen!$C90,FALSE)</f>
        <v>1.0999999999999999E-2</v>
      </c>
      <c r="J89" s="147">
        <f>HLOOKUP(J$109,Storage_Reconciled_prod_chosen!$D$83:$CU$99,Storage_Reconciled_prod_chosen!$C90,FALSE)</f>
        <v>1.0999999999999999E-2</v>
      </c>
      <c r="K89" s="155">
        <f>HLOOKUP(K$109,Storage_Reconciled_prod_chosen!$D$83:$CU$99,Storage_Reconciled_prod_chosen!$C90,FALSE)</f>
        <v>3.3000000000000002E-2</v>
      </c>
      <c r="L89" s="157">
        <f>HLOOKUP(L$109,Storage_Reconciled_prod_chosen!$D$83:$CU$99,Storage_Reconciled_prod_chosen!$C90,FALSE)</f>
        <v>6.6000000000000003E-2</v>
      </c>
      <c r="M89" s="147">
        <f>HLOOKUP(M$109,Storage_Reconciled_prod_chosen!$D$83:$CU$99,Storage_Reconciled_prod_chosen!$C90,FALSE)</f>
        <v>1.3000000000000001E-2</v>
      </c>
      <c r="N89" s="147">
        <f>HLOOKUP(N$109,Storage_Reconciled_prod_chosen!$D$83:$CU$99,Storage_Reconciled_prod_chosen!$C90,FALSE)</f>
        <v>1.3000000000000001E-2</v>
      </c>
      <c r="O89" s="147">
        <f>HLOOKUP(O$109,Storage_Reconciled_prod_chosen!$D$83:$CU$99,Storage_Reconciled_prod_chosen!$C90,FALSE)</f>
        <v>1.0999999999999999E-2</v>
      </c>
      <c r="P89" s="155">
        <f>HLOOKUP(P$109,Storage_Reconciled_prod_chosen!$D$83:$CU$99,Storage_Reconciled_prod_chosen!$C90,FALSE)</f>
        <v>3.7000000000000005E-2</v>
      </c>
      <c r="Q89" s="157">
        <f>HLOOKUP(Q$109,Storage_Reconciled_prod_chosen!$D$83:$CU$99,Storage_Reconciled_prod_chosen!$C90,FALSE)</f>
        <v>0.10300000000000001</v>
      </c>
      <c r="R89" s="147">
        <f>HLOOKUP(R$109,Storage_Reconciled_prod_chosen!$D$83:$CU$99,Storage_Reconciled_prod_chosen!$C90,FALSE)</f>
        <v>0.01</v>
      </c>
      <c r="S89" s="147">
        <f>HLOOKUP(S$109,Storage_Reconciled_prod_chosen!$D$83:$CU$99,Storage_Reconciled_prod_chosen!$C90,FALSE)</f>
        <v>0.01</v>
      </c>
      <c r="T89" s="147">
        <f>HLOOKUP(T$109,Storage_Reconciled_prod_chosen!$D$83:$CU$99,Storage_Reconciled_prod_chosen!$C90,FALSE)</f>
        <v>1.0999999999999999E-2</v>
      </c>
      <c r="U89" s="155">
        <f>HLOOKUP(U$109,Storage_Reconciled_prod_chosen!$D$83:$CU$99,Storage_Reconciled_prod_chosen!$C90,FALSE)</f>
        <v>3.1E-2</v>
      </c>
      <c r="V89" s="157">
        <f>HLOOKUP(V$109,Storage_Reconciled_prod_chosen!$D$83:$CU$99,Storage_Reconciled_prod_chosen!$C90,FALSE)</f>
        <v>0.13300000000000001</v>
      </c>
      <c r="Z89" s="443">
        <f t="shared" si="10"/>
        <v>1.0999999999999999E-2</v>
      </c>
      <c r="AA89" s="443">
        <f t="shared" si="11"/>
        <v>3.3000000000000002E-2</v>
      </c>
      <c r="AC89">
        <f t="shared" si="12"/>
        <v>5.4999999999999993E-2</v>
      </c>
    </row>
    <row r="90" spans="3:29" ht="15.75">
      <c r="C90" s="144" t="s">
        <v>63</v>
      </c>
      <c r="D90" s="147">
        <f>HLOOKUP(D$109,Storage_Reconciled_prod_chosen!$D$83:$CU$99,Storage_Reconciled_prod_chosen!$C91,FALSE)</f>
        <v>7.0999999999999994E-2</v>
      </c>
      <c r="E90" s="147">
        <f>HLOOKUP(E$109,Storage_Reconciled_prod_chosen!$D$83:$CU$99,Storage_Reconciled_prod_chosen!$C91,FALSE)</f>
        <v>5.8000000000000003E-2</v>
      </c>
      <c r="F90" s="147">
        <f>HLOOKUP(F$109,Storage_Reconciled_prod_chosen!$D$83:$CU$99,Storage_Reconciled_prod_chosen!$C91,FALSE)</f>
        <v>4.7E-2</v>
      </c>
      <c r="G90" s="155">
        <f>HLOOKUP(G$109,Storage_Reconciled_prod_chosen!$D$83:$CU$99,Storage_Reconciled_prod_chosen!$C91,FALSE)</f>
        <v>0.17599999999999999</v>
      </c>
      <c r="H90" s="147">
        <f>HLOOKUP(H$109,Storage_Reconciled_prod_chosen!$D$83:$CU$99,Storage_Reconciled_prod_chosen!$C91,FALSE)</f>
        <v>7.0000000000000007E-2</v>
      </c>
      <c r="I90" s="147">
        <f>HLOOKUP(I$109,Storage_Reconciled_prod_chosen!$D$83:$CU$99,Storage_Reconciled_prod_chosen!$C91,FALSE)</f>
        <v>7.0000000000000007E-2</v>
      </c>
      <c r="J90" s="147">
        <f>HLOOKUP(J$109,Storage_Reconciled_prod_chosen!$D$83:$CU$99,Storage_Reconciled_prod_chosen!$C91,FALSE)</f>
        <v>6.6000000000000003E-2</v>
      </c>
      <c r="K90" s="155">
        <f>HLOOKUP(K$109,Storage_Reconciled_prod_chosen!$D$83:$CU$99,Storage_Reconciled_prod_chosen!$C91,FALSE)</f>
        <v>0.20600000000000002</v>
      </c>
      <c r="L90" s="157">
        <f>HLOOKUP(L$109,Storage_Reconciled_prod_chosen!$D$83:$CU$99,Storage_Reconciled_prod_chosen!$C91,FALSE)</f>
        <v>0.38200000000000001</v>
      </c>
      <c r="M90" s="147">
        <f>HLOOKUP(M$109,Storage_Reconciled_prod_chosen!$D$83:$CU$99,Storage_Reconciled_prod_chosen!$C91,FALSE)</f>
        <v>0.06</v>
      </c>
      <c r="N90" s="147">
        <f>HLOOKUP(N$109,Storage_Reconciled_prod_chosen!$D$83:$CU$99,Storage_Reconciled_prod_chosen!$C91,FALSE)</f>
        <v>5.2999999999999999E-2</v>
      </c>
      <c r="O90" s="147">
        <f>HLOOKUP(O$109,Storage_Reconciled_prod_chosen!$D$83:$CU$99,Storage_Reconciled_prod_chosen!$C91,FALSE)</f>
        <v>6.7000000000000004E-2</v>
      </c>
      <c r="P90" s="155">
        <f>HLOOKUP(P$109,Storage_Reconciled_prod_chosen!$D$83:$CU$99,Storage_Reconciled_prod_chosen!$C91,FALSE)</f>
        <v>0.18</v>
      </c>
      <c r="Q90" s="157">
        <f>HLOOKUP(Q$109,Storage_Reconciled_prod_chosen!$D$83:$CU$99,Storage_Reconciled_prod_chosen!$C91,FALSE)</f>
        <v>0.56200000000000006</v>
      </c>
      <c r="R90" s="147">
        <f>HLOOKUP(R$109,Storage_Reconciled_prod_chosen!$D$83:$CU$99,Storage_Reconciled_prod_chosen!$C91,FALSE)</f>
        <v>6.6000000000000003E-2</v>
      </c>
      <c r="S90" s="147">
        <f>HLOOKUP(S$109,Storage_Reconciled_prod_chosen!$D$83:$CU$99,Storage_Reconciled_prod_chosen!$C91,FALSE)</f>
        <v>4.2000000000000003E-2</v>
      </c>
      <c r="T90" s="147">
        <f>HLOOKUP(T$109,Storage_Reconciled_prod_chosen!$D$83:$CU$99,Storage_Reconciled_prod_chosen!$C91,FALSE)</f>
        <v>6.6000000000000003E-2</v>
      </c>
      <c r="U90" s="155">
        <f>HLOOKUP(U$109,Storage_Reconciled_prod_chosen!$D$83:$CU$99,Storage_Reconciled_prod_chosen!$C91,FALSE)</f>
        <v>0.17400000000000002</v>
      </c>
      <c r="V90" s="157">
        <f>HLOOKUP(V$109,Storage_Reconciled_prod_chosen!$D$83:$CU$99,Storage_Reconciled_prod_chosen!$C91,FALSE)</f>
        <v>0.73599999999999999</v>
      </c>
      <c r="Z90" s="443">
        <f t="shared" si="10"/>
        <v>7.0000000000000007E-2</v>
      </c>
      <c r="AA90" s="443">
        <f t="shared" si="11"/>
        <v>0.20600000000000002</v>
      </c>
      <c r="AC90">
        <f t="shared" si="12"/>
        <v>0.316</v>
      </c>
    </row>
    <row r="91" spans="3:29" ht="15.75">
      <c r="C91" s="144" t="s">
        <v>64</v>
      </c>
      <c r="D91" s="147">
        <f>HLOOKUP(D$109,Storage_Reconciled_prod_chosen!$D$83:$CU$99,Storage_Reconciled_prod_chosen!$C92,FALSE)</f>
        <v>5.0000000000000001E-3</v>
      </c>
      <c r="E91" s="147">
        <f>HLOOKUP(E$109,Storage_Reconciled_prod_chosen!$D$83:$CU$99,Storage_Reconciled_prod_chosen!$C92,FALSE)</f>
        <v>5.0000000000000001E-3</v>
      </c>
      <c r="F91" s="147">
        <f>HLOOKUP(F$109,Storage_Reconciled_prod_chosen!$D$83:$CU$99,Storage_Reconciled_prod_chosen!$C92,FALSE)</f>
        <v>4.0000000000000001E-3</v>
      </c>
      <c r="G91" s="155">
        <f>HLOOKUP(G$109,Storage_Reconciled_prod_chosen!$D$83:$CU$99,Storage_Reconciled_prod_chosen!$C92,FALSE)</f>
        <v>1.4E-2</v>
      </c>
      <c r="H91" s="147">
        <f>HLOOKUP(H$109,Storage_Reconciled_prod_chosen!$D$83:$CU$99,Storage_Reconciled_prod_chosen!$C92,FALSE)</f>
        <v>5.0000000000000001E-3</v>
      </c>
      <c r="I91" s="147">
        <f>HLOOKUP(I$109,Storage_Reconciled_prod_chosen!$D$83:$CU$99,Storage_Reconciled_prod_chosen!$C92,FALSE)</f>
        <v>4.0000000000000001E-3</v>
      </c>
      <c r="J91" s="147">
        <f>HLOOKUP(J$109,Storage_Reconciled_prod_chosen!$D$83:$CU$99,Storage_Reconciled_prod_chosen!$C92,FALSE)</f>
        <v>5.0000000000000001E-3</v>
      </c>
      <c r="K91" s="155">
        <f>HLOOKUP(K$109,Storage_Reconciled_prod_chosen!$D$83:$CU$99,Storage_Reconciled_prod_chosen!$C92,FALSE)</f>
        <v>1.4000000000000002E-2</v>
      </c>
      <c r="L91" s="157">
        <f>HLOOKUP(L$109,Storage_Reconciled_prod_chosen!$D$83:$CU$99,Storage_Reconciled_prod_chosen!$C92,FALSE)</f>
        <v>2.8000000000000004E-2</v>
      </c>
      <c r="M91" s="147">
        <f>HLOOKUP(M$109,Storage_Reconciled_prod_chosen!$D$83:$CU$99,Storage_Reconciled_prod_chosen!$C92,FALSE)</f>
        <v>5.0000000000000001E-3</v>
      </c>
      <c r="N91" s="147">
        <f>HLOOKUP(N$109,Storage_Reconciled_prod_chosen!$D$83:$CU$99,Storage_Reconciled_prod_chosen!$C92,FALSE)</f>
        <v>3.0000000000000001E-3</v>
      </c>
      <c r="O91" s="147">
        <f>HLOOKUP(O$109,Storage_Reconciled_prod_chosen!$D$83:$CU$99,Storage_Reconciled_prod_chosen!$C92,FALSE)</f>
        <v>5.0000000000000001E-3</v>
      </c>
      <c r="P91" s="155">
        <f>HLOOKUP(P$109,Storage_Reconciled_prod_chosen!$D$83:$CU$99,Storage_Reconciled_prod_chosen!$C92,FALSE)</f>
        <v>1.3000000000000001E-2</v>
      </c>
      <c r="Q91" s="157">
        <f>HLOOKUP(Q$109,Storage_Reconciled_prod_chosen!$D$83:$CU$99,Storage_Reconciled_prod_chosen!$C92,FALSE)</f>
        <v>4.1000000000000009E-2</v>
      </c>
      <c r="R91" s="147">
        <f>HLOOKUP(R$109,Storage_Reconciled_prod_chosen!$D$83:$CU$99,Storage_Reconciled_prod_chosen!$C92,FALSE)</f>
        <v>1E-3</v>
      </c>
      <c r="S91" s="147">
        <f>HLOOKUP(S$109,Storage_Reconciled_prod_chosen!$D$83:$CU$99,Storage_Reconciled_prod_chosen!$C92,FALSE)</f>
        <v>4.0000000000000001E-3</v>
      </c>
      <c r="T91" s="147">
        <f>HLOOKUP(T$109,Storage_Reconciled_prod_chosen!$D$83:$CU$99,Storage_Reconciled_prod_chosen!$C92,FALSE)</f>
        <v>5.0000000000000001E-3</v>
      </c>
      <c r="U91" s="155">
        <f>HLOOKUP(U$109,Storage_Reconciled_prod_chosen!$D$83:$CU$99,Storage_Reconciled_prod_chosen!$C92,FALSE)</f>
        <v>0.01</v>
      </c>
      <c r="V91" s="157">
        <f>HLOOKUP(V$109,Storage_Reconciled_prod_chosen!$D$83:$CU$99,Storage_Reconciled_prod_chosen!$C92,FALSE)</f>
        <v>5.0999999999999997E-2</v>
      </c>
      <c r="Z91" s="443">
        <f t="shared" si="10"/>
        <v>4.0000000000000001E-3</v>
      </c>
      <c r="AA91" s="443">
        <f t="shared" si="11"/>
        <v>1.4000000000000002E-2</v>
      </c>
      <c r="AC91">
        <f t="shared" si="12"/>
        <v>2.3E-2</v>
      </c>
    </row>
    <row r="92" spans="3:29" ht="15.75">
      <c r="C92" s="144" t="s">
        <v>65</v>
      </c>
      <c r="D92" s="147">
        <f>HLOOKUP(D$109,Storage_Reconciled_prod_chosen!$D$83:$CU$99,Storage_Reconciled_prod_chosen!$C93,FALSE)</f>
        <v>0.01</v>
      </c>
      <c r="E92" s="147">
        <f>HLOOKUP(E$109,Storage_Reconciled_prod_chosen!$D$83:$CU$99,Storage_Reconciled_prod_chosen!$C93,FALSE)</f>
        <v>9.9999999999999985E-3</v>
      </c>
      <c r="F92" s="147">
        <f>HLOOKUP(F$109,Storage_Reconciled_prod_chosen!$D$83:$CU$99,Storage_Reconciled_prod_chosen!$C93,FALSE)</f>
        <v>9.0000000000000011E-3</v>
      </c>
      <c r="G92" s="155">
        <f>HLOOKUP(G$109,Storage_Reconciled_prod_chosen!$D$83:$CU$99,Storage_Reconciled_prod_chosen!$C93,FALSE)</f>
        <v>2.8999999999999998E-2</v>
      </c>
      <c r="H92" s="147">
        <f>HLOOKUP(H$109,Storage_Reconciled_prod_chosen!$D$83:$CU$99,Storage_Reconciled_prod_chosen!$C93,FALSE)</f>
        <v>9.9999999999999985E-3</v>
      </c>
      <c r="I92" s="147">
        <f>HLOOKUP(I$109,Storage_Reconciled_prod_chosen!$D$83:$CU$99,Storage_Reconciled_prod_chosen!$C93,FALSE)</f>
        <v>1.0999999999999999E-2</v>
      </c>
      <c r="J92" s="147">
        <f>HLOOKUP(J$109,Storage_Reconciled_prod_chosen!$D$83:$CU$99,Storage_Reconciled_prod_chosen!$C93,FALSE)</f>
        <v>9.9999999999999985E-3</v>
      </c>
      <c r="K92" s="155">
        <f>HLOOKUP(K$109,Storage_Reconciled_prod_chosen!$D$83:$CU$99,Storage_Reconciled_prod_chosen!$C93,FALSE)</f>
        <v>3.0999999999999996E-2</v>
      </c>
      <c r="L92" s="157">
        <f>HLOOKUP(L$109,Storage_Reconciled_prod_chosen!$D$83:$CU$99,Storage_Reconciled_prod_chosen!$C93,FALSE)</f>
        <v>0.06</v>
      </c>
      <c r="M92" s="147">
        <f>HLOOKUP(M$109,Storage_Reconciled_prod_chosen!$D$83:$CU$99,Storage_Reconciled_prod_chosen!$C93,FALSE)</f>
        <v>9.9999999999999985E-3</v>
      </c>
      <c r="N92" s="147">
        <f>HLOOKUP(N$109,Storage_Reconciled_prod_chosen!$D$83:$CU$99,Storage_Reconciled_prod_chosen!$C93,FALSE)</f>
        <v>9.9999999999999985E-3</v>
      </c>
      <c r="O92" s="147">
        <f>HLOOKUP(O$109,Storage_Reconciled_prod_chosen!$D$83:$CU$99,Storage_Reconciled_prod_chosen!$C93,FALSE)</f>
        <v>9.9999999999999985E-3</v>
      </c>
      <c r="P92" s="155">
        <f>HLOOKUP(P$109,Storage_Reconciled_prod_chosen!$D$83:$CU$99,Storage_Reconciled_prod_chosen!$C93,FALSE)</f>
        <v>2.9999999999999995E-2</v>
      </c>
      <c r="Q92" s="157">
        <f>HLOOKUP(Q$109,Storage_Reconciled_prod_chosen!$D$83:$CU$99,Storage_Reconciled_prod_chosen!$C93,FALSE)</f>
        <v>0.09</v>
      </c>
      <c r="R92" s="147">
        <f>HLOOKUP(R$109,Storage_Reconciled_prod_chosen!$D$83:$CU$99,Storage_Reconciled_prod_chosen!$C93,FALSE)</f>
        <v>4.0000000000000001E-3</v>
      </c>
      <c r="S92" s="147">
        <f>HLOOKUP(S$109,Storage_Reconciled_prod_chosen!$D$83:$CU$99,Storage_Reconciled_prod_chosen!$C93,FALSE)</f>
        <v>4.0000000000000001E-3</v>
      </c>
      <c r="T92" s="147">
        <f>HLOOKUP(T$109,Storage_Reconciled_prod_chosen!$D$83:$CU$99,Storage_Reconciled_prod_chosen!$C93,FALSE)</f>
        <v>7.0000000000000001E-3</v>
      </c>
      <c r="U92" s="155">
        <f>HLOOKUP(U$109,Storage_Reconciled_prod_chosen!$D$83:$CU$99,Storage_Reconciled_prod_chosen!$C93,FALSE)</f>
        <v>1.4999999999999999E-2</v>
      </c>
      <c r="V92" s="157">
        <f>HLOOKUP(V$109,Storage_Reconciled_prod_chosen!$D$83:$CU$99,Storage_Reconciled_prod_chosen!$C93,FALSE)</f>
        <v>0.106</v>
      </c>
      <c r="Z92" s="443">
        <f t="shared" si="10"/>
        <v>1.0999999999999999E-2</v>
      </c>
      <c r="AA92" s="443">
        <f t="shared" si="11"/>
        <v>3.0999999999999996E-2</v>
      </c>
      <c r="AC92">
        <f t="shared" si="12"/>
        <v>4.9999999999999989E-2</v>
      </c>
    </row>
    <row r="93" spans="3:29" ht="15.75">
      <c r="C93" s="144" t="s">
        <v>66</v>
      </c>
      <c r="D93" s="147">
        <f>HLOOKUP(D$109,Storage_Reconciled_prod_chosen!$D$83:$CU$99,Storage_Reconciled_prod_chosen!$C94,FALSE)</f>
        <v>5.0999999999999997E-2</v>
      </c>
      <c r="E93" s="147">
        <f>HLOOKUP(E$109,Storage_Reconciled_prod_chosen!$D$83:$CU$99,Storage_Reconciled_prod_chosen!$C94,FALSE)</f>
        <v>6.7000000000000004E-2</v>
      </c>
      <c r="F93" s="147">
        <f>HLOOKUP(F$109,Storage_Reconciled_prod_chosen!$D$83:$CU$99,Storage_Reconciled_prod_chosen!$C94,FALSE)</f>
        <v>6.7000000000000004E-2</v>
      </c>
      <c r="G93" s="155">
        <f>HLOOKUP(G$109,Storage_Reconciled_prod_chosen!$D$83:$CU$99,Storage_Reconciled_prod_chosen!$C94,FALSE)</f>
        <v>0.185</v>
      </c>
      <c r="H93" s="147">
        <f>HLOOKUP(H$109,Storage_Reconciled_prod_chosen!$D$83:$CU$99,Storage_Reconciled_prod_chosen!$C94,FALSE)</f>
        <v>6.9000000000000006E-2</v>
      </c>
      <c r="I93" s="147">
        <f>HLOOKUP(I$109,Storage_Reconciled_prod_chosen!$D$83:$CU$99,Storage_Reconciled_prod_chosen!$C94,FALSE)</f>
        <v>7.0999999999999994E-2</v>
      </c>
      <c r="J93" s="147">
        <f>HLOOKUP(J$109,Storage_Reconciled_prod_chosen!$D$83:$CU$99,Storage_Reconciled_prod_chosen!$C94,FALSE)</f>
        <v>6.6000000000000003E-2</v>
      </c>
      <c r="K93" s="155">
        <f>HLOOKUP(K$109,Storage_Reconciled_prod_chosen!$D$83:$CU$99,Storage_Reconciled_prod_chosen!$C94,FALSE)</f>
        <v>0.20600000000000002</v>
      </c>
      <c r="L93" s="157">
        <f>HLOOKUP(L$109,Storage_Reconciled_prod_chosen!$D$83:$CU$99,Storage_Reconciled_prod_chosen!$C94,FALSE)</f>
        <v>0.39100000000000001</v>
      </c>
      <c r="M93" s="147">
        <f>HLOOKUP(M$109,Storage_Reconciled_prod_chosen!$D$83:$CU$99,Storage_Reconciled_prod_chosen!$C94,FALSE)</f>
        <v>6.9000000000000006E-2</v>
      </c>
      <c r="N93" s="147">
        <f>HLOOKUP(N$109,Storage_Reconciled_prod_chosen!$D$83:$CU$99,Storage_Reconciled_prod_chosen!$C94,FALSE)</f>
        <v>6.7000000000000004E-2</v>
      </c>
      <c r="O93" s="147">
        <f>HLOOKUP(O$109,Storage_Reconciled_prod_chosen!$D$83:$CU$99,Storage_Reconciled_prod_chosen!$C94,FALSE)</f>
        <v>6.6000000000000003E-2</v>
      </c>
      <c r="P93" s="155">
        <f>HLOOKUP(P$109,Storage_Reconciled_prod_chosen!$D$83:$CU$99,Storage_Reconciled_prod_chosen!$C94,FALSE)</f>
        <v>0.20200000000000001</v>
      </c>
      <c r="Q93" s="157">
        <f>HLOOKUP(Q$109,Storage_Reconciled_prod_chosen!$D$83:$CU$99,Storage_Reconciled_prod_chosen!$C94,FALSE)</f>
        <v>0.59299999999999997</v>
      </c>
      <c r="R93" s="147">
        <f>HLOOKUP(R$109,Storage_Reconciled_prod_chosen!$D$83:$CU$99,Storage_Reconciled_prod_chosen!$C94,FALSE)</f>
        <v>7.3999999999999996E-2</v>
      </c>
      <c r="S93" s="147">
        <f>HLOOKUP(S$109,Storage_Reconciled_prod_chosen!$D$83:$CU$99,Storage_Reconciled_prod_chosen!$C94,FALSE)</f>
        <v>6.5000000000000002E-2</v>
      </c>
      <c r="T93" s="147">
        <f>HLOOKUP(T$109,Storage_Reconciled_prod_chosen!$D$83:$CU$99,Storage_Reconciled_prod_chosen!$C94,FALSE)</f>
        <v>1.7000000000000001E-2</v>
      </c>
      <c r="U93" s="155">
        <f>HLOOKUP(U$109,Storage_Reconciled_prod_chosen!$D$83:$CU$99,Storage_Reconciled_prod_chosen!$C94,FALSE)</f>
        <v>0.15600000000000003</v>
      </c>
      <c r="V93" s="157">
        <f>HLOOKUP(V$109,Storage_Reconciled_prod_chosen!$D$83:$CU$99,Storage_Reconciled_prod_chosen!$C94,FALSE)</f>
        <v>0.748</v>
      </c>
      <c r="Z93" s="443">
        <f t="shared" si="10"/>
        <v>7.0999999999999994E-2</v>
      </c>
      <c r="AA93" s="443">
        <f t="shared" si="11"/>
        <v>0.20600000000000002</v>
      </c>
      <c r="AC93">
        <f t="shared" si="12"/>
        <v>0.32500000000000001</v>
      </c>
    </row>
    <row r="94" spans="3:29" ht="15.75">
      <c r="C94" s="144" t="s">
        <v>67</v>
      </c>
      <c r="D94" s="147">
        <f>HLOOKUP(D$109,Storage_Reconciled_prod_chosen!$D$83:$CU$99,Storage_Reconciled_prod_chosen!$C95,FALSE)</f>
        <v>0.05</v>
      </c>
      <c r="E94" s="147">
        <f>HLOOKUP(E$109,Storage_Reconciled_prod_chosen!$D$83:$CU$99,Storage_Reconciled_prod_chosen!$C95,FALSE)</f>
        <v>5.5E-2</v>
      </c>
      <c r="F94" s="147">
        <f>HLOOKUP(F$109,Storage_Reconciled_prod_chosen!$D$83:$CU$99,Storage_Reconciled_prod_chosen!$C95,FALSE)</f>
        <v>5.2999999999999999E-2</v>
      </c>
      <c r="G94" s="155">
        <f>HLOOKUP(G$109,Storage_Reconciled_prod_chosen!$D$83:$CU$99,Storage_Reconciled_prod_chosen!$C95,FALSE)</f>
        <v>0.158</v>
      </c>
      <c r="H94" s="147">
        <f>HLOOKUP(H$109,Storage_Reconciled_prod_chosen!$D$83:$CU$99,Storage_Reconciled_prod_chosen!$C95,FALSE)</f>
        <v>5.1999999999999998E-2</v>
      </c>
      <c r="I94" s="147">
        <f>HLOOKUP(I$109,Storage_Reconciled_prod_chosen!$D$83:$CU$99,Storage_Reconciled_prod_chosen!$C95,FALSE)</f>
        <v>5.0999999999999997E-2</v>
      </c>
      <c r="J94" s="147">
        <f>HLOOKUP(J$109,Storage_Reconciled_prod_chosen!$D$83:$CU$99,Storage_Reconciled_prod_chosen!$C95,FALSE)</f>
        <v>4.7E-2</v>
      </c>
      <c r="K94" s="155">
        <f>HLOOKUP(K$109,Storage_Reconciled_prod_chosen!$D$83:$CU$99,Storage_Reconciled_prod_chosen!$C95,FALSE)</f>
        <v>0.15</v>
      </c>
      <c r="L94" s="157">
        <f>HLOOKUP(L$109,Storage_Reconciled_prod_chosen!$D$83:$CU$99,Storage_Reconciled_prod_chosen!$C95,FALSE)</f>
        <v>0.308</v>
      </c>
      <c r="M94" s="147">
        <f>HLOOKUP(M$109,Storage_Reconciled_prod_chosen!$D$83:$CU$99,Storage_Reconciled_prod_chosen!$C95,FALSE)</f>
        <v>5.2999999999999999E-2</v>
      </c>
      <c r="N94" s="147">
        <f>HLOOKUP(N$109,Storage_Reconciled_prod_chosen!$D$83:$CU$99,Storage_Reconciled_prod_chosen!$C95,FALSE)</f>
        <v>4.1000000000000002E-2</v>
      </c>
      <c r="O94" s="147">
        <f>HLOOKUP(O$109,Storage_Reconciled_prod_chosen!$D$83:$CU$99,Storage_Reconciled_prod_chosen!$C95,FALSE)</f>
        <v>1.2999999999999999E-2</v>
      </c>
      <c r="P94" s="155">
        <f>HLOOKUP(P$109,Storage_Reconciled_prod_chosen!$D$83:$CU$99,Storage_Reconciled_prod_chosen!$C95,FALSE)</f>
        <v>0.107</v>
      </c>
      <c r="Q94" s="157">
        <f>HLOOKUP(Q$109,Storage_Reconciled_prod_chosen!$D$83:$CU$99,Storage_Reconciled_prod_chosen!$C95,FALSE)</f>
        <v>0.41499999999999998</v>
      </c>
      <c r="R94" s="147">
        <f>HLOOKUP(R$109,Storage_Reconciled_prod_chosen!$D$83:$CU$99,Storage_Reconciled_prod_chosen!$C95,FALSE)</f>
        <v>5.3999999999999999E-2</v>
      </c>
      <c r="S94" s="147">
        <f>HLOOKUP(S$109,Storage_Reconciled_prod_chosen!$D$83:$CU$99,Storage_Reconciled_prod_chosen!$C95,FALSE)</f>
        <v>0.05</v>
      </c>
      <c r="T94" s="147">
        <f>HLOOKUP(T$109,Storage_Reconciled_prod_chosen!$D$83:$CU$99,Storage_Reconciled_prod_chosen!$C95,FALSE)</f>
        <v>5.6000000000000001E-2</v>
      </c>
      <c r="U94" s="155">
        <f>HLOOKUP(U$109,Storage_Reconciled_prod_chosen!$D$83:$CU$99,Storage_Reconciled_prod_chosen!$C95,FALSE)</f>
        <v>0.16</v>
      </c>
      <c r="V94" s="157">
        <f>HLOOKUP(V$109,Storage_Reconciled_prod_chosen!$D$83:$CU$99,Storage_Reconciled_prod_chosen!$C95,FALSE)</f>
        <v>0.57499999999999996</v>
      </c>
      <c r="Z94" s="443">
        <f t="shared" si="10"/>
        <v>5.0999999999999997E-2</v>
      </c>
      <c r="AA94" s="443">
        <f t="shared" si="11"/>
        <v>0.15</v>
      </c>
      <c r="AC94">
        <f t="shared" si="12"/>
        <v>0.26100000000000001</v>
      </c>
    </row>
    <row r="95" spans="3:29" ht="15.75">
      <c r="C95" s="144" t="s">
        <v>68</v>
      </c>
      <c r="D95" s="147">
        <f>HLOOKUP(D$109,Storage_Reconciled_prod_chosen!$D$83:$CU$99,Storage_Reconciled_prod_chosen!$C96,FALSE)</f>
        <v>1.0999999999999999E-2</v>
      </c>
      <c r="E95" s="147">
        <f>HLOOKUP(E$109,Storage_Reconciled_prod_chosen!$D$83:$CU$99,Storage_Reconciled_prod_chosen!$C96,FALSE)</f>
        <v>1.2E-2</v>
      </c>
      <c r="F95" s="147">
        <f>HLOOKUP(F$109,Storage_Reconciled_prod_chosen!$D$83:$CU$99,Storage_Reconciled_prod_chosen!$C96,FALSE)</f>
        <v>1.2E-2</v>
      </c>
      <c r="G95" s="155">
        <f>HLOOKUP(G$109,Storage_Reconciled_prod_chosen!$D$83:$CU$99,Storage_Reconciled_prod_chosen!$C96,FALSE)</f>
        <v>3.5000000000000003E-2</v>
      </c>
      <c r="H95" s="147">
        <f>HLOOKUP(H$109,Storage_Reconciled_prod_chosen!$D$83:$CU$99,Storage_Reconciled_prod_chosen!$C96,FALSE)</f>
        <v>1.2E-2</v>
      </c>
      <c r="I95" s="147">
        <f>HLOOKUP(I$109,Storage_Reconciled_prod_chosen!$D$83:$CU$99,Storage_Reconciled_prod_chosen!$C96,FALSE)</f>
        <v>1.2999999999999999E-2</v>
      </c>
      <c r="J95" s="147">
        <f>HLOOKUP(J$109,Storage_Reconciled_prod_chosen!$D$83:$CU$99,Storage_Reconciled_prod_chosen!$C96,FALSE)</f>
        <v>0.01</v>
      </c>
      <c r="K95" s="155">
        <f>HLOOKUP(K$109,Storage_Reconciled_prod_chosen!$D$83:$CU$99,Storage_Reconciled_prod_chosen!$C96,FALSE)</f>
        <v>3.5000000000000003E-2</v>
      </c>
      <c r="L95" s="157">
        <f>HLOOKUP(L$109,Storage_Reconciled_prod_chosen!$D$83:$CU$99,Storage_Reconciled_prod_chosen!$C96,FALSE)</f>
        <v>7.0000000000000007E-2</v>
      </c>
      <c r="M95" s="147">
        <f>HLOOKUP(M$109,Storage_Reconciled_prod_chosen!$D$83:$CU$99,Storage_Reconciled_prod_chosen!$C96,FALSE)</f>
        <v>1.4E-2</v>
      </c>
      <c r="N95" s="147">
        <f>HLOOKUP(N$109,Storage_Reconciled_prod_chosen!$D$83:$CU$99,Storage_Reconciled_prod_chosen!$C96,FALSE)</f>
        <v>1.2999999999999999E-2</v>
      </c>
      <c r="O95" s="147">
        <f>HLOOKUP(O$109,Storage_Reconciled_prod_chosen!$D$83:$CU$99,Storage_Reconciled_prod_chosen!$C96,FALSE)</f>
        <v>4.0000000000000001E-3</v>
      </c>
      <c r="P95" s="155">
        <f>HLOOKUP(P$109,Storage_Reconciled_prod_chosen!$D$83:$CU$99,Storage_Reconciled_prod_chosen!$C96,FALSE)</f>
        <v>3.1E-2</v>
      </c>
      <c r="Q95" s="157">
        <f>HLOOKUP(Q$109,Storage_Reconciled_prod_chosen!$D$83:$CU$99,Storage_Reconciled_prod_chosen!$C96,FALSE)</f>
        <v>0.10100000000000001</v>
      </c>
      <c r="R95" s="147">
        <f>HLOOKUP(R$109,Storage_Reconciled_prod_chosen!$D$83:$CU$99,Storage_Reconciled_prod_chosen!$C96,FALSE)</f>
        <v>0.01</v>
      </c>
      <c r="S95" s="147">
        <f>HLOOKUP(S$109,Storage_Reconciled_prod_chosen!$D$83:$CU$99,Storage_Reconciled_prod_chosen!$C96,FALSE)</f>
        <v>1.2999999999999999E-2</v>
      </c>
      <c r="T95" s="147">
        <f>HLOOKUP(T$109,Storage_Reconciled_prod_chosen!$D$83:$CU$99,Storage_Reconciled_prod_chosen!$C96,FALSE)</f>
        <v>1.2E-2</v>
      </c>
      <c r="U95" s="155">
        <f>HLOOKUP(U$109,Storage_Reconciled_prod_chosen!$D$83:$CU$99,Storage_Reconciled_prod_chosen!$C96,FALSE)</f>
        <v>3.5000000000000003E-2</v>
      </c>
      <c r="V95" s="157">
        <f>HLOOKUP(V$109,Storage_Reconciled_prod_chosen!$D$83:$CU$99,Storage_Reconciled_prod_chosen!$C96,FALSE)</f>
        <v>0.13600000000000001</v>
      </c>
      <c r="Z95" s="443">
        <f t="shared" si="10"/>
        <v>1.2999999999999999E-2</v>
      </c>
      <c r="AA95" s="443">
        <f t="shared" si="11"/>
        <v>3.5000000000000003E-2</v>
      </c>
      <c r="AC95">
        <f t="shared" si="12"/>
        <v>0.06</v>
      </c>
    </row>
    <row r="96" spans="3:29" ht="15.75">
      <c r="C96" s="144" t="s">
        <v>69</v>
      </c>
      <c r="D96" s="147">
        <f>HLOOKUP(D$109,Storage_Reconciled_prod_chosen!$D$83:$CU$99,Storage_Reconciled_prod_chosen!$C97,FALSE)</f>
        <v>6.0000000000000001E-3</v>
      </c>
      <c r="E96" s="147">
        <f>HLOOKUP(E$109,Storage_Reconciled_prod_chosen!$D$83:$CU$99,Storage_Reconciled_prod_chosen!$C97,FALSE)</f>
        <v>6.0000000000000001E-3</v>
      </c>
      <c r="F96" s="147">
        <f>HLOOKUP(F$109,Storage_Reconciled_prod_chosen!$D$83:$CU$99,Storage_Reconciled_prod_chosen!$C97,FALSE)</f>
        <v>6.0000000000000001E-3</v>
      </c>
      <c r="G96" s="155">
        <f>HLOOKUP(G$109,Storage_Reconciled_prod_chosen!$D$83:$CU$99,Storage_Reconciled_prod_chosen!$C97,FALSE)</f>
        <v>1.8000000000000002E-2</v>
      </c>
      <c r="H96" s="147">
        <f>HLOOKUP(H$109,Storage_Reconciled_prod_chosen!$D$83:$CU$99,Storage_Reconciled_prod_chosen!$C97,FALSE)</f>
        <v>0</v>
      </c>
      <c r="I96" s="147">
        <f>HLOOKUP(I$109,Storage_Reconciled_prod_chosen!$D$83:$CU$99,Storage_Reconciled_prod_chosen!$C97,FALSE)</f>
        <v>0</v>
      </c>
      <c r="J96" s="147">
        <f>HLOOKUP(J$109,Storage_Reconciled_prod_chosen!$D$83:$CU$99,Storage_Reconciled_prod_chosen!$C97,FALSE)</f>
        <v>0</v>
      </c>
      <c r="K96" s="155">
        <f>HLOOKUP(K$109,Storage_Reconciled_prod_chosen!$D$83:$CU$99,Storage_Reconciled_prod_chosen!$C97,FALSE)</f>
        <v>0</v>
      </c>
      <c r="L96" s="157">
        <f>HLOOKUP(L$109,Storage_Reconciled_prod_chosen!$D$83:$CU$99,Storage_Reconciled_prod_chosen!$C97,FALSE)</f>
        <v>1.8000000000000002E-2</v>
      </c>
      <c r="M96" s="147">
        <f>HLOOKUP(M$109,Storage_Reconciled_prod_chosen!$D$83:$CU$99,Storage_Reconciled_prod_chosen!$C97,FALSE)</f>
        <v>0</v>
      </c>
      <c r="N96" s="147">
        <f>HLOOKUP(N$109,Storage_Reconciled_prod_chosen!$D$83:$CU$99,Storage_Reconciled_prod_chosen!$C97,FALSE)</f>
        <v>0</v>
      </c>
      <c r="O96" s="147">
        <f>HLOOKUP(O$109,Storage_Reconciled_prod_chosen!$D$83:$CU$99,Storage_Reconciled_prod_chosen!$C97,FALSE)</f>
        <v>0</v>
      </c>
      <c r="P96" s="155">
        <f>HLOOKUP(P$109,Storage_Reconciled_prod_chosen!$D$83:$CU$99,Storage_Reconciled_prod_chosen!$C97,FALSE)</f>
        <v>0</v>
      </c>
      <c r="Q96" s="157">
        <f>HLOOKUP(Q$109,Storage_Reconciled_prod_chosen!$D$83:$CU$99,Storage_Reconciled_prod_chosen!$C97,FALSE)</f>
        <v>1.8000000000000002E-2</v>
      </c>
      <c r="R96" s="147">
        <f>HLOOKUP(R$109,Storage_Reconciled_prod_chosen!$D$83:$CU$99,Storage_Reconciled_prod_chosen!$C97,FALSE)</f>
        <v>0</v>
      </c>
      <c r="S96" s="147">
        <f>HLOOKUP(S$109,Storage_Reconciled_prod_chosen!$D$83:$CU$99,Storage_Reconciled_prod_chosen!$C97,FALSE)</f>
        <v>0</v>
      </c>
      <c r="T96" s="147">
        <f>HLOOKUP(T$109,Storage_Reconciled_prod_chosen!$D$83:$CU$99,Storage_Reconciled_prod_chosen!$C97,FALSE)</f>
        <v>0</v>
      </c>
      <c r="U96" s="155">
        <f>HLOOKUP(U$109,Storage_Reconciled_prod_chosen!$D$83:$CU$99,Storage_Reconciled_prod_chosen!$C97,FALSE)</f>
        <v>0</v>
      </c>
      <c r="V96" s="157">
        <f>HLOOKUP(V$109,Storage_Reconciled_prod_chosen!$D$83:$CU$99,Storage_Reconciled_prod_chosen!$C97,FALSE)</f>
        <v>1.7999999999999999E-2</v>
      </c>
      <c r="Z96" s="443">
        <f t="shared" si="10"/>
        <v>0</v>
      </c>
      <c r="AA96" s="443">
        <f t="shared" si="11"/>
        <v>0</v>
      </c>
      <c r="AC96">
        <f t="shared" si="12"/>
        <v>1.8000000000000002E-2</v>
      </c>
    </row>
    <row r="97" spans="1:29" ht="15.75">
      <c r="C97" s="144" t="s">
        <v>70</v>
      </c>
      <c r="D97" s="147">
        <f>HLOOKUP(D$109,Storage_Reconciled_prod_chosen!$D$83:$CU$99,Storage_Reconciled_prod_chosen!$C98,FALSE)</f>
        <v>6.9000000000000006E-2</v>
      </c>
      <c r="E97" s="147">
        <f>HLOOKUP(E$109,Storage_Reconciled_prod_chosen!$D$83:$CU$99,Storage_Reconciled_prod_chosen!$C98,FALSE)</f>
        <v>7.2999999999999995E-2</v>
      </c>
      <c r="F97" s="147">
        <f>HLOOKUP(F$109,Storage_Reconciled_prod_chosen!$D$83:$CU$99,Storage_Reconciled_prod_chosen!$C98,FALSE)</f>
        <v>7.2999999999999995E-2</v>
      </c>
      <c r="G97" s="155">
        <f>HLOOKUP(G$109,Storage_Reconciled_prod_chosen!$D$83:$CU$99,Storage_Reconciled_prod_chosen!$C98,FALSE)</f>
        <v>0.21500000000000002</v>
      </c>
      <c r="H97" s="147">
        <f>HLOOKUP(H$109,Storage_Reconciled_prod_chosen!$D$83:$CU$99,Storage_Reconciled_prod_chosen!$C98,FALSE)</f>
        <v>7.6999999999999999E-2</v>
      </c>
      <c r="I97" s="147">
        <f>HLOOKUP(I$109,Storage_Reconciled_prod_chosen!$D$83:$CU$99,Storage_Reconciled_prod_chosen!$C98,FALSE)</f>
        <v>7.4999999999999997E-2</v>
      </c>
      <c r="J97" s="147">
        <f>HLOOKUP(J$109,Storage_Reconciled_prod_chosen!$D$83:$CU$99,Storage_Reconciled_prod_chosen!$C98,FALSE)</f>
        <v>6.2E-2</v>
      </c>
      <c r="K97" s="155">
        <f>HLOOKUP(K$109,Storage_Reconciled_prod_chosen!$D$83:$CU$99,Storage_Reconciled_prod_chosen!$C98,FALSE)</f>
        <v>0.214</v>
      </c>
      <c r="L97" s="157">
        <f>HLOOKUP(L$109,Storage_Reconciled_prod_chosen!$D$83:$CU$99,Storage_Reconciled_prod_chosen!$C98,FALSE)</f>
        <v>0.42900000000000005</v>
      </c>
      <c r="M97" s="147">
        <f>HLOOKUP(M$109,Storage_Reconciled_prod_chosen!$D$83:$CU$99,Storage_Reconciled_prod_chosen!$C98,FALSE)</f>
        <v>6.4000000000000001E-2</v>
      </c>
      <c r="N97" s="147">
        <f>HLOOKUP(N$109,Storage_Reconciled_prod_chosen!$D$83:$CU$99,Storage_Reconciled_prod_chosen!$C98,FALSE)</f>
        <v>7.2999999999999995E-2</v>
      </c>
      <c r="O97" s="147">
        <f>HLOOKUP(O$109,Storage_Reconciled_prod_chosen!$D$83:$CU$99,Storage_Reconciled_prod_chosen!$C98,FALSE)</f>
        <v>7.3999999999999996E-2</v>
      </c>
      <c r="P97" s="155">
        <f>HLOOKUP(P$109,Storage_Reconciled_prod_chosen!$D$83:$CU$99,Storage_Reconciled_prod_chosen!$C98,FALSE)</f>
        <v>0.21100000000000002</v>
      </c>
      <c r="Q97" s="157">
        <f>HLOOKUP(Q$109,Storage_Reconciled_prod_chosen!$D$83:$CU$99,Storage_Reconciled_prod_chosen!$C98,FALSE)</f>
        <v>0.64000000000000012</v>
      </c>
      <c r="R97" s="147">
        <f>HLOOKUP(R$109,Storage_Reconciled_prod_chosen!$D$83:$CU$99,Storage_Reconciled_prod_chosen!$C98,FALSE)</f>
        <v>8.2000000000000003E-2</v>
      </c>
      <c r="S97" s="147">
        <f>HLOOKUP(S$109,Storage_Reconciled_prod_chosen!$D$83:$CU$99,Storage_Reconciled_prod_chosen!$C98,FALSE)</f>
        <v>6.9000000000000006E-2</v>
      </c>
      <c r="T97" s="147">
        <f>HLOOKUP(T$109,Storage_Reconciled_prod_chosen!$D$83:$CU$99,Storage_Reconciled_prod_chosen!$C98,FALSE)</f>
        <v>7.8E-2</v>
      </c>
      <c r="U97" s="155">
        <f>HLOOKUP(U$109,Storage_Reconciled_prod_chosen!$D$83:$CU$99,Storage_Reconciled_prod_chosen!$C98,FALSE)</f>
        <v>0.22900000000000004</v>
      </c>
      <c r="V97" s="157">
        <f>HLOOKUP(V$109,Storage_Reconciled_prod_chosen!$D$83:$CU$99,Storage_Reconciled_prod_chosen!$C98,FALSE)</f>
        <v>0.86799999999999999</v>
      </c>
      <c r="Z97" s="443">
        <f t="shared" si="10"/>
        <v>7.4999999999999997E-2</v>
      </c>
      <c r="AA97" s="443">
        <f t="shared" si="11"/>
        <v>0.214</v>
      </c>
      <c r="AC97">
        <f t="shared" si="12"/>
        <v>0.36700000000000005</v>
      </c>
    </row>
    <row r="98" spans="1:29" ht="15.75">
      <c r="C98" s="145" t="s">
        <v>92</v>
      </c>
      <c r="D98" s="158">
        <f>HLOOKUP(D$109,Storage_Reconciled_prod_chosen!$D$83:$CU$99,Storage_Reconciled_prod_chosen!$C99,FALSE)</f>
        <v>0.81800000000000006</v>
      </c>
      <c r="E98" s="158">
        <f>HLOOKUP(E$109,Storage_Reconciled_prod_chosen!$D$83:$CU$99,Storage_Reconciled_prod_chosen!$C99,FALSE)</f>
        <v>0.8350000000000003</v>
      </c>
      <c r="F98" s="158">
        <f>HLOOKUP(F$109,Storage_Reconciled_prod_chosen!$D$83:$CU$99,Storage_Reconciled_prod_chosen!$C99,FALSE)</f>
        <v>0.79800000000000015</v>
      </c>
      <c r="G98" s="159">
        <f>HLOOKUP(G$109,Storage_Reconciled_prod_chosen!$D$83:$CU$99,Storage_Reconciled_prod_chosen!$C99,FALSE)</f>
        <v>2.4509999999999996</v>
      </c>
      <c r="H98" s="158">
        <f>HLOOKUP(H$109,Storage_Reconciled_prod_chosen!$D$83:$CU$99,Storage_Reconciled_prod_chosen!$C99,FALSE)</f>
        <v>0.82099999999999995</v>
      </c>
      <c r="I98" s="158">
        <f>HLOOKUP(I$109,Storage_Reconciled_prod_chosen!$D$83:$CU$99,Storage_Reconciled_prod_chosen!$C99,FALSE)</f>
        <v>0.7</v>
      </c>
      <c r="J98" s="158">
        <f>HLOOKUP(J$109,Storage_Reconciled_prod_chosen!$D$83:$CU$99,Storage_Reconciled_prod_chosen!$C99,FALSE)</f>
        <v>0.79900000000000015</v>
      </c>
      <c r="K98" s="159">
        <f>HLOOKUP(K$109,Storage_Reconciled_prod_chosen!$D$83:$CU$99,Storage_Reconciled_prod_chosen!$C99,FALSE)</f>
        <v>2.3200000000000003</v>
      </c>
      <c r="L98" s="160">
        <f>HLOOKUP(L$109,Storage_Reconciled_prod_chosen!$D$83:$CU$99,Storage_Reconciled_prod_chosen!$C99,FALSE)</f>
        <v>4.7709999999999999</v>
      </c>
      <c r="M98" s="158">
        <f>HLOOKUP(M$109,Storage_Reconciled_prod_chosen!$D$83:$CU$99,Storage_Reconciled_prod_chosen!$C99,FALSE)</f>
        <v>0.83099999999999996</v>
      </c>
      <c r="N98" s="158">
        <f>HLOOKUP(N$109,Storage_Reconciled_prod_chosen!$D$83:$CU$99,Storage_Reconciled_prod_chosen!$C99,FALSE)</f>
        <v>0.80399999999999994</v>
      </c>
      <c r="O98" s="158">
        <f>HLOOKUP(O$109,Storage_Reconciled_prod_chosen!$D$83:$CU$99,Storage_Reconciled_prod_chosen!$C99,FALSE)</f>
        <v>0.75700000000000001</v>
      </c>
      <c r="P98" s="159">
        <f>HLOOKUP(P$109,Storage_Reconciled_prod_chosen!$D$83:$CU$99,Storage_Reconciled_prod_chosen!$C99,FALSE)</f>
        <v>2.3919999999999999</v>
      </c>
      <c r="Q98" s="160">
        <f>HLOOKUP(Q$109,Storage_Reconciled_prod_chosen!$D$83:$CU$99,Storage_Reconciled_prod_chosen!$C99,FALSE)</f>
        <v>7.1630000000000003</v>
      </c>
      <c r="R98" s="158">
        <f>HLOOKUP(R$109,Storage_Reconciled_prod_chosen!$D$83:$CU$99,Storage_Reconciled_prod_chosen!$C99,FALSE)</f>
        <v>0.82199999999999995</v>
      </c>
      <c r="S98" s="158">
        <f>HLOOKUP(S$109,Storage_Reconciled_prod_chosen!$D$83:$CU$99,Storage_Reconciled_prod_chosen!$C99,FALSE)</f>
        <v>0.79700000000000015</v>
      </c>
      <c r="T98" s="158">
        <f>HLOOKUP(T$109,Storage_Reconciled_prod_chosen!$D$83:$CU$99,Storage_Reconciled_prod_chosen!$C99,FALSE)</f>
        <v>0.8510000000000002</v>
      </c>
      <c r="U98" s="159">
        <f>HLOOKUP(U$109,Storage_Reconciled_prod_chosen!$D$83:$CU$99,Storage_Reconciled_prod_chosen!$C99,FALSE)</f>
        <v>2.4689999999999999</v>
      </c>
      <c r="V98" s="160">
        <f>HLOOKUP(V$109,Storage_Reconciled_prod_chosen!$D$83:$CU$99,Storage_Reconciled_prod_chosen!$C99,FALSE)</f>
        <v>9.6709999999999994</v>
      </c>
      <c r="Z98" s="443">
        <f t="shared" si="10"/>
        <v>0.7</v>
      </c>
      <c r="AA98" s="443">
        <f t="shared" si="11"/>
        <v>2.3200000000000003</v>
      </c>
      <c r="AC98">
        <f t="shared" si="12"/>
        <v>3.9720000000000004</v>
      </c>
    </row>
    <row r="102" spans="1:29" s="443" customFormat="1">
      <c r="A102" s="443" t="s">
        <v>502</v>
      </c>
    </row>
    <row r="103" spans="1:29" s="443" customFormat="1">
      <c r="A103" s="443" t="s">
        <v>502</v>
      </c>
      <c r="D103" s="443">
        <v>1</v>
      </c>
      <c r="E103" s="443">
        <v>2</v>
      </c>
      <c r="F103" s="443">
        <v>3</v>
      </c>
      <c r="G103" s="443">
        <v>9999</v>
      </c>
      <c r="H103" s="443">
        <v>4</v>
      </c>
      <c r="I103" s="443">
        <v>5</v>
      </c>
      <c r="J103" s="443">
        <v>6</v>
      </c>
      <c r="K103" s="443">
        <v>9999</v>
      </c>
      <c r="L103" s="443">
        <v>9999</v>
      </c>
      <c r="M103" s="443">
        <v>7</v>
      </c>
      <c r="N103" s="443">
        <v>8</v>
      </c>
      <c r="O103" s="443">
        <v>9</v>
      </c>
      <c r="P103" s="443">
        <v>9999</v>
      </c>
      <c r="Q103" s="443">
        <v>9999</v>
      </c>
      <c r="R103" s="443">
        <v>10</v>
      </c>
      <c r="S103" s="443">
        <v>11</v>
      </c>
      <c r="T103" s="443">
        <v>12</v>
      </c>
      <c r="U103" s="443">
        <v>9999</v>
      </c>
      <c r="V103" s="443">
        <v>9999</v>
      </c>
      <c r="Z103" s="443" t="str">
        <f>VLOOKUP(Z2,Dropdowns!B98:C109,2,FALSE)</f>
        <v>Aug'25</v>
      </c>
      <c r="AA103" s="443" t="str">
        <f>VLOOKUP(Z3,Dropdowns!F98:G101,2,FALSE)</f>
        <v>Q2 25-26</v>
      </c>
    </row>
    <row r="104" spans="1:29" s="443" customFormat="1">
      <c r="A104" s="443" t="s">
        <v>502</v>
      </c>
      <c r="G104" s="443">
        <v>1</v>
      </c>
      <c r="K104" s="443">
        <v>2</v>
      </c>
      <c r="P104" s="443">
        <v>3</v>
      </c>
      <c r="U104" s="443">
        <v>4</v>
      </c>
    </row>
    <row r="105" spans="1:29" s="443" customFormat="1">
      <c r="A105" s="443" t="s">
        <v>502</v>
      </c>
      <c r="D105" s="443">
        <f>$Z$2-D103</f>
        <v>4</v>
      </c>
      <c r="E105" s="443">
        <f t="shared" ref="E105:V105" si="13">$Z$2-E103</f>
        <v>3</v>
      </c>
      <c r="F105" s="443">
        <f t="shared" si="13"/>
        <v>2</v>
      </c>
      <c r="G105" s="443">
        <f t="shared" si="13"/>
        <v>-9994</v>
      </c>
      <c r="H105" s="443">
        <f t="shared" si="13"/>
        <v>1</v>
      </c>
      <c r="I105" s="443">
        <f t="shared" si="13"/>
        <v>0</v>
      </c>
      <c r="J105" s="443">
        <f t="shared" si="13"/>
        <v>-1</v>
      </c>
      <c r="K105" s="443">
        <f t="shared" si="13"/>
        <v>-9994</v>
      </c>
      <c r="L105" s="443">
        <f t="shared" si="13"/>
        <v>-9994</v>
      </c>
      <c r="M105" s="443">
        <f t="shared" si="13"/>
        <v>-2</v>
      </c>
      <c r="N105" s="443">
        <f t="shared" si="13"/>
        <v>-3</v>
      </c>
      <c r="O105" s="443">
        <f t="shared" si="13"/>
        <v>-4</v>
      </c>
      <c r="P105" s="443">
        <f t="shared" si="13"/>
        <v>-9994</v>
      </c>
      <c r="Q105" s="443">
        <f t="shared" si="13"/>
        <v>-9994</v>
      </c>
      <c r="R105" s="443">
        <f t="shared" si="13"/>
        <v>-5</v>
      </c>
      <c r="S105" s="443">
        <f t="shared" si="13"/>
        <v>-6</v>
      </c>
      <c r="T105" s="443">
        <f t="shared" si="13"/>
        <v>-7</v>
      </c>
      <c r="U105" s="443">
        <f t="shared" si="13"/>
        <v>-9994</v>
      </c>
      <c r="V105" s="443">
        <f t="shared" si="13"/>
        <v>-9994</v>
      </c>
    </row>
    <row r="106" spans="1:29">
      <c r="A106" s="443" t="s">
        <v>502</v>
      </c>
      <c r="D106">
        <f t="shared" ref="D106:V106" si="14">IF(D105&gt;=0,1,0)</f>
        <v>1</v>
      </c>
      <c r="E106">
        <f t="shared" si="14"/>
        <v>1</v>
      </c>
      <c r="F106">
        <f t="shared" si="14"/>
        <v>1</v>
      </c>
      <c r="G106">
        <f t="shared" si="14"/>
        <v>0</v>
      </c>
      <c r="H106">
        <f t="shared" si="14"/>
        <v>1</v>
      </c>
      <c r="I106">
        <f t="shared" si="14"/>
        <v>1</v>
      </c>
      <c r="J106">
        <f t="shared" si="14"/>
        <v>0</v>
      </c>
      <c r="K106">
        <f t="shared" si="14"/>
        <v>0</v>
      </c>
      <c r="L106">
        <f t="shared" si="14"/>
        <v>0</v>
      </c>
      <c r="M106">
        <f t="shared" si="14"/>
        <v>0</v>
      </c>
      <c r="N106">
        <f t="shared" si="14"/>
        <v>0</v>
      </c>
      <c r="O106">
        <f t="shared" si="14"/>
        <v>0</v>
      </c>
      <c r="P106">
        <f t="shared" si="14"/>
        <v>0</v>
      </c>
      <c r="Q106">
        <f t="shared" si="14"/>
        <v>0</v>
      </c>
      <c r="R106">
        <f t="shared" si="14"/>
        <v>0</v>
      </c>
      <c r="S106">
        <f t="shared" si="14"/>
        <v>0</v>
      </c>
      <c r="T106">
        <f t="shared" si="14"/>
        <v>0</v>
      </c>
      <c r="U106">
        <f t="shared" si="14"/>
        <v>0</v>
      </c>
      <c r="V106">
        <f t="shared" si="14"/>
        <v>0</v>
      </c>
    </row>
    <row r="109" spans="1:29">
      <c r="A109" t="s">
        <v>849</v>
      </c>
      <c r="D109">
        <f>$A$1*100+4</f>
        <v>202504</v>
      </c>
      <c r="E109">
        <f>$A$1*100+5</f>
        <v>202505</v>
      </c>
      <c r="F109">
        <f>$A$1*100+6</f>
        <v>202506</v>
      </c>
      <c r="G109">
        <f>($A$1-2000)*10000+($A$2-2000)*100+31</f>
        <v>252631</v>
      </c>
      <c r="H109">
        <f>$A$1*100+7</f>
        <v>202507</v>
      </c>
      <c r="I109">
        <f>$A$1*100+8</f>
        <v>202508</v>
      </c>
      <c r="J109">
        <f>$A$1*100+9</f>
        <v>202509</v>
      </c>
      <c r="K109">
        <f>($A$1-2000)*10000+($A$2-2000)*100+32</f>
        <v>252632</v>
      </c>
      <c r="L109">
        <f>($A$1-2000)*10000+($A$2-2000)*100+61</f>
        <v>252661</v>
      </c>
      <c r="M109">
        <f>$A$1*100+10</f>
        <v>202510</v>
      </c>
      <c r="N109">
        <f>$A$1*100+11</f>
        <v>202511</v>
      </c>
      <c r="O109">
        <f>$A$1*100+12</f>
        <v>202512</v>
      </c>
      <c r="P109">
        <f>($A$1-2000)*10000+($A$2-2000)*100+33</f>
        <v>252633</v>
      </c>
      <c r="Q109">
        <f>($A$1-2000)*10000+($A$2-2000)*100+91</f>
        <v>252691</v>
      </c>
      <c r="R109">
        <f>$A$2*100+1</f>
        <v>202601</v>
      </c>
      <c r="S109">
        <f>$A$2*100+2</f>
        <v>202602</v>
      </c>
      <c r="T109">
        <f>$A$2*100+3</f>
        <v>202603</v>
      </c>
      <c r="U109">
        <f>($A$1-2000)*10000+($A$2-2000)*100+34</f>
        <v>252634</v>
      </c>
      <c r="V109">
        <f>($A$1-2000)*10000+($A$2-2000)*100+99</f>
        <v>252699</v>
      </c>
    </row>
    <row r="110" spans="1:29" ht="20.25" customHeight="1"/>
  </sheetData>
  <mergeCells count="5">
    <mergeCell ref="C4:V4"/>
    <mergeCell ref="C22:V22"/>
    <mergeCell ref="C42:V42"/>
    <mergeCell ref="C61:V61"/>
    <mergeCell ref="C82:V82"/>
  </mergeCells>
  <pageMargins left="0.7" right="0.7" top="0.75" bottom="0.75" header="0.3" footer="0.3"/>
  <pageSetup scale="35"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8481" r:id="rId4" name="Button 1">
              <controlPr defaultSize="0" print="0" autoFill="0" autoPict="0" macro="[0]!EXPORT_ACTIVE_SHEET">
                <anchor moveWithCells="1" sizeWithCells="1">
                  <from>
                    <xdr:col>31</xdr:col>
                    <xdr:colOff>495300</xdr:colOff>
                    <xdr:row>8</xdr:row>
                    <xdr:rowOff>66675</xdr:rowOff>
                  </from>
                  <to>
                    <xdr:col>36</xdr:col>
                    <xdr:colOff>485775</xdr:colOff>
                    <xdr:row>12</xdr:row>
                    <xdr:rowOff>28575</xdr:rowOff>
                  </to>
                </anchor>
              </controlPr>
            </control>
          </mc:Choice>
        </mc:AlternateContent>
        <mc:AlternateContent xmlns:mc="http://schemas.openxmlformats.org/markup-compatibility/2006">
          <mc:Choice Requires="x14">
            <control shapeId="148482" r:id="rId5" name="Button 2">
              <controlPr defaultSize="0" print="0" autoFill="0" autoPict="0" macro="[0]!Back_to_Dashboard">
                <anchor moveWithCells="1" sizeWithCells="1">
                  <from>
                    <xdr:col>31</xdr:col>
                    <xdr:colOff>485775</xdr:colOff>
                    <xdr:row>13</xdr:row>
                    <xdr:rowOff>142875</xdr:rowOff>
                  </from>
                  <to>
                    <xdr:col>36</xdr:col>
                    <xdr:colOff>485775</xdr:colOff>
                    <xdr:row>17</xdr:row>
                    <xdr:rowOff>28575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tabColor rgb="FF7030A0"/>
  </sheetPr>
  <dimension ref="A6:BR184"/>
  <sheetViews>
    <sheetView workbookViewId="0"/>
  </sheetViews>
  <sheetFormatPr defaultColWidth="8.85546875" defaultRowHeight="15"/>
  <cols>
    <col min="4" max="4" width="10.28515625" bestFit="1" customWidth="1"/>
    <col min="32" max="32" width="10" bestFit="1" customWidth="1"/>
    <col min="52" max="52" width="8.85546875" customWidth="1"/>
    <col min="53" max="67" width="8.85546875" hidden="1" customWidth="1"/>
    <col min="68" max="71" width="0" hidden="1" customWidth="1"/>
  </cols>
  <sheetData>
    <row r="6" spans="1:70" ht="15.75" thickBot="1"/>
    <row r="7" spans="1:70" ht="15.75" thickTop="1">
      <c r="A7" s="541"/>
      <c r="B7" s="457"/>
      <c r="C7" s="457"/>
      <c r="D7" s="457"/>
      <c r="E7" s="457"/>
      <c r="F7" s="457"/>
      <c r="G7" s="457"/>
      <c r="H7" s="457"/>
      <c r="I7" s="457"/>
      <c r="J7" s="457"/>
      <c r="K7" s="457"/>
      <c r="L7" s="457"/>
      <c r="M7" s="457"/>
      <c r="N7" s="457"/>
      <c r="O7" s="457"/>
      <c r="P7" s="457"/>
      <c r="Q7" s="457"/>
      <c r="R7" s="457"/>
      <c r="S7" s="457"/>
      <c r="T7" s="457"/>
      <c r="U7" s="457"/>
      <c r="V7" s="457"/>
      <c r="W7" s="457"/>
      <c r="X7" s="457"/>
      <c r="Y7" s="457"/>
      <c r="Z7" s="457"/>
      <c r="AA7" s="457"/>
      <c r="AB7" s="457"/>
      <c r="AC7" s="457"/>
      <c r="AD7" s="457"/>
      <c r="AE7" s="457"/>
      <c r="AF7" s="457"/>
      <c r="AG7" s="457"/>
      <c r="AH7" s="457"/>
      <c r="AI7" s="457"/>
      <c r="AJ7" s="457"/>
      <c r="AK7" s="457"/>
      <c r="AL7" s="457"/>
      <c r="AM7" s="457"/>
      <c r="AN7" s="457"/>
      <c r="AO7" s="457"/>
      <c r="AP7" s="457"/>
      <c r="AQ7" s="457"/>
      <c r="AR7" s="457"/>
      <c r="AS7" s="457"/>
      <c r="AT7" s="457"/>
      <c r="AU7" s="457"/>
      <c r="AV7" s="457"/>
      <c r="AW7" s="457"/>
      <c r="AX7" s="457"/>
      <c r="AY7" s="457"/>
      <c r="AZ7" s="457"/>
      <c r="BA7" s="457"/>
      <c r="BB7" s="457"/>
      <c r="BC7" s="457"/>
      <c r="BD7" s="457"/>
      <c r="BP7" s="935"/>
      <c r="BQ7" s="935"/>
      <c r="BR7" s="936"/>
    </row>
    <row r="8" spans="1:70">
      <c r="A8" s="542"/>
      <c r="C8">
        <v>1</v>
      </c>
      <c r="E8">
        <v>202304</v>
      </c>
      <c r="F8">
        <v>202305</v>
      </c>
      <c r="G8">
        <v>202306</v>
      </c>
      <c r="H8">
        <v>202307</v>
      </c>
      <c r="I8">
        <v>202308</v>
      </c>
      <c r="J8">
        <v>202309</v>
      </c>
      <c r="K8">
        <v>202310</v>
      </c>
      <c r="L8">
        <v>202311</v>
      </c>
      <c r="M8">
        <v>202312</v>
      </c>
      <c r="N8">
        <v>202401</v>
      </c>
      <c r="O8">
        <v>202402</v>
      </c>
      <c r="P8">
        <v>202403</v>
      </c>
      <c r="Q8">
        <v>202404</v>
      </c>
      <c r="R8">
        <v>202405</v>
      </c>
      <c r="S8">
        <v>202406</v>
      </c>
      <c r="T8">
        <v>202407</v>
      </c>
      <c r="U8">
        <v>202408</v>
      </c>
      <c r="V8">
        <v>202409</v>
      </c>
      <c r="W8">
        <v>202410</v>
      </c>
      <c r="X8">
        <v>202411</v>
      </c>
      <c r="Y8">
        <v>202412</v>
      </c>
      <c r="Z8">
        <v>202501</v>
      </c>
      <c r="AA8">
        <v>202502</v>
      </c>
      <c r="AB8">
        <v>202503</v>
      </c>
      <c r="AC8">
        <v>202504</v>
      </c>
      <c r="AD8">
        <v>202505</v>
      </c>
      <c r="AE8">
        <v>202506</v>
      </c>
      <c r="AF8">
        <v>202507</v>
      </c>
      <c r="AG8">
        <v>202508</v>
      </c>
      <c r="AH8">
        <v>202509</v>
      </c>
      <c r="AI8">
        <v>202510</v>
      </c>
      <c r="AJ8">
        <v>202511</v>
      </c>
      <c r="AK8">
        <v>202512</v>
      </c>
      <c r="AL8">
        <v>202601</v>
      </c>
      <c r="AM8">
        <v>202602</v>
      </c>
      <c r="AN8">
        <v>202603</v>
      </c>
      <c r="AO8">
        <v>202604</v>
      </c>
      <c r="AP8">
        <v>202605</v>
      </c>
      <c r="AQ8">
        <v>202606</v>
      </c>
      <c r="AR8">
        <v>202607</v>
      </c>
      <c r="AS8">
        <v>202608</v>
      </c>
      <c r="AT8">
        <v>202609</v>
      </c>
      <c r="AU8">
        <v>202610</v>
      </c>
      <c r="AV8">
        <v>202611</v>
      </c>
      <c r="AW8">
        <v>202612</v>
      </c>
      <c r="AX8">
        <v>202701</v>
      </c>
      <c r="AY8">
        <v>202702</v>
      </c>
      <c r="AZ8">
        <v>202703</v>
      </c>
      <c r="BR8" s="934"/>
    </row>
    <row r="9" spans="1:70">
      <c r="A9" s="542"/>
      <c r="C9">
        <v>2</v>
      </c>
      <c r="E9" s="184" t="s">
        <v>726</v>
      </c>
      <c r="F9" s="184" t="s">
        <v>727</v>
      </c>
      <c r="G9" s="184" t="s">
        <v>728</v>
      </c>
      <c r="H9" s="184" t="s">
        <v>729</v>
      </c>
      <c r="I9" s="184" t="s">
        <v>730</v>
      </c>
      <c r="J9" s="184" t="s">
        <v>731</v>
      </c>
      <c r="K9" s="184" t="s">
        <v>732</v>
      </c>
      <c r="L9" s="184" t="s">
        <v>733</v>
      </c>
      <c r="M9" s="184" t="s">
        <v>734</v>
      </c>
      <c r="N9" s="184" t="s">
        <v>735</v>
      </c>
      <c r="O9" s="184" t="s">
        <v>736</v>
      </c>
      <c r="P9" s="184" t="s">
        <v>737</v>
      </c>
      <c r="Q9" s="184" t="s">
        <v>738</v>
      </c>
      <c r="R9" s="184" t="s">
        <v>740</v>
      </c>
      <c r="S9" s="184" t="s">
        <v>741</v>
      </c>
      <c r="T9" s="184" t="s">
        <v>742</v>
      </c>
      <c r="U9" s="184" t="s">
        <v>743</v>
      </c>
      <c r="V9" s="184" t="s">
        <v>744</v>
      </c>
      <c r="W9" s="184" t="s">
        <v>745</v>
      </c>
      <c r="X9" s="184" t="s">
        <v>746</v>
      </c>
      <c r="Y9" s="184" t="s">
        <v>747</v>
      </c>
      <c r="Z9" s="184" t="s">
        <v>748</v>
      </c>
      <c r="AA9" s="184" t="s">
        <v>749</v>
      </c>
      <c r="AB9" s="184" t="s">
        <v>750</v>
      </c>
      <c r="AC9" s="184" t="s">
        <v>739</v>
      </c>
      <c r="AD9" s="184" t="s">
        <v>751</v>
      </c>
      <c r="AE9" s="184" t="s">
        <v>752</v>
      </c>
      <c r="AF9" s="184" t="s">
        <v>753</v>
      </c>
      <c r="AG9" s="184" t="s">
        <v>754</v>
      </c>
      <c r="AH9" s="184" t="s">
        <v>755</v>
      </c>
      <c r="AI9" s="184" t="s">
        <v>756</v>
      </c>
      <c r="AJ9" s="184" t="s">
        <v>757</v>
      </c>
      <c r="AK9" s="184" t="s">
        <v>758</v>
      </c>
      <c r="AL9" s="184" t="s">
        <v>759</v>
      </c>
      <c r="AM9" s="184" t="s">
        <v>760</v>
      </c>
      <c r="AN9" s="184" t="s">
        <v>761</v>
      </c>
      <c r="AO9" s="184" t="s">
        <v>2150</v>
      </c>
      <c r="AP9" s="932" t="s">
        <v>2151</v>
      </c>
      <c r="AQ9" s="932" t="s">
        <v>2152</v>
      </c>
      <c r="AR9" s="184" t="s">
        <v>2153</v>
      </c>
      <c r="AS9" s="184" t="s">
        <v>2154</v>
      </c>
      <c r="AT9" s="184" t="s">
        <v>2155</v>
      </c>
      <c r="AU9" s="184" t="s">
        <v>2156</v>
      </c>
      <c r="AV9" s="184" t="s">
        <v>2157</v>
      </c>
      <c r="AW9" s="184" t="s">
        <v>2158</v>
      </c>
      <c r="AX9" s="184" t="s">
        <v>2159</v>
      </c>
      <c r="AY9" s="184" t="s">
        <v>2160</v>
      </c>
      <c r="AZ9" s="184" t="s">
        <v>2149</v>
      </c>
      <c r="BA9" s="932"/>
      <c r="BB9" s="932"/>
      <c r="BC9" s="932"/>
      <c r="BD9" s="184"/>
      <c r="BE9" s="932"/>
      <c r="BF9" s="932"/>
      <c r="BG9" s="184"/>
      <c r="BH9" s="184"/>
      <c r="BI9" s="184"/>
      <c r="BJ9" s="184"/>
      <c r="BK9" s="184"/>
      <c r="BL9" s="184"/>
      <c r="BM9" s="184"/>
      <c r="BN9" s="184"/>
      <c r="BO9" s="184"/>
      <c r="BR9" s="934"/>
    </row>
    <row r="10" spans="1:70" ht="21">
      <c r="A10" s="542"/>
      <c r="C10">
        <v>3</v>
      </c>
      <c r="D10" s="209" t="s">
        <v>60</v>
      </c>
      <c r="E10" s="1077">
        <v>0.08</v>
      </c>
      <c r="F10" s="1077">
        <v>8.1000000000000003E-2</v>
      </c>
      <c r="G10" s="1077">
        <v>7.8E-2</v>
      </c>
      <c r="H10" s="1077">
        <v>7.9000000000000001E-2</v>
      </c>
      <c r="I10" s="1077">
        <v>7.4999999999999997E-2</v>
      </c>
      <c r="J10" s="1077">
        <v>8.2000000000000003E-2</v>
      </c>
      <c r="K10" s="1077">
        <v>7.9000000000000001E-2</v>
      </c>
      <c r="L10" s="1077">
        <v>0.08</v>
      </c>
      <c r="M10" s="1077">
        <v>7.6999999999999999E-2</v>
      </c>
      <c r="N10" s="1077">
        <v>7.8E-2</v>
      </c>
      <c r="O10" s="1077">
        <v>7.0000000000000007E-2</v>
      </c>
      <c r="P10" s="1077">
        <v>7.5999999999999998E-2</v>
      </c>
      <c r="Q10" s="1078">
        <v>0.14799999999999999</v>
      </c>
      <c r="R10" s="1078">
        <v>0.151</v>
      </c>
      <c r="S10" s="1078">
        <v>0.156</v>
      </c>
      <c r="T10" s="1078">
        <v>0.159</v>
      </c>
      <c r="U10" s="1078">
        <v>0.16</v>
      </c>
      <c r="V10" s="1078">
        <v>0.153</v>
      </c>
      <c r="W10" s="1078">
        <v>0.157</v>
      </c>
      <c r="X10" s="1078">
        <v>0.15</v>
      </c>
      <c r="Y10" s="1078">
        <v>0.156</v>
      </c>
      <c r="Z10" s="1078">
        <v>0.155</v>
      </c>
      <c r="AA10" s="1078">
        <v>0.14099999999999999</v>
      </c>
      <c r="AB10" s="1078">
        <v>0.155</v>
      </c>
      <c r="AC10" s="1079">
        <v>0.14199999999999999</v>
      </c>
      <c r="AD10" s="1079">
        <v>0.14499999999999999</v>
      </c>
      <c r="AE10" s="1079">
        <v>0.14899999999999999</v>
      </c>
      <c r="AF10" s="1079">
        <v>0.152</v>
      </c>
      <c r="AG10" s="1079">
        <v>0.153</v>
      </c>
      <c r="AH10" s="1079">
        <v>0.14699999999999999</v>
      </c>
      <c r="AI10" s="1079">
        <v>0.15</v>
      </c>
      <c r="AJ10" s="1079">
        <v>0.14399999999999999</v>
      </c>
      <c r="AK10" s="1079">
        <v>0.14899999999999999</v>
      </c>
      <c r="AL10" s="1079">
        <v>0.14799999999999999</v>
      </c>
      <c r="AM10" s="1079">
        <v>0.13600000000000001</v>
      </c>
      <c r="AN10" s="1079">
        <v>0.14799999999999999</v>
      </c>
      <c r="AO10" s="1079">
        <v>0.115</v>
      </c>
      <c r="AP10" s="1079">
        <v>0.11799999999999999</v>
      </c>
      <c r="AQ10" s="1079">
        <v>0.114</v>
      </c>
      <c r="AR10" s="1079">
        <v>0.11799999999999999</v>
      </c>
      <c r="AS10" s="1079">
        <v>0.11700000000000001</v>
      </c>
      <c r="AT10" s="1079">
        <v>0.115</v>
      </c>
      <c r="AU10" s="1079">
        <v>0.11700000000000001</v>
      </c>
      <c r="AV10" s="1079">
        <v>0.112</v>
      </c>
      <c r="AW10" s="1079">
        <v>0.114</v>
      </c>
      <c r="AX10" s="1079">
        <v>0.113</v>
      </c>
      <c r="AY10" s="1079">
        <v>0.10299999999999999</v>
      </c>
      <c r="AZ10" s="1079">
        <v>0.113</v>
      </c>
      <c r="BA10" s="933"/>
      <c r="BB10" s="933"/>
      <c r="BC10" s="933"/>
      <c r="BD10" s="821"/>
      <c r="BE10" s="821"/>
      <c r="BF10" s="821"/>
      <c r="BG10" s="821"/>
      <c r="BH10" s="821"/>
      <c r="BI10" s="821"/>
      <c r="BJ10" s="821"/>
      <c r="BK10" s="821"/>
      <c r="BL10" s="821"/>
      <c r="BM10" s="821"/>
      <c r="BN10" s="821"/>
      <c r="BO10" s="821"/>
      <c r="BR10" s="934"/>
    </row>
    <row r="11" spans="1:70" ht="21">
      <c r="A11" s="542"/>
      <c r="C11">
        <v>4</v>
      </c>
      <c r="D11" s="209" t="s">
        <v>61</v>
      </c>
      <c r="E11" s="1077">
        <v>0.17100000000000001</v>
      </c>
      <c r="F11" s="1077">
        <v>0.17199999999999996</v>
      </c>
      <c r="G11" s="1077">
        <v>0.17</v>
      </c>
      <c r="H11" s="1077">
        <v>0.17899999999999999</v>
      </c>
      <c r="I11" s="1077">
        <v>0.19</v>
      </c>
      <c r="J11" s="1077">
        <v>0.191</v>
      </c>
      <c r="K11" s="1077">
        <v>0.192</v>
      </c>
      <c r="L11" s="1077">
        <v>0.191</v>
      </c>
      <c r="M11" s="1077">
        <v>0.192</v>
      </c>
      <c r="N11" s="1077">
        <v>0.192</v>
      </c>
      <c r="O11" s="1077">
        <v>0.192</v>
      </c>
      <c r="P11" s="1077">
        <v>0.193</v>
      </c>
      <c r="Q11" s="1078">
        <v>0.2</v>
      </c>
      <c r="R11" s="1078">
        <v>0.20899999999999999</v>
      </c>
      <c r="S11" s="1078">
        <v>0.20699999999999999</v>
      </c>
      <c r="T11" s="1078">
        <v>0.218</v>
      </c>
      <c r="U11" s="1078">
        <v>0.222</v>
      </c>
      <c r="V11" s="1078">
        <v>0.219</v>
      </c>
      <c r="W11" s="1078">
        <v>0.23100000000000001</v>
      </c>
      <c r="X11" s="1078">
        <v>0.22800000000000001</v>
      </c>
      <c r="Y11" s="1078">
        <v>0.24</v>
      </c>
      <c r="Z11" s="1078">
        <v>0.24099999999999999</v>
      </c>
      <c r="AA11" s="1078">
        <v>0.22</v>
      </c>
      <c r="AB11" s="1078">
        <v>0.248</v>
      </c>
      <c r="AC11" s="1079">
        <v>0.19400000000000001</v>
      </c>
      <c r="AD11" s="1079">
        <v>0.20300000000000001</v>
      </c>
      <c r="AE11" s="1079">
        <v>0.20100000000000001</v>
      </c>
      <c r="AF11" s="1079">
        <v>0.21099999999999999</v>
      </c>
      <c r="AG11" s="1079">
        <v>0.215</v>
      </c>
      <c r="AH11" s="1079">
        <v>0.21199999999999999</v>
      </c>
      <c r="AI11" s="1079">
        <v>0.224</v>
      </c>
      <c r="AJ11" s="1079">
        <v>0.221</v>
      </c>
      <c r="AK11" s="1079">
        <v>0.23300000000000001</v>
      </c>
      <c r="AL11" s="1079">
        <v>0.23400000000000001</v>
      </c>
      <c r="AM11" s="1079">
        <v>0.21299999999999999</v>
      </c>
      <c r="AN11" s="1079">
        <v>0.24</v>
      </c>
      <c r="AO11" s="1079">
        <v>0.183</v>
      </c>
      <c r="AP11" s="1079">
        <v>0.189</v>
      </c>
      <c r="AQ11" s="1079">
        <v>0.184</v>
      </c>
      <c r="AR11" s="1079">
        <v>0.189</v>
      </c>
      <c r="AS11" s="1079">
        <v>0.189</v>
      </c>
      <c r="AT11" s="1079">
        <v>0.183</v>
      </c>
      <c r="AU11" s="1079">
        <v>0.189</v>
      </c>
      <c r="AV11" s="1079">
        <v>0.183</v>
      </c>
      <c r="AW11" s="1079">
        <v>0.189</v>
      </c>
      <c r="AX11" s="1079">
        <v>0.189</v>
      </c>
      <c r="AY11" s="1079">
        <v>0.17100000000000001</v>
      </c>
      <c r="AZ11" s="1079">
        <v>0.189</v>
      </c>
      <c r="BA11" s="933"/>
      <c r="BB11" s="933"/>
      <c r="BC11" s="933"/>
      <c r="BD11" s="821"/>
      <c r="BE11" s="821"/>
      <c r="BF11" s="821"/>
      <c r="BG11" s="821"/>
      <c r="BH11" s="821"/>
      <c r="BI11" s="821"/>
      <c r="BJ11" s="821"/>
      <c r="BK11" s="821"/>
      <c r="BL11" s="821"/>
      <c r="BM11" s="821"/>
      <c r="BN11" s="821"/>
      <c r="BO11" s="821"/>
      <c r="BR11" s="934"/>
    </row>
    <row r="12" spans="1:70" ht="21">
      <c r="A12" s="542"/>
      <c r="C12">
        <v>5</v>
      </c>
      <c r="D12" s="209" t="s">
        <v>62</v>
      </c>
      <c r="E12" s="1077">
        <v>1.0999999999999999E-2</v>
      </c>
      <c r="F12" s="1077">
        <v>1.2E-2</v>
      </c>
      <c r="G12" s="1077">
        <v>1.2E-2</v>
      </c>
      <c r="H12" s="1077">
        <v>1.2E-2</v>
      </c>
      <c r="I12" s="1077">
        <v>1.0999999999999999E-2</v>
      </c>
      <c r="J12" s="1077">
        <v>1.0999999999999999E-2</v>
      </c>
      <c r="K12" s="1077">
        <v>1.0999999999999999E-2</v>
      </c>
      <c r="L12" s="1077">
        <v>1.0999999999999999E-2</v>
      </c>
      <c r="M12" s="1077">
        <v>1.0999999999999999E-2</v>
      </c>
      <c r="N12" s="1077">
        <v>1.0999999999999999E-2</v>
      </c>
      <c r="O12" s="1077">
        <v>0.01</v>
      </c>
      <c r="P12" s="1077">
        <v>1.0999999999999999E-2</v>
      </c>
      <c r="Q12" s="1078">
        <v>0.01</v>
      </c>
      <c r="R12" s="1078">
        <v>8.9999999999999993E-3</v>
      </c>
      <c r="S12" s="1078">
        <v>8.9999999999999993E-3</v>
      </c>
      <c r="T12" s="1078">
        <v>0.01</v>
      </c>
      <c r="U12" s="1078">
        <v>8.9999999999999993E-3</v>
      </c>
      <c r="V12" s="1078">
        <v>8.9999999999999993E-3</v>
      </c>
      <c r="W12" s="1078">
        <v>8.9999999999999993E-3</v>
      </c>
      <c r="X12" s="1078">
        <v>8.9999999999999993E-3</v>
      </c>
      <c r="Y12" s="1078">
        <v>8.9999999999999993E-3</v>
      </c>
      <c r="Z12" s="1078">
        <v>8.9999999999999993E-3</v>
      </c>
      <c r="AA12" s="1078">
        <v>8.0000000000000002E-3</v>
      </c>
      <c r="AB12" s="1078">
        <v>8.9999999999999993E-3</v>
      </c>
      <c r="AC12" s="1079">
        <v>1.0999999999999999E-2</v>
      </c>
      <c r="AD12" s="1079">
        <v>1.0999999999999999E-2</v>
      </c>
      <c r="AE12" s="1079">
        <v>0.01</v>
      </c>
      <c r="AF12" s="1079">
        <v>1.0999999999999999E-2</v>
      </c>
      <c r="AG12" s="1079">
        <v>1.0999999999999999E-2</v>
      </c>
      <c r="AH12" s="1079">
        <v>0.01</v>
      </c>
      <c r="AI12" s="1079">
        <v>0.01</v>
      </c>
      <c r="AJ12" s="1079">
        <v>0.01</v>
      </c>
      <c r="AK12" s="1079">
        <v>0.01</v>
      </c>
      <c r="AL12" s="1079">
        <v>0.01</v>
      </c>
      <c r="AM12" s="1079">
        <v>8.9999999999999993E-3</v>
      </c>
      <c r="AN12" s="1079">
        <v>0.01</v>
      </c>
      <c r="AO12" s="1079">
        <v>8.0000000000000002E-3</v>
      </c>
      <c r="AP12" s="1079">
        <v>8.0000000000000002E-3</v>
      </c>
      <c r="AQ12" s="1079">
        <v>8.0000000000000002E-3</v>
      </c>
      <c r="AR12" s="1079">
        <v>8.9999999999999993E-3</v>
      </c>
      <c r="AS12" s="1079">
        <v>8.9999999999999993E-3</v>
      </c>
      <c r="AT12" s="1079">
        <v>8.0000000000000002E-3</v>
      </c>
      <c r="AU12" s="1079">
        <v>8.9999999999999993E-3</v>
      </c>
      <c r="AV12" s="1079">
        <v>8.0000000000000002E-3</v>
      </c>
      <c r="AW12" s="1079">
        <v>8.0000000000000002E-3</v>
      </c>
      <c r="AX12" s="1079">
        <v>8.9999999999999993E-3</v>
      </c>
      <c r="AY12" s="1079">
        <v>8.0000000000000002E-3</v>
      </c>
      <c r="AZ12" s="1079">
        <v>8.9999999999999993E-3</v>
      </c>
      <c r="BA12" s="933"/>
      <c r="BB12" s="933"/>
      <c r="BC12" s="933"/>
      <c r="BD12" s="821"/>
      <c r="BE12" s="821"/>
      <c r="BF12" s="821"/>
      <c r="BG12" s="821"/>
      <c r="BH12" s="821"/>
      <c r="BI12" s="821"/>
      <c r="BJ12" s="821"/>
      <c r="BK12" s="821"/>
      <c r="BL12" s="821"/>
      <c r="BM12" s="821"/>
      <c r="BN12" s="821"/>
      <c r="BO12" s="821"/>
      <c r="BR12" s="934"/>
    </row>
    <row r="13" spans="1:70" ht="21">
      <c r="A13" s="542"/>
      <c r="C13">
        <v>6</v>
      </c>
      <c r="D13" s="209" t="s">
        <v>57</v>
      </c>
      <c r="E13" s="1077">
        <v>3.4000000000000002E-2</v>
      </c>
      <c r="F13" s="1077">
        <v>3.3000000000000002E-2</v>
      </c>
      <c r="G13" s="1077">
        <v>3.5000000000000003E-2</v>
      </c>
      <c r="H13" s="1077">
        <v>3.5999999999999997E-2</v>
      </c>
      <c r="I13" s="1077">
        <v>3.5000000000000003E-2</v>
      </c>
      <c r="J13" s="1077">
        <v>3.3000000000000002E-2</v>
      </c>
      <c r="K13" s="1077">
        <v>3.4000000000000002E-2</v>
      </c>
      <c r="L13" s="1077">
        <v>3.3000000000000002E-2</v>
      </c>
      <c r="M13" s="1077">
        <v>3.4000000000000002E-2</v>
      </c>
      <c r="N13" s="1077">
        <v>3.4000000000000002E-2</v>
      </c>
      <c r="O13" s="1077">
        <v>3.2000000000000001E-2</v>
      </c>
      <c r="P13" s="1077">
        <v>3.4000000000000002E-2</v>
      </c>
      <c r="Q13" s="1078">
        <v>3.1E-2</v>
      </c>
      <c r="R13" s="1078">
        <v>3.2000000000000001E-2</v>
      </c>
      <c r="S13" s="1078">
        <v>3.1E-2</v>
      </c>
      <c r="T13" s="1078">
        <v>3.3000000000000002E-2</v>
      </c>
      <c r="U13" s="1078">
        <v>3.4000000000000002E-2</v>
      </c>
      <c r="V13" s="1078">
        <v>3.3000000000000002E-2</v>
      </c>
      <c r="W13" s="1078">
        <v>3.4000000000000002E-2</v>
      </c>
      <c r="X13" s="1078">
        <v>3.3000000000000002E-2</v>
      </c>
      <c r="Y13" s="1078">
        <v>3.5000000000000003E-2</v>
      </c>
      <c r="Z13" s="1078">
        <v>3.2000000000000001E-2</v>
      </c>
      <c r="AA13" s="1078">
        <v>2.9000000000000001E-2</v>
      </c>
      <c r="AB13" s="1078">
        <v>3.2000000000000001E-2</v>
      </c>
      <c r="AC13" s="1079">
        <v>0.03</v>
      </c>
      <c r="AD13" s="1079">
        <v>3.1E-2</v>
      </c>
      <c r="AE13" s="1079">
        <v>3.1E-2</v>
      </c>
      <c r="AF13" s="1079">
        <v>3.2000000000000001E-2</v>
      </c>
      <c r="AG13" s="1079">
        <v>3.3000000000000002E-2</v>
      </c>
      <c r="AH13" s="1079">
        <v>3.3000000000000002E-2</v>
      </c>
      <c r="AI13" s="1079">
        <v>3.3000000000000002E-2</v>
      </c>
      <c r="AJ13" s="1079">
        <v>3.2000000000000001E-2</v>
      </c>
      <c r="AK13" s="1079">
        <v>3.4000000000000002E-2</v>
      </c>
      <c r="AL13" s="1079">
        <v>3.1E-2</v>
      </c>
      <c r="AM13" s="1079">
        <v>2.9000000000000001E-2</v>
      </c>
      <c r="AN13" s="1079">
        <v>3.1E-2</v>
      </c>
      <c r="AO13" s="1079">
        <v>3.9E-2</v>
      </c>
      <c r="AP13" s="1079">
        <v>0.04</v>
      </c>
      <c r="AQ13" s="1079">
        <v>3.9E-2</v>
      </c>
      <c r="AR13" s="1079">
        <v>0.04</v>
      </c>
      <c r="AS13" s="1079">
        <v>0.04</v>
      </c>
      <c r="AT13" s="1079">
        <v>3.9E-2</v>
      </c>
      <c r="AU13" s="1079">
        <v>3.9E-2</v>
      </c>
      <c r="AV13" s="1079">
        <v>3.9E-2</v>
      </c>
      <c r="AW13" s="1079">
        <v>0.04</v>
      </c>
      <c r="AX13" s="1079">
        <v>0.04</v>
      </c>
      <c r="AY13" s="1079">
        <v>3.5999999999999997E-2</v>
      </c>
      <c r="AZ13" s="1079">
        <v>0.04</v>
      </c>
      <c r="BA13" s="933"/>
      <c r="BB13" s="933"/>
      <c r="BC13" s="933"/>
      <c r="BD13" s="821"/>
      <c r="BE13" s="821"/>
      <c r="BF13" s="821"/>
      <c r="BG13" s="821"/>
      <c r="BH13" s="821"/>
      <c r="BI13" s="821"/>
      <c r="BJ13" s="821"/>
      <c r="BK13" s="821"/>
      <c r="BL13" s="821"/>
      <c r="BM13" s="821"/>
      <c r="BN13" s="821"/>
      <c r="BO13" s="821"/>
      <c r="BR13" s="934"/>
    </row>
    <row r="14" spans="1:70" ht="21">
      <c r="A14" s="542"/>
      <c r="C14">
        <v>7</v>
      </c>
      <c r="D14" s="209" t="s">
        <v>58</v>
      </c>
      <c r="E14" s="1077">
        <v>5.3999999999999999E-2</v>
      </c>
      <c r="F14" s="1077">
        <v>5.6000000000000001E-2</v>
      </c>
      <c r="G14" s="1077">
        <v>5.3999999999999999E-2</v>
      </c>
      <c r="H14" s="1077">
        <v>5.5E-2</v>
      </c>
      <c r="I14" s="1077">
        <v>2.7E-2</v>
      </c>
      <c r="J14" s="1077">
        <v>2.7E-2</v>
      </c>
      <c r="K14" s="1077">
        <v>5.5E-2</v>
      </c>
      <c r="L14" s="1077">
        <v>5.5E-2</v>
      </c>
      <c r="M14" s="1077">
        <v>5.6000000000000001E-2</v>
      </c>
      <c r="N14" s="1077">
        <v>5.6000000000000001E-2</v>
      </c>
      <c r="O14" s="1077">
        <v>5.1999999999999998E-2</v>
      </c>
      <c r="P14" s="1077">
        <v>5.6000000000000001E-2</v>
      </c>
      <c r="Q14" s="1078">
        <v>2.9000000000000001E-2</v>
      </c>
      <c r="R14" s="1078">
        <v>3.1E-2</v>
      </c>
      <c r="S14" s="1078">
        <v>0.03</v>
      </c>
      <c r="T14" s="1078">
        <v>2.9000000000000001E-2</v>
      </c>
      <c r="U14" s="1078">
        <v>0.03</v>
      </c>
      <c r="V14" s="1078">
        <v>0.02</v>
      </c>
      <c r="W14" s="1078">
        <v>2.9000000000000001E-2</v>
      </c>
      <c r="X14" s="1078">
        <v>2.5999999999999999E-2</v>
      </c>
      <c r="Y14" s="1078">
        <v>2.9000000000000001E-2</v>
      </c>
      <c r="Z14" s="1078">
        <v>3.2000000000000001E-2</v>
      </c>
      <c r="AA14" s="1078">
        <v>2.8000000000000001E-2</v>
      </c>
      <c r="AB14" s="1078">
        <v>3.1E-2</v>
      </c>
      <c r="AC14" s="1079">
        <v>2.9000000000000001E-2</v>
      </c>
      <c r="AD14" s="1079">
        <v>0.03</v>
      </c>
      <c r="AE14" s="1079">
        <v>2.9000000000000001E-2</v>
      </c>
      <c r="AF14" s="1079">
        <v>2.8000000000000001E-2</v>
      </c>
      <c r="AG14" s="1079">
        <v>2.9000000000000001E-2</v>
      </c>
      <c r="AH14" s="1079">
        <v>0.02</v>
      </c>
      <c r="AI14" s="1079">
        <v>2.8000000000000001E-2</v>
      </c>
      <c r="AJ14" s="1079">
        <v>2.5999999999999999E-2</v>
      </c>
      <c r="AK14" s="1079">
        <v>2.8000000000000001E-2</v>
      </c>
      <c r="AL14" s="1079">
        <v>3.1E-2</v>
      </c>
      <c r="AM14" s="1079">
        <v>2.8000000000000001E-2</v>
      </c>
      <c r="AN14" s="1079">
        <v>0.03</v>
      </c>
      <c r="AO14" s="1079">
        <v>2.9000000000000001E-2</v>
      </c>
      <c r="AP14" s="1079">
        <v>2.9000000000000001E-2</v>
      </c>
      <c r="AQ14" s="1079">
        <v>2.9000000000000001E-2</v>
      </c>
      <c r="AR14" s="1079">
        <v>0.03</v>
      </c>
      <c r="AS14" s="1079">
        <v>2.9000000000000001E-2</v>
      </c>
      <c r="AT14" s="1079">
        <v>2.9000000000000001E-2</v>
      </c>
      <c r="AU14" s="1079">
        <v>0.03</v>
      </c>
      <c r="AV14" s="1079">
        <v>2.9000000000000001E-2</v>
      </c>
      <c r="AW14" s="1079">
        <v>0.03</v>
      </c>
      <c r="AX14" s="1079">
        <v>0.03</v>
      </c>
      <c r="AY14" s="1079">
        <v>2.7E-2</v>
      </c>
      <c r="AZ14" s="1079">
        <v>2.9000000000000001E-2</v>
      </c>
      <c r="BA14" s="933"/>
      <c r="BB14" s="933"/>
      <c r="BC14" s="933"/>
      <c r="BD14" s="821"/>
      <c r="BE14" s="821"/>
      <c r="BF14" s="821"/>
      <c r="BG14" s="821"/>
      <c r="BH14" s="821"/>
      <c r="BI14" s="821"/>
      <c r="BJ14" s="821"/>
      <c r="BK14" s="821"/>
      <c r="BL14" s="821"/>
      <c r="BM14" s="821"/>
      <c r="BN14" s="821"/>
      <c r="BO14" s="821"/>
      <c r="BR14" s="934"/>
    </row>
    <row r="15" spans="1:70" ht="21">
      <c r="A15" s="542" t="s">
        <v>190</v>
      </c>
      <c r="C15">
        <v>8</v>
      </c>
      <c r="D15" s="209" t="s">
        <v>59</v>
      </c>
      <c r="E15" s="1077">
        <v>6.0000000000000001E-3</v>
      </c>
      <c r="F15" s="1077">
        <v>7.0000000000000001E-3</v>
      </c>
      <c r="G15" s="1077">
        <v>6.0000000000000001E-3</v>
      </c>
      <c r="H15" s="1077">
        <v>7.0000000000000001E-3</v>
      </c>
      <c r="I15" s="1077">
        <v>7.0000000000000001E-3</v>
      </c>
      <c r="J15" s="1077">
        <v>7.0000000000000001E-3</v>
      </c>
      <c r="K15" s="1077">
        <v>7.0000000000000001E-3</v>
      </c>
      <c r="L15" s="1077">
        <v>7.0000000000000001E-3</v>
      </c>
      <c r="M15" s="1077">
        <v>7.0000000000000001E-3</v>
      </c>
      <c r="N15" s="1077">
        <v>7.0000000000000001E-3</v>
      </c>
      <c r="O15" s="1077">
        <v>6.0000000000000001E-3</v>
      </c>
      <c r="P15" s="1077">
        <v>7.0000000000000001E-3</v>
      </c>
      <c r="Q15" s="1078">
        <v>8.0000000000000002E-3</v>
      </c>
      <c r="R15" s="1078">
        <v>8.0000000000000002E-3</v>
      </c>
      <c r="S15" s="1078">
        <v>8.0000000000000002E-3</v>
      </c>
      <c r="T15" s="1078">
        <v>8.0000000000000002E-3</v>
      </c>
      <c r="U15" s="1078">
        <v>8.0000000000000002E-3</v>
      </c>
      <c r="V15" s="1078">
        <v>8.0000000000000002E-3</v>
      </c>
      <c r="W15" s="1078">
        <v>8.0000000000000002E-3</v>
      </c>
      <c r="X15" s="1078">
        <v>8.0000000000000002E-3</v>
      </c>
      <c r="Y15" s="1078">
        <v>8.0000000000000002E-3</v>
      </c>
      <c r="Z15" s="1078">
        <v>8.9999999999999993E-3</v>
      </c>
      <c r="AA15" s="1078">
        <v>8.0000000000000002E-3</v>
      </c>
      <c r="AB15" s="1078">
        <v>8.0000000000000002E-3</v>
      </c>
      <c r="AC15" s="1079">
        <v>1.0999999999999999E-2</v>
      </c>
      <c r="AD15" s="1079">
        <v>1.0999999999999999E-2</v>
      </c>
      <c r="AE15" s="1079">
        <v>1.0999999999999999E-2</v>
      </c>
      <c r="AF15" s="1079">
        <v>1.0999999999999999E-2</v>
      </c>
      <c r="AG15" s="1079">
        <v>1.0999999999999999E-2</v>
      </c>
      <c r="AH15" s="1079">
        <v>1.0999999999999999E-2</v>
      </c>
      <c r="AI15" s="1079">
        <v>1.0999999999999999E-2</v>
      </c>
      <c r="AJ15" s="1079">
        <v>1.0999999999999999E-2</v>
      </c>
      <c r="AK15" s="1079">
        <v>1.0999999999999999E-2</v>
      </c>
      <c r="AL15" s="1079">
        <v>1.2E-2</v>
      </c>
      <c r="AM15" s="1079">
        <v>1.0999999999999999E-2</v>
      </c>
      <c r="AN15" s="1079">
        <v>1.0999999999999999E-2</v>
      </c>
      <c r="AO15" s="1079">
        <v>1.2E-2</v>
      </c>
      <c r="AP15" s="1079">
        <v>1.2E-2</v>
      </c>
      <c r="AQ15" s="1079">
        <v>1.2E-2</v>
      </c>
      <c r="AR15" s="1079">
        <v>1.2999999999999999E-2</v>
      </c>
      <c r="AS15" s="1079">
        <v>1.2999999999999999E-2</v>
      </c>
      <c r="AT15" s="1079">
        <v>1.2E-2</v>
      </c>
      <c r="AU15" s="1079">
        <v>1.2E-2</v>
      </c>
      <c r="AV15" s="1079">
        <v>1.2E-2</v>
      </c>
      <c r="AW15" s="1079">
        <v>1.2999999999999999E-2</v>
      </c>
      <c r="AX15" s="1079">
        <v>1.2999999999999999E-2</v>
      </c>
      <c r="AY15" s="1079">
        <v>1.0999999999999999E-2</v>
      </c>
      <c r="AZ15" s="1079">
        <v>1.2E-2</v>
      </c>
      <c r="BA15" s="933"/>
      <c r="BB15" s="933"/>
      <c r="BC15" s="933"/>
      <c r="BD15" s="821"/>
      <c r="BE15" s="821"/>
      <c r="BF15" s="821"/>
      <c r="BG15" s="821"/>
      <c r="BH15" s="821"/>
      <c r="BI15" s="821"/>
      <c r="BJ15" s="821"/>
      <c r="BK15" s="821"/>
      <c r="BL15" s="821"/>
      <c r="BM15" s="821"/>
      <c r="BN15" s="821"/>
      <c r="BO15" s="821"/>
      <c r="BR15" s="934"/>
    </row>
    <row r="16" spans="1:70" ht="21">
      <c r="A16" s="542" t="s">
        <v>871</v>
      </c>
      <c r="C16">
        <v>9</v>
      </c>
      <c r="D16" s="209" t="s">
        <v>63</v>
      </c>
      <c r="E16" s="1077">
        <v>7.1999999999999995E-2</v>
      </c>
      <c r="F16" s="1077">
        <v>7.4999999999999997E-2</v>
      </c>
      <c r="G16" s="1077">
        <v>7.0999999999999994E-2</v>
      </c>
      <c r="H16" s="1077">
        <v>7.3999999999999996E-2</v>
      </c>
      <c r="I16" s="1077">
        <v>7.2999999999999995E-2</v>
      </c>
      <c r="J16" s="1077">
        <v>7.8E-2</v>
      </c>
      <c r="K16" s="1077">
        <v>7.9000000000000001E-2</v>
      </c>
      <c r="L16" s="1077">
        <v>8.5000000000000006E-2</v>
      </c>
      <c r="M16" s="1077">
        <v>8.3000000000000004E-2</v>
      </c>
      <c r="N16" s="1077">
        <v>8.2000000000000003E-2</v>
      </c>
      <c r="O16" s="1077">
        <v>7.3999999999999996E-2</v>
      </c>
      <c r="P16" s="1077">
        <v>7.9000000000000001E-2</v>
      </c>
      <c r="Q16" s="1078">
        <v>7.1999999999999995E-2</v>
      </c>
      <c r="R16" s="1078">
        <v>7.2999999999999995E-2</v>
      </c>
      <c r="S16" s="1078">
        <v>7.0000000000000007E-2</v>
      </c>
      <c r="T16" s="1078">
        <v>7.1999999999999995E-2</v>
      </c>
      <c r="U16" s="1078">
        <v>7.0999999999999994E-2</v>
      </c>
      <c r="V16" s="1078">
        <v>6.8000000000000005E-2</v>
      </c>
      <c r="W16" s="1078">
        <v>6.9000000000000006E-2</v>
      </c>
      <c r="X16" s="1078">
        <v>6.7000000000000004E-2</v>
      </c>
      <c r="Y16" s="1078">
        <v>6.8000000000000005E-2</v>
      </c>
      <c r="Z16" s="1078">
        <v>6.7000000000000004E-2</v>
      </c>
      <c r="AA16" s="1078">
        <v>0.06</v>
      </c>
      <c r="AB16" s="1078">
        <v>6.6000000000000003E-2</v>
      </c>
      <c r="AC16" s="1079">
        <v>5.5E-2</v>
      </c>
      <c r="AD16" s="1079">
        <v>5.5E-2</v>
      </c>
      <c r="AE16" s="1079">
        <v>5.3999999999999999E-2</v>
      </c>
      <c r="AF16" s="1079">
        <v>5.5E-2</v>
      </c>
      <c r="AG16" s="1079">
        <v>5.3999999999999999E-2</v>
      </c>
      <c r="AH16" s="1079">
        <v>5.2999999999999999E-2</v>
      </c>
      <c r="AI16" s="1079">
        <v>5.2999999999999999E-2</v>
      </c>
      <c r="AJ16" s="1079">
        <v>5.0999999999999997E-2</v>
      </c>
      <c r="AK16" s="1079">
        <v>5.1999999999999998E-2</v>
      </c>
      <c r="AL16" s="1079">
        <v>5.0999999999999997E-2</v>
      </c>
      <c r="AM16" s="1079">
        <v>4.5999999999999999E-2</v>
      </c>
      <c r="AN16" s="1079">
        <v>5.0999999999999997E-2</v>
      </c>
      <c r="AO16" s="1079">
        <v>6.3E-2</v>
      </c>
      <c r="AP16" s="1079">
        <v>6.5000000000000002E-2</v>
      </c>
      <c r="AQ16" s="1079">
        <v>6.4000000000000001E-2</v>
      </c>
      <c r="AR16" s="1079">
        <v>6.5000000000000002E-2</v>
      </c>
      <c r="AS16" s="1079">
        <v>6.5000000000000002E-2</v>
      </c>
      <c r="AT16" s="1079">
        <v>6.4000000000000001E-2</v>
      </c>
      <c r="AU16" s="1079">
        <v>6.5000000000000002E-2</v>
      </c>
      <c r="AV16" s="1079">
        <v>6.3E-2</v>
      </c>
      <c r="AW16" s="1079">
        <v>6.5000000000000002E-2</v>
      </c>
      <c r="AX16" s="1079">
        <v>6.5000000000000002E-2</v>
      </c>
      <c r="AY16" s="1079">
        <v>0.06</v>
      </c>
      <c r="AZ16" s="1079">
        <v>6.6000000000000003E-2</v>
      </c>
      <c r="BA16" s="933"/>
      <c r="BB16" s="933"/>
      <c r="BC16" s="933"/>
      <c r="BD16" s="821"/>
      <c r="BE16" s="821"/>
      <c r="BF16" s="821"/>
      <c r="BG16" s="821"/>
      <c r="BH16" s="821"/>
      <c r="BI16" s="821"/>
      <c r="BJ16" s="821"/>
      <c r="BK16" s="821"/>
      <c r="BL16" s="821"/>
      <c r="BM16" s="821"/>
      <c r="BN16" s="821"/>
      <c r="BO16" s="821"/>
      <c r="BR16" s="934"/>
    </row>
    <row r="17" spans="1:70" ht="21">
      <c r="A17" s="542"/>
      <c r="C17">
        <v>10</v>
      </c>
      <c r="D17" s="209" t="s">
        <v>64</v>
      </c>
      <c r="E17" s="1077">
        <v>5.0000000000000001E-3</v>
      </c>
      <c r="F17" s="1077">
        <v>5.0000000000000001E-3</v>
      </c>
      <c r="G17" s="1077">
        <v>6.0000000000000001E-3</v>
      </c>
      <c r="H17" s="1077">
        <v>6.0000000000000001E-3</v>
      </c>
      <c r="I17" s="1077">
        <v>6.0000000000000001E-3</v>
      </c>
      <c r="J17" s="1077">
        <v>6.0000000000000001E-3</v>
      </c>
      <c r="K17" s="1077">
        <v>6.0000000000000001E-3</v>
      </c>
      <c r="L17" s="1077">
        <v>6.0000000000000001E-3</v>
      </c>
      <c r="M17" s="1077">
        <v>6.0000000000000001E-3</v>
      </c>
      <c r="N17" s="1077">
        <v>6.0000000000000001E-3</v>
      </c>
      <c r="O17" s="1077">
        <v>6.0000000000000001E-3</v>
      </c>
      <c r="P17" s="1077">
        <v>6.0000000000000001E-3</v>
      </c>
      <c r="Q17" s="1078">
        <v>5.0000000000000001E-3</v>
      </c>
      <c r="R17" s="1078">
        <v>5.0000000000000001E-3</v>
      </c>
      <c r="S17" s="1078">
        <v>5.0000000000000001E-3</v>
      </c>
      <c r="T17" s="1078">
        <v>6.0000000000000001E-3</v>
      </c>
      <c r="U17" s="1078">
        <v>6.0000000000000001E-3</v>
      </c>
      <c r="V17" s="1078">
        <v>7.0000000000000001E-3</v>
      </c>
      <c r="W17" s="1078">
        <v>8.0000000000000002E-3</v>
      </c>
      <c r="X17" s="1078">
        <v>8.0000000000000002E-3</v>
      </c>
      <c r="Y17" s="1078">
        <v>8.0000000000000002E-3</v>
      </c>
      <c r="Z17" s="1078">
        <v>8.9999999999999993E-3</v>
      </c>
      <c r="AA17" s="1078">
        <v>8.9999999999999993E-3</v>
      </c>
      <c r="AB17" s="1078">
        <v>0.01</v>
      </c>
      <c r="AC17" s="1079">
        <v>6.0000000000000001E-3</v>
      </c>
      <c r="AD17" s="1079">
        <v>6.0000000000000001E-3</v>
      </c>
      <c r="AE17" s="1079">
        <v>7.0000000000000001E-3</v>
      </c>
      <c r="AF17" s="1079">
        <v>7.0000000000000001E-3</v>
      </c>
      <c r="AG17" s="1079">
        <v>8.0000000000000002E-3</v>
      </c>
      <c r="AH17" s="1079">
        <v>8.9999999999999993E-3</v>
      </c>
      <c r="AI17" s="1079">
        <v>0.01</v>
      </c>
      <c r="AJ17" s="1079">
        <v>0.01</v>
      </c>
      <c r="AK17" s="1079">
        <v>0.01</v>
      </c>
      <c r="AL17" s="1079">
        <v>1.0999999999999999E-2</v>
      </c>
      <c r="AM17" s="1079">
        <v>1.0999999999999999E-2</v>
      </c>
      <c r="AN17" s="1079">
        <v>1.2E-2</v>
      </c>
      <c r="AO17" s="1079">
        <v>4.0000000000000001E-3</v>
      </c>
      <c r="AP17" s="1079">
        <v>5.0000000000000001E-3</v>
      </c>
      <c r="AQ17" s="1079">
        <v>4.0000000000000001E-3</v>
      </c>
      <c r="AR17" s="1079">
        <v>4.0000000000000001E-3</v>
      </c>
      <c r="AS17" s="1079">
        <v>5.0000000000000001E-3</v>
      </c>
      <c r="AT17" s="1079">
        <v>4.0000000000000001E-3</v>
      </c>
      <c r="AU17" s="1079">
        <v>4.0000000000000001E-3</v>
      </c>
      <c r="AV17" s="1079">
        <v>4.0000000000000001E-3</v>
      </c>
      <c r="AW17" s="1079">
        <v>4.0000000000000001E-3</v>
      </c>
      <c r="AX17" s="1079">
        <v>4.0000000000000001E-3</v>
      </c>
      <c r="AY17" s="1079">
        <v>4.0000000000000001E-3</v>
      </c>
      <c r="AZ17" s="1079">
        <v>4.0000000000000001E-3</v>
      </c>
      <c r="BA17" s="933"/>
      <c r="BB17" s="933"/>
      <c r="BC17" s="933"/>
      <c r="BD17" s="821"/>
      <c r="BE17" s="821"/>
      <c r="BF17" s="821"/>
      <c r="BG17" s="821"/>
      <c r="BH17" s="821"/>
      <c r="BI17" s="821"/>
      <c r="BJ17" s="821"/>
      <c r="BK17" s="821"/>
      <c r="BL17" s="821"/>
      <c r="BM17" s="821"/>
      <c r="BN17" s="821"/>
      <c r="BO17" s="821"/>
      <c r="BR17" s="934"/>
    </row>
    <row r="18" spans="1:70" ht="21">
      <c r="A18" s="542"/>
      <c r="C18">
        <v>11</v>
      </c>
      <c r="D18" s="209" t="s">
        <v>65</v>
      </c>
      <c r="E18" s="1077">
        <v>4.0000000000000001E-3</v>
      </c>
      <c r="F18" s="1077">
        <v>4.0000000000000001E-3</v>
      </c>
      <c r="G18" s="1077">
        <v>4.0000000000000001E-3</v>
      </c>
      <c r="H18" s="1077">
        <v>4.0000000000000001E-3</v>
      </c>
      <c r="I18" s="1077">
        <v>5.0000000000000001E-3</v>
      </c>
      <c r="J18" s="1077">
        <v>4.0000000000000001E-3</v>
      </c>
      <c r="K18" s="1077">
        <v>5.0000000000000001E-3</v>
      </c>
      <c r="L18" s="1077">
        <v>5.0000000000000001E-3</v>
      </c>
      <c r="M18" s="1077">
        <v>5.0000000000000001E-3</v>
      </c>
      <c r="N18" s="1077">
        <v>5.0000000000000001E-3</v>
      </c>
      <c r="O18" s="1077">
        <v>5.0000000000000001E-3</v>
      </c>
      <c r="P18" s="1077">
        <v>5.0000000000000001E-3</v>
      </c>
      <c r="Q18" s="1078">
        <v>7.0000000000000001E-3</v>
      </c>
      <c r="R18" s="1078">
        <v>8.0000000000000002E-3</v>
      </c>
      <c r="S18" s="1078">
        <v>8.0000000000000002E-3</v>
      </c>
      <c r="T18" s="1078">
        <v>8.0000000000000002E-3</v>
      </c>
      <c r="U18" s="1078">
        <v>8.9999999999999993E-3</v>
      </c>
      <c r="V18" s="1078">
        <v>8.9999999999999993E-3</v>
      </c>
      <c r="W18" s="1078">
        <v>0.01</v>
      </c>
      <c r="X18" s="1078">
        <v>0.01</v>
      </c>
      <c r="Y18" s="1078">
        <v>0.01</v>
      </c>
      <c r="Z18" s="1078">
        <v>1.0999999999999999E-2</v>
      </c>
      <c r="AA18" s="1078">
        <v>0.01</v>
      </c>
      <c r="AB18" s="1078">
        <v>1.0999999999999999E-2</v>
      </c>
      <c r="AC18" s="1079">
        <v>0.01</v>
      </c>
      <c r="AD18" s="1079">
        <v>1.2E-2</v>
      </c>
      <c r="AE18" s="1079">
        <v>1.2E-2</v>
      </c>
      <c r="AF18" s="1079">
        <v>1.2999999999999999E-2</v>
      </c>
      <c r="AG18" s="1079">
        <v>1.2999999999999999E-2</v>
      </c>
      <c r="AH18" s="1079">
        <v>1.2999999999999999E-2</v>
      </c>
      <c r="AI18" s="1079">
        <v>1.4999999999999999E-2</v>
      </c>
      <c r="AJ18" s="1079">
        <v>1.4999999999999999E-2</v>
      </c>
      <c r="AK18" s="1079">
        <v>1.4999999999999999E-2</v>
      </c>
      <c r="AL18" s="1079">
        <v>1.6E-2</v>
      </c>
      <c r="AM18" s="1079">
        <v>1.4999999999999999E-2</v>
      </c>
      <c r="AN18" s="1079">
        <v>1.6E-2</v>
      </c>
      <c r="AO18" s="1079">
        <v>8.9999999999999993E-3</v>
      </c>
      <c r="AP18" s="1079">
        <v>0.01</v>
      </c>
      <c r="AQ18" s="1079">
        <v>0.01</v>
      </c>
      <c r="AR18" s="1079">
        <v>0.01</v>
      </c>
      <c r="AS18" s="1079">
        <v>0.01</v>
      </c>
      <c r="AT18" s="1079">
        <v>8.9999999999999993E-3</v>
      </c>
      <c r="AU18" s="1079">
        <v>0.01</v>
      </c>
      <c r="AV18" s="1079">
        <v>8.9999999999999993E-3</v>
      </c>
      <c r="AW18" s="1079">
        <v>0.01</v>
      </c>
      <c r="AX18" s="1079">
        <v>0.01</v>
      </c>
      <c r="AY18" s="1079">
        <v>8.9999999999999993E-3</v>
      </c>
      <c r="AZ18" s="1079">
        <v>0.01</v>
      </c>
      <c r="BA18" s="933"/>
      <c r="BB18" s="933"/>
      <c r="BC18" s="933"/>
      <c r="BD18" s="821"/>
      <c r="BE18" s="821"/>
      <c r="BF18" s="821"/>
      <c r="BG18" s="821"/>
      <c r="BH18" s="821"/>
      <c r="BI18" s="821"/>
      <c r="BJ18" s="821"/>
      <c r="BK18" s="821"/>
      <c r="BL18" s="821"/>
      <c r="BM18" s="821"/>
      <c r="BN18" s="821"/>
      <c r="BO18" s="821"/>
      <c r="BR18" s="934"/>
    </row>
    <row r="19" spans="1:70" ht="21">
      <c r="A19" s="542"/>
      <c r="C19">
        <v>12</v>
      </c>
      <c r="D19" s="209" t="s">
        <v>66</v>
      </c>
      <c r="E19" s="1077">
        <v>6.4000000000000001E-2</v>
      </c>
      <c r="F19" s="1077">
        <v>0.06</v>
      </c>
      <c r="G19" s="1077">
        <v>6.3E-2</v>
      </c>
      <c r="H19" s="1077">
        <v>6.8000000000000005E-2</v>
      </c>
      <c r="I19" s="1077">
        <v>6.8000000000000005E-2</v>
      </c>
      <c r="J19" s="1077">
        <v>6.8000000000000005E-2</v>
      </c>
      <c r="K19" s="1077">
        <v>6.9000000000000006E-2</v>
      </c>
      <c r="L19" s="1077">
        <v>6.7000000000000004E-2</v>
      </c>
      <c r="M19" s="1077">
        <v>6.9000000000000006E-2</v>
      </c>
      <c r="N19" s="1077">
        <v>6.7000000000000004E-2</v>
      </c>
      <c r="O19" s="1077">
        <v>6.3E-2</v>
      </c>
      <c r="P19" s="1077">
        <v>6.7000000000000004E-2</v>
      </c>
      <c r="Q19" s="1078">
        <v>6.0999999999999999E-2</v>
      </c>
      <c r="R19" s="1078">
        <v>6.3E-2</v>
      </c>
      <c r="S19" s="1078">
        <v>6.0999999999999999E-2</v>
      </c>
      <c r="T19" s="1078">
        <v>6.4000000000000001E-2</v>
      </c>
      <c r="U19" s="1078">
        <v>6.4000000000000001E-2</v>
      </c>
      <c r="V19" s="1078">
        <v>6.0999999999999999E-2</v>
      </c>
      <c r="W19" s="1078">
        <v>6.4000000000000001E-2</v>
      </c>
      <c r="X19" s="1078">
        <v>6.0999999999999999E-2</v>
      </c>
      <c r="Y19" s="1078">
        <v>6.4000000000000001E-2</v>
      </c>
      <c r="Z19" s="1078">
        <v>6.7000000000000004E-2</v>
      </c>
      <c r="AA19" s="1078">
        <v>0.06</v>
      </c>
      <c r="AB19" s="1078">
        <v>6.7000000000000004E-2</v>
      </c>
      <c r="AC19" s="1079">
        <v>6.7000000000000004E-2</v>
      </c>
      <c r="AD19" s="1079">
        <v>7.0000000000000007E-2</v>
      </c>
      <c r="AE19" s="1079">
        <v>6.8000000000000005E-2</v>
      </c>
      <c r="AF19" s="1079">
        <v>7.0999999999999994E-2</v>
      </c>
      <c r="AG19" s="1079">
        <v>7.0999999999999994E-2</v>
      </c>
      <c r="AH19" s="1079">
        <v>6.7000000000000004E-2</v>
      </c>
      <c r="AI19" s="1079">
        <v>7.0999999999999994E-2</v>
      </c>
      <c r="AJ19" s="1079">
        <v>6.7000000000000004E-2</v>
      </c>
      <c r="AK19" s="1079">
        <v>7.0999999999999994E-2</v>
      </c>
      <c r="AL19" s="1079">
        <v>7.2999999999999995E-2</v>
      </c>
      <c r="AM19" s="1079">
        <v>6.7000000000000004E-2</v>
      </c>
      <c r="AN19" s="1079">
        <v>7.3999999999999996E-2</v>
      </c>
      <c r="AO19" s="1079">
        <v>6.8000000000000005E-2</v>
      </c>
      <c r="AP19" s="1079">
        <v>7.0000000000000007E-2</v>
      </c>
      <c r="AQ19" s="1079">
        <v>6.8000000000000005E-2</v>
      </c>
      <c r="AR19" s="1079">
        <v>7.0000000000000007E-2</v>
      </c>
      <c r="AS19" s="1079">
        <v>7.0000000000000007E-2</v>
      </c>
      <c r="AT19" s="1079">
        <v>6.8000000000000005E-2</v>
      </c>
      <c r="AU19" s="1079">
        <v>7.0000000000000007E-2</v>
      </c>
      <c r="AV19" s="1079">
        <v>6.8000000000000005E-2</v>
      </c>
      <c r="AW19" s="1079">
        <v>7.0000000000000007E-2</v>
      </c>
      <c r="AX19" s="1079">
        <v>7.0000000000000007E-2</v>
      </c>
      <c r="AY19" s="1079">
        <v>6.4000000000000001E-2</v>
      </c>
      <c r="AZ19" s="1079">
        <v>7.0000000000000007E-2</v>
      </c>
      <c r="BA19" s="933"/>
      <c r="BB19" s="933"/>
      <c r="BC19" s="933"/>
      <c r="BD19" s="821"/>
      <c r="BE19" s="821"/>
      <c r="BF19" s="821"/>
      <c r="BG19" s="821"/>
      <c r="BH19" s="821"/>
      <c r="BI19" s="821"/>
      <c r="BJ19" s="821"/>
      <c r="BK19" s="821"/>
      <c r="BL19" s="821"/>
      <c r="BM19" s="821"/>
      <c r="BN19" s="821"/>
      <c r="BO19" s="821"/>
      <c r="BR19" s="934"/>
    </row>
    <row r="20" spans="1:70" ht="21">
      <c r="A20" s="542"/>
      <c r="C20">
        <v>13</v>
      </c>
      <c r="D20" s="209" t="s">
        <v>67</v>
      </c>
      <c r="E20" s="1077">
        <v>4.4999999999999998E-2</v>
      </c>
      <c r="F20" s="1077">
        <v>0.05</v>
      </c>
      <c r="G20" s="1077">
        <v>0.05</v>
      </c>
      <c r="H20" s="1077">
        <v>5.2999999999999999E-2</v>
      </c>
      <c r="I20" s="1077">
        <v>5.2999999999999999E-2</v>
      </c>
      <c r="J20" s="1077">
        <v>5.2999999999999999E-2</v>
      </c>
      <c r="K20" s="1077">
        <v>5.7000000000000002E-2</v>
      </c>
      <c r="L20" s="1077">
        <v>5.6000000000000001E-2</v>
      </c>
      <c r="M20" s="1077">
        <v>5.8000000000000003E-2</v>
      </c>
      <c r="N20" s="1077">
        <v>5.8000000000000003E-2</v>
      </c>
      <c r="O20" s="1077">
        <v>5.3999999999999999E-2</v>
      </c>
      <c r="P20" s="1077">
        <v>5.8000000000000003E-2</v>
      </c>
      <c r="Q20" s="1078">
        <v>4.8000000000000001E-2</v>
      </c>
      <c r="R20" s="1078">
        <v>0.05</v>
      </c>
      <c r="S20" s="1078">
        <v>4.9000000000000002E-2</v>
      </c>
      <c r="T20" s="1078">
        <v>5.0999999999999997E-2</v>
      </c>
      <c r="U20" s="1078">
        <v>0.05</v>
      </c>
      <c r="V20" s="1078">
        <v>4.8000000000000001E-2</v>
      </c>
      <c r="W20" s="1078">
        <v>4.9000000000000002E-2</v>
      </c>
      <c r="X20" s="1078">
        <v>4.7E-2</v>
      </c>
      <c r="Y20" s="1078">
        <v>4.8000000000000001E-2</v>
      </c>
      <c r="Z20" s="1078">
        <v>4.8000000000000001E-2</v>
      </c>
      <c r="AA20" s="1078">
        <v>4.4999999999999998E-2</v>
      </c>
      <c r="AB20" s="1078">
        <v>4.9000000000000002E-2</v>
      </c>
      <c r="AC20" s="1079">
        <v>5.0999999999999997E-2</v>
      </c>
      <c r="AD20" s="1079">
        <v>5.1999999999999998E-2</v>
      </c>
      <c r="AE20" s="1079">
        <v>5.1999999999999998E-2</v>
      </c>
      <c r="AF20" s="1079">
        <v>5.1999999999999998E-2</v>
      </c>
      <c r="AG20" s="1079">
        <v>5.2999999999999999E-2</v>
      </c>
      <c r="AH20" s="1079">
        <v>5.0999999999999997E-2</v>
      </c>
      <c r="AI20" s="1079">
        <v>5.0999999999999997E-2</v>
      </c>
      <c r="AJ20" s="1079">
        <v>0.05</v>
      </c>
      <c r="AK20" s="1079">
        <v>5.0999999999999997E-2</v>
      </c>
      <c r="AL20" s="1079">
        <v>5.0999999999999997E-2</v>
      </c>
      <c r="AM20" s="1079">
        <v>4.7E-2</v>
      </c>
      <c r="AN20" s="1079">
        <v>5.1999999999999998E-2</v>
      </c>
      <c r="AO20" s="1079">
        <v>5.3999999999999999E-2</v>
      </c>
      <c r="AP20" s="1079">
        <v>5.6000000000000001E-2</v>
      </c>
      <c r="AQ20" s="1079">
        <v>5.3999999999999999E-2</v>
      </c>
      <c r="AR20" s="1079">
        <v>5.5E-2</v>
      </c>
      <c r="AS20" s="1079">
        <v>5.6000000000000001E-2</v>
      </c>
      <c r="AT20" s="1079">
        <v>5.3999999999999999E-2</v>
      </c>
      <c r="AU20" s="1079">
        <v>5.6000000000000001E-2</v>
      </c>
      <c r="AV20" s="1079">
        <v>5.3999999999999999E-2</v>
      </c>
      <c r="AW20" s="1079">
        <v>5.6000000000000001E-2</v>
      </c>
      <c r="AX20" s="1079">
        <v>5.3999999999999999E-2</v>
      </c>
      <c r="AY20" s="1079">
        <v>0.05</v>
      </c>
      <c r="AZ20" s="1079">
        <v>5.6000000000000001E-2</v>
      </c>
      <c r="BA20" s="933"/>
      <c r="BB20" s="933"/>
      <c r="BC20" s="933"/>
      <c r="BD20" s="821"/>
      <c r="BE20" s="821"/>
      <c r="BF20" s="821"/>
      <c r="BG20" s="821"/>
      <c r="BH20" s="821"/>
      <c r="BI20" s="821"/>
      <c r="BJ20" s="821"/>
      <c r="BK20" s="821"/>
      <c r="BL20" s="821"/>
      <c r="BM20" s="821"/>
      <c r="BN20" s="821"/>
      <c r="BO20" s="821"/>
      <c r="BR20" s="934"/>
    </row>
    <row r="21" spans="1:70" ht="21">
      <c r="A21" s="542"/>
      <c r="C21">
        <v>14</v>
      </c>
      <c r="D21" s="209" t="s">
        <v>68</v>
      </c>
      <c r="E21" s="1077">
        <v>6.0000000000000001E-3</v>
      </c>
      <c r="F21" s="1077">
        <v>0.01</v>
      </c>
      <c r="G21" s="1077">
        <v>1.2E-2</v>
      </c>
      <c r="H21" s="1077">
        <v>1.7000000000000001E-2</v>
      </c>
      <c r="I21" s="1077">
        <v>1.7000000000000001E-2</v>
      </c>
      <c r="J21" s="1077">
        <v>1.7000000000000001E-2</v>
      </c>
      <c r="K21" s="1077">
        <v>1.7000000000000001E-2</v>
      </c>
      <c r="L21" s="1077">
        <v>1.6E-2</v>
      </c>
      <c r="M21" s="1077">
        <v>1.6E-2</v>
      </c>
      <c r="N21" s="1077">
        <v>1.7000000000000001E-2</v>
      </c>
      <c r="O21" s="1077">
        <v>1.4999999999999999E-2</v>
      </c>
      <c r="P21" s="1077">
        <v>1.7000000000000001E-2</v>
      </c>
      <c r="Q21" s="1078">
        <v>1.0999999999999999E-2</v>
      </c>
      <c r="R21" s="1078">
        <v>1.2E-2</v>
      </c>
      <c r="S21" s="1078">
        <v>1.2E-2</v>
      </c>
      <c r="T21" s="1078">
        <v>1.2999999999999999E-2</v>
      </c>
      <c r="U21" s="1078">
        <v>1.2999999999999999E-2</v>
      </c>
      <c r="V21" s="1078">
        <v>1.2E-2</v>
      </c>
      <c r="W21" s="1078">
        <v>1.2999999999999999E-2</v>
      </c>
      <c r="X21" s="1078">
        <v>1.2E-2</v>
      </c>
      <c r="Y21" s="1078">
        <v>1.2999999999999999E-2</v>
      </c>
      <c r="Z21" s="1078">
        <v>1.2999999999999999E-2</v>
      </c>
      <c r="AA21" s="1078">
        <v>1.2E-2</v>
      </c>
      <c r="AB21" s="1078">
        <v>1.2999999999999999E-2</v>
      </c>
      <c r="AC21" s="1079">
        <v>1.2999999999999999E-2</v>
      </c>
      <c r="AD21" s="1079">
        <v>1.2999999999999999E-2</v>
      </c>
      <c r="AE21" s="1079">
        <v>1.2999999999999999E-2</v>
      </c>
      <c r="AF21" s="1079">
        <v>1.4E-2</v>
      </c>
      <c r="AG21" s="1079">
        <v>1.4E-2</v>
      </c>
      <c r="AH21" s="1079">
        <v>1.2999999999999999E-2</v>
      </c>
      <c r="AI21" s="1079">
        <v>1.4E-2</v>
      </c>
      <c r="AJ21" s="1079">
        <v>1.4E-2</v>
      </c>
      <c r="AK21" s="1079">
        <v>1.4E-2</v>
      </c>
      <c r="AL21" s="1079">
        <v>1.4E-2</v>
      </c>
      <c r="AM21" s="1079">
        <v>1.4E-2</v>
      </c>
      <c r="AN21" s="1079">
        <v>1.4E-2</v>
      </c>
      <c r="AO21" s="1079">
        <v>1.4E-2</v>
      </c>
      <c r="AP21" s="1079">
        <v>1.4E-2</v>
      </c>
      <c r="AQ21" s="1079">
        <v>1.4E-2</v>
      </c>
      <c r="AR21" s="1079">
        <v>1.4999999999999999E-2</v>
      </c>
      <c r="AS21" s="1079">
        <v>1.4E-2</v>
      </c>
      <c r="AT21" s="1079">
        <v>1.4E-2</v>
      </c>
      <c r="AU21" s="1079">
        <v>1.4999999999999999E-2</v>
      </c>
      <c r="AV21" s="1079">
        <v>1.4E-2</v>
      </c>
      <c r="AW21" s="1079">
        <v>1.4999999999999999E-2</v>
      </c>
      <c r="AX21" s="1079">
        <v>1.4E-2</v>
      </c>
      <c r="AY21" s="1079">
        <v>1.2999999999999999E-2</v>
      </c>
      <c r="AZ21" s="1079">
        <v>1.4E-2</v>
      </c>
      <c r="BA21" s="933"/>
      <c r="BB21" s="933"/>
      <c r="BC21" s="933"/>
      <c r="BD21" s="821"/>
      <c r="BE21" s="821"/>
      <c r="BF21" s="821"/>
      <c r="BG21" s="821"/>
      <c r="BH21" s="821"/>
      <c r="BI21" s="821"/>
      <c r="BJ21" s="821"/>
      <c r="BK21" s="821"/>
      <c r="BL21" s="821"/>
      <c r="BM21" s="821"/>
      <c r="BN21" s="821"/>
      <c r="BO21" s="821"/>
      <c r="BR21" s="934"/>
    </row>
    <row r="22" spans="1:70" ht="18.75">
      <c r="A22" s="542"/>
      <c r="C22">
        <v>15</v>
      </c>
      <c r="D22" s="209" t="s">
        <v>69</v>
      </c>
      <c r="E22" s="1077">
        <v>1E-3</v>
      </c>
      <c r="F22" s="1077">
        <v>0</v>
      </c>
      <c r="G22" s="1077">
        <v>0</v>
      </c>
      <c r="H22" s="1077">
        <v>1E-3</v>
      </c>
      <c r="I22" s="1077">
        <v>0</v>
      </c>
      <c r="J22" s="1077">
        <v>0</v>
      </c>
      <c r="K22" s="1077">
        <v>1E-3</v>
      </c>
      <c r="L22" s="1077">
        <v>0</v>
      </c>
      <c r="M22" s="1077">
        <v>0</v>
      </c>
      <c r="N22" s="1077">
        <v>0</v>
      </c>
      <c r="O22" s="1077">
        <v>0</v>
      </c>
      <c r="P22" s="1077">
        <v>0</v>
      </c>
      <c r="Q22" s="1080">
        <v>0</v>
      </c>
      <c r="R22" s="1080">
        <v>0</v>
      </c>
      <c r="S22" s="1080">
        <v>0</v>
      </c>
      <c r="T22" s="1080">
        <v>0</v>
      </c>
      <c r="U22" s="1080">
        <v>0</v>
      </c>
      <c r="V22" s="1080">
        <v>0</v>
      </c>
      <c r="W22" s="1080">
        <v>0</v>
      </c>
      <c r="X22" s="1080">
        <v>0</v>
      </c>
      <c r="Y22" s="1080">
        <v>0</v>
      </c>
      <c r="Z22" s="1080">
        <v>0</v>
      </c>
      <c r="AA22" s="1080">
        <v>0</v>
      </c>
      <c r="AB22" s="1080">
        <v>0</v>
      </c>
      <c r="AC22" s="1079">
        <v>0</v>
      </c>
      <c r="AD22" s="1079">
        <v>0</v>
      </c>
      <c r="AE22" s="1079">
        <v>0</v>
      </c>
      <c r="AF22" s="1079">
        <v>0</v>
      </c>
      <c r="AG22" s="1079">
        <v>0</v>
      </c>
      <c r="AH22" s="1079">
        <v>0</v>
      </c>
      <c r="AI22" s="1079">
        <v>0</v>
      </c>
      <c r="AJ22" s="1079">
        <v>0</v>
      </c>
      <c r="AK22" s="1079">
        <v>0</v>
      </c>
      <c r="AL22" s="1079">
        <v>0</v>
      </c>
      <c r="AM22" s="1079">
        <v>0</v>
      </c>
      <c r="AN22" s="1079">
        <v>0</v>
      </c>
      <c r="AO22" s="1079">
        <v>0</v>
      </c>
      <c r="AP22" s="1079">
        <v>0</v>
      </c>
      <c r="AQ22" s="1079">
        <v>0</v>
      </c>
      <c r="AR22" s="1079">
        <v>0</v>
      </c>
      <c r="AS22" s="1079">
        <v>0</v>
      </c>
      <c r="AT22" s="1079">
        <v>0</v>
      </c>
      <c r="AU22" s="1079">
        <v>0</v>
      </c>
      <c r="AV22" s="1079">
        <v>0</v>
      </c>
      <c r="AW22" s="1079">
        <v>0</v>
      </c>
      <c r="AX22" s="1079">
        <v>0</v>
      </c>
      <c r="AY22" s="1079">
        <v>0</v>
      </c>
      <c r="AZ22" s="1079">
        <v>0</v>
      </c>
      <c r="BA22" s="933"/>
      <c r="BB22" s="933"/>
      <c r="BC22" s="933"/>
      <c r="BD22" s="821"/>
      <c r="BE22" s="821"/>
      <c r="BF22" s="821"/>
      <c r="BG22" s="821"/>
      <c r="BH22" s="821"/>
      <c r="BI22" s="821"/>
      <c r="BJ22" s="821"/>
      <c r="BK22" s="821"/>
      <c r="BL22" s="821"/>
      <c r="BM22" s="821"/>
      <c r="BN22" s="821"/>
      <c r="BO22" s="821"/>
      <c r="BR22" s="934"/>
    </row>
    <row r="23" spans="1:70" ht="18.75">
      <c r="A23" s="542"/>
      <c r="C23">
        <v>16</v>
      </c>
      <c r="D23" s="209" t="s">
        <v>70</v>
      </c>
      <c r="E23" s="1081">
        <v>0</v>
      </c>
      <c r="F23" s="1081">
        <v>0</v>
      </c>
      <c r="G23" s="1081">
        <v>0</v>
      </c>
      <c r="H23" s="1081">
        <v>0</v>
      </c>
      <c r="I23" s="1081">
        <v>0</v>
      </c>
      <c r="J23" s="1081">
        <v>0</v>
      </c>
      <c r="K23" s="1081">
        <v>0</v>
      </c>
      <c r="L23" s="1081">
        <v>0</v>
      </c>
      <c r="M23" s="1081">
        <v>0</v>
      </c>
      <c r="N23" s="1081">
        <v>0</v>
      </c>
      <c r="O23" s="1081">
        <v>0</v>
      </c>
      <c r="P23" s="1081">
        <v>0</v>
      </c>
      <c r="Q23" s="1080">
        <v>0</v>
      </c>
      <c r="R23" s="1080">
        <v>0</v>
      </c>
      <c r="S23" s="1080">
        <v>0</v>
      </c>
      <c r="T23" s="1080">
        <v>0</v>
      </c>
      <c r="U23" s="1080">
        <v>0</v>
      </c>
      <c r="V23" s="1080">
        <v>0</v>
      </c>
      <c r="W23" s="1080">
        <v>0</v>
      </c>
      <c r="X23" s="1080">
        <v>0</v>
      </c>
      <c r="Y23" s="1080">
        <v>0</v>
      </c>
      <c r="Z23" s="1080">
        <v>0</v>
      </c>
      <c r="AA23" s="1080">
        <v>0</v>
      </c>
      <c r="AB23" s="1080">
        <v>0</v>
      </c>
      <c r="AC23" s="1079">
        <v>0</v>
      </c>
      <c r="AD23" s="1079">
        <v>0</v>
      </c>
      <c r="AE23" s="1079">
        <v>0</v>
      </c>
      <c r="AF23" s="1079">
        <v>0</v>
      </c>
      <c r="AG23" s="1079">
        <v>0</v>
      </c>
      <c r="AH23" s="1079">
        <v>0</v>
      </c>
      <c r="AI23" s="1079">
        <v>0</v>
      </c>
      <c r="AJ23" s="1079">
        <v>0</v>
      </c>
      <c r="AK23" s="1079">
        <v>0</v>
      </c>
      <c r="AL23" s="1079">
        <v>0</v>
      </c>
      <c r="AM23" s="1079">
        <v>0</v>
      </c>
      <c r="AN23" s="1079">
        <v>0</v>
      </c>
      <c r="AO23" s="1079">
        <v>0</v>
      </c>
      <c r="AP23" s="1079">
        <v>0</v>
      </c>
      <c r="AQ23" s="1079">
        <v>0</v>
      </c>
      <c r="AR23" s="1079">
        <v>0</v>
      </c>
      <c r="AS23" s="1079">
        <v>0</v>
      </c>
      <c r="AT23" s="1079">
        <v>0</v>
      </c>
      <c r="AU23" s="1079">
        <v>0</v>
      </c>
      <c r="AV23" s="1079">
        <v>0</v>
      </c>
      <c r="AW23" s="1079">
        <v>0</v>
      </c>
      <c r="AX23" s="1079">
        <v>0</v>
      </c>
      <c r="AY23" s="1079">
        <v>0</v>
      </c>
      <c r="AZ23" s="1079">
        <v>0</v>
      </c>
      <c r="BA23" s="933"/>
      <c r="BB23" s="933"/>
      <c r="BC23" s="933"/>
      <c r="BD23" s="821"/>
      <c r="BE23" s="821"/>
      <c r="BF23" s="821"/>
      <c r="BG23" s="821"/>
      <c r="BH23" s="821"/>
      <c r="BI23" s="821"/>
      <c r="BJ23" s="821"/>
      <c r="BK23" s="821"/>
      <c r="BL23" s="821"/>
      <c r="BM23" s="821"/>
      <c r="BN23" s="821"/>
      <c r="BO23" s="821"/>
      <c r="BR23" s="934"/>
    </row>
    <row r="24" spans="1:70">
      <c r="A24" s="542"/>
      <c r="BE24" s="460"/>
      <c r="BR24" s="934"/>
    </row>
    <row r="25" spans="1:70">
      <c r="A25" s="542"/>
      <c r="BE25" s="460"/>
      <c r="BR25" s="934"/>
    </row>
    <row r="26" spans="1:70">
      <c r="A26" s="542"/>
      <c r="BE26" s="460"/>
      <c r="BR26" s="934"/>
    </row>
    <row r="27" spans="1:70">
      <c r="A27" s="542"/>
      <c r="C27">
        <v>1</v>
      </c>
      <c r="E27">
        <v>202304</v>
      </c>
      <c r="F27">
        <v>202305</v>
      </c>
      <c r="G27">
        <v>202306</v>
      </c>
      <c r="H27">
        <v>202307</v>
      </c>
      <c r="I27">
        <v>202308</v>
      </c>
      <c r="J27">
        <v>202309</v>
      </c>
      <c r="K27">
        <v>202310</v>
      </c>
      <c r="L27">
        <v>202311</v>
      </c>
      <c r="M27">
        <v>202312</v>
      </c>
      <c r="N27">
        <v>202401</v>
      </c>
      <c r="O27">
        <v>202402</v>
      </c>
      <c r="P27">
        <v>202403</v>
      </c>
      <c r="Q27">
        <v>202404</v>
      </c>
      <c r="R27">
        <v>202405</v>
      </c>
      <c r="S27">
        <v>202406</v>
      </c>
      <c r="T27">
        <v>202407</v>
      </c>
      <c r="U27">
        <v>202408</v>
      </c>
      <c r="V27">
        <v>202409</v>
      </c>
      <c r="W27">
        <v>202410</v>
      </c>
      <c r="X27">
        <v>202411</v>
      </c>
      <c r="Y27">
        <v>202412</v>
      </c>
      <c r="Z27">
        <v>202501</v>
      </c>
      <c r="AA27">
        <v>202502</v>
      </c>
      <c r="AB27">
        <v>202503</v>
      </c>
      <c r="AC27">
        <v>202504</v>
      </c>
      <c r="AD27">
        <v>202505</v>
      </c>
      <c r="AE27">
        <v>202506</v>
      </c>
      <c r="AF27">
        <v>202507</v>
      </c>
      <c r="AG27">
        <v>202508</v>
      </c>
      <c r="AH27">
        <v>202509</v>
      </c>
      <c r="AI27">
        <v>202510</v>
      </c>
      <c r="AJ27">
        <v>202511</v>
      </c>
      <c r="AK27">
        <v>202512</v>
      </c>
      <c r="AL27">
        <v>202601</v>
      </c>
      <c r="AM27">
        <v>202602</v>
      </c>
      <c r="AN27">
        <v>202603</v>
      </c>
      <c r="AO27">
        <v>202604</v>
      </c>
      <c r="AP27">
        <v>202605</v>
      </c>
      <c r="AQ27">
        <v>202606</v>
      </c>
      <c r="AR27">
        <v>202607</v>
      </c>
      <c r="AS27">
        <v>202608</v>
      </c>
      <c r="AT27">
        <v>202609</v>
      </c>
      <c r="AU27">
        <v>202610</v>
      </c>
      <c r="AV27">
        <v>202611</v>
      </c>
      <c r="AW27">
        <v>202612</v>
      </c>
      <c r="AX27">
        <v>202701</v>
      </c>
      <c r="AY27">
        <v>202702</v>
      </c>
      <c r="AZ27">
        <v>202703</v>
      </c>
      <c r="BR27" s="934"/>
    </row>
    <row r="28" spans="1:70">
      <c r="A28" s="542"/>
      <c r="C28">
        <v>2</v>
      </c>
      <c r="E28" s="184" t="s">
        <v>726</v>
      </c>
      <c r="F28" s="184" t="s">
        <v>727</v>
      </c>
      <c r="G28" s="184" t="s">
        <v>728</v>
      </c>
      <c r="H28" s="184" t="s">
        <v>729</v>
      </c>
      <c r="I28" s="184" t="s">
        <v>730</v>
      </c>
      <c r="J28" s="184" t="s">
        <v>731</v>
      </c>
      <c r="K28" s="184" t="s">
        <v>732</v>
      </c>
      <c r="L28" s="184" t="s">
        <v>733</v>
      </c>
      <c r="M28" s="184" t="s">
        <v>734</v>
      </c>
      <c r="N28" s="184" t="s">
        <v>735</v>
      </c>
      <c r="O28" s="184" t="s">
        <v>736</v>
      </c>
      <c r="P28" s="184" t="s">
        <v>737</v>
      </c>
      <c r="Q28" s="184" t="s">
        <v>738</v>
      </c>
      <c r="R28" s="184" t="s">
        <v>740</v>
      </c>
      <c r="S28" s="184" t="s">
        <v>741</v>
      </c>
      <c r="T28" s="184" t="s">
        <v>742</v>
      </c>
      <c r="U28" s="184" t="s">
        <v>743</v>
      </c>
      <c r="V28" s="184" t="s">
        <v>744</v>
      </c>
      <c r="W28" s="184" t="s">
        <v>745</v>
      </c>
      <c r="X28" s="184" t="s">
        <v>746</v>
      </c>
      <c r="Y28" s="184" t="s">
        <v>747</v>
      </c>
      <c r="Z28" s="184" t="s">
        <v>748</v>
      </c>
      <c r="AA28" s="184" t="s">
        <v>749</v>
      </c>
      <c r="AB28" s="184" t="s">
        <v>750</v>
      </c>
      <c r="AC28" s="184" t="s">
        <v>739</v>
      </c>
      <c r="AD28" s="184" t="s">
        <v>751</v>
      </c>
      <c r="AE28" s="184" t="s">
        <v>752</v>
      </c>
      <c r="AF28" s="184" t="s">
        <v>753</v>
      </c>
      <c r="AG28" s="184" t="s">
        <v>754</v>
      </c>
      <c r="AH28" s="184" t="s">
        <v>755</v>
      </c>
      <c r="AI28" s="184" t="s">
        <v>756</v>
      </c>
      <c r="AJ28" s="184" t="s">
        <v>757</v>
      </c>
      <c r="AK28" s="184" t="s">
        <v>758</v>
      </c>
      <c r="AL28" s="184" t="s">
        <v>759</v>
      </c>
      <c r="AM28" s="184" t="s">
        <v>760</v>
      </c>
      <c r="AN28" s="184" t="s">
        <v>761</v>
      </c>
      <c r="AO28" s="184" t="s">
        <v>2150</v>
      </c>
      <c r="AP28" s="932" t="s">
        <v>2151</v>
      </c>
      <c r="AQ28" s="932" t="s">
        <v>2152</v>
      </c>
      <c r="AR28" s="184" t="s">
        <v>2153</v>
      </c>
      <c r="AS28" s="184" t="s">
        <v>2154</v>
      </c>
      <c r="AT28" s="184" t="s">
        <v>2155</v>
      </c>
      <c r="AU28" s="184" t="s">
        <v>2156</v>
      </c>
      <c r="AV28" s="184" t="s">
        <v>2157</v>
      </c>
      <c r="AW28" s="184" t="s">
        <v>2158</v>
      </c>
      <c r="AX28" s="184" t="s">
        <v>2159</v>
      </c>
      <c r="AY28" s="184" t="s">
        <v>2160</v>
      </c>
      <c r="AZ28" s="184" t="s">
        <v>2149</v>
      </c>
      <c r="BA28" s="932"/>
      <c r="BB28" s="932"/>
      <c r="BC28" s="932"/>
      <c r="BD28" s="184"/>
      <c r="BE28" s="932"/>
      <c r="BF28" s="932"/>
      <c r="BG28" s="184"/>
      <c r="BH28" s="184"/>
      <c r="BI28" s="184"/>
      <c r="BJ28" s="184"/>
      <c r="BK28" s="184"/>
      <c r="BL28" s="184"/>
      <c r="BM28" s="184"/>
      <c r="BN28" s="184"/>
      <c r="BO28" s="184"/>
      <c r="BR28" s="934"/>
    </row>
    <row r="29" spans="1:70" ht="21">
      <c r="A29" s="542"/>
      <c r="C29">
        <v>3</v>
      </c>
      <c r="D29" s="209" t="s">
        <v>60</v>
      </c>
      <c r="E29" s="1077">
        <v>4.3999999999999997E-2</v>
      </c>
      <c r="F29" s="1077">
        <v>3.5000000000000003E-2</v>
      </c>
      <c r="G29" s="1077">
        <v>2.4E-2</v>
      </c>
      <c r="H29" s="1077">
        <v>2.8000000000000001E-2</v>
      </c>
      <c r="I29" s="1077">
        <v>2.9000000000000001E-2</v>
      </c>
      <c r="J29" s="1077">
        <v>3.3000000000000002E-2</v>
      </c>
      <c r="K29" s="1077">
        <v>4.4999999999999998E-2</v>
      </c>
      <c r="L29" s="1077">
        <v>5.5E-2</v>
      </c>
      <c r="M29" s="1077">
        <v>5.5E-2</v>
      </c>
      <c r="N29" s="1077">
        <v>5.5E-2</v>
      </c>
      <c r="O29" s="1077">
        <v>0.05</v>
      </c>
      <c r="P29" s="1077">
        <v>5.7000000000000002E-2</v>
      </c>
      <c r="Q29" s="1078">
        <v>4.7E-2</v>
      </c>
      <c r="R29" s="1078">
        <v>3.9E-2</v>
      </c>
      <c r="S29" s="1078">
        <v>3.5000000000000003E-2</v>
      </c>
      <c r="T29" s="1078">
        <v>3.4000000000000002E-2</v>
      </c>
      <c r="U29" s="1078">
        <v>3.4000000000000002E-2</v>
      </c>
      <c r="V29" s="1078">
        <v>3.7999999999999999E-2</v>
      </c>
      <c r="W29" s="1078">
        <v>5.0999999999999997E-2</v>
      </c>
      <c r="X29" s="1078">
        <v>6.2E-2</v>
      </c>
      <c r="Y29" s="1078">
        <v>6.8000000000000005E-2</v>
      </c>
      <c r="Z29" s="1078">
        <v>6.9000000000000006E-2</v>
      </c>
      <c r="AA29" s="1078">
        <v>6.4000000000000001E-2</v>
      </c>
      <c r="AB29" s="1078">
        <v>6.6000000000000003E-2</v>
      </c>
      <c r="AC29" s="1079">
        <v>5.7000000000000002E-2</v>
      </c>
      <c r="AD29" s="1079">
        <v>4.7E-2</v>
      </c>
      <c r="AE29" s="1079">
        <v>4.2000000000000003E-2</v>
      </c>
      <c r="AF29" s="1079">
        <v>4.1000000000000002E-2</v>
      </c>
      <c r="AG29" s="1079">
        <v>4.1000000000000002E-2</v>
      </c>
      <c r="AH29" s="1079">
        <v>4.5999999999999999E-2</v>
      </c>
      <c r="AI29" s="1079">
        <v>6.2E-2</v>
      </c>
      <c r="AJ29" s="1079">
        <v>7.4999999999999997E-2</v>
      </c>
      <c r="AK29" s="1079">
        <v>8.2000000000000003E-2</v>
      </c>
      <c r="AL29" s="1079">
        <v>8.3000000000000004E-2</v>
      </c>
      <c r="AM29" s="1079">
        <v>7.6999999999999999E-2</v>
      </c>
      <c r="AN29" s="1079">
        <v>0.08</v>
      </c>
      <c r="AO29" s="1079">
        <v>4.9000000000000002E-2</v>
      </c>
      <c r="AP29" s="1079">
        <v>0.05</v>
      </c>
      <c r="AQ29" s="1079">
        <v>4.8000000000000001E-2</v>
      </c>
      <c r="AR29" s="1079">
        <v>5.0999999999999997E-2</v>
      </c>
      <c r="AS29" s="1079">
        <v>0.05</v>
      </c>
      <c r="AT29" s="1079">
        <v>4.9000000000000002E-2</v>
      </c>
      <c r="AU29" s="1079">
        <v>5.1999999999999998E-2</v>
      </c>
      <c r="AV29" s="1079">
        <v>5.2999999999999999E-2</v>
      </c>
      <c r="AW29" s="1079">
        <v>5.3999999999999999E-2</v>
      </c>
      <c r="AX29" s="1079">
        <v>5.6000000000000001E-2</v>
      </c>
      <c r="AY29" s="1079">
        <v>5.0999999999999997E-2</v>
      </c>
      <c r="AZ29" s="1079">
        <v>5.6000000000000001E-2</v>
      </c>
      <c r="BA29" s="1082"/>
      <c r="BB29" s="1082"/>
      <c r="BC29" s="1082"/>
      <c r="BD29" s="1079"/>
      <c r="BE29" s="821"/>
      <c r="BF29" s="821"/>
      <c r="BG29" s="821"/>
      <c r="BH29" s="821"/>
      <c r="BI29" s="821"/>
      <c r="BJ29" s="821"/>
      <c r="BK29" s="821"/>
      <c r="BL29" s="821"/>
      <c r="BM29" s="821"/>
      <c r="BN29" s="821"/>
      <c r="BO29" s="821"/>
      <c r="BR29" s="934"/>
    </row>
    <row r="30" spans="1:70" ht="21">
      <c r="A30" s="542"/>
      <c r="C30">
        <v>4</v>
      </c>
      <c r="D30" s="209" t="s">
        <v>61</v>
      </c>
      <c r="E30" s="1077">
        <v>5.6000000000000001E-2</v>
      </c>
      <c r="F30" s="1077">
        <v>5.7000000000000002E-2</v>
      </c>
      <c r="G30" s="1077">
        <v>5.6000000000000001E-2</v>
      </c>
      <c r="H30" s="1077">
        <v>5.6000000000000001E-2</v>
      </c>
      <c r="I30" s="1077">
        <v>5.6000000000000001E-2</v>
      </c>
      <c r="J30" s="1077">
        <v>5.5E-2</v>
      </c>
      <c r="K30" s="1077">
        <v>5.6000000000000001E-2</v>
      </c>
      <c r="L30" s="1077">
        <v>5.5E-2</v>
      </c>
      <c r="M30" s="1077">
        <v>5.6000000000000001E-2</v>
      </c>
      <c r="N30" s="1077">
        <v>5.5E-2</v>
      </c>
      <c r="O30" s="1077">
        <v>5.1999999999999998E-2</v>
      </c>
      <c r="P30" s="1077">
        <v>5.5E-2</v>
      </c>
      <c r="Q30" s="1078">
        <v>9.1999999999999998E-2</v>
      </c>
      <c r="R30" s="1078">
        <v>9.2999999999999999E-2</v>
      </c>
      <c r="S30" s="1078">
        <v>8.8999999999999996E-2</v>
      </c>
      <c r="T30" s="1078">
        <v>6.4000000000000001E-2</v>
      </c>
      <c r="U30" s="1078">
        <v>0.09</v>
      </c>
      <c r="V30" s="1078">
        <v>8.5999999999999993E-2</v>
      </c>
      <c r="W30" s="1078">
        <v>8.6999999999999994E-2</v>
      </c>
      <c r="X30" s="1078">
        <v>8.5000000000000006E-2</v>
      </c>
      <c r="Y30" s="1078">
        <v>8.7999999999999995E-2</v>
      </c>
      <c r="Z30" s="1078">
        <v>7.9000000000000001E-2</v>
      </c>
      <c r="AA30" s="1078">
        <v>7.1999999999999995E-2</v>
      </c>
      <c r="AB30" s="1078">
        <v>0.08</v>
      </c>
      <c r="AC30" s="1079">
        <v>7.8E-2</v>
      </c>
      <c r="AD30" s="1079">
        <v>7.9000000000000001E-2</v>
      </c>
      <c r="AE30" s="1079">
        <v>7.4999999999999997E-2</v>
      </c>
      <c r="AF30" s="1079">
        <v>5.5E-2</v>
      </c>
      <c r="AG30" s="1079">
        <v>7.5999999999999998E-2</v>
      </c>
      <c r="AH30" s="1079">
        <v>7.2999999999999995E-2</v>
      </c>
      <c r="AI30" s="1079">
        <v>7.3999999999999996E-2</v>
      </c>
      <c r="AJ30" s="1079">
        <v>7.1999999999999995E-2</v>
      </c>
      <c r="AK30" s="1079">
        <v>7.3999999999999996E-2</v>
      </c>
      <c r="AL30" s="1079">
        <v>6.7000000000000004E-2</v>
      </c>
      <c r="AM30" s="1079">
        <v>6.0999999999999999E-2</v>
      </c>
      <c r="AN30" s="1079">
        <v>6.8000000000000005E-2</v>
      </c>
      <c r="AO30" s="1079">
        <v>6.6000000000000003E-2</v>
      </c>
      <c r="AP30" s="1079">
        <v>6.8000000000000005E-2</v>
      </c>
      <c r="AQ30" s="1079">
        <v>6.6000000000000003E-2</v>
      </c>
      <c r="AR30" s="1079">
        <v>6.8000000000000005E-2</v>
      </c>
      <c r="AS30" s="1079">
        <v>6.8000000000000005E-2</v>
      </c>
      <c r="AT30" s="1079">
        <v>6.6000000000000003E-2</v>
      </c>
      <c r="AU30" s="1079">
        <v>6.794520547945207E-2</v>
      </c>
      <c r="AV30" s="1079">
        <v>6.6000000000000003E-2</v>
      </c>
      <c r="AW30" s="1079">
        <v>6.8000000000000005E-2</v>
      </c>
      <c r="AX30" s="1079">
        <v>6.8000000000000005E-2</v>
      </c>
      <c r="AY30" s="1079">
        <v>0.06</v>
      </c>
      <c r="AZ30" s="1079">
        <v>6.8000000000000005E-2</v>
      </c>
      <c r="BA30" s="1082"/>
      <c r="BB30" s="1082"/>
      <c r="BC30" s="1082"/>
      <c r="BD30" s="1079"/>
      <c r="BE30" s="821"/>
      <c r="BF30" s="821"/>
      <c r="BG30" s="821"/>
      <c r="BH30" s="821"/>
      <c r="BI30" s="821"/>
      <c r="BJ30" s="821"/>
      <c r="BK30" s="821"/>
      <c r="BL30" s="821"/>
      <c r="BM30" s="821"/>
      <c r="BN30" s="821"/>
      <c r="BO30" s="821"/>
      <c r="BR30" s="934"/>
    </row>
    <row r="31" spans="1:70" ht="21">
      <c r="A31" s="542"/>
      <c r="C31">
        <v>5</v>
      </c>
      <c r="D31" s="209" t="s">
        <v>62</v>
      </c>
      <c r="E31" s="1077">
        <v>8.9999999999999993E-3</v>
      </c>
      <c r="F31" s="1077">
        <v>8.9999999999999993E-3</v>
      </c>
      <c r="G31" s="1077">
        <v>8.9999999999999993E-3</v>
      </c>
      <c r="H31" s="1077">
        <v>0.01</v>
      </c>
      <c r="I31" s="1077">
        <v>0.01</v>
      </c>
      <c r="J31" s="1077">
        <v>8.0000000000000002E-3</v>
      </c>
      <c r="K31" s="1077">
        <v>0.01</v>
      </c>
      <c r="L31" s="1077">
        <v>8.9999999999999993E-3</v>
      </c>
      <c r="M31" s="1077">
        <v>8.9999999999999993E-3</v>
      </c>
      <c r="N31" s="1077">
        <v>0.01</v>
      </c>
      <c r="O31" s="1077">
        <v>8.0000000000000002E-3</v>
      </c>
      <c r="P31" s="1077">
        <v>0.01</v>
      </c>
      <c r="Q31" s="1078">
        <v>0.01</v>
      </c>
      <c r="R31" s="1078">
        <v>8.9999999999999993E-3</v>
      </c>
      <c r="S31" s="1078">
        <v>8.9999999999999993E-3</v>
      </c>
      <c r="T31" s="1078">
        <v>0.01</v>
      </c>
      <c r="U31" s="1078">
        <v>0.01</v>
      </c>
      <c r="V31" s="1078">
        <v>8.9999999999999993E-3</v>
      </c>
      <c r="W31" s="1078">
        <v>0.01</v>
      </c>
      <c r="X31" s="1078">
        <v>8.9999999999999993E-3</v>
      </c>
      <c r="Y31" s="1078">
        <v>0.01</v>
      </c>
      <c r="Z31" s="1078">
        <v>0.01</v>
      </c>
      <c r="AA31" s="1078">
        <v>8.9999999999999993E-3</v>
      </c>
      <c r="AB31" s="1078">
        <v>0.01</v>
      </c>
      <c r="AC31" s="1079">
        <v>0.01</v>
      </c>
      <c r="AD31" s="1079">
        <v>8.9999999999999993E-3</v>
      </c>
      <c r="AE31" s="1079">
        <v>0.01</v>
      </c>
      <c r="AF31" s="1079">
        <v>0.01</v>
      </c>
      <c r="AG31" s="1079">
        <v>0.01</v>
      </c>
      <c r="AH31" s="1079">
        <v>8.9999999999999993E-3</v>
      </c>
      <c r="AI31" s="1079">
        <v>0.01</v>
      </c>
      <c r="AJ31" s="1079">
        <v>8.9999999999999993E-3</v>
      </c>
      <c r="AK31" s="1079">
        <v>0.01</v>
      </c>
      <c r="AL31" s="1079">
        <v>0.01</v>
      </c>
      <c r="AM31" s="1079">
        <v>8.9999999999999993E-3</v>
      </c>
      <c r="AN31" s="1079">
        <v>0.01</v>
      </c>
      <c r="AO31" s="1079">
        <v>8.0000000000000002E-3</v>
      </c>
      <c r="AP31" s="1079">
        <v>8.0000000000000002E-3</v>
      </c>
      <c r="AQ31" s="1079">
        <v>8.0000000000000002E-3</v>
      </c>
      <c r="AR31" s="1079">
        <v>8.0000000000000002E-3</v>
      </c>
      <c r="AS31" s="1079">
        <v>8.0000000000000002E-3</v>
      </c>
      <c r="AT31" s="1079">
        <v>8.0000000000000002E-3</v>
      </c>
      <c r="AU31" s="1079">
        <v>7.9835616438356169E-3</v>
      </c>
      <c r="AV31" s="1079">
        <v>8.0000000000000002E-3</v>
      </c>
      <c r="AW31" s="1079">
        <v>8.0000000000000002E-3</v>
      </c>
      <c r="AX31" s="1079">
        <v>8.0000000000000002E-3</v>
      </c>
      <c r="AY31" s="1079">
        <v>6.0000000000000001E-3</v>
      </c>
      <c r="AZ31" s="1079">
        <v>8.0000000000000002E-3</v>
      </c>
      <c r="BA31" s="1082"/>
      <c r="BB31" s="1082"/>
      <c r="BC31" s="1082"/>
      <c r="BD31" s="1079"/>
      <c r="BE31" s="821"/>
      <c r="BF31" s="821"/>
      <c r="BG31" s="821"/>
      <c r="BH31" s="821"/>
      <c r="BI31" s="821"/>
      <c r="BJ31" s="821"/>
      <c r="BK31" s="821"/>
      <c r="BL31" s="821"/>
      <c r="BM31" s="821"/>
      <c r="BN31" s="821"/>
      <c r="BO31" s="821"/>
      <c r="BR31" s="934"/>
    </row>
    <row r="32" spans="1:70" ht="21">
      <c r="A32" s="542"/>
      <c r="C32">
        <v>6</v>
      </c>
      <c r="D32" s="209" t="s">
        <v>57</v>
      </c>
      <c r="E32" s="1077">
        <v>6.0000000000000001E-3</v>
      </c>
      <c r="F32" s="1077">
        <v>7.0000000000000001E-3</v>
      </c>
      <c r="G32" s="1077">
        <v>6.0000000000000001E-3</v>
      </c>
      <c r="H32" s="1077">
        <v>7.0000000000000001E-3</v>
      </c>
      <c r="I32" s="1077">
        <v>7.0000000000000001E-3</v>
      </c>
      <c r="J32" s="1077">
        <v>6.0000000000000001E-3</v>
      </c>
      <c r="K32" s="1077">
        <v>7.0000000000000001E-3</v>
      </c>
      <c r="L32" s="1077">
        <v>6.0000000000000001E-3</v>
      </c>
      <c r="M32" s="1077">
        <v>7.0000000000000001E-3</v>
      </c>
      <c r="N32" s="1077">
        <v>7.0000000000000001E-3</v>
      </c>
      <c r="O32" s="1077">
        <v>6.0000000000000001E-3</v>
      </c>
      <c r="P32" s="1077">
        <v>7.0000000000000001E-3</v>
      </c>
      <c r="Q32" s="1078">
        <v>8.0000000000000002E-3</v>
      </c>
      <c r="R32" s="1078">
        <v>8.0000000000000002E-3</v>
      </c>
      <c r="S32" s="1078">
        <v>8.0000000000000002E-3</v>
      </c>
      <c r="T32" s="1078">
        <v>8.0000000000000002E-3</v>
      </c>
      <c r="U32" s="1078">
        <v>8.0000000000000002E-3</v>
      </c>
      <c r="V32" s="1078">
        <v>7.0000000000000001E-3</v>
      </c>
      <c r="W32" s="1078">
        <v>8.0000000000000002E-3</v>
      </c>
      <c r="X32" s="1078">
        <v>7.0000000000000001E-3</v>
      </c>
      <c r="Y32" s="1078">
        <v>7.0000000000000001E-3</v>
      </c>
      <c r="Z32" s="1078">
        <v>7.0000000000000001E-3</v>
      </c>
      <c r="AA32" s="1078">
        <v>6.0000000000000001E-3</v>
      </c>
      <c r="AB32" s="1078">
        <v>7.0000000000000001E-3</v>
      </c>
      <c r="AC32" s="1079">
        <v>8.0000000000000002E-3</v>
      </c>
      <c r="AD32" s="1079">
        <v>8.0000000000000002E-3</v>
      </c>
      <c r="AE32" s="1079">
        <v>8.0000000000000002E-3</v>
      </c>
      <c r="AF32" s="1079">
        <v>8.0000000000000002E-3</v>
      </c>
      <c r="AG32" s="1079">
        <v>8.0000000000000002E-3</v>
      </c>
      <c r="AH32" s="1079">
        <v>8.0000000000000002E-3</v>
      </c>
      <c r="AI32" s="1079">
        <v>8.0000000000000002E-3</v>
      </c>
      <c r="AJ32" s="1079">
        <v>7.0000000000000001E-3</v>
      </c>
      <c r="AK32" s="1079">
        <v>8.0000000000000002E-3</v>
      </c>
      <c r="AL32" s="1079">
        <v>7.0000000000000001E-3</v>
      </c>
      <c r="AM32" s="1079">
        <v>7.0000000000000001E-3</v>
      </c>
      <c r="AN32" s="1079">
        <v>7.0000000000000001E-3</v>
      </c>
      <c r="AO32" s="1079">
        <v>0.01</v>
      </c>
      <c r="AP32" s="1079">
        <v>0.01</v>
      </c>
      <c r="AQ32" s="1079">
        <v>0.01</v>
      </c>
      <c r="AR32" s="1079">
        <v>0.01</v>
      </c>
      <c r="AS32" s="1079">
        <v>0.01</v>
      </c>
      <c r="AT32" s="1079">
        <v>0.01</v>
      </c>
      <c r="AU32" s="1079">
        <v>9.8520547945205473E-3</v>
      </c>
      <c r="AV32" s="1079">
        <v>0.01</v>
      </c>
      <c r="AW32" s="1079">
        <v>0.01</v>
      </c>
      <c r="AX32" s="1079">
        <v>0.01</v>
      </c>
      <c r="AY32" s="1079">
        <v>6.0000000000000001E-3</v>
      </c>
      <c r="AZ32" s="1079">
        <v>0.01</v>
      </c>
      <c r="BA32" s="1082"/>
      <c r="BB32" s="1082"/>
      <c r="BC32" s="1082"/>
      <c r="BD32" s="1079"/>
      <c r="BE32" s="821"/>
      <c r="BF32" s="821"/>
      <c r="BG32" s="821"/>
      <c r="BH32" s="821"/>
      <c r="BI32" s="821"/>
      <c r="BJ32" s="821"/>
      <c r="BK32" s="821"/>
      <c r="BL32" s="821"/>
      <c r="BM32" s="821"/>
      <c r="BN32" s="821"/>
      <c r="BO32" s="821"/>
      <c r="BR32" s="934"/>
    </row>
    <row r="33" spans="1:70" ht="21">
      <c r="A33" s="542" t="s">
        <v>190</v>
      </c>
      <c r="C33">
        <v>7</v>
      </c>
      <c r="D33" s="209" t="s">
        <v>58</v>
      </c>
      <c r="E33" s="1077">
        <v>5.0000000000000001E-3</v>
      </c>
      <c r="F33" s="1077">
        <v>5.0000000000000001E-3</v>
      </c>
      <c r="G33" s="1077">
        <v>5.0000000000000001E-3</v>
      </c>
      <c r="H33" s="1077">
        <v>5.0000000000000001E-3</v>
      </c>
      <c r="I33" s="1077">
        <v>2E-3</v>
      </c>
      <c r="J33" s="1077">
        <v>2E-3</v>
      </c>
      <c r="K33" s="1077">
        <v>4.0000000000000001E-3</v>
      </c>
      <c r="L33" s="1077">
        <v>5.0000000000000001E-3</v>
      </c>
      <c r="M33" s="1077">
        <v>5.0000000000000001E-3</v>
      </c>
      <c r="N33" s="1077">
        <v>5.0000000000000001E-3</v>
      </c>
      <c r="O33" s="1077">
        <v>4.0000000000000001E-3</v>
      </c>
      <c r="P33" s="1077">
        <v>5.0000000000000001E-3</v>
      </c>
      <c r="Q33" s="1078">
        <v>2E-3</v>
      </c>
      <c r="R33" s="1078">
        <v>2E-3</v>
      </c>
      <c r="S33" s="1078">
        <v>2E-3</v>
      </c>
      <c r="T33" s="1078">
        <v>2E-3</v>
      </c>
      <c r="U33" s="1078">
        <v>2E-3</v>
      </c>
      <c r="V33" s="1078">
        <v>1E-3</v>
      </c>
      <c r="W33" s="1078">
        <v>1E-3</v>
      </c>
      <c r="X33" s="1078">
        <v>2E-3</v>
      </c>
      <c r="Y33" s="1078">
        <v>2E-3</v>
      </c>
      <c r="Z33" s="1078">
        <v>2E-3</v>
      </c>
      <c r="AA33" s="1078">
        <v>2E-3</v>
      </c>
      <c r="AB33" s="1078">
        <v>2E-3</v>
      </c>
      <c r="AC33" s="1079">
        <v>2E-3</v>
      </c>
      <c r="AD33" s="1079">
        <v>2E-3</v>
      </c>
      <c r="AE33" s="1079">
        <v>2E-3</v>
      </c>
      <c r="AF33" s="1079">
        <v>2E-3</v>
      </c>
      <c r="AG33" s="1079">
        <v>2E-3</v>
      </c>
      <c r="AH33" s="1079">
        <v>1E-3</v>
      </c>
      <c r="AI33" s="1079">
        <v>2E-3</v>
      </c>
      <c r="AJ33" s="1079">
        <v>2E-3</v>
      </c>
      <c r="AK33" s="1079">
        <v>2E-3</v>
      </c>
      <c r="AL33" s="1079">
        <v>2E-3</v>
      </c>
      <c r="AM33" s="1079">
        <v>2E-3</v>
      </c>
      <c r="AN33" s="1079">
        <v>2E-3</v>
      </c>
      <c r="AO33" s="1079">
        <v>2E-3</v>
      </c>
      <c r="AP33" s="1079">
        <v>2E-3</v>
      </c>
      <c r="AQ33" s="1079">
        <v>2E-3</v>
      </c>
      <c r="AR33" s="1079">
        <v>2E-3</v>
      </c>
      <c r="AS33" s="1079">
        <v>2E-3</v>
      </c>
      <c r="AT33" s="1079">
        <v>2E-3</v>
      </c>
      <c r="AU33" s="1079">
        <v>2.1232876712328772E-3</v>
      </c>
      <c r="AV33" s="1079">
        <v>2E-3</v>
      </c>
      <c r="AW33" s="1079">
        <v>2E-3</v>
      </c>
      <c r="AX33" s="1079">
        <v>2E-3</v>
      </c>
      <c r="AY33" s="1079">
        <v>3.0000000000000001E-3</v>
      </c>
      <c r="AZ33" s="1079">
        <v>2E-3</v>
      </c>
      <c r="BA33" s="1082"/>
      <c r="BB33" s="1082"/>
      <c r="BC33" s="1082"/>
      <c r="BD33" s="1079"/>
      <c r="BE33" s="821"/>
      <c r="BF33" s="821"/>
      <c r="BG33" s="821"/>
      <c r="BH33" s="821"/>
      <c r="BI33" s="821"/>
      <c r="BJ33" s="821"/>
      <c r="BK33" s="821"/>
      <c r="BL33" s="821"/>
      <c r="BM33" s="821"/>
      <c r="BN33" s="821"/>
      <c r="BO33" s="821"/>
      <c r="BR33" s="934"/>
    </row>
    <row r="34" spans="1:70" ht="21">
      <c r="A34" s="418" t="s">
        <v>872</v>
      </c>
      <c r="C34">
        <v>8</v>
      </c>
      <c r="D34" s="209" t="s">
        <v>59</v>
      </c>
      <c r="E34" s="1080">
        <v>0</v>
      </c>
      <c r="F34" s="1080">
        <v>0</v>
      </c>
      <c r="G34" s="1080">
        <v>0</v>
      </c>
      <c r="H34" s="1077">
        <v>0</v>
      </c>
      <c r="I34" s="1080">
        <v>0</v>
      </c>
      <c r="J34" s="1077">
        <v>0</v>
      </c>
      <c r="K34" s="1077">
        <v>0</v>
      </c>
      <c r="L34" s="1077">
        <v>0</v>
      </c>
      <c r="M34" s="1077">
        <v>0</v>
      </c>
      <c r="N34" s="1077">
        <v>0</v>
      </c>
      <c r="O34" s="1077">
        <v>0</v>
      </c>
      <c r="P34" s="1077">
        <v>0</v>
      </c>
      <c r="Q34" s="1078">
        <v>0</v>
      </c>
      <c r="R34" s="1078">
        <v>0</v>
      </c>
      <c r="S34" s="1078">
        <v>0</v>
      </c>
      <c r="T34" s="1078">
        <v>1E-3</v>
      </c>
      <c r="U34" s="1078">
        <v>0</v>
      </c>
      <c r="V34" s="1078">
        <v>0</v>
      </c>
      <c r="W34" s="1078">
        <v>0</v>
      </c>
      <c r="X34" s="1078">
        <v>1E-3</v>
      </c>
      <c r="Y34" s="1078">
        <v>0</v>
      </c>
      <c r="Z34" s="1078">
        <v>0</v>
      </c>
      <c r="AA34" s="1078">
        <v>0</v>
      </c>
      <c r="AB34" s="1078">
        <v>1E-3</v>
      </c>
      <c r="AC34" s="1078">
        <v>3.0000000000000001E-3</v>
      </c>
      <c r="AD34" s="1079">
        <v>1E-3</v>
      </c>
      <c r="AE34" s="1078">
        <v>3.0000000000000001E-3</v>
      </c>
      <c r="AF34" s="1079">
        <v>1E-3</v>
      </c>
      <c r="AG34" s="1078">
        <v>3.0000000000000001E-3</v>
      </c>
      <c r="AH34" s="1078">
        <v>3.0000000000000001E-3</v>
      </c>
      <c r="AI34" s="1078">
        <v>3.0000000000000001E-3</v>
      </c>
      <c r="AJ34" s="1079">
        <v>1E-3</v>
      </c>
      <c r="AK34" s="1078">
        <v>3.0000000000000001E-3</v>
      </c>
      <c r="AL34" s="1078">
        <v>3.0000000000000001E-3</v>
      </c>
      <c r="AM34" s="1078">
        <v>3.0000000000000001E-3</v>
      </c>
      <c r="AN34" s="1079">
        <v>1E-3</v>
      </c>
      <c r="AO34" s="1079">
        <v>0</v>
      </c>
      <c r="AP34" s="1079">
        <v>0</v>
      </c>
      <c r="AQ34" s="1079">
        <v>1E-3</v>
      </c>
      <c r="AR34" s="1079">
        <v>0</v>
      </c>
      <c r="AS34" s="1079">
        <v>0</v>
      </c>
      <c r="AT34" s="1079">
        <v>1E-3</v>
      </c>
      <c r="AU34" s="1079">
        <v>0</v>
      </c>
      <c r="AV34" s="1079">
        <v>0</v>
      </c>
      <c r="AW34" s="1079">
        <v>1E-3</v>
      </c>
      <c r="AX34" s="1079">
        <v>0</v>
      </c>
      <c r="AY34" s="1079">
        <v>0</v>
      </c>
      <c r="AZ34" s="1079">
        <v>1E-3</v>
      </c>
      <c r="BA34" s="1082"/>
      <c r="BB34" s="1082"/>
      <c r="BC34" s="1082"/>
      <c r="BD34" s="1079"/>
      <c r="BE34" s="821"/>
      <c r="BF34" s="821"/>
      <c r="BG34" s="821"/>
      <c r="BH34" s="821"/>
      <c r="BI34" s="821"/>
      <c r="BJ34" s="821"/>
      <c r="BK34" s="821"/>
      <c r="BL34" s="821"/>
      <c r="BM34" s="821"/>
      <c r="BN34" s="821"/>
      <c r="BO34" s="821"/>
      <c r="BR34" s="934"/>
    </row>
    <row r="35" spans="1:70" ht="21">
      <c r="A35" s="542"/>
      <c r="C35">
        <v>9</v>
      </c>
      <c r="D35" s="209" t="s">
        <v>63</v>
      </c>
      <c r="E35" s="1080">
        <v>0</v>
      </c>
      <c r="F35" s="1080">
        <v>0</v>
      </c>
      <c r="G35" s="1080">
        <v>0</v>
      </c>
      <c r="H35" s="1077">
        <v>0</v>
      </c>
      <c r="I35" s="1080">
        <v>0</v>
      </c>
      <c r="J35" s="1077">
        <v>0</v>
      </c>
      <c r="K35" s="1077">
        <v>0</v>
      </c>
      <c r="L35" s="1077">
        <v>0</v>
      </c>
      <c r="M35" s="1077">
        <v>0</v>
      </c>
      <c r="N35" s="1077">
        <v>0</v>
      </c>
      <c r="O35" s="1077">
        <v>0</v>
      </c>
      <c r="P35" s="1077">
        <v>0</v>
      </c>
      <c r="Q35" s="1078">
        <v>0</v>
      </c>
      <c r="R35" s="1078">
        <v>0</v>
      </c>
      <c r="S35" s="1078">
        <v>0</v>
      </c>
      <c r="T35" s="1078">
        <v>1E-3</v>
      </c>
      <c r="U35" s="1078">
        <v>0</v>
      </c>
      <c r="V35" s="1078">
        <v>0</v>
      </c>
      <c r="W35" s="1078">
        <v>0</v>
      </c>
      <c r="X35" s="1078">
        <v>1E-3</v>
      </c>
      <c r="Y35" s="1078">
        <v>0</v>
      </c>
      <c r="Z35" s="1078">
        <v>0</v>
      </c>
      <c r="AA35" s="1078">
        <v>0</v>
      </c>
      <c r="AB35" s="1078">
        <v>1E-3</v>
      </c>
      <c r="AC35" s="1078">
        <v>3.0000000000000001E-3</v>
      </c>
      <c r="AD35" s="1078">
        <v>3.0000000000000001E-3</v>
      </c>
      <c r="AE35" s="1078">
        <v>3.0000000000000001E-3</v>
      </c>
      <c r="AF35" s="1078">
        <v>3.0000000000000001E-3</v>
      </c>
      <c r="AG35" s="1078">
        <v>3.0000000000000001E-3</v>
      </c>
      <c r="AH35" s="1078">
        <v>3.0000000000000001E-3</v>
      </c>
      <c r="AI35" s="1078">
        <v>3.0000000000000001E-3</v>
      </c>
      <c r="AJ35" s="1078">
        <v>3.0000000000000001E-3</v>
      </c>
      <c r="AK35" s="1078">
        <v>3.0000000000000001E-3</v>
      </c>
      <c r="AL35" s="1078">
        <v>3.0000000000000001E-3</v>
      </c>
      <c r="AM35" s="1078">
        <v>3.0000000000000001E-3</v>
      </c>
      <c r="AN35" s="1079">
        <v>1E-3</v>
      </c>
      <c r="AO35" s="1079">
        <v>0</v>
      </c>
      <c r="AP35" s="1079">
        <v>0</v>
      </c>
      <c r="AQ35" s="1079">
        <v>0</v>
      </c>
      <c r="AR35" s="1079">
        <v>0</v>
      </c>
      <c r="AS35" s="1079">
        <v>0</v>
      </c>
      <c r="AT35" s="1079">
        <v>0</v>
      </c>
      <c r="AU35" s="1079">
        <v>0</v>
      </c>
      <c r="AV35" s="1079">
        <v>0</v>
      </c>
      <c r="AW35" s="1079">
        <v>0</v>
      </c>
      <c r="AX35" s="1079">
        <v>0</v>
      </c>
      <c r="AY35" s="1079">
        <v>1E-3</v>
      </c>
      <c r="AZ35" s="1079">
        <v>0</v>
      </c>
      <c r="BA35" s="1082"/>
      <c r="BB35" s="1082"/>
      <c r="BC35" s="1082"/>
      <c r="BD35" s="1079"/>
      <c r="BE35" s="821"/>
      <c r="BF35" s="821"/>
      <c r="BG35" s="821"/>
      <c r="BH35" s="821"/>
      <c r="BI35" s="821"/>
      <c r="BJ35" s="821"/>
      <c r="BK35" s="821"/>
      <c r="BL35" s="821"/>
      <c r="BM35" s="821"/>
      <c r="BN35" s="821"/>
      <c r="BO35" s="821"/>
      <c r="BR35" s="934"/>
    </row>
    <row r="36" spans="1:70" ht="21">
      <c r="A36" s="542"/>
      <c r="C36">
        <v>10</v>
      </c>
      <c r="D36" s="209" t="s">
        <v>64</v>
      </c>
      <c r="E36" s="1077">
        <v>0</v>
      </c>
      <c r="F36" s="1077">
        <v>0</v>
      </c>
      <c r="G36" s="1077">
        <v>0</v>
      </c>
      <c r="H36" s="1077">
        <v>0</v>
      </c>
      <c r="I36" s="1077">
        <v>0</v>
      </c>
      <c r="J36" s="1077">
        <v>0</v>
      </c>
      <c r="K36" s="1077">
        <v>0</v>
      </c>
      <c r="L36" s="1077">
        <v>0</v>
      </c>
      <c r="M36" s="1077">
        <v>0</v>
      </c>
      <c r="N36" s="1077">
        <v>0</v>
      </c>
      <c r="O36" s="1077">
        <v>0</v>
      </c>
      <c r="P36" s="1077">
        <v>0</v>
      </c>
      <c r="Q36" s="1078">
        <v>0</v>
      </c>
      <c r="R36" s="1078">
        <v>1E-3</v>
      </c>
      <c r="S36" s="1078">
        <v>1E-3</v>
      </c>
      <c r="T36" s="1078">
        <v>0</v>
      </c>
      <c r="U36" s="1078">
        <v>1E-3</v>
      </c>
      <c r="V36" s="1078">
        <v>1E-3</v>
      </c>
      <c r="W36" s="1078">
        <v>1E-3</v>
      </c>
      <c r="X36" s="1078">
        <v>1E-3</v>
      </c>
      <c r="Y36" s="1078">
        <v>1E-3</v>
      </c>
      <c r="Z36" s="1078">
        <v>1E-3</v>
      </c>
      <c r="AA36" s="1078">
        <v>1E-3</v>
      </c>
      <c r="AB36" s="1078">
        <v>1E-3</v>
      </c>
      <c r="AC36" s="1078">
        <v>3.0000000000000001E-3</v>
      </c>
      <c r="AD36" s="1079">
        <v>3.0000000000000001E-3</v>
      </c>
      <c r="AE36" s="1079">
        <v>3.0000000000000001E-3</v>
      </c>
      <c r="AF36" s="1078">
        <v>3.0000000000000001E-3</v>
      </c>
      <c r="AG36" s="1079">
        <v>3.0000000000000001E-3</v>
      </c>
      <c r="AH36" s="1079">
        <v>3.0000000000000001E-3</v>
      </c>
      <c r="AI36" s="1079">
        <v>3.0000000000000001E-3</v>
      </c>
      <c r="AJ36" s="1079">
        <v>2E-3</v>
      </c>
      <c r="AK36" s="1079">
        <v>3.0000000000000001E-3</v>
      </c>
      <c r="AL36" s="1079">
        <v>3.0000000000000001E-3</v>
      </c>
      <c r="AM36" s="1079">
        <v>2E-3</v>
      </c>
      <c r="AN36" s="1079">
        <v>3.0000000000000001E-3</v>
      </c>
      <c r="AO36" s="1079">
        <v>1E-3</v>
      </c>
      <c r="AP36" s="1079">
        <v>1E-3</v>
      </c>
      <c r="AQ36" s="1079">
        <v>0</v>
      </c>
      <c r="AR36" s="1079">
        <v>1E-3</v>
      </c>
      <c r="AS36" s="1079">
        <v>1E-3</v>
      </c>
      <c r="AT36" s="1079">
        <v>1E-3</v>
      </c>
      <c r="AU36" s="1079">
        <v>7.643835616438356E-4</v>
      </c>
      <c r="AV36" s="1079">
        <v>0</v>
      </c>
      <c r="AW36" s="1079">
        <v>1E-3</v>
      </c>
      <c r="AX36" s="1079">
        <v>1E-3</v>
      </c>
      <c r="AY36" s="1079">
        <v>0</v>
      </c>
      <c r="AZ36" s="1079">
        <v>1E-3</v>
      </c>
      <c r="BA36" s="1082"/>
      <c r="BB36" s="1082"/>
      <c r="BC36" s="1082"/>
      <c r="BD36" s="1079"/>
      <c r="BE36" s="821"/>
      <c r="BF36" s="821"/>
      <c r="BG36" s="821"/>
      <c r="BH36" s="821"/>
      <c r="BI36" s="821"/>
      <c r="BJ36" s="821"/>
      <c r="BK36" s="821"/>
      <c r="BL36" s="821"/>
      <c r="BM36" s="821"/>
      <c r="BN36" s="821"/>
      <c r="BO36" s="821"/>
      <c r="BR36" s="934"/>
    </row>
    <row r="37" spans="1:70" ht="21">
      <c r="A37" s="542"/>
      <c r="C37">
        <v>11</v>
      </c>
      <c r="D37" s="209" t="s">
        <v>65</v>
      </c>
      <c r="E37" s="1077">
        <v>0</v>
      </c>
      <c r="F37" s="1077">
        <v>0</v>
      </c>
      <c r="G37" s="1077">
        <v>0</v>
      </c>
      <c r="H37" s="1077">
        <v>0</v>
      </c>
      <c r="I37" s="1077">
        <v>0</v>
      </c>
      <c r="J37" s="1077">
        <v>0</v>
      </c>
      <c r="K37" s="1077">
        <v>0</v>
      </c>
      <c r="L37" s="1077">
        <v>0</v>
      </c>
      <c r="M37" s="1077">
        <v>0</v>
      </c>
      <c r="N37" s="1077">
        <v>0</v>
      </c>
      <c r="O37" s="1077">
        <v>0</v>
      </c>
      <c r="P37" s="1077">
        <v>0</v>
      </c>
      <c r="Q37" s="1078">
        <v>1E-3</v>
      </c>
      <c r="R37" s="1078">
        <v>1E-3</v>
      </c>
      <c r="S37" s="1078">
        <v>1E-3</v>
      </c>
      <c r="T37" s="1078">
        <v>1E-3</v>
      </c>
      <c r="U37" s="1078">
        <v>1E-3</v>
      </c>
      <c r="V37" s="1078">
        <v>1E-3</v>
      </c>
      <c r="W37" s="1078">
        <v>1E-3</v>
      </c>
      <c r="X37" s="1078">
        <v>2E-3</v>
      </c>
      <c r="Y37" s="1078">
        <v>2E-3</v>
      </c>
      <c r="Z37" s="1078">
        <v>2E-3</v>
      </c>
      <c r="AA37" s="1078">
        <v>2E-3</v>
      </c>
      <c r="AB37" s="1078">
        <v>3.0000000000000001E-3</v>
      </c>
      <c r="AC37" s="1079">
        <v>1E-3</v>
      </c>
      <c r="AD37" s="1079">
        <v>2E-3</v>
      </c>
      <c r="AE37" s="1079">
        <v>1E-3</v>
      </c>
      <c r="AF37" s="1079">
        <v>1E-3</v>
      </c>
      <c r="AG37" s="1079">
        <v>2E-3</v>
      </c>
      <c r="AH37" s="1079">
        <v>1E-3</v>
      </c>
      <c r="AI37" s="1079">
        <v>1E-3</v>
      </c>
      <c r="AJ37" s="1079">
        <v>3.0000000000000001E-3</v>
      </c>
      <c r="AK37" s="1079">
        <v>3.0000000000000001E-3</v>
      </c>
      <c r="AL37" s="1079">
        <v>3.0000000000000001E-3</v>
      </c>
      <c r="AM37" s="1079">
        <v>3.0000000000000001E-3</v>
      </c>
      <c r="AN37" s="1079">
        <v>4.0000000000000001E-3</v>
      </c>
      <c r="AO37" s="1079">
        <v>2E-3</v>
      </c>
      <c r="AP37" s="1079">
        <v>3.0000000000000001E-3</v>
      </c>
      <c r="AQ37" s="1079">
        <v>3.0000000000000001E-3</v>
      </c>
      <c r="AR37" s="1079">
        <v>3.0000000000000001E-3</v>
      </c>
      <c r="AS37" s="1079">
        <v>3.0000000000000001E-3</v>
      </c>
      <c r="AT37" s="1079">
        <v>3.0000000000000001E-3</v>
      </c>
      <c r="AU37" s="1079">
        <v>2.7178082191780823E-3</v>
      </c>
      <c r="AV37" s="1079">
        <v>3.0000000000000001E-3</v>
      </c>
      <c r="AW37" s="1079">
        <v>3.0000000000000001E-3</v>
      </c>
      <c r="AX37" s="1079">
        <v>3.0000000000000001E-3</v>
      </c>
      <c r="AY37" s="1079">
        <v>2E-3</v>
      </c>
      <c r="AZ37" s="1079">
        <v>1E-3</v>
      </c>
      <c r="BA37" s="1082"/>
      <c r="BB37" s="1082"/>
      <c r="BC37" s="1082"/>
      <c r="BD37" s="1079"/>
      <c r="BE37" s="821"/>
      <c r="BF37" s="821"/>
      <c r="BG37" s="821"/>
      <c r="BH37" s="821"/>
      <c r="BI37" s="821"/>
      <c r="BJ37" s="821"/>
      <c r="BK37" s="821"/>
      <c r="BL37" s="821"/>
      <c r="BM37" s="821"/>
      <c r="BN37" s="821"/>
      <c r="BO37" s="821"/>
      <c r="BR37" s="934"/>
    </row>
    <row r="38" spans="1:70" ht="21">
      <c r="A38" s="542"/>
      <c r="C38">
        <v>12</v>
      </c>
      <c r="D38" s="209" t="s">
        <v>66</v>
      </c>
      <c r="E38" s="1077">
        <v>0</v>
      </c>
      <c r="F38" s="1077">
        <v>0</v>
      </c>
      <c r="G38" s="1077">
        <v>0</v>
      </c>
      <c r="H38" s="1077">
        <v>0</v>
      </c>
      <c r="I38" s="1077">
        <v>0</v>
      </c>
      <c r="J38" s="1077">
        <v>0</v>
      </c>
      <c r="K38" s="1077">
        <v>0</v>
      </c>
      <c r="L38" s="1077">
        <v>0</v>
      </c>
      <c r="M38" s="1077">
        <v>0</v>
      </c>
      <c r="N38" s="1077">
        <v>0</v>
      </c>
      <c r="O38" s="1077">
        <v>0</v>
      </c>
      <c r="P38" s="1077">
        <v>0</v>
      </c>
      <c r="Q38" s="1078">
        <v>0</v>
      </c>
      <c r="R38" s="1078">
        <v>0</v>
      </c>
      <c r="S38" s="1078">
        <v>0</v>
      </c>
      <c r="T38" s="1078">
        <v>1E-3</v>
      </c>
      <c r="U38" s="1078">
        <v>0</v>
      </c>
      <c r="V38" s="1078">
        <v>0</v>
      </c>
      <c r="W38" s="1078">
        <v>0</v>
      </c>
      <c r="X38" s="1078">
        <v>1E-3</v>
      </c>
      <c r="Y38" s="1078">
        <v>0</v>
      </c>
      <c r="Z38" s="1078">
        <v>0</v>
      </c>
      <c r="AA38" s="1078">
        <v>0</v>
      </c>
      <c r="AB38" s="1078">
        <v>1E-3</v>
      </c>
      <c r="AC38" s="1079">
        <v>0</v>
      </c>
      <c r="AD38" s="1079">
        <v>0</v>
      </c>
      <c r="AE38" s="1079">
        <v>0</v>
      </c>
      <c r="AF38" s="1079">
        <v>0</v>
      </c>
      <c r="AG38" s="1079">
        <v>0</v>
      </c>
      <c r="AH38" s="1079">
        <v>0</v>
      </c>
      <c r="AI38" s="1079">
        <v>0</v>
      </c>
      <c r="AJ38" s="1079">
        <v>0</v>
      </c>
      <c r="AK38" s="1079">
        <v>0</v>
      </c>
      <c r="AL38" s="1079">
        <v>0</v>
      </c>
      <c r="AM38" s="1079">
        <v>0</v>
      </c>
      <c r="AN38" s="1079">
        <v>0</v>
      </c>
      <c r="AO38" s="1079">
        <v>0</v>
      </c>
      <c r="AP38" s="1079">
        <v>0</v>
      </c>
      <c r="AQ38" s="1079">
        <v>0</v>
      </c>
      <c r="AR38" s="1079">
        <v>0</v>
      </c>
      <c r="AS38" s="1079">
        <v>0</v>
      </c>
      <c r="AT38" s="1079">
        <v>0</v>
      </c>
      <c r="AU38" s="1079">
        <v>0</v>
      </c>
      <c r="AV38" s="1079">
        <v>0</v>
      </c>
      <c r="AW38" s="1079">
        <v>0</v>
      </c>
      <c r="AX38" s="1079">
        <v>0</v>
      </c>
      <c r="AY38" s="1079">
        <v>0</v>
      </c>
      <c r="AZ38" s="1079">
        <v>0</v>
      </c>
      <c r="BA38" s="1082"/>
      <c r="BB38" s="1082"/>
      <c r="BC38" s="1082"/>
      <c r="BD38" s="1079"/>
      <c r="BE38" s="821"/>
      <c r="BF38" s="821"/>
      <c r="BG38" s="821"/>
      <c r="BH38" s="821"/>
      <c r="BI38" s="821"/>
      <c r="BJ38" s="821"/>
      <c r="BK38" s="821"/>
      <c r="BL38" s="821"/>
      <c r="BM38" s="821"/>
      <c r="BN38" s="821"/>
      <c r="BO38" s="821"/>
      <c r="BR38" s="934"/>
    </row>
    <row r="39" spans="1:70" ht="21">
      <c r="A39" s="542"/>
      <c r="C39">
        <v>13</v>
      </c>
      <c r="D39" s="209" t="s">
        <v>67</v>
      </c>
      <c r="E39" s="1077">
        <v>0</v>
      </c>
      <c r="F39" s="1077">
        <v>0</v>
      </c>
      <c r="G39" s="1077">
        <v>0</v>
      </c>
      <c r="H39" s="1077">
        <v>0</v>
      </c>
      <c r="I39" s="1077">
        <v>0</v>
      </c>
      <c r="J39" s="1077">
        <v>0</v>
      </c>
      <c r="K39" s="1077">
        <v>0</v>
      </c>
      <c r="L39" s="1077">
        <v>0</v>
      </c>
      <c r="M39" s="1077">
        <v>0</v>
      </c>
      <c r="N39" s="1077">
        <v>0</v>
      </c>
      <c r="O39" s="1077">
        <v>0</v>
      </c>
      <c r="P39" s="1077">
        <v>0</v>
      </c>
      <c r="Q39" s="1078">
        <v>0</v>
      </c>
      <c r="R39" s="1078">
        <v>0</v>
      </c>
      <c r="S39" s="1078">
        <v>0</v>
      </c>
      <c r="T39" s="1078">
        <v>1E-3</v>
      </c>
      <c r="U39" s="1078">
        <v>0</v>
      </c>
      <c r="V39" s="1078">
        <v>0</v>
      </c>
      <c r="W39" s="1078">
        <v>0</v>
      </c>
      <c r="X39" s="1078">
        <v>1E-3</v>
      </c>
      <c r="Y39" s="1078">
        <v>0</v>
      </c>
      <c r="Z39" s="1078">
        <v>0</v>
      </c>
      <c r="AA39" s="1078">
        <v>0</v>
      </c>
      <c r="AB39" s="1078">
        <v>3.0000000000000001E-3</v>
      </c>
      <c r="AC39" s="1079">
        <v>0</v>
      </c>
      <c r="AD39" s="1079">
        <v>0</v>
      </c>
      <c r="AE39" s="1079">
        <v>0</v>
      </c>
      <c r="AF39" s="1079">
        <v>0</v>
      </c>
      <c r="AG39" s="1079">
        <v>0</v>
      </c>
      <c r="AH39" s="1079">
        <v>0</v>
      </c>
      <c r="AI39" s="1079">
        <v>0</v>
      </c>
      <c r="AJ39" s="1079">
        <v>0</v>
      </c>
      <c r="AK39" s="1079">
        <v>0</v>
      </c>
      <c r="AL39" s="1079">
        <v>0</v>
      </c>
      <c r="AM39" s="1079">
        <v>0</v>
      </c>
      <c r="AN39" s="1079">
        <v>0</v>
      </c>
      <c r="AO39" s="1079">
        <v>0</v>
      </c>
      <c r="AP39" s="1079">
        <v>0</v>
      </c>
      <c r="AQ39" s="1079">
        <v>0</v>
      </c>
      <c r="AR39" s="1079">
        <v>0</v>
      </c>
      <c r="AS39" s="1079">
        <v>0</v>
      </c>
      <c r="AT39" s="1079">
        <v>0</v>
      </c>
      <c r="AU39" s="1079">
        <v>0</v>
      </c>
      <c r="AV39" s="1079">
        <v>0</v>
      </c>
      <c r="AW39" s="1079">
        <v>0</v>
      </c>
      <c r="AX39" s="1079">
        <v>0</v>
      </c>
      <c r="AY39" s="1079">
        <v>0</v>
      </c>
      <c r="AZ39" s="1079">
        <v>0</v>
      </c>
      <c r="BA39" s="1082"/>
      <c r="BB39" s="1082"/>
      <c r="BC39" s="1082"/>
      <c r="BD39" s="1079"/>
      <c r="BE39" s="821"/>
      <c r="BF39" s="821"/>
      <c r="BG39" s="821"/>
      <c r="BH39" s="821"/>
      <c r="BI39" s="821"/>
      <c r="BJ39" s="821"/>
      <c r="BK39" s="821"/>
      <c r="BL39" s="821"/>
      <c r="BM39" s="821"/>
      <c r="BN39" s="821"/>
      <c r="BO39" s="821"/>
      <c r="BR39" s="934"/>
    </row>
    <row r="40" spans="1:70" ht="21">
      <c r="A40" s="542"/>
      <c r="C40">
        <v>14</v>
      </c>
      <c r="D40" s="209" t="s">
        <v>68</v>
      </c>
      <c r="E40" s="1077">
        <v>0</v>
      </c>
      <c r="F40" s="1077">
        <v>0</v>
      </c>
      <c r="G40" s="1077">
        <v>0</v>
      </c>
      <c r="H40" s="1077">
        <v>0</v>
      </c>
      <c r="I40" s="1077">
        <v>0</v>
      </c>
      <c r="J40" s="1077">
        <v>0</v>
      </c>
      <c r="K40" s="1077">
        <v>0</v>
      </c>
      <c r="L40" s="1077">
        <v>0</v>
      </c>
      <c r="M40" s="1077">
        <v>0</v>
      </c>
      <c r="N40" s="1077">
        <v>0</v>
      </c>
      <c r="O40" s="1077">
        <v>0</v>
      </c>
      <c r="P40" s="1077">
        <v>0</v>
      </c>
      <c r="Q40" s="1078">
        <v>0</v>
      </c>
      <c r="R40" s="1078">
        <v>0</v>
      </c>
      <c r="S40" s="1078">
        <v>0</v>
      </c>
      <c r="T40" s="1078">
        <v>1E-3</v>
      </c>
      <c r="U40" s="1078">
        <v>0</v>
      </c>
      <c r="V40" s="1078">
        <v>0</v>
      </c>
      <c r="W40" s="1078">
        <v>0</v>
      </c>
      <c r="X40" s="1078">
        <v>1E-3</v>
      </c>
      <c r="Y40" s="1078">
        <v>0</v>
      </c>
      <c r="Z40" s="1078">
        <v>0</v>
      </c>
      <c r="AA40" s="1078">
        <v>0</v>
      </c>
      <c r="AB40" s="1078">
        <v>3.0000000000000001E-3</v>
      </c>
      <c r="AC40" s="1079">
        <v>0</v>
      </c>
      <c r="AD40" s="1079">
        <v>0</v>
      </c>
      <c r="AE40" s="1079">
        <v>0</v>
      </c>
      <c r="AF40" s="1079">
        <v>0</v>
      </c>
      <c r="AG40" s="1079">
        <v>0</v>
      </c>
      <c r="AH40" s="1079">
        <v>0</v>
      </c>
      <c r="AI40" s="1079">
        <v>0</v>
      </c>
      <c r="AJ40" s="1079">
        <v>0</v>
      </c>
      <c r="AK40" s="1079">
        <v>0</v>
      </c>
      <c r="AL40" s="1079">
        <v>0</v>
      </c>
      <c r="AM40" s="1079">
        <v>0</v>
      </c>
      <c r="AN40" s="1079">
        <v>0</v>
      </c>
      <c r="AO40" s="1079">
        <v>0</v>
      </c>
      <c r="AP40" s="1079">
        <v>0</v>
      </c>
      <c r="AQ40" s="1079">
        <v>0</v>
      </c>
      <c r="AR40" s="1079">
        <v>0</v>
      </c>
      <c r="AS40" s="1079">
        <v>0</v>
      </c>
      <c r="AT40" s="1079">
        <v>0</v>
      </c>
      <c r="AU40" s="1079">
        <v>0</v>
      </c>
      <c r="AV40" s="1079">
        <v>0</v>
      </c>
      <c r="AW40" s="1079">
        <v>0</v>
      </c>
      <c r="AX40" s="1079">
        <v>0</v>
      </c>
      <c r="AY40" s="1079">
        <v>0</v>
      </c>
      <c r="AZ40" s="1079">
        <v>0</v>
      </c>
      <c r="BA40" s="1082"/>
      <c r="BB40" s="1082"/>
      <c r="BC40" s="1082"/>
      <c r="BD40" s="1079"/>
      <c r="BE40" s="821"/>
      <c r="BF40" s="821"/>
      <c r="BG40" s="821"/>
      <c r="BH40" s="821"/>
      <c r="BI40" s="821"/>
      <c r="BJ40" s="821"/>
      <c r="BK40" s="821"/>
      <c r="BL40" s="821"/>
      <c r="BM40" s="821"/>
      <c r="BN40" s="821"/>
      <c r="BO40" s="821"/>
      <c r="BR40" s="934"/>
    </row>
    <row r="41" spans="1:70" ht="18.75">
      <c r="A41" s="542"/>
      <c r="C41">
        <v>15</v>
      </c>
      <c r="D41" s="209" t="s">
        <v>69</v>
      </c>
      <c r="E41" s="1077">
        <v>5.2999999999999999E-2</v>
      </c>
      <c r="F41" s="1077">
        <v>5.2999999999999999E-2</v>
      </c>
      <c r="G41" s="1077">
        <v>0.03</v>
      </c>
      <c r="H41" s="1077">
        <v>0.03</v>
      </c>
      <c r="I41" s="1077">
        <v>0.03</v>
      </c>
      <c r="J41" s="1077">
        <v>2.5000000000000001E-2</v>
      </c>
      <c r="K41" s="1077">
        <v>0.03</v>
      </c>
      <c r="L41" s="1077">
        <v>2.9000000000000001E-2</v>
      </c>
      <c r="M41" s="1077">
        <v>0.03</v>
      </c>
      <c r="N41" s="1077">
        <v>2.5000000000000001E-2</v>
      </c>
      <c r="O41" s="1077">
        <v>2.5000000000000001E-2</v>
      </c>
      <c r="P41" s="1077">
        <v>2.5000000000000001E-2</v>
      </c>
      <c r="Q41" s="1080">
        <v>2.1000000000000001E-2</v>
      </c>
      <c r="R41" s="1080">
        <v>2.1000000000000001E-2</v>
      </c>
      <c r="S41" s="1080">
        <v>2.1000000000000001E-2</v>
      </c>
      <c r="T41" s="1080">
        <v>2.1000000000000001E-2</v>
      </c>
      <c r="U41" s="1080">
        <v>2.1000000000000001E-2</v>
      </c>
      <c r="V41" s="1080">
        <v>1.6E-2</v>
      </c>
      <c r="W41" s="1080">
        <v>2.1000000000000001E-2</v>
      </c>
      <c r="X41" s="1080">
        <v>2.1000000000000001E-2</v>
      </c>
      <c r="Y41" s="1080">
        <v>2.1000000000000001E-2</v>
      </c>
      <c r="Z41" s="1080">
        <v>1.7000000000000001E-2</v>
      </c>
      <c r="AA41" s="1080">
        <v>1.7000000000000001E-2</v>
      </c>
      <c r="AB41" s="1080">
        <v>1.7000000000000001E-2</v>
      </c>
      <c r="AC41" s="1079">
        <v>0</v>
      </c>
      <c r="AD41" s="1079">
        <v>0</v>
      </c>
      <c r="AE41" s="1079">
        <v>0</v>
      </c>
      <c r="AF41" s="1079">
        <v>0</v>
      </c>
      <c r="AG41" s="1079">
        <v>0</v>
      </c>
      <c r="AH41" s="1079">
        <v>0</v>
      </c>
      <c r="AI41" s="1079">
        <v>0</v>
      </c>
      <c r="AJ41" s="1079">
        <v>0</v>
      </c>
      <c r="AK41" s="1079">
        <v>0</v>
      </c>
      <c r="AL41" s="1079">
        <v>0</v>
      </c>
      <c r="AM41" s="1079">
        <v>0</v>
      </c>
      <c r="AN41" s="1079">
        <v>0</v>
      </c>
      <c r="AO41" s="1079">
        <v>0</v>
      </c>
      <c r="AP41" s="1079">
        <v>0</v>
      </c>
      <c r="AQ41" s="1079">
        <v>0</v>
      </c>
      <c r="AR41" s="1079">
        <v>0</v>
      </c>
      <c r="AS41" s="1079">
        <v>0</v>
      </c>
      <c r="AT41" s="1079">
        <v>0</v>
      </c>
      <c r="AU41" s="1079">
        <v>0</v>
      </c>
      <c r="AV41" s="1079">
        <v>0</v>
      </c>
      <c r="AW41" s="1079">
        <v>0</v>
      </c>
      <c r="AX41" s="1079">
        <v>0</v>
      </c>
      <c r="AY41" s="1079">
        <v>0</v>
      </c>
      <c r="AZ41" s="1079">
        <v>0</v>
      </c>
      <c r="BA41" s="1082"/>
      <c r="BB41" s="1082"/>
      <c r="BC41" s="1082"/>
      <c r="BD41" s="1079"/>
      <c r="BE41" s="821"/>
      <c r="BF41" s="821"/>
      <c r="BG41" s="821"/>
      <c r="BH41" s="821"/>
      <c r="BI41" s="821"/>
      <c r="BJ41" s="821"/>
      <c r="BK41" s="821"/>
      <c r="BL41" s="821"/>
      <c r="BM41" s="821"/>
      <c r="BN41" s="821"/>
      <c r="BO41" s="821"/>
      <c r="BR41" s="934"/>
    </row>
    <row r="42" spans="1:70" ht="18.75">
      <c r="A42" s="542"/>
      <c r="C42">
        <v>16</v>
      </c>
      <c r="D42" s="209" t="s">
        <v>70</v>
      </c>
      <c r="E42" s="1081">
        <v>3.6000000000000004E-2</v>
      </c>
      <c r="F42" s="1081">
        <v>7.2999999999999995E-2</v>
      </c>
      <c r="G42" s="1081">
        <v>7.6999999999999999E-2</v>
      </c>
      <c r="H42" s="1081">
        <v>7.6999999999999999E-2</v>
      </c>
      <c r="I42" s="1081">
        <v>7.9000000000000001E-2</v>
      </c>
      <c r="J42" s="1081">
        <v>7.4999999999999997E-2</v>
      </c>
      <c r="K42" s="1081">
        <v>7.3999999999999996E-2</v>
      </c>
      <c r="L42" s="1081">
        <v>7.2999999999999995E-2</v>
      </c>
      <c r="M42" s="1081">
        <v>7.3999999999999996E-2</v>
      </c>
      <c r="N42" s="1081">
        <v>7.0000000000000007E-2</v>
      </c>
      <c r="O42" s="1081">
        <v>3.5000000000000003E-2</v>
      </c>
      <c r="P42" s="1081">
        <v>7.0000000000000007E-2</v>
      </c>
      <c r="Q42" s="1080">
        <v>7.4999999999999997E-2</v>
      </c>
      <c r="R42" s="1080">
        <v>7.8E-2</v>
      </c>
      <c r="S42" s="1080">
        <v>7.4999999999999997E-2</v>
      </c>
      <c r="T42" s="1080">
        <v>7.8E-2</v>
      </c>
      <c r="U42" s="1080">
        <v>7.8E-2</v>
      </c>
      <c r="V42" s="1080">
        <v>7.5999999999999998E-2</v>
      </c>
      <c r="W42" s="1080">
        <v>7.9000000000000001E-2</v>
      </c>
      <c r="X42" s="1080">
        <v>7.6999999999999999E-2</v>
      </c>
      <c r="Y42" s="1080">
        <v>7.9000000000000001E-2</v>
      </c>
      <c r="Z42" s="1080">
        <v>7.9000000000000001E-2</v>
      </c>
      <c r="AA42" s="1080">
        <v>7.0999999999999994E-2</v>
      </c>
      <c r="AB42" s="1080">
        <v>7.9000000000000001E-2</v>
      </c>
      <c r="AC42" s="1079">
        <v>7.4999999999999997E-2</v>
      </c>
      <c r="AD42" s="1079">
        <v>7.8E-2</v>
      </c>
      <c r="AE42" s="1079">
        <v>7.4999999999999997E-2</v>
      </c>
      <c r="AF42" s="1079">
        <v>7.8E-2</v>
      </c>
      <c r="AG42" s="1079">
        <v>7.8E-2</v>
      </c>
      <c r="AH42" s="1079">
        <v>7.5999999999999998E-2</v>
      </c>
      <c r="AI42" s="1079">
        <v>7.9000000000000001E-2</v>
      </c>
      <c r="AJ42" s="1079">
        <v>7.6999999999999999E-2</v>
      </c>
      <c r="AK42" s="1079">
        <v>7.9000000000000001E-2</v>
      </c>
      <c r="AL42" s="1079">
        <v>7.9000000000000001E-2</v>
      </c>
      <c r="AM42" s="1079">
        <v>7.0999999999999994E-2</v>
      </c>
      <c r="AN42" s="1079">
        <v>7.9000000000000001E-2</v>
      </c>
      <c r="AO42" s="1079">
        <v>7.1999999999999995E-2</v>
      </c>
      <c r="AP42" s="1079">
        <v>7.3999999999999996E-2</v>
      </c>
      <c r="AQ42" s="1079">
        <v>7.1999999999999995E-2</v>
      </c>
      <c r="AR42" s="1079">
        <v>7.3999999999999996E-2</v>
      </c>
      <c r="AS42" s="1079">
        <v>7.3999999999999996E-2</v>
      </c>
      <c r="AT42" s="1079">
        <v>7.1999999999999995E-2</v>
      </c>
      <c r="AU42" s="1079">
        <v>7.4230136986301376E-2</v>
      </c>
      <c r="AV42" s="1079">
        <v>7.1999999999999995E-2</v>
      </c>
      <c r="AW42" s="1079">
        <v>7.3999999999999996E-2</v>
      </c>
      <c r="AX42" s="1079">
        <v>7.3999999999999996E-2</v>
      </c>
      <c r="AY42" s="1079">
        <v>6.8000000000000005E-2</v>
      </c>
      <c r="AZ42" s="1079">
        <v>7.3999999999999996E-2</v>
      </c>
      <c r="BA42" s="1082"/>
      <c r="BB42" s="1082"/>
      <c r="BC42" s="1082"/>
      <c r="BD42" s="1079"/>
      <c r="BE42" s="821"/>
      <c r="BF42" s="821"/>
      <c r="BG42" s="821"/>
      <c r="BH42" s="821"/>
      <c r="BI42" s="821"/>
      <c r="BJ42" s="821"/>
      <c r="BK42" s="821"/>
      <c r="BL42" s="821"/>
      <c r="BM42" s="821"/>
      <c r="BN42" s="821"/>
      <c r="BO42" s="821"/>
      <c r="BR42" s="934"/>
    </row>
    <row r="43" spans="1:70">
      <c r="A43" s="542"/>
      <c r="BE43" s="460"/>
      <c r="BR43" s="934"/>
    </row>
    <row r="44" spans="1:70">
      <c r="A44" s="542"/>
      <c r="BE44" s="460"/>
      <c r="BR44" s="934"/>
    </row>
    <row r="45" spans="1:70">
      <c r="A45" s="542"/>
      <c r="BE45" s="460"/>
      <c r="BR45" s="934"/>
    </row>
    <row r="46" spans="1:70">
      <c r="A46" s="542"/>
      <c r="C46">
        <v>1</v>
      </c>
      <c r="E46">
        <v>202324</v>
      </c>
      <c r="F46">
        <v>202425</v>
      </c>
      <c r="G46">
        <v>202526</v>
      </c>
      <c r="H46">
        <v>202627</v>
      </c>
      <c r="BE46" s="460"/>
      <c r="BR46" s="934"/>
    </row>
    <row r="47" spans="1:70">
      <c r="A47" s="542"/>
      <c r="C47">
        <v>2</v>
      </c>
      <c r="D47" t="s">
        <v>870</v>
      </c>
      <c r="E47" s="184" t="s">
        <v>719</v>
      </c>
      <c r="F47" s="184" t="s">
        <v>720</v>
      </c>
      <c r="G47" s="184" t="s">
        <v>721</v>
      </c>
      <c r="H47" s="273" t="s">
        <v>2259</v>
      </c>
      <c r="I47" s="273"/>
      <c r="BE47" s="460"/>
      <c r="BR47" s="934"/>
    </row>
    <row r="48" spans="1:70">
      <c r="A48" s="542"/>
      <c r="C48">
        <v>3</v>
      </c>
      <c r="D48" s="209" t="s">
        <v>60</v>
      </c>
      <c r="E48" s="303">
        <v>7.39</v>
      </c>
      <c r="F48" s="303">
        <v>7.44</v>
      </c>
      <c r="G48" s="305">
        <v>7.39</v>
      </c>
      <c r="H48" s="720">
        <v>7.39</v>
      </c>
      <c r="BE48" s="460"/>
      <c r="BR48" s="934"/>
    </row>
    <row r="49" spans="1:70">
      <c r="A49" s="542"/>
      <c r="C49">
        <v>4</v>
      </c>
      <c r="D49" s="209" t="s">
        <v>61</v>
      </c>
      <c r="E49" s="303">
        <v>7.44</v>
      </c>
      <c r="F49" s="303">
        <v>7.44</v>
      </c>
      <c r="G49" s="305">
        <v>7.44</v>
      </c>
      <c r="H49" s="720">
        <v>7.44</v>
      </c>
      <c r="BE49" s="460"/>
      <c r="BR49" s="934"/>
    </row>
    <row r="50" spans="1:70">
      <c r="A50" s="542"/>
      <c r="C50">
        <v>5</v>
      </c>
      <c r="D50" s="209" t="s">
        <v>62</v>
      </c>
      <c r="E50" s="303">
        <v>7.6</v>
      </c>
      <c r="F50" s="303">
        <v>7.6</v>
      </c>
      <c r="G50" s="305">
        <v>7.6</v>
      </c>
      <c r="H50" s="720">
        <v>7.6</v>
      </c>
      <c r="BE50" s="460"/>
      <c r="BR50" s="934"/>
    </row>
    <row r="51" spans="1:70">
      <c r="A51" s="542"/>
      <c r="C51">
        <v>6</v>
      </c>
      <c r="D51" s="209" t="s">
        <v>57</v>
      </c>
      <c r="E51" s="303">
        <v>7.42</v>
      </c>
      <c r="F51" s="303">
        <v>7.42</v>
      </c>
      <c r="G51" s="305">
        <v>7.42</v>
      </c>
      <c r="H51" s="720">
        <v>7.42</v>
      </c>
      <c r="BE51" s="460"/>
      <c r="BR51" s="934"/>
    </row>
    <row r="52" spans="1:70">
      <c r="A52" s="542"/>
      <c r="C52">
        <v>7</v>
      </c>
      <c r="D52" s="209" t="s">
        <v>58</v>
      </c>
      <c r="E52" s="303">
        <v>6.6390000000000002</v>
      </c>
      <c r="F52" s="303">
        <v>6.66</v>
      </c>
      <c r="G52" s="305">
        <v>6.6550000000000002</v>
      </c>
      <c r="H52" s="720">
        <v>6.6550000000000002</v>
      </c>
      <c r="BE52" s="460"/>
      <c r="BR52" s="934"/>
    </row>
    <row r="53" spans="1:70">
      <c r="A53" s="542" t="s">
        <v>190</v>
      </c>
      <c r="C53">
        <v>8</v>
      </c>
      <c r="D53" s="209" t="s">
        <v>59</v>
      </c>
      <c r="E53" s="303">
        <v>6.78</v>
      </c>
      <c r="F53" s="303">
        <v>6.78</v>
      </c>
      <c r="G53" s="305">
        <v>6.78</v>
      </c>
      <c r="H53" s="720">
        <v>6.78</v>
      </c>
      <c r="BE53" s="460"/>
      <c r="BR53" s="934"/>
    </row>
    <row r="54" spans="1:70">
      <c r="A54" s="418" t="s">
        <v>870</v>
      </c>
      <c r="C54">
        <v>9</v>
      </c>
      <c r="D54" s="209" t="s">
        <v>63</v>
      </c>
      <c r="E54" s="303">
        <v>7.4</v>
      </c>
      <c r="F54" s="303">
        <v>7.4</v>
      </c>
      <c r="G54" s="305">
        <v>7.4</v>
      </c>
      <c r="H54" s="720">
        <v>7.4</v>
      </c>
      <c r="BE54" s="460"/>
      <c r="BR54" s="934"/>
    </row>
    <row r="55" spans="1:70">
      <c r="A55" s="542"/>
      <c r="C55">
        <v>10</v>
      </c>
      <c r="D55" s="209" t="s">
        <v>64</v>
      </c>
      <c r="E55" s="303">
        <v>6.24</v>
      </c>
      <c r="F55" s="303">
        <v>6.24</v>
      </c>
      <c r="G55" s="305">
        <v>6.24</v>
      </c>
      <c r="H55" s="720">
        <v>6.24</v>
      </c>
      <c r="BE55" s="460"/>
      <c r="BR55" s="934"/>
    </row>
    <row r="56" spans="1:70">
      <c r="A56" s="542"/>
      <c r="C56">
        <v>11</v>
      </c>
      <c r="D56" s="209" t="s">
        <v>65</v>
      </c>
      <c r="E56" s="303">
        <v>6.57</v>
      </c>
      <c r="F56" s="303">
        <v>6.57</v>
      </c>
      <c r="G56" s="305">
        <v>6.57</v>
      </c>
      <c r="H56" s="720">
        <v>6.57</v>
      </c>
      <c r="BE56" s="460"/>
      <c r="BR56" s="934"/>
    </row>
    <row r="57" spans="1:70">
      <c r="A57" s="542"/>
      <c r="C57">
        <v>12</v>
      </c>
      <c r="D57" s="209" t="s">
        <v>66</v>
      </c>
      <c r="E57" s="303">
        <v>7.62</v>
      </c>
      <c r="F57" s="303">
        <v>7.62</v>
      </c>
      <c r="G57" s="305">
        <v>7.62</v>
      </c>
      <c r="H57" s="720">
        <v>7.62</v>
      </c>
      <c r="BE57" s="460"/>
      <c r="BR57" s="934"/>
    </row>
    <row r="58" spans="1:70">
      <c r="A58" s="542"/>
      <c r="C58">
        <v>13</v>
      </c>
      <c r="D58" s="209" t="s">
        <v>67</v>
      </c>
      <c r="E58" s="303">
        <v>7.3</v>
      </c>
      <c r="F58" s="303">
        <v>7.3</v>
      </c>
      <c r="G58" s="305">
        <v>7.3</v>
      </c>
      <c r="H58" s="720">
        <v>7.3</v>
      </c>
      <c r="BE58" s="460"/>
      <c r="BR58" s="934"/>
    </row>
    <row r="59" spans="1:70">
      <c r="A59" s="542"/>
      <c r="C59">
        <v>14</v>
      </c>
      <c r="D59" s="209" t="s">
        <v>68</v>
      </c>
      <c r="E59" s="303">
        <v>6.8</v>
      </c>
      <c r="F59" s="303">
        <v>6.8</v>
      </c>
      <c r="G59" s="305">
        <v>6.8</v>
      </c>
      <c r="H59" s="720">
        <v>6.8</v>
      </c>
      <c r="BE59" s="460"/>
      <c r="BR59" s="934"/>
    </row>
    <row r="60" spans="1:70">
      <c r="A60" s="542"/>
      <c r="C60">
        <v>15</v>
      </c>
      <c r="D60" s="209" t="s">
        <v>69</v>
      </c>
      <c r="E60" s="303">
        <v>8.67</v>
      </c>
      <c r="F60" s="303">
        <v>8.6</v>
      </c>
      <c r="G60" s="305">
        <v>8.6</v>
      </c>
      <c r="H60" s="720">
        <v>8.6</v>
      </c>
      <c r="BE60" s="460"/>
      <c r="BR60" s="934"/>
    </row>
    <row r="61" spans="1:70">
      <c r="A61" s="542"/>
      <c r="C61">
        <v>16</v>
      </c>
      <c r="D61" s="209" t="s">
        <v>70</v>
      </c>
      <c r="F61" s="305"/>
      <c r="G61" s="305"/>
      <c r="H61" s="305"/>
      <c r="BE61" s="460"/>
      <c r="BR61" s="934"/>
    </row>
    <row r="62" spans="1:70">
      <c r="A62" s="542"/>
      <c r="BE62" s="460"/>
      <c r="BR62" s="934"/>
    </row>
    <row r="63" spans="1:70">
      <c r="A63" s="542"/>
      <c r="BE63" s="460"/>
      <c r="BR63" s="934"/>
    </row>
    <row r="64" spans="1:70" ht="15.75" thickBot="1">
      <c r="A64" s="543"/>
      <c r="B64" s="462"/>
      <c r="C64" s="462"/>
      <c r="D64" s="462"/>
      <c r="E64" s="462"/>
      <c r="F64" s="462"/>
      <c r="G64" s="462"/>
      <c r="H64" s="462"/>
      <c r="I64" s="462"/>
      <c r="J64" s="462"/>
      <c r="K64" s="462"/>
      <c r="L64" s="462"/>
      <c r="M64" s="462"/>
      <c r="N64" s="462"/>
      <c r="O64" s="462"/>
      <c r="P64" s="462"/>
      <c r="Q64" s="462"/>
      <c r="R64" s="462"/>
      <c r="S64" s="462"/>
      <c r="T64" s="462"/>
      <c r="U64" s="462"/>
      <c r="V64" s="462"/>
      <c r="W64" s="462"/>
      <c r="X64" s="462"/>
      <c r="Y64" s="462"/>
      <c r="Z64" s="462"/>
      <c r="AA64" s="462"/>
      <c r="AB64" s="462"/>
      <c r="AC64" s="462"/>
      <c r="AD64" s="462"/>
      <c r="AE64" s="462"/>
      <c r="AF64" s="462"/>
      <c r="AG64" s="462"/>
      <c r="AH64" s="462"/>
      <c r="AI64" s="462"/>
      <c r="AJ64" s="462"/>
      <c r="AK64" s="462"/>
      <c r="AL64" s="462"/>
      <c r="AM64" s="462"/>
      <c r="AN64" s="462"/>
      <c r="AO64" s="462"/>
      <c r="AP64" s="462"/>
      <c r="AQ64" s="462"/>
      <c r="AR64" s="462"/>
      <c r="AS64" s="462"/>
      <c r="AT64" s="462"/>
      <c r="AU64" s="462"/>
      <c r="AV64" s="462"/>
      <c r="AW64" s="462"/>
      <c r="AX64" s="462"/>
      <c r="AY64" s="462"/>
      <c r="AZ64" s="462"/>
      <c r="BA64" s="462"/>
      <c r="BB64" s="462"/>
      <c r="BC64" s="462"/>
      <c r="BD64" s="462"/>
      <c r="BE64" s="463"/>
      <c r="BR64" s="934"/>
    </row>
    <row r="65" spans="1:70">
      <c r="BP65" s="937"/>
      <c r="BQ65" s="937"/>
      <c r="BR65" s="938"/>
    </row>
    <row r="66" spans="1:70" ht="15.75" thickBot="1">
      <c r="BP66" s="282"/>
      <c r="BQ66" s="282"/>
      <c r="BR66" s="939"/>
    </row>
    <row r="67" spans="1:70">
      <c r="A67" s="544"/>
      <c r="B67" s="457"/>
      <c r="C67" s="457"/>
      <c r="D67" s="457"/>
      <c r="E67" s="457"/>
      <c r="F67" s="457"/>
      <c r="G67" s="457"/>
      <c r="H67" s="457"/>
      <c r="I67" s="457"/>
      <c r="J67" s="457"/>
      <c r="K67" s="457"/>
      <c r="L67" s="457"/>
      <c r="M67" s="457"/>
      <c r="N67" s="457"/>
      <c r="O67" s="457"/>
      <c r="P67" s="457"/>
      <c r="Q67" s="457"/>
      <c r="R67" s="457"/>
      <c r="S67" s="457"/>
      <c r="T67" s="457"/>
      <c r="U67" s="457"/>
      <c r="V67" s="457"/>
      <c r="W67" s="457"/>
      <c r="X67" s="457"/>
      <c r="Y67" s="457"/>
      <c r="Z67" s="457"/>
      <c r="AA67" s="457"/>
      <c r="AB67" s="457"/>
      <c r="AC67" s="457"/>
      <c r="AD67" s="457"/>
      <c r="AE67" s="457"/>
      <c r="AF67" s="457"/>
      <c r="AG67" s="457"/>
      <c r="AH67" s="457"/>
      <c r="AI67" s="457"/>
      <c r="AJ67" s="457"/>
      <c r="AK67" s="457"/>
      <c r="AL67" s="457"/>
      <c r="AM67" s="457"/>
      <c r="AN67" s="457"/>
      <c r="AO67" s="457"/>
      <c r="AP67" s="457"/>
      <c r="AQ67" s="457"/>
      <c r="AR67" s="457"/>
      <c r="AS67" s="457"/>
      <c r="AT67" s="457"/>
      <c r="AU67" s="457"/>
      <c r="AV67" s="457"/>
      <c r="AW67" s="457"/>
      <c r="AX67" s="457"/>
      <c r="AY67" s="457"/>
      <c r="AZ67" s="457"/>
      <c r="BA67" s="457"/>
      <c r="BB67" s="457"/>
      <c r="BC67" s="457"/>
      <c r="BD67" s="457"/>
      <c r="BE67" s="458"/>
      <c r="BR67" s="934"/>
    </row>
    <row r="68" spans="1:70">
      <c r="A68" s="545"/>
      <c r="C68">
        <v>1</v>
      </c>
      <c r="E68">
        <v>202304</v>
      </c>
      <c r="F68">
        <v>202305</v>
      </c>
      <c r="G68">
        <v>202306</v>
      </c>
      <c r="H68">
        <v>202307</v>
      </c>
      <c r="I68">
        <v>202308</v>
      </c>
      <c r="J68">
        <v>202309</v>
      </c>
      <c r="K68">
        <v>202310</v>
      </c>
      <c r="L68">
        <v>202311</v>
      </c>
      <c r="M68">
        <v>202312</v>
      </c>
      <c r="N68">
        <v>202401</v>
      </c>
      <c r="O68">
        <v>202402</v>
      </c>
      <c r="P68">
        <v>202403</v>
      </c>
      <c r="Q68">
        <v>202404</v>
      </c>
      <c r="R68">
        <v>202405</v>
      </c>
      <c r="S68">
        <v>202406</v>
      </c>
      <c r="T68">
        <v>202407</v>
      </c>
      <c r="U68">
        <v>202408</v>
      </c>
      <c r="V68">
        <v>202409</v>
      </c>
      <c r="W68">
        <v>202410</v>
      </c>
      <c r="X68">
        <v>202411</v>
      </c>
      <c r="Y68">
        <v>202412</v>
      </c>
      <c r="Z68">
        <v>202501</v>
      </c>
      <c r="AA68">
        <v>202502</v>
      </c>
      <c r="AB68">
        <v>202503</v>
      </c>
      <c r="AC68">
        <v>202504</v>
      </c>
      <c r="AD68">
        <v>202505</v>
      </c>
      <c r="AE68">
        <v>202506</v>
      </c>
      <c r="AF68">
        <v>202507</v>
      </c>
      <c r="AG68">
        <v>202508</v>
      </c>
      <c r="AH68">
        <v>202509</v>
      </c>
      <c r="AI68">
        <v>202510</v>
      </c>
      <c r="AJ68">
        <v>202511</v>
      </c>
      <c r="AK68">
        <v>202512</v>
      </c>
      <c r="AL68">
        <v>202601</v>
      </c>
      <c r="AM68">
        <v>202602</v>
      </c>
      <c r="AN68">
        <v>202603</v>
      </c>
      <c r="AO68">
        <v>202604</v>
      </c>
      <c r="AP68">
        <v>202605</v>
      </c>
      <c r="AQ68">
        <v>202606</v>
      </c>
      <c r="AR68">
        <v>202607</v>
      </c>
      <c r="AS68">
        <v>202608</v>
      </c>
      <c r="AT68">
        <v>202609</v>
      </c>
      <c r="AU68">
        <v>202610</v>
      </c>
      <c r="AV68">
        <v>202611</v>
      </c>
      <c r="AW68">
        <v>202612</v>
      </c>
      <c r="AX68">
        <v>202701</v>
      </c>
      <c r="AY68">
        <v>202702</v>
      </c>
      <c r="AZ68">
        <v>202703</v>
      </c>
      <c r="BE68" s="460"/>
      <c r="BR68" s="934"/>
    </row>
    <row r="69" spans="1:70">
      <c r="A69" s="545"/>
      <c r="C69">
        <v>2</v>
      </c>
      <c r="E69" s="184" t="s">
        <v>726</v>
      </c>
      <c r="F69" s="184" t="s">
        <v>727</v>
      </c>
      <c r="G69" s="184" t="s">
        <v>728</v>
      </c>
      <c r="H69" s="184" t="s">
        <v>729</v>
      </c>
      <c r="I69" s="184" t="s">
        <v>730</v>
      </c>
      <c r="J69" s="184" t="s">
        <v>731</v>
      </c>
      <c r="K69" s="184" t="s">
        <v>732</v>
      </c>
      <c r="L69" s="184" t="s">
        <v>733</v>
      </c>
      <c r="M69" s="184" t="s">
        <v>734</v>
      </c>
      <c r="N69" s="184" t="s">
        <v>735</v>
      </c>
      <c r="O69" s="184" t="s">
        <v>736</v>
      </c>
      <c r="P69" s="184" t="s">
        <v>737</v>
      </c>
      <c r="Q69" s="184" t="s">
        <v>738</v>
      </c>
      <c r="R69" s="184" t="s">
        <v>740</v>
      </c>
      <c r="S69" s="184" t="s">
        <v>741</v>
      </c>
      <c r="T69" s="184" t="s">
        <v>742</v>
      </c>
      <c r="U69" s="184" t="s">
        <v>743</v>
      </c>
      <c r="V69" s="184" t="s">
        <v>744</v>
      </c>
      <c r="W69" s="184" t="s">
        <v>745</v>
      </c>
      <c r="X69" s="184" t="s">
        <v>746</v>
      </c>
      <c r="Y69" s="184" t="s">
        <v>747</v>
      </c>
      <c r="Z69" s="184" t="s">
        <v>748</v>
      </c>
      <c r="AA69" s="184" t="s">
        <v>749</v>
      </c>
      <c r="AB69" s="184" t="s">
        <v>750</v>
      </c>
      <c r="AC69" s="184" t="s">
        <v>739</v>
      </c>
      <c r="AD69" s="184" t="s">
        <v>751</v>
      </c>
      <c r="AE69" s="184" t="s">
        <v>752</v>
      </c>
      <c r="AF69" s="184" t="s">
        <v>753</v>
      </c>
      <c r="AG69" s="184" t="s">
        <v>754</v>
      </c>
      <c r="AH69" s="184" t="s">
        <v>755</v>
      </c>
      <c r="AI69" s="184" t="s">
        <v>756</v>
      </c>
      <c r="AJ69" s="184" t="s">
        <v>757</v>
      </c>
      <c r="AK69" s="184" t="s">
        <v>758</v>
      </c>
      <c r="AL69" s="184" t="s">
        <v>759</v>
      </c>
      <c r="AM69" s="184" t="s">
        <v>760</v>
      </c>
      <c r="AN69" s="184" t="s">
        <v>761</v>
      </c>
      <c r="AO69" s="184" t="s">
        <v>2150</v>
      </c>
      <c r="AP69" s="932" t="s">
        <v>2151</v>
      </c>
      <c r="AQ69" s="932" t="s">
        <v>2152</v>
      </c>
      <c r="AR69" s="184" t="s">
        <v>2153</v>
      </c>
      <c r="AS69" s="184" t="s">
        <v>2154</v>
      </c>
      <c r="AT69" s="184" t="s">
        <v>2155</v>
      </c>
      <c r="AU69" s="184" t="s">
        <v>2156</v>
      </c>
      <c r="AV69" s="184" t="s">
        <v>2157</v>
      </c>
      <c r="AW69" s="184" t="s">
        <v>2158</v>
      </c>
      <c r="AX69" s="184" t="s">
        <v>2159</v>
      </c>
      <c r="AY69" s="184" t="s">
        <v>2160</v>
      </c>
      <c r="AZ69" s="184" t="s">
        <v>2149</v>
      </c>
      <c r="BE69" s="460"/>
      <c r="BR69" s="934"/>
    </row>
    <row r="70" spans="1:70" ht="21">
      <c r="A70" s="545"/>
      <c r="C70">
        <v>3</v>
      </c>
      <c r="D70" s="209" t="s">
        <v>60</v>
      </c>
      <c r="E70" s="626">
        <v>0.154</v>
      </c>
      <c r="F70" s="626">
        <v>0.151</v>
      </c>
      <c r="G70" s="622">
        <v>0.13800000000000001</v>
      </c>
      <c r="H70" s="622">
        <v>0.14699999999999999</v>
      </c>
      <c r="I70" s="626">
        <v>0.128</v>
      </c>
      <c r="J70" s="626">
        <v>0.14499999999999999</v>
      </c>
      <c r="K70" s="622">
        <v>0.155</v>
      </c>
      <c r="L70" s="622">
        <v>0.14899999999999999</v>
      </c>
      <c r="M70" s="622">
        <v>0.152</v>
      </c>
      <c r="N70" s="622">
        <v>0.155</v>
      </c>
      <c r="O70" s="622">
        <v>0.14399999999999999</v>
      </c>
      <c r="P70" s="622">
        <v>0.153</v>
      </c>
      <c r="Q70" s="726">
        <v>0.14699999999999999</v>
      </c>
      <c r="R70" s="726">
        <v>0.15</v>
      </c>
      <c r="S70" s="726">
        <v>0.14499999999999999</v>
      </c>
      <c r="T70" s="726">
        <v>0.14899999999999999</v>
      </c>
      <c r="U70" s="726">
        <v>0.10299999999999999</v>
      </c>
      <c r="V70" s="726">
        <v>0.14099999999999999</v>
      </c>
      <c r="W70" s="726">
        <v>0.14599999999999999</v>
      </c>
      <c r="X70" s="726">
        <v>0.14099999999999999</v>
      </c>
      <c r="Y70" s="726">
        <v>0.14399999999999999</v>
      </c>
      <c r="Z70" s="726">
        <v>0.14499999999999999</v>
      </c>
      <c r="AA70" s="726">
        <v>0.13100000000000001</v>
      </c>
      <c r="AB70" s="726">
        <v>0.14399999999999999</v>
      </c>
      <c r="AC70" s="726">
        <v>0.124</v>
      </c>
      <c r="AD70" s="726">
        <v>0.11600000000000001</v>
      </c>
      <c r="AE70" s="726">
        <v>0.108</v>
      </c>
      <c r="AF70" s="726">
        <v>0.112</v>
      </c>
      <c r="AG70" s="726">
        <v>2.7E-2</v>
      </c>
      <c r="AH70" s="726">
        <v>0.11600000000000001</v>
      </c>
      <c r="AI70" s="726">
        <v>0.13300000000000001</v>
      </c>
      <c r="AJ70" s="726">
        <v>0.127</v>
      </c>
      <c r="AK70" s="726">
        <v>0.13</v>
      </c>
      <c r="AL70" s="726">
        <v>0.13500000000000001</v>
      </c>
      <c r="AM70" s="726">
        <v>0.12</v>
      </c>
      <c r="AN70" s="726">
        <v>0.13300000000000001</v>
      </c>
      <c r="AO70" s="726"/>
      <c r="AP70" s="726"/>
      <c r="AQ70" s="726"/>
      <c r="AR70" s="726"/>
      <c r="AS70" s="726"/>
      <c r="AT70" s="726"/>
      <c r="AU70" s="726"/>
      <c r="AV70" s="726"/>
      <c r="AW70" s="726"/>
      <c r="AX70" s="726"/>
      <c r="AY70" s="726"/>
      <c r="AZ70" s="726"/>
      <c r="BA70" s="941"/>
      <c r="BB70" s="941"/>
      <c r="BC70" s="941"/>
      <c r="BE70" s="460"/>
      <c r="BR70" s="934"/>
    </row>
    <row r="71" spans="1:70" ht="21">
      <c r="A71" s="545"/>
      <c r="C71">
        <v>4</v>
      </c>
      <c r="D71" s="209" t="s">
        <v>61</v>
      </c>
      <c r="E71" s="622">
        <v>0.193</v>
      </c>
      <c r="F71" s="626">
        <v>0.19900000000000001</v>
      </c>
      <c r="G71" s="626">
        <v>0.19400000000000001</v>
      </c>
      <c r="H71" s="622">
        <v>0.19800000000000001</v>
      </c>
      <c r="I71" s="622">
        <v>0.20100000000000001</v>
      </c>
      <c r="J71" s="622">
        <v>0.19</v>
      </c>
      <c r="K71" s="622">
        <v>0.19400000000000001</v>
      </c>
      <c r="L71" s="622">
        <v>0.187</v>
      </c>
      <c r="M71" s="622">
        <v>0.19400000000000001</v>
      </c>
      <c r="N71" s="622">
        <v>0.19600000000000001</v>
      </c>
      <c r="O71" s="622">
        <v>0.185</v>
      </c>
      <c r="P71" s="622">
        <v>0.19800000000000001</v>
      </c>
      <c r="Q71" s="726">
        <v>0.191</v>
      </c>
      <c r="R71" s="726">
        <v>0.19600000000000001</v>
      </c>
      <c r="S71" s="726">
        <v>0.19</v>
      </c>
      <c r="T71" s="726">
        <v>0.19500000000000001</v>
      </c>
      <c r="U71" s="726">
        <v>0.19500000000000001</v>
      </c>
      <c r="V71" s="726">
        <v>0.188</v>
      </c>
      <c r="W71" s="726">
        <v>0.19600000000000001</v>
      </c>
      <c r="X71" s="726">
        <v>0.192</v>
      </c>
      <c r="Y71" s="726">
        <v>0.20599999999999999</v>
      </c>
      <c r="Z71" s="726">
        <v>0.20899999999999999</v>
      </c>
      <c r="AA71" s="726">
        <v>0.191</v>
      </c>
      <c r="AB71" s="726">
        <v>0.20899999999999999</v>
      </c>
      <c r="AC71" s="726">
        <v>0.17799999999999999</v>
      </c>
      <c r="AD71" s="726">
        <v>0.183</v>
      </c>
      <c r="AE71" s="726">
        <v>0.17699999999999999</v>
      </c>
      <c r="AF71" s="726">
        <v>0.18099999999999999</v>
      </c>
      <c r="AG71" s="726">
        <v>0.18</v>
      </c>
      <c r="AH71" s="726">
        <v>0.17299999999999999</v>
      </c>
      <c r="AI71" s="726">
        <v>0.188</v>
      </c>
      <c r="AJ71" s="726">
        <v>0.183</v>
      </c>
      <c r="AK71" s="726">
        <v>0.189</v>
      </c>
      <c r="AL71" s="726">
        <v>0.19400000000000001</v>
      </c>
      <c r="AM71" s="726">
        <v>0.17499999999999999</v>
      </c>
      <c r="AN71" s="726">
        <v>0.19400000000000001</v>
      </c>
      <c r="AO71" s="726"/>
      <c r="AP71" s="726"/>
      <c r="AQ71" s="726"/>
      <c r="AR71" s="726"/>
      <c r="AS71" s="726"/>
      <c r="AT71" s="726"/>
      <c r="AU71" s="726"/>
      <c r="AV71" s="726"/>
      <c r="AW71" s="726"/>
      <c r="AX71" s="726"/>
      <c r="AY71" s="726"/>
      <c r="AZ71" s="726"/>
      <c r="BA71" s="941"/>
      <c r="BB71" s="941"/>
      <c r="BC71" s="941"/>
      <c r="BE71" s="460"/>
      <c r="BR71" s="934"/>
    </row>
    <row r="72" spans="1:70" ht="21">
      <c r="A72" s="545"/>
      <c r="C72">
        <v>5</v>
      </c>
      <c r="D72" s="209" t="s">
        <v>62</v>
      </c>
      <c r="E72" s="622">
        <v>1.2E-2</v>
      </c>
      <c r="F72" s="622">
        <v>1.0999999999999999E-2</v>
      </c>
      <c r="G72" s="622">
        <v>1.0999999999999999E-2</v>
      </c>
      <c r="H72" s="622">
        <v>1.0999999999999999E-2</v>
      </c>
      <c r="I72" s="626">
        <v>0.01</v>
      </c>
      <c r="J72" s="622">
        <v>0.01</v>
      </c>
      <c r="K72" s="626">
        <v>1.0999999999999999E-2</v>
      </c>
      <c r="L72" s="622">
        <v>0.01</v>
      </c>
      <c r="M72" s="622">
        <v>0.01</v>
      </c>
      <c r="N72" s="622">
        <v>0.01</v>
      </c>
      <c r="O72" s="622">
        <v>0.01</v>
      </c>
      <c r="P72" s="622">
        <v>0.01</v>
      </c>
      <c r="Q72" s="726">
        <v>0.01</v>
      </c>
      <c r="R72" s="726">
        <v>8.9999999999999993E-3</v>
      </c>
      <c r="S72" s="726">
        <v>8.9999999999999993E-3</v>
      </c>
      <c r="T72" s="726">
        <v>0.01</v>
      </c>
      <c r="U72" s="726">
        <v>8.9999999999999993E-3</v>
      </c>
      <c r="V72" s="726">
        <v>8.9999999999999993E-3</v>
      </c>
      <c r="W72" s="726">
        <v>8.9999999999999993E-3</v>
      </c>
      <c r="X72" s="726">
        <v>8.9999999999999993E-3</v>
      </c>
      <c r="Y72" s="726">
        <v>8.9999999999999993E-3</v>
      </c>
      <c r="Z72" s="726">
        <v>8.9999999999999993E-3</v>
      </c>
      <c r="AA72" s="726">
        <v>8.0000000000000002E-3</v>
      </c>
      <c r="AB72" s="726">
        <v>8.9999999999999993E-3</v>
      </c>
      <c r="AC72" s="726">
        <v>8.0000000000000002E-3</v>
      </c>
      <c r="AD72" s="726">
        <v>8.9999999999999993E-3</v>
      </c>
      <c r="AE72" s="726">
        <v>8.0000000000000002E-3</v>
      </c>
      <c r="AF72" s="726">
        <v>8.0000000000000002E-3</v>
      </c>
      <c r="AG72" s="726">
        <v>8.0000000000000002E-3</v>
      </c>
      <c r="AH72" s="726">
        <v>8.9999999999999993E-3</v>
      </c>
      <c r="AI72" s="726">
        <v>8.9999999999999993E-3</v>
      </c>
      <c r="AJ72" s="726">
        <v>8.0000000000000002E-3</v>
      </c>
      <c r="AK72" s="726">
        <v>8.9999999999999993E-3</v>
      </c>
      <c r="AL72" s="726">
        <v>8.9999999999999993E-3</v>
      </c>
      <c r="AM72" s="726">
        <v>8.0000000000000002E-3</v>
      </c>
      <c r="AN72" s="726">
        <v>8.9999999999999993E-3</v>
      </c>
      <c r="AO72" s="726"/>
      <c r="AP72" s="726"/>
      <c r="AQ72" s="726"/>
      <c r="AR72" s="726"/>
      <c r="AS72" s="726"/>
      <c r="AT72" s="726"/>
      <c r="AU72" s="726"/>
      <c r="AV72" s="726"/>
      <c r="AW72" s="726"/>
      <c r="AX72" s="726"/>
      <c r="AY72" s="726"/>
      <c r="AZ72" s="726"/>
      <c r="BA72" s="941"/>
      <c r="BB72" s="941"/>
      <c r="BC72" s="941"/>
      <c r="BE72" s="460"/>
      <c r="BR72" s="934"/>
    </row>
    <row r="73" spans="1:70" ht="21">
      <c r="A73" s="545"/>
      <c r="C73">
        <v>6</v>
      </c>
      <c r="D73" s="209" t="s">
        <v>57</v>
      </c>
      <c r="E73" s="622">
        <v>3.5000000000000003E-2</v>
      </c>
      <c r="F73" s="622">
        <v>3.5000000000000003E-2</v>
      </c>
      <c r="G73" s="622">
        <v>3.4000000000000002E-2</v>
      </c>
      <c r="H73" s="622">
        <v>3.4000000000000002E-2</v>
      </c>
      <c r="I73" s="622">
        <v>3.4000000000000002E-2</v>
      </c>
      <c r="J73" s="622">
        <v>3.3000000000000002E-2</v>
      </c>
      <c r="K73" s="622">
        <v>3.5000000000000003E-2</v>
      </c>
      <c r="L73" s="622">
        <v>3.3000000000000002E-2</v>
      </c>
      <c r="M73" s="622">
        <v>3.4000000000000002E-2</v>
      </c>
      <c r="N73" s="622">
        <v>3.4000000000000002E-2</v>
      </c>
      <c r="O73" s="622">
        <v>3.2000000000000001E-2</v>
      </c>
      <c r="P73" s="622">
        <v>3.4000000000000002E-2</v>
      </c>
      <c r="Q73" s="726">
        <v>3.1E-2</v>
      </c>
      <c r="R73" s="726">
        <v>3.2000000000000001E-2</v>
      </c>
      <c r="S73" s="726">
        <v>3.1E-2</v>
      </c>
      <c r="T73" s="726">
        <v>3.3000000000000002E-2</v>
      </c>
      <c r="U73" s="726">
        <v>3.3000000000000002E-2</v>
      </c>
      <c r="V73" s="726">
        <v>3.3000000000000002E-2</v>
      </c>
      <c r="W73" s="726">
        <v>3.4000000000000002E-2</v>
      </c>
      <c r="X73" s="726">
        <v>3.4000000000000002E-2</v>
      </c>
      <c r="Y73" s="726">
        <v>3.5000000000000003E-2</v>
      </c>
      <c r="Z73" s="726">
        <v>3.3000000000000002E-2</v>
      </c>
      <c r="AA73" s="726">
        <v>2.9000000000000001E-2</v>
      </c>
      <c r="AB73" s="726">
        <v>3.2000000000000001E-2</v>
      </c>
      <c r="AC73" s="726">
        <v>3.7999999999999999E-2</v>
      </c>
      <c r="AD73" s="726">
        <v>3.9E-2</v>
      </c>
      <c r="AE73" s="726">
        <v>3.7999999999999999E-2</v>
      </c>
      <c r="AF73" s="726">
        <v>0.04</v>
      </c>
      <c r="AG73" s="726">
        <v>0.04</v>
      </c>
      <c r="AH73" s="726">
        <v>0.04</v>
      </c>
      <c r="AI73" s="726">
        <v>4.2000000000000003E-2</v>
      </c>
      <c r="AJ73" s="726">
        <v>0.04</v>
      </c>
      <c r="AK73" s="726">
        <v>4.1000000000000002E-2</v>
      </c>
      <c r="AL73" s="726">
        <v>0.04</v>
      </c>
      <c r="AM73" s="726">
        <v>3.5999999999999997E-2</v>
      </c>
      <c r="AN73" s="726">
        <v>0.04</v>
      </c>
      <c r="AO73" s="726"/>
      <c r="AP73" s="726"/>
      <c r="AQ73" s="726"/>
      <c r="AR73" s="726"/>
      <c r="AS73" s="726"/>
      <c r="AT73" s="726"/>
      <c r="AU73" s="726"/>
      <c r="AV73" s="726"/>
      <c r="AW73" s="726"/>
      <c r="AX73" s="726"/>
      <c r="AY73" s="726"/>
      <c r="AZ73" s="726"/>
      <c r="BA73" s="941"/>
      <c r="BB73" s="941"/>
      <c r="BC73" s="941"/>
      <c r="BE73" s="460"/>
      <c r="BR73" s="934"/>
    </row>
    <row r="74" spans="1:70" ht="21">
      <c r="A74" s="545"/>
      <c r="C74">
        <v>7</v>
      </c>
      <c r="D74" s="209" t="s">
        <v>58</v>
      </c>
      <c r="E74" s="622">
        <v>4.2000000000000003E-2</v>
      </c>
      <c r="F74" s="622">
        <v>2.8000000000000001E-2</v>
      </c>
      <c r="G74" s="622">
        <v>3.7999999999999999E-2</v>
      </c>
      <c r="H74" s="622">
        <v>4.3999999999999997E-2</v>
      </c>
      <c r="I74" s="622">
        <v>4.1000000000000002E-2</v>
      </c>
      <c r="J74" s="622">
        <v>2.7E-2</v>
      </c>
      <c r="K74" s="622">
        <v>2.1000000000000001E-2</v>
      </c>
      <c r="L74" s="622">
        <v>4.1000000000000002E-2</v>
      </c>
      <c r="M74" s="622">
        <v>4.2000000000000003E-2</v>
      </c>
      <c r="N74" s="622">
        <v>4.2000000000000003E-2</v>
      </c>
      <c r="O74" s="622">
        <v>3.9E-2</v>
      </c>
      <c r="P74" s="622">
        <v>4.1000000000000002E-2</v>
      </c>
      <c r="Q74" s="726">
        <v>3.6999999999999998E-2</v>
      </c>
      <c r="R74" s="726">
        <v>3.7999999999999999E-2</v>
      </c>
      <c r="S74" s="726">
        <v>3.6999999999999998E-2</v>
      </c>
      <c r="T74" s="726">
        <v>3.6999999999999998E-2</v>
      </c>
      <c r="U74" s="726">
        <v>3.6999999999999998E-2</v>
      </c>
      <c r="V74" s="726">
        <v>1.9E-2</v>
      </c>
      <c r="W74" s="726">
        <v>3.5999999999999997E-2</v>
      </c>
      <c r="X74" s="726">
        <v>3.5000000000000003E-2</v>
      </c>
      <c r="Y74" s="726">
        <v>3.5999999999999997E-2</v>
      </c>
      <c r="Z74" s="726">
        <v>3.6999999999999998E-2</v>
      </c>
      <c r="AA74" s="726">
        <v>3.3000000000000002E-2</v>
      </c>
      <c r="AB74" s="726">
        <v>3.5999999999999997E-2</v>
      </c>
      <c r="AC74" s="726">
        <v>3.2000000000000001E-2</v>
      </c>
      <c r="AD74" s="726">
        <v>3.5000000000000003E-2</v>
      </c>
      <c r="AE74" s="726">
        <v>3.6999999999999998E-2</v>
      </c>
      <c r="AF74" s="726">
        <v>3.6999999999999998E-2</v>
      </c>
      <c r="AG74" s="726">
        <v>3.6999999999999998E-2</v>
      </c>
      <c r="AH74" s="726">
        <v>3.5000000000000003E-2</v>
      </c>
      <c r="AI74" s="726">
        <v>3.5000000000000003E-2</v>
      </c>
      <c r="AJ74" s="726">
        <v>8.9999999999999993E-3</v>
      </c>
      <c r="AK74" s="726">
        <v>3.5999999999999997E-2</v>
      </c>
      <c r="AL74" s="726">
        <v>3.5000000000000003E-2</v>
      </c>
      <c r="AM74" s="726">
        <v>3.2000000000000001E-2</v>
      </c>
      <c r="AN74" s="726">
        <v>3.5000000000000003E-2</v>
      </c>
      <c r="AO74" s="726"/>
      <c r="AP74" s="726"/>
      <c r="AQ74" s="726"/>
      <c r="AR74" s="726"/>
      <c r="AS74" s="726"/>
      <c r="AT74" s="726"/>
      <c r="AU74" s="726"/>
      <c r="AV74" s="726"/>
      <c r="AW74" s="726"/>
      <c r="AX74" s="726"/>
      <c r="AY74" s="726"/>
      <c r="AZ74" s="726"/>
      <c r="BA74" s="941"/>
      <c r="BB74" s="941"/>
      <c r="BC74" s="941"/>
      <c r="BE74" s="460"/>
      <c r="BR74" s="934"/>
    </row>
    <row r="75" spans="1:70" ht="21">
      <c r="A75" s="545" t="s">
        <v>294</v>
      </c>
      <c r="C75">
        <v>8</v>
      </c>
      <c r="D75" s="209" t="s">
        <v>59</v>
      </c>
      <c r="E75" s="622">
        <v>7.0000000000000001E-3</v>
      </c>
      <c r="F75" s="626">
        <v>6.0000000000000001E-3</v>
      </c>
      <c r="G75" s="622">
        <v>7.0000000000000001E-3</v>
      </c>
      <c r="H75" s="622">
        <v>7.0000000000000001E-3</v>
      </c>
      <c r="I75" s="622">
        <v>7.0000000000000001E-3</v>
      </c>
      <c r="J75" s="622">
        <v>6.0000000000000001E-3</v>
      </c>
      <c r="K75" s="622">
        <v>7.0000000000000001E-3</v>
      </c>
      <c r="L75" s="622">
        <v>7.0000000000000001E-3</v>
      </c>
      <c r="M75" s="626">
        <v>8.0000000000000002E-3</v>
      </c>
      <c r="N75" s="622">
        <v>8.0000000000000002E-3</v>
      </c>
      <c r="O75" s="622">
        <v>8.0000000000000002E-3</v>
      </c>
      <c r="P75" s="622">
        <v>8.0000000000000002E-3</v>
      </c>
      <c r="Q75" s="726">
        <v>8.9999999999999993E-3</v>
      </c>
      <c r="R75" s="726">
        <v>8.9999999999999993E-3</v>
      </c>
      <c r="S75" s="726">
        <v>8.9999999999999993E-3</v>
      </c>
      <c r="T75" s="726">
        <v>8.9999999999999993E-3</v>
      </c>
      <c r="U75" s="726">
        <v>8.9999999999999993E-3</v>
      </c>
      <c r="V75" s="726">
        <v>8.0000000000000002E-3</v>
      </c>
      <c r="W75" s="726">
        <v>8.9999999999999993E-3</v>
      </c>
      <c r="X75" s="726">
        <v>8.0000000000000002E-3</v>
      </c>
      <c r="Y75" s="726">
        <v>8.9999999999999993E-3</v>
      </c>
      <c r="Z75" s="726">
        <v>8.9999999999999993E-3</v>
      </c>
      <c r="AA75" s="726">
        <v>8.0000000000000002E-3</v>
      </c>
      <c r="AB75" s="726">
        <v>8.0000000000000002E-3</v>
      </c>
      <c r="AC75" s="726">
        <v>1.0999999999999999E-2</v>
      </c>
      <c r="AD75" s="726">
        <v>1.0999999999999999E-2</v>
      </c>
      <c r="AE75" s="726">
        <v>0.01</v>
      </c>
      <c r="AF75" s="726">
        <v>1.0999999999999999E-2</v>
      </c>
      <c r="AG75" s="726">
        <v>1.0999999999999999E-2</v>
      </c>
      <c r="AH75" s="726">
        <v>1.0999999999999999E-2</v>
      </c>
      <c r="AI75" s="726">
        <v>1.2E-2</v>
      </c>
      <c r="AJ75" s="726">
        <v>1.2999999999999999E-2</v>
      </c>
      <c r="AK75" s="726">
        <v>1.4E-2</v>
      </c>
      <c r="AL75" s="726">
        <v>1.4E-2</v>
      </c>
      <c r="AM75" s="726">
        <v>1.4E-2</v>
      </c>
      <c r="AN75" s="726">
        <v>1.2999999999999999E-2</v>
      </c>
      <c r="AO75" s="726"/>
      <c r="AP75" s="726"/>
      <c r="AQ75" s="726"/>
      <c r="AR75" s="726"/>
      <c r="AS75" s="726"/>
      <c r="AT75" s="726"/>
      <c r="AU75" s="726"/>
      <c r="AV75" s="726"/>
      <c r="AW75" s="726"/>
      <c r="AX75" s="726"/>
      <c r="AY75" s="726"/>
      <c r="AZ75" s="726"/>
      <c r="BA75" s="941"/>
      <c r="BB75" s="941"/>
      <c r="BC75" s="941"/>
      <c r="BE75" s="460"/>
      <c r="BR75" s="934"/>
    </row>
    <row r="76" spans="1:70" ht="21">
      <c r="A76" s="340" t="s">
        <v>871</v>
      </c>
      <c r="C76">
        <v>9</v>
      </c>
      <c r="D76" s="209" t="s">
        <v>63</v>
      </c>
      <c r="E76" s="622">
        <v>5.0999999999999997E-2</v>
      </c>
      <c r="F76" s="622">
        <v>5.0999999999999997E-2</v>
      </c>
      <c r="G76" s="622">
        <v>5.0999999999999997E-2</v>
      </c>
      <c r="H76" s="622">
        <v>5.0999999999999997E-2</v>
      </c>
      <c r="I76" s="622">
        <v>0.05</v>
      </c>
      <c r="J76" s="622">
        <v>5.8999999999999997E-2</v>
      </c>
      <c r="K76" s="622">
        <v>7.1999999999999995E-2</v>
      </c>
      <c r="L76" s="622">
        <v>7.1999999999999995E-2</v>
      </c>
      <c r="M76" s="622">
        <v>7.2999999999999995E-2</v>
      </c>
      <c r="N76" s="622">
        <v>8.1000000000000003E-2</v>
      </c>
      <c r="O76" s="622">
        <v>7.3999999999999996E-2</v>
      </c>
      <c r="P76" s="622">
        <v>8.2000000000000003E-2</v>
      </c>
      <c r="Q76" s="726">
        <v>7.3999999999999996E-2</v>
      </c>
      <c r="R76" s="726">
        <v>7.4999999999999997E-2</v>
      </c>
      <c r="S76" s="726">
        <v>7.1999999999999995E-2</v>
      </c>
      <c r="T76" s="726">
        <v>7.3999999999999996E-2</v>
      </c>
      <c r="U76" s="726">
        <v>7.3999999999999996E-2</v>
      </c>
      <c r="V76" s="726">
        <v>7.0000000000000007E-2</v>
      </c>
      <c r="W76" s="726">
        <v>7.0999999999999994E-2</v>
      </c>
      <c r="X76" s="726">
        <v>6.9000000000000006E-2</v>
      </c>
      <c r="Y76" s="726">
        <v>7.0999999999999994E-2</v>
      </c>
      <c r="Z76" s="726">
        <v>7.0000000000000007E-2</v>
      </c>
      <c r="AA76" s="726">
        <v>6.2E-2</v>
      </c>
      <c r="AB76" s="726">
        <v>6.8000000000000005E-2</v>
      </c>
      <c r="AC76" s="726">
        <v>7.0999999999999994E-2</v>
      </c>
      <c r="AD76" s="726">
        <v>5.8000000000000003E-2</v>
      </c>
      <c r="AE76" s="726">
        <v>4.7E-2</v>
      </c>
      <c r="AF76" s="726">
        <v>7.0000000000000007E-2</v>
      </c>
      <c r="AG76" s="726">
        <v>7.0000000000000007E-2</v>
      </c>
      <c r="AH76" s="726">
        <v>6.6000000000000003E-2</v>
      </c>
      <c r="AI76" s="726">
        <v>0.06</v>
      </c>
      <c r="AJ76" s="726">
        <v>6.6000000000000003E-2</v>
      </c>
      <c r="AK76" s="726">
        <v>6.7000000000000004E-2</v>
      </c>
      <c r="AL76" s="726">
        <v>6.7000000000000004E-2</v>
      </c>
      <c r="AM76" s="726">
        <v>6.6000000000000003E-2</v>
      </c>
      <c r="AN76" s="726">
        <v>6.6000000000000003E-2</v>
      </c>
      <c r="AO76" s="726"/>
      <c r="AP76" s="726"/>
      <c r="AQ76" s="726"/>
      <c r="AR76" s="726"/>
      <c r="AS76" s="726"/>
      <c r="AT76" s="726"/>
      <c r="AU76" s="726"/>
      <c r="AV76" s="726"/>
      <c r="AW76" s="726"/>
      <c r="AX76" s="726"/>
      <c r="AY76" s="726"/>
      <c r="AZ76" s="726"/>
      <c r="BA76" s="941"/>
      <c r="BB76" s="941"/>
      <c r="BC76" s="941"/>
      <c r="BE76" s="460"/>
      <c r="BR76" s="934"/>
    </row>
    <row r="77" spans="1:70" ht="21">
      <c r="A77" s="545"/>
      <c r="C77">
        <v>10</v>
      </c>
      <c r="D77" s="209" t="s">
        <v>64</v>
      </c>
      <c r="E77" s="622">
        <v>5.0000000000000001E-3</v>
      </c>
      <c r="F77" s="626">
        <v>5.0000000000000001E-3</v>
      </c>
      <c r="G77" s="622">
        <v>4.0000000000000001E-3</v>
      </c>
      <c r="H77" s="622">
        <v>5.0000000000000001E-3</v>
      </c>
      <c r="I77" s="622">
        <v>5.0000000000000001E-3</v>
      </c>
      <c r="J77" s="626">
        <v>4.0000000000000001E-3</v>
      </c>
      <c r="K77" s="622">
        <v>5.0000000000000001E-3</v>
      </c>
      <c r="L77" s="622">
        <v>5.0000000000000001E-3</v>
      </c>
      <c r="M77" s="622">
        <v>5.0000000000000001E-3</v>
      </c>
      <c r="N77" s="622">
        <v>5.0000000000000001E-3</v>
      </c>
      <c r="O77" s="622">
        <v>5.0000000000000001E-3</v>
      </c>
      <c r="P77" s="622">
        <v>5.0000000000000001E-3</v>
      </c>
      <c r="Q77" s="726">
        <v>5.0000000000000001E-3</v>
      </c>
      <c r="R77" s="726">
        <v>5.0000000000000001E-3</v>
      </c>
      <c r="S77" s="726">
        <v>5.0000000000000001E-3</v>
      </c>
      <c r="T77" s="726">
        <v>5.0000000000000001E-3</v>
      </c>
      <c r="U77" s="726">
        <v>5.0000000000000001E-3</v>
      </c>
      <c r="V77" s="726">
        <v>5.0000000000000001E-3</v>
      </c>
      <c r="W77" s="726">
        <v>5.0000000000000001E-3</v>
      </c>
      <c r="X77" s="726">
        <v>5.0000000000000001E-3</v>
      </c>
      <c r="Y77" s="726">
        <v>5.0000000000000001E-3</v>
      </c>
      <c r="Z77" s="726">
        <v>5.0000000000000001E-3</v>
      </c>
      <c r="AA77" s="726">
        <v>4.0000000000000001E-3</v>
      </c>
      <c r="AB77" s="726">
        <v>5.0000000000000001E-3</v>
      </c>
      <c r="AC77" s="726">
        <v>4.0000000000000001E-3</v>
      </c>
      <c r="AD77" s="726">
        <v>4.0000000000000001E-3</v>
      </c>
      <c r="AE77" s="726">
        <v>4.0000000000000001E-3</v>
      </c>
      <c r="AF77" s="726">
        <v>4.0000000000000001E-3</v>
      </c>
      <c r="AG77" s="726">
        <v>4.0000000000000001E-3</v>
      </c>
      <c r="AH77" s="726">
        <v>4.0000000000000001E-3</v>
      </c>
      <c r="AI77" s="726">
        <v>4.0000000000000001E-3</v>
      </c>
      <c r="AJ77" s="726">
        <v>4.0000000000000001E-3</v>
      </c>
      <c r="AK77" s="726">
        <v>5.0000000000000001E-3</v>
      </c>
      <c r="AL77" s="726">
        <v>4.0000000000000001E-3</v>
      </c>
      <c r="AM77" s="726">
        <v>4.0000000000000001E-3</v>
      </c>
      <c r="AN77" s="726">
        <v>4.0000000000000001E-3</v>
      </c>
      <c r="AO77" s="726"/>
      <c r="AP77" s="726"/>
      <c r="AQ77" s="726"/>
      <c r="AR77" s="726"/>
      <c r="AS77" s="726"/>
      <c r="AT77" s="726"/>
      <c r="AU77" s="726"/>
      <c r="AV77" s="726"/>
      <c r="AW77" s="726"/>
      <c r="AX77" s="726"/>
      <c r="AY77" s="726"/>
      <c r="AZ77" s="726"/>
      <c r="BA77" s="941"/>
      <c r="BB77" s="941"/>
      <c r="BC77" s="941"/>
      <c r="BE77" s="460"/>
      <c r="BR77" s="934"/>
    </row>
    <row r="78" spans="1:70" ht="21">
      <c r="A78" s="545"/>
      <c r="C78">
        <v>11</v>
      </c>
      <c r="D78" s="209" t="s">
        <v>65</v>
      </c>
      <c r="E78" s="622">
        <v>6.0000000000000001E-3</v>
      </c>
      <c r="F78" s="622">
        <v>6.0000000000000001E-3</v>
      </c>
      <c r="G78" s="622">
        <v>6.0000000000000001E-3</v>
      </c>
      <c r="H78" s="626">
        <v>7.0000000000000001E-3</v>
      </c>
      <c r="I78" s="622">
        <v>6.0000000000000001E-3</v>
      </c>
      <c r="J78" s="626">
        <v>5.0000000000000001E-3</v>
      </c>
      <c r="K78" s="622">
        <v>7.0000000000000001E-3</v>
      </c>
      <c r="L78" s="622">
        <v>7.0000000000000001E-3</v>
      </c>
      <c r="M78" s="622">
        <v>7.0000000000000001E-3</v>
      </c>
      <c r="N78" s="622">
        <v>7.0000000000000001E-3</v>
      </c>
      <c r="O78" s="622">
        <v>7.0000000000000001E-3</v>
      </c>
      <c r="P78" s="622">
        <v>7.0000000000000001E-3</v>
      </c>
      <c r="Q78" s="726">
        <v>7.0000000000000001E-3</v>
      </c>
      <c r="R78" s="726">
        <v>8.0000000000000002E-3</v>
      </c>
      <c r="S78" s="726">
        <v>8.0000000000000002E-3</v>
      </c>
      <c r="T78" s="726">
        <v>8.0000000000000002E-3</v>
      </c>
      <c r="U78" s="726">
        <v>8.9999999999999993E-3</v>
      </c>
      <c r="V78" s="726">
        <v>8.9999999999999993E-3</v>
      </c>
      <c r="W78" s="726">
        <v>0.01</v>
      </c>
      <c r="X78" s="726">
        <v>0.01</v>
      </c>
      <c r="Y78" s="726">
        <v>0.01</v>
      </c>
      <c r="Z78" s="726">
        <v>1.0999999999999999E-2</v>
      </c>
      <c r="AA78" s="726">
        <v>0.01</v>
      </c>
      <c r="AB78" s="726">
        <v>1.0999999999999999E-2</v>
      </c>
      <c r="AC78" s="726">
        <v>8.0000000000000002E-3</v>
      </c>
      <c r="AD78" s="726">
        <v>8.9999999999999993E-3</v>
      </c>
      <c r="AE78" s="726">
        <v>8.0000000000000002E-3</v>
      </c>
      <c r="AF78" s="726">
        <v>8.9999999999999993E-3</v>
      </c>
      <c r="AG78" s="726">
        <v>0.01</v>
      </c>
      <c r="AH78" s="726">
        <v>8.9999999999999993E-3</v>
      </c>
      <c r="AI78" s="726">
        <v>0.01</v>
      </c>
      <c r="AJ78" s="726">
        <v>0.01</v>
      </c>
      <c r="AK78" s="726">
        <v>1.0999999999999999E-2</v>
      </c>
      <c r="AL78" s="726">
        <v>0.01</v>
      </c>
      <c r="AM78" s="726">
        <v>0.01</v>
      </c>
      <c r="AN78" s="726">
        <v>0.01</v>
      </c>
      <c r="AO78" s="726"/>
      <c r="AP78" s="726"/>
      <c r="AQ78" s="726"/>
      <c r="AR78" s="726"/>
      <c r="AS78" s="726"/>
      <c r="AT78" s="726"/>
      <c r="AU78" s="726"/>
      <c r="AV78" s="726"/>
      <c r="AW78" s="726"/>
      <c r="AX78" s="726"/>
      <c r="AY78" s="726"/>
      <c r="AZ78" s="726"/>
      <c r="BA78" s="941"/>
      <c r="BB78" s="941"/>
      <c r="BC78" s="941"/>
      <c r="BE78" s="460"/>
      <c r="BR78" s="934"/>
    </row>
    <row r="79" spans="1:70" ht="21">
      <c r="A79" s="545"/>
      <c r="C79">
        <v>12</v>
      </c>
      <c r="D79" s="209" t="s">
        <v>66</v>
      </c>
      <c r="E79" s="622">
        <v>0.06</v>
      </c>
      <c r="F79" s="622">
        <v>5.7000000000000002E-2</v>
      </c>
      <c r="G79" s="622">
        <v>5.5E-2</v>
      </c>
      <c r="H79" s="622">
        <v>5.8000000000000003E-2</v>
      </c>
      <c r="I79" s="622">
        <v>5.8000000000000003E-2</v>
      </c>
      <c r="J79" s="622">
        <v>5.7000000000000002E-2</v>
      </c>
      <c r="K79" s="622">
        <v>6.2E-2</v>
      </c>
      <c r="L79" s="622">
        <v>6.0999999999999999E-2</v>
      </c>
      <c r="M79" s="622">
        <v>6.3E-2</v>
      </c>
      <c r="N79" s="622">
        <v>6.0999999999999999E-2</v>
      </c>
      <c r="O79" s="622">
        <v>5.8000000000000003E-2</v>
      </c>
      <c r="P79" s="622">
        <v>6.0999999999999999E-2</v>
      </c>
      <c r="Q79" s="726">
        <v>6.2E-2</v>
      </c>
      <c r="R79" s="726">
        <v>3.6999999999999998E-2</v>
      </c>
      <c r="S79" s="726">
        <v>6.3E-2</v>
      </c>
      <c r="T79" s="726">
        <v>6.5000000000000002E-2</v>
      </c>
      <c r="U79" s="726">
        <v>6.5000000000000002E-2</v>
      </c>
      <c r="V79" s="726">
        <v>6.3E-2</v>
      </c>
      <c r="W79" s="726">
        <v>6.5000000000000002E-2</v>
      </c>
      <c r="X79" s="726">
        <v>6.3E-2</v>
      </c>
      <c r="Y79" s="726">
        <v>6.5000000000000002E-2</v>
      </c>
      <c r="Z79" s="726">
        <v>6.3E-2</v>
      </c>
      <c r="AA79" s="726">
        <v>5.8000000000000003E-2</v>
      </c>
      <c r="AB79" s="726">
        <v>6.3E-2</v>
      </c>
      <c r="AC79" s="726">
        <v>5.0999999999999997E-2</v>
      </c>
      <c r="AD79" s="726">
        <v>6.7000000000000004E-2</v>
      </c>
      <c r="AE79" s="726">
        <v>6.7000000000000004E-2</v>
      </c>
      <c r="AF79" s="726">
        <v>6.9000000000000006E-2</v>
      </c>
      <c r="AG79" s="726">
        <v>7.0999999999999994E-2</v>
      </c>
      <c r="AH79" s="726">
        <v>6.6000000000000003E-2</v>
      </c>
      <c r="AI79" s="726">
        <v>7.0000000000000007E-2</v>
      </c>
      <c r="AJ79" s="726">
        <v>6.8000000000000005E-2</v>
      </c>
      <c r="AK79" s="726">
        <v>7.0999999999999994E-2</v>
      </c>
      <c r="AL79" s="726">
        <v>7.0999999999999994E-2</v>
      </c>
      <c r="AM79" s="726">
        <v>6.4000000000000001E-2</v>
      </c>
      <c r="AN79" s="726">
        <v>7.0000000000000007E-2</v>
      </c>
      <c r="AO79" s="726"/>
      <c r="AP79" s="726"/>
      <c r="AQ79" s="726"/>
      <c r="AR79" s="726"/>
      <c r="AS79" s="726"/>
      <c r="AT79" s="726"/>
      <c r="AU79" s="726"/>
      <c r="AV79" s="726"/>
      <c r="AW79" s="726"/>
      <c r="AX79" s="726"/>
      <c r="AY79" s="726"/>
      <c r="AZ79" s="726"/>
      <c r="BA79" s="941"/>
      <c r="BB79" s="941"/>
      <c r="BC79" s="941"/>
      <c r="BE79" s="460"/>
      <c r="BR79" s="934"/>
    </row>
    <row r="80" spans="1:70" ht="21">
      <c r="A80" s="545"/>
      <c r="C80">
        <v>13</v>
      </c>
      <c r="D80" s="209" t="s">
        <v>67</v>
      </c>
      <c r="E80" s="622">
        <v>4.1000000000000002E-2</v>
      </c>
      <c r="F80" s="622">
        <v>4.4999999999999998E-2</v>
      </c>
      <c r="G80" s="622">
        <v>4.5999999999999999E-2</v>
      </c>
      <c r="H80" s="622">
        <v>4.7E-2</v>
      </c>
      <c r="I80" s="622">
        <v>4.7E-2</v>
      </c>
      <c r="J80" s="622">
        <v>4.7E-2</v>
      </c>
      <c r="K80" s="622">
        <v>4.7E-2</v>
      </c>
      <c r="L80" s="622">
        <v>4.7E-2</v>
      </c>
      <c r="M80" s="622">
        <v>4.8000000000000001E-2</v>
      </c>
      <c r="N80" s="622">
        <v>4.9000000000000002E-2</v>
      </c>
      <c r="O80" s="622">
        <v>4.5999999999999999E-2</v>
      </c>
      <c r="P80" s="622">
        <v>0.05</v>
      </c>
      <c r="Q80" s="726">
        <v>5.1999999999999998E-2</v>
      </c>
      <c r="R80" s="726">
        <v>5.3999999999999999E-2</v>
      </c>
      <c r="S80" s="726">
        <v>5.1999999999999998E-2</v>
      </c>
      <c r="T80" s="726">
        <v>5.3999999999999999E-2</v>
      </c>
      <c r="U80" s="726">
        <v>5.2999999999999999E-2</v>
      </c>
      <c r="V80" s="726">
        <v>5.1999999999999998E-2</v>
      </c>
      <c r="W80" s="726">
        <v>5.3999999999999999E-2</v>
      </c>
      <c r="X80" s="726">
        <v>5.1999999999999998E-2</v>
      </c>
      <c r="Y80" s="726">
        <v>5.2999999999999999E-2</v>
      </c>
      <c r="Z80" s="726">
        <v>5.2999999999999999E-2</v>
      </c>
      <c r="AA80" s="726">
        <v>4.7E-2</v>
      </c>
      <c r="AB80" s="726">
        <v>5.0999999999999997E-2</v>
      </c>
      <c r="AC80" s="726">
        <v>0.05</v>
      </c>
      <c r="AD80" s="726">
        <v>5.5E-2</v>
      </c>
      <c r="AE80" s="726">
        <v>5.2999999999999999E-2</v>
      </c>
      <c r="AF80" s="726">
        <v>5.1999999999999998E-2</v>
      </c>
      <c r="AG80" s="726">
        <v>5.0999999999999997E-2</v>
      </c>
      <c r="AH80" s="726">
        <v>4.7E-2</v>
      </c>
      <c r="AI80" s="726">
        <v>5.6000000000000001E-2</v>
      </c>
      <c r="AJ80" s="726">
        <v>5.5E-2</v>
      </c>
      <c r="AK80" s="726">
        <v>5.8000000000000003E-2</v>
      </c>
      <c r="AL80" s="726">
        <v>5.8000000000000003E-2</v>
      </c>
      <c r="AM80" s="726">
        <v>5.2999999999999999E-2</v>
      </c>
      <c r="AN80" s="726">
        <v>5.6000000000000001E-2</v>
      </c>
      <c r="AO80" s="726"/>
      <c r="AP80" s="726"/>
      <c r="AQ80" s="726"/>
      <c r="AR80" s="726"/>
      <c r="AS80" s="726"/>
      <c r="AT80" s="726"/>
      <c r="AU80" s="726"/>
      <c r="AV80" s="726"/>
      <c r="AW80" s="726"/>
      <c r="AX80" s="726"/>
      <c r="AY80" s="726"/>
      <c r="AZ80" s="726"/>
      <c r="BA80" s="941"/>
      <c r="BB80" s="941"/>
      <c r="BC80" s="941"/>
      <c r="BE80" s="460"/>
      <c r="BR80" s="934"/>
    </row>
    <row r="81" spans="1:70" ht="21">
      <c r="A81" s="545"/>
      <c r="C81">
        <v>14</v>
      </c>
      <c r="D81" s="209" t="s">
        <v>68</v>
      </c>
      <c r="E81" s="622">
        <v>7.0000000000000001E-3</v>
      </c>
      <c r="F81" s="622">
        <v>0.01</v>
      </c>
      <c r="G81" s="622">
        <v>7.0000000000000001E-3</v>
      </c>
      <c r="H81" s="622">
        <v>8.0000000000000002E-3</v>
      </c>
      <c r="I81" s="622">
        <v>4.0000000000000001E-3</v>
      </c>
      <c r="J81" s="622">
        <v>8.9999999999999993E-3</v>
      </c>
      <c r="K81" s="622">
        <v>8.9999999999999993E-3</v>
      </c>
      <c r="L81" s="622">
        <v>0.01</v>
      </c>
      <c r="M81" s="622">
        <v>1.0999999999999999E-2</v>
      </c>
      <c r="N81" s="622">
        <v>1.0999999999999999E-2</v>
      </c>
      <c r="O81" s="622">
        <v>0.01</v>
      </c>
      <c r="P81" s="622">
        <v>1.0999999999999999E-2</v>
      </c>
      <c r="Q81" s="726">
        <v>1.0999999999999999E-2</v>
      </c>
      <c r="R81" s="726">
        <v>1.2E-2</v>
      </c>
      <c r="S81" s="726">
        <v>1.2E-2</v>
      </c>
      <c r="T81" s="726">
        <v>1.2E-2</v>
      </c>
      <c r="U81" s="726">
        <v>1.2E-2</v>
      </c>
      <c r="V81" s="726">
        <v>1.2999999999999999E-2</v>
      </c>
      <c r="W81" s="726">
        <v>1.2E-2</v>
      </c>
      <c r="X81" s="726">
        <v>1.0999999999999999E-2</v>
      </c>
      <c r="Y81" s="726">
        <v>1.2E-2</v>
      </c>
      <c r="Z81" s="726">
        <v>4.0000000000000001E-3</v>
      </c>
      <c r="AA81" s="726">
        <v>4.0000000000000001E-3</v>
      </c>
      <c r="AB81" s="726">
        <v>1.0999999999999999E-2</v>
      </c>
      <c r="AC81" s="726">
        <v>1.0999999999999999E-2</v>
      </c>
      <c r="AD81" s="726">
        <v>1.2E-2</v>
      </c>
      <c r="AE81" s="726">
        <v>1.2E-2</v>
      </c>
      <c r="AF81" s="726">
        <v>1.2E-2</v>
      </c>
      <c r="AG81" s="726">
        <v>1.2999999999999999E-2</v>
      </c>
      <c r="AH81" s="726">
        <v>0.01</v>
      </c>
      <c r="AI81" s="726">
        <v>1.2999999999999999E-2</v>
      </c>
      <c r="AJ81" s="726">
        <v>1.4E-2</v>
      </c>
      <c r="AK81" s="726">
        <v>1.4999999999999999E-2</v>
      </c>
      <c r="AL81" s="726">
        <v>1.4999999999999999E-2</v>
      </c>
      <c r="AM81" s="726">
        <v>1.2999999999999999E-2</v>
      </c>
      <c r="AN81" s="726">
        <v>1.4E-2</v>
      </c>
      <c r="AO81" s="726"/>
      <c r="AP81" s="726"/>
      <c r="AQ81" s="726"/>
      <c r="AR81" s="726"/>
      <c r="AS81" s="726"/>
      <c r="AT81" s="726"/>
      <c r="AU81" s="726"/>
      <c r="AV81" s="726"/>
      <c r="AW81" s="726"/>
      <c r="AX81" s="726"/>
      <c r="AY81" s="726"/>
      <c r="AZ81" s="726"/>
      <c r="BA81" s="941"/>
      <c r="BB81" s="941"/>
      <c r="BC81" s="941"/>
      <c r="BE81" s="460"/>
      <c r="BR81" s="934"/>
    </row>
    <row r="82" spans="1:70" ht="21">
      <c r="A82" s="545"/>
      <c r="C82">
        <v>15</v>
      </c>
      <c r="D82" s="209" t="s">
        <v>69</v>
      </c>
      <c r="E82" s="626">
        <v>0</v>
      </c>
      <c r="F82" s="626">
        <v>1E-3</v>
      </c>
      <c r="G82" s="622">
        <v>0</v>
      </c>
      <c r="H82" s="626">
        <v>0</v>
      </c>
      <c r="I82" s="622">
        <v>0</v>
      </c>
      <c r="J82" s="626">
        <v>1E-3</v>
      </c>
      <c r="K82" s="626">
        <v>0</v>
      </c>
      <c r="L82" s="622">
        <v>0</v>
      </c>
      <c r="M82" s="622">
        <v>0</v>
      </c>
      <c r="N82" s="622">
        <v>0</v>
      </c>
      <c r="O82" s="622">
        <v>0</v>
      </c>
      <c r="P82" s="626">
        <v>1E-3</v>
      </c>
      <c r="Q82" s="726">
        <v>0</v>
      </c>
      <c r="R82" s="726">
        <v>0</v>
      </c>
      <c r="S82" s="726">
        <v>0</v>
      </c>
      <c r="T82" s="726">
        <v>0</v>
      </c>
      <c r="U82" s="726">
        <v>0</v>
      </c>
      <c r="V82" s="726">
        <v>0</v>
      </c>
      <c r="W82" s="726">
        <v>0</v>
      </c>
      <c r="X82" s="726">
        <v>0</v>
      </c>
      <c r="Y82" s="726">
        <v>0</v>
      </c>
      <c r="Z82" s="726">
        <v>0</v>
      </c>
      <c r="AA82" s="726">
        <v>0</v>
      </c>
      <c r="AB82" s="726">
        <v>1E-3</v>
      </c>
      <c r="AC82" s="726">
        <v>0</v>
      </c>
      <c r="AD82" s="726">
        <v>0</v>
      </c>
      <c r="AE82" s="726">
        <v>0</v>
      </c>
      <c r="AF82" s="726">
        <v>0</v>
      </c>
      <c r="AG82" s="726">
        <v>0</v>
      </c>
      <c r="AH82" s="726">
        <v>0</v>
      </c>
      <c r="AI82" s="726">
        <v>0</v>
      </c>
      <c r="AJ82" s="726">
        <v>0</v>
      </c>
      <c r="AK82" s="726">
        <v>0</v>
      </c>
      <c r="AL82" s="726">
        <v>0</v>
      </c>
      <c r="AM82" s="726">
        <v>0</v>
      </c>
      <c r="AN82" s="726">
        <v>0</v>
      </c>
      <c r="AO82" s="726"/>
      <c r="AP82" s="726"/>
      <c r="AQ82" s="726"/>
      <c r="AR82" s="726"/>
      <c r="AS82" s="726"/>
      <c r="AT82" s="726"/>
      <c r="AU82" s="726"/>
      <c r="AV82" s="726"/>
      <c r="AW82" s="726"/>
      <c r="AX82" s="726"/>
      <c r="AY82" s="726"/>
      <c r="AZ82" s="726"/>
      <c r="BA82" s="941"/>
      <c r="BB82" s="941"/>
      <c r="BC82" s="941"/>
      <c r="BE82" s="460"/>
      <c r="BR82" s="934"/>
    </row>
    <row r="83" spans="1:70" ht="18.75">
      <c r="A83" s="545"/>
      <c r="C83">
        <v>16</v>
      </c>
      <c r="D83" s="209" t="s">
        <v>70</v>
      </c>
      <c r="E83" s="623"/>
      <c r="F83" s="623"/>
      <c r="G83" s="623"/>
      <c r="H83" s="623"/>
      <c r="I83" s="623"/>
      <c r="J83" s="623"/>
      <c r="K83" s="623"/>
      <c r="L83" s="623"/>
      <c r="M83" s="623"/>
      <c r="N83" s="623"/>
      <c r="O83" s="623"/>
      <c r="P83" s="623"/>
      <c r="Q83" s="305"/>
      <c r="R83" s="305"/>
      <c r="S83" s="305"/>
      <c r="T83" s="305"/>
      <c r="U83" s="305"/>
      <c r="V83" s="305"/>
      <c r="W83" s="305"/>
      <c r="X83" s="305"/>
      <c r="Y83" s="305"/>
      <c r="Z83" s="305"/>
      <c r="AA83" s="305"/>
      <c r="AB83" s="305"/>
      <c r="AC83" s="305"/>
      <c r="AD83" s="305"/>
      <c r="AE83" s="305"/>
      <c r="AF83" s="305"/>
      <c r="AG83" s="305"/>
      <c r="AH83" s="305"/>
      <c r="AI83" s="305"/>
      <c r="AJ83" s="305"/>
      <c r="AK83" s="305"/>
      <c r="AL83" s="305"/>
      <c r="AM83" s="305"/>
      <c r="AN83" s="305"/>
      <c r="AO83" s="305"/>
      <c r="AP83" s="305"/>
      <c r="AQ83" s="305"/>
      <c r="AR83" s="305"/>
      <c r="AS83" s="305"/>
      <c r="AT83" s="305"/>
      <c r="AU83" s="305"/>
      <c r="AV83" s="305"/>
      <c r="AW83" s="305"/>
      <c r="AX83" s="305"/>
      <c r="AY83" s="305"/>
      <c r="AZ83" s="305"/>
      <c r="BA83" s="941"/>
      <c r="BB83" s="941"/>
      <c r="BC83" s="941"/>
      <c r="BE83" s="460"/>
      <c r="BR83" s="934"/>
    </row>
    <row r="84" spans="1:70">
      <c r="A84" s="545"/>
      <c r="BE84" s="460"/>
      <c r="BR84" s="934"/>
    </row>
    <row r="85" spans="1:70">
      <c r="A85" s="545"/>
      <c r="BE85" s="460"/>
      <c r="BR85" s="934"/>
    </row>
    <row r="86" spans="1:70">
      <c r="A86" s="545"/>
      <c r="BE86" s="460"/>
      <c r="BR86" s="934"/>
    </row>
    <row r="87" spans="1:70">
      <c r="A87" s="545"/>
      <c r="C87">
        <v>1</v>
      </c>
      <c r="E87">
        <v>202304</v>
      </c>
      <c r="F87">
        <v>202305</v>
      </c>
      <c r="G87">
        <v>202306</v>
      </c>
      <c r="H87">
        <v>202307</v>
      </c>
      <c r="I87">
        <v>202308</v>
      </c>
      <c r="J87">
        <v>202309</v>
      </c>
      <c r="K87">
        <v>202310</v>
      </c>
      <c r="L87">
        <v>202311</v>
      </c>
      <c r="M87">
        <v>202312</v>
      </c>
      <c r="N87">
        <v>202401</v>
      </c>
      <c r="O87">
        <v>202402</v>
      </c>
      <c r="P87">
        <v>202403</v>
      </c>
      <c r="Q87">
        <v>202404</v>
      </c>
      <c r="R87">
        <v>202405</v>
      </c>
      <c r="S87">
        <v>202406</v>
      </c>
      <c r="T87">
        <v>202407</v>
      </c>
      <c r="U87">
        <v>202408</v>
      </c>
      <c r="V87">
        <v>202409</v>
      </c>
      <c r="W87">
        <v>202410</v>
      </c>
      <c r="X87">
        <v>202411</v>
      </c>
      <c r="Y87">
        <v>202412</v>
      </c>
      <c r="Z87">
        <v>202501</v>
      </c>
      <c r="AA87">
        <v>202502</v>
      </c>
      <c r="AB87">
        <v>202503</v>
      </c>
      <c r="AC87">
        <v>202504</v>
      </c>
      <c r="AD87">
        <v>202505</v>
      </c>
      <c r="AE87">
        <v>202506</v>
      </c>
      <c r="AF87">
        <v>202507</v>
      </c>
      <c r="AG87">
        <v>202508</v>
      </c>
      <c r="AH87">
        <v>202509</v>
      </c>
      <c r="AI87">
        <v>202510</v>
      </c>
      <c r="AJ87">
        <v>202511</v>
      </c>
      <c r="AK87">
        <v>202512</v>
      </c>
      <c r="AL87">
        <v>202601</v>
      </c>
      <c r="AM87">
        <v>202602</v>
      </c>
      <c r="AN87">
        <v>202603</v>
      </c>
      <c r="AO87">
        <v>202604</v>
      </c>
      <c r="AP87">
        <v>202605</v>
      </c>
      <c r="AQ87">
        <v>202606</v>
      </c>
      <c r="AR87">
        <v>202607</v>
      </c>
      <c r="AS87">
        <v>202608</v>
      </c>
      <c r="AT87">
        <v>202609</v>
      </c>
      <c r="AU87">
        <v>202610</v>
      </c>
      <c r="AV87">
        <v>202611</v>
      </c>
      <c r="AW87">
        <v>202612</v>
      </c>
      <c r="AX87">
        <v>202701</v>
      </c>
      <c r="AY87">
        <v>202702</v>
      </c>
      <c r="AZ87">
        <v>202703</v>
      </c>
      <c r="BE87" s="460"/>
      <c r="BR87" s="934"/>
    </row>
    <row r="88" spans="1:70">
      <c r="A88" s="545"/>
      <c r="C88">
        <v>2</v>
      </c>
      <c r="E88" s="184" t="s">
        <v>726</v>
      </c>
      <c r="F88" s="184" t="s">
        <v>727</v>
      </c>
      <c r="G88" s="184" t="s">
        <v>728</v>
      </c>
      <c r="H88" s="184" t="s">
        <v>729</v>
      </c>
      <c r="I88" s="184" t="s">
        <v>730</v>
      </c>
      <c r="J88" s="184" t="s">
        <v>731</v>
      </c>
      <c r="K88" s="184" t="s">
        <v>732</v>
      </c>
      <c r="L88" s="184" t="s">
        <v>733</v>
      </c>
      <c r="M88" s="184" t="s">
        <v>734</v>
      </c>
      <c r="N88" s="184" t="s">
        <v>735</v>
      </c>
      <c r="O88" s="184" t="s">
        <v>736</v>
      </c>
      <c r="P88" s="184" t="s">
        <v>737</v>
      </c>
      <c r="Q88" s="184" t="s">
        <v>738</v>
      </c>
      <c r="R88" s="184" t="s">
        <v>740</v>
      </c>
      <c r="S88" s="184" t="s">
        <v>741</v>
      </c>
      <c r="T88" s="184" t="s">
        <v>742</v>
      </c>
      <c r="U88" s="184" t="s">
        <v>743</v>
      </c>
      <c r="V88" s="184" t="s">
        <v>744</v>
      </c>
      <c r="W88" s="184" t="s">
        <v>745</v>
      </c>
      <c r="X88" s="184" t="s">
        <v>746</v>
      </c>
      <c r="Y88" s="184" t="s">
        <v>747</v>
      </c>
      <c r="Z88" s="184" t="s">
        <v>748</v>
      </c>
      <c r="AA88" s="184" t="s">
        <v>749</v>
      </c>
      <c r="AB88" s="184" t="s">
        <v>750</v>
      </c>
      <c r="AC88" s="184" t="s">
        <v>739</v>
      </c>
      <c r="AD88" s="184" t="s">
        <v>751</v>
      </c>
      <c r="AE88" s="184" t="s">
        <v>752</v>
      </c>
      <c r="AF88" s="184" t="s">
        <v>753</v>
      </c>
      <c r="AG88" s="184" t="s">
        <v>754</v>
      </c>
      <c r="AH88" s="184" t="s">
        <v>755</v>
      </c>
      <c r="AI88" s="184" t="s">
        <v>756</v>
      </c>
      <c r="AJ88" s="184" t="s">
        <v>757</v>
      </c>
      <c r="AK88" s="184" t="s">
        <v>758</v>
      </c>
      <c r="AL88" s="184" t="s">
        <v>759</v>
      </c>
      <c r="AM88" s="184" t="s">
        <v>760</v>
      </c>
      <c r="AN88" s="184" t="s">
        <v>761</v>
      </c>
      <c r="AO88" s="184" t="s">
        <v>2150</v>
      </c>
      <c r="AP88" s="932" t="s">
        <v>2151</v>
      </c>
      <c r="AQ88" s="932" t="s">
        <v>2152</v>
      </c>
      <c r="AR88" s="184" t="s">
        <v>2153</v>
      </c>
      <c r="AS88" s="184" t="s">
        <v>2154</v>
      </c>
      <c r="AT88" s="184" t="s">
        <v>2155</v>
      </c>
      <c r="AU88" s="184" t="s">
        <v>2156</v>
      </c>
      <c r="AV88" s="184" t="s">
        <v>2157</v>
      </c>
      <c r="AW88" s="184" t="s">
        <v>2158</v>
      </c>
      <c r="AX88" s="184" t="s">
        <v>2159</v>
      </c>
      <c r="AY88" s="184" t="s">
        <v>2160</v>
      </c>
      <c r="AZ88" s="184" t="s">
        <v>2149</v>
      </c>
      <c r="BE88" s="460"/>
      <c r="BR88" s="934"/>
    </row>
    <row r="89" spans="1:70" ht="21">
      <c r="A89" s="545"/>
      <c r="C89">
        <v>3</v>
      </c>
      <c r="D89" s="209" t="s">
        <v>60</v>
      </c>
      <c r="E89" s="624">
        <v>5.8000000000000003E-2</v>
      </c>
      <c r="F89" s="624">
        <v>4.2999999999999997E-2</v>
      </c>
      <c r="G89" s="624">
        <v>3.4000000000000002E-2</v>
      </c>
      <c r="H89" s="624">
        <v>4.3999999999999997E-2</v>
      </c>
      <c r="I89" s="626">
        <v>4.1000000000000002E-2</v>
      </c>
      <c r="J89" s="624">
        <v>3.9E-2</v>
      </c>
      <c r="K89" s="624">
        <v>4.4999999999999998E-2</v>
      </c>
      <c r="L89" s="626">
        <v>5.0999999999999997E-2</v>
      </c>
      <c r="M89" s="624">
        <v>6.2E-2</v>
      </c>
      <c r="N89" s="624">
        <v>6.9000000000000006E-2</v>
      </c>
      <c r="O89" s="624">
        <v>6.6000000000000003E-2</v>
      </c>
      <c r="P89" s="624">
        <v>7.0000000000000007E-2</v>
      </c>
      <c r="Q89" s="726">
        <v>4.7E-2</v>
      </c>
      <c r="R89" s="726">
        <v>3.9E-2</v>
      </c>
      <c r="S89" s="726">
        <v>3.5000000000000003E-2</v>
      </c>
      <c r="T89" s="726">
        <v>3.4000000000000002E-2</v>
      </c>
      <c r="U89" s="726">
        <v>2.4E-2</v>
      </c>
      <c r="V89" s="726">
        <v>3.7999999999999999E-2</v>
      </c>
      <c r="W89" s="726">
        <v>5.2999999999999999E-2</v>
      </c>
      <c r="X89" s="726">
        <v>6.5000000000000002E-2</v>
      </c>
      <c r="Y89" s="726">
        <v>7.0999999999999994E-2</v>
      </c>
      <c r="Z89" s="726">
        <v>7.1999999999999995E-2</v>
      </c>
      <c r="AA89" s="726">
        <v>6.7000000000000004E-2</v>
      </c>
      <c r="AB89" s="726">
        <v>7.0999999999999994E-2</v>
      </c>
      <c r="AC89" s="726">
        <v>5.5E-2</v>
      </c>
      <c r="AD89" s="726">
        <v>5.0999999999999997E-2</v>
      </c>
      <c r="AE89" s="726">
        <v>4.7E-2</v>
      </c>
      <c r="AF89" s="726">
        <v>0.03</v>
      </c>
      <c r="AG89" s="726">
        <v>7.0000000000000001E-3</v>
      </c>
      <c r="AH89" s="726">
        <v>4.4999999999999998E-2</v>
      </c>
      <c r="AI89" s="726">
        <v>5.8000000000000003E-2</v>
      </c>
      <c r="AJ89" s="726">
        <v>5.8999999999999997E-2</v>
      </c>
      <c r="AK89" s="726">
        <v>0.06</v>
      </c>
      <c r="AL89" s="726">
        <v>6.6000000000000003E-2</v>
      </c>
      <c r="AM89" s="726">
        <v>5.8000000000000003E-2</v>
      </c>
      <c r="AN89" s="726">
        <v>6.4000000000000001E-2</v>
      </c>
      <c r="AO89" s="726"/>
      <c r="AP89" s="726"/>
      <c r="AQ89" s="726"/>
      <c r="AR89" s="726"/>
      <c r="AS89" s="726"/>
      <c r="AT89" s="726"/>
      <c r="AU89" s="726"/>
      <c r="AV89" s="726"/>
      <c r="AW89" s="726"/>
      <c r="AX89" s="726"/>
      <c r="AY89" s="726"/>
      <c r="AZ89" s="726"/>
      <c r="BA89" s="941"/>
      <c r="BB89" s="941"/>
      <c r="BC89" s="941"/>
      <c r="BE89" s="460"/>
      <c r="BR89" s="934"/>
    </row>
    <row r="90" spans="1:70" ht="21">
      <c r="A90" s="545"/>
      <c r="C90">
        <v>4</v>
      </c>
      <c r="D90" s="209" t="s">
        <v>61</v>
      </c>
      <c r="E90" s="624">
        <v>0.10199999999999999</v>
      </c>
      <c r="F90" s="624">
        <v>0.106</v>
      </c>
      <c r="G90" s="624">
        <v>9.8000000000000004E-2</v>
      </c>
      <c r="H90" s="624">
        <v>8.2000000000000003E-2</v>
      </c>
      <c r="I90" s="624">
        <v>9.9000000000000005E-2</v>
      </c>
      <c r="J90" s="624">
        <v>9.0999999999999998E-2</v>
      </c>
      <c r="K90" s="624">
        <v>9.5000000000000001E-2</v>
      </c>
      <c r="L90" s="624">
        <v>9.2999999999999999E-2</v>
      </c>
      <c r="M90" s="624">
        <v>9.7000000000000003E-2</v>
      </c>
      <c r="N90" s="624">
        <v>9.2999999999999999E-2</v>
      </c>
      <c r="O90" s="624">
        <v>8.7999999999999995E-2</v>
      </c>
      <c r="P90" s="624">
        <v>7.9000000000000001E-2</v>
      </c>
      <c r="Q90" s="726">
        <v>7.5999999999999998E-2</v>
      </c>
      <c r="R90" s="726">
        <v>7.6999999999999999E-2</v>
      </c>
      <c r="S90" s="726">
        <v>7.1999999999999995E-2</v>
      </c>
      <c r="T90" s="726">
        <v>6.2E-2</v>
      </c>
      <c r="U90" s="726">
        <v>7.0999999999999994E-2</v>
      </c>
      <c r="V90" s="726">
        <v>6.8000000000000005E-2</v>
      </c>
      <c r="W90" s="726">
        <v>6.9000000000000006E-2</v>
      </c>
      <c r="X90" s="726">
        <v>6.6000000000000003E-2</v>
      </c>
      <c r="Y90" s="726">
        <v>7.8E-2</v>
      </c>
      <c r="Z90" s="726">
        <v>0.08</v>
      </c>
      <c r="AA90" s="726">
        <v>7.0000000000000007E-2</v>
      </c>
      <c r="AB90" s="726">
        <v>7.0000000000000007E-2</v>
      </c>
      <c r="AC90" s="726">
        <v>7.9000000000000001E-2</v>
      </c>
      <c r="AD90" s="726">
        <v>8.5999999999999993E-2</v>
      </c>
      <c r="AE90" s="726">
        <v>8.2000000000000003E-2</v>
      </c>
      <c r="AF90" s="726">
        <v>8.6999999999999994E-2</v>
      </c>
      <c r="AG90" s="726">
        <v>7.3999999999999996E-2</v>
      </c>
      <c r="AH90" s="726">
        <v>8.2000000000000003E-2</v>
      </c>
      <c r="AI90" s="726">
        <v>9.8000000000000004E-2</v>
      </c>
      <c r="AJ90" s="726">
        <v>0.09</v>
      </c>
      <c r="AK90" s="726">
        <v>8.8999999999999996E-2</v>
      </c>
      <c r="AL90" s="726">
        <v>8.3000000000000004E-2</v>
      </c>
      <c r="AM90" s="726">
        <v>7.2999999999999995E-2</v>
      </c>
      <c r="AN90" s="726">
        <v>7.2999999999999995E-2</v>
      </c>
      <c r="AO90" s="726"/>
      <c r="AP90" s="726"/>
      <c r="AQ90" s="726"/>
      <c r="AR90" s="726"/>
      <c r="AS90" s="726"/>
      <c r="AT90" s="726"/>
      <c r="AU90" s="726"/>
      <c r="AV90" s="726"/>
      <c r="AW90" s="726"/>
      <c r="AX90" s="726"/>
      <c r="AY90" s="726"/>
      <c r="AZ90" s="726"/>
      <c r="BA90" s="941"/>
      <c r="BB90" s="941"/>
      <c r="BC90" s="941"/>
      <c r="BE90" s="460"/>
      <c r="BR90" s="934"/>
    </row>
    <row r="91" spans="1:70" ht="21">
      <c r="A91" s="545"/>
      <c r="C91">
        <v>5</v>
      </c>
      <c r="D91" s="209" t="s">
        <v>62</v>
      </c>
      <c r="E91" s="624">
        <v>0.01</v>
      </c>
      <c r="F91" s="624">
        <v>8.9999999999999993E-3</v>
      </c>
      <c r="G91" s="626">
        <v>8.9999999999999993E-3</v>
      </c>
      <c r="H91" s="626">
        <v>0.01</v>
      </c>
      <c r="I91" s="624">
        <v>0.01</v>
      </c>
      <c r="J91" s="626">
        <v>8.0000000000000002E-3</v>
      </c>
      <c r="K91" s="626">
        <v>1.0999999999999999E-2</v>
      </c>
      <c r="L91" s="624">
        <v>8.9999999999999993E-3</v>
      </c>
      <c r="M91" s="624">
        <v>0.01</v>
      </c>
      <c r="N91" s="624">
        <v>0.01</v>
      </c>
      <c r="O91" s="624">
        <v>8.9999999999999993E-3</v>
      </c>
      <c r="P91" s="624">
        <v>0.01</v>
      </c>
      <c r="Q91" s="726">
        <v>0.01</v>
      </c>
      <c r="R91" s="726">
        <v>8.9999999999999993E-3</v>
      </c>
      <c r="S91" s="726">
        <v>0.01</v>
      </c>
      <c r="T91" s="726">
        <v>0.01</v>
      </c>
      <c r="U91" s="726">
        <v>8.9999999999999993E-3</v>
      </c>
      <c r="V91" s="726">
        <v>8.9999999999999993E-3</v>
      </c>
      <c r="W91" s="726">
        <v>0.01</v>
      </c>
      <c r="X91" s="726">
        <v>8.9999999999999993E-3</v>
      </c>
      <c r="Y91" s="726">
        <v>0.01</v>
      </c>
      <c r="Z91" s="726">
        <v>0.01</v>
      </c>
      <c r="AA91" s="726">
        <v>8.9999999999999993E-3</v>
      </c>
      <c r="AB91" s="726">
        <v>0.01</v>
      </c>
      <c r="AC91" s="726">
        <v>8.9999999999999993E-3</v>
      </c>
      <c r="AD91" s="726">
        <v>8.0000000000000002E-3</v>
      </c>
      <c r="AE91" s="726">
        <v>7.0000000000000001E-3</v>
      </c>
      <c r="AF91" s="726">
        <v>8.0000000000000002E-3</v>
      </c>
      <c r="AG91" s="726">
        <v>8.9999999999999993E-3</v>
      </c>
      <c r="AH91" s="726">
        <v>8.0000000000000002E-3</v>
      </c>
      <c r="AI91" s="726">
        <v>8.9999999999999993E-3</v>
      </c>
      <c r="AJ91" s="726">
        <v>8.0000000000000002E-3</v>
      </c>
      <c r="AK91" s="726">
        <v>8.9999999999999993E-3</v>
      </c>
      <c r="AL91" s="726">
        <v>8.9999999999999993E-3</v>
      </c>
      <c r="AM91" s="726">
        <v>8.0000000000000002E-3</v>
      </c>
      <c r="AN91" s="726">
        <v>8.9999999999999993E-3</v>
      </c>
      <c r="AO91" s="726"/>
      <c r="AP91" s="726"/>
      <c r="AQ91" s="726"/>
      <c r="AR91" s="726"/>
      <c r="AS91" s="726"/>
      <c r="AT91" s="726"/>
      <c r="AU91" s="726"/>
      <c r="AV91" s="726"/>
      <c r="AW91" s="726"/>
      <c r="AX91" s="726"/>
      <c r="AY91" s="726"/>
      <c r="AZ91" s="726"/>
      <c r="BA91" s="941"/>
      <c r="BB91" s="941"/>
      <c r="BC91" s="941"/>
      <c r="BE91" s="460"/>
      <c r="BR91" s="934"/>
    </row>
    <row r="92" spans="1:70" ht="21">
      <c r="A92" s="545"/>
      <c r="C92">
        <v>6</v>
      </c>
      <c r="D92" s="209" t="s">
        <v>57</v>
      </c>
      <c r="E92" s="624">
        <v>7.0000000000000001E-3</v>
      </c>
      <c r="F92" s="624">
        <v>7.0000000000000001E-3</v>
      </c>
      <c r="G92" s="626">
        <v>6.0000000000000001E-3</v>
      </c>
      <c r="H92" s="626">
        <v>4.0000000000000001E-3</v>
      </c>
      <c r="I92" s="626">
        <v>7.0000000000000001E-3</v>
      </c>
      <c r="J92" s="624">
        <v>5.0000000000000001E-3</v>
      </c>
      <c r="K92" s="624">
        <v>5.0000000000000001E-3</v>
      </c>
      <c r="L92" s="624">
        <v>6.0000000000000001E-3</v>
      </c>
      <c r="M92" s="624">
        <v>5.0000000000000001E-3</v>
      </c>
      <c r="N92" s="626">
        <v>7.0000000000000001E-3</v>
      </c>
      <c r="O92" s="624">
        <v>7.0000000000000001E-3</v>
      </c>
      <c r="P92" s="624">
        <v>8.0000000000000002E-3</v>
      </c>
      <c r="Q92" s="726">
        <v>8.0000000000000002E-3</v>
      </c>
      <c r="R92" s="726">
        <v>8.0000000000000002E-3</v>
      </c>
      <c r="S92" s="726">
        <v>7.0000000000000001E-3</v>
      </c>
      <c r="T92" s="726">
        <v>8.0000000000000002E-3</v>
      </c>
      <c r="U92" s="726">
        <v>8.0000000000000002E-3</v>
      </c>
      <c r="V92" s="726">
        <v>7.0000000000000001E-3</v>
      </c>
      <c r="W92" s="726">
        <v>8.0000000000000002E-3</v>
      </c>
      <c r="X92" s="726">
        <v>8.0000000000000002E-3</v>
      </c>
      <c r="Y92" s="726">
        <v>7.0000000000000001E-3</v>
      </c>
      <c r="Z92" s="726">
        <v>7.0000000000000001E-3</v>
      </c>
      <c r="AA92" s="726">
        <v>6.0000000000000001E-3</v>
      </c>
      <c r="AB92" s="726">
        <v>7.0000000000000001E-3</v>
      </c>
      <c r="AC92" s="726">
        <v>8.9999999999999993E-3</v>
      </c>
      <c r="AD92" s="726">
        <v>8.0000000000000002E-3</v>
      </c>
      <c r="AE92" s="726">
        <v>8.0000000000000002E-3</v>
      </c>
      <c r="AF92" s="726">
        <v>8.0000000000000002E-3</v>
      </c>
      <c r="AG92" s="726">
        <v>8.9999999999999993E-3</v>
      </c>
      <c r="AH92" s="726">
        <v>0.01</v>
      </c>
      <c r="AI92" s="726">
        <v>0.01</v>
      </c>
      <c r="AJ92" s="726">
        <v>8.9999999999999993E-3</v>
      </c>
      <c r="AK92" s="726">
        <v>1.0999999999999999E-2</v>
      </c>
      <c r="AL92" s="726">
        <v>1.2E-2</v>
      </c>
      <c r="AM92" s="726">
        <v>0.01</v>
      </c>
      <c r="AN92" s="726">
        <v>1.2E-2</v>
      </c>
      <c r="AO92" s="726"/>
      <c r="AP92" s="726"/>
      <c r="AQ92" s="726"/>
      <c r="AR92" s="726"/>
      <c r="AS92" s="726"/>
      <c r="AT92" s="726"/>
      <c r="AU92" s="726"/>
      <c r="AV92" s="726"/>
      <c r="AW92" s="726"/>
      <c r="AX92" s="726"/>
      <c r="AY92" s="726"/>
      <c r="AZ92" s="726"/>
      <c r="BA92" s="941"/>
      <c r="BB92" s="941"/>
      <c r="BC92" s="941"/>
      <c r="BE92" s="460"/>
      <c r="BR92" s="934"/>
    </row>
    <row r="93" spans="1:70" ht="21">
      <c r="A93" s="545" t="s">
        <v>294</v>
      </c>
      <c r="C93">
        <v>7</v>
      </c>
      <c r="D93" s="209" t="s">
        <v>58</v>
      </c>
      <c r="E93" s="624">
        <v>3.0000000000000001E-3</v>
      </c>
      <c r="F93" s="624">
        <v>2E-3</v>
      </c>
      <c r="G93" s="624">
        <v>2E-3</v>
      </c>
      <c r="H93" s="624">
        <v>3.0000000000000001E-3</v>
      </c>
      <c r="I93" s="626">
        <v>4.0000000000000001E-3</v>
      </c>
      <c r="J93" s="624">
        <v>2E-3</v>
      </c>
      <c r="K93" s="624">
        <v>1E-3</v>
      </c>
      <c r="L93" s="624">
        <v>2E-3</v>
      </c>
      <c r="M93" s="624">
        <v>2E-3</v>
      </c>
      <c r="N93" s="626">
        <v>2E-3</v>
      </c>
      <c r="O93" s="624">
        <v>2E-3</v>
      </c>
      <c r="P93" s="624">
        <v>3.0000000000000001E-3</v>
      </c>
      <c r="Q93" s="726">
        <v>2E-3</v>
      </c>
      <c r="R93" s="726">
        <v>2E-3</v>
      </c>
      <c r="S93" s="726">
        <v>3.0000000000000001E-3</v>
      </c>
      <c r="T93" s="726">
        <v>2E-3</v>
      </c>
      <c r="U93" s="726">
        <v>2E-3</v>
      </c>
      <c r="V93" s="726">
        <v>2E-3</v>
      </c>
      <c r="W93" s="726">
        <v>2E-3</v>
      </c>
      <c r="X93" s="726">
        <v>2E-3</v>
      </c>
      <c r="Y93" s="726">
        <v>3.0000000000000001E-3</v>
      </c>
      <c r="Z93" s="726">
        <v>2E-3</v>
      </c>
      <c r="AA93" s="726">
        <v>2E-3</v>
      </c>
      <c r="AB93" s="726">
        <v>3.0000000000000001E-3</v>
      </c>
      <c r="AC93" s="726">
        <v>2E-3</v>
      </c>
      <c r="AD93" s="726">
        <v>3.0000000000000001E-3</v>
      </c>
      <c r="AE93" s="726">
        <v>4.0000000000000001E-3</v>
      </c>
      <c r="AF93" s="726">
        <v>4.0000000000000001E-3</v>
      </c>
      <c r="AG93" s="726">
        <v>3.0000000000000001E-3</v>
      </c>
      <c r="AH93" s="726">
        <v>4.0000000000000001E-3</v>
      </c>
      <c r="AI93" s="726">
        <v>2E-3</v>
      </c>
      <c r="AJ93" s="726">
        <v>1E-3</v>
      </c>
      <c r="AK93" s="726">
        <v>2E-3</v>
      </c>
      <c r="AL93" s="726">
        <v>2E-3</v>
      </c>
      <c r="AM93" s="726">
        <v>1E-3</v>
      </c>
      <c r="AN93" s="726">
        <v>2E-3</v>
      </c>
      <c r="AO93" s="726"/>
      <c r="AP93" s="726"/>
      <c r="AQ93" s="726"/>
      <c r="AR93" s="726"/>
      <c r="AS93" s="726"/>
      <c r="AT93" s="726"/>
      <c r="AU93" s="726"/>
      <c r="AV93" s="726"/>
      <c r="AW93" s="726"/>
      <c r="AX93" s="726"/>
      <c r="AY93" s="726"/>
      <c r="AZ93" s="726"/>
      <c r="BA93" s="941"/>
      <c r="BB93" s="941"/>
      <c r="BC93" s="941"/>
      <c r="BE93" s="460"/>
      <c r="BR93" s="934"/>
    </row>
    <row r="94" spans="1:70" ht="21">
      <c r="A94" s="340" t="s">
        <v>872</v>
      </c>
      <c r="C94">
        <v>8</v>
      </c>
      <c r="D94" s="209" t="s">
        <v>59</v>
      </c>
      <c r="E94" s="624">
        <v>0</v>
      </c>
      <c r="F94" s="626">
        <v>1E-3</v>
      </c>
      <c r="G94" s="624">
        <v>0</v>
      </c>
      <c r="H94" s="626">
        <v>0</v>
      </c>
      <c r="I94" s="626">
        <v>1E-3</v>
      </c>
      <c r="J94" s="624">
        <v>0</v>
      </c>
      <c r="K94" s="624">
        <v>0</v>
      </c>
      <c r="L94" s="626">
        <v>0</v>
      </c>
      <c r="M94" s="624">
        <v>0</v>
      </c>
      <c r="N94" s="624">
        <v>0</v>
      </c>
      <c r="O94" s="624">
        <v>0</v>
      </c>
      <c r="P94" s="624">
        <v>1E-3</v>
      </c>
      <c r="Q94" s="726">
        <v>0</v>
      </c>
      <c r="R94" s="726">
        <v>0</v>
      </c>
      <c r="S94" s="726">
        <v>1E-3</v>
      </c>
      <c r="T94" s="726">
        <v>0</v>
      </c>
      <c r="U94" s="726">
        <v>0</v>
      </c>
      <c r="V94" s="726">
        <v>1E-3</v>
      </c>
      <c r="W94" s="726">
        <v>0</v>
      </c>
      <c r="X94" s="726">
        <v>0</v>
      </c>
      <c r="Y94" s="726">
        <v>0</v>
      </c>
      <c r="Z94" s="726">
        <v>0</v>
      </c>
      <c r="AA94" s="726">
        <v>0</v>
      </c>
      <c r="AB94" s="726">
        <v>1E-3</v>
      </c>
      <c r="AC94" s="1077">
        <v>0</v>
      </c>
      <c r="AD94" s="1077">
        <v>0</v>
      </c>
      <c r="AE94" s="726">
        <v>1E-3</v>
      </c>
      <c r="AF94" s="1077">
        <v>0</v>
      </c>
      <c r="AG94" s="1077">
        <v>0</v>
      </c>
      <c r="AH94" s="1077">
        <v>0</v>
      </c>
      <c r="AI94" s="1077">
        <v>0</v>
      </c>
      <c r="AJ94" s="1077">
        <v>0</v>
      </c>
      <c r="AK94" s="726">
        <v>1E-3</v>
      </c>
      <c r="AL94" s="726">
        <v>1E-3</v>
      </c>
      <c r="AM94" s="1077">
        <v>0</v>
      </c>
      <c r="AN94" s="726">
        <v>1E-3</v>
      </c>
      <c r="AO94" s="726"/>
      <c r="AP94" s="726"/>
      <c r="AQ94" s="726"/>
      <c r="AR94" s="726"/>
      <c r="AS94" s="726"/>
      <c r="AT94" s="726"/>
      <c r="AU94" s="726"/>
      <c r="AV94" s="726"/>
      <c r="AW94" s="726"/>
      <c r="AX94" s="726"/>
      <c r="AY94" s="726"/>
      <c r="AZ94" s="726"/>
      <c r="BA94" s="941"/>
      <c r="BB94" s="941"/>
      <c r="BC94" s="941"/>
      <c r="BE94" s="460"/>
      <c r="BR94" s="934"/>
    </row>
    <row r="95" spans="1:70" ht="21">
      <c r="A95" s="545"/>
      <c r="C95">
        <v>9</v>
      </c>
      <c r="D95" s="209" t="s">
        <v>63</v>
      </c>
      <c r="E95" s="1078">
        <v>3.0000000000000001E-3</v>
      </c>
      <c r="F95" s="1078">
        <v>3.0000000000000001E-3</v>
      </c>
      <c r="G95" s="1077">
        <v>0</v>
      </c>
      <c r="H95" s="1077">
        <v>0</v>
      </c>
      <c r="I95" s="1077">
        <v>0</v>
      </c>
      <c r="J95" s="1077">
        <v>0</v>
      </c>
      <c r="K95" s="1077">
        <v>0</v>
      </c>
      <c r="L95" s="1077">
        <v>0</v>
      </c>
      <c r="M95" s="1077">
        <v>0</v>
      </c>
      <c r="N95" s="1077">
        <v>0</v>
      </c>
      <c r="O95" s="1077">
        <v>0</v>
      </c>
      <c r="P95" s="624">
        <v>1E-3</v>
      </c>
      <c r="Q95" s="726">
        <v>0</v>
      </c>
      <c r="R95" s="726">
        <v>0</v>
      </c>
      <c r="S95" s="726">
        <v>0</v>
      </c>
      <c r="T95" s="726">
        <v>0</v>
      </c>
      <c r="U95" s="726">
        <v>0</v>
      </c>
      <c r="V95" s="726">
        <v>1E-3</v>
      </c>
      <c r="W95" s="726">
        <v>0</v>
      </c>
      <c r="X95" s="726">
        <v>0</v>
      </c>
      <c r="Y95" s="726">
        <v>0</v>
      </c>
      <c r="Z95" s="726">
        <v>0</v>
      </c>
      <c r="AA95" s="726">
        <v>0</v>
      </c>
      <c r="AB95" s="726">
        <v>0</v>
      </c>
      <c r="AC95" s="1077">
        <v>0</v>
      </c>
      <c r="AD95" s="1077">
        <v>0</v>
      </c>
      <c r="AE95" s="1077">
        <v>0</v>
      </c>
      <c r="AF95" s="1077">
        <v>0</v>
      </c>
      <c r="AG95" s="1077">
        <v>0</v>
      </c>
      <c r="AH95" s="1077">
        <v>0</v>
      </c>
      <c r="AI95" s="1077">
        <v>0</v>
      </c>
      <c r="AJ95" s="1077">
        <v>0</v>
      </c>
      <c r="AK95" s="726">
        <v>1E-3</v>
      </c>
      <c r="AL95" s="1077">
        <v>0</v>
      </c>
      <c r="AM95" s="1077">
        <v>0</v>
      </c>
      <c r="AN95" s="1077">
        <v>0</v>
      </c>
      <c r="AO95" s="726"/>
      <c r="AP95" s="726"/>
      <c r="AQ95" s="726"/>
      <c r="AR95" s="726"/>
      <c r="AS95" s="726"/>
      <c r="AT95" s="726"/>
      <c r="AU95" s="726"/>
      <c r="AV95" s="726"/>
      <c r="AW95" s="726"/>
      <c r="AX95" s="726"/>
      <c r="AY95" s="726"/>
      <c r="AZ95" s="726"/>
      <c r="BA95" s="941"/>
      <c r="BB95" s="941"/>
      <c r="BC95" s="941"/>
      <c r="BE95" s="460"/>
      <c r="BR95" s="934"/>
    </row>
    <row r="96" spans="1:70" ht="21">
      <c r="A96" s="545"/>
      <c r="C96">
        <v>10</v>
      </c>
      <c r="D96" s="209" t="s">
        <v>64</v>
      </c>
      <c r="E96" s="624">
        <v>0</v>
      </c>
      <c r="F96" s="624">
        <v>1E-3</v>
      </c>
      <c r="G96" s="626">
        <v>1E-3</v>
      </c>
      <c r="H96" s="626">
        <v>0</v>
      </c>
      <c r="I96" s="626">
        <v>1E-3</v>
      </c>
      <c r="J96" s="626">
        <v>0</v>
      </c>
      <c r="K96" s="624">
        <v>0</v>
      </c>
      <c r="L96" s="624">
        <v>1E-3</v>
      </c>
      <c r="M96" s="624">
        <v>1E-3</v>
      </c>
      <c r="N96" s="624">
        <v>1E-3</v>
      </c>
      <c r="O96" s="624">
        <v>0</v>
      </c>
      <c r="P96" s="624">
        <v>1E-3</v>
      </c>
      <c r="Q96" s="726">
        <v>0</v>
      </c>
      <c r="R96" s="726">
        <v>0</v>
      </c>
      <c r="S96" s="726">
        <v>1E-3</v>
      </c>
      <c r="T96" s="726">
        <v>1E-3</v>
      </c>
      <c r="U96" s="726">
        <v>0</v>
      </c>
      <c r="V96" s="726">
        <v>1E-3</v>
      </c>
      <c r="W96" s="726">
        <v>1E-3</v>
      </c>
      <c r="X96" s="726">
        <v>1E-3</v>
      </c>
      <c r="Y96" s="726">
        <v>0</v>
      </c>
      <c r="Z96" s="726">
        <v>1E-3</v>
      </c>
      <c r="AA96" s="726">
        <v>1E-3</v>
      </c>
      <c r="AB96" s="726">
        <v>0</v>
      </c>
      <c r="AC96" s="726">
        <v>1E-3</v>
      </c>
      <c r="AD96" s="726">
        <v>1E-3</v>
      </c>
      <c r="AE96" s="1077">
        <v>0</v>
      </c>
      <c r="AF96" s="726">
        <v>1E-3</v>
      </c>
      <c r="AG96" s="1077">
        <v>0</v>
      </c>
      <c r="AH96" s="726">
        <v>1E-3</v>
      </c>
      <c r="AI96" s="726">
        <v>1E-3</v>
      </c>
      <c r="AJ96" s="726">
        <v>1E-3</v>
      </c>
      <c r="AK96" s="726">
        <v>1E-3</v>
      </c>
      <c r="AL96" s="726">
        <v>1E-3</v>
      </c>
      <c r="AM96" s="1077">
        <v>0</v>
      </c>
      <c r="AN96" s="726">
        <v>1E-3</v>
      </c>
      <c r="AO96" s="726"/>
      <c r="AP96" s="726"/>
      <c r="AQ96" s="726"/>
      <c r="AR96" s="726"/>
      <c r="AS96" s="726"/>
      <c r="AT96" s="726"/>
      <c r="AU96" s="726"/>
      <c r="AV96" s="726"/>
      <c r="AW96" s="726"/>
      <c r="AX96" s="726"/>
      <c r="AY96" s="726"/>
      <c r="AZ96" s="726"/>
      <c r="BA96" s="941"/>
      <c r="BB96" s="941"/>
      <c r="BC96" s="941"/>
      <c r="BE96" s="460"/>
      <c r="BR96" s="934"/>
    </row>
    <row r="97" spans="1:70" ht="21">
      <c r="A97" s="545"/>
      <c r="C97">
        <v>11</v>
      </c>
      <c r="D97" s="209" t="s">
        <v>65</v>
      </c>
      <c r="E97" s="624">
        <v>1E-3</v>
      </c>
      <c r="F97" s="624">
        <v>1E-3</v>
      </c>
      <c r="G97" s="624">
        <v>1E-3</v>
      </c>
      <c r="H97" s="624">
        <v>1E-3</v>
      </c>
      <c r="I97" s="624">
        <v>1E-3</v>
      </c>
      <c r="J97" s="624">
        <v>1E-3</v>
      </c>
      <c r="K97" s="624">
        <v>1E-3</v>
      </c>
      <c r="L97" s="624">
        <v>1E-3</v>
      </c>
      <c r="M97" s="624">
        <v>1E-3</v>
      </c>
      <c r="N97" s="624">
        <v>1E-3</v>
      </c>
      <c r="O97" s="624">
        <v>0</v>
      </c>
      <c r="P97" s="624">
        <v>1E-3</v>
      </c>
      <c r="Q97" s="726">
        <v>1E-3</v>
      </c>
      <c r="R97" s="726">
        <v>1E-3</v>
      </c>
      <c r="S97" s="726">
        <v>2E-3</v>
      </c>
      <c r="T97" s="726">
        <v>1E-3</v>
      </c>
      <c r="U97" s="726">
        <v>1E-3</v>
      </c>
      <c r="V97" s="726">
        <v>2E-3</v>
      </c>
      <c r="W97" s="726">
        <v>2E-3</v>
      </c>
      <c r="X97" s="726">
        <v>1E-3</v>
      </c>
      <c r="Y97" s="726">
        <v>2E-3</v>
      </c>
      <c r="Z97" s="726">
        <v>2E-3</v>
      </c>
      <c r="AA97" s="726">
        <v>1E-3</v>
      </c>
      <c r="AB97" s="726">
        <v>2E-3</v>
      </c>
      <c r="AC97" s="726">
        <v>2E-3</v>
      </c>
      <c r="AD97" s="726">
        <v>1E-3</v>
      </c>
      <c r="AE97" s="726">
        <v>1E-3</v>
      </c>
      <c r="AF97" s="726">
        <v>1E-3</v>
      </c>
      <c r="AG97" s="726">
        <v>1E-3</v>
      </c>
      <c r="AH97" s="726">
        <v>1E-3</v>
      </c>
      <c r="AI97" s="726">
        <v>4.0000000000000001E-3</v>
      </c>
      <c r="AJ97" s="726">
        <v>4.0000000000000001E-3</v>
      </c>
      <c r="AK97" s="726">
        <v>5.0000000000000001E-3</v>
      </c>
      <c r="AL97" s="726">
        <v>4.0000000000000001E-3</v>
      </c>
      <c r="AM97" s="726">
        <v>4.0000000000000001E-3</v>
      </c>
      <c r="AN97" s="726">
        <v>4.0000000000000001E-3</v>
      </c>
      <c r="AO97" s="726"/>
      <c r="AP97" s="726"/>
      <c r="AQ97" s="726"/>
      <c r="AR97" s="726"/>
      <c r="AS97" s="726"/>
      <c r="AT97" s="726"/>
      <c r="AU97" s="726"/>
      <c r="AV97" s="726"/>
      <c r="AW97" s="726"/>
      <c r="AX97" s="726"/>
      <c r="AY97" s="726"/>
      <c r="AZ97" s="726"/>
      <c r="BA97" s="941"/>
      <c r="BB97" s="941"/>
      <c r="BC97" s="941"/>
      <c r="BE97" s="460"/>
      <c r="BR97" s="934"/>
    </row>
    <row r="98" spans="1:70" ht="21">
      <c r="A98" s="545"/>
      <c r="C98">
        <v>12</v>
      </c>
      <c r="D98" s="209" t="s">
        <v>66</v>
      </c>
      <c r="E98" s="1077">
        <v>0</v>
      </c>
      <c r="F98" s="1077">
        <v>0</v>
      </c>
      <c r="G98" s="1077">
        <v>0</v>
      </c>
      <c r="H98" s="1077">
        <v>0</v>
      </c>
      <c r="I98" s="1077">
        <v>0</v>
      </c>
      <c r="J98" s="1077">
        <v>0</v>
      </c>
      <c r="K98" s="1077">
        <v>0</v>
      </c>
      <c r="L98" s="1077">
        <v>0</v>
      </c>
      <c r="M98" s="1077">
        <v>0</v>
      </c>
      <c r="N98" s="1077">
        <v>0</v>
      </c>
      <c r="O98" s="1077">
        <v>0</v>
      </c>
      <c r="P98" s="1077">
        <v>0</v>
      </c>
      <c r="Q98" s="1077">
        <v>0</v>
      </c>
      <c r="R98" s="1077">
        <v>0</v>
      </c>
      <c r="S98" s="1077">
        <v>0</v>
      </c>
      <c r="T98" s="1077">
        <v>0</v>
      </c>
      <c r="U98" s="1077">
        <v>0</v>
      </c>
      <c r="V98" s="1077">
        <v>0</v>
      </c>
      <c r="W98" s="1077">
        <v>0</v>
      </c>
      <c r="X98" s="1077">
        <v>0</v>
      </c>
      <c r="Y98" s="1077">
        <v>0</v>
      </c>
      <c r="Z98" s="1077">
        <v>0</v>
      </c>
      <c r="AA98" s="1077">
        <v>0</v>
      </c>
      <c r="AB98" s="1077">
        <v>0</v>
      </c>
      <c r="AC98" s="1077">
        <v>0</v>
      </c>
      <c r="AD98" s="1077">
        <v>0</v>
      </c>
      <c r="AE98" s="1077">
        <v>0</v>
      </c>
      <c r="AF98" s="1077">
        <v>0</v>
      </c>
      <c r="AG98" s="1077">
        <v>0</v>
      </c>
      <c r="AH98" s="1077">
        <v>0</v>
      </c>
      <c r="AI98" s="1077">
        <v>0</v>
      </c>
      <c r="AJ98" s="1077">
        <v>0</v>
      </c>
      <c r="AK98" s="1077">
        <v>0</v>
      </c>
      <c r="AL98" s="1077">
        <v>0</v>
      </c>
      <c r="AM98" s="1077">
        <v>0</v>
      </c>
      <c r="AN98" s="1077">
        <v>0</v>
      </c>
      <c r="AO98" s="726"/>
      <c r="AP98" s="726"/>
      <c r="AQ98" s="726"/>
      <c r="AR98" s="726"/>
      <c r="AS98" s="726"/>
      <c r="AT98" s="726"/>
      <c r="AU98" s="726"/>
      <c r="AV98" s="726"/>
      <c r="AW98" s="726"/>
      <c r="AX98" s="726"/>
      <c r="AY98" s="726"/>
      <c r="AZ98" s="726"/>
      <c r="BA98" s="941"/>
      <c r="BB98" s="941"/>
      <c r="BC98" s="941"/>
      <c r="BE98" s="460"/>
      <c r="BR98" s="934"/>
    </row>
    <row r="99" spans="1:70" ht="21">
      <c r="A99" s="545"/>
      <c r="C99">
        <v>13</v>
      </c>
      <c r="D99" s="209" t="s">
        <v>67</v>
      </c>
      <c r="E99" s="1077">
        <v>0</v>
      </c>
      <c r="F99" s="1077">
        <v>0</v>
      </c>
      <c r="G99" s="1077">
        <v>0</v>
      </c>
      <c r="H99" s="1077">
        <v>0</v>
      </c>
      <c r="I99" s="1077">
        <v>0</v>
      </c>
      <c r="J99" s="1077">
        <v>0</v>
      </c>
      <c r="K99" s="1077">
        <v>0</v>
      </c>
      <c r="L99" s="1077">
        <v>0</v>
      </c>
      <c r="M99" s="1077">
        <v>0</v>
      </c>
      <c r="N99" s="1077">
        <v>0</v>
      </c>
      <c r="O99" s="1077">
        <v>0</v>
      </c>
      <c r="P99" s="1077">
        <v>0</v>
      </c>
      <c r="Q99" s="1077">
        <v>0</v>
      </c>
      <c r="R99" s="1077">
        <v>0</v>
      </c>
      <c r="S99" s="1077">
        <v>0</v>
      </c>
      <c r="T99" s="1077">
        <v>0</v>
      </c>
      <c r="U99" s="1077">
        <v>0</v>
      </c>
      <c r="V99" s="1077">
        <v>0</v>
      </c>
      <c r="W99" s="1077">
        <v>0</v>
      </c>
      <c r="X99" s="1077">
        <v>0</v>
      </c>
      <c r="Y99" s="1077">
        <v>0</v>
      </c>
      <c r="Z99" s="1077">
        <v>0</v>
      </c>
      <c r="AA99" s="1077">
        <v>0</v>
      </c>
      <c r="AB99" s="1077">
        <v>0</v>
      </c>
      <c r="AC99" s="1077">
        <v>0</v>
      </c>
      <c r="AD99" s="1077">
        <v>0</v>
      </c>
      <c r="AE99" s="1077">
        <v>0</v>
      </c>
      <c r="AF99" s="1077">
        <v>0</v>
      </c>
      <c r="AG99" s="1077">
        <v>0</v>
      </c>
      <c r="AH99" s="1077">
        <v>0</v>
      </c>
      <c r="AI99" s="1077">
        <v>0</v>
      </c>
      <c r="AJ99" s="1077">
        <v>0</v>
      </c>
      <c r="AK99" s="1077">
        <v>0</v>
      </c>
      <c r="AL99" s="1077">
        <v>0</v>
      </c>
      <c r="AM99" s="1077">
        <v>0</v>
      </c>
      <c r="AN99" s="1077">
        <v>0</v>
      </c>
      <c r="AO99" s="726"/>
      <c r="AP99" s="726"/>
      <c r="AQ99" s="726"/>
      <c r="AR99" s="726"/>
      <c r="AS99" s="726"/>
      <c r="AT99" s="726"/>
      <c r="AU99" s="726"/>
      <c r="AV99" s="726"/>
      <c r="AW99" s="726"/>
      <c r="AX99" s="726"/>
      <c r="AY99" s="726"/>
      <c r="AZ99" s="726"/>
      <c r="BA99" s="941"/>
      <c r="BB99" s="941"/>
      <c r="BC99" s="941"/>
      <c r="BE99" s="460"/>
      <c r="BR99" s="934"/>
    </row>
    <row r="100" spans="1:70" ht="21">
      <c r="A100" s="545"/>
      <c r="C100">
        <v>14</v>
      </c>
      <c r="D100" s="209" t="s">
        <v>68</v>
      </c>
      <c r="E100" s="1077">
        <v>0</v>
      </c>
      <c r="F100" s="1077">
        <v>0</v>
      </c>
      <c r="G100" s="1077">
        <v>0</v>
      </c>
      <c r="H100" s="1077">
        <v>0</v>
      </c>
      <c r="I100" s="1077">
        <v>0</v>
      </c>
      <c r="J100" s="1077">
        <v>0</v>
      </c>
      <c r="K100" s="1077">
        <v>0</v>
      </c>
      <c r="L100" s="1077">
        <v>0</v>
      </c>
      <c r="M100" s="1077">
        <v>0</v>
      </c>
      <c r="N100" s="1077">
        <v>0</v>
      </c>
      <c r="O100" s="1077">
        <v>0</v>
      </c>
      <c r="P100" s="1077">
        <v>0</v>
      </c>
      <c r="Q100" s="1077">
        <v>0</v>
      </c>
      <c r="R100" s="1077">
        <v>0</v>
      </c>
      <c r="S100" s="1077">
        <v>0</v>
      </c>
      <c r="T100" s="1077">
        <v>0</v>
      </c>
      <c r="U100" s="1077">
        <v>0</v>
      </c>
      <c r="V100" s="1077">
        <v>0</v>
      </c>
      <c r="W100" s="1077">
        <v>0</v>
      </c>
      <c r="X100" s="1077">
        <v>0</v>
      </c>
      <c r="Y100" s="1077">
        <v>0</v>
      </c>
      <c r="Z100" s="1077">
        <v>0</v>
      </c>
      <c r="AA100" s="1077">
        <v>0</v>
      </c>
      <c r="AB100" s="1077">
        <v>0</v>
      </c>
      <c r="AC100" s="1077">
        <v>0</v>
      </c>
      <c r="AD100" s="1077">
        <v>0</v>
      </c>
      <c r="AE100" s="1077">
        <v>0</v>
      </c>
      <c r="AF100" s="1077">
        <v>0</v>
      </c>
      <c r="AG100" s="1077">
        <v>0</v>
      </c>
      <c r="AH100" s="1077">
        <v>0</v>
      </c>
      <c r="AI100" s="1077">
        <v>0</v>
      </c>
      <c r="AJ100" s="1077">
        <v>0</v>
      </c>
      <c r="AK100" s="1077">
        <v>0</v>
      </c>
      <c r="AL100" s="1077">
        <v>0</v>
      </c>
      <c r="AM100" s="1077">
        <v>0</v>
      </c>
      <c r="AN100" s="1077">
        <v>0</v>
      </c>
      <c r="AO100" s="726"/>
      <c r="AP100" s="726"/>
      <c r="AQ100" s="726"/>
      <c r="AR100" s="726"/>
      <c r="AS100" s="726"/>
      <c r="AT100" s="726"/>
      <c r="AU100" s="726"/>
      <c r="AV100" s="726"/>
      <c r="AW100" s="726"/>
      <c r="AX100" s="726"/>
      <c r="AY100" s="726"/>
      <c r="AZ100" s="726"/>
      <c r="BA100" s="941"/>
      <c r="BB100" s="941"/>
      <c r="BC100" s="941"/>
      <c r="BE100" s="460"/>
      <c r="BR100" s="934"/>
    </row>
    <row r="101" spans="1:70" ht="21">
      <c r="A101" s="545"/>
      <c r="C101">
        <v>15</v>
      </c>
      <c r="D101" s="209" t="s">
        <v>69</v>
      </c>
      <c r="E101" s="624">
        <v>4.8000000000000001E-2</v>
      </c>
      <c r="F101" s="624">
        <v>4.7E-2</v>
      </c>
      <c r="G101" s="624">
        <v>4.2000000000000003E-2</v>
      </c>
      <c r="H101" s="626">
        <v>4.2000000000000003E-2</v>
      </c>
      <c r="I101" s="626">
        <v>3.9E-2</v>
      </c>
      <c r="J101" s="624">
        <v>2.3E-2</v>
      </c>
      <c r="K101" s="624">
        <v>2.4E-2</v>
      </c>
      <c r="L101" s="626">
        <v>2.3E-2</v>
      </c>
      <c r="M101" s="624">
        <v>2.3E-2</v>
      </c>
      <c r="N101" s="626">
        <v>2.3E-2</v>
      </c>
      <c r="O101" s="624">
        <v>2.1999999999999999E-2</v>
      </c>
      <c r="P101" s="624">
        <v>2.3E-2</v>
      </c>
      <c r="Q101" s="726">
        <v>2.3E-2</v>
      </c>
      <c r="R101" s="726">
        <v>2.3E-2</v>
      </c>
      <c r="S101" s="726">
        <v>2.3E-2</v>
      </c>
      <c r="T101" s="726">
        <v>2.4E-2</v>
      </c>
      <c r="U101" s="726">
        <v>2.4E-2</v>
      </c>
      <c r="V101" s="726">
        <v>1.7999999999999999E-2</v>
      </c>
      <c r="W101" s="726">
        <v>2.4E-2</v>
      </c>
      <c r="X101" s="726">
        <v>2.3E-2</v>
      </c>
      <c r="Y101" s="726">
        <v>2.4E-2</v>
      </c>
      <c r="Z101" s="726">
        <v>2.4E-2</v>
      </c>
      <c r="AA101" s="726">
        <v>2.1000000000000001E-2</v>
      </c>
      <c r="AB101" s="726">
        <v>2.4E-2</v>
      </c>
      <c r="AC101" s="726">
        <v>6.0000000000000001E-3</v>
      </c>
      <c r="AD101" s="726">
        <v>6.0000000000000001E-3</v>
      </c>
      <c r="AE101" s="726">
        <v>5.0000000000000001E-3</v>
      </c>
      <c r="AF101" s="1077">
        <v>0</v>
      </c>
      <c r="AG101" s="1077">
        <v>0</v>
      </c>
      <c r="AH101" s="1077">
        <v>0</v>
      </c>
      <c r="AI101" s="1077">
        <v>0</v>
      </c>
      <c r="AJ101" s="1077">
        <v>0</v>
      </c>
      <c r="AK101" s="1077">
        <v>0</v>
      </c>
      <c r="AL101" s="1077">
        <v>0</v>
      </c>
      <c r="AM101" s="1077">
        <v>0</v>
      </c>
      <c r="AN101" s="1077">
        <v>0</v>
      </c>
      <c r="AO101" s="726"/>
      <c r="AP101" s="726"/>
      <c r="AQ101" s="726"/>
      <c r="AR101" s="726"/>
      <c r="AS101" s="726"/>
      <c r="AT101" s="726"/>
      <c r="AU101" s="726"/>
      <c r="AV101" s="726"/>
      <c r="AW101" s="726"/>
      <c r="AX101" s="726"/>
      <c r="AY101" s="726"/>
      <c r="AZ101" s="726"/>
      <c r="BA101" s="941"/>
      <c r="BB101" s="941"/>
      <c r="BC101" s="941"/>
      <c r="BE101" s="460"/>
      <c r="BR101" s="934"/>
    </row>
    <row r="102" spans="1:70" ht="21">
      <c r="A102" s="545"/>
      <c r="C102">
        <v>16</v>
      </c>
      <c r="D102" s="209" t="s">
        <v>70</v>
      </c>
      <c r="E102" s="624">
        <v>5.5E-2</v>
      </c>
      <c r="F102" s="624">
        <v>6.4000000000000001E-2</v>
      </c>
      <c r="G102" s="624">
        <v>7.2999999999999995E-2</v>
      </c>
      <c r="H102" s="624">
        <v>8.1000000000000003E-2</v>
      </c>
      <c r="I102" s="626">
        <v>7.6999999999999999E-2</v>
      </c>
      <c r="J102" s="624">
        <v>7.8E-2</v>
      </c>
      <c r="K102" s="626">
        <v>7.5999999999999998E-2</v>
      </c>
      <c r="L102" s="624">
        <v>7.5999999999999998E-2</v>
      </c>
      <c r="M102" s="624">
        <v>7.3999999999999996E-2</v>
      </c>
      <c r="N102" s="624">
        <v>7.3999999999999996E-2</v>
      </c>
      <c r="O102" s="624">
        <v>6.8000000000000005E-2</v>
      </c>
      <c r="P102" s="624">
        <v>7.1999999999999995E-2</v>
      </c>
      <c r="Q102" s="726">
        <v>7.6999999999999999E-2</v>
      </c>
      <c r="R102" s="726">
        <v>7.0000000000000007E-2</v>
      </c>
      <c r="S102" s="726">
        <v>7.6999999999999999E-2</v>
      </c>
      <c r="T102" s="726">
        <v>7.6999999999999999E-2</v>
      </c>
      <c r="U102" s="726">
        <v>7.5999999999999998E-2</v>
      </c>
      <c r="V102" s="726">
        <v>6.9000000000000006E-2</v>
      </c>
      <c r="W102" s="726">
        <v>6.9000000000000006E-2</v>
      </c>
      <c r="X102" s="726">
        <v>7.1999999999999995E-2</v>
      </c>
      <c r="Y102" s="726">
        <v>7.4999999999999997E-2</v>
      </c>
      <c r="Z102" s="726">
        <v>7.8E-2</v>
      </c>
      <c r="AA102" s="726">
        <v>6.9000000000000006E-2</v>
      </c>
      <c r="AB102" s="726">
        <v>7.8E-2</v>
      </c>
      <c r="AC102" s="726">
        <v>6.9000000000000006E-2</v>
      </c>
      <c r="AD102" s="726">
        <v>7.2999999999999995E-2</v>
      </c>
      <c r="AE102" s="726">
        <v>7.2999999999999995E-2</v>
      </c>
      <c r="AF102" s="726">
        <v>7.6999999999999999E-2</v>
      </c>
      <c r="AG102" s="726">
        <v>7.4999999999999997E-2</v>
      </c>
      <c r="AH102" s="726">
        <v>6.2E-2</v>
      </c>
      <c r="AI102" s="726">
        <v>6.7000000000000004E-2</v>
      </c>
      <c r="AJ102" s="726">
        <v>6.6000000000000003E-2</v>
      </c>
      <c r="AK102" s="726">
        <v>6.7000000000000004E-2</v>
      </c>
      <c r="AL102" s="726">
        <v>8.2000000000000003E-2</v>
      </c>
      <c r="AM102" s="726">
        <v>7.5999999999999998E-2</v>
      </c>
      <c r="AN102" s="726">
        <v>8.1000000000000003E-2</v>
      </c>
      <c r="AO102" s="726"/>
      <c r="AP102" s="726"/>
      <c r="AQ102" s="726"/>
      <c r="AR102" s="726"/>
      <c r="AS102" s="726"/>
      <c r="AT102" s="726"/>
      <c r="AU102" s="726"/>
      <c r="AV102" s="726"/>
      <c r="AW102" s="726"/>
      <c r="AX102" s="726"/>
      <c r="AY102" s="726"/>
      <c r="AZ102" s="726"/>
      <c r="BA102" s="941"/>
      <c r="BB102" s="941"/>
      <c r="BC102" s="941"/>
      <c r="BE102" s="460"/>
      <c r="BR102" s="934"/>
    </row>
    <row r="103" spans="1:70">
      <c r="A103" s="545"/>
      <c r="BE103" s="460"/>
      <c r="BR103" s="934"/>
    </row>
    <row r="104" spans="1:70">
      <c r="A104" s="545"/>
      <c r="BE104" s="460"/>
      <c r="BR104" s="934"/>
    </row>
    <row r="105" spans="1:70">
      <c r="A105" s="545"/>
      <c r="BE105" s="460"/>
      <c r="BR105" s="934"/>
    </row>
    <row r="106" spans="1:70">
      <c r="A106" s="545"/>
      <c r="C106">
        <v>1</v>
      </c>
      <c r="E106">
        <v>202324</v>
      </c>
      <c r="F106">
        <v>202425</v>
      </c>
      <c r="G106">
        <v>202526</v>
      </c>
      <c r="H106">
        <v>202627</v>
      </c>
      <c r="BE106" s="460"/>
      <c r="BR106" s="934"/>
    </row>
    <row r="107" spans="1:70">
      <c r="A107" s="545"/>
      <c r="C107">
        <v>2</v>
      </c>
      <c r="D107" t="s">
        <v>870</v>
      </c>
      <c r="E107" s="184" t="s">
        <v>719</v>
      </c>
      <c r="F107" s="184" t="s">
        <v>720</v>
      </c>
      <c r="G107" s="184" t="s">
        <v>721</v>
      </c>
      <c r="H107" s="273" t="s">
        <v>2259</v>
      </c>
      <c r="I107" s="273"/>
      <c r="BE107" s="460"/>
      <c r="BR107" s="934"/>
    </row>
    <row r="108" spans="1:70">
      <c r="A108" s="545"/>
      <c r="C108">
        <v>3</v>
      </c>
      <c r="D108" s="209" t="s">
        <v>60</v>
      </c>
      <c r="E108" s="625">
        <v>7.39</v>
      </c>
      <c r="F108" s="720">
        <v>7.39</v>
      </c>
      <c r="G108" s="305">
        <v>7.46</v>
      </c>
      <c r="H108" s="305">
        <v>7.46</v>
      </c>
      <c r="BE108" s="460"/>
      <c r="BR108" s="934"/>
    </row>
    <row r="109" spans="1:70">
      <c r="A109" s="545"/>
      <c r="C109">
        <v>4</v>
      </c>
      <c r="D109" s="209" t="s">
        <v>61</v>
      </c>
      <c r="E109" s="625">
        <v>7.44</v>
      </c>
      <c r="F109" s="720">
        <v>7.44</v>
      </c>
      <c r="G109" s="305">
        <v>7.44</v>
      </c>
      <c r="H109" s="305">
        <v>7.44</v>
      </c>
      <c r="BE109" s="460"/>
      <c r="BR109" s="934"/>
    </row>
    <row r="110" spans="1:70">
      <c r="A110" s="545"/>
      <c r="C110">
        <v>5</v>
      </c>
      <c r="D110" s="209" t="s">
        <v>62</v>
      </c>
      <c r="E110" s="625">
        <v>7.6</v>
      </c>
      <c r="F110" s="720">
        <v>7.6</v>
      </c>
      <c r="G110" s="305">
        <v>7.58</v>
      </c>
      <c r="H110" s="305">
        <v>7.58</v>
      </c>
      <c r="BE110" s="460"/>
      <c r="BR110" s="934"/>
    </row>
    <row r="111" spans="1:70">
      <c r="A111" s="545"/>
      <c r="C111">
        <v>6</v>
      </c>
      <c r="D111" s="209" t="s">
        <v>57</v>
      </c>
      <c r="E111" s="625">
        <v>7.42</v>
      </c>
      <c r="F111" s="720">
        <v>7.42</v>
      </c>
      <c r="G111" s="305">
        <v>7.43</v>
      </c>
      <c r="H111" s="305">
        <v>7.43</v>
      </c>
      <c r="BE111" s="460"/>
      <c r="BR111" s="934"/>
    </row>
    <row r="112" spans="1:70">
      <c r="A112" s="545"/>
      <c r="C112">
        <v>7</v>
      </c>
      <c r="D112" s="209" t="s">
        <v>58</v>
      </c>
      <c r="E112" s="625">
        <v>6.6550000000000002</v>
      </c>
      <c r="F112" s="720">
        <v>6.6550000000000002</v>
      </c>
      <c r="G112" s="305">
        <v>6.67</v>
      </c>
      <c r="H112" s="305">
        <v>6.67</v>
      </c>
      <c r="BE112" s="460"/>
      <c r="BR112" s="934"/>
    </row>
    <row r="113" spans="1:70">
      <c r="A113" s="545" t="s">
        <v>294</v>
      </c>
      <c r="C113">
        <v>8</v>
      </c>
      <c r="D113" s="209" t="s">
        <v>59</v>
      </c>
      <c r="E113" s="625">
        <v>6.78</v>
      </c>
      <c r="F113" s="720">
        <v>6.78</v>
      </c>
      <c r="G113" s="305">
        <v>6.78</v>
      </c>
      <c r="H113" s="305">
        <v>6.78</v>
      </c>
      <c r="BE113" s="460"/>
      <c r="BR113" s="934"/>
    </row>
    <row r="114" spans="1:70">
      <c r="A114" s="340" t="s">
        <v>870</v>
      </c>
      <c r="C114">
        <v>9</v>
      </c>
      <c r="D114" s="209" t="s">
        <v>63</v>
      </c>
      <c r="E114" s="625">
        <v>7.4</v>
      </c>
      <c r="F114" s="720">
        <v>7.4</v>
      </c>
      <c r="G114" s="305">
        <v>7.38</v>
      </c>
      <c r="H114" s="305">
        <v>7.38</v>
      </c>
      <c r="BE114" s="460"/>
      <c r="BR114" s="934"/>
    </row>
    <row r="115" spans="1:70">
      <c r="A115" s="545"/>
      <c r="C115">
        <v>10</v>
      </c>
      <c r="D115" s="209" t="s">
        <v>64</v>
      </c>
      <c r="E115" s="625">
        <v>6.24</v>
      </c>
      <c r="F115" s="720">
        <v>6.24</v>
      </c>
      <c r="G115" s="305">
        <v>6.24</v>
      </c>
      <c r="H115" s="305">
        <v>6.24</v>
      </c>
      <c r="BE115" s="460"/>
      <c r="BR115" s="934"/>
    </row>
    <row r="116" spans="1:70">
      <c r="A116" s="545"/>
      <c r="C116">
        <v>11</v>
      </c>
      <c r="D116" s="209" t="s">
        <v>65</v>
      </c>
      <c r="E116" s="625">
        <v>6.57</v>
      </c>
      <c r="F116" s="720">
        <v>6.57</v>
      </c>
      <c r="G116" s="305">
        <v>6.57</v>
      </c>
      <c r="H116" s="305">
        <v>6.57</v>
      </c>
      <c r="BE116" s="460"/>
      <c r="BR116" s="934"/>
    </row>
    <row r="117" spans="1:70">
      <c r="A117" s="545"/>
      <c r="C117">
        <v>12</v>
      </c>
      <c r="D117" s="209" t="s">
        <v>66</v>
      </c>
      <c r="E117" s="625">
        <v>7.62</v>
      </c>
      <c r="F117" s="720">
        <v>7.62</v>
      </c>
      <c r="G117" s="305">
        <v>7.6</v>
      </c>
      <c r="H117" s="305">
        <v>7.6</v>
      </c>
      <c r="BE117" s="460"/>
      <c r="BR117" s="934"/>
    </row>
    <row r="118" spans="1:70">
      <c r="A118" s="545"/>
      <c r="C118">
        <v>13</v>
      </c>
      <c r="D118" s="209" t="s">
        <v>67</v>
      </c>
      <c r="E118" s="625">
        <v>7.3</v>
      </c>
      <c r="F118" s="720">
        <v>7.3</v>
      </c>
      <c r="G118" s="305">
        <v>7.3</v>
      </c>
      <c r="H118" s="305">
        <v>7.3</v>
      </c>
      <c r="BE118" s="460"/>
      <c r="BR118" s="934"/>
    </row>
    <row r="119" spans="1:70">
      <c r="A119" s="545"/>
      <c r="C119">
        <v>14</v>
      </c>
      <c r="D119" s="209" t="s">
        <v>68</v>
      </c>
      <c r="E119" s="625">
        <v>6.8</v>
      </c>
      <c r="F119" s="720">
        <v>6.8</v>
      </c>
      <c r="G119" s="305">
        <v>6.8</v>
      </c>
      <c r="H119" s="305">
        <v>6.8</v>
      </c>
      <c r="BE119" s="460"/>
      <c r="BR119" s="934"/>
    </row>
    <row r="120" spans="1:70">
      <c r="A120" s="545"/>
      <c r="C120">
        <v>15</v>
      </c>
      <c r="D120" s="209" t="s">
        <v>69</v>
      </c>
      <c r="E120" s="625">
        <v>8.6</v>
      </c>
      <c r="F120" s="720">
        <v>8.6</v>
      </c>
      <c r="G120" s="305">
        <v>6.29</v>
      </c>
      <c r="H120" s="305">
        <v>6.29</v>
      </c>
      <c r="BE120" s="460"/>
      <c r="BR120" s="934"/>
    </row>
    <row r="121" spans="1:70">
      <c r="A121" s="545"/>
      <c r="C121">
        <v>16</v>
      </c>
      <c r="D121" s="209" t="s">
        <v>70</v>
      </c>
      <c r="E121" s="305"/>
      <c r="F121" s="558"/>
      <c r="G121" s="305"/>
      <c r="H121" s="305"/>
      <c r="BE121" s="460"/>
      <c r="BR121" s="934"/>
    </row>
    <row r="122" spans="1:70">
      <c r="A122" s="545"/>
      <c r="BE122" s="460"/>
      <c r="BR122" s="934"/>
    </row>
    <row r="123" spans="1:70">
      <c r="A123" s="545"/>
      <c r="BE123" s="460"/>
      <c r="BR123" s="934"/>
    </row>
    <row r="124" spans="1:70" ht="15.75" thickBot="1">
      <c r="A124" s="546"/>
      <c r="B124" s="462"/>
      <c r="C124" s="462"/>
      <c r="D124" s="462"/>
      <c r="E124" s="462"/>
      <c r="F124" s="462"/>
      <c r="G124" s="462"/>
      <c r="H124" s="462"/>
      <c r="I124" s="462"/>
      <c r="J124" s="462"/>
      <c r="K124" s="462"/>
      <c r="L124" s="462"/>
      <c r="M124" s="462"/>
      <c r="N124" s="462"/>
      <c r="O124" s="462"/>
      <c r="P124" s="462"/>
      <c r="Q124" s="462"/>
      <c r="R124" s="462"/>
      <c r="S124" s="462"/>
      <c r="T124" s="462"/>
      <c r="U124" s="462"/>
      <c r="V124" s="462"/>
      <c r="W124" s="462"/>
      <c r="X124" s="462"/>
      <c r="Y124" s="462"/>
      <c r="Z124" s="462"/>
      <c r="AA124" s="462"/>
      <c r="AB124" s="462"/>
      <c r="AC124" s="462"/>
      <c r="AD124" s="462"/>
      <c r="AE124" s="462"/>
      <c r="AF124" s="462"/>
      <c r="AG124" s="462"/>
      <c r="AH124" s="462"/>
      <c r="AI124" s="462"/>
      <c r="AJ124" s="462"/>
      <c r="AK124" s="462"/>
      <c r="AL124" s="462"/>
      <c r="AM124" s="462"/>
      <c r="AN124" s="462"/>
      <c r="AO124" s="462"/>
      <c r="AP124" s="462"/>
      <c r="AQ124" s="462"/>
      <c r="AR124" s="462"/>
      <c r="AS124" s="462"/>
      <c r="AT124" s="462"/>
      <c r="AU124" s="462"/>
      <c r="AV124" s="462"/>
      <c r="AW124" s="462"/>
      <c r="AX124" s="462"/>
      <c r="AY124" s="462"/>
      <c r="AZ124" s="462"/>
      <c r="BA124" s="462"/>
      <c r="BB124" s="462"/>
      <c r="BC124" s="462"/>
      <c r="BD124" s="462"/>
      <c r="BE124" s="463"/>
      <c r="BR124" s="934"/>
    </row>
    <row r="125" spans="1:70">
      <c r="BP125" s="457"/>
      <c r="BQ125" s="457"/>
      <c r="BR125" s="458"/>
    </row>
    <row r="126" spans="1:70" ht="15.75" thickBot="1">
      <c r="BP126" s="462"/>
      <c r="BQ126" s="462"/>
      <c r="BR126" s="463"/>
    </row>
    <row r="127" spans="1:70">
      <c r="A127" s="547"/>
      <c r="B127" s="457"/>
      <c r="C127" s="457"/>
      <c r="D127" s="457"/>
      <c r="E127" s="457"/>
      <c r="F127" s="457"/>
      <c r="G127" s="457"/>
      <c r="H127" s="457"/>
      <c r="I127" s="457"/>
      <c r="J127" s="457"/>
      <c r="K127" s="457"/>
      <c r="L127" s="457"/>
      <c r="M127" s="457"/>
      <c r="N127" s="457"/>
      <c r="O127" s="457"/>
      <c r="P127" s="457"/>
      <c r="Q127" s="457"/>
      <c r="R127" s="457"/>
      <c r="S127" s="457"/>
      <c r="T127" s="457"/>
      <c r="U127" s="457"/>
      <c r="V127" s="457"/>
      <c r="W127" s="457"/>
      <c r="X127" s="457"/>
      <c r="Y127" s="457"/>
      <c r="Z127" s="457"/>
      <c r="AA127" s="457"/>
      <c r="AB127" s="457"/>
      <c r="AC127" s="457"/>
      <c r="AD127" s="457"/>
      <c r="AE127" s="457"/>
      <c r="AF127" s="457"/>
      <c r="AG127" s="457"/>
      <c r="AH127" s="457"/>
      <c r="AI127" s="457"/>
      <c r="AJ127" s="457"/>
      <c r="AK127" s="457"/>
      <c r="AL127" s="457"/>
      <c r="AM127" s="457"/>
      <c r="AN127" s="457"/>
      <c r="AO127" s="457"/>
      <c r="AP127" s="457"/>
      <c r="AQ127" s="457"/>
      <c r="AR127" s="457"/>
      <c r="AS127" s="457"/>
      <c r="AT127" s="457"/>
      <c r="AU127" s="457"/>
      <c r="AV127" s="457"/>
      <c r="AW127" s="457"/>
      <c r="AX127" s="457"/>
      <c r="AY127" s="457"/>
      <c r="AZ127" s="457"/>
      <c r="BA127" s="457"/>
      <c r="BB127" s="457"/>
      <c r="BC127" s="457"/>
      <c r="BD127" s="457"/>
      <c r="BE127" s="458"/>
      <c r="BR127" s="934"/>
    </row>
    <row r="128" spans="1:70">
      <c r="A128" s="548"/>
      <c r="C128">
        <v>1</v>
      </c>
      <c r="E128">
        <v>202304</v>
      </c>
      <c r="F128">
        <v>202305</v>
      </c>
      <c r="G128">
        <v>202306</v>
      </c>
      <c r="H128">
        <v>202307</v>
      </c>
      <c r="I128">
        <v>202308</v>
      </c>
      <c r="J128">
        <v>202309</v>
      </c>
      <c r="K128">
        <v>202310</v>
      </c>
      <c r="L128">
        <v>202311</v>
      </c>
      <c r="M128">
        <v>202312</v>
      </c>
      <c r="N128">
        <v>202401</v>
      </c>
      <c r="O128">
        <v>202402</v>
      </c>
      <c r="P128">
        <v>202403</v>
      </c>
      <c r="Q128">
        <v>202404</v>
      </c>
      <c r="R128">
        <v>202405</v>
      </c>
      <c r="S128">
        <v>202406</v>
      </c>
      <c r="T128">
        <v>202407</v>
      </c>
      <c r="U128">
        <v>202408</v>
      </c>
      <c r="V128">
        <v>202409</v>
      </c>
      <c r="W128">
        <v>202410</v>
      </c>
      <c r="X128">
        <v>202411</v>
      </c>
      <c r="Y128">
        <v>202412</v>
      </c>
      <c r="Z128">
        <v>202501</v>
      </c>
      <c r="AA128">
        <v>202502</v>
      </c>
      <c r="AB128">
        <v>202503</v>
      </c>
      <c r="AC128">
        <v>202504</v>
      </c>
      <c r="AD128">
        <v>202505</v>
      </c>
      <c r="AE128">
        <v>202506</v>
      </c>
      <c r="AF128">
        <v>202507</v>
      </c>
      <c r="AG128">
        <v>202508</v>
      </c>
      <c r="AH128">
        <v>202509</v>
      </c>
      <c r="AI128">
        <v>202510</v>
      </c>
      <c r="AJ128">
        <v>202511</v>
      </c>
      <c r="AK128">
        <v>202512</v>
      </c>
      <c r="AL128">
        <v>202601</v>
      </c>
      <c r="AM128">
        <v>202602</v>
      </c>
      <c r="AN128">
        <v>202603</v>
      </c>
      <c r="AO128">
        <v>202604</v>
      </c>
      <c r="AP128">
        <v>202605</v>
      </c>
      <c r="AQ128">
        <v>202606</v>
      </c>
      <c r="AR128">
        <v>202607</v>
      </c>
      <c r="AS128">
        <v>202608</v>
      </c>
      <c r="AT128">
        <v>202609</v>
      </c>
      <c r="AU128">
        <v>202610</v>
      </c>
      <c r="AV128">
        <v>202611</v>
      </c>
      <c r="AW128">
        <v>202612</v>
      </c>
      <c r="AX128">
        <v>202701</v>
      </c>
      <c r="AY128">
        <v>202702</v>
      </c>
      <c r="AZ128">
        <v>202703</v>
      </c>
      <c r="BE128" s="460"/>
      <c r="BR128" s="934"/>
    </row>
    <row r="129" spans="1:70">
      <c r="A129" s="548"/>
      <c r="C129">
        <v>2</v>
      </c>
      <c r="E129" s="184" t="s">
        <v>726</v>
      </c>
      <c r="F129" s="184" t="s">
        <v>727</v>
      </c>
      <c r="G129" s="184" t="s">
        <v>728</v>
      </c>
      <c r="H129" s="184" t="s">
        <v>729</v>
      </c>
      <c r="I129" s="184" t="s">
        <v>730</v>
      </c>
      <c r="J129" s="184" t="s">
        <v>731</v>
      </c>
      <c r="K129" s="184" t="s">
        <v>732</v>
      </c>
      <c r="L129" s="184" t="s">
        <v>733</v>
      </c>
      <c r="M129" s="184" t="s">
        <v>734</v>
      </c>
      <c r="N129" s="184" t="s">
        <v>735</v>
      </c>
      <c r="O129" s="184" t="s">
        <v>736</v>
      </c>
      <c r="P129" s="184" t="s">
        <v>737</v>
      </c>
      <c r="Q129" s="184" t="s">
        <v>738</v>
      </c>
      <c r="R129" s="184" t="s">
        <v>740</v>
      </c>
      <c r="S129" s="184" t="s">
        <v>741</v>
      </c>
      <c r="T129" s="184" t="s">
        <v>742</v>
      </c>
      <c r="U129" s="184" t="s">
        <v>743</v>
      </c>
      <c r="V129" s="184" t="s">
        <v>744</v>
      </c>
      <c r="W129" s="184" t="s">
        <v>745</v>
      </c>
      <c r="X129" s="184" t="s">
        <v>746</v>
      </c>
      <c r="Y129" s="184" t="s">
        <v>747</v>
      </c>
      <c r="Z129" s="184" t="s">
        <v>748</v>
      </c>
      <c r="AA129" s="184" t="s">
        <v>749</v>
      </c>
      <c r="AB129" s="184" t="s">
        <v>750</v>
      </c>
      <c r="AC129" s="184" t="s">
        <v>739</v>
      </c>
      <c r="AD129" s="184" t="s">
        <v>751</v>
      </c>
      <c r="AE129" s="184" t="s">
        <v>752</v>
      </c>
      <c r="AF129" s="184" t="s">
        <v>753</v>
      </c>
      <c r="AG129" s="184" t="s">
        <v>754</v>
      </c>
      <c r="AH129" s="184" t="s">
        <v>755</v>
      </c>
      <c r="AI129" s="184" t="s">
        <v>756</v>
      </c>
      <c r="AJ129" s="184" t="s">
        <v>757</v>
      </c>
      <c r="AK129" s="184" t="s">
        <v>758</v>
      </c>
      <c r="AL129" s="184" t="s">
        <v>759</v>
      </c>
      <c r="AM129" s="184" t="s">
        <v>760</v>
      </c>
      <c r="AN129" s="184" t="s">
        <v>761</v>
      </c>
      <c r="AO129" s="184" t="s">
        <v>2150</v>
      </c>
      <c r="AP129" s="932" t="s">
        <v>2151</v>
      </c>
      <c r="AQ129" s="932" t="s">
        <v>2152</v>
      </c>
      <c r="AR129" s="184" t="s">
        <v>2153</v>
      </c>
      <c r="AS129" s="184" t="s">
        <v>2154</v>
      </c>
      <c r="AT129" s="184" t="s">
        <v>2155</v>
      </c>
      <c r="AU129" s="184" t="s">
        <v>2156</v>
      </c>
      <c r="AV129" s="184" t="s">
        <v>2157</v>
      </c>
      <c r="AW129" s="184" t="s">
        <v>2158</v>
      </c>
      <c r="AX129" s="184" t="s">
        <v>2159</v>
      </c>
      <c r="AY129" s="184" t="s">
        <v>2160</v>
      </c>
      <c r="AZ129" s="184" t="s">
        <v>2149</v>
      </c>
      <c r="BE129" s="460"/>
      <c r="BR129" s="934"/>
    </row>
    <row r="130" spans="1:70">
      <c r="A130" s="548"/>
      <c r="C130">
        <v>3</v>
      </c>
      <c r="D130" s="209" t="s">
        <v>60</v>
      </c>
      <c r="E130" s="625">
        <v>0.154</v>
      </c>
      <c r="F130" s="625">
        <v>0.151</v>
      </c>
      <c r="G130" s="625">
        <v>0.13800000000000001</v>
      </c>
      <c r="H130" s="625">
        <v>0.14699999999999999</v>
      </c>
      <c r="I130" s="625">
        <v>0.128</v>
      </c>
      <c r="J130" s="625">
        <v>0.14499999999999999</v>
      </c>
      <c r="K130" s="625">
        <v>0.155</v>
      </c>
      <c r="L130" s="625">
        <v>0.14899999999999999</v>
      </c>
      <c r="M130" s="625">
        <v>0.152</v>
      </c>
      <c r="N130" s="625">
        <v>0.155</v>
      </c>
      <c r="O130" s="625">
        <v>0.14399999999999999</v>
      </c>
      <c r="P130" s="625">
        <v>0.153</v>
      </c>
      <c r="Q130" s="821">
        <v>0.13200000000000001</v>
      </c>
      <c r="R130" s="822">
        <v>0.128</v>
      </c>
      <c r="S130" s="822">
        <v>0.123</v>
      </c>
      <c r="T130" s="719">
        <v>0.17499999999999999</v>
      </c>
      <c r="U130" s="719">
        <v>0.153</v>
      </c>
      <c r="V130" s="719">
        <v>0.14799999999999999</v>
      </c>
      <c r="W130" s="719">
        <v>0.17799999999999999</v>
      </c>
      <c r="X130" s="719">
        <v>0.17</v>
      </c>
      <c r="Y130" s="719">
        <v>0.17</v>
      </c>
      <c r="Z130" s="719">
        <v>0.17699999999999999</v>
      </c>
      <c r="AA130" s="719">
        <v>0.13300000000000001</v>
      </c>
      <c r="AB130" s="719">
        <v>0.17499999999999999</v>
      </c>
      <c r="AC130" s="305">
        <v>0.13800000000000001</v>
      </c>
      <c r="AD130" s="305">
        <v>0.13900000000000001</v>
      </c>
      <c r="AE130" s="305">
        <v>0.13800000000000001</v>
      </c>
      <c r="AF130" s="305">
        <v>0.13900000000000001</v>
      </c>
      <c r="AG130" s="305">
        <v>0.13900000000000001</v>
      </c>
      <c r="AH130" s="305">
        <v>0.13800000000000001</v>
      </c>
      <c r="AI130" s="305">
        <v>0.13900000000000001</v>
      </c>
      <c r="AJ130" s="305">
        <v>0.13800000000000001</v>
      </c>
      <c r="AK130" s="305">
        <v>0.13900000000000001</v>
      </c>
      <c r="AL130" s="305">
        <v>0.14000000000000001</v>
      </c>
      <c r="AM130" s="305">
        <v>0.13400000000000001</v>
      </c>
      <c r="AN130" s="305">
        <v>0.13900000000000001</v>
      </c>
      <c r="AO130" s="305"/>
      <c r="AP130" s="305"/>
      <c r="AQ130" s="305"/>
      <c r="AR130" s="305"/>
      <c r="AS130" s="305"/>
      <c r="AT130" s="305"/>
      <c r="AU130" s="305"/>
      <c r="AV130" s="305"/>
      <c r="AW130" s="305"/>
      <c r="AX130" s="305"/>
      <c r="AY130" s="305"/>
      <c r="AZ130" s="305"/>
      <c r="BA130" s="941"/>
      <c r="BB130" s="941"/>
      <c r="BC130" s="941"/>
      <c r="BE130" s="460"/>
      <c r="BR130" s="934"/>
    </row>
    <row r="131" spans="1:70">
      <c r="A131" s="548"/>
      <c r="C131">
        <v>4</v>
      </c>
      <c r="D131" s="209" t="s">
        <v>61</v>
      </c>
      <c r="E131" s="625">
        <v>0.193</v>
      </c>
      <c r="F131" s="625">
        <v>0.19900000000000001</v>
      </c>
      <c r="G131" s="625">
        <v>0.19400000000000001</v>
      </c>
      <c r="H131" s="625">
        <v>0.19800000000000001</v>
      </c>
      <c r="I131" s="625">
        <v>0.20100000000000001</v>
      </c>
      <c r="J131" s="625">
        <v>0.19</v>
      </c>
      <c r="K131" s="625">
        <v>0.19400000000000001</v>
      </c>
      <c r="L131" s="625">
        <v>0.187</v>
      </c>
      <c r="M131" s="625">
        <v>0.19400000000000001</v>
      </c>
      <c r="N131" s="625">
        <v>0.19600000000000001</v>
      </c>
      <c r="O131" s="625">
        <v>0.185</v>
      </c>
      <c r="P131" s="625">
        <v>0.19800000000000001</v>
      </c>
      <c r="Q131" s="821">
        <v>0.18099999999999999</v>
      </c>
      <c r="R131" s="822">
        <v>0.185</v>
      </c>
      <c r="S131" s="822">
        <v>0.182</v>
      </c>
      <c r="T131" s="719">
        <v>0.23400000000000001</v>
      </c>
      <c r="U131" s="719">
        <v>0.23799999999999999</v>
      </c>
      <c r="V131" s="719">
        <v>0.23</v>
      </c>
      <c r="W131" s="719">
        <v>0.22800000000000001</v>
      </c>
      <c r="X131" s="719">
        <v>0.22600000000000001</v>
      </c>
      <c r="Y131" s="719">
        <v>0.23</v>
      </c>
      <c r="Z131" s="719">
        <v>0.22600000000000001</v>
      </c>
      <c r="AA131" s="719">
        <v>0.214</v>
      </c>
      <c r="AB131" s="719">
        <v>0.22800000000000001</v>
      </c>
      <c r="AC131" s="305">
        <v>0.185</v>
      </c>
      <c r="AD131" s="305">
        <v>0.17799999999999999</v>
      </c>
      <c r="AE131" s="305">
        <v>0.18</v>
      </c>
      <c r="AF131" s="305">
        <v>0.185</v>
      </c>
      <c r="AG131" s="305">
        <v>0.185</v>
      </c>
      <c r="AH131" s="305">
        <v>0.18</v>
      </c>
      <c r="AI131" s="305">
        <v>0.185</v>
      </c>
      <c r="AJ131" s="305">
        <v>0.18</v>
      </c>
      <c r="AK131" s="305">
        <v>0.19</v>
      </c>
      <c r="AL131" s="305">
        <v>0.185</v>
      </c>
      <c r="AM131" s="305">
        <v>0.17</v>
      </c>
      <c r="AN131" s="305">
        <v>0.19</v>
      </c>
      <c r="AO131" s="305"/>
      <c r="AP131" s="305"/>
      <c r="AQ131" s="305"/>
      <c r="AR131" s="305"/>
      <c r="AS131" s="305"/>
      <c r="AT131" s="305"/>
      <c r="AU131" s="305"/>
      <c r="AV131" s="305"/>
      <c r="AW131" s="305"/>
      <c r="AX131" s="305"/>
      <c r="AY131" s="305"/>
      <c r="AZ131" s="305"/>
      <c r="BA131" s="941"/>
      <c r="BB131" s="941"/>
      <c r="BC131" s="941"/>
      <c r="BE131" s="460"/>
      <c r="BR131" s="934"/>
    </row>
    <row r="132" spans="1:70">
      <c r="A132" s="548"/>
      <c r="C132">
        <v>5</v>
      </c>
      <c r="D132" s="209" t="s">
        <v>62</v>
      </c>
      <c r="E132" s="625">
        <v>1.2E-2</v>
      </c>
      <c r="F132" s="625">
        <v>1.0999999999999999E-2</v>
      </c>
      <c r="G132" s="625">
        <v>1.0999999999999999E-2</v>
      </c>
      <c r="H132" s="625">
        <v>1.0999999999999999E-2</v>
      </c>
      <c r="I132" s="625">
        <v>0.01</v>
      </c>
      <c r="J132" s="625">
        <v>0.01</v>
      </c>
      <c r="K132" s="625">
        <v>1.0999999999999999E-2</v>
      </c>
      <c r="L132" s="625">
        <v>0.01</v>
      </c>
      <c r="M132" s="625">
        <v>0.01</v>
      </c>
      <c r="N132" s="625">
        <v>0.01</v>
      </c>
      <c r="O132" s="625">
        <v>0.01</v>
      </c>
      <c r="P132" s="625">
        <v>0.01</v>
      </c>
      <c r="Q132" s="821">
        <v>0.01</v>
      </c>
      <c r="R132" s="822">
        <v>8.9999999999999993E-3</v>
      </c>
      <c r="S132" s="822">
        <v>7.0000000000000001E-3</v>
      </c>
      <c r="T132" s="719">
        <v>1.6E-2</v>
      </c>
      <c r="U132" s="719">
        <v>1.4999999999999999E-2</v>
      </c>
      <c r="V132" s="719">
        <v>1.4999999999999999E-2</v>
      </c>
      <c r="W132" s="719">
        <v>1.4999999999999999E-2</v>
      </c>
      <c r="X132" s="719">
        <v>1.4999999999999999E-2</v>
      </c>
      <c r="Y132" s="719">
        <v>1.4E-2</v>
      </c>
      <c r="Z132" s="719">
        <v>1.4999999999999999E-2</v>
      </c>
      <c r="AA132" s="719">
        <v>1.2999999999999999E-2</v>
      </c>
      <c r="AB132" s="719">
        <v>1.4E-2</v>
      </c>
      <c r="AC132" s="305">
        <v>1.0999999999999999E-2</v>
      </c>
      <c r="AD132" s="305">
        <v>1.2E-2</v>
      </c>
      <c r="AE132" s="305">
        <v>1.0999999999999999E-2</v>
      </c>
      <c r="AF132" s="305">
        <v>1.2E-2</v>
      </c>
      <c r="AG132" s="305">
        <v>1.0999999999999999E-2</v>
      </c>
      <c r="AH132" s="305">
        <v>1.0999999999999999E-2</v>
      </c>
      <c r="AI132" s="305">
        <v>1.2E-2</v>
      </c>
      <c r="AJ132" s="305">
        <v>1.0999999999999999E-2</v>
      </c>
      <c r="AK132" s="305">
        <v>1.2E-2</v>
      </c>
      <c r="AL132" s="305">
        <v>1.2E-2</v>
      </c>
      <c r="AM132" s="305">
        <v>0.01</v>
      </c>
      <c r="AN132" s="305">
        <v>1.0999999999999999E-2</v>
      </c>
      <c r="AO132" s="305"/>
      <c r="AP132" s="305"/>
      <c r="AQ132" s="305"/>
      <c r="AR132" s="305"/>
      <c r="AS132" s="305"/>
      <c r="AT132" s="305"/>
      <c r="AU132" s="305"/>
      <c r="AV132" s="305"/>
      <c r="AW132" s="305"/>
      <c r="AX132" s="305"/>
      <c r="AY132" s="305"/>
      <c r="AZ132" s="305"/>
      <c r="BA132" s="941"/>
      <c r="BB132" s="941"/>
      <c r="BC132" s="941"/>
      <c r="BE132" s="460"/>
      <c r="BR132" s="934"/>
    </row>
    <row r="133" spans="1:70">
      <c r="A133" s="548"/>
      <c r="C133">
        <v>6</v>
      </c>
      <c r="D133" s="209" t="s">
        <v>57</v>
      </c>
      <c r="E133" s="625">
        <v>3.5000000000000003E-2</v>
      </c>
      <c r="F133" s="625">
        <v>3.5000000000000003E-2</v>
      </c>
      <c r="G133" s="625">
        <v>3.4000000000000002E-2</v>
      </c>
      <c r="H133" s="625">
        <v>3.4000000000000002E-2</v>
      </c>
      <c r="I133" s="625">
        <v>3.4000000000000002E-2</v>
      </c>
      <c r="J133" s="625">
        <v>3.3000000000000002E-2</v>
      </c>
      <c r="K133" s="625">
        <v>3.5000000000000003E-2</v>
      </c>
      <c r="L133" s="625">
        <v>3.3000000000000002E-2</v>
      </c>
      <c r="M133" s="625">
        <v>3.4000000000000002E-2</v>
      </c>
      <c r="N133" s="625">
        <v>3.4000000000000002E-2</v>
      </c>
      <c r="O133" s="625">
        <v>3.2000000000000001E-2</v>
      </c>
      <c r="P133" s="625">
        <v>3.4000000000000002E-2</v>
      </c>
      <c r="Q133" s="821">
        <v>3.1E-2</v>
      </c>
      <c r="R133" s="822">
        <v>3.1E-2</v>
      </c>
      <c r="S133" s="822">
        <v>3.2000000000000001E-2</v>
      </c>
      <c r="T133" s="719">
        <v>4.2999999999999997E-2</v>
      </c>
      <c r="U133" s="719">
        <v>4.2999999999999997E-2</v>
      </c>
      <c r="V133" s="719">
        <v>4.1000000000000002E-2</v>
      </c>
      <c r="W133" s="719">
        <v>4.2000000000000003E-2</v>
      </c>
      <c r="X133" s="719">
        <v>4.1000000000000002E-2</v>
      </c>
      <c r="Y133" s="719">
        <v>4.2000000000000003E-2</v>
      </c>
      <c r="Z133" s="719">
        <v>4.1000000000000002E-2</v>
      </c>
      <c r="AA133" s="719">
        <v>3.9E-2</v>
      </c>
      <c r="AB133" s="719">
        <v>4.1000000000000002E-2</v>
      </c>
      <c r="AC133" s="305">
        <v>4.4999999999999998E-2</v>
      </c>
      <c r="AD133" s="305">
        <v>4.7E-2</v>
      </c>
      <c r="AE133" s="305">
        <v>4.5999999999999999E-2</v>
      </c>
      <c r="AF133" s="305">
        <v>4.7E-2</v>
      </c>
      <c r="AG133" s="305">
        <v>4.7E-2</v>
      </c>
      <c r="AH133" s="305">
        <v>4.5999999999999999E-2</v>
      </c>
      <c r="AI133" s="305">
        <v>4.8000000000000001E-2</v>
      </c>
      <c r="AJ133" s="305">
        <v>4.4999999999999998E-2</v>
      </c>
      <c r="AK133" s="305">
        <v>4.7E-2</v>
      </c>
      <c r="AL133" s="305">
        <v>4.7E-2</v>
      </c>
      <c r="AM133" s="305">
        <v>0.04</v>
      </c>
      <c r="AN133" s="305">
        <v>4.7E-2</v>
      </c>
      <c r="AO133" s="305"/>
      <c r="AP133" s="305"/>
      <c r="AQ133" s="305"/>
      <c r="AR133" s="305"/>
      <c r="AS133" s="305"/>
      <c r="AT133" s="305"/>
      <c r="AU133" s="305"/>
      <c r="AV133" s="305"/>
      <c r="AW133" s="305"/>
      <c r="AX133" s="305"/>
      <c r="AY133" s="305"/>
      <c r="AZ133" s="305"/>
      <c r="BA133" s="941"/>
      <c r="BB133" s="941"/>
      <c r="BC133" s="941"/>
      <c r="BE133" s="460"/>
      <c r="BR133" s="934"/>
    </row>
    <row r="134" spans="1:70">
      <c r="A134" s="548"/>
      <c r="C134">
        <v>7</v>
      </c>
      <c r="D134" s="209" t="s">
        <v>58</v>
      </c>
      <c r="E134" s="625">
        <v>4.2000000000000003E-2</v>
      </c>
      <c r="F134" s="625">
        <v>2.8000000000000001E-2</v>
      </c>
      <c r="G134" s="625">
        <v>3.7999999999999999E-2</v>
      </c>
      <c r="H134" s="625">
        <v>4.3999999999999997E-2</v>
      </c>
      <c r="I134" s="625">
        <v>4.1000000000000002E-2</v>
      </c>
      <c r="J134" s="625">
        <v>2.7E-2</v>
      </c>
      <c r="K134" s="625">
        <v>2.1000000000000001E-2</v>
      </c>
      <c r="L134" s="625">
        <v>4.1000000000000002E-2</v>
      </c>
      <c r="M134" s="625">
        <v>4.2000000000000003E-2</v>
      </c>
      <c r="N134" s="625">
        <v>4.2000000000000003E-2</v>
      </c>
      <c r="O134" s="625">
        <v>3.9E-2</v>
      </c>
      <c r="P134" s="625">
        <v>4.1000000000000002E-2</v>
      </c>
      <c r="Q134" s="821">
        <v>2.1000000000000001E-2</v>
      </c>
      <c r="R134" s="822">
        <v>3.3000000000000002E-2</v>
      </c>
      <c r="S134" s="822">
        <v>2.7E-2</v>
      </c>
      <c r="T134" s="719">
        <v>5.3999999999999999E-2</v>
      </c>
      <c r="U134" s="719">
        <v>5.0999999999999997E-2</v>
      </c>
      <c r="V134" s="719">
        <v>3.5999999999999997E-2</v>
      </c>
      <c r="W134" s="719">
        <v>3.0000000000000001E-3</v>
      </c>
      <c r="X134" s="719">
        <v>3.1E-2</v>
      </c>
      <c r="Y134" s="719">
        <v>5.1999999999999998E-2</v>
      </c>
      <c r="Z134" s="719">
        <v>4.4999999999999998E-2</v>
      </c>
      <c r="AA134" s="719">
        <v>4.4999999999999998E-2</v>
      </c>
      <c r="AB134" s="719">
        <v>3.7999999999999999E-2</v>
      </c>
      <c r="AC134" s="305">
        <v>3.2000000000000001E-2</v>
      </c>
      <c r="AD134" s="305">
        <v>3.5000000000000003E-2</v>
      </c>
      <c r="AE134" s="305">
        <v>3.2000000000000001E-2</v>
      </c>
      <c r="AF134" s="305">
        <v>3.3000000000000002E-2</v>
      </c>
      <c r="AG134" s="305">
        <v>3.2000000000000001E-2</v>
      </c>
      <c r="AH134" s="305">
        <v>3.2000000000000001E-2</v>
      </c>
      <c r="AI134" s="305">
        <v>2.9000000000000001E-2</v>
      </c>
      <c r="AJ134" s="305">
        <v>2.9000000000000001E-2</v>
      </c>
      <c r="AK134" s="305">
        <v>0.03</v>
      </c>
      <c r="AL134" s="305">
        <v>2.9000000000000001E-2</v>
      </c>
      <c r="AM134" s="305">
        <v>2.7E-2</v>
      </c>
      <c r="AN134" s="305">
        <v>0.03</v>
      </c>
      <c r="AO134" s="305"/>
      <c r="AP134" s="305"/>
      <c r="AQ134" s="305"/>
      <c r="AR134" s="305"/>
      <c r="AS134" s="305"/>
      <c r="AT134" s="305"/>
      <c r="AU134" s="305"/>
      <c r="AV134" s="305"/>
      <c r="AW134" s="305"/>
      <c r="AX134" s="305"/>
      <c r="AY134" s="305"/>
      <c r="AZ134" s="305"/>
      <c r="BA134" s="941"/>
      <c r="BB134" s="941"/>
      <c r="BC134" s="941"/>
      <c r="BE134" s="460"/>
      <c r="BR134" s="934"/>
    </row>
    <row r="135" spans="1:70">
      <c r="A135" s="548" t="s">
        <v>325</v>
      </c>
      <c r="C135">
        <v>8</v>
      </c>
      <c r="D135" s="209" t="s">
        <v>59</v>
      </c>
      <c r="E135" s="625">
        <v>7.0000000000000001E-3</v>
      </c>
      <c r="F135" s="625">
        <v>6.0000000000000001E-3</v>
      </c>
      <c r="G135" s="625">
        <v>7.0000000000000001E-3</v>
      </c>
      <c r="H135" s="625">
        <v>7.0000000000000001E-3</v>
      </c>
      <c r="I135" s="625">
        <v>7.0000000000000001E-3</v>
      </c>
      <c r="J135" s="625">
        <v>6.0000000000000001E-3</v>
      </c>
      <c r="K135" s="625">
        <v>7.0000000000000001E-3</v>
      </c>
      <c r="L135" s="625">
        <v>7.0000000000000001E-3</v>
      </c>
      <c r="M135" s="625">
        <v>8.0000000000000002E-3</v>
      </c>
      <c r="N135" s="625">
        <v>8.0000000000000002E-3</v>
      </c>
      <c r="O135" s="625">
        <v>8.0000000000000002E-3</v>
      </c>
      <c r="P135" s="625">
        <v>8.0000000000000002E-3</v>
      </c>
      <c r="Q135" s="821">
        <v>8.9999999999999993E-3</v>
      </c>
      <c r="R135" s="822">
        <v>8.9999999999999993E-3</v>
      </c>
      <c r="S135" s="822">
        <v>0.01</v>
      </c>
      <c r="T135" s="719">
        <v>1.0999999999999999E-2</v>
      </c>
      <c r="U135" s="719">
        <v>1.0999999999999999E-2</v>
      </c>
      <c r="V135" s="719">
        <v>0.01</v>
      </c>
      <c r="W135" s="719">
        <v>1.0999999999999999E-2</v>
      </c>
      <c r="X135" s="719">
        <v>1.2E-2</v>
      </c>
      <c r="Y135" s="719">
        <v>1.2E-2</v>
      </c>
      <c r="Z135" s="719">
        <v>1.2E-2</v>
      </c>
      <c r="AA135" s="719">
        <v>1.0999999999999999E-2</v>
      </c>
      <c r="AB135" s="719">
        <v>1.2999999999999999E-2</v>
      </c>
      <c r="AC135" s="305">
        <v>1.2E-2</v>
      </c>
      <c r="AD135" s="305">
        <v>1.2999999999999999E-2</v>
      </c>
      <c r="AE135" s="305">
        <v>1.2E-2</v>
      </c>
      <c r="AF135" s="305">
        <v>1.2999999999999999E-2</v>
      </c>
      <c r="AG135" s="305">
        <v>1.4E-2</v>
      </c>
      <c r="AH135" s="305">
        <v>1.2E-2</v>
      </c>
      <c r="AI135" s="305">
        <v>1.4E-2</v>
      </c>
      <c r="AJ135" s="305">
        <v>1.2E-2</v>
      </c>
      <c r="AK135" s="305">
        <v>1.2E-2</v>
      </c>
      <c r="AL135" s="305">
        <v>1.4999999999999999E-2</v>
      </c>
      <c r="AM135" s="305">
        <v>1.0999999999999999E-2</v>
      </c>
      <c r="AN135" s="305">
        <v>1.4999999999999999E-2</v>
      </c>
      <c r="AO135" s="305"/>
      <c r="AP135" s="305"/>
      <c r="AQ135" s="305"/>
      <c r="AR135" s="305"/>
      <c r="AS135" s="305"/>
      <c r="AT135" s="305"/>
      <c r="AU135" s="305"/>
      <c r="AV135" s="305"/>
      <c r="AW135" s="305"/>
      <c r="AX135" s="305"/>
      <c r="AY135" s="305"/>
      <c r="AZ135" s="305"/>
      <c r="BA135" s="941"/>
      <c r="BB135" s="941"/>
      <c r="BC135" s="941"/>
      <c r="BE135" s="460"/>
      <c r="BR135" s="934"/>
    </row>
    <row r="136" spans="1:70">
      <c r="A136" s="549" t="s">
        <v>871</v>
      </c>
      <c r="C136">
        <v>9</v>
      </c>
      <c r="D136" s="209" t="s">
        <v>63</v>
      </c>
      <c r="E136" s="625">
        <v>5.0999999999999997E-2</v>
      </c>
      <c r="F136" s="625">
        <v>5.0999999999999997E-2</v>
      </c>
      <c r="G136" s="625">
        <v>5.0999999999999997E-2</v>
      </c>
      <c r="H136" s="625">
        <v>5.0999999999999997E-2</v>
      </c>
      <c r="I136" s="625">
        <v>0.05</v>
      </c>
      <c r="J136" s="625">
        <v>5.8999999999999997E-2</v>
      </c>
      <c r="K136" s="625">
        <v>7.1999999999999995E-2</v>
      </c>
      <c r="L136" s="625">
        <v>7.1999999999999995E-2</v>
      </c>
      <c r="M136" s="625">
        <v>7.2999999999999995E-2</v>
      </c>
      <c r="N136" s="625">
        <v>8.1000000000000003E-2</v>
      </c>
      <c r="O136" s="625">
        <v>7.3999999999999996E-2</v>
      </c>
      <c r="P136" s="625">
        <v>8.2000000000000003E-2</v>
      </c>
      <c r="Q136" s="821">
        <v>7.9000000000000001E-2</v>
      </c>
      <c r="R136" s="822">
        <v>7.0999999999999994E-2</v>
      </c>
      <c r="S136" s="822">
        <v>7.8E-2</v>
      </c>
      <c r="T136" s="719">
        <v>6.2E-2</v>
      </c>
      <c r="U136" s="719">
        <v>6.0999999999999999E-2</v>
      </c>
      <c r="V136" s="719">
        <v>5.7000000000000002E-2</v>
      </c>
      <c r="W136" s="719">
        <v>8.2000000000000003E-2</v>
      </c>
      <c r="X136" s="719">
        <v>7.8E-2</v>
      </c>
      <c r="Y136" s="719">
        <v>0.08</v>
      </c>
      <c r="Z136" s="719">
        <v>6.3E-2</v>
      </c>
      <c r="AA136" s="719">
        <v>7.5999999999999998E-2</v>
      </c>
      <c r="AB136" s="719">
        <v>6.0999999999999999E-2</v>
      </c>
      <c r="AC136" s="305">
        <v>6.8000000000000005E-2</v>
      </c>
      <c r="AD136" s="305">
        <v>6.9000000000000006E-2</v>
      </c>
      <c r="AE136" s="305">
        <v>6.8000000000000005E-2</v>
      </c>
      <c r="AF136" s="305">
        <v>6.9000000000000006E-2</v>
      </c>
      <c r="AG136" s="305">
        <v>6.9000000000000006E-2</v>
      </c>
      <c r="AH136" s="305">
        <v>6.8000000000000005E-2</v>
      </c>
      <c r="AI136" s="305">
        <v>6.9000000000000006E-2</v>
      </c>
      <c r="AJ136" s="305">
        <v>6.8000000000000005E-2</v>
      </c>
      <c r="AK136" s="305">
        <v>6.9000000000000006E-2</v>
      </c>
      <c r="AL136" s="305">
        <v>6.9000000000000006E-2</v>
      </c>
      <c r="AM136" s="305">
        <v>6.7000000000000004E-2</v>
      </c>
      <c r="AN136" s="305">
        <v>6.9000000000000006E-2</v>
      </c>
      <c r="AO136" s="305"/>
      <c r="AP136" s="305"/>
      <c r="AQ136" s="305"/>
      <c r="AR136" s="305"/>
      <c r="AS136" s="305"/>
      <c r="AT136" s="305"/>
      <c r="AU136" s="305"/>
      <c r="AV136" s="305"/>
      <c r="AW136" s="305"/>
      <c r="AX136" s="305"/>
      <c r="AY136" s="305"/>
      <c r="AZ136" s="305"/>
      <c r="BA136" s="941"/>
      <c r="BB136" s="941"/>
      <c r="BC136" s="941"/>
      <c r="BE136" s="460"/>
      <c r="BR136" s="934"/>
    </row>
    <row r="137" spans="1:70">
      <c r="A137" s="548"/>
      <c r="C137">
        <v>10</v>
      </c>
      <c r="D137" s="209" t="s">
        <v>64</v>
      </c>
      <c r="E137" s="625">
        <v>5.0000000000000001E-3</v>
      </c>
      <c r="F137" s="625">
        <v>5.0000000000000001E-3</v>
      </c>
      <c r="G137" s="625">
        <v>4.0000000000000001E-3</v>
      </c>
      <c r="H137" s="625">
        <v>5.0000000000000001E-3</v>
      </c>
      <c r="I137" s="625">
        <v>5.0000000000000001E-3</v>
      </c>
      <c r="J137" s="625">
        <v>4.0000000000000001E-3</v>
      </c>
      <c r="K137" s="625">
        <v>5.0000000000000001E-3</v>
      </c>
      <c r="L137" s="625">
        <v>5.0000000000000001E-3</v>
      </c>
      <c r="M137" s="625">
        <v>5.0000000000000001E-3</v>
      </c>
      <c r="N137" s="625">
        <v>5.0000000000000001E-3</v>
      </c>
      <c r="O137" s="625">
        <v>5.0000000000000001E-3</v>
      </c>
      <c r="P137" s="625">
        <v>5.0000000000000001E-3</v>
      </c>
      <c r="Q137" s="821">
        <v>4.0000000000000001E-3</v>
      </c>
      <c r="R137" s="822">
        <v>4.0000000000000001E-3</v>
      </c>
      <c r="S137" s="822">
        <v>5.0000000000000001E-3</v>
      </c>
      <c r="T137" s="719">
        <v>8.0000000000000002E-3</v>
      </c>
      <c r="U137" s="719">
        <v>8.0000000000000002E-3</v>
      </c>
      <c r="V137" s="719">
        <v>8.9999999999999993E-3</v>
      </c>
      <c r="W137" s="719">
        <v>8.0000000000000002E-3</v>
      </c>
      <c r="X137" s="719">
        <v>8.0000000000000002E-3</v>
      </c>
      <c r="Y137" s="719">
        <v>8.0000000000000002E-3</v>
      </c>
      <c r="Z137" s="719">
        <v>8.0000000000000002E-3</v>
      </c>
      <c r="AA137" s="719">
        <v>8.0000000000000002E-3</v>
      </c>
      <c r="AB137" s="719">
        <v>8.9999999999999993E-3</v>
      </c>
      <c r="AC137" s="305">
        <v>4.0000000000000001E-3</v>
      </c>
      <c r="AD137" s="305">
        <v>4.0000000000000001E-3</v>
      </c>
      <c r="AE137" s="305">
        <v>4.0000000000000001E-3</v>
      </c>
      <c r="AF137" s="305">
        <v>5.0000000000000001E-3</v>
      </c>
      <c r="AG137" s="305">
        <v>5.0000000000000001E-3</v>
      </c>
      <c r="AH137" s="305">
        <v>4.0000000000000001E-3</v>
      </c>
      <c r="AI137" s="305">
        <v>4.0000000000000001E-3</v>
      </c>
      <c r="AJ137" s="305">
        <v>4.0000000000000001E-3</v>
      </c>
      <c r="AK137" s="305">
        <v>5.0000000000000001E-3</v>
      </c>
      <c r="AL137" s="305">
        <v>5.0000000000000001E-3</v>
      </c>
      <c r="AM137" s="305">
        <v>4.0000000000000001E-3</v>
      </c>
      <c r="AN137" s="305">
        <v>4.0000000000000001E-3</v>
      </c>
      <c r="AO137" s="305"/>
      <c r="AP137" s="305"/>
      <c r="AQ137" s="305"/>
      <c r="AR137" s="305"/>
      <c r="AS137" s="305"/>
      <c r="AT137" s="305"/>
      <c r="AU137" s="305"/>
      <c r="AV137" s="305"/>
      <c r="AW137" s="305"/>
      <c r="AX137" s="305"/>
      <c r="AY137" s="305"/>
      <c r="AZ137" s="305"/>
      <c r="BA137" s="941"/>
      <c r="BB137" s="941"/>
      <c r="BC137" s="941"/>
      <c r="BE137" s="460"/>
      <c r="BR137" s="934"/>
    </row>
    <row r="138" spans="1:70">
      <c r="A138" s="548"/>
      <c r="C138">
        <v>11</v>
      </c>
      <c r="D138" s="209" t="s">
        <v>65</v>
      </c>
      <c r="E138" s="625">
        <v>6.0000000000000001E-3</v>
      </c>
      <c r="F138" s="625">
        <v>6.0000000000000001E-3</v>
      </c>
      <c r="G138" s="625">
        <v>6.0000000000000001E-3</v>
      </c>
      <c r="H138" s="625">
        <v>7.0000000000000001E-3</v>
      </c>
      <c r="I138" s="625">
        <v>6.0000000000000001E-3</v>
      </c>
      <c r="J138" s="625">
        <v>5.0000000000000001E-3</v>
      </c>
      <c r="K138" s="625">
        <v>7.0000000000000001E-3</v>
      </c>
      <c r="L138" s="625">
        <v>7.0000000000000001E-3</v>
      </c>
      <c r="M138" s="625">
        <v>7.0000000000000001E-3</v>
      </c>
      <c r="N138" s="625">
        <v>7.0000000000000001E-3</v>
      </c>
      <c r="O138" s="625">
        <v>7.0000000000000001E-3</v>
      </c>
      <c r="P138" s="625">
        <v>7.0000000000000001E-3</v>
      </c>
      <c r="Q138" s="821">
        <v>7.0000000000000001E-3</v>
      </c>
      <c r="R138" s="822">
        <v>8.0000000000000002E-3</v>
      </c>
      <c r="S138" s="822">
        <v>7.0000000000000001E-3</v>
      </c>
      <c r="T138" s="719">
        <v>0.01</v>
      </c>
      <c r="U138" s="719">
        <v>0.01</v>
      </c>
      <c r="V138" s="719">
        <v>8.9999999999999993E-3</v>
      </c>
      <c r="W138" s="719">
        <v>0.01</v>
      </c>
      <c r="X138" s="719">
        <v>0.01</v>
      </c>
      <c r="Y138" s="719">
        <v>1.0999999999999999E-2</v>
      </c>
      <c r="Z138" s="719">
        <v>1.0999999999999999E-2</v>
      </c>
      <c r="AA138" s="719">
        <v>0.01</v>
      </c>
      <c r="AB138" s="719">
        <v>1.0999999999999999E-2</v>
      </c>
      <c r="AC138" s="305">
        <v>0.01</v>
      </c>
      <c r="AD138" s="305">
        <v>1.0999999999999999E-2</v>
      </c>
      <c r="AE138" s="305">
        <v>8.9999999999999993E-3</v>
      </c>
      <c r="AF138" s="305">
        <v>1.0999999999999999E-2</v>
      </c>
      <c r="AG138" s="305">
        <v>1.0999999999999999E-2</v>
      </c>
      <c r="AH138" s="305">
        <v>8.9999999999999993E-3</v>
      </c>
      <c r="AI138" s="305">
        <v>0.01</v>
      </c>
      <c r="AJ138" s="305">
        <v>1.0999999999999999E-2</v>
      </c>
      <c r="AK138" s="305">
        <v>1.0999999999999999E-2</v>
      </c>
      <c r="AL138" s="305">
        <v>0.01</v>
      </c>
      <c r="AM138" s="305">
        <v>8.9999999999999993E-3</v>
      </c>
      <c r="AN138" s="305">
        <v>1.0999999999999999E-2</v>
      </c>
      <c r="AO138" s="305"/>
      <c r="AP138" s="305"/>
      <c r="AQ138" s="305"/>
      <c r="AR138" s="305"/>
      <c r="AS138" s="305"/>
      <c r="AT138" s="305"/>
      <c r="AU138" s="305"/>
      <c r="AV138" s="305"/>
      <c r="AW138" s="305"/>
      <c r="AX138" s="305"/>
      <c r="AY138" s="305"/>
      <c r="AZ138" s="305"/>
      <c r="BA138" s="941"/>
      <c r="BB138" s="941"/>
      <c r="BC138" s="941"/>
      <c r="BE138" s="460"/>
      <c r="BR138" s="934"/>
    </row>
    <row r="139" spans="1:70">
      <c r="A139" s="548"/>
      <c r="C139">
        <v>12</v>
      </c>
      <c r="D139" s="209" t="s">
        <v>66</v>
      </c>
      <c r="E139" s="625">
        <v>0.06</v>
      </c>
      <c r="F139" s="625">
        <v>5.7000000000000002E-2</v>
      </c>
      <c r="G139" s="625">
        <v>5.5E-2</v>
      </c>
      <c r="H139" s="625">
        <v>5.8000000000000003E-2</v>
      </c>
      <c r="I139" s="625">
        <v>5.8000000000000003E-2</v>
      </c>
      <c r="J139" s="625">
        <v>5.7000000000000002E-2</v>
      </c>
      <c r="K139" s="625">
        <v>6.2E-2</v>
      </c>
      <c r="L139" s="625">
        <v>6.0999999999999999E-2</v>
      </c>
      <c r="M139" s="625">
        <v>6.3E-2</v>
      </c>
      <c r="N139" s="625">
        <v>6.0999999999999999E-2</v>
      </c>
      <c r="O139" s="625">
        <v>5.8000000000000003E-2</v>
      </c>
      <c r="P139" s="625">
        <v>6.0999999999999999E-2</v>
      </c>
      <c r="Q139" s="821">
        <v>6.4000000000000001E-2</v>
      </c>
      <c r="R139" s="822">
        <v>3.5999999999999997E-2</v>
      </c>
      <c r="S139" s="822">
        <v>6.4000000000000001E-2</v>
      </c>
      <c r="T139" s="719">
        <v>7.0999999999999994E-2</v>
      </c>
      <c r="U139" s="719">
        <v>7.0000000000000007E-2</v>
      </c>
      <c r="V139" s="719">
        <v>7.0000000000000007E-2</v>
      </c>
      <c r="W139" s="719">
        <v>7.5999999999999998E-2</v>
      </c>
      <c r="X139" s="719">
        <v>7.3999999999999996E-2</v>
      </c>
      <c r="Y139" s="719">
        <v>7.5999999999999998E-2</v>
      </c>
      <c r="Z139" s="719">
        <v>7.9000000000000001E-2</v>
      </c>
      <c r="AA139" s="719">
        <v>7.3999999999999996E-2</v>
      </c>
      <c r="AB139" s="719">
        <v>8.1000000000000003E-2</v>
      </c>
      <c r="AC139" s="305">
        <v>6.5000000000000002E-2</v>
      </c>
      <c r="AD139" s="305">
        <v>6.6000000000000003E-2</v>
      </c>
      <c r="AE139" s="305">
        <v>6.5000000000000002E-2</v>
      </c>
      <c r="AF139" s="305">
        <v>6.6000000000000003E-2</v>
      </c>
      <c r="AG139" s="305">
        <v>6.8000000000000005E-2</v>
      </c>
      <c r="AH139" s="305">
        <v>6.9000000000000006E-2</v>
      </c>
      <c r="AI139" s="305">
        <v>6.8000000000000005E-2</v>
      </c>
      <c r="AJ139" s="305">
        <v>6.9000000000000006E-2</v>
      </c>
      <c r="AK139" s="305">
        <v>6.9000000000000006E-2</v>
      </c>
      <c r="AL139" s="305">
        <v>0.68</v>
      </c>
      <c r="AM139" s="305">
        <v>6.6000000000000003E-2</v>
      </c>
      <c r="AN139" s="305">
        <v>7.0999999999999994E-2</v>
      </c>
      <c r="AO139" s="305"/>
      <c r="AP139" s="305"/>
      <c r="AQ139" s="305"/>
      <c r="AR139" s="305"/>
      <c r="AS139" s="305"/>
      <c r="AT139" s="305"/>
      <c r="AU139" s="305"/>
      <c r="AV139" s="305"/>
      <c r="AW139" s="305"/>
      <c r="AX139" s="305"/>
      <c r="AY139" s="305"/>
      <c r="AZ139" s="305"/>
      <c r="BA139" s="941"/>
      <c r="BB139" s="941"/>
      <c r="BC139" s="941"/>
      <c r="BE139" s="460"/>
      <c r="BR139" s="934"/>
    </row>
    <row r="140" spans="1:70">
      <c r="A140" s="548"/>
      <c r="C140">
        <v>13</v>
      </c>
      <c r="D140" s="209" t="s">
        <v>67</v>
      </c>
      <c r="E140" s="625">
        <v>4.1000000000000002E-2</v>
      </c>
      <c r="F140" s="625">
        <v>4.4999999999999998E-2</v>
      </c>
      <c r="G140" s="625">
        <v>4.5999999999999999E-2</v>
      </c>
      <c r="H140" s="625">
        <v>4.7E-2</v>
      </c>
      <c r="I140" s="625">
        <v>4.7E-2</v>
      </c>
      <c r="J140" s="625">
        <v>4.7E-2</v>
      </c>
      <c r="K140" s="625">
        <v>4.7E-2</v>
      </c>
      <c r="L140" s="625">
        <v>4.7E-2</v>
      </c>
      <c r="M140" s="625">
        <v>4.8000000000000001E-2</v>
      </c>
      <c r="N140" s="625">
        <v>4.9000000000000002E-2</v>
      </c>
      <c r="O140" s="625">
        <v>4.5999999999999999E-2</v>
      </c>
      <c r="P140" s="625">
        <v>0.05</v>
      </c>
      <c r="Q140" s="821">
        <v>5.2999999999999999E-2</v>
      </c>
      <c r="R140" s="822">
        <v>5.7000000000000002E-2</v>
      </c>
      <c r="S140" s="822">
        <v>5.0999999999999997E-2</v>
      </c>
      <c r="T140" s="719">
        <v>5.8000000000000003E-2</v>
      </c>
      <c r="U140" s="719">
        <v>5.8000000000000003E-2</v>
      </c>
      <c r="V140" s="719">
        <v>5.8000000000000003E-2</v>
      </c>
      <c r="W140" s="719">
        <v>6.4000000000000001E-2</v>
      </c>
      <c r="X140" s="719">
        <v>6.0999999999999999E-2</v>
      </c>
      <c r="Y140" s="719">
        <v>6.2E-2</v>
      </c>
      <c r="Z140" s="719">
        <v>6.5000000000000002E-2</v>
      </c>
      <c r="AA140" s="719">
        <v>6.2E-2</v>
      </c>
      <c r="AB140" s="719">
        <v>6.4000000000000001E-2</v>
      </c>
      <c r="AC140" s="305">
        <v>6.0999999999999999E-2</v>
      </c>
      <c r="AD140" s="305">
        <v>6.4000000000000001E-2</v>
      </c>
      <c r="AE140" s="305">
        <v>6.2E-2</v>
      </c>
      <c r="AF140" s="305">
        <v>6.4000000000000001E-2</v>
      </c>
      <c r="AG140" s="305">
        <v>6.5000000000000002E-2</v>
      </c>
      <c r="AH140" s="305">
        <v>6.3E-2</v>
      </c>
      <c r="AI140" s="305">
        <v>6.3E-2</v>
      </c>
      <c r="AJ140" s="305">
        <v>6.2E-2</v>
      </c>
      <c r="AK140" s="305">
        <v>6.4000000000000001E-2</v>
      </c>
      <c r="AL140" s="305">
        <v>6.4000000000000001E-2</v>
      </c>
      <c r="AM140" s="305">
        <v>5.8999999999999997E-2</v>
      </c>
      <c r="AN140" s="305">
        <v>6.4000000000000001E-2</v>
      </c>
      <c r="AO140" s="305"/>
      <c r="AP140" s="305"/>
      <c r="AQ140" s="305"/>
      <c r="AR140" s="305"/>
      <c r="AS140" s="305"/>
      <c r="AT140" s="305"/>
      <c r="AU140" s="305"/>
      <c r="AV140" s="305"/>
      <c r="AW140" s="305"/>
      <c r="AX140" s="305"/>
      <c r="AY140" s="305"/>
      <c r="AZ140" s="305"/>
      <c r="BA140" s="941"/>
      <c r="BB140" s="941"/>
      <c r="BC140" s="941"/>
      <c r="BE140" s="460"/>
      <c r="BR140" s="934"/>
    </row>
    <row r="141" spans="1:70">
      <c r="A141" s="548"/>
      <c r="C141">
        <v>14</v>
      </c>
      <c r="D141" s="209" t="s">
        <v>68</v>
      </c>
      <c r="E141" s="625">
        <v>7.0000000000000001E-3</v>
      </c>
      <c r="F141" s="625">
        <v>0.01</v>
      </c>
      <c r="G141" s="625">
        <v>7.0000000000000001E-3</v>
      </c>
      <c r="H141" s="625">
        <v>8.0000000000000002E-3</v>
      </c>
      <c r="I141" s="625">
        <v>4.0000000000000001E-3</v>
      </c>
      <c r="J141" s="625">
        <v>8.9999999999999993E-3</v>
      </c>
      <c r="K141" s="625">
        <v>8.9999999999999993E-3</v>
      </c>
      <c r="L141" s="625">
        <v>0.01</v>
      </c>
      <c r="M141" s="625">
        <v>1.0999999999999999E-2</v>
      </c>
      <c r="N141" s="625">
        <v>1.0999999999999999E-2</v>
      </c>
      <c r="O141" s="625">
        <v>0.01</v>
      </c>
      <c r="P141" s="625">
        <v>1.0999999999999999E-2</v>
      </c>
      <c r="Q141" s="821">
        <v>1.2999999999999999E-2</v>
      </c>
      <c r="R141" s="822">
        <v>1.7000000000000001E-2</v>
      </c>
      <c r="S141" s="822">
        <v>1.4E-2</v>
      </c>
      <c r="T141" s="719">
        <v>1.2E-2</v>
      </c>
      <c r="U141" s="719">
        <v>8.0000000000000002E-3</v>
      </c>
      <c r="V141" s="719">
        <v>1.2999999999999999E-2</v>
      </c>
      <c r="W141" s="719">
        <v>8.9999999999999993E-3</v>
      </c>
      <c r="X141" s="719">
        <v>0.01</v>
      </c>
      <c r="Y141" s="719">
        <v>7.0000000000000001E-3</v>
      </c>
      <c r="Z141" s="719">
        <v>3.0000000000000001E-3</v>
      </c>
      <c r="AA141" s="719">
        <v>3.0000000000000001E-3</v>
      </c>
      <c r="AB141" s="719">
        <v>2.1000000000000001E-2</v>
      </c>
      <c r="AC141" s="305">
        <v>1.4999999999999999E-2</v>
      </c>
      <c r="AD141" s="305">
        <v>1.4E-2</v>
      </c>
      <c r="AE141" s="305">
        <v>1.4999999999999999E-2</v>
      </c>
      <c r="AF141" s="305">
        <v>1.4E-2</v>
      </c>
      <c r="AG141" s="305">
        <v>1.4999999999999999E-2</v>
      </c>
      <c r="AH141" s="305">
        <v>1.4E-2</v>
      </c>
      <c r="AI141" s="305">
        <v>1.4E-2</v>
      </c>
      <c r="AJ141" s="305">
        <v>1.4E-2</v>
      </c>
      <c r="AK141" s="305">
        <v>1.4999999999999999E-2</v>
      </c>
      <c r="AL141" s="305">
        <v>1.4E-2</v>
      </c>
      <c r="AM141" s="305">
        <v>1.2E-2</v>
      </c>
      <c r="AN141" s="305">
        <v>1.4999999999999999E-2</v>
      </c>
      <c r="AO141" s="305"/>
      <c r="AP141" s="305"/>
      <c r="AQ141" s="305"/>
      <c r="AR141" s="305"/>
      <c r="AS141" s="305"/>
      <c r="AT141" s="305"/>
      <c r="AU141" s="305"/>
      <c r="AV141" s="305"/>
      <c r="AW141" s="305"/>
      <c r="AX141" s="305"/>
      <c r="AY141" s="305"/>
      <c r="AZ141" s="305"/>
      <c r="BA141" s="941"/>
      <c r="BB141" s="941"/>
      <c r="BC141" s="941"/>
      <c r="BE141" s="460"/>
      <c r="BR141" s="934"/>
    </row>
    <row r="142" spans="1:70">
      <c r="A142" s="548"/>
      <c r="C142">
        <v>15</v>
      </c>
      <c r="D142" s="209" t="s">
        <v>69</v>
      </c>
      <c r="E142" s="625">
        <v>0</v>
      </c>
      <c r="F142" s="625">
        <v>1E-3</v>
      </c>
      <c r="G142" s="625">
        <v>0</v>
      </c>
      <c r="H142" s="625">
        <v>0</v>
      </c>
      <c r="I142" s="625">
        <v>0</v>
      </c>
      <c r="J142" s="625">
        <v>1E-3</v>
      </c>
      <c r="K142" s="625">
        <v>0</v>
      </c>
      <c r="L142" s="625">
        <v>0</v>
      </c>
      <c r="M142" s="625">
        <v>0</v>
      </c>
      <c r="N142" s="625">
        <v>0</v>
      </c>
      <c r="O142" s="625">
        <v>0</v>
      </c>
      <c r="P142" s="625">
        <v>1E-3</v>
      </c>
      <c r="Q142" s="1077">
        <v>0</v>
      </c>
      <c r="R142" s="1077">
        <v>0</v>
      </c>
      <c r="S142" s="822">
        <v>1E-3</v>
      </c>
      <c r="T142" s="719">
        <v>3.0000000000000001E-3</v>
      </c>
      <c r="U142" s="719">
        <v>3.0000000000000001E-3</v>
      </c>
      <c r="V142" s="719">
        <v>3.0000000000000001E-3</v>
      </c>
      <c r="W142" s="719">
        <v>3.0000000000000001E-3</v>
      </c>
      <c r="X142" s="719">
        <v>3.0000000000000001E-3</v>
      </c>
      <c r="Y142" s="719">
        <v>3.0000000000000001E-3</v>
      </c>
      <c r="Z142" s="719">
        <v>3.0000000000000001E-3</v>
      </c>
      <c r="AA142" s="719">
        <v>3.0000000000000001E-3</v>
      </c>
      <c r="AB142" s="719">
        <v>4.0000000000000001E-3</v>
      </c>
      <c r="AC142" s="305">
        <v>0</v>
      </c>
      <c r="AD142" s="305">
        <v>0</v>
      </c>
      <c r="AE142" s="305">
        <v>1E-3</v>
      </c>
      <c r="AF142" s="305">
        <v>0</v>
      </c>
      <c r="AG142" s="305">
        <v>0</v>
      </c>
      <c r="AH142" s="305">
        <v>0</v>
      </c>
      <c r="AI142" s="305">
        <v>0</v>
      </c>
      <c r="AJ142" s="305">
        <v>0</v>
      </c>
      <c r="AK142" s="305">
        <v>0</v>
      </c>
      <c r="AL142" s="305">
        <v>0</v>
      </c>
      <c r="AM142" s="305">
        <v>0</v>
      </c>
      <c r="AN142" s="305">
        <v>0</v>
      </c>
      <c r="AO142" s="305"/>
      <c r="AP142" s="305"/>
      <c r="AQ142" s="305"/>
      <c r="AR142" s="305"/>
      <c r="AS142" s="305"/>
      <c r="AT142" s="305"/>
      <c r="AU142" s="305"/>
      <c r="AV142" s="305"/>
      <c r="AW142" s="305"/>
      <c r="AX142" s="305"/>
      <c r="AY142" s="305"/>
      <c r="AZ142" s="305"/>
      <c r="BA142" s="941"/>
      <c r="BB142" s="941"/>
      <c r="BC142" s="941"/>
      <c r="BE142" s="460"/>
      <c r="BR142" s="934"/>
    </row>
    <row r="143" spans="1:70">
      <c r="A143" s="548"/>
      <c r="C143">
        <v>16</v>
      </c>
      <c r="D143" s="209" t="s">
        <v>70</v>
      </c>
      <c r="E143" s="625"/>
      <c r="F143" s="625"/>
      <c r="G143" s="625"/>
      <c r="H143" s="625"/>
      <c r="I143" s="625"/>
      <c r="J143" s="625"/>
      <c r="K143" s="625"/>
      <c r="L143" s="625"/>
      <c r="M143" s="625"/>
      <c r="N143" s="625"/>
      <c r="O143" s="625"/>
      <c r="P143" s="625"/>
      <c r="Q143" s="821">
        <v>0</v>
      </c>
      <c r="R143" s="821">
        <v>0</v>
      </c>
      <c r="S143" s="821">
        <v>0</v>
      </c>
      <c r="T143" s="821">
        <v>0</v>
      </c>
      <c r="U143" s="821">
        <v>0</v>
      </c>
      <c r="V143" s="821">
        <v>0</v>
      </c>
      <c r="W143" s="821">
        <v>0</v>
      </c>
      <c r="X143" s="821">
        <v>0</v>
      </c>
      <c r="Y143" s="821">
        <v>0</v>
      </c>
      <c r="Z143" s="821">
        <v>0</v>
      </c>
      <c r="AA143" s="821">
        <v>0</v>
      </c>
      <c r="AB143" s="821">
        <v>0</v>
      </c>
      <c r="AC143" s="305"/>
      <c r="AD143" s="305"/>
      <c r="AE143" s="305"/>
      <c r="AF143" s="305"/>
      <c r="AG143" s="305"/>
      <c r="AH143" s="305"/>
      <c r="AI143" s="305"/>
      <c r="AJ143" s="305"/>
      <c r="AK143" s="305"/>
      <c r="AL143" s="305"/>
      <c r="AM143" s="305"/>
      <c r="AN143" s="305"/>
      <c r="AO143" s="305"/>
      <c r="AP143" s="305"/>
      <c r="AQ143" s="305"/>
      <c r="AR143" s="305"/>
      <c r="AS143" s="305"/>
      <c r="AT143" s="305"/>
      <c r="AU143" s="305"/>
      <c r="AV143" s="305"/>
      <c r="AW143" s="305"/>
      <c r="AX143" s="305"/>
      <c r="AY143" s="305"/>
      <c r="AZ143" s="305"/>
      <c r="BA143" s="941"/>
      <c r="BB143" s="941"/>
      <c r="BC143" s="941"/>
      <c r="BE143" s="460"/>
      <c r="BR143" s="934"/>
    </row>
    <row r="144" spans="1:70">
      <c r="A144" s="548"/>
      <c r="BE144" s="460"/>
      <c r="BR144" s="934"/>
    </row>
    <row r="145" spans="1:70">
      <c r="A145" s="548"/>
      <c r="BE145" s="460"/>
      <c r="BR145" s="934"/>
    </row>
    <row r="146" spans="1:70">
      <c r="A146" s="548"/>
      <c r="BE146" s="460"/>
      <c r="BR146" s="934"/>
    </row>
    <row r="147" spans="1:70">
      <c r="A147" s="548"/>
      <c r="C147">
        <v>1</v>
      </c>
      <c r="E147">
        <v>202304</v>
      </c>
      <c r="F147">
        <v>202305</v>
      </c>
      <c r="G147">
        <v>202306</v>
      </c>
      <c r="H147">
        <v>202307</v>
      </c>
      <c r="I147">
        <v>202308</v>
      </c>
      <c r="J147">
        <v>202309</v>
      </c>
      <c r="K147">
        <v>202310</v>
      </c>
      <c r="L147">
        <v>202311</v>
      </c>
      <c r="M147">
        <v>202312</v>
      </c>
      <c r="N147">
        <v>202401</v>
      </c>
      <c r="O147">
        <v>202402</v>
      </c>
      <c r="P147">
        <v>202403</v>
      </c>
      <c r="Q147">
        <v>202404</v>
      </c>
      <c r="R147">
        <v>202405</v>
      </c>
      <c r="S147">
        <v>202406</v>
      </c>
      <c r="T147">
        <v>202407</v>
      </c>
      <c r="U147">
        <v>202408</v>
      </c>
      <c r="V147">
        <v>202409</v>
      </c>
      <c r="W147">
        <v>202410</v>
      </c>
      <c r="X147">
        <v>202411</v>
      </c>
      <c r="Y147">
        <v>202412</v>
      </c>
      <c r="Z147">
        <v>202501</v>
      </c>
      <c r="AA147">
        <v>202502</v>
      </c>
      <c r="AB147">
        <v>202503</v>
      </c>
      <c r="AC147">
        <v>202504</v>
      </c>
      <c r="AD147">
        <v>202505</v>
      </c>
      <c r="AE147">
        <v>202506</v>
      </c>
      <c r="AF147">
        <v>202507</v>
      </c>
      <c r="AG147">
        <v>202508</v>
      </c>
      <c r="AH147">
        <v>202509</v>
      </c>
      <c r="AI147">
        <v>202510</v>
      </c>
      <c r="AJ147">
        <v>202511</v>
      </c>
      <c r="AK147">
        <v>202512</v>
      </c>
      <c r="AL147">
        <v>202601</v>
      </c>
      <c r="AM147">
        <v>202602</v>
      </c>
      <c r="AN147">
        <v>202603</v>
      </c>
      <c r="AO147">
        <v>202604</v>
      </c>
      <c r="AP147">
        <v>202605</v>
      </c>
      <c r="AQ147">
        <v>202606</v>
      </c>
      <c r="AR147">
        <v>202607</v>
      </c>
      <c r="AS147">
        <v>202608</v>
      </c>
      <c r="AT147">
        <v>202609</v>
      </c>
      <c r="AU147">
        <v>202610</v>
      </c>
      <c r="AV147">
        <v>202611</v>
      </c>
      <c r="AW147">
        <v>202612</v>
      </c>
      <c r="AX147">
        <v>202701</v>
      </c>
      <c r="AY147">
        <v>202702</v>
      </c>
      <c r="AZ147">
        <v>202703</v>
      </c>
      <c r="BE147" s="460"/>
      <c r="BR147" s="934"/>
    </row>
    <row r="148" spans="1:70">
      <c r="A148" s="548"/>
      <c r="C148">
        <v>2</v>
      </c>
      <c r="E148" s="184" t="s">
        <v>726</v>
      </c>
      <c r="F148" s="184" t="s">
        <v>727</v>
      </c>
      <c r="G148" s="184" t="s">
        <v>728</v>
      </c>
      <c r="H148" s="184" t="s">
        <v>729</v>
      </c>
      <c r="I148" s="184" t="s">
        <v>730</v>
      </c>
      <c r="J148" s="184" t="s">
        <v>731</v>
      </c>
      <c r="K148" s="184" t="s">
        <v>732</v>
      </c>
      <c r="L148" s="184" t="s">
        <v>733</v>
      </c>
      <c r="M148" s="184" t="s">
        <v>734</v>
      </c>
      <c r="N148" s="184" t="s">
        <v>735</v>
      </c>
      <c r="O148" s="184" t="s">
        <v>736</v>
      </c>
      <c r="P148" s="184" t="s">
        <v>737</v>
      </c>
      <c r="Q148" s="184" t="s">
        <v>738</v>
      </c>
      <c r="R148" s="184" t="s">
        <v>740</v>
      </c>
      <c r="S148" s="184" t="s">
        <v>741</v>
      </c>
      <c r="T148" s="184" t="s">
        <v>742</v>
      </c>
      <c r="U148" s="184" t="s">
        <v>743</v>
      </c>
      <c r="V148" s="184" t="s">
        <v>744</v>
      </c>
      <c r="W148" s="184" t="s">
        <v>745</v>
      </c>
      <c r="X148" s="184" t="s">
        <v>746</v>
      </c>
      <c r="Y148" s="184" t="s">
        <v>747</v>
      </c>
      <c r="Z148" s="184" t="s">
        <v>748</v>
      </c>
      <c r="AA148" s="184" t="s">
        <v>749</v>
      </c>
      <c r="AB148" s="184" t="s">
        <v>750</v>
      </c>
      <c r="AC148" s="184" t="s">
        <v>739</v>
      </c>
      <c r="AD148" s="184" t="s">
        <v>751</v>
      </c>
      <c r="AE148" s="184" t="s">
        <v>752</v>
      </c>
      <c r="AF148" s="184" t="s">
        <v>753</v>
      </c>
      <c r="AG148" s="184" t="s">
        <v>754</v>
      </c>
      <c r="AH148" s="184" t="s">
        <v>755</v>
      </c>
      <c r="AI148" s="184" t="s">
        <v>756</v>
      </c>
      <c r="AJ148" s="184" t="s">
        <v>757</v>
      </c>
      <c r="AK148" s="184" t="s">
        <v>758</v>
      </c>
      <c r="AL148" s="184" t="s">
        <v>759</v>
      </c>
      <c r="AM148" s="184" t="s">
        <v>760</v>
      </c>
      <c r="AN148" s="184" t="s">
        <v>761</v>
      </c>
      <c r="AO148" s="184" t="s">
        <v>2150</v>
      </c>
      <c r="AP148" s="932" t="s">
        <v>2151</v>
      </c>
      <c r="AQ148" s="932" t="s">
        <v>2152</v>
      </c>
      <c r="AR148" s="184" t="s">
        <v>2153</v>
      </c>
      <c r="AS148" s="184" t="s">
        <v>2154</v>
      </c>
      <c r="AT148" s="184" t="s">
        <v>2155</v>
      </c>
      <c r="AU148" s="184" t="s">
        <v>2156</v>
      </c>
      <c r="AV148" s="184" t="s">
        <v>2157</v>
      </c>
      <c r="AW148" s="184" t="s">
        <v>2158</v>
      </c>
      <c r="AX148" s="184" t="s">
        <v>2159</v>
      </c>
      <c r="AY148" s="184" t="s">
        <v>2160</v>
      </c>
      <c r="AZ148" s="184" t="s">
        <v>2149</v>
      </c>
      <c r="BE148" s="460"/>
      <c r="BR148" s="934"/>
    </row>
    <row r="149" spans="1:70">
      <c r="A149" s="548"/>
      <c r="C149">
        <v>3</v>
      </c>
      <c r="D149" s="209" t="s">
        <v>60</v>
      </c>
      <c r="E149" s="625">
        <v>5.8000000000000003E-2</v>
      </c>
      <c r="F149" s="625">
        <v>4.2999999999999997E-2</v>
      </c>
      <c r="G149" s="625">
        <v>3.4000000000000002E-2</v>
      </c>
      <c r="H149" s="625">
        <v>4.3999999999999997E-2</v>
      </c>
      <c r="I149" s="625">
        <v>4.1000000000000002E-2</v>
      </c>
      <c r="J149" s="625">
        <v>3.9E-2</v>
      </c>
      <c r="K149" s="625">
        <v>4.4999999999999998E-2</v>
      </c>
      <c r="L149" s="625">
        <v>5.0999999999999997E-2</v>
      </c>
      <c r="M149" s="625">
        <v>6.2E-2</v>
      </c>
      <c r="N149" s="625">
        <v>6.9000000000000006E-2</v>
      </c>
      <c r="O149" s="625">
        <v>6.6000000000000003E-2</v>
      </c>
      <c r="P149" s="625">
        <v>7.0000000000000007E-2</v>
      </c>
      <c r="Q149" s="821">
        <v>0.06</v>
      </c>
      <c r="R149" s="821">
        <v>4.7E-2</v>
      </c>
      <c r="S149" s="821">
        <v>4.1000000000000002E-2</v>
      </c>
      <c r="T149" s="305">
        <v>4.2999999999999997E-2</v>
      </c>
      <c r="U149" s="305">
        <v>0.04</v>
      </c>
      <c r="V149" s="305">
        <v>4.2999999999999997E-2</v>
      </c>
      <c r="W149" s="305">
        <v>5.5E-2</v>
      </c>
      <c r="X149" s="305">
        <v>6.8000000000000005E-2</v>
      </c>
      <c r="Y149" s="305">
        <v>7.8E-2</v>
      </c>
      <c r="Z149" s="305">
        <v>8.1000000000000003E-2</v>
      </c>
      <c r="AA149" s="305">
        <v>7.0999999999999994E-2</v>
      </c>
      <c r="AB149" s="305">
        <v>7.1999999999999995E-2</v>
      </c>
      <c r="AC149" s="305">
        <v>6.8000000000000005E-2</v>
      </c>
      <c r="AD149" s="305">
        <v>7.0000000000000007E-2</v>
      </c>
      <c r="AE149" s="305">
        <v>6.9000000000000006E-2</v>
      </c>
      <c r="AF149" s="305">
        <v>7.0000000000000007E-2</v>
      </c>
      <c r="AG149" s="305">
        <v>7.0000000000000007E-2</v>
      </c>
      <c r="AH149" s="305">
        <v>6.9000000000000006E-2</v>
      </c>
      <c r="AI149" s="305">
        <v>7.0000000000000007E-2</v>
      </c>
      <c r="AJ149" s="305">
        <v>6.9000000000000006E-2</v>
      </c>
      <c r="AK149" s="305">
        <v>7.0000000000000007E-2</v>
      </c>
      <c r="AL149" s="305">
        <v>7.0000000000000007E-2</v>
      </c>
      <c r="AM149" s="305">
        <v>6.7000000000000004E-2</v>
      </c>
      <c r="AN149" s="305">
        <v>7.0000000000000007E-2</v>
      </c>
      <c r="AO149" s="305"/>
      <c r="AP149" s="305"/>
      <c r="AQ149" s="305"/>
      <c r="AR149" s="305"/>
      <c r="AS149" s="305"/>
      <c r="AT149" s="305"/>
      <c r="AU149" s="305"/>
      <c r="AV149" s="305"/>
      <c r="AW149" s="305"/>
      <c r="AX149" s="305"/>
      <c r="AY149" s="305"/>
      <c r="AZ149" s="305"/>
      <c r="BA149" s="941"/>
      <c r="BB149" s="941"/>
      <c r="BC149" s="941"/>
      <c r="BE149" s="460"/>
      <c r="BR149" s="934"/>
    </row>
    <row r="150" spans="1:70">
      <c r="A150" s="548"/>
      <c r="C150">
        <v>4</v>
      </c>
      <c r="D150" s="209" t="s">
        <v>61</v>
      </c>
      <c r="E150" s="625">
        <v>0.10199999999999999</v>
      </c>
      <c r="F150" s="625">
        <v>0.106</v>
      </c>
      <c r="G150" s="625">
        <v>9.8000000000000004E-2</v>
      </c>
      <c r="H150" s="625">
        <v>8.2000000000000003E-2</v>
      </c>
      <c r="I150" s="625">
        <v>9.9000000000000005E-2</v>
      </c>
      <c r="J150" s="625">
        <v>9.0999999999999998E-2</v>
      </c>
      <c r="K150" s="625">
        <v>9.5000000000000001E-2</v>
      </c>
      <c r="L150" s="625">
        <v>9.2999999999999999E-2</v>
      </c>
      <c r="M150" s="625">
        <v>9.7000000000000003E-2</v>
      </c>
      <c r="N150" s="625">
        <v>9.2999999999999999E-2</v>
      </c>
      <c r="O150" s="625">
        <v>8.7999999999999995E-2</v>
      </c>
      <c r="P150" s="625">
        <v>7.9000000000000001E-2</v>
      </c>
      <c r="Q150" s="821">
        <v>8.1000000000000003E-2</v>
      </c>
      <c r="R150" s="821">
        <v>8.4000000000000005E-2</v>
      </c>
      <c r="S150" s="821">
        <v>8.3000000000000004E-2</v>
      </c>
      <c r="T150" s="305">
        <v>0.08</v>
      </c>
      <c r="U150" s="305">
        <v>9.6000000000000002E-2</v>
      </c>
      <c r="V150" s="305">
        <v>9.2999999999999999E-2</v>
      </c>
      <c r="W150" s="305">
        <v>9.6000000000000002E-2</v>
      </c>
      <c r="X150" s="305">
        <v>9.4E-2</v>
      </c>
      <c r="Y150" s="305">
        <v>9.4E-2</v>
      </c>
      <c r="Z150" s="305">
        <v>9.1999999999999998E-2</v>
      </c>
      <c r="AA150" s="305">
        <v>8.5000000000000006E-2</v>
      </c>
      <c r="AB150" s="305">
        <v>7.8E-2</v>
      </c>
      <c r="AC150" s="305">
        <v>8.3000000000000004E-2</v>
      </c>
      <c r="AD150" s="305">
        <v>8.5000000000000006E-2</v>
      </c>
      <c r="AE150" s="305">
        <v>8.3000000000000004E-2</v>
      </c>
      <c r="AF150" s="305">
        <v>8.5999999999999993E-2</v>
      </c>
      <c r="AG150" s="305">
        <v>8.5999999999999993E-2</v>
      </c>
      <c r="AH150" s="305">
        <v>8.4000000000000005E-2</v>
      </c>
      <c r="AI150" s="305">
        <v>8.5999999999999993E-2</v>
      </c>
      <c r="AJ150" s="305">
        <v>8.5999999999999993E-2</v>
      </c>
      <c r="AK150" s="305">
        <v>8.5999999999999993E-2</v>
      </c>
      <c r="AL150" s="305">
        <v>8.5999999999999993E-2</v>
      </c>
      <c r="AM150" s="305">
        <v>8.2000000000000003E-2</v>
      </c>
      <c r="AN150" s="305">
        <v>8.5999999999999993E-2</v>
      </c>
      <c r="AO150" s="305"/>
      <c r="AP150" s="305"/>
      <c r="AQ150" s="305"/>
      <c r="AR150" s="305"/>
      <c r="AS150" s="305"/>
      <c r="AT150" s="305"/>
      <c r="AU150" s="305"/>
      <c r="AV150" s="305"/>
      <c r="AW150" s="305"/>
      <c r="AX150" s="305"/>
      <c r="AY150" s="305"/>
      <c r="AZ150" s="305"/>
      <c r="BA150" s="941"/>
      <c r="BB150" s="941"/>
      <c r="BC150" s="941"/>
      <c r="BE150" s="460"/>
      <c r="BR150" s="934"/>
    </row>
    <row r="151" spans="1:70">
      <c r="A151" s="548"/>
      <c r="C151">
        <v>5</v>
      </c>
      <c r="D151" s="209" t="s">
        <v>62</v>
      </c>
      <c r="E151" s="625">
        <v>0.01</v>
      </c>
      <c r="F151" s="625">
        <v>8.9999999999999993E-3</v>
      </c>
      <c r="G151" s="625">
        <v>8.9999999999999993E-3</v>
      </c>
      <c r="H151" s="625">
        <v>0.01</v>
      </c>
      <c r="I151" s="625">
        <v>0.01</v>
      </c>
      <c r="J151" s="625">
        <v>8.0000000000000002E-3</v>
      </c>
      <c r="K151" s="625">
        <v>1.0999999999999999E-2</v>
      </c>
      <c r="L151" s="625">
        <v>8.9999999999999993E-3</v>
      </c>
      <c r="M151" s="625">
        <v>0.01</v>
      </c>
      <c r="N151" s="625">
        <v>0.01</v>
      </c>
      <c r="O151" s="625">
        <v>8.9999999999999993E-3</v>
      </c>
      <c r="P151" s="625">
        <v>0.01</v>
      </c>
      <c r="Q151" s="821">
        <v>8.9999999999999993E-3</v>
      </c>
      <c r="R151" s="821">
        <v>7.0000000000000001E-3</v>
      </c>
      <c r="S151" s="821">
        <v>2E-3</v>
      </c>
      <c r="T151" s="305">
        <v>0.01</v>
      </c>
      <c r="U151" s="305">
        <v>0.01</v>
      </c>
      <c r="V151" s="305">
        <v>8.9999999999999993E-3</v>
      </c>
      <c r="W151" s="305">
        <v>0.01</v>
      </c>
      <c r="X151" s="305">
        <v>0.01</v>
      </c>
      <c r="Y151" s="305">
        <v>0.01</v>
      </c>
      <c r="Z151" s="305">
        <v>0.01</v>
      </c>
      <c r="AA151" s="305">
        <v>0.01</v>
      </c>
      <c r="AB151" s="305">
        <v>0.01</v>
      </c>
      <c r="AC151" s="305">
        <v>0.01</v>
      </c>
      <c r="AD151" s="305">
        <v>0.01</v>
      </c>
      <c r="AE151" s="305">
        <v>0.01</v>
      </c>
      <c r="AF151" s="305">
        <v>0.01</v>
      </c>
      <c r="AG151" s="305">
        <v>0.01</v>
      </c>
      <c r="AH151" s="305">
        <v>0.01</v>
      </c>
      <c r="AI151" s="305">
        <v>0.01</v>
      </c>
      <c r="AJ151" s="305">
        <v>0.01</v>
      </c>
      <c r="AK151" s="305">
        <v>0.01</v>
      </c>
      <c r="AL151" s="305">
        <v>0.01</v>
      </c>
      <c r="AM151" s="305">
        <v>8.9999999999999993E-3</v>
      </c>
      <c r="AN151" s="305">
        <v>0.01</v>
      </c>
      <c r="AO151" s="305"/>
      <c r="AP151" s="305"/>
      <c r="AQ151" s="305"/>
      <c r="AR151" s="305"/>
      <c r="AS151" s="305"/>
      <c r="AT151" s="305"/>
      <c r="AU151" s="305"/>
      <c r="AV151" s="305"/>
      <c r="AW151" s="305"/>
      <c r="AX151" s="305"/>
      <c r="AY151" s="305"/>
      <c r="AZ151" s="305"/>
      <c r="BA151" s="941"/>
      <c r="BB151" s="941"/>
      <c r="BC151" s="941"/>
      <c r="BE151" s="460"/>
      <c r="BR151" s="934"/>
    </row>
    <row r="152" spans="1:70">
      <c r="A152" s="548"/>
      <c r="C152">
        <v>6</v>
      </c>
      <c r="D152" s="209" t="s">
        <v>57</v>
      </c>
      <c r="E152" s="625">
        <v>7.0000000000000001E-3</v>
      </c>
      <c r="F152" s="625">
        <v>7.0000000000000001E-3</v>
      </c>
      <c r="G152" s="625">
        <v>6.0000000000000001E-3</v>
      </c>
      <c r="H152" s="625">
        <v>4.0000000000000001E-3</v>
      </c>
      <c r="I152" s="625">
        <v>7.0000000000000001E-3</v>
      </c>
      <c r="J152" s="625">
        <v>5.0000000000000001E-3</v>
      </c>
      <c r="K152" s="625">
        <v>5.0000000000000001E-3</v>
      </c>
      <c r="L152" s="625">
        <v>6.0000000000000001E-3</v>
      </c>
      <c r="M152" s="625">
        <v>5.0000000000000001E-3</v>
      </c>
      <c r="N152" s="625">
        <v>7.0000000000000001E-3</v>
      </c>
      <c r="O152" s="625">
        <v>7.0000000000000001E-3</v>
      </c>
      <c r="P152" s="625">
        <v>8.0000000000000002E-3</v>
      </c>
      <c r="Q152" s="821">
        <v>6.0000000000000001E-3</v>
      </c>
      <c r="R152" s="821">
        <v>6.0000000000000001E-3</v>
      </c>
      <c r="S152" s="821">
        <v>6.0000000000000001E-3</v>
      </c>
      <c r="T152" s="305">
        <v>6.0000000000000001E-3</v>
      </c>
      <c r="U152" s="305">
        <v>7.0000000000000001E-3</v>
      </c>
      <c r="V152" s="305">
        <v>7.0000000000000001E-3</v>
      </c>
      <c r="W152" s="305">
        <v>8.9999999999999993E-3</v>
      </c>
      <c r="X152" s="305">
        <v>7.0000000000000001E-3</v>
      </c>
      <c r="Y152" s="305">
        <v>8.0000000000000002E-3</v>
      </c>
      <c r="Z152" s="305">
        <v>7.0000000000000001E-3</v>
      </c>
      <c r="AA152" s="305">
        <v>7.0000000000000001E-3</v>
      </c>
      <c r="AB152" s="305">
        <v>8.9999999999999993E-3</v>
      </c>
      <c r="AC152" s="305">
        <v>1.0999999999999999E-2</v>
      </c>
      <c r="AD152" s="305">
        <v>1.2E-2</v>
      </c>
      <c r="AE152" s="305">
        <v>1.0999999999999999E-2</v>
      </c>
      <c r="AF152" s="305">
        <v>1.2E-2</v>
      </c>
      <c r="AG152" s="305">
        <v>1.2E-2</v>
      </c>
      <c r="AH152" s="305">
        <v>1.0999999999999999E-2</v>
      </c>
      <c r="AI152" s="305">
        <v>1.2E-2</v>
      </c>
      <c r="AJ152" s="305">
        <v>1.0999999999999999E-2</v>
      </c>
      <c r="AK152" s="305">
        <v>1.2E-2</v>
      </c>
      <c r="AL152" s="305">
        <v>1.2E-2</v>
      </c>
      <c r="AM152" s="305">
        <v>1.0999999999999999E-2</v>
      </c>
      <c r="AN152" s="305">
        <v>1.2E-2</v>
      </c>
      <c r="AO152" s="305"/>
      <c r="AP152" s="305"/>
      <c r="AQ152" s="305"/>
      <c r="AR152" s="305"/>
      <c r="AS152" s="305"/>
      <c r="AT152" s="305"/>
      <c r="AU152" s="305"/>
      <c r="AV152" s="305"/>
      <c r="AW152" s="305"/>
      <c r="AX152" s="305"/>
      <c r="AY152" s="305"/>
      <c r="AZ152" s="305"/>
      <c r="BA152" s="941"/>
      <c r="BB152" s="941"/>
      <c r="BC152" s="941"/>
      <c r="BE152" s="460"/>
      <c r="BR152" s="934"/>
    </row>
    <row r="153" spans="1:70">
      <c r="A153" s="548" t="s">
        <v>325</v>
      </c>
      <c r="C153">
        <v>7</v>
      </c>
      <c r="D153" s="209" t="s">
        <v>58</v>
      </c>
      <c r="E153" s="625">
        <v>3.0000000000000001E-3</v>
      </c>
      <c r="F153" s="625">
        <v>2E-3</v>
      </c>
      <c r="G153" s="625">
        <v>2E-3</v>
      </c>
      <c r="H153" s="625">
        <v>3.0000000000000001E-3</v>
      </c>
      <c r="I153" s="625">
        <v>4.0000000000000001E-3</v>
      </c>
      <c r="J153" s="625">
        <v>2E-3</v>
      </c>
      <c r="K153" s="625">
        <v>1E-3</v>
      </c>
      <c r="L153" s="625">
        <v>2E-3</v>
      </c>
      <c r="M153" s="625">
        <v>2E-3</v>
      </c>
      <c r="N153" s="625">
        <v>2E-3</v>
      </c>
      <c r="O153" s="625">
        <v>2E-3</v>
      </c>
      <c r="P153" s="625">
        <v>3.0000000000000001E-3</v>
      </c>
      <c r="Q153" s="821">
        <v>1E-3</v>
      </c>
      <c r="R153" s="821">
        <v>2E-3</v>
      </c>
      <c r="S153" s="821">
        <v>2E-3</v>
      </c>
      <c r="T153" s="305">
        <v>4.0000000000000001E-3</v>
      </c>
      <c r="U153" s="305">
        <v>5.0000000000000001E-3</v>
      </c>
      <c r="V153" s="305">
        <v>3.0000000000000001E-3</v>
      </c>
      <c r="W153" s="305">
        <v>1E-3</v>
      </c>
      <c r="X153" s="305">
        <v>2E-3</v>
      </c>
      <c r="Y153" s="305">
        <v>3.0000000000000001E-3</v>
      </c>
      <c r="Z153" s="305">
        <v>3.0000000000000001E-3</v>
      </c>
      <c r="AA153" s="305">
        <v>3.0000000000000001E-3</v>
      </c>
      <c r="AB153" s="305">
        <v>3.0000000000000001E-3</v>
      </c>
      <c r="AC153" s="305">
        <v>2E-3</v>
      </c>
      <c r="AD153" s="305">
        <v>3.0000000000000001E-3</v>
      </c>
      <c r="AE153" s="305">
        <v>2E-3</v>
      </c>
      <c r="AF153" s="305">
        <v>4.0000000000000001E-3</v>
      </c>
      <c r="AG153" s="305">
        <v>4.0000000000000001E-3</v>
      </c>
      <c r="AH153" s="305">
        <v>3.0000000000000001E-3</v>
      </c>
      <c r="AI153" s="305">
        <v>3.0000000000000001E-3</v>
      </c>
      <c r="AJ153" s="305">
        <v>3.0000000000000001E-3</v>
      </c>
      <c r="AK153" s="305">
        <v>3.0000000000000001E-3</v>
      </c>
      <c r="AL153" s="305">
        <v>3.0000000000000001E-3</v>
      </c>
      <c r="AM153" s="305">
        <v>2E-3</v>
      </c>
      <c r="AN153" s="305">
        <v>3.0000000000000001E-3</v>
      </c>
      <c r="AO153" s="305"/>
      <c r="AP153" s="305"/>
      <c r="AQ153" s="305"/>
      <c r="AR153" s="305"/>
      <c r="AS153" s="305"/>
      <c r="AT153" s="305"/>
      <c r="AU153" s="305"/>
      <c r="AV153" s="305"/>
      <c r="AW153" s="305"/>
      <c r="AX153" s="305"/>
      <c r="AY153" s="305"/>
      <c r="AZ153" s="305"/>
      <c r="BA153" s="941"/>
      <c r="BB153" s="941"/>
      <c r="BC153" s="941"/>
      <c r="BE153" s="460"/>
      <c r="BR153" s="934"/>
    </row>
    <row r="154" spans="1:70">
      <c r="A154" s="549" t="s">
        <v>872</v>
      </c>
      <c r="C154">
        <v>8</v>
      </c>
      <c r="D154" s="209" t="s">
        <v>59</v>
      </c>
      <c r="E154" s="625">
        <v>0</v>
      </c>
      <c r="F154" s="625">
        <v>1E-3</v>
      </c>
      <c r="G154" s="625">
        <v>0</v>
      </c>
      <c r="H154" s="625">
        <v>0</v>
      </c>
      <c r="I154" s="625">
        <v>1E-3</v>
      </c>
      <c r="J154" s="625">
        <v>0</v>
      </c>
      <c r="K154" s="625">
        <v>0</v>
      </c>
      <c r="L154" s="625">
        <v>0</v>
      </c>
      <c r="M154" s="625">
        <v>0</v>
      </c>
      <c r="N154" s="625">
        <v>0</v>
      </c>
      <c r="O154" s="625">
        <v>0</v>
      </c>
      <c r="P154" s="625">
        <v>1E-3</v>
      </c>
      <c r="Q154" s="1077">
        <v>0</v>
      </c>
      <c r="R154" s="1077">
        <v>0</v>
      </c>
      <c r="S154" s="821">
        <v>1E-3</v>
      </c>
      <c r="T154" s="305">
        <v>1E-3</v>
      </c>
      <c r="U154" s="305">
        <v>1E-3</v>
      </c>
      <c r="V154" s="305">
        <v>1E-3</v>
      </c>
      <c r="W154" s="305">
        <v>1E-3</v>
      </c>
      <c r="X154" s="305">
        <v>1E-3</v>
      </c>
      <c r="Y154" s="305">
        <v>1E-3</v>
      </c>
      <c r="Z154" s="305">
        <v>1E-3</v>
      </c>
      <c r="AA154" s="305">
        <v>1E-3</v>
      </c>
      <c r="AB154" s="305">
        <v>1E-3</v>
      </c>
      <c r="AC154" s="305">
        <v>0</v>
      </c>
      <c r="AD154" s="305">
        <v>0</v>
      </c>
      <c r="AE154" s="305">
        <v>2E-3</v>
      </c>
      <c r="AF154" s="305">
        <v>0</v>
      </c>
      <c r="AG154" s="305">
        <v>0</v>
      </c>
      <c r="AH154" s="305">
        <v>1E-3</v>
      </c>
      <c r="AI154" s="305">
        <v>0</v>
      </c>
      <c r="AJ154" s="305">
        <v>0</v>
      </c>
      <c r="AK154" s="305">
        <v>1E-3</v>
      </c>
      <c r="AL154" s="305">
        <v>0</v>
      </c>
      <c r="AM154" s="305">
        <v>0</v>
      </c>
      <c r="AN154" s="305">
        <v>1E-3</v>
      </c>
      <c r="AO154" s="305"/>
      <c r="AP154" s="305"/>
      <c r="AQ154" s="305"/>
      <c r="AR154" s="305"/>
      <c r="AS154" s="305"/>
      <c r="AT154" s="305"/>
      <c r="AU154" s="305"/>
      <c r="AV154" s="305"/>
      <c r="AW154" s="305"/>
      <c r="AX154" s="305"/>
      <c r="AY154" s="305"/>
      <c r="AZ154" s="305"/>
      <c r="BA154" s="941"/>
      <c r="BB154" s="941"/>
      <c r="BC154" s="941"/>
      <c r="BE154" s="460"/>
      <c r="BR154" s="934"/>
    </row>
    <row r="155" spans="1:70">
      <c r="A155" s="548"/>
      <c r="C155">
        <v>9</v>
      </c>
      <c r="D155" s="209" t="s">
        <v>63</v>
      </c>
      <c r="E155" s="1077">
        <v>0</v>
      </c>
      <c r="F155" s="1077">
        <v>0</v>
      </c>
      <c r="G155" s="1077">
        <v>0</v>
      </c>
      <c r="H155" s="1077">
        <v>0</v>
      </c>
      <c r="I155" s="1077">
        <v>0</v>
      </c>
      <c r="J155" s="1077">
        <v>0</v>
      </c>
      <c r="K155" s="1077">
        <v>0</v>
      </c>
      <c r="L155" s="1077">
        <v>0</v>
      </c>
      <c r="M155" s="1077">
        <v>0</v>
      </c>
      <c r="N155" s="1077">
        <v>0</v>
      </c>
      <c r="O155" s="1077">
        <v>0</v>
      </c>
      <c r="P155" s="625">
        <v>1E-3</v>
      </c>
      <c r="Q155" s="1077">
        <v>0</v>
      </c>
      <c r="R155" s="1077">
        <v>0</v>
      </c>
      <c r="S155" s="1077">
        <v>0</v>
      </c>
      <c r="T155" s="305">
        <v>1E-3</v>
      </c>
      <c r="U155" s="305">
        <v>1E-3</v>
      </c>
      <c r="V155" s="305">
        <v>0</v>
      </c>
      <c r="W155" s="305">
        <v>1E-3</v>
      </c>
      <c r="X155" s="305">
        <v>1E-3</v>
      </c>
      <c r="Y155" s="305">
        <v>1E-3</v>
      </c>
      <c r="Z155" s="305">
        <v>1E-3</v>
      </c>
      <c r="AA155" s="305">
        <v>0</v>
      </c>
      <c r="AB155" s="305">
        <v>1E-3</v>
      </c>
      <c r="AC155" s="305">
        <v>0</v>
      </c>
      <c r="AD155" s="305">
        <v>0</v>
      </c>
      <c r="AE155" s="305">
        <v>0</v>
      </c>
      <c r="AF155" s="305">
        <v>0</v>
      </c>
      <c r="AG155" s="305">
        <v>0</v>
      </c>
      <c r="AH155" s="305">
        <v>1E-3</v>
      </c>
      <c r="AI155" s="305">
        <v>0</v>
      </c>
      <c r="AJ155" s="305">
        <v>0</v>
      </c>
      <c r="AK155" s="305">
        <v>0</v>
      </c>
      <c r="AL155" s="305">
        <v>0</v>
      </c>
      <c r="AM155" s="305">
        <v>0</v>
      </c>
      <c r="AN155" s="305">
        <v>1E-3</v>
      </c>
      <c r="AO155" s="305"/>
      <c r="AP155" s="305"/>
      <c r="AQ155" s="305"/>
      <c r="AR155" s="305"/>
      <c r="AS155" s="305"/>
      <c r="AT155" s="305"/>
      <c r="AU155" s="305"/>
      <c r="AV155" s="305"/>
      <c r="AW155" s="305"/>
      <c r="AX155" s="305"/>
      <c r="AY155" s="305"/>
      <c r="AZ155" s="305"/>
      <c r="BA155" s="941"/>
      <c r="BB155" s="941"/>
      <c r="BC155" s="941"/>
      <c r="BE155" s="460"/>
      <c r="BR155" s="934"/>
    </row>
    <row r="156" spans="1:70">
      <c r="A156" s="548"/>
      <c r="C156">
        <v>10</v>
      </c>
      <c r="D156" s="209" t="s">
        <v>64</v>
      </c>
      <c r="E156" s="625">
        <v>0</v>
      </c>
      <c r="F156" s="625">
        <v>1E-3</v>
      </c>
      <c r="G156" s="625">
        <v>1E-3</v>
      </c>
      <c r="H156" s="625">
        <v>0</v>
      </c>
      <c r="I156" s="625">
        <v>1E-3</v>
      </c>
      <c r="J156" s="625">
        <v>0</v>
      </c>
      <c r="K156" s="625">
        <v>0</v>
      </c>
      <c r="L156" s="625">
        <v>1E-3</v>
      </c>
      <c r="M156" s="625">
        <v>1E-3</v>
      </c>
      <c r="N156" s="625">
        <v>1E-3</v>
      </c>
      <c r="O156" s="625">
        <v>0</v>
      </c>
      <c r="P156" s="625">
        <v>1E-3</v>
      </c>
      <c r="Q156" s="821">
        <v>1E-3</v>
      </c>
      <c r="R156" s="821">
        <v>1E-3</v>
      </c>
      <c r="S156" s="1077">
        <v>0</v>
      </c>
      <c r="T156" s="305">
        <v>1E-3</v>
      </c>
      <c r="U156" s="305">
        <v>2E-3</v>
      </c>
      <c r="V156" s="305">
        <v>1E-3</v>
      </c>
      <c r="W156" s="305">
        <v>1E-3</v>
      </c>
      <c r="X156" s="305">
        <v>1E-3</v>
      </c>
      <c r="Y156" s="305">
        <v>2E-3</v>
      </c>
      <c r="Z156" s="305">
        <v>2E-3</v>
      </c>
      <c r="AA156" s="305">
        <v>1E-3</v>
      </c>
      <c r="AB156" s="305">
        <v>2E-3</v>
      </c>
      <c r="AC156" s="305">
        <v>1E-3</v>
      </c>
      <c r="AD156" s="305">
        <v>1E-3</v>
      </c>
      <c r="AE156" s="305">
        <v>1E-3</v>
      </c>
      <c r="AF156" s="305">
        <v>1E-3</v>
      </c>
      <c r="AG156" s="305">
        <v>1E-3</v>
      </c>
      <c r="AH156" s="305">
        <v>1E-3</v>
      </c>
      <c r="AI156" s="305">
        <v>1E-3</v>
      </c>
      <c r="AJ156" s="305">
        <v>1E-3</v>
      </c>
      <c r="AK156" s="305">
        <v>1E-3</v>
      </c>
      <c r="AL156" s="305">
        <v>1E-3</v>
      </c>
      <c r="AM156" s="305">
        <v>1E-3</v>
      </c>
      <c r="AN156" s="305">
        <v>1E-3</v>
      </c>
      <c r="AO156" s="305"/>
      <c r="AP156" s="305"/>
      <c r="AQ156" s="305"/>
      <c r="AR156" s="305"/>
      <c r="AS156" s="305"/>
      <c r="AT156" s="305"/>
      <c r="AU156" s="305"/>
      <c r="AV156" s="305"/>
      <c r="AW156" s="305"/>
      <c r="AX156" s="305"/>
      <c r="AY156" s="305"/>
      <c r="AZ156" s="305"/>
      <c r="BA156" s="941"/>
      <c r="BB156" s="941"/>
      <c r="BC156" s="941"/>
      <c r="BE156" s="460"/>
      <c r="BR156" s="934"/>
    </row>
    <row r="157" spans="1:70">
      <c r="A157" s="548"/>
      <c r="C157">
        <v>11</v>
      </c>
      <c r="D157" s="209" t="s">
        <v>65</v>
      </c>
      <c r="E157" s="625">
        <v>1E-3</v>
      </c>
      <c r="F157" s="625">
        <v>1E-3</v>
      </c>
      <c r="G157" s="625">
        <v>1E-3</v>
      </c>
      <c r="H157" s="625">
        <v>1E-3</v>
      </c>
      <c r="I157" s="625">
        <v>1E-3</v>
      </c>
      <c r="J157" s="625">
        <v>1E-3</v>
      </c>
      <c r="K157" s="625">
        <v>1E-3</v>
      </c>
      <c r="L157" s="625">
        <v>1E-3</v>
      </c>
      <c r="M157" s="625">
        <v>1E-3</v>
      </c>
      <c r="N157" s="625">
        <v>1E-3</v>
      </c>
      <c r="O157" s="625">
        <v>0</v>
      </c>
      <c r="P157" s="625">
        <v>1E-3</v>
      </c>
      <c r="Q157" s="821">
        <v>1E-3</v>
      </c>
      <c r="R157" s="821">
        <v>1E-3</v>
      </c>
      <c r="S157" s="821">
        <v>2E-3</v>
      </c>
      <c r="T157" s="305">
        <v>1E-3</v>
      </c>
      <c r="U157" s="305">
        <v>2E-3</v>
      </c>
      <c r="V157" s="305">
        <v>2E-3</v>
      </c>
      <c r="W157" s="305">
        <v>1E-3</v>
      </c>
      <c r="X157" s="305">
        <v>2E-3</v>
      </c>
      <c r="Y157" s="305">
        <v>2E-3</v>
      </c>
      <c r="Z157" s="305">
        <v>2E-3</v>
      </c>
      <c r="AA157" s="305">
        <v>2E-3</v>
      </c>
      <c r="AB157" s="305">
        <v>2E-3</v>
      </c>
      <c r="AC157" s="305">
        <v>3.0000000000000001E-3</v>
      </c>
      <c r="AD157" s="305">
        <v>3.0000000000000001E-3</v>
      </c>
      <c r="AE157" s="305">
        <v>3.0000000000000001E-3</v>
      </c>
      <c r="AF157" s="305">
        <v>3.0000000000000001E-3</v>
      </c>
      <c r="AG157" s="305">
        <v>3.0000000000000001E-3</v>
      </c>
      <c r="AH157" s="305">
        <v>3.0000000000000001E-3</v>
      </c>
      <c r="AI157" s="305">
        <v>3.0000000000000001E-3</v>
      </c>
      <c r="AJ157" s="305">
        <v>3.0000000000000001E-3</v>
      </c>
      <c r="AK157" s="305">
        <v>3.0000000000000001E-3</v>
      </c>
      <c r="AL157" s="305">
        <v>3.0000000000000001E-3</v>
      </c>
      <c r="AM157" s="305">
        <v>2E-3</v>
      </c>
      <c r="AN157" s="305">
        <v>3.0000000000000001E-3</v>
      </c>
      <c r="AO157" s="305"/>
      <c r="AP157" s="305"/>
      <c r="AQ157" s="305"/>
      <c r="AR157" s="305"/>
      <c r="AS157" s="305"/>
      <c r="AT157" s="305"/>
      <c r="AU157" s="305"/>
      <c r="AV157" s="305"/>
      <c r="AW157" s="305"/>
      <c r="AX157" s="305"/>
      <c r="AY157" s="305"/>
      <c r="AZ157" s="305"/>
      <c r="BA157" s="941"/>
      <c r="BB157" s="941"/>
      <c r="BC157" s="941"/>
      <c r="BE157" s="460"/>
      <c r="BR157" s="934"/>
    </row>
    <row r="158" spans="1:70">
      <c r="A158" s="548"/>
      <c r="C158">
        <v>12</v>
      </c>
      <c r="D158" s="209" t="s">
        <v>66</v>
      </c>
      <c r="E158" s="1077">
        <v>0</v>
      </c>
      <c r="F158" s="1077">
        <v>0</v>
      </c>
      <c r="G158" s="1077">
        <v>0</v>
      </c>
      <c r="H158" s="1077">
        <v>0</v>
      </c>
      <c r="I158" s="1077">
        <v>0</v>
      </c>
      <c r="J158" s="1077">
        <v>0</v>
      </c>
      <c r="K158" s="1077">
        <v>0</v>
      </c>
      <c r="L158" s="1077">
        <v>0</v>
      </c>
      <c r="M158" s="1077">
        <v>0</v>
      </c>
      <c r="N158" s="1077">
        <v>0</v>
      </c>
      <c r="O158" s="1077">
        <v>0</v>
      </c>
      <c r="P158" s="1077">
        <v>0</v>
      </c>
      <c r="Q158" s="1077">
        <v>0</v>
      </c>
      <c r="R158" s="1077">
        <v>0</v>
      </c>
      <c r="S158" s="1077">
        <v>0</v>
      </c>
      <c r="T158" s="1077">
        <v>0</v>
      </c>
      <c r="U158" s="1077">
        <v>0</v>
      </c>
      <c r="V158" s="1077">
        <v>0</v>
      </c>
      <c r="W158" s="1077">
        <v>0</v>
      </c>
      <c r="X158" s="1077">
        <v>0</v>
      </c>
      <c r="Y158" s="1077">
        <v>0</v>
      </c>
      <c r="Z158" s="1077">
        <v>0</v>
      </c>
      <c r="AA158" s="1077">
        <v>0</v>
      </c>
      <c r="AB158" s="1077">
        <v>0</v>
      </c>
      <c r="AC158" s="1077">
        <v>0</v>
      </c>
      <c r="AD158" s="1077">
        <v>0</v>
      </c>
      <c r="AE158" s="1077">
        <v>0</v>
      </c>
      <c r="AF158" s="1077">
        <v>0</v>
      </c>
      <c r="AG158" s="1077">
        <v>0</v>
      </c>
      <c r="AH158" s="1077">
        <v>0</v>
      </c>
      <c r="AI158" s="1077">
        <v>0</v>
      </c>
      <c r="AJ158" s="1077">
        <v>0</v>
      </c>
      <c r="AK158" s="1077">
        <v>0</v>
      </c>
      <c r="AL158" s="1077">
        <v>0</v>
      </c>
      <c r="AM158" s="1077">
        <v>0</v>
      </c>
      <c r="AN158" s="1077">
        <v>0</v>
      </c>
      <c r="AO158" s="305"/>
      <c r="AP158" s="305"/>
      <c r="AQ158" s="305"/>
      <c r="AR158" s="305"/>
      <c r="AS158" s="305"/>
      <c r="AT158" s="305"/>
      <c r="AU158" s="305"/>
      <c r="AV158" s="305"/>
      <c r="AW158" s="305"/>
      <c r="AX158" s="305"/>
      <c r="AY158" s="305"/>
      <c r="AZ158" s="305"/>
      <c r="BA158" s="941"/>
      <c r="BB158" s="941"/>
      <c r="BC158" s="941"/>
      <c r="BE158" s="460"/>
      <c r="BR158" s="934"/>
    </row>
    <row r="159" spans="1:70">
      <c r="A159" s="548"/>
      <c r="C159">
        <v>13</v>
      </c>
      <c r="D159" s="209" t="s">
        <v>67</v>
      </c>
      <c r="E159" s="1077">
        <v>0</v>
      </c>
      <c r="F159" s="1077">
        <v>0</v>
      </c>
      <c r="G159" s="1077">
        <v>0</v>
      </c>
      <c r="H159" s="1077">
        <v>0</v>
      </c>
      <c r="I159" s="1077">
        <v>0</v>
      </c>
      <c r="J159" s="1077">
        <v>0</v>
      </c>
      <c r="K159" s="1077">
        <v>0</v>
      </c>
      <c r="L159" s="1077">
        <v>0</v>
      </c>
      <c r="M159" s="1077">
        <v>0</v>
      </c>
      <c r="N159" s="1077">
        <v>0</v>
      </c>
      <c r="O159" s="1077">
        <v>0</v>
      </c>
      <c r="P159" s="1077">
        <v>0</v>
      </c>
      <c r="Q159" s="1077">
        <v>0</v>
      </c>
      <c r="R159" s="1077">
        <v>0</v>
      </c>
      <c r="S159" s="1077">
        <v>0</v>
      </c>
      <c r="T159" s="1077">
        <v>0</v>
      </c>
      <c r="U159" s="1077">
        <v>0</v>
      </c>
      <c r="V159" s="1077">
        <v>0</v>
      </c>
      <c r="W159" s="1077">
        <v>0</v>
      </c>
      <c r="X159" s="1077">
        <v>0</v>
      </c>
      <c r="Y159" s="1077">
        <v>0</v>
      </c>
      <c r="Z159" s="1077">
        <v>0</v>
      </c>
      <c r="AA159" s="1077">
        <v>0</v>
      </c>
      <c r="AB159" s="1077">
        <v>0</v>
      </c>
      <c r="AC159" s="1077">
        <v>0</v>
      </c>
      <c r="AD159" s="1077">
        <v>0</v>
      </c>
      <c r="AE159" s="1077">
        <v>0</v>
      </c>
      <c r="AF159" s="1077">
        <v>0</v>
      </c>
      <c r="AG159" s="1077">
        <v>0</v>
      </c>
      <c r="AH159" s="1077">
        <v>0</v>
      </c>
      <c r="AI159" s="1077">
        <v>0</v>
      </c>
      <c r="AJ159" s="1077">
        <v>0</v>
      </c>
      <c r="AK159" s="1077">
        <v>0</v>
      </c>
      <c r="AL159" s="1077">
        <v>0</v>
      </c>
      <c r="AM159" s="1077">
        <v>0</v>
      </c>
      <c r="AN159" s="1077">
        <v>0</v>
      </c>
      <c r="AO159" s="305"/>
      <c r="AP159" s="305"/>
      <c r="AQ159" s="305"/>
      <c r="AR159" s="305"/>
      <c r="AS159" s="305"/>
      <c r="AT159" s="305"/>
      <c r="AU159" s="305"/>
      <c r="AV159" s="305"/>
      <c r="AW159" s="305"/>
      <c r="AX159" s="305"/>
      <c r="AY159" s="305"/>
      <c r="AZ159" s="305"/>
      <c r="BA159" s="941"/>
      <c r="BB159" s="941"/>
      <c r="BC159" s="941"/>
      <c r="BE159" s="460"/>
      <c r="BR159" s="934"/>
    </row>
    <row r="160" spans="1:70">
      <c r="A160" s="548"/>
      <c r="C160">
        <v>14</v>
      </c>
      <c r="D160" s="209" t="s">
        <v>68</v>
      </c>
      <c r="E160" s="1077">
        <v>0</v>
      </c>
      <c r="F160" s="1077">
        <v>0</v>
      </c>
      <c r="G160" s="1077">
        <v>0</v>
      </c>
      <c r="H160" s="1077">
        <v>0</v>
      </c>
      <c r="I160" s="1077">
        <v>0</v>
      </c>
      <c r="J160" s="1077">
        <v>0</v>
      </c>
      <c r="K160" s="1077">
        <v>0</v>
      </c>
      <c r="L160" s="1077">
        <v>0</v>
      </c>
      <c r="M160" s="1077">
        <v>0</v>
      </c>
      <c r="N160" s="1077">
        <v>0</v>
      </c>
      <c r="O160" s="1077">
        <v>0</v>
      </c>
      <c r="P160" s="1077">
        <v>0</v>
      </c>
      <c r="Q160" s="1077">
        <v>0</v>
      </c>
      <c r="R160" s="1077">
        <v>0</v>
      </c>
      <c r="S160" s="1077">
        <v>0</v>
      </c>
      <c r="T160" s="1077">
        <v>0</v>
      </c>
      <c r="U160" s="1077">
        <v>0</v>
      </c>
      <c r="V160" s="1077">
        <v>0</v>
      </c>
      <c r="W160" s="1077">
        <v>0</v>
      </c>
      <c r="X160" s="1077">
        <v>0</v>
      </c>
      <c r="Y160" s="1077">
        <v>0</v>
      </c>
      <c r="Z160" s="1077">
        <v>0</v>
      </c>
      <c r="AA160" s="1077">
        <v>0</v>
      </c>
      <c r="AB160" s="1077">
        <v>0</v>
      </c>
      <c r="AC160" s="1077">
        <v>0</v>
      </c>
      <c r="AD160" s="1077">
        <v>0</v>
      </c>
      <c r="AE160" s="1077">
        <v>0</v>
      </c>
      <c r="AF160" s="1077">
        <v>0</v>
      </c>
      <c r="AG160" s="1077">
        <v>0</v>
      </c>
      <c r="AH160" s="1077">
        <v>0</v>
      </c>
      <c r="AI160" s="1077">
        <v>0</v>
      </c>
      <c r="AJ160" s="1077">
        <v>0</v>
      </c>
      <c r="AK160" s="1077">
        <v>0</v>
      </c>
      <c r="AL160" s="1077">
        <v>0</v>
      </c>
      <c r="AM160" s="1077">
        <v>0</v>
      </c>
      <c r="AN160" s="1077">
        <v>0</v>
      </c>
      <c r="AO160" s="305"/>
      <c r="AP160" s="305"/>
      <c r="AQ160" s="305"/>
      <c r="AR160" s="305"/>
      <c r="AS160" s="305"/>
      <c r="AT160" s="305"/>
      <c r="AU160" s="305"/>
      <c r="AV160" s="305"/>
      <c r="AW160" s="305"/>
      <c r="AX160" s="305"/>
      <c r="AY160" s="305"/>
      <c r="AZ160" s="305"/>
      <c r="BA160" s="941"/>
      <c r="BB160" s="941"/>
      <c r="BC160" s="941"/>
      <c r="BE160" s="460"/>
      <c r="BR160" s="934"/>
    </row>
    <row r="161" spans="1:70">
      <c r="A161" s="548"/>
      <c r="C161">
        <v>15</v>
      </c>
      <c r="D161" s="209" t="s">
        <v>69</v>
      </c>
      <c r="E161" s="625">
        <v>4.8000000000000001E-2</v>
      </c>
      <c r="F161" s="625">
        <v>4.7E-2</v>
      </c>
      <c r="G161" s="625">
        <v>4.2000000000000003E-2</v>
      </c>
      <c r="H161" s="625">
        <v>4.2000000000000003E-2</v>
      </c>
      <c r="I161" s="625">
        <v>3.9E-2</v>
      </c>
      <c r="J161" s="625">
        <v>2.3E-2</v>
      </c>
      <c r="K161" s="625">
        <v>2.4E-2</v>
      </c>
      <c r="L161" s="625">
        <v>2.3E-2</v>
      </c>
      <c r="M161" s="625">
        <v>2.3E-2</v>
      </c>
      <c r="N161" s="625">
        <v>2.3E-2</v>
      </c>
      <c r="O161" s="625">
        <v>2.1999999999999999E-2</v>
      </c>
      <c r="P161" s="625">
        <v>2.3E-2</v>
      </c>
      <c r="Q161" s="821">
        <v>2.8000000000000001E-2</v>
      </c>
      <c r="R161" s="821">
        <v>2.7E-2</v>
      </c>
      <c r="S161" s="821">
        <v>2.1999999999999999E-2</v>
      </c>
      <c r="T161" s="305">
        <v>4.1000000000000002E-2</v>
      </c>
      <c r="U161" s="305">
        <v>3.7999999999999999E-2</v>
      </c>
      <c r="V161" s="305">
        <v>3.1E-2</v>
      </c>
      <c r="W161" s="305">
        <v>0.03</v>
      </c>
      <c r="X161" s="305">
        <v>2.5999999999999999E-2</v>
      </c>
      <c r="Y161" s="305">
        <v>2.5999999999999999E-2</v>
      </c>
      <c r="Z161" s="305">
        <v>2.9000000000000001E-2</v>
      </c>
      <c r="AA161" s="305">
        <v>2.7E-2</v>
      </c>
      <c r="AB161" s="305">
        <v>2.9000000000000001E-2</v>
      </c>
      <c r="AC161" s="305">
        <v>4.0000000000000001E-3</v>
      </c>
      <c r="AD161" s="305">
        <v>4.0000000000000001E-3</v>
      </c>
      <c r="AE161" s="305">
        <v>4.0000000000000001E-3</v>
      </c>
      <c r="AF161" s="305">
        <v>4.0000000000000001E-3</v>
      </c>
      <c r="AG161" s="305">
        <v>1E-3</v>
      </c>
      <c r="AH161" s="305">
        <v>0</v>
      </c>
      <c r="AI161" s="305">
        <v>0</v>
      </c>
      <c r="AJ161" s="305">
        <v>0</v>
      </c>
      <c r="AK161" s="305">
        <v>0</v>
      </c>
      <c r="AL161" s="305">
        <v>0</v>
      </c>
      <c r="AM161" s="305">
        <v>0</v>
      </c>
      <c r="AN161" s="305">
        <v>0</v>
      </c>
      <c r="AO161" s="305"/>
      <c r="AP161" s="305"/>
      <c r="AQ161" s="305"/>
      <c r="AR161" s="305"/>
      <c r="AS161" s="305"/>
      <c r="AT161" s="305"/>
      <c r="AU161" s="305"/>
      <c r="AV161" s="305"/>
      <c r="AW161" s="305"/>
      <c r="AX161" s="305"/>
      <c r="AY161" s="305"/>
      <c r="AZ161" s="305"/>
      <c r="BA161" s="941"/>
      <c r="BB161" s="941"/>
      <c r="BC161" s="941"/>
      <c r="BE161" s="460"/>
      <c r="BR161" s="934"/>
    </row>
    <row r="162" spans="1:70">
      <c r="A162" s="548"/>
      <c r="C162">
        <v>16</v>
      </c>
      <c r="D162" s="209" t="s">
        <v>70</v>
      </c>
      <c r="E162" s="625">
        <v>5.5E-2</v>
      </c>
      <c r="F162" s="625">
        <v>6.4000000000000001E-2</v>
      </c>
      <c r="G162" s="625">
        <v>7.2999999999999995E-2</v>
      </c>
      <c r="H162" s="625">
        <v>8.1000000000000003E-2</v>
      </c>
      <c r="I162" s="625">
        <v>7.6999999999999999E-2</v>
      </c>
      <c r="J162" s="625">
        <v>7.8E-2</v>
      </c>
      <c r="K162" s="625">
        <v>7.5999999999999998E-2</v>
      </c>
      <c r="L162" s="625">
        <v>7.5999999999999998E-2</v>
      </c>
      <c r="M162" s="625">
        <v>7.3999999999999996E-2</v>
      </c>
      <c r="N162" s="625">
        <v>7.3999999999999996E-2</v>
      </c>
      <c r="O162" s="625">
        <v>6.8000000000000005E-2</v>
      </c>
      <c r="P162" s="625">
        <v>7.1999999999999995E-2</v>
      </c>
      <c r="Q162" s="821">
        <v>7.0000000000000007E-2</v>
      </c>
      <c r="R162" s="821">
        <v>7.2999999999999995E-2</v>
      </c>
      <c r="S162" s="821">
        <v>6.5000000000000002E-2</v>
      </c>
      <c r="T162" s="305">
        <v>7.9000000000000001E-2</v>
      </c>
      <c r="U162" s="305">
        <v>7.4999999999999997E-2</v>
      </c>
      <c r="V162" s="305">
        <v>6.7000000000000004E-2</v>
      </c>
      <c r="W162" s="305">
        <v>6.6000000000000003E-2</v>
      </c>
      <c r="X162" s="305">
        <v>6.9000000000000006E-2</v>
      </c>
      <c r="Y162" s="305">
        <v>7.4999999999999997E-2</v>
      </c>
      <c r="Z162" s="305">
        <v>7.3999999999999996E-2</v>
      </c>
      <c r="AA162" s="305">
        <v>7.0000000000000007E-2</v>
      </c>
      <c r="AB162" s="305">
        <v>0.05</v>
      </c>
      <c r="AC162" s="305">
        <v>8.3000000000000004E-2</v>
      </c>
      <c r="AD162" s="305">
        <v>8.4000000000000005E-2</v>
      </c>
      <c r="AE162" s="305">
        <v>8.4000000000000005E-2</v>
      </c>
      <c r="AF162" s="305">
        <v>8.4000000000000005E-2</v>
      </c>
      <c r="AG162" s="305">
        <v>8.4000000000000005E-2</v>
      </c>
      <c r="AH162" s="305">
        <v>8.4000000000000005E-2</v>
      </c>
      <c r="AI162" s="305">
        <v>8.4000000000000005E-2</v>
      </c>
      <c r="AJ162" s="305">
        <v>8.4000000000000005E-2</v>
      </c>
      <c r="AK162" s="305">
        <v>8.4000000000000005E-2</v>
      </c>
      <c r="AL162" s="305">
        <v>8.4000000000000005E-2</v>
      </c>
      <c r="AM162" s="305">
        <v>0.08</v>
      </c>
      <c r="AN162" s="305">
        <v>8.4000000000000005E-2</v>
      </c>
      <c r="AO162" s="305"/>
      <c r="AP162" s="305"/>
      <c r="AQ162" s="305"/>
      <c r="AR162" s="305"/>
      <c r="AS162" s="305"/>
      <c r="AT162" s="305"/>
      <c r="AU162" s="305"/>
      <c r="AV162" s="305"/>
      <c r="AW162" s="305"/>
      <c r="AX162" s="305"/>
      <c r="AY162" s="305"/>
      <c r="AZ162" s="305"/>
      <c r="BA162" s="941"/>
      <c r="BB162" s="941"/>
      <c r="BC162" s="941"/>
      <c r="BE162" s="460"/>
      <c r="BR162" s="934"/>
    </row>
    <row r="163" spans="1:70">
      <c r="A163" s="548"/>
      <c r="BE163" s="460"/>
      <c r="BR163" s="934"/>
    </row>
    <row r="164" spans="1:70">
      <c r="A164" s="548"/>
      <c r="BE164" s="460"/>
      <c r="BR164" s="934"/>
    </row>
    <row r="165" spans="1:70">
      <c r="A165" s="548"/>
      <c r="BE165" s="460"/>
      <c r="BR165" s="934"/>
    </row>
    <row r="166" spans="1:70">
      <c r="A166" s="548"/>
      <c r="C166">
        <v>1</v>
      </c>
      <c r="E166">
        <v>202324</v>
      </c>
      <c r="F166">
        <v>202425</v>
      </c>
      <c r="G166">
        <v>202526</v>
      </c>
      <c r="H166">
        <v>202627</v>
      </c>
      <c r="BE166" s="460"/>
      <c r="BR166" s="934"/>
    </row>
    <row r="167" spans="1:70">
      <c r="A167" s="548"/>
      <c r="C167">
        <v>2</v>
      </c>
      <c r="D167" t="s">
        <v>870</v>
      </c>
      <c r="E167" s="184" t="s">
        <v>719</v>
      </c>
      <c r="F167" s="184" t="s">
        <v>720</v>
      </c>
      <c r="G167" s="184" t="s">
        <v>721</v>
      </c>
      <c r="H167" s="273" t="s">
        <v>2259</v>
      </c>
      <c r="BE167" s="460"/>
      <c r="BR167" s="934"/>
    </row>
    <row r="168" spans="1:70">
      <c r="A168" s="548"/>
      <c r="C168">
        <v>3</v>
      </c>
      <c r="D168" s="209" t="s">
        <v>60</v>
      </c>
      <c r="E168" s="625">
        <v>7.39</v>
      </c>
      <c r="F168" s="720">
        <v>7.39</v>
      </c>
      <c r="G168" s="305">
        <v>7.46</v>
      </c>
      <c r="H168" s="305">
        <v>7.46</v>
      </c>
      <c r="BE168" s="460"/>
      <c r="BR168" s="934"/>
    </row>
    <row r="169" spans="1:70">
      <c r="A169" s="548"/>
      <c r="C169">
        <v>4</v>
      </c>
      <c r="D169" s="209" t="s">
        <v>61</v>
      </c>
      <c r="E169" s="625">
        <v>7.44</v>
      </c>
      <c r="F169" s="720">
        <v>7.44</v>
      </c>
      <c r="G169" s="305">
        <v>7.44</v>
      </c>
      <c r="H169" s="305">
        <v>7.44</v>
      </c>
      <c r="BE169" s="460"/>
      <c r="BR169" s="934"/>
    </row>
    <row r="170" spans="1:70">
      <c r="A170" s="548"/>
      <c r="C170">
        <v>5</v>
      </c>
      <c r="D170" s="209" t="s">
        <v>62</v>
      </c>
      <c r="E170" s="625">
        <v>7.6</v>
      </c>
      <c r="F170" s="720">
        <v>7.6</v>
      </c>
      <c r="G170" s="305">
        <v>7.58</v>
      </c>
      <c r="H170" s="305">
        <v>7.58</v>
      </c>
      <c r="BE170" s="460"/>
      <c r="BR170" s="934"/>
    </row>
    <row r="171" spans="1:70">
      <c r="A171" s="548"/>
      <c r="C171">
        <v>6</v>
      </c>
      <c r="D171" s="209" t="s">
        <v>57</v>
      </c>
      <c r="E171" s="625">
        <v>7.42</v>
      </c>
      <c r="F171" s="720">
        <v>7.42</v>
      </c>
      <c r="G171" s="305">
        <v>7.43</v>
      </c>
      <c r="H171" s="305">
        <v>7.43</v>
      </c>
      <c r="BE171" s="460"/>
      <c r="BR171" s="934"/>
    </row>
    <row r="172" spans="1:70">
      <c r="A172" s="548"/>
      <c r="C172">
        <v>7</v>
      </c>
      <c r="D172" s="209" t="s">
        <v>58</v>
      </c>
      <c r="E172" s="625">
        <v>6.6550000000000002</v>
      </c>
      <c r="F172" s="720">
        <v>6.6550000000000002</v>
      </c>
      <c r="G172" s="305">
        <v>6.67</v>
      </c>
      <c r="H172" s="305">
        <v>6.67</v>
      </c>
      <c r="BE172" s="460"/>
      <c r="BR172" s="934"/>
    </row>
    <row r="173" spans="1:70">
      <c r="A173" s="548" t="s">
        <v>325</v>
      </c>
      <c r="C173">
        <v>8</v>
      </c>
      <c r="D173" s="209" t="s">
        <v>59</v>
      </c>
      <c r="E173" s="625">
        <v>6.78</v>
      </c>
      <c r="F173" s="720">
        <v>6.78</v>
      </c>
      <c r="G173" s="305">
        <v>6.78</v>
      </c>
      <c r="H173" s="305">
        <v>6.78</v>
      </c>
      <c r="BE173" s="460"/>
      <c r="BR173" s="934"/>
    </row>
    <row r="174" spans="1:70">
      <c r="A174" s="549" t="s">
        <v>870</v>
      </c>
      <c r="C174">
        <v>9</v>
      </c>
      <c r="D174" s="209" t="s">
        <v>63</v>
      </c>
      <c r="E174" s="625">
        <v>7.4</v>
      </c>
      <c r="F174" s="720">
        <v>7.4</v>
      </c>
      <c r="G174" s="305">
        <v>7.38</v>
      </c>
      <c r="H174" s="305">
        <v>7.38</v>
      </c>
      <c r="BE174" s="460"/>
      <c r="BR174" s="934"/>
    </row>
    <row r="175" spans="1:70">
      <c r="A175" s="548"/>
      <c r="C175">
        <v>10</v>
      </c>
      <c r="D175" s="209" t="s">
        <v>64</v>
      </c>
      <c r="E175" s="625">
        <v>6.24</v>
      </c>
      <c r="F175" s="720">
        <v>6.24</v>
      </c>
      <c r="G175" s="305">
        <v>6.24</v>
      </c>
      <c r="H175" s="305">
        <v>6.24</v>
      </c>
      <c r="BE175" s="460"/>
      <c r="BR175" s="934"/>
    </row>
    <row r="176" spans="1:70">
      <c r="A176" s="548"/>
      <c r="C176">
        <v>11</v>
      </c>
      <c r="D176" s="209" t="s">
        <v>65</v>
      </c>
      <c r="E176" s="625">
        <v>6.57</v>
      </c>
      <c r="F176" s="720">
        <v>6.57</v>
      </c>
      <c r="G176" s="305">
        <v>6.57</v>
      </c>
      <c r="H176" s="305">
        <v>6.57</v>
      </c>
      <c r="BE176" s="460"/>
      <c r="BR176" s="934"/>
    </row>
    <row r="177" spans="1:70">
      <c r="A177" s="548"/>
      <c r="C177">
        <v>12</v>
      </c>
      <c r="D177" s="209" t="s">
        <v>66</v>
      </c>
      <c r="E177" s="625">
        <v>7.62</v>
      </c>
      <c r="F177" s="720">
        <v>7.62</v>
      </c>
      <c r="G177" s="305">
        <v>7.6</v>
      </c>
      <c r="H177" s="305">
        <v>7.6</v>
      </c>
      <c r="BE177" s="460"/>
      <c r="BR177" s="934"/>
    </row>
    <row r="178" spans="1:70">
      <c r="A178" s="548"/>
      <c r="C178">
        <v>13</v>
      </c>
      <c r="D178" s="209" t="s">
        <v>67</v>
      </c>
      <c r="E178" s="625">
        <v>7.3</v>
      </c>
      <c r="F178" s="720">
        <v>7.3</v>
      </c>
      <c r="G178" s="305">
        <v>7.3</v>
      </c>
      <c r="H178" s="305">
        <v>7.3</v>
      </c>
      <c r="BE178" s="460"/>
      <c r="BR178" s="934"/>
    </row>
    <row r="179" spans="1:70">
      <c r="A179" s="548"/>
      <c r="C179">
        <v>14</v>
      </c>
      <c r="D179" s="209" t="s">
        <v>68</v>
      </c>
      <c r="E179" s="625">
        <v>6.8</v>
      </c>
      <c r="F179" s="720">
        <v>6.8</v>
      </c>
      <c r="G179" s="305">
        <v>6.8</v>
      </c>
      <c r="H179" s="305">
        <v>6.8</v>
      </c>
      <c r="BE179" s="460"/>
      <c r="BR179" s="934"/>
    </row>
    <row r="180" spans="1:70">
      <c r="A180" s="548"/>
      <c r="C180">
        <v>15</v>
      </c>
      <c r="D180" s="209" t="s">
        <v>69</v>
      </c>
      <c r="E180" s="625">
        <v>8.6</v>
      </c>
      <c r="F180" s="720">
        <v>8.6</v>
      </c>
      <c r="G180" s="305">
        <v>6.29</v>
      </c>
      <c r="H180" s="305">
        <v>6.29</v>
      </c>
      <c r="BE180" s="460"/>
      <c r="BR180" s="934"/>
    </row>
    <row r="181" spans="1:70">
      <c r="A181" s="548"/>
      <c r="C181">
        <v>16</v>
      </c>
      <c r="D181" s="209" t="s">
        <v>70</v>
      </c>
      <c r="E181" s="305"/>
      <c r="F181" s="558"/>
      <c r="G181" s="305"/>
      <c r="H181" s="305"/>
      <c r="BE181" s="460"/>
      <c r="BR181" s="934"/>
    </row>
    <row r="182" spans="1:70">
      <c r="A182" s="548"/>
      <c r="BE182" s="460"/>
      <c r="BR182" s="934"/>
    </row>
    <row r="183" spans="1:70">
      <c r="A183" s="548"/>
      <c r="BE183" s="460"/>
      <c r="BR183" s="934"/>
    </row>
    <row r="184" spans="1:70" ht="15.75" thickBot="1">
      <c r="A184" s="550"/>
      <c r="B184" s="462"/>
      <c r="C184" s="462"/>
      <c r="D184" s="462"/>
      <c r="E184" s="462"/>
      <c r="F184" s="462"/>
      <c r="G184" s="462"/>
      <c r="H184" s="462"/>
      <c r="I184" s="462"/>
      <c r="J184" s="462"/>
      <c r="K184" s="462"/>
      <c r="L184" s="462"/>
      <c r="M184" s="462"/>
      <c r="N184" s="462"/>
      <c r="O184" s="462"/>
      <c r="P184" s="462"/>
      <c r="Q184" s="462"/>
      <c r="R184" s="462"/>
      <c r="S184" s="462"/>
      <c r="T184" s="462"/>
      <c r="U184" s="462"/>
      <c r="V184" s="462"/>
      <c r="W184" s="462"/>
      <c r="X184" s="462"/>
      <c r="Y184" s="462"/>
      <c r="Z184" s="462"/>
      <c r="AA184" s="462"/>
      <c r="AB184" s="462"/>
      <c r="AC184" s="462"/>
      <c r="AD184" s="462"/>
      <c r="AE184" s="462"/>
      <c r="AF184" s="462"/>
      <c r="AG184" s="462"/>
      <c r="AH184" s="462"/>
      <c r="AI184" s="462"/>
      <c r="AJ184" s="462"/>
      <c r="AK184" s="462"/>
      <c r="AL184" s="462"/>
      <c r="AM184" s="462"/>
      <c r="AN184" s="462"/>
      <c r="AO184" s="462"/>
      <c r="AP184" s="462"/>
      <c r="AQ184" s="462"/>
      <c r="AR184" s="462"/>
      <c r="AS184" s="462"/>
      <c r="AT184" s="462"/>
      <c r="AU184" s="462"/>
      <c r="AV184" s="462"/>
      <c r="AW184" s="462"/>
      <c r="AX184" s="462"/>
      <c r="AY184" s="462"/>
      <c r="AZ184" s="462"/>
      <c r="BA184" s="462"/>
      <c r="BB184" s="462"/>
      <c r="BC184" s="462"/>
      <c r="BD184" s="462"/>
      <c r="BE184" s="463"/>
      <c r="BP184" s="462"/>
      <c r="BQ184" s="462"/>
      <c r="BR184" s="940"/>
    </row>
  </sheetData>
  <phoneticPr fontId="14" type="noConversion"/>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7030A0"/>
  </sheetPr>
  <dimension ref="A1:AG94"/>
  <sheetViews>
    <sheetView workbookViewId="0"/>
  </sheetViews>
  <sheetFormatPr defaultColWidth="9.140625" defaultRowHeight="15"/>
  <cols>
    <col min="4" max="4" width="11.7109375" bestFit="1" customWidth="1"/>
    <col min="5" max="10" width="9.85546875" bestFit="1" customWidth="1"/>
    <col min="11" max="11" width="10.28515625" customWidth="1"/>
    <col min="12" max="14" width="9.85546875" bestFit="1" customWidth="1"/>
    <col min="15" max="15" width="10.42578125" bestFit="1" customWidth="1"/>
    <col min="16" max="16" width="10.140625" bestFit="1" customWidth="1"/>
    <col min="17" max="23" width="9.85546875" bestFit="1" customWidth="1"/>
    <col min="26" max="26" width="14.85546875" bestFit="1" customWidth="1"/>
  </cols>
  <sheetData>
    <row r="1" spans="1:33">
      <c r="Z1" t="s">
        <v>171</v>
      </c>
    </row>
    <row r="2" spans="1:33">
      <c r="Z2" s="246">
        <f>DPRavg!A1</f>
        <v>46265</v>
      </c>
      <c r="AA2" t="s">
        <v>291</v>
      </c>
    </row>
    <row r="3" spans="1:33" ht="18.75">
      <c r="A3" t="s">
        <v>874</v>
      </c>
      <c r="K3" s="504" t="str">
        <f>'Targets-chosen'!K2</f>
        <v>BE</v>
      </c>
      <c r="L3" s="504" t="str">
        <f>'Targets-chosen'!L2</f>
        <v>2026-27</v>
      </c>
    </row>
    <row r="5" spans="1:33">
      <c r="E5">
        <v>30</v>
      </c>
      <c r="F5">
        <v>31</v>
      </c>
      <c r="G5">
        <v>30</v>
      </c>
      <c r="H5">
        <f>E5+F5+G5</f>
        <v>91</v>
      </c>
      <c r="I5">
        <v>31</v>
      </c>
      <c r="J5">
        <v>31</v>
      </c>
      <c r="K5">
        <v>30</v>
      </c>
      <c r="L5">
        <f>I5+J5+K5</f>
        <v>92</v>
      </c>
      <c r="M5">
        <f>H5+L5</f>
        <v>183</v>
      </c>
      <c r="N5">
        <v>31</v>
      </c>
      <c r="O5">
        <v>30</v>
      </c>
      <c r="P5">
        <v>31</v>
      </c>
      <c r="Q5">
        <f>N5+O5+P5</f>
        <v>92</v>
      </c>
      <c r="R5">
        <f>M5+Q5</f>
        <v>275</v>
      </c>
      <c r="S5">
        <v>31</v>
      </c>
      <c r="T5" s="505">
        <f>interFY_transition!D25</f>
        <v>28</v>
      </c>
      <c r="U5">
        <v>31</v>
      </c>
      <c r="V5">
        <f>S5+T5+U5</f>
        <v>90</v>
      </c>
      <c r="W5">
        <f>R5+V5</f>
        <v>365</v>
      </c>
    </row>
    <row r="6" spans="1:33">
      <c r="D6" s="1110" t="s">
        <v>90</v>
      </c>
      <c r="E6" s="1111"/>
      <c r="F6" s="1111"/>
      <c r="G6" s="1111"/>
      <c r="H6" s="1111"/>
      <c r="I6" s="1111"/>
      <c r="J6" s="1111"/>
      <c r="K6" s="1111"/>
      <c r="L6" s="1111"/>
      <c r="M6" s="1111"/>
      <c r="N6" s="1111"/>
      <c r="O6" s="1111"/>
      <c r="P6" s="1111"/>
      <c r="Q6" s="1111"/>
      <c r="R6" s="1111"/>
      <c r="S6" s="1111"/>
      <c r="T6" s="1111"/>
      <c r="U6" s="1111"/>
      <c r="V6" s="1111"/>
      <c r="W6" s="1112"/>
      <c r="Z6" t="s">
        <v>176</v>
      </c>
      <c r="AF6" t="s">
        <v>159</v>
      </c>
      <c r="AG6" t="s">
        <v>435</v>
      </c>
    </row>
    <row r="7" spans="1:33">
      <c r="D7" s="144"/>
      <c r="E7" s="144" t="s">
        <v>30</v>
      </c>
      <c r="F7" s="144" t="s">
        <v>71</v>
      </c>
      <c r="G7" s="144" t="s">
        <v>72</v>
      </c>
      <c r="H7" s="142" t="s">
        <v>82</v>
      </c>
      <c r="I7" s="144" t="s">
        <v>73</v>
      </c>
      <c r="J7" s="144" t="s">
        <v>74</v>
      </c>
      <c r="K7" s="144" t="s">
        <v>75</v>
      </c>
      <c r="L7" s="142" t="s">
        <v>83</v>
      </c>
      <c r="M7" s="166" t="s">
        <v>39</v>
      </c>
      <c r="N7" s="144" t="s">
        <v>76</v>
      </c>
      <c r="O7" s="144" t="s">
        <v>77</v>
      </c>
      <c r="P7" s="144" t="s">
        <v>78</v>
      </c>
      <c r="Q7" s="142" t="s">
        <v>84</v>
      </c>
      <c r="R7" s="166" t="s">
        <v>85</v>
      </c>
      <c r="S7" s="144" t="s">
        <v>79</v>
      </c>
      <c r="T7" s="144" t="s">
        <v>80</v>
      </c>
      <c r="U7" s="144" t="s">
        <v>81</v>
      </c>
      <c r="V7" s="142" t="s">
        <v>86</v>
      </c>
      <c r="W7" s="166" t="s">
        <v>87</v>
      </c>
      <c r="Z7" t="s">
        <v>178</v>
      </c>
      <c r="AA7" t="s">
        <v>179</v>
      </c>
      <c r="AB7" s="184" t="s">
        <v>181</v>
      </c>
      <c r="AC7" s="184" t="s">
        <v>183</v>
      </c>
      <c r="AF7" t="s">
        <v>178</v>
      </c>
    </row>
    <row r="8" spans="1:33" ht="15.75">
      <c r="D8" s="144" t="s">
        <v>60</v>
      </c>
      <c r="E8" s="147">
        <f>'Targets-chosen'!E8</f>
        <v>0.115</v>
      </c>
      <c r="F8" s="147">
        <f>'Targets-chosen'!F8</f>
        <v>0.11799999999999999</v>
      </c>
      <c r="G8" s="147">
        <f>'Targets-chosen'!G8</f>
        <v>0.114</v>
      </c>
      <c r="H8" s="147">
        <f>'Targets-chosen'!H8</f>
        <v>0.34699999999999998</v>
      </c>
      <c r="I8" s="147">
        <f>'Targets-chosen'!I8</f>
        <v>0.11799999999999999</v>
      </c>
      <c r="J8" s="147">
        <f>'Targets-chosen'!J8</f>
        <v>0.11700000000000001</v>
      </c>
      <c r="K8" s="147">
        <f>'Targets-chosen'!K8</f>
        <v>0.115</v>
      </c>
      <c r="L8" s="147">
        <f>'Targets-chosen'!L8</f>
        <v>0.35</v>
      </c>
      <c r="M8" s="147">
        <f>'Targets-chosen'!M8</f>
        <v>0.69699999999999995</v>
      </c>
      <c r="N8" s="147">
        <f>'Targets-chosen'!N8</f>
        <v>0.11700000000000001</v>
      </c>
      <c r="O8" s="147">
        <f>'Targets-chosen'!O8</f>
        <v>0.112</v>
      </c>
      <c r="P8" s="147">
        <f>'Targets-chosen'!P8</f>
        <v>0.114</v>
      </c>
      <c r="Q8" s="147">
        <f>'Targets-chosen'!Q8</f>
        <v>0.34300000000000003</v>
      </c>
      <c r="R8" s="147">
        <f>'Targets-chosen'!R8</f>
        <v>1.04</v>
      </c>
      <c r="S8" s="147">
        <f>'Targets-chosen'!S8</f>
        <v>0.113</v>
      </c>
      <c r="T8" s="147">
        <f>'Targets-chosen'!T8</f>
        <v>0.10299999999999999</v>
      </c>
      <c r="U8" s="147">
        <f>'Targets-chosen'!U8</f>
        <v>0.113</v>
      </c>
      <c r="V8" s="147">
        <f>'Targets-chosen'!V8</f>
        <v>0.32900000000000001</v>
      </c>
      <c r="W8" s="147">
        <f>'Targets-chosen'!W8</f>
        <v>1.369</v>
      </c>
      <c r="Z8">
        <f>SUMIF(E$89:W$89,1,E8:W8)</f>
        <v>0.46499999999999997</v>
      </c>
      <c r="AA8">
        <f>(SUMIF(E$87:W$87,$Z$88,E8:W8))*$AC$88</f>
        <v>0.11700000000000001</v>
      </c>
      <c r="AB8" s="184">
        <f>Z8+AA8</f>
        <v>0.58199999999999996</v>
      </c>
      <c r="AC8" s="251">
        <f>W8</f>
        <v>1.369</v>
      </c>
      <c r="AF8">
        <f>SUMIF($E$94:$W$94,1,E8:W8)</f>
        <v>0.11799999999999999</v>
      </c>
      <c r="AG8">
        <f>AF8+AA8</f>
        <v>0.23499999999999999</v>
      </c>
    </row>
    <row r="9" spans="1:33" ht="15.75">
      <c r="D9" s="144" t="s">
        <v>61</v>
      </c>
      <c r="E9" s="147">
        <f>'Targets-chosen'!E9</f>
        <v>0.183</v>
      </c>
      <c r="F9" s="147">
        <f>'Targets-chosen'!F9</f>
        <v>0.189</v>
      </c>
      <c r="G9" s="147">
        <f>'Targets-chosen'!G9</f>
        <v>0.184</v>
      </c>
      <c r="H9" s="147">
        <f>'Targets-chosen'!H9</f>
        <v>0.55600000000000005</v>
      </c>
      <c r="I9" s="147">
        <f>'Targets-chosen'!I9</f>
        <v>0.189</v>
      </c>
      <c r="J9" s="147">
        <f>'Targets-chosen'!J9</f>
        <v>0.189</v>
      </c>
      <c r="K9" s="147">
        <f>'Targets-chosen'!K9</f>
        <v>0.183</v>
      </c>
      <c r="L9" s="147">
        <f>'Targets-chosen'!L9</f>
        <v>0.56099999999999994</v>
      </c>
      <c r="M9" s="147">
        <f>'Targets-chosen'!M9</f>
        <v>1.117</v>
      </c>
      <c r="N9" s="147">
        <f>'Targets-chosen'!N9</f>
        <v>0.189</v>
      </c>
      <c r="O9" s="147">
        <f>'Targets-chosen'!O9</f>
        <v>0.183</v>
      </c>
      <c r="P9" s="147">
        <f>'Targets-chosen'!P9</f>
        <v>0.189</v>
      </c>
      <c r="Q9" s="147">
        <f>'Targets-chosen'!Q9</f>
        <v>0.56099999999999994</v>
      </c>
      <c r="R9" s="147">
        <f>'Targets-chosen'!R9</f>
        <v>1.6779999999999999</v>
      </c>
      <c r="S9" s="147">
        <f>'Targets-chosen'!S9</f>
        <v>0.189</v>
      </c>
      <c r="T9" s="147">
        <f>'Targets-chosen'!T9</f>
        <v>0.17100000000000001</v>
      </c>
      <c r="U9" s="147">
        <f>'Targets-chosen'!U9</f>
        <v>0.189</v>
      </c>
      <c r="V9" s="147">
        <f>'Targets-chosen'!V9</f>
        <v>0.54899999999999993</v>
      </c>
      <c r="W9" s="147">
        <f>'Targets-chosen'!W9</f>
        <v>2.2269999999999999</v>
      </c>
      <c r="Z9">
        <f t="shared" ref="Z9:Z21" si="0">SUMIF(E$89:W$89,1,E9:W9)</f>
        <v>0.74500000000000011</v>
      </c>
      <c r="AA9">
        <f t="shared" ref="AA9:AA21" si="1">(SUMIF(E$87:W$87,$Z$88,E9:W9))*$AC$88</f>
        <v>0.189</v>
      </c>
      <c r="AB9" s="184">
        <f t="shared" ref="AB9:AB21" si="2">Z9+AA9</f>
        <v>0.93400000000000016</v>
      </c>
      <c r="AC9" s="251">
        <f t="shared" ref="AC9:AC21" si="3">W9</f>
        <v>2.2269999999999999</v>
      </c>
      <c r="AF9">
        <f t="shared" ref="AF9:AF21" si="4">SUMIF($E$94:$W$94,1,E9:W9)</f>
        <v>0.189</v>
      </c>
      <c r="AG9">
        <f t="shared" ref="AG9:AG21" si="5">AF9+AA9</f>
        <v>0.378</v>
      </c>
    </row>
    <row r="10" spans="1:33" ht="15.75">
      <c r="D10" s="144" t="s">
        <v>62</v>
      </c>
      <c r="E10" s="147">
        <f>'Targets-chosen'!E10</f>
        <v>8.0000000000000002E-3</v>
      </c>
      <c r="F10" s="147">
        <f>'Targets-chosen'!F10</f>
        <v>8.0000000000000002E-3</v>
      </c>
      <c r="G10" s="147">
        <f>'Targets-chosen'!G10</f>
        <v>8.0000000000000002E-3</v>
      </c>
      <c r="H10" s="147">
        <f>'Targets-chosen'!H10</f>
        <v>2.4E-2</v>
      </c>
      <c r="I10" s="147">
        <f>'Targets-chosen'!I10</f>
        <v>8.9999999999999993E-3</v>
      </c>
      <c r="J10" s="147">
        <f>'Targets-chosen'!J10</f>
        <v>8.9999999999999993E-3</v>
      </c>
      <c r="K10" s="147">
        <f>'Targets-chosen'!K10</f>
        <v>8.0000000000000002E-3</v>
      </c>
      <c r="L10" s="147">
        <f>'Targets-chosen'!L10</f>
        <v>2.5999999999999999E-2</v>
      </c>
      <c r="M10" s="147">
        <f>'Targets-chosen'!M10</f>
        <v>0.05</v>
      </c>
      <c r="N10" s="147">
        <f>'Targets-chosen'!N10</f>
        <v>8.9999999999999993E-3</v>
      </c>
      <c r="O10" s="147">
        <f>'Targets-chosen'!O10</f>
        <v>8.0000000000000002E-3</v>
      </c>
      <c r="P10" s="147">
        <f>'Targets-chosen'!P10</f>
        <v>8.0000000000000002E-3</v>
      </c>
      <c r="Q10" s="147">
        <f>'Targets-chosen'!Q10</f>
        <v>2.5000000000000001E-2</v>
      </c>
      <c r="R10" s="147">
        <f>'Targets-chosen'!R10</f>
        <v>7.5000000000000011E-2</v>
      </c>
      <c r="S10" s="147">
        <f>'Targets-chosen'!S10</f>
        <v>8.9999999999999993E-3</v>
      </c>
      <c r="T10" s="147">
        <f>'Targets-chosen'!T10</f>
        <v>8.0000000000000002E-3</v>
      </c>
      <c r="U10" s="147">
        <f>'Targets-chosen'!U10</f>
        <v>8.9999999999999993E-3</v>
      </c>
      <c r="V10" s="147">
        <f>'Targets-chosen'!V10</f>
        <v>2.6000000000000002E-2</v>
      </c>
      <c r="W10" s="147">
        <f>'Targets-chosen'!W10</f>
        <v>0.10100000000000001</v>
      </c>
      <c r="Z10">
        <f t="shared" si="0"/>
        <v>3.3000000000000002E-2</v>
      </c>
      <c r="AA10">
        <f t="shared" si="1"/>
        <v>8.9999999999999993E-3</v>
      </c>
      <c r="AB10" s="184">
        <f t="shared" si="2"/>
        <v>4.2000000000000003E-2</v>
      </c>
      <c r="AC10" s="251">
        <f t="shared" si="3"/>
        <v>0.10100000000000001</v>
      </c>
      <c r="AF10">
        <f t="shared" si="4"/>
        <v>8.9999999999999993E-3</v>
      </c>
      <c r="AG10">
        <f t="shared" si="5"/>
        <v>1.7999999999999999E-2</v>
      </c>
    </row>
    <row r="11" spans="1:33" ht="15.75">
      <c r="D11" s="144" t="s">
        <v>57</v>
      </c>
      <c r="E11" s="147">
        <f>'Targets-chosen'!E11</f>
        <v>3.9E-2</v>
      </c>
      <c r="F11" s="147">
        <f>'Targets-chosen'!F11</f>
        <v>0.04</v>
      </c>
      <c r="G11" s="147">
        <f>'Targets-chosen'!G11</f>
        <v>3.9E-2</v>
      </c>
      <c r="H11" s="147">
        <f>'Targets-chosen'!H11</f>
        <v>0.11799999999999999</v>
      </c>
      <c r="I11" s="147">
        <f>'Targets-chosen'!I11</f>
        <v>0.04</v>
      </c>
      <c r="J11" s="147">
        <f>'Targets-chosen'!J11</f>
        <v>0.04</v>
      </c>
      <c r="K11" s="147">
        <f>'Targets-chosen'!K11</f>
        <v>3.9E-2</v>
      </c>
      <c r="L11" s="147">
        <f>'Targets-chosen'!L11</f>
        <v>0.11899999999999999</v>
      </c>
      <c r="M11" s="147">
        <f>'Targets-chosen'!M11</f>
        <v>0.23699999999999999</v>
      </c>
      <c r="N11" s="147">
        <f>'Targets-chosen'!N11</f>
        <v>3.9E-2</v>
      </c>
      <c r="O11" s="147">
        <f>'Targets-chosen'!O11</f>
        <v>3.9E-2</v>
      </c>
      <c r="P11" s="147">
        <f>'Targets-chosen'!P11</f>
        <v>0.04</v>
      </c>
      <c r="Q11" s="147">
        <f>'Targets-chosen'!Q11</f>
        <v>0.11799999999999999</v>
      </c>
      <c r="R11" s="147">
        <f>'Targets-chosen'!R11</f>
        <v>0.35499999999999998</v>
      </c>
      <c r="S11" s="147">
        <f>'Targets-chosen'!S11</f>
        <v>0.04</v>
      </c>
      <c r="T11" s="147">
        <f>'Targets-chosen'!T11</f>
        <v>3.5999999999999997E-2</v>
      </c>
      <c r="U11" s="147">
        <f>'Targets-chosen'!U11</f>
        <v>0.04</v>
      </c>
      <c r="V11" s="147">
        <f>'Targets-chosen'!V11</f>
        <v>0.11599999999999999</v>
      </c>
      <c r="W11" s="147">
        <f>'Targets-chosen'!W11</f>
        <v>0.47099999999999997</v>
      </c>
      <c r="Z11">
        <f t="shared" si="0"/>
        <v>0.158</v>
      </c>
      <c r="AA11">
        <f t="shared" si="1"/>
        <v>0.04</v>
      </c>
      <c r="AB11" s="184">
        <f t="shared" si="2"/>
        <v>0.19800000000000001</v>
      </c>
      <c r="AC11" s="251">
        <f t="shared" si="3"/>
        <v>0.47099999999999997</v>
      </c>
      <c r="AF11">
        <f t="shared" si="4"/>
        <v>0.04</v>
      </c>
      <c r="AG11">
        <f t="shared" si="5"/>
        <v>0.08</v>
      </c>
    </row>
    <row r="12" spans="1:33" ht="15.75">
      <c r="D12" s="144" t="s">
        <v>58</v>
      </c>
      <c r="E12" s="147">
        <f>'Targets-chosen'!E12</f>
        <v>2.9000000000000001E-2</v>
      </c>
      <c r="F12" s="147">
        <f>'Targets-chosen'!F12</f>
        <v>2.9000000000000001E-2</v>
      </c>
      <c r="G12" s="147">
        <f>'Targets-chosen'!G12</f>
        <v>2.9000000000000001E-2</v>
      </c>
      <c r="H12" s="147">
        <f>'Targets-chosen'!H12</f>
        <v>8.7000000000000008E-2</v>
      </c>
      <c r="I12" s="147">
        <f>'Targets-chosen'!I12</f>
        <v>0.03</v>
      </c>
      <c r="J12" s="147">
        <f>'Targets-chosen'!J12</f>
        <v>2.9000000000000001E-2</v>
      </c>
      <c r="K12" s="147">
        <f>'Targets-chosen'!K12</f>
        <v>2.9000000000000001E-2</v>
      </c>
      <c r="L12" s="147">
        <f>'Targets-chosen'!L12</f>
        <v>8.7999999999999995E-2</v>
      </c>
      <c r="M12" s="147">
        <f>'Targets-chosen'!M12</f>
        <v>0.17499999999999999</v>
      </c>
      <c r="N12" s="147">
        <f>'Targets-chosen'!N12</f>
        <v>0.03</v>
      </c>
      <c r="O12" s="147">
        <f>'Targets-chosen'!O12</f>
        <v>2.9000000000000001E-2</v>
      </c>
      <c r="P12" s="147">
        <f>'Targets-chosen'!P12</f>
        <v>0.03</v>
      </c>
      <c r="Q12" s="147">
        <f>'Targets-chosen'!Q12</f>
        <v>8.8999999999999996E-2</v>
      </c>
      <c r="R12" s="147">
        <f>'Targets-chosen'!R12</f>
        <v>0.26400000000000001</v>
      </c>
      <c r="S12" s="147">
        <f>'Targets-chosen'!S12</f>
        <v>0.03</v>
      </c>
      <c r="T12" s="147">
        <f>'Targets-chosen'!T12</f>
        <v>2.7E-2</v>
      </c>
      <c r="U12" s="147">
        <f>'Targets-chosen'!U12</f>
        <v>2.9000000000000001E-2</v>
      </c>
      <c r="V12" s="147">
        <f>'Targets-chosen'!V12</f>
        <v>8.5999999999999993E-2</v>
      </c>
      <c r="W12" s="147">
        <f>'Targets-chosen'!W12</f>
        <v>0.35</v>
      </c>
      <c r="Z12">
        <f t="shared" si="0"/>
        <v>0.11700000000000001</v>
      </c>
      <c r="AA12">
        <f t="shared" si="1"/>
        <v>2.9000000000000001E-2</v>
      </c>
      <c r="AB12" s="184">
        <f t="shared" si="2"/>
        <v>0.14600000000000002</v>
      </c>
      <c r="AC12" s="251">
        <f t="shared" si="3"/>
        <v>0.35</v>
      </c>
      <c r="AF12">
        <f t="shared" si="4"/>
        <v>0.03</v>
      </c>
      <c r="AG12">
        <f t="shared" si="5"/>
        <v>5.8999999999999997E-2</v>
      </c>
    </row>
    <row r="13" spans="1:33" ht="15.75">
      <c r="D13" s="144" t="s">
        <v>59</v>
      </c>
      <c r="E13" s="147">
        <f>'Targets-chosen'!E13</f>
        <v>1.2E-2</v>
      </c>
      <c r="F13" s="147">
        <f>'Targets-chosen'!F13</f>
        <v>1.2E-2</v>
      </c>
      <c r="G13" s="147">
        <f>'Targets-chosen'!G13</f>
        <v>1.2E-2</v>
      </c>
      <c r="H13" s="147">
        <f>'Targets-chosen'!H13</f>
        <v>3.6000000000000004E-2</v>
      </c>
      <c r="I13" s="147">
        <f>'Targets-chosen'!I13</f>
        <v>1.2999999999999999E-2</v>
      </c>
      <c r="J13" s="147">
        <f>'Targets-chosen'!J13</f>
        <v>1.2999999999999999E-2</v>
      </c>
      <c r="K13" s="147">
        <f>'Targets-chosen'!K13</f>
        <v>1.2E-2</v>
      </c>
      <c r="L13" s="147">
        <f>'Targets-chosen'!L13</f>
        <v>3.7999999999999999E-2</v>
      </c>
      <c r="M13" s="147">
        <f>'Targets-chosen'!M13</f>
        <v>7.400000000000001E-2</v>
      </c>
      <c r="N13" s="147">
        <f>'Targets-chosen'!N13</f>
        <v>1.2E-2</v>
      </c>
      <c r="O13" s="147">
        <f>'Targets-chosen'!O13</f>
        <v>1.2E-2</v>
      </c>
      <c r="P13" s="147">
        <f>'Targets-chosen'!P13</f>
        <v>1.2999999999999999E-2</v>
      </c>
      <c r="Q13" s="147">
        <f>'Targets-chosen'!Q13</f>
        <v>3.6999999999999998E-2</v>
      </c>
      <c r="R13" s="147">
        <f>'Targets-chosen'!R13</f>
        <v>0.11100000000000002</v>
      </c>
      <c r="S13" s="147">
        <f>'Targets-chosen'!S13</f>
        <v>1.2999999999999999E-2</v>
      </c>
      <c r="T13" s="147">
        <f>'Targets-chosen'!T13</f>
        <v>1.0999999999999999E-2</v>
      </c>
      <c r="U13" s="147">
        <f>'Targets-chosen'!U13</f>
        <v>1.2E-2</v>
      </c>
      <c r="V13" s="147">
        <f>'Targets-chosen'!V13</f>
        <v>3.6000000000000004E-2</v>
      </c>
      <c r="W13" s="147">
        <f>'Targets-chosen'!W13</f>
        <v>0.14700000000000002</v>
      </c>
      <c r="Z13">
        <f t="shared" si="0"/>
        <v>4.9000000000000002E-2</v>
      </c>
      <c r="AA13">
        <f t="shared" si="1"/>
        <v>1.2999999999999999E-2</v>
      </c>
      <c r="AB13" s="184">
        <f t="shared" si="2"/>
        <v>6.2E-2</v>
      </c>
      <c r="AC13" s="251">
        <f t="shared" si="3"/>
        <v>0.14700000000000002</v>
      </c>
      <c r="AF13">
        <f t="shared" si="4"/>
        <v>1.2999999999999999E-2</v>
      </c>
      <c r="AG13">
        <f t="shared" si="5"/>
        <v>2.5999999999999999E-2</v>
      </c>
    </row>
    <row r="14" spans="1:33" ht="15.75">
      <c r="D14" s="144" t="s">
        <v>63</v>
      </c>
      <c r="E14" s="147">
        <f>'Targets-chosen'!E14</f>
        <v>6.3E-2</v>
      </c>
      <c r="F14" s="147">
        <f>'Targets-chosen'!F14</f>
        <v>6.5000000000000002E-2</v>
      </c>
      <c r="G14" s="147">
        <f>'Targets-chosen'!G14</f>
        <v>6.4000000000000001E-2</v>
      </c>
      <c r="H14" s="147">
        <f>'Targets-chosen'!H14</f>
        <v>0.192</v>
      </c>
      <c r="I14" s="147">
        <f>'Targets-chosen'!I14</f>
        <v>6.5000000000000002E-2</v>
      </c>
      <c r="J14" s="147">
        <f>'Targets-chosen'!J14</f>
        <v>6.5000000000000002E-2</v>
      </c>
      <c r="K14" s="147">
        <f>'Targets-chosen'!K14</f>
        <v>6.4000000000000001E-2</v>
      </c>
      <c r="L14" s="147">
        <f>'Targets-chosen'!L14</f>
        <v>0.19400000000000001</v>
      </c>
      <c r="M14" s="147">
        <f>'Targets-chosen'!M14</f>
        <v>0.38600000000000001</v>
      </c>
      <c r="N14" s="147">
        <f>'Targets-chosen'!N14</f>
        <v>6.5000000000000002E-2</v>
      </c>
      <c r="O14" s="147">
        <f>'Targets-chosen'!O14</f>
        <v>6.3E-2</v>
      </c>
      <c r="P14" s="147">
        <f>'Targets-chosen'!P14</f>
        <v>6.5000000000000002E-2</v>
      </c>
      <c r="Q14" s="147">
        <f>'Targets-chosen'!Q14</f>
        <v>0.193</v>
      </c>
      <c r="R14" s="147">
        <f>'Targets-chosen'!R14</f>
        <v>0.57899999999999996</v>
      </c>
      <c r="S14" s="147">
        <f>'Targets-chosen'!S14</f>
        <v>6.5000000000000002E-2</v>
      </c>
      <c r="T14" s="147">
        <f>'Targets-chosen'!T14</f>
        <v>0.06</v>
      </c>
      <c r="U14" s="147">
        <f>'Targets-chosen'!U14</f>
        <v>6.6000000000000003E-2</v>
      </c>
      <c r="V14" s="147">
        <f>'Targets-chosen'!V14</f>
        <v>0.191</v>
      </c>
      <c r="W14" s="147">
        <f>'Targets-chosen'!W14</f>
        <v>0.77</v>
      </c>
      <c r="Z14">
        <f t="shared" si="0"/>
        <v>0.25700000000000001</v>
      </c>
      <c r="AA14">
        <f t="shared" si="1"/>
        <v>6.5000000000000002E-2</v>
      </c>
      <c r="AB14" s="184">
        <f t="shared" si="2"/>
        <v>0.32200000000000001</v>
      </c>
      <c r="AC14" s="251">
        <f t="shared" si="3"/>
        <v>0.77</v>
      </c>
      <c r="AF14">
        <f t="shared" si="4"/>
        <v>6.5000000000000002E-2</v>
      </c>
      <c r="AG14">
        <f t="shared" si="5"/>
        <v>0.13</v>
      </c>
    </row>
    <row r="15" spans="1:33" ht="15.75">
      <c r="D15" s="144" t="s">
        <v>64</v>
      </c>
      <c r="E15" s="147">
        <f>'Targets-chosen'!E15</f>
        <v>4.0000000000000001E-3</v>
      </c>
      <c r="F15" s="147">
        <f>'Targets-chosen'!F15</f>
        <v>5.0000000000000001E-3</v>
      </c>
      <c r="G15" s="147">
        <f>'Targets-chosen'!G15</f>
        <v>4.0000000000000001E-3</v>
      </c>
      <c r="H15" s="147">
        <f>'Targets-chosen'!H15</f>
        <v>1.3000000000000001E-2</v>
      </c>
      <c r="I15" s="147">
        <f>'Targets-chosen'!I15</f>
        <v>4.0000000000000001E-3</v>
      </c>
      <c r="J15" s="147">
        <f>'Targets-chosen'!J15</f>
        <v>5.0000000000000001E-3</v>
      </c>
      <c r="K15" s="147">
        <f>'Targets-chosen'!K15</f>
        <v>4.0000000000000001E-3</v>
      </c>
      <c r="L15" s="147">
        <f>'Targets-chosen'!L15</f>
        <v>1.3000000000000001E-2</v>
      </c>
      <c r="M15" s="147">
        <f>'Targets-chosen'!M15</f>
        <v>2.6000000000000002E-2</v>
      </c>
      <c r="N15" s="147">
        <f>'Targets-chosen'!N15</f>
        <v>4.0000000000000001E-3</v>
      </c>
      <c r="O15" s="147">
        <f>'Targets-chosen'!O15</f>
        <v>4.0000000000000001E-3</v>
      </c>
      <c r="P15" s="147">
        <f>'Targets-chosen'!P15</f>
        <v>4.0000000000000001E-3</v>
      </c>
      <c r="Q15" s="147">
        <f>'Targets-chosen'!Q15</f>
        <v>1.2E-2</v>
      </c>
      <c r="R15" s="147">
        <f>'Targets-chosen'!R15</f>
        <v>3.8000000000000006E-2</v>
      </c>
      <c r="S15" s="147">
        <f>'Targets-chosen'!S15</f>
        <v>4.0000000000000001E-3</v>
      </c>
      <c r="T15" s="147">
        <f>'Targets-chosen'!T15</f>
        <v>4.0000000000000001E-3</v>
      </c>
      <c r="U15" s="147">
        <f>'Targets-chosen'!U15</f>
        <v>4.0000000000000001E-3</v>
      </c>
      <c r="V15" s="147">
        <f>'Targets-chosen'!V15</f>
        <v>1.2E-2</v>
      </c>
      <c r="W15" s="147">
        <f>'Targets-chosen'!W15</f>
        <v>0.05</v>
      </c>
      <c r="Z15">
        <f t="shared" si="0"/>
        <v>1.7000000000000001E-2</v>
      </c>
      <c r="AA15">
        <f t="shared" si="1"/>
        <v>5.0000000000000001E-3</v>
      </c>
      <c r="AB15" s="184">
        <f t="shared" si="2"/>
        <v>2.2000000000000002E-2</v>
      </c>
      <c r="AC15" s="251">
        <f t="shared" si="3"/>
        <v>0.05</v>
      </c>
      <c r="AF15">
        <f t="shared" si="4"/>
        <v>4.0000000000000001E-3</v>
      </c>
      <c r="AG15">
        <f t="shared" si="5"/>
        <v>9.0000000000000011E-3</v>
      </c>
    </row>
    <row r="16" spans="1:33" ht="15.75">
      <c r="D16" s="144" t="s">
        <v>65</v>
      </c>
      <c r="E16" s="147">
        <f>'Targets-chosen'!E16</f>
        <v>8.9999999999999993E-3</v>
      </c>
      <c r="F16" s="147">
        <f>'Targets-chosen'!F16</f>
        <v>0.01</v>
      </c>
      <c r="G16" s="147">
        <f>'Targets-chosen'!G16</f>
        <v>0.01</v>
      </c>
      <c r="H16" s="147">
        <f>'Targets-chosen'!H16</f>
        <v>2.8999999999999998E-2</v>
      </c>
      <c r="I16" s="147">
        <f>'Targets-chosen'!I16</f>
        <v>0.01</v>
      </c>
      <c r="J16" s="147">
        <f>'Targets-chosen'!J16</f>
        <v>0.01</v>
      </c>
      <c r="K16" s="147">
        <f>'Targets-chosen'!K16</f>
        <v>8.9999999999999993E-3</v>
      </c>
      <c r="L16" s="147">
        <f>'Targets-chosen'!L16</f>
        <v>2.8999999999999998E-2</v>
      </c>
      <c r="M16" s="147">
        <f>'Targets-chosen'!M16</f>
        <v>5.7999999999999996E-2</v>
      </c>
      <c r="N16" s="147">
        <f>'Targets-chosen'!N16</f>
        <v>0.01</v>
      </c>
      <c r="O16" s="147">
        <f>'Targets-chosen'!O16</f>
        <v>8.9999999999999993E-3</v>
      </c>
      <c r="P16" s="147">
        <f>'Targets-chosen'!P16</f>
        <v>0.01</v>
      </c>
      <c r="Q16" s="147">
        <f>'Targets-chosen'!Q16</f>
        <v>2.8999999999999998E-2</v>
      </c>
      <c r="R16" s="147">
        <f>'Targets-chosen'!R16</f>
        <v>8.6999999999999994E-2</v>
      </c>
      <c r="S16" s="147">
        <f>'Targets-chosen'!S16</f>
        <v>0.01</v>
      </c>
      <c r="T16" s="147">
        <f>'Targets-chosen'!T16</f>
        <v>8.9999999999999993E-3</v>
      </c>
      <c r="U16" s="147">
        <f>'Targets-chosen'!U16</f>
        <v>0.01</v>
      </c>
      <c r="V16" s="147">
        <f>'Targets-chosen'!V16</f>
        <v>2.8999999999999998E-2</v>
      </c>
      <c r="W16" s="147">
        <f>'Targets-chosen'!W16</f>
        <v>0.11599999999999999</v>
      </c>
      <c r="Z16">
        <f t="shared" si="0"/>
        <v>3.9E-2</v>
      </c>
      <c r="AA16">
        <f t="shared" si="1"/>
        <v>0.01</v>
      </c>
      <c r="AB16" s="184">
        <f t="shared" si="2"/>
        <v>4.9000000000000002E-2</v>
      </c>
      <c r="AC16" s="251">
        <f t="shared" si="3"/>
        <v>0.11599999999999999</v>
      </c>
      <c r="AF16">
        <f t="shared" si="4"/>
        <v>0.01</v>
      </c>
      <c r="AG16">
        <f t="shared" si="5"/>
        <v>0.02</v>
      </c>
    </row>
    <row r="17" spans="2:33" ht="15.75">
      <c r="D17" s="144" t="s">
        <v>66</v>
      </c>
      <c r="E17" s="147">
        <f>'Targets-chosen'!E17</f>
        <v>6.8000000000000005E-2</v>
      </c>
      <c r="F17" s="147">
        <f>'Targets-chosen'!F17</f>
        <v>7.0000000000000007E-2</v>
      </c>
      <c r="G17" s="147">
        <f>'Targets-chosen'!G17</f>
        <v>6.8000000000000005E-2</v>
      </c>
      <c r="H17" s="147">
        <f>'Targets-chosen'!H17</f>
        <v>0.20600000000000002</v>
      </c>
      <c r="I17" s="147">
        <f>'Targets-chosen'!I17</f>
        <v>7.0000000000000007E-2</v>
      </c>
      <c r="J17" s="147">
        <f>'Targets-chosen'!J17</f>
        <v>7.0000000000000007E-2</v>
      </c>
      <c r="K17" s="147">
        <f>'Targets-chosen'!K17</f>
        <v>6.8000000000000005E-2</v>
      </c>
      <c r="L17" s="147">
        <f>'Targets-chosen'!L17</f>
        <v>0.20800000000000002</v>
      </c>
      <c r="M17" s="147">
        <f>'Targets-chosen'!M17</f>
        <v>0.41400000000000003</v>
      </c>
      <c r="N17" s="147">
        <f>'Targets-chosen'!N17</f>
        <v>7.0000000000000007E-2</v>
      </c>
      <c r="O17" s="147">
        <f>'Targets-chosen'!O17</f>
        <v>6.8000000000000005E-2</v>
      </c>
      <c r="P17" s="147">
        <f>'Targets-chosen'!P17</f>
        <v>7.0000000000000007E-2</v>
      </c>
      <c r="Q17" s="147">
        <f>'Targets-chosen'!Q17</f>
        <v>0.20800000000000002</v>
      </c>
      <c r="R17" s="147">
        <f>'Targets-chosen'!R17</f>
        <v>0.62200000000000011</v>
      </c>
      <c r="S17" s="147">
        <f>'Targets-chosen'!S17</f>
        <v>7.0000000000000007E-2</v>
      </c>
      <c r="T17" s="147">
        <f>'Targets-chosen'!T17</f>
        <v>6.4000000000000001E-2</v>
      </c>
      <c r="U17" s="147">
        <f>'Targets-chosen'!U17</f>
        <v>7.0000000000000007E-2</v>
      </c>
      <c r="V17" s="147">
        <f>'Targets-chosen'!V17</f>
        <v>0.20400000000000001</v>
      </c>
      <c r="W17" s="147">
        <f>'Targets-chosen'!W17</f>
        <v>0.82600000000000007</v>
      </c>
      <c r="Z17">
        <f t="shared" si="0"/>
        <v>0.27600000000000002</v>
      </c>
      <c r="AA17">
        <f t="shared" si="1"/>
        <v>7.0000000000000007E-2</v>
      </c>
      <c r="AB17" s="184">
        <f t="shared" si="2"/>
        <v>0.34600000000000003</v>
      </c>
      <c r="AC17" s="251">
        <f t="shared" si="3"/>
        <v>0.82600000000000007</v>
      </c>
      <c r="AF17">
        <f t="shared" si="4"/>
        <v>7.0000000000000007E-2</v>
      </c>
      <c r="AG17">
        <f t="shared" si="5"/>
        <v>0.14000000000000001</v>
      </c>
    </row>
    <row r="18" spans="2:33" ht="15.75">
      <c r="D18" s="144" t="s">
        <v>67</v>
      </c>
      <c r="E18" s="147">
        <f>'Targets-chosen'!E18</f>
        <v>5.3999999999999999E-2</v>
      </c>
      <c r="F18" s="147">
        <f>'Targets-chosen'!F18</f>
        <v>5.6000000000000001E-2</v>
      </c>
      <c r="G18" s="147">
        <f>'Targets-chosen'!G18</f>
        <v>5.3999999999999999E-2</v>
      </c>
      <c r="H18" s="147">
        <f>'Targets-chosen'!H18</f>
        <v>0.16400000000000001</v>
      </c>
      <c r="I18" s="147">
        <f>'Targets-chosen'!I18</f>
        <v>5.5E-2</v>
      </c>
      <c r="J18" s="147">
        <f>'Targets-chosen'!J18</f>
        <v>5.6000000000000001E-2</v>
      </c>
      <c r="K18" s="147">
        <f>'Targets-chosen'!K18</f>
        <v>5.3999999999999999E-2</v>
      </c>
      <c r="L18" s="147">
        <f>'Targets-chosen'!L18</f>
        <v>0.16500000000000001</v>
      </c>
      <c r="M18" s="147">
        <f>'Targets-chosen'!M18</f>
        <v>0.32900000000000001</v>
      </c>
      <c r="N18" s="147">
        <f>'Targets-chosen'!N18</f>
        <v>5.6000000000000001E-2</v>
      </c>
      <c r="O18" s="147">
        <f>'Targets-chosen'!O18</f>
        <v>5.3999999999999999E-2</v>
      </c>
      <c r="P18" s="147">
        <f>'Targets-chosen'!P18</f>
        <v>5.6000000000000001E-2</v>
      </c>
      <c r="Q18" s="147">
        <f>'Targets-chosen'!Q18</f>
        <v>0.16600000000000001</v>
      </c>
      <c r="R18" s="147">
        <f>'Targets-chosen'!R18</f>
        <v>0.495</v>
      </c>
      <c r="S18" s="147">
        <f>'Targets-chosen'!S18</f>
        <v>5.3999999999999999E-2</v>
      </c>
      <c r="T18" s="147">
        <f>'Targets-chosen'!T18</f>
        <v>0.05</v>
      </c>
      <c r="U18" s="147">
        <f>'Targets-chosen'!U18</f>
        <v>5.6000000000000001E-2</v>
      </c>
      <c r="V18" s="147">
        <f>'Targets-chosen'!V18</f>
        <v>0.16</v>
      </c>
      <c r="W18" s="147">
        <f>'Targets-chosen'!W18</f>
        <v>0.65500000000000003</v>
      </c>
      <c r="Z18">
        <f t="shared" si="0"/>
        <v>0.219</v>
      </c>
      <c r="AA18">
        <f t="shared" si="1"/>
        <v>5.6000000000000001E-2</v>
      </c>
      <c r="AB18" s="184">
        <f t="shared" si="2"/>
        <v>0.27500000000000002</v>
      </c>
      <c r="AC18" s="251">
        <f t="shared" si="3"/>
        <v>0.65500000000000003</v>
      </c>
      <c r="AF18">
        <f t="shared" si="4"/>
        <v>5.5E-2</v>
      </c>
      <c r="AG18">
        <f t="shared" si="5"/>
        <v>0.111</v>
      </c>
    </row>
    <row r="19" spans="2:33" ht="15.75">
      <c r="D19" s="144" t="s">
        <v>68</v>
      </c>
      <c r="E19" s="147">
        <f>'Targets-chosen'!E19</f>
        <v>1.4E-2</v>
      </c>
      <c r="F19" s="147">
        <f>'Targets-chosen'!F19</f>
        <v>1.4E-2</v>
      </c>
      <c r="G19" s="147">
        <f>'Targets-chosen'!G19</f>
        <v>1.4E-2</v>
      </c>
      <c r="H19" s="147">
        <f>'Targets-chosen'!H19</f>
        <v>4.2000000000000003E-2</v>
      </c>
      <c r="I19" s="147">
        <f>'Targets-chosen'!I19</f>
        <v>1.4999999999999999E-2</v>
      </c>
      <c r="J19" s="147">
        <f>'Targets-chosen'!J19</f>
        <v>1.4E-2</v>
      </c>
      <c r="K19" s="147">
        <f>'Targets-chosen'!K19</f>
        <v>1.4E-2</v>
      </c>
      <c r="L19" s="147">
        <f>'Targets-chosen'!L19</f>
        <v>4.2999999999999997E-2</v>
      </c>
      <c r="M19" s="147">
        <f>'Targets-chosen'!M19</f>
        <v>8.4999999999999992E-2</v>
      </c>
      <c r="N19" s="147">
        <f>'Targets-chosen'!N19</f>
        <v>1.4999999999999999E-2</v>
      </c>
      <c r="O19" s="147">
        <f>'Targets-chosen'!O19</f>
        <v>1.4E-2</v>
      </c>
      <c r="P19" s="147">
        <f>'Targets-chosen'!P19</f>
        <v>1.4999999999999999E-2</v>
      </c>
      <c r="Q19" s="147">
        <f>'Targets-chosen'!Q19</f>
        <v>4.3999999999999997E-2</v>
      </c>
      <c r="R19" s="147">
        <f>'Targets-chosen'!R19</f>
        <v>0.129</v>
      </c>
      <c r="S19" s="147">
        <f>'Targets-chosen'!S19</f>
        <v>1.4E-2</v>
      </c>
      <c r="T19" s="147">
        <f>'Targets-chosen'!T19</f>
        <v>1.2999999999999999E-2</v>
      </c>
      <c r="U19" s="147">
        <f>'Targets-chosen'!U19</f>
        <v>1.4E-2</v>
      </c>
      <c r="V19" s="147">
        <f>'Targets-chosen'!V19</f>
        <v>4.1000000000000002E-2</v>
      </c>
      <c r="W19" s="147">
        <f>'Targets-chosen'!W19</f>
        <v>0.17</v>
      </c>
      <c r="Z19">
        <f t="shared" si="0"/>
        <v>5.7000000000000002E-2</v>
      </c>
      <c r="AA19">
        <f t="shared" si="1"/>
        <v>1.4E-2</v>
      </c>
      <c r="AB19" s="184">
        <f t="shared" si="2"/>
        <v>7.1000000000000008E-2</v>
      </c>
      <c r="AC19" s="251">
        <f t="shared" si="3"/>
        <v>0.17</v>
      </c>
      <c r="AF19">
        <f t="shared" si="4"/>
        <v>1.4999999999999999E-2</v>
      </c>
      <c r="AG19">
        <f t="shared" si="5"/>
        <v>2.8999999999999998E-2</v>
      </c>
    </row>
    <row r="20" spans="2:33" ht="15.75">
      <c r="D20" s="144" t="s">
        <v>69</v>
      </c>
      <c r="E20" s="147">
        <f>'Targets-chosen'!E20</f>
        <v>0</v>
      </c>
      <c r="F20" s="147">
        <f>'Targets-chosen'!F20</f>
        <v>0</v>
      </c>
      <c r="G20" s="147">
        <f>'Targets-chosen'!G20</f>
        <v>0</v>
      </c>
      <c r="H20" s="147">
        <f>'Targets-chosen'!H20</f>
        <v>0</v>
      </c>
      <c r="I20" s="147">
        <f>'Targets-chosen'!I20</f>
        <v>0</v>
      </c>
      <c r="J20" s="147">
        <f>'Targets-chosen'!J20</f>
        <v>0</v>
      </c>
      <c r="K20" s="147">
        <f>'Targets-chosen'!K20</f>
        <v>0</v>
      </c>
      <c r="L20" s="147">
        <f>'Targets-chosen'!L20</f>
        <v>0</v>
      </c>
      <c r="M20" s="147">
        <f>'Targets-chosen'!M20</f>
        <v>0</v>
      </c>
      <c r="N20" s="147">
        <f>'Targets-chosen'!N20</f>
        <v>0</v>
      </c>
      <c r="O20" s="147">
        <f>'Targets-chosen'!O20</f>
        <v>0</v>
      </c>
      <c r="P20" s="147">
        <f>'Targets-chosen'!P20</f>
        <v>0</v>
      </c>
      <c r="Q20" s="147">
        <f>'Targets-chosen'!Q20</f>
        <v>0</v>
      </c>
      <c r="R20" s="147">
        <f>'Targets-chosen'!R20</f>
        <v>0</v>
      </c>
      <c r="S20" s="147">
        <f>'Targets-chosen'!S20</f>
        <v>0</v>
      </c>
      <c r="T20" s="147">
        <f>'Targets-chosen'!T20</f>
        <v>0</v>
      </c>
      <c r="U20" s="147">
        <f>'Targets-chosen'!U20</f>
        <v>0</v>
      </c>
      <c r="V20" s="147">
        <f>'Targets-chosen'!V20</f>
        <v>0</v>
      </c>
      <c r="W20" s="147">
        <f>'Targets-chosen'!W20</f>
        <v>0</v>
      </c>
      <c r="Z20">
        <f t="shared" si="0"/>
        <v>0</v>
      </c>
      <c r="AA20">
        <f t="shared" si="1"/>
        <v>0</v>
      </c>
      <c r="AB20" s="184">
        <f t="shared" si="2"/>
        <v>0</v>
      </c>
      <c r="AC20" s="251">
        <f t="shared" si="3"/>
        <v>0</v>
      </c>
      <c r="AF20">
        <f t="shared" si="4"/>
        <v>0</v>
      </c>
      <c r="AG20">
        <f t="shared" si="5"/>
        <v>0</v>
      </c>
    </row>
    <row r="21" spans="2:33" ht="15.75">
      <c r="D21" s="144" t="s">
        <v>70</v>
      </c>
      <c r="E21" s="147">
        <f>'Targets-chosen'!E21</f>
        <v>0</v>
      </c>
      <c r="F21" s="147">
        <f>'Targets-chosen'!F21</f>
        <v>0</v>
      </c>
      <c r="G21" s="147">
        <f>'Targets-chosen'!G21</f>
        <v>0</v>
      </c>
      <c r="H21" s="147">
        <f>'Targets-chosen'!H21</f>
        <v>0</v>
      </c>
      <c r="I21" s="147">
        <f>'Targets-chosen'!I21</f>
        <v>0</v>
      </c>
      <c r="J21" s="147">
        <f>'Targets-chosen'!J21</f>
        <v>0</v>
      </c>
      <c r="K21" s="147">
        <f>'Targets-chosen'!K21</f>
        <v>0</v>
      </c>
      <c r="L21" s="147">
        <f>'Targets-chosen'!L21</f>
        <v>0</v>
      </c>
      <c r="M21" s="147">
        <f>'Targets-chosen'!M21</f>
        <v>0</v>
      </c>
      <c r="N21" s="147">
        <f>'Targets-chosen'!N21</f>
        <v>0</v>
      </c>
      <c r="O21" s="147">
        <f>'Targets-chosen'!O21</f>
        <v>0</v>
      </c>
      <c r="P21" s="147">
        <f>'Targets-chosen'!P21</f>
        <v>0</v>
      </c>
      <c r="Q21" s="147">
        <f>'Targets-chosen'!Q21</f>
        <v>0</v>
      </c>
      <c r="R21" s="147">
        <f>'Targets-chosen'!R21</f>
        <v>0</v>
      </c>
      <c r="S21" s="147">
        <f>'Targets-chosen'!S21</f>
        <v>0</v>
      </c>
      <c r="T21" s="147">
        <f>'Targets-chosen'!T21</f>
        <v>0</v>
      </c>
      <c r="U21" s="147">
        <f>'Targets-chosen'!U21</f>
        <v>0</v>
      </c>
      <c r="V21" s="147">
        <f>'Targets-chosen'!V21</f>
        <v>0</v>
      </c>
      <c r="W21" s="147">
        <f>'Targets-chosen'!W21</f>
        <v>0</v>
      </c>
      <c r="Z21">
        <f t="shared" si="0"/>
        <v>0</v>
      </c>
      <c r="AA21">
        <f t="shared" si="1"/>
        <v>0</v>
      </c>
      <c r="AB21" s="184">
        <f t="shared" si="2"/>
        <v>0</v>
      </c>
      <c r="AC21" s="251">
        <f t="shared" si="3"/>
        <v>0</v>
      </c>
      <c r="AF21">
        <f t="shared" si="4"/>
        <v>0</v>
      </c>
      <c r="AG21">
        <f t="shared" si="5"/>
        <v>0</v>
      </c>
    </row>
    <row r="22" spans="2:33" ht="15.75">
      <c r="D22" s="145" t="s">
        <v>92</v>
      </c>
      <c r="E22" s="147">
        <f>'Targets-chosen'!E22</f>
        <v>0.59800000000000009</v>
      </c>
      <c r="F22" s="147">
        <f>'Targets-chosen'!F22</f>
        <v>0.6160000000000001</v>
      </c>
      <c r="G22" s="147">
        <f>'Targets-chosen'!G22</f>
        <v>0.60000000000000009</v>
      </c>
      <c r="H22" s="147">
        <f>'Targets-chosen'!H22</f>
        <v>1.8140000000000003</v>
      </c>
      <c r="I22" s="147">
        <f>'Targets-chosen'!I22</f>
        <v>0.6180000000000001</v>
      </c>
      <c r="J22" s="147">
        <f>'Targets-chosen'!J22</f>
        <v>0.6170000000000001</v>
      </c>
      <c r="K22" s="147">
        <f>'Targets-chosen'!K22</f>
        <v>0.59900000000000009</v>
      </c>
      <c r="L22" s="147">
        <f>'Targets-chosen'!L22</f>
        <v>1.8340000000000005</v>
      </c>
      <c r="M22" s="147">
        <f>'Targets-chosen'!M22</f>
        <v>3.6480000000000006</v>
      </c>
      <c r="N22" s="147">
        <f>'Targets-chosen'!N22</f>
        <v>0.6160000000000001</v>
      </c>
      <c r="O22" s="147">
        <f>'Targets-chosen'!O22</f>
        <v>0.59500000000000008</v>
      </c>
      <c r="P22" s="147">
        <f>'Targets-chosen'!P22</f>
        <v>0.6140000000000001</v>
      </c>
      <c r="Q22" s="147">
        <f>'Targets-chosen'!Q22</f>
        <v>1.8250000000000004</v>
      </c>
      <c r="R22" s="147">
        <f>'Targets-chosen'!R22</f>
        <v>5.4730000000000008</v>
      </c>
      <c r="S22" s="147">
        <f>'Targets-chosen'!S22</f>
        <v>0.6110000000000001</v>
      </c>
      <c r="T22" s="147">
        <f>'Targets-chosen'!T22</f>
        <v>0.55600000000000005</v>
      </c>
      <c r="U22" s="147">
        <f>'Targets-chosen'!U22</f>
        <v>0.6120000000000001</v>
      </c>
      <c r="V22" s="147">
        <f>'Targets-chosen'!V22</f>
        <v>1.7790000000000004</v>
      </c>
      <c r="W22" s="147">
        <f>'Targets-chosen'!W22</f>
        <v>7.2520000000000007</v>
      </c>
      <c r="Z22" s="376">
        <f>SUM(Z8:Z21)</f>
        <v>2.4319999999999995</v>
      </c>
      <c r="AA22" s="376">
        <f>SUM(AA8:AA21)</f>
        <v>0.6170000000000001</v>
      </c>
      <c r="AB22" s="376">
        <f>SUM(AB8:AB21)</f>
        <v>3.0489999999999999</v>
      </c>
      <c r="AC22" s="376">
        <f>SUM(AC8:AC21)</f>
        <v>7.2519999999999998</v>
      </c>
      <c r="AF22" s="376">
        <f>SUM(AF8:AF21)</f>
        <v>0.6180000000000001</v>
      </c>
      <c r="AG22" s="376">
        <f>SUM(AG8:AG21)</f>
        <v>1.2350000000000001</v>
      </c>
    </row>
    <row r="24" spans="2:33">
      <c r="B24" s="233"/>
      <c r="C24" s="233"/>
      <c r="D24" s="233"/>
      <c r="E24" s="233"/>
      <c r="F24" s="233"/>
      <c r="G24" s="233"/>
      <c r="H24" s="233"/>
      <c r="I24" s="233"/>
      <c r="J24" s="233"/>
      <c r="K24" s="233"/>
      <c r="L24" s="233"/>
      <c r="M24" s="233"/>
      <c r="N24" s="233"/>
      <c r="O24" s="233"/>
      <c r="P24" s="233"/>
      <c r="Q24" s="233"/>
      <c r="R24" s="233"/>
      <c r="S24" s="233"/>
      <c r="T24" s="233"/>
    </row>
    <row r="26" spans="2:33">
      <c r="D26" s="1113" t="s">
        <v>91</v>
      </c>
      <c r="E26" s="1113" t="s">
        <v>91</v>
      </c>
      <c r="F26" s="1113"/>
      <c r="G26" s="1113"/>
      <c r="H26" s="1113"/>
      <c r="I26" s="1113"/>
      <c r="J26" s="1113"/>
      <c r="K26" s="1113"/>
      <c r="L26" s="1113"/>
      <c r="M26" s="1113"/>
      <c r="N26" s="1113"/>
      <c r="O26" s="1113"/>
      <c r="P26" s="1113"/>
      <c r="Q26" s="1113"/>
      <c r="R26" s="1113"/>
      <c r="S26" s="1113"/>
      <c r="T26" s="1113"/>
      <c r="U26" s="1113"/>
      <c r="V26" s="1113"/>
      <c r="W26" s="1113"/>
      <c r="AF26" t="s">
        <v>159</v>
      </c>
      <c r="AG26" t="s">
        <v>435</v>
      </c>
    </row>
    <row r="27" spans="2:33">
      <c r="D27" s="144"/>
      <c r="E27" s="144" t="s">
        <v>30</v>
      </c>
      <c r="F27" s="144" t="s">
        <v>71</v>
      </c>
      <c r="G27" s="144" t="s">
        <v>72</v>
      </c>
      <c r="H27" s="148" t="s">
        <v>82</v>
      </c>
      <c r="I27" s="144" t="s">
        <v>73</v>
      </c>
      <c r="J27" s="144" t="s">
        <v>74</v>
      </c>
      <c r="K27" s="144" t="s">
        <v>75</v>
      </c>
      <c r="L27" s="148" t="s">
        <v>83</v>
      </c>
      <c r="M27" s="170" t="s">
        <v>39</v>
      </c>
      <c r="N27" s="144" t="s">
        <v>76</v>
      </c>
      <c r="O27" s="144" t="s">
        <v>77</v>
      </c>
      <c r="P27" s="144" t="s">
        <v>78</v>
      </c>
      <c r="Q27" s="148" t="s">
        <v>84</v>
      </c>
      <c r="R27" s="170" t="s">
        <v>85</v>
      </c>
      <c r="S27" s="144" t="s">
        <v>79</v>
      </c>
      <c r="T27" s="144" t="s">
        <v>80</v>
      </c>
      <c r="U27" s="144" t="s">
        <v>81</v>
      </c>
      <c r="V27" s="148" t="s">
        <v>86</v>
      </c>
      <c r="W27" s="170" t="s">
        <v>87</v>
      </c>
      <c r="AB27" s="184" t="s">
        <v>182</v>
      </c>
      <c r="AC27" s="184" t="s">
        <v>183</v>
      </c>
      <c r="AF27" t="s">
        <v>178</v>
      </c>
    </row>
    <row r="28" spans="2:33" ht="15.75">
      <c r="D28" s="144" t="s">
        <v>60</v>
      </c>
      <c r="E28" s="146">
        <f>'Targets-chosen'!E28</f>
        <v>4.9000000000000002E-2</v>
      </c>
      <c r="F28" s="146">
        <f>'Targets-chosen'!F28</f>
        <v>0.05</v>
      </c>
      <c r="G28" s="146">
        <f>'Targets-chosen'!G28</f>
        <v>4.8000000000000001E-2</v>
      </c>
      <c r="H28" s="146">
        <f>'Targets-chosen'!H28</f>
        <v>0.14700000000000002</v>
      </c>
      <c r="I28" s="146">
        <f>'Targets-chosen'!I28</f>
        <v>5.0999999999999997E-2</v>
      </c>
      <c r="J28" s="146">
        <f>'Targets-chosen'!J28</f>
        <v>0.05</v>
      </c>
      <c r="K28" s="146">
        <f>'Targets-chosen'!K28</f>
        <v>4.9000000000000002E-2</v>
      </c>
      <c r="L28" s="146">
        <f>'Targets-chosen'!L28</f>
        <v>0.15000000000000002</v>
      </c>
      <c r="M28" s="146">
        <f>'Targets-chosen'!M28</f>
        <v>0.29700000000000004</v>
      </c>
      <c r="N28" s="146">
        <f>'Targets-chosen'!N28</f>
        <v>5.1999999999999998E-2</v>
      </c>
      <c r="O28" s="146">
        <f>'Targets-chosen'!O28</f>
        <v>5.2999999999999999E-2</v>
      </c>
      <c r="P28" s="146">
        <f>'Targets-chosen'!P28</f>
        <v>5.3999999999999999E-2</v>
      </c>
      <c r="Q28" s="146">
        <f>'Targets-chosen'!Q28</f>
        <v>0.159</v>
      </c>
      <c r="R28" s="146">
        <f>'Targets-chosen'!R28</f>
        <v>0.45600000000000007</v>
      </c>
      <c r="S28" s="146">
        <f>'Targets-chosen'!S28</f>
        <v>5.6000000000000001E-2</v>
      </c>
      <c r="T28" s="146">
        <f>'Targets-chosen'!T28</f>
        <v>5.0999999999999997E-2</v>
      </c>
      <c r="U28" s="146">
        <f>'Targets-chosen'!U28</f>
        <v>5.6000000000000001E-2</v>
      </c>
      <c r="V28" s="146">
        <f>'Targets-chosen'!V28</f>
        <v>0.16300000000000001</v>
      </c>
      <c r="W28" s="146">
        <f>'Targets-chosen'!W28</f>
        <v>0.61900000000000011</v>
      </c>
      <c r="Z28">
        <f>SUMIF(E$89:W$89,1,E28:W28)</f>
        <v>0.19800000000000001</v>
      </c>
      <c r="AA28">
        <f>(SUMIF(E$87:W$87,$Z$88,E28:W28))*$AC$88</f>
        <v>0.05</v>
      </c>
      <c r="AB28" s="184">
        <f>Z28+AA28</f>
        <v>0.248</v>
      </c>
      <c r="AC28" s="251">
        <f>W28</f>
        <v>0.61900000000000011</v>
      </c>
      <c r="AF28">
        <f>SUMIF($E$94:$W$94,1,E28:W28)</f>
        <v>5.0999999999999997E-2</v>
      </c>
      <c r="AG28">
        <f>AF28+AA28</f>
        <v>0.10100000000000001</v>
      </c>
    </row>
    <row r="29" spans="2:33" ht="15.75">
      <c r="D29" s="144" t="s">
        <v>61</v>
      </c>
      <c r="E29" s="146">
        <f>'Targets-chosen'!E29</f>
        <v>6.6000000000000003E-2</v>
      </c>
      <c r="F29" s="146">
        <f>'Targets-chosen'!F29</f>
        <v>6.8000000000000005E-2</v>
      </c>
      <c r="G29" s="146">
        <f>'Targets-chosen'!G29</f>
        <v>6.6000000000000003E-2</v>
      </c>
      <c r="H29" s="146">
        <f>'Targets-chosen'!H29</f>
        <v>0.2</v>
      </c>
      <c r="I29" s="146">
        <f>'Targets-chosen'!I29</f>
        <v>6.8000000000000005E-2</v>
      </c>
      <c r="J29" s="146">
        <f>'Targets-chosen'!J29</f>
        <v>6.8000000000000005E-2</v>
      </c>
      <c r="K29" s="146">
        <f>'Targets-chosen'!K29</f>
        <v>6.6000000000000003E-2</v>
      </c>
      <c r="L29" s="146">
        <f>'Targets-chosen'!L29</f>
        <v>0.20200000000000001</v>
      </c>
      <c r="M29" s="146">
        <f>'Targets-chosen'!M29</f>
        <v>0.40200000000000002</v>
      </c>
      <c r="N29" s="146">
        <f>'Targets-chosen'!N29</f>
        <v>6.794520547945207E-2</v>
      </c>
      <c r="O29" s="146">
        <f>'Targets-chosen'!O29</f>
        <v>6.6000000000000003E-2</v>
      </c>
      <c r="P29" s="146">
        <f>'Targets-chosen'!P29</f>
        <v>6.8000000000000005E-2</v>
      </c>
      <c r="Q29" s="146">
        <f>'Targets-chosen'!Q29</f>
        <v>0.20194520547945208</v>
      </c>
      <c r="R29" s="146">
        <f>'Targets-chosen'!R29</f>
        <v>0.60394520547945207</v>
      </c>
      <c r="S29" s="146">
        <f>'Targets-chosen'!S29</f>
        <v>6.8000000000000005E-2</v>
      </c>
      <c r="T29" s="146">
        <f>'Targets-chosen'!T29</f>
        <v>0.06</v>
      </c>
      <c r="U29" s="146">
        <f>'Targets-chosen'!U29</f>
        <v>6.8000000000000005E-2</v>
      </c>
      <c r="V29" s="146">
        <f>'Targets-chosen'!V29</f>
        <v>0.19600000000000001</v>
      </c>
      <c r="W29" s="146">
        <f>'Targets-chosen'!W29</f>
        <v>0.79994520547945203</v>
      </c>
      <c r="Z29">
        <f t="shared" ref="Z29:Z41" si="6">SUMIF(E$89:W$89,1,E29:W29)</f>
        <v>0.26800000000000002</v>
      </c>
      <c r="AA29">
        <f t="shared" ref="AA29:AA41" si="7">(SUMIF(E$87:W$87,$Z$88,E29:W29))*$AC$88</f>
        <v>6.8000000000000005E-2</v>
      </c>
      <c r="AB29" s="184">
        <f t="shared" ref="AB29:AB41" si="8">Z29+AA29</f>
        <v>0.33600000000000002</v>
      </c>
      <c r="AC29" s="251">
        <f t="shared" ref="AC29:AC41" si="9">W29</f>
        <v>0.79994520547945203</v>
      </c>
      <c r="AF29">
        <f t="shared" ref="AF29:AF41" si="10">SUMIF($E$94:$W$94,1,E29:W29)</f>
        <v>6.8000000000000005E-2</v>
      </c>
      <c r="AG29">
        <f t="shared" ref="AG29:AG41" si="11">AF29+AA29</f>
        <v>0.13600000000000001</v>
      </c>
    </row>
    <row r="30" spans="2:33" ht="15.75">
      <c r="D30" s="144" t="s">
        <v>62</v>
      </c>
      <c r="E30" s="146">
        <f>'Targets-chosen'!E30</f>
        <v>8.0000000000000002E-3</v>
      </c>
      <c r="F30" s="146">
        <f>'Targets-chosen'!F30</f>
        <v>8.0000000000000002E-3</v>
      </c>
      <c r="G30" s="146">
        <f>'Targets-chosen'!G30</f>
        <v>8.0000000000000002E-3</v>
      </c>
      <c r="H30" s="146">
        <f>'Targets-chosen'!H30</f>
        <v>2.4E-2</v>
      </c>
      <c r="I30" s="146">
        <f>'Targets-chosen'!I30</f>
        <v>8.0000000000000002E-3</v>
      </c>
      <c r="J30" s="146">
        <f>'Targets-chosen'!J30</f>
        <v>8.0000000000000002E-3</v>
      </c>
      <c r="K30" s="146">
        <f>'Targets-chosen'!K30</f>
        <v>8.0000000000000002E-3</v>
      </c>
      <c r="L30" s="146">
        <f>'Targets-chosen'!L30</f>
        <v>2.4E-2</v>
      </c>
      <c r="M30" s="146">
        <f>'Targets-chosen'!M30</f>
        <v>4.8000000000000001E-2</v>
      </c>
      <c r="N30" s="146">
        <f>'Targets-chosen'!N30</f>
        <v>7.9835616438356169E-3</v>
      </c>
      <c r="O30" s="146">
        <f>'Targets-chosen'!O30</f>
        <v>8.0000000000000002E-3</v>
      </c>
      <c r="P30" s="146">
        <f>'Targets-chosen'!P30</f>
        <v>8.0000000000000002E-3</v>
      </c>
      <c r="Q30" s="146">
        <f>'Targets-chosen'!Q30</f>
        <v>2.3983561643835617E-2</v>
      </c>
      <c r="R30" s="146">
        <f>'Targets-chosen'!R30</f>
        <v>7.1983561643835625E-2</v>
      </c>
      <c r="S30" s="146">
        <f>'Targets-chosen'!S30</f>
        <v>8.0000000000000002E-3</v>
      </c>
      <c r="T30" s="146">
        <f>'Targets-chosen'!T30</f>
        <v>6.0000000000000001E-3</v>
      </c>
      <c r="U30" s="146">
        <f>'Targets-chosen'!U30</f>
        <v>8.0000000000000002E-3</v>
      </c>
      <c r="V30" s="146">
        <f>'Targets-chosen'!V30</f>
        <v>2.1999999999999999E-2</v>
      </c>
      <c r="W30" s="146">
        <f>'Targets-chosen'!W30</f>
        <v>9.3983561643835617E-2</v>
      </c>
      <c r="Z30">
        <f t="shared" si="6"/>
        <v>3.2000000000000001E-2</v>
      </c>
      <c r="AA30">
        <f t="shared" si="7"/>
        <v>8.0000000000000002E-3</v>
      </c>
      <c r="AB30" s="184">
        <f t="shared" si="8"/>
        <v>0.04</v>
      </c>
      <c r="AC30" s="251">
        <f t="shared" si="9"/>
        <v>9.3983561643835617E-2</v>
      </c>
      <c r="AF30">
        <f t="shared" si="10"/>
        <v>8.0000000000000002E-3</v>
      </c>
      <c r="AG30">
        <f t="shared" si="11"/>
        <v>1.6E-2</v>
      </c>
    </row>
    <row r="31" spans="2:33" ht="15.75">
      <c r="D31" s="144" t="s">
        <v>57</v>
      </c>
      <c r="E31" s="146">
        <f>'Targets-chosen'!E31</f>
        <v>0.01</v>
      </c>
      <c r="F31" s="146">
        <f>'Targets-chosen'!F31</f>
        <v>0.01</v>
      </c>
      <c r="G31" s="146">
        <f>'Targets-chosen'!G31</f>
        <v>0.01</v>
      </c>
      <c r="H31" s="146">
        <f>'Targets-chosen'!H31</f>
        <v>0.03</v>
      </c>
      <c r="I31" s="146">
        <f>'Targets-chosen'!I31</f>
        <v>0.01</v>
      </c>
      <c r="J31" s="146">
        <f>'Targets-chosen'!J31</f>
        <v>0.01</v>
      </c>
      <c r="K31" s="146">
        <f>'Targets-chosen'!K31</f>
        <v>0.01</v>
      </c>
      <c r="L31" s="146">
        <f>'Targets-chosen'!L31</f>
        <v>0.03</v>
      </c>
      <c r="M31" s="146">
        <f>'Targets-chosen'!M31</f>
        <v>0.06</v>
      </c>
      <c r="N31" s="146">
        <f>'Targets-chosen'!N31</f>
        <v>9.8520547945205473E-3</v>
      </c>
      <c r="O31" s="146">
        <f>'Targets-chosen'!O31</f>
        <v>0.01</v>
      </c>
      <c r="P31" s="146">
        <f>'Targets-chosen'!P31</f>
        <v>0.01</v>
      </c>
      <c r="Q31" s="146">
        <f>'Targets-chosen'!Q31</f>
        <v>2.9852054794520549E-2</v>
      </c>
      <c r="R31" s="146">
        <f>'Targets-chosen'!R31</f>
        <v>8.9852054794520547E-2</v>
      </c>
      <c r="S31" s="146">
        <f>'Targets-chosen'!S31</f>
        <v>0.01</v>
      </c>
      <c r="T31" s="146">
        <f>'Targets-chosen'!T31</f>
        <v>6.0000000000000001E-3</v>
      </c>
      <c r="U31" s="146">
        <f>'Targets-chosen'!U31</f>
        <v>0.01</v>
      </c>
      <c r="V31" s="146">
        <f>'Targets-chosen'!V31</f>
        <v>2.6000000000000002E-2</v>
      </c>
      <c r="W31" s="146">
        <f>'Targets-chosen'!W31</f>
        <v>0.11585205479452054</v>
      </c>
      <c r="Z31">
        <f t="shared" si="6"/>
        <v>0.04</v>
      </c>
      <c r="AA31">
        <f t="shared" si="7"/>
        <v>0.01</v>
      </c>
      <c r="AB31" s="184">
        <f t="shared" si="8"/>
        <v>0.05</v>
      </c>
      <c r="AC31" s="251">
        <f t="shared" si="9"/>
        <v>0.11585205479452054</v>
      </c>
      <c r="AF31">
        <f t="shared" si="10"/>
        <v>0.01</v>
      </c>
      <c r="AG31">
        <f t="shared" si="11"/>
        <v>0.02</v>
      </c>
    </row>
    <row r="32" spans="2:33" ht="15.75">
      <c r="D32" s="144" t="s">
        <v>58</v>
      </c>
      <c r="E32" s="146">
        <f>'Targets-chosen'!E32</f>
        <v>2E-3</v>
      </c>
      <c r="F32" s="146">
        <f>'Targets-chosen'!F32</f>
        <v>2E-3</v>
      </c>
      <c r="G32" s="146">
        <f>'Targets-chosen'!G32</f>
        <v>2E-3</v>
      </c>
      <c r="H32" s="146">
        <f>'Targets-chosen'!H32</f>
        <v>6.0000000000000001E-3</v>
      </c>
      <c r="I32" s="146">
        <f>'Targets-chosen'!I32</f>
        <v>2E-3</v>
      </c>
      <c r="J32" s="146">
        <f>'Targets-chosen'!J32</f>
        <v>2E-3</v>
      </c>
      <c r="K32" s="146">
        <f>'Targets-chosen'!K32</f>
        <v>2E-3</v>
      </c>
      <c r="L32" s="146">
        <f>'Targets-chosen'!L32</f>
        <v>6.0000000000000001E-3</v>
      </c>
      <c r="M32" s="146">
        <f>'Targets-chosen'!M32</f>
        <v>1.2E-2</v>
      </c>
      <c r="N32" s="146">
        <f>'Targets-chosen'!N32</f>
        <v>2.1232876712328772E-3</v>
      </c>
      <c r="O32" s="146">
        <f>'Targets-chosen'!O32</f>
        <v>2E-3</v>
      </c>
      <c r="P32" s="146">
        <f>'Targets-chosen'!P32</f>
        <v>2E-3</v>
      </c>
      <c r="Q32" s="146">
        <f>'Targets-chosen'!Q32</f>
        <v>6.1232876712328773E-3</v>
      </c>
      <c r="R32" s="146">
        <f>'Targets-chosen'!R32</f>
        <v>1.8123287671232877E-2</v>
      </c>
      <c r="S32" s="146">
        <f>'Targets-chosen'!S32</f>
        <v>2E-3</v>
      </c>
      <c r="T32" s="146">
        <f>'Targets-chosen'!T32</f>
        <v>3.0000000000000001E-3</v>
      </c>
      <c r="U32" s="146">
        <f>'Targets-chosen'!U32</f>
        <v>2E-3</v>
      </c>
      <c r="V32" s="146">
        <f>'Targets-chosen'!V32</f>
        <v>7.0000000000000001E-3</v>
      </c>
      <c r="W32" s="146">
        <f>'Targets-chosen'!W32</f>
        <v>2.5123287671232876E-2</v>
      </c>
      <c r="Z32">
        <f t="shared" si="6"/>
        <v>8.0000000000000002E-3</v>
      </c>
      <c r="AA32">
        <f t="shared" si="7"/>
        <v>2E-3</v>
      </c>
      <c r="AB32" s="184">
        <f t="shared" si="8"/>
        <v>0.01</v>
      </c>
      <c r="AC32" s="251">
        <f t="shared" si="9"/>
        <v>2.5123287671232876E-2</v>
      </c>
      <c r="AF32">
        <f t="shared" si="10"/>
        <v>2E-3</v>
      </c>
      <c r="AG32">
        <f t="shared" si="11"/>
        <v>4.0000000000000001E-3</v>
      </c>
    </row>
    <row r="33" spans="3:33" ht="15.75">
      <c r="C33" s="234"/>
      <c r="D33" s="144" t="s">
        <v>59</v>
      </c>
      <c r="E33" s="146">
        <f>'Targets-chosen'!E33</f>
        <v>0</v>
      </c>
      <c r="F33" s="146">
        <f>'Targets-chosen'!F33</f>
        <v>0</v>
      </c>
      <c r="G33" s="146">
        <f>'Targets-chosen'!G33</f>
        <v>1E-3</v>
      </c>
      <c r="H33" s="146">
        <f>'Targets-chosen'!H33</f>
        <v>1E-3</v>
      </c>
      <c r="I33" s="146">
        <f>'Targets-chosen'!I33</f>
        <v>0</v>
      </c>
      <c r="J33" s="146">
        <f>'Targets-chosen'!J33</f>
        <v>0</v>
      </c>
      <c r="K33" s="146">
        <f>'Targets-chosen'!K33</f>
        <v>1E-3</v>
      </c>
      <c r="L33" s="146">
        <f>'Targets-chosen'!L33</f>
        <v>1E-3</v>
      </c>
      <c r="M33" s="146">
        <f>'Targets-chosen'!M33</f>
        <v>2E-3</v>
      </c>
      <c r="N33" s="146">
        <f>'Targets-chosen'!N33</f>
        <v>0</v>
      </c>
      <c r="O33" s="146">
        <f>'Targets-chosen'!O33</f>
        <v>0</v>
      </c>
      <c r="P33" s="146">
        <f>'Targets-chosen'!P33</f>
        <v>1E-3</v>
      </c>
      <c r="Q33" s="146">
        <f>'Targets-chosen'!Q33</f>
        <v>1E-3</v>
      </c>
      <c r="R33" s="146">
        <f>'Targets-chosen'!R33</f>
        <v>3.0000000000000001E-3</v>
      </c>
      <c r="S33" s="146">
        <f>'Targets-chosen'!S33</f>
        <v>0</v>
      </c>
      <c r="T33" s="146">
        <f>'Targets-chosen'!T33</f>
        <v>0</v>
      </c>
      <c r="U33" s="146">
        <f>'Targets-chosen'!U33</f>
        <v>1E-3</v>
      </c>
      <c r="V33" s="146">
        <f>'Targets-chosen'!V33</f>
        <v>1E-3</v>
      </c>
      <c r="W33" s="146">
        <f>'Targets-chosen'!W33</f>
        <v>4.0000000000000001E-3</v>
      </c>
      <c r="Z33">
        <f>SUMIF(E$89:W$89,1,E33:W33)</f>
        <v>1E-3</v>
      </c>
      <c r="AA33">
        <f t="shared" si="7"/>
        <v>0</v>
      </c>
      <c r="AB33" s="184">
        <f>Z33+AA33</f>
        <v>1E-3</v>
      </c>
      <c r="AC33" s="251">
        <f>W33</f>
        <v>4.0000000000000001E-3</v>
      </c>
      <c r="AF33">
        <f t="shared" si="10"/>
        <v>0</v>
      </c>
      <c r="AG33">
        <f t="shared" si="11"/>
        <v>0</v>
      </c>
    </row>
    <row r="34" spans="3:33" ht="15.75">
      <c r="D34" s="144" t="s">
        <v>63</v>
      </c>
      <c r="E34" s="146">
        <f>'Targets-chosen'!E34</f>
        <v>0</v>
      </c>
      <c r="F34" s="146">
        <f>'Targets-chosen'!F34</f>
        <v>0</v>
      </c>
      <c r="G34" s="146">
        <f>'Targets-chosen'!G34</f>
        <v>0</v>
      </c>
      <c r="H34" s="146">
        <f>'Targets-chosen'!H34</f>
        <v>0</v>
      </c>
      <c r="I34" s="146">
        <f>'Targets-chosen'!I34</f>
        <v>0</v>
      </c>
      <c r="J34" s="146">
        <f>'Targets-chosen'!J34</f>
        <v>0</v>
      </c>
      <c r="K34" s="146">
        <f>'Targets-chosen'!K34</f>
        <v>0</v>
      </c>
      <c r="L34" s="146">
        <f>'Targets-chosen'!L34</f>
        <v>0</v>
      </c>
      <c r="M34" s="146">
        <f>'Targets-chosen'!M34</f>
        <v>0</v>
      </c>
      <c r="N34" s="146">
        <f>'Targets-chosen'!N34</f>
        <v>0</v>
      </c>
      <c r="O34" s="146">
        <f>'Targets-chosen'!O34</f>
        <v>0</v>
      </c>
      <c r="P34" s="146">
        <f>'Targets-chosen'!P34</f>
        <v>0</v>
      </c>
      <c r="Q34" s="146">
        <f>'Targets-chosen'!Q34</f>
        <v>0</v>
      </c>
      <c r="R34" s="146">
        <f>'Targets-chosen'!R34</f>
        <v>0</v>
      </c>
      <c r="S34" s="146">
        <f>'Targets-chosen'!S34</f>
        <v>0</v>
      </c>
      <c r="T34" s="146">
        <f>'Targets-chosen'!T34</f>
        <v>1E-3</v>
      </c>
      <c r="U34" s="146">
        <f>'Targets-chosen'!U34</f>
        <v>0</v>
      </c>
      <c r="V34" s="146">
        <f>'Targets-chosen'!V34</f>
        <v>1E-3</v>
      </c>
      <c r="W34" s="146">
        <f>'Targets-chosen'!W34</f>
        <v>1E-3</v>
      </c>
      <c r="Z34">
        <f t="shared" si="6"/>
        <v>0</v>
      </c>
      <c r="AA34">
        <f t="shared" si="7"/>
        <v>0</v>
      </c>
      <c r="AB34" s="184">
        <f t="shared" si="8"/>
        <v>0</v>
      </c>
      <c r="AC34" s="251">
        <f t="shared" si="9"/>
        <v>1E-3</v>
      </c>
      <c r="AF34">
        <f t="shared" si="10"/>
        <v>0</v>
      </c>
      <c r="AG34">
        <f t="shared" si="11"/>
        <v>0</v>
      </c>
    </row>
    <row r="35" spans="3:33" ht="15.75">
      <c r="D35" s="144" t="s">
        <v>64</v>
      </c>
      <c r="E35" s="146">
        <f>'Targets-chosen'!E35</f>
        <v>1E-3</v>
      </c>
      <c r="F35" s="146">
        <f>'Targets-chosen'!F35</f>
        <v>1E-3</v>
      </c>
      <c r="G35" s="146">
        <f>'Targets-chosen'!G35</f>
        <v>0</v>
      </c>
      <c r="H35" s="146">
        <f>'Targets-chosen'!H35</f>
        <v>2E-3</v>
      </c>
      <c r="I35" s="146">
        <f>'Targets-chosen'!I35</f>
        <v>1E-3</v>
      </c>
      <c r="J35" s="146">
        <f>'Targets-chosen'!J35</f>
        <v>1E-3</v>
      </c>
      <c r="K35" s="146">
        <f>'Targets-chosen'!K35</f>
        <v>1E-3</v>
      </c>
      <c r="L35" s="146">
        <f>'Targets-chosen'!L35</f>
        <v>3.0000000000000001E-3</v>
      </c>
      <c r="M35" s="146">
        <f>'Targets-chosen'!M35</f>
        <v>5.0000000000000001E-3</v>
      </c>
      <c r="N35" s="146">
        <f>'Targets-chosen'!N35</f>
        <v>7.643835616438356E-4</v>
      </c>
      <c r="O35" s="146">
        <f>'Targets-chosen'!O35</f>
        <v>0</v>
      </c>
      <c r="P35" s="146">
        <f>'Targets-chosen'!P35</f>
        <v>1E-3</v>
      </c>
      <c r="Q35" s="146">
        <f>'Targets-chosen'!Q35</f>
        <v>1.7643835616438356E-3</v>
      </c>
      <c r="R35" s="146">
        <f>'Targets-chosen'!R35</f>
        <v>6.7643835616438362E-3</v>
      </c>
      <c r="S35" s="146">
        <f>'Targets-chosen'!S35</f>
        <v>1E-3</v>
      </c>
      <c r="T35" s="146">
        <f>'Targets-chosen'!T35</f>
        <v>0</v>
      </c>
      <c r="U35" s="146">
        <f>'Targets-chosen'!U35</f>
        <v>1E-3</v>
      </c>
      <c r="V35" s="146">
        <f>'Targets-chosen'!V35</f>
        <v>2E-3</v>
      </c>
      <c r="W35" s="146">
        <f>'Targets-chosen'!W35</f>
        <v>8.7643835616438362E-3</v>
      </c>
      <c r="Z35">
        <f t="shared" si="6"/>
        <v>3.0000000000000001E-3</v>
      </c>
      <c r="AA35">
        <f t="shared" si="7"/>
        <v>1E-3</v>
      </c>
      <c r="AB35" s="184">
        <f t="shared" si="8"/>
        <v>4.0000000000000001E-3</v>
      </c>
      <c r="AC35" s="251">
        <f t="shared" si="9"/>
        <v>8.7643835616438362E-3</v>
      </c>
      <c r="AF35">
        <f t="shared" si="10"/>
        <v>1E-3</v>
      </c>
      <c r="AG35">
        <f t="shared" si="11"/>
        <v>2E-3</v>
      </c>
    </row>
    <row r="36" spans="3:33" ht="15.75">
      <c r="D36" s="144" t="s">
        <v>65</v>
      </c>
      <c r="E36" s="146">
        <f>'Targets-chosen'!E36</f>
        <v>2E-3</v>
      </c>
      <c r="F36" s="146">
        <f>'Targets-chosen'!F36</f>
        <v>3.0000000000000001E-3</v>
      </c>
      <c r="G36" s="146">
        <f>'Targets-chosen'!G36</f>
        <v>3.0000000000000001E-3</v>
      </c>
      <c r="H36" s="146">
        <f>'Targets-chosen'!H36</f>
        <v>8.0000000000000002E-3</v>
      </c>
      <c r="I36" s="146">
        <f>'Targets-chosen'!I36</f>
        <v>3.0000000000000001E-3</v>
      </c>
      <c r="J36" s="146">
        <f>'Targets-chosen'!J36</f>
        <v>3.0000000000000001E-3</v>
      </c>
      <c r="K36" s="146">
        <f>'Targets-chosen'!K36</f>
        <v>3.0000000000000001E-3</v>
      </c>
      <c r="L36" s="146">
        <f>'Targets-chosen'!L36</f>
        <v>9.0000000000000011E-3</v>
      </c>
      <c r="M36" s="146">
        <f>'Targets-chosen'!M36</f>
        <v>1.7000000000000001E-2</v>
      </c>
      <c r="N36" s="146">
        <f>'Targets-chosen'!N36</f>
        <v>2.7178082191780823E-3</v>
      </c>
      <c r="O36" s="146">
        <f>'Targets-chosen'!O36</f>
        <v>3.0000000000000001E-3</v>
      </c>
      <c r="P36" s="146">
        <f>'Targets-chosen'!P36</f>
        <v>3.0000000000000001E-3</v>
      </c>
      <c r="Q36" s="146">
        <f>'Targets-chosen'!Q36</f>
        <v>8.7178082191780824E-3</v>
      </c>
      <c r="R36" s="146">
        <f>'Targets-chosen'!R36</f>
        <v>2.5717808219178084E-2</v>
      </c>
      <c r="S36" s="146">
        <f>'Targets-chosen'!S36</f>
        <v>3.0000000000000001E-3</v>
      </c>
      <c r="T36" s="146">
        <f>'Targets-chosen'!T36</f>
        <v>2E-3</v>
      </c>
      <c r="U36" s="146">
        <f>'Targets-chosen'!U36</f>
        <v>1E-3</v>
      </c>
      <c r="V36" s="146">
        <f>'Targets-chosen'!V36</f>
        <v>6.0000000000000001E-3</v>
      </c>
      <c r="W36" s="146">
        <f>'Targets-chosen'!W36</f>
        <v>3.1717808219178086E-2</v>
      </c>
      <c r="Z36">
        <f t="shared" si="6"/>
        <v>1.0999999999999999E-2</v>
      </c>
      <c r="AA36">
        <f t="shared" si="7"/>
        <v>3.0000000000000001E-3</v>
      </c>
      <c r="AB36" s="184">
        <f t="shared" si="8"/>
        <v>1.3999999999999999E-2</v>
      </c>
      <c r="AC36" s="251">
        <f t="shared" si="9"/>
        <v>3.1717808219178086E-2</v>
      </c>
      <c r="AF36">
        <f t="shared" si="10"/>
        <v>3.0000000000000001E-3</v>
      </c>
      <c r="AG36">
        <f t="shared" si="11"/>
        <v>6.0000000000000001E-3</v>
      </c>
    </row>
    <row r="37" spans="3:33" ht="15.75">
      <c r="D37" s="144" t="s">
        <v>66</v>
      </c>
      <c r="E37" s="146">
        <f>'Targets-chosen'!E37</f>
        <v>0</v>
      </c>
      <c r="F37" s="146">
        <f>'Targets-chosen'!F37</f>
        <v>0</v>
      </c>
      <c r="G37" s="146">
        <f>'Targets-chosen'!G37</f>
        <v>0</v>
      </c>
      <c r="H37" s="146">
        <f>'Targets-chosen'!H37</f>
        <v>0</v>
      </c>
      <c r="I37" s="146">
        <f>'Targets-chosen'!I37</f>
        <v>0</v>
      </c>
      <c r="J37" s="146">
        <f>'Targets-chosen'!J37</f>
        <v>0</v>
      </c>
      <c r="K37" s="146">
        <f>'Targets-chosen'!K37</f>
        <v>0</v>
      </c>
      <c r="L37" s="146">
        <f>'Targets-chosen'!L37</f>
        <v>0</v>
      </c>
      <c r="M37" s="146">
        <f>'Targets-chosen'!M37</f>
        <v>0</v>
      </c>
      <c r="N37" s="146">
        <f>'Targets-chosen'!N37</f>
        <v>0</v>
      </c>
      <c r="O37" s="146">
        <f>'Targets-chosen'!O37</f>
        <v>0</v>
      </c>
      <c r="P37" s="146">
        <f>'Targets-chosen'!P37</f>
        <v>0</v>
      </c>
      <c r="Q37" s="146">
        <f>'Targets-chosen'!Q37</f>
        <v>0</v>
      </c>
      <c r="R37" s="146">
        <f>'Targets-chosen'!R37</f>
        <v>0</v>
      </c>
      <c r="S37" s="146">
        <f>'Targets-chosen'!S37</f>
        <v>0</v>
      </c>
      <c r="T37" s="146">
        <f>'Targets-chosen'!T37</f>
        <v>0</v>
      </c>
      <c r="U37" s="146">
        <f>'Targets-chosen'!U37</f>
        <v>0</v>
      </c>
      <c r="V37" s="146">
        <f>'Targets-chosen'!V37</f>
        <v>0</v>
      </c>
      <c r="W37" s="146">
        <f>'Targets-chosen'!W37</f>
        <v>0</v>
      </c>
      <c r="Z37">
        <f t="shared" si="6"/>
        <v>0</v>
      </c>
      <c r="AA37">
        <f t="shared" si="7"/>
        <v>0</v>
      </c>
      <c r="AB37" s="184">
        <f t="shared" si="8"/>
        <v>0</v>
      </c>
      <c r="AC37" s="251">
        <f t="shared" si="9"/>
        <v>0</v>
      </c>
      <c r="AF37">
        <f t="shared" si="10"/>
        <v>0</v>
      </c>
      <c r="AG37">
        <f t="shared" si="11"/>
        <v>0</v>
      </c>
    </row>
    <row r="38" spans="3:33" ht="15.75">
      <c r="D38" s="144" t="s">
        <v>67</v>
      </c>
      <c r="E38" s="146">
        <f>'Targets-chosen'!E38</f>
        <v>0</v>
      </c>
      <c r="F38" s="146">
        <f>'Targets-chosen'!F38</f>
        <v>0</v>
      </c>
      <c r="G38" s="146">
        <f>'Targets-chosen'!G38</f>
        <v>0</v>
      </c>
      <c r="H38" s="146">
        <f>'Targets-chosen'!H38</f>
        <v>0</v>
      </c>
      <c r="I38" s="146">
        <f>'Targets-chosen'!I38</f>
        <v>0</v>
      </c>
      <c r="J38" s="146">
        <f>'Targets-chosen'!J38</f>
        <v>0</v>
      </c>
      <c r="K38" s="146">
        <f>'Targets-chosen'!K38</f>
        <v>0</v>
      </c>
      <c r="L38" s="146">
        <f>'Targets-chosen'!L38</f>
        <v>0</v>
      </c>
      <c r="M38" s="146">
        <f>'Targets-chosen'!M38</f>
        <v>0</v>
      </c>
      <c r="N38" s="146">
        <f>'Targets-chosen'!N38</f>
        <v>0</v>
      </c>
      <c r="O38" s="146">
        <f>'Targets-chosen'!O38</f>
        <v>0</v>
      </c>
      <c r="P38" s="146">
        <f>'Targets-chosen'!P38</f>
        <v>0</v>
      </c>
      <c r="Q38" s="146">
        <f>'Targets-chosen'!Q38</f>
        <v>0</v>
      </c>
      <c r="R38" s="146">
        <f>'Targets-chosen'!R38</f>
        <v>0</v>
      </c>
      <c r="S38" s="146">
        <f>'Targets-chosen'!S38</f>
        <v>0</v>
      </c>
      <c r="T38" s="146">
        <f>'Targets-chosen'!T38</f>
        <v>0</v>
      </c>
      <c r="U38" s="146">
        <f>'Targets-chosen'!U38</f>
        <v>0</v>
      </c>
      <c r="V38" s="146">
        <f>'Targets-chosen'!V38</f>
        <v>0</v>
      </c>
      <c r="W38" s="146">
        <f>'Targets-chosen'!W38</f>
        <v>0</v>
      </c>
      <c r="Z38">
        <f t="shared" si="6"/>
        <v>0</v>
      </c>
      <c r="AA38">
        <f t="shared" si="7"/>
        <v>0</v>
      </c>
      <c r="AB38" s="184">
        <f t="shared" si="8"/>
        <v>0</v>
      </c>
      <c r="AC38" s="251">
        <f t="shared" si="9"/>
        <v>0</v>
      </c>
      <c r="AF38">
        <f t="shared" si="10"/>
        <v>0</v>
      </c>
      <c r="AG38">
        <f t="shared" si="11"/>
        <v>0</v>
      </c>
    </row>
    <row r="39" spans="3:33" ht="15.75">
      <c r="D39" s="144" t="s">
        <v>68</v>
      </c>
      <c r="E39" s="146">
        <f>'Targets-chosen'!E39</f>
        <v>0</v>
      </c>
      <c r="F39" s="146">
        <f>'Targets-chosen'!F39</f>
        <v>0</v>
      </c>
      <c r="G39" s="146">
        <f>'Targets-chosen'!G39</f>
        <v>0</v>
      </c>
      <c r="H39" s="146">
        <f>'Targets-chosen'!H39</f>
        <v>0</v>
      </c>
      <c r="I39" s="146">
        <f>'Targets-chosen'!I39</f>
        <v>0</v>
      </c>
      <c r="J39" s="146">
        <f>'Targets-chosen'!J39</f>
        <v>0</v>
      </c>
      <c r="K39" s="146">
        <f>'Targets-chosen'!K39</f>
        <v>0</v>
      </c>
      <c r="L39" s="146">
        <f>'Targets-chosen'!L39</f>
        <v>0</v>
      </c>
      <c r="M39" s="146">
        <f>'Targets-chosen'!M39</f>
        <v>0</v>
      </c>
      <c r="N39" s="146">
        <f>'Targets-chosen'!N39</f>
        <v>0</v>
      </c>
      <c r="O39" s="146">
        <f>'Targets-chosen'!O39</f>
        <v>0</v>
      </c>
      <c r="P39" s="146">
        <f>'Targets-chosen'!P39</f>
        <v>0</v>
      </c>
      <c r="Q39" s="146">
        <f>'Targets-chosen'!Q39</f>
        <v>0</v>
      </c>
      <c r="R39" s="146">
        <f>'Targets-chosen'!R39</f>
        <v>0</v>
      </c>
      <c r="S39" s="146">
        <f>'Targets-chosen'!S39</f>
        <v>0</v>
      </c>
      <c r="T39" s="146">
        <f>'Targets-chosen'!T39</f>
        <v>0</v>
      </c>
      <c r="U39" s="146">
        <f>'Targets-chosen'!U39</f>
        <v>0</v>
      </c>
      <c r="V39" s="146">
        <f>'Targets-chosen'!V39</f>
        <v>0</v>
      </c>
      <c r="W39" s="146">
        <f>'Targets-chosen'!W39</f>
        <v>0</v>
      </c>
      <c r="Z39">
        <f t="shared" si="6"/>
        <v>0</v>
      </c>
      <c r="AA39">
        <f t="shared" si="7"/>
        <v>0</v>
      </c>
      <c r="AB39" s="184">
        <f t="shared" si="8"/>
        <v>0</v>
      </c>
      <c r="AC39" s="251">
        <f t="shared" si="9"/>
        <v>0</v>
      </c>
      <c r="AF39">
        <f t="shared" si="10"/>
        <v>0</v>
      </c>
      <c r="AG39">
        <f t="shared" si="11"/>
        <v>0</v>
      </c>
    </row>
    <row r="40" spans="3:33" ht="15.75">
      <c r="D40" s="144" t="s">
        <v>69</v>
      </c>
      <c r="E40" s="146">
        <f>'Targets-chosen'!E40</f>
        <v>0</v>
      </c>
      <c r="F40" s="146">
        <f>'Targets-chosen'!F40</f>
        <v>0</v>
      </c>
      <c r="G40" s="146">
        <f>'Targets-chosen'!G40</f>
        <v>0</v>
      </c>
      <c r="H40" s="146">
        <f>'Targets-chosen'!H40</f>
        <v>0</v>
      </c>
      <c r="I40" s="146">
        <f>'Targets-chosen'!I40</f>
        <v>0</v>
      </c>
      <c r="J40" s="146">
        <f>'Targets-chosen'!J40</f>
        <v>0</v>
      </c>
      <c r="K40" s="146">
        <f>'Targets-chosen'!K40</f>
        <v>0</v>
      </c>
      <c r="L40" s="146">
        <f>'Targets-chosen'!L40</f>
        <v>0</v>
      </c>
      <c r="M40" s="146">
        <f>'Targets-chosen'!M40</f>
        <v>0</v>
      </c>
      <c r="N40" s="146">
        <f>'Targets-chosen'!N40</f>
        <v>0</v>
      </c>
      <c r="O40" s="146">
        <f>'Targets-chosen'!O40</f>
        <v>0</v>
      </c>
      <c r="P40" s="146">
        <f>'Targets-chosen'!P40</f>
        <v>0</v>
      </c>
      <c r="Q40" s="146">
        <f>'Targets-chosen'!Q40</f>
        <v>0</v>
      </c>
      <c r="R40" s="146">
        <f>'Targets-chosen'!R40</f>
        <v>0</v>
      </c>
      <c r="S40" s="146">
        <f>'Targets-chosen'!S40</f>
        <v>0</v>
      </c>
      <c r="T40" s="146">
        <f>'Targets-chosen'!T40</f>
        <v>0</v>
      </c>
      <c r="U40" s="146">
        <f>'Targets-chosen'!U40</f>
        <v>0</v>
      </c>
      <c r="V40" s="146">
        <f>'Targets-chosen'!V40</f>
        <v>0</v>
      </c>
      <c r="W40" s="146">
        <f>'Targets-chosen'!W40</f>
        <v>0</v>
      </c>
      <c r="Z40">
        <f t="shared" si="6"/>
        <v>0</v>
      </c>
      <c r="AA40">
        <f t="shared" si="7"/>
        <v>0</v>
      </c>
      <c r="AB40" s="184">
        <f t="shared" si="8"/>
        <v>0</v>
      </c>
      <c r="AC40" s="251">
        <f t="shared" si="9"/>
        <v>0</v>
      </c>
      <c r="AF40">
        <f t="shared" si="10"/>
        <v>0</v>
      </c>
      <c r="AG40">
        <f t="shared" si="11"/>
        <v>0</v>
      </c>
    </row>
    <row r="41" spans="3:33" ht="15.75">
      <c r="D41" s="144" t="s">
        <v>70</v>
      </c>
      <c r="E41" s="146">
        <f>'Targets-chosen'!E41</f>
        <v>7.1999999999999995E-2</v>
      </c>
      <c r="F41" s="146">
        <f>'Targets-chosen'!F41</f>
        <v>7.3999999999999996E-2</v>
      </c>
      <c r="G41" s="146">
        <f>'Targets-chosen'!G41</f>
        <v>7.1999999999999995E-2</v>
      </c>
      <c r="H41" s="146">
        <f>'Targets-chosen'!H41</f>
        <v>0.21799999999999997</v>
      </c>
      <c r="I41" s="146">
        <f>'Targets-chosen'!I41</f>
        <v>7.3999999999999996E-2</v>
      </c>
      <c r="J41" s="146">
        <f>'Targets-chosen'!J41</f>
        <v>7.3999999999999996E-2</v>
      </c>
      <c r="K41" s="146">
        <f>'Targets-chosen'!K41</f>
        <v>7.1999999999999995E-2</v>
      </c>
      <c r="L41" s="146">
        <f>'Targets-chosen'!L41</f>
        <v>0.21999999999999997</v>
      </c>
      <c r="M41" s="146">
        <f>'Targets-chosen'!M41</f>
        <v>0.43799999999999994</v>
      </c>
      <c r="N41" s="146">
        <f>'Targets-chosen'!N41</f>
        <v>7.4230136986301376E-2</v>
      </c>
      <c r="O41" s="146">
        <f>'Targets-chosen'!O41</f>
        <v>7.1999999999999995E-2</v>
      </c>
      <c r="P41" s="146">
        <f>'Targets-chosen'!P41</f>
        <v>7.3999999999999996E-2</v>
      </c>
      <c r="Q41" s="146">
        <f>'Targets-chosen'!Q41</f>
        <v>0.22023013698630139</v>
      </c>
      <c r="R41" s="146">
        <f>'Targets-chosen'!R41</f>
        <v>0.65823013698630128</v>
      </c>
      <c r="S41" s="146">
        <f>'Targets-chosen'!S41</f>
        <v>7.3999999999999996E-2</v>
      </c>
      <c r="T41" s="146">
        <f>'Targets-chosen'!T41</f>
        <v>6.8000000000000005E-2</v>
      </c>
      <c r="U41" s="146">
        <f>'Targets-chosen'!U41</f>
        <v>7.3999999999999996E-2</v>
      </c>
      <c r="V41" s="146">
        <f>'Targets-chosen'!V41</f>
        <v>0.21600000000000003</v>
      </c>
      <c r="W41" s="146">
        <f>'Targets-chosen'!W41</f>
        <v>0.87423013698630125</v>
      </c>
      <c r="Z41">
        <f t="shared" si="6"/>
        <v>0.29199999999999998</v>
      </c>
      <c r="AA41">
        <f t="shared" si="7"/>
        <v>7.3999999999999996E-2</v>
      </c>
      <c r="AB41" s="184">
        <f t="shared" si="8"/>
        <v>0.36599999999999999</v>
      </c>
      <c r="AC41" s="251">
        <f t="shared" si="9"/>
        <v>0.87423013698630125</v>
      </c>
      <c r="AF41">
        <f t="shared" si="10"/>
        <v>7.3999999999999996E-2</v>
      </c>
      <c r="AG41">
        <f t="shared" si="11"/>
        <v>0.14799999999999999</v>
      </c>
    </row>
    <row r="42" spans="3:33" ht="15.75">
      <c r="D42" s="144" t="s">
        <v>92</v>
      </c>
      <c r="E42" s="146">
        <f>'Targets-chosen'!E42</f>
        <v>0.21000000000000002</v>
      </c>
      <c r="F42" s="146">
        <f>'Targets-chosen'!F42</f>
        <v>0.21600000000000003</v>
      </c>
      <c r="G42" s="146">
        <f>'Targets-chosen'!G42</f>
        <v>0.21000000000000002</v>
      </c>
      <c r="H42" s="146">
        <f>'Targets-chosen'!H42</f>
        <v>0.63600000000000012</v>
      </c>
      <c r="I42" s="146">
        <f>'Targets-chosen'!I42</f>
        <v>0.21700000000000003</v>
      </c>
      <c r="J42" s="146">
        <f>'Targets-chosen'!J42</f>
        <v>0.21600000000000003</v>
      </c>
      <c r="K42" s="146">
        <f>'Targets-chosen'!K42</f>
        <v>0.21200000000000002</v>
      </c>
      <c r="L42" s="146">
        <f>'Targets-chosen'!L42</f>
        <v>0.64500000000000002</v>
      </c>
      <c r="M42" s="146">
        <f>'Targets-chosen'!M42</f>
        <v>1.2810000000000001</v>
      </c>
      <c r="N42" s="146">
        <f>'Targets-chosen'!N42</f>
        <v>0.2176164383561644</v>
      </c>
      <c r="O42" s="146">
        <f>'Targets-chosen'!O42</f>
        <v>0.21400000000000002</v>
      </c>
      <c r="P42" s="146">
        <f>'Targets-chosen'!P42</f>
        <v>0.22100000000000003</v>
      </c>
      <c r="Q42" s="146">
        <f>'Targets-chosen'!Q42</f>
        <v>0.65261643835616445</v>
      </c>
      <c r="R42" s="146">
        <f>'Targets-chosen'!R42</f>
        <v>1.9336164383561645</v>
      </c>
      <c r="S42" s="146">
        <f>'Targets-chosen'!S42</f>
        <v>0.22200000000000003</v>
      </c>
      <c r="T42" s="146">
        <f>'Targets-chosen'!T42</f>
        <v>0.19700000000000001</v>
      </c>
      <c r="U42" s="146">
        <f>'Targets-chosen'!U42</f>
        <v>0.22100000000000003</v>
      </c>
      <c r="V42" s="146">
        <f>'Targets-chosen'!V42</f>
        <v>0.64000000000000012</v>
      </c>
      <c r="W42" s="146">
        <f>'Targets-chosen'!W42</f>
        <v>2.5736164383561646</v>
      </c>
      <c r="Z42" s="376">
        <f>SUM(Z28:Z41)</f>
        <v>0.85299999999999998</v>
      </c>
      <c r="AA42" s="376">
        <f>SUM(AA28:AA41)</f>
        <v>0.21600000000000003</v>
      </c>
      <c r="AB42" s="376">
        <f>SUM(AB28:AB41)</f>
        <v>1.0690000000000002</v>
      </c>
      <c r="AC42" s="376">
        <f>SUM(AC28:AC41)</f>
        <v>2.5736164383561642</v>
      </c>
      <c r="AF42" s="376">
        <f>SUM(AF28:AF41)</f>
        <v>0.21700000000000003</v>
      </c>
      <c r="AG42" s="376">
        <f>SUM(AG28:AG41)</f>
        <v>0.43300000000000005</v>
      </c>
    </row>
    <row r="44" spans="3:33">
      <c r="W44" s="1076">
        <f>W22+W42</f>
        <v>9.8256164383561657</v>
      </c>
    </row>
    <row r="47" spans="3:33">
      <c r="D47" s="1110" t="s">
        <v>88</v>
      </c>
      <c r="E47" s="1111"/>
      <c r="F47" s="1111"/>
      <c r="G47" s="1111"/>
      <c r="H47" s="1111"/>
      <c r="I47" s="1111"/>
      <c r="J47" s="1111"/>
      <c r="K47" s="1111"/>
      <c r="L47" s="1111"/>
      <c r="M47" s="1111"/>
      <c r="N47" s="1111"/>
      <c r="O47" s="1111"/>
      <c r="P47" s="1111"/>
      <c r="Q47" s="1111"/>
      <c r="R47" s="1111"/>
      <c r="S47" s="1111"/>
      <c r="T47" s="1111"/>
      <c r="U47" s="1111"/>
      <c r="V47" s="1111"/>
      <c r="W47" s="1112"/>
    </row>
    <row r="48" spans="3:33">
      <c r="D48" s="144"/>
      <c r="E48" s="144" t="s">
        <v>30</v>
      </c>
      <c r="F48" s="144" t="s">
        <v>71</v>
      </c>
      <c r="G48" s="144" t="s">
        <v>72</v>
      </c>
      <c r="H48" s="142" t="s">
        <v>82</v>
      </c>
      <c r="I48" s="144" t="s">
        <v>73</v>
      </c>
      <c r="J48" s="144" t="s">
        <v>74</v>
      </c>
      <c r="K48" s="144" t="s">
        <v>75</v>
      </c>
      <c r="L48" s="142" t="s">
        <v>83</v>
      </c>
      <c r="M48" s="168" t="s">
        <v>39</v>
      </c>
      <c r="N48" s="144" t="s">
        <v>76</v>
      </c>
      <c r="O48" s="144" t="s">
        <v>77</v>
      </c>
      <c r="P48" s="144" t="s">
        <v>78</v>
      </c>
      <c r="Q48" s="142" t="s">
        <v>84</v>
      </c>
      <c r="R48" s="168" t="s">
        <v>85</v>
      </c>
      <c r="S48" s="144" t="s">
        <v>79</v>
      </c>
      <c r="T48" s="144" t="s">
        <v>80</v>
      </c>
      <c r="U48" s="144" t="s">
        <v>81</v>
      </c>
      <c r="V48" s="142" t="s">
        <v>86</v>
      </c>
      <c r="W48" s="168" t="s">
        <v>87</v>
      </c>
      <c r="Z48" s="184" t="s">
        <v>174</v>
      </c>
      <c r="AA48" s="184" t="s">
        <v>175</v>
      </c>
      <c r="AB48" s="184" t="s">
        <v>184</v>
      </c>
    </row>
    <row r="49" spans="4:28" ht="15.75">
      <c r="D49" s="144" t="s">
        <v>60</v>
      </c>
      <c r="E49" s="141">
        <f>'Targets-chosen'!E49</f>
        <v>141641.66666666666</v>
      </c>
      <c r="F49" s="141">
        <f>'Targets-chosen'!F49</f>
        <v>140648.38709677418</v>
      </c>
      <c r="G49" s="141">
        <f>'Targets-chosen'!G49</f>
        <v>140410</v>
      </c>
      <c r="H49" s="141">
        <f>'Targets-chosen'!H49</f>
        <v>140897.25274725273</v>
      </c>
      <c r="I49" s="141">
        <f>'Targets-chosen'!I49</f>
        <v>140648.38709677418</v>
      </c>
      <c r="J49" s="141">
        <f>'Targets-chosen'!J49</f>
        <v>139456.45161290321</v>
      </c>
      <c r="K49" s="141">
        <f>'Targets-chosen'!K49</f>
        <v>141641.66666666666</v>
      </c>
      <c r="L49" s="141">
        <f>'Targets-chosen'!L49</f>
        <v>140570.65217391303</v>
      </c>
      <c r="M49" s="141">
        <f>'Targets-chosen'!M49</f>
        <v>140733.0601092896</v>
      </c>
      <c r="N49" s="141">
        <f>'Targets-chosen'!N49</f>
        <v>139456.45161290321</v>
      </c>
      <c r="O49" s="141">
        <f>'Targets-chosen'!O49</f>
        <v>137946.66666666666</v>
      </c>
      <c r="P49" s="141">
        <f>'Targets-chosen'!P49</f>
        <v>135880.64516129033</v>
      </c>
      <c r="Q49" s="141">
        <f>'Targets-chosen'!Q49</f>
        <v>137759.23913043478</v>
      </c>
      <c r="R49" s="141">
        <f>'Targets-chosen'!R49</f>
        <v>139738.18181818182</v>
      </c>
      <c r="S49" s="141">
        <f>'Targets-chosen'!S49</f>
        <v>134688.70967741936</v>
      </c>
      <c r="T49" s="141">
        <f>'Targets-chosen'!T49</f>
        <v>135923.21428571423</v>
      </c>
      <c r="U49" s="141">
        <f>'Targets-chosen'!U49</f>
        <v>134688.70967741936</v>
      </c>
      <c r="V49" s="141">
        <f>'Targets-chosen'!V49</f>
        <v>135072.77777777778</v>
      </c>
      <c r="W49" s="141">
        <f>'Targets-chosen'!W49</f>
        <v>138587.80821917808</v>
      </c>
      <c r="Z49" s="184">
        <f>SUMIF(E$87:U$87,$Z$88,E49:W49)</f>
        <v>139456.45161290321</v>
      </c>
      <c r="AA49" s="184">
        <f>SUMIF(E$88:W$88,$AA$88,E49:W49)</f>
        <v>140570.65217391303</v>
      </c>
      <c r="AB49" s="252">
        <f>W49</f>
        <v>138587.80821917808</v>
      </c>
    </row>
    <row r="50" spans="4:28" ht="15.75">
      <c r="D50" s="144" t="s">
        <v>61</v>
      </c>
      <c r="E50" s="141">
        <f>'Targets-chosen'!E50</f>
        <v>174553.84615384613</v>
      </c>
      <c r="F50" s="141">
        <f>'Targets-chosen'!F50</f>
        <v>174461.53846153844</v>
      </c>
      <c r="G50" s="141">
        <f>'Targets-chosen'!G50</f>
        <v>175507.69230769231</v>
      </c>
      <c r="H50" s="141">
        <f>'Targets-chosen'!H50</f>
        <v>174836.8554522401</v>
      </c>
      <c r="I50" s="141">
        <f>'Targets-chosen'!I50</f>
        <v>174461.53846153844</v>
      </c>
      <c r="J50" s="141">
        <f>'Targets-chosen'!J50</f>
        <v>174461.53846153844</v>
      </c>
      <c r="K50" s="141">
        <f>'Targets-chosen'!K50</f>
        <v>174553.84615384613</v>
      </c>
      <c r="L50" s="141">
        <f>'Targets-chosen'!L50</f>
        <v>174491.6387959866</v>
      </c>
      <c r="M50" s="141">
        <f>'Targets-chosen'!M50</f>
        <v>174663.30390920554</v>
      </c>
      <c r="N50" s="141">
        <f>'Targets-chosen'!N50</f>
        <v>174461.53846153844</v>
      </c>
      <c r="O50" s="141">
        <f>'Targets-chosen'!O50</f>
        <v>174553.84615384613</v>
      </c>
      <c r="P50" s="141">
        <f>'Targets-chosen'!P50</f>
        <v>174461.53846153844</v>
      </c>
      <c r="Q50" s="141">
        <f>'Targets-chosen'!Q50</f>
        <v>174491.6387959866</v>
      </c>
      <c r="R50" s="141">
        <f>'Targets-chosen'!R50</f>
        <v>174605.87412587414</v>
      </c>
      <c r="S50" s="141">
        <f>'Targets-chosen'!S50</f>
        <v>174461.53846153844</v>
      </c>
      <c r="T50" s="141">
        <f>'Targets-chosen'!T50</f>
        <v>174758.24175824175</v>
      </c>
      <c r="U50" s="141">
        <f>'Targets-chosen'!U50</f>
        <v>174461.53846153844</v>
      </c>
      <c r="V50" s="141">
        <f>'Targets-chosen'!V50</f>
        <v>174553.84615384613</v>
      </c>
      <c r="W50" s="141">
        <f>'Targets-chosen'!W50</f>
        <v>174593.04531085351</v>
      </c>
      <c r="Z50" s="184">
        <f t="shared" ref="Z50:Z62" si="12">SUMIF(E$87:U$87,$Z$88,E50:W50)</f>
        <v>174461.53846153844</v>
      </c>
      <c r="AA50" s="184">
        <f t="shared" ref="AA50:AA62" si="13">SUMIF(E$88:W$88,$AA$88,E50:W50)</f>
        <v>174491.6387959866</v>
      </c>
      <c r="AB50" s="252">
        <f t="shared" ref="AB50:AB62" si="14">W50</f>
        <v>174593.04531085351</v>
      </c>
    </row>
    <row r="51" spans="4:28" ht="15.75">
      <c r="D51" s="144" t="s">
        <v>62</v>
      </c>
      <c r="E51" s="141">
        <f>'Targets-chosen'!E51</f>
        <v>2026.6666666666667</v>
      </c>
      <c r="F51" s="141">
        <f>'Targets-chosen'!F51</f>
        <v>1961.2903225806451</v>
      </c>
      <c r="G51" s="141">
        <f>'Targets-chosen'!G51</f>
        <v>2026.6666666666667</v>
      </c>
      <c r="H51" s="141">
        <f>'Targets-chosen'!H51</f>
        <v>2004.3956043956046</v>
      </c>
      <c r="I51" s="141">
        <f>'Targets-chosen'!I51</f>
        <v>2206.4516129032259</v>
      </c>
      <c r="J51" s="141">
        <f>'Targets-chosen'!J51</f>
        <v>2206.4516129032259</v>
      </c>
      <c r="K51" s="141">
        <f>'Targets-chosen'!K51</f>
        <v>2026.6666666666667</v>
      </c>
      <c r="L51" s="141">
        <f>'Targets-chosen'!L51</f>
        <v>2147.8260869565215</v>
      </c>
      <c r="M51" s="141">
        <f>'Targets-chosen'!M51</f>
        <v>2076.5027322404371</v>
      </c>
      <c r="N51" s="141">
        <f>'Targets-chosen'!N51</f>
        <v>2206.4516129032259</v>
      </c>
      <c r="O51" s="141">
        <f>'Targets-chosen'!O51</f>
        <v>2026.6666666666667</v>
      </c>
      <c r="P51" s="141">
        <f>'Targets-chosen'!P51</f>
        <v>1961.2903225806451</v>
      </c>
      <c r="Q51" s="141">
        <f>'Targets-chosen'!Q51</f>
        <v>2065.217391304348</v>
      </c>
      <c r="R51" s="141">
        <f>'Targets-chosen'!R51</f>
        <v>2072.727272727273</v>
      </c>
      <c r="S51" s="141">
        <f>'Targets-chosen'!S51</f>
        <v>2206.4516129032259</v>
      </c>
      <c r="T51" s="141">
        <f>'Targets-chosen'!T51</f>
        <v>2171.4285714285711</v>
      </c>
      <c r="U51" s="141">
        <f>'Targets-chosen'!U51</f>
        <v>2206.4516129032259</v>
      </c>
      <c r="V51" s="141">
        <f>'Targets-chosen'!V51</f>
        <v>2195.5555555555561</v>
      </c>
      <c r="W51" s="141">
        <f>'Targets-chosen'!W51</f>
        <v>2103.0136986301368</v>
      </c>
      <c r="Z51" s="184">
        <f t="shared" si="12"/>
        <v>2206.4516129032259</v>
      </c>
      <c r="AA51" s="184">
        <f t="shared" si="13"/>
        <v>2147.8260869565215</v>
      </c>
      <c r="AB51" s="252">
        <f t="shared" si="14"/>
        <v>2103.0136986301368</v>
      </c>
    </row>
    <row r="52" spans="4:28" ht="15.75">
      <c r="D52" s="144" t="s">
        <v>57</v>
      </c>
      <c r="E52" s="141">
        <f>'Targets-chosen'!E52</f>
        <v>329777.77777777775</v>
      </c>
      <c r="F52" s="141">
        <f>'Targets-chosen'!F52</f>
        <v>327322.85635511437</v>
      </c>
      <c r="G52" s="141">
        <f>'Targets-chosen'!G52</f>
        <v>329777.77777777775</v>
      </c>
      <c r="H52" s="141">
        <f>'Targets-chosen'!H52</f>
        <v>328941.4858645628</v>
      </c>
      <c r="I52" s="141">
        <f>'Targets-chosen'!I52</f>
        <v>327322.85635511437</v>
      </c>
      <c r="J52" s="141">
        <f>'Targets-chosen'!J52</f>
        <v>327322.85635511437</v>
      </c>
      <c r="K52" s="141">
        <f>'Targets-chosen'!K52</f>
        <v>329777.77777777775</v>
      </c>
      <c r="L52" s="141">
        <f>'Targets-chosen'!L52</f>
        <v>328123.37421033072</v>
      </c>
      <c r="M52" s="141">
        <f>'Targets-chosen'!M52</f>
        <v>328530.19475970295</v>
      </c>
      <c r="N52" s="141">
        <f>'Targets-chosen'!N52</f>
        <v>319139.78494623653</v>
      </c>
      <c r="O52" s="141">
        <f>'Targets-chosen'!O52</f>
        <v>329777.77777777775</v>
      </c>
      <c r="P52" s="141">
        <f>'Targets-chosen'!P52</f>
        <v>327322.85635511437</v>
      </c>
      <c r="Q52" s="141">
        <f>'Targets-chosen'!Q52</f>
        <v>325366.0349312523</v>
      </c>
      <c r="R52" s="141">
        <f>'Targets-chosen'!R52</f>
        <v>327471.63947163947</v>
      </c>
      <c r="S52" s="141">
        <f>'Targets-chosen'!S52</f>
        <v>327322.85635511437</v>
      </c>
      <c r="T52" s="141">
        <f>'Targets-chosen'!T52</f>
        <v>326153.84615384607</v>
      </c>
      <c r="U52" s="141">
        <f>'Targets-chosen'!U52</f>
        <v>327322.85635511437</v>
      </c>
      <c r="V52" s="141">
        <f>'Targets-chosen'!V52</f>
        <v>326959.16429249762</v>
      </c>
      <c r="W52" s="141">
        <f>'Targets-chosen'!W52</f>
        <v>327345.27572883735</v>
      </c>
      <c r="Z52" s="184">
        <f t="shared" si="12"/>
        <v>327322.85635511437</v>
      </c>
      <c r="AA52" s="184">
        <f t="shared" si="13"/>
        <v>328123.37421033072</v>
      </c>
      <c r="AB52" s="252">
        <f t="shared" si="14"/>
        <v>327345.27572883735</v>
      </c>
    </row>
    <row r="53" spans="4:28" ht="15.75">
      <c r="D53" s="144" t="s">
        <v>58</v>
      </c>
      <c r="E53" s="141">
        <f>'Targets-chosen'!E53</f>
        <v>23826.543209876545</v>
      </c>
      <c r="F53" s="141">
        <f>'Targets-chosen'!F53</f>
        <v>23057.945041816012</v>
      </c>
      <c r="G53" s="141">
        <f>'Targets-chosen'!G53</f>
        <v>23826.543209876545</v>
      </c>
      <c r="H53" s="141">
        <f>'Targets-chosen'!H53</f>
        <v>23564.713064713069</v>
      </c>
      <c r="I53" s="141">
        <f>'Targets-chosen'!I53</f>
        <v>23853.046594982079</v>
      </c>
      <c r="J53" s="141">
        <f>'Targets-chosen'!J53</f>
        <v>23057.945041816012</v>
      </c>
      <c r="K53" s="141">
        <f>'Targets-chosen'!K53</f>
        <v>23826.543209876545</v>
      </c>
      <c r="L53" s="141">
        <f>'Targets-chosen'!L53</f>
        <v>23576.48953301127</v>
      </c>
      <c r="M53" s="141">
        <f>'Targets-chosen'!M53</f>
        <v>23570.633475005056</v>
      </c>
      <c r="N53" s="141">
        <f>'Targets-chosen'!N53</f>
        <v>23853.046594982079</v>
      </c>
      <c r="O53" s="141">
        <f>'Targets-chosen'!O53</f>
        <v>23826.543209876545</v>
      </c>
      <c r="P53" s="141">
        <f>'Targets-chosen'!P53</f>
        <v>23853.046594982079</v>
      </c>
      <c r="Q53" s="141">
        <f>'Targets-chosen'!Q53</f>
        <v>23844.404186795491</v>
      </c>
      <c r="R53" s="141">
        <f>'Targets-chosen'!R53</f>
        <v>23662.222222222223</v>
      </c>
      <c r="S53" s="141">
        <f>'Targets-chosen'!S53</f>
        <v>23853.046594982079</v>
      </c>
      <c r="T53" s="141">
        <f>'Targets-chosen'!T53</f>
        <v>23767.857142857138</v>
      </c>
      <c r="U53" s="141">
        <f>'Targets-chosen'!U53</f>
        <v>23057.945041816012</v>
      </c>
      <c r="V53" s="141">
        <f>'Targets-chosen'!V53</f>
        <v>23552.674897119341</v>
      </c>
      <c r="W53" s="141">
        <f>'Targets-chosen'!W53</f>
        <v>23635.210553018769</v>
      </c>
      <c r="Z53" s="184">
        <f t="shared" si="12"/>
        <v>23057.945041816012</v>
      </c>
      <c r="AA53" s="184">
        <f t="shared" si="13"/>
        <v>23576.48953301127</v>
      </c>
      <c r="AB53" s="252">
        <f t="shared" si="14"/>
        <v>23635.210553018769</v>
      </c>
    </row>
    <row r="54" spans="4:28" ht="15.75">
      <c r="D54" s="144" t="s">
        <v>59</v>
      </c>
      <c r="E54" s="141">
        <f>'Targets-chosen'!E54</f>
        <v>5424</v>
      </c>
      <c r="F54" s="141">
        <f>'Targets-chosen'!F54</f>
        <v>5249.0322580645161</v>
      </c>
      <c r="G54" s="141">
        <f>'Targets-chosen'!G54</f>
        <v>5424</v>
      </c>
      <c r="H54" s="141">
        <f>'Targets-chosen'!H54</f>
        <v>5364.3956043956059</v>
      </c>
      <c r="I54" s="141">
        <f>'Targets-chosen'!I54</f>
        <v>5686.4516129032254</v>
      </c>
      <c r="J54" s="141">
        <f>'Targets-chosen'!J54</f>
        <v>5686.4516129032254</v>
      </c>
      <c r="K54" s="141">
        <f>'Targets-chosen'!K54</f>
        <v>5424</v>
      </c>
      <c r="L54" s="141">
        <f>'Targets-chosen'!L54</f>
        <v>5600.869565217391</v>
      </c>
      <c r="M54" s="141">
        <f>'Targets-chosen'!M54</f>
        <v>5483.2786885245914</v>
      </c>
      <c r="N54" s="141">
        <f>'Targets-chosen'!N54</f>
        <v>5249.0322580645161</v>
      </c>
      <c r="O54" s="141">
        <f>'Targets-chosen'!O54</f>
        <v>5424</v>
      </c>
      <c r="P54" s="141">
        <f>'Targets-chosen'!P54</f>
        <v>5686.4516129032254</v>
      </c>
      <c r="Q54" s="141">
        <f>'Targets-chosen'!Q54</f>
        <v>5453.478260869565</v>
      </c>
      <c r="R54" s="141">
        <f>'Targets-chosen'!R54</f>
        <v>5473.3090909090915</v>
      </c>
      <c r="S54" s="141">
        <f>'Targets-chosen'!S54</f>
        <v>5686.4516129032254</v>
      </c>
      <c r="T54" s="141">
        <f>'Targets-chosen'!T54</f>
        <v>5327.1428571428569</v>
      </c>
      <c r="U54" s="141">
        <f>'Targets-chosen'!U54</f>
        <v>5249.0322580645161</v>
      </c>
      <c r="V54" s="141">
        <f>'Targets-chosen'!V54</f>
        <v>5424.0000000000018</v>
      </c>
      <c r="W54" s="141">
        <f>'Targets-chosen'!W54</f>
        <v>5461.1506849315083</v>
      </c>
      <c r="Z54" s="184">
        <f t="shared" si="12"/>
        <v>5686.4516129032254</v>
      </c>
      <c r="AA54" s="184">
        <f t="shared" si="13"/>
        <v>5600.869565217391</v>
      </c>
      <c r="AB54" s="252">
        <f t="shared" si="14"/>
        <v>5461.1506849315083</v>
      </c>
    </row>
    <row r="55" spans="4:28" ht="15.75">
      <c r="D55" s="144" t="s">
        <v>63</v>
      </c>
      <c r="E55" s="141">
        <f>'Targets-chosen'!E55</f>
        <v>22200.000000000004</v>
      </c>
      <c r="F55" s="141">
        <f>'Targets-chosen'!F55</f>
        <v>22165.898617511521</v>
      </c>
      <c r="G55" s="141">
        <f>'Targets-chosen'!G55</f>
        <v>22552.380952380958</v>
      </c>
      <c r="H55" s="141">
        <f>'Targets-chosen'!H55</f>
        <v>22304.552590266881</v>
      </c>
      <c r="I55" s="141">
        <f>'Targets-chosen'!I55</f>
        <v>22165.898617511521</v>
      </c>
      <c r="J55" s="141">
        <f>'Targets-chosen'!J55</f>
        <v>22165.898617511521</v>
      </c>
      <c r="K55" s="141">
        <f>'Targets-chosen'!K55</f>
        <v>22552.380952380958</v>
      </c>
      <c r="L55" s="141">
        <f>'Targets-chosen'!L55</f>
        <v>22291.925465838514</v>
      </c>
      <c r="M55" s="141">
        <f>'Targets-chosen'!M55</f>
        <v>22298.204527712729</v>
      </c>
      <c r="N55" s="141">
        <f>'Targets-chosen'!N55</f>
        <v>22165.898617511521</v>
      </c>
      <c r="O55" s="141">
        <f>'Targets-chosen'!O55</f>
        <v>22200.000000000004</v>
      </c>
      <c r="P55" s="141">
        <f>'Targets-chosen'!P55</f>
        <v>22165.898617511521</v>
      </c>
      <c r="Q55" s="141">
        <f>'Targets-chosen'!Q55</f>
        <v>22177.018633540374</v>
      </c>
      <c r="R55" s="141">
        <f>'Targets-chosen'!R55</f>
        <v>22257.662337662339</v>
      </c>
      <c r="S55" s="141">
        <f>'Targets-chosen'!S55</f>
        <v>22165.898617511521</v>
      </c>
      <c r="T55" s="141">
        <f>'Targets-chosen'!T55</f>
        <v>22653.061224489797</v>
      </c>
      <c r="U55" s="141">
        <f>'Targets-chosen'!U55</f>
        <v>22506.912442396315</v>
      </c>
      <c r="V55" s="141">
        <f>'Targets-chosen'!V55</f>
        <v>22434.920634920636</v>
      </c>
      <c r="W55" s="141">
        <f>'Targets-chosen'!W55</f>
        <v>22301.369863013701</v>
      </c>
      <c r="Z55" s="184">
        <f t="shared" si="12"/>
        <v>22165.898617511521</v>
      </c>
      <c r="AA55" s="184">
        <f t="shared" si="13"/>
        <v>22291.925465838514</v>
      </c>
      <c r="AB55" s="252">
        <f t="shared" si="14"/>
        <v>22301.369863013701</v>
      </c>
    </row>
    <row r="56" spans="4:28" ht="15.75">
      <c r="D56" s="144" t="s">
        <v>64</v>
      </c>
      <c r="E56" s="141">
        <f>'Targets-chosen'!E56</f>
        <v>7563.6363636363631</v>
      </c>
      <c r="F56" s="141">
        <f>'Targets-chosen'!F56</f>
        <v>9149.5601173020532</v>
      </c>
      <c r="G56" s="141">
        <f>'Targets-chosen'!G56</f>
        <v>7563.6363636363631</v>
      </c>
      <c r="H56" s="141">
        <f>'Targets-chosen'!H56</f>
        <v>8103.8961038961052</v>
      </c>
      <c r="I56" s="141">
        <f>'Targets-chosen'!I56</f>
        <v>7319.6480938416407</v>
      </c>
      <c r="J56" s="141">
        <f>'Targets-chosen'!J56</f>
        <v>9149.5601173020532</v>
      </c>
      <c r="K56" s="141">
        <f>'Targets-chosen'!K56</f>
        <v>7563.6363636363631</v>
      </c>
      <c r="L56" s="141">
        <f>'Targets-chosen'!L56</f>
        <v>8015.8102766798429</v>
      </c>
      <c r="M56" s="141">
        <f>'Targets-chosen'!M56</f>
        <v>8059.6125186289128</v>
      </c>
      <c r="N56" s="141">
        <f>'Targets-chosen'!N56</f>
        <v>7319.6480938416407</v>
      </c>
      <c r="O56" s="141">
        <f>'Targets-chosen'!O56</f>
        <v>7563.6363636363631</v>
      </c>
      <c r="P56" s="141">
        <f>'Targets-chosen'!P56</f>
        <v>7319.6480938416407</v>
      </c>
      <c r="Q56" s="141">
        <f>'Targets-chosen'!Q56</f>
        <v>7399.2094861660089</v>
      </c>
      <c r="R56" s="141">
        <f>'Targets-chosen'!R56</f>
        <v>7838.6776859504153</v>
      </c>
      <c r="S56" s="141">
        <f>'Targets-chosen'!S56</f>
        <v>7319.6480938416407</v>
      </c>
      <c r="T56" s="141">
        <f>'Targets-chosen'!T56</f>
        <v>8103.8961038961024</v>
      </c>
      <c r="U56" s="141">
        <f>'Targets-chosen'!U56</f>
        <v>7319.6480938416407</v>
      </c>
      <c r="V56" s="141">
        <f>'Targets-chosen'!V56</f>
        <v>7563.6363636363649</v>
      </c>
      <c r="W56" s="141">
        <f>'Targets-chosen'!W56</f>
        <v>7770.8592777085942</v>
      </c>
      <c r="Z56" s="184">
        <f t="shared" si="12"/>
        <v>9149.5601173020532</v>
      </c>
      <c r="AA56" s="184">
        <f t="shared" si="13"/>
        <v>8015.8102766798429</v>
      </c>
      <c r="AB56" s="252">
        <f t="shared" si="14"/>
        <v>7770.8592777085942</v>
      </c>
    </row>
    <row r="57" spans="4:28" ht="15.75">
      <c r="D57" s="144" t="s">
        <v>65</v>
      </c>
      <c r="E57" s="141">
        <f>'Targets-chosen'!E57</f>
        <v>4927.4999999999991</v>
      </c>
      <c r="F57" s="141">
        <f>'Targets-chosen'!F57</f>
        <v>5298.3870967741923</v>
      </c>
      <c r="G57" s="141">
        <f>'Targets-chosen'!G57</f>
        <v>5474.9999999999991</v>
      </c>
      <c r="H57" s="141">
        <f>'Targets-chosen'!H57</f>
        <v>5234.3406593406598</v>
      </c>
      <c r="I57" s="141">
        <f>'Targets-chosen'!I57</f>
        <v>5298.3870967741923</v>
      </c>
      <c r="J57" s="141" t="str">
        <f>'Targets-chosen'!J57</f>
        <v xml:space="preserve"> </v>
      </c>
      <c r="K57" s="141">
        <f>'Targets-chosen'!K57</f>
        <v>4927.4999999999991</v>
      </c>
      <c r="L57" s="141">
        <f>'Targets-chosen'!L57</f>
        <v>5177.445652173913</v>
      </c>
      <c r="M57" s="141">
        <f>'Targets-chosen'!M57</f>
        <v>5205.7377049180332</v>
      </c>
      <c r="N57" s="141">
        <f>'Targets-chosen'!N57</f>
        <v>5298.3870967741923</v>
      </c>
      <c r="O57" s="141">
        <f>'Targets-chosen'!O57</f>
        <v>4927.4999999999991</v>
      </c>
      <c r="P57" s="141">
        <f>'Targets-chosen'!P57</f>
        <v>5298.3870967741923</v>
      </c>
      <c r="Q57" s="141">
        <f>'Targets-chosen'!Q57</f>
        <v>5177.445652173913</v>
      </c>
      <c r="R57" s="141">
        <f>'Targets-chosen'!R57</f>
        <v>5196.2727272727261</v>
      </c>
      <c r="S57" s="141">
        <f>'Targets-chosen'!S57</f>
        <v>5298.3870967741923</v>
      </c>
      <c r="T57" s="141">
        <f>'Targets-chosen'!T57</f>
        <v>5279.4642857142844</v>
      </c>
      <c r="U57" s="141">
        <f>'Targets-chosen'!U57</f>
        <v>5298.3870967741923</v>
      </c>
      <c r="V57" s="141">
        <f>'Targets-chosen'!V57</f>
        <v>5292.5</v>
      </c>
      <c r="W57" s="141">
        <f>'Targets-chosen'!W57</f>
        <v>5220</v>
      </c>
      <c r="Z57" s="184">
        <f t="shared" si="12"/>
        <v>0</v>
      </c>
      <c r="AA57" s="184">
        <f t="shared" si="13"/>
        <v>5177.445652173913</v>
      </c>
      <c r="AB57" s="252">
        <f t="shared" si="14"/>
        <v>5220</v>
      </c>
    </row>
    <row r="58" spans="4:28" ht="15.75">
      <c r="D58" s="144" t="s">
        <v>66</v>
      </c>
      <c r="E58" s="141">
        <f>'Targets-chosen'!E58</f>
        <v>431800.00000000006</v>
      </c>
      <c r="F58" s="141">
        <f>'Targets-chosen'!F58</f>
        <v>430161.29032258067</v>
      </c>
      <c r="G58" s="141">
        <f>'Targets-chosen'!G58</f>
        <v>431800.00000000006</v>
      </c>
      <c r="H58" s="141">
        <f>'Targets-chosen'!H58</f>
        <v>431241.75824175827</v>
      </c>
      <c r="I58" s="141">
        <f>'Targets-chosen'!I58</f>
        <v>430161.29032258067</v>
      </c>
      <c r="J58" s="141">
        <f>'Targets-chosen'!J58</f>
        <v>430161.29032258067</v>
      </c>
      <c r="K58" s="141">
        <f>'Targets-chosen'!K58</f>
        <v>431800.00000000006</v>
      </c>
      <c r="L58" s="141">
        <f>'Targets-chosen'!L58</f>
        <v>430695.65217391303</v>
      </c>
      <c r="M58" s="141">
        <f>'Targets-chosen'!M58</f>
        <v>430967.21311475418</v>
      </c>
      <c r="N58" s="141">
        <f>'Targets-chosen'!N58</f>
        <v>430161.29032258067</v>
      </c>
      <c r="O58" s="141">
        <f>'Targets-chosen'!O58</f>
        <v>431800.00000000006</v>
      </c>
      <c r="P58" s="141">
        <f>'Targets-chosen'!P58</f>
        <v>430161.29032258067</v>
      </c>
      <c r="Q58" s="141">
        <f>'Targets-chosen'!Q58</f>
        <v>430695.65217391303</v>
      </c>
      <c r="R58" s="141">
        <f>'Targets-chosen'!R58</f>
        <v>430876.36363636371</v>
      </c>
      <c r="S58" s="141">
        <f>'Targets-chosen'!S58</f>
        <v>430161.29032258067</v>
      </c>
      <c r="T58" s="141">
        <f>'Targets-chosen'!T58</f>
        <v>435428.57142857142</v>
      </c>
      <c r="U58" s="141">
        <f>'Targets-chosen'!U58</f>
        <v>430161.29032258067</v>
      </c>
      <c r="V58" s="141">
        <f>'Targets-chosen'!V58</f>
        <v>431800.00000000012</v>
      </c>
      <c r="W58" s="141">
        <f>'Targets-chosen'!W58</f>
        <v>431104.10958904115</v>
      </c>
      <c r="Z58" s="184">
        <f t="shared" si="12"/>
        <v>430161.29032258067</v>
      </c>
      <c r="AA58" s="184">
        <f t="shared" si="13"/>
        <v>430695.65217391303</v>
      </c>
      <c r="AB58" s="252">
        <f t="shared" si="14"/>
        <v>431104.10958904115</v>
      </c>
    </row>
    <row r="59" spans="4:28" ht="15.75">
      <c r="D59" s="144" t="s">
        <v>67</v>
      </c>
      <c r="E59" s="141">
        <f>'Targets-chosen'!E59</f>
        <v>52560</v>
      </c>
      <c r="F59" s="141">
        <f>'Targets-chosen'!F59</f>
        <v>52748.38709677419</v>
      </c>
      <c r="G59" s="141">
        <f>'Targets-chosen'!G59</f>
        <v>52560</v>
      </c>
      <c r="H59" s="141">
        <f>'Targets-chosen'!H59</f>
        <v>52624.175824175829</v>
      </c>
      <c r="I59" s="141">
        <f>'Targets-chosen'!I59</f>
        <v>51806.451612903227</v>
      </c>
      <c r="J59" s="141">
        <f>'Targets-chosen'!J59</f>
        <v>52748.38709677419</v>
      </c>
      <c r="K59" s="141">
        <f>'Targets-chosen'!K59</f>
        <v>52560</v>
      </c>
      <c r="L59" s="141">
        <f>'Targets-chosen'!L59</f>
        <v>52369.565217391304</v>
      </c>
      <c r="M59" s="141">
        <f>'Targets-chosen'!M59</f>
        <v>52496.174863387976</v>
      </c>
      <c r="N59" s="141">
        <f>'Targets-chosen'!N59</f>
        <v>52748.38709677419</v>
      </c>
      <c r="O59" s="141">
        <f>'Targets-chosen'!O59</f>
        <v>52560</v>
      </c>
      <c r="P59" s="141">
        <f>'Targets-chosen'!P59</f>
        <v>52748.38709677419</v>
      </c>
      <c r="Q59" s="141">
        <f>'Targets-chosen'!Q59</f>
        <v>52686.956521739128</v>
      </c>
      <c r="R59" s="141">
        <f>'Targets-chosen'!R59</f>
        <v>52560</v>
      </c>
      <c r="S59" s="141">
        <f>'Targets-chosen'!S59</f>
        <v>50864.516129032258</v>
      </c>
      <c r="T59" s="141">
        <f>'Targets-chosen'!T59</f>
        <v>52142.857142857138</v>
      </c>
      <c r="U59" s="141">
        <f>'Targets-chosen'!U59</f>
        <v>52748.38709677419</v>
      </c>
      <c r="V59" s="141">
        <f>'Targets-chosen'!V59</f>
        <v>51911.111111111109</v>
      </c>
      <c r="W59" s="141">
        <f>'Targets-chosen'!W59</f>
        <v>52400</v>
      </c>
      <c r="Z59" s="184">
        <f t="shared" si="12"/>
        <v>52748.38709677419</v>
      </c>
      <c r="AA59" s="184">
        <f t="shared" si="13"/>
        <v>52369.565217391304</v>
      </c>
      <c r="AB59" s="252">
        <f t="shared" si="14"/>
        <v>52400</v>
      </c>
    </row>
    <row r="60" spans="4:28" ht="15.75">
      <c r="D60" s="144" t="s">
        <v>68</v>
      </c>
      <c r="E60" s="141">
        <f>'Targets-chosen'!E60</f>
        <v>13153.713298791021</v>
      </c>
      <c r="F60" s="141">
        <f>'Targets-chosen'!F60</f>
        <v>12729.399966571955</v>
      </c>
      <c r="G60" s="141">
        <f>'Targets-chosen'!G60</f>
        <v>13153.713298791021</v>
      </c>
      <c r="H60" s="141">
        <f>'Targets-chosen'!H60</f>
        <v>13009.166998804307</v>
      </c>
      <c r="I60" s="141">
        <f>'Targets-chosen'!I60</f>
        <v>13638.642821327092</v>
      </c>
      <c r="J60" s="141">
        <f>'Targets-chosen'!J60</f>
        <v>12729.399966571955</v>
      </c>
      <c r="K60" s="141">
        <f>'Targets-chosen'!K60</f>
        <v>13153.713298791021</v>
      </c>
      <c r="L60" s="141">
        <f>'Targets-chosen'!L60</f>
        <v>13174.138319441314</v>
      </c>
      <c r="M60" s="141">
        <f>'Targets-chosen'!M60</f>
        <v>13092.103400436024</v>
      </c>
      <c r="N60" s="141">
        <f>'Targets-chosen'!N60</f>
        <v>13638.642821327092</v>
      </c>
      <c r="O60" s="141">
        <f>'Targets-chosen'!O60</f>
        <v>13153.713298791021</v>
      </c>
      <c r="P60" s="141">
        <f>'Targets-chosen'!P60</f>
        <v>13638.642821327092</v>
      </c>
      <c r="Q60" s="141">
        <f>'Targets-chosen'!Q60</f>
        <v>13480.513629195766</v>
      </c>
      <c r="R60" s="141">
        <f>'Targets-chosen'!R60</f>
        <v>13222.044276966557</v>
      </c>
      <c r="S60" s="141">
        <f>'Targets-chosen'!S60</f>
        <v>12729.399966571955</v>
      </c>
      <c r="T60" s="141">
        <f>'Targets-chosen'!T60</f>
        <v>13086.60251665433</v>
      </c>
      <c r="U60" s="141">
        <f>'Targets-chosen'!U60</f>
        <v>12729.399966571955</v>
      </c>
      <c r="V60" s="141">
        <f>'Targets-chosen'!V60</f>
        <v>12840.529648819804</v>
      </c>
      <c r="W60" s="141">
        <f>'Targets-chosen'!W60</f>
        <v>13127.972176875577</v>
      </c>
      <c r="Z60" s="184">
        <f t="shared" si="12"/>
        <v>12729.399966571955</v>
      </c>
      <c r="AA60" s="184">
        <f t="shared" si="13"/>
        <v>13174.138319441314</v>
      </c>
      <c r="AB60" s="252">
        <f t="shared" si="14"/>
        <v>13127.972176875577</v>
      </c>
    </row>
    <row r="61" spans="4:28" ht="15.75">
      <c r="D61" s="144" t="s">
        <v>69</v>
      </c>
      <c r="E61" s="141">
        <f>'Targets-chosen'!E61</f>
        <v>0</v>
      </c>
      <c r="F61" s="141">
        <f>'Targets-chosen'!F61</f>
        <v>0</v>
      </c>
      <c r="G61" s="141">
        <f>'Targets-chosen'!G61</f>
        <v>0</v>
      </c>
      <c r="H61" s="141">
        <f>'Targets-chosen'!H61</f>
        <v>0</v>
      </c>
      <c r="I61" s="141">
        <f>'Targets-chosen'!I61</f>
        <v>0</v>
      </c>
      <c r="J61" s="141">
        <f>'Targets-chosen'!J61</f>
        <v>0</v>
      </c>
      <c r="K61" s="141">
        <f>'Targets-chosen'!K61</f>
        <v>0</v>
      </c>
      <c r="L61" s="141">
        <f>'Targets-chosen'!L61</f>
        <v>0</v>
      </c>
      <c r="M61" s="141">
        <f>'Targets-chosen'!M61</f>
        <v>0</v>
      </c>
      <c r="N61" s="141">
        <f>'Targets-chosen'!N61</f>
        <v>0</v>
      </c>
      <c r="O61" s="141">
        <f>'Targets-chosen'!O61</f>
        <v>0</v>
      </c>
      <c r="P61" s="141">
        <f>'Targets-chosen'!P61</f>
        <v>0</v>
      </c>
      <c r="Q61" s="141">
        <f>'Targets-chosen'!Q61</f>
        <v>0</v>
      </c>
      <c r="R61" s="141">
        <f>'Targets-chosen'!R61</f>
        <v>0</v>
      </c>
      <c r="S61" s="141">
        <f>'Targets-chosen'!S61</f>
        <v>0</v>
      </c>
      <c r="T61" s="141">
        <f>'Targets-chosen'!T61</f>
        <v>0</v>
      </c>
      <c r="U61" s="141">
        <f>'Targets-chosen'!U61</f>
        <v>0</v>
      </c>
      <c r="V61" s="141">
        <f>'Targets-chosen'!V61</f>
        <v>0</v>
      </c>
      <c r="W61" s="141">
        <f>'Targets-chosen'!W61</f>
        <v>0</v>
      </c>
      <c r="Z61" s="184">
        <f t="shared" si="12"/>
        <v>0</v>
      </c>
      <c r="AA61" s="184">
        <f t="shared" si="13"/>
        <v>0</v>
      </c>
      <c r="AB61" s="252">
        <f t="shared" si="14"/>
        <v>0</v>
      </c>
    </row>
    <row r="62" spans="4:28" ht="15.75">
      <c r="D62" s="144" t="s">
        <v>70</v>
      </c>
      <c r="E62" s="141">
        <f>'Targets-chosen'!E62</f>
        <v>0</v>
      </c>
      <c r="F62" s="141">
        <f>'Targets-chosen'!F62</f>
        <v>0</v>
      </c>
      <c r="G62" s="141">
        <f>'Targets-chosen'!G62</f>
        <v>0</v>
      </c>
      <c r="H62" s="141">
        <f>'Targets-chosen'!H62</f>
        <v>0</v>
      </c>
      <c r="I62" s="141">
        <f>'Targets-chosen'!I62</f>
        <v>0</v>
      </c>
      <c r="J62" s="141">
        <f>'Targets-chosen'!J62</f>
        <v>0</v>
      </c>
      <c r="K62" s="141">
        <f>'Targets-chosen'!K62</f>
        <v>0</v>
      </c>
      <c r="L62" s="141">
        <f>'Targets-chosen'!L62</f>
        <v>0</v>
      </c>
      <c r="M62" s="141">
        <f>'Targets-chosen'!M62</f>
        <v>0</v>
      </c>
      <c r="N62" s="141">
        <f>'Targets-chosen'!N62</f>
        <v>0</v>
      </c>
      <c r="O62" s="141">
        <f>'Targets-chosen'!O62</f>
        <v>0</v>
      </c>
      <c r="P62" s="141">
        <f>'Targets-chosen'!P62</f>
        <v>0</v>
      </c>
      <c r="Q62" s="141">
        <f>'Targets-chosen'!Q62</f>
        <v>0</v>
      </c>
      <c r="R62" s="141">
        <f>'Targets-chosen'!R62</f>
        <v>0</v>
      </c>
      <c r="S62" s="141">
        <f>'Targets-chosen'!S62</f>
        <v>0</v>
      </c>
      <c r="T62" s="141">
        <f>'Targets-chosen'!T62</f>
        <v>0</v>
      </c>
      <c r="U62" s="141">
        <f>'Targets-chosen'!U62</f>
        <v>0</v>
      </c>
      <c r="V62" s="141">
        <f>'Targets-chosen'!V62</f>
        <v>0</v>
      </c>
      <c r="W62" s="141">
        <f>'Targets-chosen'!W62</f>
        <v>0</v>
      </c>
      <c r="Z62" s="184">
        <f t="shared" si="12"/>
        <v>0</v>
      </c>
      <c r="AA62" s="184">
        <f t="shared" si="13"/>
        <v>0</v>
      </c>
      <c r="AB62" s="252">
        <f t="shared" si="14"/>
        <v>0</v>
      </c>
    </row>
    <row r="67" spans="4:28">
      <c r="D67" s="1113" t="s">
        <v>89</v>
      </c>
      <c r="E67" s="1113"/>
      <c r="F67" s="1113"/>
      <c r="G67" s="1113"/>
      <c r="H67" s="1113"/>
      <c r="I67" s="1113"/>
      <c r="J67" s="1113"/>
      <c r="K67" s="1113"/>
      <c r="L67" s="1113"/>
      <c r="M67" s="1113"/>
      <c r="N67" s="1113"/>
      <c r="O67" s="1113"/>
      <c r="P67" s="1113"/>
      <c r="Q67" s="1113"/>
      <c r="R67" s="1113"/>
      <c r="S67" s="1113"/>
      <c r="T67" s="1113"/>
      <c r="U67" s="1113"/>
      <c r="V67" s="1113"/>
      <c r="W67" s="1113"/>
    </row>
    <row r="68" spans="4:28">
      <c r="D68" s="144"/>
      <c r="E68" s="144" t="s">
        <v>30</v>
      </c>
      <c r="F68" s="144" t="s">
        <v>71</v>
      </c>
      <c r="G68" s="144" t="s">
        <v>72</v>
      </c>
      <c r="H68" s="148" t="s">
        <v>82</v>
      </c>
      <c r="I68" s="144" t="s">
        <v>73</v>
      </c>
      <c r="J68" s="144" t="s">
        <v>74</v>
      </c>
      <c r="K68" s="144" t="s">
        <v>75</v>
      </c>
      <c r="L68" s="148" t="s">
        <v>83</v>
      </c>
      <c r="M68" s="170" t="s">
        <v>39</v>
      </c>
      <c r="N68" s="144" t="s">
        <v>76</v>
      </c>
      <c r="O68" s="144" t="s">
        <v>77</v>
      </c>
      <c r="P68" s="144" t="s">
        <v>78</v>
      </c>
      <c r="Q68" s="148" t="s">
        <v>84</v>
      </c>
      <c r="R68" s="170" t="s">
        <v>85</v>
      </c>
      <c r="S68" s="144" t="s">
        <v>79</v>
      </c>
      <c r="T68" s="144" t="s">
        <v>80</v>
      </c>
      <c r="U68" s="144" t="s">
        <v>81</v>
      </c>
      <c r="V68" s="148" t="s">
        <v>86</v>
      </c>
      <c r="W68" s="170" t="s">
        <v>87</v>
      </c>
      <c r="Z68" s="184" t="s">
        <v>174</v>
      </c>
      <c r="AA68" s="184" t="s">
        <v>175</v>
      </c>
      <c r="AB68" s="184" t="s">
        <v>184</v>
      </c>
    </row>
    <row r="69" spans="4:28" ht="15.75">
      <c r="D69" s="144" t="s">
        <v>60</v>
      </c>
      <c r="E69" s="146">
        <f>'Targets-chosen'!E69</f>
        <v>8.1666666666666661</v>
      </c>
      <c r="F69" s="146">
        <f>'Targets-chosen'!F69</f>
        <v>8.064516129032258</v>
      </c>
      <c r="G69" s="146">
        <f>'Targets-chosen'!G69</f>
        <v>8</v>
      </c>
      <c r="H69" s="146">
        <f>'Targets-chosen'!H69</f>
        <v>8.0769230769230784</v>
      </c>
      <c r="I69" s="146">
        <f>'Targets-chosen'!I69</f>
        <v>8.2258064516129004</v>
      </c>
      <c r="J69" s="146">
        <f>'Targets-chosen'!J69</f>
        <v>8.064516129032258</v>
      </c>
      <c r="K69" s="146">
        <f>'Targets-chosen'!K69</f>
        <v>8.1666666666666661</v>
      </c>
      <c r="L69" s="146">
        <f>'Targets-chosen'!L69</f>
        <v>8.1521739130434785</v>
      </c>
      <c r="M69" s="146">
        <f>'Targets-chosen'!M69</f>
        <v>8.1147540983606561</v>
      </c>
      <c r="N69" s="146">
        <f>'Targets-chosen'!N69</f>
        <v>8.3870967741935463</v>
      </c>
      <c r="O69" s="146">
        <f>'Targets-chosen'!O69</f>
        <v>8.8333333333333321</v>
      </c>
      <c r="P69" s="146">
        <f>'Targets-chosen'!P69</f>
        <v>8.7096774193548363</v>
      </c>
      <c r="Q69" s="146">
        <f>'Targets-chosen'!Q69</f>
        <v>8.641304347826086</v>
      </c>
      <c r="R69" s="146">
        <f>'Targets-chosen'!R69</f>
        <v>8.2909090909090928</v>
      </c>
      <c r="S69" s="146">
        <f>'Targets-chosen'!S69</f>
        <v>9.0322580645161263</v>
      </c>
      <c r="T69" s="146">
        <f>'Targets-chosen'!T69</f>
        <v>9.1071428571428541</v>
      </c>
      <c r="U69" s="146">
        <f>'Targets-chosen'!U69</f>
        <v>9.0322580645161263</v>
      </c>
      <c r="V69" s="146">
        <f>'Targets-chosen'!V69</f>
        <v>9.0555555555555554</v>
      </c>
      <c r="W69" s="146">
        <f>'Targets-chosen'!W69</f>
        <v>8.4794520547945211</v>
      </c>
      <c r="Z69" s="184">
        <f>SUMIF(E$87:U$87,$Z$88,E69:W69)</f>
        <v>8.064516129032258</v>
      </c>
      <c r="AA69" s="184">
        <f>SUMIF(E$88:W$88,$AA$88,E69:W69)</f>
        <v>8.1521739130434785</v>
      </c>
      <c r="AB69" s="251">
        <f>W69</f>
        <v>8.4794520547945211</v>
      </c>
    </row>
    <row r="70" spans="4:28" ht="15.75">
      <c r="D70" s="144" t="s">
        <v>61</v>
      </c>
      <c r="E70" s="146">
        <f>'Targets-chosen'!E70</f>
        <v>8.4615384615384617</v>
      </c>
      <c r="F70" s="146">
        <f>'Targets-chosen'!F70</f>
        <v>8.4367245657568244</v>
      </c>
      <c r="G70" s="146">
        <f>'Targets-chosen'!G70</f>
        <v>8.4615384615384617</v>
      </c>
      <c r="H70" s="146">
        <f>'Targets-chosen'!H70</f>
        <v>8.453085376162301</v>
      </c>
      <c r="I70" s="146">
        <f>'Targets-chosen'!I70</f>
        <v>8.4367245657568244</v>
      </c>
      <c r="J70" s="146">
        <f>'Targets-chosen'!J70</f>
        <v>8.4367245657568244</v>
      </c>
      <c r="K70" s="146">
        <f>'Targets-chosen'!K70</f>
        <v>8.4615384615384617</v>
      </c>
      <c r="L70" s="146">
        <f>'Targets-chosen'!L70</f>
        <v>8.4448160535117047</v>
      </c>
      <c r="M70" s="146">
        <f>'Targets-chosen'!M70</f>
        <v>8.4489281210592679</v>
      </c>
      <c r="N70" s="146">
        <f>'Targets-chosen'!N70</f>
        <v>8.4299262381454163</v>
      </c>
      <c r="O70" s="146">
        <f>'Targets-chosen'!O70</f>
        <v>8.4615384615384617</v>
      </c>
      <c r="P70" s="146">
        <f>'Targets-chosen'!P70</f>
        <v>8.4367245657568244</v>
      </c>
      <c r="Q70" s="146">
        <f>'Targets-chosen'!Q70</f>
        <v>8.4425253126861239</v>
      </c>
      <c r="R70" s="146">
        <f>'Targets-chosen'!R70</f>
        <v>8.4467860906217069</v>
      </c>
      <c r="S70" s="146">
        <f>'Targets-chosen'!S70</f>
        <v>8.4367245657568244</v>
      </c>
      <c r="T70" s="146">
        <f>'Targets-chosen'!T70</f>
        <v>8.2417582417582409</v>
      </c>
      <c r="U70" s="146">
        <f>'Targets-chosen'!U70</f>
        <v>8.4367245657568244</v>
      </c>
      <c r="V70" s="146">
        <f>'Targets-chosen'!V70</f>
        <v>8.3760683760683765</v>
      </c>
      <c r="W70" s="146">
        <f>'Targets-chosen'!W70</f>
        <v>8.4293488459373229</v>
      </c>
      <c r="Z70" s="184">
        <f t="shared" ref="Z70:Z82" si="15">SUMIF(E$87:U$87,$Z$88,E70:W70)</f>
        <v>8.4367245657568244</v>
      </c>
      <c r="AA70" s="184">
        <f t="shared" ref="AA70:AA82" si="16">SUMIF(E$88:W$88,$AA$88,E70:W70)</f>
        <v>8.4448160535117047</v>
      </c>
      <c r="AB70" s="251">
        <f t="shared" ref="AB70:AB82" si="17">W70</f>
        <v>8.4293488459373229</v>
      </c>
    </row>
    <row r="71" spans="4:28" ht="15.75">
      <c r="D71" s="144" t="s">
        <v>62</v>
      </c>
      <c r="E71" s="146">
        <f>'Targets-chosen'!E71</f>
        <v>0.26666666666666666</v>
      </c>
      <c r="F71" s="146">
        <f>'Targets-chosen'!F71</f>
        <v>0.25806451612903225</v>
      </c>
      <c r="G71" s="146">
        <f>'Targets-chosen'!G71</f>
        <v>0.26666666666666666</v>
      </c>
      <c r="H71" s="146">
        <f>'Targets-chosen'!H71</f>
        <v>0.26373626373626374</v>
      </c>
      <c r="I71" s="146">
        <f>'Targets-chosen'!I71</f>
        <v>0.25806451612903225</v>
      </c>
      <c r="J71" s="146">
        <f>'Targets-chosen'!J71</f>
        <v>0.25806451612903225</v>
      </c>
      <c r="K71" s="146">
        <f>'Targets-chosen'!K71</f>
        <v>0.26666666666666666</v>
      </c>
      <c r="L71" s="146">
        <f>'Targets-chosen'!L71</f>
        <v>0.2608695652173913</v>
      </c>
      <c r="M71" s="146">
        <f>'Targets-chosen'!M71</f>
        <v>0.26229508196721313</v>
      </c>
      <c r="N71" s="146">
        <f>'Targets-chosen'!N71</f>
        <v>0.25753424657534246</v>
      </c>
      <c r="O71" s="146">
        <f>'Targets-chosen'!O71</f>
        <v>0.26666666666666666</v>
      </c>
      <c r="P71" s="146">
        <f>'Targets-chosen'!P71</f>
        <v>0.25806451612903225</v>
      </c>
      <c r="Q71" s="146">
        <f>'Targets-chosen'!Q71</f>
        <v>0.26069088743299584</v>
      </c>
      <c r="R71" s="146">
        <f>'Targets-chosen'!R71</f>
        <v>0.2617584059775841</v>
      </c>
      <c r="S71" s="146">
        <f>'Targets-chosen'!S71</f>
        <v>0.25806451612903225</v>
      </c>
      <c r="T71" s="146">
        <f>'Targets-chosen'!T71</f>
        <v>0.21428571428571427</v>
      </c>
      <c r="U71" s="146">
        <f>'Targets-chosen'!U71</f>
        <v>0.25806451612903225</v>
      </c>
      <c r="V71" s="146">
        <f>'Targets-chosen'!V71</f>
        <v>0.24444444444444446</v>
      </c>
      <c r="W71" s="146">
        <f>'Targets-chosen'!W71</f>
        <v>0.25748920998311126</v>
      </c>
      <c r="Z71" s="184">
        <f t="shared" si="15"/>
        <v>0.25806451612903225</v>
      </c>
      <c r="AA71" s="184">
        <f t="shared" si="16"/>
        <v>0.2608695652173913</v>
      </c>
      <c r="AB71" s="251">
        <f t="shared" si="17"/>
        <v>0.25748920998311126</v>
      </c>
    </row>
    <row r="72" spans="4:28" ht="15.75">
      <c r="D72" s="144" t="s">
        <v>57</v>
      </c>
      <c r="E72" s="146">
        <f>'Targets-chosen'!E72</f>
        <v>11.396011396011396</v>
      </c>
      <c r="F72" s="146">
        <f>'Targets-chosen'!F72</f>
        <v>11.028398125172318</v>
      </c>
      <c r="G72" s="146">
        <f>'Targets-chosen'!G72</f>
        <v>11.396011396011396</v>
      </c>
      <c r="H72" s="146">
        <f>'Targets-chosen'!H72</f>
        <v>11.270780501549734</v>
      </c>
      <c r="I72" s="146">
        <f>'Targets-chosen'!I72</f>
        <v>11.028398125172318</v>
      </c>
      <c r="J72" s="146">
        <f>'Targets-chosen'!J72</f>
        <v>11.028398125172318</v>
      </c>
      <c r="K72" s="146">
        <f>'Targets-chosen'!K72</f>
        <v>11.396011396011396</v>
      </c>
      <c r="L72" s="146">
        <f>'Targets-chosen'!L72</f>
        <v>11.148272017837234</v>
      </c>
      <c r="M72" s="146">
        <f>'Targets-chosen'!M72</f>
        <v>11.20919153706039</v>
      </c>
      <c r="N72" s="146">
        <f>'Targets-chosen'!N72</f>
        <v>10.865238262498535</v>
      </c>
      <c r="O72" s="146">
        <f>'Targets-chosen'!O72</f>
        <v>11.396011396011396</v>
      </c>
      <c r="P72" s="146">
        <f>'Targets-chosen'!P72</f>
        <v>11.028398125172318</v>
      </c>
      <c r="Q72" s="146">
        <f>'Targets-chosen'!Q72</f>
        <v>11.093294238023244</v>
      </c>
      <c r="R72" s="146">
        <f>'Targets-chosen'!R72</f>
        <v>11.170418622473417</v>
      </c>
      <c r="S72" s="146">
        <f>'Targets-chosen'!S72</f>
        <v>11.028398125172318</v>
      </c>
      <c r="T72" s="146">
        <f>'Targets-chosen'!T72</f>
        <v>7.3260073260073248</v>
      </c>
      <c r="U72" s="146">
        <f>'Targets-chosen'!U72</f>
        <v>11.028398125172318</v>
      </c>
      <c r="V72" s="146">
        <f>'Targets-chosen'!V72</f>
        <v>9.8765432098765444</v>
      </c>
      <c r="W72" s="146">
        <f>'Targets-chosen'!W72</f>
        <v>10.851380849504324</v>
      </c>
      <c r="Z72" s="184">
        <f t="shared" si="15"/>
        <v>11.028398125172318</v>
      </c>
      <c r="AA72" s="184">
        <f t="shared" si="16"/>
        <v>11.148272017837234</v>
      </c>
      <c r="AB72" s="251">
        <f t="shared" si="17"/>
        <v>10.851380849504324</v>
      </c>
    </row>
    <row r="73" spans="4:28" ht="15.75">
      <c r="D73" s="144" t="s">
        <v>58</v>
      </c>
      <c r="E73" s="146">
        <f>'Targets-chosen'!E73</f>
        <v>0.24691358024691354</v>
      </c>
      <c r="F73" s="146">
        <f>'Targets-chosen'!F73</f>
        <v>0.23894862604540021</v>
      </c>
      <c r="G73" s="146">
        <f>'Targets-chosen'!G73</f>
        <v>0.24691358024691354</v>
      </c>
      <c r="H73" s="146">
        <f>'Targets-chosen'!H73</f>
        <v>0.24420024420024417</v>
      </c>
      <c r="I73" s="146">
        <f>'Targets-chosen'!I73</f>
        <v>0.23894862604540021</v>
      </c>
      <c r="J73" s="146">
        <f>'Targets-chosen'!J73</f>
        <v>0.23894862604540021</v>
      </c>
      <c r="K73" s="146">
        <f>'Targets-chosen'!K73</f>
        <v>0.24691358024691354</v>
      </c>
      <c r="L73" s="146">
        <f>'Targets-chosen'!L73</f>
        <v>0.2415458937198067</v>
      </c>
      <c r="M73" s="146">
        <f>'Targets-chosen'!M73</f>
        <v>0.24286581663630838</v>
      </c>
      <c r="N73" s="146">
        <f>'Targets-chosen'!N73</f>
        <v>0.25367833587011673</v>
      </c>
      <c r="O73" s="146">
        <f>'Targets-chosen'!O73</f>
        <v>0.24691358024691354</v>
      </c>
      <c r="P73" s="146">
        <f>'Targets-chosen'!P73</f>
        <v>0.23894862604540021</v>
      </c>
      <c r="Q73" s="146">
        <f>'Targets-chosen'!Q73</f>
        <v>0.24650916550856994</v>
      </c>
      <c r="R73" s="146">
        <f>'Targets-chosen'!R73</f>
        <v>0.2440846824408468</v>
      </c>
      <c r="S73" s="146">
        <f>'Targets-chosen'!S73</f>
        <v>0.23894862604540021</v>
      </c>
      <c r="T73" s="146">
        <f>'Targets-chosen'!T73</f>
        <v>0.39682539682539675</v>
      </c>
      <c r="U73" s="146">
        <f>'Targets-chosen'!U73</f>
        <v>0.23894862604540021</v>
      </c>
      <c r="V73" s="146">
        <f>'Targets-chosen'!V73</f>
        <v>0.28806584362139914</v>
      </c>
      <c r="W73" s="146">
        <f>'Targets-chosen'!W73</f>
        <v>0.25492935232098302</v>
      </c>
      <c r="Z73" s="184">
        <f t="shared" si="15"/>
        <v>0.23894862604540021</v>
      </c>
      <c r="AA73" s="184">
        <f t="shared" si="16"/>
        <v>0.2415458937198067</v>
      </c>
      <c r="AB73" s="251">
        <f t="shared" si="17"/>
        <v>0.25492935232098302</v>
      </c>
    </row>
    <row r="74" spans="4:28" ht="15.75">
      <c r="D74" s="144" t="s">
        <v>59</v>
      </c>
      <c r="E74" s="146">
        <f>'Targets-chosen'!E74</f>
        <v>0</v>
      </c>
      <c r="F74" s="146">
        <f>'Targets-chosen'!F74</f>
        <v>0</v>
      </c>
      <c r="G74" s="146">
        <f>'Targets-chosen'!G74</f>
        <v>6.6666666666666666E-2</v>
      </c>
      <c r="H74" s="146">
        <f>'Targets-chosen'!H74</f>
        <v>2.197802197802198E-2</v>
      </c>
      <c r="I74" s="146">
        <f>'Targets-chosen'!I74</f>
        <v>0</v>
      </c>
      <c r="J74" s="146">
        <f>'Targets-chosen'!J74</f>
        <v>0</v>
      </c>
      <c r="K74" s="146">
        <f>'Targets-chosen'!K74</f>
        <v>6.6666666666666666E-2</v>
      </c>
      <c r="L74" s="146">
        <f>'Targets-chosen'!L74</f>
        <v>2.1739130434782608E-2</v>
      </c>
      <c r="M74" s="146">
        <f>'Targets-chosen'!M74</f>
        <v>2.185792349726776E-2</v>
      </c>
      <c r="N74" s="146">
        <f>'Targets-chosen'!N74</f>
        <v>0</v>
      </c>
      <c r="O74" s="146">
        <f>'Targets-chosen'!O74</f>
        <v>0</v>
      </c>
      <c r="P74" s="146">
        <f>'Targets-chosen'!P74</f>
        <v>6.4516129032258063E-2</v>
      </c>
      <c r="Q74" s="146">
        <f>'Targets-chosen'!Q74</f>
        <v>2.1739130434782608E-2</v>
      </c>
      <c r="R74" s="146">
        <f>'Targets-chosen'!R74</f>
        <v>2.181818181818182E-2</v>
      </c>
      <c r="S74" s="146">
        <f>'Targets-chosen'!S74</f>
        <v>0</v>
      </c>
      <c r="T74" s="146">
        <f>'Targets-chosen'!T74</f>
        <v>0</v>
      </c>
      <c r="U74" s="146">
        <f>'Targets-chosen'!U74</f>
        <v>6.4516129032258063E-2</v>
      </c>
      <c r="V74" s="146">
        <f>'Targets-chosen'!V74</f>
        <v>2.2222222222222223E-2</v>
      </c>
      <c r="W74" s="146">
        <f>'Targets-chosen'!W74</f>
        <v>2.1917808219178082E-2</v>
      </c>
      <c r="Z74" s="184">
        <f t="shared" si="15"/>
        <v>0</v>
      </c>
      <c r="AA74" s="184">
        <f t="shared" si="16"/>
        <v>2.1739130434782608E-2</v>
      </c>
      <c r="AB74" s="251">
        <f t="shared" si="17"/>
        <v>2.1917808219178082E-2</v>
      </c>
    </row>
    <row r="75" spans="4:28" ht="15.75">
      <c r="D75" s="144" t="s">
        <v>63</v>
      </c>
      <c r="E75" s="146">
        <f>'Targets-chosen'!E75</f>
        <v>0</v>
      </c>
      <c r="F75" s="146">
        <f>'Targets-chosen'!F75</f>
        <v>0</v>
      </c>
      <c r="G75" s="146">
        <f>'Targets-chosen'!G75</f>
        <v>0</v>
      </c>
      <c r="H75" s="146">
        <f>'Targets-chosen'!H75</f>
        <v>0</v>
      </c>
      <c r="I75" s="146">
        <f>'Targets-chosen'!I75</f>
        <v>0</v>
      </c>
      <c r="J75" s="146">
        <f>'Targets-chosen'!J75</f>
        <v>0</v>
      </c>
      <c r="K75" s="146">
        <f>'Targets-chosen'!K75</f>
        <v>0</v>
      </c>
      <c r="L75" s="146">
        <f>'Targets-chosen'!L75</f>
        <v>0</v>
      </c>
      <c r="M75" s="146">
        <f>'Targets-chosen'!M75</f>
        <v>0</v>
      </c>
      <c r="N75" s="146">
        <f>'Targets-chosen'!N75</f>
        <v>0</v>
      </c>
      <c r="O75" s="146">
        <f>'Targets-chosen'!O75</f>
        <v>0</v>
      </c>
      <c r="P75" s="146">
        <f>'Targets-chosen'!P75</f>
        <v>0</v>
      </c>
      <c r="Q75" s="146">
        <f>'Targets-chosen'!Q75</f>
        <v>0</v>
      </c>
      <c r="R75" s="146">
        <f>'Targets-chosen'!R75</f>
        <v>0</v>
      </c>
      <c r="S75" s="146">
        <f>'Targets-chosen'!S75</f>
        <v>0</v>
      </c>
      <c r="T75" s="146">
        <f>'Targets-chosen'!T75</f>
        <v>5.1020408163265314E-2</v>
      </c>
      <c r="U75" s="146">
        <f>'Targets-chosen'!U75</f>
        <v>0</v>
      </c>
      <c r="V75" s="146">
        <f>'Targets-chosen'!V75</f>
        <v>1.5873015873015876E-2</v>
      </c>
      <c r="W75" s="146">
        <f>'Targets-chosen'!W75</f>
        <v>3.9138943248532296E-3</v>
      </c>
      <c r="Z75" s="184">
        <f t="shared" si="15"/>
        <v>0</v>
      </c>
      <c r="AA75" s="184">
        <f t="shared" si="16"/>
        <v>0</v>
      </c>
      <c r="AB75" s="251">
        <f t="shared" si="17"/>
        <v>3.9138943248532296E-3</v>
      </c>
    </row>
    <row r="76" spans="4:28" ht="15.75">
      <c r="D76" s="144" t="s">
        <v>64</v>
      </c>
      <c r="E76" s="146">
        <f>'Targets-chosen'!E76</f>
        <v>0.30303030303030298</v>
      </c>
      <c r="F76" s="146">
        <f>'Targets-chosen'!F76</f>
        <v>0.29325513196480935</v>
      </c>
      <c r="G76" s="146">
        <f>'Targets-chosen'!G76</f>
        <v>0</v>
      </c>
      <c r="H76" s="146">
        <f>'Targets-chosen'!H76</f>
        <v>0.19980019980019981</v>
      </c>
      <c r="I76" s="146">
        <f>'Targets-chosen'!I76</f>
        <v>0.29325513196480935</v>
      </c>
      <c r="J76" s="146">
        <f>'Targets-chosen'!J76</f>
        <v>0.29325513196480935</v>
      </c>
      <c r="K76" s="146">
        <f>'Targets-chosen'!K76</f>
        <v>0.30303030303030298</v>
      </c>
      <c r="L76" s="146">
        <f>'Targets-chosen'!L76</f>
        <v>0.29644268774703558</v>
      </c>
      <c r="M76" s="146">
        <f>'Targets-chosen'!M76</f>
        <v>0.24838549428713363</v>
      </c>
      <c r="N76" s="146">
        <f>'Targets-chosen'!N76</f>
        <v>0.22415940224159403</v>
      </c>
      <c r="O76" s="146">
        <f>'Targets-chosen'!O76</f>
        <v>0</v>
      </c>
      <c r="P76" s="146">
        <f>'Targets-chosen'!P76</f>
        <v>0.29325513196480935</v>
      </c>
      <c r="Q76" s="146">
        <f>'Targets-chosen'!Q76</f>
        <v>0.17434620174346202</v>
      </c>
      <c r="R76" s="146">
        <f>'Targets-chosen'!R76</f>
        <v>0.22361598550888712</v>
      </c>
      <c r="S76" s="146">
        <f>'Targets-chosen'!S76</f>
        <v>0.29325513196480935</v>
      </c>
      <c r="T76" s="146">
        <f>'Targets-chosen'!T76</f>
        <v>0</v>
      </c>
      <c r="U76" s="146">
        <f>'Targets-chosen'!U76</f>
        <v>0.29325513196480935</v>
      </c>
      <c r="V76" s="146">
        <f>'Targets-chosen'!V76</f>
        <v>0.20202020202020202</v>
      </c>
      <c r="W76" s="146">
        <f>'Targets-chosen'!W76</f>
        <v>0.21829099779934835</v>
      </c>
      <c r="Z76" s="184">
        <f t="shared" si="15"/>
        <v>0.29325513196480935</v>
      </c>
      <c r="AA76" s="184">
        <f t="shared" si="16"/>
        <v>0.29644268774703558</v>
      </c>
      <c r="AB76" s="251">
        <f t="shared" si="17"/>
        <v>0.21829099779934835</v>
      </c>
    </row>
    <row r="77" spans="4:28" ht="15.75">
      <c r="D77" s="144" t="s">
        <v>65</v>
      </c>
      <c r="E77" s="146">
        <f>'Targets-chosen'!E77</f>
        <v>0.16666666666666666</v>
      </c>
      <c r="F77" s="146">
        <f>'Targets-chosen'!F77</f>
        <v>0.24193548387096775</v>
      </c>
      <c r="G77" s="146">
        <f>'Targets-chosen'!G77</f>
        <v>0.25</v>
      </c>
      <c r="H77" s="146">
        <f>'Targets-chosen'!H77</f>
        <v>0.2197802197802198</v>
      </c>
      <c r="I77" s="146">
        <f>'Targets-chosen'!I77</f>
        <v>0.24193548387096775</v>
      </c>
      <c r="J77" s="146">
        <f>'Targets-chosen'!J77</f>
        <v>0.24193548387096775</v>
      </c>
      <c r="K77" s="146">
        <f>'Targets-chosen'!K77</f>
        <v>0.25</v>
      </c>
      <c r="L77" s="146">
        <f>'Targets-chosen'!L77</f>
        <v>0.24456521739130438</v>
      </c>
      <c r="M77" s="146">
        <f>'Targets-chosen'!M77</f>
        <v>0.23224043715846995</v>
      </c>
      <c r="N77" s="146">
        <f>'Targets-chosen'!N77</f>
        <v>0.21917808219178084</v>
      </c>
      <c r="O77" s="146">
        <f>'Targets-chosen'!O77</f>
        <v>0.25</v>
      </c>
      <c r="P77" s="146">
        <f>'Targets-chosen'!P77</f>
        <v>0.24193548387096775</v>
      </c>
      <c r="Q77" s="146">
        <f>'Targets-chosen'!Q77</f>
        <v>0.23689696247766526</v>
      </c>
      <c r="R77" s="146">
        <f>'Targets-chosen'!R77</f>
        <v>0.23379825653798259</v>
      </c>
      <c r="S77" s="146">
        <f>'Targets-chosen'!S77</f>
        <v>0.24193548387096775</v>
      </c>
      <c r="T77" s="146">
        <f>'Targets-chosen'!T77</f>
        <v>0.17857142857142855</v>
      </c>
      <c r="U77" s="146">
        <f>'Targets-chosen'!U77</f>
        <v>8.0645161290322578E-2</v>
      </c>
      <c r="V77" s="146">
        <f>'Targets-chosen'!V77</f>
        <v>0.16666666666666669</v>
      </c>
      <c r="W77" s="146">
        <f>'Targets-chosen'!W77</f>
        <v>0.21724526177519235</v>
      </c>
      <c r="Z77" s="184">
        <f t="shared" si="15"/>
        <v>0.24193548387096775</v>
      </c>
      <c r="AA77" s="184">
        <f t="shared" si="16"/>
        <v>0.24456521739130438</v>
      </c>
      <c r="AB77" s="251">
        <f t="shared" si="17"/>
        <v>0.21724526177519235</v>
      </c>
    </row>
    <row r="78" spans="4:28" ht="15.75">
      <c r="D78" s="144" t="s">
        <v>66</v>
      </c>
      <c r="E78" s="146">
        <f>'Targets-chosen'!E78</f>
        <v>0</v>
      </c>
      <c r="F78" s="146">
        <f>'Targets-chosen'!F78</f>
        <v>0</v>
      </c>
      <c r="G78" s="146">
        <f>'Targets-chosen'!G78</f>
        <v>0</v>
      </c>
      <c r="H78" s="146">
        <f>'Targets-chosen'!H78</f>
        <v>0</v>
      </c>
      <c r="I78" s="146">
        <f>'Targets-chosen'!I78</f>
        <v>0</v>
      </c>
      <c r="J78" s="146">
        <f>'Targets-chosen'!J78</f>
        <v>0</v>
      </c>
      <c r="K78" s="146">
        <f>'Targets-chosen'!K78</f>
        <v>0</v>
      </c>
      <c r="L78" s="146">
        <f>'Targets-chosen'!L78</f>
        <v>0</v>
      </c>
      <c r="M78" s="146">
        <f>'Targets-chosen'!M78</f>
        <v>0</v>
      </c>
      <c r="N78" s="146">
        <f>'Targets-chosen'!N78</f>
        <v>0</v>
      </c>
      <c r="O78" s="146">
        <f>'Targets-chosen'!O78</f>
        <v>0</v>
      </c>
      <c r="P78" s="146">
        <f>'Targets-chosen'!P78</f>
        <v>0</v>
      </c>
      <c r="Q78" s="146">
        <f>'Targets-chosen'!Q78</f>
        <v>0</v>
      </c>
      <c r="R78" s="146">
        <f>'Targets-chosen'!R78</f>
        <v>0</v>
      </c>
      <c r="S78" s="146">
        <f>'Targets-chosen'!S78</f>
        <v>0</v>
      </c>
      <c r="T78" s="146">
        <f>'Targets-chosen'!T78</f>
        <v>0</v>
      </c>
      <c r="U78" s="146">
        <f>'Targets-chosen'!U78</f>
        <v>0</v>
      </c>
      <c r="V78" s="146">
        <f>'Targets-chosen'!V78</f>
        <v>0</v>
      </c>
      <c r="W78" s="146">
        <f>'Targets-chosen'!W78</f>
        <v>0</v>
      </c>
      <c r="Z78" s="184">
        <f t="shared" si="15"/>
        <v>0</v>
      </c>
      <c r="AA78" s="184">
        <f t="shared" si="16"/>
        <v>0</v>
      </c>
      <c r="AB78" s="251">
        <f t="shared" si="17"/>
        <v>0</v>
      </c>
    </row>
    <row r="79" spans="4:28" ht="15.75">
      <c r="D79" s="144" t="s">
        <v>67</v>
      </c>
      <c r="E79" s="146">
        <f>'Targets-chosen'!E79</f>
        <v>0</v>
      </c>
      <c r="F79" s="146">
        <f>'Targets-chosen'!F79</f>
        <v>0</v>
      </c>
      <c r="G79" s="146">
        <f>'Targets-chosen'!G79</f>
        <v>0</v>
      </c>
      <c r="H79" s="146">
        <f>'Targets-chosen'!H79</f>
        <v>0</v>
      </c>
      <c r="I79" s="146">
        <f>'Targets-chosen'!I79</f>
        <v>0</v>
      </c>
      <c r="J79" s="146">
        <f>'Targets-chosen'!J79</f>
        <v>0</v>
      </c>
      <c r="K79" s="146">
        <f>'Targets-chosen'!K79</f>
        <v>0</v>
      </c>
      <c r="L79" s="146">
        <f>'Targets-chosen'!L79</f>
        <v>0</v>
      </c>
      <c r="M79" s="146">
        <f>'Targets-chosen'!M79</f>
        <v>0</v>
      </c>
      <c r="N79" s="146">
        <f>'Targets-chosen'!N79</f>
        <v>0</v>
      </c>
      <c r="O79" s="146">
        <f>'Targets-chosen'!O79</f>
        <v>0</v>
      </c>
      <c r="P79" s="146">
        <f>'Targets-chosen'!P79</f>
        <v>0</v>
      </c>
      <c r="Q79" s="146">
        <f>'Targets-chosen'!Q79</f>
        <v>0</v>
      </c>
      <c r="R79" s="146">
        <f>'Targets-chosen'!R79</f>
        <v>0</v>
      </c>
      <c r="S79" s="146">
        <f>'Targets-chosen'!S79</f>
        <v>0</v>
      </c>
      <c r="T79" s="146">
        <f>'Targets-chosen'!T79</f>
        <v>0</v>
      </c>
      <c r="U79" s="146">
        <f>'Targets-chosen'!U79</f>
        <v>0</v>
      </c>
      <c r="V79" s="146">
        <f>'Targets-chosen'!V79</f>
        <v>0</v>
      </c>
      <c r="W79" s="146">
        <f>'Targets-chosen'!W79</f>
        <v>0</v>
      </c>
      <c r="Z79" s="184">
        <f t="shared" si="15"/>
        <v>0</v>
      </c>
      <c r="AA79" s="184">
        <f t="shared" si="16"/>
        <v>0</v>
      </c>
      <c r="AB79" s="251">
        <f t="shared" si="17"/>
        <v>0</v>
      </c>
    </row>
    <row r="80" spans="4:28" ht="15.75">
      <c r="D80" s="144" t="s">
        <v>68</v>
      </c>
      <c r="E80" s="146">
        <f>'Targets-chosen'!E80</f>
        <v>0</v>
      </c>
      <c r="F80" s="146">
        <f>'Targets-chosen'!F80</f>
        <v>0</v>
      </c>
      <c r="G80" s="146">
        <f>'Targets-chosen'!G80</f>
        <v>0</v>
      </c>
      <c r="H80" s="146">
        <f>'Targets-chosen'!H80</f>
        <v>0</v>
      </c>
      <c r="I80" s="146">
        <f>'Targets-chosen'!I80</f>
        <v>0</v>
      </c>
      <c r="J80" s="146">
        <f>'Targets-chosen'!J80</f>
        <v>0</v>
      </c>
      <c r="K80" s="146">
        <f>'Targets-chosen'!K80</f>
        <v>0</v>
      </c>
      <c r="L80" s="146">
        <f>'Targets-chosen'!L80</f>
        <v>0</v>
      </c>
      <c r="M80" s="146">
        <f>'Targets-chosen'!M80</f>
        <v>0</v>
      </c>
      <c r="N80" s="146">
        <f>'Targets-chosen'!N80</f>
        <v>0</v>
      </c>
      <c r="O80" s="146">
        <f>'Targets-chosen'!O80</f>
        <v>0</v>
      </c>
      <c r="P80" s="146">
        <f>'Targets-chosen'!P80</f>
        <v>0</v>
      </c>
      <c r="Q80" s="146">
        <f>'Targets-chosen'!Q80</f>
        <v>0</v>
      </c>
      <c r="R80" s="146">
        <f>'Targets-chosen'!R80</f>
        <v>0</v>
      </c>
      <c r="S80" s="146">
        <f>'Targets-chosen'!S80</f>
        <v>0</v>
      </c>
      <c r="T80" s="146">
        <f>'Targets-chosen'!T80</f>
        <v>0</v>
      </c>
      <c r="U80" s="146">
        <f>'Targets-chosen'!U80</f>
        <v>0</v>
      </c>
      <c r="V80" s="146">
        <f>'Targets-chosen'!V80</f>
        <v>0</v>
      </c>
      <c r="W80" s="146">
        <f>'Targets-chosen'!W80</f>
        <v>0</v>
      </c>
      <c r="Z80" s="184">
        <f t="shared" si="15"/>
        <v>0</v>
      </c>
      <c r="AA80" s="184">
        <f t="shared" si="16"/>
        <v>0</v>
      </c>
      <c r="AB80" s="251">
        <f t="shared" si="17"/>
        <v>0</v>
      </c>
    </row>
    <row r="81" spans="4:29" ht="15.75">
      <c r="D81" s="144" t="s">
        <v>69</v>
      </c>
      <c r="E81" s="146">
        <f>'Targets-chosen'!E81</f>
        <v>0</v>
      </c>
      <c r="F81" s="146">
        <f>'Targets-chosen'!F81</f>
        <v>0</v>
      </c>
      <c r="G81" s="146">
        <f>'Targets-chosen'!G81</f>
        <v>0</v>
      </c>
      <c r="H81" s="146">
        <f>'Targets-chosen'!H81</f>
        <v>0</v>
      </c>
      <c r="I81" s="146">
        <f>'Targets-chosen'!I81</f>
        <v>0</v>
      </c>
      <c r="J81" s="146">
        <f>'Targets-chosen'!J81</f>
        <v>0</v>
      </c>
      <c r="K81" s="146">
        <f>'Targets-chosen'!K81</f>
        <v>0</v>
      </c>
      <c r="L81" s="146">
        <f>'Targets-chosen'!L81</f>
        <v>0</v>
      </c>
      <c r="M81" s="146">
        <f>'Targets-chosen'!M81</f>
        <v>0</v>
      </c>
      <c r="N81" s="146">
        <f>'Targets-chosen'!N81</f>
        <v>0</v>
      </c>
      <c r="O81" s="146">
        <f>'Targets-chosen'!O81</f>
        <v>0</v>
      </c>
      <c r="P81" s="146">
        <f>'Targets-chosen'!P81</f>
        <v>0</v>
      </c>
      <c r="Q81" s="146">
        <f>'Targets-chosen'!Q81</f>
        <v>0</v>
      </c>
      <c r="R81" s="146">
        <f>'Targets-chosen'!R81</f>
        <v>0</v>
      </c>
      <c r="S81" s="146">
        <f>'Targets-chosen'!S81</f>
        <v>0</v>
      </c>
      <c r="T81" s="146">
        <f>'Targets-chosen'!T81</f>
        <v>0</v>
      </c>
      <c r="U81" s="146">
        <f>'Targets-chosen'!U81</f>
        <v>0</v>
      </c>
      <c r="V81" s="146">
        <f>'Targets-chosen'!V81</f>
        <v>0</v>
      </c>
      <c r="W81" s="146">
        <f>'Targets-chosen'!W81</f>
        <v>0</v>
      </c>
      <c r="Z81" s="184">
        <f t="shared" si="15"/>
        <v>0</v>
      </c>
      <c r="AA81" s="184">
        <f t="shared" si="16"/>
        <v>0</v>
      </c>
      <c r="AB81" s="251">
        <f t="shared" si="17"/>
        <v>0</v>
      </c>
    </row>
    <row r="82" spans="4:29" ht="15.75">
      <c r="D82" s="144" t="s">
        <v>70</v>
      </c>
      <c r="E82" s="146">
        <f>'Targets-chosen'!E82</f>
        <v>14.117647058823527</v>
      </c>
      <c r="F82" s="146">
        <f>'Targets-chosen'!F82</f>
        <v>14.041745730550282</v>
      </c>
      <c r="G82" s="146">
        <f>'Targets-chosen'!G82</f>
        <v>14.117647058823527</v>
      </c>
      <c r="H82" s="146">
        <f>'Targets-chosen'!H82</f>
        <v>14.091790562378796</v>
      </c>
      <c r="I82" s="146">
        <f>'Targets-chosen'!I82</f>
        <v>14.041745730550282</v>
      </c>
      <c r="J82" s="146">
        <f>'Targets-chosen'!J82</f>
        <v>14.041745730550282</v>
      </c>
      <c r="K82" s="146">
        <f>'Targets-chosen'!K82</f>
        <v>14.117647058823527</v>
      </c>
      <c r="L82" s="146">
        <f>'Targets-chosen'!L82</f>
        <v>14.066496163682864</v>
      </c>
      <c r="M82" s="146">
        <f>'Targets-chosen'!M82</f>
        <v>14.079074252651875</v>
      </c>
      <c r="N82" s="146">
        <f>'Targets-chosen'!N82</f>
        <v>14.085414987912973</v>
      </c>
      <c r="O82" s="146">
        <f>'Targets-chosen'!O82</f>
        <v>14.117647058823527</v>
      </c>
      <c r="P82" s="146">
        <f>'Targets-chosen'!P82</f>
        <v>14.041745730550282</v>
      </c>
      <c r="Q82" s="146">
        <f>'Targets-chosen'!Q82</f>
        <v>14.081210804750729</v>
      </c>
      <c r="R82" s="146">
        <f>'Targets-chosen'!R82</f>
        <v>14.079789026444946</v>
      </c>
      <c r="S82" s="146">
        <f>'Targets-chosen'!S82</f>
        <v>14.041745730550282</v>
      </c>
      <c r="T82" s="146">
        <f>'Targets-chosen'!T82</f>
        <v>14.285714285714285</v>
      </c>
      <c r="U82" s="146">
        <f>'Targets-chosen'!U82</f>
        <v>14.041745730550282</v>
      </c>
      <c r="V82" s="146">
        <f>'Targets-chosen'!V82</f>
        <v>14.117647058823531</v>
      </c>
      <c r="W82" s="146">
        <f>'Targets-chosen'!W82</f>
        <v>14.089123883743774</v>
      </c>
      <c r="Z82" s="184">
        <f t="shared" si="15"/>
        <v>14.041745730550282</v>
      </c>
      <c r="AA82" s="184">
        <f t="shared" si="16"/>
        <v>14.066496163682864</v>
      </c>
      <c r="AB82" s="251">
        <f t="shared" si="17"/>
        <v>14.089123883743774</v>
      </c>
    </row>
    <row r="87" spans="4:29">
      <c r="E87">
        <v>1</v>
      </c>
      <c r="F87">
        <v>2</v>
      </c>
      <c r="G87">
        <v>3</v>
      </c>
      <c r="H87">
        <v>9999</v>
      </c>
      <c r="I87">
        <v>4</v>
      </c>
      <c r="J87">
        <v>5</v>
      </c>
      <c r="K87">
        <v>6</v>
      </c>
      <c r="L87">
        <v>9999</v>
      </c>
      <c r="M87">
        <v>9999</v>
      </c>
      <c r="N87">
        <v>7</v>
      </c>
      <c r="O87">
        <v>8</v>
      </c>
      <c r="P87">
        <v>9</v>
      </c>
      <c r="Q87">
        <v>9999</v>
      </c>
      <c r="R87">
        <v>9999</v>
      </c>
      <c r="S87">
        <v>10</v>
      </c>
      <c r="T87">
        <v>11</v>
      </c>
      <c r="U87">
        <v>12</v>
      </c>
      <c r="V87">
        <v>9999</v>
      </c>
      <c r="W87">
        <v>9999</v>
      </c>
      <c r="Z87" t="s">
        <v>172</v>
      </c>
      <c r="AA87" t="s">
        <v>173</v>
      </c>
      <c r="AB87" t="s">
        <v>177</v>
      </c>
      <c r="AC87" t="s">
        <v>180</v>
      </c>
    </row>
    <row r="88" spans="4:29">
      <c r="H88">
        <v>1</v>
      </c>
      <c r="L88">
        <v>2</v>
      </c>
      <c r="Q88">
        <v>3</v>
      </c>
      <c r="V88">
        <v>4</v>
      </c>
      <c r="Z88">
        <f>Dropdowns!D57</f>
        <v>5</v>
      </c>
      <c r="AA88">
        <f>Dropdowns!D58</f>
        <v>2</v>
      </c>
      <c r="AB88">
        <f>DAY(Z2)</f>
        <v>31</v>
      </c>
      <c r="AC88">
        <f>Dropdowns!H59</f>
        <v>1</v>
      </c>
    </row>
    <row r="89" spans="4:29">
      <c r="E89">
        <f>IF(E87&lt;$Z$88,1,0)</f>
        <v>1</v>
      </c>
      <c r="F89">
        <f t="shared" ref="F89:W89" si="18">IF(F87&lt;$Z$88,1,0)</f>
        <v>1</v>
      </c>
      <c r="G89">
        <f t="shared" si="18"/>
        <v>1</v>
      </c>
      <c r="H89">
        <f t="shared" si="18"/>
        <v>0</v>
      </c>
      <c r="I89">
        <f t="shared" si="18"/>
        <v>1</v>
      </c>
      <c r="J89">
        <f t="shared" si="18"/>
        <v>0</v>
      </c>
      <c r="K89">
        <f t="shared" si="18"/>
        <v>0</v>
      </c>
      <c r="L89">
        <f t="shared" si="18"/>
        <v>0</v>
      </c>
      <c r="M89">
        <f t="shared" si="18"/>
        <v>0</v>
      </c>
      <c r="N89">
        <f t="shared" si="18"/>
        <v>0</v>
      </c>
      <c r="O89">
        <f t="shared" si="18"/>
        <v>0</v>
      </c>
      <c r="P89">
        <f t="shared" si="18"/>
        <v>0</v>
      </c>
      <c r="Q89">
        <f t="shared" si="18"/>
        <v>0</v>
      </c>
      <c r="R89">
        <f t="shared" si="18"/>
        <v>0</v>
      </c>
      <c r="S89">
        <f t="shared" si="18"/>
        <v>0</v>
      </c>
      <c r="T89">
        <f t="shared" si="18"/>
        <v>0</v>
      </c>
      <c r="U89">
        <f t="shared" si="18"/>
        <v>0</v>
      </c>
      <c r="V89">
        <f t="shared" si="18"/>
        <v>0</v>
      </c>
      <c r="W89">
        <f t="shared" si="18"/>
        <v>0</v>
      </c>
    </row>
    <row r="92" spans="4:29">
      <c r="D92" t="s">
        <v>433</v>
      </c>
      <c r="E92">
        <v>1</v>
      </c>
      <c r="F92">
        <v>1</v>
      </c>
      <c r="G92">
        <v>1</v>
      </c>
      <c r="H92">
        <v>9999</v>
      </c>
      <c r="I92">
        <v>2</v>
      </c>
      <c r="J92">
        <v>2</v>
      </c>
      <c r="K92">
        <v>2</v>
      </c>
      <c r="L92">
        <v>9999</v>
      </c>
      <c r="M92">
        <v>9999</v>
      </c>
      <c r="N92">
        <v>3</v>
      </c>
      <c r="O92">
        <v>3</v>
      </c>
      <c r="P92">
        <v>3</v>
      </c>
      <c r="Q92">
        <v>9999</v>
      </c>
      <c r="R92">
        <v>9999</v>
      </c>
      <c r="S92">
        <v>4</v>
      </c>
      <c r="T92">
        <v>4</v>
      </c>
      <c r="U92">
        <v>4</v>
      </c>
      <c r="V92">
        <v>9999</v>
      </c>
      <c r="W92">
        <v>9999</v>
      </c>
    </row>
    <row r="93" spans="4:29">
      <c r="E93">
        <f>IF(E92=$AA$88,1,0)</f>
        <v>0</v>
      </c>
      <c r="F93">
        <f t="shared" ref="F93:W93" si="19">IF(F92=$AA$88,1,0)</f>
        <v>0</v>
      </c>
      <c r="G93">
        <f t="shared" si="19"/>
        <v>0</v>
      </c>
      <c r="H93">
        <f t="shared" si="19"/>
        <v>0</v>
      </c>
      <c r="I93">
        <f t="shared" si="19"/>
        <v>1</v>
      </c>
      <c r="J93">
        <f t="shared" si="19"/>
        <v>1</v>
      </c>
      <c r="K93">
        <f t="shared" si="19"/>
        <v>1</v>
      </c>
      <c r="L93">
        <f t="shared" si="19"/>
        <v>0</v>
      </c>
      <c r="M93">
        <f t="shared" si="19"/>
        <v>0</v>
      </c>
      <c r="N93">
        <f t="shared" si="19"/>
        <v>0</v>
      </c>
      <c r="O93">
        <f t="shared" si="19"/>
        <v>0</v>
      </c>
      <c r="P93">
        <f t="shared" si="19"/>
        <v>0</v>
      </c>
      <c r="Q93">
        <f t="shared" si="19"/>
        <v>0</v>
      </c>
      <c r="R93">
        <f t="shared" si="19"/>
        <v>0</v>
      </c>
      <c r="S93">
        <f t="shared" si="19"/>
        <v>0</v>
      </c>
      <c r="T93">
        <f t="shared" si="19"/>
        <v>0</v>
      </c>
      <c r="U93">
        <f t="shared" si="19"/>
        <v>0</v>
      </c>
      <c r="V93">
        <f t="shared" si="19"/>
        <v>0</v>
      </c>
      <c r="W93">
        <f t="shared" si="19"/>
        <v>0</v>
      </c>
    </row>
    <row r="94" spans="4:29">
      <c r="D94" t="s">
        <v>434</v>
      </c>
      <c r="E94">
        <f>E89*E93</f>
        <v>0</v>
      </c>
      <c r="F94">
        <f t="shared" ref="F94:W94" si="20">F89*F93</f>
        <v>0</v>
      </c>
      <c r="G94">
        <f t="shared" si="20"/>
        <v>0</v>
      </c>
      <c r="H94">
        <f t="shared" si="20"/>
        <v>0</v>
      </c>
      <c r="I94">
        <f t="shared" si="20"/>
        <v>1</v>
      </c>
      <c r="J94">
        <f t="shared" si="20"/>
        <v>0</v>
      </c>
      <c r="K94">
        <f t="shared" si="20"/>
        <v>0</v>
      </c>
      <c r="L94">
        <f t="shared" si="20"/>
        <v>0</v>
      </c>
      <c r="M94">
        <f t="shared" si="20"/>
        <v>0</v>
      </c>
      <c r="N94">
        <f t="shared" si="20"/>
        <v>0</v>
      </c>
      <c r="O94">
        <f t="shared" si="20"/>
        <v>0</v>
      </c>
      <c r="P94">
        <f t="shared" si="20"/>
        <v>0</v>
      </c>
      <c r="Q94">
        <f t="shared" si="20"/>
        <v>0</v>
      </c>
      <c r="R94">
        <f t="shared" si="20"/>
        <v>0</v>
      </c>
      <c r="S94">
        <f t="shared" si="20"/>
        <v>0</v>
      </c>
      <c r="T94">
        <f t="shared" si="20"/>
        <v>0</v>
      </c>
      <c r="U94">
        <f t="shared" si="20"/>
        <v>0</v>
      </c>
      <c r="V94">
        <f t="shared" si="20"/>
        <v>0</v>
      </c>
      <c r="W94">
        <f t="shared" si="20"/>
        <v>0</v>
      </c>
    </row>
  </sheetData>
  <mergeCells count="4">
    <mergeCell ref="D6:W6"/>
    <mergeCell ref="D26:W26"/>
    <mergeCell ref="D47:W47"/>
    <mergeCell ref="D67:W67"/>
  </mergeCell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7030A0"/>
  </sheetPr>
  <dimension ref="A1:Z39"/>
  <sheetViews>
    <sheetView topLeftCell="C1" workbookViewId="0">
      <selection activeCell="L7" sqref="L7"/>
    </sheetView>
  </sheetViews>
  <sheetFormatPr defaultColWidth="8.85546875" defaultRowHeight="15"/>
  <cols>
    <col min="3" max="3" width="11.7109375" bestFit="1" customWidth="1"/>
    <col min="4" max="4" width="15.42578125" bestFit="1" customWidth="1"/>
    <col min="5" max="5" width="13.42578125" customWidth="1"/>
    <col min="6" max="6" width="15.140625" bestFit="1" customWidth="1"/>
    <col min="7" max="8" width="14.42578125" bestFit="1" customWidth="1"/>
    <col min="9" max="9" width="12.140625" customWidth="1"/>
    <col min="10" max="10" width="12.7109375" customWidth="1"/>
    <col min="11" max="11" width="19" bestFit="1" customWidth="1"/>
    <col min="12" max="12" width="10" customWidth="1"/>
    <col min="13" max="13" width="9.7109375" bestFit="1" customWidth="1"/>
    <col min="14" max="14" width="10" bestFit="1" customWidth="1"/>
    <col min="16" max="16" width="17.42578125" customWidth="1"/>
    <col min="17" max="17" width="11.7109375" customWidth="1"/>
    <col min="18" max="18" width="11" customWidth="1"/>
    <col min="22" max="22" width="12.85546875" customWidth="1"/>
    <col min="23" max="23" width="16.85546875" customWidth="1"/>
    <col min="24" max="24" width="12.7109375" customWidth="1"/>
    <col min="25" max="25" width="13.140625" customWidth="1"/>
    <col min="26" max="26" width="13.7109375" customWidth="1"/>
  </cols>
  <sheetData>
    <row r="1" spans="1:26" ht="15.75">
      <c r="A1" s="510" t="str">
        <f>interFY_transition!D20</f>
        <v>2026-27</v>
      </c>
      <c r="B1" t="s">
        <v>908</v>
      </c>
    </row>
    <row r="2" spans="1:26" ht="18.75">
      <c r="D2" s="511" t="str">
        <f>Dashboard!J3</f>
        <v>BE</v>
      </c>
      <c r="E2" t="s">
        <v>336</v>
      </c>
      <c r="K2" s="556">
        <f>Dashboard!D3</f>
        <v>46265</v>
      </c>
    </row>
    <row r="4" spans="1:26">
      <c r="B4">
        <v>1</v>
      </c>
      <c r="C4">
        <v>2</v>
      </c>
      <c r="D4">
        <v>3</v>
      </c>
      <c r="E4">
        <v>4</v>
      </c>
      <c r="F4">
        <v>5</v>
      </c>
      <c r="G4">
        <v>6</v>
      </c>
      <c r="H4">
        <v>7</v>
      </c>
      <c r="I4">
        <v>8</v>
      </c>
      <c r="J4">
        <v>9</v>
      </c>
      <c r="K4">
        <v>10</v>
      </c>
      <c r="L4">
        <v>11</v>
      </c>
      <c r="M4">
        <v>12</v>
      </c>
      <c r="N4">
        <v>13</v>
      </c>
      <c r="O4">
        <v>14</v>
      </c>
      <c r="P4">
        <v>15</v>
      </c>
      <c r="Q4">
        <v>16</v>
      </c>
      <c r="R4">
        <v>17</v>
      </c>
      <c r="S4">
        <v>18</v>
      </c>
      <c r="T4">
        <v>19</v>
      </c>
      <c r="U4">
        <v>20</v>
      </c>
      <c r="V4">
        <v>21</v>
      </c>
      <c r="W4">
        <v>22</v>
      </c>
      <c r="X4">
        <v>23</v>
      </c>
      <c r="Y4">
        <v>24</v>
      </c>
      <c r="Z4">
        <v>25</v>
      </c>
    </row>
    <row r="5" spans="1:26" ht="15.75">
      <c r="B5" t="s">
        <v>203</v>
      </c>
      <c r="C5" s="253"/>
      <c r="D5" s="1178" t="s">
        <v>329</v>
      </c>
      <c r="E5" s="1178"/>
      <c r="F5" s="1178"/>
      <c r="G5" s="1178"/>
      <c r="H5" s="1178"/>
      <c r="I5" s="1179" t="s">
        <v>29</v>
      </c>
      <c r="J5" s="1179"/>
      <c r="K5" s="1179"/>
      <c r="L5" s="1179"/>
      <c r="M5" s="1179"/>
      <c r="N5" s="1179"/>
      <c r="O5" s="247" t="s">
        <v>335</v>
      </c>
    </row>
    <row r="6" spans="1:26" ht="44.25" customHeight="1">
      <c r="B6" t="s">
        <v>204</v>
      </c>
      <c r="C6" s="261" t="s">
        <v>104</v>
      </c>
      <c r="D6" s="255" t="s">
        <v>330</v>
      </c>
      <c r="E6" s="255" t="s">
        <v>331</v>
      </c>
      <c r="F6" s="255" t="s">
        <v>332</v>
      </c>
      <c r="G6" s="255" t="s">
        <v>333</v>
      </c>
      <c r="H6" s="255" t="s">
        <v>334</v>
      </c>
      <c r="I6" s="258" t="s">
        <v>191</v>
      </c>
      <c r="J6" s="258" t="s">
        <v>192</v>
      </c>
      <c r="K6" s="258" t="s">
        <v>193</v>
      </c>
      <c r="L6" s="258" t="s">
        <v>194</v>
      </c>
      <c r="M6" s="258" t="s">
        <v>195</v>
      </c>
      <c r="N6" s="258" t="s">
        <v>196</v>
      </c>
      <c r="O6" s="308" t="s">
        <v>206</v>
      </c>
      <c r="P6" s="263" t="s">
        <v>345</v>
      </c>
      <c r="Q6" s="263" t="s">
        <v>347</v>
      </c>
      <c r="R6" s="263" t="s">
        <v>354</v>
      </c>
      <c r="S6" s="263" t="s">
        <v>349</v>
      </c>
      <c r="T6" s="263" t="s">
        <v>350</v>
      </c>
      <c r="U6" s="263" t="s">
        <v>356</v>
      </c>
      <c r="V6" s="263" t="s">
        <v>363</v>
      </c>
      <c r="W6" s="263" t="s">
        <v>364</v>
      </c>
      <c r="X6" s="263" t="s">
        <v>367</v>
      </c>
      <c r="Y6" s="263" t="s">
        <v>368</v>
      </c>
      <c r="Z6" s="263" t="s">
        <v>1349</v>
      </c>
    </row>
    <row r="7" spans="1:26" ht="15.75">
      <c r="A7">
        <v>0.2</v>
      </c>
      <c r="B7">
        <v>1</v>
      </c>
      <c r="C7" s="254" t="s">
        <v>60</v>
      </c>
      <c r="D7" s="256">
        <f>YTDtarget!AC8</f>
        <v>1.369</v>
      </c>
      <c r="E7" s="256">
        <f>YTDtarget!AB8</f>
        <v>0.58199999999999996</v>
      </c>
      <c r="F7" s="257">
        <f>YTDtarget!Z49</f>
        <v>139456.45161290321</v>
      </c>
      <c r="G7" s="257">
        <f>YTDtarget!AA49</f>
        <v>140570.65217391303</v>
      </c>
      <c r="H7" s="257">
        <f>YTDtarget!AB49</f>
        <v>138587.80821917808</v>
      </c>
      <c r="I7" s="259">
        <f ca="1">prod_compiled!AA6</f>
        <v>0</v>
      </c>
      <c r="J7" s="259">
        <f ca="1">prod_compiled!AB6</f>
        <v>0</v>
      </c>
      <c r="K7" s="259">
        <f>prod_compiled!AC6</f>
        <v>183341.16129032258</v>
      </c>
      <c r="L7" s="260">
        <f>prod_compiled!AA41</f>
        <v>0.75796189729712826</v>
      </c>
      <c r="M7" s="260">
        <f>prod_compiled!AB41</f>
        <v>0.31296189729712831</v>
      </c>
      <c r="N7" s="260">
        <f>prod_compiled!AC41</f>
        <v>0.15496189729712831</v>
      </c>
      <c r="O7" s="247" t="s">
        <v>135</v>
      </c>
      <c r="P7">
        <f>prod_compiled!AE6</f>
        <v>187261.55464516129</v>
      </c>
      <c r="Q7">
        <f>prod_compiled!AF6</f>
        <v>180924.53846186813</v>
      </c>
      <c r="R7">
        <f>prod_compiled!AG6</f>
        <v>127290.62739726028</v>
      </c>
      <c r="S7">
        <f>prod_compiled!AE41</f>
        <v>0.158</v>
      </c>
      <c r="T7">
        <f>prod_compiled!AF41</f>
        <v>0.44500000000000001</v>
      </c>
      <c r="U7">
        <f>prod_compiled!AG41</f>
        <v>1.4159999999999999</v>
      </c>
      <c r="V7">
        <f>'Previous year'!Z6</f>
        <v>31854.806451612902</v>
      </c>
      <c r="W7">
        <f>'Previous year'!AA6</f>
        <v>101702.86956521739</v>
      </c>
      <c r="X7">
        <f>'Previous year'!Z44</f>
        <v>2.7E-2</v>
      </c>
      <c r="Y7">
        <f>'Previous year'!AA44</f>
        <v>0.255</v>
      </c>
      <c r="Z7">
        <f>'Previous year'!AC44</f>
        <v>0.48699999999999999</v>
      </c>
    </row>
    <row r="8" spans="1:26" ht="15.75">
      <c r="A8">
        <v>0.26</v>
      </c>
      <c r="B8">
        <v>2</v>
      </c>
      <c r="C8" s="254" t="s">
        <v>61</v>
      </c>
      <c r="D8" s="256">
        <f>YTDtarget!AC9</f>
        <v>2.2269999999999999</v>
      </c>
      <c r="E8" s="256">
        <f>YTDtarget!AB9</f>
        <v>0.93400000000000016</v>
      </c>
      <c r="F8" s="257">
        <f>YTDtarget!Z50</f>
        <v>174461.53846153844</v>
      </c>
      <c r="G8" s="257">
        <f>YTDtarget!AA50</f>
        <v>174491.6387959866</v>
      </c>
      <c r="H8" s="257">
        <f>YTDtarget!AB50</f>
        <v>174593.04531085351</v>
      </c>
      <c r="I8" s="259">
        <f ca="1">prod_compiled!AA7</f>
        <v>0</v>
      </c>
      <c r="J8" s="259">
        <f ca="1">prod_compiled!AB7</f>
        <v>0</v>
      </c>
      <c r="K8" s="259">
        <f>prod_compiled!AC7</f>
        <v>156578.38709677418</v>
      </c>
      <c r="L8" s="260">
        <f>prod_compiled!AA42</f>
        <v>0.83362658602794104</v>
      </c>
      <c r="M8" s="260">
        <f>prod_compiled!AB42</f>
        <v>0.33862658602794105</v>
      </c>
      <c r="N8" s="260">
        <f>prod_compiled!AC42</f>
        <v>0.16962658602794101</v>
      </c>
      <c r="O8" s="247" t="s">
        <v>135</v>
      </c>
      <c r="P8">
        <f>prod_compiled!AE7</f>
        <v>156314.0740648387</v>
      </c>
      <c r="Q8">
        <f>prod_compiled!AF7</f>
        <v>155478.98332989009</v>
      </c>
      <c r="R8">
        <f>prod_compiled!AG7</f>
        <v>151081.79999999999</v>
      </c>
      <c r="S8">
        <f>prod_compiled!AE42</f>
        <v>0.16900000000000001</v>
      </c>
      <c r="T8">
        <f>prod_compiled!AF42</f>
        <v>0.495</v>
      </c>
      <c r="U8">
        <f>prod_compiled!AG42</f>
        <v>2.0950000000000002</v>
      </c>
      <c r="V8">
        <f>'Previous year'!Z7</f>
        <v>165807.67741935485</v>
      </c>
      <c r="W8">
        <f>'Previous year'!AA7</f>
        <v>166214.82608695651</v>
      </c>
      <c r="X8">
        <f>'Previous year'!Z45</f>
        <v>0.18</v>
      </c>
      <c r="Y8">
        <f>'Previous year'!AA45</f>
        <v>0.53400000000000003</v>
      </c>
      <c r="Z8">
        <f>'Previous year'!AC45</f>
        <v>0.89900000000000002</v>
      </c>
    </row>
    <row r="9" spans="1:26" ht="15.75">
      <c r="A9">
        <v>1</v>
      </c>
      <c r="B9">
        <v>3</v>
      </c>
      <c r="C9" s="254" t="s">
        <v>62</v>
      </c>
      <c r="D9" s="256">
        <f>YTDtarget!AC10</f>
        <v>0.10100000000000001</v>
      </c>
      <c r="E9" s="256">
        <f>YTDtarget!AB10</f>
        <v>4.2000000000000003E-2</v>
      </c>
      <c r="F9" s="257">
        <f>YTDtarget!Z51</f>
        <v>2206.4516129032259</v>
      </c>
      <c r="G9" s="257">
        <f>YTDtarget!AA51</f>
        <v>2147.8260869565215</v>
      </c>
      <c r="H9" s="257">
        <f>YTDtarget!AB51</f>
        <v>2103.0136986301368</v>
      </c>
      <c r="I9" s="259">
        <f ca="1">prod_compiled!AA8</f>
        <v>0</v>
      </c>
      <c r="J9" s="259">
        <f ca="1">prod_compiled!AB8</f>
        <v>0</v>
      </c>
      <c r="K9" s="259">
        <f>prod_compiled!AC8</f>
        <v>1856.483870967742</v>
      </c>
      <c r="L9" s="260">
        <f>prod_compiled!AA43</f>
        <v>3.845796062048798E-2</v>
      </c>
      <c r="M9" s="260">
        <f>prod_compiled!AB43</f>
        <v>1.5457960620487984E-2</v>
      </c>
      <c r="N9" s="260">
        <f>prod_compiled!AC43</f>
        <v>7.4579606204879826E-3</v>
      </c>
      <c r="O9" s="247" t="s">
        <v>135</v>
      </c>
      <c r="P9">
        <f>prod_compiled!AE8</f>
        <v>1912.9999990322581</v>
      </c>
      <c r="Q9">
        <f>prod_compiled!AF8</f>
        <v>1936.8461531868134</v>
      </c>
      <c r="R9">
        <f>prod_compiled!AG8</f>
        <v>1994.4465753424658</v>
      </c>
      <c r="S9">
        <f>prod_compiled!AE43</f>
        <v>8.0000000000000002E-3</v>
      </c>
      <c r="T9">
        <f>prod_compiled!AF43</f>
        <v>2.3E-2</v>
      </c>
      <c r="U9">
        <f>prod_compiled!AG43</f>
        <v>0.10299999999999999</v>
      </c>
      <c r="V9">
        <f>'Previous year'!Z8</f>
        <v>2086.1290322580644</v>
      </c>
      <c r="W9">
        <f>'Previous year'!AA8</f>
        <v>2098.836956521739</v>
      </c>
      <c r="X9">
        <f>'Previous year'!Z46</f>
        <v>8.0000000000000002E-3</v>
      </c>
      <c r="Y9">
        <f>'Previous year'!AA46</f>
        <v>2.5000000000000001E-2</v>
      </c>
      <c r="Z9">
        <f>'Previous year'!AC46</f>
        <v>4.1000000000000002E-2</v>
      </c>
    </row>
    <row r="10" spans="1:26" ht="15.75">
      <c r="A10">
        <v>2.9250000000000002E-2</v>
      </c>
      <c r="B10">
        <v>4</v>
      </c>
      <c r="C10" s="254" t="s">
        <v>57</v>
      </c>
      <c r="D10" s="256">
        <f>YTDtarget!AC11</f>
        <v>0.47099999999999997</v>
      </c>
      <c r="E10" s="256">
        <f>YTDtarget!AB11</f>
        <v>0.19800000000000001</v>
      </c>
      <c r="F10" s="257">
        <f>YTDtarget!Z52</f>
        <v>327322.85635511437</v>
      </c>
      <c r="G10" s="257">
        <f>YTDtarget!AA52</f>
        <v>328123.37421033072</v>
      </c>
      <c r="H10" s="257">
        <f>YTDtarget!AB52</f>
        <v>327345.27572883735</v>
      </c>
      <c r="I10" s="259">
        <f ca="1">prod_compiled!AA9</f>
        <v>0</v>
      </c>
      <c r="J10" s="259">
        <f ca="1">prod_compiled!AB9</f>
        <v>0</v>
      </c>
      <c r="K10" s="259">
        <f>prod_compiled!AC9</f>
        <v>301866.41935483873</v>
      </c>
      <c r="L10" s="260">
        <f>prod_compiled!AA44</f>
        <v>0.19188916164803921</v>
      </c>
      <c r="M10" s="260">
        <f>prod_compiled!AB44</f>
        <v>7.6889161648039217E-2</v>
      </c>
      <c r="N10" s="260">
        <f>prod_compiled!AC44</f>
        <v>3.6889161648039209E-2</v>
      </c>
      <c r="O10" s="247" t="s">
        <v>135</v>
      </c>
      <c r="P10">
        <f>prod_compiled!AE9</f>
        <v>323387.48387387092</v>
      </c>
      <c r="Q10">
        <f>prod_compiled!AF9</f>
        <v>320939.95604439563</v>
      </c>
      <c r="R10">
        <f>prod_compiled!AG9</f>
        <v>300844.03013698629</v>
      </c>
      <c r="S10">
        <f>prod_compiled!AE44</f>
        <v>0.04</v>
      </c>
      <c r="T10">
        <f>prod_compiled!AF44</f>
        <v>0.11499999999999999</v>
      </c>
      <c r="U10">
        <f>prod_compiled!AG44</f>
        <v>0.47199999999999998</v>
      </c>
      <c r="V10">
        <f>'Previous year'!Z9</f>
        <v>328463.09677419357</v>
      </c>
      <c r="W10">
        <f>'Previous year'!AA9</f>
        <v>328787.20652173914</v>
      </c>
      <c r="X10">
        <f>'Previous year'!Z47</f>
        <v>0.04</v>
      </c>
      <c r="Y10">
        <f>'Previous year'!AA47</f>
        <v>0.12</v>
      </c>
      <c r="Z10">
        <f>'Previous year'!AC47</f>
        <v>0.19500000000000001</v>
      </c>
    </row>
    <row r="11" spans="1:26" ht="15.75">
      <c r="A11">
        <v>0.27</v>
      </c>
      <c r="B11">
        <v>5</v>
      </c>
      <c r="C11" s="254" t="s">
        <v>58</v>
      </c>
      <c r="D11" s="256">
        <f>YTDtarget!AC12</f>
        <v>0.35</v>
      </c>
      <c r="E11" s="256">
        <f>YTDtarget!AB12</f>
        <v>0.14600000000000002</v>
      </c>
      <c r="F11" s="257">
        <f>YTDtarget!Z53</f>
        <v>23057.945041816012</v>
      </c>
      <c r="G11" s="257">
        <f>YTDtarget!AA53</f>
        <v>23576.48953301127</v>
      </c>
      <c r="H11" s="257">
        <f>YTDtarget!AB53</f>
        <v>23635.210553018769</v>
      </c>
      <c r="I11" s="259">
        <f ca="1">prod_compiled!AA10</f>
        <v>0</v>
      </c>
      <c r="J11" s="259">
        <f ca="1">prod_compiled!AB10</f>
        <v>0</v>
      </c>
      <c r="K11" s="259">
        <f>prod_compiled!AC10</f>
        <v>35350.548387096773</v>
      </c>
      <c r="L11" s="260">
        <f>prod_compiled!AA45</f>
        <v>0.1975245219248013</v>
      </c>
      <c r="M11" s="260">
        <f>prod_compiled!AB45</f>
        <v>7.8524521924801319E-2</v>
      </c>
      <c r="N11" s="260">
        <f>prod_compiled!AC45</f>
        <v>4.4524521924801316E-2</v>
      </c>
      <c r="O11" s="247" t="s">
        <v>135</v>
      </c>
      <c r="P11">
        <f>prod_compiled!AE10</f>
        <v>26900.451613225807</v>
      </c>
      <c r="Q11">
        <f>prod_compiled!AF10</f>
        <v>31906.740660219781</v>
      </c>
      <c r="R11">
        <f>prod_compiled!AG10</f>
        <v>21099.605479452053</v>
      </c>
      <c r="S11">
        <f>prod_compiled!AE45</f>
        <v>3.4000000000000002E-2</v>
      </c>
      <c r="T11">
        <f>prod_compiled!AF45</f>
        <v>0.11899999999999999</v>
      </c>
      <c r="U11">
        <f>prod_compiled!AG45</f>
        <v>0.35399999999999998</v>
      </c>
      <c r="V11">
        <f>'Previous year'!Z10</f>
        <v>29758.870967741936</v>
      </c>
      <c r="W11">
        <f>'Previous year'!AA10</f>
        <v>29174.293478260868</v>
      </c>
      <c r="X11">
        <f>'Previous year'!Z48</f>
        <v>3.6999999999999998E-2</v>
      </c>
      <c r="Y11">
        <f>'Previous year'!AA48</f>
        <v>0.109</v>
      </c>
      <c r="Z11">
        <f>'Previous year'!AC48</f>
        <v>0.17800000000000002</v>
      </c>
    </row>
    <row r="12" spans="1:26" ht="15.75">
      <c r="A12">
        <v>0.5</v>
      </c>
      <c r="B12">
        <v>6</v>
      </c>
      <c r="C12" s="254" t="s">
        <v>59</v>
      </c>
      <c r="D12" s="256">
        <f>YTDtarget!AC13</f>
        <v>0.14700000000000002</v>
      </c>
      <c r="E12" s="256">
        <f>YTDtarget!AB13</f>
        <v>6.2E-2</v>
      </c>
      <c r="F12" s="257">
        <f>YTDtarget!Z54</f>
        <v>5686.4516129032254</v>
      </c>
      <c r="G12" s="257">
        <f>YTDtarget!AA54</f>
        <v>5600.869565217391</v>
      </c>
      <c r="H12" s="257">
        <f>YTDtarget!AB54</f>
        <v>5461.1506849315083</v>
      </c>
      <c r="I12" s="259">
        <f ca="1">prod_compiled!AA11</f>
        <v>0</v>
      </c>
      <c r="J12" s="259">
        <f ca="1">prod_compiled!AB11</f>
        <v>0</v>
      </c>
      <c r="K12" s="259">
        <f>prod_compiled!AC11</f>
        <v>4976.8387096774195</v>
      </c>
      <c r="L12" s="260">
        <f>prod_compiled!AA46</f>
        <v>5.3377565889520216E-2</v>
      </c>
      <c r="M12" s="260">
        <f>prod_compiled!AB46</f>
        <v>2.2377565889520216E-2</v>
      </c>
      <c r="N12" s="260">
        <f>prod_compiled!AC46</f>
        <v>1.1377565889520215E-2</v>
      </c>
      <c r="O12" s="247" t="s">
        <v>135</v>
      </c>
      <c r="P12">
        <f>prod_compiled!AE11</f>
        <v>4872.4838709677415</v>
      </c>
      <c r="Q12">
        <f>prod_compiled!AF11</f>
        <v>4574.4945054945056</v>
      </c>
      <c r="R12">
        <f>prod_compiled!AG11</f>
        <v>4460.8410958904105</v>
      </c>
      <c r="S12">
        <f>prod_compiled!AE46</f>
        <v>1.0999999999999999E-2</v>
      </c>
      <c r="T12">
        <f>prod_compiled!AF46</f>
        <v>3.1E-2</v>
      </c>
      <c r="U12">
        <f>prod_compiled!AG46</f>
        <v>0.13</v>
      </c>
      <c r="V12">
        <f>'Previous year'!Z11</f>
        <v>4993.2580645161288</v>
      </c>
      <c r="W12">
        <f>'Previous year'!AA11</f>
        <v>4928.380434782609</v>
      </c>
      <c r="X12">
        <f>'Previous year'!Z49</f>
        <v>1.0999999999999999E-2</v>
      </c>
      <c r="Y12">
        <f>'Previous year'!AA49</f>
        <v>3.3000000000000002E-2</v>
      </c>
      <c r="Z12">
        <f>'Previous year'!AC49</f>
        <v>5.3999999999999992E-2</v>
      </c>
    </row>
    <row r="13" spans="1:26" ht="15.75">
      <c r="A13">
        <v>0.7</v>
      </c>
      <c r="B13">
        <v>7</v>
      </c>
      <c r="C13" s="254" t="s">
        <v>63</v>
      </c>
      <c r="D13" s="256">
        <f>YTDtarget!AC14</f>
        <v>0.77</v>
      </c>
      <c r="E13" s="256">
        <f>YTDtarget!AB14</f>
        <v>0.32200000000000001</v>
      </c>
      <c r="F13" s="257">
        <f>YTDtarget!Z55</f>
        <v>22165.898617511521</v>
      </c>
      <c r="G13" s="257">
        <f>YTDtarget!AA55</f>
        <v>22291.925465838514</v>
      </c>
      <c r="H13" s="257">
        <f>YTDtarget!AB55</f>
        <v>22301.369863013701</v>
      </c>
      <c r="I13" s="259">
        <f ca="1">prod_compiled!AA12</f>
        <v>0</v>
      </c>
      <c r="J13" s="259">
        <f ca="1">prod_compiled!AB12</f>
        <v>0</v>
      </c>
      <c r="K13" s="259">
        <f>prod_compiled!AC12</f>
        <v>21588.691290322582</v>
      </c>
      <c r="L13" s="260">
        <f>prod_compiled!AA47</f>
        <v>0.29918140266083793</v>
      </c>
      <c r="M13" s="260">
        <f>prod_compiled!AB47</f>
        <v>0.12218140266083796</v>
      </c>
      <c r="N13" s="260">
        <f>prod_compiled!AC47</f>
        <v>6.2181402660837964E-2</v>
      </c>
      <c r="O13" s="247" t="s">
        <v>135</v>
      </c>
      <c r="P13">
        <f>prod_compiled!AE12</f>
        <v>20944.51612967742</v>
      </c>
      <c r="Q13">
        <f>prod_compiled!AF12</f>
        <v>20439.571428571428</v>
      </c>
      <c r="R13">
        <f>prod_compiled!AG12</f>
        <v>19280.553424657533</v>
      </c>
      <c r="S13">
        <f>prod_compiled!AE47</f>
        <v>0.06</v>
      </c>
      <c r="T13">
        <f>prod_compiled!AF47</f>
        <v>0.17699999999999999</v>
      </c>
      <c r="U13">
        <f>prod_compiled!AG47</f>
        <v>0.73399999999999999</v>
      </c>
      <c r="V13">
        <f>'Previous year'!Z12</f>
        <v>23713.419354838708</v>
      </c>
      <c r="W13">
        <f>'Previous year'!AA12</f>
        <v>23577.467391304348</v>
      </c>
      <c r="X13">
        <f>'Previous year'!Z50</f>
        <v>7.0000000000000007E-2</v>
      </c>
      <c r="Y13">
        <f>'Previous year'!AA50</f>
        <v>0.20600000000000002</v>
      </c>
      <c r="Z13">
        <f>'Previous year'!AC50</f>
        <v>0.316</v>
      </c>
    </row>
    <row r="14" spans="1:26" ht="15.75">
      <c r="A14">
        <v>0.11</v>
      </c>
      <c r="B14">
        <v>8</v>
      </c>
      <c r="C14" s="254" t="s">
        <v>64</v>
      </c>
      <c r="D14" s="256">
        <f>YTDtarget!AC15</f>
        <v>0.05</v>
      </c>
      <c r="E14" s="256">
        <f>YTDtarget!AB15</f>
        <v>2.2000000000000002E-2</v>
      </c>
      <c r="F14" s="257">
        <f>YTDtarget!Z56</f>
        <v>9149.5601173020532</v>
      </c>
      <c r="G14" s="257">
        <f>YTDtarget!AA56</f>
        <v>8015.8102766798429</v>
      </c>
      <c r="H14" s="257">
        <f>YTDtarget!AB56</f>
        <v>7770.8592777085942</v>
      </c>
      <c r="I14" s="259">
        <f ca="1">prod_compiled!AA13</f>
        <v>0</v>
      </c>
      <c r="J14" s="259">
        <f ca="1">prod_compiled!AB13</f>
        <v>0</v>
      </c>
      <c r="K14" s="259">
        <f>prod_compiled!AC13</f>
        <v>6913.4193548387093</v>
      </c>
      <c r="L14" s="260">
        <f>prod_compiled!AA48</f>
        <v>1.8778006343221812E-2</v>
      </c>
      <c r="M14" s="260">
        <f>prod_compiled!AB48</f>
        <v>7.7780063432218143E-3</v>
      </c>
      <c r="N14" s="260">
        <f>prod_compiled!AC48</f>
        <v>3.7780063432218142E-3</v>
      </c>
      <c r="O14" s="247" t="s">
        <v>135</v>
      </c>
      <c r="P14">
        <f>prod_compiled!AE13</f>
        <v>6954.8064516129034</v>
      </c>
      <c r="Q14">
        <f>prod_compiled!AF13</f>
        <v>6981.1648346153843</v>
      </c>
      <c r="R14">
        <f>prod_compiled!AG13</f>
        <v>6095.0164383561641</v>
      </c>
      <c r="S14">
        <f>prod_compiled!AE48</f>
        <v>4.0000000000000001E-3</v>
      </c>
      <c r="T14">
        <f>prod_compiled!AF48</f>
        <v>1.0999999999999999E-2</v>
      </c>
      <c r="U14">
        <f>prod_compiled!AG48</f>
        <v>4.2999999999999997E-2</v>
      </c>
      <c r="V14">
        <f>'Previous year'!Z13</f>
        <v>7440.4516129032254</v>
      </c>
      <c r="W14">
        <f>'Previous year'!AA13</f>
        <v>7371.467391304348</v>
      </c>
      <c r="X14">
        <f>'Previous year'!Z51</f>
        <v>4.0000000000000001E-3</v>
      </c>
      <c r="Y14">
        <f>'Previous year'!AA51</f>
        <v>1.2E-2</v>
      </c>
      <c r="Z14">
        <f>'Previous year'!AC51</f>
        <v>0.02</v>
      </c>
    </row>
    <row r="15" spans="1:26" ht="15.75">
      <c r="A15">
        <v>0.4</v>
      </c>
      <c r="B15">
        <v>9</v>
      </c>
      <c r="C15" s="254" t="s">
        <v>65</v>
      </c>
      <c r="D15" s="256">
        <f>YTDtarget!AC16</f>
        <v>0.11599999999999999</v>
      </c>
      <c r="E15" s="256">
        <f>YTDtarget!AB16</f>
        <v>4.9000000000000002E-2</v>
      </c>
      <c r="F15" s="257">
        <f>YTDtarget!Z57</f>
        <v>0</v>
      </c>
      <c r="G15" s="257">
        <f>YTDtarget!AA57</f>
        <v>5177.445652173913</v>
      </c>
      <c r="H15" s="257">
        <f>YTDtarget!AB57</f>
        <v>5220</v>
      </c>
      <c r="I15" s="259">
        <f ca="1">prod_compiled!AA14</f>
        <v>0</v>
      </c>
      <c r="J15" s="259">
        <f ca="1">prod_compiled!AB14</f>
        <v>0</v>
      </c>
      <c r="K15" s="259">
        <f>prod_compiled!AC14</f>
        <v>5707.7419354838712</v>
      </c>
      <c r="L15" s="260">
        <f>prod_compiled!AA49</f>
        <v>4.9772601919589168E-2</v>
      </c>
      <c r="M15" s="260">
        <f>prod_compiled!AB49</f>
        <v>2.1772601919589164E-2</v>
      </c>
      <c r="N15" s="260">
        <f>prod_compiled!AC49</f>
        <v>1.0772601919589167E-2</v>
      </c>
      <c r="O15" s="247" t="s">
        <v>135</v>
      </c>
      <c r="P15">
        <f>prod_compiled!AE14</f>
        <v>5701.3870974193551</v>
      </c>
      <c r="Q15">
        <f>prod_compiled!AF14</f>
        <v>5121.6923079120879</v>
      </c>
      <c r="R15">
        <f>prod_compiled!AG14</f>
        <v>3914.1369863013697</v>
      </c>
      <c r="S15">
        <f>prod_compiled!AE49</f>
        <v>1.0999999999999999E-2</v>
      </c>
      <c r="T15">
        <f>prod_compiled!AF49</f>
        <v>2.8000000000000004E-2</v>
      </c>
      <c r="U15">
        <f>prod_compiled!AG49</f>
        <v>9.2999999999999999E-2</v>
      </c>
      <c r="V15">
        <f>'Previous year'!Z14</f>
        <v>5076.5161290322585</v>
      </c>
      <c r="W15">
        <f>'Previous year'!AA14</f>
        <v>4936.369565217391</v>
      </c>
      <c r="X15">
        <f>'Previous year'!Z52</f>
        <v>0.01</v>
      </c>
      <c r="Y15">
        <f>'Previous year'!AA52</f>
        <v>2.7999999999999997E-2</v>
      </c>
      <c r="Z15">
        <f>'Previous year'!AC52</f>
        <v>4.4000000000000004E-2</v>
      </c>
    </row>
    <row r="16" spans="1:26" ht="15.75">
      <c r="A16">
        <v>0.04</v>
      </c>
      <c r="B16">
        <v>10</v>
      </c>
      <c r="C16" s="254" t="s">
        <v>66</v>
      </c>
      <c r="D16" s="256">
        <f>YTDtarget!AC17</f>
        <v>0.82600000000000007</v>
      </c>
      <c r="E16" s="256">
        <f>YTDtarget!AB17</f>
        <v>0.34600000000000003</v>
      </c>
      <c r="F16" s="257">
        <f>YTDtarget!Z58</f>
        <v>430161.29032258067</v>
      </c>
      <c r="G16" s="257">
        <f>YTDtarget!AA58</f>
        <v>430695.65217391303</v>
      </c>
      <c r="H16" s="257">
        <f>YTDtarget!AB58</f>
        <v>431104.10958904115</v>
      </c>
      <c r="I16" s="259">
        <f ca="1">prod_compiled!AA15</f>
        <v>0</v>
      </c>
      <c r="J16" s="259">
        <f ca="1">prod_compiled!AB15</f>
        <v>0</v>
      </c>
      <c r="K16" s="259">
        <f>prod_compiled!AC15</f>
        <v>431155</v>
      </c>
      <c r="L16" s="260">
        <f>prod_compiled!AA50</f>
        <v>0.27316170604839674</v>
      </c>
      <c r="M16" s="260">
        <f>prod_compiled!AB50</f>
        <v>0.12416170604839674</v>
      </c>
      <c r="N16" s="260">
        <f>prod_compiled!AC50</f>
        <v>7.0161706048396735E-2</v>
      </c>
      <c r="O16" s="247" t="s">
        <v>135</v>
      </c>
      <c r="P16">
        <f>prod_compiled!AE15</f>
        <v>330226.16128967743</v>
      </c>
      <c r="Q16">
        <f>prod_compiled!AF15</f>
        <v>312026.63736252749</v>
      </c>
      <c r="R16">
        <f>prod_compiled!AG15</f>
        <v>381571.53424657532</v>
      </c>
      <c r="S16">
        <f>prod_compiled!AE50</f>
        <v>5.3999999999999999E-2</v>
      </c>
      <c r="T16">
        <f>prod_compiled!AF50</f>
        <v>0.14899999999999999</v>
      </c>
      <c r="U16">
        <f>prod_compiled!AG50</f>
        <v>0.748</v>
      </c>
      <c r="V16">
        <f>'Previous year'!Z15</f>
        <v>433831.32258064515</v>
      </c>
      <c r="W16">
        <f>'Previous year'!AA15</f>
        <v>427587.39130434784</v>
      </c>
      <c r="X16">
        <f>'Previous year'!Z53</f>
        <v>7.0999999999999994E-2</v>
      </c>
      <c r="Y16">
        <f>'Previous year'!AA53</f>
        <v>0.20600000000000002</v>
      </c>
      <c r="Z16">
        <f>'Previous year'!AC53</f>
        <v>0.32500000000000001</v>
      </c>
    </row>
    <row r="17" spans="1:26" ht="15.75">
      <c r="A17">
        <v>0.25</v>
      </c>
      <c r="B17">
        <v>11</v>
      </c>
      <c r="C17" s="254" t="s">
        <v>67</v>
      </c>
      <c r="D17" s="256">
        <f>YTDtarget!AC18</f>
        <v>0.65500000000000003</v>
      </c>
      <c r="E17" s="256">
        <f>YTDtarget!AB18</f>
        <v>0.27500000000000002</v>
      </c>
      <c r="F17" s="257">
        <f>YTDtarget!Z59</f>
        <v>52748.38709677419</v>
      </c>
      <c r="G17" s="257">
        <f>YTDtarget!AA59</f>
        <v>52369.565217391304</v>
      </c>
      <c r="H17" s="257">
        <f>YTDtarget!AB59</f>
        <v>52400</v>
      </c>
      <c r="I17" s="259">
        <f ca="1">prod_compiled!AA16</f>
        <v>0</v>
      </c>
      <c r="J17" s="259">
        <f ca="1">prod_compiled!AB16</f>
        <v>0</v>
      </c>
      <c r="K17" s="259">
        <f>prod_compiled!AC16</f>
        <v>54085.931935483874</v>
      </c>
      <c r="L17" s="260">
        <f>prod_compiled!AA51</f>
        <v>0.28041999622492919</v>
      </c>
      <c r="M17" s="260">
        <f>prod_compiled!AB51</f>
        <v>0.11641999622492916</v>
      </c>
      <c r="N17" s="260">
        <f>prod_compiled!AC51</f>
        <v>5.741999622492916E-2</v>
      </c>
      <c r="O17" s="247" t="s">
        <v>135</v>
      </c>
      <c r="P17">
        <f>prod_compiled!AE16</f>
        <v>55934.419356129038</v>
      </c>
      <c r="Q17">
        <f>prod_compiled!AF16</f>
        <v>52722.27472538461</v>
      </c>
      <c r="R17">
        <f>prod_compiled!AG16</f>
        <v>41545</v>
      </c>
      <c r="S17">
        <f>prod_compiled!AE51</f>
        <v>5.8999999999999997E-2</v>
      </c>
      <c r="T17">
        <f>prod_compiled!AF51</f>
        <v>0.16400000000000001</v>
      </c>
      <c r="U17">
        <f>prod_compiled!AG51</f>
        <v>0.57499999999999996</v>
      </c>
      <c r="V17">
        <f>'Previous year'!Z16</f>
        <v>48381.774193548386</v>
      </c>
      <c r="W17">
        <f>'Previous year'!AA16</f>
        <v>47757.880434782608</v>
      </c>
      <c r="X17">
        <f>'Previous year'!Z54</f>
        <v>5.0999999999999997E-2</v>
      </c>
      <c r="Y17">
        <f>'Previous year'!AA54</f>
        <v>0.15</v>
      </c>
      <c r="Z17">
        <f>'Previous year'!AC54</f>
        <v>0.26100000000000001</v>
      </c>
    </row>
    <row r="18" spans="1:26" ht="15.75">
      <c r="A18">
        <v>0.24124999999999999</v>
      </c>
      <c r="B18">
        <v>12</v>
      </c>
      <c r="C18" s="254" t="s">
        <v>68</v>
      </c>
      <c r="D18" s="256">
        <f>YTDtarget!AC19</f>
        <v>0.17</v>
      </c>
      <c r="E18" s="256">
        <f>YTDtarget!AB19</f>
        <v>7.1000000000000008E-2</v>
      </c>
      <c r="F18" s="257">
        <f>YTDtarget!Z60</f>
        <v>12729.399966571955</v>
      </c>
      <c r="G18" s="257">
        <f>YTDtarget!AA60</f>
        <v>13174.138319441314</v>
      </c>
      <c r="H18" s="257">
        <f>YTDtarget!AB60</f>
        <v>13127.972176875577</v>
      </c>
      <c r="I18" s="259">
        <f ca="1">prod_compiled!AA17</f>
        <v>0</v>
      </c>
      <c r="J18" s="259">
        <f ca="1">prod_compiled!AB17</f>
        <v>0</v>
      </c>
      <c r="K18" s="259">
        <f>prod_compiled!AC17</f>
        <v>12320.806451612903</v>
      </c>
      <c r="L18" s="260">
        <f>prod_compiled!AA52</f>
        <v>6.7550622111245281E-2</v>
      </c>
      <c r="M18" s="260">
        <f>prod_compiled!AB52</f>
        <v>2.655062211124528E-2</v>
      </c>
      <c r="N18" s="260">
        <f>prod_compiled!AC52</f>
        <v>1.3550622111245282E-2</v>
      </c>
      <c r="O18" s="247" t="s">
        <v>135</v>
      </c>
      <c r="P18">
        <f>prod_compiled!AE17</f>
        <v>11924.967742580644</v>
      </c>
      <c r="Q18">
        <f>prod_compiled!AF17</f>
        <v>12563.45054967033</v>
      </c>
      <c r="R18">
        <f>prod_compiled!AG17</f>
        <v>9596.3123287671224</v>
      </c>
      <c r="S18">
        <f>prod_compiled!AE52</f>
        <v>1.2999999999999999E-2</v>
      </c>
      <c r="T18">
        <f>prod_compiled!AF52</f>
        <v>4.1000000000000002E-2</v>
      </c>
      <c r="U18">
        <f>prod_compiled!AG52</f>
        <v>0.13600000000000001</v>
      </c>
      <c r="V18">
        <f>'Previous year'!Z17</f>
        <v>11865.225806451614</v>
      </c>
      <c r="W18">
        <f>'Previous year'!AA17</f>
        <v>10489.79347826087</v>
      </c>
      <c r="X18">
        <f>'Previous year'!Z55</f>
        <v>1.2999999999999999E-2</v>
      </c>
      <c r="Y18">
        <f>'Previous year'!AA55</f>
        <v>3.5000000000000003E-2</v>
      </c>
      <c r="Z18">
        <f>'Previous year'!AC55</f>
        <v>0.06</v>
      </c>
    </row>
    <row r="19" spans="1:26" ht="15.75">
      <c r="A19">
        <v>0.45</v>
      </c>
      <c r="B19">
        <v>13</v>
      </c>
      <c r="C19" s="254" t="s">
        <v>69</v>
      </c>
      <c r="D19" s="256">
        <f>YTDtarget!AC20</f>
        <v>0</v>
      </c>
      <c r="E19" s="256">
        <f>YTDtarget!AB20</f>
        <v>0</v>
      </c>
      <c r="F19" s="257">
        <f>YTDtarget!Z61</f>
        <v>0</v>
      </c>
      <c r="G19" s="257">
        <f>YTDtarget!AA61</f>
        <v>0</v>
      </c>
      <c r="H19" s="257">
        <f>YTDtarget!AB61</f>
        <v>0</v>
      </c>
      <c r="I19" s="259">
        <f ca="1">prod_compiled!AA18</f>
        <v>0</v>
      </c>
      <c r="J19" s="259">
        <f ca="1">prod_compiled!AB18</f>
        <v>0</v>
      </c>
      <c r="K19" s="259">
        <f>prod_compiled!AC18</f>
        <v>0</v>
      </c>
      <c r="L19" s="260">
        <f>prod_compiled!AA53</f>
        <v>0</v>
      </c>
      <c r="M19" s="260">
        <f>prod_compiled!AB53</f>
        <v>0</v>
      </c>
      <c r="N19" s="260">
        <f>prod_compiled!AC53</f>
        <v>0</v>
      </c>
      <c r="O19" s="247" t="s">
        <v>135</v>
      </c>
      <c r="P19">
        <f>prod_compiled!AE18</f>
        <v>0</v>
      </c>
      <c r="Q19">
        <f>prod_compiled!AF18</f>
        <v>0</v>
      </c>
      <c r="R19">
        <f>prod_compiled!AG18</f>
        <v>33.441095890410956</v>
      </c>
      <c r="S19">
        <f>prod_compiled!AE53</f>
        <v>0</v>
      </c>
      <c r="T19">
        <f>prod_compiled!AF53</f>
        <v>0</v>
      </c>
      <c r="U19">
        <f>prod_compiled!AG53</f>
        <v>1E-3</v>
      </c>
      <c r="V19">
        <f>'Previous year'!Z18</f>
        <v>0</v>
      </c>
      <c r="W19">
        <f>'Previous year'!AA18</f>
        <v>0</v>
      </c>
      <c r="X19">
        <f>'Previous year'!Z56</f>
        <v>0</v>
      </c>
      <c r="Y19">
        <f>'Previous year'!AA56</f>
        <v>0</v>
      </c>
      <c r="Z19">
        <f>'Previous year'!AC56</f>
        <v>1E-3</v>
      </c>
    </row>
    <row r="20" spans="1:26" ht="15.75">
      <c r="A20">
        <v>0.17</v>
      </c>
      <c r="B20">
        <v>14</v>
      </c>
      <c r="C20" s="254" t="s">
        <v>70</v>
      </c>
      <c r="D20" s="256">
        <f>YTDtarget!AC21</f>
        <v>0</v>
      </c>
      <c r="E20" s="256">
        <f>YTDtarget!AB21</f>
        <v>0</v>
      </c>
      <c r="F20" s="257">
        <f>YTDtarget!Z62</f>
        <v>0</v>
      </c>
      <c r="G20" s="257">
        <f>YTDtarget!AA62</f>
        <v>0</v>
      </c>
      <c r="H20" s="257">
        <f>YTDtarget!AB62</f>
        <v>0</v>
      </c>
      <c r="I20" s="259">
        <f ca="1">prod_compiled!AA19</f>
        <v>0</v>
      </c>
      <c r="J20" s="259">
        <f ca="1">prod_compiled!AB19</f>
        <v>0</v>
      </c>
      <c r="K20" s="259">
        <f>prod_compiled!AC19</f>
        <v>0</v>
      </c>
      <c r="L20" s="260">
        <f>prod_compiled!AA54</f>
        <v>0</v>
      </c>
      <c r="M20" s="260">
        <f>prod_compiled!AB54</f>
        <v>0</v>
      </c>
      <c r="N20" s="260">
        <f>prod_compiled!AC54</f>
        <v>0</v>
      </c>
      <c r="O20" s="247" t="s">
        <v>135</v>
      </c>
      <c r="P20">
        <f>prod_compiled!AE19</f>
        <v>0</v>
      </c>
      <c r="Q20">
        <f>prod_compiled!AF19</f>
        <v>0</v>
      </c>
      <c r="R20">
        <f>prod_compiled!AG19</f>
        <v>0</v>
      </c>
      <c r="S20">
        <f>prod_compiled!AE54</f>
        <v>0</v>
      </c>
      <c r="T20">
        <f>prod_compiled!AF54</f>
        <v>0</v>
      </c>
      <c r="U20">
        <f>prod_compiled!AG54</f>
        <v>0</v>
      </c>
      <c r="V20">
        <f>'Previous year'!Z19</f>
        <v>0</v>
      </c>
      <c r="W20">
        <f>'Previous year'!AA19</f>
        <v>0</v>
      </c>
      <c r="X20">
        <f>'Previous year'!Z57</f>
        <v>0</v>
      </c>
      <c r="Y20">
        <f>'Previous year'!AA57</f>
        <v>0</v>
      </c>
      <c r="Z20">
        <f>'Previous year'!AC57</f>
        <v>0</v>
      </c>
    </row>
    <row r="21" spans="1:26" ht="15.75">
      <c r="B21">
        <v>15</v>
      </c>
      <c r="C21" s="310" t="s">
        <v>92</v>
      </c>
      <c r="D21" s="311">
        <f>SUM(D7:D20)</f>
        <v>7.2519999999999998</v>
      </c>
      <c r="E21" s="311">
        <f>SUM(E7:E20)</f>
        <v>3.0489999999999999</v>
      </c>
      <c r="F21" s="312">
        <f>F7*$A7+F8*$A8+F9*$A9+F10*$A10+F11*$A11+F12*$A12+F13*$A13+F14*$A14+F15*$A15+F16*$A16+F17*$A17+F18*$A18+F19*$A19+F20*$A20</f>
        <v>144087.90322580643</v>
      </c>
      <c r="G21" s="312">
        <f>G7*$A7+G8*$A8+G9*$A9+G10*$A10+G11*$A11+G12*$A12+G13*$A13+G14*$A14+G15*$A15+G16*$A16+G17*$A17+G18*$A18+G19*$A19+G20*$A20</f>
        <v>146449.02173913046</v>
      </c>
      <c r="H21" s="312">
        <f>H7*$A7+H8*$A8+H9*$A9+H10*$A10+H11*$A11+H12*$A12+H13*$A13+H14*$A14+H15*$A15+H16*$A16+H17*$A17+H18*$A18+H19*$A19+H20*$A20</f>
        <v>145966.73972602742</v>
      </c>
      <c r="I21" s="313">
        <f ca="1">I7*$A7+I8*$A8+I9*$A9+IF(K2&lt; DATE(2024, 11, 1), I10 * (2.31 / 100), I10 * (2.925 / 100))+I11*$A11+I12*$A12+I13*$A13+I14*$A14+I15*$A15+I16*$A16+I17*$A17+I18*$A18+I19*$A19+I20*$A20</f>
        <v>0</v>
      </c>
      <c r="J21" s="313">
        <f ca="1">J7*$A7+J8*$A8+J9*$A9+IF(K2&lt; DATE(2024, 11, 1), J10 * (2.31 / 100), J10 * (2.925 / 100))+J11*$A11+J12*$A12+J13*$A13+J14*$A14+J15*$A15+J16*$A16+J17*$A17+J18*$A18+J19*$A19+J20*$A20</f>
        <v>0</v>
      </c>
      <c r="K21" s="757">
        <f>K7*$A7+K8*$A8+K9*$A9+IF(K2&lt; DATE(2024, 11, 1), K10 * (2.31 / 100), K10 * (2.925 / 100))+K11*$A11+K12*$A12+K13*$A13+K14*$A14+K15*$A15+K16*$A16+K17*$A17+K18*$A18+K19*$A19+K20*$A20</f>
        <v>151993.49130645164</v>
      </c>
      <c r="L21" s="314">
        <f>SUM(L7:L20)</f>
        <v>3.0617020287161378</v>
      </c>
      <c r="M21" s="314">
        <f>SUM(M7:M20)</f>
        <v>1.2637020287161385</v>
      </c>
      <c r="N21" s="314">
        <f>SUM(N7:N20)</f>
        <v>0.64270202871613813</v>
      </c>
      <c r="O21" s="315" t="s">
        <v>135</v>
      </c>
      <c r="P21" s="313">
        <f>P7*$A7+P8*$A8+P9*$A9+P10*$A10+P11*$A11+P12*$A12+P13*$A13+P14*$A14+P15*$A15+P16*$A16+P17*$A17+P18*$A18+P19*$A19+P20*$A20</f>
        <v>146941.71255722444</v>
      </c>
      <c r="Q21" s="313">
        <f>Q7*$A7+Q8*$A8+Q9*$A9+Q10*$A10+Q11*$A11+Q12*$A12+Q13*$A13+Q14*$A14+Q15*$A15+Q16*$A16+Q17*$A17+Q18*$A18+Q19*$A19+Q20*$A20</f>
        <v>144652.72213256478</v>
      </c>
      <c r="R21" s="313">
        <f>R7*$A7+R8*$A8+R9*$A9+R10*$A10+R11*$A11+R12*$A12+R13*$A13+R14*$A14+R15*$A15+R16*$A16+R17*$A17+R18*$A18+R19*$A19+R20*$A20</f>
        <v>127172.6061760274</v>
      </c>
      <c r="S21" s="314">
        <f>SUM(S7:S20)</f>
        <v>0.62100000000000011</v>
      </c>
      <c r="T21" s="314">
        <f>SUM(T7:T20)</f>
        <v>1.7979999999999996</v>
      </c>
      <c r="U21" s="314">
        <f>SUM(U7:U20)</f>
        <v>6.9000000000000012</v>
      </c>
      <c r="V21" s="313">
        <f>'Previous year'!Z20</f>
        <v>0</v>
      </c>
      <c r="W21" s="313">
        <f>'Previous year'!AA20</f>
        <v>0</v>
      </c>
      <c r="X21" s="314">
        <f>'Previous year'!Z58</f>
        <v>0.52200000000000002</v>
      </c>
      <c r="Y21" s="314">
        <f>'Previous year'!AA58</f>
        <v>1.7130000000000001</v>
      </c>
      <c r="Z21">
        <f>'Previous year'!AC58</f>
        <v>2.8810000000000002</v>
      </c>
    </row>
    <row r="22" spans="1:26" ht="15.75">
      <c r="C22" s="262"/>
      <c r="D22" s="262" t="s">
        <v>135</v>
      </c>
      <c r="E22" s="262" t="s">
        <v>135</v>
      </c>
      <c r="F22" s="262" t="s">
        <v>135</v>
      </c>
      <c r="G22" s="262" t="s">
        <v>135</v>
      </c>
      <c r="H22" s="262" t="s">
        <v>135</v>
      </c>
      <c r="I22" s="262" t="s">
        <v>135</v>
      </c>
      <c r="J22" s="262" t="s">
        <v>135</v>
      </c>
      <c r="K22" s="262" t="s">
        <v>135</v>
      </c>
      <c r="L22" s="262" t="s">
        <v>135</v>
      </c>
      <c r="M22" s="262" t="s">
        <v>135</v>
      </c>
      <c r="N22" s="262" t="s">
        <v>135</v>
      </c>
    </row>
    <row r="23" spans="1:26" ht="78.75">
      <c r="B23" t="s">
        <v>205</v>
      </c>
      <c r="C23" s="261" t="s">
        <v>105</v>
      </c>
      <c r="D23" s="255" t="s">
        <v>185</v>
      </c>
      <c r="E23" s="255" t="s">
        <v>186</v>
      </c>
      <c r="F23" s="255" t="s">
        <v>187</v>
      </c>
      <c r="G23" s="255" t="s">
        <v>188</v>
      </c>
      <c r="H23" s="255" t="s">
        <v>189</v>
      </c>
      <c r="I23" s="258" t="s">
        <v>197</v>
      </c>
      <c r="J23" s="258" t="s">
        <v>200</v>
      </c>
      <c r="K23" s="258" t="s">
        <v>199</v>
      </c>
      <c r="L23" s="258" t="s">
        <v>198</v>
      </c>
      <c r="M23" s="258" t="s">
        <v>201</v>
      </c>
      <c r="N23" s="258" t="s">
        <v>202</v>
      </c>
      <c r="O23" s="247"/>
      <c r="P23" s="263" t="s">
        <v>346</v>
      </c>
      <c r="Q23" s="263" t="s">
        <v>348</v>
      </c>
      <c r="R23" s="263" t="s">
        <v>355</v>
      </c>
      <c r="S23" s="263" t="s">
        <v>351</v>
      </c>
      <c r="T23" s="263" t="s">
        <v>352</v>
      </c>
      <c r="U23" s="263" t="s">
        <v>357</v>
      </c>
      <c r="V23" s="263" t="s">
        <v>365</v>
      </c>
      <c r="W23" s="263" t="s">
        <v>366</v>
      </c>
      <c r="X23" s="263" t="s">
        <v>369</v>
      </c>
      <c r="Y23" s="263" t="s">
        <v>370</v>
      </c>
      <c r="Z23" s="263" t="s">
        <v>1350</v>
      </c>
    </row>
    <row r="24" spans="1:26" ht="15.75">
      <c r="A24">
        <v>0.2</v>
      </c>
      <c r="B24">
        <v>1</v>
      </c>
      <c r="C24" s="254" t="s">
        <v>60</v>
      </c>
      <c r="D24" s="256">
        <f>YTDtarget!AC28</f>
        <v>0.61900000000000011</v>
      </c>
      <c r="E24" s="256">
        <f>YTDtarget!AB28</f>
        <v>0.248</v>
      </c>
      <c r="F24" s="256">
        <f>YTDtarget!Z69</f>
        <v>8.064516129032258</v>
      </c>
      <c r="G24" s="256">
        <f>YTDtarget!AA69</f>
        <v>8.1521739130434785</v>
      </c>
      <c r="H24" s="256">
        <f>YTDtarget!AB69</f>
        <v>8.4794520547945211</v>
      </c>
      <c r="I24" s="260">
        <f ca="1">prod_compiled!AA23</f>
        <v>0</v>
      </c>
      <c r="J24" s="260">
        <f ca="1">prod_compiled!AB23</f>
        <v>0</v>
      </c>
      <c r="K24" s="260">
        <f>prod_compiled!AC23</f>
        <v>6.9239309443193591</v>
      </c>
      <c r="L24" s="260">
        <f>prod_compiled!AA58</f>
        <v>0.24492837185478003</v>
      </c>
      <c r="M24" s="260">
        <f>prod_compiled!AB58</f>
        <v>8.8928371854780031E-2</v>
      </c>
      <c r="N24" s="260">
        <f>prod_compiled!AC58</f>
        <v>4.2928371854780031E-2</v>
      </c>
      <c r="O24" s="247" t="s">
        <v>135</v>
      </c>
      <c r="P24">
        <f>prod_compiled!AE23</f>
        <v>7.3924512903225805</v>
      </c>
      <c r="Q24">
        <f>prod_compiled!AF23</f>
        <v>8.5690118681318683</v>
      </c>
      <c r="R24">
        <f>prod_compiled!AG23</f>
        <v>7.3841835616438356</v>
      </c>
      <c r="S24">
        <f>prod_compiled!AE58</f>
        <v>4.5999999999999999E-2</v>
      </c>
      <c r="T24">
        <f>prod_compiled!AF58</f>
        <v>0.156</v>
      </c>
      <c r="U24">
        <f>prod_compiled!AG58</f>
        <v>0.623</v>
      </c>
      <c r="V24">
        <f>'Previous year'!Z24</f>
        <v>1.1774193548387097</v>
      </c>
      <c r="W24">
        <f>'Previous year'!AA24</f>
        <v>4.4191086956521737</v>
      </c>
      <c r="X24">
        <f>'Previous year'!Z63</f>
        <v>7.0000000000000001E-3</v>
      </c>
      <c r="Y24">
        <f>'Previous year'!AA63</f>
        <v>8.199999999999999E-2</v>
      </c>
      <c r="Z24">
        <f>'Previous year'!AC63</f>
        <v>0.19</v>
      </c>
    </row>
    <row r="25" spans="1:26" ht="15.75">
      <c r="A25">
        <v>0.26</v>
      </c>
      <c r="B25">
        <v>2</v>
      </c>
      <c r="C25" s="254" t="s">
        <v>61</v>
      </c>
      <c r="D25" s="256">
        <f>YTDtarget!AC29</f>
        <v>0.79994520547945203</v>
      </c>
      <c r="E25" s="256">
        <f>YTDtarget!AB29</f>
        <v>0.33600000000000002</v>
      </c>
      <c r="F25" s="256">
        <f>YTDtarget!Z70</f>
        <v>8.4367245657568244</v>
      </c>
      <c r="G25" s="256">
        <f>YTDtarget!AA70</f>
        <v>8.4448160535117047</v>
      </c>
      <c r="H25" s="256">
        <f>YTDtarget!AB70</f>
        <v>8.4293488459373229</v>
      </c>
      <c r="I25" s="260">
        <f ca="1">prod_compiled!AA24</f>
        <v>0</v>
      </c>
      <c r="J25" s="260">
        <f ca="1">prod_compiled!AB24</f>
        <v>0</v>
      </c>
      <c r="K25" s="260">
        <f>prod_compiled!AC24</f>
        <v>10.128309225806449</v>
      </c>
      <c r="L25" s="260">
        <f>prod_compiled!AA59</f>
        <v>0.38663417235999997</v>
      </c>
      <c r="M25" s="260">
        <f>prod_compiled!AB59</f>
        <v>0.15263417235999999</v>
      </c>
      <c r="N25" s="260">
        <f>prod_compiled!AC59</f>
        <v>8.1634172359999979E-2</v>
      </c>
      <c r="O25" s="247" t="s">
        <v>135</v>
      </c>
      <c r="P25">
        <f>prod_compiled!AE24</f>
        <v>8.8381954838709671</v>
      </c>
      <c r="Q25">
        <f>prod_compiled!AF24</f>
        <v>9.9016429670329682</v>
      </c>
      <c r="R25">
        <f>prod_compiled!AG24</f>
        <v>8.6038904109589041</v>
      </c>
      <c r="S25">
        <f>prod_compiled!AE59</f>
        <v>7.0999999999999994E-2</v>
      </c>
      <c r="T25">
        <f>prod_compiled!AF59</f>
        <v>0.23399999999999999</v>
      </c>
      <c r="U25">
        <f>prod_compiled!AG59</f>
        <v>0.96499999999999997</v>
      </c>
      <c r="V25">
        <f>'Previous year'!Z25</f>
        <v>9.1157419354838716</v>
      </c>
      <c r="W25">
        <f>'Previous year'!AA25</f>
        <v>10.187923913043479</v>
      </c>
      <c r="X25">
        <f>'Previous year'!Z64</f>
        <v>7.3999999999999996E-2</v>
      </c>
      <c r="Y25">
        <f>'Previous year'!AA64</f>
        <v>0.24299999999999999</v>
      </c>
      <c r="Z25">
        <f>'Previous year'!AC64</f>
        <v>0.40799999999999997</v>
      </c>
    </row>
    <row r="26" spans="1:26" ht="15.75">
      <c r="A26">
        <v>1</v>
      </c>
      <c r="B26">
        <v>3</v>
      </c>
      <c r="C26" s="254" t="s">
        <v>62</v>
      </c>
      <c r="D26" s="256">
        <f>YTDtarget!AC30</f>
        <v>9.3983561643835617E-2</v>
      </c>
      <c r="E26" s="256">
        <f>YTDtarget!AB30</f>
        <v>0.04</v>
      </c>
      <c r="F26" s="256">
        <f>YTDtarget!Z71</f>
        <v>0.25806451612903225</v>
      </c>
      <c r="G26" s="256">
        <f>YTDtarget!AA71</f>
        <v>0.2608695652173913</v>
      </c>
      <c r="H26" s="256">
        <f>YTDtarget!AB71</f>
        <v>0.25748920998311126</v>
      </c>
      <c r="I26" s="260">
        <f ca="1">prod_compiled!AA25</f>
        <v>0</v>
      </c>
      <c r="J26" s="260">
        <f ca="1">prod_compiled!AB25</f>
        <v>0</v>
      </c>
      <c r="K26" s="260">
        <f>prod_compiled!AC25</f>
        <v>0.24677316129032253</v>
      </c>
      <c r="L26" s="260">
        <f>prod_compiled!AA60</f>
        <v>3.8649968E-2</v>
      </c>
      <c r="M26" s="260">
        <f>prod_compiled!AB60</f>
        <v>1.4649967999999999E-2</v>
      </c>
      <c r="N26" s="260">
        <f>prod_compiled!AC60</f>
        <v>7.6499679999999983E-3</v>
      </c>
      <c r="O26" s="247" t="s">
        <v>135</v>
      </c>
      <c r="P26">
        <f>prod_compiled!AE25</f>
        <v>0.24090483870967741</v>
      </c>
      <c r="Q26">
        <f>prod_compiled!AF25</f>
        <v>0.26011252747252744</v>
      </c>
      <c r="R26">
        <f>prod_compiled!AG25</f>
        <v>0.25126301369863019</v>
      </c>
      <c r="S26">
        <f>prod_compiled!AE60</f>
        <v>7.0000000000000001E-3</v>
      </c>
      <c r="T26">
        <f>prod_compiled!AF60</f>
        <v>2.4E-2</v>
      </c>
      <c r="U26">
        <f>prod_compiled!AG60</f>
        <v>0.10100000000000001</v>
      </c>
      <c r="V26">
        <f>'Previous year'!Z26</f>
        <v>0.27529032258064517</v>
      </c>
      <c r="W26">
        <f>'Previous year'!AA26</f>
        <v>0.26283695652173916</v>
      </c>
      <c r="X26">
        <f>'Previous year'!Z65</f>
        <v>8.9999999999999993E-3</v>
      </c>
      <c r="Y26">
        <f>'Previous year'!AA65</f>
        <v>2.5000000000000001E-2</v>
      </c>
      <c r="Z26">
        <f>'Previous year'!AC65</f>
        <v>4.1000000000000002E-2</v>
      </c>
    </row>
    <row r="27" spans="1:26" ht="15.75">
      <c r="A27">
        <v>2.9250000000000002E-2</v>
      </c>
      <c r="B27">
        <v>4</v>
      </c>
      <c r="C27" s="254" t="s">
        <v>57</v>
      </c>
      <c r="D27" s="256">
        <f>YTDtarget!AC31</f>
        <v>0.11585205479452054</v>
      </c>
      <c r="E27" s="256">
        <f>YTDtarget!AB31</f>
        <v>0.05</v>
      </c>
      <c r="F27" s="256">
        <f>YTDtarget!Z72</f>
        <v>11.028398125172318</v>
      </c>
      <c r="G27" s="256">
        <f>YTDtarget!AA72</f>
        <v>11.148272017837234</v>
      </c>
      <c r="H27" s="256">
        <f>YTDtarget!AB72</f>
        <v>10.851380849504324</v>
      </c>
      <c r="I27" s="260">
        <f ca="1">prod_compiled!AA26</f>
        <v>0</v>
      </c>
      <c r="J27" s="260">
        <f ca="1">prod_compiled!AB26</f>
        <v>0</v>
      </c>
      <c r="K27" s="260">
        <f>prod_compiled!AC26</f>
        <v>7.9886590222823228</v>
      </c>
      <c r="L27" s="260">
        <f>prod_compiled!AA61</f>
        <v>5.1243716568454493E-2</v>
      </c>
      <c r="M27" s="260">
        <f>prod_compiled!AB61</f>
        <v>1.5243716568454496E-2</v>
      </c>
      <c r="N27" s="260">
        <f>prod_compiled!AC61</f>
        <v>7.2437165684544969E-3</v>
      </c>
      <c r="O27" s="247" t="s">
        <v>135</v>
      </c>
      <c r="P27">
        <f>prod_compiled!AE26</f>
        <v>8.2639664516129034</v>
      </c>
      <c r="Q27">
        <f>prod_compiled!AF26</f>
        <v>13.627833956043958</v>
      </c>
      <c r="R27">
        <f>prod_compiled!AG26</f>
        <v>10.543358904109589</v>
      </c>
      <c r="S27">
        <f>prod_compiled!AE61</f>
        <v>8.0000000000000002E-3</v>
      </c>
      <c r="T27">
        <f>prod_compiled!AF61</f>
        <v>3.5999999999999997E-2</v>
      </c>
      <c r="U27">
        <f>prod_compiled!AG61</f>
        <v>0.127</v>
      </c>
      <c r="V27">
        <f>'Previous year'!Z27</f>
        <v>9.4024516129032261</v>
      </c>
      <c r="W27">
        <f>'Previous year'!AA27</f>
        <v>10.227858695652174</v>
      </c>
      <c r="X27">
        <f>'Previous year'!Z66</f>
        <v>8.9999999999999993E-3</v>
      </c>
      <c r="Y27">
        <f>'Previous year'!AA66</f>
        <v>2.7000000000000003E-2</v>
      </c>
      <c r="Z27">
        <f>'Previous year'!AC66</f>
        <v>4.2000000000000003E-2</v>
      </c>
    </row>
    <row r="28" spans="1:26" ht="15.75">
      <c r="A28">
        <v>0.27</v>
      </c>
      <c r="B28">
        <v>5</v>
      </c>
      <c r="C28" s="254" t="s">
        <v>58</v>
      </c>
      <c r="D28" s="256">
        <f>YTDtarget!AC32</f>
        <v>2.5123287671232876E-2</v>
      </c>
      <c r="E28" s="256">
        <f>YTDtarget!AB32</f>
        <v>0.01</v>
      </c>
      <c r="F28" s="256">
        <f>YTDtarget!Z73</f>
        <v>0.23894862604540021</v>
      </c>
      <c r="G28" s="256">
        <f>YTDtarget!AA73</f>
        <v>0.2415458937198067</v>
      </c>
      <c r="H28" s="256">
        <f>YTDtarget!AB73</f>
        <v>0.25492935232098302</v>
      </c>
      <c r="I28" s="260">
        <f ca="1">prod_compiled!AA27</f>
        <v>0</v>
      </c>
      <c r="J28" s="260">
        <f ca="1">prod_compiled!AB27</f>
        <v>0</v>
      </c>
      <c r="K28" s="260">
        <f>prod_compiled!AC27</f>
        <v>0.51485241935483883</v>
      </c>
      <c r="L28" s="260">
        <f>prod_compiled!AA62</f>
        <v>1.7309314750000002E-2</v>
      </c>
      <c r="M28" s="260">
        <f>prod_compiled!AB62</f>
        <v>7.3093147500000013E-3</v>
      </c>
      <c r="N28" s="260">
        <f>prod_compiled!AC62</f>
        <v>4.3093147500000012E-3</v>
      </c>
      <c r="O28" s="247" t="s">
        <v>135</v>
      </c>
      <c r="P28">
        <f>prod_compiled!AE27</f>
        <v>0.35741999999999996</v>
      </c>
      <c r="Q28">
        <f>prod_compiled!AF27</f>
        <v>0.40490120879120878</v>
      </c>
      <c r="R28">
        <f>prod_compiled!AG27</f>
        <v>0.29324383561643835</v>
      </c>
      <c r="S28">
        <f>prod_compiled!AE62</f>
        <v>3.0000000000000001E-3</v>
      </c>
      <c r="T28">
        <f>prod_compiled!AF62</f>
        <v>0.01</v>
      </c>
      <c r="U28">
        <f>prod_compiled!AG62</f>
        <v>3.3000000000000002E-2</v>
      </c>
      <c r="V28">
        <f>'Previous year'!Z28</f>
        <v>0.36580645161290321</v>
      </c>
      <c r="W28">
        <f>'Previous year'!AA28</f>
        <v>0.41543478260869565</v>
      </c>
      <c r="X28">
        <f>'Previous year'!Z67</f>
        <v>3.0000000000000001E-3</v>
      </c>
      <c r="Y28">
        <f>'Previous year'!AA67</f>
        <v>1.0999999999999999E-2</v>
      </c>
      <c r="Z28">
        <f>'Previous year'!AC67</f>
        <v>1.6E-2</v>
      </c>
    </row>
    <row r="29" spans="1:26" ht="15.75">
      <c r="A29">
        <v>0.5</v>
      </c>
      <c r="B29">
        <v>6</v>
      </c>
      <c r="C29" s="254" t="s">
        <v>59</v>
      </c>
      <c r="D29" s="256">
        <f>YTDtarget!AC33</f>
        <v>4.0000000000000001E-3</v>
      </c>
      <c r="E29" s="256">
        <f>YTDtarget!AB33</f>
        <v>1E-3</v>
      </c>
      <c r="F29" s="256">
        <f>YTDtarget!Z74</f>
        <v>0</v>
      </c>
      <c r="G29" s="256">
        <f>YTDtarget!AA74</f>
        <v>2.1739130434782608E-2</v>
      </c>
      <c r="H29" s="256">
        <f>YTDtarget!AB74</f>
        <v>2.1917808219178082E-2</v>
      </c>
      <c r="I29" s="260">
        <f ca="1">prod_compiled!AA28</f>
        <v>0</v>
      </c>
      <c r="J29" s="260">
        <f ca="1">prod_compiled!AB28</f>
        <v>0</v>
      </c>
      <c r="K29" s="260">
        <f>prod_compiled!AC28</f>
        <v>2.4838709677419371E-2</v>
      </c>
      <c r="L29" s="260">
        <f>prod_compiled!AA63</f>
        <v>1.3850000000000004E-3</v>
      </c>
      <c r="M29" s="260">
        <f>prod_compiled!AB63</f>
        <v>3.8500000000000025E-4</v>
      </c>
      <c r="N29" s="260">
        <f>prod_compiled!AC63</f>
        <v>3.8500000000000025E-4</v>
      </c>
      <c r="O29" s="247" t="s">
        <v>135</v>
      </c>
      <c r="P29">
        <f>prod_compiled!AE28</f>
        <v>2.5769999999999998E-2</v>
      </c>
      <c r="Q29">
        <f>prod_compiled!AF28</f>
        <v>2.5286373626373627E-2</v>
      </c>
      <c r="R29">
        <f>prod_compiled!AG28</f>
        <v>2.7063013698630133E-2</v>
      </c>
      <c r="S29">
        <f>prod_compiled!AE63</f>
        <v>0</v>
      </c>
      <c r="T29">
        <f>prod_compiled!AF63</f>
        <v>1E-3</v>
      </c>
      <c r="U29">
        <f>prod_compiled!AG63</f>
        <v>3.0000000000000001E-3</v>
      </c>
      <c r="V29">
        <f>'Previous year'!Z29</f>
        <v>2.9870967741935487E-2</v>
      </c>
      <c r="W29">
        <f>'Previous year'!AA29</f>
        <v>2.9978260869565218E-2</v>
      </c>
      <c r="X29">
        <f>'Previous year'!Z68</f>
        <v>0</v>
      </c>
      <c r="Y29">
        <f>'Previous year'!AA68</f>
        <v>0</v>
      </c>
      <c r="Z29">
        <f>'Previous year'!AC68</f>
        <v>1E-3</v>
      </c>
    </row>
    <row r="30" spans="1:26" ht="15.75">
      <c r="A30">
        <v>0.7</v>
      </c>
      <c r="B30">
        <v>7</v>
      </c>
      <c r="C30" s="254" t="s">
        <v>63</v>
      </c>
      <c r="D30" s="256">
        <f>YTDtarget!AC34</f>
        <v>1E-3</v>
      </c>
      <c r="E30" s="256">
        <f>YTDtarget!AB34</f>
        <v>0</v>
      </c>
      <c r="F30" s="256">
        <f>YTDtarget!Z75</f>
        <v>0</v>
      </c>
      <c r="G30" s="256">
        <f>YTDtarget!AA75</f>
        <v>0</v>
      </c>
      <c r="H30" s="256">
        <f>YTDtarget!AB75</f>
        <v>3.9138943248532296E-3</v>
      </c>
      <c r="I30" s="260">
        <f ca="1">prod_compiled!AA29</f>
        <v>0</v>
      </c>
      <c r="J30" s="260">
        <f ca="1">prod_compiled!AB29</f>
        <v>0</v>
      </c>
      <c r="K30" s="260">
        <f>prod_compiled!AC29</f>
        <v>4.2675274492747555E-3</v>
      </c>
      <c r="L30" s="260">
        <f>prod_compiled!AA64</f>
        <v>8.0926053456492619E-3</v>
      </c>
      <c r="M30" s="260">
        <f>prod_compiled!AB64</f>
        <v>8.0926053456492619E-3</v>
      </c>
      <c r="N30" s="260">
        <f>prod_compiled!AC64</f>
        <v>9.2605345649262195E-5</v>
      </c>
      <c r="O30" s="247" t="s">
        <v>135</v>
      </c>
      <c r="P30">
        <f>prod_compiled!AE29</f>
        <v>3.4519354838709678E-3</v>
      </c>
      <c r="Q30">
        <f>prod_compiled!AF29</f>
        <v>3.2635164835164831E-3</v>
      </c>
      <c r="R30">
        <f>prod_compiled!AG29</f>
        <v>3.1780821917808222E-3</v>
      </c>
      <c r="S30">
        <f>prod_compiled!AE64</f>
        <v>8.0000000000000002E-3</v>
      </c>
      <c r="T30">
        <f>prod_compiled!AF64</f>
        <v>0</v>
      </c>
      <c r="U30">
        <f>prod_compiled!AG64</f>
        <v>2E-3</v>
      </c>
      <c r="V30">
        <f>'Previous year'!Z30</f>
        <v>4.0322580645161289E-3</v>
      </c>
      <c r="W30">
        <f>'Previous year'!AA30</f>
        <v>4.0000000000000001E-3</v>
      </c>
      <c r="X30">
        <f>'Previous year'!Z69</f>
        <v>0</v>
      </c>
      <c r="Y30">
        <f>'Previous year'!AA69</f>
        <v>0</v>
      </c>
      <c r="Z30">
        <f>'Previous year'!AC69</f>
        <v>0</v>
      </c>
    </row>
    <row r="31" spans="1:26" ht="15.75">
      <c r="A31">
        <v>0.11</v>
      </c>
      <c r="B31">
        <v>8</v>
      </c>
      <c r="C31" s="254" t="s">
        <v>64</v>
      </c>
      <c r="D31" s="256">
        <f>YTDtarget!AC35</f>
        <v>8.7643835616438362E-3</v>
      </c>
      <c r="E31" s="256">
        <f>YTDtarget!AB35</f>
        <v>4.0000000000000001E-3</v>
      </c>
      <c r="F31" s="256">
        <f>YTDtarget!Z76</f>
        <v>0.29325513196480935</v>
      </c>
      <c r="G31" s="256">
        <f>YTDtarget!AA76</f>
        <v>0.29644268774703558</v>
      </c>
      <c r="H31" s="256">
        <f>YTDtarget!AB76</f>
        <v>0.21829099779934835</v>
      </c>
      <c r="I31" s="260">
        <f ca="1">prod_compiled!AA30</f>
        <v>0</v>
      </c>
      <c r="J31" s="260">
        <f ca="1">prod_compiled!AB30</f>
        <v>0</v>
      </c>
      <c r="K31" s="260">
        <f>prod_compiled!AC30</f>
        <v>0.19382406504026423</v>
      </c>
      <c r="L31" s="260">
        <f>prod_compiled!AA65</f>
        <v>4.6609400617873015E-3</v>
      </c>
      <c r="M31" s="260">
        <f>prod_compiled!AB65</f>
        <v>1.660940061787301E-3</v>
      </c>
      <c r="N31" s="260">
        <f>prod_compiled!AC65</f>
        <v>6.6094006178730102E-4</v>
      </c>
      <c r="O31" s="247" t="s">
        <v>135</v>
      </c>
      <c r="P31">
        <f>prod_compiled!AE30</f>
        <v>0.19517483870967742</v>
      </c>
      <c r="Q31">
        <f>prod_compiled!AF30</f>
        <v>0.19613989010989014</v>
      </c>
      <c r="R31">
        <f>prod_compiled!AG30</f>
        <v>0.17830684931506849</v>
      </c>
      <c r="S31">
        <f>prod_compiled!AE65</f>
        <v>1E-3</v>
      </c>
      <c r="T31">
        <f>prod_compiled!AF65</f>
        <v>3.0000000000000001E-3</v>
      </c>
      <c r="U31">
        <f>prod_compiled!AG65</f>
        <v>8.0000000000000002E-3</v>
      </c>
      <c r="V31">
        <f>'Previous year'!Z31</f>
        <v>0.21251612903225806</v>
      </c>
      <c r="W31">
        <f>'Previous year'!AA31</f>
        <v>0.20376086956521738</v>
      </c>
      <c r="X31">
        <f>'Previous year'!Z70</f>
        <v>0</v>
      </c>
      <c r="Y31">
        <f>'Previous year'!AA70</f>
        <v>2E-3</v>
      </c>
      <c r="Z31">
        <f>'Previous year'!AC70</f>
        <v>3.0000000000000001E-3</v>
      </c>
    </row>
    <row r="32" spans="1:26" ht="15.75">
      <c r="A32">
        <v>0.4</v>
      </c>
      <c r="B32">
        <v>9</v>
      </c>
      <c r="C32" s="254" t="s">
        <v>65</v>
      </c>
      <c r="D32" s="256">
        <f>YTDtarget!AC36</f>
        <v>3.1717808219178086E-2</v>
      </c>
      <c r="E32" s="256">
        <f>YTDtarget!AB36</f>
        <v>1.3999999999999999E-2</v>
      </c>
      <c r="F32" s="256">
        <f>YTDtarget!Z77</f>
        <v>0.24193548387096775</v>
      </c>
      <c r="G32" s="256">
        <f>YTDtarget!AA77</f>
        <v>0.24456521739130438</v>
      </c>
      <c r="H32" s="256">
        <f>YTDtarget!AB77</f>
        <v>0.21724526177519235</v>
      </c>
      <c r="I32" s="260">
        <f ca="1">prod_compiled!AA31</f>
        <v>0</v>
      </c>
      <c r="J32" s="260">
        <f ca="1">prod_compiled!AB31</f>
        <v>0</v>
      </c>
      <c r="K32" s="260">
        <f>prod_compiled!AC31</f>
        <v>8.5725975210725086E-2</v>
      </c>
      <c r="L32" s="260">
        <f>prod_compiled!AA66</f>
        <v>6.0630020926129916E-3</v>
      </c>
      <c r="M32" s="260">
        <f>prod_compiled!AB66</f>
        <v>3.0630020926129911E-3</v>
      </c>
      <c r="N32" s="260">
        <f>prod_compiled!AC66</f>
        <v>1.063002092612991E-3</v>
      </c>
      <c r="O32" s="247" t="s">
        <v>135</v>
      </c>
      <c r="P32">
        <f>prod_compiled!AE31</f>
        <v>9.5066774193548392E-2</v>
      </c>
      <c r="Q32">
        <f>prod_compiled!AF31</f>
        <v>9.1195494505494509E-2</v>
      </c>
      <c r="R32">
        <f>prod_compiled!AG31</f>
        <v>8.2249315068493159E-2</v>
      </c>
      <c r="S32">
        <f>prod_compiled!AE66</f>
        <v>2E-3</v>
      </c>
      <c r="T32">
        <f>prod_compiled!AF66</f>
        <v>3.0000000000000001E-3</v>
      </c>
      <c r="U32">
        <f>prod_compiled!AG66</f>
        <v>1.2999999999999999E-2</v>
      </c>
      <c r="V32">
        <f>'Previous year'!Z32</f>
        <v>9.1483870967741937E-2</v>
      </c>
      <c r="W32">
        <f>'Previous year'!AA32</f>
        <v>8.9445652173913051E-2</v>
      </c>
      <c r="X32">
        <f>'Previous year'!Z71</f>
        <v>1E-3</v>
      </c>
      <c r="Y32">
        <f>'Previous year'!AA71</f>
        <v>3.0000000000000001E-3</v>
      </c>
      <c r="Z32">
        <f>'Previous year'!AC71</f>
        <v>6.0000000000000001E-3</v>
      </c>
    </row>
    <row r="33" spans="1:26" ht="15.75">
      <c r="A33">
        <v>0.04</v>
      </c>
      <c r="B33">
        <v>10</v>
      </c>
      <c r="C33" s="254" t="s">
        <v>66</v>
      </c>
      <c r="D33" s="256">
        <f>YTDtarget!AC37</f>
        <v>0</v>
      </c>
      <c r="E33" s="256">
        <f>YTDtarget!AB37</f>
        <v>0</v>
      </c>
      <c r="F33" s="256">
        <f>YTDtarget!Z78</f>
        <v>0</v>
      </c>
      <c r="G33" s="256">
        <f>YTDtarget!AA78</f>
        <v>0</v>
      </c>
      <c r="H33" s="256">
        <f>YTDtarget!AB78</f>
        <v>0</v>
      </c>
      <c r="I33" s="260">
        <f ca="1">prod_compiled!AA32</f>
        <v>0</v>
      </c>
      <c r="J33" s="260">
        <f ca="1">prod_compiled!AB32</f>
        <v>0</v>
      </c>
      <c r="K33" s="260">
        <f>prod_compiled!AC32</f>
        <v>0</v>
      </c>
      <c r="L33" s="260">
        <f>prod_compiled!AA67</f>
        <v>0</v>
      </c>
      <c r="M33" s="260">
        <f>prod_compiled!AB67</f>
        <v>0</v>
      </c>
      <c r="N33" s="260">
        <f>prod_compiled!AC67</f>
        <v>0</v>
      </c>
      <c r="O33" s="247" t="s">
        <v>135</v>
      </c>
      <c r="P33">
        <f>prod_compiled!AE32</f>
        <v>0</v>
      </c>
      <c r="Q33">
        <f>prod_compiled!AF32</f>
        <v>0</v>
      </c>
      <c r="R33">
        <f>prod_compiled!AG32</f>
        <v>0</v>
      </c>
      <c r="S33">
        <f>prod_compiled!AE67</f>
        <v>0</v>
      </c>
      <c r="T33">
        <f>prod_compiled!AF67</f>
        <v>0</v>
      </c>
      <c r="U33">
        <f>prod_compiled!AG67</f>
        <v>0</v>
      </c>
      <c r="V33">
        <f>'Previous year'!Z33</f>
        <v>0</v>
      </c>
      <c r="W33">
        <f>'Previous year'!AA33</f>
        <v>0</v>
      </c>
      <c r="X33">
        <f>'Previous year'!Z72</f>
        <v>0</v>
      </c>
      <c r="Y33">
        <f>'Previous year'!AA72</f>
        <v>0</v>
      </c>
      <c r="Z33">
        <f>'Previous year'!AC72</f>
        <v>0</v>
      </c>
    </row>
    <row r="34" spans="1:26" ht="15.75">
      <c r="A34">
        <v>0.25</v>
      </c>
      <c r="B34">
        <v>11</v>
      </c>
      <c r="C34" s="254" t="s">
        <v>67</v>
      </c>
      <c r="D34" s="256">
        <f>YTDtarget!AC38</f>
        <v>0</v>
      </c>
      <c r="E34" s="256">
        <f>YTDtarget!AB38</f>
        <v>0</v>
      </c>
      <c r="F34" s="256">
        <f>YTDtarget!Z79</f>
        <v>0</v>
      </c>
      <c r="G34" s="256">
        <f>YTDtarget!AA79</f>
        <v>0</v>
      </c>
      <c r="H34" s="256">
        <f>YTDtarget!AB79</f>
        <v>0</v>
      </c>
      <c r="I34" s="260">
        <f ca="1">prod_compiled!AA33</f>
        <v>0</v>
      </c>
      <c r="J34" s="260">
        <f ca="1">prod_compiled!AB33</f>
        <v>0</v>
      </c>
      <c r="K34" s="260">
        <f>prod_compiled!AC33</f>
        <v>0</v>
      </c>
      <c r="L34" s="260">
        <f>prod_compiled!AA68</f>
        <v>0</v>
      </c>
      <c r="M34" s="260">
        <f>prod_compiled!AB68</f>
        <v>0</v>
      </c>
      <c r="N34" s="260">
        <f>prod_compiled!AC68</f>
        <v>0</v>
      </c>
      <c r="O34" s="247" t="s">
        <v>135</v>
      </c>
      <c r="P34">
        <f>prod_compiled!AE33</f>
        <v>0</v>
      </c>
      <c r="Q34">
        <f>prod_compiled!AF33</f>
        <v>0</v>
      </c>
      <c r="R34">
        <f>prod_compiled!AG33</f>
        <v>0</v>
      </c>
      <c r="S34">
        <f>prod_compiled!AE68</f>
        <v>0</v>
      </c>
      <c r="T34">
        <f>prod_compiled!AF68</f>
        <v>0</v>
      </c>
      <c r="U34">
        <f>prod_compiled!AG68</f>
        <v>0</v>
      </c>
      <c r="V34">
        <f>'Previous year'!Z34</f>
        <v>0</v>
      </c>
      <c r="W34">
        <f>'Previous year'!AA34</f>
        <v>0</v>
      </c>
      <c r="X34">
        <f>'Previous year'!Z73</f>
        <v>0</v>
      </c>
      <c r="Y34">
        <f>'Previous year'!AA73</f>
        <v>0</v>
      </c>
      <c r="Z34">
        <f>'Previous year'!AC73</f>
        <v>0</v>
      </c>
    </row>
    <row r="35" spans="1:26" ht="15.75">
      <c r="A35">
        <v>0.24124999999999999</v>
      </c>
      <c r="B35">
        <v>12</v>
      </c>
      <c r="C35" s="254" t="s">
        <v>68</v>
      </c>
      <c r="D35" s="256">
        <f>YTDtarget!AC39</f>
        <v>0</v>
      </c>
      <c r="E35" s="256">
        <f>YTDtarget!AB39</f>
        <v>0</v>
      </c>
      <c r="F35" s="256">
        <f>YTDtarget!Z80</f>
        <v>0</v>
      </c>
      <c r="G35" s="256">
        <f>YTDtarget!AA80</f>
        <v>0</v>
      </c>
      <c r="H35" s="256">
        <f>YTDtarget!AB80</f>
        <v>0</v>
      </c>
      <c r="I35" s="260">
        <f ca="1">prod_compiled!AA34</f>
        <v>0</v>
      </c>
      <c r="J35" s="260">
        <f ca="1">prod_compiled!AB34</f>
        <v>0</v>
      </c>
      <c r="K35" s="260">
        <f>prod_compiled!AC34</f>
        <v>0</v>
      </c>
      <c r="L35" s="260">
        <f>prod_compiled!AA69</f>
        <v>0</v>
      </c>
      <c r="M35" s="260">
        <f>prod_compiled!AB69</f>
        <v>0</v>
      </c>
      <c r="N35" s="260">
        <f>prod_compiled!AC69</f>
        <v>0</v>
      </c>
      <c r="O35" s="247" t="s">
        <v>135</v>
      </c>
      <c r="P35">
        <f>prod_compiled!AE34</f>
        <v>0</v>
      </c>
      <c r="Q35">
        <f>prod_compiled!AF34</f>
        <v>0</v>
      </c>
      <c r="R35">
        <f>prod_compiled!AG34</f>
        <v>0</v>
      </c>
      <c r="S35">
        <f>prod_compiled!AE69</f>
        <v>0</v>
      </c>
      <c r="T35">
        <f>prod_compiled!AF69</f>
        <v>0</v>
      </c>
      <c r="U35">
        <f>prod_compiled!AG69</f>
        <v>0</v>
      </c>
      <c r="V35">
        <f>'Previous year'!Z35</f>
        <v>0</v>
      </c>
      <c r="W35">
        <f>'Previous year'!AA35</f>
        <v>0</v>
      </c>
      <c r="X35">
        <f>'Previous year'!Z74</f>
        <v>0</v>
      </c>
      <c r="Y35">
        <f>'Previous year'!AA74</f>
        <v>0</v>
      </c>
      <c r="Z35">
        <f>'Previous year'!AC74</f>
        <v>0</v>
      </c>
    </row>
    <row r="36" spans="1:26" ht="15.75">
      <c r="A36">
        <v>0.45</v>
      </c>
      <c r="B36">
        <v>13</v>
      </c>
      <c r="C36" s="254" t="s">
        <v>69</v>
      </c>
      <c r="D36" s="256">
        <f>YTDtarget!AC40</f>
        <v>0</v>
      </c>
      <c r="E36" s="256">
        <f>YTDtarget!AB40</f>
        <v>0</v>
      </c>
      <c r="F36" s="256">
        <f>YTDtarget!Z81</f>
        <v>0</v>
      </c>
      <c r="G36" s="256">
        <f>YTDtarget!AA81</f>
        <v>0</v>
      </c>
      <c r="H36" s="256">
        <f>YTDtarget!AB81</f>
        <v>0</v>
      </c>
      <c r="I36" s="260">
        <f ca="1">prod_compiled!AA35</f>
        <v>0</v>
      </c>
      <c r="J36" s="260">
        <f ca="1">prod_compiled!AB35</f>
        <v>0</v>
      </c>
      <c r="K36" s="260">
        <f>prod_compiled!AC35</f>
        <v>0</v>
      </c>
      <c r="L36" s="260">
        <f>prod_compiled!AA70</f>
        <v>0</v>
      </c>
      <c r="M36" s="260">
        <f>prod_compiled!AB70</f>
        <v>0</v>
      </c>
      <c r="N36" s="260">
        <f>prod_compiled!AC70</f>
        <v>0</v>
      </c>
      <c r="O36" s="247" t="s">
        <v>135</v>
      </c>
      <c r="P36">
        <f>prod_compiled!AE35</f>
        <v>0</v>
      </c>
      <c r="Q36">
        <f>prod_compiled!AF35</f>
        <v>0</v>
      </c>
      <c r="R36">
        <f>prod_compiled!AG35</f>
        <v>0.10189041095890411</v>
      </c>
      <c r="S36">
        <f>prod_compiled!AE70</f>
        <v>0</v>
      </c>
      <c r="T36">
        <f>prod_compiled!AF70</f>
        <v>0</v>
      </c>
      <c r="U36">
        <f>prod_compiled!AG70</f>
        <v>1.7000000000000001E-2</v>
      </c>
      <c r="V36">
        <f>'Previous year'!Z36</f>
        <v>0</v>
      </c>
      <c r="W36">
        <f>'Previous year'!AA36</f>
        <v>0</v>
      </c>
      <c r="X36">
        <f>'Previous year'!Z75</f>
        <v>0</v>
      </c>
      <c r="Y36">
        <f>'Previous year'!AA75</f>
        <v>0</v>
      </c>
      <c r="Z36">
        <f>'Previous year'!AC75</f>
        <v>1.7000000000000001E-2</v>
      </c>
    </row>
    <row r="37" spans="1:26" ht="15.75">
      <c r="A37">
        <v>0.17</v>
      </c>
      <c r="B37">
        <v>14</v>
      </c>
      <c r="C37" s="254" t="s">
        <v>70</v>
      </c>
      <c r="D37" s="256">
        <f>YTDtarget!AC41</f>
        <v>0.87423013698630125</v>
      </c>
      <c r="E37" s="256">
        <f>YTDtarget!AB41</f>
        <v>0.36599999999999999</v>
      </c>
      <c r="F37" s="256">
        <f>YTDtarget!Z82</f>
        <v>14.041745730550282</v>
      </c>
      <c r="G37" s="256">
        <f>YTDtarget!AA82</f>
        <v>14.066496163682864</v>
      </c>
      <c r="H37" s="256">
        <f>YTDtarget!AB82</f>
        <v>14.089123883743774</v>
      </c>
      <c r="I37" s="260">
        <f ca="1">prod_compiled!AA36</f>
        <v>0</v>
      </c>
      <c r="J37" s="260">
        <f ca="1">prod_compiled!AB36</f>
        <v>0</v>
      </c>
      <c r="K37" s="260">
        <f>prod_compiled!AC36</f>
        <v>14.07202995152252</v>
      </c>
      <c r="L37" s="260">
        <f>prod_compiled!AA71</f>
        <v>0.36315959784452373</v>
      </c>
      <c r="M37" s="260">
        <f>prod_compiled!AB71</f>
        <v>0.14915959784452371</v>
      </c>
      <c r="N37" s="260">
        <f>prod_compiled!AC71</f>
        <v>7.4159597844523695E-2</v>
      </c>
      <c r="O37" s="247" t="s">
        <v>135</v>
      </c>
      <c r="P37">
        <f>prod_compiled!AE36</f>
        <v>14.21812129032258</v>
      </c>
      <c r="Q37">
        <f>prod_compiled!AF36</f>
        <v>13.800561428571429</v>
      </c>
      <c r="R37">
        <f>prod_compiled!AG36</f>
        <v>12.742046575342465</v>
      </c>
      <c r="S37">
        <f>prod_compiled!AE71</f>
        <v>7.4999999999999997E-2</v>
      </c>
      <c r="T37">
        <f>prod_compiled!AF71</f>
        <v>0.21400000000000002</v>
      </c>
      <c r="U37">
        <f>prod_compiled!AG71</f>
        <v>0.86799999999999999</v>
      </c>
      <c r="V37">
        <f>'Previous year'!Z37</f>
        <v>14.26067741935484</v>
      </c>
      <c r="W37">
        <f>'Previous year'!AA37</f>
        <v>13.658836956521739</v>
      </c>
      <c r="X37">
        <f>'Previous year'!Z76</f>
        <v>7.4999999999999997E-2</v>
      </c>
      <c r="Y37">
        <f>'Previous year'!AA76</f>
        <v>0.214</v>
      </c>
      <c r="Z37">
        <f>'Previous year'!AC76</f>
        <v>0.36700000000000005</v>
      </c>
    </row>
    <row r="38" spans="1:26" ht="15.75">
      <c r="B38">
        <v>15</v>
      </c>
      <c r="C38" s="316" t="s">
        <v>92</v>
      </c>
      <c r="D38" s="311">
        <f>SUM(D24:D37)</f>
        <v>2.5736164383561642</v>
      </c>
      <c r="E38" s="311">
        <f>SUM(E24:E37)</f>
        <v>1.0690000000000002</v>
      </c>
      <c r="F38" s="317">
        <f>F24*$A24+F25*$A25+F26*$A26+F27*$A27+F28*$A28+F29*$A29+F30*$A30+F31*$A31+F32*$A32+F33*$A33+F34*$A34+F35*$A35+F36*$A36+F37*$A37</f>
        <v>6.9677419354838701</v>
      </c>
      <c r="G38" s="317">
        <f>G24*$A24+G25*$A25+G26*$A26+G27*$A27+G28*$A28+G29*$A29+G30*$A30+G31*$A31+G32*$A32+G33*$A33+G34*$A34+G35*$A35+G36*$A36+G37*$A37</f>
        <v>7.0108695652173916</v>
      </c>
      <c r="H38" s="317">
        <f>H24*$A24+H25*$A25+H26*$A26+H27*$A27+H28*$A28+H29*$A29+H30*$A30+H31*$A31+H32*$A32+H33*$A33+H34*$A34+H35*$A35+H36*$A36+H37*$A37</f>
        <v>7.051003940701821</v>
      </c>
      <c r="I38" s="314">
        <f ca="1">I24*$A24+I25*$A25+I26*$A26+IF(K2&lt; DATE(2024, 11, 1), I27 * (2.31 / 100), I27 * (2.925 / 100))+I28*$A28+I29*$A29+I30*$A30+I31*$A31+I32*$A32+I33*$A33+I34*$A34+I35*$A35+I36*$A36+I37*$A37</f>
        <v>0</v>
      </c>
      <c r="J38" s="314">
        <f ca="1">J24*$A24+J25*$A25+J26*$A26+IF(K2&lt; DATE(2024, 11, 1), J27 * (2.31 / 100), J27 * (2.925 / 100))+J28*$A28+J29*$A29+J30*$A30+J31*$A31+J32*$A32+J33*$A33+J34*$A34+J35*$A35+J36*$A36+J37*$A37</f>
        <v>0</v>
      </c>
      <c r="K38" s="314">
        <f>K24*$A24+K25*$A25+K26*$A26+IF(K2&lt; DATE(2024, 11, 1), K27 * (2.31 / 100), K27 * (2.925 / 100))+K28*$A28+K29*$A29+K30*$A30+K31*$A31+K32*$A32+K33*$A33+K34*$A34+K35*$A35+K36*$A36+K37*$A37</f>
        <v>7.1008609315421847</v>
      </c>
      <c r="L38" s="314">
        <f>SUM(L24:L37)</f>
        <v>1.1221266888778076</v>
      </c>
      <c r="M38" s="314">
        <f>SUM(M24:M37)</f>
        <v>0.44112668887780782</v>
      </c>
      <c r="N38" s="314">
        <f>SUM(N24:N37)</f>
        <v>0.22012668887780773</v>
      </c>
      <c r="O38" s="315" t="s">
        <v>135</v>
      </c>
      <c r="P38" s="314">
        <f>P24*$A24+P25*$A25+P26*$A26+P27*$A27+P28*$A28+P29*$A29+P30*$A30+P31*$A31+P32*$A32+P33*$A33+P34*$A34+P35*$A35+P36*$A36+P37*$A37</f>
        <v>6.8474282574193541</v>
      </c>
      <c r="Q38" s="314">
        <f>Q24*$A24+Q25*$A25+Q26*$A26+Q27*$A27+Q28*$A28+Q29*$A29+Q30*$A30+Q31*$A31+Q32*$A32+Q33*$A33+Q34*$A34+Q35*$A35+Q36*$A36+Q37*$A37</f>
        <v>7.4753562190384617</v>
      </c>
      <c r="R38" s="314">
        <f>R24*$A24+R25*$A25+R26*$A26+R27*$A27+R28*$A28+R29*$A29+R30*$A30+R31*$A31+R32*$A32+R33*$A33+R34*$A34+R35*$A35+R36*$A36+R37*$A37</f>
        <v>6.6329485630136986</v>
      </c>
      <c r="S38" s="314">
        <f>SUM(S24:S37)</f>
        <v>0.22100000000000003</v>
      </c>
      <c r="T38" s="314">
        <f>SUM(T24:T37)</f>
        <v>0.68100000000000005</v>
      </c>
      <c r="U38" s="314">
        <f>SUM(U24:U37)</f>
        <v>2.76</v>
      </c>
      <c r="V38" s="314">
        <f>'Previous year'!Z38</f>
        <v>0</v>
      </c>
      <c r="W38" s="314">
        <f>'Previous year'!AA38</f>
        <v>0</v>
      </c>
      <c r="X38" s="314">
        <f>'Previous year'!Z77</f>
        <v>0.17799999999999999</v>
      </c>
      <c r="Y38" s="314">
        <f>'Previous year'!AA77</f>
        <v>0.60699999999999998</v>
      </c>
      <c r="Z38">
        <f>'Previous year'!AC77</f>
        <v>1.091</v>
      </c>
    </row>
    <row r="39" spans="1:26">
      <c r="D39" t="s">
        <v>135</v>
      </c>
      <c r="E39" t="s">
        <v>135</v>
      </c>
      <c r="F39" t="s">
        <v>135</v>
      </c>
      <c r="G39" t="s">
        <v>135</v>
      </c>
      <c r="H39" t="s">
        <v>135</v>
      </c>
      <c r="I39" t="s">
        <v>135</v>
      </c>
      <c r="J39" t="s">
        <v>135</v>
      </c>
      <c r="K39" t="s">
        <v>135</v>
      </c>
      <c r="L39" t="s">
        <v>135</v>
      </c>
      <c r="M39" t="s">
        <v>135</v>
      </c>
      <c r="N39" t="s">
        <v>135</v>
      </c>
    </row>
  </sheetData>
  <mergeCells count="2">
    <mergeCell ref="D5:H5"/>
    <mergeCell ref="I5:N5"/>
  </mergeCell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tabColor rgb="FF7030A0"/>
  </sheetPr>
  <dimension ref="A1:BL59"/>
  <sheetViews>
    <sheetView workbookViewId="0"/>
  </sheetViews>
  <sheetFormatPr defaultColWidth="8.85546875" defaultRowHeight="15"/>
  <cols>
    <col min="2" max="2" width="19.42578125" customWidth="1"/>
    <col min="4" max="4" width="11.42578125" bestFit="1" customWidth="1"/>
  </cols>
  <sheetData>
    <row r="1" spans="1:64">
      <c r="A1" s="482" t="str">
        <f>interFY_transition!D20</f>
        <v>2026-27</v>
      </c>
      <c r="B1" t="s">
        <v>867</v>
      </c>
      <c r="D1" s="482">
        <f>interFY_transition!J21</f>
        <v>202604</v>
      </c>
      <c r="E1" s="482">
        <f>interFY_transition!K21</f>
        <v>202605</v>
      </c>
      <c r="F1" s="482">
        <f>interFY_transition!L21</f>
        <v>202606</v>
      </c>
      <c r="G1" s="482">
        <f>interFY_transition!M21</f>
        <v>202607</v>
      </c>
      <c r="H1" s="482">
        <f>interFY_transition!N21</f>
        <v>202608</v>
      </c>
      <c r="I1" s="482">
        <f>interFY_transition!O21</f>
        <v>202609</v>
      </c>
      <c r="J1" s="482">
        <f>interFY_transition!P21</f>
        <v>202610</v>
      </c>
      <c r="K1" s="482">
        <f>interFY_transition!Q21</f>
        <v>202611</v>
      </c>
      <c r="L1" s="482">
        <f>interFY_transition!R21</f>
        <v>202612</v>
      </c>
      <c r="M1" s="482">
        <f>interFY_transition!S21</f>
        <v>202701</v>
      </c>
      <c r="N1" s="482">
        <f>interFY_transition!T21</f>
        <v>202702</v>
      </c>
      <c r="O1" s="482">
        <f>interFY_transition!U21</f>
        <v>202703</v>
      </c>
      <c r="T1" s="482">
        <f>interFY_transition!J21</f>
        <v>202604</v>
      </c>
      <c r="U1" s="482">
        <f>interFY_transition!K21</f>
        <v>202605</v>
      </c>
      <c r="V1" s="482">
        <f>interFY_transition!L21</f>
        <v>202606</v>
      </c>
      <c r="W1" s="482">
        <f>interFY_transition!M21</f>
        <v>202607</v>
      </c>
      <c r="X1" s="482">
        <f>interFY_transition!N21</f>
        <v>202608</v>
      </c>
      <c r="Y1" s="482">
        <f>interFY_transition!O21</f>
        <v>202609</v>
      </c>
      <c r="Z1" s="482">
        <f>interFY_transition!P21</f>
        <v>202610</v>
      </c>
      <c r="AA1" s="482">
        <f>interFY_transition!Q21</f>
        <v>202611</v>
      </c>
      <c r="AB1" s="482">
        <f>interFY_transition!R21</f>
        <v>202612</v>
      </c>
      <c r="AC1" s="482">
        <f>interFY_transition!S21</f>
        <v>202701</v>
      </c>
      <c r="AD1" s="482">
        <f>interFY_transition!T21</f>
        <v>202702</v>
      </c>
      <c r="AE1" s="482">
        <f>interFY_transition!U21</f>
        <v>202703</v>
      </c>
      <c r="BA1" s="482">
        <f>interFY_transition!J21</f>
        <v>202604</v>
      </c>
      <c r="BB1" s="482">
        <f>interFY_transition!K21</f>
        <v>202605</v>
      </c>
      <c r="BC1" s="482">
        <f>interFY_transition!L21</f>
        <v>202606</v>
      </c>
      <c r="BD1" s="482">
        <f>interFY_transition!M21</f>
        <v>202607</v>
      </c>
      <c r="BE1" s="482">
        <f>interFY_transition!N21</f>
        <v>202608</v>
      </c>
      <c r="BF1" s="482">
        <f>interFY_transition!O21</f>
        <v>202609</v>
      </c>
      <c r="BG1" s="482">
        <f>interFY_transition!P21</f>
        <v>202610</v>
      </c>
      <c r="BH1" s="482">
        <f>interFY_transition!Q21</f>
        <v>202611</v>
      </c>
      <c r="BI1" s="482">
        <f>interFY_transition!R21</f>
        <v>202612</v>
      </c>
      <c r="BJ1" s="482">
        <f>interFY_transition!S21</f>
        <v>202701</v>
      </c>
      <c r="BK1" s="482">
        <f>interFY_transition!T21</f>
        <v>202702</v>
      </c>
      <c r="BL1" s="482">
        <f>interFY_transition!U21</f>
        <v>202703</v>
      </c>
    </row>
    <row r="2" spans="1:64">
      <c r="A2">
        <f>interFY_transition!D21</f>
        <v>2026</v>
      </c>
      <c r="AH2" s="290"/>
      <c r="AI2" s="291"/>
      <c r="AJ2" s="291"/>
      <c r="AK2" s="291"/>
      <c r="AL2" s="291"/>
      <c r="AM2" s="291"/>
      <c r="AN2" s="291"/>
      <c r="AO2" s="291"/>
      <c r="AP2" s="291"/>
      <c r="AQ2" s="291"/>
      <c r="AR2" s="291"/>
      <c r="AS2" s="291"/>
      <c r="AT2" s="291"/>
      <c r="AU2" s="291"/>
      <c r="AV2" s="292"/>
    </row>
    <row r="3" spans="1:64">
      <c r="A3">
        <f>interFY_transition!D22</f>
        <v>2027</v>
      </c>
      <c r="G3" t="s">
        <v>190</v>
      </c>
      <c r="H3">
        <f>Dropdowns!D124</f>
        <v>1</v>
      </c>
      <c r="W3" t="s">
        <v>294</v>
      </c>
      <c r="X3">
        <f>Dropdowns!D125</f>
        <v>0</v>
      </c>
      <c r="AH3" s="293"/>
      <c r="AI3" s="294"/>
      <c r="AJ3" s="294"/>
      <c r="AK3" s="294"/>
      <c r="AL3" s="294"/>
      <c r="AM3" s="294" t="s">
        <v>295</v>
      </c>
      <c r="AN3" s="294"/>
      <c r="AO3" s="294"/>
      <c r="AP3" s="294"/>
      <c r="AQ3" s="294"/>
      <c r="AR3" s="294"/>
      <c r="AS3" s="294"/>
      <c r="AT3" s="294"/>
      <c r="AU3" s="294"/>
      <c r="AV3" s="295"/>
      <c r="BD3" t="s">
        <v>325</v>
      </c>
      <c r="BE3">
        <f>Dropdowns!D126</f>
        <v>0</v>
      </c>
    </row>
    <row r="4" spans="1:64">
      <c r="G4" t="s">
        <v>293</v>
      </c>
      <c r="W4" t="s">
        <v>293</v>
      </c>
      <c r="AH4" s="293"/>
      <c r="AI4" s="294"/>
      <c r="AJ4" s="294"/>
      <c r="AK4" s="294"/>
      <c r="AL4" s="294"/>
      <c r="AM4" s="294" t="s">
        <v>293</v>
      </c>
      <c r="AN4" s="294"/>
      <c r="AO4" s="294"/>
      <c r="AP4" s="294"/>
      <c r="AQ4" s="294"/>
      <c r="AR4" s="294"/>
      <c r="AS4" s="294"/>
      <c r="AT4" s="294"/>
      <c r="AU4" s="294"/>
      <c r="AV4" s="295"/>
      <c r="BD4" t="s">
        <v>293</v>
      </c>
    </row>
    <row r="5" spans="1:64">
      <c r="D5">
        <f>$H$3</f>
        <v>1</v>
      </c>
      <c r="E5">
        <f t="shared" ref="E5:O5" si="0">$H$3</f>
        <v>1</v>
      </c>
      <c r="F5">
        <f t="shared" si="0"/>
        <v>1</v>
      </c>
      <c r="G5">
        <f t="shared" si="0"/>
        <v>1</v>
      </c>
      <c r="H5">
        <f t="shared" si="0"/>
        <v>1</v>
      </c>
      <c r="I5">
        <f t="shared" si="0"/>
        <v>1</v>
      </c>
      <c r="J5">
        <f t="shared" si="0"/>
        <v>1</v>
      </c>
      <c r="K5">
        <f t="shared" si="0"/>
        <v>1</v>
      </c>
      <c r="L5">
        <f t="shared" si="0"/>
        <v>1</v>
      </c>
      <c r="M5">
        <f t="shared" si="0"/>
        <v>1</v>
      </c>
      <c r="N5">
        <f t="shared" si="0"/>
        <v>1</v>
      </c>
      <c r="O5">
        <f t="shared" si="0"/>
        <v>1</v>
      </c>
      <c r="T5">
        <f>$X$3</f>
        <v>0</v>
      </c>
      <c r="U5">
        <f t="shared" ref="U5:AE5" si="1">$X$3</f>
        <v>0</v>
      </c>
      <c r="V5">
        <f t="shared" si="1"/>
        <v>0</v>
      </c>
      <c r="W5">
        <f t="shared" si="1"/>
        <v>0</v>
      </c>
      <c r="X5">
        <f t="shared" si="1"/>
        <v>0</v>
      </c>
      <c r="Y5">
        <f t="shared" si="1"/>
        <v>0</v>
      </c>
      <c r="Z5">
        <f t="shared" si="1"/>
        <v>0</v>
      </c>
      <c r="AA5">
        <f t="shared" si="1"/>
        <v>0</v>
      </c>
      <c r="AB5">
        <f t="shared" si="1"/>
        <v>0</v>
      </c>
      <c r="AC5">
        <f t="shared" si="1"/>
        <v>0</v>
      </c>
      <c r="AD5">
        <f t="shared" si="1"/>
        <v>0</v>
      </c>
      <c r="AE5">
        <f t="shared" si="1"/>
        <v>0</v>
      </c>
      <c r="AH5" s="293"/>
      <c r="AI5" s="294"/>
      <c r="AJ5" s="294"/>
      <c r="AK5" s="294"/>
      <c r="AL5" s="294"/>
      <c r="AM5" s="294"/>
      <c r="AN5" s="294"/>
      <c r="AO5" s="294"/>
      <c r="AP5" s="294"/>
      <c r="AQ5" s="294"/>
      <c r="AR5" s="294"/>
      <c r="AS5" s="294"/>
      <c r="AT5" s="294"/>
      <c r="AU5" s="294"/>
      <c r="AV5" s="295"/>
      <c r="BA5">
        <f>$BE$3</f>
        <v>0</v>
      </c>
      <c r="BB5">
        <f t="shared" ref="BB5:BL5" si="2">$BE$3</f>
        <v>0</v>
      </c>
      <c r="BC5">
        <f t="shared" si="2"/>
        <v>0</v>
      </c>
      <c r="BD5">
        <f t="shared" si="2"/>
        <v>0</v>
      </c>
      <c r="BE5">
        <f t="shared" si="2"/>
        <v>0</v>
      </c>
      <c r="BF5">
        <f t="shared" si="2"/>
        <v>0</v>
      </c>
      <c r="BG5">
        <f t="shared" si="2"/>
        <v>0</v>
      </c>
      <c r="BH5">
        <f t="shared" si="2"/>
        <v>0</v>
      </c>
      <c r="BI5">
        <f t="shared" si="2"/>
        <v>0</v>
      </c>
      <c r="BJ5">
        <f t="shared" si="2"/>
        <v>0</v>
      </c>
      <c r="BK5">
        <f t="shared" si="2"/>
        <v>0</v>
      </c>
      <c r="BL5">
        <f t="shared" si="2"/>
        <v>0</v>
      </c>
    </row>
    <row r="6" spans="1:64" ht="28.35" customHeight="1">
      <c r="B6" s="301" t="s">
        <v>869</v>
      </c>
      <c r="D6" s="502" t="str">
        <f>interFY_transition!J20</f>
        <v>Apr'26</v>
      </c>
      <c r="E6" s="502" t="str">
        <f>interFY_transition!K20</f>
        <v>May'26</v>
      </c>
      <c r="F6" s="502" t="str">
        <f>interFY_transition!L20</f>
        <v>June'26</v>
      </c>
      <c r="G6" s="502" t="str">
        <f>interFY_transition!M20</f>
        <v>July'26</v>
      </c>
      <c r="H6" s="502" t="str">
        <f>interFY_transition!N20</f>
        <v>Aug'26</v>
      </c>
      <c r="I6" s="502" t="str">
        <f>interFY_transition!O20</f>
        <v>Sep'26</v>
      </c>
      <c r="J6" s="502" t="str">
        <f>interFY_transition!P20</f>
        <v>Oct'26</v>
      </c>
      <c r="K6" s="502" t="str">
        <f>interFY_transition!Q20</f>
        <v>Nov'26</v>
      </c>
      <c r="L6" s="502" t="str">
        <f>interFY_transition!R20</f>
        <v>Dec'26</v>
      </c>
      <c r="M6" s="502" t="str">
        <f>interFY_transition!S20</f>
        <v>Jan'27</v>
      </c>
      <c r="N6" s="502" t="str">
        <f>interFY_transition!T20</f>
        <v>Feb'27</v>
      </c>
      <c r="O6" s="502" t="str">
        <f>interFY_transition!U20</f>
        <v>Mar'27</v>
      </c>
      <c r="T6" s="184" t="str">
        <f>D6</f>
        <v>Apr'26</v>
      </c>
      <c r="U6" s="184" t="str">
        <f t="shared" ref="U6:AE6" si="3">E6</f>
        <v>May'26</v>
      </c>
      <c r="V6" s="184" t="str">
        <f t="shared" si="3"/>
        <v>June'26</v>
      </c>
      <c r="W6" s="184" t="str">
        <f t="shared" si="3"/>
        <v>July'26</v>
      </c>
      <c r="X6" s="184" t="str">
        <f t="shared" si="3"/>
        <v>Aug'26</v>
      </c>
      <c r="Y6" s="184" t="str">
        <f t="shared" si="3"/>
        <v>Sep'26</v>
      </c>
      <c r="Z6" s="184" t="str">
        <f t="shared" si="3"/>
        <v>Oct'26</v>
      </c>
      <c r="AA6" s="184" t="str">
        <f t="shared" si="3"/>
        <v>Nov'26</v>
      </c>
      <c r="AB6" s="184" t="str">
        <f t="shared" si="3"/>
        <v>Dec'26</v>
      </c>
      <c r="AC6" s="184" t="str">
        <f t="shared" si="3"/>
        <v>Jan'27</v>
      </c>
      <c r="AD6" s="184" t="str">
        <f t="shared" si="3"/>
        <v>Feb'27</v>
      </c>
      <c r="AE6" s="184" t="str">
        <f t="shared" si="3"/>
        <v>Mar'27</v>
      </c>
      <c r="AH6" s="293"/>
      <c r="AI6" s="294"/>
      <c r="AJ6" s="184" t="str">
        <f>D6</f>
        <v>Apr'26</v>
      </c>
      <c r="AK6" s="184" t="str">
        <f t="shared" ref="AK6:AU6" si="4">E6</f>
        <v>May'26</v>
      </c>
      <c r="AL6" s="184" t="str">
        <f t="shared" si="4"/>
        <v>June'26</v>
      </c>
      <c r="AM6" s="184" t="str">
        <f t="shared" si="4"/>
        <v>July'26</v>
      </c>
      <c r="AN6" s="184" t="str">
        <f t="shared" si="4"/>
        <v>Aug'26</v>
      </c>
      <c r="AO6" s="184" t="str">
        <f t="shared" si="4"/>
        <v>Sep'26</v>
      </c>
      <c r="AP6" s="184" t="str">
        <f t="shared" si="4"/>
        <v>Oct'26</v>
      </c>
      <c r="AQ6" s="184" t="str">
        <f t="shared" si="4"/>
        <v>Nov'26</v>
      </c>
      <c r="AR6" s="184" t="str">
        <f t="shared" si="4"/>
        <v>Dec'26</v>
      </c>
      <c r="AS6" s="184" t="str">
        <f t="shared" si="4"/>
        <v>Jan'27</v>
      </c>
      <c r="AT6" s="184" t="str">
        <f t="shared" si="4"/>
        <v>Feb'27</v>
      </c>
      <c r="AU6" s="184" t="str">
        <f t="shared" si="4"/>
        <v>Mar'27</v>
      </c>
      <c r="AV6" s="295"/>
      <c r="BA6" s="184" t="str">
        <f>D6</f>
        <v>Apr'26</v>
      </c>
      <c r="BB6" s="184" t="str">
        <f t="shared" ref="BB6:BL6" si="5">E6</f>
        <v>May'26</v>
      </c>
      <c r="BC6" s="184" t="str">
        <f t="shared" si="5"/>
        <v>June'26</v>
      </c>
      <c r="BD6" s="184" t="str">
        <f t="shared" si="5"/>
        <v>July'26</v>
      </c>
      <c r="BE6" s="184" t="str">
        <f t="shared" si="5"/>
        <v>Aug'26</v>
      </c>
      <c r="BF6" s="184" t="str">
        <f t="shared" si="5"/>
        <v>Sep'26</v>
      </c>
      <c r="BG6" s="184" t="str">
        <f t="shared" si="5"/>
        <v>Oct'26</v>
      </c>
      <c r="BH6" s="184" t="str">
        <f t="shared" si="5"/>
        <v>Nov'26</v>
      </c>
      <c r="BI6" s="184" t="str">
        <f t="shared" si="5"/>
        <v>Dec'26</v>
      </c>
      <c r="BJ6" s="184" t="str">
        <f t="shared" si="5"/>
        <v>Jan'27</v>
      </c>
      <c r="BK6" s="184" t="str">
        <f t="shared" si="5"/>
        <v>Feb'27</v>
      </c>
      <c r="BL6" s="184" t="str">
        <f t="shared" si="5"/>
        <v>Mar'27</v>
      </c>
    </row>
    <row r="7" spans="1:64">
      <c r="B7" s="303">
        <f>D42*D$41+T42*T$41+BA42*BA$41</f>
        <v>7.39</v>
      </c>
      <c r="C7" s="209" t="s">
        <v>60</v>
      </c>
      <c r="D7" s="304">
        <f>HLOOKUP(D$1,Storage_Targets!$E$8:$AZ$23,Storage_Targets!$C10,FALSE)</f>
        <v>0.115</v>
      </c>
      <c r="E7" s="304">
        <f>HLOOKUP(E$1,Storage_Targets!$E$8:$AZ$23,Storage_Targets!$C10,FALSE)</f>
        <v>0.11799999999999999</v>
      </c>
      <c r="F7" s="304">
        <f>HLOOKUP(F$1,Storage_Targets!$E$8:$AZ$23,Storage_Targets!$C10,FALSE)</f>
        <v>0.114</v>
      </c>
      <c r="G7" s="304">
        <f>HLOOKUP(G$1,Storage_Targets!$E$8:$AZ$23,Storage_Targets!$C10,FALSE)</f>
        <v>0.11799999999999999</v>
      </c>
      <c r="H7" s="304">
        <f>HLOOKUP(H$1,Storage_Targets!$E$8:$AZ$23,Storage_Targets!$C10,FALSE)</f>
        <v>0.11700000000000001</v>
      </c>
      <c r="I7" s="304">
        <f>HLOOKUP(I$1,Storage_Targets!$E$8:$AZ$23,Storage_Targets!$C10,FALSE)</f>
        <v>0.115</v>
      </c>
      <c r="J7" s="304">
        <f>HLOOKUP(J$1,Storage_Targets!$E$8:$AZ$23,Storage_Targets!$C10,FALSE)</f>
        <v>0.11700000000000001</v>
      </c>
      <c r="K7" s="304">
        <f>HLOOKUP(K$1,Storage_Targets!$E$8:$AZ$23,Storage_Targets!$C10,FALSE)</f>
        <v>0.112</v>
      </c>
      <c r="L7" s="304">
        <f>HLOOKUP(L$1,Storage_Targets!$E$8:$AZ$23,Storage_Targets!$C10,FALSE)</f>
        <v>0.114</v>
      </c>
      <c r="M7" s="304">
        <f>HLOOKUP(M$1,Storage_Targets!$E$8:$AZ$23,Storage_Targets!$C10,FALSE)</f>
        <v>0.113</v>
      </c>
      <c r="N7" s="304">
        <f>HLOOKUP(N$1,Storage_Targets!$E$8:$AZ$23,Storage_Targets!$C10,FALSE)</f>
        <v>0.10299999999999999</v>
      </c>
      <c r="O7" s="304">
        <f>HLOOKUP(O$1,Storage_Targets!$E$8:$AZ$23,Storage_Targets!$C10,FALSE)</f>
        <v>0.113</v>
      </c>
      <c r="Q7" s="264">
        <f>SUM(D7:O7)</f>
        <v>1.369</v>
      </c>
      <c r="S7" s="209" t="s">
        <v>60</v>
      </c>
      <c r="T7" s="304">
        <f>HLOOKUP(T$1,Storage_Targets!$E$68:$AZ$83,Storage_Targets!$C70,FALSE)</f>
        <v>0</v>
      </c>
      <c r="U7" s="304">
        <f>HLOOKUP(U$1,Storage_Targets!$E$68:$AZ$83,Storage_Targets!$C70,FALSE)</f>
        <v>0</v>
      </c>
      <c r="V7" s="304">
        <f>HLOOKUP(V$1,Storage_Targets!$E$68:$AZ$83,Storage_Targets!$C70,FALSE)</f>
        <v>0</v>
      </c>
      <c r="W7" s="304">
        <f>HLOOKUP(W$1,Storage_Targets!$E$68:$AZ$83,Storage_Targets!$C70,FALSE)</f>
        <v>0</v>
      </c>
      <c r="X7" s="304">
        <f>HLOOKUP(X$1,Storage_Targets!$E$68:$AZ$83,Storage_Targets!$C70,FALSE)</f>
        <v>0</v>
      </c>
      <c r="Y7" s="304">
        <f>HLOOKUP(Y$1,Storage_Targets!$E$68:$AZ$83,Storage_Targets!$C70,FALSE)</f>
        <v>0</v>
      </c>
      <c r="Z7" s="304">
        <f>HLOOKUP(Z$1,Storage_Targets!$E$68:$AZ$83,Storage_Targets!$C70,FALSE)</f>
        <v>0</v>
      </c>
      <c r="AA7" s="304">
        <f>HLOOKUP(AA$1,Storage_Targets!$E$68:$AZ$83,Storage_Targets!$C70,FALSE)</f>
        <v>0</v>
      </c>
      <c r="AB7" s="304">
        <f>HLOOKUP(AB$1,Storage_Targets!$E$68:$AZ$83,Storage_Targets!$C70,FALSE)</f>
        <v>0</v>
      </c>
      <c r="AC7" s="304">
        <f>HLOOKUP(AC$1,Storage_Targets!$E$68:$AZ$83,Storage_Targets!$C70,FALSE)</f>
        <v>0</v>
      </c>
      <c r="AD7" s="304">
        <f>HLOOKUP(AD$1,Storage_Targets!$E$68:$AZ$83,Storage_Targets!$C70,FALSE)</f>
        <v>0</v>
      </c>
      <c r="AE7" s="304">
        <f>HLOOKUP(AE$1,Storage_Targets!$E$68:$AZ$83,Storage_Targets!$C70,FALSE)</f>
        <v>0</v>
      </c>
      <c r="AH7" s="293"/>
      <c r="AI7" s="296" t="s">
        <v>60</v>
      </c>
      <c r="AJ7" s="307">
        <f>(D7*D$5)+(T7*T$5)+(BA7*BA$5)</f>
        <v>0.115</v>
      </c>
      <c r="AK7" s="307">
        <f t="shared" ref="AK7:AU20" si="6">(E7*E$5)+(U7*U$5)+(BB7*BB$5)</f>
        <v>0.11799999999999999</v>
      </c>
      <c r="AL7" s="307">
        <f t="shared" si="6"/>
        <v>0.114</v>
      </c>
      <c r="AM7" s="307">
        <f t="shared" si="6"/>
        <v>0.11799999999999999</v>
      </c>
      <c r="AN7" s="307">
        <f t="shared" si="6"/>
        <v>0.11700000000000001</v>
      </c>
      <c r="AO7" s="307">
        <f t="shared" si="6"/>
        <v>0.115</v>
      </c>
      <c r="AP7" s="307">
        <f t="shared" si="6"/>
        <v>0.11700000000000001</v>
      </c>
      <c r="AQ7" s="307">
        <f t="shared" si="6"/>
        <v>0.112</v>
      </c>
      <c r="AR7" s="307">
        <f t="shared" si="6"/>
        <v>0.114</v>
      </c>
      <c r="AS7" s="307">
        <f t="shared" si="6"/>
        <v>0.113</v>
      </c>
      <c r="AT7" s="307">
        <f t="shared" si="6"/>
        <v>0.10299999999999999</v>
      </c>
      <c r="AU7" s="307">
        <f t="shared" si="6"/>
        <v>0.113</v>
      </c>
      <c r="AV7" s="295"/>
      <c r="AZ7" s="209" t="s">
        <v>60</v>
      </c>
      <c r="BA7" s="304">
        <f>HLOOKUP(BA$1,Storage_Targets!$E$128:$AZ$143,Storage_Targets!$C130,FALSE)</f>
        <v>0</v>
      </c>
      <c r="BB7" s="304">
        <f>HLOOKUP(BB$1,Storage_Targets!$E$128:$AZ$143,Storage_Targets!$C130,FALSE)</f>
        <v>0</v>
      </c>
      <c r="BC7" s="304">
        <f>HLOOKUP(BC$1,Storage_Targets!$E$128:$AZ$143,Storage_Targets!$C130,FALSE)</f>
        <v>0</v>
      </c>
      <c r="BD7" s="304">
        <f>HLOOKUP(BD$1,Storage_Targets!$E$128:$AZ$143,Storage_Targets!$C130,FALSE)</f>
        <v>0</v>
      </c>
      <c r="BE7" s="304">
        <f>HLOOKUP(BE$1,Storage_Targets!$E$128:$AZ$143,Storage_Targets!$C130,FALSE)</f>
        <v>0</v>
      </c>
      <c r="BF7" s="304">
        <f>HLOOKUP(BF$1,Storage_Targets!$E$128:$AZ$143,Storage_Targets!$C130,FALSE)</f>
        <v>0</v>
      </c>
      <c r="BG7" s="304">
        <f>HLOOKUP(BG$1,Storage_Targets!$E$128:$AZ$143,Storage_Targets!$C130,FALSE)</f>
        <v>0</v>
      </c>
      <c r="BH7" s="304">
        <f>HLOOKUP(BH$1,Storage_Targets!$E$128:$AZ$143,Storage_Targets!$C130,FALSE)</f>
        <v>0</v>
      </c>
      <c r="BI7" s="304">
        <f>HLOOKUP(BI$1,Storage_Targets!$E$128:$AZ$143,Storage_Targets!$C130,FALSE)</f>
        <v>0</v>
      </c>
      <c r="BJ7" s="304">
        <f>HLOOKUP(BJ$1,Storage_Targets!$E$128:$AZ$143,Storage_Targets!$C130,FALSE)</f>
        <v>0</v>
      </c>
      <c r="BK7" s="304">
        <f>HLOOKUP(BK$1,Storage_Targets!$E$128:$AZ$143,Storage_Targets!$C130,FALSE)</f>
        <v>0</v>
      </c>
      <c r="BL7" s="304">
        <f>HLOOKUP(BL$1,Storage_Targets!$E$128:$AZ$143,Storage_Targets!$C130,FALSE)</f>
        <v>0</v>
      </c>
    </row>
    <row r="8" spans="1:64">
      <c r="B8" s="303">
        <f t="shared" ref="B8:B18" si="7">D43*D$41+T43*T$41+BA43*BA$41</f>
        <v>7.44</v>
      </c>
      <c r="C8" s="209" t="s">
        <v>61</v>
      </c>
      <c r="D8" s="304">
        <f>HLOOKUP(D$1,Storage_Targets!$E$8:$AZ$23,Storage_Targets!$C11,FALSE)</f>
        <v>0.183</v>
      </c>
      <c r="E8" s="304">
        <f>HLOOKUP(E$1,Storage_Targets!$E$8:$AZ$23,Storage_Targets!$C11,FALSE)</f>
        <v>0.189</v>
      </c>
      <c r="F8" s="304">
        <f>HLOOKUP(F$1,Storage_Targets!$E$8:$AZ$23,Storage_Targets!$C11,FALSE)</f>
        <v>0.184</v>
      </c>
      <c r="G8" s="304">
        <f>HLOOKUP(G$1,Storage_Targets!$E$8:$AZ$23,Storage_Targets!$C11,FALSE)</f>
        <v>0.189</v>
      </c>
      <c r="H8" s="304">
        <f>HLOOKUP(H$1,Storage_Targets!$E$8:$AZ$23,Storage_Targets!$C11,FALSE)</f>
        <v>0.189</v>
      </c>
      <c r="I8" s="304">
        <f>HLOOKUP(I$1,Storage_Targets!$E$8:$AZ$23,Storage_Targets!$C11,FALSE)</f>
        <v>0.183</v>
      </c>
      <c r="J8" s="304">
        <f>HLOOKUP(J$1,Storage_Targets!$E$8:$AZ$23,Storage_Targets!$C11,FALSE)</f>
        <v>0.189</v>
      </c>
      <c r="K8" s="304">
        <f>HLOOKUP(K$1,Storage_Targets!$E$8:$AZ$23,Storage_Targets!$C11,FALSE)</f>
        <v>0.183</v>
      </c>
      <c r="L8" s="304">
        <f>HLOOKUP(L$1,Storage_Targets!$E$8:$AZ$23,Storage_Targets!$C11,FALSE)</f>
        <v>0.189</v>
      </c>
      <c r="M8" s="304">
        <f>HLOOKUP(M$1,Storage_Targets!$E$8:$AZ$23,Storage_Targets!$C11,FALSE)</f>
        <v>0.189</v>
      </c>
      <c r="N8" s="304">
        <f>HLOOKUP(N$1,Storage_Targets!$E$8:$AZ$23,Storage_Targets!$C11,FALSE)</f>
        <v>0.17100000000000001</v>
      </c>
      <c r="O8" s="304">
        <f>HLOOKUP(O$1,Storage_Targets!$E$8:$AZ$23,Storage_Targets!$C11,FALSE)</f>
        <v>0.189</v>
      </c>
      <c r="Q8" s="264">
        <f t="shared" ref="Q8:Q20" si="8">SUM(D8:O8)</f>
        <v>2.2270000000000003</v>
      </c>
      <c r="S8" s="209" t="s">
        <v>61</v>
      </c>
      <c r="T8" s="304">
        <f>HLOOKUP(T$1,Storage_Targets!$E$68:$AZ$83,Storage_Targets!$C71,FALSE)</f>
        <v>0</v>
      </c>
      <c r="U8" s="304">
        <f>HLOOKUP(U$1,Storage_Targets!$E$68:$AZ$83,Storage_Targets!$C71,FALSE)</f>
        <v>0</v>
      </c>
      <c r="V8" s="304">
        <f>HLOOKUP(V$1,Storage_Targets!$E$68:$AZ$83,Storage_Targets!$C71,FALSE)</f>
        <v>0</v>
      </c>
      <c r="W8" s="304">
        <f>HLOOKUP(W$1,Storage_Targets!$E$68:$AZ$83,Storage_Targets!$C71,FALSE)</f>
        <v>0</v>
      </c>
      <c r="X8" s="304">
        <f>HLOOKUP(X$1,Storage_Targets!$E$68:$AZ$83,Storage_Targets!$C71,FALSE)</f>
        <v>0</v>
      </c>
      <c r="Y8" s="304">
        <f>HLOOKUP(Y$1,Storage_Targets!$E$68:$AZ$83,Storage_Targets!$C71,FALSE)</f>
        <v>0</v>
      </c>
      <c r="Z8" s="304">
        <f>HLOOKUP(Z$1,Storage_Targets!$E$68:$AZ$83,Storage_Targets!$C71,FALSE)</f>
        <v>0</v>
      </c>
      <c r="AA8" s="304">
        <f>HLOOKUP(AA$1,Storage_Targets!$E$68:$AZ$83,Storage_Targets!$C71,FALSE)</f>
        <v>0</v>
      </c>
      <c r="AB8" s="304">
        <f>HLOOKUP(AB$1,Storage_Targets!$E$68:$AZ$83,Storage_Targets!$C71,FALSE)</f>
        <v>0</v>
      </c>
      <c r="AC8" s="304">
        <f>HLOOKUP(AC$1,Storage_Targets!$E$68:$AZ$83,Storage_Targets!$C71,FALSE)</f>
        <v>0</v>
      </c>
      <c r="AD8" s="304">
        <f>HLOOKUP(AD$1,Storage_Targets!$E$68:$AZ$83,Storage_Targets!$C71,FALSE)</f>
        <v>0</v>
      </c>
      <c r="AE8" s="304">
        <f>HLOOKUP(AE$1,Storage_Targets!$E$68:$AZ$83,Storage_Targets!$C71,FALSE)</f>
        <v>0</v>
      </c>
      <c r="AH8" s="293"/>
      <c r="AI8" s="296" t="s">
        <v>61</v>
      </c>
      <c r="AJ8" s="307">
        <f t="shared" ref="AJ8:AJ20" si="9">(D8*D$5)+(T8*T$5)+(BA8*BA$5)</f>
        <v>0.183</v>
      </c>
      <c r="AK8" s="307">
        <f t="shared" si="6"/>
        <v>0.189</v>
      </c>
      <c r="AL8" s="307">
        <f t="shared" si="6"/>
        <v>0.184</v>
      </c>
      <c r="AM8" s="307">
        <f t="shared" si="6"/>
        <v>0.189</v>
      </c>
      <c r="AN8" s="307">
        <f t="shared" si="6"/>
        <v>0.189</v>
      </c>
      <c r="AO8" s="307">
        <f t="shared" si="6"/>
        <v>0.183</v>
      </c>
      <c r="AP8" s="307">
        <f t="shared" si="6"/>
        <v>0.189</v>
      </c>
      <c r="AQ8" s="307">
        <f t="shared" si="6"/>
        <v>0.183</v>
      </c>
      <c r="AR8" s="307">
        <f t="shared" si="6"/>
        <v>0.189</v>
      </c>
      <c r="AS8" s="307">
        <f t="shared" si="6"/>
        <v>0.189</v>
      </c>
      <c r="AT8" s="307">
        <f t="shared" si="6"/>
        <v>0.17100000000000001</v>
      </c>
      <c r="AU8" s="307">
        <f t="shared" si="6"/>
        <v>0.189</v>
      </c>
      <c r="AV8" s="295"/>
      <c r="AZ8" s="209" t="s">
        <v>61</v>
      </c>
      <c r="BA8" s="304">
        <f>HLOOKUP(BA$1,Storage_Targets!$E$128:$AZ$143,Storage_Targets!$C131,FALSE)</f>
        <v>0</v>
      </c>
      <c r="BB8" s="304">
        <f>HLOOKUP(BB$1,Storage_Targets!$E$128:$AZ$143,Storage_Targets!$C131,FALSE)</f>
        <v>0</v>
      </c>
      <c r="BC8" s="304">
        <f>HLOOKUP(BC$1,Storage_Targets!$E$128:$AZ$143,Storage_Targets!$C131,FALSE)</f>
        <v>0</v>
      </c>
      <c r="BD8" s="304">
        <f>HLOOKUP(BD$1,Storage_Targets!$E$128:$AZ$143,Storage_Targets!$C131,FALSE)</f>
        <v>0</v>
      </c>
      <c r="BE8" s="304">
        <f>HLOOKUP(BE$1,Storage_Targets!$E$128:$AZ$143,Storage_Targets!$C131,FALSE)</f>
        <v>0</v>
      </c>
      <c r="BF8" s="304">
        <f>HLOOKUP(BF$1,Storage_Targets!$E$128:$AZ$143,Storage_Targets!$C131,FALSE)</f>
        <v>0</v>
      </c>
      <c r="BG8" s="304">
        <f>HLOOKUP(BG$1,Storage_Targets!$E$128:$AZ$143,Storage_Targets!$C131,FALSE)</f>
        <v>0</v>
      </c>
      <c r="BH8" s="304">
        <f>HLOOKUP(BH$1,Storage_Targets!$E$128:$AZ$143,Storage_Targets!$C131,FALSE)</f>
        <v>0</v>
      </c>
      <c r="BI8" s="304">
        <f>HLOOKUP(BI$1,Storage_Targets!$E$128:$AZ$143,Storage_Targets!$C131,FALSE)</f>
        <v>0</v>
      </c>
      <c r="BJ8" s="304">
        <f>HLOOKUP(BJ$1,Storage_Targets!$E$128:$AZ$143,Storage_Targets!$C131,FALSE)</f>
        <v>0</v>
      </c>
      <c r="BK8" s="304">
        <f>HLOOKUP(BK$1,Storage_Targets!$E$128:$AZ$143,Storage_Targets!$C131,FALSE)</f>
        <v>0</v>
      </c>
      <c r="BL8" s="304">
        <f>HLOOKUP(BL$1,Storage_Targets!$E$128:$AZ$143,Storage_Targets!$C131,FALSE)</f>
        <v>0</v>
      </c>
    </row>
    <row r="9" spans="1:64">
      <c r="B9" s="303">
        <f t="shared" si="7"/>
        <v>7.6</v>
      </c>
      <c r="C9" s="209" t="s">
        <v>62</v>
      </c>
      <c r="D9" s="304">
        <f>HLOOKUP(D$1,Storage_Targets!$E$8:$AZ$23,Storage_Targets!$C12,FALSE)</f>
        <v>8.0000000000000002E-3</v>
      </c>
      <c r="E9" s="304">
        <f>HLOOKUP(E$1,Storage_Targets!$E$8:$AZ$23,Storage_Targets!$C12,FALSE)</f>
        <v>8.0000000000000002E-3</v>
      </c>
      <c r="F9" s="304">
        <f>HLOOKUP(F$1,Storage_Targets!$E$8:$AZ$23,Storage_Targets!$C12,FALSE)</f>
        <v>8.0000000000000002E-3</v>
      </c>
      <c r="G9" s="304">
        <f>HLOOKUP(G$1,Storage_Targets!$E$8:$AZ$23,Storage_Targets!$C12,FALSE)</f>
        <v>8.9999999999999993E-3</v>
      </c>
      <c r="H9" s="304">
        <f>HLOOKUP(H$1,Storage_Targets!$E$8:$AZ$23,Storage_Targets!$C12,FALSE)</f>
        <v>8.9999999999999993E-3</v>
      </c>
      <c r="I9" s="304">
        <f>HLOOKUP(I$1,Storage_Targets!$E$8:$AZ$23,Storage_Targets!$C12,FALSE)</f>
        <v>8.0000000000000002E-3</v>
      </c>
      <c r="J9" s="304">
        <f>HLOOKUP(J$1,Storage_Targets!$E$8:$AZ$23,Storage_Targets!$C12,FALSE)</f>
        <v>8.9999999999999993E-3</v>
      </c>
      <c r="K9" s="304">
        <f>HLOOKUP(K$1,Storage_Targets!$E$8:$AZ$23,Storage_Targets!$C12,FALSE)</f>
        <v>8.0000000000000002E-3</v>
      </c>
      <c r="L9" s="304">
        <f>HLOOKUP(L$1,Storage_Targets!$E$8:$AZ$23,Storage_Targets!$C12,FALSE)</f>
        <v>8.0000000000000002E-3</v>
      </c>
      <c r="M9" s="304">
        <f>HLOOKUP(M$1,Storage_Targets!$E$8:$AZ$23,Storage_Targets!$C12,FALSE)</f>
        <v>8.9999999999999993E-3</v>
      </c>
      <c r="N9" s="304">
        <f>HLOOKUP(N$1,Storage_Targets!$E$8:$AZ$23,Storage_Targets!$C12,FALSE)</f>
        <v>8.0000000000000002E-3</v>
      </c>
      <c r="O9" s="304">
        <f>HLOOKUP(O$1,Storage_Targets!$E$8:$AZ$23,Storage_Targets!$C12,FALSE)</f>
        <v>8.9999999999999993E-3</v>
      </c>
      <c r="Q9" s="264">
        <f t="shared" si="8"/>
        <v>0.10099999999999999</v>
      </c>
      <c r="S9" s="209" t="s">
        <v>62</v>
      </c>
      <c r="T9" s="304">
        <f>HLOOKUP(T$1,Storage_Targets!$E$68:$AZ$83,Storage_Targets!$C72,FALSE)</f>
        <v>0</v>
      </c>
      <c r="U9" s="304">
        <f>HLOOKUP(U$1,Storage_Targets!$E$68:$AZ$83,Storage_Targets!$C72,FALSE)</f>
        <v>0</v>
      </c>
      <c r="V9" s="304">
        <f>HLOOKUP(V$1,Storage_Targets!$E$68:$AZ$83,Storage_Targets!$C72,FALSE)</f>
        <v>0</v>
      </c>
      <c r="W9" s="304">
        <f>HLOOKUP(W$1,Storage_Targets!$E$68:$AZ$83,Storage_Targets!$C72,FALSE)</f>
        <v>0</v>
      </c>
      <c r="X9" s="304">
        <f>HLOOKUP(X$1,Storage_Targets!$E$68:$AZ$83,Storage_Targets!$C72,FALSE)</f>
        <v>0</v>
      </c>
      <c r="Y9" s="304">
        <f>HLOOKUP(Y$1,Storage_Targets!$E$68:$AZ$83,Storage_Targets!$C72,FALSE)</f>
        <v>0</v>
      </c>
      <c r="Z9" s="304">
        <f>HLOOKUP(Z$1,Storage_Targets!$E$68:$AZ$83,Storage_Targets!$C72,FALSE)</f>
        <v>0</v>
      </c>
      <c r="AA9" s="304">
        <f>HLOOKUP(AA$1,Storage_Targets!$E$68:$AZ$83,Storage_Targets!$C72,FALSE)</f>
        <v>0</v>
      </c>
      <c r="AB9" s="304">
        <f>HLOOKUP(AB$1,Storage_Targets!$E$68:$AZ$83,Storage_Targets!$C72,FALSE)</f>
        <v>0</v>
      </c>
      <c r="AC9" s="304">
        <f>HLOOKUP(AC$1,Storage_Targets!$E$68:$AZ$83,Storage_Targets!$C72,FALSE)</f>
        <v>0</v>
      </c>
      <c r="AD9" s="304">
        <f>HLOOKUP(AD$1,Storage_Targets!$E$68:$AZ$83,Storage_Targets!$C72,FALSE)</f>
        <v>0</v>
      </c>
      <c r="AE9" s="304">
        <f>HLOOKUP(AE$1,Storage_Targets!$E$68:$AZ$83,Storage_Targets!$C72,FALSE)</f>
        <v>0</v>
      </c>
      <c r="AH9" s="293"/>
      <c r="AI9" s="296" t="s">
        <v>62</v>
      </c>
      <c r="AJ9" s="307">
        <f t="shared" si="9"/>
        <v>8.0000000000000002E-3</v>
      </c>
      <c r="AK9" s="307">
        <f t="shared" si="6"/>
        <v>8.0000000000000002E-3</v>
      </c>
      <c r="AL9" s="307">
        <f t="shared" si="6"/>
        <v>8.0000000000000002E-3</v>
      </c>
      <c r="AM9" s="307">
        <f t="shared" si="6"/>
        <v>8.9999999999999993E-3</v>
      </c>
      <c r="AN9" s="307">
        <f t="shared" si="6"/>
        <v>8.9999999999999993E-3</v>
      </c>
      <c r="AO9" s="307">
        <f t="shared" si="6"/>
        <v>8.0000000000000002E-3</v>
      </c>
      <c r="AP9" s="307">
        <f t="shared" si="6"/>
        <v>8.9999999999999993E-3</v>
      </c>
      <c r="AQ9" s="307">
        <f t="shared" si="6"/>
        <v>8.0000000000000002E-3</v>
      </c>
      <c r="AR9" s="307">
        <f t="shared" si="6"/>
        <v>8.0000000000000002E-3</v>
      </c>
      <c r="AS9" s="307">
        <f t="shared" si="6"/>
        <v>8.9999999999999993E-3</v>
      </c>
      <c r="AT9" s="307">
        <f t="shared" si="6"/>
        <v>8.0000000000000002E-3</v>
      </c>
      <c r="AU9" s="307">
        <f t="shared" si="6"/>
        <v>8.9999999999999993E-3</v>
      </c>
      <c r="AV9" s="295"/>
      <c r="AZ9" s="209" t="s">
        <v>62</v>
      </c>
      <c r="BA9" s="304">
        <f>HLOOKUP(BA$1,Storage_Targets!$E$128:$AZ$143,Storage_Targets!$C132,FALSE)</f>
        <v>0</v>
      </c>
      <c r="BB9" s="304">
        <f>HLOOKUP(BB$1,Storage_Targets!$E$128:$AZ$143,Storage_Targets!$C132,FALSE)</f>
        <v>0</v>
      </c>
      <c r="BC9" s="304">
        <f>HLOOKUP(BC$1,Storage_Targets!$E$128:$AZ$143,Storage_Targets!$C132,FALSE)</f>
        <v>0</v>
      </c>
      <c r="BD9" s="304">
        <f>HLOOKUP(BD$1,Storage_Targets!$E$128:$AZ$143,Storage_Targets!$C132,FALSE)</f>
        <v>0</v>
      </c>
      <c r="BE9" s="304">
        <f>HLOOKUP(BE$1,Storage_Targets!$E$128:$AZ$143,Storage_Targets!$C132,FALSE)</f>
        <v>0</v>
      </c>
      <c r="BF9" s="304">
        <f>HLOOKUP(BF$1,Storage_Targets!$E$128:$AZ$143,Storage_Targets!$C132,FALSE)</f>
        <v>0</v>
      </c>
      <c r="BG9" s="304">
        <f>HLOOKUP(BG$1,Storage_Targets!$E$128:$AZ$143,Storage_Targets!$C132,FALSE)</f>
        <v>0</v>
      </c>
      <c r="BH9" s="304">
        <f>HLOOKUP(BH$1,Storage_Targets!$E$128:$AZ$143,Storage_Targets!$C132,FALSE)</f>
        <v>0</v>
      </c>
      <c r="BI9" s="304">
        <f>HLOOKUP(BI$1,Storage_Targets!$E$128:$AZ$143,Storage_Targets!$C132,FALSE)</f>
        <v>0</v>
      </c>
      <c r="BJ9" s="304">
        <f>HLOOKUP(BJ$1,Storage_Targets!$E$128:$AZ$143,Storage_Targets!$C132,FALSE)</f>
        <v>0</v>
      </c>
      <c r="BK9" s="304">
        <f>HLOOKUP(BK$1,Storage_Targets!$E$128:$AZ$143,Storage_Targets!$C132,FALSE)</f>
        <v>0</v>
      </c>
      <c r="BL9" s="304">
        <f>HLOOKUP(BL$1,Storage_Targets!$E$128:$AZ$143,Storage_Targets!$C132,FALSE)</f>
        <v>0</v>
      </c>
    </row>
    <row r="10" spans="1:64">
      <c r="B10" s="303">
        <f t="shared" si="7"/>
        <v>7.42</v>
      </c>
      <c r="C10" s="209" t="s">
        <v>57</v>
      </c>
      <c r="D10" s="304">
        <f>HLOOKUP(D$1,Storage_Targets!$E$8:$AZ$23,Storage_Targets!$C13,FALSE)</f>
        <v>3.9E-2</v>
      </c>
      <c r="E10" s="304">
        <f>HLOOKUP(E$1,Storage_Targets!$E$8:$AZ$23,Storage_Targets!$C13,FALSE)</f>
        <v>0.04</v>
      </c>
      <c r="F10" s="304">
        <f>HLOOKUP(F$1,Storage_Targets!$E$8:$AZ$23,Storage_Targets!$C13,FALSE)</f>
        <v>3.9E-2</v>
      </c>
      <c r="G10" s="304">
        <f>HLOOKUP(G$1,Storage_Targets!$E$8:$AZ$23,Storage_Targets!$C13,FALSE)</f>
        <v>0.04</v>
      </c>
      <c r="H10" s="304">
        <f>HLOOKUP(H$1,Storage_Targets!$E$8:$AZ$23,Storage_Targets!$C13,FALSE)</f>
        <v>0.04</v>
      </c>
      <c r="I10" s="304">
        <f>HLOOKUP(I$1,Storage_Targets!$E$8:$AZ$23,Storage_Targets!$C13,FALSE)</f>
        <v>3.9E-2</v>
      </c>
      <c r="J10" s="304">
        <f>HLOOKUP(J$1,Storage_Targets!$E$8:$AZ$23,Storage_Targets!$C13,FALSE)</f>
        <v>3.9E-2</v>
      </c>
      <c r="K10" s="304">
        <f>HLOOKUP(K$1,Storage_Targets!$E$8:$AZ$23,Storage_Targets!$C13,FALSE)</f>
        <v>3.9E-2</v>
      </c>
      <c r="L10" s="304">
        <f>HLOOKUP(L$1,Storage_Targets!$E$8:$AZ$23,Storage_Targets!$C13,FALSE)</f>
        <v>0.04</v>
      </c>
      <c r="M10" s="304">
        <f>HLOOKUP(M$1,Storage_Targets!$E$8:$AZ$23,Storage_Targets!$C13,FALSE)</f>
        <v>0.04</v>
      </c>
      <c r="N10" s="304">
        <f>HLOOKUP(N$1,Storage_Targets!$E$8:$AZ$23,Storage_Targets!$C13,FALSE)</f>
        <v>3.5999999999999997E-2</v>
      </c>
      <c r="O10" s="304">
        <f>HLOOKUP(O$1,Storage_Targets!$E$8:$AZ$23,Storage_Targets!$C13,FALSE)</f>
        <v>0.04</v>
      </c>
      <c r="Q10" s="264">
        <f t="shared" si="8"/>
        <v>0.47099999999999992</v>
      </c>
      <c r="S10" s="209" t="s">
        <v>57</v>
      </c>
      <c r="T10" s="304">
        <f>HLOOKUP(T$1,Storage_Targets!$E$68:$AZ$83,Storage_Targets!$C73,FALSE)</f>
        <v>0</v>
      </c>
      <c r="U10" s="304">
        <f>HLOOKUP(U$1,Storage_Targets!$E$68:$AZ$83,Storage_Targets!$C73,FALSE)</f>
        <v>0</v>
      </c>
      <c r="V10" s="304">
        <f>HLOOKUP(V$1,Storage_Targets!$E$68:$AZ$83,Storage_Targets!$C73,FALSE)</f>
        <v>0</v>
      </c>
      <c r="W10" s="304">
        <f>HLOOKUP(W$1,Storage_Targets!$E$68:$AZ$83,Storage_Targets!$C73,FALSE)</f>
        <v>0</v>
      </c>
      <c r="X10" s="304">
        <f>HLOOKUP(X$1,Storage_Targets!$E$68:$AZ$83,Storage_Targets!$C73,FALSE)</f>
        <v>0</v>
      </c>
      <c r="Y10" s="304">
        <f>HLOOKUP(Y$1,Storage_Targets!$E$68:$AZ$83,Storage_Targets!$C73,FALSE)</f>
        <v>0</v>
      </c>
      <c r="Z10" s="304">
        <f>HLOOKUP(Z$1,Storage_Targets!$E$68:$AZ$83,Storage_Targets!$C73,FALSE)</f>
        <v>0</v>
      </c>
      <c r="AA10" s="304">
        <f>HLOOKUP(AA$1,Storage_Targets!$E$68:$AZ$83,Storage_Targets!$C73,FALSE)</f>
        <v>0</v>
      </c>
      <c r="AB10" s="304">
        <f>HLOOKUP(AB$1,Storage_Targets!$E$68:$AZ$83,Storage_Targets!$C73,FALSE)</f>
        <v>0</v>
      </c>
      <c r="AC10" s="304">
        <f>HLOOKUP(AC$1,Storage_Targets!$E$68:$AZ$83,Storage_Targets!$C73,FALSE)</f>
        <v>0</v>
      </c>
      <c r="AD10" s="304">
        <f>HLOOKUP(AD$1,Storage_Targets!$E$68:$AZ$83,Storage_Targets!$C73,FALSE)</f>
        <v>0</v>
      </c>
      <c r="AE10" s="304">
        <f>HLOOKUP(AE$1,Storage_Targets!$E$68:$AZ$83,Storage_Targets!$C73,FALSE)</f>
        <v>0</v>
      </c>
      <c r="AH10" s="293"/>
      <c r="AI10" s="296" t="s">
        <v>57</v>
      </c>
      <c r="AJ10" s="307">
        <f t="shared" si="9"/>
        <v>3.9E-2</v>
      </c>
      <c r="AK10" s="307">
        <f t="shared" si="6"/>
        <v>0.04</v>
      </c>
      <c r="AL10" s="307">
        <f t="shared" si="6"/>
        <v>3.9E-2</v>
      </c>
      <c r="AM10" s="307">
        <f t="shared" si="6"/>
        <v>0.04</v>
      </c>
      <c r="AN10" s="307">
        <f t="shared" si="6"/>
        <v>0.04</v>
      </c>
      <c r="AO10" s="307">
        <f t="shared" si="6"/>
        <v>3.9E-2</v>
      </c>
      <c r="AP10" s="307">
        <f t="shared" si="6"/>
        <v>3.9E-2</v>
      </c>
      <c r="AQ10" s="307">
        <f t="shared" si="6"/>
        <v>3.9E-2</v>
      </c>
      <c r="AR10" s="307">
        <f t="shared" si="6"/>
        <v>0.04</v>
      </c>
      <c r="AS10" s="307">
        <f t="shared" si="6"/>
        <v>0.04</v>
      </c>
      <c r="AT10" s="307">
        <f t="shared" si="6"/>
        <v>3.5999999999999997E-2</v>
      </c>
      <c r="AU10" s="307">
        <f t="shared" si="6"/>
        <v>0.04</v>
      </c>
      <c r="AV10" s="295"/>
      <c r="AZ10" s="209" t="s">
        <v>57</v>
      </c>
      <c r="BA10" s="304">
        <f>HLOOKUP(BA$1,Storage_Targets!$E$128:$AZ$143,Storage_Targets!$C133,FALSE)</f>
        <v>0</v>
      </c>
      <c r="BB10" s="304">
        <f>HLOOKUP(BB$1,Storage_Targets!$E$128:$AZ$143,Storage_Targets!$C133,FALSE)</f>
        <v>0</v>
      </c>
      <c r="BC10" s="304">
        <f>HLOOKUP(BC$1,Storage_Targets!$E$128:$AZ$143,Storage_Targets!$C133,FALSE)</f>
        <v>0</v>
      </c>
      <c r="BD10" s="304">
        <f>HLOOKUP(BD$1,Storage_Targets!$E$128:$AZ$143,Storage_Targets!$C133,FALSE)</f>
        <v>0</v>
      </c>
      <c r="BE10" s="304">
        <f>HLOOKUP(BE$1,Storage_Targets!$E$128:$AZ$143,Storage_Targets!$C133,FALSE)</f>
        <v>0</v>
      </c>
      <c r="BF10" s="304">
        <f>HLOOKUP(BF$1,Storage_Targets!$E$128:$AZ$143,Storage_Targets!$C133,FALSE)</f>
        <v>0</v>
      </c>
      <c r="BG10" s="304">
        <f>HLOOKUP(BG$1,Storage_Targets!$E$128:$AZ$143,Storage_Targets!$C133,FALSE)</f>
        <v>0</v>
      </c>
      <c r="BH10" s="304">
        <f>HLOOKUP(BH$1,Storage_Targets!$E$128:$AZ$143,Storage_Targets!$C133,FALSE)</f>
        <v>0</v>
      </c>
      <c r="BI10" s="304">
        <f>HLOOKUP(BI$1,Storage_Targets!$E$128:$AZ$143,Storage_Targets!$C133,FALSE)</f>
        <v>0</v>
      </c>
      <c r="BJ10" s="304">
        <f>HLOOKUP(BJ$1,Storage_Targets!$E$128:$AZ$143,Storage_Targets!$C133,FALSE)</f>
        <v>0</v>
      </c>
      <c r="BK10" s="304">
        <f>HLOOKUP(BK$1,Storage_Targets!$E$128:$AZ$143,Storage_Targets!$C133,FALSE)</f>
        <v>0</v>
      </c>
      <c r="BL10" s="304">
        <f>HLOOKUP(BL$1,Storage_Targets!$E$128:$AZ$143,Storage_Targets!$C133,FALSE)</f>
        <v>0</v>
      </c>
    </row>
    <row r="11" spans="1:64">
      <c r="B11" s="303">
        <f t="shared" si="7"/>
        <v>6.6550000000000002</v>
      </c>
      <c r="C11" s="209" t="s">
        <v>58</v>
      </c>
      <c r="D11" s="304">
        <f>HLOOKUP(D$1,Storage_Targets!$E$8:$AZ$23,Storage_Targets!$C14,FALSE)</f>
        <v>2.9000000000000001E-2</v>
      </c>
      <c r="E11" s="304">
        <f>HLOOKUP(E$1,Storage_Targets!$E$8:$AZ$23,Storage_Targets!$C14,FALSE)</f>
        <v>2.9000000000000001E-2</v>
      </c>
      <c r="F11" s="304">
        <f>HLOOKUP(F$1,Storage_Targets!$E$8:$AZ$23,Storage_Targets!$C14,FALSE)</f>
        <v>2.9000000000000001E-2</v>
      </c>
      <c r="G11" s="304">
        <f>HLOOKUP(G$1,Storage_Targets!$E$8:$AZ$23,Storage_Targets!$C14,FALSE)</f>
        <v>0.03</v>
      </c>
      <c r="H11" s="304">
        <f>HLOOKUP(H$1,Storage_Targets!$E$8:$AZ$23,Storage_Targets!$C14,FALSE)</f>
        <v>2.9000000000000001E-2</v>
      </c>
      <c r="I11" s="304">
        <f>HLOOKUP(I$1,Storage_Targets!$E$8:$AZ$23,Storage_Targets!$C14,FALSE)</f>
        <v>2.9000000000000001E-2</v>
      </c>
      <c r="J11" s="304">
        <f>HLOOKUP(J$1,Storage_Targets!$E$8:$AZ$23,Storage_Targets!$C14,FALSE)</f>
        <v>0.03</v>
      </c>
      <c r="K11" s="304">
        <f>HLOOKUP(K$1,Storage_Targets!$E$8:$AZ$23,Storage_Targets!$C14,FALSE)</f>
        <v>2.9000000000000001E-2</v>
      </c>
      <c r="L11" s="304">
        <f>HLOOKUP(L$1,Storage_Targets!$E$8:$AZ$23,Storage_Targets!$C14,FALSE)</f>
        <v>0.03</v>
      </c>
      <c r="M11" s="304">
        <f>HLOOKUP(M$1,Storage_Targets!$E$8:$AZ$23,Storage_Targets!$C14,FALSE)</f>
        <v>0.03</v>
      </c>
      <c r="N11" s="304">
        <f>HLOOKUP(N$1,Storage_Targets!$E$8:$AZ$23,Storage_Targets!$C14,FALSE)</f>
        <v>2.7E-2</v>
      </c>
      <c r="O11" s="304">
        <f>HLOOKUP(O$1,Storage_Targets!$E$8:$AZ$23,Storage_Targets!$C14,FALSE)</f>
        <v>2.9000000000000001E-2</v>
      </c>
      <c r="Q11" s="264">
        <f t="shared" si="8"/>
        <v>0.35000000000000009</v>
      </c>
      <c r="S11" s="209" t="s">
        <v>58</v>
      </c>
      <c r="T11" s="304">
        <f>HLOOKUP(T$1,Storage_Targets!$E$68:$AZ$83,Storage_Targets!$C74,FALSE)</f>
        <v>0</v>
      </c>
      <c r="U11" s="304">
        <f>HLOOKUP(U$1,Storage_Targets!$E$68:$AZ$83,Storage_Targets!$C74,FALSE)</f>
        <v>0</v>
      </c>
      <c r="V11" s="304">
        <f>HLOOKUP(V$1,Storage_Targets!$E$68:$AZ$83,Storage_Targets!$C74,FALSE)</f>
        <v>0</v>
      </c>
      <c r="W11" s="304">
        <f>HLOOKUP(W$1,Storage_Targets!$E$68:$AZ$83,Storage_Targets!$C74,FALSE)</f>
        <v>0</v>
      </c>
      <c r="X11" s="304">
        <f>HLOOKUP(X$1,Storage_Targets!$E$68:$AZ$83,Storage_Targets!$C74,FALSE)</f>
        <v>0</v>
      </c>
      <c r="Y11" s="304">
        <f>HLOOKUP(Y$1,Storage_Targets!$E$68:$AZ$83,Storage_Targets!$C74,FALSE)</f>
        <v>0</v>
      </c>
      <c r="Z11" s="304">
        <f>HLOOKUP(Z$1,Storage_Targets!$E$68:$AZ$83,Storage_Targets!$C74,FALSE)</f>
        <v>0</v>
      </c>
      <c r="AA11" s="304">
        <f>HLOOKUP(AA$1,Storage_Targets!$E$68:$AZ$83,Storage_Targets!$C74,FALSE)</f>
        <v>0</v>
      </c>
      <c r="AB11" s="304">
        <f>HLOOKUP(AB$1,Storage_Targets!$E$68:$AZ$83,Storage_Targets!$C74,FALSE)</f>
        <v>0</v>
      </c>
      <c r="AC11" s="304">
        <f>HLOOKUP(AC$1,Storage_Targets!$E$68:$AZ$83,Storage_Targets!$C74,FALSE)</f>
        <v>0</v>
      </c>
      <c r="AD11" s="304">
        <f>HLOOKUP(AD$1,Storage_Targets!$E$68:$AZ$83,Storage_Targets!$C74,FALSE)</f>
        <v>0</v>
      </c>
      <c r="AE11" s="304">
        <f>HLOOKUP(AE$1,Storage_Targets!$E$68:$AZ$83,Storage_Targets!$C74,FALSE)</f>
        <v>0</v>
      </c>
      <c r="AH11" s="293"/>
      <c r="AI11" s="296" t="s">
        <v>58</v>
      </c>
      <c r="AJ11" s="307">
        <f t="shared" si="9"/>
        <v>2.9000000000000001E-2</v>
      </c>
      <c r="AK11" s="307">
        <f t="shared" si="6"/>
        <v>2.9000000000000001E-2</v>
      </c>
      <c r="AL11" s="307">
        <f t="shared" si="6"/>
        <v>2.9000000000000001E-2</v>
      </c>
      <c r="AM11" s="307">
        <f t="shared" si="6"/>
        <v>0.03</v>
      </c>
      <c r="AN11" s="307">
        <f t="shared" si="6"/>
        <v>2.9000000000000001E-2</v>
      </c>
      <c r="AO11" s="307">
        <f t="shared" si="6"/>
        <v>2.9000000000000001E-2</v>
      </c>
      <c r="AP11" s="307">
        <f t="shared" si="6"/>
        <v>0.03</v>
      </c>
      <c r="AQ11" s="307">
        <f t="shared" si="6"/>
        <v>2.9000000000000001E-2</v>
      </c>
      <c r="AR11" s="307">
        <f t="shared" si="6"/>
        <v>0.03</v>
      </c>
      <c r="AS11" s="307">
        <f t="shared" si="6"/>
        <v>0.03</v>
      </c>
      <c r="AT11" s="307">
        <f t="shared" si="6"/>
        <v>2.7E-2</v>
      </c>
      <c r="AU11" s="307">
        <f t="shared" si="6"/>
        <v>2.9000000000000001E-2</v>
      </c>
      <c r="AV11" s="295"/>
      <c r="AZ11" s="209" t="s">
        <v>58</v>
      </c>
      <c r="BA11" s="304">
        <f>HLOOKUP(BA$1,Storage_Targets!$E$128:$AZ$143,Storage_Targets!$C134,FALSE)</f>
        <v>0</v>
      </c>
      <c r="BB11" s="304">
        <f>HLOOKUP(BB$1,Storage_Targets!$E$128:$AZ$143,Storage_Targets!$C134,FALSE)</f>
        <v>0</v>
      </c>
      <c r="BC11" s="304">
        <f>HLOOKUP(BC$1,Storage_Targets!$E$128:$AZ$143,Storage_Targets!$C134,FALSE)</f>
        <v>0</v>
      </c>
      <c r="BD11" s="304">
        <f>HLOOKUP(BD$1,Storage_Targets!$E$128:$AZ$143,Storage_Targets!$C134,FALSE)</f>
        <v>0</v>
      </c>
      <c r="BE11" s="304">
        <f>HLOOKUP(BE$1,Storage_Targets!$E$128:$AZ$143,Storage_Targets!$C134,FALSE)</f>
        <v>0</v>
      </c>
      <c r="BF11" s="304">
        <f>HLOOKUP(BF$1,Storage_Targets!$E$128:$AZ$143,Storage_Targets!$C134,FALSE)</f>
        <v>0</v>
      </c>
      <c r="BG11" s="304">
        <f>HLOOKUP(BG$1,Storage_Targets!$E$128:$AZ$143,Storage_Targets!$C134,FALSE)</f>
        <v>0</v>
      </c>
      <c r="BH11" s="304">
        <f>HLOOKUP(BH$1,Storage_Targets!$E$128:$AZ$143,Storage_Targets!$C134,FALSE)</f>
        <v>0</v>
      </c>
      <c r="BI11" s="304">
        <f>HLOOKUP(BI$1,Storage_Targets!$E$128:$AZ$143,Storage_Targets!$C134,FALSE)</f>
        <v>0</v>
      </c>
      <c r="BJ11" s="304">
        <f>HLOOKUP(BJ$1,Storage_Targets!$E$128:$AZ$143,Storage_Targets!$C134,FALSE)</f>
        <v>0</v>
      </c>
      <c r="BK11" s="304">
        <f>HLOOKUP(BK$1,Storage_Targets!$E$128:$AZ$143,Storage_Targets!$C134,FALSE)</f>
        <v>0</v>
      </c>
      <c r="BL11" s="304">
        <f>HLOOKUP(BL$1,Storage_Targets!$E$128:$AZ$143,Storage_Targets!$C134,FALSE)</f>
        <v>0</v>
      </c>
    </row>
    <row r="12" spans="1:64">
      <c r="B12" s="303">
        <f t="shared" si="7"/>
        <v>6.78</v>
      </c>
      <c r="C12" s="209" t="s">
        <v>59</v>
      </c>
      <c r="D12" s="304">
        <f>HLOOKUP(D$1,Storage_Targets!$E$8:$AZ$23,Storage_Targets!$C15,FALSE)</f>
        <v>1.2E-2</v>
      </c>
      <c r="E12" s="304">
        <f>HLOOKUP(E$1,Storage_Targets!$E$8:$AZ$23,Storage_Targets!$C15,FALSE)</f>
        <v>1.2E-2</v>
      </c>
      <c r="F12" s="304">
        <f>HLOOKUP(F$1,Storage_Targets!$E$8:$AZ$23,Storage_Targets!$C15,FALSE)</f>
        <v>1.2E-2</v>
      </c>
      <c r="G12" s="304">
        <f>HLOOKUP(G$1,Storage_Targets!$E$8:$AZ$23,Storage_Targets!$C15,FALSE)</f>
        <v>1.2999999999999999E-2</v>
      </c>
      <c r="H12" s="304">
        <f>HLOOKUP(H$1,Storage_Targets!$E$8:$AZ$23,Storage_Targets!$C15,FALSE)</f>
        <v>1.2999999999999999E-2</v>
      </c>
      <c r="I12" s="304">
        <f>HLOOKUP(I$1,Storage_Targets!$E$8:$AZ$23,Storage_Targets!$C15,FALSE)</f>
        <v>1.2E-2</v>
      </c>
      <c r="J12" s="304">
        <f>HLOOKUP(J$1,Storage_Targets!$E$8:$AZ$23,Storage_Targets!$C15,FALSE)</f>
        <v>1.2E-2</v>
      </c>
      <c r="K12" s="304">
        <f>HLOOKUP(K$1,Storage_Targets!$E$8:$AZ$23,Storage_Targets!$C15,FALSE)</f>
        <v>1.2E-2</v>
      </c>
      <c r="L12" s="304">
        <f>HLOOKUP(L$1,Storage_Targets!$E$8:$AZ$23,Storage_Targets!$C15,FALSE)</f>
        <v>1.2999999999999999E-2</v>
      </c>
      <c r="M12" s="304">
        <f>HLOOKUP(M$1,Storage_Targets!$E$8:$AZ$23,Storage_Targets!$C15,FALSE)</f>
        <v>1.2999999999999999E-2</v>
      </c>
      <c r="N12" s="304">
        <f>HLOOKUP(N$1,Storage_Targets!$E$8:$AZ$23,Storage_Targets!$C15,FALSE)</f>
        <v>1.0999999999999999E-2</v>
      </c>
      <c r="O12" s="304">
        <f>HLOOKUP(O$1,Storage_Targets!$E$8:$AZ$23,Storage_Targets!$C15,FALSE)</f>
        <v>1.2E-2</v>
      </c>
      <c r="Q12" s="264">
        <f t="shared" si="8"/>
        <v>0.14699999999999999</v>
      </c>
      <c r="S12" s="209" t="s">
        <v>59</v>
      </c>
      <c r="T12" s="304">
        <f>HLOOKUP(T$1,Storage_Targets!$E$68:$AZ$83,Storage_Targets!$C75,FALSE)</f>
        <v>0</v>
      </c>
      <c r="U12" s="304">
        <f>HLOOKUP(U$1,Storage_Targets!$E$68:$AZ$83,Storage_Targets!$C75,FALSE)</f>
        <v>0</v>
      </c>
      <c r="V12" s="304">
        <f>HLOOKUP(V$1,Storage_Targets!$E$68:$AZ$83,Storage_Targets!$C75,FALSE)</f>
        <v>0</v>
      </c>
      <c r="W12" s="304">
        <f>HLOOKUP(W$1,Storage_Targets!$E$68:$AZ$83,Storage_Targets!$C75,FALSE)</f>
        <v>0</v>
      </c>
      <c r="X12" s="304">
        <f>HLOOKUP(X$1,Storage_Targets!$E$68:$AZ$83,Storage_Targets!$C75,FALSE)</f>
        <v>0</v>
      </c>
      <c r="Y12" s="304">
        <f>HLOOKUP(Y$1,Storage_Targets!$E$68:$AZ$83,Storage_Targets!$C75,FALSE)</f>
        <v>0</v>
      </c>
      <c r="Z12" s="304">
        <f>HLOOKUP(Z$1,Storage_Targets!$E$68:$AZ$83,Storage_Targets!$C75,FALSE)</f>
        <v>0</v>
      </c>
      <c r="AA12" s="304">
        <f>HLOOKUP(AA$1,Storage_Targets!$E$68:$AZ$83,Storage_Targets!$C75,FALSE)</f>
        <v>0</v>
      </c>
      <c r="AB12" s="304">
        <f>HLOOKUP(AB$1,Storage_Targets!$E$68:$AZ$83,Storage_Targets!$C75,FALSE)</f>
        <v>0</v>
      </c>
      <c r="AC12" s="304">
        <f>HLOOKUP(AC$1,Storage_Targets!$E$68:$AZ$83,Storage_Targets!$C75,FALSE)</f>
        <v>0</v>
      </c>
      <c r="AD12" s="304">
        <f>HLOOKUP(AD$1,Storage_Targets!$E$68:$AZ$83,Storage_Targets!$C75,FALSE)</f>
        <v>0</v>
      </c>
      <c r="AE12" s="304">
        <f>HLOOKUP(AE$1,Storage_Targets!$E$68:$AZ$83,Storage_Targets!$C75,FALSE)</f>
        <v>0</v>
      </c>
      <c r="AH12" s="293"/>
      <c r="AI12" s="296" t="s">
        <v>59</v>
      </c>
      <c r="AJ12" s="307">
        <f t="shared" si="9"/>
        <v>1.2E-2</v>
      </c>
      <c r="AK12" s="307">
        <f t="shared" si="6"/>
        <v>1.2E-2</v>
      </c>
      <c r="AL12" s="307">
        <f t="shared" si="6"/>
        <v>1.2E-2</v>
      </c>
      <c r="AM12" s="307">
        <f t="shared" si="6"/>
        <v>1.2999999999999999E-2</v>
      </c>
      <c r="AN12" s="307">
        <f t="shared" si="6"/>
        <v>1.2999999999999999E-2</v>
      </c>
      <c r="AO12" s="307">
        <f t="shared" si="6"/>
        <v>1.2E-2</v>
      </c>
      <c r="AP12" s="307">
        <f t="shared" si="6"/>
        <v>1.2E-2</v>
      </c>
      <c r="AQ12" s="307">
        <f t="shared" si="6"/>
        <v>1.2E-2</v>
      </c>
      <c r="AR12" s="307">
        <f t="shared" si="6"/>
        <v>1.2999999999999999E-2</v>
      </c>
      <c r="AS12" s="307">
        <f t="shared" si="6"/>
        <v>1.2999999999999999E-2</v>
      </c>
      <c r="AT12" s="307">
        <f t="shared" si="6"/>
        <v>1.0999999999999999E-2</v>
      </c>
      <c r="AU12" s="307">
        <f t="shared" si="6"/>
        <v>1.2E-2</v>
      </c>
      <c r="AV12" s="295"/>
      <c r="AZ12" s="209" t="s">
        <v>59</v>
      </c>
      <c r="BA12" s="304">
        <f>HLOOKUP(BA$1,Storage_Targets!$E$128:$AZ$143,Storage_Targets!$C135,FALSE)</f>
        <v>0</v>
      </c>
      <c r="BB12" s="304">
        <f>HLOOKUP(BB$1,Storage_Targets!$E$128:$AZ$143,Storage_Targets!$C135,FALSE)</f>
        <v>0</v>
      </c>
      <c r="BC12" s="304">
        <f>HLOOKUP(BC$1,Storage_Targets!$E$128:$AZ$143,Storage_Targets!$C135,FALSE)</f>
        <v>0</v>
      </c>
      <c r="BD12" s="304">
        <f>HLOOKUP(BD$1,Storage_Targets!$E$128:$AZ$143,Storage_Targets!$C135,FALSE)</f>
        <v>0</v>
      </c>
      <c r="BE12" s="304">
        <f>HLOOKUP(BE$1,Storage_Targets!$E$128:$AZ$143,Storage_Targets!$C135,FALSE)</f>
        <v>0</v>
      </c>
      <c r="BF12" s="304">
        <f>HLOOKUP(BF$1,Storage_Targets!$E$128:$AZ$143,Storage_Targets!$C135,FALSE)</f>
        <v>0</v>
      </c>
      <c r="BG12" s="304">
        <f>HLOOKUP(BG$1,Storage_Targets!$E$128:$AZ$143,Storage_Targets!$C135,FALSE)</f>
        <v>0</v>
      </c>
      <c r="BH12" s="304">
        <f>HLOOKUP(BH$1,Storage_Targets!$E$128:$AZ$143,Storage_Targets!$C135,FALSE)</f>
        <v>0</v>
      </c>
      <c r="BI12" s="304">
        <f>HLOOKUP(BI$1,Storage_Targets!$E$128:$AZ$143,Storage_Targets!$C135,FALSE)</f>
        <v>0</v>
      </c>
      <c r="BJ12" s="304">
        <f>HLOOKUP(BJ$1,Storage_Targets!$E$128:$AZ$143,Storage_Targets!$C135,FALSE)</f>
        <v>0</v>
      </c>
      <c r="BK12" s="304">
        <f>HLOOKUP(BK$1,Storage_Targets!$E$128:$AZ$143,Storage_Targets!$C135,FALSE)</f>
        <v>0</v>
      </c>
      <c r="BL12" s="304">
        <f>HLOOKUP(BL$1,Storage_Targets!$E$128:$AZ$143,Storage_Targets!$C135,FALSE)</f>
        <v>0</v>
      </c>
    </row>
    <row r="13" spans="1:64">
      <c r="B13" s="303">
        <f t="shared" si="7"/>
        <v>7.4</v>
      </c>
      <c r="C13" s="209" t="s">
        <v>63</v>
      </c>
      <c r="D13" s="304">
        <f>HLOOKUP(D$1,Storage_Targets!$E$8:$AZ$23,Storage_Targets!$C16,FALSE)</f>
        <v>6.3E-2</v>
      </c>
      <c r="E13" s="304">
        <f>HLOOKUP(E$1,Storage_Targets!$E$8:$AZ$23,Storage_Targets!$C16,FALSE)</f>
        <v>6.5000000000000002E-2</v>
      </c>
      <c r="F13" s="304">
        <f>HLOOKUP(F$1,Storage_Targets!$E$8:$AZ$23,Storage_Targets!$C16,FALSE)</f>
        <v>6.4000000000000001E-2</v>
      </c>
      <c r="G13" s="304">
        <f>HLOOKUP(G$1,Storage_Targets!$E$8:$AZ$23,Storage_Targets!$C16,FALSE)</f>
        <v>6.5000000000000002E-2</v>
      </c>
      <c r="H13" s="304">
        <f>HLOOKUP(H$1,Storage_Targets!$E$8:$AZ$23,Storage_Targets!$C16,FALSE)</f>
        <v>6.5000000000000002E-2</v>
      </c>
      <c r="I13" s="304">
        <f>HLOOKUP(I$1,Storage_Targets!$E$8:$AZ$23,Storage_Targets!$C16,FALSE)</f>
        <v>6.4000000000000001E-2</v>
      </c>
      <c r="J13" s="304">
        <f>HLOOKUP(J$1,Storage_Targets!$E$8:$AZ$23,Storage_Targets!$C16,FALSE)</f>
        <v>6.5000000000000002E-2</v>
      </c>
      <c r="K13" s="304">
        <f>HLOOKUP(K$1,Storage_Targets!$E$8:$AZ$23,Storage_Targets!$C16,FALSE)</f>
        <v>6.3E-2</v>
      </c>
      <c r="L13" s="304">
        <f>HLOOKUP(L$1,Storage_Targets!$E$8:$AZ$23,Storage_Targets!$C16,FALSE)</f>
        <v>6.5000000000000002E-2</v>
      </c>
      <c r="M13" s="304">
        <f>HLOOKUP(M$1,Storage_Targets!$E$8:$AZ$23,Storage_Targets!$C16,FALSE)</f>
        <v>6.5000000000000002E-2</v>
      </c>
      <c r="N13" s="304">
        <f>HLOOKUP(N$1,Storage_Targets!$E$8:$AZ$23,Storage_Targets!$C16,FALSE)</f>
        <v>0.06</v>
      </c>
      <c r="O13" s="304">
        <f>HLOOKUP(O$1,Storage_Targets!$E$8:$AZ$23,Storage_Targets!$C16,FALSE)</f>
        <v>6.6000000000000003E-2</v>
      </c>
      <c r="Q13" s="264">
        <f t="shared" si="8"/>
        <v>0.77</v>
      </c>
      <c r="S13" s="209" t="s">
        <v>63</v>
      </c>
      <c r="T13" s="304">
        <f>HLOOKUP(T$1,Storage_Targets!$E$68:$AZ$83,Storage_Targets!$C76,FALSE)</f>
        <v>0</v>
      </c>
      <c r="U13" s="304">
        <f>HLOOKUP(U$1,Storage_Targets!$E$68:$AZ$83,Storage_Targets!$C76,FALSE)</f>
        <v>0</v>
      </c>
      <c r="V13" s="304">
        <f>HLOOKUP(V$1,Storage_Targets!$E$68:$AZ$83,Storage_Targets!$C76,FALSE)</f>
        <v>0</v>
      </c>
      <c r="W13" s="304">
        <f>HLOOKUP(W$1,Storage_Targets!$E$68:$AZ$83,Storage_Targets!$C76,FALSE)</f>
        <v>0</v>
      </c>
      <c r="X13" s="304">
        <f>HLOOKUP(X$1,Storage_Targets!$E$68:$AZ$83,Storage_Targets!$C76,FALSE)</f>
        <v>0</v>
      </c>
      <c r="Y13" s="304">
        <f>HLOOKUP(Y$1,Storage_Targets!$E$68:$AZ$83,Storage_Targets!$C76,FALSE)</f>
        <v>0</v>
      </c>
      <c r="Z13" s="304">
        <f>HLOOKUP(Z$1,Storage_Targets!$E$68:$AZ$83,Storage_Targets!$C76,FALSE)</f>
        <v>0</v>
      </c>
      <c r="AA13" s="304">
        <f>HLOOKUP(AA$1,Storage_Targets!$E$68:$AZ$83,Storage_Targets!$C76,FALSE)</f>
        <v>0</v>
      </c>
      <c r="AB13" s="304">
        <f>HLOOKUP(AB$1,Storage_Targets!$E$68:$AZ$83,Storage_Targets!$C76,FALSE)</f>
        <v>0</v>
      </c>
      <c r="AC13" s="304">
        <f>HLOOKUP(AC$1,Storage_Targets!$E$68:$AZ$83,Storage_Targets!$C76,FALSE)</f>
        <v>0</v>
      </c>
      <c r="AD13" s="304">
        <f>HLOOKUP(AD$1,Storage_Targets!$E$68:$AZ$83,Storage_Targets!$C76,FALSE)</f>
        <v>0</v>
      </c>
      <c r="AE13" s="304">
        <f>HLOOKUP(AE$1,Storage_Targets!$E$68:$AZ$83,Storage_Targets!$C76,FALSE)</f>
        <v>0</v>
      </c>
      <c r="AH13" s="293"/>
      <c r="AI13" s="296" t="s">
        <v>63</v>
      </c>
      <c r="AJ13" s="307">
        <f t="shared" si="9"/>
        <v>6.3E-2</v>
      </c>
      <c r="AK13" s="307">
        <f t="shared" si="6"/>
        <v>6.5000000000000002E-2</v>
      </c>
      <c r="AL13" s="307">
        <f t="shared" si="6"/>
        <v>6.4000000000000001E-2</v>
      </c>
      <c r="AM13" s="307">
        <f t="shared" si="6"/>
        <v>6.5000000000000002E-2</v>
      </c>
      <c r="AN13" s="307">
        <f t="shared" si="6"/>
        <v>6.5000000000000002E-2</v>
      </c>
      <c r="AO13" s="307">
        <f t="shared" si="6"/>
        <v>6.4000000000000001E-2</v>
      </c>
      <c r="AP13" s="307">
        <f t="shared" si="6"/>
        <v>6.5000000000000002E-2</v>
      </c>
      <c r="AQ13" s="307">
        <f t="shared" si="6"/>
        <v>6.3E-2</v>
      </c>
      <c r="AR13" s="307">
        <f t="shared" si="6"/>
        <v>6.5000000000000002E-2</v>
      </c>
      <c r="AS13" s="307">
        <f t="shared" si="6"/>
        <v>6.5000000000000002E-2</v>
      </c>
      <c r="AT13" s="307">
        <f t="shared" si="6"/>
        <v>0.06</v>
      </c>
      <c r="AU13" s="307">
        <f t="shared" si="6"/>
        <v>6.6000000000000003E-2</v>
      </c>
      <c r="AV13" s="295"/>
      <c r="AZ13" s="209" t="s">
        <v>63</v>
      </c>
      <c r="BA13" s="304">
        <f>HLOOKUP(BA$1,Storage_Targets!$E$128:$AZ$143,Storage_Targets!$C136,FALSE)</f>
        <v>0</v>
      </c>
      <c r="BB13" s="304">
        <f>HLOOKUP(BB$1,Storage_Targets!$E$128:$AZ$143,Storage_Targets!$C136,FALSE)</f>
        <v>0</v>
      </c>
      <c r="BC13" s="304">
        <f>HLOOKUP(BC$1,Storage_Targets!$E$128:$AZ$143,Storage_Targets!$C136,FALSE)</f>
        <v>0</v>
      </c>
      <c r="BD13" s="304">
        <f>HLOOKUP(BD$1,Storage_Targets!$E$128:$AZ$143,Storage_Targets!$C136,FALSE)</f>
        <v>0</v>
      </c>
      <c r="BE13" s="304">
        <f>HLOOKUP(BE$1,Storage_Targets!$E$128:$AZ$143,Storage_Targets!$C136,FALSE)</f>
        <v>0</v>
      </c>
      <c r="BF13" s="304">
        <f>HLOOKUP(BF$1,Storage_Targets!$E$128:$AZ$143,Storage_Targets!$C136,FALSE)</f>
        <v>0</v>
      </c>
      <c r="BG13" s="304">
        <f>HLOOKUP(BG$1,Storage_Targets!$E$128:$AZ$143,Storage_Targets!$C136,FALSE)</f>
        <v>0</v>
      </c>
      <c r="BH13" s="304">
        <f>HLOOKUP(BH$1,Storage_Targets!$E$128:$AZ$143,Storage_Targets!$C136,FALSE)</f>
        <v>0</v>
      </c>
      <c r="BI13" s="304">
        <f>HLOOKUP(BI$1,Storage_Targets!$E$128:$AZ$143,Storage_Targets!$C136,FALSE)</f>
        <v>0</v>
      </c>
      <c r="BJ13" s="304">
        <f>HLOOKUP(BJ$1,Storage_Targets!$E$128:$AZ$143,Storage_Targets!$C136,FALSE)</f>
        <v>0</v>
      </c>
      <c r="BK13" s="304">
        <f>HLOOKUP(BK$1,Storage_Targets!$E$128:$AZ$143,Storage_Targets!$C136,FALSE)</f>
        <v>0</v>
      </c>
      <c r="BL13" s="304">
        <f>HLOOKUP(BL$1,Storage_Targets!$E$128:$AZ$143,Storage_Targets!$C136,FALSE)</f>
        <v>0</v>
      </c>
    </row>
    <row r="14" spans="1:64">
      <c r="B14" s="303">
        <f t="shared" si="7"/>
        <v>6.24</v>
      </c>
      <c r="C14" s="209" t="s">
        <v>64</v>
      </c>
      <c r="D14" s="304">
        <f>HLOOKUP(D$1,Storage_Targets!$E$8:$AZ$23,Storage_Targets!$C17,FALSE)</f>
        <v>4.0000000000000001E-3</v>
      </c>
      <c r="E14" s="304">
        <f>HLOOKUP(E$1,Storage_Targets!$E$8:$AZ$23,Storage_Targets!$C17,FALSE)</f>
        <v>5.0000000000000001E-3</v>
      </c>
      <c r="F14" s="304">
        <f>HLOOKUP(F$1,Storage_Targets!$E$8:$AZ$23,Storage_Targets!$C17,FALSE)</f>
        <v>4.0000000000000001E-3</v>
      </c>
      <c r="G14" s="304">
        <f>HLOOKUP(G$1,Storage_Targets!$E$8:$AZ$23,Storage_Targets!$C17,FALSE)</f>
        <v>4.0000000000000001E-3</v>
      </c>
      <c r="H14" s="304">
        <f>HLOOKUP(H$1,Storage_Targets!$E$8:$AZ$23,Storage_Targets!$C17,FALSE)</f>
        <v>5.0000000000000001E-3</v>
      </c>
      <c r="I14" s="304">
        <f>HLOOKUP(I$1,Storage_Targets!$E$8:$AZ$23,Storage_Targets!$C17,FALSE)</f>
        <v>4.0000000000000001E-3</v>
      </c>
      <c r="J14" s="304">
        <f>HLOOKUP(J$1,Storage_Targets!$E$8:$AZ$23,Storage_Targets!$C17,FALSE)</f>
        <v>4.0000000000000001E-3</v>
      </c>
      <c r="K14" s="304">
        <f>HLOOKUP(K$1,Storage_Targets!$E$8:$AZ$23,Storage_Targets!$C17,FALSE)</f>
        <v>4.0000000000000001E-3</v>
      </c>
      <c r="L14" s="304">
        <f>HLOOKUP(L$1,Storage_Targets!$E$8:$AZ$23,Storage_Targets!$C17,FALSE)</f>
        <v>4.0000000000000001E-3</v>
      </c>
      <c r="M14" s="304">
        <f>HLOOKUP(M$1,Storage_Targets!$E$8:$AZ$23,Storage_Targets!$C17,FALSE)</f>
        <v>4.0000000000000001E-3</v>
      </c>
      <c r="N14" s="304">
        <f>HLOOKUP(N$1,Storage_Targets!$E$8:$AZ$23,Storage_Targets!$C17,FALSE)</f>
        <v>4.0000000000000001E-3</v>
      </c>
      <c r="O14" s="304">
        <f>HLOOKUP(O$1,Storage_Targets!$E$8:$AZ$23,Storage_Targets!$C17,FALSE)</f>
        <v>4.0000000000000001E-3</v>
      </c>
      <c r="Q14" s="264">
        <f t="shared" si="8"/>
        <v>5.0000000000000017E-2</v>
      </c>
      <c r="S14" s="209" t="s">
        <v>64</v>
      </c>
      <c r="T14" s="304">
        <f>HLOOKUP(T$1,Storage_Targets!$E$68:$AZ$83,Storage_Targets!$C77,FALSE)</f>
        <v>0</v>
      </c>
      <c r="U14" s="304">
        <f>HLOOKUP(U$1,Storage_Targets!$E$68:$AZ$83,Storage_Targets!$C77,FALSE)</f>
        <v>0</v>
      </c>
      <c r="V14" s="304">
        <f>HLOOKUP(V$1,Storage_Targets!$E$68:$AZ$83,Storage_Targets!$C77,FALSE)</f>
        <v>0</v>
      </c>
      <c r="W14" s="304">
        <f>HLOOKUP(W$1,Storage_Targets!$E$68:$AZ$83,Storage_Targets!$C77,FALSE)</f>
        <v>0</v>
      </c>
      <c r="X14" s="304">
        <f>HLOOKUP(X$1,Storage_Targets!$E$68:$AZ$83,Storage_Targets!$C77,FALSE)</f>
        <v>0</v>
      </c>
      <c r="Y14" s="304">
        <f>HLOOKUP(Y$1,Storage_Targets!$E$68:$AZ$83,Storage_Targets!$C77,FALSE)</f>
        <v>0</v>
      </c>
      <c r="Z14" s="304">
        <f>HLOOKUP(Z$1,Storage_Targets!$E$68:$AZ$83,Storage_Targets!$C77,FALSE)</f>
        <v>0</v>
      </c>
      <c r="AA14" s="304">
        <f>HLOOKUP(AA$1,Storage_Targets!$E$68:$AZ$83,Storage_Targets!$C77,FALSE)</f>
        <v>0</v>
      </c>
      <c r="AB14" s="304">
        <f>HLOOKUP(AB$1,Storage_Targets!$E$68:$AZ$83,Storage_Targets!$C77,FALSE)</f>
        <v>0</v>
      </c>
      <c r="AC14" s="304">
        <f>HLOOKUP(AC$1,Storage_Targets!$E$68:$AZ$83,Storage_Targets!$C77,FALSE)</f>
        <v>0</v>
      </c>
      <c r="AD14" s="304">
        <f>HLOOKUP(AD$1,Storage_Targets!$E$68:$AZ$83,Storage_Targets!$C77,FALSE)</f>
        <v>0</v>
      </c>
      <c r="AE14" s="304">
        <f>HLOOKUP(AE$1,Storage_Targets!$E$68:$AZ$83,Storage_Targets!$C77,FALSE)</f>
        <v>0</v>
      </c>
      <c r="AH14" s="293"/>
      <c r="AI14" s="296" t="s">
        <v>64</v>
      </c>
      <c r="AJ14" s="307">
        <f t="shared" si="9"/>
        <v>4.0000000000000001E-3</v>
      </c>
      <c r="AK14" s="307">
        <f t="shared" si="6"/>
        <v>5.0000000000000001E-3</v>
      </c>
      <c r="AL14" s="307">
        <f t="shared" si="6"/>
        <v>4.0000000000000001E-3</v>
      </c>
      <c r="AM14" s="307">
        <f t="shared" si="6"/>
        <v>4.0000000000000001E-3</v>
      </c>
      <c r="AN14" s="307">
        <f t="shared" si="6"/>
        <v>5.0000000000000001E-3</v>
      </c>
      <c r="AO14" s="307">
        <f t="shared" si="6"/>
        <v>4.0000000000000001E-3</v>
      </c>
      <c r="AP14" s="307">
        <f t="shared" si="6"/>
        <v>4.0000000000000001E-3</v>
      </c>
      <c r="AQ14" s="307">
        <f t="shared" si="6"/>
        <v>4.0000000000000001E-3</v>
      </c>
      <c r="AR14" s="307">
        <f t="shared" si="6"/>
        <v>4.0000000000000001E-3</v>
      </c>
      <c r="AS14" s="307">
        <f t="shared" si="6"/>
        <v>4.0000000000000001E-3</v>
      </c>
      <c r="AT14" s="307">
        <f t="shared" si="6"/>
        <v>4.0000000000000001E-3</v>
      </c>
      <c r="AU14" s="307">
        <f t="shared" si="6"/>
        <v>4.0000000000000001E-3</v>
      </c>
      <c r="AV14" s="295"/>
      <c r="AZ14" s="209" t="s">
        <v>64</v>
      </c>
      <c r="BA14" s="304">
        <f>HLOOKUP(BA$1,Storage_Targets!$E$128:$AZ$143,Storage_Targets!$C137,FALSE)</f>
        <v>0</v>
      </c>
      <c r="BB14" s="304">
        <f>HLOOKUP(BB$1,Storage_Targets!$E$128:$AZ$143,Storage_Targets!$C137,FALSE)</f>
        <v>0</v>
      </c>
      <c r="BC14" s="304">
        <f>HLOOKUP(BC$1,Storage_Targets!$E$128:$AZ$143,Storage_Targets!$C137,FALSE)</f>
        <v>0</v>
      </c>
      <c r="BD14" s="304">
        <f>HLOOKUP(BD$1,Storage_Targets!$E$128:$AZ$143,Storage_Targets!$C137,FALSE)</f>
        <v>0</v>
      </c>
      <c r="BE14" s="304">
        <f>HLOOKUP(BE$1,Storage_Targets!$E$128:$AZ$143,Storage_Targets!$C137,FALSE)</f>
        <v>0</v>
      </c>
      <c r="BF14" s="304">
        <f>HLOOKUP(BF$1,Storage_Targets!$E$128:$AZ$143,Storage_Targets!$C137,FALSE)</f>
        <v>0</v>
      </c>
      <c r="BG14" s="304">
        <f>HLOOKUP(BG$1,Storage_Targets!$E$128:$AZ$143,Storage_Targets!$C137,FALSE)</f>
        <v>0</v>
      </c>
      <c r="BH14" s="304">
        <f>HLOOKUP(BH$1,Storage_Targets!$E$128:$AZ$143,Storage_Targets!$C137,FALSE)</f>
        <v>0</v>
      </c>
      <c r="BI14" s="304">
        <f>HLOOKUP(BI$1,Storage_Targets!$E$128:$AZ$143,Storage_Targets!$C137,FALSE)</f>
        <v>0</v>
      </c>
      <c r="BJ14" s="304">
        <f>HLOOKUP(BJ$1,Storage_Targets!$E$128:$AZ$143,Storage_Targets!$C137,FALSE)</f>
        <v>0</v>
      </c>
      <c r="BK14" s="304">
        <f>HLOOKUP(BK$1,Storage_Targets!$E$128:$AZ$143,Storage_Targets!$C137,FALSE)</f>
        <v>0</v>
      </c>
      <c r="BL14" s="304">
        <f>HLOOKUP(BL$1,Storage_Targets!$E$128:$AZ$143,Storage_Targets!$C137,FALSE)</f>
        <v>0</v>
      </c>
    </row>
    <row r="15" spans="1:64">
      <c r="B15" s="303">
        <f t="shared" si="7"/>
        <v>6.57</v>
      </c>
      <c r="C15" s="209" t="s">
        <v>65</v>
      </c>
      <c r="D15" s="304">
        <f>HLOOKUP(D$1,Storage_Targets!$E$8:$AZ$23,Storage_Targets!$C18,FALSE)</f>
        <v>8.9999999999999993E-3</v>
      </c>
      <c r="E15" s="304">
        <f>HLOOKUP(E$1,Storage_Targets!$E$8:$AZ$23,Storage_Targets!$C18,FALSE)</f>
        <v>0.01</v>
      </c>
      <c r="F15" s="304">
        <f>HLOOKUP(F$1,Storage_Targets!$E$8:$AZ$23,Storage_Targets!$C18,FALSE)</f>
        <v>0.01</v>
      </c>
      <c r="G15" s="304">
        <f>HLOOKUP(G$1,Storage_Targets!$E$8:$AZ$23,Storage_Targets!$C18,FALSE)</f>
        <v>0.01</v>
      </c>
      <c r="H15" s="304">
        <f>HLOOKUP(H$1,Storage_Targets!$E$8:$AZ$23,Storage_Targets!$C18,FALSE)</f>
        <v>0.01</v>
      </c>
      <c r="I15" s="304">
        <f>HLOOKUP(I$1,Storage_Targets!$E$8:$AZ$23,Storage_Targets!$C18,FALSE)</f>
        <v>8.9999999999999993E-3</v>
      </c>
      <c r="J15" s="304">
        <f>HLOOKUP(J$1,Storage_Targets!$E$8:$AZ$23,Storage_Targets!$C18,FALSE)</f>
        <v>0.01</v>
      </c>
      <c r="K15" s="304">
        <f>HLOOKUP(K$1,Storage_Targets!$E$8:$AZ$23,Storage_Targets!$C18,FALSE)</f>
        <v>8.9999999999999993E-3</v>
      </c>
      <c r="L15" s="304">
        <f>HLOOKUP(L$1,Storage_Targets!$E$8:$AZ$23,Storage_Targets!$C18,FALSE)</f>
        <v>0.01</v>
      </c>
      <c r="M15" s="304">
        <f>HLOOKUP(M$1,Storage_Targets!$E$8:$AZ$23,Storage_Targets!$C18,FALSE)</f>
        <v>0.01</v>
      </c>
      <c r="N15" s="304">
        <f>HLOOKUP(N$1,Storage_Targets!$E$8:$AZ$23,Storage_Targets!$C18,FALSE)</f>
        <v>8.9999999999999993E-3</v>
      </c>
      <c r="O15" s="304">
        <f>HLOOKUP(O$1,Storage_Targets!$E$8:$AZ$23,Storage_Targets!$C18,FALSE)</f>
        <v>0.01</v>
      </c>
      <c r="Q15" s="264">
        <f t="shared" si="8"/>
        <v>0.11599999999999998</v>
      </c>
      <c r="S15" s="209" t="s">
        <v>65</v>
      </c>
      <c r="T15" s="304">
        <f>HLOOKUP(T$1,Storage_Targets!$E$68:$AZ$83,Storage_Targets!$C78,FALSE)</f>
        <v>0</v>
      </c>
      <c r="U15" s="304">
        <f>HLOOKUP(U$1,Storage_Targets!$E$68:$AZ$83,Storage_Targets!$C78,FALSE)</f>
        <v>0</v>
      </c>
      <c r="V15" s="304">
        <f>HLOOKUP(V$1,Storage_Targets!$E$68:$AZ$83,Storage_Targets!$C78,FALSE)</f>
        <v>0</v>
      </c>
      <c r="W15" s="304">
        <f>HLOOKUP(W$1,Storage_Targets!$E$68:$AZ$83,Storage_Targets!$C78,FALSE)</f>
        <v>0</v>
      </c>
      <c r="X15" s="304">
        <f>HLOOKUP(X$1,Storage_Targets!$E$68:$AZ$83,Storage_Targets!$C78,FALSE)</f>
        <v>0</v>
      </c>
      <c r="Y15" s="304">
        <f>HLOOKUP(Y$1,Storage_Targets!$E$68:$AZ$83,Storage_Targets!$C78,FALSE)</f>
        <v>0</v>
      </c>
      <c r="Z15" s="304">
        <f>HLOOKUP(Z$1,Storage_Targets!$E$68:$AZ$83,Storage_Targets!$C78,FALSE)</f>
        <v>0</v>
      </c>
      <c r="AA15" s="304">
        <f>HLOOKUP(AA$1,Storage_Targets!$E$68:$AZ$83,Storage_Targets!$C78,FALSE)</f>
        <v>0</v>
      </c>
      <c r="AB15" s="304">
        <f>HLOOKUP(AB$1,Storage_Targets!$E$68:$AZ$83,Storage_Targets!$C78,FALSE)</f>
        <v>0</v>
      </c>
      <c r="AC15" s="304">
        <f>HLOOKUP(AC$1,Storage_Targets!$E$68:$AZ$83,Storage_Targets!$C78,FALSE)</f>
        <v>0</v>
      </c>
      <c r="AD15" s="304">
        <f>HLOOKUP(AD$1,Storage_Targets!$E$68:$AZ$83,Storage_Targets!$C78,FALSE)</f>
        <v>0</v>
      </c>
      <c r="AE15" s="304">
        <f>HLOOKUP(AE$1,Storage_Targets!$E$68:$AZ$83,Storage_Targets!$C78,FALSE)</f>
        <v>0</v>
      </c>
      <c r="AH15" s="293"/>
      <c r="AI15" s="296" t="s">
        <v>65</v>
      </c>
      <c r="AJ15" s="307">
        <f t="shared" si="9"/>
        <v>8.9999999999999993E-3</v>
      </c>
      <c r="AK15" s="307">
        <f t="shared" si="6"/>
        <v>0.01</v>
      </c>
      <c r="AL15" s="307">
        <f t="shared" si="6"/>
        <v>0.01</v>
      </c>
      <c r="AM15" s="307">
        <f t="shared" si="6"/>
        <v>0.01</v>
      </c>
      <c r="AN15" s="307">
        <f t="shared" si="6"/>
        <v>0.01</v>
      </c>
      <c r="AO15" s="307">
        <f t="shared" si="6"/>
        <v>8.9999999999999993E-3</v>
      </c>
      <c r="AP15" s="307">
        <f t="shared" si="6"/>
        <v>0.01</v>
      </c>
      <c r="AQ15" s="307">
        <f t="shared" si="6"/>
        <v>8.9999999999999993E-3</v>
      </c>
      <c r="AR15" s="307">
        <f t="shared" si="6"/>
        <v>0.01</v>
      </c>
      <c r="AS15" s="307">
        <f t="shared" si="6"/>
        <v>0.01</v>
      </c>
      <c r="AT15" s="307">
        <f t="shared" si="6"/>
        <v>8.9999999999999993E-3</v>
      </c>
      <c r="AU15" s="307">
        <f t="shared" si="6"/>
        <v>0.01</v>
      </c>
      <c r="AV15" s="295"/>
      <c r="AZ15" s="209" t="s">
        <v>65</v>
      </c>
      <c r="BA15" s="304">
        <f>HLOOKUP(BA$1,Storage_Targets!$E$128:$AZ$143,Storage_Targets!$C138,FALSE)</f>
        <v>0</v>
      </c>
      <c r="BB15" s="304">
        <f>HLOOKUP(BB$1,Storage_Targets!$E$128:$AZ$143,Storage_Targets!$C138,FALSE)</f>
        <v>0</v>
      </c>
      <c r="BC15" s="304">
        <f>HLOOKUP(BC$1,Storage_Targets!$E$128:$AZ$143,Storage_Targets!$C138,FALSE)</f>
        <v>0</v>
      </c>
      <c r="BD15" s="304">
        <f>HLOOKUP(BD$1,Storage_Targets!$E$128:$AZ$143,Storage_Targets!$C138,FALSE)</f>
        <v>0</v>
      </c>
      <c r="BE15" s="304">
        <f>HLOOKUP(BE$1,Storage_Targets!$E$128:$AZ$143,Storage_Targets!$C138,FALSE)</f>
        <v>0</v>
      </c>
      <c r="BF15" s="304">
        <f>HLOOKUP(BF$1,Storage_Targets!$E$128:$AZ$143,Storage_Targets!$C138,FALSE)</f>
        <v>0</v>
      </c>
      <c r="BG15" s="304">
        <f>HLOOKUP(BG$1,Storage_Targets!$E$128:$AZ$143,Storage_Targets!$C138,FALSE)</f>
        <v>0</v>
      </c>
      <c r="BH15" s="304">
        <f>HLOOKUP(BH$1,Storage_Targets!$E$128:$AZ$143,Storage_Targets!$C138,FALSE)</f>
        <v>0</v>
      </c>
      <c r="BI15" s="304">
        <f>HLOOKUP(BI$1,Storage_Targets!$E$128:$AZ$143,Storage_Targets!$C138,FALSE)</f>
        <v>0</v>
      </c>
      <c r="BJ15" s="304">
        <f>HLOOKUP(BJ$1,Storage_Targets!$E$128:$AZ$143,Storage_Targets!$C138,FALSE)</f>
        <v>0</v>
      </c>
      <c r="BK15" s="304">
        <f>HLOOKUP(BK$1,Storage_Targets!$E$128:$AZ$143,Storage_Targets!$C138,FALSE)</f>
        <v>0</v>
      </c>
      <c r="BL15" s="304">
        <f>HLOOKUP(BL$1,Storage_Targets!$E$128:$AZ$143,Storage_Targets!$C138,FALSE)</f>
        <v>0</v>
      </c>
    </row>
    <row r="16" spans="1:64">
      <c r="B16" s="303">
        <f t="shared" si="7"/>
        <v>7.62</v>
      </c>
      <c r="C16" s="209" t="s">
        <v>66</v>
      </c>
      <c r="D16" s="304">
        <f>HLOOKUP(D$1,Storage_Targets!$E$8:$AZ$23,Storage_Targets!$C19,FALSE)</f>
        <v>6.8000000000000005E-2</v>
      </c>
      <c r="E16" s="304">
        <f>HLOOKUP(E$1,Storage_Targets!$E$8:$AZ$23,Storage_Targets!$C19,FALSE)</f>
        <v>7.0000000000000007E-2</v>
      </c>
      <c r="F16" s="304">
        <f>HLOOKUP(F$1,Storage_Targets!$E$8:$AZ$23,Storage_Targets!$C19,FALSE)</f>
        <v>6.8000000000000005E-2</v>
      </c>
      <c r="G16" s="304">
        <f>HLOOKUP(G$1,Storage_Targets!$E$8:$AZ$23,Storage_Targets!$C19,FALSE)</f>
        <v>7.0000000000000007E-2</v>
      </c>
      <c r="H16" s="304">
        <f>HLOOKUP(H$1,Storage_Targets!$E$8:$AZ$23,Storage_Targets!$C19,FALSE)</f>
        <v>7.0000000000000007E-2</v>
      </c>
      <c r="I16" s="304">
        <f>HLOOKUP(I$1,Storage_Targets!$E$8:$AZ$23,Storage_Targets!$C19,FALSE)</f>
        <v>6.8000000000000005E-2</v>
      </c>
      <c r="J16" s="304">
        <f>HLOOKUP(J$1,Storage_Targets!$E$8:$AZ$23,Storage_Targets!$C19,FALSE)</f>
        <v>7.0000000000000007E-2</v>
      </c>
      <c r="K16" s="304">
        <f>HLOOKUP(K$1,Storage_Targets!$E$8:$AZ$23,Storage_Targets!$C19,FALSE)</f>
        <v>6.8000000000000005E-2</v>
      </c>
      <c r="L16" s="304">
        <f>HLOOKUP(L$1,Storage_Targets!$E$8:$AZ$23,Storage_Targets!$C19,FALSE)</f>
        <v>7.0000000000000007E-2</v>
      </c>
      <c r="M16" s="304">
        <f>HLOOKUP(M$1,Storage_Targets!$E$8:$AZ$23,Storage_Targets!$C19,FALSE)</f>
        <v>7.0000000000000007E-2</v>
      </c>
      <c r="N16" s="304">
        <f>HLOOKUP(N$1,Storage_Targets!$E$8:$AZ$23,Storage_Targets!$C19,FALSE)</f>
        <v>6.4000000000000001E-2</v>
      </c>
      <c r="O16" s="304">
        <f>HLOOKUP(O$1,Storage_Targets!$E$8:$AZ$23,Storage_Targets!$C19,FALSE)</f>
        <v>7.0000000000000007E-2</v>
      </c>
      <c r="Q16" s="264">
        <f t="shared" si="8"/>
        <v>0.82600000000000029</v>
      </c>
      <c r="S16" s="209" t="s">
        <v>66</v>
      </c>
      <c r="T16" s="304">
        <f>HLOOKUP(T$1,Storage_Targets!$E$68:$AZ$83,Storage_Targets!$C79,FALSE)</f>
        <v>0</v>
      </c>
      <c r="U16" s="304">
        <f>HLOOKUP(U$1,Storage_Targets!$E$68:$AZ$83,Storage_Targets!$C79,FALSE)</f>
        <v>0</v>
      </c>
      <c r="V16" s="304">
        <f>HLOOKUP(V$1,Storage_Targets!$E$68:$AZ$83,Storage_Targets!$C79,FALSE)</f>
        <v>0</v>
      </c>
      <c r="W16" s="304">
        <f>HLOOKUP(W$1,Storage_Targets!$E$68:$AZ$83,Storage_Targets!$C79,FALSE)</f>
        <v>0</v>
      </c>
      <c r="X16" s="304">
        <f>HLOOKUP(X$1,Storage_Targets!$E$68:$AZ$83,Storage_Targets!$C79,FALSE)</f>
        <v>0</v>
      </c>
      <c r="Y16" s="304">
        <f>HLOOKUP(Y$1,Storage_Targets!$E$68:$AZ$83,Storage_Targets!$C79,FALSE)</f>
        <v>0</v>
      </c>
      <c r="Z16" s="304">
        <f>HLOOKUP(Z$1,Storage_Targets!$E$68:$AZ$83,Storage_Targets!$C79,FALSE)</f>
        <v>0</v>
      </c>
      <c r="AA16" s="304">
        <f>HLOOKUP(AA$1,Storage_Targets!$E$68:$AZ$83,Storage_Targets!$C79,FALSE)</f>
        <v>0</v>
      </c>
      <c r="AB16" s="304">
        <f>HLOOKUP(AB$1,Storage_Targets!$E$68:$AZ$83,Storage_Targets!$C79,FALSE)</f>
        <v>0</v>
      </c>
      <c r="AC16" s="304">
        <f>HLOOKUP(AC$1,Storage_Targets!$E$68:$AZ$83,Storage_Targets!$C79,FALSE)</f>
        <v>0</v>
      </c>
      <c r="AD16" s="304">
        <f>HLOOKUP(AD$1,Storage_Targets!$E$68:$AZ$83,Storage_Targets!$C79,FALSE)</f>
        <v>0</v>
      </c>
      <c r="AE16" s="304">
        <f>HLOOKUP(AE$1,Storage_Targets!$E$68:$AZ$83,Storage_Targets!$C79,FALSE)</f>
        <v>0</v>
      </c>
      <c r="AH16" s="293"/>
      <c r="AI16" s="296" t="s">
        <v>66</v>
      </c>
      <c r="AJ16" s="307">
        <f t="shared" si="9"/>
        <v>6.8000000000000005E-2</v>
      </c>
      <c r="AK16" s="307">
        <f t="shared" si="6"/>
        <v>7.0000000000000007E-2</v>
      </c>
      <c r="AL16" s="307">
        <f t="shared" si="6"/>
        <v>6.8000000000000005E-2</v>
      </c>
      <c r="AM16" s="307">
        <f t="shared" si="6"/>
        <v>7.0000000000000007E-2</v>
      </c>
      <c r="AN16" s="307">
        <f t="shared" si="6"/>
        <v>7.0000000000000007E-2</v>
      </c>
      <c r="AO16" s="307">
        <f t="shared" si="6"/>
        <v>6.8000000000000005E-2</v>
      </c>
      <c r="AP16" s="307">
        <f t="shared" si="6"/>
        <v>7.0000000000000007E-2</v>
      </c>
      <c r="AQ16" s="307">
        <f t="shared" si="6"/>
        <v>6.8000000000000005E-2</v>
      </c>
      <c r="AR16" s="307">
        <f t="shared" si="6"/>
        <v>7.0000000000000007E-2</v>
      </c>
      <c r="AS16" s="307">
        <f t="shared" si="6"/>
        <v>7.0000000000000007E-2</v>
      </c>
      <c r="AT16" s="307">
        <f t="shared" si="6"/>
        <v>6.4000000000000001E-2</v>
      </c>
      <c r="AU16" s="307">
        <f t="shared" si="6"/>
        <v>7.0000000000000007E-2</v>
      </c>
      <c r="AV16" s="295"/>
      <c r="AZ16" s="209" t="s">
        <v>66</v>
      </c>
      <c r="BA16" s="304">
        <f>HLOOKUP(BA$1,Storage_Targets!$E$128:$AZ$143,Storage_Targets!$C139,FALSE)</f>
        <v>0</v>
      </c>
      <c r="BB16" s="304">
        <f>HLOOKUP(BB$1,Storage_Targets!$E$128:$AZ$143,Storage_Targets!$C139,FALSE)</f>
        <v>0</v>
      </c>
      <c r="BC16" s="304">
        <f>HLOOKUP(BC$1,Storage_Targets!$E$128:$AZ$143,Storage_Targets!$C139,FALSE)</f>
        <v>0</v>
      </c>
      <c r="BD16" s="304">
        <f>HLOOKUP(BD$1,Storage_Targets!$E$128:$AZ$143,Storage_Targets!$C139,FALSE)</f>
        <v>0</v>
      </c>
      <c r="BE16" s="304">
        <f>HLOOKUP(BE$1,Storage_Targets!$E$128:$AZ$143,Storage_Targets!$C139,FALSE)</f>
        <v>0</v>
      </c>
      <c r="BF16" s="304">
        <f>HLOOKUP(BF$1,Storage_Targets!$E$128:$AZ$143,Storage_Targets!$C139,FALSE)</f>
        <v>0</v>
      </c>
      <c r="BG16" s="304">
        <f>HLOOKUP(BG$1,Storage_Targets!$E$128:$AZ$143,Storage_Targets!$C139,FALSE)</f>
        <v>0</v>
      </c>
      <c r="BH16" s="304">
        <f>HLOOKUP(BH$1,Storage_Targets!$E$128:$AZ$143,Storage_Targets!$C139,FALSE)</f>
        <v>0</v>
      </c>
      <c r="BI16" s="304">
        <f>HLOOKUP(BI$1,Storage_Targets!$E$128:$AZ$143,Storage_Targets!$C139,FALSE)</f>
        <v>0</v>
      </c>
      <c r="BJ16" s="304">
        <f>HLOOKUP(BJ$1,Storage_Targets!$E$128:$AZ$143,Storage_Targets!$C139,FALSE)</f>
        <v>0</v>
      </c>
      <c r="BK16" s="304">
        <f>HLOOKUP(BK$1,Storage_Targets!$E$128:$AZ$143,Storage_Targets!$C139,FALSE)</f>
        <v>0</v>
      </c>
      <c r="BL16" s="304">
        <f>HLOOKUP(BL$1,Storage_Targets!$E$128:$AZ$143,Storage_Targets!$C139,FALSE)</f>
        <v>0</v>
      </c>
    </row>
    <row r="17" spans="2:64">
      <c r="B17" s="303">
        <f t="shared" si="7"/>
        <v>7.3</v>
      </c>
      <c r="C17" s="209" t="s">
        <v>67</v>
      </c>
      <c r="D17" s="304">
        <f>HLOOKUP(D$1,Storage_Targets!$E$8:$AZ$23,Storage_Targets!$C20,FALSE)</f>
        <v>5.3999999999999999E-2</v>
      </c>
      <c r="E17" s="304">
        <f>HLOOKUP(E$1,Storage_Targets!$E$8:$AZ$23,Storage_Targets!$C20,FALSE)</f>
        <v>5.6000000000000001E-2</v>
      </c>
      <c r="F17" s="304">
        <f>HLOOKUP(F$1,Storage_Targets!$E$8:$AZ$23,Storage_Targets!$C20,FALSE)</f>
        <v>5.3999999999999999E-2</v>
      </c>
      <c r="G17" s="304">
        <f>HLOOKUP(G$1,Storage_Targets!$E$8:$AZ$23,Storage_Targets!$C20,FALSE)</f>
        <v>5.5E-2</v>
      </c>
      <c r="H17" s="304">
        <f>HLOOKUP(H$1,Storage_Targets!$E$8:$AZ$23,Storage_Targets!$C20,FALSE)</f>
        <v>5.6000000000000001E-2</v>
      </c>
      <c r="I17" s="304">
        <f>HLOOKUP(I$1,Storage_Targets!$E$8:$AZ$23,Storage_Targets!$C20,FALSE)</f>
        <v>5.3999999999999999E-2</v>
      </c>
      <c r="J17" s="304">
        <f>HLOOKUP(J$1,Storage_Targets!$E$8:$AZ$23,Storage_Targets!$C20,FALSE)</f>
        <v>5.6000000000000001E-2</v>
      </c>
      <c r="K17" s="304">
        <f>HLOOKUP(K$1,Storage_Targets!$E$8:$AZ$23,Storage_Targets!$C20,FALSE)</f>
        <v>5.3999999999999999E-2</v>
      </c>
      <c r="L17" s="304">
        <f>HLOOKUP(L$1,Storage_Targets!$E$8:$AZ$23,Storage_Targets!$C20,FALSE)</f>
        <v>5.6000000000000001E-2</v>
      </c>
      <c r="M17" s="304">
        <f>HLOOKUP(M$1,Storage_Targets!$E$8:$AZ$23,Storage_Targets!$C20,FALSE)</f>
        <v>5.3999999999999999E-2</v>
      </c>
      <c r="N17" s="304">
        <f>HLOOKUP(N$1,Storage_Targets!$E$8:$AZ$23,Storage_Targets!$C20,FALSE)</f>
        <v>0.05</v>
      </c>
      <c r="O17" s="304">
        <f>HLOOKUP(O$1,Storage_Targets!$E$8:$AZ$23,Storage_Targets!$C20,FALSE)</f>
        <v>5.6000000000000001E-2</v>
      </c>
      <c r="Q17" s="264">
        <f t="shared" si="8"/>
        <v>0.65500000000000014</v>
      </c>
      <c r="S17" s="209" t="s">
        <v>67</v>
      </c>
      <c r="T17" s="304">
        <f>HLOOKUP(T$1,Storage_Targets!$E$68:$AZ$83,Storage_Targets!$C80,FALSE)</f>
        <v>0</v>
      </c>
      <c r="U17" s="304">
        <f>HLOOKUP(U$1,Storage_Targets!$E$68:$AZ$83,Storage_Targets!$C80,FALSE)</f>
        <v>0</v>
      </c>
      <c r="V17" s="304">
        <f>HLOOKUP(V$1,Storage_Targets!$E$68:$AZ$83,Storage_Targets!$C80,FALSE)</f>
        <v>0</v>
      </c>
      <c r="W17" s="304">
        <f>HLOOKUP(W$1,Storage_Targets!$E$68:$AZ$83,Storage_Targets!$C80,FALSE)</f>
        <v>0</v>
      </c>
      <c r="X17" s="304">
        <f>HLOOKUP(X$1,Storage_Targets!$E$68:$AZ$83,Storage_Targets!$C80,FALSE)</f>
        <v>0</v>
      </c>
      <c r="Y17" s="304">
        <f>HLOOKUP(Y$1,Storage_Targets!$E$68:$AZ$83,Storage_Targets!$C80,FALSE)</f>
        <v>0</v>
      </c>
      <c r="Z17" s="304">
        <f>HLOOKUP(Z$1,Storage_Targets!$E$68:$AZ$83,Storage_Targets!$C80,FALSE)</f>
        <v>0</v>
      </c>
      <c r="AA17" s="304">
        <f>HLOOKUP(AA$1,Storage_Targets!$E$68:$AZ$83,Storage_Targets!$C80,FALSE)</f>
        <v>0</v>
      </c>
      <c r="AB17" s="304">
        <f>HLOOKUP(AB$1,Storage_Targets!$E$68:$AZ$83,Storage_Targets!$C80,FALSE)</f>
        <v>0</v>
      </c>
      <c r="AC17" s="304">
        <f>HLOOKUP(AC$1,Storage_Targets!$E$68:$AZ$83,Storage_Targets!$C80,FALSE)</f>
        <v>0</v>
      </c>
      <c r="AD17" s="304">
        <f>HLOOKUP(AD$1,Storage_Targets!$E$68:$AZ$83,Storage_Targets!$C80,FALSE)</f>
        <v>0</v>
      </c>
      <c r="AE17" s="304">
        <f>HLOOKUP(AE$1,Storage_Targets!$E$68:$AZ$83,Storage_Targets!$C80,FALSE)</f>
        <v>0</v>
      </c>
      <c r="AH17" s="293"/>
      <c r="AI17" s="296" t="s">
        <v>67</v>
      </c>
      <c r="AJ17" s="307">
        <f t="shared" si="9"/>
        <v>5.3999999999999999E-2</v>
      </c>
      <c r="AK17" s="307">
        <f t="shared" si="6"/>
        <v>5.6000000000000001E-2</v>
      </c>
      <c r="AL17" s="307">
        <f t="shared" si="6"/>
        <v>5.3999999999999999E-2</v>
      </c>
      <c r="AM17" s="307">
        <f t="shared" si="6"/>
        <v>5.5E-2</v>
      </c>
      <c r="AN17" s="307">
        <f t="shared" si="6"/>
        <v>5.6000000000000001E-2</v>
      </c>
      <c r="AO17" s="307">
        <f t="shared" si="6"/>
        <v>5.3999999999999999E-2</v>
      </c>
      <c r="AP17" s="307">
        <f t="shared" si="6"/>
        <v>5.6000000000000001E-2</v>
      </c>
      <c r="AQ17" s="307">
        <f t="shared" si="6"/>
        <v>5.3999999999999999E-2</v>
      </c>
      <c r="AR17" s="307">
        <f t="shared" si="6"/>
        <v>5.6000000000000001E-2</v>
      </c>
      <c r="AS17" s="307">
        <f t="shared" si="6"/>
        <v>5.3999999999999999E-2</v>
      </c>
      <c r="AT17" s="307">
        <f t="shared" si="6"/>
        <v>0.05</v>
      </c>
      <c r="AU17" s="307">
        <f t="shared" si="6"/>
        <v>5.6000000000000001E-2</v>
      </c>
      <c r="AV17" s="295"/>
      <c r="AZ17" s="209" t="s">
        <v>67</v>
      </c>
      <c r="BA17" s="304">
        <f>HLOOKUP(BA$1,Storage_Targets!$E$128:$AZ$143,Storage_Targets!$C140,FALSE)</f>
        <v>0</v>
      </c>
      <c r="BB17" s="304">
        <f>HLOOKUP(BB$1,Storage_Targets!$E$128:$AZ$143,Storage_Targets!$C140,FALSE)</f>
        <v>0</v>
      </c>
      <c r="BC17" s="304">
        <f>HLOOKUP(BC$1,Storage_Targets!$E$128:$AZ$143,Storage_Targets!$C140,FALSE)</f>
        <v>0</v>
      </c>
      <c r="BD17" s="304">
        <f>HLOOKUP(BD$1,Storage_Targets!$E$128:$AZ$143,Storage_Targets!$C140,FALSE)</f>
        <v>0</v>
      </c>
      <c r="BE17" s="304">
        <f>HLOOKUP(BE$1,Storage_Targets!$E$128:$AZ$143,Storage_Targets!$C140,FALSE)</f>
        <v>0</v>
      </c>
      <c r="BF17" s="304">
        <f>HLOOKUP(BF$1,Storage_Targets!$E$128:$AZ$143,Storage_Targets!$C140,FALSE)</f>
        <v>0</v>
      </c>
      <c r="BG17" s="304">
        <f>HLOOKUP(BG$1,Storage_Targets!$E$128:$AZ$143,Storage_Targets!$C140,FALSE)</f>
        <v>0</v>
      </c>
      <c r="BH17" s="304">
        <f>HLOOKUP(BH$1,Storage_Targets!$E$128:$AZ$143,Storage_Targets!$C140,FALSE)</f>
        <v>0</v>
      </c>
      <c r="BI17" s="304">
        <f>HLOOKUP(BI$1,Storage_Targets!$E$128:$AZ$143,Storage_Targets!$C140,FALSE)</f>
        <v>0</v>
      </c>
      <c r="BJ17" s="304">
        <f>HLOOKUP(BJ$1,Storage_Targets!$E$128:$AZ$143,Storage_Targets!$C140,FALSE)</f>
        <v>0</v>
      </c>
      <c r="BK17" s="304">
        <f>HLOOKUP(BK$1,Storage_Targets!$E$128:$AZ$143,Storage_Targets!$C140,FALSE)</f>
        <v>0</v>
      </c>
      <c r="BL17" s="304">
        <f>HLOOKUP(BL$1,Storage_Targets!$E$128:$AZ$143,Storage_Targets!$C140,FALSE)</f>
        <v>0</v>
      </c>
    </row>
    <row r="18" spans="2:64">
      <c r="B18" s="303">
        <f t="shared" si="7"/>
        <v>6.8</v>
      </c>
      <c r="C18" s="209" t="s">
        <v>68</v>
      </c>
      <c r="D18" s="304">
        <f>HLOOKUP(D$1,Storage_Targets!$E$8:$AZ$23,Storage_Targets!$C21,FALSE)</f>
        <v>1.4E-2</v>
      </c>
      <c r="E18" s="304">
        <f>HLOOKUP(E$1,Storage_Targets!$E$8:$AZ$23,Storage_Targets!$C21,FALSE)</f>
        <v>1.4E-2</v>
      </c>
      <c r="F18" s="304">
        <f>HLOOKUP(F$1,Storage_Targets!$E$8:$AZ$23,Storage_Targets!$C21,FALSE)</f>
        <v>1.4E-2</v>
      </c>
      <c r="G18" s="304">
        <f>HLOOKUP(G$1,Storage_Targets!$E$8:$AZ$23,Storage_Targets!$C21,FALSE)</f>
        <v>1.4999999999999999E-2</v>
      </c>
      <c r="H18" s="304">
        <f>HLOOKUP(H$1,Storage_Targets!$E$8:$AZ$23,Storage_Targets!$C21,FALSE)</f>
        <v>1.4E-2</v>
      </c>
      <c r="I18" s="304">
        <f>HLOOKUP(I$1,Storage_Targets!$E$8:$AZ$23,Storage_Targets!$C21,FALSE)</f>
        <v>1.4E-2</v>
      </c>
      <c r="J18" s="304">
        <f>HLOOKUP(J$1,Storage_Targets!$E$8:$AZ$23,Storage_Targets!$C21,FALSE)</f>
        <v>1.4999999999999999E-2</v>
      </c>
      <c r="K18" s="304">
        <f>HLOOKUP(K$1,Storage_Targets!$E$8:$AZ$23,Storage_Targets!$C21,FALSE)</f>
        <v>1.4E-2</v>
      </c>
      <c r="L18" s="304">
        <f>HLOOKUP(L$1,Storage_Targets!$E$8:$AZ$23,Storage_Targets!$C21,FALSE)</f>
        <v>1.4999999999999999E-2</v>
      </c>
      <c r="M18" s="304">
        <f>HLOOKUP(M$1,Storage_Targets!$E$8:$AZ$23,Storage_Targets!$C21,FALSE)</f>
        <v>1.4E-2</v>
      </c>
      <c r="N18" s="304">
        <f>HLOOKUP(N$1,Storage_Targets!$E$8:$AZ$23,Storage_Targets!$C21,FALSE)</f>
        <v>1.2999999999999999E-2</v>
      </c>
      <c r="O18" s="304">
        <f>HLOOKUP(O$1,Storage_Targets!$E$8:$AZ$23,Storage_Targets!$C21,FALSE)</f>
        <v>1.4E-2</v>
      </c>
      <c r="Q18" s="264">
        <f t="shared" si="8"/>
        <v>0.17000000000000004</v>
      </c>
      <c r="S18" s="209" t="s">
        <v>68</v>
      </c>
      <c r="T18" s="304">
        <f>HLOOKUP(T$1,Storage_Targets!$E$68:$AZ$83,Storage_Targets!$C81,FALSE)</f>
        <v>0</v>
      </c>
      <c r="U18" s="304">
        <f>HLOOKUP(U$1,Storage_Targets!$E$68:$AZ$83,Storage_Targets!$C81,FALSE)</f>
        <v>0</v>
      </c>
      <c r="V18" s="304">
        <f>HLOOKUP(V$1,Storage_Targets!$E$68:$AZ$83,Storage_Targets!$C81,FALSE)</f>
        <v>0</v>
      </c>
      <c r="W18" s="304">
        <f>HLOOKUP(W$1,Storage_Targets!$E$68:$AZ$83,Storage_Targets!$C81,FALSE)</f>
        <v>0</v>
      </c>
      <c r="X18" s="304">
        <f>HLOOKUP(X$1,Storage_Targets!$E$68:$AZ$83,Storage_Targets!$C81,FALSE)</f>
        <v>0</v>
      </c>
      <c r="Y18" s="304">
        <f>HLOOKUP(Y$1,Storage_Targets!$E$68:$AZ$83,Storage_Targets!$C81,FALSE)</f>
        <v>0</v>
      </c>
      <c r="Z18" s="304">
        <f>HLOOKUP(Z$1,Storage_Targets!$E$68:$AZ$83,Storage_Targets!$C81,FALSE)</f>
        <v>0</v>
      </c>
      <c r="AA18" s="304">
        <f>HLOOKUP(AA$1,Storage_Targets!$E$68:$AZ$83,Storage_Targets!$C81,FALSE)</f>
        <v>0</v>
      </c>
      <c r="AB18" s="304">
        <f>HLOOKUP(AB$1,Storage_Targets!$E$68:$AZ$83,Storage_Targets!$C81,FALSE)</f>
        <v>0</v>
      </c>
      <c r="AC18" s="304">
        <f>HLOOKUP(AC$1,Storage_Targets!$E$68:$AZ$83,Storage_Targets!$C81,FALSE)</f>
        <v>0</v>
      </c>
      <c r="AD18" s="304">
        <f>HLOOKUP(AD$1,Storage_Targets!$E$68:$AZ$83,Storage_Targets!$C81,FALSE)</f>
        <v>0</v>
      </c>
      <c r="AE18" s="304">
        <f>HLOOKUP(AE$1,Storage_Targets!$E$68:$AZ$83,Storage_Targets!$C81,FALSE)</f>
        <v>0</v>
      </c>
      <c r="AH18" s="293"/>
      <c r="AI18" s="296" t="s">
        <v>68</v>
      </c>
      <c r="AJ18" s="307">
        <f t="shared" si="9"/>
        <v>1.4E-2</v>
      </c>
      <c r="AK18" s="307">
        <f t="shared" si="6"/>
        <v>1.4E-2</v>
      </c>
      <c r="AL18" s="307">
        <f t="shared" si="6"/>
        <v>1.4E-2</v>
      </c>
      <c r="AM18" s="307">
        <f t="shared" si="6"/>
        <v>1.4999999999999999E-2</v>
      </c>
      <c r="AN18" s="307">
        <f t="shared" si="6"/>
        <v>1.4E-2</v>
      </c>
      <c r="AO18" s="307">
        <f t="shared" si="6"/>
        <v>1.4E-2</v>
      </c>
      <c r="AP18" s="307">
        <f t="shared" si="6"/>
        <v>1.4999999999999999E-2</v>
      </c>
      <c r="AQ18" s="307">
        <f t="shared" si="6"/>
        <v>1.4E-2</v>
      </c>
      <c r="AR18" s="307">
        <f t="shared" si="6"/>
        <v>1.4999999999999999E-2</v>
      </c>
      <c r="AS18" s="307">
        <f t="shared" si="6"/>
        <v>1.4E-2</v>
      </c>
      <c r="AT18" s="307">
        <f t="shared" si="6"/>
        <v>1.2999999999999999E-2</v>
      </c>
      <c r="AU18" s="307">
        <f t="shared" si="6"/>
        <v>1.4E-2</v>
      </c>
      <c r="AV18" s="295"/>
      <c r="AZ18" s="209" t="s">
        <v>68</v>
      </c>
      <c r="BA18" s="304">
        <f>HLOOKUP(BA$1,Storage_Targets!$E$128:$AZ$143,Storage_Targets!$C141,FALSE)</f>
        <v>0</v>
      </c>
      <c r="BB18" s="304">
        <f>HLOOKUP(BB$1,Storage_Targets!$E$128:$AZ$143,Storage_Targets!$C141,FALSE)</f>
        <v>0</v>
      </c>
      <c r="BC18" s="304">
        <f>HLOOKUP(BC$1,Storage_Targets!$E$128:$AZ$143,Storage_Targets!$C141,FALSE)</f>
        <v>0</v>
      </c>
      <c r="BD18" s="304">
        <f>HLOOKUP(BD$1,Storage_Targets!$E$128:$AZ$143,Storage_Targets!$C141,FALSE)</f>
        <v>0</v>
      </c>
      <c r="BE18" s="304">
        <f>HLOOKUP(BE$1,Storage_Targets!$E$128:$AZ$143,Storage_Targets!$C141,FALSE)</f>
        <v>0</v>
      </c>
      <c r="BF18" s="304">
        <f>HLOOKUP(BF$1,Storage_Targets!$E$128:$AZ$143,Storage_Targets!$C141,FALSE)</f>
        <v>0</v>
      </c>
      <c r="BG18" s="304">
        <f>HLOOKUP(BG$1,Storage_Targets!$E$128:$AZ$143,Storage_Targets!$C141,FALSE)</f>
        <v>0</v>
      </c>
      <c r="BH18" s="304">
        <f>HLOOKUP(BH$1,Storage_Targets!$E$128:$AZ$143,Storage_Targets!$C141,FALSE)</f>
        <v>0</v>
      </c>
      <c r="BI18" s="304">
        <f>HLOOKUP(BI$1,Storage_Targets!$E$128:$AZ$143,Storage_Targets!$C141,FALSE)</f>
        <v>0</v>
      </c>
      <c r="BJ18" s="304">
        <f>HLOOKUP(BJ$1,Storage_Targets!$E$128:$AZ$143,Storage_Targets!$C141,FALSE)</f>
        <v>0</v>
      </c>
      <c r="BK18" s="304">
        <f>HLOOKUP(BK$1,Storage_Targets!$E$128:$AZ$143,Storage_Targets!$C141,FALSE)</f>
        <v>0</v>
      </c>
      <c r="BL18" s="304">
        <f>HLOOKUP(BL$1,Storage_Targets!$E$128:$AZ$143,Storage_Targets!$C141,FALSE)</f>
        <v>0</v>
      </c>
    </row>
    <row r="19" spans="2:64">
      <c r="B19" s="303">
        <f>D54*D$41+T54*T$41+BA54*BA$41</f>
        <v>8.6</v>
      </c>
      <c r="C19" s="209" t="s">
        <v>69</v>
      </c>
      <c r="D19" s="304">
        <f>HLOOKUP(D$1,Storage_Targets!$E$8:$AZ$23,Storage_Targets!$C22,FALSE)</f>
        <v>0</v>
      </c>
      <c r="E19" s="304">
        <f>HLOOKUP(E$1,Storage_Targets!$E$8:$AZ$23,Storage_Targets!$C22,FALSE)</f>
        <v>0</v>
      </c>
      <c r="F19" s="304">
        <f>HLOOKUP(F$1,Storage_Targets!$E$8:$AZ$23,Storage_Targets!$C22,FALSE)</f>
        <v>0</v>
      </c>
      <c r="G19" s="304">
        <f>HLOOKUP(G$1,Storage_Targets!$E$8:$AZ$23,Storage_Targets!$C22,FALSE)</f>
        <v>0</v>
      </c>
      <c r="H19" s="304">
        <f>HLOOKUP(H$1,Storage_Targets!$E$8:$AZ$23,Storage_Targets!$C22,FALSE)</f>
        <v>0</v>
      </c>
      <c r="I19" s="304">
        <f>HLOOKUP(I$1,Storage_Targets!$E$8:$AZ$23,Storage_Targets!$C22,FALSE)</f>
        <v>0</v>
      </c>
      <c r="J19" s="304">
        <f>HLOOKUP(J$1,Storage_Targets!$E$8:$AZ$23,Storage_Targets!$C22,FALSE)</f>
        <v>0</v>
      </c>
      <c r="K19" s="304">
        <f>HLOOKUP(K$1,Storage_Targets!$E$8:$AZ$23,Storage_Targets!$C22,FALSE)</f>
        <v>0</v>
      </c>
      <c r="L19" s="304">
        <f>HLOOKUP(L$1,Storage_Targets!$E$8:$AZ$23,Storage_Targets!$C22,FALSE)</f>
        <v>0</v>
      </c>
      <c r="M19" s="304">
        <f>HLOOKUP(M$1,Storage_Targets!$E$8:$AZ$23,Storage_Targets!$C22,FALSE)</f>
        <v>0</v>
      </c>
      <c r="N19" s="304">
        <f>HLOOKUP(N$1,Storage_Targets!$E$8:$AZ$23,Storage_Targets!$C22,FALSE)</f>
        <v>0</v>
      </c>
      <c r="O19" s="304">
        <f>HLOOKUP(O$1,Storage_Targets!$E$8:$AZ$23,Storage_Targets!$C22,FALSE)</f>
        <v>0</v>
      </c>
      <c r="Q19" s="264">
        <f t="shared" si="8"/>
        <v>0</v>
      </c>
      <c r="S19" s="209" t="s">
        <v>69</v>
      </c>
      <c r="T19" s="304">
        <f>HLOOKUP(T$1,Storage_Targets!$E$68:$AZ$83,Storage_Targets!$C82,FALSE)</f>
        <v>0</v>
      </c>
      <c r="U19" s="304">
        <f>HLOOKUP(U$1,Storage_Targets!$E$68:$AZ$83,Storage_Targets!$C82,FALSE)</f>
        <v>0</v>
      </c>
      <c r="V19" s="304">
        <f>HLOOKUP(V$1,Storage_Targets!$E$68:$AZ$83,Storage_Targets!$C82,FALSE)</f>
        <v>0</v>
      </c>
      <c r="W19" s="304">
        <f>HLOOKUP(W$1,Storage_Targets!$E$68:$AZ$83,Storage_Targets!$C82,FALSE)</f>
        <v>0</v>
      </c>
      <c r="X19" s="304">
        <f>HLOOKUP(X$1,Storage_Targets!$E$68:$AZ$83,Storage_Targets!$C82,FALSE)</f>
        <v>0</v>
      </c>
      <c r="Y19" s="304">
        <f>HLOOKUP(Y$1,Storage_Targets!$E$68:$AZ$83,Storage_Targets!$C82,FALSE)</f>
        <v>0</v>
      </c>
      <c r="Z19" s="304">
        <f>HLOOKUP(Z$1,Storage_Targets!$E$68:$AZ$83,Storage_Targets!$C82,FALSE)</f>
        <v>0</v>
      </c>
      <c r="AA19" s="304">
        <f>HLOOKUP(AA$1,Storage_Targets!$E$68:$AZ$83,Storage_Targets!$C82,FALSE)</f>
        <v>0</v>
      </c>
      <c r="AB19" s="304">
        <f>HLOOKUP(AB$1,Storage_Targets!$E$68:$AZ$83,Storage_Targets!$C82,FALSE)</f>
        <v>0</v>
      </c>
      <c r="AC19" s="304">
        <f>HLOOKUP(AC$1,Storage_Targets!$E$68:$AZ$83,Storage_Targets!$C82,FALSE)</f>
        <v>0</v>
      </c>
      <c r="AD19" s="304">
        <f>HLOOKUP(AD$1,Storage_Targets!$E$68:$AZ$83,Storage_Targets!$C82,FALSE)</f>
        <v>0</v>
      </c>
      <c r="AE19" s="304">
        <f>HLOOKUP(AE$1,Storage_Targets!$E$68:$AZ$83,Storage_Targets!$C82,FALSE)</f>
        <v>0</v>
      </c>
      <c r="AH19" s="293"/>
      <c r="AI19" s="296" t="s">
        <v>69</v>
      </c>
      <c r="AJ19" s="307">
        <f t="shared" si="9"/>
        <v>0</v>
      </c>
      <c r="AK19" s="307">
        <f t="shared" si="6"/>
        <v>0</v>
      </c>
      <c r="AL19" s="307">
        <f t="shared" si="6"/>
        <v>0</v>
      </c>
      <c r="AM19" s="307">
        <f t="shared" si="6"/>
        <v>0</v>
      </c>
      <c r="AN19" s="307">
        <f t="shared" si="6"/>
        <v>0</v>
      </c>
      <c r="AO19" s="307">
        <f t="shared" si="6"/>
        <v>0</v>
      </c>
      <c r="AP19" s="307">
        <f t="shared" si="6"/>
        <v>0</v>
      </c>
      <c r="AQ19" s="307">
        <f t="shared" si="6"/>
        <v>0</v>
      </c>
      <c r="AR19" s="307">
        <f t="shared" si="6"/>
        <v>0</v>
      </c>
      <c r="AS19" s="307">
        <f t="shared" si="6"/>
        <v>0</v>
      </c>
      <c r="AT19" s="307">
        <f t="shared" si="6"/>
        <v>0</v>
      </c>
      <c r="AU19" s="307">
        <f t="shared" si="6"/>
        <v>0</v>
      </c>
      <c r="AV19" s="295"/>
      <c r="AZ19" s="209" t="s">
        <v>69</v>
      </c>
      <c r="BA19" s="304">
        <f>HLOOKUP(BA$1,Storage_Targets!$E$128:$AZ$143,Storage_Targets!$C142,FALSE)</f>
        <v>0</v>
      </c>
      <c r="BB19" s="304">
        <f>HLOOKUP(BB$1,Storage_Targets!$E$128:$AZ$143,Storage_Targets!$C142,FALSE)</f>
        <v>0</v>
      </c>
      <c r="BC19" s="304">
        <f>HLOOKUP(BC$1,Storage_Targets!$E$128:$AZ$143,Storage_Targets!$C142,FALSE)</f>
        <v>0</v>
      </c>
      <c r="BD19" s="304">
        <f>HLOOKUP(BD$1,Storage_Targets!$E$128:$AZ$143,Storage_Targets!$C142,FALSE)</f>
        <v>0</v>
      </c>
      <c r="BE19" s="304">
        <f>HLOOKUP(BE$1,Storage_Targets!$E$128:$AZ$143,Storage_Targets!$C142,FALSE)</f>
        <v>0</v>
      </c>
      <c r="BF19" s="304">
        <f>HLOOKUP(BF$1,Storage_Targets!$E$128:$AZ$143,Storage_Targets!$C142,FALSE)</f>
        <v>0</v>
      </c>
      <c r="BG19" s="304">
        <f>HLOOKUP(BG$1,Storage_Targets!$E$128:$AZ$143,Storage_Targets!$C142,FALSE)</f>
        <v>0</v>
      </c>
      <c r="BH19" s="304">
        <f>HLOOKUP(BH$1,Storage_Targets!$E$128:$AZ$143,Storage_Targets!$C142,FALSE)</f>
        <v>0</v>
      </c>
      <c r="BI19" s="304">
        <f>HLOOKUP(BI$1,Storage_Targets!$E$128:$AZ$143,Storage_Targets!$C142,FALSE)</f>
        <v>0</v>
      </c>
      <c r="BJ19" s="304">
        <f>HLOOKUP(BJ$1,Storage_Targets!$E$128:$AZ$143,Storage_Targets!$C142,FALSE)</f>
        <v>0</v>
      </c>
      <c r="BK19" s="304">
        <f>HLOOKUP(BK$1,Storage_Targets!$E$128:$AZ$143,Storage_Targets!$C142,FALSE)</f>
        <v>0</v>
      </c>
      <c r="BL19" s="304">
        <f>HLOOKUP(BL$1,Storage_Targets!$E$128:$AZ$143,Storage_Targets!$C142,FALSE)</f>
        <v>0</v>
      </c>
    </row>
    <row r="20" spans="2:64">
      <c r="C20" s="209" t="s">
        <v>70</v>
      </c>
      <c r="D20" s="304">
        <f>HLOOKUP(D$1,Storage_Targets!$E$8:$AZ$23,Storage_Targets!$C23,FALSE)</f>
        <v>0</v>
      </c>
      <c r="E20" s="304">
        <f>HLOOKUP(E$1,Storage_Targets!$E$8:$AZ$23,Storage_Targets!$C23,FALSE)</f>
        <v>0</v>
      </c>
      <c r="F20" s="304">
        <f>HLOOKUP(F$1,Storage_Targets!$E$8:$AZ$23,Storage_Targets!$C23,FALSE)</f>
        <v>0</v>
      </c>
      <c r="G20" s="304">
        <f>HLOOKUP(G$1,Storage_Targets!$E$8:$AZ$23,Storage_Targets!$C23,FALSE)</f>
        <v>0</v>
      </c>
      <c r="H20" s="304">
        <f>HLOOKUP(H$1,Storage_Targets!$E$8:$AZ$23,Storage_Targets!$C23,FALSE)</f>
        <v>0</v>
      </c>
      <c r="I20" s="304">
        <f>HLOOKUP(I$1,Storage_Targets!$E$8:$AZ$23,Storage_Targets!$C23,FALSE)</f>
        <v>0</v>
      </c>
      <c r="J20" s="304">
        <f>HLOOKUP(J$1,Storage_Targets!$E$8:$AZ$23,Storage_Targets!$C23,FALSE)</f>
        <v>0</v>
      </c>
      <c r="K20" s="304">
        <f>HLOOKUP(K$1,Storage_Targets!$E$8:$AZ$23,Storage_Targets!$C23,FALSE)</f>
        <v>0</v>
      </c>
      <c r="L20" s="304">
        <f>HLOOKUP(L$1,Storage_Targets!$E$8:$AZ$23,Storage_Targets!$C23,FALSE)</f>
        <v>0</v>
      </c>
      <c r="M20" s="304">
        <f>HLOOKUP(M$1,Storage_Targets!$E$8:$AZ$23,Storage_Targets!$C23,FALSE)</f>
        <v>0</v>
      </c>
      <c r="N20" s="304">
        <f>HLOOKUP(N$1,Storage_Targets!$E$8:$AZ$23,Storage_Targets!$C23,FALSE)</f>
        <v>0</v>
      </c>
      <c r="O20" s="304">
        <f>HLOOKUP(O$1,Storage_Targets!$E$8:$AZ$23,Storage_Targets!$C23,FALSE)</f>
        <v>0</v>
      </c>
      <c r="Q20" s="264">
        <f t="shared" si="8"/>
        <v>0</v>
      </c>
      <c r="S20" s="209" t="s">
        <v>70</v>
      </c>
      <c r="T20" s="304">
        <f>HLOOKUP(T$1,Storage_Targets!$E$68:$AZ$83,Storage_Targets!$C83,FALSE)</f>
        <v>0</v>
      </c>
      <c r="U20" s="304">
        <f>HLOOKUP(U$1,Storage_Targets!$E$68:$AZ$83,Storage_Targets!$C83,FALSE)</f>
        <v>0</v>
      </c>
      <c r="V20" s="304">
        <f>HLOOKUP(V$1,Storage_Targets!$E$68:$AZ$83,Storage_Targets!$C83,FALSE)</f>
        <v>0</v>
      </c>
      <c r="W20" s="304">
        <f>HLOOKUP(W$1,Storage_Targets!$E$68:$AZ$83,Storage_Targets!$C83,FALSE)</f>
        <v>0</v>
      </c>
      <c r="X20" s="304">
        <f>HLOOKUP(X$1,Storage_Targets!$E$68:$AZ$83,Storage_Targets!$C83,FALSE)</f>
        <v>0</v>
      </c>
      <c r="Y20" s="304">
        <f>HLOOKUP(Y$1,Storage_Targets!$E$68:$AZ$83,Storage_Targets!$C83,FALSE)</f>
        <v>0</v>
      </c>
      <c r="Z20" s="304">
        <f>HLOOKUP(Z$1,Storage_Targets!$E$68:$AZ$83,Storage_Targets!$C83,FALSE)</f>
        <v>0</v>
      </c>
      <c r="AA20" s="304">
        <f>HLOOKUP(AA$1,Storage_Targets!$E$68:$AZ$83,Storage_Targets!$C83,FALSE)</f>
        <v>0</v>
      </c>
      <c r="AB20" s="304">
        <f>HLOOKUP(AB$1,Storage_Targets!$E$68:$AZ$83,Storage_Targets!$C83,FALSE)</f>
        <v>0</v>
      </c>
      <c r="AC20" s="304">
        <f>HLOOKUP(AC$1,Storage_Targets!$E$68:$AZ$83,Storage_Targets!$C83,FALSE)</f>
        <v>0</v>
      </c>
      <c r="AD20" s="304">
        <f>HLOOKUP(AD$1,Storage_Targets!$E$68:$AZ$83,Storage_Targets!$C83,FALSE)</f>
        <v>0</v>
      </c>
      <c r="AE20" s="304">
        <f>HLOOKUP(AE$1,Storage_Targets!$E$68:$AZ$83,Storage_Targets!$C83,FALSE)</f>
        <v>0</v>
      </c>
      <c r="AH20" s="293"/>
      <c r="AI20" s="296" t="s">
        <v>70</v>
      </c>
      <c r="AJ20" s="307">
        <f t="shared" si="9"/>
        <v>0</v>
      </c>
      <c r="AK20" s="307">
        <f t="shared" si="6"/>
        <v>0</v>
      </c>
      <c r="AL20" s="307">
        <f t="shared" si="6"/>
        <v>0</v>
      </c>
      <c r="AM20" s="307">
        <f t="shared" si="6"/>
        <v>0</v>
      </c>
      <c r="AN20" s="307">
        <f t="shared" si="6"/>
        <v>0</v>
      </c>
      <c r="AO20" s="307">
        <f t="shared" si="6"/>
        <v>0</v>
      </c>
      <c r="AP20" s="307">
        <f t="shared" si="6"/>
        <v>0</v>
      </c>
      <c r="AQ20" s="307">
        <f t="shared" si="6"/>
        <v>0</v>
      </c>
      <c r="AR20" s="307">
        <f t="shared" si="6"/>
        <v>0</v>
      </c>
      <c r="AS20" s="307">
        <f t="shared" si="6"/>
        <v>0</v>
      </c>
      <c r="AT20" s="307">
        <f t="shared" si="6"/>
        <v>0</v>
      </c>
      <c r="AU20" s="307">
        <f t="shared" si="6"/>
        <v>0</v>
      </c>
      <c r="AV20" s="295"/>
      <c r="AZ20" s="209" t="s">
        <v>70</v>
      </c>
      <c r="BA20" s="304">
        <f>HLOOKUP(BA$1,Storage_Targets!$E$128:$AZ$143,Storage_Targets!$C143,FALSE)</f>
        <v>0</v>
      </c>
      <c r="BB20" s="304">
        <f>HLOOKUP(BB$1,Storage_Targets!$E$128:$AZ$143,Storage_Targets!$C143,FALSE)</f>
        <v>0</v>
      </c>
      <c r="BC20" s="304">
        <f>HLOOKUP(BC$1,Storage_Targets!$E$128:$AZ$143,Storage_Targets!$C143,FALSE)</f>
        <v>0</v>
      </c>
      <c r="BD20" s="304">
        <f>HLOOKUP(BD$1,Storage_Targets!$E$128:$AZ$143,Storage_Targets!$C143,FALSE)</f>
        <v>0</v>
      </c>
      <c r="BE20" s="304">
        <f>HLOOKUP(BE$1,Storage_Targets!$E$128:$AZ$143,Storage_Targets!$C143,FALSE)</f>
        <v>0</v>
      </c>
      <c r="BF20" s="304">
        <f>HLOOKUP(BF$1,Storage_Targets!$E$128:$AZ$143,Storage_Targets!$C143,FALSE)</f>
        <v>0</v>
      </c>
      <c r="BG20" s="304">
        <f>HLOOKUP(BG$1,Storage_Targets!$E$128:$AZ$143,Storage_Targets!$C143,FALSE)</f>
        <v>0</v>
      </c>
      <c r="BH20" s="304">
        <f>HLOOKUP(BH$1,Storage_Targets!$E$128:$AZ$143,Storage_Targets!$C143,FALSE)</f>
        <v>0</v>
      </c>
      <c r="BI20" s="304">
        <f>HLOOKUP(BI$1,Storage_Targets!$E$128:$AZ$143,Storage_Targets!$C143,FALSE)</f>
        <v>0</v>
      </c>
      <c r="BJ20" s="304">
        <f>HLOOKUP(BJ$1,Storage_Targets!$E$128:$AZ$143,Storage_Targets!$C143,FALSE)</f>
        <v>0</v>
      </c>
      <c r="BK20" s="304">
        <f>HLOOKUP(BK$1,Storage_Targets!$E$128:$AZ$143,Storage_Targets!$C143,FALSE)</f>
        <v>0</v>
      </c>
      <c r="BL20" s="304">
        <f>HLOOKUP(BL$1,Storage_Targets!$E$128:$AZ$143,Storage_Targets!$C143,FALSE)</f>
        <v>0</v>
      </c>
    </row>
    <row r="21" spans="2:64">
      <c r="AH21" s="293"/>
      <c r="AI21" s="294"/>
      <c r="AJ21" s="294"/>
      <c r="AK21" s="294"/>
      <c r="AL21" s="294"/>
      <c r="AM21" s="294"/>
      <c r="AN21" s="294"/>
      <c r="AO21" s="294"/>
      <c r="AP21" s="294"/>
      <c r="AQ21" s="294"/>
      <c r="AR21" s="294"/>
      <c r="AS21" s="294"/>
      <c r="AT21" s="294"/>
      <c r="AU21" s="294"/>
      <c r="AV21" s="295"/>
    </row>
    <row r="22" spans="2:64">
      <c r="G22" t="s">
        <v>292</v>
      </c>
      <c r="W22" t="s">
        <v>292</v>
      </c>
      <c r="AH22" s="293"/>
      <c r="AI22" s="294"/>
      <c r="AJ22" s="294"/>
      <c r="AK22" s="294"/>
      <c r="AL22" s="294"/>
      <c r="AM22" s="294" t="s">
        <v>292</v>
      </c>
      <c r="AN22" s="294"/>
      <c r="AO22" s="294"/>
      <c r="AP22" s="294"/>
      <c r="AQ22" s="294"/>
      <c r="AR22" s="294"/>
      <c r="AS22" s="294"/>
      <c r="AT22" s="294"/>
      <c r="AU22" s="294"/>
      <c r="AV22" s="295"/>
      <c r="BD22" t="s">
        <v>292</v>
      </c>
    </row>
    <row r="23" spans="2:64">
      <c r="AH23" s="293"/>
      <c r="AI23" s="294"/>
      <c r="AJ23" s="294"/>
      <c r="AK23" s="294"/>
      <c r="AL23" s="294"/>
      <c r="AM23" s="294"/>
      <c r="AN23" s="294"/>
      <c r="AO23" s="294"/>
      <c r="AP23" s="294"/>
      <c r="AQ23" s="294"/>
      <c r="AR23" s="294"/>
      <c r="AS23" s="294"/>
      <c r="AT23" s="294"/>
      <c r="AU23" s="294"/>
      <c r="AV23" s="295"/>
    </row>
    <row r="24" spans="2:64">
      <c r="D24" s="184" t="str">
        <f>D6</f>
        <v>Apr'26</v>
      </c>
      <c r="E24" s="184" t="str">
        <f t="shared" ref="E24:O24" si="10">E6</f>
        <v>May'26</v>
      </c>
      <c r="F24" s="184" t="str">
        <f t="shared" si="10"/>
        <v>June'26</v>
      </c>
      <c r="G24" s="184" t="str">
        <f t="shared" si="10"/>
        <v>July'26</v>
      </c>
      <c r="H24" s="184" t="str">
        <f t="shared" si="10"/>
        <v>Aug'26</v>
      </c>
      <c r="I24" s="184" t="str">
        <f t="shared" si="10"/>
        <v>Sep'26</v>
      </c>
      <c r="J24" s="184" t="str">
        <f t="shared" si="10"/>
        <v>Oct'26</v>
      </c>
      <c r="K24" s="184" t="str">
        <f t="shared" si="10"/>
        <v>Nov'26</v>
      </c>
      <c r="L24" s="184" t="str">
        <f t="shared" si="10"/>
        <v>Dec'26</v>
      </c>
      <c r="M24" s="184" t="str">
        <f t="shared" si="10"/>
        <v>Jan'27</v>
      </c>
      <c r="N24" s="184" t="str">
        <f t="shared" si="10"/>
        <v>Feb'27</v>
      </c>
      <c r="O24" s="184" t="str">
        <f t="shared" si="10"/>
        <v>Mar'27</v>
      </c>
      <c r="T24" s="184" t="str">
        <f>D6</f>
        <v>Apr'26</v>
      </c>
      <c r="U24" s="184" t="str">
        <f t="shared" ref="U24:AE24" si="11">E6</f>
        <v>May'26</v>
      </c>
      <c r="V24" s="184" t="str">
        <f t="shared" si="11"/>
        <v>June'26</v>
      </c>
      <c r="W24" s="184" t="str">
        <f t="shared" si="11"/>
        <v>July'26</v>
      </c>
      <c r="X24" s="184" t="str">
        <f t="shared" si="11"/>
        <v>Aug'26</v>
      </c>
      <c r="Y24" s="184" t="str">
        <f t="shared" si="11"/>
        <v>Sep'26</v>
      </c>
      <c r="Z24" s="184" t="str">
        <f t="shared" si="11"/>
        <v>Oct'26</v>
      </c>
      <c r="AA24" s="184" t="str">
        <f t="shared" si="11"/>
        <v>Nov'26</v>
      </c>
      <c r="AB24" s="184" t="str">
        <f t="shared" si="11"/>
        <v>Dec'26</v>
      </c>
      <c r="AC24" s="184" t="str">
        <f t="shared" si="11"/>
        <v>Jan'27</v>
      </c>
      <c r="AD24" s="184" t="str">
        <f t="shared" si="11"/>
        <v>Feb'27</v>
      </c>
      <c r="AE24" s="184" t="str">
        <f t="shared" si="11"/>
        <v>Mar'27</v>
      </c>
      <c r="AH24" s="293"/>
      <c r="AI24" s="294"/>
      <c r="AJ24" s="184" t="str">
        <f>D6</f>
        <v>Apr'26</v>
      </c>
      <c r="AK24" s="184" t="str">
        <f t="shared" ref="AK24:AU24" si="12">E6</f>
        <v>May'26</v>
      </c>
      <c r="AL24" s="184" t="str">
        <f t="shared" si="12"/>
        <v>June'26</v>
      </c>
      <c r="AM24" s="184" t="str">
        <f t="shared" si="12"/>
        <v>July'26</v>
      </c>
      <c r="AN24" s="184" t="str">
        <f t="shared" si="12"/>
        <v>Aug'26</v>
      </c>
      <c r="AO24" s="184" t="str">
        <f t="shared" si="12"/>
        <v>Sep'26</v>
      </c>
      <c r="AP24" s="184" t="str">
        <f t="shared" si="12"/>
        <v>Oct'26</v>
      </c>
      <c r="AQ24" s="184" t="str">
        <f t="shared" si="12"/>
        <v>Nov'26</v>
      </c>
      <c r="AR24" s="184" t="str">
        <f t="shared" si="12"/>
        <v>Dec'26</v>
      </c>
      <c r="AS24" s="184" t="str">
        <f t="shared" si="12"/>
        <v>Jan'27</v>
      </c>
      <c r="AT24" s="184" t="str">
        <f t="shared" si="12"/>
        <v>Feb'27</v>
      </c>
      <c r="AU24" s="184" t="str">
        <f t="shared" si="12"/>
        <v>Mar'27</v>
      </c>
      <c r="AV24" s="295"/>
      <c r="BA24" s="184" t="str">
        <f>D6</f>
        <v>Apr'26</v>
      </c>
      <c r="BB24" s="184" t="str">
        <f t="shared" ref="BB24:BL24" si="13">E6</f>
        <v>May'26</v>
      </c>
      <c r="BC24" s="184" t="str">
        <f t="shared" si="13"/>
        <v>June'26</v>
      </c>
      <c r="BD24" s="184" t="str">
        <f t="shared" si="13"/>
        <v>July'26</v>
      </c>
      <c r="BE24" s="184" t="str">
        <f t="shared" si="13"/>
        <v>Aug'26</v>
      </c>
      <c r="BF24" s="184" t="str">
        <f t="shared" si="13"/>
        <v>Sep'26</v>
      </c>
      <c r="BG24" s="184" t="str">
        <f t="shared" si="13"/>
        <v>Oct'26</v>
      </c>
      <c r="BH24" s="184" t="str">
        <f t="shared" si="13"/>
        <v>Nov'26</v>
      </c>
      <c r="BI24" s="184" t="str">
        <f t="shared" si="13"/>
        <v>Dec'26</v>
      </c>
      <c r="BJ24" s="184" t="str">
        <f t="shared" si="13"/>
        <v>Jan'27</v>
      </c>
      <c r="BK24" s="184" t="str">
        <f t="shared" si="13"/>
        <v>Feb'27</v>
      </c>
      <c r="BL24" s="184" t="str">
        <f t="shared" si="13"/>
        <v>Mar'27</v>
      </c>
    </row>
    <row r="25" spans="2:64">
      <c r="C25" s="209" t="s">
        <v>60</v>
      </c>
      <c r="D25" s="1077">
        <f>HLOOKUP(D$1,Storage_Targets!$E$27:$AZ$42,Storage_Targets!$C29,FALSE)</f>
        <v>4.9000000000000002E-2</v>
      </c>
      <c r="E25" s="1077">
        <f>HLOOKUP(E$1,Storage_Targets!$E$27:$AZ$42,Storage_Targets!$C29,FALSE)</f>
        <v>0.05</v>
      </c>
      <c r="F25" s="1077">
        <f>HLOOKUP(F$1,Storage_Targets!$E$27:$AZ$42,Storage_Targets!$C29,FALSE)</f>
        <v>4.8000000000000001E-2</v>
      </c>
      <c r="G25" s="1077">
        <f>HLOOKUP(G$1,Storage_Targets!$E$27:$AZ$42,Storage_Targets!$C29,FALSE)</f>
        <v>5.0999999999999997E-2</v>
      </c>
      <c r="H25" s="1077">
        <f>HLOOKUP(H$1,Storage_Targets!$E$27:$AZ$42,Storage_Targets!$C29,FALSE)</f>
        <v>0.05</v>
      </c>
      <c r="I25" s="1077">
        <f>HLOOKUP(I$1,Storage_Targets!$E$27:$AZ$42,Storage_Targets!$C29,FALSE)</f>
        <v>4.9000000000000002E-2</v>
      </c>
      <c r="J25" s="1077">
        <f>HLOOKUP(J$1,Storage_Targets!$E$27:$AZ$42,Storage_Targets!$C29,FALSE)</f>
        <v>5.1999999999999998E-2</v>
      </c>
      <c r="K25" s="1077">
        <f>HLOOKUP(K$1,Storage_Targets!$E$27:$AZ$42,Storage_Targets!$C29,FALSE)</f>
        <v>5.2999999999999999E-2</v>
      </c>
      <c r="L25" s="1077">
        <f>HLOOKUP(L$1,Storage_Targets!$E$27:$AZ$42,Storage_Targets!$C29,FALSE)</f>
        <v>5.3999999999999999E-2</v>
      </c>
      <c r="M25" s="1077">
        <f>HLOOKUP(M$1,Storage_Targets!$E$27:$AZ$42,Storage_Targets!$C29,FALSE)</f>
        <v>5.6000000000000001E-2</v>
      </c>
      <c r="N25" s="1077">
        <f>HLOOKUP(N$1,Storage_Targets!$E$27:$AZ$42,Storage_Targets!$C29,FALSE)</f>
        <v>5.0999999999999997E-2</v>
      </c>
      <c r="O25" s="1077">
        <f>HLOOKUP(O$1,Storage_Targets!$E$27:$AZ$42,Storage_Targets!$C29,FALSE)</f>
        <v>5.6000000000000001E-2</v>
      </c>
      <c r="Q25" s="264">
        <f t="shared" ref="Q25:Q38" si="14">SUM(D25:O25)</f>
        <v>0.61900000000000011</v>
      </c>
      <c r="S25" s="209" t="s">
        <v>60</v>
      </c>
      <c r="T25" s="1077">
        <f>HLOOKUP(T$1,Storage_Targets!$E$87:$AZ$102,Storage_Targets!$C89,FALSE)</f>
        <v>0</v>
      </c>
      <c r="U25" s="1077">
        <f>HLOOKUP(U$1,Storage_Targets!$E$87:$AZ$102,Storage_Targets!$C89,FALSE)</f>
        <v>0</v>
      </c>
      <c r="V25" s="1077">
        <f>HLOOKUP(V$1,Storage_Targets!$E$87:$AZ$102,Storage_Targets!$C89,FALSE)</f>
        <v>0</v>
      </c>
      <c r="W25" s="1077">
        <f>HLOOKUP(W$1,Storage_Targets!$E$87:$AZ$102,Storage_Targets!$C89,FALSE)</f>
        <v>0</v>
      </c>
      <c r="X25" s="1077">
        <f>HLOOKUP(X$1,Storage_Targets!$E$87:$AZ$102,Storage_Targets!$C89,FALSE)</f>
        <v>0</v>
      </c>
      <c r="Y25" s="1077">
        <f>HLOOKUP(Y$1,Storage_Targets!$E$87:$AZ$102,Storage_Targets!$C89,FALSE)</f>
        <v>0</v>
      </c>
      <c r="Z25" s="1077">
        <f>HLOOKUP(Z$1,Storage_Targets!$E$87:$AZ$102,Storage_Targets!$C89,FALSE)</f>
        <v>0</v>
      </c>
      <c r="AA25" s="1077">
        <f>HLOOKUP(AA$1,Storage_Targets!$E$87:$AZ$102,Storage_Targets!$C89,FALSE)</f>
        <v>0</v>
      </c>
      <c r="AB25" s="1077">
        <f>HLOOKUP(AB$1,Storage_Targets!$E$87:$AZ$102,Storage_Targets!$C89,FALSE)</f>
        <v>0</v>
      </c>
      <c r="AC25" s="1077">
        <f>HLOOKUP(AC$1,Storage_Targets!$E$87:$AZ$102,Storage_Targets!$C89,FALSE)</f>
        <v>0</v>
      </c>
      <c r="AD25" s="1077">
        <f>HLOOKUP(AD$1,Storage_Targets!$E$87:$AZ$102,Storage_Targets!$C89,FALSE)</f>
        <v>0</v>
      </c>
      <c r="AE25" s="1077">
        <f>HLOOKUP(AE$1,Storage_Targets!$E$87:$AZ$102,Storage_Targets!$C89,FALSE)</f>
        <v>0</v>
      </c>
      <c r="AH25" s="293"/>
      <c r="AI25" s="296" t="s">
        <v>60</v>
      </c>
      <c r="AJ25" s="307">
        <f>(D25*D$5)+(T25*T$5)+(BA25*BA$5)</f>
        <v>4.9000000000000002E-2</v>
      </c>
      <c r="AK25" s="294">
        <f t="shared" ref="AK25:AU38" si="15">(E25*E$5)+(U25*U$5)+(BB25*BB$5)</f>
        <v>0.05</v>
      </c>
      <c r="AL25" s="294">
        <f t="shared" si="15"/>
        <v>4.8000000000000001E-2</v>
      </c>
      <c r="AM25" s="294">
        <f t="shared" si="15"/>
        <v>5.0999999999999997E-2</v>
      </c>
      <c r="AN25" s="294">
        <f t="shared" si="15"/>
        <v>0.05</v>
      </c>
      <c r="AO25" s="294">
        <f t="shared" si="15"/>
        <v>4.9000000000000002E-2</v>
      </c>
      <c r="AP25" s="294">
        <f t="shared" si="15"/>
        <v>5.1999999999999998E-2</v>
      </c>
      <c r="AQ25" s="294">
        <f t="shared" si="15"/>
        <v>5.2999999999999999E-2</v>
      </c>
      <c r="AR25" s="294">
        <f t="shared" si="15"/>
        <v>5.3999999999999999E-2</v>
      </c>
      <c r="AS25" s="294">
        <f t="shared" si="15"/>
        <v>5.6000000000000001E-2</v>
      </c>
      <c r="AT25" s="294">
        <f t="shared" si="15"/>
        <v>5.0999999999999997E-2</v>
      </c>
      <c r="AU25" s="294">
        <f t="shared" si="15"/>
        <v>5.6000000000000001E-2</v>
      </c>
      <c r="AV25" s="295"/>
      <c r="AZ25" s="209" t="s">
        <v>60</v>
      </c>
      <c r="BA25" s="1077">
        <f>HLOOKUP(BA$1,Storage_Targets!$E$147:$AZ$162,Storage_Targets!$C149,FALSE)</f>
        <v>0</v>
      </c>
      <c r="BB25" s="1077">
        <f>HLOOKUP(BB$1,Storage_Targets!$E$147:$AZ$162,Storage_Targets!$C149,FALSE)</f>
        <v>0</v>
      </c>
      <c r="BC25" s="1077">
        <f>HLOOKUP(BC$1,Storage_Targets!$E$147:$AZ$162,Storage_Targets!$C149,FALSE)</f>
        <v>0</v>
      </c>
      <c r="BD25" s="1077">
        <f>HLOOKUP(BD$1,Storage_Targets!$E$147:$AZ$162,Storage_Targets!$C149,FALSE)</f>
        <v>0</v>
      </c>
      <c r="BE25" s="1077">
        <f>HLOOKUP(BE$1,Storage_Targets!$E$147:$AZ$162,Storage_Targets!$C149,FALSE)</f>
        <v>0</v>
      </c>
      <c r="BF25" s="1077">
        <f>HLOOKUP(BF$1,Storage_Targets!$E$147:$AZ$162,Storage_Targets!$C149,FALSE)</f>
        <v>0</v>
      </c>
      <c r="BG25" s="1077">
        <f>HLOOKUP(BG$1,Storage_Targets!$E$147:$AZ$162,Storage_Targets!$C149,FALSE)</f>
        <v>0</v>
      </c>
      <c r="BH25" s="1077">
        <f>HLOOKUP(BH$1,Storage_Targets!$E$147:$AZ$162,Storage_Targets!$C149,FALSE)</f>
        <v>0</v>
      </c>
      <c r="BI25" s="1077">
        <f>HLOOKUP(BI$1,Storage_Targets!$E$147:$AZ$162,Storage_Targets!$C149,FALSE)</f>
        <v>0</v>
      </c>
      <c r="BJ25" s="1077">
        <f>HLOOKUP(BJ$1,Storage_Targets!$E$147:$AZ$162,Storage_Targets!$C149,FALSE)</f>
        <v>0</v>
      </c>
      <c r="BK25" s="1077">
        <f>HLOOKUP(BK$1,Storage_Targets!$E$147:$AZ$162,Storage_Targets!$C149,FALSE)</f>
        <v>0</v>
      </c>
      <c r="BL25" s="1077">
        <f>HLOOKUP(BL$1,Storage_Targets!$E$147:$AZ$162,Storage_Targets!$C149,FALSE)</f>
        <v>0</v>
      </c>
    </row>
    <row r="26" spans="2:64">
      <c r="C26" s="209" t="s">
        <v>61</v>
      </c>
      <c r="D26" s="1077">
        <f>HLOOKUP(D$1,Storage_Targets!$E$27:$AZ$42,Storage_Targets!$C30,FALSE)</f>
        <v>6.6000000000000003E-2</v>
      </c>
      <c r="E26" s="1077">
        <f>HLOOKUP(E$1,Storage_Targets!$E$27:$AZ$42,Storage_Targets!$C30,FALSE)</f>
        <v>6.8000000000000005E-2</v>
      </c>
      <c r="F26" s="1077">
        <f>HLOOKUP(F$1,Storage_Targets!$E$27:$AZ$42,Storage_Targets!$C30,FALSE)</f>
        <v>6.6000000000000003E-2</v>
      </c>
      <c r="G26" s="1077">
        <f>HLOOKUP(G$1,Storage_Targets!$E$27:$AZ$42,Storage_Targets!$C30,FALSE)</f>
        <v>6.8000000000000005E-2</v>
      </c>
      <c r="H26" s="1077">
        <f>HLOOKUP(H$1,Storage_Targets!$E$27:$AZ$42,Storage_Targets!$C30,FALSE)</f>
        <v>6.8000000000000005E-2</v>
      </c>
      <c r="I26" s="1077">
        <f>HLOOKUP(I$1,Storage_Targets!$E$27:$AZ$42,Storage_Targets!$C30,FALSE)</f>
        <v>6.6000000000000003E-2</v>
      </c>
      <c r="J26" s="1077">
        <f>HLOOKUP(J$1,Storage_Targets!$E$27:$AZ$42,Storage_Targets!$C30,FALSE)</f>
        <v>6.794520547945207E-2</v>
      </c>
      <c r="K26" s="1077">
        <f>HLOOKUP(K$1,Storage_Targets!$E$27:$AZ$42,Storage_Targets!$C30,FALSE)</f>
        <v>6.6000000000000003E-2</v>
      </c>
      <c r="L26" s="1077">
        <f>HLOOKUP(L$1,Storage_Targets!$E$27:$AZ$42,Storage_Targets!$C30,FALSE)</f>
        <v>6.8000000000000005E-2</v>
      </c>
      <c r="M26" s="1077">
        <f>HLOOKUP(M$1,Storage_Targets!$E$27:$AZ$42,Storage_Targets!$C30,FALSE)</f>
        <v>6.8000000000000005E-2</v>
      </c>
      <c r="N26" s="1077">
        <f>HLOOKUP(N$1,Storage_Targets!$E$27:$AZ$42,Storage_Targets!$C30,FALSE)</f>
        <v>0.06</v>
      </c>
      <c r="O26" s="1077">
        <f>HLOOKUP(O$1,Storage_Targets!$E$27:$AZ$42,Storage_Targets!$C30,FALSE)</f>
        <v>6.8000000000000005E-2</v>
      </c>
      <c r="Q26" s="264">
        <f t="shared" si="14"/>
        <v>0.79994520547945225</v>
      </c>
      <c r="S26" s="209" t="s">
        <v>61</v>
      </c>
      <c r="T26" s="1077">
        <f>HLOOKUP(T$1,Storage_Targets!$E$87:$AZ$102,Storage_Targets!$C90,FALSE)</f>
        <v>0</v>
      </c>
      <c r="U26" s="1077">
        <f>HLOOKUP(U$1,Storage_Targets!$E$87:$AZ$102,Storage_Targets!$C90,FALSE)</f>
        <v>0</v>
      </c>
      <c r="V26" s="1077">
        <f>HLOOKUP(V$1,Storage_Targets!$E$87:$AZ$102,Storage_Targets!$C90,FALSE)</f>
        <v>0</v>
      </c>
      <c r="W26" s="1077">
        <f>HLOOKUP(W$1,Storage_Targets!$E$87:$AZ$102,Storage_Targets!$C90,FALSE)</f>
        <v>0</v>
      </c>
      <c r="X26" s="1077">
        <f>HLOOKUP(X$1,Storage_Targets!$E$87:$AZ$102,Storage_Targets!$C90,FALSE)</f>
        <v>0</v>
      </c>
      <c r="Y26" s="1077">
        <f>HLOOKUP(Y$1,Storage_Targets!$E$87:$AZ$102,Storage_Targets!$C90,FALSE)</f>
        <v>0</v>
      </c>
      <c r="Z26" s="1077">
        <f>HLOOKUP(Z$1,Storage_Targets!$E$87:$AZ$102,Storage_Targets!$C90,FALSE)</f>
        <v>0</v>
      </c>
      <c r="AA26" s="1077">
        <f>HLOOKUP(AA$1,Storage_Targets!$E$87:$AZ$102,Storage_Targets!$C90,FALSE)</f>
        <v>0</v>
      </c>
      <c r="AB26" s="1077">
        <f>HLOOKUP(AB$1,Storage_Targets!$E$87:$AZ$102,Storage_Targets!$C90,FALSE)</f>
        <v>0</v>
      </c>
      <c r="AC26" s="1077">
        <f>HLOOKUP(AC$1,Storage_Targets!$E$87:$AZ$102,Storage_Targets!$C90,FALSE)</f>
        <v>0</v>
      </c>
      <c r="AD26" s="1077">
        <f>HLOOKUP(AD$1,Storage_Targets!$E$87:$AZ$102,Storage_Targets!$C90,FALSE)</f>
        <v>0</v>
      </c>
      <c r="AE26" s="1077">
        <f>HLOOKUP(AE$1,Storage_Targets!$E$87:$AZ$102,Storage_Targets!$C90,FALSE)</f>
        <v>0</v>
      </c>
      <c r="AH26" s="293"/>
      <c r="AI26" s="296" t="s">
        <v>61</v>
      </c>
      <c r="AJ26" s="294">
        <f t="shared" ref="AJ26:AJ38" si="16">(D26*D$5)+(T26*T$5)+(BA26*BA$5)</f>
        <v>6.6000000000000003E-2</v>
      </c>
      <c r="AK26" s="294">
        <f t="shared" si="15"/>
        <v>6.8000000000000005E-2</v>
      </c>
      <c r="AL26" s="294">
        <f t="shared" si="15"/>
        <v>6.6000000000000003E-2</v>
      </c>
      <c r="AM26" s="294">
        <f t="shared" si="15"/>
        <v>6.8000000000000005E-2</v>
      </c>
      <c r="AN26" s="294">
        <f t="shared" si="15"/>
        <v>6.8000000000000005E-2</v>
      </c>
      <c r="AO26" s="294">
        <f t="shared" si="15"/>
        <v>6.6000000000000003E-2</v>
      </c>
      <c r="AP26" s="294">
        <f t="shared" si="15"/>
        <v>6.794520547945207E-2</v>
      </c>
      <c r="AQ26" s="294">
        <f t="shared" si="15"/>
        <v>6.6000000000000003E-2</v>
      </c>
      <c r="AR26" s="294">
        <f t="shared" si="15"/>
        <v>6.8000000000000005E-2</v>
      </c>
      <c r="AS26" s="294">
        <f t="shared" si="15"/>
        <v>6.8000000000000005E-2</v>
      </c>
      <c r="AT26" s="294">
        <f t="shared" si="15"/>
        <v>0.06</v>
      </c>
      <c r="AU26" s="294">
        <f t="shared" si="15"/>
        <v>6.8000000000000005E-2</v>
      </c>
      <c r="AV26" s="295"/>
      <c r="AZ26" s="209" t="s">
        <v>61</v>
      </c>
      <c r="BA26" s="1077">
        <f>HLOOKUP(BA$1,Storage_Targets!$E$147:$AZ$162,Storage_Targets!$C150,FALSE)</f>
        <v>0</v>
      </c>
      <c r="BB26" s="1077">
        <f>HLOOKUP(BB$1,Storage_Targets!$E$147:$AZ$162,Storage_Targets!$C150,FALSE)</f>
        <v>0</v>
      </c>
      <c r="BC26" s="1077">
        <f>HLOOKUP(BC$1,Storage_Targets!$E$147:$AZ$162,Storage_Targets!$C150,FALSE)</f>
        <v>0</v>
      </c>
      <c r="BD26" s="1077">
        <f>HLOOKUP(BD$1,Storage_Targets!$E$147:$AZ$162,Storage_Targets!$C150,FALSE)</f>
        <v>0</v>
      </c>
      <c r="BE26" s="1077">
        <f>HLOOKUP(BE$1,Storage_Targets!$E$147:$AZ$162,Storage_Targets!$C150,FALSE)</f>
        <v>0</v>
      </c>
      <c r="BF26" s="1077">
        <f>HLOOKUP(BF$1,Storage_Targets!$E$147:$AZ$162,Storage_Targets!$C150,FALSE)</f>
        <v>0</v>
      </c>
      <c r="BG26" s="1077">
        <f>HLOOKUP(BG$1,Storage_Targets!$E$147:$AZ$162,Storage_Targets!$C150,FALSE)</f>
        <v>0</v>
      </c>
      <c r="BH26" s="1077">
        <f>HLOOKUP(BH$1,Storage_Targets!$E$147:$AZ$162,Storage_Targets!$C150,FALSE)</f>
        <v>0</v>
      </c>
      <c r="BI26" s="1077">
        <f>HLOOKUP(BI$1,Storage_Targets!$E$147:$AZ$162,Storage_Targets!$C150,FALSE)</f>
        <v>0</v>
      </c>
      <c r="BJ26" s="1077">
        <f>HLOOKUP(BJ$1,Storage_Targets!$E$147:$AZ$162,Storage_Targets!$C150,FALSE)</f>
        <v>0</v>
      </c>
      <c r="BK26" s="1077">
        <f>HLOOKUP(BK$1,Storage_Targets!$E$147:$AZ$162,Storage_Targets!$C150,FALSE)</f>
        <v>0</v>
      </c>
      <c r="BL26" s="1077">
        <f>HLOOKUP(BL$1,Storage_Targets!$E$147:$AZ$162,Storage_Targets!$C150,FALSE)</f>
        <v>0</v>
      </c>
    </row>
    <row r="27" spans="2:64">
      <c r="C27" s="209" t="s">
        <v>62</v>
      </c>
      <c r="D27" s="1077">
        <f>HLOOKUP(D$1,Storage_Targets!$E$27:$AZ$42,Storage_Targets!$C31,FALSE)</f>
        <v>8.0000000000000002E-3</v>
      </c>
      <c r="E27" s="1077">
        <f>HLOOKUP(E$1,Storage_Targets!$E$27:$AZ$42,Storage_Targets!$C31,FALSE)</f>
        <v>8.0000000000000002E-3</v>
      </c>
      <c r="F27" s="1077">
        <f>HLOOKUP(F$1,Storage_Targets!$E$27:$AZ$42,Storage_Targets!$C31,FALSE)</f>
        <v>8.0000000000000002E-3</v>
      </c>
      <c r="G27" s="1077">
        <f>HLOOKUP(G$1,Storage_Targets!$E$27:$AZ$42,Storage_Targets!$C31,FALSE)</f>
        <v>8.0000000000000002E-3</v>
      </c>
      <c r="H27" s="1077">
        <f>HLOOKUP(H$1,Storage_Targets!$E$27:$AZ$42,Storage_Targets!$C31,FALSE)</f>
        <v>8.0000000000000002E-3</v>
      </c>
      <c r="I27" s="1077">
        <f>HLOOKUP(I$1,Storage_Targets!$E$27:$AZ$42,Storage_Targets!$C31,FALSE)</f>
        <v>8.0000000000000002E-3</v>
      </c>
      <c r="J27" s="1077">
        <f>HLOOKUP(J$1,Storage_Targets!$E$27:$AZ$42,Storage_Targets!$C31,FALSE)</f>
        <v>7.9835616438356169E-3</v>
      </c>
      <c r="K27" s="1077">
        <f>HLOOKUP(K$1,Storage_Targets!$E$27:$AZ$42,Storage_Targets!$C31,FALSE)</f>
        <v>8.0000000000000002E-3</v>
      </c>
      <c r="L27" s="1077">
        <f>HLOOKUP(L$1,Storage_Targets!$E$27:$AZ$42,Storage_Targets!$C31,FALSE)</f>
        <v>8.0000000000000002E-3</v>
      </c>
      <c r="M27" s="1077">
        <f>HLOOKUP(M$1,Storage_Targets!$E$27:$AZ$42,Storage_Targets!$C31,FALSE)</f>
        <v>8.0000000000000002E-3</v>
      </c>
      <c r="N27" s="1077">
        <f>HLOOKUP(N$1,Storage_Targets!$E$27:$AZ$42,Storage_Targets!$C31,FALSE)</f>
        <v>6.0000000000000001E-3</v>
      </c>
      <c r="O27" s="1077">
        <f>HLOOKUP(O$1,Storage_Targets!$E$27:$AZ$42,Storage_Targets!$C31,FALSE)</f>
        <v>8.0000000000000002E-3</v>
      </c>
      <c r="Q27" s="264">
        <f t="shared" si="14"/>
        <v>9.3983561643835645E-2</v>
      </c>
      <c r="S27" s="209" t="s">
        <v>62</v>
      </c>
      <c r="T27" s="1077">
        <f>HLOOKUP(T$1,Storage_Targets!$E$87:$AZ$102,Storage_Targets!$C91,FALSE)</f>
        <v>0</v>
      </c>
      <c r="U27" s="1077">
        <f>HLOOKUP(U$1,Storage_Targets!$E$87:$AZ$102,Storage_Targets!$C91,FALSE)</f>
        <v>0</v>
      </c>
      <c r="V27" s="1077">
        <f>HLOOKUP(V$1,Storage_Targets!$E$87:$AZ$102,Storage_Targets!$C91,FALSE)</f>
        <v>0</v>
      </c>
      <c r="W27" s="1077">
        <f>HLOOKUP(W$1,Storage_Targets!$E$87:$AZ$102,Storage_Targets!$C91,FALSE)</f>
        <v>0</v>
      </c>
      <c r="X27" s="1077">
        <f>HLOOKUP(X$1,Storage_Targets!$E$87:$AZ$102,Storage_Targets!$C91,FALSE)</f>
        <v>0</v>
      </c>
      <c r="Y27" s="1077">
        <f>HLOOKUP(Y$1,Storage_Targets!$E$87:$AZ$102,Storage_Targets!$C91,FALSE)</f>
        <v>0</v>
      </c>
      <c r="Z27" s="1077">
        <f>HLOOKUP(Z$1,Storage_Targets!$E$87:$AZ$102,Storage_Targets!$C91,FALSE)</f>
        <v>0</v>
      </c>
      <c r="AA27" s="1077">
        <f>HLOOKUP(AA$1,Storage_Targets!$E$87:$AZ$102,Storage_Targets!$C91,FALSE)</f>
        <v>0</v>
      </c>
      <c r="AB27" s="1077">
        <f>HLOOKUP(AB$1,Storage_Targets!$E$87:$AZ$102,Storage_Targets!$C91,FALSE)</f>
        <v>0</v>
      </c>
      <c r="AC27" s="1077">
        <f>HLOOKUP(AC$1,Storage_Targets!$E$87:$AZ$102,Storage_Targets!$C91,FALSE)</f>
        <v>0</v>
      </c>
      <c r="AD27" s="1077">
        <f>HLOOKUP(AD$1,Storage_Targets!$E$87:$AZ$102,Storage_Targets!$C91,FALSE)</f>
        <v>0</v>
      </c>
      <c r="AE27" s="1077">
        <f>HLOOKUP(AE$1,Storage_Targets!$E$87:$AZ$102,Storage_Targets!$C91,FALSE)</f>
        <v>0</v>
      </c>
      <c r="AH27" s="293"/>
      <c r="AI27" s="296" t="s">
        <v>62</v>
      </c>
      <c r="AJ27" s="294">
        <f t="shared" si="16"/>
        <v>8.0000000000000002E-3</v>
      </c>
      <c r="AK27" s="294">
        <f t="shared" si="15"/>
        <v>8.0000000000000002E-3</v>
      </c>
      <c r="AL27" s="294">
        <f t="shared" si="15"/>
        <v>8.0000000000000002E-3</v>
      </c>
      <c r="AM27" s="294">
        <f t="shared" si="15"/>
        <v>8.0000000000000002E-3</v>
      </c>
      <c r="AN27" s="294">
        <f t="shared" si="15"/>
        <v>8.0000000000000002E-3</v>
      </c>
      <c r="AO27" s="294">
        <f t="shared" si="15"/>
        <v>8.0000000000000002E-3</v>
      </c>
      <c r="AP27" s="294">
        <f t="shared" si="15"/>
        <v>7.9835616438356169E-3</v>
      </c>
      <c r="AQ27" s="294">
        <f t="shared" si="15"/>
        <v>8.0000000000000002E-3</v>
      </c>
      <c r="AR27" s="294">
        <f t="shared" si="15"/>
        <v>8.0000000000000002E-3</v>
      </c>
      <c r="AS27" s="294">
        <f t="shared" si="15"/>
        <v>8.0000000000000002E-3</v>
      </c>
      <c r="AT27" s="294">
        <f t="shared" si="15"/>
        <v>6.0000000000000001E-3</v>
      </c>
      <c r="AU27" s="294">
        <f t="shared" si="15"/>
        <v>8.0000000000000002E-3</v>
      </c>
      <c r="AV27" s="295"/>
      <c r="AZ27" s="209" t="s">
        <v>62</v>
      </c>
      <c r="BA27" s="1077">
        <f>HLOOKUP(BA$1,Storage_Targets!$E$147:$AZ$162,Storage_Targets!$C151,FALSE)</f>
        <v>0</v>
      </c>
      <c r="BB27" s="1077">
        <f>HLOOKUP(BB$1,Storage_Targets!$E$147:$AZ$162,Storage_Targets!$C151,FALSE)</f>
        <v>0</v>
      </c>
      <c r="BC27" s="1077">
        <f>HLOOKUP(BC$1,Storage_Targets!$E$147:$AZ$162,Storage_Targets!$C151,FALSE)</f>
        <v>0</v>
      </c>
      <c r="BD27" s="1077">
        <f>HLOOKUP(BD$1,Storage_Targets!$E$147:$AZ$162,Storage_Targets!$C151,FALSE)</f>
        <v>0</v>
      </c>
      <c r="BE27" s="1077">
        <f>HLOOKUP(BE$1,Storage_Targets!$E$147:$AZ$162,Storage_Targets!$C151,FALSE)</f>
        <v>0</v>
      </c>
      <c r="BF27" s="1077">
        <f>HLOOKUP(BF$1,Storage_Targets!$E$147:$AZ$162,Storage_Targets!$C151,FALSE)</f>
        <v>0</v>
      </c>
      <c r="BG27" s="1077">
        <f>HLOOKUP(BG$1,Storage_Targets!$E$147:$AZ$162,Storage_Targets!$C151,FALSE)</f>
        <v>0</v>
      </c>
      <c r="BH27" s="1077">
        <f>HLOOKUP(BH$1,Storage_Targets!$E$147:$AZ$162,Storage_Targets!$C151,FALSE)</f>
        <v>0</v>
      </c>
      <c r="BI27" s="1077">
        <f>HLOOKUP(BI$1,Storage_Targets!$E$147:$AZ$162,Storage_Targets!$C151,FALSE)</f>
        <v>0</v>
      </c>
      <c r="BJ27" s="1077">
        <f>HLOOKUP(BJ$1,Storage_Targets!$E$147:$AZ$162,Storage_Targets!$C151,FALSE)</f>
        <v>0</v>
      </c>
      <c r="BK27" s="1077">
        <f>HLOOKUP(BK$1,Storage_Targets!$E$147:$AZ$162,Storage_Targets!$C151,FALSE)</f>
        <v>0</v>
      </c>
      <c r="BL27" s="1077">
        <f>HLOOKUP(BL$1,Storage_Targets!$E$147:$AZ$162,Storage_Targets!$C151,FALSE)</f>
        <v>0</v>
      </c>
    </row>
    <row r="28" spans="2:64">
      <c r="C28" s="209" t="s">
        <v>57</v>
      </c>
      <c r="D28" s="1077">
        <f>HLOOKUP(D$1,Storage_Targets!$E$27:$AZ$42,Storage_Targets!$C32,FALSE)</f>
        <v>0.01</v>
      </c>
      <c r="E28" s="1077">
        <f>HLOOKUP(E$1,Storage_Targets!$E$27:$AZ$42,Storage_Targets!$C32,FALSE)</f>
        <v>0.01</v>
      </c>
      <c r="F28" s="1077">
        <f>HLOOKUP(F$1,Storage_Targets!$E$27:$AZ$42,Storage_Targets!$C32,FALSE)</f>
        <v>0.01</v>
      </c>
      <c r="G28" s="1077">
        <f>HLOOKUP(G$1,Storage_Targets!$E$27:$AZ$42,Storage_Targets!$C32,FALSE)</f>
        <v>0.01</v>
      </c>
      <c r="H28" s="1077">
        <f>HLOOKUP(H$1,Storage_Targets!$E$27:$AZ$42,Storage_Targets!$C32,FALSE)</f>
        <v>0.01</v>
      </c>
      <c r="I28" s="1077">
        <f>HLOOKUP(I$1,Storage_Targets!$E$27:$AZ$42,Storage_Targets!$C32,FALSE)</f>
        <v>0.01</v>
      </c>
      <c r="J28" s="1077">
        <f>HLOOKUP(J$1,Storage_Targets!$E$27:$AZ$42,Storage_Targets!$C32,FALSE)</f>
        <v>9.8520547945205473E-3</v>
      </c>
      <c r="K28" s="1077">
        <f>HLOOKUP(K$1,Storage_Targets!$E$27:$AZ$42,Storage_Targets!$C32,FALSE)</f>
        <v>0.01</v>
      </c>
      <c r="L28" s="1077">
        <f>HLOOKUP(L$1,Storage_Targets!$E$27:$AZ$42,Storage_Targets!$C32,FALSE)</f>
        <v>0.01</v>
      </c>
      <c r="M28" s="1077">
        <f>HLOOKUP(M$1,Storage_Targets!$E$27:$AZ$42,Storage_Targets!$C32,FALSE)</f>
        <v>0.01</v>
      </c>
      <c r="N28" s="1077">
        <f>HLOOKUP(N$1,Storage_Targets!$E$27:$AZ$42,Storage_Targets!$C32,FALSE)</f>
        <v>6.0000000000000001E-3</v>
      </c>
      <c r="O28" s="1077">
        <f>HLOOKUP(O$1,Storage_Targets!$E$27:$AZ$42,Storage_Targets!$C32,FALSE)</f>
        <v>0.01</v>
      </c>
      <c r="Q28" s="264">
        <f t="shared" si="14"/>
        <v>0.11585205479452054</v>
      </c>
      <c r="S28" s="209" t="s">
        <v>57</v>
      </c>
      <c r="T28" s="1077">
        <f>HLOOKUP(T$1,Storage_Targets!$E$87:$AZ$102,Storage_Targets!$C92,FALSE)</f>
        <v>0</v>
      </c>
      <c r="U28" s="1077">
        <f>HLOOKUP(U$1,Storage_Targets!$E$87:$AZ$102,Storage_Targets!$C92,FALSE)</f>
        <v>0</v>
      </c>
      <c r="V28" s="1077">
        <f>HLOOKUP(V$1,Storage_Targets!$E$87:$AZ$102,Storage_Targets!$C92,FALSE)</f>
        <v>0</v>
      </c>
      <c r="W28" s="1077">
        <f>HLOOKUP(W$1,Storage_Targets!$E$87:$AZ$102,Storage_Targets!$C92,FALSE)</f>
        <v>0</v>
      </c>
      <c r="X28" s="1077">
        <f>HLOOKUP(X$1,Storage_Targets!$E$87:$AZ$102,Storage_Targets!$C92,FALSE)</f>
        <v>0</v>
      </c>
      <c r="Y28" s="1077">
        <f>HLOOKUP(Y$1,Storage_Targets!$E$87:$AZ$102,Storage_Targets!$C92,FALSE)</f>
        <v>0</v>
      </c>
      <c r="Z28" s="1077">
        <f>HLOOKUP(Z$1,Storage_Targets!$E$87:$AZ$102,Storage_Targets!$C92,FALSE)</f>
        <v>0</v>
      </c>
      <c r="AA28" s="1077">
        <f>HLOOKUP(AA$1,Storage_Targets!$E$87:$AZ$102,Storage_Targets!$C92,FALSE)</f>
        <v>0</v>
      </c>
      <c r="AB28" s="1077">
        <f>HLOOKUP(AB$1,Storage_Targets!$E$87:$AZ$102,Storage_Targets!$C92,FALSE)</f>
        <v>0</v>
      </c>
      <c r="AC28" s="1077">
        <f>HLOOKUP(AC$1,Storage_Targets!$E$87:$AZ$102,Storage_Targets!$C92,FALSE)</f>
        <v>0</v>
      </c>
      <c r="AD28" s="1077">
        <f>HLOOKUP(AD$1,Storage_Targets!$E$87:$AZ$102,Storage_Targets!$C92,FALSE)</f>
        <v>0</v>
      </c>
      <c r="AE28" s="1077">
        <f>HLOOKUP(AE$1,Storage_Targets!$E$87:$AZ$102,Storage_Targets!$C92,FALSE)</f>
        <v>0</v>
      </c>
      <c r="AH28" s="293"/>
      <c r="AI28" s="296" t="s">
        <v>57</v>
      </c>
      <c r="AJ28" s="294">
        <f t="shared" si="16"/>
        <v>0.01</v>
      </c>
      <c r="AK28" s="294">
        <f t="shared" si="15"/>
        <v>0.01</v>
      </c>
      <c r="AL28" s="294">
        <f t="shared" si="15"/>
        <v>0.01</v>
      </c>
      <c r="AM28" s="294">
        <f t="shared" si="15"/>
        <v>0.01</v>
      </c>
      <c r="AN28" s="294">
        <f t="shared" si="15"/>
        <v>0.01</v>
      </c>
      <c r="AO28" s="294">
        <f t="shared" si="15"/>
        <v>0.01</v>
      </c>
      <c r="AP28" s="294">
        <f t="shared" si="15"/>
        <v>9.8520547945205473E-3</v>
      </c>
      <c r="AQ28" s="294">
        <f t="shared" si="15"/>
        <v>0.01</v>
      </c>
      <c r="AR28" s="294">
        <f t="shared" si="15"/>
        <v>0.01</v>
      </c>
      <c r="AS28" s="294">
        <f t="shared" si="15"/>
        <v>0.01</v>
      </c>
      <c r="AT28" s="294">
        <f t="shared" si="15"/>
        <v>6.0000000000000001E-3</v>
      </c>
      <c r="AU28" s="294">
        <f t="shared" si="15"/>
        <v>0.01</v>
      </c>
      <c r="AV28" s="295"/>
      <c r="AZ28" s="209" t="s">
        <v>57</v>
      </c>
      <c r="BA28" s="1077">
        <f>HLOOKUP(BA$1,Storage_Targets!$E$147:$AZ$162,Storage_Targets!$C152,FALSE)</f>
        <v>0</v>
      </c>
      <c r="BB28" s="1077">
        <f>HLOOKUP(BB$1,Storage_Targets!$E$147:$AZ$162,Storage_Targets!$C152,FALSE)</f>
        <v>0</v>
      </c>
      <c r="BC28" s="1077">
        <f>HLOOKUP(BC$1,Storage_Targets!$E$147:$AZ$162,Storage_Targets!$C152,FALSE)</f>
        <v>0</v>
      </c>
      <c r="BD28" s="1077">
        <f>HLOOKUP(BD$1,Storage_Targets!$E$147:$AZ$162,Storage_Targets!$C152,FALSE)</f>
        <v>0</v>
      </c>
      <c r="BE28" s="1077">
        <f>HLOOKUP(BE$1,Storage_Targets!$E$147:$AZ$162,Storage_Targets!$C152,FALSE)</f>
        <v>0</v>
      </c>
      <c r="BF28" s="1077">
        <f>HLOOKUP(BF$1,Storage_Targets!$E$147:$AZ$162,Storage_Targets!$C152,FALSE)</f>
        <v>0</v>
      </c>
      <c r="BG28" s="1077">
        <f>HLOOKUP(BG$1,Storage_Targets!$E$147:$AZ$162,Storage_Targets!$C152,FALSE)</f>
        <v>0</v>
      </c>
      <c r="BH28" s="1077">
        <f>HLOOKUP(BH$1,Storage_Targets!$E$147:$AZ$162,Storage_Targets!$C152,FALSE)</f>
        <v>0</v>
      </c>
      <c r="BI28" s="1077">
        <f>HLOOKUP(BI$1,Storage_Targets!$E$147:$AZ$162,Storage_Targets!$C152,FALSE)</f>
        <v>0</v>
      </c>
      <c r="BJ28" s="1077">
        <f>HLOOKUP(BJ$1,Storage_Targets!$E$147:$AZ$162,Storage_Targets!$C152,FALSE)</f>
        <v>0</v>
      </c>
      <c r="BK28" s="1077">
        <f>HLOOKUP(BK$1,Storage_Targets!$E$147:$AZ$162,Storage_Targets!$C152,FALSE)</f>
        <v>0</v>
      </c>
      <c r="BL28" s="1077">
        <f>HLOOKUP(BL$1,Storage_Targets!$E$147:$AZ$162,Storage_Targets!$C152,FALSE)</f>
        <v>0</v>
      </c>
    </row>
    <row r="29" spans="2:64">
      <c r="C29" s="209" t="s">
        <v>58</v>
      </c>
      <c r="D29" s="1077">
        <f>HLOOKUP(D$1,Storage_Targets!$E$27:$AZ$42,Storage_Targets!$C33,FALSE)</f>
        <v>2E-3</v>
      </c>
      <c r="E29" s="1077">
        <f>HLOOKUP(E$1,Storage_Targets!$E$27:$AZ$42,Storage_Targets!$C33,FALSE)</f>
        <v>2E-3</v>
      </c>
      <c r="F29" s="1077">
        <f>HLOOKUP(F$1,Storage_Targets!$E$27:$AZ$42,Storage_Targets!$C33,FALSE)</f>
        <v>2E-3</v>
      </c>
      <c r="G29" s="1077">
        <f>HLOOKUP(G$1,Storage_Targets!$E$27:$AZ$42,Storage_Targets!$C33,FALSE)</f>
        <v>2E-3</v>
      </c>
      <c r="H29" s="1077">
        <f>HLOOKUP(H$1,Storage_Targets!$E$27:$AZ$42,Storage_Targets!$C33,FALSE)</f>
        <v>2E-3</v>
      </c>
      <c r="I29" s="1077">
        <f>HLOOKUP(I$1,Storage_Targets!$E$27:$AZ$42,Storage_Targets!$C33,FALSE)</f>
        <v>2E-3</v>
      </c>
      <c r="J29" s="1077">
        <f>HLOOKUP(J$1,Storage_Targets!$E$27:$AZ$42,Storage_Targets!$C33,FALSE)</f>
        <v>2.1232876712328772E-3</v>
      </c>
      <c r="K29" s="1077">
        <f>HLOOKUP(K$1,Storage_Targets!$E$27:$AZ$42,Storage_Targets!$C33,FALSE)</f>
        <v>2E-3</v>
      </c>
      <c r="L29" s="1077">
        <f>HLOOKUP(L$1,Storage_Targets!$E$27:$AZ$42,Storage_Targets!$C33,FALSE)</f>
        <v>2E-3</v>
      </c>
      <c r="M29" s="1077">
        <f>HLOOKUP(M$1,Storage_Targets!$E$27:$AZ$42,Storage_Targets!$C33,FALSE)</f>
        <v>2E-3</v>
      </c>
      <c r="N29" s="1077">
        <f>HLOOKUP(N$1,Storage_Targets!$E$27:$AZ$42,Storage_Targets!$C33,FALSE)</f>
        <v>3.0000000000000001E-3</v>
      </c>
      <c r="O29" s="1077">
        <f>HLOOKUP(O$1,Storage_Targets!$E$27:$AZ$42,Storage_Targets!$C33,FALSE)</f>
        <v>2E-3</v>
      </c>
      <c r="Q29" s="264">
        <f t="shared" si="14"/>
        <v>2.5123287671232876E-2</v>
      </c>
      <c r="S29" s="209" t="s">
        <v>58</v>
      </c>
      <c r="T29" s="1077">
        <f>HLOOKUP(T$1,Storage_Targets!$E$87:$AZ$102,Storage_Targets!$C93,FALSE)</f>
        <v>0</v>
      </c>
      <c r="U29" s="1077">
        <f>HLOOKUP(U$1,Storage_Targets!$E$87:$AZ$102,Storage_Targets!$C93,FALSE)</f>
        <v>0</v>
      </c>
      <c r="V29" s="1077">
        <f>HLOOKUP(V$1,Storage_Targets!$E$87:$AZ$102,Storage_Targets!$C93,FALSE)</f>
        <v>0</v>
      </c>
      <c r="W29" s="1077">
        <f>HLOOKUP(W$1,Storage_Targets!$E$87:$AZ$102,Storage_Targets!$C93,FALSE)</f>
        <v>0</v>
      </c>
      <c r="X29" s="1077">
        <f>HLOOKUP(X$1,Storage_Targets!$E$87:$AZ$102,Storage_Targets!$C93,FALSE)</f>
        <v>0</v>
      </c>
      <c r="Y29" s="1077">
        <f>HLOOKUP(Y$1,Storage_Targets!$E$87:$AZ$102,Storage_Targets!$C93,FALSE)</f>
        <v>0</v>
      </c>
      <c r="Z29" s="1077">
        <f>HLOOKUP(Z$1,Storage_Targets!$E$87:$AZ$102,Storage_Targets!$C93,FALSE)</f>
        <v>0</v>
      </c>
      <c r="AA29" s="1077">
        <f>HLOOKUP(AA$1,Storage_Targets!$E$87:$AZ$102,Storage_Targets!$C93,FALSE)</f>
        <v>0</v>
      </c>
      <c r="AB29" s="1077">
        <f>HLOOKUP(AB$1,Storage_Targets!$E$87:$AZ$102,Storage_Targets!$C93,FALSE)</f>
        <v>0</v>
      </c>
      <c r="AC29" s="1077">
        <f>HLOOKUP(AC$1,Storage_Targets!$E$87:$AZ$102,Storage_Targets!$C93,FALSE)</f>
        <v>0</v>
      </c>
      <c r="AD29" s="1077">
        <f>HLOOKUP(AD$1,Storage_Targets!$E$87:$AZ$102,Storage_Targets!$C93,FALSE)</f>
        <v>0</v>
      </c>
      <c r="AE29" s="1077">
        <f>HLOOKUP(AE$1,Storage_Targets!$E$87:$AZ$102,Storage_Targets!$C93,FALSE)</f>
        <v>0</v>
      </c>
      <c r="AH29" s="293"/>
      <c r="AI29" s="296" t="s">
        <v>58</v>
      </c>
      <c r="AJ29" s="294">
        <f t="shared" si="16"/>
        <v>2E-3</v>
      </c>
      <c r="AK29" s="294">
        <f t="shared" si="15"/>
        <v>2E-3</v>
      </c>
      <c r="AL29" s="294">
        <f t="shared" si="15"/>
        <v>2E-3</v>
      </c>
      <c r="AM29" s="294">
        <f t="shared" si="15"/>
        <v>2E-3</v>
      </c>
      <c r="AN29" s="294">
        <f t="shared" si="15"/>
        <v>2E-3</v>
      </c>
      <c r="AO29" s="294">
        <f t="shared" si="15"/>
        <v>2E-3</v>
      </c>
      <c r="AP29" s="294">
        <f t="shared" si="15"/>
        <v>2.1232876712328772E-3</v>
      </c>
      <c r="AQ29" s="294">
        <f t="shared" si="15"/>
        <v>2E-3</v>
      </c>
      <c r="AR29" s="294">
        <f t="shared" si="15"/>
        <v>2E-3</v>
      </c>
      <c r="AS29" s="294">
        <f t="shared" si="15"/>
        <v>2E-3</v>
      </c>
      <c r="AT29" s="294">
        <f t="shared" si="15"/>
        <v>3.0000000000000001E-3</v>
      </c>
      <c r="AU29" s="294">
        <f t="shared" si="15"/>
        <v>2E-3</v>
      </c>
      <c r="AV29" s="295"/>
      <c r="AZ29" s="209" t="s">
        <v>58</v>
      </c>
      <c r="BA29" s="1077">
        <f>HLOOKUP(BA$1,Storage_Targets!$E$147:$AZ$162,Storage_Targets!$C153,FALSE)</f>
        <v>0</v>
      </c>
      <c r="BB29" s="1077">
        <f>HLOOKUP(BB$1,Storage_Targets!$E$147:$AZ$162,Storage_Targets!$C153,FALSE)</f>
        <v>0</v>
      </c>
      <c r="BC29" s="1077">
        <f>HLOOKUP(BC$1,Storage_Targets!$E$147:$AZ$162,Storage_Targets!$C153,FALSE)</f>
        <v>0</v>
      </c>
      <c r="BD29" s="1077">
        <f>HLOOKUP(BD$1,Storage_Targets!$E$147:$AZ$162,Storage_Targets!$C153,FALSE)</f>
        <v>0</v>
      </c>
      <c r="BE29" s="1077">
        <f>HLOOKUP(BE$1,Storage_Targets!$E$147:$AZ$162,Storage_Targets!$C153,FALSE)</f>
        <v>0</v>
      </c>
      <c r="BF29" s="1077">
        <f>HLOOKUP(BF$1,Storage_Targets!$E$147:$AZ$162,Storage_Targets!$C153,FALSE)</f>
        <v>0</v>
      </c>
      <c r="BG29" s="1077">
        <f>HLOOKUP(BG$1,Storage_Targets!$E$147:$AZ$162,Storage_Targets!$C153,FALSE)</f>
        <v>0</v>
      </c>
      <c r="BH29" s="1077">
        <f>HLOOKUP(BH$1,Storage_Targets!$E$147:$AZ$162,Storage_Targets!$C153,FALSE)</f>
        <v>0</v>
      </c>
      <c r="BI29" s="1077">
        <f>HLOOKUP(BI$1,Storage_Targets!$E$147:$AZ$162,Storage_Targets!$C153,FALSE)</f>
        <v>0</v>
      </c>
      <c r="BJ29" s="1077">
        <f>HLOOKUP(BJ$1,Storage_Targets!$E$147:$AZ$162,Storage_Targets!$C153,FALSE)</f>
        <v>0</v>
      </c>
      <c r="BK29" s="1077">
        <f>HLOOKUP(BK$1,Storage_Targets!$E$147:$AZ$162,Storage_Targets!$C153,FALSE)</f>
        <v>0</v>
      </c>
      <c r="BL29" s="1077">
        <f>HLOOKUP(BL$1,Storage_Targets!$E$147:$AZ$162,Storage_Targets!$C153,FALSE)</f>
        <v>0</v>
      </c>
    </row>
    <row r="30" spans="2:64">
      <c r="C30" s="209" t="s">
        <v>59</v>
      </c>
      <c r="D30" s="1077">
        <v>0</v>
      </c>
      <c r="E30" s="1077">
        <f>HLOOKUP(E$1,Storage_Targets!$E$27:$AZ$42,Storage_Targets!$C34,FALSE)</f>
        <v>0</v>
      </c>
      <c r="F30" s="1077">
        <f>HLOOKUP(F$1,Storage_Targets!$E$27:$AZ$42,Storage_Targets!$C34,FALSE)</f>
        <v>1E-3</v>
      </c>
      <c r="G30" s="1077">
        <f>HLOOKUP(G$1,Storage_Targets!$E$27:$AZ$42,Storage_Targets!$C34,FALSE)</f>
        <v>0</v>
      </c>
      <c r="H30" s="1077">
        <f>HLOOKUP(H$1,Storage_Targets!$E$27:$AZ$42,Storage_Targets!$C34,FALSE)</f>
        <v>0</v>
      </c>
      <c r="I30" s="1077">
        <f>HLOOKUP(I$1,Storage_Targets!$E$27:$AZ$42,Storage_Targets!$C34,FALSE)</f>
        <v>1E-3</v>
      </c>
      <c r="J30" s="1077">
        <f>HLOOKUP(J$1,Storage_Targets!$E$27:$AZ$42,Storage_Targets!$C34,FALSE)</f>
        <v>0</v>
      </c>
      <c r="K30" s="1077">
        <f>HLOOKUP(K$1,Storage_Targets!$E$27:$AZ$42,Storage_Targets!$C34,FALSE)</f>
        <v>0</v>
      </c>
      <c r="L30" s="1077">
        <f>HLOOKUP(L$1,Storage_Targets!$E$27:$AZ$42,Storage_Targets!$C34,FALSE)</f>
        <v>1E-3</v>
      </c>
      <c r="M30" s="1077">
        <f>HLOOKUP(M$1,Storage_Targets!$E$27:$AZ$42,Storage_Targets!$C34,FALSE)</f>
        <v>0</v>
      </c>
      <c r="N30" s="1077">
        <f>HLOOKUP(N$1,Storage_Targets!$E$27:$AZ$42,Storage_Targets!$C34,FALSE)</f>
        <v>0</v>
      </c>
      <c r="O30" s="1077">
        <f>HLOOKUP(O$1,Storage_Targets!$E$27:$AZ$42,Storage_Targets!$C34,FALSE)</f>
        <v>1E-3</v>
      </c>
      <c r="Q30" s="264">
        <f t="shared" si="14"/>
        <v>4.0000000000000001E-3</v>
      </c>
      <c r="S30" s="209" t="s">
        <v>59</v>
      </c>
      <c r="T30" s="1077">
        <v>0</v>
      </c>
      <c r="U30" s="1077">
        <v>0</v>
      </c>
      <c r="V30" s="1077">
        <f>HLOOKUP(V$1,Storage_Targets!$E$87:$AZ$102,Storage_Targets!$C94,FALSE)</f>
        <v>0</v>
      </c>
      <c r="W30" s="1077">
        <v>0</v>
      </c>
      <c r="X30" s="1077">
        <v>0</v>
      </c>
      <c r="Y30" s="1077">
        <v>0</v>
      </c>
      <c r="Z30" s="1077">
        <v>0</v>
      </c>
      <c r="AA30" s="1077">
        <v>0</v>
      </c>
      <c r="AB30" s="1077">
        <f>HLOOKUP(AB$1,Storage_Targets!$E$87:$AZ$102,Storage_Targets!$C94,FALSE)</f>
        <v>0</v>
      </c>
      <c r="AC30" s="1077">
        <f>HLOOKUP(AC$1,Storage_Targets!$E$87:$AZ$102,Storage_Targets!$C94,FALSE)</f>
        <v>0</v>
      </c>
      <c r="AD30" s="1077">
        <v>0</v>
      </c>
      <c r="AE30" s="1077">
        <f>HLOOKUP(AE$1,Storage_Targets!$E$87:$AZ$102,Storage_Targets!$C94,FALSE)</f>
        <v>0</v>
      </c>
      <c r="AH30" s="293"/>
      <c r="AI30" s="296" t="s">
        <v>59</v>
      </c>
      <c r="AJ30" s="294">
        <f>(D30*D$5)+(T30*T$5)+(BA30*BA$5)</f>
        <v>0</v>
      </c>
      <c r="AK30" s="294">
        <f t="shared" si="15"/>
        <v>0</v>
      </c>
      <c r="AL30" s="294">
        <f t="shared" si="15"/>
        <v>1E-3</v>
      </c>
      <c r="AM30" s="294">
        <f t="shared" si="15"/>
        <v>0</v>
      </c>
      <c r="AN30" s="294">
        <f t="shared" si="15"/>
        <v>0</v>
      </c>
      <c r="AO30" s="294">
        <f t="shared" si="15"/>
        <v>1E-3</v>
      </c>
      <c r="AP30" s="294">
        <f t="shared" si="15"/>
        <v>0</v>
      </c>
      <c r="AQ30" s="294">
        <f t="shared" si="15"/>
        <v>0</v>
      </c>
      <c r="AR30" s="294">
        <f t="shared" si="15"/>
        <v>1E-3</v>
      </c>
      <c r="AS30" s="294">
        <f t="shared" si="15"/>
        <v>0</v>
      </c>
      <c r="AT30" s="294">
        <f t="shared" si="15"/>
        <v>0</v>
      </c>
      <c r="AU30" s="294">
        <f t="shared" si="15"/>
        <v>1E-3</v>
      </c>
      <c r="AV30" s="295"/>
      <c r="AZ30" s="209" t="s">
        <v>59</v>
      </c>
      <c r="BA30" s="1077">
        <f>HLOOKUP(BA$1,Storage_Targets!$E$147:$AZ$162,Storage_Targets!$C154,FALSE)</f>
        <v>0</v>
      </c>
      <c r="BB30" s="1077">
        <f>HLOOKUP(BB$1,Storage_Targets!$E$147:$AZ$162,Storage_Targets!$C154,FALSE)</f>
        <v>0</v>
      </c>
      <c r="BC30" s="1077">
        <f>HLOOKUP(BC$1,Storage_Targets!$E$147:$AZ$162,Storage_Targets!$C154,FALSE)</f>
        <v>0</v>
      </c>
      <c r="BD30" s="1077">
        <f>HLOOKUP(BD$1,Storage_Targets!$E$147:$AZ$162,Storage_Targets!$C154,FALSE)</f>
        <v>0</v>
      </c>
      <c r="BE30" s="1077">
        <f>HLOOKUP(BE$1,Storage_Targets!$E$147:$AZ$162,Storage_Targets!$C154,FALSE)</f>
        <v>0</v>
      </c>
      <c r="BF30" s="1077">
        <f>HLOOKUP(BF$1,Storage_Targets!$E$147:$AZ$162,Storage_Targets!$C154,FALSE)</f>
        <v>0</v>
      </c>
      <c r="BG30" s="1077">
        <f>HLOOKUP(BG$1,Storage_Targets!$E$147:$AZ$162,Storage_Targets!$C154,FALSE)</f>
        <v>0</v>
      </c>
      <c r="BH30" s="1077">
        <f>HLOOKUP(BH$1,Storage_Targets!$E$147:$AZ$162,Storage_Targets!$C154,FALSE)</f>
        <v>0</v>
      </c>
      <c r="BI30" s="1077">
        <f>HLOOKUP(BI$1,Storage_Targets!$E$147:$AZ$162,Storage_Targets!$C154,FALSE)</f>
        <v>0</v>
      </c>
      <c r="BJ30" s="1077">
        <f>HLOOKUP(BJ$1,Storage_Targets!$E$147:$AZ$162,Storage_Targets!$C154,FALSE)</f>
        <v>0</v>
      </c>
      <c r="BK30" s="1077">
        <f>HLOOKUP(BK$1,Storage_Targets!$E$147:$AZ$162,Storage_Targets!$C154,FALSE)</f>
        <v>0</v>
      </c>
      <c r="BL30" s="1077">
        <f>HLOOKUP(BL$1,Storage_Targets!$E$147:$AZ$162,Storage_Targets!$C154,FALSE)</f>
        <v>0</v>
      </c>
    </row>
    <row r="31" spans="2:64">
      <c r="C31" s="209" t="s">
        <v>63</v>
      </c>
      <c r="D31" s="1077">
        <v>0</v>
      </c>
      <c r="E31" s="1077">
        <f>HLOOKUP(E$1,Storage_Targets!$E$27:$AZ$42,Storage_Targets!$C35,FALSE)</f>
        <v>0</v>
      </c>
      <c r="F31" s="1077">
        <f>HLOOKUP(F$1,Storage_Targets!$E$27:$AZ$42,Storage_Targets!$C35,FALSE)</f>
        <v>0</v>
      </c>
      <c r="G31" s="1077">
        <f>HLOOKUP(G$1,Storage_Targets!$E$27:$AZ$42,Storage_Targets!$C35,FALSE)</f>
        <v>0</v>
      </c>
      <c r="H31" s="1077">
        <f>HLOOKUP(H$1,Storage_Targets!$E$27:$AZ$42,Storage_Targets!$C35,FALSE)</f>
        <v>0</v>
      </c>
      <c r="I31" s="1077">
        <f>HLOOKUP(I$1,Storage_Targets!$E$27:$AZ$42,Storage_Targets!$C35,FALSE)</f>
        <v>0</v>
      </c>
      <c r="J31" s="1077">
        <f>HLOOKUP(J$1,Storage_Targets!$E$27:$AZ$42,Storage_Targets!$C35,FALSE)</f>
        <v>0</v>
      </c>
      <c r="K31" s="1077">
        <f>HLOOKUP(K$1,Storage_Targets!$E$27:$AZ$42,Storage_Targets!$C35,FALSE)</f>
        <v>0</v>
      </c>
      <c r="L31" s="1077">
        <f>HLOOKUP(L$1,Storage_Targets!$E$27:$AZ$42,Storage_Targets!$C35,FALSE)</f>
        <v>0</v>
      </c>
      <c r="M31" s="1077">
        <f>HLOOKUP(M$1,Storage_Targets!$E$27:$AZ$42,Storage_Targets!$C35,FALSE)</f>
        <v>0</v>
      </c>
      <c r="N31" s="1077">
        <f>HLOOKUP(N$1,Storage_Targets!$E$27:$AZ$42,Storage_Targets!$C35,FALSE)</f>
        <v>1E-3</v>
      </c>
      <c r="O31" s="1077">
        <f>HLOOKUP(O$1,Storage_Targets!$E$27:$AZ$42,Storage_Targets!$C35,FALSE)</f>
        <v>0</v>
      </c>
      <c r="Q31" s="264">
        <f t="shared" si="14"/>
        <v>1E-3</v>
      </c>
      <c r="S31" s="209" t="s">
        <v>63</v>
      </c>
      <c r="T31" s="1077">
        <v>0</v>
      </c>
      <c r="U31" s="1077">
        <v>0</v>
      </c>
      <c r="V31" s="1077">
        <v>0</v>
      </c>
      <c r="W31" s="1077">
        <v>0</v>
      </c>
      <c r="X31" s="1077">
        <v>0</v>
      </c>
      <c r="Y31" s="1077">
        <v>0</v>
      </c>
      <c r="Z31" s="1077">
        <v>0</v>
      </c>
      <c r="AA31" s="1077">
        <v>0</v>
      </c>
      <c r="AB31" s="1077">
        <f>HLOOKUP(AB$1,Storage_Targets!$E$87:$AZ$102,Storage_Targets!$C95,FALSE)</f>
        <v>0</v>
      </c>
      <c r="AC31" s="1077">
        <v>0</v>
      </c>
      <c r="AD31" s="1077">
        <v>0</v>
      </c>
      <c r="AE31" s="1077">
        <v>0</v>
      </c>
      <c r="AH31" s="293"/>
      <c r="AI31" s="296" t="s">
        <v>63</v>
      </c>
      <c r="AJ31" s="307">
        <f>(D31*D$5)+(T31*T$5)+(BA31*BA$5)</f>
        <v>0</v>
      </c>
      <c r="AK31" s="294">
        <f t="shared" si="15"/>
        <v>0</v>
      </c>
      <c r="AL31" s="294">
        <f t="shared" si="15"/>
        <v>0</v>
      </c>
      <c r="AM31" s="294">
        <f t="shared" si="15"/>
        <v>0</v>
      </c>
      <c r="AN31" s="294">
        <f t="shared" si="15"/>
        <v>0</v>
      </c>
      <c r="AO31" s="294">
        <f t="shared" si="15"/>
        <v>0</v>
      </c>
      <c r="AP31" s="294">
        <f t="shared" si="15"/>
        <v>0</v>
      </c>
      <c r="AQ31" s="294">
        <f t="shared" si="15"/>
        <v>0</v>
      </c>
      <c r="AR31" s="294">
        <f t="shared" si="15"/>
        <v>0</v>
      </c>
      <c r="AS31" s="294">
        <f t="shared" si="15"/>
        <v>0</v>
      </c>
      <c r="AT31" s="294">
        <f t="shared" si="15"/>
        <v>1E-3</v>
      </c>
      <c r="AU31" s="294">
        <f t="shared" si="15"/>
        <v>0</v>
      </c>
      <c r="AV31" s="295"/>
      <c r="AZ31" s="209" t="s">
        <v>63</v>
      </c>
      <c r="BA31" s="1077">
        <f>HLOOKUP(BA$1,Storage_Targets!$E$147:$AZ$162,Storage_Targets!$C155,FALSE)</f>
        <v>0</v>
      </c>
      <c r="BB31" s="1077">
        <f>HLOOKUP(BB$1,Storage_Targets!$E$147:$AZ$162,Storage_Targets!$C155,FALSE)</f>
        <v>0</v>
      </c>
      <c r="BC31" s="1077">
        <f>HLOOKUP(BC$1,Storage_Targets!$E$147:$AZ$162,Storage_Targets!$C155,FALSE)</f>
        <v>0</v>
      </c>
      <c r="BD31" s="1077">
        <f>HLOOKUP(BD$1,Storage_Targets!$E$147:$AZ$162,Storage_Targets!$C155,FALSE)</f>
        <v>0</v>
      </c>
      <c r="BE31" s="1077">
        <f>HLOOKUP(BE$1,Storage_Targets!$E$147:$AZ$162,Storage_Targets!$C155,FALSE)</f>
        <v>0</v>
      </c>
      <c r="BF31" s="1077">
        <f>HLOOKUP(BF$1,Storage_Targets!$E$147:$AZ$162,Storage_Targets!$C155,FALSE)</f>
        <v>0</v>
      </c>
      <c r="BG31" s="1077">
        <f>HLOOKUP(BG$1,Storage_Targets!$E$147:$AZ$162,Storage_Targets!$C155,FALSE)</f>
        <v>0</v>
      </c>
      <c r="BH31" s="1077">
        <f>HLOOKUP(BH$1,Storage_Targets!$E$147:$AZ$162,Storage_Targets!$C155,FALSE)</f>
        <v>0</v>
      </c>
      <c r="BI31" s="1077">
        <f>HLOOKUP(BI$1,Storage_Targets!$E$147:$AZ$162,Storage_Targets!$C155,FALSE)</f>
        <v>0</v>
      </c>
      <c r="BJ31" s="1077">
        <f>HLOOKUP(BJ$1,Storage_Targets!$E$147:$AZ$162,Storage_Targets!$C155,FALSE)</f>
        <v>0</v>
      </c>
      <c r="BK31" s="1077">
        <f>HLOOKUP(BK$1,Storage_Targets!$E$147:$AZ$162,Storage_Targets!$C155,FALSE)</f>
        <v>0</v>
      </c>
      <c r="BL31" s="1077">
        <f>HLOOKUP(BL$1,Storage_Targets!$E$147:$AZ$162,Storage_Targets!$C155,FALSE)</f>
        <v>0</v>
      </c>
    </row>
    <row r="32" spans="2:64">
      <c r="C32" s="209" t="s">
        <v>64</v>
      </c>
      <c r="D32" s="1077">
        <f>HLOOKUP(D$1,Storage_Targets!$E$27:$AZ$42,Storage_Targets!$C36,FALSE)</f>
        <v>1E-3</v>
      </c>
      <c r="E32" s="1077">
        <f>HLOOKUP(E$1,Storage_Targets!$E$27:$AZ$42,Storage_Targets!$C36,FALSE)</f>
        <v>1E-3</v>
      </c>
      <c r="F32" s="1077">
        <f>HLOOKUP(F$1,Storage_Targets!$E$27:$AZ$42,Storage_Targets!$C36,FALSE)</f>
        <v>0</v>
      </c>
      <c r="G32" s="1077">
        <f>HLOOKUP(G$1,Storage_Targets!$E$27:$AZ$42,Storage_Targets!$C36,FALSE)</f>
        <v>1E-3</v>
      </c>
      <c r="H32" s="1077">
        <f>HLOOKUP(H$1,Storage_Targets!$E$27:$AZ$42,Storage_Targets!$C36,FALSE)</f>
        <v>1E-3</v>
      </c>
      <c r="I32" s="1077">
        <f>HLOOKUP(I$1,Storage_Targets!$E$27:$AZ$42,Storage_Targets!$C36,FALSE)</f>
        <v>1E-3</v>
      </c>
      <c r="J32" s="1077">
        <f>HLOOKUP(J$1,Storage_Targets!$E$27:$AZ$42,Storage_Targets!$C36,FALSE)</f>
        <v>7.643835616438356E-4</v>
      </c>
      <c r="K32" s="1077">
        <f>HLOOKUP(K$1,Storage_Targets!$E$27:$AZ$42,Storage_Targets!$C36,FALSE)</f>
        <v>0</v>
      </c>
      <c r="L32" s="1077">
        <f>HLOOKUP(L$1,Storage_Targets!$E$27:$AZ$42,Storage_Targets!$C36,FALSE)</f>
        <v>1E-3</v>
      </c>
      <c r="M32" s="1077">
        <f>HLOOKUP(M$1,Storage_Targets!$E$27:$AZ$42,Storage_Targets!$C36,FALSE)</f>
        <v>1E-3</v>
      </c>
      <c r="N32" s="1077">
        <f>HLOOKUP(N$1,Storage_Targets!$E$27:$AZ$42,Storage_Targets!$C36,FALSE)</f>
        <v>0</v>
      </c>
      <c r="O32" s="1077">
        <f>HLOOKUP(O$1,Storage_Targets!$E$27:$AZ$42,Storage_Targets!$C36,FALSE)</f>
        <v>1E-3</v>
      </c>
      <c r="Q32" s="264">
        <f t="shared" si="14"/>
        <v>8.7643835616438362E-3</v>
      </c>
      <c r="S32" s="209" t="s">
        <v>64</v>
      </c>
      <c r="T32" s="1077">
        <f>HLOOKUP(T$1,Storage_Targets!$E$87:$AZ$102,Storage_Targets!$C96,FALSE)</f>
        <v>0</v>
      </c>
      <c r="U32" s="1077">
        <f>HLOOKUP(U$1,Storage_Targets!$E$87:$AZ$102,Storage_Targets!$C96,FALSE)</f>
        <v>0</v>
      </c>
      <c r="V32" s="1077">
        <v>0</v>
      </c>
      <c r="W32" s="1077">
        <f>HLOOKUP(W$1,Storage_Targets!$E$87:$AZ$102,Storage_Targets!$C96,FALSE)</f>
        <v>0</v>
      </c>
      <c r="X32" s="1077">
        <v>0</v>
      </c>
      <c r="Y32" s="1077">
        <f>HLOOKUP(Y$1,Storage_Targets!$E$87:$AZ$102,Storage_Targets!$C96,FALSE)</f>
        <v>0</v>
      </c>
      <c r="Z32" s="1077">
        <f>HLOOKUP(Z$1,Storage_Targets!$E$87:$AZ$102,Storage_Targets!$C96,FALSE)</f>
        <v>0</v>
      </c>
      <c r="AA32" s="1077">
        <f>HLOOKUP(AA$1,Storage_Targets!$E$87:$AZ$102,Storage_Targets!$C96,FALSE)</f>
        <v>0</v>
      </c>
      <c r="AB32" s="1077">
        <f>HLOOKUP(AB$1,Storage_Targets!$E$87:$AZ$102,Storage_Targets!$C96,FALSE)</f>
        <v>0</v>
      </c>
      <c r="AC32" s="1077">
        <f>HLOOKUP(AC$1,Storage_Targets!$E$87:$AZ$102,Storage_Targets!$C96,FALSE)</f>
        <v>0</v>
      </c>
      <c r="AD32" s="1077">
        <v>0</v>
      </c>
      <c r="AE32" s="1077">
        <f>HLOOKUP(AE$1,Storage_Targets!$E$87:$AZ$102,Storage_Targets!$C96,FALSE)</f>
        <v>0</v>
      </c>
      <c r="AH32" s="293"/>
      <c r="AI32" s="296" t="s">
        <v>64</v>
      </c>
      <c r="AJ32" s="551">
        <f t="shared" si="16"/>
        <v>1E-3</v>
      </c>
      <c r="AK32" s="294">
        <f t="shared" si="15"/>
        <v>1E-3</v>
      </c>
      <c r="AL32" s="294">
        <f t="shared" si="15"/>
        <v>0</v>
      </c>
      <c r="AM32" s="294">
        <f t="shared" si="15"/>
        <v>1E-3</v>
      </c>
      <c r="AN32" s="294">
        <f t="shared" si="15"/>
        <v>1E-3</v>
      </c>
      <c r="AO32" s="294">
        <f t="shared" si="15"/>
        <v>1E-3</v>
      </c>
      <c r="AP32" s="294">
        <f t="shared" si="15"/>
        <v>7.643835616438356E-4</v>
      </c>
      <c r="AQ32" s="294">
        <f t="shared" si="15"/>
        <v>0</v>
      </c>
      <c r="AR32" s="294">
        <f t="shared" si="15"/>
        <v>1E-3</v>
      </c>
      <c r="AS32" s="294">
        <f t="shared" si="15"/>
        <v>1E-3</v>
      </c>
      <c r="AT32" s="294">
        <f t="shared" si="15"/>
        <v>0</v>
      </c>
      <c r="AU32" s="294">
        <f t="shared" si="15"/>
        <v>1E-3</v>
      </c>
      <c r="AV32" s="295"/>
      <c r="AZ32" s="209" t="s">
        <v>64</v>
      </c>
      <c r="BA32" s="1077">
        <f>HLOOKUP(BA$1,Storage_Targets!$E$147:$AZ$162,Storage_Targets!$C156,FALSE)</f>
        <v>0</v>
      </c>
      <c r="BB32" s="1077">
        <f>HLOOKUP(BB$1,Storage_Targets!$E$147:$AZ$162,Storage_Targets!$C156,FALSE)</f>
        <v>0</v>
      </c>
      <c r="BC32" s="1077">
        <f>HLOOKUP(BC$1,Storage_Targets!$E$147:$AZ$162,Storage_Targets!$C156,FALSE)</f>
        <v>0</v>
      </c>
      <c r="BD32" s="1077">
        <f>HLOOKUP(BD$1,Storage_Targets!$E$147:$AZ$162,Storage_Targets!$C156,FALSE)</f>
        <v>0</v>
      </c>
      <c r="BE32" s="1077">
        <f>HLOOKUP(BE$1,Storage_Targets!$E$147:$AZ$162,Storage_Targets!$C156,FALSE)</f>
        <v>0</v>
      </c>
      <c r="BF32" s="1077">
        <f>HLOOKUP(BF$1,Storage_Targets!$E$147:$AZ$162,Storage_Targets!$C156,FALSE)</f>
        <v>0</v>
      </c>
      <c r="BG32" s="1077">
        <f>HLOOKUP(BG$1,Storage_Targets!$E$147:$AZ$162,Storage_Targets!$C156,FALSE)</f>
        <v>0</v>
      </c>
      <c r="BH32" s="1077">
        <f>HLOOKUP(BH$1,Storage_Targets!$E$147:$AZ$162,Storage_Targets!$C156,FALSE)</f>
        <v>0</v>
      </c>
      <c r="BI32" s="1077">
        <f>HLOOKUP(BI$1,Storage_Targets!$E$147:$AZ$162,Storage_Targets!$C156,FALSE)</f>
        <v>0</v>
      </c>
      <c r="BJ32" s="1077">
        <f>HLOOKUP(BJ$1,Storage_Targets!$E$147:$AZ$162,Storage_Targets!$C156,FALSE)</f>
        <v>0</v>
      </c>
      <c r="BK32" s="1077">
        <f>HLOOKUP(BK$1,Storage_Targets!$E$147:$AZ$162,Storage_Targets!$C156,FALSE)</f>
        <v>0</v>
      </c>
      <c r="BL32" s="1077">
        <f>HLOOKUP(BL$1,Storage_Targets!$E$147:$AZ$162,Storage_Targets!$C156,FALSE)</f>
        <v>0</v>
      </c>
    </row>
    <row r="33" spans="3:64">
      <c r="C33" s="209" t="s">
        <v>65</v>
      </c>
      <c r="D33" s="1077">
        <f>HLOOKUP(D$1,Storage_Targets!$E$27:$AZ$42,Storage_Targets!$C37,FALSE)</f>
        <v>2E-3</v>
      </c>
      <c r="E33" s="1077">
        <f>HLOOKUP(E$1,Storage_Targets!$E$27:$AZ$42,Storage_Targets!$C37,FALSE)</f>
        <v>3.0000000000000001E-3</v>
      </c>
      <c r="F33" s="1077">
        <f>HLOOKUP(F$1,Storage_Targets!$E$27:$AZ$42,Storage_Targets!$C37,FALSE)</f>
        <v>3.0000000000000001E-3</v>
      </c>
      <c r="G33" s="1077">
        <f>HLOOKUP(G$1,Storage_Targets!$E$27:$AZ$42,Storage_Targets!$C37,FALSE)</f>
        <v>3.0000000000000001E-3</v>
      </c>
      <c r="H33" s="1077">
        <f>HLOOKUP(H$1,Storage_Targets!$E$27:$AZ$42,Storage_Targets!$C37,FALSE)</f>
        <v>3.0000000000000001E-3</v>
      </c>
      <c r="I33" s="1077">
        <f>HLOOKUP(I$1,Storage_Targets!$E$27:$AZ$42,Storage_Targets!$C37,FALSE)</f>
        <v>3.0000000000000001E-3</v>
      </c>
      <c r="J33" s="1077">
        <f>HLOOKUP(J$1,Storage_Targets!$E$27:$AZ$42,Storage_Targets!$C37,FALSE)</f>
        <v>2.7178082191780823E-3</v>
      </c>
      <c r="K33" s="1077">
        <f>HLOOKUP(K$1,Storage_Targets!$E$27:$AZ$42,Storage_Targets!$C37,FALSE)</f>
        <v>3.0000000000000001E-3</v>
      </c>
      <c r="L33" s="1077">
        <f>HLOOKUP(L$1,Storage_Targets!$E$27:$AZ$42,Storage_Targets!$C37,FALSE)</f>
        <v>3.0000000000000001E-3</v>
      </c>
      <c r="M33" s="1077">
        <f>HLOOKUP(M$1,Storage_Targets!$E$27:$AZ$42,Storage_Targets!$C37,FALSE)</f>
        <v>3.0000000000000001E-3</v>
      </c>
      <c r="N33" s="1077">
        <f>HLOOKUP(N$1,Storage_Targets!$E$27:$AZ$42,Storage_Targets!$C37,FALSE)</f>
        <v>2E-3</v>
      </c>
      <c r="O33" s="1077">
        <f>HLOOKUP(O$1,Storage_Targets!$E$27:$AZ$42,Storage_Targets!$C37,FALSE)</f>
        <v>1E-3</v>
      </c>
      <c r="Q33" s="264">
        <f t="shared" si="14"/>
        <v>3.1717808219178079E-2</v>
      </c>
      <c r="S33" s="209" t="s">
        <v>65</v>
      </c>
      <c r="T33" s="1077">
        <f>HLOOKUP(T$1,Storage_Targets!$E$87:$AZ$102,Storage_Targets!$C97,FALSE)</f>
        <v>0</v>
      </c>
      <c r="U33" s="1077">
        <f>HLOOKUP(U$1,Storage_Targets!$E$87:$AZ$102,Storage_Targets!$C97,FALSE)</f>
        <v>0</v>
      </c>
      <c r="V33" s="1077">
        <f>HLOOKUP(V$1,Storage_Targets!$E$87:$AZ$102,Storage_Targets!$C97,FALSE)</f>
        <v>0</v>
      </c>
      <c r="W33" s="1077">
        <f>HLOOKUP(W$1,Storage_Targets!$E$87:$AZ$102,Storage_Targets!$C97,FALSE)</f>
        <v>0</v>
      </c>
      <c r="X33" s="1077">
        <f>HLOOKUP(X$1,Storage_Targets!$E$87:$AZ$102,Storage_Targets!$C97,FALSE)</f>
        <v>0</v>
      </c>
      <c r="Y33" s="1077">
        <f>HLOOKUP(Y$1,Storage_Targets!$E$87:$AZ$102,Storage_Targets!$C97,FALSE)</f>
        <v>0</v>
      </c>
      <c r="Z33" s="1077">
        <f>HLOOKUP(Z$1,Storage_Targets!$E$87:$AZ$102,Storage_Targets!$C97,FALSE)</f>
        <v>0</v>
      </c>
      <c r="AA33" s="1077">
        <f>HLOOKUP(AA$1,Storage_Targets!$E$87:$AZ$102,Storage_Targets!$C97,FALSE)</f>
        <v>0</v>
      </c>
      <c r="AB33" s="1077">
        <f>HLOOKUP(AB$1,Storage_Targets!$E$87:$AZ$102,Storage_Targets!$C97,FALSE)</f>
        <v>0</v>
      </c>
      <c r="AC33" s="1077">
        <f>HLOOKUP(AC$1,Storage_Targets!$E$87:$AZ$102,Storage_Targets!$C97,FALSE)</f>
        <v>0</v>
      </c>
      <c r="AD33" s="1077">
        <f>HLOOKUP(AD$1,Storage_Targets!$E$87:$AZ$102,Storage_Targets!$C97,FALSE)</f>
        <v>0</v>
      </c>
      <c r="AE33" s="1077">
        <f>HLOOKUP(AE$1,Storage_Targets!$E$87:$AZ$102,Storage_Targets!$C97,FALSE)</f>
        <v>0</v>
      </c>
      <c r="AH33" s="293"/>
      <c r="AI33" s="296" t="s">
        <v>65</v>
      </c>
      <c r="AJ33" s="294">
        <f t="shared" si="16"/>
        <v>2E-3</v>
      </c>
      <c r="AK33" s="294">
        <f t="shared" si="15"/>
        <v>3.0000000000000001E-3</v>
      </c>
      <c r="AL33" s="294">
        <f t="shared" si="15"/>
        <v>3.0000000000000001E-3</v>
      </c>
      <c r="AM33" s="294">
        <f t="shared" si="15"/>
        <v>3.0000000000000001E-3</v>
      </c>
      <c r="AN33" s="294">
        <f t="shared" si="15"/>
        <v>3.0000000000000001E-3</v>
      </c>
      <c r="AO33" s="294">
        <f t="shared" si="15"/>
        <v>3.0000000000000001E-3</v>
      </c>
      <c r="AP33" s="294">
        <f t="shared" si="15"/>
        <v>2.7178082191780823E-3</v>
      </c>
      <c r="AQ33" s="294">
        <f t="shared" si="15"/>
        <v>3.0000000000000001E-3</v>
      </c>
      <c r="AR33" s="294">
        <f t="shared" si="15"/>
        <v>3.0000000000000001E-3</v>
      </c>
      <c r="AS33" s="294">
        <f t="shared" si="15"/>
        <v>3.0000000000000001E-3</v>
      </c>
      <c r="AT33" s="294">
        <f t="shared" si="15"/>
        <v>2E-3</v>
      </c>
      <c r="AU33" s="294">
        <f t="shared" si="15"/>
        <v>1E-3</v>
      </c>
      <c r="AV33" s="295"/>
      <c r="AZ33" s="209" t="s">
        <v>65</v>
      </c>
      <c r="BA33" s="1077">
        <f>HLOOKUP(BA$1,Storage_Targets!$E$147:$AZ$162,Storage_Targets!$C157,FALSE)</f>
        <v>0</v>
      </c>
      <c r="BB33" s="1077">
        <f>HLOOKUP(BB$1,Storage_Targets!$E$147:$AZ$162,Storage_Targets!$C157,FALSE)</f>
        <v>0</v>
      </c>
      <c r="BC33" s="1077">
        <f>HLOOKUP(BC$1,Storage_Targets!$E$147:$AZ$162,Storage_Targets!$C157,FALSE)</f>
        <v>0</v>
      </c>
      <c r="BD33" s="1077">
        <f>HLOOKUP(BD$1,Storage_Targets!$E$147:$AZ$162,Storage_Targets!$C157,FALSE)</f>
        <v>0</v>
      </c>
      <c r="BE33" s="1077">
        <f>HLOOKUP(BE$1,Storage_Targets!$E$147:$AZ$162,Storage_Targets!$C157,FALSE)</f>
        <v>0</v>
      </c>
      <c r="BF33" s="1077">
        <f>HLOOKUP(BF$1,Storage_Targets!$E$147:$AZ$162,Storage_Targets!$C157,FALSE)</f>
        <v>0</v>
      </c>
      <c r="BG33" s="1077">
        <f>HLOOKUP(BG$1,Storage_Targets!$E$147:$AZ$162,Storage_Targets!$C157,FALSE)</f>
        <v>0</v>
      </c>
      <c r="BH33" s="1077">
        <f>HLOOKUP(BH$1,Storage_Targets!$E$147:$AZ$162,Storage_Targets!$C157,FALSE)</f>
        <v>0</v>
      </c>
      <c r="BI33" s="1077">
        <f>HLOOKUP(BI$1,Storage_Targets!$E$147:$AZ$162,Storage_Targets!$C157,FALSE)</f>
        <v>0</v>
      </c>
      <c r="BJ33" s="1077">
        <f>HLOOKUP(BJ$1,Storage_Targets!$E$147:$AZ$162,Storage_Targets!$C157,FALSE)</f>
        <v>0</v>
      </c>
      <c r="BK33" s="1077">
        <f>HLOOKUP(BK$1,Storage_Targets!$E$147:$AZ$162,Storage_Targets!$C157,FALSE)</f>
        <v>0</v>
      </c>
      <c r="BL33" s="1077">
        <f>HLOOKUP(BL$1,Storage_Targets!$E$147:$AZ$162,Storage_Targets!$C157,FALSE)</f>
        <v>0</v>
      </c>
    </row>
    <row r="34" spans="3:64">
      <c r="C34" s="209" t="s">
        <v>66</v>
      </c>
      <c r="D34" s="1077">
        <f>HLOOKUP(D$1,Storage_Targets!$E$27:$AZ$42,Storage_Targets!$C38,FALSE)</f>
        <v>0</v>
      </c>
      <c r="E34" s="1077">
        <f>HLOOKUP(E$1,Storage_Targets!$E$27:$AZ$42,Storage_Targets!$C38,FALSE)</f>
        <v>0</v>
      </c>
      <c r="F34" s="1077">
        <f>HLOOKUP(F$1,Storage_Targets!$E$27:$AZ$42,Storage_Targets!$C38,FALSE)</f>
        <v>0</v>
      </c>
      <c r="G34" s="1077">
        <f>HLOOKUP(G$1,Storage_Targets!$E$27:$AZ$42,Storage_Targets!$C38,FALSE)</f>
        <v>0</v>
      </c>
      <c r="H34" s="1077">
        <f>HLOOKUP(H$1,Storage_Targets!$E$27:$AZ$42,Storage_Targets!$C38,FALSE)</f>
        <v>0</v>
      </c>
      <c r="I34" s="1077">
        <f>HLOOKUP(I$1,Storage_Targets!$E$27:$AZ$42,Storage_Targets!$C38,FALSE)</f>
        <v>0</v>
      </c>
      <c r="J34" s="1077">
        <f>HLOOKUP(J$1,Storage_Targets!$E$27:$AZ$42,Storage_Targets!$C38,FALSE)</f>
        <v>0</v>
      </c>
      <c r="K34" s="1077">
        <f>HLOOKUP(K$1,Storage_Targets!$E$27:$AZ$42,Storage_Targets!$C38,FALSE)</f>
        <v>0</v>
      </c>
      <c r="L34" s="1077">
        <f>HLOOKUP(L$1,Storage_Targets!$E$27:$AZ$42,Storage_Targets!$C38,FALSE)</f>
        <v>0</v>
      </c>
      <c r="M34" s="1077">
        <f>HLOOKUP(M$1,Storage_Targets!$E$27:$AZ$42,Storage_Targets!$C38,FALSE)</f>
        <v>0</v>
      </c>
      <c r="N34" s="1077">
        <f>HLOOKUP(N$1,Storage_Targets!$E$27:$AZ$42,Storage_Targets!$C38,FALSE)</f>
        <v>0</v>
      </c>
      <c r="O34" s="1077">
        <f>HLOOKUP(O$1,Storage_Targets!$E$27:$AZ$42,Storage_Targets!$C38,FALSE)</f>
        <v>0</v>
      </c>
      <c r="Q34" s="264">
        <f t="shared" si="14"/>
        <v>0</v>
      </c>
      <c r="S34" s="209" t="s">
        <v>66</v>
      </c>
      <c r="T34" s="1077">
        <f>HLOOKUP(T$1,Storage_Targets!$E$87:$AZ$102,Storage_Targets!$C98,FALSE)</f>
        <v>0</v>
      </c>
      <c r="U34" s="1077">
        <f>HLOOKUP(U$1,Storage_Targets!$E$87:$AZ$102,Storage_Targets!$C98,FALSE)</f>
        <v>0</v>
      </c>
      <c r="V34" s="1077">
        <f>HLOOKUP(V$1,Storage_Targets!$E$87:$AZ$102,Storage_Targets!$C98,FALSE)</f>
        <v>0</v>
      </c>
      <c r="W34" s="1077">
        <f>HLOOKUP(W$1,Storage_Targets!$E$87:$AZ$102,Storage_Targets!$C98,FALSE)</f>
        <v>0</v>
      </c>
      <c r="X34" s="1077">
        <f>HLOOKUP(X$1,Storage_Targets!$E$87:$AZ$102,Storage_Targets!$C98,FALSE)</f>
        <v>0</v>
      </c>
      <c r="Y34" s="1077">
        <f>HLOOKUP(Y$1,Storage_Targets!$E$87:$AZ$102,Storage_Targets!$C98,FALSE)</f>
        <v>0</v>
      </c>
      <c r="Z34" s="1077">
        <f>HLOOKUP(Z$1,Storage_Targets!$E$87:$AZ$102,Storage_Targets!$C98,FALSE)</f>
        <v>0</v>
      </c>
      <c r="AA34" s="1077">
        <f>HLOOKUP(AA$1,Storage_Targets!$E$87:$AZ$102,Storage_Targets!$C98,FALSE)</f>
        <v>0</v>
      </c>
      <c r="AB34" s="1077">
        <f>HLOOKUP(AB$1,Storage_Targets!$E$87:$AZ$102,Storage_Targets!$C98,FALSE)</f>
        <v>0</v>
      </c>
      <c r="AC34" s="1077">
        <f>HLOOKUP(AC$1,Storage_Targets!$E$87:$AZ$102,Storage_Targets!$C98,FALSE)</f>
        <v>0</v>
      </c>
      <c r="AD34" s="1077">
        <f>HLOOKUP(AD$1,Storage_Targets!$E$87:$AZ$102,Storage_Targets!$C98,FALSE)</f>
        <v>0</v>
      </c>
      <c r="AE34" s="1077">
        <f>HLOOKUP(AE$1,Storage_Targets!$E$87:$AZ$102,Storage_Targets!$C98,FALSE)</f>
        <v>0</v>
      </c>
      <c r="AH34" s="293"/>
      <c r="AI34" s="296" t="s">
        <v>66</v>
      </c>
      <c r="AJ34" s="294">
        <f t="shared" si="16"/>
        <v>0</v>
      </c>
      <c r="AK34" s="294">
        <f t="shared" si="15"/>
        <v>0</v>
      </c>
      <c r="AL34" s="294">
        <f t="shared" si="15"/>
        <v>0</v>
      </c>
      <c r="AM34" s="294">
        <f t="shared" si="15"/>
        <v>0</v>
      </c>
      <c r="AN34" s="294">
        <f t="shared" si="15"/>
        <v>0</v>
      </c>
      <c r="AO34" s="294">
        <f t="shared" si="15"/>
        <v>0</v>
      </c>
      <c r="AP34" s="294">
        <f t="shared" si="15"/>
        <v>0</v>
      </c>
      <c r="AQ34" s="294">
        <f t="shared" si="15"/>
        <v>0</v>
      </c>
      <c r="AR34" s="294">
        <f t="shared" si="15"/>
        <v>0</v>
      </c>
      <c r="AS34" s="294">
        <f t="shared" si="15"/>
        <v>0</v>
      </c>
      <c r="AT34" s="294">
        <f t="shared" si="15"/>
        <v>0</v>
      </c>
      <c r="AU34" s="294">
        <f t="shared" si="15"/>
        <v>0</v>
      </c>
      <c r="AV34" s="295"/>
      <c r="AZ34" s="209" t="s">
        <v>66</v>
      </c>
      <c r="BA34" s="1077">
        <f>HLOOKUP(BA$1,Storage_Targets!$E$147:$AZ$162,Storage_Targets!$C158,FALSE)</f>
        <v>0</v>
      </c>
      <c r="BB34" s="1077">
        <f>HLOOKUP(BB$1,Storage_Targets!$E$147:$AZ$162,Storage_Targets!$C158,FALSE)</f>
        <v>0</v>
      </c>
      <c r="BC34" s="1077">
        <f>HLOOKUP(BC$1,Storage_Targets!$E$147:$AZ$162,Storage_Targets!$C158,FALSE)</f>
        <v>0</v>
      </c>
      <c r="BD34" s="1077">
        <f>HLOOKUP(BD$1,Storage_Targets!$E$147:$AZ$162,Storage_Targets!$C158,FALSE)</f>
        <v>0</v>
      </c>
      <c r="BE34" s="1077">
        <f>HLOOKUP(BE$1,Storage_Targets!$E$147:$AZ$162,Storage_Targets!$C158,FALSE)</f>
        <v>0</v>
      </c>
      <c r="BF34" s="1077">
        <f>HLOOKUP(BF$1,Storage_Targets!$E$147:$AZ$162,Storage_Targets!$C158,FALSE)</f>
        <v>0</v>
      </c>
      <c r="BG34" s="1077">
        <f>HLOOKUP(BG$1,Storage_Targets!$E$147:$AZ$162,Storage_Targets!$C158,FALSE)</f>
        <v>0</v>
      </c>
      <c r="BH34" s="1077">
        <f>HLOOKUP(BH$1,Storage_Targets!$E$147:$AZ$162,Storage_Targets!$C158,FALSE)</f>
        <v>0</v>
      </c>
      <c r="BI34" s="1077">
        <f>HLOOKUP(BI$1,Storage_Targets!$E$147:$AZ$162,Storage_Targets!$C158,FALSE)</f>
        <v>0</v>
      </c>
      <c r="BJ34" s="1077">
        <f>HLOOKUP(BJ$1,Storage_Targets!$E$147:$AZ$162,Storage_Targets!$C158,FALSE)</f>
        <v>0</v>
      </c>
      <c r="BK34" s="1077">
        <f>HLOOKUP(BK$1,Storage_Targets!$E$147:$AZ$162,Storage_Targets!$C158,FALSE)</f>
        <v>0</v>
      </c>
      <c r="BL34" s="1077">
        <f>HLOOKUP(BL$1,Storage_Targets!$E$147:$AZ$162,Storage_Targets!$C158,FALSE)</f>
        <v>0</v>
      </c>
    </row>
    <row r="35" spans="3:64">
      <c r="C35" s="209" t="s">
        <v>67</v>
      </c>
      <c r="D35" s="1077">
        <f>HLOOKUP(D$1,Storage_Targets!$E$27:$AZ$42,Storage_Targets!$C39,FALSE)</f>
        <v>0</v>
      </c>
      <c r="E35" s="1077">
        <f>HLOOKUP(E$1,Storage_Targets!$E$27:$AZ$42,Storage_Targets!$C39,FALSE)</f>
        <v>0</v>
      </c>
      <c r="F35" s="1077">
        <f>HLOOKUP(F$1,Storage_Targets!$E$27:$AZ$42,Storage_Targets!$C39,FALSE)</f>
        <v>0</v>
      </c>
      <c r="G35" s="1077">
        <f>HLOOKUP(G$1,Storage_Targets!$E$27:$AZ$42,Storage_Targets!$C39,FALSE)</f>
        <v>0</v>
      </c>
      <c r="H35" s="1077">
        <f>HLOOKUP(H$1,Storage_Targets!$E$27:$AZ$42,Storage_Targets!$C39,FALSE)</f>
        <v>0</v>
      </c>
      <c r="I35" s="1077">
        <f>HLOOKUP(I$1,Storage_Targets!$E$27:$AZ$42,Storage_Targets!$C39,FALSE)</f>
        <v>0</v>
      </c>
      <c r="J35" s="1077">
        <f>HLOOKUP(J$1,Storage_Targets!$E$27:$AZ$42,Storage_Targets!$C39,FALSE)</f>
        <v>0</v>
      </c>
      <c r="K35" s="1077">
        <f>HLOOKUP(K$1,Storage_Targets!$E$27:$AZ$42,Storage_Targets!$C39,FALSE)</f>
        <v>0</v>
      </c>
      <c r="L35" s="1077">
        <f>HLOOKUP(L$1,Storage_Targets!$E$27:$AZ$42,Storage_Targets!$C39,FALSE)</f>
        <v>0</v>
      </c>
      <c r="M35" s="1077">
        <f>HLOOKUP(M$1,Storage_Targets!$E$27:$AZ$42,Storage_Targets!$C39,FALSE)</f>
        <v>0</v>
      </c>
      <c r="N35" s="1077">
        <f>HLOOKUP(N$1,Storage_Targets!$E$27:$AZ$42,Storage_Targets!$C39,FALSE)</f>
        <v>0</v>
      </c>
      <c r="O35" s="1077">
        <f>HLOOKUP(O$1,Storage_Targets!$E$27:$AZ$42,Storage_Targets!$C39,FALSE)</f>
        <v>0</v>
      </c>
      <c r="Q35" s="264">
        <f t="shared" si="14"/>
        <v>0</v>
      </c>
      <c r="S35" s="209" t="s">
        <v>67</v>
      </c>
      <c r="T35" s="1077">
        <f>HLOOKUP(T$1,Storage_Targets!$E$87:$AZ$102,Storage_Targets!$C99,FALSE)</f>
        <v>0</v>
      </c>
      <c r="U35" s="1077">
        <f>HLOOKUP(U$1,Storage_Targets!$E$87:$AZ$102,Storage_Targets!$C99,FALSE)</f>
        <v>0</v>
      </c>
      <c r="V35" s="1077">
        <f>HLOOKUP(V$1,Storage_Targets!$E$87:$AZ$102,Storage_Targets!$C99,FALSE)</f>
        <v>0</v>
      </c>
      <c r="W35" s="1077">
        <f>HLOOKUP(W$1,Storage_Targets!$E$87:$AZ$102,Storage_Targets!$C99,FALSE)</f>
        <v>0</v>
      </c>
      <c r="X35" s="1077">
        <f>HLOOKUP(X$1,Storage_Targets!$E$87:$AZ$102,Storage_Targets!$C99,FALSE)</f>
        <v>0</v>
      </c>
      <c r="Y35" s="1077">
        <f>HLOOKUP(Y$1,Storage_Targets!$E$87:$AZ$102,Storage_Targets!$C99,FALSE)</f>
        <v>0</v>
      </c>
      <c r="Z35" s="1077">
        <f>HLOOKUP(Z$1,Storage_Targets!$E$87:$AZ$102,Storage_Targets!$C99,FALSE)</f>
        <v>0</v>
      </c>
      <c r="AA35" s="1077">
        <f>HLOOKUP(AA$1,Storage_Targets!$E$87:$AZ$102,Storage_Targets!$C99,FALSE)</f>
        <v>0</v>
      </c>
      <c r="AB35" s="1077">
        <f>HLOOKUP(AB$1,Storage_Targets!$E$87:$AZ$102,Storage_Targets!$C99,FALSE)</f>
        <v>0</v>
      </c>
      <c r="AC35" s="1077">
        <f>HLOOKUP(AC$1,Storage_Targets!$E$87:$AZ$102,Storage_Targets!$C99,FALSE)</f>
        <v>0</v>
      </c>
      <c r="AD35" s="1077">
        <f>HLOOKUP(AD$1,Storage_Targets!$E$87:$AZ$102,Storage_Targets!$C99,FALSE)</f>
        <v>0</v>
      </c>
      <c r="AE35" s="1077">
        <f>HLOOKUP(AE$1,Storage_Targets!$E$87:$AZ$102,Storage_Targets!$C99,FALSE)</f>
        <v>0</v>
      </c>
      <c r="AH35" s="293"/>
      <c r="AI35" s="296" t="s">
        <v>67</v>
      </c>
      <c r="AJ35" s="294">
        <f t="shared" si="16"/>
        <v>0</v>
      </c>
      <c r="AK35" s="294">
        <f t="shared" si="15"/>
        <v>0</v>
      </c>
      <c r="AL35" s="294">
        <f t="shared" si="15"/>
        <v>0</v>
      </c>
      <c r="AM35" s="294">
        <f t="shared" si="15"/>
        <v>0</v>
      </c>
      <c r="AN35" s="294">
        <f t="shared" si="15"/>
        <v>0</v>
      </c>
      <c r="AO35" s="294">
        <f t="shared" si="15"/>
        <v>0</v>
      </c>
      <c r="AP35" s="294">
        <f t="shared" si="15"/>
        <v>0</v>
      </c>
      <c r="AQ35" s="294">
        <f t="shared" si="15"/>
        <v>0</v>
      </c>
      <c r="AR35" s="294">
        <f t="shared" si="15"/>
        <v>0</v>
      </c>
      <c r="AS35" s="294">
        <f t="shared" si="15"/>
        <v>0</v>
      </c>
      <c r="AT35" s="294">
        <f t="shared" si="15"/>
        <v>0</v>
      </c>
      <c r="AU35" s="294">
        <f t="shared" si="15"/>
        <v>0</v>
      </c>
      <c r="AV35" s="295"/>
      <c r="AZ35" s="209" t="s">
        <v>67</v>
      </c>
      <c r="BA35" s="1077">
        <f>HLOOKUP(BA$1,Storage_Targets!$E$147:$AZ$162,Storage_Targets!$C159,FALSE)</f>
        <v>0</v>
      </c>
      <c r="BB35" s="1077">
        <f>HLOOKUP(BB$1,Storage_Targets!$E$147:$AZ$162,Storage_Targets!$C159,FALSE)</f>
        <v>0</v>
      </c>
      <c r="BC35" s="1077">
        <f>HLOOKUP(BC$1,Storage_Targets!$E$147:$AZ$162,Storage_Targets!$C159,FALSE)</f>
        <v>0</v>
      </c>
      <c r="BD35" s="1077">
        <f>HLOOKUP(BD$1,Storage_Targets!$E$147:$AZ$162,Storage_Targets!$C159,FALSE)</f>
        <v>0</v>
      </c>
      <c r="BE35" s="1077">
        <f>HLOOKUP(BE$1,Storage_Targets!$E$147:$AZ$162,Storage_Targets!$C159,FALSE)</f>
        <v>0</v>
      </c>
      <c r="BF35" s="1077">
        <f>HLOOKUP(BF$1,Storage_Targets!$E$147:$AZ$162,Storage_Targets!$C159,FALSE)</f>
        <v>0</v>
      </c>
      <c r="BG35" s="1077">
        <f>HLOOKUP(BG$1,Storage_Targets!$E$147:$AZ$162,Storage_Targets!$C159,FALSE)</f>
        <v>0</v>
      </c>
      <c r="BH35" s="1077">
        <f>HLOOKUP(BH$1,Storage_Targets!$E$147:$AZ$162,Storage_Targets!$C159,FALSE)</f>
        <v>0</v>
      </c>
      <c r="BI35" s="1077">
        <f>HLOOKUP(BI$1,Storage_Targets!$E$147:$AZ$162,Storage_Targets!$C159,FALSE)</f>
        <v>0</v>
      </c>
      <c r="BJ35" s="1077">
        <f>HLOOKUP(BJ$1,Storage_Targets!$E$147:$AZ$162,Storage_Targets!$C159,FALSE)</f>
        <v>0</v>
      </c>
      <c r="BK35" s="1077">
        <f>HLOOKUP(BK$1,Storage_Targets!$E$147:$AZ$162,Storage_Targets!$C159,FALSE)</f>
        <v>0</v>
      </c>
      <c r="BL35" s="1077">
        <f>HLOOKUP(BL$1,Storage_Targets!$E$147:$AZ$162,Storage_Targets!$C159,FALSE)</f>
        <v>0</v>
      </c>
    </row>
    <row r="36" spans="3:64">
      <c r="C36" s="209" t="s">
        <v>68</v>
      </c>
      <c r="D36" s="1077">
        <f>HLOOKUP(D$1,Storage_Targets!$E$27:$AZ$42,Storage_Targets!$C40,FALSE)</f>
        <v>0</v>
      </c>
      <c r="E36" s="1077">
        <f>HLOOKUP(E$1,Storage_Targets!$E$27:$AZ$42,Storage_Targets!$C40,FALSE)</f>
        <v>0</v>
      </c>
      <c r="F36" s="1077">
        <f>HLOOKUP(F$1,Storage_Targets!$E$27:$AZ$42,Storage_Targets!$C40,FALSE)</f>
        <v>0</v>
      </c>
      <c r="G36" s="1077">
        <f>HLOOKUP(G$1,Storage_Targets!$E$27:$AZ$42,Storage_Targets!$C40,FALSE)</f>
        <v>0</v>
      </c>
      <c r="H36" s="1077">
        <f>HLOOKUP(H$1,Storage_Targets!$E$27:$AZ$42,Storage_Targets!$C40,FALSE)</f>
        <v>0</v>
      </c>
      <c r="I36" s="1077">
        <f>HLOOKUP(I$1,Storage_Targets!$E$27:$AZ$42,Storage_Targets!$C40,FALSE)</f>
        <v>0</v>
      </c>
      <c r="J36" s="1077">
        <f>HLOOKUP(J$1,Storage_Targets!$E$27:$AZ$42,Storage_Targets!$C40,FALSE)</f>
        <v>0</v>
      </c>
      <c r="K36" s="1077">
        <f>HLOOKUP(K$1,Storage_Targets!$E$27:$AZ$42,Storage_Targets!$C40,FALSE)</f>
        <v>0</v>
      </c>
      <c r="L36" s="1077">
        <f>HLOOKUP(L$1,Storage_Targets!$E$27:$AZ$42,Storage_Targets!$C40,FALSE)</f>
        <v>0</v>
      </c>
      <c r="M36" s="1077">
        <f>HLOOKUP(M$1,Storage_Targets!$E$27:$AZ$42,Storage_Targets!$C40,FALSE)</f>
        <v>0</v>
      </c>
      <c r="N36" s="1077">
        <f>HLOOKUP(N$1,Storage_Targets!$E$27:$AZ$42,Storage_Targets!$C40,FALSE)</f>
        <v>0</v>
      </c>
      <c r="O36" s="1077">
        <f>HLOOKUP(O$1,Storage_Targets!$E$27:$AZ$42,Storage_Targets!$C40,FALSE)</f>
        <v>0</v>
      </c>
      <c r="Q36" s="264">
        <f t="shared" si="14"/>
        <v>0</v>
      </c>
      <c r="S36" s="209" t="s">
        <v>68</v>
      </c>
      <c r="T36" s="1077">
        <f>HLOOKUP(T$1,Storage_Targets!$E$87:$AZ$102,Storage_Targets!$C100,FALSE)</f>
        <v>0</v>
      </c>
      <c r="U36" s="1077">
        <f>HLOOKUP(U$1,Storage_Targets!$E$87:$AZ$102,Storage_Targets!$C100,FALSE)</f>
        <v>0</v>
      </c>
      <c r="V36" s="1077">
        <f>HLOOKUP(V$1,Storage_Targets!$E$87:$AZ$102,Storage_Targets!$C100,FALSE)</f>
        <v>0</v>
      </c>
      <c r="W36" s="1077">
        <f>HLOOKUP(W$1,Storage_Targets!$E$87:$AZ$102,Storage_Targets!$C100,FALSE)</f>
        <v>0</v>
      </c>
      <c r="X36" s="1077">
        <f>HLOOKUP(X$1,Storage_Targets!$E$87:$AZ$102,Storage_Targets!$C100,FALSE)</f>
        <v>0</v>
      </c>
      <c r="Y36" s="1077">
        <f>HLOOKUP(Y$1,Storage_Targets!$E$87:$AZ$102,Storage_Targets!$C100,FALSE)</f>
        <v>0</v>
      </c>
      <c r="Z36" s="1077">
        <f>HLOOKUP(Z$1,Storage_Targets!$E$87:$AZ$102,Storage_Targets!$C100,FALSE)</f>
        <v>0</v>
      </c>
      <c r="AA36" s="1077">
        <f>HLOOKUP(AA$1,Storage_Targets!$E$87:$AZ$102,Storage_Targets!$C100,FALSE)</f>
        <v>0</v>
      </c>
      <c r="AB36" s="1077">
        <f>HLOOKUP(AB$1,Storage_Targets!$E$87:$AZ$102,Storage_Targets!$C100,FALSE)</f>
        <v>0</v>
      </c>
      <c r="AC36" s="1077">
        <f>HLOOKUP(AC$1,Storage_Targets!$E$87:$AZ$102,Storage_Targets!$C100,FALSE)</f>
        <v>0</v>
      </c>
      <c r="AD36" s="1077">
        <f>HLOOKUP(AD$1,Storage_Targets!$E$87:$AZ$102,Storage_Targets!$C100,FALSE)</f>
        <v>0</v>
      </c>
      <c r="AE36" s="1077">
        <f>HLOOKUP(AE$1,Storage_Targets!$E$87:$AZ$102,Storage_Targets!$C100,FALSE)</f>
        <v>0</v>
      </c>
      <c r="AH36" s="293"/>
      <c r="AI36" s="296" t="s">
        <v>68</v>
      </c>
      <c r="AJ36" s="294">
        <f t="shared" si="16"/>
        <v>0</v>
      </c>
      <c r="AK36" s="294">
        <f t="shared" si="15"/>
        <v>0</v>
      </c>
      <c r="AL36" s="294">
        <f t="shared" si="15"/>
        <v>0</v>
      </c>
      <c r="AM36" s="294">
        <f t="shared" si="15"/>
        <v>0</v>
      </c>
      <c r="AN36" s="294">
        <f t="shared" si="15"/>
        <v>0</v>
      </c>
      <c r="AO36" s="294">
        <f t="shared" si="15"/>
        <v>0</v>
      </c>
      <c r="AP36" s="294">
        <f t="shared" si="15"/>
        <v>0</v>
      </c>
      <c r="AQ36" s="294">
        <f t="shared" si="15"/>
        <v>0</v>
      </c>
      <c r="AR36" s="294">
        <f t="shared" si="15"/>
        <v>0</v>
      </c>
      <c r="AS36" s="294">
        <f t="shared" si="15"/>
        <v>0</v>
      </c>
      <c r="AT36" s="294">
        <f t="shared" si="15"/>
        <v>0</v>
      </c>
      <c r="AU36" s="294">
        <f t="shared" si="15"/>
        <v>0</v>
      </c>
      <c r="AV36" s="295"/>
      <c r="AZ36" s="209" t="s">
        <v>68</v>
      </c>
      <c r="BA36" s="1077">
        <f>HLOOKUP(BA$1,Storage_Targets!$E$147:$AZ$162,Storage_Targets!$C160,FALSE)</f>
        <v>0</v>
      </c>
      <c r="BB36" s="1077">
        <f>HLOOKUP(BB$1,Storage_Targets!$E$147:$AZ$162,Storage_Targets!$C160,FALSE)</f>
        <v>0</v>
      </c>
      <c r="BC36" s="1077">
        <f>HLOOKUP(BC$1,Storage_Targets!$E$147:$AZ$162,Storage_Targets!$C160,FALSE)</f>
        <v>0</v>
      </c>
      <c r="BD36" s="1077">
        <f>HLOOKUP(BD$1,Storage_Targets!$E$147:$AZ$162,Storage_Targets!$C160,FALSE)</f>
        <v>0</v>
      </c>
      <c r="BE36" s="1077">
        <f>HLOOKUP(BE$1,Storage_Targets!$E$147:$AZ$162,Storage_Targets!$C160,FALSE)</f>
        <v>0</v>
      </c>
      <c r="BF36" s="1077">
        <f>HLOOKUP(BF$1,Storage_Targets!$E$147:$AZ$162,Storage_Targets!$C160,FALSE)</f>
        <v>0</v>
      </c>
      <c r="BG36" s="1077">
        <f>HLOOKUP(BG$1,Storage_Targets!$E$147:$AZ$162,Storage_Targets!$C160,FALSE)</f>
        <v>0</v>
      </c>
      <c r="BH36" s="1077">
        <f>HLOOKUP(BH$1,Storage_Targets!$E$147:$AZ$162,Storage_Targets!$C160,FALSE)</f>
        <v>0</v>
      </c>
      <c r="BI36" s="1077">
        <f>HLOOKUP(BI$1,Storage_Targets!$E$147:$AZ$162,Storage_Targets!$C160,FALSE)</f>
        <v>0</v>
      </c>
      <c r="BJ36" s="1077">
        <f>HLOOKUP(BJ$1,Storage_Targets!$E$147:$AZ$162,Storage_Targets!$C160,FALSE)</f>
        <v>0</v>
      </c>
      <c r="BK36" s="1077">
        <f>HLOOKUP(BK$1,Storage_Targets!$E$147:$AZ$162,Storage_Targets!$C160,FALSE)</f>
        <v>0</v>
      </c>
      <c r="BL36" s="1077">
        <f>HLOOKUP(BL$1,Storage_Targets!$E$147:$AZ$162,Storage_Targets!$C160,FALSE)</f>
        <v>0</v>
      </c>
    </row>
    <row r="37" spans="3:64">
      <c r="C37" s="209" t="s">
        <v>69</v>
      </c>
      <c r="D37" s="1077">
        <f>HLOOKUP(D$1,Storage_Targets!$E$27:$AZ$42,Storage_Targets!$C41,FALSE)</f>
        <v>0</v>
      </c>
      <c r="E37" s="1077">
        <f>HLOOKUP(E$1,Storage_Targets!$E$27:$AZ$42,Storage_Targets!$C41,FALSE)</f>
        <v>0</v>
      </c>
      <c r="F37" s="1077">
        <f>HLOOKUP(F$1,Storage_Targets!$E$27:$AZ$42,Storage_Targets!$C41,FALSE)</f>
        <v>0</v>
      </c>
      <c r="G37" s="1077">
        <f>HLOOKUP(G$1,Storage_Targets!$E$27:$AZ$42,Storage_Targets!$C41,FALSE)</f>
        <v>0</v>
      </c>
      <c r="H37" s="1077">
        <f>HLOOKUP(H$1,Storage_Targets!$E$27:$AZ$42,Storage_Targets!$C41,FALSE)</f>
        <v>0</v>
      </c>
      <c r="I37" s="1077">
        <f>HLOOKUP(I$1,Storage_Targets!$E$27:$AZ$42,Storage_Targets!$C41,FALSE)</f>
        <v>0</v>
      </c>
      <c r="J37" s="1077">
        <f>HLOOKUP(J$1,Storage_Targets!$E$27:$AZ$42,Storage_Targets!$C41,FALSE)</f>
        <v>0</v>
      </c>
      <c r="K37" s="1077">
        <f>HLOOKUP(K$1,Storage_Targets!$E$27:$AZ$42,Storage_Targets!$C41,FALSE)</f>
        <v>0</v>
      </c>
      <c r="L37" s="1077">
        <f>HLOOKUP(L$1,Storage_Targets!$E$27:$AZ$42,Storage_Targets!$C41,FALSE)</f>
        <v>0</v>
      </c>
      <c r="M37" s="1077">
        <f>HLOOKUP(M$1,Storage_Targets!$E$27:$AZ$42,Storage_Targets!$C41,FALSE)</f>
        <v>0</v>
      </c>
      <c r="N37" s="1077">
        <f>HLOOKUP(N$1,Storage_Targets!$E$27:$AZ$42,Storage_Targets!$C41,FALSE)</f>
        <v>0</v>
      </c>
      <c r="O37" s="1077">
        <f>HLOOKUP(O$1,Storage_Targets!$E$27:$AZ$42,Storage_Targets!$C41,FALSE)</f>
        <v>0</v>
      </c>
      <c r="Q37" s="264">
        <f t="shared" si="14"/>
        <v>0</v>
      </c>
      <c r="S37" s="209" t="s">
        <v>69</v>
      </c>
      <c r="T37" s="1077">
        <f>HLOOKUP(T$1,Storage_Targets!$E$87:$AZ$102,Storage_Targets!$C101,FALSE)</f>
        <v>0</v>
      </c>
      <c r="U37" s="1077">
        <f>HLOOKUP(U$1,Storage_Targets!$E$87:$AZ$102,Storage_Targets!$C101,FALSE)</f>
        <v>0</v>
      </c>
      <c r="V37" s="1077">
        <f>HLOOKUP(V$1,Storage_Targets!$E$87:$AZ$102,Storage_Targets!$C101,FALSE)</f>
        <v>0</v>
      </c>
      <c r="W37" s="1077">
        <v>0</v>
      </c>
      <c r="X37" s="1077">
        <v>0</v>
      </c>
      <c r="Y37" s="1077">
        <v>0</v>
      </c>
      <c r="Z37" s="1077">
        <v>0</v>
      </c>
      <c r="AA37" s="1077">
        <v>0</v>
      </c>
      <c r="AB37" s="1077">
        <v>0</v>
      </c>
      <c r="AC37" s="1077">
        <v>0</v>
      </c>
      <c r="AD37" s="1077">
        <v>0</v>
      </c>
      <c r="AE37" s="1077">
        <v>0</v>
      </c>
      <c r="AH37" s="293"/>
      <c r="AI37" s="296" t="s">
        <v>69</v>
      </c>
      <c r="AJ37" s="294">
        <f t="shared" si="16"/>
        <v>0</v>
      </c>
      <c r="AK37" s="294">
        <f t="shared" si="15"/>
        <v>0</v>
      </c>
      <c r="AL37" s="294">
        <f t="shared" si="15"/>
        <v>0</v>
      </c>
      <c r="AM37" s="294">
        <f t="shared" si="15"/>
        <v>0</v>
      </c>
      <c r="AN37" s="294">
        <f t="shared" si="15"/>
        <v>0</v>
      </c>
      <c r="AO37" s="294">
        <f t="shared" si="15"/>
        <v>0</v>
      </c>
      <c r="AP37" s="294">
        <f t="shared" si="15"/>
        <v>0</v>
      </c>
      <c r="AQ37" s="294">
        <f t="shared" si="15"/>
        <v>0</v>
      </c>
      <c r="AR37" s="294">
        <f t="shared" si="15"/>
        <v>0</v>
      </c>
      <c r="AS37" s="294">
        <f t="shared" si="15"/>
        <v>0</v>
      </c>
      <c r="AT37" s="294">
        <f t="shared" si="15"/>
        <v>0</v>
      </c>
      <c r="AU37" s="294">
        <f t="shared" si="15"/>
        <v>0</v>
      </c>
      <c r="AV37" s="295"/>
      <c r="AZ37" s="209" t="s">
        <v>69</v>
      </c>
      <c r="BA37" s="1077">
        <f>HLOOKUP(BA$1,Storage_Targets!$E$147:$AZ$162,Storage_Targets!$C161,FALSE)</f>
        <v>0</v>
      </c>
      <c r="BB37" s="1077">
        <f>HLOOKUP(BB$1,Storage_Targets!$E$147:$AZ$162,Storage_Targets!$C161,FALSE)</f>
        <v>0</v>
      </c>
      <c r="BC37" s="1077">
        <f>HLOOKUP(BC$1,Storage_Targets!$E$147:$AZ$162,Storage_Targets!$C161,FALSE)</f>
        <v>0</v>
      </c>
      <c r="BD37" s="1077">
        <f>HLOOKUP(BD$1,Storage_Targets!$E$147:$AZ$162,Storage_Targets!$C161,FALSE)</f>
        <v>0</v>
      </c>
      <c r="BE37" s="1077">
        <f>HLOOKUP(BE$1,Storage_Targets!$E$147:$AZ$162,Storage_Targets!$C161,FALSE)</f>
        <v>0</v>
      </c>
      <c r="BF37" s="1077">
        <f>HLOOKUP(BF$1,Storage_Targets!$E$147:$AZ$162,Storage_Targets!$C161,FALSE)</f>
        <v>0</v>
      </c>
      <c r="BG37" s="1077">
        <f>HLOOKUP(BG$1,Storage_Targets!$E$147:$AZ$162,Storage_Targets!$C161,FALSE)</f>
        <v>0</v>
      </c>
      <c r="BH37" s="1077">
        <f>HLOOKUP(BH$1,Storage_Targets!$E$147:$AZ$162,Storage_Targets!$C161,FALSE)</f>
        <v>0</v>
      </c>
      <c r="BI37" s="1077">
        <f>HLOOKUP(BI$1,Storage_Targets!$E$147:$AZ$162,Storage_Targets!$C161,FALSE)</f>
        <v>0</v>
      </c>
      <c r="BJ37" s="1077">
        <f>HLOOKUP(BJ$1,Storage_Targets!$E$147:$AZ$162,Storage_Targets!$C161,FALSE)</f>
        <v>0</v>
      </c>
      <c r="BK37" s="1077">
        <f>HLOOKUP(BK$1,Storage_Targets!$E$147:$AZ$162,Storage_Targets!$C161,FALSE)</f>
        <v>0</v>
      </c>
      <c r="BL37" s="1077">
        <f>HLOOKUP(BL$1,Storage_Targets!$E$147:$AZ$162,Storage_Targets!$C161,FALSE)</f>
        <v>0</v>
      </c>
    </row>
    <row r="38" spans="3:64">
      <c r="C38" s="209" t="s">
        <v>70</v>
      </c>
      <c r="D38" s="1077">
        <f>HLOOKUP(D$1,Storage_Targets!$E$27:$AZ$42,Storage_Targets!$C42,FALSE)</f>
        <v>7.1999999999999995E-2</v>
      </c>
      <c r="E38" s="1077">
        <f>HLOOKUP(E$1,Storage_Targets!$E$27:$AZ$42,Storage_Targets!$C42,FALSE)</f>
        <v>7.3999999999999996E-2</v>
      </c>
      <c r="F38" s="1077">
        <f>HLOOKUP(F$1,Storage_Targets!$E$27:$AZ$42,Storage_Targets!$C42,FALSE)</f>
        <v>7.1999999999999995E-2</v>
      </c>
      <c r="G38" s="1077">
        <f>HLOOKUP(G$1,Storage_Targets!$E$27:$AZ$42,Storage_Targets!$C42,FALSE)</f>
        <v>7.3999999999999996E-2</v>
      </c>
      <c r="H38" s="1077">
        <f>HLOOKUP(H$1,Storage_Targets!$E$27:$AZ$42,Storage_Targets!$C42,FALSE)</f>
        <v>7.3999999999999996E-2</v>
      </c>
      <c r="I38" s="1077">
        <f>HLOOKUP(I$1,Storage_Targets!$E$27:$AZ$42,Storage_Targets!$C42,FALSE)</f>
        <v>7.1999999999999995E-2</v>
      </c>
      <c r="J38" s="1077">
        <f>HLOOKUP(J$1,Storage_Targets!$E$27:$AZ$42,Storage_Targets!$C42,FALSE)</f>
        <v>7.4230136986301376E-2</v>
      </c>
      <c r="K38" s="1077">
        <f>HLOOKUP(K$1,Storage_Targets!$E$27:$AZ$42,Storage_Targets!$C42,FALSE)</f>
        <v>7.1999999999999995E-2</v>
      </c>
      <c r="L38" s="1077">
        <f>HLOOKUP(L$1,Storage_Targets!$E$27:$AZ$42,Storage_Targets!$C42,FALSE)</f>
        <v>7.3999999999999996E-2</v>
      </c>
      <c r="M38" s="1077">
        <f>HLOOKUP(M$1,Storage_Targets!$E$27:$AZ$42,Storage_Targets!$C42,FALSE)</f>
        <v>7.3999999999999996E-2</v>
      </c>
      <c r="N38" s="1077">
        <f>HLOOKUP(N$1,Storage_Targets!$E$27:$AZ$42,Storage_Targets!$C42,FALSE)</f>
        <v>6.8000000000000005E-2</v>
      </c>
      <c r="O38" s="1077">
        <f>HLOOKUP(O$1,Storage_Targets!$E$27:$AZ$42,Storage_Targets!$C42,FALSE)</f>
        <v>7.3999999999999996E-2</v>
      </c>
      <c r="Q38" s="264">
        <f t="shared" si="14"/>
        <v>0.87423013698630114</v>
      </c>
      <c r="S38" s="209" t="s">
        <v>70</v>
      </c>
      <c r="T38" s="1077">
        <f>HLOOKUP(T$1,Storage_Targets!$E$87:$AZ$102,Storage_Targets!$C102,FALSE)</f>
        <v>0</v>
      </c>
      <c r="U38" s="1077">
        <f>HLOOKUP(U$1,Storage_Targets!$E$87:$AZ$102,Storage_Targets!$C102,FALSE)</f>
        <v>0</v>
      </c>
      <c r="V38" s="1077">
        <f>HLOOKUP(V$1,Storage_Targets!$E$87:$AZ$102,Storage_Targets!$C102,FALSE)</f>
        <v>0</v>
      </c>
      <c r="W38" s="1077">
        <f>HLOOKUP(W$1,Storage_Targets!$E$87:$AZ$102,Storage_Targets!$C102,FALSE)</f>
        <v>0</v>
      </c>
      <c r="X38" s="1077">
        <f>HLOOKUP(X$1,Storage_Targets!$E$87:$AZ$102,Storage_Targets!$C102,FALSE)</f>
        <v>0</v>
      </c>
      <c r="Y38" s="1077">
        <f>HLOOKUP(Y$1,Storage_Targets!$E$87:$AZ$102,Storage_Targets!$C102,FALSE)</f>
        <v>0</v>
      </c>
      <c r="Z38" s="1077">
        <f>HLOOKUP(Z$1,Storage_Targets!$E$87:$AZ$102,Storage_Targets!$C102,FALSE)</f>
        <v>0</v>
      </c>
      <c r="AA38" s="1077">
        <f>HLOOKUP(AA$1,Storage_Targets!$E$87:$AZ$102,Storage_Targets!$C102,FALSE)</f>
        <v>0</v>
      </c>
      <c r="AB38" s="1077">
        <f>HLOOKUP(AB$1,Storage_Targets!$E$87:$AZ$102,Storage_Targets!$C102,FALSE)</f>
        <v>0</v>
      </c>
      <c r="AC38" s="1077">
        <f>HLOOKUP(AC$1,Storage_Targets!$E$87:$AZ$102,Storage_Targets!$C102,FALSE)</f>
        <v>0</v>
      </c>
      <c r="AD38" s="1077">
        <f>HLOOKUP(AD$1,Storage_Targets!$E$87:$AZ$102,Storage_Targets!$C102,FALSE)</f>
        <v>0</v>
      </c>
      <c r="AE38" s="1077">
        <f>HLOOKUP(AE$1,Storage_Targets!$E$87:$AZ$102,Storage_Targets!$C102,FALSE)</f>
        <v>0</v>
      </c>
      <c r="AH38" s="293"/>
      <c r="AI38" s="296" t="s">
        <v>70</v>
      </c>
      <c r="AJ38" s="294">
        <f t="shared" si="16"/>
        <v>7.1999999999999995E-2</v>
      </c>
      <c r="AK38" s="294">
        <f t="shared" si="15"/>
        <v>7.3999999999999996E-2</v>
      </c>
      <c r="AL38" s="294">
        <f t="shared" si="15"/>
        <v>7.1999999999999995E-2</v>
      </c>
      <c r="AM38" s="294">
        <f t="shared" si="15"/>
        <v>7.3999999999999996E-2</v>
      </c>
      <c r="AN38" s="294">
        <f t="shared" si="15"/>
        <v>7.3999999999999996E-2</v>
      </c>
      <c r="AO38" s="294">
        <f t="shared" si="15"/>
        <v>7.1999999999999995E-2</v>
      </c>
      <c r="AP38" s="294">
        <f t="shared" si="15"/>
        <v>7.4230136986301376E-2</v>
      </c>
      <c r="AQ38" s="294">
        <f t="shared" si="15"/>
        <v>7.1999999999999995E-2</v>
      </c>
      <c r="AR38" s="294">
        <f t="shared" si="15"/>
        <v>7.3999999999999996E-2</v>
      </c>
      <c r="AS38" s="294">
        <f t="shared" si="15"/>
        <v>7.3999999999999996E-2</v>
      </c>
      <c r="AT38" s="294">
        <f t="shared" si="15"/>
        <v>6.8000000000000005E-2</v>
      </c>
      <c r="AU38" s="294">
        <f t="shared" si="15"/>
        <v>7.3999999999999996E-2</v>
      </c>
      <c r="AV38" s="295"/>
      <c r="AZ38" s="209" t="s">
        <v>70</v>
      </c>
      <c r="BA38" s="1077">
        <f>HLOOKUP(BA$1,Storage_Targets!$E$147:$AZ$162,Storage_Targets!$C162,FALSE)</f>
        <v>0</v>
      </c>
      <c r="BB38" s="1077">
        <f>HLOOKUP(BB$1,Storage_Targets!$E$147:$AZ$162,Storage_Targets!$C162,FALSE)</f>
        <v>0</v>
      </c>
      <c r="BC38" s="1077">
        <f>HLOOKUP(BC$1,Storage_Targets!$E$147:$AZ$162,Storage_Targets!$C162,FALSE)</f>
        <v>0</v>
      </c>
      <c r="BD38" s="1077">
        <f>HLOOKUP(BD$1,Storage_Targets!$E$147:$AZ$162,Storage_Targets!$C162,FALSE)</f>
        <v>0</v>
      </c>
      <c r="BE38" s="1077">
        <f>HLOOKUP(BE$1,Storage_Targets!$E$147:$AZ$162,Storage_Targets!$C162,FALSE)</f>
        <v>0</v>
      </c>
      <c r="BF38" s="1077">
        <f>HLOOKUP(BF$1,Storage_Targets!$E$147:$AZ$162,Storage_Targets!$C162,FALSE)</f>
        <v>0</v>
      </c>
      <c r="BG38" s="1077">
        <f>HLOOKUP(BG$1,Storage_Targets!$E$147:$AZ$162,Storage_Targets!$C162,FALSE)</f>
        <v>0</v>
      </c>
      <c r="BH38" s="1077">
        <f>HLOOKUP(BH$1,Storage_Targets!$E$147:$AZ$162,Storage_Targets!$C162,FALSE)</f>
        <v>0</v>
      </c>
      <c r="BI38" s="1077">
        <f>HLOOKUP(BI$1,Storage_Targets!$E$147:$AZ$162,Storage_Targets!$C162,FALSE)</f>
        <v>0</v>
      </c>
      <c r="BJ38" s="1077">
        <f>HLOOKUP(BJ$1,Storage_Targets!$E$147:$AZ$162,Storage_Targets!$C162,FALSE)</f>
        <v>0</v>
      </c>
      <c r="BK38" s="1077">
        <f>HLOOKUP(BK$1,Storage_Targets!$E$147:$AZ$162,Storage_Targets!$C162,FALSE)</f>
        <v>0</v>
      </c>
      <c r="BL38" s="1077">
        <f>HLOOKUP(BL$1,Storage_Targets!$E$147:$AZ$162,Storage_Targets!$C162,FALSE)</f>
        <v>0</v>
      </c>
    </row>
    <row r="39" spans="3:64">
      <c r="AH39" s="293"/>
      <c r="AI39" s="294"/>
      <c r="AJ39" s="294"/>
      <c r="AK39" s="294"/>
      <c r="AL39" s="294"/>
      <c r="AM39" s="294"/>
      <c r="AN39" s="294"/>
      <c r="AO39" s="294"/>
      <c r="AP39" s="294"/>
      <c r="AQ39" s="294"/>
      <c r="AR39" s="294"/>
      <c r="AS39" s="294"/>
      <c r="AT39" s="294"/>
      <c r="AU39" s="294"/>
      <c r="AV39" s="295"/>
    </row>
    <row r="40" spans="3:64">
      <c r="E40" s="306"/>
      <c r="F40" s="306"/>
      <c r="G40" s="306"/>
      <c r="H40" s="306"/>
      <c r="I40" s="306"/>
      <c r="J40" s="306"/>
      <c r="K40" s="306"/>
      <c r="L40" s="306"/>
      <c r="M40" s="306"/>
      <c r="N40" s="306"/>
      <c r="O40" s="306"/>
      <c r="T40" s="503"/>
      <c r="AH40" s="297"/>
      <c r="AI40" s="298"/>
      <c r="AJ40" s="298"/>
      <c r="AK40" s="298"/>
      <c r="AL40" s="298"/>
      <c r="AM40" s="298"/>
      <c r="AN40" s="298"/>
      <c r="AO40" s="298"/>
      <c r="AP40" s="298"/>
      <c r="AQ40" s="298"/>
      <c r="AR40" s="298"/>
      <c r="AS40" s="298"/>
      <c r="AT40" s="298"/>
      <c r="AU40" s="298"/>
      <c r="AV40" s="299"/>
      <c r="BA40" s="503"/>
    </row>
    <row r="41" spans="3:64">
      <c r="C41" t="s">
        <v>868</v>
      </c>
      <c r="D41" s="306">
        <f>H3</f>
        <v>1</v>
      </c>
      <c r="E41" s="306"/>
      <c r="F41" s="306"/>
      <c r="G41" s="306"/>
      <c r="H41" s="306"/>
      <c r="I41" s="306"/>
      <c r="J41" s="306"/>
      <c r="K41" s="306"/>
      <c r="L41" s="306"/>
      <c r="M41" s="306"/>
      <c r="N41" s="306"/>
      <c r="O41" s="306"/>
      <c r="Q41" s="264">
        <f>SUM(Q7:Q38)</f>
        <v>9.8256164383561622</v>
      </c>
      <c r="S41" t="s">
        <v>868</v>
      </c>
      <c r="T41">
        <f>X3</f>
        <v>0</v>
      </c>
      <c r="AZ41" t="s">
        <v>868</v>
      </c>
      <c r="BA41">
        <f>BE3</f>
        <v>0</v>
      </c>
    </row>
    <row r="42" spans="3:64">
      <c r="C42" s="209" t="s">
        <v>60</v>
      </c>
      <c r="D42" s="303">
        <f>HLOOKUP($D$59,Storage_Targets!$E$46:$H$61,Storage_Targets!$C48,FALSE)</f>
        <v>7.39</v>
      </c>
      <c r="S42" s="209" t="s">
        <v>60</v>
      </c>
      <c r="T42" s="303">
        <f>HLOOKUP($T$59,Storage_Targets!$E$106:$H$121,Storage_Targets!$C108,FALSE)</f>
        <v>7.46</v>
      </c>
      <c r="AZ42" s="209" t="s">
        <v>60</v>
      </c>
      <c r="BA42" s="303">
        <f>HLOOKUP($BA$59,Storage_Targets!$E$166:$H$181,Storage_Targets!$C168,FALSE)</f>
        <v>7.46</v>
      </c>
    </row>
    <row r="43" spans="3:64">
      <c r="C43" s="209" t="s">
        <v>61</v>
      </c>
      <c r="D43" s="303">
        <f>HLOOKUP($D$59,Storage_Targets!$E$46:$H$61,Storage_Targets!$C49,FALSE)</f>
        <v>7.44</v>
      </c>
      <c r="E43" s="197"/>
      <c r="F43" s="197"/>
      <c r="G43" s="197"/>
      <c r="H43" s="197"/>
      <c r="I43" s="197"/>
      <c r="J43" s="197"/>
      <c r="K43" s="197"/>
      <c r="L43" s="197"/>
      <c r="M43" s="197"/>
      <c r="N43" s="197"/>
      <c r="O43" s="197"/>
      <c r="S43" s="209" t="s">
        <v>61</v>
      </c>
      <c r="T43" s="303">
        <f>HLOOKUP($T$59,Storage_Targets!$E$106:$H$121,Storage_Targets!$C109,FALSE)</f>
        <v>7.44</v>
      </c>
      <c r="AZ43" s="209" t="s">
        <v>61</v>
      </c>
      <c r="BA43" s="303">
        <f>HLOOKUP($BA$59,Storage_Targets!$E$166:$H$181,Storage_Targets!$C169,FALSE)</f>
        <v>7.44</v>
      </c>
    </row>
    <row r="44" spans="3:64">
      <c r="C44" s="209" t="s">
        <v>62</v>
      </c>
      <c r="D44" s="303">
        <f>HLOOKUP($D$59,Storage_Targets!$E$46:$H$61,Storage_Targets!$C50,FALSE)</f>
        <v>7.6</v>
      </c>
      <c r="S44" s="209" t="s">
        <v>62</v>
      </c>
      <c r="T44" s="303">
        <f>HLOOKUP($T$59,Storage_Targets!$E$106:$H$121,Storage_Targets!$C110,FALSE)</f>
        <v>7.58</v>
      </c>
      <c r="AZ44" s="209" t="s">
        <v>62</v>
      </c>
      <c r="BA44" s="303">
        <f>HLOOKUP($BA$59,Storage_Targets!$E$166:$H$181,Storage_Targets!$C170,FALSE)</f>
        <v>7.58</v>
      </c>
    </row>
    <row r="45" spans="3:64">
      <c r="C45" s="209" t="s">
        <v>57</v>
      </c>
      <c r="D45" s="303">
        <f>HLOOKUP($D$59,Storage_Targets!$E$46:$H$61,Storage_Targets!$C51,FALSE)</f>
        <v>7.42</v>
      </c>
      <c r="S45" s="209" t="s">
        <v>57</v>
      </c>
      <c r="T45" s="303">
        <f>HLOOKUP($T$59,Storage_Targets!$E$106:$H$121,Storage_Targets!$C111,FALSE)</f>
        <v>7.43</v>
      </c>
      <c r="AZ45" s="209" t="s">
        <v>57</v>
      </c>
      <c r="BA45" s="303">
        <f>HLOOKUP($BA$59,Storage_Targets!$E$166:$H$181,Storage_Targets!$C171,FALSE)</f>
        <v>7.43</v>
      </c>
    </row>
    <row r="46" spans="3:64">
      <c r="C46" s="209" t="s">
        <v>58</v>
      </c>
      <c r="D46" s="303">
        <f>HLOOKUP($D$59,Storage_Targets!$E$46:$H$61,Storage_Targets!$C52,FALSE)</f>
        <v>6.6550000000000002</v>
      </c>
      <c r="S46" s="209" t="s">
        <v>58</v>
      </c>
      <c r="T46" s="303">
        <f>HLOOKUP($T$59,Storage_Targets!$E$106:$H$121,Storage_Targets!$C112,FALSE)</f>
        <v>6.67</v>
      </c>
      <c r="AZ46" s="209" t="s">
        <v>58</v>
      </c>
      <c r="BA46" s="303">
        <f>HLOOKUP($BA$59,Storage_Targets!$E$166:$H$181,Storage_Targets!$C172,FALSE)</f>
        <v>6.67</v>
      </c>
    </row>
    <row r="47" spans="3:64">
      <c r="C47" s="209" t="s">
        <v>59</v>
      </c>
      <c r="D47" s="303">
        <f>HLOOKUP($D$59,Storage_Targets!$E$46:$H$61,Storage_Targets!$C53,FALSE)</f>
        <v>6.78</v>
      </c>
      <c r="S47" s="209" t="s">
        <v>59</v>
      </c>
      <c r="T47" s="303">
        <f>HLOOKUP($T$59,Storage_Targets!$E$106:$H$121,Storage_Targets!$C113,FALSE)</f>
        <v>6.78</v>
      </c>
      <c r="AZ47" s="209" t="s">
        <v>59</v>
      </c>
      <c r="BA47" s="303">
        <f>HLOOKUP($BA$59,Storage_Targets!$E$166:$H$181,Storage_Targets!$C173,FALSE)</f>
        <v>6.78</v>
      </c>
    </row>
    <row r="48" spans="3:64">
      <c r="C48" s="209" t="s">
        <v>63</v>
      </c>
      <c r="D48" s="303">
        <f>HLOOKUP($D$59,Storage_Targets!$E$46:$H$61,Storage_Targets!$C54,FALSE)</f>
        <v>7.4</v>
      </c>
      <c r="S48" s="209" t="s">
        <v>63</v>
      </c>
      <c r="T48" s="303">
        <f>HLOOKUP($T$59,Storage_Targets!$E$106:$H$121,Storage_Targets!$C114,FALSE)</f>
        <v>7.38</v>
      </c>
      <c r="AZ48" s="209" t="s">
        <v>63</v>
      </c>
      <c r="BA48" s="303">
        <f>HLOOKUP($BA$59,Storage_Targets!$E$166:$H$181,Storage_Targets!$C174,FALSE)</f>
        <v>7.38</v>
      </c>
    </row>
    <row r="49" spans="3:53">
      <c r="C49" s="209" t="s">
        <v>64</v>
      </c>
      <c r="D49" s="303">
        <f>HLOOKUP($D$59,Storage_Targets!$E$46:$H$61,Storage_Targets!$C55,FALSE)</f>
        <v>6.24</v>
      </c>
      <c r="S49" s="209" t="s">
        <v>64</v>
      </c>
      <c r="T49" s="303">
        <f>HLOOKUP($T$59,Storage_Targets!$E$106:$H$121,Storage_Targets!$C115,FALSE)</f>
        <v>6.24</v>
      </c>
      <c r="AZ49" s="209" t="s">
        <v>64</v>
      </c>
      <c r="BA49" s="303">
        <f>HLOOKUP($BA$59,Storage_Targets!$E$166:$H$181,Storage_Targets!$C175,FALSE)</f>
        <v>6.24</v>
      </c>
    </row>
    <row r="50" spans="3:53">
      <c r="C50" s="209" t="s">
        <v>65</v>
      </c>
      <c r="D50" s="303">
        <f>HLOOKUP($D$59,Storage_Targets!$E$46:$H$61,Storage_Targets!$C56,FALSE)</f>
        <v>6.57</v>
      </c>
      <c r="S50" s="209" t="s">
        <v>65</v>
      </c>
      <c r="T50" s="303">
        <f>HLOOKUP($T$59,Storage_Targets!$E$106:$H$121,Storage_Targets!$C116,FALSE)</f>
        <v>6.57</v>
      </c>
      <c r="AZ50" s="209" t="s">
        <v>65</v>
      </c>
      <c r="BA50" s="303">
        <f>HLOOKUP($BA$59,Storage_Targets!$E$166:$H$181,Storage_Targets!$C176,FALSE)</f>
        <v>6.57</v>
      </c>
    </row>
    <row r="51" spans="3:53">
      <c r="C51" s="209" t="s">
        <v>66</v>
      </c>
      <c r="D51" s="303">
        <f>HLOOKUP($D$59,Storage_Targets!$E$46:$H$61,Storage_Targets!$C57,FALSE)</f>
        <v>7.62</v>
      </c>
      <c r="S51" s="209" t="s">
        <v>66</v>
      </c>
      <c r="T51" s="303">
        <f>HLOOKUP($T$59,Storage_Targets!$E$106:$H$121,Storage_Targets!$C117,FALSE)</f>
        <v>7.6</v>
      </c>
      <c r="AZ51" s="209" t="s">
        <v>66</v>
      </c>
      <c r="BA51" s="303">
        <f>HLOOKUP($BA$59,Storage_Targets!$E$166:$H$181,Storage_Targets!$C177,FALSE)</f>
        <v>7.6</v>
      </c>
    </row>
    <row r="52" spans="3:53">
      <c r="C52" s="209" t="s">
        <v>67</v>
      </c>
      <c r="D52" s="303">
        <f>HLOOKUP($D$59,Storage_Targets!$E$46:$H$61,Storage_Targets!$C58,FALSE)</f>
        <v>7.3</v>
      </c>
      <c r="S52" s="209" t="s">
        <v>67</v>
      </c>
      <c r="T52" s="303">
        <f>HLOOKUP($T$59,Storage_Targets!$E$106:$H$121,Storage_Targets!$C118,FALSE)</f>
        <v>7.3</v>
      </c>
      <c r="AZ52" s="209" t="s">
        <v>67</v>
      </c>
      <c r="BA52" s="303">
        <f>HLOOKUP($BA$59,Storage_Targets!$E$166:$H$181,Storage_Targets!$C178,FALSE)</f>
        <v>7.3</v>
      </c>
    </row>
    <row r="53" spans="3:53">
      <c r="C53" s="209" t="s">
        <v>68</v>
      </c>
      <c r="D53" s="303">
        <f>HLOOKUP($D$59,Storage_Targets!$E$46:$H$61,Storage_Targets!$C59,FALSE)</f>
        <v>6.8</v>
      </c>
      <c r="S53" s="209" t="s">
        <v>68</v>
      </c>
      <c r="T53" s="303">
        <f>HLOOKUP($T$59,Storage_Targets!$E$106:$H$121,Storage_Targets!$C119,FALSE)</f>
        <v>6.8</v>
      </c>
      <c r="AZ53" s="209" t="s">
        <v>68</v>
      </c>
      <c r="BA53" s="303">
        <f>HLOOKUP($BA$59,Storage_Targets!$E$166:$H$181,Storage_Targets!$C179,FALSE)</f>
        <v>6.8</v>
      </c>
    </row>
    <row r="54" spans="3:53">
      <c r="C54" s="209" t="s">
        <v>69</v>
      </c>
      <c r="D54" s="303">
        <f>HLOOKUP($D$59,Storage_Targets!$E$46:$H$61,Storage_Targets!$C60,FALSE)</f>
        <v>8.6</v>
      </c>
      <c r="S54" s="209" t="s">
        <v>69</v>
      </c>
      <c r="T54" s="303">
        <f>HLOOKUP($T$59,Storage_Targets!$E$106:$H$121,Storage_Targets!$C120,FALSE)</f>
        <v>6.29</v>
      </c>
      <c r="AZ54" s="209" t="s">
        <v>69</v>
      </c>
      <c r="BA54" s="303">
        <f>HLOOKUP($BA$59,Storage_Targets!$E$166:$H$181,Storage_Targets!$C180,FALSE)</f>
        <v>6.29</v>
      </c>
    </row>
    <row r="55" spans="3:53">
      <c r="C55" s="209" t="s">
        <v>70</v>
      </c>
      <c r="D55" s="303">
        <f>HLOOKUP($D$59,Storage_Targets!$E$46:$H$61,Storage_Targets!$C61,FALSE)</f>
        <v>0</v>
      </c>
      <c r="S55" s="209" t="s">
        <v>70</v>
      </c>
      <c r="T55" s="303">
        <f>HLOOKUP($T$59,Storage_Targets!$E$106:$H$121,Storage_Targets!$C121,FALSE)</f>
        <v>0</v>
      </c>
      <c r="AZ55" s="209" t="s">
        <v>70</v>
      </c>
      <c r="BA55" s="303">
        <f>HLOOKUP($BA$59,Storage_Targets!$E$166:$H$181,Storage_Targets!$C181,FALSE)</f>
        <v>0</v>
      </c>
    </row>
    <row r="59" spans="3:53">
      <c r="D59" s="503">
        <f>$A$2*100+($A$3-2000)</f>
        <v>202627</v>
      </c>
      <c r="T59" s="503">
        <f>$A$2*100+($A$3-2000)</f>
        <v>202627</v>
      </c>
      <c r="BA59" s="503">
        <f>$A$2*100+($A$3-2000)</f>
        <v>202627</v>
      </c>
    </row>
  </sheetData>
  <pageMargins left="0.7" right="0.7" top="0.75" bottom="0.75" header="0.3" footer="0.3"/>
  <ignoredErrors>
    <ignoredError sqref="D7:O20 D26:O29 D41 T7:AE20 T25:AE29 T42:T55 BA7:BL20 BA25:BL38 BA42:BA55 B7:B19 D43:D55 E25:O25 D32:O38 E30:G30 I30:O30 E31:O31 T33:AE36 V30 AB30:AC30 AB31 AE30 T32:U32 W32 Y32:AC32 AE32 T38:AE38 T37:V37" unlockedFormula="1"/>
  </ignoredErrors>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rgb="FF92D050"/>
    <pageSetUpPr fitToPage="1"/>
  </sheetPr>
  <dimension ref="A2:W84"/>
  <sheetViews>
    <sheetView workbookViewId="0"/>
  </sheetViews>
  <sheetFormatPr defaultColWidth="8.85546875" defaultRowHeight="15"/>
  <cols>
    <col min="4" max="4" width="11.7109375" bestFit="1" customWidth="1"/>
    <col min="5" max="6" width="12.140625" customWidth="1"/>
    <col min="7" max="7" width="10.85546875" customWidth="1"/>
    <col min="8" max="8" width="15.42578125" bestFit="1" customWidth="1"/>
    <col min="9" max="10" width="11.28515625" bestFit="1" customWidth="1"/>
    <col min="11" max="11" width="11.7109375" bestFit="1" customWidth="1"/>
    <col min="12" max="12" width="16.28515625" bestFit="1" customWidth="1"/>
    <col min="13" max="13" width="12.85546875" customWidth="1"/>
    <col min="14" max="14" width="15.85546875" customWidth="1"/>
    <col min="15" max="23" width="11.28515625" bestFit="1" customWidth="1"/>
    <col min="24" max="24" width="19" bestFit="1" customWidth="1"/>
  </cols>
  <sheetData>
    <row r="2" spans="1:23" ht="26.25">
      <c r="A2" t="s">
        <v>873</v>
      </c>
      <c r="K2" s="538" t="str">
        <f>Dashboard!J3</f>
        <v>BE</v>
      </c>
      <c r="L2" s="539" t="str">
        <f>interFY_transition!D20</f>
        <v>2026-27</v>
      </c>
      <c r="N2" t="s">
        <v>900</v>
      </c>
    </row>
    <row r="5" spans="1:23">
      <c r="E5">
        <v>30</v>
      </c>
      <c r="F5">
        <v>31</v>
      </c>
      <c r="G5">
        <v>30</v>
      </c>
      <c r="H5">
        <f>E5+F5+G5</f>
        <v>91</v>
      </c>
      <c r="I5">
        <v>31</v>
      </c>
      <c r="J5">
        <v>31</v>
      </c>
      <c r="K5">
        <v>30</v>
      </c>
      <c r="L5">
        <f>I5+J5+K5</f>
        <v>92</v>
      </c>
      <c r="M5">
        <f>H5+L5</f>
        <v>183</v>
      </c>
      <c r="N5">
        <v>31</v>
      </c>
      <c r="O5">
        <v>30</v>
      </c>
      <c r="P5">
        <v>31</v>
      </c>
      <c r="Q5">
        <f>N5+O5+P5</f>
        <v>92</v>
      </c>
      <c r="R5">
        <f>M5+Q5</f>
        <v>275</v>
      </c>
      <c r="S5">
        <v>31</v>
      </c>
      <c r="T5" s="505">
        <f>interFY_transition!D25</f>
        <v>28</v>
      </c>
      <c r="U5">
        <v>31</v>
      </c>
      <c r="V5">
        <f>S5+T5+U5</f>
        <v>90</v>
      </c>
      <c r="W5">
        <f>R5+V5</f>
        <v>365</v>
      </c>
    </row>
    <row r="6" spans="1:23">
      <c r="D6" s="1110" t="s">
        <v>90</v>
      </c>
      <c r="E6" s="1111"/>
      <c r="F6" s="1111"/>
      <c r="G6" s="1111"/>
      <c r="H6" s="1111"/>
      <c r="I6" s="1111"/>
      <c r="J6" s="1111"/>
      <c r="K6" s="1111"/>
      <c r="L6" s="1111"/>
      <c r="M6" s="1111"/>
      <c r="N6" s="1111"/>
      <c r="O6" s="1111"/>
      <c r="P6" s="1111"/>
      <c r="Q6" s="1111"/>
      <c r="R6" s="1111"/>
      <c r="S6" s="1111"/>
      <c r="T6" s="1111"/>
      <c r="U6" s="1111"/>
      <c r="V6" s="1111"/>
      <c r="W6" s="1112"/>
    </row>
    <row r="7" spans="1:23">
      <c r="B7" t="s">
        <v>326</v>
      </c>
      <c r="C7" t="s">
        <v>327</v>
      </c>
      <c r="D7" s="144"/>
      <c r="E7" s="144" t="s">
        <v>30</v>
      </c>
      <c r="F7" s="144" t="s">
        <v>71</v>
      </c>
      <c r="G7" s="144" t="s">
        <v>72</v>
      </c>
      <c r="H7" s="142" t="s">
        <v>82</v>
      </c>
      <c r="I7" s="144" t="s">
        <v>73</v>
      </c>
      <c r="J7" s="144" t="s">
        <v>74</v>
      </c>
      <c r="K7" s="144" t="s">
        <v>75</v>
      </c>
      <c r="L7" s="142" t="s">
        <v>83</v>
      </c>
      <c r="M7" s="166" t="s">
        <v>39</v>
      </c>
      <c r="N7" s="144" t="s">
        <v>76</v>
      </c>
      <c r="O7" s="144" t="s">
        <v>77</v>
      </c>
      <c r="P7" s="144" t="s">
        <v>78</v>
      </c>
      <c r="Q7" s="142" t="s">
        <v>84</v>
      </c>
      <c r="R7" s="166" t="s">
        <v>85</v>
      </c>
      <c r="S7" s="144" t="s">
        <v>79</v>
      </c>
      <c r="T7" s="144" t="s">
        <v>80</v>
      </c>
      <c r="U7" s="144" t="s">
        <v>81</v>
      </c>
      <c r="V7" s="142" t="s">
        <v>86</v>
      </c>
      <c r="W7" s="166" t="s">
        <v>87</v>
      </c>
    </row>
    <row r="8" spans="1:23" ht="15.75">
      <c r="B8" s="302">
        <f>BEREMOU!B7</f>
        <v>7.39</v>
      </c>
      <c r="C8">
        <v>0.2</v>
      </c>
      <c r="D8" s="144" t="s">
        <v>60</v>
      </c>
      <c r="E8" s="147">
        <f>BEREMOU!AJ7</f>
        <v>0.115</v>
      </c>
      <c r="F8" s="147">
        <f>BEREMOU!AK7</f>
        <v>0.11799999999999999</v>
      </c>
      <c r="G8" s="147">
        <f>BEREMOU!AL7</f>
        <v>0.114</v>
      </c>
      <c r="H8" s="150">
        <f>E8+F8+G8</f>
        <v>0.34699999999999998</v>
      </c>
      <c r="I8" s="147">
        <f>BEREMOU!AM7</f>
        <v>0.11799999999999999</v>
      </c>
      <c r="J8" s="147">
        <f>BEREMOU!AN7</f>
        <v>0.11700000000000001</v>
      </c>
      <c r="K8" s="147">
        <f>BEREMOU!AO7</f>
        <v>0.115</v>
      </c>
      <c r="L8" s="150">
        <f>I8+J8+K8</f>
        <v>0.35</v>
      </c>
      <c r="M8" s="171">
        <f>H8+L8</f>
        <v>0.69699999999999995</v>
      </c>
      <c r="N8" s="147">
        <f>BEREMOU!AP7</f>
        <v>0.11700000000000001</v>
      </c>
      <c r="O8" s="147">
        <f>BEREMOU!AQ7</f>
        <v>0.112</v>
      </c>
      <c r="P8" s="147">
        <f>BEREMOU!AR7</f>
        <v>0.114</v>
      </c>
      <c r="Q8" s="150">
        <f>N8+O8+P8</f>
        <v>0.34300000000000003</v>
      </c>
      <c r="R8" s="171">
        <f>M8+Q8</f>
        <v>1.04</v>
      </c>
      <c r="S8" s="147">
        <f>BEREMOU!AS7</f>
        <v>0.113</v>
      </c>
      <c r="T8" s="147">
        <f>BEREMOU!AT7</f>
        <v>0.10299999999999999</v>
      </c>
      <c r="U8" s="147">
        <f>BEREMOU!AU7</f>
        <v>0.113</v>
      </c>
      <c r="V8" s="150">
        <f>S8+T8+U8</f>
        <v>0.32900000000000001</v>
      </c>
      <c r="W8" s="171">
        <f>R8+V8</f>
        <v>1.369</v>
      </c>
    </row>
    <row r="9" spans="1:23" ht="15.75">
      <c r="B9" s="302">
        <f>BEREMOU!B8</f>
        <v>7.44</v>
      </c>
      <c r="C9">
        <v>0.26</v>
      </c>
      <c r="D9" s="144" t="s">
        <v>61</v>
      </c>
      <c r="E9" s="147">
        <f>BEREMOU!AJ8</f>
        <v>0.183</v>
      </c>
      <c r="F9" s="147">
        <f>BEREMOU!AK8</f>
        <v>0.189</v>
      </c>
      <c r="G9" s="147">
        <f>BEREMOU!AL8</f>
        <v>0.184</v>
      </c>
      <c r="H9" s="150">
        <f t="shared" ref="H9:H22" si="0">E9+F9+G9</f>
        <v>0.55600000000000005</v>
      </c>
      <c r="I9" s="147">
        <f>BEREMOU!AM8</f>
        <v>0.189</v>
      </c>
      <c r="J9" s="147">
        <f>BEREMOU!AN8</f>
        <v>0.189</v>
      </c>
      <c r="K9" s="147">
        <f>BEREMOU!AO8</f>
        <v>0.183</v>
      </c>
      <c r="L9" s="150">
        <f t="shared" ref="L9:L22" si="1">I9+J9+K9</f>
        <v>0.56099999999999994</v>
      </c>
      <c r="M9" s="171">
        <f t="shared" ref="M9:M22" si="2">H9+L9</f>
        <v>1.117</v>
      </c>
      <c r="N9" s="147">
        <f>BEREMOU!AP8</f>
        <v>0.189</v>
      </c>
      <c r="O9" s="147">
        <f>BEREMOU!AQ8</f>
        <v>0.183</v>
      </c>
      <c r="P9" s="147">
        <f>BEREMOU!AR8</f>
        <v>0.189</v>
      </c>
      <c r="Q9" s="150">
        <f t="shared" ref="Q9:Q22" si="3">N9+O9+P9</f>
        <v>0.56099999999999994</v>
      </c>
      <c r="R9" s="171">
        <f t="shared" ref="R9:R22" si="4">M9+Q9</f>
        <v>1.6779999999999999</v>
      </c>
      <c r="S9" s="147">
        <f>BEREMOU!AS8</f>
        <v>0.189</v>
      </c>
      <c r="T9" s="147">
        <f>BEREMOU!AT8</f>
        <v>0.17100000000000001</v>
      </c>
      <c r="U9" s="147">
        <f>BEREMOU!AU8</f>
        <v>0.189</v>
      </c>
      <c r="V9" s="150">
        <f t="shared" ref="V9:V22" si="5">S9+T9+U9</f>
        <v>0.54899999999999993</v>
      </c>
      <c r="W9" s="171">
        <f t="shared" ref="W9:W22" si="6">R9+V9</f>
        <v>2.2269999999999999</v>
      </c>
    </row>
    <row r="10" spans="1:23" ht="15.75">
      <c r="B10" s="302">
        <f>BEREMOU!B9</f>
        <v>7.6</v>
      </c>
      <c r="C10">
        <v>1</v>
      </c>
      <c r="D10" s="144" t="s">
        <v>62</v>
      </c>
      <c r="E10" s="147">
        <f>BEREMOU!AJ9</f>
        <v>8.0000000000000002E-3</v>
      </c>
      <c r="F10" s="147">
        <f>BEREMOU!AK9</f>
        <v>8.0000000000000002E-3</v>
      </c>
      <c r="G10" s="147">
        <f>BEREMOU!AL9</f>
        <v>8.0000000000000002E-3</v>
      </c>
      <c r="H10" s="150">
        <f t="shared" si="0"/>
        <v>2.4E-2</v>
      </c>
      <c r="I10" s="147">
        <f>BEREMOU!AM9</f>
        <v>8.9999999999999993E-3</v>
      </c>
      <c r="J10" s="147">
        <f>BEREMOU!AN9</f>
        <v>8.9999999999999993E-3</v>
      </c>
      <c r="K10" s="147">
        <f>BEREMOU!AO9</f>
        <v>8.0000000000000002E-3</v>
      </c>
      <c r="L10" s="150">
        <f t="shared" si="1"/>
        <v>2.5999999999999999E-2</v>
      </c>
      <c r="M10" s="171">
        <f t="shared" si="2"/>
        <v>0.05</v>
      </c>
      <c r="N10" s="147">
        <f>BEREMOU!AP9</f>
        <v>8.9999999999999993E-3</v>
      </c>
      <c r="O10" s="147">
        <f>BEREMOU!AQ9</f>
        <v>8.0000000000000002E-3</v>
      </c>
      <c r="P10" s="147">
        <f>BEREMOU!AR9</f>
        <v>8.0000000000000002E-3</v>
      </c>
      <c r="Q10" s="150">
        <f t="shared" si="3"/>
        <v>2.5000000000000001E-2</v>
      </c>
      <c r="R10" s="171">
        <f t="shared" si="4"/>
        <v>7.5000000000000011E-2</v>
      </c>
      <c r="S10" s="147">
        <f>BEREMOU!AS9</f>
        <v>8.9999999999999993E-3</v>
      </c>
      <c r="T10" s="147">
        <f>BEREMOU!AT9</f>
        <v>8.0000000000000002E-3</v>
      </c>
      <c r="U10" s="147">
        <f>BEREMOU!AU9</f>
        <v>8.9999999999999993E-3</v>
      </c>
      <c r="V10" s="150">
        <f t="shared" si="5"/>
        <v>2.6000000000000002E-2</v>
      </c>
      <c r="W10" s="171">
        <f t="shared" si="6"/>
        <v>0.10100000000000001</v>
      </c>
    </row>
    <row r="11" spans="1:23" ht="15.75">
      <c r="A11" s="377">
        <v>2.9250000000000002E-2</v>
      </c>
      <c r="B11" s="302">
        <f>BEREMOU!B10</f>
        <v>7.42</v>
      </c>
      <c r="C11" s="377">
        <v>2.9250000000000002E-2</v>
      </c>
      <c r="D11" s="144" t="s">
        <v>57</v>
      </c>
      <c r="E11" s="147">
        <f>BEREMOU!AJ10</f>
        <v>3.9E-2</v>
      </c>
      <c r="F11" s="147">
        <f>BEREMOU!AK10</f>
        <v>0.04</v>
      </c>
      <c r="G11" s="147">
        <f>BEREMOU!AL10</f>
        <v>3.9E-2</v>
      </c>
      <c r="H11" s="150">
        <f t="shared" si="0"/>
        <v>0.11799999999999999</v>
      </c>
      <c r="I11" s="147">
        <f>BEREMOU!AM10</f>
        <v>0.04</v>
      </c>
      <c r="J11" s="147">
        <f>BEREMOU!AN10</f>
        <v>0.04</v>
      </c>
      <c r="K11" s="147">
        <f>BEREMOU!AO10</f>
        <v>3.9E-2</v>
      </c>
      <c r="L11" s="150">
        <f t="shared" si="1"/>
        <v>0.11899999999999999</v>
      </c>
      <c r="M11" s="171">
        <f t="shared" si="2"/>
        <v>0.23699999999999999</v>
      </c>
      <c r="N11" s="147">
        <f>BEREMOU!AP10</f>
        <v>3.9E-2</v>
      </c>
      <c r="O11" s="147">
        <f>BEREMOU!AQ10</f>
        <v>3.9E-2</v>
      </c>
      <c r="P11" s="147">
        <f>BEREMOU!AR10</f>
        <v>0.04</v>
      </c>
      <c r="Q11" s="150">
        <f t="shared" si="3"/>
        <v>0.11799999999999999</v>
      </c>
      <c r="R11" s="171">
        <f t="shared" si="4"/>
        <v>0.35499999999999998</v>
      </c>
      <c r="S11" s="147">
        <f>BEREMOU!AS10</f>
        <v>0.04</v>
      </c>
      <c r="T11" s="147">
        <f>BEREMOU!AT10</f>
        <v>3.5999999999999997E-2</v>
      </c>
      <c r="U11" s="147">
        <f>BEREMOU!AU10</f>
        <v>0.04</v>
      </c>
      <c r="V11" s="150">
        <f t="shared" si="5"/>
        <v>0.11599999999999999</v>
      </c>
      <c r="W11" s="171">
        <f t="shared" si="6"/>
        <v>0.47099999999999997</v>
      </c>
    </row>
    <row r="12" spans="1:23" ht="15.75">
      <c r="B12" s="302">
        <f>BEREMOU!B11</f>
        <v>6.6550000000000002</v>
      </c>
      <c r="C12">
        <v>0.27</v>
      </c>
      <c r="D12" s="144" t="s">
        <v>58</v>
      </c>
      <c r="E12" s="147">
        <f>BEREMOU!AJ11</f>
        <v>2.9000000000000001E-2</v>
      </c>
      <c r="F12" s="147">
        <f>BEREMOU!AK11</f>
        <v>2.9000000000000001E-2</v>
      </c>
      <c r="G12" s="147">
        <f>BEREMOU!AL11</f>
        <v>2.9000000000000001E-2</v>
      </c>
      <c r="H12" s="150">
        <f t="shared" si="0"/>
        <v>8.7000000000000008E-2</v>
      </c>
      <c r="I12" s="147">
        <f>BEREMOU!AM11</f>
        <v>0.03</v>
      </c>
      <c r="J12" s="147">
        <f>BEREMOU!AN11</f>
        <v>2.9000000000000001E-2</v>
      </c>
      <c r="K12" s="147">
        <f>BEREMOU!AO11</f>
        <v>2.9000000000000001E-2</v>
      </c>
      <c r="L12" s="150">
        <f t="shared" si="1"/>
        <v>8.7999999999999995E-2</v>
      </c>
      <c r="M12" s="171">
        <f t="shared" si="2"/>
        <v>0.17499999999999999</v>
      </c>
      <c r="N12" s="147">
        <f>BEREMOU!AP11</f>
        <v>0.03</v>
      </c>
      <c r="O12" s="147">
        <f>BEREMOU!AQ11</f>
        <v>2.9000000000000001E-2</v>
      </c>
      <c r="P12" s="147">
        <f>BEREMOU!AR11</f>
        <v>0.03</v>
      </c>
      <c r="Q12" s="150">
        <f t="shared" si="3"/>
        <v>8.8999999999999996E-2</v>
      </c>
      <c r="R12" s="171">
        <f t="shared" si="4"/>
        <v>0.26400000000000001</v>
      </c>
      <c r="S12" s="147">
        <f>BEREMOU!AS11</f>
        <v>0.03</v>
      </c>
      <c r="T12" s="147">
        <f>BEREMOU!AT11</f>
        <v>2.7E-2</v>
      </c>
      <c r="U12" s="147">
        <f>BEREMOU!AU11</f>
        <v>2.9000000000000001E-2</v>
      </c>
      <c r="V12" s="150">
        <f t="shared" si="5"/>
        <v>8.5999999999999993E-2</v>
      </c>
      <c r="W12" s="171">
        <f t="shared" si="6"/>
        <v>0.35</v>
      </c>
    </row>
    <row r="13" spans="1:23" ht="15.75">
      <c r="B13" s="302">
        <f>BEREMOU!B12</f>
        <v>6.78</v>
      </c>
      <c r="C13">
        <v>0.5</v>
      </c>
      <c r="D13" s="144" t="s">
        <v>59</v>
      </c>
      <c r="E13" s="147">
        <f>BEREMOU!AJ12</f>
        <v>1.2E-2</v>
      </c>
      <c r="F13" s="147">
        <f>BEREMOU!AK12</f>
        <v>1.2E-2</v>
      </c>
      <c r="G13" s="147">
        <f>BEREMOU!AL12</f>
        <v>1.2E-2</v>
      </c>
      <c r="H13" s="150">
        <f t="shared" si="0"/>
        <v>3.6000000000000004E-2</v>
      </c>
      <c r="I13" s="147">
        <f>BEREMOU!AM12</f>
        <v>1.2999999999999999E-2</v>
      </c>
      <c r="J13" s="147">
        <f>BEREMOU!AN12</f>
        <v>1.2999999999999999E-2</v>
      </c>
      <c r="K13" s="147">
        <f>BEREMOU!AO12</f>
        <v>1.2E-2</v>
      </c>
      <c r="L13" s="150">
        <f t="shared" si="1"/>
        <v>3.7999999999999999E-2</v>
      </c>
      <c r="M13" s="171">
        <f t="shared" si="2"/>
        <v>7.400000000000001E-2</v>
      </c>
      <c r="N13" s="147">
        <f>BEREMOU!AP12</f>
        <v>1.2E-2</v>
      </c>
      <c r="O13" s="147">
        <f>BEREMOU!AQ12</f>
        <v>1.2E-2</v>
      </c>
      <c r="P13" s="147">
        <f>BEREMOU!AR12</f>
        <v>1.2999999999999999E-2</v>
      </c>
      <c r="Q13" s="150">
        <f t="shared" si="3"/>
        <v>3.6999999999999998E-2</v>
      </c>
      <c r="R13" s="171">
        <f t="shared" si="4"/>
        <v>0.11100000000000002</v>
      </c>
      <c r="S13" s="147">
        <f>BEREMOU!AS12</f>
        <v>1.2999999999999999E-2</v>
      </c>
      <c r="T13" s="147">
        <f>BEREMOU!AT12</f>
        <v>1.0999999999999999E-2</v>
      </c>
      <c r="U13" s="147">
        <f>BEREMOU!AU12</f>
        <v>1.2E-2</v>
      </c>
      <c r="V13" s="150">
        <f t="shared" si="5"/>
        <v>3.6000000000000004E-2</v>
      </c>
      <c r="W13" s="171">
        <f t="shared" si="6"/>
        <v>0.14700000000000002</v>
      </c>
    </row>
    <row r="14" spans="1:23" ht="15.75">
      <c r="B14" s="302">
        <f>BEREMOU!B13</f>
        <v>7.4</v>
      </c>
      <c r="C14">
        <v>0.7</v>
      </c>
      <c r="D14" s="144" t="s">
        <v>63</v>
      </c>
      <c r="E14" s="147">
        <f>BEREMOU!AJ13</f>
        <v>6.3E-2</v>
      </c>
      <c r="F14" s="147">
        <f>BEREMOU!AK13</f>
        <v>6.5000000000000002E-2</v>
      </c>
      <c r="G14" s="147">
        <f>BEREMOU!AL13</f>
        <v>6.4000000000000001E-2</v>
      </c>
      <c r="H14" s="150">
        <f t="shared" si="0"/>
        <v>0.192</v>
      </c>
      <c r="I14" s="147">
        <f>BEREMOU!AM13</f>
        <v>6.5000000000000002E-2</v>
      </c>
      <c r="J14" s="147">
        <f>BEREMOU!AN13</f>
        <v>6.5000000000000002E-2</v>
      </c>
      <c r="K14" s="147">
        <f>BEREMOU!AO13</f>
        <v>6.4000000000000001E-2</v>
      </c>
      <c r="L14" s="150">
        <f t="shared" si="1"/>
        <v>0.19400000000000001</v>
      </c>
      <c r="M14" s="171">
        <f t="shared" si="2"/>
        <v>0.38600000000000001</v>
      </c>
      <c r="N14" s="147">
        <f>BEREMOU!AP13</f>
        <v>6.5000000000000002E-2</v>
      </c>
      <c r="O14" s="147">
        <f>BEREMOU!AQ13</f>
        <v>6.3E-2</v>
      </c>
      <c r="P14" s="147">
        <f>BEREMOU!AR13</f>
        <v>6.5000000000000002E-2</v>
      </c>
      <c r="Q14" s="150">
        <f t="shared" si="3"/>
        <v>0.193</v>
      </c>
      <c r="R14" s="171">
        <f t="shared" si="4"/>
        <v>0.57899999999999996</v>
      </c>
      <c r="S14" s="147">
        <f>BEREMOU!AS13</f>
        <v>6.5000000000000002E-2</v>
      </c>
      <c r="T14" s="147">
        <f>BEREMOU!AT13</f>
        <v>0.06</v>
      </c>
      <c r="U14" s="147">
        <f>BEREMOU!AU13</f>
        <v>6.6000000000000003E-2</v>
      </c>
      <c r="V14" s="150">
        <f t="shared" si="5"/>
        <v>0.191</v>
      </c>
      <c r="W14" s="171">
        <f t="shared" si="6"/>
        <v>0.77</v>
      </c>
    </row>
    <row r="15" spans="1:23" ht="15.75">
      <c r="B15" s="302">
        <f>BEREMOU!B14</f>
        <v>6.24</v>
      </c>
      <c r="C15">
        <v>0.11</v>
      </c>
      <c r="D15" s="144" t="s">
        <v>64</v>
      </c>
      <c r="E15" s="147">
        <f>BEREMOU!AJ14</f>
        <v>4.0000000000000001E-3</v>
      </c>
      <c r="F15" s="147">
        <f>BEREMOU!AK14</f>
        <v>5.0000000000000001E-3</v>
      </c>
      <c r="G15" s="147">
        <f>BEREMOU!AL14</f>
        <v>4.0000000000000001E-3</v>
      </c>
      <c r="H15" s="150">
        <f t="shared" si="0"/>
        <v>1.3000000000000001E-2</v>
      </c>
      <c r="I15" s="147">
        <f>BEREMOU!AM14</f>
        <v>4.0000000000000001E-3</v>
      </c>
      <c r="J15" s="147">
        <f>BEREMOU!AN14</f>
        <v>5.0000000000000001E-3</v>
      </c>
      <c r="K15" s="147">
        <f>BEREMOU!AO14</f>
        <v>4.0000000000000001E-3</v>
      </c>
      <c r="L15" s="150">
        <f t="shared" si="1"/>
        <v>1.3000000000000001E-2</v>
      </c>
      <c r="M15" s="171">
        <f t="shared" si="2"/>
        <v>2.6000000000000002E-2</v>
      </c>
      <c r="N15" s="147">
        <f>BEREMOU!AP14</f>
        <v>4.0000000000000001E-3</v>
      </c>
      <c r="O15" s="147">
        <f>BEREMOU!AQ14</f>
        <v>4.0000000000000001E-3</v>
      </c>
      <c r="P15" s="147">
        <f>BEREMOU!AR14</f>
        <v>4.0000000000000001E-3</v>
      </c>
      <c r="Q15" s="150">
        <f t="shared" si="3"/>
        <v>1.2E-2</v>
      </c>
      <c r="R15" s="171">
        <f t="shared" si="4"/>
        <v>3.8000000000000006E-2</v>
      </c>
      <c r="S15" s="147">
        <f>BEREMOU!AS14</f>
        <v>4.0000000000000001E-3</v>
      </c>
      <c r="T15" s="147">
        <f>BEREMOU!AT14</f>
        <v>4.0000000000000001E-3</v>
      </c>
      <c r="U15" s="147">
        <f>BEREMOU!AU14</f>
        <v>4.0000000000000001E-3</v>
      </c>
      <c r="V15" s="150">
        <f t="shared" si="5"/>
        <v>1.2E-2</v>
      </c>
      <c r="W15" s="171">
        <f t="shared" si="6"/>
        <v>0.05</v>
      </c>
    </row>
    <row r="16" spans="1:23" ht="15.75">
      <c r="B16" s="302">
        <f>BEREMOU!B15</f>
        <v>6.57</v>
      </c>
      <c r="C16">
        <v>0.4</v>
      </c>
      <c r="D16" s="144" t="s">
        <v>65</v>
      </c>
      <c r="E16" s="147">
        <f>BEREMOU!AJ15</f>
        <v>8.9999999999999993E-3</v>
      </c>
      <c r="F16" s="147">
        <f>BEREMOU!AK15</f>
        <v>0.01</v>
      </c>
      <c r="G16" s="147">
        <f>BEREMOU!AL15</f>
        <v>0.01</v>
      </c>
      <c r="H16" s="150">
        <f t="shared" si="0"/>
        <v>2.8999999999999998E-2</v>
      </c>
      <c r="I16" s="147">
        <f>BEREMOU!AM15</f>
        <v>0.01</v>
      </c>
      <c r="J16" s="147">
        <f>BEREMOU!AN15</f>
        <v>0.01</v>
      </c>
      <c r="K16" s="147">
        <f>BEREMOU!AO15</f>
        <v>8.9999999999999993E-3</v>
      </c>
      <c r="L16" s="150">
        <f t="shared" si="1"/>
        <v>2.8999999999999998E-2</v>
      </c>
      <c r="M16" s="171">
        <f t="shared" si="2"/>
        <v>5.7999999999999996E-2</v>
      </c>
      <c r="N16" s="147">
        <f>BEREMOU!AP15</f>
        <v>0.01</v>
      </c>
      <c r="O16" s="147">
        <f>BEREMOU!AQ15</f>
        <v>8.9999999999999993E-3</v>
      </c>
      <c r="P16" s="147">
        <f>BEREMOU!AR15</f>
        <v>0.01</v>
      </c>
      <c r="Q16" s="150">
        <f t="shared" si="3"/>
        <v>2.8999999999999998E-2</v>
      </c>
      <c r="R16" s="171">
        <f t="shared" si="4"/>
        <v>8.6999999999999994E-2</v>
      </c>
      <c r="S16" s="147">
        <f>BEREMOU!AS15</f>
        <v>0.01</v>
      </c>
      <c r="T16" s="147">
        <f>BEREMOU!AT15</f>
        <v>8.9999999999999993E-3</v>
      </c>
      <c r="U16" s="147">
        <f>BEREMOU!AU15</f>
        <v>0.01</v>
      </c>
      <c r="V16" s="150">
        <f t="shared" si="5"/>
        <v>2.8999999999999998E-2</v>
      </c>
      <c r="W16" s="171">
        <f t="shared" si="6"/>
        <v>0.11599999999999999</v>
      </c>
    </row>
    <row r="17" spans="1:23" ht="15.75">
      <c r="B17" s="302">
        <f>BEREMOU!B16</f>
        <v>7.62</v>
      </c>
      <c r="C17">
        <v>0.04</v>
      </c>
      <c r="D17" s="144" t="s">
        <v>66</v>
      </c>
      <c r="E17" s="147">
        <f>BEREMOU!AJ16</f>
        <v>6.8000000000000005E-2</v>
      </c>
      <c r="F17" s="147">
        <f>BEREMOU!AK16</f>
        <v>7.0000000000000007E-2</v>
      </c>
      <c r="G17" s="147">
        <f>BEREMOU!AL16</f>
        <v>6.8000000000000005E-2</v>
      </c>
      <c r="H17" s="150">
        <f t="shared" si="0"/>
        <v>0.20600000000000002</v>
      </c>
      <c r="I17" s="147">
        <f>BEREMOU!AM16</f>
        <v>7.0000000000000007E-2</v>
      </c>
      <c r="J17" s="147">
        <f>BEREMOU!AN16</f>
        <v>7.0000000000000007E-2</v>
      </c>
      <c r="K17" s="147">
        <f>BEREMOU!AO16</f>
        <v>6.8000000000000005E-2</v>
      </c>
      <c r="L17" s="150">
        <f t="shared" si="1"/>
        <v>0.20800000000000002</v>
      </c>
      <c r="M17" s="171">
        <f t="shared" si="2"/>
        <v>0.41400000000000003</v>
      </c>
      <c r="N17" s="147">
        <f>BEREMOU!AP16</f>
        <v>7.0000000000000007E-2</v>
      </c>
      <c r="O17" s="147">
        <f>BEREMOU!AQ16</f>
        <v>6.8000000000000005E-2</v>
      </c>
      <c r="P17" s="147">
        <f>BEREMOU!AR16</f>
        <v>7.0000000000000007E-2</v>
      </c>
      <c r="Q17" s="150">
        <f t="shared" si="3"/>
        <v>0.20800000000000002</v>
      </c>
      <c r="R17" s="171">
        <f t="shared" si="4"/>
        <v>0.62200000000000011</v>
      </c>
      <c r="S17" s="147">
        <f>BEREMOU!AS16</f>
        <v>7.0000000000000007E-2</v>
      </c>
      <c r="T17" s="147">
        <f>BEREMOU!AT16</f>
        <v>6.4000000000000001E-2</v>
      </c>
      <c r="U17" s="147">
        <f>BEREMOU!AU16</f>
        <v>7.0000000000000007E-2</v>
      </c>
      <c r="V17" s="150">
        <f t="shared" si="5"/>
        <v>0.20400000000000001</v>
      </c>
      <c r="W17" s="171">
        <f t="shared" si="6"/>
        <v>0.82600000000000007</v>
      </c>
    </row>
    <row r="18" spans="1:23" ht="15.75">
      <c r="B18" s="302">
        <f>BEREMOU!B17</f>
        <v>7.3</v>
      </c>
      <c r="C18">
        <v>0.25</v>
      </c>
      <c r="D18" s="144" t="s">
        <v>67</v>
      </c>
      <c r="E18" s="147">
        <f>BEREMOU!AJ17</f>
        <v>5.3999999999999999E-2</v>
      </c>
      <c r="F18" s="147">
        <f>BEREMOU!AK17</f>
        <v>5.6000000000000001E-2</v>
      </c>
      <c r="G18" s="147">
        <f>BEREMOU!AL17</f>
        <v>5.3999999999999999E-2</v>
      </c>
      <c r="H18" s="150">
        <f t="shared" si="0"/>
        <v>0.16400000000000001</v>
      </c>
      <c r="I18" s="147">
        <f>BEREMOU!AM17</f>
        <v>5.5E-2</v>
      </c>
      <c r="J18" s="147">
        <f>BEREMOU!AN17</f>
        <v>5.6000000000000001E-2</v>
      </c>
      <c r="K18" s="147">
        <f>BEREMOU!AO17</f>
        <v>5.3999999999999999E-2</v>
      </c>
      <c r="L18" s="150">
        <f t="shared" si="1"/>
        <v>0.16500000000000001</v>
      </c>
      <c r="M18" s="171">
        <f t="shared" si="2"/>
        <v>0.32900000000000001</v>
      </c>
      <c r="N18" s="147">
        <f>BEREMOU!AP17</f>
        <v>5.6000000000000001E-2</v>
      </c>
      <c r="O18" s="147">
        <f>BEREMOU!AQ17</f>
        <v>5.3999999999999999E-2</v>
      </c>
      <c r="P18" s="147">
        <f>BEREMOU!AR17</f>
        <v>5.6000000000000001E-2</v>
      </c>
      <c r="Q18" s="150">
        <f t="shared" si="3"/>
        <v>0.16600000000000001</v>
      </c>
      <c r="R18" s="171">
        <f t="shared" si="4"/>
        <v>0.495</v>
      </c>
      <c r="S18" s="147">
        <f>BEREMOU!AS17</f>
        <v>5.3999999999999999E-2</v>
      </c>
      <c r="T18" s="147">
        <f>BEREMOU!AT17</f>
        <v>0.05</v>
      </c>
      <c r="U18" s="147">
        <f>BEREMOU!AU17</f>
        <v>5.6000000000000001E-2</v>
      </c>
      <c r="V18" s="150">
        <f t="shared" si="5"/>
        <v>0.16</v>
      </c>
      <c r="W18" s="171">
        <f t="shared" si="6"/>
        <v>0.65500000000000003</v>
      </c>
    </row>
    <row r="19" spans="1:23" ht="15.75">
      <c r="B19" s="302">
        <f>BEREMOU!B18</f>
        <v>6.8</v>
      </c>
      <c r="C19">
        <v>0.24124999999999999</v>
      </c>
      <c r="D19" s="144" t="s">
        <v>68</v>
      </c>
      <c r="E19" s="147">
        <f>BEREMOU!AJ18</f>
        <v>1.4E-2</v>
      </c>
      <c r="F19" s="147">
        <f>BEREMOU!AK18</f>
        <v>1.4E-2</v>
      </c>
      <c r="G19" s="147">
        <f>BEREMOU!AL18</f>
        <v>1.4E-2</v>
      </c>
      <c r="H19" s="150">
        <f t="shared" si="0"/>
        <v>4.2000000000000003E-2</v>
      </c>
      <c r="I19" s="147">
        <f>BEREMOU!AM18</f>
        <v>1.4999999999999999E-2</v>
      </c>
      <c r="J19" s="147">
        <f>BEREMOU!AN18</f>
        <v>1.4E-2</v>
      </c>
      <c r="K19" s="147">
        <f>BEREMOU!AO18</f>
        <v>1.4E-2</v>
      </c>
      <c r="L19" s="150">
        <f t="shared" si="1"/>
        <v>4.2999999999999997E-2</v>
      </c>
      <c r="M19" s="171">
        <f t="shared" si="2"/>
        <v>8.4999999999999992E-2</v>
      </c>
      <c r="N19" s="147">
        <f>BEREMOU!AP18</f>
        <v>1.4999999999999999E-2</v>
      </c>
      <c r="O19" s="147">
        <f>BEREMOU!AQ18</f>
        <v>1.4E-2</v>
      </c>
      <c r="P19" s="147">
        <f>BEREMOU!AR18</f>
        <v>1.4999999999999999E-2</v>
      </c>
      <c r="Q19" s="150">
        <f t="shared" si="3"/>
        <v>4.3999999999999997E-2</v>
      </c>
      <c r="R19" s="171">
        <f t="shared" si="4"/>
        <v>0.129</v>
      </c>
      <c r="S19" s="147">
        <f>BEREMOU!AS18</f>
        <v>1.4E-2</v>
      </c>
      <c r="T19" s="147">
        <f>BEREMOU!AT18</f>
        <v>1.2999999999999999E-2</v>
      </c>
      <c r="U19" s="147">
        <f>BEREMOU!AU18</f>
        <v>1.4E-2</v>
      </c>
      <c r="V19" s="150">
        <f t="shared" si="5"/>
        <v>4.1000000000000002E-2</v>
      </c>
      <c r="W19" s="171">
        <f t="shared" si="6"/>
        <v>0.17</v>
      </c>
    </row>
    <row r="20" spans="1:23" ht="15.75">
      <c r="B20" s="302">
        <f>BEREMOU!B19</f>
        <v>8.6</v>
      </c>
      <c r="C20">
        <v>0.45</v>
      </c>
      <c r="D20" s="144" t="s">
        <v>69</v>
      </c>
      <c r="E20" s="147">
        <f>BEREMOU!AJ19</f>
        <v>0</v>
      </c>
      <c r="F20" s="147">
        <f>BEREMOU!AK19</f>
        <v>0</v>
      </c>
      <c r="G20" s="147">
        <f>BEREMOU!AL19</f>
        <v>0</v>
      </c>
      <c r="H20" s="150">
        <f t="shared" si="0"/>
        <v>0</v>
      </c>
      <c r="I20" s="147">
        <f>BEREMOU!AM19</f>
        <v>0</v>
      </c>
      <c r="J20" s="147">
        <f>BEREMOU!AN19</f>
        <v>0</v>
      </c>
      <c r="K20" s="147">
        <f>BEREMOU!AO19</f>
        <v>0</v>
      </c>
      <c r="L20" s="150">
        <f t="shared" si="1"/>
        <v>0</v>
      </c>
      <c r="M20" s="171">
        <f t="shared" si="2"/>
        <v>0</v>
      </c>
      <c r="N20" s="147">
        <f>BEREMOU!AP19</f>
        <v>0</v>
      </c>
      <c r="O20" s="147">
        <f>BEREMOU!AQ19</f>
        <v>0</v>
      </c>
      <c r="P20" s="147">
        <f>BEREMOU!AR19</f>
        <v>0</v>
      </c>
      <c r="Q20" s="150">
        <f t="shared" si="3"/>
        <v>0</v>
      </c>
      <c r="R20" s="171">
        <f t="shared" si="4"/>
        <v>0</v>
      </c>
      <c r="S20" s="147">
        <f>BEREMOU!AS19</f>
        <v>0</v>
      </c>
      <c r="T20" s="147">
        <f>BEREMOU!AT19</f>
        <v>0</v>
      </c>
      <c r="U20" s="147">
        <f>BEREMOU!AU19</f>
        <v>0</v>
      </c>
      <c r="V20" s="150">
        <f t="shared" si="5"/>
        <v>0</v>
      </c>
      <c r="W20" s="171">
        <f t="shared" si="6"/>
        <v>0</v>
      </c>
    </row>
    <row r="21" spans="1:23" ht="15.75">
      <c r="C21">
        <v>0.17</v>
      </c>
      <c r="D21" s="144" t="s">
        <v>70</v>
      </c>
      <c r="E21" s="147">
        <f>BEREMOU!AJ20</f>
        <v>0</v>
      </c>
      <c r="F21" s="147">
        <f>BEREMOU!AK20</f>
        <v>0</v>
      </c>
      <c r="G21" s="147">
        <f>BEREMOU!AL20</f>
        <v>0</v>
      </c>
      <c r="H21" s="150">
        <f t="shared" si="0"/>
        <v>0</v>
      </c>
      <c r="I21" s="147">
        <f>BEREMOU!AM20</f>
        <v>0</v>
      </c>
      <c r="J21" s="147">
        <f>BEREMOU!AN20</f>
        <v>0</v>
      </c>
      <c r="K21" s="147">
        <f>BEREMOU!AO20</f>
        <v>0</v>
      </c>
      <c r="L21" s="150">
        <f t="shared" si="1"/>
        <v>0</v>
      </c>
      <c r="M21" s="171">
        <f t="shared" si="2"/>
        <v>0</v>
      </c>
      <c r="N21" s="147">
        <f>BEREMOU!AP20</f>
        <v>0</v>
      </c>
      <c r="O21" s="147">
        <f>BEREMOU!AQ20</f>
        <v>0</v>
      </c>
      <c r="P21" s="147">
        <f>BEREMOU!AR20</f>
        <v>0</v>
      </c>
      <c r="Q21" s="150">
        <f t="shared" si="3"/>
        <v>0</v>
      </c>
      <c r="R21" s="171">
        <f t="shared" si="4"/>
        <v>0</v>
      </c>
      <c r="S21" s="147">
        <f>BEREMOU!AS20</f>
        <v>0</v>
      </c>
      <c r="T21" s="147">
        <f>BEREMOU!AT20</f>
        <v>0</v>
      </c>
      <c r="U21" s="147">
        <f>BEREMOU!AU20</f>
        <v>0</v>
      </c>
      <c r="V21" s="150">
        <f t="shared" si="5"/>
        <v>0</v>
      </c>
      <c r="W21" s="171">
        <f t="shared" si="6"/>
        <v>0</v>
      </c>
    </row>
    <row r="22" spans="1:23" ht="15.75">
      <c r="D22" s="145" t="s">
        <v>92</v>
      </c>
      <c r="E22" s="158">
        <f>SUM(E8:E21)</f>
        <v>0.59800000000000009</v>
      </c>
      <c r="F22" s="158">
        <f>SUM(F8:F21)</f>
        <v>0.6160000000000001</v>
      </c>
      <c r="G22" s="158">
        <f>SUM(G8:G21)</f>
        <v>0.60000000000000009</v>
      </c>
      <c r="H22" s="185">
        <f t="shared" si="0"/>
        <v>1.8140000000000003</v>
      </c>
      <c r="I22" s="158">
        <f>SUM(I8:I21)</f>
        <v>0.6180000000000001</v>
      </c>
      <c r="J22" s="158">
        <f>SUM(J8:J21)</f>
        <v>0.6170000000000001</v>
      </c>
      <c r="K22" s="158">
        <f>SUM(K8:K21)</f>
        <v>0.59900000000000009</v>
      </c>
      <c r="L22" s="185">
        <f t="shared" si="1"/>
        <v>1.8340000000000005</v>
      </c>
      <c r="M22" s="186">
        <f t="shared" si="2"/>
        <v>3.6480000000000006</v>
      </c>
      <c r="N22" s="158">
        <f>SUM(N8:N21)</f>
        <v>0.6160000000000001</v>
      </c>
      <c r="O22" s="158">
        <f>SUM(O8:O21)</f>
        <v>0.59500000000000008</v>
      </c>
      <c r="P22" s="158">
        <f>SUM(P8:P21)</f>
        <v>0.6140000000000001</v>
      </c>
      <c r="Q22" s="185">
        <f t="shared" si="3"/>
        <v>1.8250000000000004</v>
      </c>
      <c r="R22" s="186">
        <f t="shared" si="4"/>
        <v>5.4730000000000008</v>
      </c>
      <c r="S22" s="158">
        <f>SUM(S8:S21)</f>
        <v>0.6110000000000001</v>
      </c>
      <c r="T22" s="158">
        <f>SUM(T8:T21)</f>
        <v>0.55600000000000005</v>
      </c>
      <c r="U22" s="158">
        <f>SUM(U8:U21)</f>
        <v>0.6120000000000001</v>
      </c>
      <c r="V22" s="185">
        <f t="shared" si="5"/>
        <v>1.7790000000000004</v>
      </c>
      <c r="W22" s="186">
        <f t="shared" si="6"/>
        <v>7.2520000000000007</v>
      </c>
    </row>
    <row r="24" spans="1:23">
      <c r="B24" s="233"/>
      <c r="C24" s="233"/>
      <c r="D24" s="233"/>
      <c r="E24" s="233"/>
      <c r="F24" s="233"/>
      <c r="G24" s="233"/>
      <c r="H24" s="233"/>
      <c r="I24" s="233"/>
      <c r="J24" s="233"/>
      <c r="K24" s="233"/>
      <c r="L24" s="233"/>
      <c r="M24" s="233"/>
      <c r="N24" s="233"/>
      <c r="O24" s="233"/>
      <c r="P24" s="233"/>
      <c r="Q24" s="233"/>
      <c r="R24" s="233"/>
      <c r="S24" s="233"/>
      <c r="T24" s="233"/>
    </row>
    <row r="26" spans="1:23">
      <c r="D26" s="1113" t="s">
        <v>91</v>
      </c>
      <c r="E26" s="1113" t="s">
        <v>91</v>
      </c>
      <c r="F26" s="1113"/>
      <c r="G26" s="1113"/>
      <c r="H26" s="1113"/>
      <c r="I26" s="1113"/>
      <c r="J26" s="1113"/>
      <c r="K26" s="1113"/>
      <c r="L26" s="1113"/>
      <c r="M26" s="1113"/>
      <c r="N26" s="1113"/>
      <c r="O26" s="1113"/>
      <c r="P26" s="1113"/>
      <c r="Q26" s="1113"/>
      <c r="R26" s="1113"/>
      <c r="S26" s="1113"/>
      <c r="T26" s="1113"/>
      <c r="U26" s="1113"/>
      <c r="V26" s="1113"/>
      <c r="W26" s="1113"/>
    </row>
    <row r="27" spans="1:23">
      <c r="D27" s="144"/>
      <c r="E27" s="144" t="s">
        <v>30</v>
      </c>
      <c r="F27" s="144" t="s">
        <v>71</v>
      </c>
      <c r="G27" s="144" t="s">
        <v>72</v>
      </c>
      <c r="H27" s="148" t="s">
        <v>82</v>
      </c>
      <c r="I27" s="144" t="s">
        <v>73</v>
      </c>
      <c r="J27" s="144" t="s">
        <v>74</v>
      </c>
      <c r="K27" s="144" t="s">
        <v>75</v>
      </c>
      <c r="L27" s="148" t="s">
        <v>83</v>
      </c>
      <c r="M27" s="170" t="s">
        <v>39</v>
      </c>
      <c r="N27" s="144" t="s">
        <v>76</v>
      </c>
      <c r="O27" s="144" t="s">
        <v>77</v>
      </c>
      <c r="P27" s="144" t="s">
        <v>78</v>
      </c>
      <c r="Q27" s="148" t="s">
        <v>84</v>
      </c>
      <c r="R27" s="170" t="s">
        <v>85</v>
      </c>
      <c r="S27" s="144" t="s">
        <v>79</v>
      </c>
      <c r="T27" s="144" t="s">
        <v>80</v>
      </c>
      <c r="U27" s="144" t="s">
        <v>81</v>
      </c>
      <c r="V27" s="148" t="s">
        <v>86</v>
      </c>
      <c r="W27" s="170" t="s">
        <v>87</v>
      </c>
    </row>
    <row r="28" spans="1:23" ht="15.75">
      <c r="C28">
        <v>0.2</v>
      </c>
      <c r="D28" s="144" t="s">
        <v>60</v>
      </c>
      <c r="E28" s="146">
        <f>BEREMOU!AJ25</f>
        <v>4.9000000000000002E-2</v>
      </c>
      <c r="F28" s="146">
        <f>BEREMOU!AK25</f>
        <v>0.05</v>
      </c>
      <c r="G28" s="146">
        <f>BEREMOU!AL25</f>
        <v>4.8000000000000001E-2</v>
      </c>
      <c r="H28" s="149">
        <f>E28+F28+G28</f>
        <v>0.14700000000000002</v>
      </c>
      <c r="I28" s="146">
        <f>BEREMOU!AM25</f>
        <v>5.0999999999999997E-2</v>
      </c>
      <c r="J28" s="146">
        <f>BEREMOU!AN25</f>
        <v>0.05</v>
      </c>
      <c r="K28" s="146">
        <f>BEREMOU!AO25</f>
        <v>4.9000000000000002E-2</v>
      </c>
      <c r="L28" s="149">
        <f>I28+J28+K28</f>
        <v>0.15000000000000002</v>
      </c>
      <c r="M28" s="172">
        <f>H28+L28</f>
        <v>0.29700000000000004</v>
      </c>
      <c r="N28" s="146">
        <f>BEREMOU!AP25</f>
        <v>5.1999999999999998E-2</v>
      </c>
      <c r="O28" s="146">
        <f>BEREMOU!AQ25</f>
        <v>5.2999999999999999E-2</v>
      </c>
      <c r="P28" s="146">
        <f>BEREMOU!AR25</f>
        <v>5.3999999999999999E-2</v>
      </c>
      <c r="Q28" s="149">
        <f>N28+O28+P28</f>
        <v>0.159</v>
      </c>
      <c r="R28" s="172">
        <f>M28+Q28</f>
        <v>0.45600000000000007</v>
      </c>
      <c r="S28" s="146">
        <f>BEREMOU!AS25</f>
        <v>5.6000000000000001E-2</v>
      </c>
      <c r="T28" s="146">
        <f>BEREMOU!AT25</f>
        <v>5.0999999999999997E-2</v>
      </c>
      <c r="U28" s="146">
        <f>BEREMOU!AU25</f>
        <v>5.6000000000000001E-2</v>
      </c>
      <c r="V28" s="149">
        <f>S28+T28+U28</f>
        <v>0.16300000000000001</v>
      </c>
      <c r="W28" s="172">
        <f>R28+V28</f>
        <v>0.61900000000000011</v>
      </c>
    </row>
    <row r="29" spans="1:23" ht="15.75">
      <c r="C29">
        <v>0.26</v>
      </c>
      <c r="D29" s="144" t="s">
        <v>61</v>
      </c>
      <c r="E29" s="146">
        <f>BEREMOU!AJ26</f>
        <v>6.6000000000000003E-2</v>
      </c>
      <c r="F29" s="146">
        <f>BEREMOU!AK26</f>
        <v>6.8000000000000005E-2</v>
      </c>
      <c r="G29" s="146">
        <f>BEREMOU!AL26</f>
        <v>6.6000000000000003E-2</v>
      </c>
      <c r="H29" s="149">
        <f t="shared" ref="H29:H42" si="7">E29+F29+G29</f>
        <v>0.2</v>
      </c>
      <c r="I29" s="146">
        <f>BEREMOU!AM26</f>
        <v>6.8000000000000005E-2</v>
      </c>
      <c r="J29" s="146">
        <f>BEREMOU!AN26</f>
        <v>6.8000000000000005E-2</v>
      </c>
      <c r="K29" s="146">
        <f>BEREMOU!AO26</f>
        <v>6.6000000000000003E-2</v>
      </c>
      <c r="L29" s="149">
        <f t="shared" ref="L29:L42" si="8">I29+J29+K29</f>
        <v>0.20200000000000001</v>
      </c>
      <c r="M29" s="172">
        <f t="shared" ref="M29:M42" si="9">H29+L29</f>
        <v>0.40200000000000002</v>
      </c>
      <c r="N29" s="146">
        <f>BEREMOU!AP26</f>
        <v>6.794520547945207E-2</v>
      </c>
      <c r="O29" s="146">
        <f>BEREMOU!AQ26</f>
        <v>6.6000000000000003E-2</v>
      </c>
      <c r="P29" s="146">
        <f>BEREMOU!AR26</f>
        <v>6.8000000000000005E-2</v>
      </c>
      <c r="Q29" s="149">
        <f t="shared" ref="Q29:Q42" si="10">N29+O29+P29</f>
        <v>0.20194520547945208</v>
      </c>
      <c r="R29" s="172">
        <f t="shared" ref="R29:R42" si="11">M29+Q29</f>
        <v>0.60394520547945207</v>
      </c>
      <c r="S29" s="146">
        <f>BEREMOU!AS26</f>
        <v>6.8000000000000005E-2</v>
      </c>
      <c r="T29" s="146">
        <f>BEREMOU!AT26</f>
        <v>0.06</v>
      </c>
      <c r="U29" s="146">
        <f>BEREMOU!AU26</f>
        <v>6.8000000000000005E-2</v>
      </c>
      <c r="V29" s="149">
        <f t="shared" ref="V29:V42" si="12">S29+T29+U29</f>
        <v>0.19600000000000001</v>
      </c>
      <c r="W29" s="172">
        <f t="shared" ref="W29:W42" si="13">R29+V29</f>
        <v>0.79994520547945203</v>
      </c>
    </row>
    <row r="30" spans="1:23" ht="15.75">
      <c r="C30">
        <v>1</v>
      </c>
      <c r="D30" s="144" t="s">
        <v>62</v>
      </c>
      <c r="E30" s="146">
        <f>BEREMOU!AJ27</f>
        <v>8.0000000000000002E-3</v>
      </c>
      <c r="F30" s="146">
        <f>BEREMOU!AK27</f>
        <v>8.0000000000000002E-3</v>
      </c>
      <c r="G30" s="146">
        <f>BEREMOU!AL27</f>
        <v>8.0000000000000002E-3</v>
      </c>
      <c r="H30" s="149">
        <f t="shared" si="7"/>
        <v>2.4E-2</v>
      </c>
      <c r="I30" s="146">
        <f>BEREMOU!AM27</f>
        <v>8.0000000000000002E-3</v>
      </c>
      <c r="J30" s="146">
        <f>BEREMOU!AN27</f>
        <v>8.0000000000000002E-3</v>
      </c>
      <c r="K30" s="146">
        <f>BEREMOU!AO27</f>
        <v>8.0000000000000002E-3</v>
      </c>
      <c r="L30" s="149">
        <f t="shared" si="8"/>
        <v>2.4E-2</v>
      </c>
      <c r="M30" s="172">
        <f t="shared" si="9"/>
        <v>4.8000000000000001E-2</v>
      </c>
      <c r="N30" s="146">
        <f>BEREMOU!AP27</f>
        <v>7.9835616438356169E-3</v>
      </c>
      <c r="O30" s="146">
        <f>BEREMOU!AQ27</f>
        <v>8.0000000000000002E-3</v>
      </c>
      <c r="P30" s="146">
        <f>BEREMOU!AR27</f>
        <v>8.0000000000000002E-3</v>
      </c>
      <c r="Q30" s="149">
        <f t="shared" si="10"/>
        <v>2.3983561643835617E-2</v>
      </c>
      <c r="R30" s="172">
        <f t="shared" si="11"/>
        <v>7.1983561643835625E-2</v>
      </c>
      <c r="S30" s="146">
        <f>BEREMOU!AS27</f>
        <v>8.0000000000000002E-3</v>
      </c>
      <c r="T30" s="146">
        <f>BEREMOU!AT27</f>
        <v>6.0000000000000001E-3</v>
      </c>
      <c r="U30" s="146">
        <f>BEREMOU!AU27</f>
        <v>8.0000000000000002E-3</v>
      </c>
      <c r="V30" s="149">
        <f t="shared" si="12"/>
        <v>2.1999999999999999E-2</v>
      </c>
      <c r="W30" s="172">
        <f t="shared" si="13"/>
        <v>9.3983561643835617E-2</v>
      </c>
    </row>
    <row r="31" spans="1:23" ht="15.75">
      <c r="A31" s="377">
        <v>2.9250000000000002E-2</v>
      </c>
      <c r="C31" s="377">
        <v>2.9250000000000002E-2</v>
      </c>
      <c r="D31" s="144" t="s">
        <v>57</v>
      </c>
      <c r="E31" s="146">
        <f>BEREMOU!AJ28</f>
        <v>0.01</v>
      </c>
      <c r="F31" s="146">
        <f>BEREMOU!AK28</f>
        <v>0.01</v>
      </c>
      <c r="G31" s="146">
        <f>BEREMOU!AL28</f>
        <v>0.01</v>
      </c>
      <c r="H31" s="149">
        <f t="shared" si="7"/>
        <v>0.03</v>
      </c>
      <c r="I31" s="146">
        <f>BEREMOU!AM28</f>
        <v>0.01</v>
      </c>
      <c r="J31" s="146">
        <f>BEREMOU!AN28</f>
        <v>0.01</v>
      </c>
      <c r="K31" s="146">
        <f>BEREMOU!AO28</f>
        <v>0.01</v>
      </c>
      <c r="L31" s="149">
        <f t="shared" si="8"/>
        <v>0.03</v>
      </c>
      <c r="M31" s="172">
        <f t="shared" si="9"/>
        <v>0.06</v>
      </c>
      <c r="N31" s="146">
        <f>BEREMOU!AP28</f>
        <v>9.8520547945205473E-3</v>
      </c>
      <c r="O31" s="146">
        <f>BEREMOU!AQ28</f>
        <v>0.01</v>
      </c>
      <c r="P31" s="146">
        <f>BEREMOU!AR28</f>
        <v>0.01</v>
      </c>
      <c r="Q31" s="149">
        <f t="shared" si="10"/>
        <v>2.9852054794520549E-2</v>
      </c>
      <c r="R31" s="172">
        <f t="shared" si="11"/>
        <v>8.9852054794520547E-2</v>
      </c>
      <c r="S31" s="146">
        <f>BEREMOU!AS28</f>
        <v>0.01</v>
      </c>
      <c r="T31" s="146">
        <f>BEREMOU!AT28</f>
        <v>6.0000000000000001E-3</v>
      </c>
      <c r="U31" s="146">
        <f>BEREMOU!AU28</f>
        <v>0.01</v>
      </c>
      <c r="V31" s="149">
        <f t="shared" si="12"/>
        <v>2.6000000000000002E-2</v>
      </c>
      <c r="W31" s="172">
        <f t="shared" si="13"/>
        <v>0.11585205479452054</v>
      </c>
    </row>
    <row r="32" spans="1:23" ht="15.75">
      <c r="C32">
        <v>0.27</v>
      </c>
      <c r="D32" s="144" t="s">
        <v>58</v>
      </c>
      <c r="E32" s="146">
        <f>BEREMOU!AJ29</f>
        <v>2E-3</v>
      </c>
      <c r="F32" s="146">
        <f>BEREMOU!AK29</f>
        <v>2E-3</v>
      </c>
      <c r="G32" s="146">
        <f>BEREMOU!AL29</f>
        <v>2E-3</v>
      </c>
      <c r="H32" s="149">
        <f t="shared" si="7"/>
        <v>6.0000000000000001E-3</v>
      </c>
      <c r="I32" s="146">
        <f>BEREMOU!AM29</f>
        <v>2E-3</v>
      </c>
      <c r="J32" s="146">
        <f>BEREMOU!AN29</f>
        <v>2E-3</v>
      </c>
      <c r="K32" s="146">
        <f>BEREMOU!AO29</f>
        <v>2E-3</v>
      </c>
      <c r="L32" s="149">
        <f t="shared" si="8"/>
        <v>6.0000000000000001E-3</v>
      </c>
      <c r="M32" s="172">
        <f t="shared" si="9"/>
        <v>1.2E-2</v>
      </c>
      <c r="N32" s="146">
        <f>BEREMOU!AP29</f>
        <v>2.1232876712328772E-3</v>
      </c>
      <c r="O32" s="146">
        <f>BEREMOU!AQ29</f>
        <v>2E-3</v>
      </c>
      <c r="P32" s="146">
        <f>BEREMOU!AR29</f>
        <v>2E-3</v>
      </c>
      <c r="Q32" s="149">
        <f t="shared" si="10"/>
        <v>6.1232876712328773E-3</v>
      </c>
      <c r="R32" s="172">
        <f t="shared" si="11"/>
        <v>1.8123287671232877E-2</v>
      </c>
      <c r="S32" s="146">
        <f>BEREMOU!AS29</f>
        <v>2E-3</v>
      </c>
      <c r="T32" s="146">
        <f>BEREMOU!AT29</f>
        <v>3.0000000000000001E-3</v>
      </c>
      <c r="U32" s="146">
        <f>BEREMOU!AU29</f>
        <v>2E-3</v>
      </c>
      <c r="V32" s="149">
        <f t="shared" si="12"/>
        <v>7.0000000000000001E-3</v>
      </c>
      <c r="W32" s="172">
        <f t="shared" si="13"/>
        <v>2.5123287671232876E-2</v>
      </c>
    </row>
    <row r="33" spans="3:23" ht="15.75">
      <c r="C33" s="300">
        <v>0.5</v>
      </c>
      <c r="D33" s="144" t="s">
        <v>59</v>
      </c>
      <c r="E33" s="146">
        <v>0</v>
      </c>
      <c r="F33" s="146">
        <v>0</v>
      </c>
      <c r="G33" s="146">
        <f>BEREMOU!AL30</f>
        <v>1E-3</v>
      </c>
      <c r="H33" s="149">
        <f t="shared" si="7"/>
        <v>1E-3</v>
      </c>
      <c r="I33" s="146">
        <f>BEREMOU!AM30</f>
        <v>0</v>
      </c>
      <c r="J33" s="146">
        <f>BEREMOU!AN30</f>
        <v>0</v>
      </c>
      <c r="K33" s="146">
        <f>BEREMOU!AO30</f>
        <v>1E-3</v>
      </c>
      <c r="L33" s="149">
        <f t="shared" si="8"/>
        <v>1E-3</v>
      </c>
      <c r="M33" s="172">
        <f t="shared" si="9"/>
        <v>2E-3</v>
      </c>
      <c r="N33" s="146">
        <v>0</v>
      </c>
      <c r="O33" s="146">
        <v>0</v>
      </c>
      <c r="P33" s="146">
        <f>BEREMOU!AR30</f>
        <v>1E-3</v>
      </c>
      <c r="Q33" s="149">
        <f t="shared" si="10"/>
        <v>1E-3</v>
      </c>
      <c r="R33" s="172">
        <f t="shared" si="11"/>
        <v>3.0000000000000001E-3</v>
      </c>
      <c r="S33" s="146">
        <f>BEREMOU!AS30</f>
        <v>0</v>
      </c>
      <c r="T33" s="146">
        <v>0</v>
      </c>
      <c r="U33" s="146">
        <f>BEREMOU!AU30</f>
        <v>1E-3</v>
      </c>
      <c r="V33" s="149">
        <f t="shared" si="12"/>
        <v>1E-3</v>
      </c>
      <c r="W33" s="172">
        <f t="shared" si="13"/>
        <v>4.0000000000000001E-3</v>
      </c>
    </row>
    <row r="34" spans="3:23" ht="15.75">
      <c r="C34">
        <v>0.7</v>
      </c>
      <c r="D34" s="144" t="s">
        <v>63</v>
      </c>
      <c r="E34" s="146">
        <v>0</v>
      </c>
      <c r="F34" s="146">
        <v>0</v>
      </c>
      <c r="G34" s="146">
        <v>0</v>
      </c>
      <c r="H34" s="149">
        <f t="shared" si="7"/>
        <v>0</v>
      </c>
      <c r="I34" s="146">
        <f>BEREMOU!AM31</f>
        <v>0</v>
      </c>
      <c r="J34" s="146">
        <f>BEREMOU!AN31</f>
        <v>0</v>
      </c>
      <c r="K34" s="146">
        <f>BEREMOU!AO31</f>
        <v>0</v>
      </c>
      <c r="L34" s="149">
        <f t="shared" si="8"/>
        <v>0</v>
      </c>
      <c r="M34" s="172">
        <f t="shared" si="9"/>
        <v>0</v>
      </c>
      <c r="N34" s="146">
        <f>BEREMOU!AP31</f>
        <v>0</v>
      </c>
      <c r="O34" s="146">
        <f>BEREMOU!AQ31</f>
        <v>0</v>
      </c>
      <c r="P34" s="146">
        <f>BEREMOU!AR31</f>
        <v>0</v>
      </c>
      <c r="Q34" s="149">
        <f t="shared" ref="Q34:Q40" si="14">N34+O34+P34</f>
        <v>0</v>
      </c>
      <c r="R34" s="172">
        <f t="shared" ref="R34:R40" si="15">M34+Q34</f>
        <v>0</v>
      </c>
      <c r="S34" s="146">
        <f>BEREMOU!AS31</f>
        <v>0</v>
      </c>
      <c r="T34" s="146">
        <f>BEREMOU!AT31</f>
        <v>1E-3</v>
      </c>
      <c r="U34" s="146">
        <f>BEREMOU!AU31</f>
        <v>0</v>
      </c>
      <c r="V34" s="149">
        <f t="shared" ref="V34:V40" si="16">S34+T34+U34</f>
        <v>1E-3</v>
      </c>
      <c r="W34" s="172">
        <f t="shared" ref="W34:W40" si="17">R34+V34</f>
        <v>1E-3</v>
      </c>
    </row>
    <row r="35" spans="3:23" ht="15.75">
      <c r="C35">
        <v>0.11</v>
      </c>
      <c r="D35" s="144" t="s">
        <v>64</v>
      </c>
      <c r="E35" s="146">
        <f>BEREMOU!AJ32</f>
        <v>1E-3</v>
      </c>
      <c r="F35" s="146">
        <f>BEREMOU!AK32</f>
        <v>1E-3</v>
      </c>
      <c r="G35" s="146">
        <f>BEREMOU!AL32</f>
        <v>0</v>
      </c>
      <c r="H35" s="149">
        <f t="shared" si="7"/>
        <v>2E-3</v>
      </c>
      <c r="I35" s="146">
        <f>BEREMOU!AM32</f>
        <v>1E-3</v>
      </c>
      <c r="J35" s="146">
        <f>BEREMOU!AN32</f>
        <v>1E-3</v>
      </c>
      <c r="K35" s="146">
        <f>BEREMOU!AO32</f>
        <v>1E-3</v>
      </c>
      <c r="L35" s="149">
        <f t="shared" si="8"/>
        <v>3.0000000000000001E-3</v>
      </c>
      <c r="M35" s="172">
        <f t="shared" si="9"/>
        <v>5.0000000000000001E-3</v>
      </c>
      <c r="N35" s="146">
        <f>BEREMOU!AP32</f>
        <v>7.643835616438356E-4</v>
      </c>
      <c r="O35" s="146">
        <f>BEREMOU!AQ32</f>
        <v>0</v>
      </c>
      <c r="P35" s="146">
        <f>BEREMOU!AR32</f>
        <v>1E-3</v>
      </c>
      <c r="Q35" s="149">
        <f t="shared" si="14"/>
        <v>1.7643835616438356E-3</v>
      </c>
      <c r="R35" s="172">
        <f t="shared" si="15"/>
        <v>6.7643835616438362E-3</v>
      </c>
      <c r="S35" s="146">
        <f>BEREMOU!AS32</f>
        <v>1E-3</v>
      </c>
      <c r="T35" s="146">
        <f>BEREMOU!AT32</f>
        <v>0</v>
      </c>
      <c r="U35" s="146">
        <f>BEREMOU!AU32</f>
        <v>1E-3</v>
      </c>
      <c r="V35" s="149">
        <f t="shared" si="16"/>
        <v>2E-3</v>
      </c>
      <c r="W35" s="172">
        <f t="shared" si="17"/>
        <v>8.7643835616438362E-3</v>
      </c>
    </row>
    <row r="36" spans="3:23" ht="15.75">
      <c r="C36">
        <v>0.4</v>
      </c>
      <c r="D36" s="144" t="s">
        <v>65</v>
      </c>
      <c r="E36" s="146">
        <f>BEREMOU!AJ33</f>
        <v>2E-3</v>
      </c>
      <c r="F36" s="146">
        <f>BEREMOU!AK33</f>
        <v>3.0000000000000001E-3</v>
      </c>
      <c r="G36" s="146">
        <f>BEREMOU!AL33</f>
        <v>3.0000000000000001E-3</v>
      </c>
      <c r="H36" s="149">
        <f t="shared" si="7"/>
        <v>8.0000000000000002E-3</v>
      </c>
      <c r="I36" s="146">
        <f>BEREMOU!AM33</f>
        <v>3.0000000000000001E-3</v>
      </c>
      <c r="J36" s="146">
        <f>BEREMOU!AN33</f>
        <v>3.0000000000000001E-3</v>
      </c>
      <c r="K36" s="146">
        <f>BEREMOU!AO33</f>
        <v>3.0000000000000001E-3</v>
      </c>
      <c r="L36" s="149">
        <f t="shared" si="8"/>
        <v>9.0000000000000011E-3</v>
      </c>
      <c r="M36" s="172">
        <f t="shared" si="9"/>
        <v>1.7000000000000001E-2</v>
      </c>
      <c r="N36" s="146">
        <f>BEREMOU!AP33</f>
        <v>2.7178082191780823E-3</v>
      </c>
      <c r="O36" s="146">
        <f>BEREMOU!AQ33</f>
        <v>3.0000000000000001E-3</v>
      </c>
      <c r="P36" s="146">
        <f>BEREMOU!AR33</f>
        <v>3.0000000000000001E-3</v>
      </c>
      <c r="Q36" s="149">
        <f t="shared" si="14"/>
        <v>8.7178082191780824E-3</v>
      </c>
      <c r="R36" s="172">
        <f t="shared" si="15"/>
        <v>2.5717808219178084E-2</v>
      </c>
      <c r="S36" s="146">
        <f>BEREMOU!AS33</f>
        <v>3.0000000000000001E-3</v>
      </c>
      <c r="T36" s="146">
        <f>BEREMOU!AT33</f>
        <v>2E-3</v>
      </c>
      <c r="U36" s="146">
        <f>BEREMOU!AU33</f>
        <v>1E-3</v>
      </c>
      <c r="V36" s="149">
        <f t="shared" si="16"/>
        <v>6.0000000000000001E-3</v>
      </c>
      <c r="W36" s="172">
        <f t="shared" si="17"/>
        <v>3.1717808219178086E-2</v>
      </c>
    </row>
    <row r="37" spans="3:23" ht="15.75">
      <c r="C37">
        <v>0.04</v>
      </c>
      <c r="D37" s="144" t="s">
        <v>66</v>
      </c>
      <c r="E37" s="146">
        <f>BEREMOU!AJ34</f>
        <v>0</v>
      </c>
      <c r="F37" s="146">
        <f>BEREMOU!AK34</f>
        <v>0</v>
      </c>
      <c r="G37" s="146">
        <f>BEREMOU!AL34</f>
        <v>0</v>
      </c>
      <c r="H37" s="149">
        <f t="shared" si="7"/>
        <v>0</v>
      </c>
      <c r="I37" s="146">
        <f>BEREMOU!AM34</f>
        <v>0</v>
      </c>
      <c r="J37" s="146">
        <f>BEREMOU!AN34</f>
        <v>0</v>
      </c>
      <c r="K37" s="146">
        <f>BEREMOU!AO34</f>
        <v>0</v>
      </c>
      <c r="L37" s="149">
        <f t="shared" si="8"/>
        <v>0</v>
      </c>
      <c r="M37" s="172">
        <f t="shared" si="9"/>
        <v>0</v>
      </c>
      <c r="N37" s="146">
        <v>0</v>
      </c>
      <c r="O37" s="146">
        <v>0</v>
      </c>
      <c r="P37" s="146">
        <f>BEREMOU!AR34</f>
        <v>0</v>
      </c>
      <c r="Q37" s="149">
        <f t="shared" si="14"/>
        <v>0</v>
      </c>
      <c r="R37" s="172">
        <f t="shared" si="15"/>
        <v>0</v>
      </c>
      <c r="S37" s="146">
        <f>BEREMOU!AS34</f>
        <v>0</v>
      </c>
      <c r="T37" s="146">
        <f>BEREMOU!AT34</f>
        <v>0</v>
      </c>
      <c r="U37" s="146">
        <f>BEREMOU!AU34</f>
        <v>0</v>
      </c>
      <c r="V37" s="149">
        <f t="shared" si="16"/>
        <v>0</v>
      </c>
      <c r="W37" s="172">
        <f t="shared" si="17"/>
        <v>0</v>
      </c>
    </row>
    <row r="38" spans="3:23" ht="15.75">
      <c r="C38">
        <v>0.25</v>
      </c>
      <c r="D38" s="144" t="s">
        <v>67</v>
      </c>
      <c r="E38" s="146">
        <f>BEREMOU!AJ35</f>
        <v>0</v>
      </c>
      <c r="F38" s="146">
        <f>BEREMOU!AK35</f>
        <v>0</v>
      </c>
      <c r="G38" s="146">
        <f>BEREMOU!AL35</f>
        <v>0</v>
      </c>
      <c r="H38" s="149">
        <f t="shared" si="7"/>
        <v>0</v>
      </c>
      <c r="I38" s="146">
        <f>BEREMOU!AM35</f>
        <v>0</v>
      </c>
      <c r="J38" s="146">
        <f>BEREMOU!AN35</f>
        <v>0</v>
      </c>
      <c r="K38" s="146">
        <f>BEREMOU!AO35</f>
        <v>0</v>
      </c>
      <c r="L38" s="149">
        <f t="shared" si="8"/>
        <v>0</v>
      </c>
      <c r="M38" s="172">
        <f t="shared" si="9"/>
        <v>0</v>
      </c>
      <c r="N38" s="146">
        <f>BEREMOU!AP35</f>
        <v>0</v>
      </c>
      <c r="O38" s="146">
        <f>BEREMOU!AQ35</f>
        <v>0</v>
      </c>
      <c r="P38" s="146">
        <f>BEREMOU!AR35</f>
        <v>0</v>
      </c>
      <c r="Q38" s="149">
        <f t="shared" si="14"/>
        <v>0</v>
      </c>
      <c r="R38" s="172">
        <f t="shared" si="15"/>
        <v>0</v>
      </c>
      <c r="S38" s="146">
        <f>BEREMOU!AS35</f>
        <v>0</v>
      </c>
      <c r="T38" s="146">
        <f>BEREMOU!AT35</f>
        <v>0</v>
      </c>
      <c r="U38" s="146">
        <f>BEREMOU!AU35</f>
        <v>0</v>
      </c>
      <c r="V38" s="149">
        <f t="shared" si="16"/>
        <v>0</v>
      </c>
      <c r="W38" s="172">
        <f t="shared" si="17"/>
        <v>0</v>
      </c>
    </row>
    <row r="39" spans="3:23" ht="15.75">
      <c r="C39">
        <v>0.24124999999999999</v>
      </c>
      <c r="D39" s="144" t="s">
        <v>68</v>
      </c>
      <c r="E39" s="146">
        <f>BEREMOU!AJ36</f>
        <v>0</v>
      </c>
      <c r="F39" s="146">
        <f>BEREMOU!AK36</f>
        <v>0</v>
      </c>
      <c r="G39" s="146">
        <f>BEREMOU!AL36</f>
        <v>0</v>
      </c>
      <c r="H39" s="149">
        <f t="shared" si="7"/>
        <v>0</v>
      </c>
      <c r="I39" s="146">
        <f>BEREMOU!AM36</f>
        <v>0</v>
      </c>
      <c r="J39" s="146">
        <f>BEREMOU!AN36</f>
        <v>0</v>
      </c>
      <c r="K39" s="146">
        <f>BEREMOU!AO36</f>
        <v>0</v>
      </c>
      <c r="L39" s="149">
        <f t="shared" si="8"/>
        <v>0</v>
      </c>
      <c r="M39" s="172">
        <f t="shared" si="9"/>
        <v>0</v>
      </c>
      <c r="N39" s="146">
        <v>0</v>
      </c>
      <c r="O39" s="146">
        <v>0</v>
      </c>
      <c r="P39" s="146">
        <f>BEREMOU!AR36</f>
        <v>0</v>
      </c>
      <c r="Q39" s="149">
        <f t="shared" si="14"/>
        <v>0</v>
      </c>
      <c r="R39" s="172">
        <f t="shared" si="15"/>
        <v>0</v>
      </c>
      <c r="S39" s="146">
        <f>BEREMOU!AS36</f>
        <v>0</v>
      </c>
      <c r="T39" s="146">
        <f>BEREMOU!AT36</f>
        <v>0</v>
      </c>
      <c r="U39" s="146">
        <f>BEREMOU!AU36</f>
        <v>0</v>
      </c>
      <c r="V39" s="149">
        <f t="shared" si="16"/>
        <v>0</v>
      </c>
      <c r="W39" s="172">
        <f t="shared" si="17"/>
        <v>0</v>
      </c>
    </row>
    <row r="40" spans="3:23" ht="15.75">
      <c r="C40">
        <v>0.45</v>
      </c>
      <c r="D40" s="144" t="s">
        <v>69</v>
      </c>
      <c r="E40" s="146">
        <f>BEREMOU!AJ37</f>
        <v>0</v>
      </c>
      <c r="F40" s="146">
        <f>BEREMOU!AK37</f>
        <v>0</v>
      </c>
      <c r="G40" s="146">
        <f>BEREMOU!AL37</f>
        <v>0</v>
      </c>
      <c r="H40" s="149">
        <f t="shared" si="7"/>
        <v>0</v>
      </c>
      <c r="I40" s="146">
        <f>BEREMOU!AM37</f>
        <v>0</v>
      </c>
      <c r="J40" s="146">
        <f>BEREMOU!AN37</f>
        <v>0</v>
      </c>
      <c r="K40" s="146">
        <f>BEREMOU!AO37</f>
        <v>0</v>
      </c>
      <c r="L40" s="149">
        <f t="shared" si="8"/>
        <v>0</v>
      </c>
      <c r="M40" s="172">
        <f t="shared" si="9"/>
        <v>0</v>
      </c>
      <c r="N40" s="146">
        <f>BEREMOU!AP37</f>
        <v>0</v>
      </c>
      <c r="O40" s="146">
        <f>BEREMOU!AQ37</f>
        <v>0</v>
      </c>
      <c r="P40" s="146">
        <f>BEREMOU!AR37</f>
        <v>0</v>
      </c>
      <c r="Q40" s="149">
        <f t="shared" si="14"/>
        <v>0</v>
      </c>
      <c r="R40" s="172">
        <f t="shared" si="15"/>
        <v>0</v>
      </c>
      <c r="S40" s="146">
        <f>BEREMOU!AS37</f>
        <v>0</v>
      </c>
      <c r="T40" s="146">
        <f>BEREMOU!AT37</f>
        <v>0</v>
      </c>
      <c r="U40" s="146">
        <f>BEREMOU!AU37</f>
        <v>0</v>
      </c>
      <c r="V40" s="149">
        <f t="shared" si="16"/>
        <v>0</v>
      </c>
      <c r="W40" s="172">
        <f t="shared" si="17"/>
        <v>0</v>
      </c>
    </row>
    <row r="41" spans="3:23" ht="15.75">
      <c r="C41">
        <v>0.17</v>
      </c>
      <c r="D41" s="144" t="s">
        <v>70</v>
      </c>
      <c r="E41" s="146">
        <f>BEREMOU!AJ38</f>
        <v>7.1999999999999995E-2</v>
      </c>
      <c r="F41" s="146">
        <f>BEREMOU!AK38</f>
        <v>7.3999999999999996E-2</v>
      </c>
      <c r="G41" s="146">
        <f>BEREMOU!AL38</f>
        <v>7.1999999999999995E-2</v>
      </c>
      <c r="H41" s="149">
        <f t="shared" si="7"/>
        <v>0.21799999999999997</v>
      </c>
      <c r="I41" s="146">
        <f>BEREMOU!AM38</f>
        <v>7.3999999999999996E-2</v>
      </c>
      <c r="J41" s="146">
        <f>BEREMOU!AN38</f>
        <v>7.3999999999999996E-2</v>
      </c>
      <c r="K41" s="146">
        <f>BEREMOU!AO38</f>
        <v>7.1999999999999995E-2</v>
      </c>
      <c r="L41" s="149">
        <f t="shared" si="8"/>
        <v>0.21999999999999997</v>
      </c>
      <c r="M41" s="172">
        <f t="shared" si="9"/>
        <v>0.43799999999999994</v>
      </c>
      <c r="N41" s="146">
        <f>BEREMOU!AP38</f>
        <v>7.4230136986301376E-2</v>
      </c>
      <c r="O41" s="146">
        <f>BEREMOU!AQ38</f>
        <v>7.1999999999999995E-2</v>
      </c>
      <c r="P41" s="146">
        <f>BEREMOU!AR38</f>
        <v>7.3999999999999996E-2</v>
      </c>
      <c r="Q41" s="149">
        <f t="shared" si="10"/>
        <v>0.22023013698630139</v>
      </c>
      <c r="R41" s="172">
        <f t="shared" si="11"/>
        <v>0.65823013698630128</v>
      </c>
      <c r="S41" s="146">
        <f>BEREMOU!AS38</f>
        <v>7.3999999999999996E-2</v>
      </c>
      <c r="T41" s="146">
        <f>BEREMOU!AT38</f>
        <v>6.8000000000000005E-2</v>
      </c>
      <c r="U41" s="146">
        <f>BEREMOU!AU38</f>
        <v>7.3999999999999996E-2</v>
      </c>
      <c r="V41" s="149">
        <f t="shared" si="12"/>
        <v>0.21600000000000003</v>
      </c>
      <c r="W41" s="172">
        <f t="shared" si="13"/>
        <v>0.87423013698630125</v>
      </c>
    </row>
    <row r="42" spans="3:23" ht="15.75">
      <c r="D42" s="144" t="s">
        <v>92</v>
      </c>
      <c r="E42" s="152">
        <f>SUM(E28:E41)</f>
        <v>0.21000000000000002</v>
      </c>
      <c r="F42" s="152">
        <f>SUM(F28:F41)</f>
        <v>0.21600000000000003</v>
      </c>
      <c r="G42" s="152">
        <f>SUM(G28:G41)</f>
        <v>0.21000000000000002</v>
      </c>
      <c r="H42" s="149">
        <f t="shared" si="7"/>
        <v>0.63600000000000012</v>
      </c>
      <c r="I42" s="152">
        <f>SUM(I28:I41)</f>
        <v>0.21700000000000003</v>
      </c>
      <c r="J42" s="152">
        <f>SUM(J28:J41)</f>
        <v>0.21600000000000003</v>
      </c>
      <c r="K42" s="152">
        <f>SUM(K28:K41)</f>
        <v>0.21200000000000002</v>
      </c>
      <c r="L42" s="149">
        <f t="shared" si="8"/>
        <v>0.64500000000000002</v>
      </c>
      <c r="M42" s="172">
        <f t="shared" si="9"/>
        <v>1.2810000000000001</v>
      </c>
      <c r="N42" s="152">
        <f>SUM(N28:N41)</f>
        <v>0.2176164383561644</v>
      </c>
      <c r="O42" s="152">
        <f>SUM(O28:O41)</f>
        <v>0.21400000000000002</v>
      </c>
      <c r="P42" s="152">
        <f>SUM(P28:P41)</f>
        <v>0.22100000000000003</v>
      </c>
      <c r="Q42" s="149">
        <f t="shared" si="10"/>
        <v>0.65261643835616445</v>
      </c>
      <c r="R42" s="172">
        <f t="shared" si="11"/>
        <v>1.9336164383561645</v>
      </c>
      <c r="S42" s="152">
        <f>SUM(S28:S41)</f>
        <v>0.22200000000000003</v>
      </c>
      <c r="T42" s="152">
        <f>SUM(T28:T41)</f>
        <v>0.19700000000000001</v>
      </c>
      <c r="U42" s="152">
        <f>SUM(U28:U41)</f>
        <v>0.22100000000000003</v>
      </c>
      <c r="V42" s="149">
        <f t="shared" si="12"/>
        <v>0.64000000000000012</v>
      </c>
      <c r="W42" s="172">
        <f t="shared" si="13"/>
        <v>2.5736164383561646</v>
      </c>
    </row>
    <row r="44" spans="3:23">
      <c r="W44" s="1075">
        <f>W22+W42</f>
        <v>9.8256164383561657</v>
      </c>
    </row>
    <row r="47" spans="3:23">
      <c r="D47" s="1110" t="s">
        <v>88</v>
      </c>
      <c r="E47" s="1111"/>
      <c r="F47" s="1111"/>
      <c r="G47" s="1111"/>
      <c r="H47" s="1111"/>
      <c r="I47" s="1111"/>
      <c r="J47" s="1111"/>
      <c r="K47" s="1111"/>
      <c r="L47" s="1111"/>
      <c r="M47" s="1111"/>
      <c r="N47" s="1111"/>
      <c r="O47" s="1111"/>
      <c r="P47" s="1111"/>
      <c r="Q47" s="1111"/>
      <c r="R47" s="1111"/>
      <c r="S47" s="1111"/>
      <c r="T47" s="1111"/>
      <c r="U47" s="1111"/>
      <c r="V47" s="1111"/>
      <c r="W47" s="1112"/>
    </row>
    <row r="48" spans="3:23">
      <c r="D48" s="144"/>
      <c r="E48" s="144" t="s">
        <v>30</v>
      </c>
      <c r="F48" s="144" t="s">
        <v>71</v>
      </c>
      <c r="G48" s="144" t="s">
        <v>72</v>
      </c>
      <c r="H48" s="142" t="s">
        <v>82</v>
      </c>
      <c r="I48" s="144" t="s">
        <v>73</v>
      </c>
      <c r="J48" s="144" t="s">
        <v>74</v>
      </c>
      <c r="K48" s="144" t="s">
        <v>75</v>
      </c>
      <c r="L48" s="142" t="s">
        <v>83</v>
      </c>
      <c r="M48" s="168" t="s">
        <v>39</v>
      </c>
      <c r="N48" s="144" t="s">
        <v>76</v>
      </c>
      <c r="O48" s="144" t="s">
        <v>77</v>
      </c>
      <c r="P48" s="144" t="s">
        <v>78</v>
      </c>
      <c r="Q48" s="142" t="s">
        <v>84</v>
      </c>
      <c r="R48" s="168" t="s">
        <v>85</v>
      </c>
      <c r="S48" s="144" t="s">
        <v>79</v>
      </c>
      <c r="T48" s="144" t="s">
        <v>80</v>
      </c>
      <c r="U48" s="144" t="s">
        <v>81</v>
      </c>
      <c r="V48" s="142" t="s">
        <v>86</v>
      </c>
      <c r="W48" s="168" t="s">
        <v>87</v>
      </c>
    </row>
    <row r="49" spans="1:23" ht="15.75">
      <c r="C49">
        <v>0.2</v>
      </c>
      <c r="D49" s="144" t="s">
        <v>60</v>
      </c>
      <c r="E49" s="141">
        <f>(E8/$C8)*1000000*$B8*(1/E$5)</f>
        <v>141641.66666666666</v>
      </c>
      <c r="F49" s="141">
        <f t="shared" ref="F49:K49" si="18">(F8/$C8)*1000000*$B8*(1/F$5)</f>
        <v>140648.38709677418</v>
      </c>
      <c r="G49" s="141">
        <f t="shared" si="18"/>
        <v>140410</v>
      </c>
      <c r="H49" s="143">
        <f t="shared" si="18"/>
        <v>140897.25274725273</v>
      </c>
      <c r="I49" s="141">
        <f t="shared" si="18"/>
        <v>140648.38709677418</v>
      </c>
      <c r="J49" s="141">
        <f t="shared" si="18"/>
        <v>139456.45161290321</v>
      </c>
      <c r="K49" s="141">
        <f t="shared" si="18"/>
        <v>141641.66666666666</v>
      </c>
      <c r="L49" s="143">
        <f t="shared" ref="L49:V49" si="19">(L8/$C8)*1000000*$B8*(1/L$5)</f>
        <v>140570.65217391303</v>
      </c>
      <c r="M49" s="169">
        <f t="shared" si="19"/>
        <v>140733.0601092896</v>
      </c>
      <c r="N49" s="141">
        <f t="shared" si="19"/>
        <v>139456.45161290321</v>
      </c>
      <c r="O49" s="141">
        <f t="shared" si="19"/>
        <v>137946.66666666666</v>
      </c>
      <c r="P49" s="141">
        <f t="shared" si="19"/>
        <v>135880.64516129033</v>
      </c>
      <c r="Q49" s="143">
        <f t="shared" si="19"/>
        <v>137759.23913043478</v>
      </c>
      <c r="R49" s="169">
        <f t="shared" si="19"/>
        <v>139738.18181818182</v>
      </c>
      <c r="S49" s="141">
        <f t="shared" si="19"/>
        <v>134688.70967741936</v>
      </c>
      <c r="T49" s="141">
        <f t="shared" si="19"/>
        <v>135923.21428571423</v>
      </c>
      <c r="U49" s="141">
        <f t="shared" si="19"/>
        <v>134688.70967741936</v>
      </c>
      <c r="V49" s="143">
        <f t="shared" si="19"/>
        <v>135072.77777777778</v>
      </c>
      <c r="W49" s="169">
        <f>(W8/$C8)*1000000*$B8*(1/W$5)</f>
        <v>138587.80821917808</v>
      </c>
    </row>
    <row r="50" spans="1:23" ht="15.75">
      <c r="C50">
        <v>0.26</v>
      </c>
      <c r="D50" s="144" t="s">
        <v>61</v>
      </c>
      <c r="E50" s="141">
        <f t="shared" ref="E50:K50" si="20">(E9/$C9)*1000000*$B9*(1/E$5)</f>
        <v>174553.84615384613</v>
      </c>
      <c r="F50" s="141">
        <f t="shared" si="20"/>
        <v>174461.53846153844</v>
      </c>
      <c r="G50" s="141">
        <f t="shared" si="20"/>
        <v>175507.69230769231</v>
      </c>
      <c r="H50" s="143">
        <f t="shared" si="20"/>
        <v>174836.8554522401</v>
      </c>
      <c r="I50" s="141">
        <f t="shared" si="20"/>
        <v>174461.53846153844</v>
      </c>
      <c r="J50" s="141">
        <f t="shared" si="20"/>
        <v>174461.53846153844</v>
      </c>
      <c r="K50" s="141">
        <f t="shared" si="20"/>
        <v>174553.84615384613</v>
      </c>
      <c r="L50" s="143">
        <f t="shared" ref="L50:V50" si="21">(L9/$C9)*1000000*$B9*(1/L$5)</f>
        <v>174491.6387959866</v>
      </c>
      <c r="M50" s="169">
        <f t="shared" si="21"/>
        <v>174663.30390920554</v>
      </c>
      <c r="N50" s="141">
        <f t="shared" si="21"/>
        <v>174461.53846153844</v>
      </c>
      <c r="O50" s="141">
        <f t="shared" si="21"/>
        <v>174553.84615384613</v>
      </c>
      <c r="P50" s="141">
        <f t="shared" si="21"/>
        <v>174461.53846153844</v>
      </c>
      <c r="Q50" s="143">
        <f t="shared" si="21"/>
        <v>174491.6387959866</v>
      </c>
      <c r="R50" s="169">
        <f t="shared" si="21"/>
        <v>174605.87412587414</v>
      </c>
      <c r="S50" s="141">
        <f t="shared" si="21"/>
        <v>174461.53846153844</v>
      </c>
      <c r="T50" s="141">
        <f t="shared" si="21"/>
        <v>174758.24175824175</v>
      </c>
      <c r="U50" s="141">
        <f t="shared" si="21"/>
        <v>174461.53846153844</v>
      </c>
      <c r="V50" s="143">
        <f t="shared" si="21"/>
        <v>174553.84615384613</v>
      </c>
      <c r="W50" s="169">
        <f t="shared" ref="W50:W62" si="22">(W9/$C9)*1000000*$B9*(1/W$5)</f>
        <v>174593.04531085351</v>
      </c>
    </row>
    <row r="51" spans="1:23" ht="15.75">
      <c r="C51">
        <v>1</v>
      </c>
      <c r="D51" s="144" t="s">
        <v>62</v>
      </c>
      <c r="E51" s="141">
        <f t="shared" ref="E51:K51" si="23">(E10/$C10)*1000000*$B10*(1/E$5)</f>
        <v>2026.6666666666667</v>
      </c>
      <c r="F51" s="141">
        <f t="shared" si="23"/>
        <v>1961.2903225806451</v>
      </c>
      <c r="G51" s="141">
        <f t="shared" si="23"/>
        <v>2026.6666666666667</v>
      </c>
      <c r="H51" s="143">
        <f t="shared" si="23"/>
        <v>2004.3956043956046</v>
      </c>
      <c r="I51" s="141">
        <f t="shared" si="23"/>
        <v>2206.4516129032259</v>
      </c>
      <c r="J51" s="141">
        <f t="shared" si="23"/>
        <v>2206.4516129032259</v>
      </c>
      <c r="K51" s="141">
        <f t="shared" si="23"/>
        <v>2026.6666666666667</v>
      </c>
      <c r="L51" s="143">
        <f t="shared" ref="L51:V51" si="24">(L10/$C10)*1000000*$B10*(1/L$5)</f>
        <v>2147.8260869565215</v>
      </c>
      <c r="M51" s="169">
        <f t="shared" si="24"/>
        <v>2076.5027322404371</v>
      </c>
      <c r="N51" s="141">
        <f t="shared" si="24"/>
        <v>2206.4516129032259</v>
      </c>
      <c r="O51" s="141">
        <f>(O10/$C10)*1000000*$B10*(1/O$5)</f>
        <v>2026.6666666666667</v>
      </c>
      <c r="P51" s="141">
        <f t="shared" si="24"/>
        <v>1961.2903225806451</v>
      </c>
      <c r="Q51" s="143">
        <f t="shared" si="24"/>
        <v>2065.217391304348</v>
      </c>
      <c r="R51" s="169">
        <f t="shared" si="24"/>
        <v>2072.727272727273</v>
      </c>
      <c r="S51" s="141">
        <f t="shared" si="24"/>
        <v>2206.4516129032259</v>
      </c>
      <c r="T51" s="141">
        <f t="shared" si="24"/>
        <v>2171.4285714285711</v>
      </c>
      <c r="U51" s="141">
        <f t="shared" si="24"/>
        <v>2206.4516129032259</v>
      </c>
      <c r="V51" s="143">
        <f t="shared" si="24"/>
        <v>2195.5555555555561</v>
      </c>
      <c r="W51" s="169">
        <f t="shared" si="22"/>
        <v>2103.0136986301368</v>
      </c>
    </row>
    <row r="52" spans="1:23" ht="15.75">
      <c r="A52">
        <v>2.9250000000000002E-2</v>
      </c>
      <c r="C52">
        <v>2.9250000000000002E-2</v>
      </c>
      <c r="D52" s="144" t="s">
        <v>57</v>
      </c>
      <c r="E52" s="141">
        <f t="shared" ref="E52:K52" si="25">(E11/$C11)*1000000*$B11*(1/E$5)</f>
        <v>329777.77777777775</v>
      </c>
      <c r="F52" s="141">
        <f t="shared" si="25"/>
        <v>327322.85635511437</v>
      </c>
      <c r="G52" s="141">
        <f t="shared" si="25"/>
        <v>329777.77777777775</v>
      </c>
      <c r="H52" s="143">
        <f t="shared" si="25"/>
        <v>328941.4858645628</v>
      </c>
      <c r="I52" s="141">
        <f t="shared" si="25"/>
        <v>327322.85635511437</v>
      </c>
      <c r="J52" s="141">
        <f t="shared" si="25"/>
        <v>327322.85635511437</v>
      </c>
      <c r="K52" s="141">
        <f t="shared" si="25"/>
        <v>329777.77777777775</v>
      </c>
      <c r="L52" s="143">
        <f t="shared" ref="L52:V52" si="26">(L11/$C11)*1000000*$B11*(1/L$5)</f>
        <v>328123.37421033072</v>
      </c>
      <c r="M52" s="169">
        <f t="shared" si="26"/>
        <v>328530.19475970295</v>
      </c>
      <c r="N52" s="141">
        <f t="shared" si="26"/>
        <v>319139.78494623653</v>
      </c>
      <c r="O52" s="141">
        <f t="shared" si="26"/>
        <v>329777.77777777775</v>
      </c>
      <c r="P52" s="141">
        <f t="shared" si="26"/>
        <v>327322.85635511437</v>
      </c>
      <c r="Q52" s="143">
        <f t="shared" si="26"/>
        <v>325366.0349312523</v>
      </c>
      <c r="R52" s="169">
        <f t="shared" si="26"/>
        <v>327471.63947163947</v>
      </c>
      <c r="S52" s="141">
        <f t="shared" si="26"/>
        <v>327322.85635511437</v>
      </c>
      <c r="T52" s="141">
        <f t="shared" si="26"/>
        <v>326153.84615384607</v>
      </c>
      <c r="U52" s="141">
        <f t="shared" si="26"/>
        <v>327322.85635511437</v>
      </c>
      <c r="V52" s="143">
        <f t="shared" si="26"/>
        <v>326959.16429249762</v>
      </c>
      <c r="W52" s="169">
        <f t="shared" si="22"/>
        <v>327345.27572883735</v>
      </c>
    </row>
    <row r="53" spans="1:23" ht="15.75">
      <c r="C53">
        <v>0.27</v>
      </c>
      <c r="D53" s="144" t="s">
        <v>58</v>
      </c>
      <c r="E53" s="141">
        <f t="shared" ref="E53:K54" si="27">(E12/$C12)*1000000*$B12*(1/E$5)</f>
        <v>23826.543209876545</v>
      </c>
      <c r="F53" s="141">
        <f t="shared" si="27"/>
        <v>23057.945041816012</v>
      </c>
      <c r="G53" s="141">
        <f t="shared" si="27"/>
        <v>23826.543209876545</v>
      </c>
      <c r="H53" s="143">
        <f t="shared" si="27"/>
        <v>23564.713064713069</v>
      </c>
      <c r="I53" s="141">
        <f t="shared" si="27"/>
        <v>23853.046594982079</v>
      </c>
      <c r="J53" s="141">
        <f t="shared" si="27"/>
        <v>23057.945041816012</v>
      </c>
      <c r="K53" s="141">
        <f t="shared" si="27"/>
        <v>23826.543209876545</v>
      </c>
      <c r="L53" s="143">
        <f t="shared" ref="L53:V54" si="28">(L12/$C12)*1000000*$B12*(1/L$5)</f>
        <v>23576.48953301127</v>
      </c>
      <c r="M53" s="169">
        <f t="shared" si="28"/>
        <v>23570.633475005056</v>
      </c>
      <c r="N53" s="141">
        <f t="shared" si="28"/>
        <v>23853.046594982079</v>
      </c>
      <c r="O53" s="141">
        <f t="shared" si="28"/>
        <v>23826.543209876545</v>
      </c>
      <c r="P53" s="141">
        <f t="shared" si="28"/>
        <v>23853.046594982079</v>
      </c>
      <c r="Q53" s="143">
        <f t="shared" si="28"/>
        <v>23844.404186795491</v>
      </c>
      <c r="R53" s="169">
        <f t="shared" si="28"/>
        <v>23662.222222222223</v>
      </c>
      <c r="S53" s="141">
        <f t="shared" si="28"/>
        <v>23853.046594982079</v>
      </c>
      <c r="T53" s="141">
        <f t="shared" si="28"/>
        <v>23767.857142857138</v>
      </c>
      <c r="U53" s="141">
        <f t="shared" si="28"/>
        <v>23057.945041816012</v>
      </c>
      <c r="V53" s="143">
        <f t="shared" si="28"/>
        <v>23552.674897119341</v>
      </c>
      <c r="W53" s="169">
        <f t="shared" si="22"/>
        <v>23635.210553018769</v>
      </c>
    </row>
    <row r="54" spans="1:23" ht="15.75">
      <c r="C54">
        <v>0.5</v>
      </c>
      <c r="D54" s="144" t="s">
        <v>59</v>
      </c>
      <c r="E54" s="141">
        <f t="shared" si="27"/>
        <v>5424</v>
      </c>
      <c r="F54" s="141">
        <f t="shared" si="27"/>
        <v>5249.0322580645161</v>
      </c>
      <c r="G54" s="141">
        <f t="shared" si="27"/>
        <v>5424</v>
      </c>
      <c r="H54" s="143">
        <f t="shared" si="27"/>
        <v>5364.3956043956059</v>
      </c>
      <c r="I54" s="141">
        <f t="shared" si="27"/>
        <v>5686.4516129032254</v>
      </c>
      <c r="J54" s="141">
        <f t="shared" si="27"/>
        <v>5686.4516129032254</v>
      </c>
      <c r="K54" s="141">
        <f t="shared" si="27"/>
        <v>5424</v>
      </c>
      <c r="L54" s="143">
        <f t="shared" si="28"/>
        <v>5600.869565217391</v>
      </c>
      <c r="M54" s="169">
        <f t="shared" si="28"/>
        <v>5483.2786885245914</v>
      </c>
      <c r="N54" s="141">
        <f t="shared" si="28"/>
        <v>5249.0322580645161</v>
      </c>
      <c r="O54" s="141">
        <f t="shared" si="28"/>
        <v>5424</v>
      </c>
      <c r="P54" s="141">
        <f t="shared" si="28"/>
        <v>5686.4516129032254</v>
      </c>
      <c r="Q54" s="143">
        <f t="shared" si="28"/>
        <v>5453.478260869565</v>
      </c>
      <c r="R54" s="169">
        <f t="shared" si="28"/>
        <v>5473.3090909090915</v>
      </c>
      <c r="S54" s="141">
        <f t="shared" si="28"/>
        <v>5686.4516129032254</v>
      </c>
      <c r="T54" s="141">
        <f t="shared" si="28"/>
        <v>5327.1428571428569</v>
      </c>
      <c r="U54" s="141">
        <f t="shared" si="28"/>
        <v>5249.0322580645161</v>
      </c>
      <c r="V54" s="143">
        <f t="shared" si="28"/>
        <v>5424.0000000000018</v>
      </c>
      <c r="W54" s="169">
        <f t="shared" si="22"/>
        <v>5461.1506849315083</v>
      </c>
    </row>
    <row r="55" spans="1:23" ht="15.75">
      <c r="C55">
        <v>0.7</v>
      </c>
      <c r="D55" s="144" t="s">
        <v>63</v>
      </c>
      <c r="E55" s="141">
        <f t="shared" ref="E55:K55" si="29">(E14/$C14)*1000000*$B14*(1/E$5)</f>
        <v>22200.000000000004</v>
      </c>
      <c r="F55" s="141">
        <f t="shared" si="29"/>
        <v>22165.898617511521</v>
      </c>
      <c r="G55" s="141">
        <f t="shared" si="29"/>
        <v>22552.380952380958</v>
      </c>
      <c r="H55" s="143">
        <f t="shared" si="29"/>
        <v>22304.552590266881</v>
      </c>
      <c r="I55" s="141">
        <f t="shared" si="29"/>
        <v>22165.898617511521</v>
      </c>
      <c r="J55" s="141">
        <f t="shared" si="29"/>
        <v>22165.898617511521</v>
      </c>
      <c r="K55" s="141">
        <f t="shared" si="29"/>
        <v>22552.380952380958</v>
      </c>
      <c r="L55" s="143">
        <f t="shared" ref="L55:V55" si="30">(L14/$C14)*1000000*$B14*(1/L$5)</f>
        <v>22291.925465838514</v>
      </c>
      <c r="M55" s="169">
        <f t="shared" si="30"/>
        <v>22298.204527712729</v>
      </c>
      <c r="N55" s="141">
        <f t="shared" si="30"/>
        <v>22165.898617511521</v>
      </c>
      <c r="O55" s="141">
        <f t="shared" si="30"/>
        <v>22200.000000000004</v>
      </c>
      <c r="P55" s="141">
        <f t="shared" si="30"/>
        <v>22165.898617511521</v>
      </c>
      <c r="Q55" s="143">
        <f t="shared" si="30"/>
        <v>22177.018633540374</v>
      </c>
      <c r="R55" s="169">
        <f t="shared" si="30"/>
        <v>22257.662337662339</v>
      </c>
      <c r="S55" s="141">
        <f t="shared" si="30"/>
        <v>22165.898617511521</v>
      </c>
      <c r="T55" s="141">
        <f t="shared" si="30"/>
        <v>22653.061224489797</v>
      </c>
      <c r="U55" s="141">
        <f t="shared" si="30"/>
        <v>22506.912442396315</v>
      </c>
      <c r="V55" s="143">
        <f t="shared" si="30"/>
        <v>22434.920634920636</v>
      </c>
      <c r="W55" s="169">
        <f t="shared" si="22"/>
        <v>22301.369863013701</v>
      </c>
    </row>
    <row r="56" spans="1:23" ht="15.75">
      <c r="C56">
        <v>0.11</v>
      </c>
      <c r="D56" s="144" t="s">
        <v>64</v>
      </c>
      <c r="E56" s="141">
        <f t="shared" ref="E56:K56" si="31">(E15/$C15)*1000000*$B15*(1/E$5)</f>
        <v>7563.6363636363631</v>
      </c>
      <c r="F56" s="141">
        <f t="shared" si="31"/>
        <v>9149.5601173020532</v>
      </c>
      <c r="G56" s="141">
        <f t="shared" si="31"/>
        <v>7563.6363636363631</v>
      </c>
      <c r="H56" s="143">
        <f t="shared" si="31"/>
        <v>8103.8961038961052</v>
      </c>
      <c r="I56" s="141">
        <f t="shared" si="31"/>
        <v>7319.6480938416407</v>
      </c>
      <c r="J56" s="141">
        <f t="shared" si="31"/>
        <v>9149.5601173020532</v>
      </c>
      <c r="K56" s="141">
        <f t="shared" si="31"/>
        <v>7563.6363636363631</v>
      </c>
      <c r="L56" s="143">
        <f t="shared" ref="L56:V56" si="32">(L15/$C15)*1000000*$B15*(1/L$5)</f>
        <v>8015.8102766798429</v>
      </c>
      <c r="M56" s="169">
        <f t="shared" si="32"/>
        <v>8059.6125186289128</v>
      </c>
      <c r="N56" s="141">
        <f t="shared" si="32"/>
        <v>7319.6480938416407</v>
      </c>
      <c r="O56" s="141">
        <f t="shared" si="32"/>
        <v>7563.6363636363631</v>
      </c>
      <c r="P56" s="141">
        <f t="shared" si="32"/>
        <v>7319.6480938416407</v>
      </c>
      <c r="Q56" s="143">
        <f t="shared" si="32"/>
        <v>7399.2094861660089</v>
      </c>
      <c r="R56" s="169">
        <f t="shared" si="32"/>
        <v>7838.6776859504153</v>
      </c>
      <c r="S56" s="141">
        <f t="shared" si="32"/>
        <v>7319.6480938416407</v>
      </c>
      <c r="T56" s="141">
        <f t="shared" si="32"/>
        <v>8103.8961038961024</v>
      </c>
      <c r="U56" s="141">
        <f t="shared" si="32"/>
        <v>7319.6480938416407</v>
      </c>
      <c r="V56" s="143">
        <f t="shared" si="32"/>
        <v>7563.6363636363649</v>
      </c>
      <c r="W56" s="169">
        <f t="shared" si="22"/>
        <v>7770.8592777085942</v>
      </c>
    </row>
    <row r="57" spans="1:23" ht="15.75">
      <c r="C57">
        <v>0.4</v>
      </c>
      <c r="D57" s="144" t="s">
        <v>65</v>
      </c>
      <c r="E57" s="141">
        <f t="shared" ref="E57:K57" si="33">(E16/$C16)*1000000*$B16*(1/E$5)</f>
        <v>4927.4999999999991</v>
      </c>
      <c r="F57" s="141">
        <f t="shared" si="33"/>
        <v>5298.3870967741923</v>
      </c>
      <c r="G57" s="141">
        <f t="shared" si="33"/>
        <v>5474.9999999999991</v>
      </c>
      <c r="H57" s="143">
        <f t="shared" si="33"/>
        <v>5234.3406593406598</v>
      </c>
      <c r="I57" s="141">
        <f t="shared" si="33"/>
        <v>5298.3870967741923</v>
      </c>
      <c r="J57" s="942" t="s">
        <v>135</v>
      </c>
      <c r="K57" s="141">
        <f t="shared" si="33"/>
        <v>4927.4999999999991</v>
      </c>
      <c r="L57" s="143">
        <f t="shared" ref="L57:V57" si="34">(L16/$C16)*1000000*$B16*(1/L$5)</f>
        <v>5177.445652173913</v>
      </c>
      <c r="M57" s="169">
        <f t="shared" si="34"/>
        <v>5205.7377049180332</v>
      </c>
      <c r="N57" s="141">
        <f t="shared" si="34"/>
        <v>5298.3870967741923</v>
      </c>
      <c r="O57" s="141">
        <f t="shared" si="34"/>
        <v>4927.4999999999991</v>
      </c>
      <c r="P57" s="141">
        <f t="shared" si="34"/>
        <v>5298.3870967741923</v>
      </c>
      <c r="Q57" s="143">
        <f t="shared" si="34"/>
        <v>5177.445652173913</v>
      </c>
      <c r="R57" s="169">
        <f t="shared" si="34"/>
        <v>5196.2727272727261</v>
      </c>
      <c r="S57" s="141">
        <f t="shared" si="34"/>
        <v>5298.3870967741923</v>
      </c>
      <c r="T57" s="141">
        <f t="shared" si="34"/>
        <v>5279.4642857142844</v>
      </c>
      <c r="U57" s="141">
        <f t="shared" si="34"/>
        <v>5298.3870967741923</v>
      </c>
      <c r="V57" s="143">
        <f t="shared" si="34"/>
        <v>5292.5</v>
      </c>
      <c r="W57" s="169">
        <f t="shared" si="22"/>
        <v>5220</v>
      </c>
    </row>
    <row r="58" spans="1:23" ht="15.75">
      <c r="C58">
        <v>0.04</v>
      </c>
      <c r="D58" s="144" t="s">
        <v>66</v>
      </c>
      <c r="E58" s="141">
        <f t="shared" ref="E58:K58" si="35">(E17/$C17)*1000000*$B17*(1/E$5)</f>
        <v>431800.00000000006</v>
      </c>
      <c r="F58" s="141">
        <f t="shared" si="35"/>
        <v>430161.29032258067</v>
      </c>
      <c r="G58" s="141">
        <f t="shared" si="35"/>
        <v>431800.00000000006</v>
      </c>
      <c r="H58" s="143">
        <f t="shared" si="35"/>
        <v>431241.75824175827</v>
      </c>
      <c r="I58" s="141">
        <f t="shared" si="35"/>
        <v>430161.29032258067</v>
      </c>
      <c r="J58" s="141">
        <f t="shared" si="35"/>
        <v>430161.29032258067</v>
      </c>
      <c r="K58" s="141">
        <f t="shared" si="35"/>
        <v>431800.00000000006</v>
      </c>
      <c r="L58" s="143">
        <f t="shared" ref="L58:V58" si="36">(L17/$C17)*1000000*$B17*(1/L$5)</f>
        <v>430695.65217391303</v>
      </c>
      <c r="M58" s="169">
        <f t="shared" si="36"/>
        <v>430967.21311475418</v>
      </c>
      <c r="N58" s="141">
        <f t="shared" si="36"/>
        <v>430161.29032258067</v>
      </c>
      <c r="O58" s="141">
        <f t="shared" si="36"/>
        <v>431800.00000000006</v>
      </c>
      <c r="P58" s="141">
        <f t="shared" si="36"/>
        <v>430161.29032258067</v>
      </c>
      <c r="Q58" s="143">
        <f t="shared" si="36"/>
        <v>430695.65217391303</v>
      </c>
      <c r="R58" s="169">
        <f t="shared" si="36"/>
        <v>430876.36363636371</v>
      </c>
      <c r="S58" s="141">
        <f t="shared" si="36"/>
        <v>430161.29032258067</v>
      </c>
      <c r="T58" s="141">
        <f t="shared" si="36"/>
        <v>435428.57142857142</v>
      </c>
      <c r="U58" s="141">
        <f t="shared" si="36"/>
        <v>430161.29032258067</v>
      </c>
      <c r="V58" s="143">
        <f t="shared" si="36"/>
        <v>431800.00000000012</v>
      </c>
      <c r="W58" s="169">
        <f t="shared" si="22"/>
        <v>431104.10958904115</v>
      </c>
    </row>
    <row r="59" spans="1:23" ht="15.75">
      <c r="C59">
        <v>0.25</v>
      </c>
      <c r="D59" s="144" t="s">
        <v>67</v>
      </c>
      <c r="E59" s="141">
        <f t="shared" ref="E59:K59" si="37">(E18/$C18)*1000000*$B18*(1/E$5)</f>
        <v>52560</v>
      </c>
      <c r="F59" s="141">
        <f t="shared" si="37"/>
        <v>52748.38709677419</v>
      </c>
      <c r="G59" s="141">
        <f t="shared" si="37"/>
        <v>52560</v>
      </c>
      <c r="H59" s="143">
        <f t="shared" si="37"/>
        <v>52624.175824175829</v>
      </c>
      <c r="I59" s="141">
        <f t="shared" si="37"/>
        <v>51806.451612903227</v>
      </c>
      <c r="J59" s="141">
        <f t="shared" si="37"/>
        <v>52748.38709677419</v>
      </c>
      <c r="K59" s="141">
        <f t="shared" si="37"/>
        <v>52560</v>
      </c>
      <c r="L59" s="143">
        <f t="shared" ref="L59:V59" si="38">(L18/$C18)*1000000*$B18*(1/L$5)</f>
        <v>52369.565217391304</v>
      </c>
      <c r="M59" s="169">
        <f t="shared" si="38"/>
        <v>52496.174863387976</v>
      </c>
      <c r="N59" s="141">
        <f t="shared" si="38"/>
        <v>52748.38709677419</v>
      </c>
      <c r="O59" s="141">
        <f t="shared" si="38"/>
        <v>52560</v>
      </c>
      <c r="P59" s="141">
        <f t="shared" si="38"/>
        <v>52748.38709677419</v>
      </c>
      <c r="Q59" s="143">
        <f t="shared" si="38"/>
        <v>52686.956521739128</v>
      </c>
      <c r="R59" s="169">
        <f t="shared" si="38"/>
        <v>52560</v>
      </c>
      <c r="S59" s="141">
        <f t="shared" si="38"/>
        <v>50864.516129032258</v>
      </c>
      <c r="T59" s="141">
        <f t="shared" si="38"/>
        <v>52142.857142857138</v>
      </c>
      <c r="U59" s="141">
        <f t="shared" si="38"/>
        <v>52748.38709677419</v>
      </c>
      <c r="V59" s="143">
        <f t="shared" si="38"/>
        <v>51911.111111111109</v>
      </c>
      <c r="W59" s="169">
        <f t="shared" si="22"/>
        <v>52400</v>
      </c>
    </row>
    <row r="60" spans="1:23" ht="15.75">
      <c r="C60">
        <v>0.24124999999999999</v>
      </c>
      <c r="D60" s="144" t="s">
        <v>68</v>
      </c>
      <c r="E60" s="141">
        <f t="shared" ref="E60:K60" si="39">(E19/$C19)*1000000*$B19*(1/E$5)</f>
        <v>13153.713298791021</v>
      </c>
      <c r="F60" s="141">
        <f t="shared" si="39"/>
        <v>12729.399966571955</v>
      </c>
      <c r="G60" s="141">
        <f t="shared" si="39"/>
        <v>13153.713298791021</v>
      </c>
      <c r="H60" s="143">
        <f t="shared" si="39"/>
        <v>13009.166998804307</v>
      </c>
      <c r="I60" s="141">
        <f t="shared" si="39"/>
        <v>13638.642821327092</v>
      </c>
      <c r="J60" s="141">
        <f t="shared" si="39"/>
        <v>12729.399966571955</v>
      </c>
      <c r="K60" s="141">
        <f t="shared" si="39"/>
        <v>13153.713298791021</v>
      </c>
      <c r="L60" s="143">
        <f t="shared" ref="L60:V60" si="40">(L19/$C19)*1000000*$B19*(1/L$5)</f>
        <v>13174.138319441314</v>
      </c>
      <c r="M60" s="169">
        <f t="shared" si="40"/>
        <v>13092.103400436024</v>
      </c>
      <c r="N60" s="141">
        <f t="shared" si="40"/>
        <v>13638.642821327092</v>
      </c>
      <c r="O60" s="141">
        <f t="shared" si="40"/>
        <v>13153.713298791021</v>
      </c>
      <c r="P60" s="141">
        <f t="shared" si="40"/>
        <v>13638.642821327092</v>
      </c>
      <c r="Q60" s="143">
        <f t="shared" si="40"/>
        <v>13480.513629195766</v>
      </c>
      <c r="R60" s="169">
        <f t="shared" si="40"/>
        <v>13222.044276966557</v>
      </c>
      <c r="S60" s="141">
        <f t="shared" si="40"/>
        <v>12729.399966571955</v>
      </c>
      <c r="T60" s="141">
        <f t="shared" si="40"/>
        <v>13086.60251665433</v>
      </c>
      <c r="U60" s="141">
        <f t="shared" si="40"/>
        <v>12729.399966571955</v>
      </c>
      <c r="V60" s="143">
        <f t="shared" si="40"/>
        <v>12840.529648819804</v>
      </c>
      <c r="W60" s="169">
        <f t="shared" si="22"/>
        <v>13127.972176875577</v>
      </c>
    </row>
    <row r="61" spans="1:23" ht="15.75">
      <c r="C61">
        <v>0.45</v>
      </c>
      <c r="D61" s="144" t="s">
        <v>69</v>
      </c>
      <c r="E61" s="141">
        <f t="shared" ref="E61:K61" si="41">(E20/$C20)*1000000*$B20*(1/E$5)</f>
        <v>0</v>
      </c>
      <c r="F61" s="141">
        <f t="shared" si="41"/>
        <v>0</v>
      </c>
      <c r="G61" s="141">
        <f t="shared" si="41"/>
        <v>0</v>
      </c>
      <c r="H61" s="143">
        <f t="shared" si="41"/>
        <v>0</v>
      </c>
      <c r="I61" s="141">
        <f t="shared" si="41"/>
        <v>0</v>
      </c>
      <c r="J61" s="141">
        <f t="shared" si="41"/>
        <v>0</v>
      </c>
      <c r="K61" s="141">
        <f t="shared" si="41"/>
        <v>0</v>
      </c>
      <c r="L61" s="143">
        <f t="shared" ref="L61:V61" si="42">(L20/$C20)*1000000*$B20*(1/L$5)</f>
        <v>0</v>
      </c>
      <c r="M61" s="169">
        <f t="shared" si="42"/>
        <v>0</v>
      </c>
      <c r="N61" s="141">
        <f t="shared" si="42"/>
        <v>0</v>
      </c>
      <c r="O61" s="141">
        <f t="shared" si="42"/>
        <v>0</v>
      </c>
      <c r="P61" s="141">
        <f t="shared" si="42"/>
        <v>0</v>
      </c>
      <c r="Q61" s="143">
        <f t="shared" si="42"/>
        <v>0</v>
      </c>
      <c r="R61" s="169">
        <f t="shared" si="42"/>
        <v>0</v>
      </c>
      <c r="S61" s="141">
        <f t="shared" si="42"/>
        <v>0</v>
      </c>
      <c r="T61" s="141">
        <f t="shared" si="42"/>
        <v>0</v>
      </c>
      <c r="U61" s="141">
        <f t="shared" si="42"/>
        <v>0</v>
      </c>
      <c r="V61" s="143">
        <f t="shared" si="42"/>
        <v>0</v>
      </c>
      <c r="W61" s="169">
        <f t="shared" si="22"/>
        <v>0</v>
      </c>
    </row>
    <row r="62" spans="1:23" ht="15.75">
      <c r="C62">
        <v>0.17</v>
      </c>
      <c r="D62" s="144" t="s">
        <v>70</v>
      </c>
      <c r="E62" s="141">
        <f t="shared" ref="E62:K62" si="43">(E21/$C21)*1000000*$B21*(1/E$5)</f>
        <v>0</v>
      </c>
      <c r="F62" s="141">
        <f t="shared" si="43"/>
        <v>0</v>
      </c>
      <c r="G62" s="141">
        <f t="shared" si="43"/>
        <v>0</v>
      </c>
      <c r="H62" s="143">
        <f t="shared" si="43"/>
        <v>0</v>
      </c>
      <c r="I62" s="141">
        <f t="shared" si="43"/>
        <v>0</v>
      </c>
      <c r="J62" s="141">
        <f t="shared" si="43"/>
        <v>0</v>
      </c>
      <c r="K62" s="141">
        <f t="shared" si="43"/>
        <v>0</v>
      </c>
      <c r="L62" s="143">
        <f t="shared" ref="L62:V62" si="44">(L21/$C21)*1000000*$B21*(1/L$5)</f>
        <v>0</v>
      </c>
      <c r="M62" s="169">
        <f t="shared" si="44"/>
        <v>0</v>
      </c>
      <c r="N62" s="141">
        <f t="shared" si="44"/>
        <v>0</v>
      </c>
      <c r="O62" s="141">
        <f t="shared" si="44"/>
        <v>0</v>
      </c>
      <c r="P62" s="141">
        <f t="shared" si="44"/>
        <v>0</v>
      </c>
      <c r="Q62" s="143">
        <f t="shared" si="44"/>
        <v>0</v>
      </c>
      <c r="R62" s="169">
        <f t="shared" si="44"/>
        <v>0</v>
      </c>
      <c r="S62" s="141">
        <f t="shared" si="44"/>
        <v>0</v>
      </c>
      <c r="T62" s="141">
        <f t="shared" si="44"/>
        <v>0</v>
      </c>
      <c r="U62" s="141">
        <f t="shared" si="44"/>
        <v>0</v>
      </c>
      <c r="V62" s="143">
        <f t="shared" si="44"/>
        <v>0</v>
      </c>
      <c r="W62" s="169">
        <f t="shared" si="22"/>
        <v>0</v>
      </c>
    </row>
    <row r="63" spans="1:23" ht="15.75">
      <c r="E63" s="188">
        <f>E49*$C49+E50*$C50+E51*$C51+E52*$C52+E53*$C53+E54*$C54+E55*$C55+E56*$C56+E57*$C57+E58*$C58+E59*$C59+E60*$C60+E61*$C61+E62*$C62</f>
        <v>146458.50000000003</v>
      </c>
      <c r="F63" s="188">
        <f t="shared" ref="F63:W63" si="45">F49*$C49+F50*$C50+F51*$C51+F52*$C52+F53*$C53+F54*$C54+F55*$C55+F56*$C56+F57*$C57+F58*$C58+F59*$C59+F60*$C60+F61*$C61+F62*$C62</f>
        <v>145981.77419354839</v>
      </c>
      <c r="G63" s="188">
        <f t="shared" si="45"/>
        <v>146925.83333333334</v>
      </c>
      <c r="H63" s="188">
        <f t="shared" si="45"/>
        <v>146450.16483516485</v>
      </c>
      <c r="I63" s="188">
        <f t="shared" si="45"/>
        <v>146442.90322580643</v>
      </c>
      <c r="J63" s="188" t="e">
        <f t="shared" si="45"/>
        <v>#VALUE!</v>
      </c>
      <c r="K63" s="188">
        <f t="shared" si="45"/>
        <v>146705.16666666669</v>
      </c>
      <c r="L63" s="188">
        <f t="shared" si="45"/>
        <v>146449.02173913046</v>
      </c>
      <c r="M63" s="188">
        <f t="shared" si="45"/>
        <v>146449.59016393442</v>
      </c>
      <c r="N63" s="188">
        <f t="shared" si="45"/>
        <v>145981.93548387097</v>
      </c>
      <c r="O63" s="188">
        <f t="shared" si="45"/>
        <v>145719.50000000003</v>
      </c>
      <c r="P63" s="188">
        <f t="shared" si="45"/>
        <v>145479.67741935482</v>
      </c>
      <c r="Q63" s="188">
        <f t="shared" si="45"/>
        <v>145727.11956521741</v>
      </c>
      <c r="R63" s="188">
        <f t="shared" si="45"/>
        <v>146207.89090909093</v>
      </c>
      <c r="S63" s="188">
        <f t="shared" si="45"/>
        <v>144796.12903225806</v>
      </c>
      <c r="T63" s="188">
        <f t="shared" si="45"/>
        <v>145884.46428571429</v>
      </c>
      <c r="U63" s="188">
        <f t="shared" si="45"/>
        <v>145072.4193548387</v>
      </c>
      <c r="V63" s="188">
        <f t="shared" si="45"/>
        <v>145229.88888888888</v>
      </c>
      <c r="W63" s="188">
        <f t="shared" si="45"/>
        <v>145966.73972602742</v>
      </c>
    </row>
    <row r="64" spans="1:23">
      <c r="M64" s="199"/>
      <c r="N64" s="140"/>
      <c r="O64" s="199"/>
      <c r="P64" s="140"/>
      <c r="V64" s="140"/>
      <c r="W64" s="199"/>
    </row>
    <row r="67" spans="1:23">
      <c r="D67" s="1113" t="s">
        <v>89</v>
      </c>
      <c r="E67" s="1113"/>
      <c r="F67" s="1113"/>
      <c r="G67" s="1113"/>
      <c r="H67" s="1113"/>
      <c r="I67" s="1113"/>
      <c r="J67" s="1113"/>
      <c r="K67" s="1113"/>
      <c r="L67" s="1113"/>
      <c r="M67" s="1113"/>
      <c r="N67" s="1113"/>
      <c r="O67" s="1113"/>
      <c r="P67" s="1113"/>
      <c r="Q67" s="1113"/>
      <c r="R67" s="1113"/>
      <c r="S67" s="1113"/>
      <c r="T67" s="1113"/>
      <c r="U67" s="1113"/>
      <c r="V67" s="1113"/>
      <c r="W67" s="1113"/>
    </row>
    <row r="68" spans="1:23">
      <c r="D68" s="144"/>
      <c r="E68" s="144" t="s">
        <v>30</v>
      </c>
      <c r="F68" s="144" t="s">
        <v>71</v>
      </c>
      <c r="G68" s="144" t="s">
        <v>72</v>
      </c>
      <c r="H68" s="148" t="s">
        <v>82</v>
      </c>
      <c r="I68" s="144" t="s">
        <v>73</v>
      </c>
      <c r="J68" s="144" t="s">
        <v>74</v>
      </c>
      <c r="K68" s="144" t="s">
        <v>75</v>
      </c>
      <c r="L68" s="148" t="s">
        <v>83</v>
      </c>
      <c r="M68" s="170" t="s">
        <v>39</v>
      </c>
      <c r="N68" s="144" t="s">
        <v>76</v>
      </c>
      <c r="O68" s="144" t="s">
        <v>77</v>
      </c>
      <c r="P68" s="144" t="s">
        <v>78</v>
      </c>
      <c r="Q68" s="148" t="s">
        <v>84</v>
      </c>
      <c r="R68" s="170" t="s">
        <v>85</v>
      </c>
      <c r="S68" s="144" t="s">
        <v>79</v>
      </c>
      <c r="T68" s="144" t="s">
        <v>80</v>
      </c>
      <c r="U68" s="144" t="s">
        <v>81</v>
      </c>
      <c r="V68" s="148" t="s">
        <v>86</v>
      </c>
      <c r="W68" s="170" t="s">
        <v>87</v>
      </c>
    </row>
    <row r="69" spans="1:23" ht="15.75">
      <c r="C69">
        <v>0.2</v>
      </c>
      <c r="D69" s="144" t="s">
        <v>60</v>
      </c>
      <c r="E69" s="146">
        <f>(E28/$C28)*1000*(1/E$5)</f>
        <v>8.1666666666666661</v>
      </c>
      <c r="F69" s="146">
        <f t="shared" ref="F69:K69" si="46">(F28/$C28)*1000*(1/F$5)</f>
        <v>8.064516129032258</v>
      </c>
      <c r="G69" s="146">
        <f t="shared" si="46"/>
        <v>8</v>
      </c>
      <c r="H69" s="149">
        <f t="shared" si="46"/>
        <v>8.0769230769230784</v>
      </c>
      <c r="I69" s="146">
        <f t="shared" si="46"/>
        <v>8.2258064516129004</v>
      </c>
      <c r="J69" s="146">
        <f t="shared" si="46"/>
        <v>8.064516129032258</v>
      </c>
      <c r="K69" s="146">
        <f t="shared" si="46"/>
        <v>8.1666666666666661</v>
      </c>
      <c r="L69" s="149">
        <f t="shared" ref="L69:M82" si="47">(L28/$C28)*1000*(1/L$5)</f>
        <v>8.1521739130434785</v>
      </c>
      <c r="M69" s="172">
        <f t="shared" si="47"/>
        <v>8.1147540983606561</v>
      </c>
      <c r="N69" s="146">
        <f t="shared" ref="N69:V69" si="48">(N28/$C28)*1000*(1/N$5)</f>
        <v>8.3870967741935463</v>
      </c>
      <c r="O69" s="146">
        <f t="shared" si="48"/>
        <v>8.8333333333333321</v>
      </c>
      <c r="P69" s="146">
        <f t="shared" si="48"/>
        <v>8.7096774193548363</v>
      </c>
      <c r="Q69" s="149">
        <f t="shared" si="48"/>
        <v>8.641304347826086</v>
      </c>
      <c r="R69" s="172">
        <f t="shared" si="48"/>
        <v>8.2909090909090928</v>
      </c>
      <c r="S69" s="146">
        <f t="shared" si="48"/>
        <v>9.0322580645161263</v>
      </c>
      <c r="T69" s="146">
        <f t="shared" si="48"/>
        <v>9.1071428571428541</v>
      </c>
      <c r="U69" s="146">
        <f t="shared" si="48"/>
        <v>9.0322580645161263</v>
      </c>
      <c r="V69" s="149">
        <f t="shared" si="48"/>
        <v>9.0555555555555554</v>
      </c>
      <c r="W69" s="172">
        <f t="shared" ref="W69:W82" si="49">(W28/$C28)*1000*(1/W$5)</f>
        <v>8.4794520547945211</v>
      </c>
    </row>
    <row r="70" spans="1:23" ht="15.75">
      <c r="C70">
        <v>0.26</v>
      </c>
      <c r="D70" s="144" t="s">
        <v>61</v>
      </c>
      <c r="E70" s="146">
        <f t="shared" ref="E70:K82" si="50">(E29/$C29)*1000*(1/E$5)</f>
        <v>8.4615384615384617</v>
      </c>
      <c r="F70" s="146">
        <f t="shared" si="50"/>
        <v>8.4367245657568244</v>
      </c>
      <c r="G70" s="146">
        <f t="shared" si="50"/>
        <v>8.4615384615384617</v>
      </c>
      <c r="H70" s="149">
        <f t="shared" si="50"/>
        <v>8.453085376162301</v>
      </c>
      <c r="I70" s="146">
        <f t="shared" si="50"/>
        <v>8.4367245657568244</v>
      </c>
      <c r="J70" s="146">
        <f t="shared" si="50"/>
        <v>8.4367245657568244</v>
      </c>
      <c r="K70" s="146">
        <f t="shared" si="50"/>
        <v>8.4615384615384617</v>
      </c>
      <c r="L70" s="149">
        <f t="shared" si="47"/>
        <v>8.4448160535117047</v>
      </c>
      <c r="M70" s="172">
        <f t="shared" si="47"/>
        <v>8.4489281210592679</v>
      </c>
      <c r="N70" s="146">
        <f t="shared" ref="N70:V70" si="51">(N29/$C29)*1000*(1/N$5)</f>
        <v>8.4299262381454163</v>
      </c>
      <c r="O70" s="146">
        <f>(O29/$C29)*1000*(1/O$5)</f>
        <v>8.4615384615384617</v>
      </c>
      <c r="P70" s="146">
        <f t="shared" si="51"/>
        <v>8.4367245657568244</v>
      </c>
      <c r="Q70" s="149">
        <f t="shared" si="51"/>
        <v>8.4425253126861239</v>
      </c>
      <c r="R70" s="172">
        <f t="shared" si="51"/>
        <v>8.4467860906217069</v>
      </c>
      <c r="S70" s="146">
        <f t="shared" si="51"/>
        <v>8.4367245657568244</v>
      </c>
      <c r="T70" s="146">
        <f t="shared" si="51"/>
        <v>8.2417582417582409</v>
      </c>
      <c r="U70" s="146">
        <f t="shared" si="51"/>
        <v>8.4367245657568244</v>
      </c>
      <c r="V70" s="149">
        <f t="shared" si="51"/>
        <v>8.3760683760683765</v>
      </c>
      <c r="W70" s="172">
        <f t="shared" si="49"/>
        <v>8.4293488459373229</v>
      </c>
    </row>
    <row r="71" spans="1:23" ht="15.75">
      <c r="C71">
        <v>1</v>
      </c>
      <c r="D71" s="144" t="s">
        <v>62</v>
      </c>
      <c r="E71" s="146">
        <f t="shared" si="50"/>
        <v>0.26666666666666666</v>
      </c>
      <c r="F71" s="146">
        <f t="shared" si="50"/>
        <v>0.25806451612903225</v>
      </c>
      <c r="G71" s="146">
        <f t="shared" si="50"/>
        <v>0.26666666666666666</v>
      </c>
      <c r="H71" s="149">
        <f t="shared" si="50"/>
        <v>0.26373626373626374</v>
      </c>
      <c r="I71" s="146">
        <f t="shared" si="50"/>
        <v>0.25806451612903225</v>
      </c>
      <c r="J71" s="146">
        <f t="shared" si="50"/>
        <v>0.25806451612903225</v>
      </c>
      <c r="K71" s="146">
        <f t="shared" si="50"/>
        <v>0.26666666666666666</v>
      </c>
      <c r="L71" s="149">
        <f t="shared" si="47"/>
        <v>0.2608695652173913</v>
      </c>
      <c r="M71" s="172">
        <f t="shared" si="47"/>
        <v>0.26229508196721313</v>
      </c>
      <c r="N71" s="146">
        <f t="shared" ref="N71:V71" si="52">(N30/$C30)*1000*(1/N$5)</f>
        <v>0.25753424657534246</v>
      </c>
      <c r="O71" s="146">
        <f t="shared" si="52"/>
        <v>0.26666666666666666</v>
      </c>
      <c r="P71" s="146">
        <f t="shared" si="52"/>
        <v>0.25806451612903225</v>
      </c>
      <c r="Q71" s="149">
        <f t="shared" si="52"/>
        <v>0.26069088743299584</v>
      </c>
      <c r="R71" s="172">
        <f t="shared" si="52"/>
        <v>0.2617584059775841</v>
      </c>
      <c r="S71" s="146">
        <f t="shared" si="52"/>
        <v>0.25806451612903225</v>
      </c>
      <c r="T71" s="146">
        <f t="shared" si="52"/>
        <v>0.21428571428571427</v>
      </c>
      <c r="U71" s="146">
        <f t="shared" si="52"/>
        <v>0.25806451612903225</v>
      </c>
      <c r="V71" s="149">
        <f t="shared" si="52"/>
        <v>0.24444444444444446</v>
      </c>
      <c r="W71" s="172">
        <f t="shared" si="49"/>
        <v>0.25748920998311126</v>
      </c>
    </row>
    <row r="72" spans="1:23" ht="15.75">
      <c r="A72">
        <v>2.9250000000000002E-2</v>
      </c>
      <c r="C72">
        <v>2.9250000000000002E-2</v>
      </c>
      <c r="D72" s="144" t="s">
        <v>57</v>
      </c>
      <c r="E72" s="146">
        <f t="shared" si="50"/>
        <v>11.396011396011396</v>
      </c>
      <c r="F72" s="146">
        <f t="shared" si="50"/>
        <v>11.028398125172318</v>
      </c>
      <c r="G72" s="146">
        <f t="shared" si="50"/>
        <v>11.396011396011396</v>
      </c>
      <c r="H72" s="149">
        <f t="shared" si="50"/>
        <v>11.270780501549734</v>
      </c>
      <c r="I72" s="146">
        <f t="shared" si="50"/>
        <v>11.028398125172318</v>
      </c>
      <c r="J72" s="146">
        <f t="shared" si="50"/>
        <v>11.028398125172318</v>
      </c>
      <c r="K72" s="146">
        <f t="shared" si="50"/>
        <v>11.396011396011396</v>
      </c>
      <c r="L72" s="149">
        <f t="shared" si="47"/>
        <v>11.148272017837234</v>
      </c>
      <c r="M72" s="172">
        <f t="shared" si="47"/>
        <v>11.20919153706039</v>
      </c>
      <c r="N72" s="146">
        <f t="shared" ref="N72:V72" si="53">(N31/$C31)*1000*(1/N$5)</f>
        <v>10.865238262498535</v>
      </c>
      <c r="O72" s="146">
        <f t="shared" si="53"/>
        <v>11.396011396011396</v>
      </c>
      <c r="P72" s="146">
        <f t="shared" si="53"/>
        <v>11.028398125172318</v>
      </c>
      <c r="Q72" s="149">
        <f t="shared" si="53"/>
        <v>11.093294238023244</v>
      </c>
      <c r="R72" s="172">
        <f t="shared" si="53"/>
        <v>11.170418622473417</v>
      </c>
      <c r="S72" s="146">
        <f t="shared" si="53"/>
        <v>11.028398125172318</v>
      </c>
      <c r="T72" s="146">
        <f t="shared" si="53"/>
        <v>7.3260073260073248</v>
      </c>
      <c r="U72" s="146">
        <f t="shared" si="53"/>
        <v>11.028398125172318</v>
      </c>
      <c r="V72" s="149">
        <f t="shared" si="53"/>
        <v>9.8765432098765444</v>
      </c>
      <c r="W72" s="172">
        <f t="shared" si="49"/>
        <v>10.851380849504324</v>
      </c>
    </row>
    <row r="73" spans="1:23" ht="15.75">
      <c r="C73">
        <v>0.27</v>
      </c>
      <c r="D73" s="144" t="s">
        <v>58</v>
      </c>
      <c r="E73" s="146">
        <f t="shared" si="50"/>
        <v>0.24691358024691354</v>
      </c>
      <c r="F73" s="146">
        <f t="shared" si="50"/>
        <v>0.23894862604540021</v>
      </c>
      <c r="G73" s="146">
        <f t="shared" si="50"/>
        <v>0.24691358024691354</v>
      </c>
      <c r="H73" s="149">
        <f t="shared" si="50"/>
        <v>0.24420024420024417</v>
      </c>
      <c r="I73" s="146">
        <f t="shared" si="50"/>
        <v>0.23894862604540021</v>
      </c>
      <c r="J73" s="146">
        <f t="shared" si="50"/>
        <v>0.23894862604540021</v>
      </c>
      <c r="K73" s="146">
        <f t="shared" si="50"/>
        <v>0.24691358024691354</v>
      </c>
      <c r="L73" s="149">
        <f t="shared" si="47"/>
        <v>0.2415458937198067</v>
      </c>
      <c r="M73" s="172">
        <f t="shared" si="47"/>
        <v>0.24286581663630838</v>
      </c>
      <c r="N73" s="146">
        <f t="shared" ref="N73:V74" si="54">(N32/$C32)*1000*(1/N$5)</f>
        <v>0.25367833587011673</v>
      </c>
      <c r="O73" s="146">
        <f t="shared" si="54"/>
        <v>0.24691358024691354</v>
      </c>
      <c r="P73" s="146">
        <f t="shared" si="54"/>
        <v>0.23894862604540021</v>
      </c>
      <c r="Q73" s="149">
        <f t="shared" si="54"/>
        <v>0.24650916550856994</v>
      </c>
      <c r="R73" s="172">
        <f t="shared" si="54"/>
        <v>0.2440846824408468</v>
      </c>
      <c r="S73" s="146">
        <f t="shared" si="54"/>
        <v>0.23894862604540021</v>
      </c>
      <c r="T73" s="146">
        <f t="shared" si="54"/>
        <v>0.39682539682539675</v>
      </c>
      <c r="U73" s="146">
        <f t="shared" si="54"/>
        <v>0.23894862604540021</v>
      </c>
      <c r="V73" s="149">
        <f t="shared" si="54"/>
        <v>0.28806584362139914</v>
      </c>
      <c r="W73" s="172">
        <f t="shared" si="49"/>
        <v>0.25492935232098302</v>
      </c>
    </row>
    <row r="74" spans="1:23" ht="15.75">
      <c r="C74">
        <v>0.5</v>
      </c>
      <c r="D74" s="144" t="s">
        <v>59</v>
      </c>
      <c r="E74" s="146">
        <f t="shared" si="50"/>
        <v>0</v>
      </c>
      <c r="F74" s="146">
        <f t="shared" si="50"/>
        <v>0</v>
      </c>
      <c r="G74" s="146">
        <f t="shared" si="50"/>
        <v>6.6666666666666666E-2</v>
      </c>
      <c r="H74" s="149">
        <f t="shared" si="50"/>
        <v>2.197802197802198E-2</v>
      </c>
      <c r="I74" s="146">
        <f t="shared" si="50"/>
        <v>0</v>
      </c>
      <c r="J74" s="146">
        <f t="shared" si="50"/>
        <v>0</v>
      </c>
      <c r="K74" s="146">
        <f t="shared" si="50"/>
        <v>6.6666666666666666E-2</v>
      </c>
      <c r="L74" s="149">
        <f t="shared" si="47"/>
        <v>2.1739130434782608E-2</v>
      </c>
      <c r="M74" s="172">
        <f t="shared" si="47"/>
        <v>2.185792349726776E-2</v>
      </c>
      <c r="N74" s="146">
        <f t="shared" si="54"/>
        <v>0</v>
      </c>
      <c r="O74" s="146">
        <f t="shared" si="54"/>
        <v>0</v>
      </c>
      <c r="P74" s="146">
        <f t="shared" si="54"/>
        <v>6.4516129032258063E-2</v>
      </c>
      <c r="Q74" s="149">
        <f t="shared" si="54"/>
        <v>2.1739130434782608E-2</v>
      </c>
      <c r="R74" s="172">
        <f t="shared" si="54"/>
        <v>2.181818181818182E-2</v>
      </c>
      <c r="S74" s="146">
        <f t="shared" si="54"/>
        <v>0</v>
      </c>
      <c r="T74" s="146">
        <f t="shared" si="54"/>
        <v>0</v>
      </c>
      <c r="U74" s="146">
        <f t="shared" si="54"/>
        <v>6.4516129032258063E-2</v>
      </c>
      <c r="V74" s="149">
        <f t="shared" si="54"/>
        <v>2.2222222222222223E-2</v>
      </c>
      <c r="W74" s="172">
        <f t="shared" si="49"/>
        <v>2.1917808219178082E-2</v>
      </c>
    </row>
    <row r="75" spans="1:23" ht="15.75">
      <c r="C75">
        <v>0.7</v>
      </c>
      <c r="D75" s="144" t="s">
        <v>63</v>
      </c>
      <c r="E75" s="146">
        <f t="shared" si="50"/>
        <v>0</v>
      </c>
      <c r="F75" s="146">
        <f t="shared" si="50"/>
        <v>0</v>
      </c>
      <c r="G75" s="146">
        <f t="shared" si="50"/>
        <v>0</v>
      </c>
      <c r="H75" s="149">
        <f t="shared" si="50"/>
        <v>0</v>
      </c>
      <c r="I75" s="146">
        <f t="shared" si="50"/>
        <v>0</v>
      </c>
      <c r="J75" s="146">
        <f t="shared" si="50"/>
        <v>0</v>
      </c>
      <c r="K75" s="146">
        <f t="shared" si="50"/>
        <v>0</v>
      </c>
      <c r="L75" s="149">
        <f t="shared" si="47"/>
        <v>0</v>
      </c>
      <c r="M75" s="172">
        <f t="shared" si="47"/>
        <v>0</v>
      </c>
      <c r="N75" s="146">
        <f t="shared" ref="N75:V75" si="55">(N34/$C34)*1000*(1/N$5)</f>
        <v>0</v>
      </c>
      <c r="O75" s="146">
        <f t="shared" si="55"/>
        <v>0</v>
      </c>
      <c r="P75" s="146">
        <f t="shared" si="55"/>
        <v>0</v>
      </c>
      <c r="Q75" s="149">
        <f t="shared" si="55"/>
        <v>0</v>
      </c>
      <c r="R75" s="172">
        <f t="shared" si="55"/>
        <v>0</v>
      </c>
      <c r="S75" s="146">
        <f t="shared" si="55"/>
        <v>0</v>
      </c>
      <c r="T75" s="146">
        <f t="shared" si="55"/>
        <v>5.1020408163265314E-2</v>
      </c>
      <c r="U75" s="146">
        <f t="shared" si="55"/>
        <v>0</v>
      </c>
      <c r="V75" s="149">
        <f t="shared" si="55"/>
        <v>1.5873015873015876E-2</v>
      </c>
      <c r="W75" s="172">
        <f t="shared" si="49"/>
        <v>3.9138943248532296E-3</v>
      </c>
    </row>
    <row r="76" spans="1:23" ht="15.75">
      <c r="C76">
        <v>0.11</v>
      </c>
      <c r="D76" s="144" t="s">
        <v>64</v>
      </c>
      <c r="E76" s="146">
        <f t="shared" si="50"/>
        <v>0.30303030303030298</v>
      </c>
      <c r="F76" s="146">
        <f t="shared" si="50"/>
        <v>0.29325513196480935</v>
      </c>
      <c r="G76" s="146">
        <f t="shared" si="50"/>
        <v>0</v>
      </c>
      <c r="H76" s="149">
        <f t="shared" si="50"/>
        <v>0.19980019980019981</v>
      </c>
      <c r="I76" s="146">
        <f t="shared" si="50"/>
        <v>0.29325513196480935</v>
      </c>
      <c r="J76" s="146">
        <f t="shared" si="50"/>
        <v>0.29325513196480935</v>
      </c>
      <c r="K76" s="146">
        <f t="shared" si="50"/>
        <v>0.30303030303030298</v>
      </c>
      <c r="L76" s="149">
        <f t="shared" si="47"/>
        <v>0.29644268774703558</v>
      </c>
      <c r="M76" s="172">
        <f t="shared" si="47"/>
        <v>0.24838549428713363</v>
      </c>
      <c r="N76" s="146">
        <f t="shared" ref="N76:V76" si="56">(N35/$C35)*1000*(1/N$5)</f>
        <v>0.22415940224159403</v>
      </c>
      <c r="O76" s="146">
        <f t="shared" si="56"/>
        <v>0</v>
      </c>
      <c r="P76" s="146">
        <f t="shared" si="56"/>
        <v>0.29325513196480935</v>
      </c>
      <c r="Q76" s="149">
        <f t="shared" si="56"/>
        <v>0.17434620174346202</v>
      </c>
      <c r="R76" s="172">
        <f t="shared" si="56"/>
        <v>0.22361598550888712</v>
      </c>
      <c r="S76" s="146">
        <f t="shared" si="56"/>
        <v>0.29325513196480935</v>
      </c>
      <c r="T76" s="146">
        <f t="shared" si="56"/>
        <v>0</v>
      </c>
      <c r="U76" s="146">
        <f t="shared" si="56"/>
        <v>0.29325513196480935</v>
      </c>
      <c r="V76" s="149">
        <f t="shared" si="56"/>
        <v>0.20202020202020202</v>
      </c>
      <c r="W76" s="172">
        <f t="shared" si="49"/>
        <v>0.21829099779934835</v>
      </c>
    </row>
    <row r="77" spans="1:23" ht="15.75">
      <c r="C77">
        <v>0.4</v>
      </c>
      <c r="D77" s="144" t="s">
        <v>65</v>
      </c>
      <c r="E77" s="146">
        <f t="shared" si="50"/>
        <v>0.16666666666666666</v>
      </c>
      <c r="F77" s="146">
        <f t="shared" si="50"/>
        <v>0.24193548387096775</v>
      </c>
      <c r="G77" s="146">
        <f t="shared" si="50"/>
        <v>0.25</v>
      </c>
      <c r="H77" s="149">
        <f t="shared" si="50"/>
        <v>0.2197802197802198</v>
      </c>
      <c r="I77" s="146">
        <f t="shared" si="50"/>
        <v>0.24193548387096775</v>
      </c>
      <c r="J77" s="146">
        <f t="shared" si="50"/>
        <v>0.24193548387096775</v>
      </c>
      <c r="K77" s="146">
        <f t="shared" si="50"/>
        <v>0.25</v>
      </c>
      <c r="L77" s="149">
        <f t="shared" si="47"/>
        <v>0.24456521739130438</v>
      </c>
      <c r="M77" s="172">
        <f t="shared" si="47"/>
        <v>0.23224043715846995</v>
      </c>
      <c r="N77" s="146">
        <f t="shared" ref="N77:V77" si="57">(N36/$C36)*1000*(1/N$5)</f>
        <v>0.21917808219178084</v>
      </c>
      <c r="O77" s="146">
        <f t="shared" si="57"/>
        <v>0.25</v>
      </c>
      <c r="P77" s="146">
        <f t="shared" si="57"/>
        <v>0.24193548387096775</v>
      </c>
      <c r="Q77" s="149">
        <f t="shared" si="57"/>
        <v>0.23689696247766526</v>
      </c>
      <c r="R77" s="172">
        <f t="shared" si="57"/>
        <v>0.23379825653798259</v>
      </c>
      <c r="S77" s="146">
        <f t="shared" si="57"/>
        <v>0.24193548387096775</v>
      </c>
      <c r="T77" s="146">
        <f t="shared" si="57"/>
        <v>0.17857142857142855</v>
      </c>
      <c r="U77" s="146">
        <f t="shared" si="57"/>
        <v>8.0645161290322578E-2</v>
      </c>
      <c r="V77" s="149">
        <f t="shared" si="57"/>
        <v>0.16666666666666669</v>
      </c>
      <c r="W77" s="172">
        <f t="shared" si="49"/>
        <v>0.21724526177519235</v>
      </c>
    </row>
    <row r="78" spans="1:23" ht="15.75">
      <c r="C78">
        <v>0.04</v>
      </c>
      <c r="D78" s="144" t="s">
        <v>66</v>
      </c>
      <c r="E78" s="146">
        <f t="shared" si="50"/>
        <v>0</v>
      </c>
      <c r="F78" s="146">
        <f t="shared" si="50"/>
        <v>0</v>
      </c>
      <c r="G78" s="146">
        <f t="shared" si="50"/>
        <v>0</v>
      </c>
      <c r="H78" s="149">
        <f t="shared" si="50"/>
        <v>0</v>
      </c>
      <c r="I78" s="146">
        <f t="shared" si="50"/>
        <v>0</v>
      </c>
      <c r="J78" s="146">
        <f t="shared" si="50"/>
        <v>0</v>
      </c>
      <c r="K78" s="146">
        <f t="shared" si="50"/>
        <v>0</v>
      </c>
      <c r="L78" s="149">
        <f t="shared" si="47"/>
        <v>0</v>
      </c>
      <c r="M78" s="172">
        <f t="shared" si="47"/>
        <v>0</v>
      </c>
      <c r="N78" s="146">
        <f t="shared" ref="N78:V78" si="58">(N37/$C37)*1000*(1/N$5)</f>
        <v>0</v>
      </c>
      <c r="O78" s="146">
        <f t="shared" si="58"/>
        <v>0</v>
      </c>
      <c r="P78" s="146">
        <f t="shared" si="58"/>
        <v>0</v>
      </c>
      <c r="Q78" s="149">
        <f t="shared" si="58"/>
        <v>0</v>
      </c>
      <c r="R78" s="172">
        <f t="shared" si="58"/>
        <v>0</v>
      </c>
      <c r="S78" s="146">
        <f t="shared" si="58"/>
        <v>0</v>
      </c>
      <c r="T78" s="146">
        <f t="shared" si="58"/>
        <v>0</v>
      </c>
      <c r="U78" s="146">
        <f t="shared" si="58"/>
        <v>0</v>
      </c>
      <c r="V78" s="149">
        <f t="shared" si="58"/>
        <v>0</v>
      </c>
      <c r="W78" s="172">
        <f t="shared" si="49"/>
        <v>0</v>
      </c>
    </row>
    <row r="79" spans="1:23" ht="15.75">
      <c r="C79">
        <v>0.25</v>
      </c>
      <c r="D79" s="144" t="s">
        <v>67</v>
      </c>
      <c r="E79" s="146">
        <f t="shared" si="50"/>
        <v>0</v>
      </c>
      <c r="F79" s="146">
        <f t="shared" si="50"/>
        <v>0</v>
      </c>
      <c r="G79" s="146">
        <f t="shared" si="50"/>
        <v>0</v>
      </c>
      <c r="H79" s="149">
        <f t="shared" si="50"/>
        <v>0</v>
      </c>
      <c r="I79" s="146">
        <f t="shared" si="50"/>
        <v>0</v>
      </c>
      <c r="J79" s="146">
        <f t="shared" si="50"/>
        <v>0</v>
      </c>
      <c r="K79" s="146">
        <f t="shared" si="50"/>
        <v>0</v>
      </c>
      <c r="L79" s="149">
        <f t="shared" si="47"/>
        <v>0</v>
      </c>
      <c r="M79" s="172">
        <f t="shared" si="47"/>
        <v>0</v>
      </c>
      <c r="N79" s="146">
        <f t="shared" ref="N79:V79" si="59">(N38/$C38)*1000*(1/N$5)</f>
        <v>0</v>
      </c>
      <c r="O79" s="146">
        <f t="shared" si="59"/>
        <v>0</v>
      </c>
      <c r="P79" s="146">
        <f t="shared" si="59"/>
        <v>0</v>
      </c>
      <c r="Q79" s="149">
        <f t="shared" si="59"/>
        <v>0</v>
      </c>
      <c r="R79" s="172">
        <f t="shared" si="59"/>
        <v>0</v>
      </c>
      <c r="S79" s="146">
        <f t="shared" si="59"/>
        <v>0</v>
      </c>
      <c r="T79" s="146">
        <f t="shared" si="59"/>
        <v>0</v>
      </c>
      <c r="U79" s="146">
        <f t="shared" si="59"/>
        <v>0</v>
      </c>
      <c r="V79" s="149">
        <f t="shared" si="59"/>
        <v>0</v>
      </c>
      <c r="W79" s="172">
        <f t="shared" si="49"/>
        <v>0</v>
      </c>
    </row>
    <row r="80" spans="1:23" ht="15.75">
      <c r="C80">
        <v>0.24124999999999999</v>
      </c>
      <c r="D80" s="144" t="s">
        <v>68</v>
      </c>
      <c r="E80" s="146">
        <f t="shared" si="50"/>
        <v>0</v>
      </c>
      <c r="F80" s="146">
        <f t="shared" si="50"/>
        <v>0</v>
      </c>
      <c r="G80" s="146">
        <f t="shared" si="50"/>
        <v>0</v>
      </c>
      <c r="H80" s="149">
        <f t="shared" si="50"/>
        <v>0</v>
      </c>
      <c r="I80" s="146">
        <f t="shared" si="50"/>
        <v>0</v>
      </c>
      <c r="J80" s="146">
        <f t="shared" si="50"/>
        <v>0</v>
      </c>
      <c r="K80" s="146">
        <f t="shared" si="50"/>
        <v>0</v>
      </c>
      <c r="L80" s="149">
        <f t="shared" si="47"/>
        <v>0</v>
      </c>
      <c r="M80" s="172">
        <f t="shared" si="47"/>
        <v>0</v>
      </c>
      <c r="N80" s="146">
        <f t="shared" ref="N80:V80" si="60">(N39/$C39)*1000*(1/N$5)</f>
        <v>0</v>
      </c>
      <c r="O80" s="146">
        <f t="shared" si="60"/>
        <v>0</v>
      </c>
      <c r="P80" s="146">
        <f t="shared" si="60"/>
        <v>0</v>
      </c>
      <c r="Q80" s="149">
        <f t="shared" si="60"/>
        <v>0</v>
      </c>
      <c r="R80" s="172">
        <f t="shared" si="60"/>
        <v>0</v>
      </c>
      <c r="S80" s="146">
        <f t="shared" si="60"/>
        <v>0</v>
      </c>
      <c r="T80" s="146">
        <f t="shared" si="60"/>
        <v>0</v>
      </c>
      <c r="U80" s="146">
        <f t="shared" si="60"/>
        <v>0</v>
      </c>
      <c r="V80" s="149">
        <f t="shared" si="60"/>
        <v>0</v>
      </c>
      <c r="W80" s="172">
        <f t="shared" si="49"/>
        <v>0</v>
      </c>
    </row>
    <row r="81" spans="3:23" ht="15.75">
      <c r="C81">
        <v>0.45</v>
      </c>
      <c r="D81" s="144" t="s">
        <v>69</v>
      </c>
      <c r="E81" s="146">
        <f t="shared" si="50"/>
        <v>0</v>
      </c>
      <c r="F81" s="146">
        <f t="shared" si="50"/>
        <v>0</v>
      </c>
      <c r="G81" s="146">
        <f t="shared" si="50"/>
        <v>0</v>
      </c>
      <c r="H81" s="149">
        <f t="shared" si="50"/>
        <v>0</v>
      </c>
      <c r="I81" s="146">
        <f t="shared" si="50"/>
        <v>0</v>
      </c>
      <c r="J81" s="146">
        <f t="shared" si="50"/>
        <v>0</v>
      </c>
      <c r="K81" s="146">
        <f t="shared" si="50"/>
        <v>0</v>
      </c>
      <c r="L81" s="149">
        <f t="shared" si="47"/>
        <v>0</v>
      </c>
      <c r="M81" s="172">
        <f t="shared" si="47"/>
        <v>0</v>
      </c>
      <c r="N81" s="146">
        <f t="shared" ref="N81:V81" si="61">(N40/$C40)*1000*(1/N$5)</f>
        <v>0</v>
      </c>
      <c r="O81" s="146">
        <f t="shared" si="61"/>
        <v>0</v>
      </c>
      <c r="P81" s="146">
        <f t="shared" si="61"/>
        <v>0</v>
      </c>
      <c r="Q81" s="149">
        <f t="shared" si="61"/>
        <v>0</v>
      </c>
      <c r="R81" s="172">
        <f t="shared" si="61"/>
        <v>0</v>
      </c>
      <c r="S81" s="146">
        <f t="shared" si="61"/>
        <v>0</v>
      </c>
      <c r="T81" s="146">
        <f t="shared" si="61"/>
        <v>0</v>
      </c>
      <c r="U81" s="146">
        <f t="shared" si="61"/>
        <v>0</v>
      </c>
      <c r="V81" s="149">
        <f t="shared" si="61"/>
        <v>0</v>
      </c>
      <c r="W81" s="172">
        <f t="shared" si="49"/>
        <v>0</v>
      </c>
    </row>
    <row r="82" spans="3:23" ht="15.75">
      <c r="C82">
        <v>0.17</v>
      </c>
      <c r="D82" s="144" t="s">
        <v>70</v>
      </c>
      <c r="E82" s="146">
        <f t="shared" si="50"/>
        <v>14.117647058823527</v>
      </c>
      <c r="F82" s="146">
        <f t="shared" si="50"/>
        <v>14.041745730550282</v>
      </c>
      <c r="G82" s="146">
        <f t="shared" si="50"/>
        <v>14.117647058823527</v>
      </c>
      <c r="H82" s="149">
        <f t="shared" si="50"/>
        <v>14.091790562378796</v>
      </c>
      <c r="I82" s="146">
        <f t="shared" si="50"/>
        <v>14.041745730550282</v>
      </c>
      <c r="J82" s="146">
        <f t="shared" si="50"/>
        <v>14.041745730550282</v>
      </c>
      <c r="K82" s="146">
        <f t="shared" si="50"/>
        <v>14.117647058823527</v>
      </c>
      <c r="L82" s="149">
        <f t="shared" si="47"/>
        <v>14.066496163682864</v>
      </c>
      <c r="M82" s="172">
        <f t="shared" si="47"/>
        <v>14.079074252651875</v>
      </c>
      <c r="N82" s="146">
        <f t="shared" ref="N82:V82" si="62">(N41/$C41)*1000*(1/N$5)</f>
        <v>14.085414987912973</v>
      </c>
      <c r="O82" s="146">
        <f t="shared" si="62"/>
        <v>14.117647058823527</v>
      </c>
      <c r="P82" s="146">
        <f t="shared" si="62"/>
        <v>14.041745730550282</v>
      </c>
      <c r="Q82" s="149">
        <f t="shared" si="62"/>
        <v>14.081210804750729</v>
      </c>
      <c r="R82" s="172">
        <f t="shared" si="62"/>
        <v>14.079789026444946</v>
      </c>
      <c r="S82" s="146">
        <f t="shared" si="62"/>
        <v>14.041745730550282</v>
      </c>
      <c r="T82" s="146">
        <f t="shared" si="62"/>
        <v>14.285714285714285</v>
      </c>
      <c r="U82" s="146">
        <f t="shared" si="62"/>
        <v>14.041745730550282</v>
      </c>
      <c r="V82" s="149">
        <f t="shared" si="62"/>
        <v>14.117647058823531</v>
      </c>
      <c r="W82" s="172">
        <f t="shared" si="49"/>
        <v>14.089123883743774</v>
      </c>
    </row>
    <row r="83" spans="3:23" ht="15.75">
      <c r="E83" s="158">
        <f t="shared" ref="E83:W83" si="63">E69*$C69+E70*$C70+E71*$C71+E72*$C72+E73*$C73+E74*$C74+E75*$C75+E76*$C76+E77*$C77+E78*$C78+E79*$C79+E80*$C80+E81*$C81+E82*$C82</f>
        <v>7</v>
      </c>
      <c r="F83" s="158">
        <f t="shared" si="63"/>
        <v>6.9677419354838701</v>
      </c>
      <c r="G83" s="158">
        <f t="shared" si="63"/>
        <v>7</v>
      </c>
      <c r="H83" s="158">
        <f t="shared" si="63"/>
        <v>6.9890109890109891</v>
      </c>
      <c r="I83" s="158">
        <f t="shared" si="63"/>
        <v>6.9999999999999991</v>
      </c>
      <c r="J83" s="158">
        <f t="shared" si="63"/>
        <v>6.9677419354838701</v>
      </c>
      <c r="K83" s="158">
        <f t="shared" si="63"/>
        <v>7.0666666666666664</v>
      </c>
      <c r="L83" s="158">
        <f t="shared" si="63"/>
        <v>7.0108695652173916</v>
      </c>
      <c r="M83" s="158">
        <f t="shared" si="63"/>
        <v>7</v>
      </c>
      <c r="N83" s="158">
        <f t="shared" si="63"/>
        <v>7.0198851082633658</v>
      </c>
      <c r="O83" s="158">
        <f t="shared" si="63"/>
        <v>7.1333333333333329</v>
      </c>
      <c r="P83" s="158">
        <f t="shared" si="63"/>
        <v>7.1290322580645151</v>
      </c>
      <c r="Q83" s="158">
        <f t="shared" si="63"/>
        <v>7.0936569386539627</v>
      </c>
      <c r="R83" s="158">
        <f t="shared" si="63"/>
        <v>7.0313325031133251</v>
      </c>
      <c r="S83" s="158">
        <f t="shared" si="63"/>
        <v>7.1612903225806441</v>
      </c>
      <c r="T83" s="158">
        <f t="shared" si="63"/>
        <v>7.0357142857142847</v>
      </c>
      <c r="U83" s="158">
        <f t="shared" si="63"/>
        <v>7.1290322580645151</v>
      </c>
      <c r="V83" s="158">
        <f t="shared" si="63"/>
        <v>7.1111111111111107</v>
      </c>
      <c r="W83" s="158">
        <f t="shared" si="63"/>
        <v>7.051003940701821</v>
      </c>
    </row>
    <row r="84" spans="3:23">
      <c r="M84" s="264"/>
      <c r="W84" s="199"/>
    </row>
  </sheetData>
  <mergeCells count="4">
    <mergeCell ref="D6:W6"/>
    <mergeCell ref="D26:W26"/>
    <mergeCell ref="D47:W47"/>
    <mergeCell ref="D67:W67"/>
  </mergeCells>
  <pageMargins left="0.7" right="0.7" top="0.75" bottom="0.75" header="0.3" footer="0.3"/>
  <pageSetup paperSize="8" scale="50" orientation="portrait" r:id="rId1"/>
  <ignoredErrors>
    <ignoredError sqref="B8 B9:B20"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215041" r:id="rId4" name="Button 1">
              <controlPr defaultSize="0" print="0" autoFill="0" autoPict="0" macro="[0]!Targetschosen_Button1_Click">
                <anchor moveWithCells="1" sizeWithCells="1">
                  <from>
                    <xdr:col>24</xdr:col>
                    <xdr:colOff>485775</xdr:colOff>
                    <xdr:row>11</xdr:row>
                    <xdr:rowOff>85725</xdr:rowOff>
                  </from>
                  <to>
                    <xdr:col>26</xdr:col>
                    <xdr:colOff>457200</xdr:colOff>
                    <xdr:row>15</xdr:row>
                    <xdr:rowOff>142875</xdr:rowOff>
                  </to>
                </anchor>
              </controlPr>
            </control>
          </mc:Choice>
        </mc:AlternateContent>
        <mc:AlternateContent xmlns:mc="http://schemas.openxmlformats.org/markup-compatibility/2006">
          <mc:Choice Requires="x14">
            <control shapeId="215042" r:id="rId5" name="Button 2">
              <controlPr defaultSize="0" print="0" autoFill="0" autoPict="0" macro="[0]!EXPORT_ACTIVE_SHEET">
                <anchor moveWithCells="1" sizeWithCells="1">
                  <from>
                    <xdr:col>24</xdr:col>
                    <xdr:colOff>523875</xdr:colOff>
                    <xdr:row>17</xdr:row>
                    <xdr:rowOff>47625</xdr:rowOff>
                  </from>
                  <to>
                    <xdr:col>26</xdr:col>
                    <xdr:colOff>495300</xdr:colOff>
                    <xdr:row>26</xdr:row>
                    <xdr:rowOff>66675</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tabColor rgb="FF7030A0"/>
  </sheetPr>
  <dimension ref="A2:O103"/>
  <sheetViews>
    <sheetView workbookViewId="0"/>
  </sheetViews>
  <sheetFormatPr defaultColWidth="8.85546875" defaultRowHeight="15"/>
  <cols>
    <col min="3" max="3" width="11.7109375" bestFit="1" customWidth="1"/>
  </cols>
  <sheetData>
    <row r="2" spans="1:15">
      <c r="A2" t="s">
        <v>875</v>
      </c>
      <c r="H2" t="s">
        <v>255</v>
      </c>
    </row>
    <row r="3" spans="1:15">
      <c r="A3" t="str">
        <f>'Targets-chosen'!K2</f>
        <v>BE</v>
      </c>
    </row>
    <row r="4" spans="1:15">
      <c r="A4" t="str">
        <f>'Targets-chosen'!L2</f>
        <v>2026-27</v>
      </c>
      <c r="B4">
        <v>1</v>
      </c>
      <c r="D4" s="505">
        <f>interFY_transition!J21</f>
        <v>202604</v>
      </c>
      <c r="E4" s="505">
        <f>interFY_transition!K21</f>
        <v>202605</v>
      </c>
      <c r="F4" s="505">
        <f>interFY_transition!L21</f>
        <v>202606</v>
      </c>
      <c r="G4" s="505">
        <f>interFY_transition!M21</f>
        <v>202607</v>
      </c>
      <c r="H4" s="505">
        <f>interFY_transition!N21</f>
        <v>202608</v>
      </c>
      <c r="I4" s="505">
        <f>interFY_transition!O21</f>
        <v>202609</v>
      </c>
      <c r="J4" s="505">
        <f>interFY_transition!P21</f>
        <v>202610</v>
      </c>
      <c r="K4" s="505">
        <f>interFY_transition!Q21</f>
        <v>202611</v>
      </c>
      <c r="L4" s="505">
        <f>interFY_transition!R21</f>
        <v>202612</v>
      </c>
      <c r="M4" s="505">
        <f>interFY_transition!S21</f>
        <v>202701</v>
      </c>
      <c r="N4" s="505">
        <f>interFY_transition!T21</f>
        <v>202702</v>
      </c>
      <c r="O4" s="505">
        <f>interFY_transition!U21</f>
        <v>202703</v>
      </c>
    </row>
    <row r="5" spans="1:15">
      <c r="B5">
        <v>2</v>
      </c>
      <c r="D5" s="502" t="str">
        <f>interFY_transition!J20</f>
        <v>Apr'26</v>
      </c>
      <c r="E5" s="502" t="str">
        <f>interFY_transition!K20</f>
        <v>May'26</v>
      </c>
      <c r="F5" s="502" t="str">
        <f>interFY_transition!L20</f>
        <v>June'26</v>
      </c>
      <c r="G5" s="502" t="str">
        <f>interFY_transition!M20</f>
        <v>July'26</v>
      </c>
      <c r="H5" s="502" t="str">
        <f>interFY_transition!N20</f>
        <v>Aug'26</v>
      </c>
      <c r="I5" s="502" t="str">
        <f>interFY_transition!O20</f>
        <v>Sep'26</v>
      </c>
      <c r="J5" s="502" t="str">
        <f>interFY_transition!P20</f>
        <v>Oct'26</v>
      </c>
      <c r="K5" s="502" t="str">
        <f>interFY_transition!Q20</f>
        <v>Nov'26</v>
      </c>
      <c r="L5" s="502" t="str">
        <f>interFY_transition!R20</f>
        <v>Dec'26</v>
      </c>
      <c r="M5" s="502" t="str">
        <f>interFY_transition!S20</f>
        <v>Jan'27</v>
      </c>
      <c r="N5" s="502" t="str">
        <f>interFY_transition!T20</f>
        <v>Feb'27</v>
      </c>
      <c r="O5" s="502" t="str">
        <f>interFY_transition!U20</f>
        <v>Mar'27</v>
      </c>
    </row>
    <row r="6" spans="1:15">
      <c r="B6">
        <v>3</v>
      </c>
      <c r="C6" s="209" t="s">
        <v>60</v>
      </c>
      <c r="D6">
        <f>0.001*'Targets-chosen'!E49</f>
        <v>141.64166666666665</v>
      </c>
      <c r="E6">
        <f>0.001*'Targets-chosen'!F49</f>
        <v>140.64838709677417</v>
      </c>
      <c r="F6">
        <f>0.001*'Targets-chosen'!G49</f>
        <v>140.41</v>
      </c>
      <c r="G6">
        <f>0.001*'Targets-chosen'!I49</f>
        <v>140.64838709677417</v>
      </c>
      <c r="H6">
        <f>0.001*'Targets-chosen'!J49</f>
        <v>139.45645161290321</v>
      </c>
      <c r="I6">
        <f>0.001*'Targets-chosen'!K49</f>
        <v>141.64166666666665</v>
      </c>
      <c r="J6">
        <f>0.001*'Targets-chosen'!N49</f>
        <v>139.45645161290321</v>
      </c>
      <c r="K6">
        <f>0.001*'Targets-chosen'!O49</f>
        <v>137.94666666666666</v>
      </c>
      <c r="L6">
        <f>0.001*'Targets-chosen'!P49</f>
        <v>135.88064516129035</v>
      </c>
      <c r="M6">
        <f>0.001*'Targets-chosen'!S49</f>
        <v>134.68870967741935</v>
      </c>
      <c r="N6">
        <f>0.001*'Targets-chosen'!T49</f>
        <v>135.92321428571424</v>
      </c>
      <c r="O6">
        <f>0.001*'Targets-chosen'!U49</f>
        <v>134.68870967741935</v>
      </c>
    </row>
    <row r="7" spans="1:15">
      <c r="B7">
        <v>4</v>
      </c>
      <c r="C7" s="209" t="s">
        <v>61</v>
      </c>
      <c r="D7">
        <f>0.001*'Targets-chosen'!E50</f>
        <v>174.55384615384614</v>
      </c>
      <c r="E7">
        <f>0.001*'Targets-chosen'!F50</f>
        <v>174.46153846153845</v>
      </c>
      <c r="F7">
        <f>0.001*'Targets-chosen'!G50</f>
        <v>175.50769230769231</v>
      </c>
      <c r="G7">
        <f>0.001*'Targets-chosen'!I50</f>
        <v>174.46153846153845</v>
      </c>
      <c r="H7">
        <f>0.001*'Targets-chosen'!J50</f>
        <v>174.46153846153845</v>
      </c>
      <c r="I7">
        <f>0.001*'Targets-chosen'!K50</f>
        <v>174.55384615384614</v>
      </c>
      <c r="J7">
        <f>0.001*'Targets-chosen'!N50</f>
        <v>174.46153846153845</v>
      </c>
      <c r="K7">
        <f>0.001*'Targets-chosen'!O50</f>
        <v>174.55384615384614</v>
      </c>
      <c r="L7">
        <f>0.001*'Targets-chosen'!P50</f>
        <v>174.46153846153845</v>
      </c>
      <c r="M7">
        <f>0.001*'Targets-chosen'!S50</f>
        <v>174.46153846153845</v>
      </c>
      <c r="N7">
        <f>0.001*'Targets-chosen'!T50</f>
        <v>174.75824175824175</v>
      </c>
      <c r="O7">
        <f>0.001*'Targets-chosen'!U50</f>
        <v>174.46153846153845</v>
      </c>
    </row>
    <row r="8" spans="1:15">
      <c r="B8">
        <v>5</v>
      </c>
      <c r="C8" s="209" t="s">
        <v>62</v>
      </c>
      <c r="D8">
        <f>0.001*'Targets-chosen'!E51</f>
        <v>2.0266666666666668</v>
      </c>
      <c r="E8">
        <f>0.001*'Targets-chosen'!F51</f>
        <v>1.9612903225806451</v>
      </c>
      <c r="F8">
        <f>0.001*'Targets-chosen'!G51</f>
        <v>2.0266666666666668</v>
      </c>
      <c r="G8">
        <f>0.001*'Targets-chosen'!I51</f>
        <v>2.2064516129032259</v>
      </c>
      <c r="H8">
        <f>0.001*'Targets-chosen'!J51</f>
        <v>2.2064516129032259</v>
      </c>
      <c r="I8">
        <f>0.001*'Targets-chosen'!K51</f>
        <v>2.0266666666666668</v>
      </c>
      <c r="J8">
        <f>0.001*'Targets-chosen'!N51</f>
        <v>2.2064516129032259</v>
      </c>
      <c r="K8">
        <f>0.001*'Targets-chosen'!O51</f>
        <v>2.0266666666666668</v>
      </c>
      <c r="L8">
        <f>0.001*'Targets-chosen'!P51</f>
        <v>1.9612903225806451</v>
      </c>
      <c r="M8">
        <f>0.001*'Targets-chosen'!S51</f>
        <v>2.2064516129032259</v>
      </c>
      <c r="N8">
        <f>0.001*'Targets-chosen'!T51</f>
        <v>2.1714285714285713</v>
      </c>
      <c r="O8">
        <f>0.001*'Targets-chosen'!U51</f>
        <v>2.2064516129032259</v>
      </c>
    </row>
    <row r="9" spans="1:15">
      <c r="B9">
        <v>6</v>
      </c>
      <c r="C9" s="209" t="s">
        <v>57</v>
      </c>
      <c r="D9">
        <f>0.001*'Targets-chosen'!E52</f>
        <v>329.77777777777777</v>
      </c>
      <c r="E9">
        <f>0.001*'Targets-chosen'!F52</f>
        <v>327.32285635511437</v>
      </c>
      <c r="F9">
        <f>0.001*'Targets-chosen'!G52</f>
        <v>329.77777777777777</v>
      </c>
      <c r="G9">
        <f>0.001*'Targets-chosen'!I52</f>
        <v>327.32285635511437</v>
      </c>
      <c r="H9">
        <f>0.001*'Targets-chosen'!J52</f>
        <v>327.32285635511437</v>
      </c>
      <c r="I9">
        <f>0.001*'Targets-chosen'!K52</f>
        <v>329.77777777777777</v>
      </c>
      <c r="J9">
        <f>0.001*'Targets-chosen'!N52</f>
        <v>319.13978494623655</v>
      </c>
      <c r="K9">
        <f>0.001*'Targets-chosen'!O52</f>
        <v>329.77777777777777</v>
      </c>
      <c r="L9">
        <f>0.001*'Targets-chosen'!P52</f>
        <v>327.32285635511437</v>
      </c>
      <c r="M9">
        <f>0.001*'Targets-chosen'!S52</f>
        <v>327.32285635511437</v>
      </c>
      <c r="N9">
        <f>0.001*'Targets-chosen'!T52</f>
        <v>326.15384615384608</v>
      </c>
      <c r="O9">
        <f>0.001*'Targets-chosen'!U52</f>
        <v>327.32285635511437</v>
      </c>
    </row>
    <row r="10" spans="1:15">
      <c r="B10">
        <v>7</v>
      </c>
      <c r="C10" s="209" t="s">
        <v>58</v>
      </c>
      <c r="D10">
        <f>0.001*'Targets-chosen'!E53</f>
        <v>23.826543209876544</v>
      </c>
      <c r="E10">
        <f>0.001*'Targets-chosen'!F53</f>
        <v>23.057945041816012</v>
      </c>
      <c r="F10">
        <f>0.001*'Targets-chosen'!G53</f>
        <v>23.826543209876544</v>
      </c>
      <c r="G10">
        <f>0.001*'Targets-chosen'!I53</f>
        <v>23.853046594982079</v>
      </c>
      <c r="H10">
        <f>0.001*'Targets-chosen'!J53</f>
        <v>23.057945041816012</v>
      </c>
      <c r="I10">
        <f>0.001*'Targets-chosen'!K53</f>
        <v>23.826543209876544</v>
      </c>
      <c r="J10">
        <f>0.001*'Targets-chosen'!N53</f>
        <v>23.853046594982079</v>
      </c>
      <c r="K10">
        <f>0.001*'Targets-chosen'!O53</f>
        <v>23.826543209876544</v>
      </c>
      <c r="L10">
        <f>0.001*'Targets-chosen'!P53</f>
        <v>23.853046594982079</v>
      </c>
      <c r="M10">
        <f>0.001*'Targets-chosen'!S53</f>
        <v>23.853046594982079</v>
      </c>
      <c r="N10">
        <f>0.001*'Targets-chosen'!T53</f>
        <v>23.767857142857139</v>
      </c>
      <c r="O10">
        <f>0.001*'Targets-chosen'!U53</f>
        <v>23.057945041816012</v>
      </c>
    </row>
    <row r="11" spans="1:15">
      <c r="B11">
        <v>8</v>
      </c>
      <c r="C11" s="209" t="s">
        <v>59</v>
      </c>
      <c r="D11">
        <f>0.001*'Targets-chosen'!E54</f>
        <v>5.4240000000000004</v>
      </c>
      <c r="E11">
        <f>0.001*'Targets-chosen'!F54</f>
        <v>5.2490322580645161</v>
      </c>
      <c r="F11">
        <f>0.001*'Targets-chosen'!G54</f>
        <v>5.4240000000000004</v>
      </c>
      <c r="G11">
        <f>0.001*'Targets-chosen'!I54</f>
        <v>5.6864516129032259</v>
      </c>
      <c r="H11">
        <f>0.001*'Targets-chosen'!J54</f>
        <v>5.6864516129032259</v>
      </c>
      <c r="I11">
        <f>0.001*'Targets-chosen'!K54</f>
        <v>5.4240000000000004</v>
      </c>
      <c r="J11">
        <f>0.001*'Targets-chosen'!N54</f>
        <v>5.2490322580645161</v>
      </c>
      <c r="K11">
        <f>0.001*'Targets-chosen'!O54</f>
        <v>5.4240000000000004</v>
      </c>
      <c r="L11">
        <f>0.001*'Targets-chosen'!P54</f>
        <v>5.6864516129032259</v>
      </c>
      <c r="M11">
        <f>0.001*'Targets-chosen'!S54</f>
        <v>5.6864516129032259</v>
      </c>
      <c r="N11">
        <f>0.001*'Targets-chosen'!T54</f>
        <v>5.3271428571428574</v>
      </c>
      <c r="O11">
        <f>0.001*'Targets-chosen'!U54</f>
        <v>5.2490322580645161</v>
      </c>
    </row>
    <row r="12" spans="1:15">
      <c r="B12">
        <v>9</v>
      </c>
      <c r="C12" s="209" t="s">
        <v>63</v>
      </c>
      <c r="D12">
        <f>0.001*'Targets-chosen'!E55</f>
        <v>22.200000000000003</v>
      </c>
      <c r="E12">
        <f>0.001*'Targets-chosen'!F55</f>
        <v>22.16589861751152</v>
      </c>
      <c r="F12">
        <f>0.001*'Targets-chosen'!G55</f>
        <v>22.552380952380958</v>
      </c>
      <c r="G12">
        <f>0.001*'Targets-chosen'!I55</f>
        <v>22.16589861751152</v>
      </c>
      <c r="H12">
        <f>0.001*'Targets-chosen'!J55</f>
        <v>22.16589861751152</v>
      </c>
      <c r="I12">
        <f>0.001*'Targets-chosen'!K55</f>
        <v>22.552380952380958</v>
      </c>
      <c r="J12">
        <f>0.001*'Targets-chosen'!N55</f>
        <v>22.16589861751152</v>
      </c>
      <c r="K12">
        <f>0.001*'Targets-chosen'!O55</f>
        <v>22.200000000000003</v>
      </c>
      <c r="L12">
        <f>0.001*'Targets-chosen'!P55</f>
        <v>22.16589861751152</v>
      </c>
      <c r="M12">
        <f>0.001*'Targets-chosen'!S55</f>
        <v>22.16589861751152</v>
      </c>
      <c r="N12">
        <f>0.001*'Targets-chosen'!T55</f>
        <v>22.653061224489797</v>
      </c>
      <c r="O12">
        <f>0.001*'Targets-chosen'!U55</f>
        <v>22.506912442396317</v>
      </c>
    </row>
    <row r="13" spans="1:15">
      <c r="B13">
        <v>10</v>
      </c>
      <c r="C13" s="209" t="s">
        <v>64</v>
      </c>
      <c r="D13">
        <f>0.001*'Targets-chosen'!E56</f>
        <v>7.5636363636363635</v>
      </c>
      <c r="E13">
        <f>0.001*'Targets-chosen'!F56</f>
        <v>9.1495601173020535</v>
      </c>
      <c r="F13">
        <f>0.001*'Targets-chosen'!G56</f>
        <v>7.5636363636363635</v>
      </c>
      <c r="G13">
        <f>0.001*'Targets-chosen'!I56</f>
        <v>7.3196480938416411</v>
      </c>
      <c r="H13">
        <f>0.001*'Targets-chosen'!J56</f>
        <v>9.1495601173020535</v>
      </c>
      <c r="I13">
        <f>0.001*'Targets-chosen'!K56</f>
        <v>7.5636363636363635</v>
      </c>
      <c r="J13">
        <f>0.001*'Targets-chosen'!N56</f>
        <v>7.3196480938416411</v>
      </c>
      <c r="K13">
        <f>0.001*'Targets-chosen'!O56</f>
        <v>7.5636363636363635</v>
      </c>
      <c r="L13">
        <f>0.001*'Targets-chosen'!P56</f>
        <v>7.3196480938416411</v>
      </c>
      <c r="M13">
        <f>0.001*'Targets-chosen'!S56</f>
        <v>7.3196480938416411</v>
      </c>
      <c r="N13">
        <f>0.001*'Targets-chosen'!T56</f>
        <v>8.103896103896103</v>
      </c>
      <c r="O13">
        <f>0.001*'Targets-chosen'!U56</f>
        <v>7.3196480938416411</v>
      </c>
    </row>
    <row r="14" spans="1:15">
      <c r="B14">
        <v>11</v>
      </c>
      <c r="C14" s="209" t="s">
        <v>65</v>
      </c>
      <c r="D14">
        <f>0.001*'Targets-chosen'!E57</f>
        <v>4.9274999999999993</v>
      </c>
      <c r="E14">
        <f>0.001*'Targets-chosen'!F57</f>
        <v>5.2983870967741922</v>
      </c>
      <c r="F14">
        <f>0.001*'Targets-chosen'!G57</f>
        <v>5.4749999999999996</v>
      </c>
      <c r="G14">
        <f>0.001*'Targets-chosen'!I57</f>
        <v>5.2983870967741922</v>
      </c>
      <c r="H14" t="e">
        <f>0.001*'Targets-chosen'!J57</f>
        <v>#VALUE!</v>
      </c>
      <c r="I14">
        <f>0.001*'Targets-chosen'!K57</f>
        <v>4.9274999999999993</v>
      </c>
      <c r="J14">
        <f>0.001*'Targets-chosen'!N57</f>
        <v>5.2983870967741922</v>
      </c>
      <c r="K14">
        <f>0.001*'Targets-chosen'!O57</f>
        <v>4.9274999999999993</v>
      </c>
      <c r="L14">
        <f>0.001*'Targets-chosen'!P57</f>
        <v>5.2983870967741922</v>
      </c>
      <c r="M14">
        <f>0.001*'Targets-chosen'!S57</f>
        <v>5.2983870967741922</v>
      </c>
      <c r="N14">
        <f>0.001*'Targets-chosen'!T57</f>
        <v>5.2794642857142842</v>
      </c>
      <c r="O14">
        <f>0.001*'Targets-chosen'!U57</f>
        <v>5.2983870967741922</v>
      </c>
    </row>
    <row r="15" spans="1:15">
      <c r="B15">
        <v>12</v>
      </c>
      <c r="C15" s="209" t="s">
        <v>66</v>
      </c>
      <c r="D15">
        <f>0.001*'Targets-chosen'!E58</f>
        <v>431.80000000000007</v>
      </c>
      <c r="E15">
        <f>0.001*'Targets-chosen'!F58</f>
        <v>430.16129032258067</v>
      </c>
      <c r="F15">
        <f>0.001*'Targets-chosen'!G58</f>
        <v>431.80000000000007</v>
      </c>
      <c r="G15">
        <f>0.001*'Targets-chosen'!I58</f>
        <v>430.16129032258067</v>
      </c>
      <c r="H15">
        <f>0.001*'Targets-chosen'!J58</f>
        <v>430.16129032258067</v>
      </c>
      <c r="I15">
        <f>0.001*'Targets-chosen'!K58</f>
        <v>431.80000000000007</v>
      </c>
      <c r="J15">
        <f>0.001*'Targets-chosen'!N58</f>
        <v>430.16129032258067</v>
      </c>
      <c r="K15">
        <f>0.001*'Targets-chosen'!O58</f>
        <v>431.80000000000007</v>
      </c>
      <c r="L15">
        <f>0.001*'Targets-chosen'!P58</f>
        <v>430.16129032258067</v>
      </c>
      <c r="M15">
        <f>0.001*'Targets-chosen'!S58</f>
        <v>430.16129032258067</v>
      </c>
      <c r="N15">
        <f>0.001*'Targets-chosen'!T58</f>
        <v>435.42857142857144</v>
      </c>
      <c r="O15">
        <f>0.001*'Targets-chosen'!U58</f>
        <v>430.16129032258067</v>
      </c>
    </row>
    <row r="16" spans="1:15">
      <c r="B16">
        <v>13</v>
      </c>
      <c r="C16" s="209" t="s">
        <v>67</v>
      </c>
      <c r="D16">
        <f>0.001*'Targets-chosen'!E59</f>
        <v>52.56</v>
      </c>
      <c r="E16">
        <f>0.001*'Targets-chosen'!F59</f>
        <v>52.748387096774188</v>
      </c>
      <c r="F16">
        <f>0.001*'Targets-chosen'!G59</f>
        <v>52.56</v>
      </c>
      <c r="G16">
        <f>0.001*'Targets-chosen'!I59</f>
        <v>51.806451612903231</v>
      </c>
      <c r="H16">
        <f>0.001*'Targets-chosen'!J59</f>
        <v>52.748387096774188</v>
      </c>
      <c r="I16">
        <f>0.001*'Targets-chosen'!K59</f>
        <v>52.56</v>
      </c>
      <c r="J16">
        <f>0.001*'Targets-chosen'!N59</f>
        <v>52.748387096774188</v>
      </c>
      <c r="K16">
        <f>0.001*'Targets-chosen'!O59</f>
        <v>52.56</v>
      </c>
      <c r="L16">
        <f>0.001*'Targets-chosen'!P59</f>
        <v>52.748387096774188</v>
      </c>
      <c r="M16">
        <f>0.001*'Targets-chosen'!S59</f>
        <v>50.86451612903226</v>
      </c>
      <c r="N16">
        <f>0.001*'Targets-chosen'!T59</f>
        <v>52.142857142857139</v>
      </c>
      <c r="O16">
        <f>0.001*'Targets-chosen'!U59</f>
        <v>52.748387096774188</v>
      </c>
    </row>
    <row r="17" spans="2:15">
      <c r="B17">
        <v>14</v>
      </c>
      <c r="C17" s="209" t="s">
        <v>68</v>
      </c>
      <c r="D17">
        <f>0.001*'Targets-chosen'!E60</f>
        <v>13.153713298791022</v>
      </c>
      <c r="E17">
        <f>0.001*'Targets-chosen'!F60</f>
        <v>12.729399966571956</v>
      </c>
      <c r="F17">
        <f>0.001*'Targets-chosen'!G60</f>
        <v>13.153713298791022</v>
      </c>
      <c r="G17">
        <f>0.001*'Targets-chosen'!I60</f>
        <v>13.638642821327092</v>
      </c>
      <c r="H17">
        <f>0.001*'Targets-chosen'!J60</f>
        <v>12.729399966571956</v>
      </c>
      <c r="I17">
        <f>0.001*'Targets-chosen'!K60</f>
        <v>13.153713298791022</v>
      </c>
      <c r="J17">
        <f>0.001*'Targets-chosen'!N60</f>
        <v>13.638642821327092</v>
      </c>
      <c r="K17">
        <f>0.001*'Targets-chosen'!O60</f>
        <v>13.153713298791022</v>
      </c>
      <c r="L17">
        <f>0.001*'Targets-chosen'!P60</f>
        <v>13.638642821327092</v>
      </c>
      <c r="M17">
        <f>0.001*'Targets-chosen'!S60</f>
        <v>12.729399966571956</v>
      </c>
      <c r="N17">
        <f>0.001*'Targets-chosen'!T60</f>
        <v>13.086602516654329</v>
      </c>
      <c r="O17">
        <f>0.001*'Targets-chosen'!U60</f>
        <v>12.729399966571956</v>
      </c>
    </row>
    <row r="18" spans="2:15">
      <c r="B18">
        <v>15</v>
      </c>
      <c r="C18" s="209" t="s">
        <v>69</v>
      </c>
      <c r="D18">
        <f>0.001*'Targets-chosen'!E61</f>
        <v>0</v>
      </c>
      <c r="E18">
        <f>0.001*'Targets-chosen'!F61</f>
        <v>0</v>
      </c>
      <c r="F18">
        <f>0.001*'Targets-chosen'!G61</f>
        <v>0</v>
      </c>
      <c r="G18">
        <f>0.001*'Targets-chosen'!I61</f>
        <v>0</v>
      </c>
      <c r="H18">
        <f>0.001*'Targets-chosen'!J61</f>
        <v>0</v>
      </c>
      <c r="I18">
        <f>0.001*'Targets-chosen'!K61</f>
        <v>0</v>
      </c>
      <c r="J18">
        <f>0.001*'Targets-chosen'!N61</f>
        <v>0</v>
      </c>
      <c r="K18">
        <f>0.001*'Targets-chosen'!O61</f>
        <v>0</v>
      </c>
      <c r="L18">
        <f>0.001*'Targets-chosen'!P61</f>
        <v>0</v>
      </c>
      <c r="M18">
        <f>0.001*'Targets-chosen'!S61</f>
        <v>0</v>
      </c>
      <c r="N18">
        <f>0.001*'Targets-chosen'!T61</f>
        <v>0</v>
      </c>
      <c r="O18">
        <f>0.001*'Targets-chosen'!U61</f>
        <v>0</v>
      </c>
    </row>
    <row r="19" spans="2:15">
      <c r="B19">
        <v>16</v>
      </c>
      <c r="C19" s="209" t="s">
        <v>70</v>
      </c>
      <c r="D19">
        <f>0.001*'Targets-chosen'!E62</f>
        <v>0</v>
      </c>
      <c r="E19">
        <f>0.001*'Targets-chosen'!F62</f>
        <v>0</v>
      </c>
      <c r="F19">
        <f>0.001*'Targets-chosen'!G62</f>
        <v>0</v>
      </c>
      <c r="G19">
        <f>0.001*'Targets-chosen'!I62</f>
        <v>0</v>
      </c>
      <c r="H19">
        <f>0.001*'Targets-chosen'!J62</f>
        <v>0</v>
      </c>
      <c r="I19">
        <f>0.001*'Targets-chosen'!K62</f>
        <v>0</v>
      </c>
      <c r="J19">
        <f>0.001*'Targets-chosen'!N62</f>
        <v>0</v>
      </c>
      <c r="K19">
        <f>0.001*'Targets-chosen'!O62</f>
        <v>0</v>
      </c>
      <c r="L19">
        <f>0.001*'Targets-chosen'!P62</f>
        <v>0</v>
      </c>
      <c r="M19">
        <f>0.001*'Targets-chosen'!S62</f>
        <v>0</v>
      </c>
      <c r="N19">
        <f>0.001*'Targets-chosen'!T62</f>
        <v>0</v>
      </c>
      <c r="O19">
        <f>0.001*'Targets-chosen'!U62</f>
        <v>0</v>
      </c>
    </row>
    <row r="20" spans="2:15">
      <c r="B20">
        <v>17</v>
      </c>
      <c r="C20" s="279" t="s">
        <v>878</v>
      </c>
      <c r="D20">
        <f>0.001*'Targets-chosen'!E63</f>
        <v>146.45850000000004</v>
      </c>
      <c r="E20">
        <f>0.001*'Targets-chosen'!F63</f>
        <v>145.9817741935484</v>
      </c>
      <c r="F20">
        <f>0.001*'Targets-chosen'!G63</f>
        <v>146.92583333333334</v>
      </c>
      <c r="G20">
        <f>0.001*'Targets-chosen'!I63</f>
        <v>146.44290322580642</v>
      </c>
      <c r="H20" t="e">
        <f>0.001*'Targets-chosen'!J63</f>
        <v>#VALUE!</v>
      </c>
      <c r="I20">
        <f>0.001*'Targets-chosen'!K63</f>
        <v>146.70516666666668</v>
      </c>
      <c r="J20">
        <f>0.001*'Targets-chosen'!N63</f>
        <v>145.98193548387098</v>
      </c>
      <c r="K20">
        <f>0.001*'Targets-chosen'!O63</f>
        <v>145.71950000000004</v>
      </c>
      <c r="L20">
        <f>0.001*'Targets-chosen'!P63</f>
        <v>145.47967741935483</v>
      </c>
      <c r="M20">
        <f>0.001*'Targets-chosen'!S63</f>
        <v>144.79612903225805</v>
      </c>
      <c r="N20">
        <f>0.001*'Targets-chosen'!T63</f>
        <v>145.8844642857143</v>
      </c>
      <c r="O20">
        <f>0.001*'Targets-chosen'!U63</f>
        <v>145.0724193548387</v>
      </c>
    </row>
    <row r="22" spans="2:15">
      <c r="H22" t="s">
        <v>210</v>
      </c>
    </row>
    <row r="24" spans="2:15">
      <c r="B24">
        <v>1</v>
      </c>
      <c r="D24" s="505">
        <f>interFY_transition!J21</f>
        <v>202604</v>
      </c>
      <c r="E24" s="505">
        <f>interFY_transition!K21</f>
        <v>202605</v>
      </c>
      <c r="F24" s="505">
        <f>interFY_transition!L21</f>
        <v>202606</v>
      </c>
      <c r="G24" s="505">
        <f>interFY_transition!M21</f>
        <v>202607</v>
      </c>
      <c r="H24" s="505">
        <f>interFY_transition!N21</f>
        <v>202608</v>
      </c>
      <c r="I24" s="505">
        <f>interFY_transition!O21</f>
        <v>202609</v>
      </c>
      <c r="J24" s="505">
        <f>interFY_transition!P21</f>
        <v>202610</v>
      </c>
      <c r="K24" s="505">
        <f>interFY_transition!Q21</f>
        <v>202611</v>
      </c>
      <c r="L24" s="505">
        <f>interFY_transition!R21</f>
        <v>202612</v>
      </c>
      <c r="M24" s="505">
        <f>interFY_transition!S21</f>
        <v>202701</v>
      </c>
      <c r="N24" s="505">
        <f>interFY_transition!T21</f>
        <v>202702</v>
      </c>
      <c r="O24" s="505">
        <f>interFY_transition!U21</f>
        <v>202703</v>
      </c>
    </row>
    <row r="25" spans="2:15">
      <c r="B25">
        <v>2</v>
      </c>
      <c r="D25" s="502" t="str">
        <f>interFY_transition!J20</f>
        <v>Apr'26</v>
      </c>
      <c r="E25" s="502" t="str">
        <f>interFY_transition!K20</f>
        <v>May'26</v>
      </c>
      <c r="F25" s="502" t="str">
        <f>interFY_transition!L20</f>
        <v>June'26</v>
      </c>
      <c r="G25" s="502" t="str">
        <f>interFY_transition!M20</f>
        <v>July'26</v>
      </c>
      <c r="H25" s="502" t="str">
        <f>interFY_transition!N20</f>
        <v>Aug'26</v>
      </c>
      <c r="I25" s="502" t="str">
        <f>interFY_transition!O20</f>
        <v>Sep'26</v>
      </c>
      <c r="J25" s="502" t="str">
        <f>interFY_transition!P20</f>
        <v>Oct'26</v>
      </c>
      <c r="K25" s="502" t="str">
        <f>interFY_transition!Q20</f>
        <v>Nov'26</v>
      </c>
      <c r="L25" s="502" t="str">
        <f>interFY_transition!R20</f>
        <v>Dec'26</v>
      </c>
      <c r="M25" s="502" t="str">
        <f>interFY_transition!S20</f>
        <v>Jan'27</v>
      </c>
      <c r="N25" s="502" t="str">
        <f>interFY_transition!T20</f>
        <v>Feb'27</v>
      </c>
      <c r="O25" s="502" t="str">
        <f>interFY_transition!U20</f>
        <v>Mar'27</v>
      </c>
    </row>
    <row r="26" spans="2:15">
      <c r="B26">
        <v>3</v>
      </c>
      <c r="C26" s="209" t="s">
        <v>60</v>
      </c>
      <c r="D26">
        <f>'Targets-chosen'!E69</f>
        <v>8.1666666666666661</v>
      </c>
      <c r="E26">
        <f>'Targets-chosen'!F69</f>
        <v>8.064516129032258</v>
      </c>
      <c r="F26">
        <f>'Targets-chosen'!G69</f>
        <v>8</v>
      </c>
      <c r="G26">
        <f>'Targets-chosen'!I69</f>
        <v>8.2258064516129004</v>
      </c>
      <c r="H26">
        <f>'Targets-chosen'!J69</f>
        <v>8.064516129032258</v>
      </c>
      <c r="I26">
        <f>'Targets-chosen'!K69</f>
        <v>8.1666666666666661</v>
      </c>
      <c r="J26">
        <f>'Targets-chosen'!N69</f>
        <v>8.3870967741935463</v>
      </c>
      <c r="K26">
        <f>'Targets-chosen'!O69</f>
        <v>8.8333333333333321</v>
      </c>
      <c r="L26">
        <f>'Targets-chosen'!P69</f>
        <v>8.7096774193548363</v>
      </c>
      <c r="M26">
        <f>'Targets-chosen'!S69</f>
        <v>9.0322580645161263</v>
      </c>
      <c r="N26">
        <f>'Targets-chosen'!T69</f>
        <v>9.1071428571428541</v>
      </c>
      <c r="O26">
        <f>'Targets-chosen'!U69</f>
        <v>9.0322580645161263</v>
      </c>
    </row>
    <row r="27" spans="2:15">
      <c r="B27">
        <v>4</v>
      </c>
      <c r="C27" s="209" t="s">
        <v>61</v>
      </c>
      <c r="D27">
        <f>'Targets-chosen'!E70</f>
        <v>8.4615384615384617</v>
      </c>
      <c r="E27">
        <f>'Targets-chosen'!F70</f>
        <v>8.4367245657568244</v>
      </c>
      <c r="F27">
        <f>'Targets-chosen'!G70</f>
        <v>8.4615384615384617</v>
      </c>
      <c r="G27">
        <f>'Targets-chosen'!I70</f>
        <v>8.4367245657568244</v>
      </c>
      <c r="H27">
        <f>'Targets-chosen'!J70</f>
        <v>8.4367245657568244</v>
      </c>
      <c r="I27">
        <f>'Targets-chosen'!K70</f>
        <v>8.4615384615384617</v>
      </c>
      <c r="J27">
        <f>'Targets-chosen'!N70</f>
        <v>8.4299262381454163</v>
      </c>
      <c r="K27">
        <f>'Targets-chosen'!O70</f>
        <v>8.4615384615384617</v>
      </c>
      <c r="L27">
        <f>'Targets-chosen'!P70</f>
        <v>8.4367245657568244</v>
      </c>
      <c r="M27">
        <f>'Targets-chosen'!S70</f>
        <v>8.4367245657568244</v>
      </c>
      <c r="N27">
        <f>'Targets-chosen'!T70</f>
        <v>8.2417582417582409</v>
      </c>
      <c r="O27">
        <f>'Targets-chosen'!U70</f>
        <v>8.4367245657568244</v>
      </c>
    </row>
    <row r="28" spans="2:15">
      <c r="B28">
        <v>5</v>
      </c>
      <c r="C28" s="209" t="s">
        <v>62</v>
      </c>
      <c r="D28">
        <f>'Targets-chosen'!E71</f>
        <v>0.26666666666666666</v>
      </c>
      <c r="E28">
        <f>'Targets-chosen'!F71</f>
        <v>0.25806451612903225</v>
      </c>
      <c r="F28">
        <f>'Targets-chosen'!G71</f>
        <v>0.26666666666666666</v>
      </c>
      <c r="G28">
        <f>'Targets-chosen'!I71</f>
        <v>0.25806451612903225</v>
      </c>
      <c r="H28">
        <f>'Targets-chosen'!J71</f>
        <v>0.25806451612903225</v>
      </c>
      <c r="I28">
        <f>'Targets-chosen'!K71</f>
        <v>0.26666666666666666</v>
      </c>
      <c r="J28">
        <f>'Targets-chosen'!N71</f>
        <v>0.25753424657534246</v>
      </c>
      <c r="K28">
        <f>'Targets-chosen'!O71</f>
        <v>0.26666666666666666</v>
      </c>
      <c r="L28">
        <f>'Targets-chosen'!P71</f>
        <v>0.25806451612903225</v>
      </c>
      <c r="M28">
        <f>'Targets-chosen'!S71</f>
        <v>0.25806451612903225</v>
      </c>
      <c r="N28">
        <f>'Targets-chosen'!T71</f>
        <v>0.21428571428571427</v>
      </c>
      <c r="O28">
        <f>'Targets-chosen'!U71</f>
        <v>0.25806451612903225</v>
      </c>
    </row>
    <row r="29" spans="2:15">
      <c r="B29">
        <v>6</v>
      </c>
      <c r="C29" s="209" t="s">
        <v>57</v>
      </c>
      <c r="D29">
        <f>'Targets-chosen'!E72</f>
        <v>11.396011396011396</v>
      </c>
      <c r="E29">
        <f>'Targets-chosen'!F72</f>
        <v>11.028398125172318</v>
      </c>
      <c r="F29">
        <f>'Targets-chosen'!G72</f>
        <v>11.396011396011396</v>
      </c>
      <c r="G29">
        <f>'Targets-chosen'!I72</f>
        <v>11.028398125172318</v>
      </c>
      <c r="H29">
        <f>'Targets-chosen'!J72</f>
        <v>11.028398125172318</v>
      </c>
      <c r="I29">
        <f>'Targets-chosen'!K72</f>
        <v>11.396011396011396</v>
      </c>
      <c r="J29">
        <f>'Targets-chosen'!N72</f>
        <v>10.865238262498535</v>
      </c>
      <c r="K29">
        <f>'Targets-chosen'!O72</f>
        <v>11.396011396011396</v>
      </c>
      <c r="L29">
        <f>'Targets-chosen'!P72</f>
        <v>11.028398125172318</v>
      </c>
      <c r="M29">
        <f>'Targets-chosen'!S72</f>
        <v>11.028398125172318</v>
      </c>
      <c r="N29">
        <f>'Targets-chosen'!T72</f>
        <v>7.3260073260073248</v>
      </c>
      <c r="O29">
        <f>'Targets-chosen'!U72</f>
        <v>11.028398125172318</v>
      </c>
    </row>
    <row r="30" spans="2:15">
      <c r="B30">
        <v>7</v>
      </c>
      <c r="C30" s="209" t="s">
        <v>58</v>
      </c>
      <c r="D30">
        <f>'Targets-chosen'!E73</f>
        <v>0.24691358024691354</v>
      </c>
      <c r="E30">
        <f>'Targets-chosen'!F73</f>
        <v>0.23894862604540021</v>
      </c>
      <c r="F30">
        <f>'Targets-chosen'!G73</f>
        <v>0.24691358024691354</v>
      </c>
      <c r="G30">
        <f>'Targets-chosen'!I73</f>
        <v>0.23894862604540021</v>
      </c>
      <c r="H30">
        <f>'Targets-chosen'!J73</f>
        <v>0.23894862604540021</v>
      </c>
      <c r="I30">
        <f>'Targets-chosen'!K73</f>
        <v>0.24691358024691354</v>
      </c>
      <c r="J30">
        <f>'Targets-chosen'!N73</f>
        <v>0.25367833587011673</v>
      </c>
      <c r="K30">
        <f>'Targets-chosen'!O73</f>
        <v>0.24691358024691354</v>
      </c>
      <c r="L30">
        <f>'Targets-chosen'!P73</f>
        <v>0.23894862604540021</v>
      </c>
      <c r="M30">
        <f>'Targets-chosen'!S73</f>
        <v>0.23894862604540021</v>
      </c>
      <c r="N30">
        <f>'Targets-chosen'!T73</f>
        <v>0.39682539682539675</v>
      </c>
      <c r="O30">
        <f>'Targets-chosen'!U73</f>
        <v>0.23894862604540021</v>
      </c>
    </row>
    <row r="31" spans="2:15">
      <c r="B31">
        <v>8</v>
      </c>
      <c r="C31" s="209" t="s">
        <v>59</v>
      </c>
      <c r="D31">
        <f>'Targets-chosen'!E74</f>
        <v>0</v>
      </c>
      <c r="E31">
        <f>'Targets-chosen'!F74</f>
        <v>0</v>
      </c>
      <c r="F31">
        <f>'Targets-chosen'!G74</f>
        <v>6.6666666666666666E-2</v>
      </c>
      <c r="G31">
        <f>'Targets-chosen'!I74</f>
        <v>0</v>
      </c>
      <c r="H31">
        <f>'Targets-chosen'!J74</f>
        <v>0</v>
      </c>
      <c r="I31">
        <f>'Targets-chosen'!K74</f>
        <v>6.6666666666666666E-2</v>
      </c>
      <c r="J31">
        <f>'Targets-chosen'!N74</f>
        <v>0</v>
      </c>
      <c r="K31">
        <f>'Targets-chosen'!O74</f>
        <v>0</v>
      </c>
      <c r="L31">
        <f>'Targets-chosen'!P74</f>
        <v>6.4516129032258063E-2</v>
      </c>
      <c r="M31">
        <f>'Targets-chosen'!S74</f>
        <v>0</v>
      </c>
      <c r="N31">
        <f>'Targets-chosen'!T74</f>
        <v>0</v>
      </c>
      <c r="O31">
        <f>'Targets-chosen'!U74</f>
        <v>6.4516129032258063E-2</v>
      </c>
    </row>
    <row r="32" spans="2:15">
      <c r="B32">
        <v>9</v>
      </c>
      <c r="C32" s="209" t="s">
        <v>63</v>
      </c>
      <c r="D32">
        <f>'Targets-chosen'!E75</f>
        <v>0</v>
      </c>
      <c r="E32">
        <f>'Targets-chosen'!F75</f>
        <v>0</v>
      </c>
      <c r="F32">
        <f>'Targets-chosen'!G75</f>
        <v>0</v>
      </c>
      <c r="G32">
        <f>'Targets-chosen'!I75</f>
        <v>0</v>
      </c>
      <c r="H32">
        <f>'Targets-chosen'!J75</f>
        <v>0</v>
      </c>
      <c r="I32">
        <f>'Targets-chosen'!K75</f>
        <v>0</v>
      </c>
      <c r="J32">
        <f>'Targets-chosen'!N75</f>
        <v>0</v>
      </c>
      <c r="K32">
        <f>'Targets-chosen'!O75</f>
        <v>0</v>
      </c>
      <c r="L32">
        <f>'Targets-chosen'!P75</f>
        <v>0</v>
      </c>
      <c r="M32">
        <f>'Targets-chosen'!S75</f>
        <v>0</v>
      </c>
      <c r="N32">
        <f>'Targets-chosen'!T75</f>
        <v>5.1020408163265314E-2</v>
      </c>
      <c r="O32">
        <f>'Targets-chosen'!U75</f>
        <v>0</v>
      </c>
    </row>
    <row r="33" spans="2:15">
      <c r="B33">
        <v>10</v>
      </c>
      <c r="C33" s="209" t="s">
        <v>64</v>
      </c>
      <c r="D33">
        <f>'Targets-chosen'!E76</f>
        <v>0.30303030303030298</v>
      </c>
      <c r="E33">
        <f>'Targets-chosen'!F76</f>
        <v>0.29325513196480935</v>
      </c>
      <c r="F33">
        <f>'Targets-chosen'!G76</f>
        <v>0</v>
      </c>
      <c r="G33">
        <f>'Targets-chosen'!I76</f>
        <v>0.29325513196480935</v>
      </c>
      <c r="H33">
        <f>'Targets-chosen'!J76</f>
        <v>0.29325513196480935</v>
      </c>
      <c r="I33">
        <f>'Targets-chosen'!K76</f>
        <v>0.30303030303030298</v>
      </c>
      <c r="J33">
        <f>'Targets-chosen'!N76</f>
        <v>0.22415940224159403</v>
      </c>
      <c r="K33">
        <f>'Targets-chosen'!O76</f>
        <v>0</v>
      </c>
      <c r="L33">
        <f>'Targets-chosen'!P76</f>
        <v>0.29325513196480935</v>
      </c>
      <c r="M33">
        <f>'Targets-chosen'!S76</f>
        <v>0.29325513196480935</v>
      </c>
      <c r="N33">
        <f>'Targets-chosen'!T76</f>
        <v>0</v>
      </c>
      <c r="O33">
        <f>'Targets-chosen'!U76</f>
        <v>0.29325513196480935</v>
      </c>
    </row>
    <row r="34" spans="2:15">
      <c r="B34">
        <v>11</v>
      </c>
      <c r="C34" s="209" t="s">
        <v>65</v>
      </c>
      <c r="D34">
        <f>'Targets-chosen'!E77</f>
        <v>0.16666666666666666</v>
      </c>
      <c r="E34">
        <f>'Targets-chosen'!F77</f>
        <v>0.24193548387096775</v>
      </c>
      <c r="F34">
        <f>'Targets-chosen'!G77</f>
        <v>0.25</v>
      </c>
      <c r="G34">
        <f>'Targets-chosen'!I77</f>
        <v>0.24193548387096775</v>
      </c>
      <c r="H34">
        <f>'Targets-chosen'!J77</f>
        <v>0.24193548387096775</v>
      </c>
      <c r="I34">
        <f>'Targets-chosen'!K77</f>
        <v>0.25</v>
      </c>
      <c r="J34">
        <f>'Targets-chosen'!N77</f>
        <v>0.21917808219178084</v>
      </c>
      <c r="K34">
        <f>'Targets-chosen'!O77</f>
        <v>0.25</v>
      </c>
      <c r="L34">
        <f>'Targets-chosen'!P77</f>
        <v>0.24193548387096775</v>
      </c>
      <c r="M34">
        <f>'Targets-chosen'!S77</f>
        <v>0.24193548387096775</v>
      </c>
      <c r="N34">
        <f>'Targets-chosen'!T77</f>
        <v>0.17857142857142855</v>
      </c>
      <c r="O34">
        <f>'Targets-chosen'!U77</f>
        <v>8.0645161290322578E-2</v>
      </c>
    </row>
    <row r="35" spans="2:15">
      <c r="B35">
        <v>12</v>
      </c>
      <c r="C35" s="209" t="s">
        <v>66</v>
      </c>
      <c r="D35">
        <f>'Targets-chosen'!E78</f>
        <v>0</v>
      </c>
      <c r="E35">
        <f>'Targets-chosen'!F78</f>
        <v>0</v>
      </c>
      <c r="F35">
        <f>'Targets-chosen'!G78</f>
        <v>0</v>
      </c>
      <c r="G35">
        <f>'Targets-chosen'!I78</f>
        <v>0</v>
      </c>
      <c r="H35">
        <f>'Targets-chosen'!J78</f>
        <v>0</v>
      </c>
      <c r="I35">
        <f>'Targets-chosen'!K78</f>
        <v>0</v>
      </c>
      <c r="J35">
        <f>'Targets-chosen'!N78</f>
        <v>0</v>
      </c>
      <c r="K35">
        <f>'Targets-chosen'!O78</f>
        <v>0</v>
      </c>
      <c r="L35">
        <f>'Targets-chosen'!P78</f>
        <v>0</v>
      </c>
      <c r="M35">
        <f>'Targets-chosen'!S78</f>
        <v>0</v>
      </c>
      <c r="N35">
        <f>'Targets-chosen'!T78</f>
        <v>0</v>
      </c>
      <c r="O35">
        <f>'Targets-chosen'!U78</f>
        <v>0</v>
      </c>
    </row>
    <row r="36" spans="2:15">
      <c r="B36">
        <v>13</v>
      </c>
      <c r="C36" s="209" t="s">
        <v>67</v>
      </c>
      <c r="D36">
        <f>'Targets-chosen'!E79</f>
        <v>0</v>
      </c>
      <c r="E36">
        <f>'Targets-chosen'!F79</f>
        <v>0</v>
      </c>
      <c r="F36">
        <f>'Targets-chosen'!G79</f>
        <v>0</v>
      </c>
      <c r="G36">
        <f>'Targets-chosen'!I79</f>
        <v>0</v>
      </c>
      <c r="H36">
        <f>'Targets-chosen'!J79</f>
        <v>0</v>
      </c>
      <c r="I36">
        <f>'Targets-chosen'!K79</f>
        <v>0</v>
      </c>
      <c r="J36">
        <f>'Targets-chosen'!N79</f>
        <v>0</v>
      </c>
      <c r="K36">
        <f>'Targets-chosen'!O79</f>
        <v>0</v>
      </c>
      <c r="L36">
        <f>'Targets-chosen'!P79</f>
        <v>0</v>
      </c>
      <c r="M36">
        <f>'Targets-chosen'!S79</f>
        <v>0</v>
      </c>
      <c r="N36">
        <f>'Targets-chosen'!T79</f>
        <v>0</v>
      </c>
      <c r="O36">
        <f>'Targets-chosen'!U79</f>
        <v>0</v>
      </c>
    </row>
    <row r="37" spans="2:15">
      <c r="B37">
        <v>14</v>
      </c>
      <c r="C37" s="209" t="s">
        <v>68</v>
      </c>
      <c r="D37">
        <f>'Targets-chosen'!E80</f>
        <v>0</v>
      </c>
      <c r="E37">
        <f>'Targets-chosen'!F80</f>
        <v>0</v>
      </c>
      <c r="F37">
        <f>'Targets-chosen'!G80</f>
        <v>0</v>
      </c>
      <c r="G37">
        <f>'Targets-chosen'!I80</f>
        <v>0</v>
      </c>
      <c r="H37">
        <f>'Targets-chosen'!J80</f>
        <v>0</v>
      </c>
      <c r="I37">
        <f>'Targets-chosen'!K80</f>
        <v>0</v>
      </c>
      <c r="J37">
        <f>'Targets-chosen'!N80</f>
        <v>0</v>
      </c>
      <c r="K37">
        <f>'Targets-chosen'!O80</f>
        <v>0</v>
      </c>
      <c r="L37">
        <f>'Targets-chosen'!P80</f>
        <v>0</v>
      </c>
      <c r="M37">
        <f>'Targets-chosen'!S80</f>
        <v>0</v>
      </c>
      <c r="N37">
        <f>'Targets-chosen'!T80</f>
        <v>0</v>
      </c>
      <c r="O37">
        <f>'Targets-chosen'!U80</f>
        <v>0</v>
      </c>
    </row>
    <row r="38" spans="2:15">
      <c r="B38">
        <v>15</v>
      </c>
      <c r="C38" s="209" t="s">
        <v>69</v>
      </c>
      <c r="D38">
        <f>'Targets-chosen'!E81</f>
        <v>0</v>
      </c>
      <c r="E38">
        <f>'Targets-chosen'!F81</f>
        <v>0</v>
      </c>
      <c r="F38">
        <f>'Targets-chosen'!G81</f>
        <v>0</v>
      </c>
      <c r="G38">
        <f>'Targets-chosen'!I81</f>
        <v>0</v>
      </c>
      <c r="H38">
        <f>'Targets-chosen'!J81</f>
        <v>0</v>
      </c>
      <c r="I38">
        <f>'Targets-chosen'!K81</f>
        <v>0</v>
      </c>
      <c r="J38">
        <f>'Targets-chosen'!N81</f>
        <v>0</v>
      </c>
      <c r="K38">
        <f>'Targets-chosen'!O81</f>
        <v>0</v>
      </c>
      <c r="L38">
        <f>'Targets-chosen'!P81</f>
        <v>0</v>
      </c>
      <c r="M38">
        <f>'Targets-chosen'!S81</f>
        <v>0</v>
      </c>
      <c r="N38">
        <f>'Targets-chosen'!T81</f>
        <v>0</v>
      </c>
      <c r="O38">
        <f>'Targets-chosen'!U81</f>
        <v>0</v>
      </c>
    </row>
    <row r="39" spans="2:15">
      <c r="B39">
        <v>16</v>
      </c>
      <c r="C39" s="209" t="s">
        <v>70</v>
      </c>
      <c r="D39">
        <f>'Targets-chosen'!E82</f>
        <v>14.117647058823527</v>
      </c>
      <c r="E39">
        <f>'Targets-chosen'!F82</f>
        <v>14.041745730550282</v>
      </c>
      <c r="F39">
        <f>'Targets-chosen'!G82</f>
        <v>14.117647058823527</v>
      </c>
      <c r="G39">
        <f>'Targets-chosen'!I82</f>
        <v>14.041745730550282</v>
      </c>
      <c r="H39">
        <f>'Targets-chosen'!J82</f>
        <v>14.041745730550282</v>
      </c>
      <c r="I39">
        <f>'Targets-chosen'!K82</f>
        <v>14.117647058823527</v>
      </c>
      <c r="J39">
        <f>'Targets-chosen'!N82</f>
        <v>14.085414987912973</v>
      </c>
      <c r="K39">
        <f>'Targets-chosen'!O82</f>
        <v>14.117647058823527</v>
      </c>
      <c r="L39">
        <f>'Targets-chosen'!P82</f>
        <v>14.041745730550282</v>
      </c>
      <c r="M39">
        <f>'Targets-chosen'!S82</f>
        <v>14.041745730550282</v>
      </c>
      <c r="N39">
        <f>'Targets-chosen'!T82</f>
        <v>14.285714285714285</v>
      </c>
      <c r="O39">
        <f>'Targets-chosen'!U82</f>
        <v>14.041745730550282</v>
      </c>
    </row>
    <row r="40" spans="2:15">
      <c r="B40">
        <v>17</v>
      </c>
      <c r="C40" s="279" t="s">
        <v>878</v>
      </c>
      <c r="D40">
        <f>'Targets-chosen'!E83</f>
        <v>7</v>
      </c>
      <c r="E40">
        <f>'Targets-chosen'!F83</f>
        <v>6.9677419354838701</v>
      </c>
      <c r="F40">
        <f>'Targets-chosen'!G83</f>
        <v>7</v>
      </c>
      <c r="G40">
        <f>'Targets-chosen'!I83</f>
        <v>6.9999999999999991</v>
      </c>
      <c r="H40">
        <f>'Targets-chosen'!J83</f>
        <v>6.9677419354838701</v>
      </c>
      <c r="I40">
        <f>'Targets-chosen'!K83</f>
        <v>7.0666666666666664</v>
      </c>
      <c r="J40">
        <f>'Targets-chosen'!N83</f>
        <v>7.0198851082633658</v>
      </c>
      <c r="K40">
        <f>'Targets-chosen'!O83</f>
        <v>7.1333333333333329</v>
      </c>
      <c r="L40">
        <f>'Targets-chosen'!P83</f>
        <v>7.1290322580645151</v>
      </c>
      <c r="M40">
        <f>'Targets-chosen'!S83</f>
        <v>7.1612903225806441</v>
      </c>
      <c r="N40">
        <f>'Targets-chosen'!T83</f>
        <v>7.0357142857142847</v>
      </c>
      <c r="O40">
        <f>'Targets-chosen'!U83</f>
        <v>7.1290322580645151</v>
      </c>
    </row>
    <row r="43" spans="2:15">
      <c r="G43" t="s">
        <v>211</v>
      </c>
    </row>
    <row r="46" spans="2:15">
      <c r="D46" s="502" t="str">
        <f>interFY_transition!J20</f>
        <v>Apr'26</v>
      </c>
      <c r="E46" s="502" t="str">
        <f>interFY_transition!K20</f>
        <v>May'26</v>
      </c>
      <c r="F46" s="502" t="str">
        <f>interFY_transition!L20</f>
        <v>June'26</v>
      </c>
      <c r="G46" s="502" t="str">
        <f>interFY_transition!M20</f>
        <v>July'26</v>
      </c>
      <c r="H46" s="502" t="str">
        <f>interFY_transition!N20</f>
        <v>Aug'26</v>
      </c>
      <c r="I46" s="502" t="str">
        <f>interFY_transition!O20</f>
        <v>Sep'26</v>
      </c>
      <c r="J46" s="502" t="str">
        <f>interFY_transition!P20</f>
        <v>Oct'26</v>
      </c>
      <c r="K46" s="502" t="str">
        <f>interFY_transition!Q20</f>
        <v>Nov'26</v>
      </c>
      <c r="L46" s="502" t="str">
        <f>interFY_transition!R20</f>
        <v>Dec'26</v>
      </c>
      <c r="M46" s="502" t="str">
        <f>interFY_transition!S20</f>
        <v>Jan'27</v>
      </c>
      <c r="N46" s="502" t="str">
        <f>interFY_transition!T20</f>
        <v>Feb'27</v>
      </c>
      <c r="O46" s="502" t="str">
        <f>interFY_transition!U20</f>
        <v>Mar'27</v>
      </c>
    </row>
    <row r="47" spans="2:15">
      <c r="C47" s="209" t="s">
        <v>60</v>
      </c>
      <c r="D47">
        <f>'Targets-chosen'!E8</f>
        <v>0.115</v>
      </c>
      <c r="E47">
        <f>'Targets-chosen'!F8</f>
        <v>0.11799999999999999</v>
      </c>
      <c r="F47">
        <f>'Targets-chosen'!G8</f>
        <v>0.114</v>
      </c>
      <c r="G47">
        <f>'Targets-chosen'!I8</f>
        <v>0.11799999999999999</v>
      </c>
      <c r="H47">
        <f>'Targets-chosen'!J8</f>
        <v>0.11700000000000001</v>
      </c>
      <c r="I47">
        <f>'Targets-chosen'!K8</f>
        <v>0.115</v>
      </c>
      <c r="J47">
        <f>'Targets-chosen'!N8</f>
        <v>0.11700000000000001</v>
      </c>
      <c r="K47">
        <f>'Targets-chosen'!O8</f>
        <v>0.112</v>
      </c>
      <c r="L47">
        <f>'Targets-chosen'!P8</f>
        <v>0.114</v>
      </c>
      <c r="M47">
        <f>'Targets-chosen'!S8</f>
        <v>0.113</v>
      </c>
      <c r="N47">
        <f>'Targets-chosen'!T8</f>
        <v>0.10299999999999999</v>
      </c>
      <c r="O47">
        <f>'Targets-chosen'!U8</f>
        <v>0.113</v>
      </c>
    </row>
    <row r="48" spans="2:15">
      <c r="C48" s="209" t="s">
        <v>61</v>
      </c>
      <c r="D48">
        <f>'Targets-chosen'!E9</f>
        <v>0.183</v>
      </c>
      <c r="E48">
        <f>'Targets-chosen'!F9</f>
        <v>0.189</v>
      </c>
      <c r="F48">
        <f>'Targets-chosen'!G9</f>
        <v>0.184</v>
      </c>
      <c r="G48">
        <f>'Targets-chosen'!I9</f>
        <v>0.189</v>
      </c>
      <c r="H48">
        <f>'Targets-chosen'!J9</f>
        <v>0.189</v>
      </c>
      <c r="I48">
        <f>'Targets-chosen'!K9</f>
        <v>0.183</v>
      </c>
      <c r="J48">
        <f>'Targets-chosen'!N9</f>
        <v>0.189</v>
      </c>
      <c r="K48">
        <f>'Targets-chosen'!O9</f>
        <v>0.183</v>
      </c>
      <c r="L48">
        <f>'Targets-chosen'!P9</f>
        <v>0.189</v>
      </c>
      <c r="M48">
        <f>'Targets-chosen'!S9</f>
        <v>0.189</v>
      </c>
      <c r="N48">
        <f>'Targets-chosen'!T9</f>
        <v>0.17100000000000001</v>
      </c>
      <c r="O48">
        <f>'Targets-chosen'!U9</f>
        <v>0.189</v>
      </c>
    </row>
    <row r="49" spans="3:15">
      <c r="C49" s="209" t="s">
        <v>62</v>
      </c>
      <c r="D49">
        <f>'Targets-chosen'!E10</f>
        <v>8.0000000000000002E-3</v>
      </c>
      <c r="E49">
        <f>'Targets-chosen'!F10</f>
        <v>8.0000000000000002E-3</v>
      </c>
      <c r="F49">
        <f>'Targets-chosen'!G10</f>
        <v>8.0000000000000002E-3</v>
      </c>
      <c r="G49">
        <f>'Targets-chosen'!I10</f>
        <v>8.9999999999999993E-3</v>
      </c>
      <c r="H49">
        <f>'Targets-chosen'!J10</f>
        <v>8.9999999999999993E-3</v>
      </c>
      <c r="I49">
        <f>'Targets-chosen'!K10</f>
        <v>8.0000000000000002E-3</v>
      </c>
      <c r="J49">
        <f>'Targets-chosen'!N10</f>
        <v>8.9999999999999993E-3</v>
      </c>
      <c r="K49">
        <f>'Targets-chosen'!O10</f>
        <v>8.0000000000000002E-3</v>
      </c>
      <c r="L49">
        <f>'Targets-chosen'!P10</f>
        <v>8.0000000000000002E-3</v>
      </c>
      <c r="M49">
        <f>'Targets-chosen'!S10</f>
        <v>8.9999999999999993E-3</v>
      </c>
      <c r="N49">
        <f>'Targets-chosen'!T10</f>
        <v>8.0000000000000002E-3</v>
      </c>
      <c r="O49">
        <f>'Targets-chosen'!U10</f>
        <v>8.9999999999999993E-3</v>
      </c>
    </row>
    <row r="50" spans="3:15">
      <c r="C50" s="209" t="s">
        <v>57</v>
      </c>
      <c r="D50">
        <f>'Targets-chosen'!E11</f>
        <v>3.9E-2</v>
      </c>
      <c r="E50">
        <f>'Targets-chosen'!F11</f>
        <v>0.04</v>
      </c>
      <c r="F50">
        <f>'Targets-chosen'!G11</f>
        <v>3.9E-2</v>
      </c>
      <c r="G50">
        <f>'Targets-chosen'!I11</f>
        <v>0.04</v>
      </c>
      <c r="H50">
        <f>'Targets-chosen'!J11</f>
        <v>0.04</v>
      </c>
      <c r="I50">
        <f>'Targets-chosen'!K11</f>
        <v>3.9E-2</v>
      </c>
      <c r="J50">
        <f>'Targets-chosen'!N11</f>
        <v>3.9E-2</v>
      </c>
      <c r="K50">
        <f>'Targets-chosen'!O11</f>
        <v>3.9E-2</v>
      </c>
      <c r="L50">
        <f>'Targets-chosen'!P11</f>
        <v>0.04</v>
      </c>
      <c r="M50">
        <f>'Targets-chosen'!S11</f>
        <v>0.04</v>
      </c>
      <c r="N50">
        <f>'Targets-chosen'!T11</f>
        <v>3.5999999999999997E-2</v>
      </c>
      <c r="O50">
        <f>'Targets-chosen'!U11</f>
        <v>0.04</v>
      </c>
    </row>
    <row r="51" spans="3:15">
      <c r="C51" s="209" t="s">
        <v>58</v>
      </c>
      <c r="D51">
        <f>'Targets-chosen'!E12</f>
        <v>2.9000000000000001E-2</v>
      </c>
      <c r="E51">
        <f>'Targets-chosen'!F12</f>
        <v>2.9000000000000001E-2</v>
      </c>
      <c r="F51">
        <f>'Targets-chosen'!G12</f>
        <v>2.9000000000000001E-2</v>
      </c>
      <c r="G51">
        <f>'Targets-chosen'!I12</f>
        <v>0.03</v>
      </c>
      <c r="H51">
        <f>'Targets-chosen'!J12</f>
        <v>2.9000000000000001E-2</v>
      </c>
      <c r="I51">
        <f>'Targets-chosen'!K12</f>
        <v>2.9000000000000001E-2</v>
      </c>
      <c r="J51">
        <f>'Targets-chosen'!N12</f>
        <v>0.03</v>
      </c>
      <c r="K51">
        <f>'Targets-chosen'!O12</f>
        <v>2.9000000000000001E-2</v>
      </c>
      <c r="L51">
        <f>'Targets-chosen'!P12</f>
        <v>0.03</v>
      </c>
      <c r="M51">
        <f>'Targets-chosen'!S12</f>
        <v>0.03</v>
      </c>
      <c r="N51">
        <f>'Targets-chosen'!T12</f>
        <v>2.7E-2</v>
      </c>
      <c r="O51">
        <f>'Targets-chosen'!U12</f>
        <v>2.9000000000000001E-2</v>
      </c>
    </row>
    <row r="52" spans="3:15">
      <c r="C52" s="209" t="s">
        <v>59</v>
      </c>
      <c r="D52">
        <f>'Targets-chosen'!E13</f>
        <v>1.2E-2</v>
      </c>
      <c r="E52">
        <f>'Targets-chosen'!F13</f>
        <v>1.2E-2</v>
      </c>
      <c r="F52">
        <f>'Targets-chosen'!G13</f>
        <v>1.2E-2</v>
      </c>
      <c r="G52">
        <f>'Targets-chosen'!I13</f>
        <v>1.2999999999999999E-2</v>
      </c>
      <c r="H52">
        <f>'Targets-chosen'!J13</f>
        <v>1.2999999999999999E-2</v>
      </c>
      <c r="I52">
        <f>'Targets-chosen'!K13</f>
        <v>1.2E-2</v>
      </c>
      <c r="J52">
        <f>'Targets-chosen'!N13</f>
        <v>1.2E-2</v>
      </c>
      <c r="K52">
        <f>'Targets-chosen'!O13</f>
        <v>1.2E-2</v>
      </c>
      <c r="L52">
        <f>'Targets-chosen'!P13</f>
        <v>1.2999999999999999E-2</v>
      </c>
      <c r="M52">
        <f>'Targets-chosen'!S13</f>
        <v>1.2999999999999999E-2</v>
      </c>
      <c r="N52">
        <f>'Targets-chosen'!T13</f>
        <v>1.0999999999999999E-2</v>
      </c>
      <c r="O52">
        <f>'Targets-chosen'!U13</f>
        <v>1.2E-2</v>
      </c>
    </row>
    <row r="53" spans="3:15">
      <c r="C53" s="209" t="s">
        <v>63</v>
      </c>
      <c r="D53">
        <f>'Targets-chosen'!E14</f>
        <v>6.3E-2</v>
      </c>
      <c r="E53">
        <f>'Targets-chosen'!F14</f>
        <v>6.5000000000000002E-2</v>
      </c>
      <c r="F53">
        <f>'Targets-chosen'!G14</f>
        <v>6.4000000000000001E-2</v>
      </c>
      <c r="G53">
        <f>'Targets-chosen'!I14</f>
        <v>6.5000000000000002E-2</v>
      </c>
      <c r="H53">
        <f>'Targets-chosen'!J14</f>
        <v>6.5000000000000002E-2</v>
      </c>
      <c r="I53">
        <f>'Targets-chosen'!K14</f>
        <v>6.4000000000000001E-2</v>
      </c>
      <c r="J53">
        <f>'Targets-chosen'!N14</f>
        <v>6.5000000000000002E-2</v>
      </c>
      <c r="K53">
        <f>'Targets-chosen'!O14</f>
        <v>6.3E-2</v>
      </c>
      <c r="L53">
        <f>'Targets-chosen'!P14</f>
        <v>6.5000000000000002E-2</v>
      </c>
      <c r="M53">
        <f>'Targets-chosen'!S14</f>
        <v>6.5000000000000002E-2</v>
      </c>
      <c r="N53">
        <f>'Targets-chosen'!T14</f>
        <v>0.06</v>
      </c>
      <c r="O53">
        <f>'Targets-chosen'!U14</f>
        <v>6.6000000000000003E-2</v>
      </c>
    </row>
    <row r="54" spans="3:15">
      <c r="C54" s="209" t="s">
        <v>64</v>
      </c>
      <c r="D54">
        <f>'Targets-chosen'!E15</f>
        <v>4.0000000000000001E-3</v>
      </c>
      <c r="E54">
        <f>'Targets-chosen'!F15</f>
        <v>5.0000000000000001E-3</v>
      </c>
      <c r="F54">
        <f>'Targets-chosen'!G15</f>
        <v>4.0000000000000001E-3</v>
      </c>
      <c r="G54">
        <f>'Targets-chosen'!I15</f>
        <v>4.0000000000000001E-3</v>
      </c>
      <c r="H54">
        <f>'Targets-chosen'!J15</f>
        <v>5.0000000000000001E-3</v>
      </c>
      <c r="I54">
        <f>'Targets-chosen'!K15</f>
        <v>4.0000000000000001E-3</v>
      </c>
      <c r="J54">
        <f>'Targets-chosen'!N15</f>
        <v>4.0000000000000001E-3</v>
      </c>
      <c r="K54">
        <f>'Targets-chosen'!O15</f>
        <v>4.0000000000000001E-3</v>
      </c>
      <c r="L54">
        <f>'Targets-chosen'!P15</f>
        <v>4.0000000000000001E-3</v>
      </c>
      <c r="M54">
        <f>'Targets-chosen'!S15</f>
        <v>4.0000000000000001E-3</v>
      </c>
      <c r="N54">
        <f>'Targets-chosen'!T15</f>
        <v>4.0000000000000001E-3</v>
      </c>
      <c r="O54">
        <f>'Targets-chosen'!U15</f>
        <v>4.0000000000000001E-3</v>
      </c>
    </row>
    <row r="55" spans="3:15">
      <c r="C55" s="209" t="s">
        <v>65</v>
      </c>
      <c r="D55">
        <f>'Targets-chosen'!E16</f>
        <v>8.9999999999999993E-3</v>
      </c>
      <c r="E55">
        <f>'Targets-chosen'!F16</f>
        <v>0.01</v>
      </c>
      <c r="F55">
        <f>'Targets-chosen'!G16</f>
        <v>0.01</v>
      </c>
      <c r="G55">
        <f>'Targets-chosen'!I16</f>
        <v>0.01</v>
      </c>
      <c r="H55">
        <f>'Targets-chosen'!J16</f>
        <v>0.01</v>
      </c>
      <c r="I55">
        <f>'Targets-chosen'!K16</f>
        <v>8.9999999999999993E-3</v>
      </c>
      <c r="J55">
        <f>'Targets-chosen'!N16</f>
        <v>0.01</v>
      </c>
      <c r="K55">
        <f>'Targets-chosen'!O16</f>
        <v>8.9999999999999993E-3</v>
      </c>
      <c r="L55">
        <f>'Targets-chosen'!P16</f>
        <v>0.01</v>
      </c>
      <c r="M55">
        <f>'Targets-chosen'!S16</f>
        <v>0.01</v>
      </c>
      <c r="N55">
        <f>'Targets-chosen'!T16</f>
        <v>8.9999999999999993E-3</v>
      </c>
      <c r="O55">
        <f>'Targets-chosen'!U16</f>
        <v>0.01</v>
      </c>
    </row>
    <row r="56" spans="3:15">
      <c r="C56" s="209" t="s">
        <v>66</v>
      </c>
      <c r="D56">
        <f>'Targets-chosen'!E17</f>
        <v>6.8000000000000005E-2</v>
      </c>
      <c r="E56">
        <f>'Targets-chosen'!F17</f>
        <v>7.0000000000000007E-2</v>
      </c>
      <c r="F56">
        <f>'Targets-chosen'!G17</f>
        <v>6.8000000000000005E-2</v>
      </c>
      <c r="G56">
        <f>'Targets-chosen'!I17</f>
        <v>7.0000000000000007E-2</v>
      </c>
      <c r="H56">
        <f>'Targets-chosen'!J17</f>
        <v>7.0000000000000007E-2</v>
      </c>
      <c r="I56">
        <f>'Targets-chosen'!K17</f>
        <v>6.8000000000000005E-2</v>
      </c>
      <c r="J56">
        <f>'Targets-chosen'!N17</f>
        <v>7.0000000000000007E-2</v>
      </c>
      <c r="K56">
        <f>'Targets-chosen'!O17</f>
        <v>6.8000000000000005E-2</v>
      </c>
      <c r="L56">
        <f>'Targets-chosen'!P17</f>
        <v>7.0000000000000007E-2</v>
      </c>
      <c r="M56">
        <f>'Targets-chosen'!S17</f>
        <v>7.0000000000000007E-2</v>
      </c>
      <c r="N56">
        <f>'Targets-chosen'!T17</f>
        <v>6.4000000000000001E-2</v>
      </c>
      <c r="O56">
        <f>'Targets-chosen'!U17</f>
        <v>7.0000000000000007E-2</v>
      </c>
    </row>
    <row r="57" spans="3:15">
      <c r="C57" s="209" t="s">
        <v>67</v>
      </c>
      <c r="D57">
        <f>'Targets-chosen'!E18</f>
        <v>5.3999999999999999E-2</v>
      </c>
      <c r="E57">
        <f>'Targets-chosen'!F18</f>
        <v>5.6000000000000001E-2</v>
      </c>
      <c r="F57">
        <f>'Targets-chosen'!G18</f>
        <v>5.3999999999999999E-2</v>
      </c>
      <c r="G57">
        <f>'Targets-chosen'!I18</f>
        <v>5.5E-2</v>
      </c>
      <c r="H57">
        <f>'Targets-chosen'!J18</f>
        <v>5.6000000000000001E-2</v>
      </c>
      <c r="I57">
        <f>'Targets-chosen'!K18</f>
        <v>5.3999999999999999E-2</v>
      </c>
      <c r="J57">
        <f>'Targets-chosen'!N18</f>
        <v>5.6000000000000001E-2</v>
      </c>
      <c r="K57">
        <f>'Targets-chosen'!O18</f>
        <v>5.3999999999999999E-2</v>
      </c>
      <c r="L57">
        <f>'Targets-chosen'!P18</f>
        <v>5.6000000000000001E-2</v>
      </c>
      <c r="M57">
        <f>'Targets-chosen'!S18</f>
        <v>5.3999999999999999E-2</v>
      </c>
      <c r="N57">
        <f>'Targets-chosen'!T18</f>
        <v>0.05</v>
      </c>
      <c r="O57">
        <f>'Targets-chosen'!U18</f>
        <v>5.6000000000000001E-2</v>
      </c>
    </row>
    <row r="58" spans="3:15">
      <c r="C58" s="209" t="s">
        <v>68</v>
      </c>
      <c r="D58">
        <f>'Targets-chosen'!E19</f>
        <v>1.4E-2</v>
      </c>
      <c r="E58">
        <f>'Targets-chosen'!F19</f>
        <v>1.4E-2</v>
      </c>
      <c r="F58">
        <f>'Targets-chosen'!G19</f>
        <v>1.4E-2</v>
      </c>
      <c r="G58">
        <f>'Targets-chosen'!I19</f>
        <v>1.4999999999999999E-2</v>
      </c>
      <c r="H58">
        <f>'Targets-chosen'!J19</f>
        <v>1.4E-2</v>
      </c>
      <c r="I58">
        <f>'Targets-chosen'!K19</f>
        <v>1.4E-2</v>
      </c>
      <c r="J58">
        <f>'Targets-chosen'!N19</f>
        <v>1.4999999999999999E-2</v>
      </c>
      <c r="K58">
        <f>'Targets-chosen'!O19</f>
        <v>1.4E-2</v>
      </c>
      <c r="L58">
        <f>'Targets-chosen'!P19</f>
        <v>1.4999999999999999E-2</v>
      </c>
      <c r="M58">
        <f>'Targets-chosen'!S19</f>
        <v>1.4E-2</v>
      </c>
      <c r="N58">
        <f>'Targets-chosen'!T19</f>
        <v>1.2999999999999999E-2</v>
      </c>
      <c r="O58">
        <f>'Targets-chosen'!U19</f>
        <v>1.4E-2</v>
      </c>
    </row>
    <row r="59" spans="3:15">
      <c r="C59" s="209" t="s">
        <v>69</v>
      </c>
      <c r="D59">
        <f>'Targets-chosen'!E20</f>
        <v>0</v>
      </c>
      <c r="E59">
        <f>'Targets-chosen'!F20</f>
        <v>0</v>
      </c>
      <c r="F59">
        <f>'Targets-chosen'!G20</f>
        <v>0</v>
      </c>
      <c r="G59">
        <f>'Targets-chosen'!I20</f>
        <v>0</v>
      </c>
      <c r="H59">
        <f>'Targets-chosen'!J20</f>
        <v>0</v>
      </c>
      <c r="I59">
        <f>'Targets-chosen'!K20</f>
        <v>0</v>
      </c>
      <c r="J59">
        <f>'Targets-chosen'!N20</f>
        <v>0</v>
      </c>
      <c r="K59">
        <f>'Targets-chosen'!O20</f>
        <v>0</v>
      </c>
      <c r="L59">
        <f>'Targets-chosen'!P20</f>
        <v>0</v>
      </c>
      <c r="M59">
        <f>'Targets-chosen'!S20</f>
        <v>0</v>
      </c>
      <c r="N59">
        <f>'Targets-chosen'!T20</f>
        <v>0</v>
      </c>
      <c r="O59">
        <f>'Targets-chosen'!U20</f>
        <v>0</v>
      </c>
    </row>
    <row r="60" spans="3:15">
      <c r="C60" s="209" t="s">
        <v>70</v>
      </c>
      <c r="D60">
        <f>'Targets-chosen'!E21</f>
        <v>0</v>
      </c>
      <c r="E60">
        <f>'Targets-chosen'!F21</f>
        <v>0</v>
      </c>
      <c r="F60">
        <f>'Targets-chosen'!G21</f>
        <v>0</v>
      </c>
      <c r="G60">
        <f>'Targets-chosen'!I21</f>
        <v>0</v>
      </c>
      <c r="H60">
        <f>'Targets-chosen'!J21</f>
        <v>0</v>
      </c>
      <c r="I60">
        <f>'Targets-chosen'!K21</f>
        <v>0</v>
      </c>
      <c r="J60">
        <f>'Targets-chosen'!N21</f>
        <v>0</v>
      </c>
      <c r="K60">
        <f>'Targets-chosen'!O21</f>
        <v>0</v>
      </c>
      <c r="L60">
        <f>'Targets-chosen'!P21</f>
        <v>0</v>
      </c>
      <c r="M60">
        <f>'Targets-chosen'!S21</f>
        <v>0</v>
      </c>
      <c r="N60">
        <f>'Targets-chosen'!T21</f>
        <v>0</v>
      </c>
      <c r="O60">
        <f>'Targets-chosen'!U21</f>
        <v>0</v>
      </c>
    </row>
    <row r="61" spans="3:15">
      <c r="C61" s="279" t="s">
        <v>280</v>
      </c>
      <c r="D61">
        <f>SUM(D47:D60)</f>
        <v>0.59800000000000009</v>
      </c>
      <c r="E61">
        <f t="shared" ref="E61:O61" si="0">SUM(E47:E60)</f>
        <v>0.6160000000000001</v>
      </c>
      <c r="F61">
        <f t="shared" si="0"/>
        <v>0.60000000000000009</v>
      </c>
      <c r="G61">
        <f t="shared" si="0"/>
        <v>0.6180000000000001</v>
      </c>
      <c r="H61">
        <f t="shared" si="0"/>
        <v>0.6170000000000001</v>
      </c>
      <c r="I61">
        <f t="shared" si="0"/>
        <v>0.59900000000000009</v>
      </c>
      <c r="J61">
        <f t="shared" si="0"/>
        <v>0.6160000000000001</v>
      </c>
      <c r="K61">
        <f t="shared" si="0"/>
        <v>0.59500000000000008</v>
      </c>
      <c r="L61">
        <f t="shared" si="0"/>
        <v>0.6140000000000001</v>
      </c>
      <c r="M61">
        <f t="shared" si="0"/>
        <v>0.6110000000000001</v>
      </c>
      <c r="N61">
        <f t="shared" si="0"/>
        <v>0.55600000000000005</v>
      </c>
      <c r="O61">
        <f t="shared" si="0"/>
        <v>0.6120000000000001</v>
      </c>
    </row>
    <row r="64" spans="3:15">
      <c r="H64" t="s">
        <v>212</v>
      </c>
    </row>
    <row r="66" spans="3:15">
      <c r="D66" s="502" t="str">
        <f>interFY_transition!J20</f>
        <v>Apr'26</v>
      </c>
      <c r="E66" s="502" t="str">
        <f>interFY_transition!K20</f>
        <v>May'26</v>
      </c>
      <c r="F66" s="502" t="str">
        <f>interFY_transition!L20</f>
        <v>June'26</v>
      </c>
      <c r="G66" s="502" t="str">
        <f>interFY_transition!M20</f>
        <v>July'26</v>
      </c>
      <c r="H66" s="502" t="str">
        <f>interFY_transition!N20</f>
        <v>Aug'26</v>
      </c>
      <c r="I66" s="502" t="str">
        <f>interFY_transition!O20</f>
        <v>Sep'26</v>
      </c>
      <c r="J66" s="502" t="str">
        <f>interFY_transition!P20</f>
        <v>Oct'26</v>
      </c>
      <c r="K66" s="502" t="str">
        <f>interFY_transition!Q20</f>
        <v>Nov'26</v>
      </c>
      <c r="L66" s="502" t="str">
        <f>interFY_transition!R20</f>
        <v>Dec'26</v>
      </c>
      <c r="M66" s="502" t="str">
        <f>interFY_transition!S20</f>
        <v>Jan'27</v>
      </c>
      <c r="N66" s="502" t="str">
        <f>interFY_transition!T20</f>
        <v>Feb'27</v>
      </c>
      <c r="O66" s="502" t="str">
        <f>interFY_transition!U20</f>
        <v>Mar'27</v>
      </c>
    </row>
    <row r="67" spans="3:15">
      <c r="C67" s="209" t="s">
        <v>60</v>
      </c>
      <c r="D67">
        <f>'Targets-chosen'!E28</f>
        <v>4.9000000000000002E-2</v>
      </c>
      <c r="E67">
        <f>'Targets-chosen'!F28</f>
        <v>0.05</v>
      </c>
      <c r="F67">
        <f>'Targets-chosen'!G28</f>
        <v>4.8000000000000001E-2</v>
      </c>
      <c r="G67">
        <f>'Targets-chosen'!I28</f>
        <v>5.0999999999999997E-2</v>
      </c>
      <c r="H67">
        <f>'Targets-chosen'!J28</f>
        <v>0.05</v>
      </c>
      <c r="I67">
        <f>'Targets-chosen'!K28</f>
        <v>4.9000000000000002E-2</v>
      </c>
      <c r="J67">
        <f>'Targets-chosen'!N28</f>
        <v>5.1999999999999998E-2</v>
      </c>
      <c r="K67">
        <f>'Targets-chosen'!O28</f>
        <v>5.2999999999999999E-2</v>
      </c>
      <c r="L67">
        <f>'Targets-chosen'!P28</f>
        <v>5.3999999999999999E-2</v>
      </c>
      <c r="M67">
        <f>'Targets-chosen'!S28</f>
        <v>5.6000000000000001E-2</v>
      </c>
      <c r="N67">
        <f>'Targets-chosen'!T28</f>
        <v>5.0999999999999997E-2</v>
      </c>
      <c r="O67">
        <f>'Targets-chosen'!U28</f>
        <v>5.6000000000000001E-2</v>
      </c>
    </row>
    <row r="68" spans="3:15">
      <c r="C68" s="209" t="s">
        <v>61</v>
      </c>
      <c r="D68">
        <f>'Targets-chosen'!E29</f>
        <v>6.6000000000000003E-2</v>
      </c>
      <c r="E68">
        <f>'Targets-chosen'!F29</f>
        <v>6.8000000000000005E-2</v>
      </c>
      <c r="F68">
        <f>'Targets-chosen'!G29</f>
        <v>6.6000000000000003E-2</v>
      </c>
      <c r="G68">
        <f>'Targets-chosen'!I29</f>
        <v>6.8000000000000005E-2</v>
      </c>
      <c r="H68">
        <f>'Targets-chosen'!J29</f>
        <v>6.8000000000000005E-2</v>
      </c>
      <c r="I68">
        <f>'Targets-chosen'!K29</f>
        <v>6.6000000000000003E-2</v>
      </c>
      <c r="J68">
        <f>'Targets-chosen'!N29</f>
        <v>6.794520547945207E-2</v>
      </c>
      <c r="K68">
        <f>'Targets-chosen'!O29</f>
        <v>6.6000000000000003E-2</v>
      </c>
      <c r="L68">
        <f>'Targets-chosen'!P29</f>
        <v>6.8000000000000005E-2</v>
      </c>
      <c r="M68">
        <f>'Targets-chosen'!S29</f>
        <v>6.8000000000000005E-2</v>
      </c>
      <c r="N68">
        <f>'Targets-chosen'!T29</f>
        <v>0.06</v>
      </c>
      <c r="O68">
        <f>'Targets-chosen'!U29</f>
        <v>6.8000000000000005E-2</v>
      </c>
    </row>
    <row r="69" spans="3:15">
      <c r="C69" s="209" t="s">
        <v>62</v>
      </c>
      <c r="D69">
        <f>'Targets-chosen'!E30</f>
        <v>8.0000000000000002E-3</v>
      </c>
      <c r="E69">
        <f>'Targets-chosen'!F30</f>
        <v>8.0000000000000002E-3</v>
      </c>
      <c r="F69">
        <f>'Targets-chosen'!G30</f>
        <v>8.0000000000000002E-3</v>
      </c>
      <c r="G69">
        <f>'Targets-chosen'!I30</f>
        <v>8.0000000000000002E-3</v>
      </c>
      <c r="H69">
        <f>'Targets-chosen'!J30</f>
        <v>8.0000000000000002E-3</v>
      </c>
      <c r="I69">
        <f>'Targets-chosen'!K30</f>
        <v>8.0000000000000002E-3</v>
      </c>
      <c r="J69">
        <f>'Targets-chosen'!N30</f>
        <v>7.9835616438356169E-3</v>
      </c>
      <c r="K69">
        <f>'Targets-chosen'!O30</f>
        <v>8.0000000000000002E-3</v>
      </c>
      <c r="L69">
        <f>'Targets-chosen'!P30</f>
        <v>8.0000000000000002E-3</v>
      </c>
      <c r="M69">
        <f>'Targets-chosen'!S30</f>
        <v>8.0000000000000002E-3</v>
      </c>
      <c r="N69">
        <f>'Targets-chosen'!T30</f>
        <v>6.0000000000000001E-3</v>
      </c>
      <c r="O69">
        <f>'Targets-chosen'!U30</f>
        <v>8.0000000000000002E-3</v>
      </c>
    </row>
    <row r="70" spans="3:15">
      <c r="C70" s="209" t="s">
        <v>57</v>
      </c>
      <c r="D70">
        <f>'Targets-chosen'!E31</f>
        <v>0.01</v>
      </c>
      <c r="E70">
        <f>'Targets-chosen'!F31</f>
        <v>0.01</v>
      </c>
      <c r="F70">
        <f>'Targets-chosen'!G31</f>
        <v>0.01</v>
      </c>
      <c r="G70">
        <f>'Targets-chosen'!I31</f>
        <v>0.01</v>
      </c>
      <c r="H70">
        <f>'Targets-chosen'!J31</f>
        <v>0.01</v>
      </c>
      <c r="I70">
        <f>'Targets-chosen'!K31</f>
        <v>0.01</v>
      </c>
      <c r="J70">
        <f>'Targets-chosen'!N31</f>
        <v>9.8520547945205473E-3</v>
      </c>
      <c r="K70">
        <f>'Targets-chosen'!O31</f>
        <v>0.01</v>
      </c>
      <c r="L70">
        <f>'Targets-chosen'!P31</f>
        <v>0.01</v>
      </c>
      <c r="M70">
        <f>'Targets-chosen'!S31</f>
        <v>0.01</v>
      </c>
      <c r="N70">
        <f>'Targets-chosen'!T31</f>
        <v>6.0000000000000001E-3</v>
      </c>
      <c r="O70">
        <f>'Targets-chosen'!U31</f>
        <v>0.01</v>
      </c>
    </row>
    <row r="71" spans="3:15">
      <c r="C71" s="209" t="s">
        <v>58</v>
      </c>
      <c r="D71">
        <f>'Targets-chosen'!E32</f>
        <v>2E-3</v>
      </c>
      <c r="E71">
        <f>'Targets-chosen'!F32</f>
        <v>2E-3</v>
      </c>
      <c r="F71">
        <f>'Targets-chosen'!G32</f>
        <v>2E-3</v>
      </c>
      <c r="G71">
        <f>'Targets-chosen'!I32</f>
        <v>2E-3</v>
      </c>
      <c r="H71">
        <f>'Targets-chosen'!J32</f>
        <v>2E-3</v>
      </c>
      <c r="I71">
        <f>'Targets-chosen'!K32</f>
        <v>2E-3</v>
      </c>
      <c r="J71">
        <f>'Targets-chosen'!N32</f>
        <v>2.1232876712328772E-3</v>
      </c>
      <c r="K71">
        <f>'Targets-chosen'!O32</f>
        <v>2E-3</v>
      </c>
      <c r="L71">
        <f>'Targets-chosen'!P32</f>
        <v>2E-3</v>
      </c>
      <c r="M71">
        <f>'Targets-chosen'!S32</f>
        <v>2E-3</v>
      </c>
      <c r="N71">
        <f>'Targets-chosen'!T32</f>
        <v>3.0000000000000001E-3</v>
      </c>
      <c r="O71">
        <f>'Targets-chosen'!U32</f>
        <v>2E-3</v>
      </c>
    </row>
    <row r="72" spans="3:15">
      <c r="C72" s="209" t="s">
        <v>59</v>
      </c>
      <c r="D72">
        <f>'Targets-chosen'!E33</f>
        <v>0</v>
      </c>
      <c r="E72">
        <f>'Targets-chosen'!F33</f>
        <v>0</v>
      </c>
      <c r="F72">
        <f>'Targets-chosen'!G33</f>
        <v>1E-3</v>
      </c>
      <c r="G72">
        <f>'Targets-chosen'!I33</f>
        <v>0</v>
      </c>
      <c r="H72">
        <f>'Targets-chosen'!J33</f>
        <v>0</v>
      </c>
      <c r="I72">
        <f>'Targets-chosen'!K33</f>
        <v>1E-3</v>
      </c>
      <c r="J72">
        <f>'Targets-chosen'!N33</f>
        <v>0</v>
      </c>
      <c r="K72">
        <f>'Targets-chosen'!O33</f>
        <v>0</v>
      </c>
      <c r="L72">
        <f>'Targets-chosen'!P33</f>
        <v>1E-3</v>
      </c>
      <c r="M72">
        <f>'Targets-chosen'!S33</f>
        <v>0</v>
      </c>
      <c r="N72">
        <f>'Targets-chosen'!T33</f>
        <v>0</v>
      </c>
      <c r="O72">
        <f>'Targets-chosen'!U33</f>
        <v>1E-3</v>
      </c>
    </row>
    <row r="73" spans="3:15">
      <c r="C73" s="209" t="s">
        <v>63</v>
      </c>
      <c r="D73">
        <f>'Targets-chosen'!E34</f>
        <v>0</v>
      </c>
      <c r="E73">
        <f>'Targets-chosen'!F34</f>
        <v>0</v>
      </c>
      <c r="F73">
        <f>'Targets-chosen'!G34</f>
        <v>0</v>
      </c>
      <c r="G73">
        <f>'Targets-chosen'!I34</f>
        <v>0</v>
      </c>
      <c r="H73">
        <f>'Targets-chosen'!J34</f>
        <v>0</v>
      </c>
      <c r="I73">
        <f>'Targets-chosen'!K34</f>
        <v>0</v>
      </c>
      <c r="J73">
        <f>'Targets-chosen'!N34</f>
        <v>0</v>
      </c>
      <c r="K73">
        <f>'Targets-chosen'!O34</f>
        <v>0</v>
      </c>
      <c r="L73">
        <f>'Targets-chosen'!P34</f>
        <v>0</v>
      </c>
      <c r="M73">
        <f>'Targets-chosen'!S34</f>
        <v>0</v>
      </c>
      <c r="N73">
        <f>'Targets-chosen'!T34</f>
        <v>1E-3</v>
      </c>
      <c r="O73">
        <f>'Targets-chosen'!U34</f>
        <v>0</v>
      </c>
    </row>
    <row r="74" spans="3:15">
      <c r="C74" s="209" t="s">
        <v>64</v>
      </c>
      <c r="D74">
        <f>'Targets-chosen'!E35</f>
        <v>1E-3</v>
      </c>
      <c r="E74">
        <f>'Targets-chosen'!F35</f>
        <v>1E-3</v>
      </c>
      <c r="F74">
        <f>'Targets-chosen'!G35</f>
        <v>0</v>
      </c>
      <c r="G74">
        <f>'Targets-chosen'!I35</f>
        <v>1E-3</v>
      </c>
      <c r="H74">
        <f>'Targets-chosen'!J35</f>
        <v>1E-3</v>
      </c>
      <c r="I74">
        <f>'Targets-chosen'!K35</f>
        <v>1E-3</v>
      </c>
      <c r="J74">
        <f>'Targets-chosen'!N35</f>
        <v>7.643835616438356E-4</v>
      </c>
      <c r="K74">
        <f>'Targets-chosen'!O35</f>
        <v>0</v>
      </c>
      <c r="L74">
        <f>'Targets-chosen'!P35</f>
        <v>1E-3</v>
      </c>
      <c r="M74">
        <f>'Targets-chosen'!S35</f>
        <v>1E-3</v>
      </c>
      <c r="N74">
        <f>'Targets-chosen'!T35</f>
        <v>0</v>
      </c>
      <c r="O74">
        <f>'Targets-chosen'!U35</f>
        <v>1E-3</v>
      </c>
    </row>
    <row r="75" spans="3:15">
      <c r="C75" s="209" t="s">
        <v>65</v>
      </c>
      <c r="D75">
        <f>'Targets-chosen'!E36</f>
        <v>2E-3</v>
      </c>
      <c r="E75">
        <f>'Targets-chosen'!F36</f>
        <v>3.0000000000000001E-3</v>
      </c>
      <c r="F75">
        <f>'Targets-chosen'!G36</f>
        <v>3.0000000000000001E-3</v>
      </c>
      <c r="G75">
        <f>'Targets-chosen'!I36</f>
        <v>3.0000000000000001E-3</v>
      </c>
      <c r="H75">
        <f>'Targets-chosen'!J36</f>
        <v>3.0000000000000001E-3</v>
      </c>
      <c r="I75">
        <f>'Targets-chosen'!K36</f>
        <v>3.0000000000000001E-3</v>
      </c>
      <c r="J75">
        <f>'Targets-chosen'!N36</f>
        <v>2.7178082191780823E-3</v>
      </c>
      <c r="K75">
        <f>'Targets-chosen'!O36</f>
        <v>3.0000000000000001E-3</v>
      </c>
      <c r="L75">
        <f>'Targets-chosen'!P36</f>
        <v>3.0000000000000001E-3</v>
      </c>
      <c r="M75">
        <f>'Targets-chosen'!S36</f>
        <v>3.0000000000000001E-3</v>
      </c>
      <c r="N75">
        <f>'Targets-chosen'!T36</f>
        <v>2E-3</v>
      </c>
      <c r="O75">
        <f>'Targets-chosen'!U36</f>
        <v>1E-3</v>
      </c>
    </row>
    <row r="76" spans="3:15">
      <c r="C76" s="209" t="s">
        <v>66</v>
      </c>
      <c r="D76">
        <f>'Targets-chosen'!E37</f>
        <v>0</v>
      </c>
      <c r="E76">
        <f>'Targets-chosen'!F37</f>
        <v>0</v>
      </c>
      <c r="F76">
        <f>'Targets-chosen'!G37</f>
        <v>0</v>
      </c>
      <c r="G76">
        <f>'Targets-chosen'!I37</f>
        <v>0</v>
      </c>
      <c r="H76">
        <f>'Targets-chosen'!J37</f>
        <v>0</v>
      </c>
      <c r="I76">
        <f>'Targets-chosen'!K37</f>
        <v>0</v>
      </c>
      <c r="J76">
        <f>'Targets-chosen'!N37</f>
        <v>0</v>
      </c>
      <c r="K76">
        <f>'Targets-chosen'!O37</f>
        <v>0</v>
      </c>
      <c r="L76">
        <f>'Targets-chosen'!P37</f>
        <v>0</v>
      </c>
      <c r="M76">
        <f>'Targets-chosen'!S37</f>
        <v>0</v>
      </c>
      <c r="N76">
        <f>'Targets-chosen'!T37</f>
        <v>0</v>
      </c>
      <c r="O76">
        <f>'Targets-chosen'!U37</f>
        <v>0</v>
      </c>
    </row>
    <row r="77" spans="3:15">
      <c r="C77" s="209" t="s">
        <v>67</v>
      </c>
      <c r="D77">
        <f>'Targets-chosen'!E38</f>
        <v>0</v>
      </c>
      <c r="E77">
        <f>'Targets-chosen'!F38</f>
        <v>0</v>
      </c>
      <c r="F77">
        <f>'Targets-chosen'!G38</f>
        <v>0</v>
      </c>
      <c r="G77">
        <f>'Targets-chosen'!I38</f>
        <v>0</v>
      </c>
      <c r="H77">
        <f>'Targets-chosen'!J38</f>
        <v>0</v>
      </c>
      <c r="I77">
        <f>'Targets-chosen'!K38</f>
        <v>0</v>
      </c>
      <c r="J77">
        <f>'Targets-chosen'!N38</f>
        <v>0</v>
      </c>
      <c r="K77">
        <f>'Targets-chosen'!O38</f>
        <v>0</v>
      </c>
      <c r="L77">
        <f>'Targets-chosen'!P38</f>
        <v>0</v>
      </c>
      <c r="M77">
        <f>'Targets-chosen'!S38</f>
        <v>0</v>
      </c>
      <c r="N77">
        <f>'Targets-chosen'!T38</f>
        <v>0</v>
      </c>
      <c r="O77">
        <f>'Targets-chosen'!U38</f>
        <v>0</v>
      </c>
    </row>
    <row r="78" spans="3:15">
      <c r="C78" s="209" t="s">
        <v>68</v>
      </c>
      <c r="D78">
        <f>'Targets-chosen'!E39</f>
        <v>0</v>
      </c>
      <c r="E78">
        <f>'Targets-chosen'!F39</f>
        <v>0</v>
      </c>
      <c r="F78">
        <f>'Targets-chosen'!G39</f>
        <v>0</v>
      </c>
      <c r="G78">
        <f>'Targets-chosen'!I39</f>
        <v>0</v>
      </c>
      <c r="H78">
        <f>'Targets-chosen'!J39</f>
        <v>0</v>
      </c>
      <c r="I78">
        <f>'Targets-chosen'!K39</f>
        <v>0</v>
      </c>
      <c r="J78">
        <f>'Targets-chosen'!N39</f>
        <v>0</v>
      </c>
      <c r="K78">
        <f>'Targets-chosen'!O39</f>
        <v>0</v>
      </c>
      <c r="L78">
        <f>'Targets-chosen'!P39</f>
        <v>0</v>
      </c>
      <c r="M78">
        <f>'Targets-chosen'!S39</f>
        <v>0</v>
      </c>
      <c r="N78">
        <f>'Targets-chosen'!T39</f>
        <v>0</v>
      </c>
      <c r="O78">
        <f>'Targets-chosen'!U39</f>
        <v>0</v>
      </c>
    </row>
    <row r="79" spans="3:15">
      <c r="C79" s="209" t="s">
        <v>69</v>
      </c>
      <c r="D79">
        <f>'Targets-chosen'!E40</f>
        <v>0</v>
      </c>
      <c r="E79">
        <f>'Targets-chosen'!F40</f>
        <v>0</v>
      </c>
      <c r="F79">
        <f>'Targets-chosen'!G40</f>
        <v>0</v>
      </c>
      <c r="G79">
        <f>'Targets-chosen'!I40</f>
        <v>0</v>
      </c>
      <c r="H79">
        <f>'Targets-chosen'!J40</f>
        <v>0</v>
      </c>
      <c r="I79">
        <f>'Targets-chosen'!K40</f>
        <v>0</v>
      </c>
      <c r="J79">
        <f>'Targets-chosen'!N40</f>
        <v>0</v>
      </c>
      <c r="K79">
        <f>'Targets-chosen'!O40</f>
        <v>0</v>
      </c>
      <c r="L79">
        <f>'Targets-chosen'!P40</f>
        <v>0</v>
      </c>
      <c r="M79">
        <f>'Targets-chosen'!S40</f>
        <v>0</v>
      </c>
      <c r="N79">
        <f>'Targets-chosen'!T40</f>
        <v>0</v>
      </c>
      <c r="O79">
        <f>'Targets-chosen'!U40</f>
        <v>0</v>
      </c>
    </row>
    <row r="80" spans="3:15">
      <c r="C80" s="209" t="s">
        <v>70</v>
      </c>
      <c r="D80">
        <f>'Targets-chosen'!E41</f>
        <v>7.1999999999999995E-2</v>
      </c>
      <c r="E80">
        <f>'Targets-chosen'!F41</f>
        <v>7.3999999999999996E-2</v>
      </c>
      <c r="F80">
        <f>'Targets-chosen'!G41</f>
        <v>7.1999999999999995E-2</v>
      </c>
      <c r="G80">
        <f>'Targets-chosen'!I41</f>
        <v>7.3999999999999996E-2</v>
      </c>
      <c r="H80">
        <f>'Targets-chosen'!J41</f>
        <v>7.3999999999999996E-2</v>
      </c>
      <c r="I80">
        <f>'Targets-chosen'!K41</f>
        <v>7.1999999999999995E-2</v>
      </c>
      <c r="J80">
        <f>'Targets-chosen'!N41</f>
        <v>7.4230136986301376E-2</v>
      </c>
      <c r="K80">
        <f>'Targets-chosen'!O41</f>
        <v>7.1999999999999995E-2</v>
      </c>
      <c r="L80">
        <f>'Targets-chosen'!P41</f>
        <v>7.3999999999999996E-2</v>
      </c>
      <c r="M80">
        <f>'Targets-chosen'!S41</f>
        <v>7.3999999999999996E-2</v>
      </c>
      <c r="N80">
        <f>'Targets-chosen'!T41</f>
        <v>6.8000000000000005E-2</v>
      </c>
      <c r="O80">
        <f>'Targets-chosen'!U41</f>
        <v>7.3999999999999996E-2</v>
      </c>
    </row>
    <row r="81" spans="3:15">
      <c r="C81" s="279" t="s">
        <v>280</v>
      </c>
      <c r="D81">
        <f t="shared" ref="D81:O81" si="1">SUM(D67:D80)</f>
        <v>0.21000000000000002</v>
      </c>
      <c r="E81">
        <f t="shared" si="1"/>
        <v>0.21600000000000003</v>
      </c>
      <c r="F81">
        <f t="shared" si="1"/>
        <v>0.21000000000000002</v>
      </c>
      <c r="G81">
        <f t="shared" si="1"/>
        <v>0.21700000000000003</v>
      </c>
      <c r="H81">
        <f t="shared" si="1"/>
        <v>0.21600000000000003</v>
      </c>
      <c r="I81">
        <f t="shared" si="1"/>
        <v>0.21200000000000002</v>
      </c>
      <c r="J81">
        <f t="shared" si="1"/>
        <v>0.2176164383561644</v>
      </c>
      <c r="K81">
        <f t="shared" si="1"/>
        <v>0.21400000000000002</v>
      </c>
      <c r="L81">
        <f t="shared" si="1"/>
        <v>0.22100000000000003</v>
      </c>
      <c r="M81">
        <f t="shared" si="1"/>
        <v>0.22200000000000003</v>
      </c>
      <c r="N81">
        <f t="shared" si="1"/>
        <v>0.19700000000000001</v>
      </c>
      <c r="O81">
        <f t="shared" si="1"/>
        <v>0.22100000000000003</v>
      </c>
    </row>
    <row r="85" spans="3:15">
      <c r="G85" t="s">
        <v>3</v>
      </c>
    </row>
    <row r="88" spans="3:15">
      <c r="D88" s="502" t="str">
        <f>interFY_transition!J20</f>
        <v>Apr'26</v>
      </c>
      <c r="E88" s="502" t="str">
        <f>interFY_transition!K20</f>
        <v>May'26</v>
      </c>
      <c r="F88" s="502" t="str">
        <f>interFY_transition!L20</f>
        <v>June'26</v>
      </c>
      <c r="G88" s="502" t="str">
        <f>interFY_transition!M20</f>
        <v>July'26</v>
      </c>
      <c r="H88" s="502" t="str">
        <f>interFY_transition!N20</f>
        <v>Aug'26</v>
      </c>
      <c r="I88" s="502" t="str">
        <f>interFY_transition!O20</f>
        <v>Sep'26</v>
      </c>
      <c r="J88" s="502" t="str">
        <f>interFY_transition!P20</f>
        <v>Oct'26</v>
      </c>
      <c r="K88" s="502" t="str">
        <f>interFY_transition!Q20</f>
        <v>Nov'26</v>
      </c>
      <c r="L88" s="502" t="str">
        <f>interFY_transition!R20</f>
        <v>Dec'26</v>
      </c>
      <c r="M88" s="502" t="str">
        <f>interFY_transition!S20</f>
        <v>Jan'27</v>
      </c>
      <c r="N88" s="502" t="str">
        <f>interFY_transition!T20</f>
        <v>Feb'27</v>
      </c>
      <c r="O88" s="502" t="str">
        <f>interFY_transition!U20</f>
        <v>Mar'27</v>
      </c>
    </row>
    <row r="89" spans="3:15">
      <c r="C89" s="209" t="s">
        <v>60</v>
      </c>
      <c r="D89">
        <f>D47+D67</f>
        <v>0.16400000000000001</v>
      </c>
      <c r="E89">
        <f t="shared" ref="E89:O89" si="2">E47+E67</f>
        <v>0.16799999999999998</v>
      </c>
      <c r="F89">
        <f t="shared" si="2"/>
        <v>0.16200000000000001</v>
      </c>
      <c r="G89">
        <f t="shared" si="2"/>
        <v>0.16899999999999998</v>
      </c>
      <c r="H89">
        <f t="shared" si="2"/>
        <v>0.16700000000000001</v>
      </c>
      <c r="I89">
        <f t="shared" si="2"/>
        <v>0.16400000000000001</v>
      </c>
      <c r="J89">
        <f t="shared" si="2"/>
        <v>0.16900000000000001</v>
      </c>
      <c r="K89">
        <f t="shared" si="2"/>
        <v>0.16500000000000001</v>
      </c>
      <c r="L89">
        <f t="shared" si="2"/>
        <v>0.16800000000000001</v>
      </c>
      <c r="M89">
        <f t="shared" si="2"/>
        <v>0.16900000000000001</v>
      </c>
      <c r="N89">
        <f t="shared" si="2"/>
        <v>0.154</v>
      </c>
      <c r="O89">
        <f t="shared" si="2"/>
        <v>0.16900000000000001</v>
      </c>
    </row>
    <row r="90" spans="3:15">
      <c r="C90" s="209" t="s">
        <v>61</v>
      </c>
      <c r="D90">
        <f t="shared" ref="D90:O90" si="3">D48+D68</f>
        <v>0.249</v>
      </c>
      <c r="E90">
        <f t="shared" si="3"/>
        <v>0.25700000000000001</v>
      </c>
      <c r="F90">
        <f t="shared" si="3"/>
        <v>0.25</v>
      </c>
      <c r="G90">
        <f t="shared" si="3"/>
        <v>0.25700000000000001</v>
      </c>
      <c r="H90">
        <f t="shared" si="3"/>
        <v>0.25700000000000001</v>
      </c>
      <c r="I90">
        <f t="shared" si="3"/>
        <v>0.249</v>
      </c>
      <c r="J90">
        <f t="shared" si="3"/>
        <v>0.2569452054794521</v>
      </c>
      <c r="K90">
        <f t="shared" si="3"/>
        <v>0.249</v>
      </c>
      <c r="L90">
        <f t="shared" si="3"/>
        <v>0.25700000000000001</v>
      </c>
      <c r="M90">
        <f t="shared" si="3"/>
        <v>0.25700000000000001</v>
      </c>
      <c r="N90">
        <f t="shared" si="3"/>
        <v>0.23100000000000001</v>
      </c>
      <c r="O90">
        <f t="shared" si="3"/>
        <v>0.25700000000000001</v>
      </c>
    </row>
    <row r="91" spans="3:15">
      <c r="C91" s="209" t="s">
        <v>62</v>
      </c>
      <c r="D91">
        <f t="shared" ref="D91:O91" si="4">D49+D69</f>
        <v>1.6E-2</v>
      </c>
      <c r="E91">
        <f t="shared" si="4"/>
        <v>1.6E-2</v>
      </c>
      <c r="F91">
        <f t="shared" si="4"/>
        <v>1.6E-2</v>
      </c>
      <c r="G91">
        <f t="shared" si="4"/>
        <v>1.7000000000000001E-2</v>
      </c>
      <c r="H91">
        <f t="shared" si="4"/>
        <v>1.7000000000000001E-2</v>
      </c>
      <c r="I91">
        <f t="shared" si="4"/>
        <v>1.6E-2</v>
      </c>
      <c r="J91">
        <f t="shared" si="4"/>
        <v>1.6983561643835618E-2</v>
      </c>
      <c r="K91">
        <f t="shared" si="4"/>
        <v>1.6E-2</v>
      </c>
      <c r="L91">
        <f t="shared" si="4"/>
        <v>1.6E-2</v>
      </c>
      <c r="M91">
        <f t="shared" si="4"/>
        <v>1.7000000000000001E-2</v>
      </c>
      <c r="N91">
        <f t="shared" si="4"/>
        <v>1.4E-2</v>
      </c>
      <c r="O91">
        <f t="shared" si="4"/>
        <v>1.7000000000000001E-2</v>
      </c>
    </row>
    <row r="92" spans="3:15">
      <c r="C92" s="209" t="s">
        <v>57</v>
      </c>
      <c r="D92">
        <f t="shared" ref="D92:O92" si="5">D50+D70</f>
        <v>4.9000000000000002E-2</v>
      </c>
      <c r="E92">
        <f t="shared" si="5"/>
        <v>0.05</v>
      </c>
      <c r="F92">
        <f t="shared" si="5"/>
        <v>4.9000000000000002E-2</v>
      </c>
      <c r="G92">
        <f t="shared" si="5"/>
        <v>0.05</v>
      </c>
      <c r="H92">
        <f t="shared" si="5"/>
        <v>0.05</v>
      </c>
      <c r="I92">
        <f t="shared" si="5"/>
        <v>4.9000000000000002E-2</v>
      </c>
      <c r="J92">
        <f t="shared" si="5"/>
        <v>4.8852054794520545E-2</v>
      </c>
      <c r="K92">
        <f t="shared" si="5"/>
        <v>4.9000000000000002E-2</v>
      </c>
      <c r="L92">
        <f t="shared" si="5"/>
        <v>0.05</v>
      </c>
      <c r="M92">
        <f t="shared" si="5"/>
        <v>0.05</v>
      </c>
      <c r="N92">
        <f t="shared" si="5"/>
        <v>4.1999999999999996E-2</v>
      </c>
      <c r="O92">
        <f t="shared" si="5"/>
        <v>0.05</v>
      </c>
    </row>
    <row r="93" spans="3:15">
      <c r="C93" s="209" t="s">
        <v>58</v>
      </c>
      <c r="D93">
        <f t="shared" ref="D93:O93" si="6">D51+D71</f>
        <v>3.1E-2</v>
      </c>
      <c r="E93">
        <f t="shared" si="6"/>
        <v>3.1E-2</v>
      </c>
      <c r="F93">
        <f t="shared" si="6"/>
        <v>3.1E-2</v>
      </c>
      <c r="G93">
        <f t="shared" si="6"/>
        <v>3.2000000000000001E-2</v>
      </c>
      <c r="H93">
        <f t="shared" si="6"/>
        <v>3.1E-2</v>
      </c>
      <c r="I93">
        <f t="shared" si="6"/>
        <v>3.1E-2</v>
      </c>
      <c r="J93">
        <f t="shared" si="6"/>
        <v>3.2123287671232875E-2</v>
      </c>
      <c r="K93">
        <f t="shared" si="6"/>
        <v>3.1E-2</v>
      </c>
      <c r="L93">
        <f t="shared" si="6"/>
        <v>3.2000000000000001E-2</v>
      </c>
      <c r="M93">
        <f t="shared" si="6"/>
        <v>3.2000000000000001E-2</v>
      </c>
      <c r="N93">
        <f t="shared" si="6"/>
        <v>0.03</v>
      </c>
      <c r="O93">
        <f t="shared" si="6"/>
        <v>3.1E-2</v>
      </c>
    </row>
    <row r="94" spans="3:15">
      <c r="C94" s="209" t="s">
        <v>59</v>
      </c>
      <c r="D94">
        <f t="shared" ref="D94:O94" si="7">D52+D72</f>
        <v>1.2E-2</v>
      </c>
      <c r="E94">
        <f t="shared" si="7"/>
        <v>1.2E-2</v>
      </c>
      <c r="F94">
        <f t="shared" si="7"/>
        <v>1.3000000000000001E-2</v>
      </c>
      <c r="G94">
        <f t="shared" si="7"/>
        <v>1.2999999999999999E-2</v>
      </c>
      <c r="H94">
        <f t="shared" si="7"/>
        <v>1.2999999999999999E-2</v>
      </c>
      <c r="I94">
        <f t="shared" si="7"/>
        <v>1.3000000000000001E-2</v>
      </c>
      <c r="J94">
        <f t="shared" si="7"/>
        <v>1.2E-2</v>
      </c>
      <c r="K94">
        <f t="shared" si="7"/>
        <v>1.2E-2</v>
      </c>
      <c r="L94">
        <f t="shared" si="7"/>
        <v>1.3999999999999999E-2</v>
      </c>
      <c r="M94">
        <f t="shared" si="7"/>
        <v>1.2999999999999999E-2</v>
      </c>
      <c r="N94">
        <f t="shared" si="7"/>
        <v>1.0999999999999999E-2</v>
      </c>
      <c r="O94">
        <f t="shared" si="7"/>
        <v>1.3000000000000001E-2</v>
      </c>
    </row>
    <row r="95" spans="3:15">
      <c r="C95" s="209" t="s">
        <v>63</v>
      </c>
      <c r="D95">
        <f t="shared" ref="D95:O95" si="8">D53+D73</f>
        <v>6.3E-2</v>
      </c>
      <c r="E95">
        <f t="shared" si="8"/>
        <v>6.5000000000000002E-2</v>
      </c>
      <c r="F95">
        <f t="shared" si="8"/>
        <v>6.4000000000000001E-2</v>
      </c>
      <c r="G95">
        <f t="shared" si="8"/>
        <v>6.5000000000000002E-2</v>
      </c>
      <c r="H95">
        <f t="shared" si="8"/>
        <v>6.5000000000000002E-2</v>
      </c>
      <c r="I95">
        <f t="shared" si="8"/>
        <v>6.4000000000000001E-2</v>
      </c>
      <c r="J95">
        <f t="shared" si="8"/>
        <v>6.5000000000000002E-2</v>
      </c>
      <c r="K95">
        <f t="shared" si="8"/>
        <v>6.3E-2</v>
      </c>
      <c r="L95">
        <f t="shared" si="8"/>
        <v>6.5000000000000002E-2</v>
      </c>
      <c r="M95">
        <f t="shared" si="8"/>
        <v>6.5000000000000002E-2</v>
      </c>
      <c r="N95">
        <f t="shared" si="8"/>
        <v>6.0999999999999999E-2</v>
      </c>
      <c r="O95">
        <f t="shared" si="8"/>
        <v>6.6000000000000003E-2</v>
      </c>
    </row>
    <row r="96" spans="3:15">
      <c r="C96" s="209" t="s">
        <v>64</v>
      </c>
      <c r="D96">
        <f t="shared" ref="D96:O96" si="9">D54+D74</f>
        <v>5.0000000000000001E-3</v>
      </c>
      <c r="E96">
        <f t="shared" si="9"/>
        <v>6.0000000000000001E-3</v>
      </c>
      <c r="F96">
        <f t="shared" si="9"/>
        <v>4.0000000000000001E-3</v>
      </c>
      <c r="G96">
        <f t="shared" si="9"/>
        <v>5.0000000000000001E-3</v>
      </c>
      <c r="H96">
        <f t="shared" si="9"/>
        <v>6.0000000000000001E-3</v>
      </c>
      <c r="I96">
        <f t="shared" si="9"/>
        <v>5.0000000000000001E-3</v>
      </c>
      <c r="J96">
        <f t="shared" si="9"/>
        <v>4.7643835616438361E-3</v>
      </c>
      <c r="K96">
        <f t="shared" si="9"/>
        <v>4.0000000000000001E-3</v>
      </c>
      <c r="L96">
        <f t="shared" si="9"/>
        <v>5.0000000000000001E-3</v>
      </c>
      <c r="M96">
        <f t="shared" si="9"/>
        <v>5.0000000000000001E-3</v>
      </c>
      <c r="N96">
        <f t="shared" si="9"/>
        <v>4.0000000000000001E-3</v>
      </c>
      <c r="O96">
        <f t="shared" si="9"/>
        <v>5.0000000000000001E-3</v>
      </c>
    </row>
    <row r="97" spans="3:15">
      <c r="C97" s="209" t="s">
        <v>65</v>
      </c>
      <c r="D97">
        <f t="shared" ref="D97:O97" si="10">D55+D75</f>
        <v>1.0999999999999999E-2</v>
      </c>
      <c r="E97">
        <f t="shared" si="10"/>
        <v>1.3000000000000001E-2</v>
      </c>
      <c r="F97">
        <f t="shared" si="10"/>
        <v>1.3000000000000001E-2</v>
      </c>
      <c r="G97">
        <f t="shared" si="10"/>
        <v>1.3000000000000001E-2</v>
      </c>
      <c r="H97">
        <f t="shared" si="10"/>
        <v>1.3000000000000001E-2</v>
      </c>
      <c r="I97">
        <f t="shared" si="10"/>
        <v>1.2E-2</v>
      </c>
      <c r="J97">
        <f t="shared" si="10"/>
        <v>1.2717808219178083E-2</v>
      </c>
      <c r="K97">
        <f t="shared" si="10"/>
        <v>1.2E-2</v>
      </c>
      <c r="L97">
        <f t="shared" si="10"/>
        <v>1.3000000000000001E-2</v>
      </c>
      <c r="M97">
        <f t="shared" si="10"/>
        <v>1.3000000000000001E-2</v>
      </c>
      <c r="N97">
        <f t="shared" si="10"/>
        <v>1.0999999999999999E-2</v>
      </c>
      <c r="O97">
        <f t="shared" si="10"/>
        <v>1.0999999999999999E-2</v>
      </c>
    </row>
    <row r="98" spans="3:15">
      <c r="C98" s="209" t="s">
        <v>66</v>
      </c>
      <c r="D98">
        <f t="shared" ref="D98:O98" si="11">D56+D76</f>
        <v>6.8000000000000005E-2</v>
      </c>
      <c r="E98">
        <f t="shared" si="11"/>
        <v>7.0000000000000007E-2</v>
      </c>
      <c r="F98">
        <f t="shared" si="11"/>
        <v>6.8000000000000005E-2</v>
      </c>
      <c r="G98">
        <f t="shared" si="11"/>
        <v>7.0000000000000007E-2</v>
      </c>
      <c r="H98">
        <f t="shared" si="11"/>
        <v>7.0000000000000007E-2</v>
      </c>
      <c r="I98">
        <f t="shared" si="11"/>
        <v>6.8000000000000005E-2</v>
      </c>
      <c r="J98">
        <f t="shared" si="11"/>
        <v>7.0000000000000007E-2</v>
      </c>
      <c r="K98">
        <f t="shared" si="11"/>
        <v>6.8000000000000005E-2</v>
      </c>
      <c r="L98">
        <f t="shared" si="11"/>
        <v>7.0000000000000007E-2</v>
      </c>
      <c r="M98">
        <f t="shared" si="11"/>
        <v>7.0000000000000007E-2</v>
      </c>
      <c r="N98">
        <f t="shared" si="11"/>
        <v>6.4000000000000001E-2</v>
      </c>
      <c r="O98">
        <f t="shared" si="11"/>
        <v>7.0000000000000007E-2</v>
      </c>
    </row>
    <row r="99" spans="3:15">
      <c r="C99" s="209" t="s">
        <v>67</v>
      </c>
      <c r="D99">
        <f t="shared" ref="D99:O99" si="12">D57+D77</f>
        <v>5.3999999999999999E-2</v>
      </c>
      <c r="E99">
        <f t="shared" si="12"/>
        <v>5.6000000000000001E-2</v>
      </c>
      <c r="F99">
        <f t="shared" si="12"/>
        <v>5.3999999999999999E-2</v>
      </c>
      <c r="G99">
        <f t="shared" si="12"/>
        <v>5.5E-2</v>
      </c>
      <c r="H99">
        <f t="shared" si="12"/>
        <v>5.6000000000000001E-2</v>
      </c>
      <c r="I99">
        <f t="shared" si="12"/>
        <v>5.3999999999999999E-2</v>
      </c>
      <c r="J99">
        <f t="shared" si="12"/>
        <v>5.6000000000000001E-2</v>
      </c>
      <c r="K99">
        <f t="shared" si="12"/>
        <v>5.3999999999999999E-2</v>
      </c>
      <c r="L99">
        <f t="shared" si="12"/>
        <v>5.6000000000000001E-2</v>
      </c>
      <c r="M99">
        <f t="shared" si="12"/>
        <v>5.3999999999999999E-2</v>
      </c>
      <c r="N99">
        <f t="shared" si="12"/>
        <v>0.05</v>
      </c>
      <c r="O99">
        <f t="shared" si="12"/>
        <v>5.6000000000000001E-2</v>
      </c>
    </row>
    <row r="100" spans="3:15">
      <c r="C100" s="209" t="s">
        <v>68</v>
      </c>
      <c r="D100">
        <f t="shared" ref="D100:O100" si="13">D58+D78</f>
        <v>1.4E-2</v>
      </c>
      <c r="E100">
        <f t="shared" si="13"/>
        <v>1.4E-2</v>
      </c>
      <c r="F100">
        <f t="shared" si="13"/>
        <v>1.4E-2</v>
      </c>
      <c r="G100">
        <f t="shared" si="13"/>
        <v>1.4999999999999999E-2</v>
      </c>
      <c r="H100">
        <f t="shared" si="13"/>
        <v>1.4E-2</v>
      </c>
      <c r="I100">
        <f t="shared" si="13"/>
        <v>1.4E-2</v>
      </c>
      <c r="J100">
        <f t="shared" si="13"/>
        <v>1.4999999999999999E-2</v>
      </c>
      <c r="K100">
        <f t="shared" si="13"/>
        <v>1.4E-2</v>
      </c>
      <c r="L100">
        <f t="shared" si="13"/>
        <v>1.4999999999999999E-2</v>
      </c>
      <c r="M100">
        <f t="shared" si="13"/>
        <v>1.4E-2</v>
      </c>
      <c r="N100">
        <f t="shared" si="13"/>
        <v>1.2999999999999999E-2</v>
      </c>
      <c r="O100">
        <f t="shared" si="13"/>
        <v>1.4E-2</v>
      </c>
    </row>
    <row r="101" spans="3:15">
      <c r="C101" s="209" t="s">
        <v>69</v>
      </c>
      <c r="D101">
        <f t="shared" ref="D101:O101" si="14">D59+D79</f>
        <v>0</v>
      </c>
      <c r="E101">
        <f t="shared" si="14"/>
        <v>0</v>
      </c>
      <c r="F101">
        <f t="shared" si="14"/>
        <v>0</v>
      </c>
      <c r="G101">
        <f t="shared" si="14"/>
        <v>0</v>
      </c>
      <c r="H101">
        <f t="shared" si="14"/>
        <v>0</v>
      </c>
      <c r="I101">
        <f t="shared" si="14"/>
        <v>0</v>
      </c>
      <c r="J101">
        <f t="shared" si="14"/>
        <v>0</v>
      </c>
      <c r="K101">
        <f t="shared" si="14"/>
        <v>0</v>
      </c>
      <c r="L101">
        <f t="shared" si="14"/>
        <v>0</v>
      </c>
      <c r="M101">
        <f t="shared" si="14"/>
        <v>0</v>
      </c>
      <c r="N101">
        <f t="shared" si="14"/>
        <v>0</v>
      </c>
      <c r="O101">
        <f t="shared" si="14"/>
        <v>0</v>
      </c>
    </row>
    <row r="102" spans="3:15">
      <c r="C102" s="209" t="s">
        <v>70</v>
      </c>
      <c r="D102">
        <f t="shared" ref="D102:O102" si="15">D60+D80</f>
        <v>7.1999999999999995E-2</v>
      </c>
      <c r="E102">
        <f t="shared" si="15"/>
        <v>7.3999999999999996E-2</v>
      </c>
      <c r="F102">
        <f t="shared" si="15"/>
        <v>7.1999999999999995E-2</v>
      </c>
      <c r="G102">
        <f t="shared" si="15"/>
        <v>7.3999999999999996E-2</v>
      </c>
      <c r="H102">
        <f t="shared" si="15"/>
        <v>7.3999999999999996E-2</v>
      </c>
      <c r="I102">
        <f t="shared" si="15"/>
        <v>7.1999999999999995E-2</v>
      </c>
      <c r="J102">
        <f t="shared" si="15"/>
        <v>7.4230136986301376E-2</v>
      </c>
      <c r="K102">
        <f t="shared" si="15"/>
        <v>7.1999999999999995E-2</v>
      </c>
      <c r="L102">
        <f t="shared" si="15"/>
        <v>7.3999999999999996E-2</v>
      </c>
      <c r="M102">
        <f t="shared" si="15"/>
        <v>7.3999999999999996E-2</v>
      </c>
      <c r="N102">
        <f t="shared" si="15"/>
        <v>6.8000000000000005E-2</v>
      </c>
      <c r="O102">
        <f t="shared" si="15"/>
        <v>7.3999999999999996E-2</v>
      </c>
    </row>
    <row r="103" spans="3:15">
      <c r="C103" s="279" t="s">
        <v>280</v>
      </c>
      <c r="D103">
        <f t="shared" ref="D103:O103" si="16">SUM(D89:D102)</f>
        <v>0.80800000000000016</v>
      </c>
      <c r="E103">
        <f t="shared" si="16"/>
        <v>0.83199999999999996</v>
      </c>
      <c r="F103">
        <f t="shared" si="16"/>
        <v>0.80999999999999994</v>
      </c>
      <c r="G103">
        <f t="shared" si="16"/>
        <v>0.83500000000000008</v>
      </c>
      <c r="H103">
        <f t="shared" si="16"/>
        <v>0.83300000000000007</v>
      </c>
      <c r="I103">
        <f t="shared" si="16"/>
        <v>0.81100000000000005</v>
      </c>
      <c r="J103">
        <f t="shared" si="16"/>
        <v>0.83361643835616461</v>
      </c>
      <c r="K103">
        <f t="shared" si="16"/>
        <v>0.80900000000000005</v>
      </c>
      <c r="L103">
        <f t="shared" si="16"/>
        <v>0.83500000000000019</v>
      </c>
      <c r="M103">
        <f t="shared" si="16"/>
        <v>0.83300000000000007</v>
      </c>
      <c r="N103">
        <f t="shared" si="16"/>
        <v>0.75299999999999989</v>
      </c>
      <c r="O103">
        <f t="shared" si="16"/>
        <v>0.83300000000000007</v>
      </c>
    </row>
  </sheetData>
  <sheetProtection algorithmName="SHA-512" hashValue="VYOW13RPgAeMSbAC/ZuxquXoPmYnb63Pqk+AeFKJ6Y/1DsUTIUFZ8B5s85X1PDprqo3AN7wLgQMe1n3ZAEnuog==" saltValue="ZzMykEpquNw4ZBzfUXtNNw==" spinCount="100000" sheet="1" objects="1" scenarios="1"/>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tabColor rgb="FF7030A0"/>
  </sheetPr>
  <dimension ref="A2:AJ1469"/>
  <sheetViews>
    <sheetView workbookViewId="0"/>
  </sheetViews>
  <sheetFormatPr defaultColWidth="8.85546875" defaultRowHeight="15"/>
  <cols>
    <col min="3" max="3" width="11.85546875" customWidth="1"/>
    <col min="4" max="4" width="10.7109375" bestFit="1" customWidth="1"/>
    <col min="9" max="9" width="10.7109375" bestFit="1" customWidth="1"/>
    <col min="10" max="10" width="9.42578125" bestFit="1" customWidth="1"/>
    <col min="13" max="13" width="9.42578125" bestFit="1" customWidth="1"/>
    <col min="18" max="18" width="14.42578125" bestFit="1" customWidth="1"/>
  </cols>
  <sheetData>
    <row r="2" spans="3:34">
      <c r="I2" t="s">
        <v>876</v>
      </c>
      <c r="K2" s="506" t="str">
        <f>'Targets-chosen'!K2</f>
        <v>BE</v>
      </c>
      <c r="L2" s="506" t="str">
        <f>'Targets-chosen'!L2</f>
        <v>2026-27</v>
      </c>
    </row>
    <row r="4" spans="3:34">
      <c r="D4">
        <v>6</v>
      </c>
      <c r="E4">
        <v>7</v>
      </c>
      <c r="F4">
        <v>9</v>
      </c>
      <c r="G4">
        <v>8</v>
      </c>
      <c r="H4">
        <v>5</v>
      </c>
      <c r="I4">
        <v>3</v>
      </c>
      <c r="J4">
        <v>4</v>
      </c>
      <c r="K4">
        <v>13</v>
      </c>
      <c r="L4">
        <v>14</v>
      </c>
      <c r="M4">
        <v>12</v>
      </c>
      <c r="N4">
        <v>10</v>
      </c>
      <c r="O4">
        <v>11</v>
      </c>
      <c r="P4">
        <v>15</v>
      </c>
      <c r="Q4">
        <v>16</v>
      </c>
      <c r="R4">
        <v>17</v>
      </c>
      <c r="S4">
        <v>6</v>
      </c>
      <c r="T4">
        <v>7</v>
      </c>
      <c r="U4">
        <v>9</v>
      </c>
      <c r="V4">
        <v>8</v>
      </c>
      <c r="W4">
        <v>5</v>
      </c>
      <c r="X4">
        <v>3</v>
      </c>
      <c r="Y4">
        <v>4</v>
      </c>
      <c r="Z4">
        <v>13</v>
      </c>
      <c r="AA4">
        <v>14</v>
      </c>
      <c r="AB4">
        <v>12</v>
      </c>
      <c r="AC4">
        <v>10</v>
      </c>
      <c r="AD4">
        <v>11</v>
      </c>
      <c r="AE4">
        <v>15</v>
      </c>
      <c r="AF4">
        <v>16</v>
      </c>
      <c r="AG4">
        <v>17</v>
      </c>
    </row>
    <row r="5" spans="3:34" ht="15.75">
      <c r="C5" s="273"/>
      <c r="D5" s="1166" t="s">
        <v>289</v>
      </c>
      <c r="E5" s="1166"/>
      <c r="F5" s="1166"/>
      <c r="G5" s="1166"/>
      <c r="H5" s="1166"/>
      <c r="I5" s="1166"/>
      <c r="J5" s="1166"/>
      <c r="K5" s="1166"/>
      <c r="L5" s="1166"/>
      <c r="M5" s="1166"/>
      <c r="N5" s="1166"/>
      <c r="O5" s="1166"/>
      <c r="P5" s="1166"/>
      <c r="Q5" s="1166"/>
      <c r="R5" s="1166"/>
      <c r="S5" s="1167" t="s">
        <v>290</v>
      </c>
      <c r="T5" s="1167"/>
      <c r="U5" s="1167"/>
      <c r="V5" s="1167"/>
      <c r="W5" s="1167"/>
      <c r="X5" s="1167"/>
      <c r="Y5" s="1167"/>
      <c r="Z5" s="1167"/>
      <c r="AA5" s="1167"/>
      <c r="AB5" s="1167"/>
      <c r="AC5" s="1167"/>
      <c r="AD5" s="1167"/>
      <c r="AE5" s="1167"/>
      <c r="AF5" s="1167"/>
      <c r="AG5" s="1167"/>
    </row>
    <row r="6" spans="3:34" ht="15.75">
      <c r="C6" s="273"/>
      <c r="D6" s="240">
        <v>2.3099999999999999E-2</v>
      </c>
      <c r="E6" s="241">
        <v>0.27</v>
      </c>
      <c r="F6" s="241">
        <v>0.7</v>
      </c>
      <c r="G6" s="241">
        <v>0.5</v>
      </c>
      <c r="H6" s="241">
        <v>1</v>
      </c>
      <c r="I6" s="241">
        <v>0.2</v>
      </c>
      <c r="J6" s="241">
        <v>0.26</v>
      </c>
      <c r="K6" s="241">
        <v>0.25</v>
      </c>
      <c r="L6" s="240">
        <v>0.24124999999999999</v>
      </c>
      <c r="M6" s="241">
        <v>0.04</v>
      </c>
      <c r="N6" s="241">
        <v>0.11</v>
      </c>
      <c r="O6" s="241">
        <v>0.4</v>
      </c>
      <c r="P6" s="241">
        <v>0.45</v>
      </c>
      <c r="Q6" s="241">
        <v>0.17</v>
      </c>
      <c r="R6" s="242"/>
      <c r="S6" s="243">
        <v>2.3099999999999999E-2</v>
      </c>
      <c r="T6" s="244">
        <v>0.27</v>
      </c>
      <c r="U6" s="244">
        <v>0.7</v>
      </c>
      <c r="V6" s="244">
        <v>0.5</v>
      </c>
      <c r="W6" s="244">
        <v>1</v>
      </c>
      <c r="X6" s="244">
        <v>0.2</v>
      </c>
      <c r="Y6" s="244">
        <v>0.26</v>
      </c>
      <c r="Z6" s="244">
        <v>0.25</v>
      </c>
      <c r="AA6" s="243">
        <v>0.24124999999999999</v>
      </c>
      <c r="AB6" s="244">
        <v>0.04</v>
      </c>
      <c r="AC6" s="244">
        <v>0.11</v>
      </c>
      <c r="AD6" s="244">
        <v>0.4</v>
      </c>
      <c r="AE6" s="244">
        <v>0.45</v>
      </c>
      <c r="AF6" s="244">
        <v>0.17</v>
      </c>
      <c r="AG6" s="245"/>
      <c r="AH6" s="236"/>
    </row>
    <row r="7" spans="3:34" ht="15.75">
      <c r="C7" s="283"/>
      <c r="D7" s="242" t="s">
        <v>57</v>
      </c>
      <c r="E7" s="242" t="s">
        <v>58</v>
      </c>
      <c r="F7" s="242" t="s">
        <v>63</v>
      </c>
      <c r="G7" s="242" t="s">
        <v>59</v>
      </c>
      <c r="H7" s="242" t="s">
        <v>62</v>
      </c>
      <c r="I7" s="242" t="s">
        <v>118</v>
      </c>
      <c r="J7" s="242" t="s">
        <v>61</v>
      </c>
      <c r="K7" s="242" t="s">
        <v>67</v>
      </c>
      <c r="L7" s="242" t="s">
        <v>68</v>
      </c>
      <c r="M7" s="242" t="s">
        <v>66</v>
      </c>
      <c r="N7" s="242" t="s">
        <v>64</v>
      </c>
      <c r="O7" s="242" t="s">
        <v>65</v>
      </c>
      <c r="P7" s="242" t="s">
        <v>69</v>
      </c>
      <c r="Q7" s="242" t="s">
        <v>70</v>
      </c>
      <c r="R7" s="1180" t="s">
        <v>475</v>
      </c>
      <c r="S7" s="245" t="s">
        <v>57</v>
      </c>
      <c r="T7" s="245" t="s">
        <v>58</v>
      </c>
      <c r="U7" s="245" t="s">
        <v>63</v>
      </c>
      <c r="V7" s="245" t="s">
        <v>59</v>
      </c>
      <c r="W7" s="245" t="s">
        <v>62</v>
      </c>
      <c r="X7" s="245" t="s">
        <v>118</v>
      </c>
      <c r="Y7" s="245" t="s">
        <v>61</v>
      </c>
      <c r="Z7" s="245" t="s">
        <v>67</v>
      </c>
      <c r="AA7" s="245" t="s">
        <v>68</v>
      </c>
      <c r="AB7" s="245" t="s">
        <v>66</v>
      </c>
      <c r="AC7" s="245" t="s">
        <v>64</v>
      </c>
      <c r="AD7" s="245" t="s">
        <v>65</v>
      </c>
      <c r="AE7" s="245" t="s">
        <v>69</v>
      </c>
      <c r="AF7" s="245" t="s">
        <v>70</v>
      </c>
      <c r="AG7" s="1182" t="s">
        <v>475</v>
      </c>
      <c r="AH7" s="236" t="s">
        <v>117</v>
      </c>
    </row>
    <row r="8" spans="3:34" ht="15.75">
      <c r="C8" s="288" t="s">
        <v>116</v>
      </c>
      <c r="D8" s="242" t="s">
        <v>119</v>
      </c>
      <c r="E8" s="242" t="s">
        <v>120</v>
      </c>
      <c r="F8" s="242" t="s">
        <v>121</v>
      </c>
      <c r="G8" s="242" t="s">
        <v>121</v>
      </c>
      <c r="H8" s="242" t="s">
        <v>122</v>
      </c>
      <c r="I8" s="242" t="s">
        <v>122</v>
      </c>
      <c r="J8" s="242" t="s">
        <v>122</v>
      </c>
      <c r="K8" s="242" t="s">
        <v>123</v>
      </c>
      <c r="L8" s="242" t="s">
        <v>123</v>
      </c>
      <c r="M8" s="242" t="s">
        <v>124</v>
      </c>
      <c r="N8" s="242" t="s">
        <v>125</v>
      </c>
      <c r="O8" s="242" t="s">
        <v>125</v>
      </c>
      <c r="P8" s="242" t="s">
        <v>126</v>
      </c>
      <c r="Q8" s="242" t="s">
        <v>127</v>
      </c>
      <c r="R8" s="1181"/>
      <c r="S8" s="245" t="s">
        <v>119</v>
      </c>
      <c r="T8" s="245" t="s">
        <v>120</v>
      </c>
      <c r="U8" s="245" t="s">
        <v>121</v>
      </c>
      <c r="V8" s="245" t="s">
        <v>121</v>
      </c>
      <c r="W8" s="245" t="s">
        <v>122</v>
      </c>
      <c r="X8" s="245" t="s">
        <v>122</v>
      </c>
      <c r="Y8" s="245" t="s">
        <v>122</v>
      </c>
      <c r="Z8" s="245" t="s">
        <v>123</v>
      </c>
      <c r="AA8" s="245" t="s">
        <v>123</v>
      </c>
      <c r="AB8" s="245" t="s">
        <v>124</v>
      </c>
      <c r="AC8" s="245" t="s">
        <v>125</v>
      </c>
      <c r="AD8" s="245" t="s">
        <v>125</v>
      </c>
      <c r="AE8" s="245" t="s">
        <v>126</v>
      </c>
      <c r="AF8" s="245" t="s">
        <v>127</v>
      </c>
      <c r="AG8" s="1183"/>
      <c r="AH8" s="236"/>
    </row>
    <row r="9" spans="3:34" ht="15.75" hidden="1">
      <c r="C9" s="235">
        <v>44652</v>
      </c>
      <c r="D9" s="141">
        <f>IFERROR((HLOOKUP($AH9,Target_monthwise!$D$4:$O$20,DTR!D$4,FALSE))*1000,0)</f>
        <v>0</v>
      </c>
      <c r="E9" s="141">
        <f>IFERROR((HLOOKUP($AH9,Target_monthwise!$D$4:$O$20,DTR!E$4,FALSE))*1000,0)</f>
        <v>0</v>
      </c>
      <c r="F9" s="141">
        <f>IFERROR((HLOOKUP($AH9,Target_monthwise!$D$4:$O$20,DTR!F$4,FALSE))*1000,0)</f>
        <v>0</v>
      </c>
      <c r="G9" s="141">
        <f>IFERROR((HLOOKUP($AH9,Target_monthwise!$D$4:$O$20,DTR!G$4,FALSE))*1000,0)</f>
        <v>0</v>
      </c>
      <c r="H9" s="141">
        <f>IFERROR((HLOOKUP($AH9,Target_monthwise!$D$4:$O$20,DTR!H$4,FALSE))*1000,0)</f>
        <v>0</v>
      </c>
      <c r="I9" s="141">
        <f>IFERROR((HLOOKUP($AH9,Target_monthwise!$D$4:$O$20,DTR!I$4,FALSE))*1000,0)</f>
        <v>0</v>
      </c>
      <c r="J9" s="141">
        <f>IFERROR((HLOOKUP($AH9,Target_monthwise!$D$4:$O$20,DTR!J$4,FALSE))*1000,0)</f>
        <v>0</v>
      </c>
      <c r="K9" s="141">
        <f>IFERROR((HLOOKUP($AH9,Target_monthwise!$D$4:$O$20,DTR!K$4,FALSE))*1000,0)</f>
        <v>0</v>
      </c>
      <c r="L9" s="141">
        <f>IFERROR((HLOOKUP($AH9,Target_monthwise!$D$4:$O$20,DTR!L$4,FALSE))*1000,0)</f>
        <v>0</v>
      </c>
      <c r="M9" s="141">
        <f>IFERROR((HLOOKUP($AH9,Target_monthwise!$D$4:$O$20,DTR!M$4,FALSE))*1000,0)</f>
        <v>0</v>
      </c>
      <c r="N9" s="141">
        <f>IFERROR((HLOOKUP($AH9,Target_monthwise!$D$4:$O$20,DTR!N$4,FALSE))*1000,0)</f>
        <v>0</v>
      </c>
      <c r="O9" s="141">
        <f>IFERROR((HLOOKUP($AH9,Target_monthwise!$D$4:$O$20,DTR!O$4,FALSE))*1000,0)</f>
        <v>0</v>
      </c>
      <c r="P9" s="141">
        <f>IFERROR((HLOOKUP($AH9,Target_monthwise!$D$4:$O$20,DTR!P$4,FALSE))*1000,0)</f>
        <v>0</v>
      </c>
      <c r="Q9" s="141">
        <f>IFERROR((HLOOKUP($AH9,Target_monthwise!$D$4:$O$20,DTR!Q$4,FALSE))*1000,0)</f>
        <v>0</v>
      </c>
      <c r="R9" s="167">
        <f>IFERROR((HLOOKUP($AH9,Target_monthwise!$D$4:$O$20,DTR!R$4,FALSE))*1000,0)</f>
        <v>0</v>
      </c>
      <c r="S9" s="147">
        <f>IFERROR((HLOOKUP($AH9,Target_monthwise!$D$24:$O$40,DTR!S$4,FALSE)),0)</f>
        <v>0</v>
      </c>
      <c r="T9" s="147">
        <f>IFERROR((HLOOKUP($AH9,Target_monthwise!$D$24:$O$40,DTR!T$4,FALSE)),0)</f>
        <v>0</v>
      </c>
      <c r="U9" s="147">
        <f>IFERROR((HLOOKUP($AH9,Target_monthwise!$D$24:$O$40,DTR!U$4,FALSE)),0)</f>
        <v>0</v>
      </c>
      <c r="V9" s="147">
        <f>IFERROR((HLOOKUP($AH9,Target_monthwise!$D$24:$O$40,DTR!V$4,FALSE)),0)</f>
        <v>0</v>
      </c>
      <c r="W9" s="147">
        <f>IFERROR((HLOOKUP($AH9,Target_monthwise!$D$24:$O$40,DTR!W$4,FALSE)),0)</f>
        <v>0</v>
      </c>
      <c r="X9" s="147">
        <f>IFERROR((HLOOKUP($AH9,Target_monthwise!$D$24:$O$40,DTR!X$4,FALSE)),0)</f>
        <v>0</v>
      </c>
      <c r="Y9" s="147">
        <f>IFERROR((HLOOKUP($AH9,Target_monthwise!$D$24:$O$40,DTR!Y$4,FALSE)),0)</f>
        <v>0</v>
      </c>
      <c r="Z9" s="147">
        <f>IFERROR((HLOOKUP($AH9,Target_monthwise!$D$24:$O$40,DTR!Z$4,FALSE)),0)</f>
        <v>0</v>
      </c>
      <c r="AA9" s="147">
        <f>IFERROR((HLOOKUP($AH9,Target_monthwise!$D$24:$O$40,DTR!AA$4,FALSE)),0)</f>
        <v>0</v>
      </c>
      <c r="AB9" s="147">
        <f>IFERROR((HLOOKUP($AH9,Target_monthwise!$D$24:$O$40,DTR!AB$4,FALSE)),0)</f>
        <v>0</v>
      </c>
      <c r="AC9" s="147">
        <f>IFERROR((HLOOKUP($AH9,Target_monthwise!$D$24:$O$40,DTR!AC$4,FALSE)),0)</f>
        <v>0</v>
      </c>
      <c r="AD9" s="147">
        <f>IFERROR((HLOOKUP($AH9,Target_monthwise!$D$24:$O$40,DTR!AD$4,FALSE)),0)</f>
        <v>0</v>
      </c>
      <c r="AE9" s="147">
        <f>IFERROR((HLOOKUP($AH9,Target_monthwise!$D$24:$O$40,DTR!AE$4,FALSE)),0)</f>
        <v>0</v>
      </c>
      <c r="AF9" s="147">
        <f>IFERROR((HLOOKUP($AH9,Target_monthwise!$D$24:$O$40,DTR!AF$4,FALSE)),0)</f>
        <v>0</v>
      </c>
      <c r="AG9" s="172">
        <f>IFERROR((HLOOKUP($AH9,Target_monthwise!$D$24:$O$40,DTR!AG$4,FALSE)),0)</f>
        <v>0</v>
      </c>
      <c r="AH9" s="253">
        <f>YEAR(C9)*100+MONTH(C9)</f>
        <v>202204</v>
      </c>
    </row>
    <row r="10" spans="3:34" ht="15.75" hidden="1">
      <c r="C10" s="237">
        <v>44653</v>
      </c>
      <c r="D10" s="238">
        <f>IFERROR((HLOOKUP($AH10,Target_monthwise!$D$4:$O$20,DTR!D$4,FALSE))*1000,0)</f>
        <v>0</v>
      </c>
      <c r="E10" s="238">
        <f>IFERROR((HLOOKUP($AH10,Target_monthwise!$D$4:$O$20,DTR!E$4,FALSE))*1000,0)</f>
        <v>0</v>
      </c>
      <c r="F10" s="238">
        <f>IFERROR((HLOOKUP($AH10,Target_monthwise!$D$4:$O$20,DTR!F$4,FALSE))*1000,0)</f>
        <v>0</v>
      </c>
      <c r="G10" s="238">
        <f>IFERROR((HLOOKUP($AH10,Target_monthwise!$D$4:$O$20,DTR!G$4,FALSE))*1000,0)</f>
        <v>0</v>
      </c>
      <c r="H10" s="238">
        <f>IFERROR((HLOOKUP($AH10,Target_monthwise!$D$4:$O$20,DTR!H$4,FALSE))*1000,0)</f>
        <v>0</v>
      </c>
      <c r="I10" s="238">
        <f>IFERROR((HLOOKUP($AH10,Target_monthwise!$D$4:$O$20,DTR!I$4,FALSE))*1000,0)</f>
        <v>0</v>
      </c>
      <c r="J10" s="238">
        <f>IFERROR((HLOOKUP($AH10,Target_monthwise!$D$4:$O$20,DTR!J$4,FALSE))*1000,0)</f>
        <v>0</v>
      </c>
      <c r="K10" s="238">
        <f>IFERROR((HLOOKUP($AH10,Target_monthwise!$D$4:$O$20,DTR!K$4,FALSE))*1000,0)</f>
        <v>0</v>
      </c>
      <c r="L10" s="238">
        <f>IFERROR((HLOOKUP($AH10,Target_monthwise!$D$4:$O$20,DTR!L$4,FALSE))*1000,0)</f>
        <v>0</v>
      </c>
      <c r="M10" s="238">
        <f>IFERROR((HLOOKUP($AH10,Target_monthwise!$D$4:$O$20,DTR!M$4,FALSE))*1000,0)</f>
        <v>0</v>
      </c>
      <c r="N10" s="238">
        <f>IFERROR((HLOOKUP($AH10,Target_monthwise!$D$4:$O$20,DTR!N$4,FALSE))*1000,0)</f>
        <v>0</v>
      </c>
      <c r="O10" s="238">
        <f>IFERROR((HLOOKUP($AH10,Target_monthwise!$D$4:$O$20,DTR!O$4,FALSE))*1000,0)</f>
        <v>0</v>
      </c>
      <c r="P10" s="238">
        <f>IFERROR((HLOOKUP($AH10,Target_monthwise!$D$4:$O$20,DTR!P$4,FALSE))*1000,0)</f>
        <v>0</v>
      </c>
      <c r="Q10" s="141">
        <f>IFERROR((HLOOKUP($AH10,Target_monthwise!$D$4:$O$20,DTR!Q$4,FALSE))*1000,0)</f>
        <v>0</v>
      </c>
      <c r="R10" s="167">
        <f>IFERROR((HLOOKUP($AH10,Target_monthwise!$D$4:$O$20,DTR!R$4,FALSE))*1000,0)</f>
        <v>0</v>
      </c>
      <c r="S10" s="239">
        <f>IFERROR((HLOOKUP($AH10,Target_monthwise!$D$24:$O$40,DTR!S$4,FALSE)),0)</f>
        <v>0</v>
      </c>
      <c r="T10" s="239">
        <f>IFERROR((HLOOKUP($AH10,Target_monthwise!$D$24:$O$40,DTR!T$4,FALSE)),0)</f>
        <v>0</v>
      </c>
      <c r="U10" s="239">
        <f>IFERROR((HLOOKUP($AH10,Target_monthwise!$D$24:$O$40,DTR!U$4,FALSE)),0)</f>
        <v>0</v>
      </c>
      <c r="V10" s="239">
        <f>IFERROR((HLOOKUP($AH10,Target_monthwise!$D$24:$O$40,DTR!V$4,FALSE)),0)</f>
        <v>0</v>
      </c>
      <c r="W10" s="239">
        <f>IFERROR((HLOOKUP($AH10,Target_monthwise!$D$24:$O$40,DTR!W$4,FALSE)),0)</f>
        <v>0</v>
      </c>
      <c r="X10" s="239">
        <f>IFERROR((HLOOKUP($AH10,Target_monthwise!$D$24:$O$40,DTR!X$4,FALSE)),0)</f>
        <v>0</v>
      </c>
      <c r="Y10" s="239">
        <f>IFERROR((HLOOKUP($AH10,Target_monthwise!$D$24:$O$40,DTR!Y$4,FALSE)),0)</f>
        <v>0</v>
      </c>
      <c r="Z10" s="147">
        <f>IFERROR((HLOOKUP($AH10,Target_monthwise!$D$24:$O$40,DTR!Z$4,FALSE)),0)</f>
        <v>0</v>
      </c>
      <c r="AA10" s="147">
        <f>IFERROR((HLOOKUP($AH10,Target_monthwise!$D$24:$O$40,DTR!AA$4,FALSE)),0)</f>
        <v>0</v>
      </c>
      <c r="AB10" s="147">
        <f>IFERROR((HLOOKUP($AH10,Target_monthwise!$D$24:$O$40,DTR!AB$4,FALSE)),0)</f>
        <v>0</v>
      </c>
      <c r="AC10" s="239">
        <f>IFERROR((HLOOKUP($AH10,Target_monthwise!$D$24:$O$40,DTR!AC$4,FALSE)),0)</f>
        <v>0</v>
      </c>
      <c r="AD10" s="239">
        <f>IFERROR((HLOOKUP($AH10,Target_monthwise!$D$24:$O$40,DTR!AD$4,FALSE)),0)</f>
        <v>0</v>
      </c>
      <c r="AE10" s="239">
        <f>IFERROR((HLOOKUP($AH10,Target_monthwise!$D$24:$O$40,DTR!AE$4,FALSE)),0)</f>
        <v>0</v>
      </c>
      <c r="AF10" s="239">
        <f>IFERROR((HLOOKUP($AH10,Target_monthwise!$D$24:$O$40,DTR!AF$4,FALSE)),0)</f>
        <v>0</v>
      </c>
      <c r="AG10" s="172">
        <f>IFERROR((HLOOKUP($AH10,Target_monthwise!$D$24:$O$40,DTR!AG$4,FALSE)),0)</f>
        <v>0</v>
      </c>
      <c r="AH10" s="253">
        <f t="shared" ref="AH10:AH73" si="0">YEAR(C10)*100+MONTH(C10)</f>
        <v>202204</v>
      </c>
    </row>
    <row r="11" spans="3:34" ht="15.75" hidden="1">
      <c r="C11" s="235">
        <v>44654</v>
      </c>
      <c r="D11" s="141">
        <f>IFERROR((HLOOKUP($AH11,Target_monthwise!$D$4:$O$20,DTR!D$4,FALSE))*1000,0)</f>
        <v>0</v>
      </c>
      <c r="E11" s="141">
        <f>IFERROR((HLOOKUP($AH11,Target_monthwise!$D$4:$O$20,DTR!E$4,FALSE))*1000,0)</f>
        <v>0</v>
      </c>
      <c r="F11" s="141">
        <f>IFERROR((HLOOKUP($AH11,Target_monthwise!$D$4:$O$20,DTR!F$4,FALSE))*1000,0)</f>
        <v>0</v>
      </c>
      <c r="G11" s="141">
        <f>IFERROR((HLOOKUP($AH11,Target_monthwise!$D$4:$O$20,DTR!G$4,FALSE))*1000,0)</f>
        <v>0</v>
      </c>
      <c r="H11" s="141">
        <f>IFERROR((HLOOKUP($AH11,Target_monthwise!$D$4:$O$20,DTR!H$4,FALSE))*1000,0)</f>
        <v>0</v>
      </c>
      <c r="I11" s="141">
        <f>IFERROR((HLOOKUP($AH11,Target_monthwise!$D$4:$O$20,DTR!I$4,FALSE))*1000,0)</f>
        <v>0</v>
      </c>
      <c r="J11" s="141">
        <f>IFERROR((HLOOKUP($AH11,Target_monthwise!$D$4:$O$20,DTR!J$4,FALSE))*1000,0)</f>
        <v>0</v>
      </c>
      <c r="K11" s="141">
        <f>IFERROR((HLOOKUP($AH11,Target_monthwise!$D$4:$O$20,DTR!K$4,FALSE))*1000,0)</f>
        <v>0</v>
      </c>
      <c r="L11" s="141">
        <f>IFERROR((HLOOKUP($AH11,Target_monthwise!$D$4:$O$20,DTR!L$4,FALSE))*1000,0)</f>
        <v>0</v>
      </c>
      <c r="M11" s="141">
        <f>IFERROR((HLOOKUP($AH11,Target_monthwise!$D$4:$O$20,DTR!M$4,FALSE))*1000,0)</f>
        <v>0</v>
      </c>
      <c r="N11" s="141">
        <f>IFERROR((HLOOKUP($AH11,Target_monthwise!$D$4:$O$20,DTR!N$4,FALSE))*1000,0)</f>
        <v>0</v>
      </c>
      <c r="O11" s="141">
        <f>IFERROR((HLOOKUP($AH11,Target_monthwise!$D$4:$O$20,DTR!O$4,FALSE))*1000,0)</f>
        <v>0</v>
      </c>
      <c r="P11" s="141">
        <f>IFERROR((HLOOKUP($AH11,Target_monthwise!$D$4:$O$20,DTR!P$4,FALSE))*1000,0)</f>
        <v>0</v>
      </c>
      <c r="Q11" s="141">
        <f>IFERROR((HLOOKUP($AH11,Target_monthwise!$D$4:$O$20,DTR!Q$4,FALSE))*1000,0)</f>
        <v>0</v>
      </c>
      <c r="R11" s="167">
        <f>IFERROR((HLOOKUP($AH11,Target_monthwise!$D$4:$O$20,DTR!R$4,FALSE))*1000,0)</f>
        <v>0</v>
      </c>
      <c r="S11" s="147">
        <f>IFERROR((HLOOKUP($AH11,Target_monthwise!$D$24:$O$40,DTR!S$4,FALSE)),0)</f>
        <v>0</v>
      </c>
      <c r="T11" s="147">
        <f>IFERROR((HLOOKUP($AH11,Target_monthwise!$D$24:$O$40,DTR!T$4,FALSE)),0)</f>
        <v>0</v>
      </c>
      <c r="U11" s="147">
        <f>IFERROR((HLOOKUP($AH11,Target_monthwise!$D$24:$O$40,DTR!U$4,FALSE)),0)</f>
        <v>0</v>
      </c>
      <c r="V11" s="147">
        <f>IFERROR((HLOOKUP($AH11,Target_monthwise!$D$24:$O$40,DTR!V$4,FALSE)),0)</f>
        <v>0</v>
      </c>
      <c r="W11" s="147">
        <f>IFERROR((HLOOKUP($AH11,Target_monthwise!$D$24:$O$40,DTR!W$4,FALSE)),0)</f>
        <v>0</v>
      </c>
      <c r="X11" s="147">
        <f>IFERROR((HLOOKUP($AH11,Target_monthwise!$D$24:$O$40,DTR!X$4,FALSE)),0)</f>
        <v>0</v>
      </c>
      <c r="Y11" s="147">
        <f>IFERROR((HLOOKUP($AH11,Target_monthwise!$D$24:$O$40,DTR!Y$4,FALSE)),0)</f>
        <v>0</v>
      </c>
      <c r="Z11" s="147">
        <f>IFERROR((HLOOKUP($AH11,Target_monthwise!$D$24:$O$40,DTR!Z$4,FALSE)),0)</f>
        <v>0</v>
      </c>
      <c r="AA11" s="147">
        <f>IFERROR((HLOOKUP($AH11,Target_monthwise!$D$24:$O$40,DTR!AA$4,FALSE)),0)</f>
        <v>0</v>
      </c>
      <c r="AB11" s="147">
        <f>IFERROR((HLOOKUP($AH11,Target_monthwise!$D$24:$O$40,DTR!AB$4,FALSE)),0)</f>
        <v>0</v>
      </c>
      <c r="AC11" s="147">
        <f>IFERROR((HLOOKUP($AH11,Target_monthwise!$D$24:$O$40,DTR!AC$4,FALSE)),0)</f>
        <v>0</v>
      </c>
      <c r="AD11" s="147">
        <f>IFERROR((HLOOKUP($AH11,Target_monthwise!$D$24:$O$40,DTR!AD$4,FALSE)),0)</f>
        <v>0</v>
      </c>
      <c r="AE11" s="147">
        <f>IFERROR((HLOOKUP($AH11,Target_monthwise!$D$24:$O$40,DTR!AE$4,FALSE)),0)</f>
        <v>0</v>
      </c>
      <c r="AF11" s="147">
        <f>IFERROR((HLOOKUP($AH11,Target_monthwise!$D$24:$O$40,DTR!AF$4,FALSE)),0)</f>
        <v>0</v>
      </c>
      <c r="AG11" s="172">
        <f>IFERROR((HLOOKUP($AH11,Target_monthwise!$D$24:$O$40,DTR!AG$4,FALSE)),0)</f>
        <v>0</v>
      </c>
      <c r="AH11" s="253">
        <f t="shared" si="0"/>
        <v>202204</v>
      </c>
    </row>
    <row r="12" spans="3:34" ht="15.75" hidden="1">
      <c r="C12" s="237">
        <v>44655</v>
      </c>
      <c r="D12" s="238">
        <f>IFERROR((HLOOKUP($AH12,Target_monthwise!$D$4:$O$20,DTR!D$4,FALSE))*1000,0)</f>
        <v>0</v>
      </c>
      <c r="E12" s="238">
        <f>IFERROR((HLOOKUP($AH12,Target_monthwise!$D$4:$O$20,DTR!E$4,FALSE))*1000,0)</f>
        <v>0</v>
      </c>
      <c r="F12" s="238">
        <f>IFERROR((HLOOKUP($AH12,Target_monthwise!$D$4:$O$20,DTR!F$4,FALSE))*1000,0)</f>
        <v>0</v>
      </c>
      <c r="G12" s="238">
        <f>IFERROR((HLOOKUP($AH12,Target_monthwise!$D$4:$O$20,DTR!G$4,FALSE))*1000,0)</f>
        <v>0</v>
      </c>
      <c r="H12" s="238">
        <f>IFERROR((HLOOKUP($AH12,Target_monthwise!$D$4:$O$20,DTR!H$4,FALSE))*1000,0)</f>
        <v>0</v>
      </c>
      <c r="I12" s="238">
        <f>IFERROR((HLOOKUP($AH12,Target_monthwise!$D$4:$O$20,DTR!I$4,FALSE))*1000,0)</f>
        <v>0</v>
      </c>
      <c r="J12" s="238">
        <f>IFERROR((HLOOKUP($AH12,Target_monthwise!$D$4:$O$20,DTR!J$4,FALSE))*1000,0)</f>
        <v>0</v>
      </c>
      <c r="K12" s="238">
        <f>IFERROR((HLOOKUP($AH12,Target_monthwise!$D$4:$O$20,DTR!K$4,FALSE))*1000,0)</f>
        <v>0</v>
      </c>
      <c r="L12" s="238">
        <f>IFERROR((HLOOKUP($AH12,Target_monthwise!$D$4:$O$20,DTR!L$4,FALSE))*1000,0)</f>
        <v>0</v>
      </c>
      <c r="M12" s="238">
        <f>IFERROR((HLOOKUP($AH12,Target_monthwise!$D$4:$O$20,DTR!M$4,FALSE))*1000,0)</f>
        <v>0</v>
      </c>
      <c r="N12" s="238">
        <f>IFERROR((HLOOKUP($AH12,Target_monthwise!$D$4:$O$20,DTR!N$4,FALSE))*1000,0)</f>
        <v>0</v>
      </c>
      <c r="O12" s="238">
        <f>IFERROR((HLOOKUP($AH12,Target_monthwise!$D$4:$O$20,DTR!O$4,FALSE))*1000,0)</f>
        <v>0</v>
      </c>
      <c r="P12" s="238">
        <f>IFERROR((HLOOKUP($AH12,Target_monthwise!$D$4:$O$20,DTR!P$4,FALSE))*1000,0)</f>
        <v>0</v>
      </c>
      <c r="Q12" s="141">
        <f>IFERROR((HLOOKUP($AH12,Target_monthwise!$D$4:$O$20,DTR!Q$4,FALSE))*1000,0)</f>
        <v>0</v>
      </c>
      <c r="R12" s="167">
        <f>IFERROR((HLOOKUP($AH12,Target_monthwise!$D$4:$O$20,DTR!R$4,FALSE))*1000,0)</f>
        <v>0</v>
      </c>
      <c r="S12" s="239">
        <f>IFERROR((HLOOKUP($AH12,Target_monthwise!$D$24:$O$40,DTR!S$4,FALSE)),0)</f>
        <v>0</v>
      </c>
      <c r="T12" s="239">
        <f>IFERROR((HLOOKUP($AH12,Target_monthwise!$D$24:$O$40,DTR!T$4,FALSE)),0)</f>
        <v>0</v>
      </c>
      <c r="U12" s="239">
        <f>IFERROR((HLOOKUP($AH12,Target_monthwise!$D$24:$O$40,DTR!U$4,FALSE)),0)</f>
        <v>0</v>
      </c>
      <c r="V12" s="239">
        <f>IFERROR((HLOOKUP($AH12,Target_monthwise!$D$24:$O$40,DTR!V$4,FALSE)),0)</f>
        <v>0</v>
      </c>
      <c r="W12" s="239">
        <f>IFERROR((HLOOKUP($AH12,Target_monthwise!$D$24:$O$40,DTR!W$4,FALSE)),0)</f>
        <v>0</v>
      </c>
      <c r="X12" s="239">
        <f>IFERROR((HLOOKUP($AH12,Target_monthwise!$D$24:$O$40,DTR!X$4,FALSE)),0)</f>
        <v>0</v>
      </c>
      <c r="Y12" s="239">
        <f>IFERROR((HLOOKUP($AH12,Target_monthwise!$D$24:$O$40,DTR!Y$4,FALSE)),0)</f>
        <v>0</v>
      </c>
      <c r="Z12" s="147">
        <f>IFERROR((HLOOKUP($AH12,Target_monthwise!$D$24:$O$40,DTR!Z$4,FALSE)),0)</f>
        <v>0</v>
      </c>
      <c r="AA12" s="147">
        <f>IFERROR((HLOOKUP($AH12,Target_monthwise!$D$24:$O$40,DTR!AA$4,FALSE)),0)</f>
        <v>0</v>
      </c>
      <c r="AB12" s="147">
        <f>IFERROR((HLOOKUP($AH12,Target_monthwise!$D$24:$O$40,DTR!AB$4,FALSE)),0)</f>
        <v>0</v>
      </c>
      <c r="AC12" s="239">
        <f>IFERROR((HLOOKUP($AH12,Target_monthwise!$D$24:$O$40,DTR!AC$4,FALSE)),0)</f>
        <v>0</v>
      </c>
      <c r="AD12" s="239">
        <f>IFERROR((HLOOKUP($AH12,Target_monthwise!$D$24:$O$40,DTR!AD$4,FALSE)),0)</f>
        <v>0</v>
      </c>
      <c r="AE12" s="239">
        <f>IFERROR((HLOOKUP($AH12,Target_monthwise!$D$24:$O$40,DTR!AE$4,FALSE)),0)</f>
        <v>0</v>
      </c>
      <c r="AF12" s="239">
        <f>IFERROR((HLOOKUP($AH12,Target_monthwise!$D$24:$O$40,DTR!AF$4,FALSE)),0)</f>
        <v>0</v>
      </c>
      <c r="AG12" s="172">
        <f>IFERROR((HLOOKUP($AH12,Target_monthwise!$D$24:$O$40,DTR!AG$4,FALSE)),0)</f>
        <v>0</v>
      </c>
      <c r="AH12" s="253">
        <f t="shared" si="0"/>
        <v>202204</v>
      </c>
    </row>
    <row r="13" spans="3:34" ht="15.75" hidden="1">
      <c r="C13" s="235">
        <v>44656</v>
      </c>
      <c r="D13" s="141">
        <f>IFERROR((HLOOKUP($AH13,Target_monthwise!$D$4:$O$20,DTR!D$4,FALSE))*1000,0)</f>
        <v>0</v>
      </c>
      <c r="E13" s="141">
        <f>IFERROR((HLOOKUP($AH13,Target_monthwise!$D$4:$O$20,DTR!E$4,FALSE))*1000,0)</f>
        <v>0</v>
      </c>
      <c r="F13" s="141">
        <f>IFERROR((HLOOKUP($AH13,Target_monthwise!$D$4:$O$20,DTR!F$4,FALSE))*1000,0)</f>
        <v>0</v>
      </c>
      <c r="G13" s="141">
        <f>IFERROR((HLOOKUP($AH13,Target_monthwise!$D$4:$O$20,DTR!G$4,FALSE))*1000,0)</f>
        <v>0</v>
      </c>
      <c r="H13" s="141">
        <f>IFERROR((HLOOKUP($AH13,Target_monthwise!$D$4:$O$20,DTR!H$4,FALSE))*1000,0)</f>
        <v>0</v>
      </c>
      <c r="I13" s="141">
        <f>IFERROR((HLOOKUP($AH13,Target_monthwise!$D$4:$O$20,DTR!I$4,FALSE))*1000,0)</f>
        <v>0</v>
      </c>
      <c r="J13" s="141">
        <f>IFERROR((HLOOKUP($AH13,Target_monthwise!$D$4:$O$20,DTR!J$4,FALSE))*1000,0)</f>
        <v>0</v>
      </c>
      <c r="K13" s="141">
        <f>IFERROR((HLOOKUP($AH13,Target_monthwise!$D$4:$O$20,DTR!K$4,FALSE))*1000,0)</f>
        <v>0</v>
      </c>
      <c r="L13" s="141">
        <f>IFERROR((HLOOKUP($AH13,Target_monthwise!$D$4:$O$20,DTR!L$4,FALSE))*1000,0)</f>
        <v>0</v>
      </c>
      <c r="M13" s="141">
        <f>IFERROR((HLOOKUP($AH13,Target_monthwise!$D$4:$O$20,DTR!M$4,FALSE))*1000,0)</f>
        <v>0</v>
      </c>
      <c r="N13" s="141">
        <f>IFERROR((HLOOKUP($AH13,Target_monthwise!$D$4:$O$20,DTR!N$4,FALSE))*1000,0)</f>
        <v>0</v>
      </c>
      <c r="O13" s="141">
        <f>IFERROR((HLOOKUP($AH13,Target_monthwise!$D$4:$O$20,DTR!O$4,FALSE))*1000,0)</f>
        <v>0</v>
      </c>
      <c r="P13" s="141">
        <f>IFERROR((HLOOKUP($AH13,Target_monthwise!$D$4:$O$20,DTR!P$4,FALSE))*1000,0)</f>
        <v>0</v>
      </c>
      <c r="Q13" s="141">
        <f>IFERROR((HLOOKUP($AH13,Target_monthwise!$D$4:$O$20,DTR!Q$4,FALSE))*1000,0)</f>
        <v>0</v>
      </c>
      <c r="R13" s="167">
        <f>IFERROR((HLOOKUP($AH13,Target_monthwise!$D$4:$O$20,DTR!R$4,FALSE))*1000,0)</f>
        <v>0</v>
      </c>
      <c r="S13" s="147">
        <f>IFERROR((HLOOKUP($AH13,Target_monthwise!$D$24:$O$40,DTR!S$4,FALSE)),0)</f>
        <v>0</v>
      </c>
      <c r="T13" s="147">
        <f>IFERROR((HLOOKUP($AH13,Target_monthwise!$D$24:$O$40,DTR!T$4,FALSE)),0)</f>
        <v>0</v>
      </c>
      <c r="U13" s="147">
        <f>IFERROR((HLOOKUP($AH13,Target_monthwise!$D$24:$O$40,DTR!U$4,FALSE)),0)</f>
        <v>0</v>
      </c>
      <c r="V13" s="147">
        <f>IFERROR((HLOOKUP($AH13,Target_monthwise!$D$24:$O$40,DTR!V$4,FALSE)),0)</f>
        <v>0</v>
      </c>
      <c r="W13" s="147">
        <f>IFERROR((HLOOKUP($AH13,Target_monthwise!$D$24:$O$40,DTR!W$4,FALSE)),0)</f>
        <v>0</v>
      </c>
      <c r="X13" s="147">
        <f>IFERROR((HLOOKUP($AH13,Target_monthwise!$D$24:$O$40,DTR!X$4,FALSE)),0)</f>
        <v>0</v>
      </c>
      <c r="Y13" s="147">
        <f>IFERROR((HLOOKUP($AH13,Target_monthwise!$D$24:$O$40,DTR!Y$4,FALSE)),0)</f>
        <v>0</v>
      </c>
      <c r="Z13" s="147">
        <f>IFERROR((HLOOKUP($AH13,Target_monthwise!$D$24:$O$40,DTR!Z$4,FALSE)),0)</f>
        <v>0</v>
      </c>
      <c r="AA13" s="147">
        <f>IFERROR((HLOOKUP($AH13,Target_monthwise!$D$24:$O$40,DTR!AA$4,FALSE)),0)</f>
        <v>0</v>
      </c>
      <c r="AB13" s="147">
        <f>IFERROR((HLOOKUP($AH13,Target_monthwise!$D$24:$O$40,DTR!AB$4,FALSE)),0)</f>
        <v>0</v>
      </c>
      <c r="AC13" s="147">
        <f>IFERROR((HLOOKUP($AH13,Target_monthwise!$D$24:$O$40,DTR!AC$4,FALSE)),0)</f>
        <v>0</v>
      </c>
      <c r="AD13" s="147">
        <f>IFERROR((HLOOKUP($AH13,Target_monthwise!$D$24:$O$40,DTR!AD$4,FALSE)),0)</f>
        <v>0</v>
      </c>
      <c r="AE13" s="147">
        <f>IFERROR((HLOOKUP($AH13,Target_monthwise!$D$24:$O$40,DTR!AE$4,FALSE)),0)</f>
        <v>0</v>
      </c>
      <c r="AF13" s="147">
        <f>IFERROR((HLOOKUP($AH13,Target_monthwise!$D$24:$O$40,DTR!AF$4,FALSE)),0)</f>
        <v>0</v>
      </c>
      <c r="AG13" s="172">
        <f>IFERROR((HLOOKUP($AH13,Target_monthwise!$D$24:$O$40,DTR!AG$4,FALSE)),0)</f>
        <v>0</v>
      </c>
      <c r="AH13" s="253">
        <f t="shared" si="0"/>
        <v>202204</v>
      </c>
    </row>
    <row r="14" spans="3:34" ht="15.75" hidden="1">
      <c r="C14" s="237">
        <v>44657</v>
      </c>
      <c r="D14" s="238">
        <f>IFERROR((HLOOKUP($AH14,Target_monthwise!$D$4:$O$20,DTR!D$4,FALSE))*1000,0)</f>
        <v>0</v>
      </c>
      <c r="E14" s="238">
        <f>IFERROR((HLOOKUP($AH14,Target_monthwise!$D$4:$O$20,DTR!E$4,FALSE))*1000,0)</f>
        <v>0</v>
      </c>
      <c r="F14" s="238">
        <f>IFERROR((HLOOKUP($AH14,Target_monthwise!$D$4:$O$20,DTR!F$4,FALSE))*1000,0)</f>
        <v>0</v>
      </c>
      <c r="G14" s="238">
        <f>IFERROR((HLOOKUP($AH14,Target_monthwise!$D$4:$O$20,DTR!G$4,FALSE))*1000,0)</f>
        <v>0</v>
      </c>
      <c r="H14" s="238">
        <f>IFERROR((HLOOKUP($AH14,Target_monthwise!$D$4:$O$20,DTR!H$4,FALSE))*1000,0)</f>
        <v>0</v>
      </c>
      <c r="I14" s="238">
        <f>IFERROR((HLOOKUP($AH14,Target_monthwise!$D$4:$O$20,DTR!I$4,FALSE))*1000,0)</f>
        <v>0</v>
      </c>
      <c r="J14" s="238">
        <f>IFERROR((HLOOKUP($AH14,Target_monthwise!$D$4:$O$20,DTR!J$4,FALSE))*1000,0)</f>
        <v>0</v>
      </c>
      <c r="K14" s="238">
        <f>IFERROR((HLOOKUP($AH14,Target_monthwise!$D$4:$O$20,DTR!K$4,FALSE))*1000,0)</f>
        <v>0</v>
      </c>
      <c r="L14" s="238">
        <f>IFERROR((HLOOKUP($AH14,Target_monthwise!$D$4:$O$20,DTR!L$4,FALSE))*1000,0)</f>
        <v>0</v>
      </c>
      <c r="M14" s="238">
        <f>IFERROR((HLOOKUP($AH14,Target_monthwise!$D$4:$O$20,DTR!M$4,FALSE))*1000,0)</f>
        <v>0</v>
      </c>
      <c r="N14" s="238">
        <f>IFERROR((HLOOKUP($AH14,Target_monthwise!$D$4:$O$20,DTR!N$4,FALSE))*1000,0)</f>
        <v>0</v>
      </c>
      <c r="O14" s="238">
        <f>IFERROR((HLOOKUP($AH14,Target_monthwise!$D$4:$O$20,DTR!O$4,FALSE))*1000,0)</f>
        <v>0</v>
      </c>
      <c r="P14" s="238">
        <f>IFERROR((HLOOKUP($AH14,Target_monthwise!$D$4:$O$20,DTR!P$4,FALSE))*1000,0)</f>
        <v>0</v>
      </c>
      <c r="Q14" s="141">
        <f>IFERROR((HLOOKUP($AH14,Target_monthwise!$D$4:$O$20,DTR!Q$4,FALSE))*1000,0)</f>
        <v>0</v>
      </c>
      <c r="R14" s="167">
        <f>IFERROR((HLOOKUP($AH14,Target_monthwise!$D$4:$O$20,DTR!R$4,FALSE))*1000,0)</f>
        <v>0</v>
      </c>
      <c r="S14" s="239">
        <f>IFERROR((HLOOKUP($AH14,Target_monthwise!$D$24:$O$40,DTR!S$4,FALSE)),0)</f>
        <v>0</v>
      </c>
      <c r="T14" s="239">
        <f>IFERROR((HLOOKUP($AH14,Target_monthwise!$D$24:$O$40,DTR!T$4,FALSE)),0)</f>
        <v>0</v>
      </c>
      <c r="U14" s="239">
        <f>IFERROR((HLOOKUP($AH14,Target_monthwise!$D$24:$O$40,DTR!U$4,FALSE)),0)</f>
        <v>0</v>
      </c>
      <c r="V14" s="239">
        <f>IFERROR((HLOOKUP($AH14,Target_monthwise!$D$24:$O$40,DTR!V$4,FALSE)),0)</f>
        <v>0</v>
      </c>
      <c r="W14" s="239">
        <f>IFERROR((HLOOKUP($AH14,Target_monthwise!$D$24:$O$40,DTR!W$4,FALSE)),0)</f>
        <v>0</v>
      </c>
      <c r="X14" s="239">
        <f>IFERROR((HLOOKUP($AH14,Target_monthwise!$D$24:$O$40,DTR!X$4,FALSE)),0)</f>
        <v>0</v>
      </c>
      <c r="Y14" s="239">
        <f>IFERROR((HLOOKUP($AH14,Target_monthwise!$D$24:$O$40,DTR!Y$4,FALSE)),0)</f>
        <v>0</v>
      </c>
      <c r="Z14" s="147">
        <f>IFERROR((HLOOKUP($AH14,Target_monthwise!$D$24:$O$40,DTR!Z$4,FALSE)),0)</f>
        <v>0</v>
      </c>
      <c r="AA14" s="147">
        <f>IFERROR((HLOOKUP($AH14,Target_monthwise!$D$24:$O$40,DTR!AA$4,FALSE)),0)</f>
        <v>0</v>
      </c>
      <c r="AB14" s="147">
        <f>IFERROR((HLOOKUP($AH14,Target_monthwise!$D$24:$O$40,DTR!AB$4,FALSE)),0)</f>
        <v>0</v>
      </c>
      <c r="AC14" s="239">
        <f>IFERROR((HLOOKUP($AH14,Target_monthwise!$D$24:$O$40,DTR!AC$4,FALSE)),0)</f>
        <v>0</v>
      </c>
      <c r="AD14" s="239">
        <f>IFERROR((HLOOKUP($AH14,Target_monthwise!$D$24:$O$40,DTR!AD$4,FALSE)),0)</f>
        <v>0</v>
      </c>
      <c r="AE14" s="239">
        <f>IFERROR((HLOOKUP($AH14,Target_monthwise!$D$24:$O$40,DTR!AE$4,FALSE)),0)</f>
        <v>0</v>
      </c>
      <c r="AF14" s="239">
        <f>IFERROR((HLOOKUP($AH14,Target_monthwise!$D$24:$O$40,DTR!AF$4,FALSE)),0)</f>
        <v>0</v>
      </c>
      <c r="AG14" s="172">
        <f>IFERROR((HLOOKUP($AH14,Target_monthwise!$D$24:$O$40,DTR!AG$4,FALSE)),0)</f>
        <v>0</v>
      </c>
      <c r="AH14" s="253">
        <f t="shared" si="0"/>
        <v>202204</v>
      </c>
    </row>
    <row r="15" spans="3:34" ht="15.75" hidden="1">
      <c r="C15" s="235">
        <v>44658</v>
      </c>
      <c r="D15" s="141">
        <f>IFERROR((HLOOKUP($AH15,Target_monthwise!$D$4:$O$20,DTR!D$4,FALSE))*1000,0)</f>
        <v>0</v>
      </c>
      <c r="E15" s="141">
        <f>IFERROR((HLOOKUP($AH15,Target_monthwise!$D$4:$O$20,DTR!E$4,FALSE))*1000,0)</f>
        <v>0</v>
      </c>
      <c r="F15" s="141">
        <f>IFERROR((HLOOKUP($AH15,Target_monthwise!$D$4:$O$20,DTR!F$4,FALSE))*1000,0)</f>
        <v>0</v>
      </c>
      <c r="G15" s="141">
        <f>IFERROR((HLOOKUP($AH15,Target_monthwise!$D$4:$O$20,DTR!G$4,FALSE))*1000,0)</f>
        <v>0</v>
      </c>
      <c r="H15" s="141">
        <f>IFERROR((HLOOKUP($AH15,Target_monthwise!$D$4:$O$20,DTR!H$4,FALSE))*1000,0)</f>
        <v>0</v>
      </c>
      <c r="I15" s="141">
        <f>IFERROR((HLOOKUP($AH15,Target_monthwise!$D$4:$O$20,DTR!I$4,FALSE))*1000,0)</f>
        <v>0</v>
      </c>
      <c r="J15" s="141">
        <f>IFERROR((HLOOKUP($AH15,Target_monthwise!$D$4:$O$20,DTR!J$4,FALSE))*1000,0)</f>
        <v>0</v>
      </c>
      <c r="K15" s="141">
        <f>IFERROR((HLOOKUP($AH15,Target_monthwise!$D$4:$O$20,DTR!K$4,FALSE))*1000,0)</f>
        <v>0</v>
      </c>
      <c r="L15" s="141">
        <f>IFERROR((HLOOKUP($AH15,Target_monthwise!$D$4:$O$20,DTR!L$4,FALSE))*1000,0)</f>
        <v>0</v>
      </c>
      <c r="M15" s="141">
        <f>IFERROR((HLOOKUP($AH15,Target_monthwise!$D$4:$O$20,DTR!M$4,FALSE))*1000,0)</f>
        <v>0</v>
      </c>
      <c r="N15" s="141">
        <f>IFERROR((HLOOKUP($AH15,Target_monthwise!$D$4:$O$20,DTR!N$4,FALSE))*1000,0)</f>
        <v>0</v>
      </c>
      <c r="O15" s="141">
        <f>IFERROR((HLOOKUP($AH15,Target_monthwise!$D$4:$O$20,DTR!O$4,FALSE))*1000,0)</f>
        <v>0</v>
      </c>
      <c r="P15" s="141">
        <f>IFERROR((HLOOKUP($AH15,Target_monthwise!$D$4:$O$20,DTR!P$4,FALSE))*1000,0)</f>
        <v>0</v>
      </c>
      <c r="Q15" s="141">
        <f>IFERROR((HLOOKUP($AH15,Target_monthwise!$D$4:$O$20,DTR!Q$4,FALSE))*1000,0)</f>
        <v>0</v>
      </c>
      <c r="R15" s="167">
        <f>IFERROR((HLOOKUP($AH15,Target_monthwise!$D$4:$O$20,DTR!R$4,FALSE))*1000,0)</f>
        <v>0</v>
      </c>
      <c r="S15" s="147">
        <f>IFERROR((HLOOKUP($AH15,Target_monthwise!$D$24:$O$40,DTR!S$4,FALSE)),0)</f>
        <v>0</v>
      </c>
      <c r="T15" s="147">
        <f>IFERROR((HLOOKUP($AH15,Target_monthwise!$D$24:$O$40,DTR!T$4,FALSE)),0)</f>
        <v>0</v>
      </c>
      <c r="U15" s="147">
        <f>IFERROR((HLOOKUP($AH15,Target_monthwise!$D$24:$O$40,DTR!U$4,FALSE)),0)</f>
        <v>0</v>
      </c>
      <c r="V15" s="147">
        <f>IFERROR((HLOOKUP($AH15,Target_monthwise!$D$24:$O$40,DTR!V$4,FALSE)),0)</f>
        <v>0</v>
      </c>
      <c r="W15" s="147">
        <f>IFERROR((HLOOKUP($AH15,Target_monthwise!$D$24:$O$40,DTR!W$4,FALSE)),0)</f>
        <v>0</v>
      </c>
      <c r="X15" s="147">
        <f>IFERROR((HLOOKUP($AH15,Target_monthwise!$D$24:$O$40,DTR!X$4,FALSE)),0)</f>
        <v>0</v>
      </c>
      <c r="Y15" s="147">
        <f>IFERROR((HLOOKUP($AH15,Target_monthwise!$D$24:$O$40,DTR!Y$4,FALSE)),0)</f>
        <v>0</v>
      </c>
      <c r="Z15" s="147">
        <f>IFERROR((HLOOKUP($AH15,Target_monthwise!$D$24:$O$40,DTR!Z$4,FALSE)),0)</f>
        <v>0</v>
      </c>
      <c r="AA15" s="147">
        <f>IFERROR((HLOOKUP($AH15,Target_monthwise!$D$24:$O$40,DTR!AA$4,FALSE)),0)</f>
        <v>0</v>
      </c>
      <c r="AB15" s="147">
        <f>IFERROR((HLOOKUP($AH15,Target_monthwise!$D$24:$O$40,DTR!AB$4,FALSE)),0)</f>
        <v>0</v>
      </c>
      <c r="AC15" s="147">
        <f>IFERROR((HLOOKUP($AH15,Target_monthwise!$D$24:$O$40,DTR!AC$4,FALSE)),0)</f>
        <v>0</v>
      </c>
      <c r="AD15" s="147">
        <f>IFERROR((HLOOKUP($AH15,Target_monthwise!$D$24:$O$40,DTR!AD$4,FALSE)),0)</f>
        <v>0</v>
      </c>
      <c r="AE15" s="147">
        <f>IFERROR((HLOOKUP($AH15,Target_monthwise!$D$24:$O$40,DTR!AE$4,FALSE)),0)</f>
        <v>0</v>
      </c>
      <c r="AF15" s="147">
        <f>IFERROR((HLOOKUP($AH15,Target_monthwise!$D$24:$O$40,DTR!AF$4,FALSE)),0)</f>
        <v>0</v>
      </c>
      <c r="AG15" s="172">
        <f>IFERROR((HLOOKUP($AH15,Target_monthwise!$D$24:$O$40,DTR!AG$4,FALSE)),0)</f>
        <v>0</v>
      </c>
      <c r="AH15" s="253">
        <f t="shared" si="0"/>
        <v>202204</v>
      </c>
    </row>
    <row r="16" spans="3:34" ht="15.75" hidden="1">
      <c r="C16" s="237">
        <v>44659</v>
      </c>
      <c r="D16" s="238">
        <f>IFERROR((HLOOKUP($AH16,Target_monthwise!$D$4:$O$20,DTR!D$4,FALSE))*1000,0)</f>
        <v>0</v>
      </c>
      <c r="E16" s="238">
        <f>IFERROR((HLOOKUP($AH16,Target_monthwise!$D$4:$O$20,DTR!E$4,FALSE))*1000,0)</f>
        <v>0</v>
      </c>
      <c r="F16" s="238">
        <f>IFERROR((HLOOKUP($AH16,Target_monthwise!$D$4:$O$20,DTR!F$4,FALSE))*1000,0)</f>
        <v>0</v>
      </c>
      <c r="G16" s="238">
        <f>IFERROR((HLOOKUP($AH16,Target_monthwise!$D$4:$O$20,DTR!G$4,FALSE))*1000,0)</f>
        <v>0</v>
      </c>
      <c r="H16" s="238">
        <f>IFERROR((HLOOKUP($AH16,Target_monthwise!$D$4:$O$20,DTR!H$4,FALSE))*1000,0)</f>
        <v>0</v>
      </c>
      <c r="I16" s="238">
        <f>IFERROR((HLOOKUP($AH16,Target_monthwise!$D$4:$O$20,DTR!I$4,FALSE))*1000,0)</f>
        <v>0</v>
      </c>
      <c r="J16" s="238">
        <f>IFERROR((HLOOKUP($AH16,Target_monthwise!$D$4:$O$20,DTR!J$4,FALSE))*1000,0)</f>
        <v>0</v>
      </c>
      <c r="K16" s="238">
        <f>IFERROR((HLOOKUP($AH16,Target_monthwise!$D$4:$O$20,DTR!K$4,FALSE))*1000,0)</f>
        <v>0</v>
      </c>
      <c r="L16" s="238">
        <f>IFERROR((HLOOKUP($AH16,Target_monthwise!$D$4:$O$20,DTR!L$4,FALSE))*1000,0)</f>
        <v>0</v>
      </c>
      <c r="M16" s="238">
        <f>IFERROR((HLOOKUP($AH16,Target_monthwise!$D$4:$O$20,DTR!M$4,FALSE))*1000,0)</f>
        <v>0</v>
      </c>
      <c r="N16" s="238">
        <f>IFERROR((HLOOKUP($AH16,Target_monthwise!$D$4:$O$20,DTR!N$4,FALSE))*1000,0)</f>
        <v>0</v>
      </c>
      <c r="O16" s="238">
        <f>IFERROR((HLOOKUP($AH16,Target_monthwise!$D$4:$O$20,DTR!O$4,FALSE))*1000,0)</f>
        <v>0</v>
      </c>
      <c r="P16" s="238">
        <f>IFERROR((HLOOKUP($AH16,Target_monthwise!$D$4:$O$20,DTR!P$4,FALSE))*1000,0)</f>
        <v>0</v>
      </c>
      <c r="Q16" s="141">
        <f>IFERROR((HLOOKUP($AH16,Target_monthwise!$D$4:$O$20,DTR!Q$4,FALSE))*1000,0)</f>
        <v>0</v>
      </c>
      <c r="R16" s="167">
        <f>IFERROR((HLOOKUP($AH16,Target_monthwise!$D$4:$O$20,DTR!R$4,FALSE))*1000,0)</f>
        <v>0</v>
      </c>
      <c r="S16" s="239">
        <f>IFERROR((HLOOKUP($AH16,Target_monthwise!$D$24:$O$40,DTR!S$4,FALSE)),0)</f>
        <v>0</v>
      </c>
      <c r="T16" s="239">
        <f>IFERROR((HLOOKUP($AH16,Target_monthwise!$D$24:$O$40,DTR!T$4,FALSE)),0)</f>
        <v>0</v>
      </c>
      <c r="U16" s="239">
        <f>IFERROR((HLOOKUP($AH16,Target_monthwise!$D$24:$O$40,DTR!U$4,FALSE)),0)</f>
        <v>0</v>
      </c>
      <c r="V16" s="239">
        <f>IFERROR((HLOOKUP($AH16,Target_monthwise!$D$24:$O$40,DTR!V$4,FALSE)),0)</f>
        <v>0</v>
      </c>
      <c r="W16" s="239">
        <f>IFERROR((HLOOKUP($AH16,Target_monthwise!$D$24:$O$40,DTR!W$4,FALSE)),0)</f>
        <v>0</v>
      </c>
      <c r="X16" s="239">
        <f>IFERROR((HLOOKUP($AH16,Target_monthwise!$D$24:$O$40,DTR!X$4,FALSE)),0)</f>
        <v>0</v>
      </c>
      <c r="Y16" s="239">
        <f>IFERROR((HLOOKUP($AH16,Target_monthwise!$D$24:$O$40,DTR!Y$4,FALSE)),0)</f>
        <v>0</v>
      </c>
      <c r="Z16" s="147">
        <f>IFERROR((HLOOKUP($AH16,Target_monthwise!$D$24:$O$40,DTR!Z$4,FALSE)),0)</f>
        <v>0</v>
      </c>
      <c r="AA16" s="147">
        <f>IFERROR((HLOOKUP($AH16,Target_monthwise!$D$24:$O$40,DTR!AA$4,FALSE)),0)</f>
        <v>0</v>
      </c>
      <c r="AB16" s="147">
        <f>IFERROR((HLOOKUP($AH16,Target_monthwise!$D$24:$O$40,DTR!AB$4,FALSE)),0)</f>
        <v>0</v>
      </c>
      <c r="AC16" s="239">
        <f>IFERROR((HLOOKUP($AH16,Target_monthwise!$D$24:$O$40,DTR!AC$4,FALSE)),0)</f>
        <v>0</v>
      </c>
      <c r="AD16" s="239">
        <f>IFERROR((HLOOKUP($AH16,Target_monthwise!$D$24:$O$40,DTR!AD$4,FALSE)),0)</f>
        <v>0</v>
      </c>
      <c r="AE16" s="239">
        <f>IFERROR((HLOOKUP($AH16,Target_monthwise!$D$24:$O$40,DTR!AE$4,FALSE)),0)</f>
        <v>0</v>
      </c>
      <c r="AF16" s="239">
        <f>IFERROR((HLOOKUP($AH16,Target_monthwise!$D$24:$O$40,DTR!AF$4,FALSE)),0)</f>
        <v>0</v>
      </c>
      <c r="AG16" s="172">
        <f>IFERROR((HLOOKUP($AH16,Target_monthwise!$D$24:$O$40,DTR!AG$4,FALSE)),0)</f>
        <v>0</v>
      </c>
      <c r="AH16" s="253">
        <f t="shared" si="0"/>
        <v>202204</v>
      </c>
    </row>
    <row r="17" spans="3:34" ht="15.75" hidden="1">
      <c r="C17" s="235">
        <v>44660</v>
      </c>
      <c r="D17" s="141">
        <f>IFERROR((HLOOKUP($AH17,Target_monthwise!$D$4:$O$20,DTR!D$4,FALSE))*1000,0)</f>
        <v>0</v>
      </c>
      <c r="E17" s="141">
        <f>IFERROR((HLOOKUP($AH17,Target_monthwise!$D$4:$O$20,DTR!E$4,FALSE))*1000,0)</f>
        <v>0</v>
      </c>
      <c r="F17" s="141">
        <f>IFERROR((HLOOKUP($AH17,Target_monthwise!$D$4:$O$20,DTR!F$4,FALSE))*1000,0)</f>
        <v>0</v>
      </c>
      <c r="G17" s="141">
        <f>IFERROR((HLOOKUP($AH17,Target_monthwise!$D$4:$O$20,DTR!G$4,FALSE))*1000,0)</f>
        <v>0</v>
      </c>
      <c r="H17" s="141">
        <f>IFERROR((HLOOKUP($AH17,Target_monthwise!$D$4:$O$20,DTR!H$4,FALSE))*1000,0)</f>
        <v>0</v>
      </c>
      <c r="I17" s="141">
        <f>IFERROR((HLOOKUP($AH17,Target_monthwise!$D$4:$O$20,DTR!I$4,FALSE))*1000,0)</f>
        <v>0</v>
      </c>
      <c r="J17" s="141">
        <f>IFERROR((HLOOKUP($AH17,Target_monthwise!$D$4:$O$20,DTR!J$4,FALSE))*1000,0)</f>
        <v>0</v>
      </c>
      <c r="K17" s="141">
        <f>IFERROR((HLOOKUP($AH17,Target_monthwise!$D$4:$O$20,DTR!K$4,FALSE))*1000,0)</f>
        <v>0</v>
      </c>
      <c r="L17" s="141">
        <f>IFERROR((HLOOKUP($AH17,Target_monthwise!$D$4:$O$20,DTR!L$4,FALSE))*1000,0)</f>
        <v>0</v>
      </c>
      <c r="M17" s="141">
        <f>IFERROR((HLOOKUP($AH17,Target_monthwise!$D$4:$O$20,DTR!M$4,FALSE))*1000,0)</f>
        <v>0</v>
      </c>
      <c r="N17" s="141">
        <f>IFERROR((HLOOKUP($AH17,Target_monthwise!$D$4:$O$20,DTR!N$4,FALSE))*1000,0)</f>
        <v>0</v>
      </c>
      <c r="O17" s="141">
        <f>IFERROR((HLOOKUP($AH17,Target_monthwise!$D$4:$O$20,DTR!O$4,FALSE))*1000,0)</f>
        <v>0</v>
      </c>
      <c r="P17" s="141">
        <f>IFERROR((HLOOKUP($AH17,Target_monthwise!$D$4:$O$20,DTR!P$4,FALSE))*1000,0)</f>
        <v>0</v>
      </c>
      <c r="Q17" s="141">
        <f>IFERROR((HLOOKUP($AH17,Target_monthwise!$D$4:$O$20,DTR!Q$4,FALSE))*1000,0)</f>
        <v>0</v>
      </c>
      <c r="R17" s="167">
        <f>IFERROR((HLOOKUP($AH17,Target_monthwise!$D$4:$O$20,DTR!R$4,FALSE))*1000,0)</f>
        <v>0</v>
      </c>
      <c r="S17" s="147">
        <f>IFERROR((HLOOKUP($AH17,Target_monthwise!$D$24:$O$40,DTR!S$4,FALSE)),0)</f>
        <v>0</v>
      </c>
      <c r="T17" s="147">
        <f>IFERROR((HLOOKUP($AH17,Target_monthwise!$D$24:$O$40,DTR!T$4,FALSE)),0)</f>
        <v>0</v>
      </c>
      <c r="U17" s="147">
        <f>IFERROR((HLOOKUP($AH17,Target_monthwise!$D$24:$O$40,DTR!U$4,FALSE)),0)</f>
        <v>0</v>
      </c>
      <c r="V17" s="147">
        <f>IFERROR((HLOOKUP($AH17,Target_monthwise!$D$24:$O$40,DTR!V$4,FALSE)),0)</f>
        <v>0</v>
      </c>
      <c r="W17" s="147">
        <f>IFERROR((HLOOKUP($AH17,Target_monthwise!$D$24:$O$40,DTR!W$4,FALSE)),0)</f>
        <v>0</v>
      </c>
      <c r="X17" s="147">
        <f>IFERROR((HLOOKUP($AH17,Target_monthwise!$D$24:$O$40,DTR!X$4,FALSE)),0)</f>
        <v>0</v>
      </c>
      <c r="Y17" s="147">
        <f>IFERROR((HLOOKUP($AH17,Target_monthwise!$D$24:$O$40,DTR!Y$4,FALSE)),0)</f>
        <v>0</v>
      </c>
      <c r="Z17" s="147">
        <f>IFERROR((HLOOKUP($AH17,Target_monthwise!$D$24:$O$40,DTR!Z$4,FALSE)),0)</f>
        <v>0</v>
      </c>
      <c r="AA17" s="147">
        <f>IFERROR((HLOOKUP($AH17,Target_monthwise!$D$24:$O$40,DTR!AA$4,FALSE)),0)</f>
        <v>0</v>
      </c>
      <c r="AB17" s="147">
        <f>IFERROR((HLOOKUP($AH17,Target_monthwise!$D$24:$O$40,DTR!AB$4,FALSE)),0)</f>
        <v>0</v>
      </c>
      <c r="AC17" s="147">
        <f>IFERROR((HLOOKUP($AH17,Target_monthwise!$D$24:$O$40,DTR!AC$4,FALSE)),0)</f>
        <v>0</v>
      </c>
      <c r="AD17" s="147">
        <f>IFERROR((HLOOKUP($AH17,Target_monthwise!$D$24:$O$40,DTR!AD$4,FALSE)),0)</f>
        <v>0</v>
      </c>
      <c r="AE17" s="147">
        <f>IFERROR((HLOOKUP($AH17,Target_monthwise!$D$24:$O$40,DTR!AE$4,FALSE)),0)</f>
        <v>0</v>
      </c>
      <c r="AF17" s="147">
        <f>IFERROR((HLOOKUP($AH17,Target_monthwise!$D$24:$O$40,DTR!AF$4,FALSE)),0)</f>
        <v>0</v>
      </c>
      <c r="AG17" s="172">
        <f>IFERROR((HLOOKUP($AH17,Target_monthwise!$D$24:$O$40,DTR!AG$4,FALSE)),0)</f>
        <v>0</v>
      </c>
      <c r="AH17" s="253">
        <f t="shared" si="0"/>
        <v>202204</v>
      </c>
    </row>
    <row r="18" spans="3:34" ht="15.75" hidden="1">
      <c r="C18" s="237">
        <v>44661</v>
      </c>
      <c r="D18" s="238">
        <f>IFERROR((HLOOKUP($AH18,Target_monthwise!$D$4:$O$20,DTR!D$4,FALSE))*1000,0)</f>
        <v>0</v>
      </c>
      <c r="E18" s="238">
        <f>IFERROR((HLOOKUP($AH18,Target_monthwise!$D$4:$O$20,DTR!E$4,FALSE))*1000,0)</f>
        <v>0</v>
      </c>
      <c r="F18" s="238">
        <f>IFERROR((HLOOKUP($AH18,Target_monthwise!$D$4:$O$20,DTR!F$4,FALSE))*1000,0)</f>
        <v>0</v>
      </c>
      <c r="G18" s="238">
        <f>IFERROR((HLOOKUP($AH18,Target_monthwise!$D$4:$O$20,DTR!G$4,FALSE))*1000,0)</f>
        <v>0</v>
      </c>
      <c r="H18" s="238">
        <f>IFERROR((HLOOKUP($AH18,Target_monthwise!$D$4:$O$20,DTR!H$4,FALSE))*1000,0)</f>
        <v>0</v>
      </c>
      <c r="I18" s="238">
        <f>IFERROR((HLOOKUP($AH18,Target_monthwise!$D$4:$O$20,DTR!I$4,FALSE))*1000,0)</f>
        <v>0</v>
      </c>
      <c r="J18" s="238">
        <f>IFERROR((HLOOKUP($AH18,Target_monthwise!$D$4:$O$20,DTR!J$4,FALSE))*1000,0)</f>
        <v>0</v>
      </c>
      <c r="K18" s="238">
        <f>IFERROR((HLOOKUP($AH18,Target_monthwise!$D$4:$O$20,DTR!K$4,FALSE))*1000,0)</f>
        <v>0</v>
      </c>
      <c r="L18" s="238">
        <f>IFERROR((HLOOKUP($AH18,Target_monthwise!$D$4:$O$20,DTR!L$4,FALSE))*1000,0)</f>
        <v>0</v>
      </c>
      <c r="M18" s="238">
        <f>IFERROR((HLOOKUP($AH18,Target_monthwise!$D$4:$O$20,DTR!M$4,FALSE))*1000,0)</f>
        <v>0</v>
      </c>
      <c r="N18" s="238">
        <f>IFERROR((HLOOKUP($AH18,Target_monthwise!$D$4:$O$20,DTR!N$4,FALSE))*1000,0)</f>
        <v>0</v>
      </c>
      <c r="O18" s="238">
        <f>IFERROR((HLOOKUP($AH18,Target_monthwise!$D$4:$O$20,DTR!O$4,FALSE))*1000,0)</f>
        <v>0</v>
      </c>
      <c r="P18" s="238">
        <f>IFERROR((HLOOKUP($AH18,Target_monthwise!$D$4:$O$20,DTR!P$4,FALSE))*1000,0)</f>
        <v>0</v>
      </c>
      <c r="Q18" s="141">
        <f>IFERROR((HLOOKUP($AH18,Target_monthwise!$D$4:$O$20,DTR!Q$4,FALSE))*1000,0)</f>
        <v>0</v>
      </c>
      <c r="R18" s="167">
        <f>IFERROR((HLOOKUP($AH18,Target_monthwise!$D$4:$O$20,DTR!R$4,FALSE))*1000,0)</f>
        <v>0</v>
      </c>
      <c r="S18" s="239">
        <f>IFERROR((HLOOKUP($AH18,Target_monthwise!$D$24:$O$40,DTR!S$4,FALSE)),0)</f>
        <v>0</v>
      </c>
      <c r="T18" s="239">
        <f>IFERROR((HLOOKUP($AH18,Target_monthwise!$D$24:$O$40,DTR!T$4,FALSE)),0)</f>
        <v>0</v>
      </c>
      <c r="U18" s="239">
        <f>IFERROR((HLOOKUP($AH18,Target_monthwise!$D$24:$O$40,DTR!U$4,FALSE)),0)</f>
        <v>0</v>
      </c>
      <c r="V18" s="239">
        <f>IFERROR((HLOOKUP($AH18,Target_monthwise!$D$24:$O$40,DTR!V$4,FALSE)),0)</f>
        <v>0</v>
      </c>
      <c r="W18" s="239">
        <f>IFERROR((HLOOKUP($AH18,Target_monthwise!$D$24:$O$40,DTR!W$4,FALSE)),0)</f>
        <v>0</v>
      </c>
      <c r="X18" s="239">
        <f>IFERROR((HLOOKUP($AH18,Target_monthwise!$D$24:$O$40,DTR!X$4,FALSE)),0)</f>
        <v>0</v>
      </c>
      <c r="Y18" s="239">
        <f>IFERROR((HLOOKUP($AH18,Target_monthwise!$D$24:$O$40,DTR!Y$4,FALSE)),0)</f>
        <v>0</v>
      </c>
      <c r="Z18" s="147">
        <f>IFERROR((HLOOKUP($AH18,Target_monthwise!$D$24:$O$40,DTR!Z$4,FALSE)),0)</f>
        <v>0</v>
      </c>
      <c r="AA18" s="147">
        <f>IFERROR((HLOOKUP($AH18,Target_monthwise!$D$24:$O$40,DTR!AA$4,FALSE)),0)</f>
        <v>0</v>
      </c>
      <c r="AB18" s="147">
        <f>IFERROR((HLOOKUP($AH18,Target_monthwise!$D$24:$O$40,DTR!AB$4,FALSE)),0)</f>
        <v>0</v>
      </c>
      <c r="AC18" s="239">
        <f>IFERROR((HLOOKUP($AH18,Target_monthwise!$D$24:$O$40,DTR!AC$4,FALSE)),0)</f>
        <v>0</v>
      </c>
      <c r="AD18" s="239">
        <f>IFERROR((HLOOKUP($AH18,Target_monthwise!$D$24:$O$40,DTR!AD$4,FALSE)),0)</f>
        <v>0</v>
      </c>
      <c r="AE18" s="239">
        <f>IFERROR((HLOOKUP($AH18,Target_monthwise!$D$24:$O$40,DTR!AE$4,FALSE)),0)</f>
        <v>0</v>
      </c>
      <c r="AF18" s="239">
        <f>IFERROR((HLOOKUP($AH18,Target_monthwise!$D$24:$O$40,DTR!AF$4,FALSE)),0)</f>
        <v>0</v>
      </c>
      <c r="AG18" s="172">
        <f>IFERROR((HLOOKUP($AH18,Target_monthwise!$D$24:$O$40,DTR!AG$4,FALSE)),0)</f>
        <v>0</v>
      </c>
      <c r="AH18" s="253">
        <f t="shared" si="0"/>
        <v>202204</v>
      </c>
    </row>
    <row r="19" spans="3:34" ht="15.75" hidden="1">
      <c r="C19" s="235">
        <v>44662</v>
      </c>
      <c r="D19" s="141">
        <f>IFERROR((HLOOKUP($AH19,Target_monthwise!$D$4:$O$20,DTR!D$4,FALSE))*1000,0)</f>
        <v>0</v>
      </c>
      <c r="E19" s="141">
        <f>IFERROR((HLOOKUP($AH19,Target_monthwise!$D$4:$O$20,DTR!E$4,FALSE))*1000,0)</f>
        <v>0</v>
      </c>
      <c r="F19" s="141">
        <f>IFERROR((HLOOKUP($AH19,Target_monthwise!$D$4:$O$20,DTR!F$4,FALSE))*1000,0)</f>
        <v>0</v>
      </c>
      <c r="G19" s="141">
        <f>IFERROR((HLOOKUP($AH19,Target_monthwise!$D$4:$O$20,DTR!G$4,FALSE))*1000,0)</f>
        <v>0</v>
      </c>
      <c r="H19" s="141">
        <f>IFERROR((HLOOKUP($AH19,Target_monthwise!$D$4:$O$20,DTR!H$4,FALSE))*1000,0)</f>
        <v>0</v>
      </c>
      <c r="I19" s="141">
        <f>IFERROR((HLOOKUP($AH19,Target_monthwise!$D$4:$O$20,DTR!I$4,FALSE))*1000,0)</f>
        <v>0</v>
      </c>
      <c r="J19" s="141">
        <f>IFERROR((HLOOKUP($AH19,Target_monthwise!$D$4:$O$20,DTR!J$4,FALSE))*1000,0)</f>
        <v>0</v>
      </c>
      <c r="K19" s="141">
        <f>IFERROR((HLOOKUP($AH19,Target_monthwise!$D$4:$O$20,DTR!K$4,FALSE))*1000,0)</f>
        <v>0</v>
      </c>
      <c r="L19" s="141">
        <f>IFERROR((HLOOKUP($AH19,Target_monthwise!$D$4:$O$20,DTR!L$4,FALSE))*1000,0)</f>
        <v>0</v>
      </c>
      <c r="M19" s="141">
        <f>IFERROR((HLOOKUP($AH19,Target_monthwise!$D$4:$O$20,DTR!M$4,FALSE))*1000,0)</f>
        <v>0</v>
      </c>
      <c r="N19" s="141">
        <f>IFERROR((HLOOKUP($AH19,Target_monthwise!$D$4:$O$20,DTR!N$4,FALSE))*1000,0)</f>
        <v>0</v>
      </c>
      <c r="O19" s="141">
        <f>IFERROR((HLOOKUP($AH19,Target_monthwise!$D$4:$O$20,DTR!O$4,FALSE))*1000,0)</f>
        <v>0</v>
      </c>
      <c r="P19" s="141">
        <f>IFERROR((HLOOKUP($AH19,Target_monthwise!$D$4:$O$20,DTR!P$4,FALSE))*1000,0)</f>
        <v>0</v>
      </c>
      <c r="Q19" s="141">
        <f>IFERROR((HLOOKUP($AH19,Target_monthwise!$D$4:$O$20,DTR!Q$4,FALSE))*1000,0)</f>
        <v>0</v>
      </c>
      <c r="R19" s="167">
        <f>IFERROR((HLOOKUP($AH19,Target_monthwise!$D$4:$O$20,DTR!R$4,FALSE))*1000,0)</f>
        <v>0</v>
      </c>
      <c r="S19" s="147">
        <f>IFERROR((HLOOKUP($AH19,Target_monthwise!$D$24:$O$40,DTR!S$4,FALSE)),0)</f>
        <v>0</v>
      </c>
      <c r="T19" s="147">
        <f>IFERROR((HLOOKUP($AH19,Target_monthwise!$D$24:$O$40,DTR!T$4,FALSE)),0)</f>
        <v>0</v>
      </c>
      <c r="U19" s="147">
        <f>IFERROR((HLOOKUP($AH19,Target_monthwise!$D$24:$O$40,DTR!U$4,FALSE)),0)</f>
        <v>0</v>
      </c>
      <c r="V19" s="147">
        <f>IFERROR((HLOOKUP($AH19,Target_monthwise!$D$24:$O$40,DTR!V$4,FALSE)),0)</f>
        <v>0</v>
      </c>
      <c r="W19" s="147">
        <f>IFERROR((HLOOKUP($AH19,Target_monthwise!$D$24:$O$40,DTR!W$4,FALSE)),0)</f>
        <v>0</v>
      </c>
      <c r="X19" s="147">
        <f>IFERROR((HLOOKUP($AH19,Target_monthwise!$D$24:$O$40,DTR!X$4,FALSE)),0)</f>
        <v>0</v>
      </c>
      <c r="Y19" s="147">
        <f>IFERROR((HLOOKUP($AH19,Target_monthwise!$D$24:$O$40,DTR!Y$4,FALSE)),0)</f>
        <v>0</v>
      </c>
      <c r="Z19" s="147">
        <f>IFERROR((HLOOKUP($AH19,Target_monthwise!$D$24:$O$40,DTR!Z$4,FALSE)),0)</f>
        <v>0</v>
      </c>
      <c r="AA19" s="147">
        <f>IFERROR((HLOOKUP($AH19,Target_monthwise!$D$24:$O$40,DTR!AA$4,FALSE)),0)</f>
        <v>0</v>
      </c>
      <c r="AB19" s="147">
        <f>IFERROR((HLOOKUP($AH19,Target_monthwise!$D$24:$O$40,DTR!AB$4,FALSE)),0)</f>
        <v>0</v>
      </c>
      <c r="AC19" s="147">
        <f>IFERROR((HLOOKUP($AH19,Target_monthwise!$D$24:$O$40,DTR!AC$4,FALSE)),0)</f>
        <v>0</v>
      </c>
      <c r="AD19" s="147">
        <f>IFERROR((HLOOKUP($AH19,Target_monthwise!$D$24:$O$40,DTR!AD$4,FALSE)),0)</f>
        <v>0</v>
      </c>
      <c r="AE19" s="147">
        <f>IFERROR((HLOOKUP($AH19,Target_monthwise!$D$24:$O$40,DTR!AE$4,FALSE)),0)</f>
        <v>0</v>
      </c>
      <c r="AF19" s="147">
        <f>IFERROR((HLOOKUP($AH19,Target_monthwise!$D$24:$O$40,DTR!AF$4,FALSE)),0)</f>
        <v>0</v>
      </c>
      <c r="AG19" s="172">
        <f>IFERROR((HLOOKUP($AH19,Target_monthwise!$D$24:$O$40,DTR!AG$4,FALSE)),0)</f>
        <v>0</v>
      </c>
      <c r="AH19" s="253">
        <f t="shared" si="0"/>
        <v>202204</v>
      </c>
    </row>
    <row r="20" spans="3:34" ht="15.75" hidden="1">
      <c r="C20" s="237">
        <v>44663</v>
      </c>
      <c r="D20" s="238">
        <f>IFERROR((HLOOKUP($AH20,Target_monthwise!$D$4:$O$20,DTR!D$4,FALSE))*1000,0)</f>
        <v>0</v>
      </c>
      <c r="E20" s="238">
        <f>IFERROR((HLOOKUP($AH20,Target_monthwise!$D$4:$O$20,DTR!E$4,FALSE))*1000,0)</f>
        <v>0</v>
      </c>
      <c r="F20" s="238">
        <f>IFERROR((HLOOKUP($AH20,Target_monthwise!$D$4:$O$20,DTR!F$4,FALSE))*1000,0)</f>
        <v>0</v>
      </c>
      <c r="G20" s="238">
        <f>IFERROR((HLOOKUP($AH20,Target_monthwise!$D$4:$O$20,DTR!G$4,FALSE))*1000,0)</f>
        <v>0</v>
      </c>
      <c r="H20" s="238">
        <f>IFERROR((HLOOKUP($AH20,Target_monthwise!$D$4:$O$20,DTR!H$4,FALSE))*1000,0)</f>
        <v>0</v>
      </c>
      <c r="I20" s="238">
        <f>IFERROR((HLOOKUP($AH20,Target_monthwise!$D$4:$O$20,DTR!I$4,FALSE))*1000,0)</f>
        <v>0</v>
      </c>
      <c r="J20" s="238">
        <f>IFERROR((HLOOKUP($AH20,Target_monthwise!$D$4:$O$20,DTR!J$4,FALSE))*1000,0)</f>
        <v>0</v>
      </c>
      <c r="K20" s="238">
        <f>IFERROR((HLOOKUP($AH20,Target_monthwise!$D$4:$O$20,DTR!K$4,FALSE))*1000,0)</f>
        <v>0</v>
      </c>
      <c r="L20" s="238">
        <f>IFERROR((HLOOKUP($AH20,Target_monthwise!$D$4:$O$20,DTR!L$4,FALSE))*1000,0)</f>
        <v>0</v>
      </c>
      <c r="M20" s="238">
        <f>IFERROR((HLOOKUP($AH20,Target_monthwise!$D$4:$O$20,DTR!M$4,FALSE))*1000,0)</f>
        <v>0</v>
      </c>
      <c r="N20" s="238">
        <f>IFERROR((HLOOKUP($AH20,Target_monthwise!$D$4:$O$20,DTR!N$4,FALSE))*1000,0)</f>
        <v>0</v>
      </c>
      <c r="O20" s="238">
        <f>IFERROR((HLOOKUP($AH20,Target_monthwise!$D$4:$O$20,DTR!O$4,FALSE))*1000,0)</f>
        <v>0</v>
      </c>
      <c r="P20" s="238">
        <f>IFERROR((HLOOKUP($AH20,Target_monthwise!$D$4:$O$20,DTR!P$4,FALSE))*1000,0)</f>
        <v>0</v>
      </c>
      <c r="Q20" s="141">
        <f>IFERROR((HLOOKUP($AH20,Target_monthwise!$D$4:$O$20,DTR!Q$4,FALSE))*1000,0)</f>
        <v>0</v>
      </c>
      <c r="R20" s="167">
        <f>IFERROR((HLOOKUP($AH20,Target_monthwise!$D$4:$O$20,DTR!R$4,FALSE))*1000,0)</f>
        <v>0</v>
      </c>
      <c r="S20" s="239">
        <f>IFERROR((HLOOKUP($AH20,Target_monthwise!$D$24:$O$40,DTR!S$4,FALSE)),0)</f>
        <v>0</v>
      </c>
      <c r="T20" s="239">
        <f>IFERROR((HLOOKUP($AH20,Target_monthwise!$D$24:$O$40,DTR!T$4,FALSE)),0)</f>
        <v>0</v>
      </c>
      <c r="U20" s="239">
        <f>IFERROR((HLOOKUP($AH20,Target_monthwise!$D$24:$O$40,DTR!U$4,FALSE)),0)</f>
        <v>0</v>
      </c>
      <c r="V20" s="239">
        <f>IFERROR((HLOOKUP($AH20,Target_monthwise!$D$24:$O$40,DTR!V$4,FALSE)),0)</f>
        <v>0</v>
      </c>
      <c r="W20" s="239">
        <f>IFERROR((HLOOKUP($AH20,Target_monthwise!$D$24:$O$40,DTR!W$4,FALSE)),0)</f>
        <v>0</v>
      </c>
      <c r="X20" s="239">
        <f>IFERROR((HLOOKUP($AH20,Target_monthwise!$D$24:$O$40,DTR!X$4,FALSE)),0)</f>
        <v>0</v>
      </c>
      <c r="Y20" s="239">
        <f>IFERROR((HLOOKUP($AH20,Target_monthwise!$D$24:$O$40,DTR!Y$4,FALSE)),0)</f>
        <v>0</v>
      </c>
      <c r="Z20" s="147">
        <f>IFERROR((HLOOKUP($AH20,Target_monthwise!$D$24:$O$40,DTR!Z$4,FALSE)),0)</f>
        <v>0</v>
      </c>
      <c r="AA20" s="147">
        <f>IFERROR((HLOOKUP($AH20,Target_monthwise!$D$24:$O$40,DTR!AA$4,FALSE)),0)</f>
        <v>0</v>
      </c>
      <c r="AB20" s="147">
        <f>IFERROR((HLOOKUP($AH20,Target_monthwise!$D$24:$O$40,DTR!AB$4,FALSE)),0)</f>
        <v>0</v>
      </c>
      <c r="AC20" s="239">
        <f>IFERROR((HLOOKUP($AH20,Target_monthwise!$D$24:$O$40,DTR!AC$4,FALSE)),0)</f>
        <v>0</v>
      </c>
      <c r="AD20" s="239">
        <f>IFERROR((HLOOKUP($AH20,Target_monthwise!$D$24:$O$40,DTR!AD$4,FALSE)),0)</f>
        <v>0</v>
      </c>
      <c r="AE20" s="239">
        <f>IFERROR((HLOOKUP($AH20,Target_monthwise!$D$24:$O$40,DTR!AE$4,FALSE)),0)</f>
        <v>0</v>
      </c>
      <c r="AF20" s="239">
        <f>IFERROR((HLOOKUP($AH20,Target_monthwise!$D$24:$O$40,DTR!AF$4,FALSE)),0)</f>
        <v>0</v>
      </c>
      <c r="AG20" s="172">
        <f>IFERROR((HLOOKUP($AH20,Target_monthwise!$D$24:$O$40,DTR!AG$4,FALSE)),0)</f>
        <v>0</v>
      </c>
      <c r="AH20" s="253">
        <f t="shared" si="0"/>
        <v>202204</v>
      </c>
    </row>
    <row r="21" spans="3:34" ht="15.75" hidden="1">
      <c r="C21" s="235">
        <v>44664</v>
      </c>
      <c r="D21" s="141">
        <f>IFERROR((HLOOKUP($AH21,Target_monthwise!$D$4:$O$20,DTR!D$4,FALSE))*1000,0)</f>
        <v>0</v>
      </c>
      <c r="E21" s="141">
        <f>IFERROR((HLOOKUP($AH21,Target_monthwise!$D$4:$O$20,DTR!E$4,FALSE))*1000,0)</f>
        <v>0</v>
      </c>
      <c r="F21" s="141">
        <f>IFERROR((HLOOKUP($AH21,Target_monthwise!$D$4:$O$20,DTR!F$4,FALSE))*1000,0)</f>
        <v>0</v>
      </c>
      <c r="G21" s="141">
        <f>IFERROR((HLOOKUP($AH21,Target_monthwise!$D$4:$O$20,DTR!G$4,FALSE))*1000,0)</f>
        <v>0</v>
      </c>
      <c r="H21" s="141">
        <f>IFERROR((HLOOKUP($AH21,Target_monthwise!$D$4:$O$20,DTR!H$4,FALSE))*1000,0)</f>
        <v>0</v>
      </c>
      <c r="I21" s="141">
        <f>IFERROR((HLOOKUP($AH21,Target_monthwise!$D$4:$O$20,DTR!I$4,FALSE))*1000,0)</f>
        <v>0</v>
      </c>
      <c r="J21" s="141">
        <f>IFERROR((HLOOKUP($AH21,Target_monthwise!$D$4:$O$20,DTR!J$4,FALSE))*1000,0)</f>
        <v>0</v>
      </c>
      <c r="K21" s="141">
        <f>IFERROR((HLOOKUP($AH21,Target_monthwise!$D$4:$O$20,DTR!K$4,FALSE))*1000,0)</f>
        <v>0</v>
      </c>
      <c r="L21" s="141">
        <f>IFERROR((HLOOKUP($AH21,Target_monthwise!$D$4:$O$20,DTR!L$4,FALSE))*1000,0)</f>
        <v>0</v>
      </c>
      <c r="M21" s="141">
        <f>IFERROR((HLOOKUP($AH21,Target_monthwise!$D$4:$O$20,DTR!M$4,FALSE))*1000,0)</f>
        <v>0</v>
      </c>
      <c r="N21" s="141">
        <f>IFERROR((HLOOKUP($AH21,Target_monthwise!$D$4:$O$20,DTR!N$4,FALSE))*1000,0)</f>
        <v>0</v>
      </c>
      <c r="O21" s="141">
        <f>IFERROR((HLOOKUP($AH21,Target_monthwise!$D$4:$O$20,DTR!O$4,FALSE))*1000,0)</f>
        <v>0</v>
      </c>
      <c r="P21" s="141">
        <f>IFERROR((HLOOKUP($AH21,Target_monthwise!$D$4:$O$20,DTR!P$4,FALSE))*1000,0)</f>
        <v>0</v>
      </c>
      <c r="Q21" s="141">
        <f>IFERROR((HLOOKUP($AH21,Target_monthwise!$D$4:$O$20,DTR!Q$4,FALSE))*1000,0)</f>
        <v>0</v>
      </c>
      <c r="R21" s="167">
        <f>IFERROR((HLOOKUP($AH21,Target_monthwise!$D$4:$O$20,DTR!R$4,FALSE))*1000,0)</f>
        <v>0</v>
      </c>
      <c r="S21" s="147">
        <f>IFERROR((HLOOKUP($AH21,Target_monthwise!$D$24:$O$40,DTR!S$4,FALSE)),0)</f>
        <v>0</v>
      </c>
      <c r="T21" s="147">
        <f>IFERROR((HLOOKUP($AH21,Target_monthwise!$D$24:$O$40,DTR!T$4,FALSE)),0)</f>
        <v>0</v>
      </c>
      <c r="U21" s="147">
        <f>IFERROR((HLOOKUP($AH21,Target_monthwise!$D$24:$O$40,DTR!U$4,FALSE)),0)</f>
        <v>0</v>
      </c>
      <c r="V21" s="147">
        <f>IFERROR((HLOOKUP($AH21,Target_monthwise!$D$24:$O$40,DTR!V$4,FALSE)),0)</f>
        <v>0</v>
      </c>
      <c r="W21" s="147">
        <f>IFERROR((HLOOKUP($AH21,Target_monthwise!$D$24:$O$40,DTR!W$4,FALSE)),0)</f>
        <v>0</v>
      </c>
      <c r="X21" s="147">
        <f>IFERROR((HLOOKUP($AH21,Target_monthwise!$D$24:$O$40,DTR!X$4,FALSE)),0)</f>
        <v>0</v>
      </c>
      <c r="Y21" s="147">
        <f>IFERROR((HLOOKUP($AH21,Target_monthwise!$D$24:$O$40,DTR!Y$4,FALSE)),0)</f>
        <v>0</v>
      </c>
      <c r="Z21" s="147">
        <f>IFERROR((HLOOKUP($AH21,Target_monthwise!$D$24:$O$40,DTR!Z$4,FALSE)),0)</f>
        <v>0</v>
      </c>
      <c r="AA21" s="147">
        <f>IFERROR((HLOOKUP($AH21,Target_monthwise!$D$24:$O$40,DTR!AA$4,FALSE)),0)</f>
        <v>0</v>
      </c>
      <c r="AB21" s="147">
        <f>IFERROR((HLOOKUP($AH21,Target_monthwise!$D$24:$O$40,DTR!AB$4,FALSE)),0)</f>
        <v>0</v>
      </c>
      <c r="AC21" s="147">
        <f>IFERROR((HLOOKUP($AH21,Target_monthwise!$D$24:$O$40,DTR!AC$4,FALSE)),0)</f>
        <v>0</v>
      </c>
      <c r="AD21" s="147">
        <f>IFERROR((HLOOKUP($AH21,Target_monthwise!$D$24:$O$40,DTR!AD$4,FALSE)),0)</f>
        <v>0</v>
      </c>
      <c r="AE21" s="147">
        <f>IFERROR((HLOOKUP($AH21,Target_monthwise!$D$24:$O$40,DTR!AE$4,FALSE)),0)</f>
        <v>0</v>
      </c>
      <c r="AF21" s="147">
        <f>IFERROR((HLOOKUP($AH21,Target_monthwise!$D$24:$O$40,DTR!AF$4,FALSE)),0)</f>
        <v>0</v>
      </c>
      <c r="AG21" s="172">
        <f>IFERROR((HLOOKUP($AH21,Target_monthwise!$D$24:$O$40,DTR!AG$4,FALSE)),0)</f>
        <v>0</v>
      </c>
      <c r="AH21" s="253">
        <f t="shared" si="0"/>
        <v>202204</v>
      </c>
    </row>
    <row r="22" spans="3:34" ht="15.75" hidden="1">
      <c r="C22" s="237">
        <v>44665</v>
      </c>
      <c r="D22" s="238">
        <f>IFERROR((HLOOKUP($AH22,Target_monthwise!$D$4:$O$20,DTR!D$4,FALSE))*1000,0)</f>
        <v>0</v>
      </c>
      <c r="E22" s="238">
        <f>IFERROR((HLOOKUP($AH22,Target_monthwise!$D$4:$O$20,DTR!E$4,FALSE))*1000,0)</f>
        <v>0</v>
      </c>
      <c r="F22" s="238">
        <f>IFERROR((HLOOKUP($AH22,Target_monthwise!$D$4:$O$20,DTR!F$4,FALSE))*1000,0)</f>
        <v>0</v>
      </c>
      <c r="G22" s="238">
        <f>IFERROR((HLOOKUP($AH22,Target_monthwise!$D$4:$O$20,DTR!G$4,FALSE))*1000,0)</f>
        <v>0</v>
      </c>
      <c r="H22" s="238">
        <f>IFERROR((HLOOKUP($AH22,Target_monthwise!$D$4:$O$20,DTR!H$4,FALSE))*1000,0)</f>
        <v>0</v>
      </c>
      <c r="I22" s="238">
        <f>IFERROR((HLOOKUP($AH22,Target_monthwise!$D$4:$O$20,DTR!I$4,FALSE))*1000,0)</f>
        <v>0</v>
      </c>
      <c r="J22" s="238">
        <f>IFERROR((HLOOKUP($AH22,Target_monthwise!$D$4:$O$20,DTR!J$4,FALSE))*1000,0)</f>
        <v>0</v>
      </c>
      <c r="K22" s="238">
        <f>IFERROR((HLOOKUP($AH22,Target_monthwise!$D$4:$O$20,DTR!K$4,FALSE))*1000,0)</f>
        <v>0</v>
      </c>
      <c r="L22" s="238">
        <f>IFERROR((HLOOKUP($AH22,Target_monthwise!$D$4:$O$20,DTR!L$4,FALSE))*1000,0)</f>
        <v>0</v>
      </c>
      <c r="M22" s="238">
        <f>IFERROR((HLOOKUP($AH22,Target_monthwise!$D$4:$O$20,DTR!M$4,FALSE))*1000,0)</f>
        <v>0</v>
      </c>
      <c r="N22" s="238">
        <f>IFERROR((HLOOKUP($AH22,Target_monthwise!$D$4:$O$20,DTR!N$4,FALSE))*1000,0)</f>
        <v>0</v>
      </c>
      <c r="O22" s="238">
        <f>IFERROR((HLOOKUP($AH22,Target_monthwise!$D$4:$O$20,DTR!O$4,FALSE))*1000,0)</f>
        <v>0</v>
      </c>
      <c r="P22" s="238">
        <f>IFERROR((HLOOKUP($AH22,Target_monthwise!$D$4:$O$20,DTR!P$4,FALSE))*1000,0)</f>
        <v>0</v>
      </c>
      <c r="Q22" s="141">
        <f>IFERROR((HLOOKUP($AH22,Target_monthwise!$D$4:$O$20,DTR!Q$4,FALSE))*1000,0)</f>
        <v>0</v>
      </c>
      <c r="R22" s="167">
        <f>IFERROR((HLOOKUP($AH22,Target_monthwise!$D$4:$O$20,DTR!R$4,FALSE))*1000,0)</f>
        <v>0</v>
      </c>
      <c r="S22" s="239">
        <f>IFERROR((HLOOKUP($AH22,Target_monthwise!$D$24:$O$40,DTR!S$4,FALSE)),0)</f>
        <v>0</v>
      </c>
      <c r="T22" s="239">
        <f>IFERROR((HLOOKUP($AH22,Target_monthwise!$D$24:$O$40,DTR!T$4,FALSE)),0)</f>
        <v>0</v>
      </c>
      <c r="U22" s="239">
        <f>IFERROR((HLOOKUP($AH22,Target_monthwise!$D$24:$O$40,DTR!U$4,FALSE)),0)</f>
        <v>0</v>
      </c>
      <c r="V22" s="239">
        <f>IFERROR((HLOOKUP($AH22,Target_monthwise!$D$24:$O$40,DTR!V$4,FALSE)),0)</f>
        <v>0</v>
      </c>
      <c r="W22" s="239">
        <f>IFERROR((HLOOKUP($AH22,Target_monthwise!$D$24:$O$40,DTR!W$4,FALSE)),0)</f>
        <v>0</v>
      </c>
      <c r="X22" s="239">
        <f>IFERROR((HLOOKUP($AH22,Target_monthwise!$D$24:$O$40,DTR!X$4,FALSE)),0)</f>
        <v>0</v>
      </c>
      <c r="Y22" s="239">
        <f>IFERROR((HLOOKUP($AH22,Target_monthwise!$D$24:$O$40,DTR!Y$4,FALSE)),0)</f>
        <v>0</v>
      </c>
      <c r="Z22" s="147">
        <f>IFERROR((HLOOKUP($AH22,Target_monthwise!$D$24:$O$40,DTR!Z$4,FALSE)),0)</f>
        <v>0</v>
      </c>
      <c r="AA22" s="147">
        <f>IFERROR((HLOOKUP($AH22,Target_monthwise!$D$24:$O$40,DTR!AA$4,FALSE)),0)</f>
        <v>0</v>
      </c>
      <c r="AB22" s="147">
        <f>IFERROR((HLOOKUP($AH22,Target_monthwise!$D$24:$O$40,DTR!AB$4,FALSE)),0)</f>
        <v>0</v>
      </c>
      <c r="AC22" s="239">
        <f>IFERROR((HLOOKUP($AH22,Target_monthwise!$D$24:$O$40,DTR!AC$4,FALSE)),0)</f>
        <v>0</v>
      </c>
      <c r="AD22" s="239">
        <f>IFERROR((HLOOKUP($AH22,Target_monthwise!$D$24:$O$40,DTR!AD$4,FALSE)),0)</f>
        <v>0</v>
      </c>
      <c r="AE22" s="239">
        <f>IFERROR((HLOOKUP($AH22,Target_monthwise!$D$24:$O$40,DTR!AE$4,FALSE)),0)</f>
        <v>0</v>
      </c>
      <c r="AF22" s="239">
        <f>IFERROR((HLOOKUP($AH22,Target_monthwise!$D$24:$O$40,DTR!AF$4,FALSE)),0)</f>
        <v>0</v>
      </c>
      <c r="AG22" s="172">
        <f>IFERROR((HLOOKUP($AH22,Target_monthwise!$D$24:$O$40,DTR!AG$4,FALSE)),0)</f>
        <v>0</v>
      </c>
      <c r="AH22" s="253">
        <f t="shared" si="0"/>
        <v>202204</v>
      </c>
    </row>
    <row r="23" spans="3:34" ht="15.75" hidden="1">
      <c r="C23" s="235">
        <v>44666</v>
      </c>
      <c r="D23" s="141">
        <f>IFERROR((HLOOKUP($AH23,Target_monthwise!$D$4:$O$20,DTR!D$4,FALSE))*1000,0)</f>
        <v>0</v>
      </c>
      <c r="E23" s="141">
        <f>IFERROR((HLOOKUP($AH23,Target_monthwise!$D$4:$O$20,DTR!E$4,FALSE))*1000,0)</f>
        <v>0</v>
      </c>
      <c r="F23" s="141">
        <f>IFERROR((HLOOKUP($AH23,Target_monthwise!$D$4:$O$20,DTR!F$4,FALSE))*1000,0)</f>
        <v>0</v>
      </c>
      <c r="G23" s="141">
        <f>IFERROR((HLOOKUP($AH23,Target_monthwise!$D$4:$O$20,DTR!G$4,FALSE))*1000,0)</f>
        <v>0</v>
      </c>
      <c r="H23" s="141">
        <f>IFERROR((HLOOKUP($AH23,Target_monthwise!$D$4:$O$20,DTR!H$4,FALSE))*1000,0)</f>
        <v>0</v>
      </c>
      <c r="I23" s="141">
        <f>IFERROR((HLOOKUP($AH23,Target_monthwise!$D$4:$O$20,DTR!I$4,FALSE))*1000,0)</f>
        <v>0</v>
      </c>
      <c r="J23" s="141">
        <f>IFERROR((HLOOKUP($AH23,Target_monthwise!$D$4:$O$20,DTR!J$4,FALSE))*1000,0)</f>
        <v>0</v>
      </c>
      <c r="K23" s="141">
        <f>IFERROR((HLOOKUP($AH23,Target_monthwise!$D$4:$O$20,DTR!K$4,FALSE))*1000,0)</f>
        <v>0</v>
      </c>
      <c r="L23" s="141">
        <f>IFERROR((HLOOKUP($AH23,Target_monthwise!$D$4:$O$20,DTR!L$4,FALSE))*1000,0)</f>
        <v>0</v>
      </c>
      <c r="M23" s="141">
        <f>IFERROR((HLOOKUP($AH23,Target_monthwise!$D$4:$O$20,DTR!M$4,FALSE))*1000,0)</f>
        <v>0</v>
      </c>
      <c r="N23" s="141">
        <f>IFERROR((HLOOKUP($AH23,Target_monthwise!$D$4:$O$20,DTR!N$4,FALSE))*1000,0)</f>
        <v>0</v>
      </c>
      <c r="O23" s="141">
        <f>IFERROR((HLOOKUP($AH23,Target_monthwise!$D$4:$O$20,DTR!O$4,FALSE))*1000,0)</f>
        <v>0</v>
      </c>
      <c r="P23" s="141">
        <f>IFERROR((HLOOKUP($AH23,Target_monthwise!$D$4:$O$20,DTR!P$4,FALSE))*1000,0)</f>
        <v>0</v>
      </c>
      <c r="Q23" s="141">
        <f>IFERROR((HLOOKUP($AH23,Target_monthwise!$D$4:$O$20,DTR!Q$4,FALSE))*1000,0)</f>
        <v>0</v>
      </c>
      <c r="R23" s="167">
        <f>IFERROR((HLOOKUP($AH23,Target_monthwise!$D$4:$O$20,DTR!R$4,FALSE))*1000,0)</f>
        <v>0</v>
      </c>
      <c r="S23" s="147">
        <f>IFERROR((HLOOKUP($AH23,Target_monthwise!$D$24:$O$40,DTR!S$4,FALSE)),0)</f>
        <v>0</v>
      </c>
      <c r="T23" s="147">
        <f>IFERROR((HLOOKUP($AH23,Target_monthwise!$D$24:$O$40,DTR!T$4,FALSE)),0)</f>
        <v>0</v>
      </c>
      <c r="U23" s="147">
        <f>IFERROR((HLOOKUP($AH23,Target_monthwise!$D$24:$O$40,DTR!U$4,FALSE)),0)</f>
        <v>0</v>
      </c>
      <c r="V23" s="147">
        <f>IFERROR((HLOOKUP($AH23,Target_monthwise!$D$24:$O$40,DTR!V$4,FALSE)),0)</f>
        <v>0</v>
      </c>
      <c r="W23" s="147">
        <f>IFERROR((HLOOKUP($AH23,Target_monthwise!$D$24:$O$40,DTR!W$4,FALSE)),0)</f>
        <v>0</v>
      </c>
      <c r="X23" s="147">
        <f>IFERROR((HLOOKUP($AH23,Target_monthwise!$D$24:$O$40,DTR!X$4,FALSE)),0)</f>
        <v>0</v>
      </c>
      <c r="Y23" s="147">
        <f>IFERROR((HLOOKUP($AH23,Target_monthwise!$D$24:$O$40,DTR!Y$4,FALSE)),0)</f>
        <v>0</v>
      </c>
      <c r="Z23" s="147">
        <f>IFERROR((HLOOKUP($AH23,Target_monthwise!$D$24:$O$40,DTR!Z$4,FALSE)),0)</f>
        <v>0</v>
      </c>
      <c r="AA23" s="147">
        <f>IFERROR((HLOOKUP($AH23,Target_monthwise!$D$24:$O$40,DTR!AA$4,FALSE)),0)</f>
        <v>0</v>
      </c>
      <c r="AB23" s="147">
        <f>IFERROR((HLOOKUP($AH23,Target_monthwise!$D$24:$O$40,DTR!AB$4,FALSE)),0)</f>
        <v>0</v>
      </c>
      <c r="AC23" s="147">
        <f>IFERROR((HLOOKUP($AH23,Target_monthwise!$D$24:$O$40,DTR!AC$4,FALSE)),0)</f>
        <v>0</v>
      </c>
      <c r="AD23" s="147">
        <f>IFERROR((HLOOKUP($AH23,Target_monthwise!$D$24:$O$40,DTR!AD$4,FALSE)),0)</f>
        <v>0</v>
      </c>
      <c r="AE23" s="147">
        <f>IFERROR((HLOOKUP($AH23,Target_monthwise!$D$24:$O$40,DTR!AE$4,FALSE)),0)</f>
        <v>0</v>
      </c>
      <c r="AF23" s="147">
        <f>IFERROR((HLOOKUP($AH23,Target_monthwise!$D$24:$O$40,DTR!AF$4,FALSE)),0)</f>
        <v>0</v>
      </c>
      <c r="AG23" s="172">
        <f>IFERROR((HLOOKUP($AH23,Target_monthwise!$D$24:$O$40,DTR!AG$4,FALSE)),0)</f>
        <v>0</v>
      </c>
      <c r="AH23" s="253">
        <f t="shared" si="0"/>
        <v>202204</v>
      </c>
    </row>
    <row r="24" spans="3:34" ht="15.75" hidden="1">
      <c r="C24" s="237">
        <v>44667</v>
      </c>
      <c r="D24" s="238">
        <f>IFERROR((HLOOKUP($AH24,Target_monthwise!$D$4:$O$20,DTR!D$4,FALSE))*1000,0)</f>
        <v>0</v>
      </c>
      <c r="E24" s="238">
        <f>IFERROR((HLOOKUP($AH24,Target_monthwise!$D$4:$O$20,DTR!E$4,FALSE))*1000,0)</f>
        <v>0</v>
      </c>
      <c r="F24" s="238">
        <f>IFERROR((HLOOKUP($AH24,Target_monthwise!$D$4:$O$20,DTR!F$4,FALSE))*1000,0)</f>
        <v>0</v>
      </c>
      <c r="G24" s="238">
        <f>IFERROR((HLOOKUP($AH24,Target_monthwise!$D$4:$O$20,DTR!G$4,FALSE))*1000,0)</f>
        <v>0</v>
      </c>
      <c r="H24" s="238">
        <f>IFERROR((HLOOKUP($AH24,Target_monthwise!$D$4:$O$20,DTR!H$4,FALSE))*1000,0)</f>
        <v>0</v>
      </c>
      <c r="I24" s="238">
        <f>IFERROR((HLOOKUP($AH24,Target_monthwise!$D$4:$O$20,DTR!I$4,FALSE))*1000,0)</f>
        <v>0</v>
      </c>
      <c r="J24" s="238">
        <f>IFERROR((HLOOKUP($AH24,Target_monthwise!$D$4:$O$20,DTR!J$4,FALSE))*1000,0)</f>
        <v>0</v>
      </c>
      <c r="K24" s="238">
        <f>IFERROR((HLOOKUP($AH24,Target_monthwise!$D$4:$O$20,DTR!K$4,FALSE))*1000,0)</f>
        <v>0</v>
      </c>
      <c r="L24" s="238">
        <f>IFERROR((HLOOKUP($AH24,Target_monthwise!$D$4:$O$20,DTR!L$4,FALSE))*1000,0)</f>
        <v>0</v>
      </c>
      <c r="M24" s="238">
        <f>IFERROR((HLOOKUP($AH24,Target_monthwise!$D$4:$O$20,DTR!M$4,FALSE))*1000,0)</f>
        <v>0</v>
      </c>
      <c r="N24" s="238">
        <f>IFERROR((HLOOKUP($AH24,Target_monthwise!$D$4:$O$20,DTR!N$4,FALSE))*1000,0)</f>
        <v>0</v>
      </c>
      <c r="O24" s="238">
        <f>IFERROR((HLOOKUP($AH24,Target_monthwise!$D$4:$O$20,DTR!O$4,FALSE))*1000,0)</f>
        <v>0</v>
      </c>
      <c r="P24" s="238">
        <f>IFERROR((HLOOKUP($AH24,Target_monthwise!$D$4:$O$20,DTR!P$4,FALSE))*1000,0)</f>
        <v>0</v>
      </c>
      <c r="Q24" s="141">
        <f>IFERROR((HLOOKUP($AH24,Target_monthwise!$D$4:$O$20,DTR!Q$4,FALSE))*1000,0)</f>
        <v>0</v>
      </c>
      <c r="R24" s="167">
        <f>IFERROR((HLOOKUP($AH24,Target_monthwise!$D$4:$O$20,DTR!R$4,FALSE))*1000,0)</f>
        <v>0</v>
      </c>
      <c r="S24" s="239">
        <f>IFERROR((HLOOKUP($AH24,Target_monthwise!$D$24:$O$40,DTR!S$4,FALSE)),0)</f>
        <v>0</v>
      </c>
      <c r="T24" s="239">
        <f>IFERROR((HLOOKUP($AH24,Target_monthwise!$D$24:$O$40,DTR!T$4,FALSE)),0)</f>
        <v>0</v>
      </c>
      <c r="U24" s="239">
        <f>IFERROR((HLOOKUP($AH24,Target_monthwise!$D$24:$O$40,DTR!U$4,FALSE)),0)</f>
        <v>0</v>
      </c>
      <c r="V24" s="239">
        <f>IFERROR((HLOOKUP($AH24,Target_monthwise!$D$24:$O$40,DTR!V$4,FALSE)),0)</f>
        <v>0</v>
      </c>
      <c r="W24" s="239">
        <f>IFERROR((HLOOKUP($AH24,Target_monthwise!$D$24:$O$40,DTR!W$4,FALSE)),0)</f>
        <v>0</v>
      </c>
      <c r="X24" s="239">
        <f>IFERROR((HLOOKUP($AH24,Target_monthwise!$D$24:$O$40,DTR!X$4,FALSE)),0)</f>
        <v>0</v>
      </c>
      <c r="Y24" s="239">
        <f>IFERROR((HLOOKUP($AH24,Target_monthwise!$D$24:$O$40,DTR!Y$4,FALSE)),0)</f>
        <v>0</v>
      </c>
      <c r="Z24" s="147">
        <f>IFERROR((HLOOKUP($AH24,Target_monthwise!$D$24:$O$40,DTR!Z$4,FALSE)),0)</f>
        <v>0</v>
      </c>
      <c r="AA24" s="147">
        <f>IFERROR((HLOOKUP($AH24,Target_monthwise!$D$24:$O$40,DTR!AA$4,FALSE)),0)</f>
        <v>0</v>
      </c>
      <c r="AB24" s="147">
        <f>IFERROR((HLOOKUP($AH24,Target_monthwise!$D$24:$O$40,DTR!AB$4,FALSE)),0)</f>
        <v>0</v>
      </c>
      <c r="AC24" s="239">
        <f>IFERROR((HLOOKUP($AH24,Target_monthwise!$D$24:$O$40,DTR!AC$4,FALSE)),0)</f>
        <v>0</v>
      </c>
      <c r="AD24" s="239">
        <f>IFERROR((HLOOKUP($AH24,Target_monthwise!$D$24:$O$40,DTR!AD$4,FALSE)),0)</f>
        <v>0</v>
      </c>
      <c r="AE24" s="239">
        <f>IFERROR((HLOOKUP($AH24,Target_monthwise!$D$24:$O$40,DTR!AE$4,FALSE)),0)</f>
        <v>0</v>
      </c>
      <c r="AF24" s="239">
        <f>IFERROR((HLOOKUP($AH24,Target_monthwise!$D$24:$O$40,DTR!AF$4,FALSE)),0)</f>
        <v>0</v>
      </c>
      <c r="AG24" s="172">
        <f>IFERROR((HLOOKUP($AH24,Target_monthwise!$D$24:$O$40,DTR!AG$4,FALSE)),0)</f>
        <v>0</v>
      </c>
      <c r="AH24" s="253">
        <f t="shared" si="0"/>
        <v>202204</v>
      </c>
    </row>
    <row r="25" spans="3:34" ht="15.75" hidden="1">
      <c r="C25" s="235">
        <v>44668</v>
      </c>
      <c r="D25" s="141">
        <f>IFERROR((HLOOKUP($AH25,Target_monthwise!$D$4:$O$20,DTR!D$4,FALSE))*1000,0)</f>
        <v>0</v>
      </c>
      <c r="E25" s="141">
        <f>IFERROR((HLOOKUP($AH25,Target_monthwise!$D$4:$O$20,DTR!E$4,FALSE))*1000,0)</f>
        <v>0</v>
      </c>
      <c r="F25" s="141">
        <f>IFERROR((HLOOKUP($AH25,Target_monthwise!$D$4:$O$20,DTR!F$4,FALSE))*1000,0)</f>
        <v>0</v>
      </c>
      <c r="G25" s="141">
        <f>IFERROR((HLOOKUP($AH25,Target_monthwise!$D$4:$O$20,DTR!G$4,FALSE))*1000,0)</f>
        <v>0</v>
      </c>
      <c r="H25" s="141">
        <f>IFERROR((HLOOKUP($AH25,Target_monthwise!$D$4:$O$20,DTR!H$4,FALSE))*1000,0)</f>
        <v>0</v>
      </c>
      <c r="I25" s="141">
        <f>IFERROR((HLOOKUP($AH25,Target_monthwise!$D$4:$O$20,DTR!I$4,FALSE))*1000,0)</f>
        <v>0</v>
      </c>
      <c r="J25" s="141">
        <f>IFERROR((HLOOKUP($AH25,Target_monthwise!$D$4:$O$20,DTR!J$4,FALSE))*1000,0)</f>
        <v>0</v>
      </c>
      <c r="K25" s="141">
        <f>IFERROR((HLOOKUP($AH25,Target_monthwise!$D$4:$O$20,DTR!K$4,FALSE))*1000,0)</f>
        <v>0</v>
      </c>
      <c r="L25" s="141">
        <f>IFERROR((HLOOKUP($AH25,Target_monthwise!$D$4:$O$20,DTR!L$4,FALSE))*1000,0)</f>
        <v>0</v>
      </c>
      <c r="M25" s="141">
        <f>IFERROR((HLOOKUP($AH25,Target_monthwise!$D$4:$O$20,DTR!M$4,FALSE))*1000,0)</f>
        <v>0</v>
      </c>
      <c r="N25" s="141">
        <f>IFERROR((HLOOKUP($AH25,Target_monthwise!$D$4:$O$20,DTR!N$4,FALSE))*1000,0)</f>
        <v>0</v>
      </c>
      <c r="O25" s="141">
        <f>IFERROR((HLOOKUP($AH25,Target_monthwise!$D$4:$O$20,DTR!O$4,FALSE))*1000,0)</f>
        <v>0</v>
      </c>
      <c r="P25" s="141">
        <f>IFERROR((HLOOKUP($AH25,Target_monthwise!$D$4:$O$20,DTR!P$4,FALSE))*1000,0)</f>
        <v>0</v>
      </c>
      <c r="Q25" s="141">
        <f>IFERROR((HLOOKUP($AH25,Target_monthwise!$D$4:$O$20,DTR!Q$4,FALSE))*1000,0)</f>
        <v>0</v>
      </c>
      <c r="R25" s="167">
        <f>IFERROR((HLOOKUP($AH25,Target_monthwise!$D$4:$O$20,DTR!R$4,FALSE))*1000,0)</f>
        <v>0</v>
      </c>
      <c r="S25" s="147">
        <f>IFERROR((HLOOKUP($AH25,Target_monthwise!$D$24:$O$40,DTR!S$4,FALSE)),0)</f>
        <v>0</v>
      </c>
      <c r="T25" s="147">
        <f>IFERROR((HLOOKUP($AH25,Target_monthwise!$D$24:$O$40,DTR!T$4,FALSE)),0)</f>
        <v>0</v>
      </c>
      <c r="U25" s="147">
        <f>IFERROR((HLOOKUP($AH25,Target_monthwise!$D$24:$O$40,DTR!U$4,FALSE)),0)</f>
        <v>0</v>
      </c>
      <c r="V25" s="147">
        <f>IFERROR((HLOOKUP($AH25,Target_monthwise!$D$24:$O$40,DTR!V$4,FALSE)),0)</f>
        <v>0</v>
      </c>
      <c r="W25" s="147">
        <f>IFERROR((HLOOKUP($AH25,Target_monthwise!$D$24:$O$40,DTR!W$4,FALSE)),0)</f>
        <v>0</v>
      </c>
      <c r="X25" s="147">
        <f>IFERROR((HLOOKUP($AH25,Target_monthwise!$D$24:$O$40,DTR!X$4,FALSE)),0)</f>
        <v>0</v>
      </c>
      <c r="Y25" s="147">
        <f>IFERROR((HLOOKUP($AH25,Target_monthwise!$D$24:$O$40,DTR!Y$4,FALSE)),0)</f>
        <v>0</v>
      </c>
      <c r="Z25" s="147">
        <f>IFERROR((HLOOKUP($AH25,Target_monthwise!$D$24:$O$40,DTR!Z$4,FALSE)),0)</f>
        <v>0</v>
      </c>
      <c r="AA25" s="147">
        <f>IFERROR((HLOOKUP($AH25,Target_monthwise!$D$24:$O$40,DTR!AA$4,FALSE)),0)</f>
        <v>0</v>
      </c>
      <c r="AB25" s="147">
        <f>IFERROR((HLOOKUP($AH25,Target_monthwise!$D$24:$O$40,DTR!AB$4,FALSE)),0)</f>
        <v>0</v>
      </c>
      <c r="AC25" s="147">
        <f>IFERROR((HLOOKUP($AH25,Target_monthwise!$D$24:$O$40,DTR!AC$4,FALSE)),0)</f>
        <v>0</v>
      </c>
      <c r="AD25" s="147">
        <f>IFERROR((HLOOKUP($AH25,Target_monthwise!$D$24:$O$40,DTR!AD$4,FALSE)),0)</f>
        <v>0</v>
      </c>
      <c r="AE25" s="147">
        <f>IFERROR((HLOOKUP($AH25,Target_monthwise!$D$24:$O$40,DTR!AE$4,FALSE)),0)</f>
        <v>0</v>
      </c>
      <c r="AF25" s="147">
        <f>IFERROR((HLOOKUP($AH25,Target_monthwise!$D$24:$O$40,DTR!AF$4,FALSE)),0)</f>
        <v>0</v>
      </c>
      <c r="AG25" s="172">
        <f>IFERROR((HLOOKUP($AH25,Target_monthwise!$D$24:$O$40,DTR!AG$4,FALSE)),0)</f>
        <v>0</v>
      </c>
      <c r="AH25" s="253">
        <f t="shared" si="0"/>
        <v>202204</v>
      </c>
    </row>
    <row r="26" spans="3:34" ht="15.75" hidden="1">
      <c r="C26" s="237">
        <v>44669</v>
      </c>
      <c r="D26" s="238">
        <f>IFERROR((HLOOKUP($AH26,Target_monthwise!$D$4:$O$20,DTR!D$4,FALSE))*1000,0)</f>
        <v>0</v>
      </c>
      <c r="E26" s="238">
        <f>IFERROR((HLOOKUP($AH26,Target_monthwise!$D$4:$O$20,DTR!E$4,FALSE))*1000,0)</f>
        <v>0</v>
      </c>
      <c r="F26" s="238">
        <f>IFERROR((HLOOKUP($AH26,Target_monthwise!$D$4:$O$20,DTR!F$4,FALSE))*1000,0)</f>
        <v>0</v>
      </c>
      <c r="G26" s="238">
        <f>IFERROR((HLOOKUP($AH26,Target_monthwise!$D$4:$O$20,DTR!G$4,FALSE))*1000,0)</f>
        <v>0</v>
      </c>
      <c r="H26" s="238">
        <f>IFERROR((HLOOKUP($AH26,Target_monthwise!$D$4:$O$20,DTR!H$4,FALSE))*1000,0)</f>
        <v>0</v>
      </c>
      <c r="I26" s="238">
        <f>IFERROR((HLOOKUP($AH26,Target_monthwise!$D$4:$O$20,DTR!I$4,FALSE))*1000,0)</f>
        <v>0</v>
      </c>
      <c r="J26" s="238">
        <f>IFERROR((HLOOKUP($AH26,Target_monthwise!$D$4:$O$20,DTR!J$4,FALSE))*1000,0)</f>
        <v>0</v>
      </c>
      <c r="K26" s="238">
        <f>IFERROR((HLOOKUP($AH26,Target_monthwise!$D$4:$O$20,DTR!K$4,FALSE))*1000,0)</f>
        <v>0</v>
      </c>
      <c r="L26" s="238">
        <f>IFERROR((HLOOKUP($AH26,Target_monthwise!$D$4:$O$20,DTR!L$4,FALSE))*1000,0)</f>
        <v>0</v>
      </c>
      <c r="M26" s="238">
        <f>IFERROR((HLOOKUP($AH26,Target_monthwise!$D$4:$O$20,DTR!M$4,FALSE))*1000,0)</f>
        <v>0</v>
      </c>
      <c r="N26" s="238">
        <f>IFERROR((HLOOKUP($AH26,Target_monthwise!$D$4:$O$20,DTR!N$4,FALSE))*1000,0)</f>
        <v>0</v>
      </c>
      <c r="O26" s="238">
        <f>IFERROR((HLOOKUP($AH26,Target_monthwise!$D$4:$O$20,DTR!O$4,FALSE))*1000,0)</f>
        <v>0</v>
      </c>
      <c r="P26" s="238">
        <f>IFERROR((HLOOKUP($AH26,Target_monthwise!$D$4:$O$20,DTR!P$4,FALSE))*1000,0)</f>
        <v>0</v>
      </c>
      <c r="Q26" s="141">
        <f>IFERROR((HLOOKUP($AH26,Target_monthwise!$D$4:$O$20,DTR!Q$4,FALSE))*1000,0)</f>
        <v>0</v>
      </c>
      <c r="R26" s="167">
        <f>IFERROR((HLOOKUP($AH26,Target_monthwise!$D$4:$O$20,DTR!R$4,FALSE))*1000,0)</f>
        <v>0</v>
      </c>
      <c r="S26" s="239">
        <f>IFERROR((HLOOKUP($AH26,Target_monthwise!$D$24:$O$40,DTR!S$4,FALSE)),0)</f>
        <v>0</v>
      </c>
      <c r="T26" s="239">
        <f>IFERROR((HLOOKUP($AH26,Target_monthwise!$D$24:$O$40,DTR!T$4,FALSE)),0)</f>
        <v>0</v>
      </c>
      <c r="U26" s="239">
        <f>IFERROR((HLOOKUP($AH26,Target_monthwise!$D$24:$O$40,DTR!U$4,FALSE)),0)</f>
        <v>0</v>
      </c>
      <c r="V26" s="239">
        <f>IFERROR((HLOOKUP($AH26,Target_monthwise!$D$24:$O$40,DTR!V$4,FALSE)),0)</f>
        <v>0</v>
      </c>
      <c r="W26" s="239">
        <f>IFERROR((HLOOKUP($AH26,Target_monthwise!$D$24:$O$40,DTR!W$4,FALSE)),0)</f>
        <v>0</v>
      </c>
      <c r="X26" s="239">
        <f>IFERROR((HLOOKUP($AH26,Target_monthwise!$D$24:$O$40,DTR!X$4,FALSE)),0)</f>
        <v>0</v>
      </c>
      <c r="Y26" s="239">
        <f>IFERROR((HLOOKUP($AH26,Target_monthwise!$D$24:$O$40,DTR!Y$4,FALSE)),0)</f>
        <v>0</v>
      </c>
      <c r="Z26" s="147">
        <f>IFERROR((HLOOKUP($AH26,Target_monthwise!$D$24:$O$40,DTR!Z$4,FALSE)),0)</f>
        <v>0</v>
      </c>
      <c r="AA26" s="147">
        <f>IFERROR((HLOOKUP($AH26,Target_monthwise!$D$24:$O$40,DTR!AA$4,FALSE)),0)</f>
        <v>0</v>
      </c>
      <c r="AB26" s="147">
        <f>IFERROR((HLOOKUP($AH26,Target_monthwise!$D$24:$O$40,DTR!AB$4,FALSE)),0)</f>
        <v>0</v>
      </c>
      <c r="AC26" s="239">
        <f>IFERROR((HLOOKUP($AH26,Target_monthwise!$D$24:$O$40,DTR!AC$4,FALSE)),0)</f>
        <v>0</v>
      </c>
      <c r="AD26" s="239">
        <f>IFERROR((HLOOKUP($AH26,Target_monthwise!$D$24:$O$40,DTR!AD$4,FALSE)),0)</f>
        <v>0</v>
      </c>
      <c r="AE26" s="239">
        <f>IFERROR((HLOOKUP($AH26,Target_monthwise!$D$24:$O$40,DTR!AE$4,FALSE)),0)</f>
        <v>0</v>
      </c>
      <c r="AF26" s="239">
        <f>IFERROR((HLOOKUP($AH26,Target_monthwise!$D$24:$O$40,DTR!AF$4,FALSE)),0)</f>
        <v>0</v>
      </c>
      <c r="AG26" s="172">
        <f>IFERROR((HLOOKUP($AH26,Target_monthwise!$D$24:$O$40,DTR!AG$4,FALSE)),0)</f>
        <v>0</v>
      </c>
      <c r="AH26" s="253">
        <f t="shared" si="0"/>
        <v>202204</v>
      </c>
    </row>
    <row r="27" spans="3:34" ht="15.75" hidden="1">
      <c r="C27" s="235">
        <v>44670</v>
      </c>
      <c r="D27" s="141">
        <f>IFERROR((HLOOKUP($AH27,Target_monthwise!$D$4:$O$20,DTR!D$4,FALSE))*1000,0)</f>
        <v>0</v>
      </c>
      <c r="E27" s="141">
        <f>IFERROR((HLOOKUP($AH27,Target_monthwise!$D$4:$O$20,DTR!E$4,FALSE))*1000,0)</f>
        <v>0</v>
      </c>
      <c r="F27" s="141">
        <f>IFERROR((HLOOKUP($AH27,Target_monthwise!$D$4:$O$20,DTR!F$4,FALSE))*1000,0)</f>
        <v>0</v>
      </c>
      <c r="G27" s="141">
        <f>IFERROR((HLOOKUP($AH27,Target_monthwise!$D$4:$O$20,DTR!G$4,FALSE))*1000,0)</f>
        <v>0</v>
      </c>
      <c r="H27" s="141">
        <f>IFERROR((HLOOKUP($AH27,Target_monthwise!$D$4:$O$20,DTR!H$4,FALSE))*1000,0)</f>
        <v>0</v>
      </c>
      <c r="I27" s="141">
        <f>IFERROR((HLOOKUP($AH27,Target_monthwise!$D$4:$O$20,DTR!I$4,FALSE))*1000,0)</f>
        <v>0</v>
      </c>
      <c r="J27" s="141">
        <f>IFERROR((HLOOKUP($AH27,Target_monthwise!$D$4:$O$20,DTR!J$4,FALSE))*1000,0)</f>
        <v>0</v>
      </c>
      <c r="K27" s="141">
        <f>IFERROR((HLOOKUP($AH27,Target_monthwise!$D$4:$O$20,DTR!K$4,FALSE))*1000,0)</f>
        <v>0</v>
      </c>
      <c r="L27" s="141">
        <f>IFERROR((HLOOKUP($AH27,Target_monthwise!$D$4:$O$20,DTR!L$4,FALSE))*1000,0)</f>
        <v>0</v>
      </c>
      <c r="M27" s="141">
        <f>IFERROR((HLOOKUP($AH27,Target_monthwise!$D$4:$O$20,DTR!M$4,FALSE))*1000,0)</f>
        <v>0</v>
      </c>
      <c r="N27" s="141">
        <f>IFERROR((HLOOKUP($AH27,Target_monthwise!$D$4:$O$20,DTR!N$4,FALSE))*1000,0)</f>
        <v>0</v>
      </c>
      <c r="O27" s="141">
        <f>IFERROR((HLOOKUP($AH27,Target_monthwise!$D$4:$O$20,DTR!O$4,FALSE))*1000,0)</f>
        <v>0</v>
      </c>
      <c r="P27" s="141">
        <f>IFERROR((HLOOKUP($AH27,Target_monthwise!$D$4:$O$20,DTR!P$4,FALSE))*1000,0)</f>
        <v>0</v>
      </c>
      <c r="Q27" s="141">
        <f>IFERROR((HLOOKUP($AH27,Target_monthwise!$D$4:$O$20,DTR!Q$4,FALSE))*1000,0)</f>
        <v>0</v>
      </c>
      <c r="R27" s="167">
        <f>IFERROR((HLOOKUP($AH27,Target_monthwise!$D$4:$O$20,DTR!R$4,FALSE))*1000,0)</f>
        <v>0</v>
      </c>
      <c r="S27" s="147">
        <f>IFERROR((HLOOKUP($AH27,Target_monthwise!$D$24:$O$40,DTR!S$4,FALSE)),0)</f>
        <v>0</v>
      </c>
      <c r="T27" s="147">
        <f>IFERROR((HLOOKUP($AH27,Target_monthwise!$D$24:$O$40,DTR!T$4,FALSE)),0)</f>
        <v>0</v>
      </c>
      <c r="U27" s="147">
        <f>IFERROR((HLOOKUP($AH27,Target_monthwise!$D$24:$O$40,DTR!U$4,FALSE)),0)</f>
        <v>0</v>
      </c>
      <c r="V27" s="147">
        <f>IFERROR((HLOOKUP($AH27,Target_monthwise!$D$24:$O$40,DTR!V$4,FALSE)),0)</f>
        <v>0</v>
      </c>
      <c r="W27" s="147">
        <f>IFERROR((HLOOKUP($AH27,Target_monthwise!$D$24:$O$40,DTR!W$4,FALSE)),0)</f>
        <v>0</v>
      </c>
      <c r="X27" s="147">
        <f>IFERROR((HLOOKUP($AH27,Target_monthwise!$D$24:$O$40,DTR!X$4,FALSE)),0)</f>
        <v>0</v>
      </c>
      <c r="Y27" s="147">
        <f>IFERROR((HLOOKUP($AH27,Target_monthwise!$D$24:$O$40,DTR!Y$4,FALSE)),0)</f>
        <v>0</v>
      </c>
      <c r="Z27" s="147">
        <f>IFERROR((HLOOKUP($AH27,Target_monthwise!$D$24:$O$40,DTR!Z$4,FALSE)),0)</f>
        <v>0</v>
      </c>
      <c r="AA27" s="147">
        <f>IFERROR((HLOOKUP($AH27,Target_monthwise!$D$24:$O$40,DTR!AA$4,FALSE)),0)</f>
        <v>0</v>
      </c>
      <c r="AB27" s="147">
        <f>IFERROR((HLOOKUP($AH27,Target_monthwise!$D$24:$O$40,DTR!AB$4,FALSE)),0)</f>
        <v>0</v>
      </c>
      <c r="AC27" s="147">
        <f>IFERROR((HLOOKUP($AH27,Target_monthwise!$D$24:$O$40,DTR!AC$4,FALSE)),0)</f>
        <v>0</v>
      </c>
      <c r="AD27" s="147">
        <f>IFERROR((HLOOKUP($AH27,Target_monthwise!$D$24:$O$40,DTR!AD$4,FALSE)),0)</f>
        <v>0</v>
      </c>
      <c r="AE27" s="147">
        <f>IFERROR((HLOOKUP($AH27,Target_monthwise!$D$24:$O$40,DTR!AE$4,FALSE)),0)</f>
        <v>0</v>
      </c>
      <c r="AF27" s="147">
        <f>IFERROR((HLOOKUP($AH27,Target_monthwise!$D$24:$O$40,DTR!AF$4,FALSE)),0)</f>
        <v>0</v>
      </c>
      <c r="AG27" s="172">
        <f>IFERROR((HLOOKUP($AH27,Target_monthwise!$D$24:$O$40,DTR!AG$4,FALSE)),0)</f>
        <v>0</v>
      </c>
      <c r="AH27" s="253">
        <f t="shared" si="0"/>
        <v>202204</v>
      </c>
    </row>
    <row r="28" spans="3:34" ht="15.75" hidden="1">
      <c r="C28" s="237">
        <v>44671</v>
      </c>
      <c r="D28" s="238">
        <f>IFERROR((HLOOKUP($AH28,Target_monthwise!$D$4:$O$20,DTR!D$4,FALSE))*1000,0)</f>
        <v>0</v>
      </c>
      <c r="E28" s="238">
        <f>IFERROR((HLOOKUP($AH28,Target_monthwise!$D$4:$O$20,DTR!E$4,FALSE))*1000,0)</f>
        <v>0</v>
      </c>
      <c r="F28" s="238">
        <f>IFERROR((HLOOKUP($AH28,Target_monthwise!$D$4:$O$20,DTR!F$4,FALSE))*1000,0)</f>
        <v>0</v>
      </c>
      <c r="G28" s="238">
        <f>IFERROR((HLOOKUP($AH28,Target_monthwise!$D$4:$O$20,DTR!G$4,FALSE))*1000,0)</f>
        <v>0</v>
      </c>
      <c r="H28" s="238">
        <f>IFERROR((HLOOKUP($AH28,Target_monthwise!$D$4:$O$20,DTR!H$4,FALSE))*1000,0)</f>
        <v>0</v>
      </c>
      <c r="I28" s="238">
        <f>IFERROR((HLOOKUP($AH28,Target_monthwise!$D$4:$O$20,DTR!I$4,FALSE))*1000,0)</f>
        <v>0</v>
      </c>
      <c r="J28" s="238">
        <f>IFERROR((HLOOKUP($AH28,Target_monthwise!$D$4:$O$20,DTR!J$4,FALSE))*1000,0)</f>
        <v>0</v>
      </c>
      <c r="K28" s="238">
        <f>IFERROR((HLOOKUP($AH28,Target_monthwise!$D$4:$O$20,DTR!K$4,FALSE))*1000,0)</f>
        <v>0</v>
      </c>
      <c r="L28" s="238">
        <f>IFERROR((HLOOKUP($AH28,Target_monthwise!$D$4:$O$20,DTR!L$4,FALSE))*1000,0)</f>
        <v>0</v>
      </c>
      <c r="M28" s="238">
        <f>IFERROR((HLOOKUP($AH28,Target_monthwise!$D$4:$O$20,DTR!M$4,FALSE))*1000,0)</f>
        <v>0</v>
      </c>
      <c r="N28" s="238">
        <f>IFERROR((HLOOKUP($AH28,Target_monthwise!$D$4:$O$20,DTR!N$4,FALSE))*1000,0)</f>
        <v>0</v>
      </c>
      <c r="O28" s="238">
        <f>IFERROR((HLOOKUP($AH28,Target_monthwise!$D$4:$O$20,DTR!O$4,FALSE))*1000,0)</f>
        <v>0</v>
      </c>
      <c r="P28" s="238">
        <f>IFERROR((HLOOKUP($AH28,Target_monthwise!$D$4:$O$20,DTR!P$4,FALSE))*1000,0)</f>
        <v>0</v>
      </c>
      <c r="Q28" s="141">
        <f>IFERROR((HLOOKUP($AH28,Target_monthwise!$D$4:$O$20,DTR!Q$4,FALSE))*1000,0)</f>
        <v>0</v>
      </c>
      <c r="R28" s="167">
        <f>IFERROR((HLOOKUP($AH28,Target_monthwise!$D$4:$O$20,DTR!R$4,FALSE))*1000,0)</f>
        <v>0</v>
      </c>
      <c r="S28" s="239">
        <f>IFERROR((HLOOKUP($AH28,Target_monthwise!$D$24:$O$40,DTR!S$4,FALSE)),0)</f>
        <v>0</v>
      </c>
      <c r="T28" s="239">
        <f>IFERROR((HLOOKUP($AH28,Target_monthwise!$D$24:$O$40,DTR!T$4,FALSE)),0)</f>
        <v>0</v>
      </c>
      <c r="U28" s="239">
        <f>IFERROR((HLOOKUP($AH28,Target_monthwise!$D$24:$O$40,DTR!U$4,FALSE)),0)</f>
        <v>0</v>
      </c>
      <c r="V28" s="239">
        <f>IFERROR((HLOOKUP($AH28,Target_monthwise!$D$24:$O$40,DTR!V$4,FALSE)),0)</f>
        <v>0</v>
      </c>
      <c r="W28" s="239">
        <f>IFERROR((HLOOKUP($AH28,Target_monthwise!$D$24:$O$40,DTR!W$4,FALSE)),0)</f>
        <v>0</v>
      </c>
      <c r="X28" s="239">
        <f>IFERROR((HLOOKUP($AH28,Target_monthwise!$D$24:$O$40,DTR!X$4,FALSE)),0)</f>
        <v>0</v>
      </c>
      <c r="Y28" s="239">
        <f>IFERROR((HLOOKUP($AH28,Target_monthwise!$D$24:$O$40,DTR!Y$4,FALSE)),0)</f>
        <v>0</v>
      </c>
      <c r="Z28" s="147">
        <f>IFERROR((HLOOKUP($AH28,Target_monthwise!$D$24:$O$40,DTR!Z$4,FALSE)),0)</f>
        <v>0</v>
      </c>
      <c r="AA28" s="147">
        <f>IFERROR((HLOOKUP($AH28,Target_monthwise!$D$24:$O$40,DTR!AA$4,FALSE)),0)</f>
        <v>0</v>
      </c>
      <c r="AB28" s="147">
        <f>IFERROR((HLOOKUP($AH28,Target_monthwise!$D$24:$O$40,DTR!AB$4,FALSE)),0)</f>
        <v>0</v>
      </c>
      <c r="AC28" s="239">
        <f>IFERROR((HLOOKUP($AH28,Target_monthwise!$D$24:$O$40,DTR!AC$4,FALSE)),0)</f>
        <v>0</v>
      </c>
      <c r="AD28" s="239">
        <f>IFERROR((HLOOKUP($AH28,Target_monthwise!$D$24:$O$40,DTR!AD$4,FALSE)),0)</f>
        <v>0</v>
      </c>
      <c r="AE28" s="239">
        <f>IFERROR((HLOOKUP($AH28,Target_monthwise!$D$24:$O$40,DTR!AE$4,FALSE)),0)</f>
        <v>0</v>
      </c>
      <c r="AF28" s="239">
        <f>IFERROR((HLOOKUP($AH28,Target_monthwise!$D$24:$O$40,DTR!AF$4,FALSE)),0)</f>
        <v>0</v>
      </c>
      <c r="AG28" s="172">
        <f>IFERROR((HLOOKUP($AH28,Target_monthwise!$D$24:$O$40,DTR!AG$4,FALSE)),0)</f>
        <v>0</v>
      </c>
      <c r="AH28" s="253">
        <f t="shared" si="0"/>
        <v>202204</v>
      </c>
    </row>
    <row r="29" spans="3:34" ht="15.75" hidden="1">
      <c r="C29" s="235">
        <v>44672</v>
      </c>
      <c r="D29" s="141">
        <f>IFERROR((HLOOKUP($AH29,Target_monthwise!$D$4:$O$20,DTR!D$4,FALSE))*1000,0)</f>
        <v>0</v>
      </c>
      <c r="E29" s="141">
        <f>IFERROR((HLOOKUP($AH29,Target_monthwise!$D$4:$O$20,DTR!E$4,FALSE))*1000,0)</f>
        <v>0</v>
      </c>
      <c r="F29" s="141">
        <f>IFERROR((HLOOKUP($AH29,Target_monthwise!$D$4:$O$20,DTR!F$4,FALSE))*1000,0)</f>
        <v>0</v>
      </c>
      <c r="G29" s="141">
        <f>IFERROR((HLOOKUP($AH29,Target_monthwise!$D$4:$O$20,DTR!G$4,FALSE))*1000,0)</f>
        <v>0</v>
      </c>
      <c r="H29" s="141">
        <f>IFERROR((HLOOKUP($AH29,Target_monthwise!$D$4:$O$20,DTR!H$4,FALSE))*1000,0)</f>
        <v>0</v>
      </c>
      <c r="I29" s="141">
        <f>IFERROR((HLOOKUP($AH29,Target_monthwise!$D$4:$O$20,DTR!I$4,FALSE))*1000,0)</f>
        <v>0</v>
      </c>
      <c r="J29" s="141">
        <f>IFERROR((HLOOKUP($AH29,Target_monthwise!$D$4:$O$20,DTR!J$4,FALSE))*1000,0)</f>
        <v>0</v>
      </c>
      <c r="K29" s="141">
        <f>IFERROR((HLOOKUP($AH29,Target_monthwise!$D$4:$O$20,DTR!K$4,FALSE))*1000,0)</f>
        <v>0</v>
      </c>
      <c r="L29" s="141">
        <f>IFERROR((HLOOKUP($AH29,Target_monthwise!$D$4:$O$20,DTR!L$4,FALSE))*1000,0)</f>
        <v>0</v>
      </c>
      <c r="M29" s="141">
        <f>IFERROR((HLOOKUP($AH29,Target_monthwise!$D$4:$O$20,DTR!M$4,FALSE))*1000,0)</f>
        <v>0</v>
      </c>
      <c r="N29" s="141">
        <f>IFERROR((HLOOKUP($AH29,Target_monthwise!$D$4:$O$20,DTR!N$4,FALSE))*1000,0)</f>
        <v>0</v>
      </c>
      <c r="O29" s="141">
        <f>IFERROR((HLOOKUP($AH29,Target_monthwise!$D$4:$O$20,DTR!O$4,FALSE))*1000,0)</f>
        <v>0</v>
      </c>
      <c r="P29" s="141">
        <f>IFERROR((HLOOKUP($AH29,Target_monthwise!$D$4:$O$20,DTR!P$4,FALSE))*1000,0)</f>
        <v>0</v>
      </c>
      <c r="Q29" s="141">
        <f>IFERROR((HLOOKUP($AH29,Target_monthwise!$D$4:$O$20,DTR!Q$4,FALSE))*1000,0)</f>
        <v>0</v>
      </c>
      <c r="R29" s="167">
        <f>IFERROR((HLOOKUP($AH29,Target_monthwise!$D$4:$O$20,DTR!R$4,FALSE))*1000,0)</f>
        <v>0</v>
      </c>
      <c r="S29" s="147">
        <f>IFERROR((HLOOKUP($AH29,Target_monthwise!$D$24:$O$40,DTR!S$4,FALSE)),0)</f>
        <v>0</v>
      </c>
      <c r="T29" s="147">
        <f>IFERROR((HLOOKUP($AH29,Target_monthwise!$D$24:$O$40,DTR!T$4,FALSE)),0)</f>
        <v>0</v>
      </c>
      <c r="U29" s="147">
        <f>IFERROR((HLOOKUP($AH29,Target_monthwise!$D$24:$O$40,DTR!U$4,FALSE)),0)</f>
        <v>0</v>
      </c>
      <c r="V29" s="147">
        <f>IFERROR((HLOOKUP($AH29,Target_monthwise!$D$24:$O$40,DTR!V$4,FALSE)),0)</f>
        <v>0</v>
      </c>
      <c r="W29" s="147">
        <f>IFERROR((HLOOKUP($AH29,Target_monthwise!$D$24:$O$40,DTR!W$4,FALSE)),0)</f>
        <v>0</v>
      </c>
      <c r="X29" s="147">
        <f>IFERROR((HLOOKUP($AH29,Target_monthwise!$D$24:$O$40,DTR!X$4,FALSE)),0)</f>
        <v>0</v>
      </c>
      <c r="Y29" s="147">
        <f>IFERROR((HLOOKUP($AH29,Target_monthwise!$D$24:$O$40,DTR!Y$4,FALSE)),0)</f>
        <v>0</v>
      </c>
      <c r="Z29" s="147">
        <f>IFERROR((HLOOKUP($AH29,Target_monthwise!$D$24:$O$40,DTR!Z$4,FALSE)),0)</f>
        <v>0</v>
      </c>
      <c r="AA29" s="147">
        <f>IFERROR((HLOOKUP($AH29,Target_monthwise!$D$24:$O$40,DTR!AA$4,FALSE)),0)</f>
        <v>0</v>
      </c>
      <c r="AB29" s="147">
        <f>IFERROR((HLOOKUP($AH29,Target_monthwise!$D$24:$O$40,DTR!AB$4,FALSE)),0)</f>
        <v>0</v>
      </c>
      <c r="AC29" s="147">
        <f>IFERROR((HLOOKUP($AH29,Target_monthwise!$D$24:$O$40,DTR!AC$4,FALSE)),0)</f>
        <v>0</v>
      </c>
      <c r="AD29" s="147">
        <f>IFERROR((HLOOKUP($AH29,Target_monthwise!$D$24:$O$40,DTR!AD$4,FALSE)),0)</f>
        <v>0</v>
      </c>
      <c r="AE29" s="147">
        <f>IFERROR((HLOOKUP($AH29,Target_monthwise!$D$24:$O$40,DTR!AE$4,FALSE)),0)</f>
        <v>0</v>
      </c>
      <c r="AF29" s="147">
        <f>IFERROR((HLOOKUP($AH29,Target_monthwise!$D$24:$O$40,DTR!AF$4,FALSE)),0)</f>
        <v>0</v>
      </c>
      <c r="AG29" s="172">
        <f>IFERROR((HLOOKUP($AH29,Target_monthwise!$D$24:$O$40,DTR!AG$4,FALSE)),0)</f>
        <v>0</v>
      </c>
      <c r="AH29" s="253">
        <f t="shared" si="0"/>
        <v>202204</v>
      </c>
    </row>
    <row r="30" spans="3:34" ht="15.75" hidden="1">
      <c r="C30" s="237">
        <v>44673</v>
      </c>
      <c r="D30" s="238">
        <f>IFERROR((HLOOKUP($AH30,Target_monthwise!$D$4:$O$20,DTR!D$4,FALSE))*1000,0)</f>
        <v>0</v>
      </c>
      <c r="E30" s="238">
        <f>IFERROR((HLOOKUP($AH30,Target_monthwise!$D$4:$O$20,DTR!E$4,FALSE))*1000,0)</f>
        <v>0</v>
      </c>
      <c r="F30" s="238">
        <f>IFERROR((HLOOKUP($AH30,Target_monthwise!$D$4:$O$20,DTR!F$4,FALSE))*1000,0)</f>
        <v>0</v>
      </c>
      <c r="G30" s="238">
        <f>IFERROR((HLOOKUP($AH30,Target_monthwise!$D$4:$O$20,DTR!G$4,FALSE))*1000,0)</f>
        <v>0</v>
      </c>
      <c r="H30" s="238">
        <f>IFERROR((HLOOKUP($AH30,Target_monthwise!$D$4:$O$20,DTR!H$4,FALSE))*1000,0)</f>
        <v>0</v>
      </c>
      <c r="I30" s="238">
        <f>IFERROR((HLOOKUP($AH30,Target_monthwise!$D$4:$O$20,DTR!I$4,FALSE))*1000,0)</f>
        <v>0</v>
      </c>
      <c r="J30" s="238">
        <f>IFERROR((HLOOKUP($AH30,Target_monthwise!$D$4:$O$20,DTR!J$4,FALSE))*1000,0)</f>
        <v>0</v>
      </c>
      <c r="K30" s="238">
        <f>IFERROR((HLOOKUP($AH30,Target_monthwise!$D$4:$O$20,DTR!K$4,FALSE))*1000,0)</f>
        <v>0</v>
      </c>
      <c r="L30" s="238">
        <f>IFERROR((HLOOKUP($AH30,Target_monthwise!$D$4:$O$20,DTR!L$4,FALSE))*1000,0)</f>
        <v>0</v>
      </c>
      <c r="M30" s="238">
        <f>IFERROR((HLOOKUP($AH30,Target_monthwise!$D$4:$O$20,DTR!M$4,FALSE))*1000,0)</f>
        <v>0</v>
      </c>
      <c r="N30" s="238">
        <f>IFERROR((HLOOKUP($AH30,Target_monthwise!$D$4:$O$20,DTR!N$4,FALSE))*1000,0)</f>
        <v>0</v>
      </c>
      <c r="O30" s="238">
        <f>IFERROR((HLOOKUP($AH30,Target_monthwise!$D$4:$O$20,DTR!O$4,FALSE))*1000,0)</f>
        <v>0</v>
      </c>
      <c r="P30" s="238">
        <f>IFERROR((HLOOKUP($AH30,Target_monthwise!$D$4:$O$20,DTR!P$4,FALSE))*1000,0)</f>
        <v>0</v>
      </c>
      <c r="Q30" s="141">
        <f>IFERROR((HLOOKUP($AH30,Target_monthwise!$D$4:$O$20,DTR!Q$4,FALSE))*1000,0)</f>
        <v>0</v>
      </c>
      <c r="R30" s="167">
        <f>IFERROR((HLOOKUP($AH30,Target_monthwise!$D$4:$O$20,DTR!R$4,FALSE))*1000,0)</f>
        <v>0</v>
      </c>
      <c r="S30" s="239">
        <f>IFERROR((HLOOKUP($AH30,Target_monthwise!$D$24:$O$40,DTR!S$4,FALSE)),0)</f>
        <v>0</v>
      </c>
      <c r="T30" s="239">
        <f>IFERROR((HLOOKUP($AH30,Target_monthwise!$D$24:$O$40,DTR!T$4,FALSE)),0)</f>
        <v>0</v>
      </c>
      <c r="U30" s="239">
        <f>IFERROR((HLOOKUP($AH30,Target_monthwise!$D$24:$O$40,DTR!U$4,FALSE)),0)</f>
        <v>0</v>
      </c>
      <c r="V30" s="239">
        <f>IFERROR((HLOOKUP($AH30,Target_monthwise!$D$24:$O$40,DTR!V$4,FALSE)),0)</f>
        <v>0</v>
      </c>
      <c r="W30" s="239">
        <f>IFERROR((HLOOKUP($AH30,Target_monthwise!$D$24:$O$40,DTR!W$4,FALSE)),0)</f>
        <v>0</v>
      </c>
      <c r="X30" s="239">
        <f>IFERROR((HLOOKUP($AH30,Target_monthwise!$D$24:$O$40,DTR!X$4,FALSE)),0)</f>
        <v>0</v>
      </c>
      <c r="Y30" s="239">
        <f>IFERROR((HLOOKUP($AH30,Target_monthwise!$D$24:$O$40,DTR!Y$4,FALSE)),0)</f>
        <v>0</v>
      </c>
      <c r="Z30" s="147">
        <f>IFERROR((HLOOKUP($AH30,Target_monthwise!$D$24:$O$40,DTR!Z$4,FALSE)),0)</f>
        <v>0</v>
      </c>
      <c r="AA30" s="147">
        <f>IFERROR((HLOOKUP($AH30,Target_monthwise!$D$24:$O$40,DTR!AA$4,FALSE)),0)</f>
        <v>0</v>
      </c>
      <c r="AB30" s="147">
        <f>IFERROR((HLOOKUP($AH30,Target_monthwise!$D$24:$O$40,DTR!AB$4,FALSE)),0)</f>
        <v>0</v>
      </c>
      <c r="AC30" s="239">
        <f>IFERROR((HLOOKUP($AH30,Target_monthwise!$D$24:$O$40,DTR!AC$4,FALSE)),0)</f>
        <v>0</v>
      </c>
      <c r="AD30" s="239">
        <f>IFERROR((HLOOKUP($AH30,Target_monthwise!$D$24:$O$40,DTR!AD$4,FALSE)),0)</f>
        <v>0</v>
      </c>
      <c r="AE30" s="239">
        <f>IFERROR((HLOOKUP($AH30,Target_monthwise!$D$24:$O$40,DTR!AE$4,FALSE)),0)</f>
        <v>0</v>
      </c>
      <c r="AF30" s="239">
        <f>IFERROR((HLOOKUP($AH30,Target_monthwise!$D$24:$O$40,DTR!AF$4,FALSE)),0)</f>
        <v>0</v>
      </c>
      <c r="AG30" s="172">
        <f>IFERROR((HLOOKUP($AH30,Target_monthwise!$D$24:$O$40,DTR!AG$4,FALSE)),0)</f>
        <v>0</v>
      </c>
      <c r="AH30" s="253">
        <f t="shared" si="0"/>
        <v>202204</v>
      </c>
    </row>
    <row r="31" spans="3:34" ht="15.75" hidden="1">
      <c r="C31" s="235">
        <v>44674</v>
      </c>
      <c r="D31" s="141">
        <f>IFERROR((HLOOKUP($AH31,Target_monthwise!$D$4:$O$20,DTR!D$4,FALSE))*1000,0)</f>
        <v>0</v>
      </c>
      <c r="E31" s="141">
        <f>IFERROR((HLOOKUP($AH31,Target_monthwise!$D$4:$O$20,DTR!E$4,FALSE))*1000,0)</f>
        <v>0</v>
      </c>
      <c r="F31" s="141">
        <f>IFERROR((HLOOKUP($AH31,Target_monthwise!$D$4:$O$20,DTR!F$4,FALSE))*1000,0)</f>
        <v>0</v>
      </c>
      <c r="G31" s="141">
        <f>IFERROR((HLOOKUP($AH31,Target_monthwise!$D$4:$O$20,DTR!G$4,FALSE))*1000,0)</f>
        <v>0</v>
      </c>
      <c r="H31" s="141">
        <f>IFERROR((HLOOKUP($AH31,Target_monthwise!$D$4:$O$20,DTR!H$4,FALSE))*1000,0)</f>
        <v>0</v>
      </c>
      <c r="I31" s="141">
        <f>IFERROR((HLOOKUP($AH31,Target_monthwise!$D$4:$O$20,DTR!I$4,FALSE))*1000,0)</f>
        <v>0</v>
      </c>
      <c r="J31" s="141">
        <f>IFERROR((HLOOKUP($AH31,Target_monthwise!$D$4:$O$20,DTR!J$4,FALSE))*1000,0)</f>
        <v>0</v>
      </c>
      <c r="K31" s="141">
        <f>IFERROR((HLOOKUP($AH31,Target_monthwise!$D$4:$O$20,DTR!K$4,FALSE))*1000,0)</f>
        <v>0</v>
      </c>
      <c r="L31" s="141">
        <f>IFERROR((HLOOKUP($AH31,Target_monthwise!$D$4:$O$20,DTR!L$4,FALSE))*1000,0)</f>
        <v>0</v>
      </c>
      <c r="M31" s="141">
        <f>IFERROR((HLOOKUP($AH31,Target_monthwise!$D$4:$O$20,DTR!M$4,FALSE))*1000,0)</f>
        <v>0</v>
      </c>
      <c r="N31" s="141">
        <f>IFERROR((HLOOKUP($AH31,Target_monthwise!$D$4:$O$20,DTR!N$4,FALSE))*1000,0)</f>
        <v>0</v>
      </c>
      <c r="O31" s="141">
        <f>IFERROR((HLOOKUP($AH31,Target_monthwise!$D$4:$O$20,DTR!O$4,FALSE))*1000,0)</f>
        <v>0</v>
      </c>
      <c r="P31" s="141">
        <f>IFERROR((HLOOKUP($AH31,Target_monthwise!$D$4:$O$20,DTR!P$4,FALSE))*1000,0)</f>
        <v>0</v>
      </c>
      <c r="Q31" s="141">
        <f>IFERROR((HLOOKUP($AH31,Target_monthwise!$D$4:$O$20,DTR!Q$4,FALSE))*1000,0)</f>
        <v>0</v>
      </c>
      <c r="R31" s="167">
        <f>IFERROR((HLOOKUP($AH31,Target_monthwise!$D$4:$O$20,DTR!R$4,FALSE))*1000,0)</f>
        <v>0</v>
      </c>
      <c r="S31" s="147">
        <f>IFERROR((HLOOKUP($AH31,Target_monthwise!$D$24:$O$40,DTR!S$4,FALSE)),0)</f>
        <v>0</v>
      </c>
      <c r="T31" s="147">
        <f>IFERROR((HLOOKUP($AH31,Target_monthwise!$D$24:$O$40,DTR!T$4,FALSE)),0)</f>
        <v>0</v>
      </c>
      <c r="U31" s="147">
        <f>IFERROR((HLOOKUP($AH31,Target_monthwise!$D$24:$O$40,DTR!U$4,FALSE)),0)</f>
        <v>0</v>
      </c>
      <c r="V31" s="147">
        <f>IFERROR((HLOOKUP($AH31,Target_monthwise!$D$24:$O$40,DTR!V$4,FALSE)),0)</f>
        <v>0</v>
      </c>
      <c r="W31" s="147">
        <f>IFERROR((HLOOKUP($AH31,Target_monthwise!$D$24:$O$40,DTR!W$4,FALSE)),0)</f>
        <v>0</v>
      </c>
      <c r="X31" s="147">
        <f>IFERROR((HLOOKUP($AH31,Target_monthwise!$D$24:$O$40,DTR!X$4,FALSE)),0)</f>
        <v>0</v>
      </c>
      <c r="Y31" s="147">
        <f>IFERROR((HLOOKUP($AH31,Target_monthwise!$D$24:$O$40,DTR!Y$4,FALSE)),0)</f>
        <v>0</v>
      </c>
      <c r="Z31" s="147">
        <f>IFERROR((HLOOKUP($AH31,Target_monthwise!$D$24:$O$40,DTR!Z$4,FALSE)),0)</f>
        <v>0</v>
      </c>
      <c r="AA31" s="147">
        <f>IFERROR((HLOOKUP($AH31,Target_monthwise!$D$24:$O$40,DTR!AA$4,FALSE)),0)</f>
        <v>0</v>
      </c>
      <c r="AB31" s="147">
        <f>IFERROR((HLOOKUP($AH31,Target_monthwise!$D$24:$O$40,DTR!AB$4,FALSE)),0)</f>
        <v>0</v>
      </c>
      <c r="AC31" s="147">
        <f>IFERROR((HLOOKUP($AH31,Target_monthwise!$D$24:$O$40,DTR!AC$4,FALSE)),0)</f>
        <v>0</v>
      </c>
      <c r="AD31" s="147">
        <f>IFERROR((HLOOKUP($AH31,Target_monthwise!$D$24:$O$40,DTR!AD$4,FALSE)),0)</f>
        <v>0</v>
      </c>
      <c r="AE31" s="147">
        <f>IFERROR((HLOOKUP($AH31,Target_monthwise!$D$24:$O$40,DTR!AE$4,FALSE)),0)</f>
        <v>0</v>
      </c>
      <c r="AF31" s="147">
        <f>IFERROR((HLOOKUP($AH31,Target_monthwise!$D$24:$O$40,DTR!AF$4,FALSE)),0)</f>
        <v>0</v>
      </c>
      <c r="AG31" s="172">
        <f>IFERROR((HLOOKUP($AH31,Target_monthwise!$D$24:$O$40,DTR!AG$4,FALSE)),0)</f>
        <v>0</v>
      </c>
      <c r="AH31" s="253">
        <f t="shared" si="0"/>
        <v>202204</v>
      </c>
    </row>
    <row r="32" spans="3:34" ht="15.75" hidden="1">
      <c r="C32" s="237">
        <v>44675</v>
      </c>
      <c r="D32" s="238">
        <f>IFERROR((HLOOKUP($AH32,Target_monthwise!$D$4:$O$20,DTR!D$4,FALSE))*1000,0)</f>
        <v>0</v>
      </c>
      <c r="E32" s="238">
        <f>IFERROR((HLOOKUP($AH32,Target_monthwise!$D$4:$O$20,DTR!E$4,FALSE))*1000,0)</f>
        <v>0</v>
      </c>
      <c r="F32" s="238">
        <f>IFERROR((HLOOKUP($AH32,Target_monthwise!$D$4:$O$20,DTR!F$4,FALSE))*1000,0)</f>
        <v>0</v>
      </c>
      <c r="G32" s="238">
        <f>IFERROR((HLOOKUP($AH32,Target_monthwise!$D$4:$O$20,DTR!G$4,FALSE))*1000,0)</f>
        <v>0</v>
      </c>
      <c r="H32" s="238">
        <f>IFERROR((HLOOKUP($AH32,Target_monthwise!$D$4:$O$20,DTR!H$4,FALSE))*1000,0)</f>
        <v>0</v>
      </c>
      <c r="I32" s="238">
        <f>IFERROR((HLOOKUP($AH32,Target_monthwise!$D$4:$O$20,DTR!I$4,FALSE))*1000,0)</f>
        <v>0</v>
      </c>
      <c r="J32" s="238">
        <f>IFERROR((HLOOKUP($AH32,Target_monthwise!$D$4:$O$20,DTR!J$4,FALSE))*1000,0)</f>
        <v>0</v>
      </c>
      <c r="K32" s="238">
        <f>IFERROR((HLOOKUP($AH32,Target_monthwise!$D$4:$O$20,DTR!K$4,FALSE))*1000,0)</f>
        <v>0</v>
      </c>
      <c r="L32" s="238">
        <f>IFERROR((HLOOKUP($AH32,Target_monthwise!$D$4:$O$20,DTR!L$4,FALSE))*1000,0)</f>
        <v>0</v>
      </c>
      <c r="M32" s="238">
        <f>IFERROR((HLOOKUP($AH32,Target_monthwise!$D$4:$O$20,DTR!M$4,FALSE))*1000,0)</f>
        <v>0</v>
      </c>
      <c r="N32" s="238">
        <f>IFERROR((HLOOKUP($AH32,Target_monthwise!$D$4:$O$20,DTR!N$4,FALSE))*1000,0)</f>
        <v>0</v>
      </c>
      <c r="O32" s="238">
        <f>IFERROR((HLOOKUP($AH32,Target_monthwise!$D$4:$O$20,DTR!O$4,FALSE))*1000,0)</f>
        <v>0</v>
      </c>
      <c r="P32" s="238">
        <f>IFERROR((HLOOKUP($AH32,Target_monthwise!$D$4:$O$20,DTR!P$4,FALSE))*1000,0)</f>
        <v>0</v>
      </c>
      <c r="Q32" s="141">
        <f>IFERROR((HLOOKUP($AH32,Target_monthwise!$D$4:$O$20,DTR!Q$4,FALSE))*1000,0)</f>
        <v>0</v>
      </c>
      <c r="R32" s="167">
        <f>IFERROR((HLOOKUP($AH32,Target_monthwise!$D$4:$O$20,DTR!R$4,FALSE))*1000,0)</f>
        <v>0</v>
      </c>
      <c r="S32" s="239">
        <f>IFERROR((HLOOKUP($AH32,Target_monthwise!$D$24:$O$40,DTR!S$4,FALSE)),0)</f>
        <v>0</v>
      </c>
      <c r="T32" s="239">
        <f>IFERROR((HLOOKUP($AH32,Target_monthwise!$D$24:$O$40,DTR!T$4,FALSE)),0)</f>
        <v>0</v>
      </c>
      <c r="U32" s="239">
        <f>IFERROR((HLOOKUP($AH32,Target_monthwise!$D$24:$O$40,DTR!U$4,FALSE)),0)</f>
        <v>0</v>
      </c>
      <c r="V32" s="239">
        <f>IFERROR((HLOOKUP($AH32,Target_monthwise!$D$24:$O$40,DTR!V$4,FALSE)),0)</f>
        <v>0</v>
      </c>
      <c r="W32" s="239">
        <f>IFERROR((HLOOKUP($AH32,Target_monthwise!$D$24:$O$40,DTR!W$4,FALSE)),0)</f>
        <v>0</v>
      </c>
      <c r="X32" s="239">
        <f>IFERROR((HLOOKUP($AH32,Target_monthwise!$D$24:$O$40,DTR!X$4,FALSE)),0)</f>
        <v>0</v>
      </c>
      <c r="Y32" s="239">
        <f>IFERROR((HLOOKUP($AH32,Target_monthwise!$D$24:$O$40,DTR!Y$4,FALSE)),0)</f>
        <v>0</v>
      </c>
      <c r="Z32" s="147">
        <f>IFERROR((HLOOKUP($AH32,Target_monthwise!$D$24:$O$40,DTR!Z$4,FALSE)),0)</f>
        <v>0</v>
      </c>
      <c r="AA32" s="147">
        <f>IFERROR((HLOOKUP($AH32,Target_monthwise!$D$24:$O$40,DTR!AA$4,FALSE)),0)</f>
        <v>0</v>
      </c>
      <c r="AB32" s="147">
        <f>IFERROR((HLOOKUP($AH32,Target_monthwise!$D$24:$O$40,DTR!AB$4,FALSE)),0)</f>
        <v>0</v>
      </c>
      <c r="AC32" s="239">
        <f>IFERROR((HLOOKUP($AH32,Target_monthwise!$D$24:$O$40,DTR!AC$4,FALSE)),0)</f>
        <v>0</v>
      </c>
      <c r="AD32" s="239">
        <f>IFERROR((HLOOKUP($AH32,Target_monthwise!$D$24:$O$40,DTR!AD$4,FALSE)),0)</f>
        <v>0</v>
      </c>
      <c r="AE32" s="239">
        <f>IFERROR((HLOOKUP($AH32,Target_monthwise!$D$24:$O$40,DTR!AE$4,FALSE)),0)</f>
        <v>0</v>
      </c>
      <c r="AF32" s="239">
        <f>IFERROR((HLOOKUP($AH32,Target_monthwise!$D$24:$O$40,DTR!AF$4,FALSE)),0)</f>
        <v>0</v>
      </c>
      <c r="AG32" s="172">
        <f>IFERROR((HLOOKUP($AH32,Target_monthwise!$D$24:$O$40,DTR!AG$4,FALSE)),0)</f>
        <v>0</v>
      </c>
      <c r="AH32" s="253">
        <f t="shared" si="0"/>
        <v>202204</v>
      </c>
    </row>
    <row r="33" spans="3:34" ht="15.75" hidden="1">
      <c r="C33" s="235">
        <v>44676</v>
      </c>
      <c r="D33" s="141">
        <f>IFERROR((HLOOKUP($AH33,Target_monthwise!$D$4:$O$20,DTR!D$4,FALSE))*1000,0)</f>
        <v>0</v>
      </c>
      <c r="E33" s="141">
        <f>IFERROR((HLOOKUP($AH33,Target_monthwise!$D$4:$O$20,DTR!E$4,FALSE))*1000,0)</f>
        <v>0</v>
      </c>
      <c r="F33" s="141">
        <f>IFERROR((HLOOKUP($AH33,Target_monthwise!$D$4:$O$20,DTR!F$4,FALSE))*1000,0)</f>
        <v>0</v>
      </c>
      <c r="G33" s="141">
        <f>IFERROR((HLOOKUP($AH33,Target_monthwise!$D$4:$O$20,DTR!G$4,FALSE))*1000,0)</f>
        <v>0</v>
      </c>
      <c r="H33" s="141">
        <f>IFERROR((HLOOKUP($AH33,Target_monthwise!$D$4:$O$20,DTR!H$4,FALSE))*1000,0)</f>
        <v>0</v>
      </c>
      <c r="I33" s="141">
        <f>IFERROR((HLOOKUP($AH33,Target_monthwise!$D$4:$O$20,DTR!I$4,FALSE))*1000,0)</f>
        <v>0</v>
      </c>
      <c r="J33" s="141">
        <f>IFERROR((HLOOKUP($AH33,Target_monthwise!$D$4:$O$20,DTR!J$4,FALSE))*1000,0)</f>
        <v>0</v>
      </c>
      <c r="K33" s="141">
        <f>IFERROR((HLOOKUP($AH33,Target_monthwise!$D$4:$O$20,DTR!K$4,FALSE))*1000,0)</f>
        <v>0</v>
      </c>
      <c r="L33" s="141">
        <f>IFERROR((HLOOKUP($AH33,Target_monthwise!$D$4:$O$20,DTR!L$4,FALSE))*1000,0)</f>
        <v>0</v>
      </c>
      <c r="M33" s="141">
        <f>IFERROR((HLOOKUP($AH33,Target_monthwise!$D$4:$O$20,DTR!M$4,FALSE))*1000,0)</f>
        <v>0</v>
      </c>
      <c r="N33" s="141">
        <f>IFERROR((HLOOKUP($AH33,Target_monthwise!$D$4:$O$20,DTR!N$4,FALSE))*1000,0)</f>
        <v>0</v>
      </c>
      <c r="O33" s="141">
        <f>IFERROR((HLOOKUP($AH33,Target_monthwise!$D$4:$O$20,DTR!O$4,FALSE))*1000,0)</f>
        <v>0</v>
      </c>
      <c r="P33" s="141">
        <f>IFERROR((HLOOKUP($AH33,Target_monthwise!$D$4:$O$20,DTR!P$4,FALSE))*1000,0)</f>
        <v>0</v>
      </c>
      <c r="Q33" s="141">
        <f>IFERROR((HLOOKUP($AH33,Target_monthwise!$D$4:$O$20,DTR!Q$4,FALSE))*1000,0)</f>
        <v>0</v>
      </c>
      <c r="R33" s="167">
        <f>IFERROR((HLOOKUP($AH33,Target_monthwise!$D$4:$O$20,DTR!R$4,FALSE))*1000,0)</f>
        <v>0</v>
      </c>
      <c r="S33" s="147">
        <f>IFERROR((HLOOKUP($AH33,Target_monthwise!$D$24:$O$40,DTR!S$4,FALSE)),0)</f>
        <v>0</v>
      </c>
      <c r="T33" s="147">
        <f>IFERROR((HLOOKUP($AH33,Target_monthwise!$D$24:$O$40,DTR!T$4,FALSE)),0)</f>
        <v>0</v>
      </c>
      <c r="U33" s="147">
        <f>IFERROR((HLOOKUP($AH33,Target_monthwise!$D$24:$O$40,DTR!U$4,FALSE)),0)</f>
        <v>0</v>
      </c>
      <c r="V33" s="147">
        <f>IFERROR((HLOOKUP($AH33,Target_monthwise!$D$24:$O$40,DTR!V$4,FALSE)),0)</f>
        <v>0</v>
      </c>
      <c r="W33" s="147">
        <f>IFERROR((HLOOKUP($AH33,Target_monthwise!$D$24:$O$40,DTR!W$4,FALSE)),0)</f>
        <v>0</v>
      </c>
      <c r="X33" s="147">
        <f>IFERROR((HLOOKUP($AH33,Target_monthwise!$D$24:$O$40,DTR!X$4,FALSE)),0)</f>
        <v>0</v>
      </c>
      <c r="Y33" s="147">
        <f>IFERROR((HLOOKUP($AH33,Target_monthwise!$D$24:$O$40,DTR!Y$4,FALSE)),0)</f>
        <v>0</v>
      </c>
      <c r="Z33" s="147">
        <f>IFERROR((HLOOKUP($AH33,Target_monthwise!$D$24:$O$40,DTR!Z$4,FALSE)),0)</f>
        <v>0</v>
      </c>
      <c r="AA33" s="147">
        <f>IFERROR((HLOOKUP($AH33,Target_monthwise!$D$24:$O$40,DTR!AA$4,FALSE)),0)</f>
        <v>0</v>
      </c>
      <c r="AB33" s="147">
        <f>IFERROR((HLOOKUP($AH33,Target_monthwise!$D$24:$O$40,DTR!AB$4,FALSE)),0)</f>
        <v>0</v>
      </c>
      <c r="AC33" s="147">
        <f>IFERROR((HLOOKUP($AH33,Target_monthwise!$D$24:$O$40,DTR!AC$4,FALSE)),0)</f>
        <v>0</v>
      </c>
      <c r="AD33" s="147">
        <f>IFERROR((HLOOKUP($AH33,Target_monthwise!$D$24:$O$40,DTR!AD$4,FALSE)),0)</f>
        <v>0</v>
      </c>
      <c r="AE33" s="147">
        <f>IFERROR((HLOOKUP($AH33,Target_monthwise!$D$24:$O$40,DTR!AE$4,FALSE)),0)</f>
        <v>0</v>
      </c>
      <c r="AF33" s="147">
        <f>IFERROR((HLOOKUP($AH33,Target_monthwise!$D$24:$O$40,DTR!AF$4,FALSE)),0)</f>
        <v>0</v>
      </c>
      <c r="AG33" s="172">
        <f>IFERROR((HLOOKUP($AH33,Target_monthwise!$D$24:$O$40,DTR!AG$4,FALSE)),0)</f>
        <v>0</v>
      </c>
      <c r="AH33" s="253">
        <f t="shared" si="0"/>
        <v>202204</v>
      </c>
    </row>
    <row r="34" spans="3:34" ht="15.75" hidden="1">
      <c r="C34" s="237">
        <v>44677</v>
      </c>
      <c r="D34" s="238">
        <f>IFERROR((HLOOKUP($AH34,Target_monthwise!$D$4:$O$20,DTR!D$4,FALSE))*1000,0)</f>
        <v>0</v>
      </c>
      <c r="E34" s="238">
        <f>IFERROR((HLOOKUP($AH34,Target_monthwise!$D$4:$O$20,DTR!E$4,FALSE))*1000,0)</f>
        <v>0</v>
      </c>
      <c r="F34" s="238">
        <f>IFERROR((HLOOKUP($AH34,Target_monthwise!$D$4:$O$20,DTR!F$4,FALSE))*1000,0)</f>
        <v>0</v>
      </c>
      <c r="G34" s="238">
        <f>IFERROR((HLOOKUP($AH34,Target_monthwise!$D$4:$O$20,DTR!G$4,FALSE))*1000,0)</f>
        <v>0</v>
      </c>
      <c r="H34" s="238">
        <f>IFERROR((HLOOKUP($AH34,Target_monthwise!$D$4:$O$20,DTR!H$4,FALSE))*1000,0)</f>
        <v>0</v>
      </c>
      <c r="I34" s="238">
        <f>IFERROR((HLOOKUP($AH34,Target_monthwise!$D$4:$O$20,DTR!I$4,FALSE))*1000,0)</f>
        <v>0</v>
      </c>
      <c r="J34" s="238">
        <f>IFERROR((HLOOKUP($AH34,Target_monthwise!$D$4:$O$20,DTR!J$4,FALSE))*1000,0)</f>
        <v>0</v>
      </c>
      <c r="K34" s="238">
        <f>IFERROR((HLOOKUP($AH34,Target_monthwise!$D$4:$O$20,DTR!K$4,FALSE))*1000,0)</f>
        <v>0</v>
      </c>
      <c r="L34" s="238">
        <f>IFERROR((HLOOKUP($AH34,Target_monthwise!$D$4:$O$20,DTR!L$4,FALSE))*1000,0)</f>
        <v>0</v>
      </c>
      <c r="M34" s="238">
        <f>IFERROR((HLOOKUP($AH34,Target_monthwise!$D$4:$O$20,DTR!M$4,FALSE))*1000,0)</f>
        <v>0</v>
      </c>
      <c r="N34" s="238">
        <f>IFERROR((HLOOKUP($AH34,Target_monthwise!$D$4:$O$20,DTR!N$4,FALSE))*1000,0)</f>
        <v>0</v>
      </c>
      <c r="O34" s="238">
        <f>IFERROR((HLOOKUP($AH34,Target_monthwise!$D$4:$O$20,DTR!O$4,FALSE))*1000,0)</f>
        <v>0</v>
      </c>
      <c r="P34" s="238">
        <f>IFERROR((HLOOKUP($AH34,Target_monthwise!$D$4:$O$20,DTR!P$4,FALSE))*1000,0)</f>
        <v>0</v>
      </c>
      <c r="Q34" s="141">
        <f>IFERROR((HLOOKUP($AH34,Target_monthwise!$D$4:$O$20,DTR!Q$4,FALSE))*1000,0)</f>
        <v>0</v>
      </c>
      <c r="R34" s="167">
        <f>IFERROR((HLOOKUP($AH34,Target_monthwise!$D$4:$O$20,DTR!R$4,FALSE))*1000,0)</f>
        <v>0</v>
      </c>
      <c r="S34" s="239">
        <f>IFERROR((HLOOKUP($AH34,Target_monthwise!$D$24:$O$40,DTR!S$4,FALSE)),0)</f>
        <v>0</v>
      </c>
      <c r="T34" s="239">
        <f>IFERROR((HLOOKUP($AH34,Target_monthwise!$D$24:$O$40,DTR!T$4,FALSE)),0)</f>
        <v>0</v>
      </c>
      <c r="U34" s="239">
        <f>IFERROR((HLOOKUP($AH34,Target_monthwise!$D$24:$O$40,DTR!U$4,FALSE)),0)</f>
        <v>0</v>
      </c>
      <c r="V34" s="239">
        <f>IFERROR((HLOOKUP($AH34,Target_monthwise!$D$24:$O$40,DTR!V$4,FALSE)),0)</f>
        <v>0</v>
      </c>
      <c r="W34" s="239">
        <f>IFERROR((HLOOKUP($AH34,Target_monthwise!$D$24:$O$40,DTR!W$4,FALSE)),0)</f>
        <v>0</v>
      </c>
      <c r="X34" s="239">
        <f>IFERROR((HLOOKUP($AH34,Target_monthwise!$D$24:$O$40,DTR!X$4,FALSE)),0)</f>
        <v>0</v>
      </c>
      <c r="Y34" s="239">
        <f>IFERROR((HLOOKUP($AH34,Target_monthwise!$D$24:$O$40,DTR!Y$4,FALSE)),0)</f>
        <v>0</v>
      </c>
      <c r="Z34" s="147">
        <f>IFERROR((HLOOKUP($AH34,Target_monthwise!$D$24:$O$40,DTR!Z$4,FALSE)),0)</f>
        <v>0</v>
      </c>
      <c r="AA34" s="147">
        <f>IFERROR((HLOOKUP($AH34,Target_monthwise!$D$24:$O$40,DTR!AA$4,FALSE)),0)</f>
        <v>0</v>
      </c>
      <c r="AB34" s="147">
        <f>IFERROR((HLOOKUP($AH34,Target_monthwise!$D$24:$O$40,DTR!AB$4,FALSE)),0)</f>
        <v>0</v>
      </c>
      <c r="AC34" s="239">
        <f>IFERROR((HLOOKUP($AH34,Target_monthwise!$D$24:$O$40,DTR!AC$4,FALSE)),0)</f>
        <v>0</v>
      </c>
      <c r="AD34" s="239">
        <f>IFERROR((HLOOKUP($AH34,Target_monthwise!$D$24:$O$40,DTR!AD$4,FALSE)),0)</f>
        <v>0</v>
      </c>
      <c r="AE34" s="239">
        <f>IFERROR((HLOOKUP($AH34,Target_monthwise!$D$24:$O$40,DTR!AE$4,FALSE)),0)</f>
        <v>0</v>
      </c>
      <c r="AF34" s="239">
        <f>IFERROR((HLOOKUP($AH34,Target_monthwise!$D$24:$O$40,DTR!AF$4,FALSE)),0)</f>
        <v>0</v>
      </c>
      <c r="AG34" s="172">
        <f>IFERROR((HLOOKUP($AH34,Target_monthwise!$D$24:$O$40,DTR!AG$4,FALSE)),0)</f>
        <v>0</v>
      </c>
      <c r="AH34" s="253">
        <f t="shared" si="0"/>
        <v>202204</v>
      </c>
    </row>
    <row r="35" spans="3:34" ht="15.75" hidden="1">
      <c r="C35" s="235">
        <v>44678</v>
      </c>
      <c r="D35" s="141">
        <f>IFERROR((HLOOKUP($AH35,Target_monthwise!$D$4:$O$20,DTR!D$4,FALSE))*1000,0)</f>
        <v>0</v>
      </c>
      <c r="E35" s="141">
        <f>IFERROR((HLOOKUP($AH35,Target_monthwise!$D$4:$O$20,DTR!E$4,FALSE))*1000,0)</f>
        <v>0</v>
      </c>
      <c r="F35" s="141">
        <f>IFERROR((HLOOKUP($AH35,Target_monthwise!$D$4:$O$20,DTR!F$4,FALSE))*1000,0)</f>
        <v>0</v>
      </c>
      <c r="G35" s="141">
        <f>IFERROR((HLOOKUP($AH35,Target_monthwise!$D$4:$O$20,DTR!G$4,FALSE))*1000,0)</f>
        <v>0</v>
      </c>
      <c r="H35" s="141">
        <f>IFERROR((HLOOKUP($AH35,Target_monthwise!$D$4:$O$20,DTR!H$4,FALSE))*1000,0)</f>
        <v>0</v>
      </c>
      <c r="I35" s="141">
        <f>IFERROR((HLOOKUP($AH35,Target_monthwise!$D$4:$O$20,DTR!I$4,FALSE))*1000,0)</f>
        <v>0</v>
      </c>
      <c r="J35" s="141">
        <f>IFERROR((HLOOKUP($AH35,Target_monthwise!$D$4:$O$20,DTR!J$4,FALSE))*1000,0)</f>
        <v>0</v>
      </c>
      <c r="K35" s="141">
        <f>IFERROR((HLOOKUP($AH35,Target_monthwise!$D$4:$O$20,DTR!K$4,FALSE))*1000,0)</f>
        <v>0</v>
      </c>
      <c r="L35" s="141">
        <f>IFERROR((HLOOKUP($AH35,Target_monthwise!$D$4:$O$20,DTR!L$4,FALSE))*1000,0)</f>
        <v>0</v>
      </c>
      <c r="M35" s="141">
        <f>IFERROR((HLOOKUP($AH35,Target_monthwise!$D$4:$O$20,DTR!M$4,FALSE))*1000,0)</f>
        <v>0</v>
      </c>
      <c r="N35" s="141">
        <f>IFERROR((HLOOKUP($AH35,Target_monthwise!$D$4:$O$20,DTR!N$4,FALSE))*1000,0)</f>
        <v>0</v>
      </c>
      <c r="O35" s="141">
        <f>IFERROR((HLOOKUP($AH35,Target_monthwise!$D$4:$O$20,DTR!O$4,FALSE))*1000,0)</f>
        <v>0</v>
      </c>
      <c r="P35" s="141">
        <f>IFERROR((HLOOKUP($AH35,Target_monthwise!$D$4:$O$20,DTR!P$4,FALSE))*1000,0)</f>
        <v>0</v>
      </c>
      <c r="Q35" s="141">
        <f>IFERROR((HLOOKUP($AH35,Target_monthwise!$D$4:$O$20,DTR!Q$4,FALSE))*1000,0)</f>
        <v>0</v>
      </c>
      <c r="R35" s="167">
        <f>IFERROR((HLOOKUP($AH35,Target_monthwise!$D$4:$O$20,DTR!R$4,FALSE))*1000,0)</f>
        <v>0</v>
      </c>
      <c r="S35" s="147">
        <f>IFERROR((HLOOKUP($AH35,Target_monthwise!$D$24:$O$40,DTR!S$4,FALSE)),0)</f>
        <v>0</v>
      </c>
      <c r="T35" s="147">
        <f>IFERROR((HLOOKUP($AH35,Target_monthwise!$D$24:$O$40,DTR!T$4,FALSE)),0)</f>
        <v>0</v>
      </c>
      <c r="U35" s="147">
        <f>IFERROR((HLOOKUP($AH35,Target_monthwise!$D$24:$O$40,DTR!U$4,FALSE)),0)</f>
        <v>0</v>
      </c>
      <c r="V35" s="147">
        <f>IFERROR((HLOOKUP($AH35,Target_monthwise!$D$24:$O$40,DTR!V$4,FALSE)),0)</f>
        <v>0</v>
      </c>
      <c r="W35" s="147">
        <f>IFERROR((HLOOKUP($AH35,Target_monthwise!$D$24:$O$40,DTR!W$4,FALSE)),0)</f>
        <v>0</v>
      </c>
      <c r="X35" s="147">
        <f>IFERROR((HLOOKUP($AH35,Target_monthwise!$D$24:$O$40,DTR!X$4,FALSE)),0)</f>
        <v>0</v>
      </c>
      <c r="Y35" s="147">
        <f>IFERROR((HLOOKUP($AH35,Target_monthwise!$D$24:$O$40,DTR!Y$4,FALSE)),0)</f>
        <v>0</v>
      </c>
      <c r="Z35" s="147">
        <f>IFERROR((HLOOKUP($AH35,Target_monthwise!$D$24:$O$40,DTR!Z$4,FALSE)),0)</f>
        <v>0</v>
      </c>
      <c r="AA35" s="147">
        <f>IFERROR((HLOOKUP($AH35,Target_monthwise!$D$24:$O$40,DTR!AA$4,FALSE)),0)</f>
        <v>0</v>
      </c>
      <c r="AB35" s="147">
        <f>IFERROR((HLOOKUP($AH35,Target_monthwise!$D$24:$O$40,DTR!AB$4,FALSE)),0)</f>
        <v>0</v>
      </c>
      <c r="AC35" s="147">
        <f>IFERROR((HLOOKUP($AH35,Target_monthwise!$D$24:$O$40,DTR!AC$4,FALSE)),0)</f>
        <v>0</v>
      </c>
      <c r="AD35" s="147">
        <f>IFERROR((HLOOKUP($AH35,Target_monthwise!$D$24:$O$40,DTR!AD$4,FALSE)),0)</f>
        <v>0</v>
      </c>
      <c r="AE35" s="147">
        <f>IFERROR((HLOOKUP($AH35,Target_monthwise!$D$24:$O$40,DTR!AE$4,FALSE)),0)</f>
        <v>0</v>
      </c>
      <c r="AF35" s="147">
        <f>IFERROR((HLOOKUP($AH35,Target_monthwise!$D$24:$O$40,DTR!AF$4,FALSE)),0)</f>
        <v>0</v>
      </c>
      <c r="AG35" s="172">
        <f>IFERROR((HLOOKUP($AH35,Target_monthwise!$D$24:$O$40,DTR!AG$4,FALSE)),0)</f>
        <v>0</v>
      </c>
      <c r="AH35" s="253">
        <f t="shared" si="0"/>
        <v>202204</v>
      </c>
    </row>
    <row r="36" spans="3:34" ht="15.75" hidden="1">
      <c r="C36" s="237">
        <v>44679</v>
      </c>
      <c r="D36" s="238">
        <f>IFERROR((HLOOKUP($AH36,Target_monthwise!$D$4:$O$20,DTR!D$4,FALSE))*1000,0)</f>
        <v>0</v>
      </c>
      <c r="E36" s="238">
        <f>IFERROR((HLOOKUP($AH36,Target_monthwise!$D$4:$O$20,DTR!E$4,FALSE))*1000,0)</f>
        <v>0</v>
      </c>
      <c r="F36" s="238">
        <f>IFERROR((HLOOKUP($AH36,Target_monthwise!$D$4:$O$20,DTR!F$4,FALSE))*1000,0)</f>
        <v>0</v>
      </c>
      <c r="G36" s="238">
        <f>IFERROR((HLOOKUP($AH36,Target_monthwise!$D$4:$O$20,DTR!G$4,FALSE))*1000,0)</f>
        <v>0</v>
      </c>
      <c r="H36" s="238">
        <f>IFERROR((HLOOKUP($AH36,Target_monthwise!$D$4:$O$20,DTR!H$4,FALSE))*1000,0)</f>
        <v>0</v>
      </c>
      <c r="I36" s="238">
        <f>IFERROR((HLOOKUP($AH36,Target_monthwise!$D$4:$O$20,DTR!I$4,FALSE))*1000,0)</f>
        <v>0</v>
      </c>
      <c r="J36" s="238">
        <f>IFERROR((HLOOKUP($AH36,Target_monthwise!$D$4:$O$20,DTR!J$4,FALSE))*1000,0)</f>
        <v>0</v>
      </c>
      <c r="K36" s="238">
        <f>IFERROR((HLOOKUP($AH36,Target_monthwise!$D$4:$O$20,DTR!K$4,FALSE))*1000,0)</f>
        <v>0</v>
      </c>
      <c r="L36" s="238">
        <f>IFERROR((HLOOKUP($AH36,Target_monthwise!$D$4:$O$20,DTR!L$4,FALSE))*1000,0)</f>
        <v>0</v>
      </c>
      <c r="M36" s="238">
        <f>IFERROR((HLOOKUP($AH36,Target_monthwise!$D$4:$O$20,DTR!M$4,FALSE))*1000,0)</f>
        <v>0</v>
      </c>
      <c r="N36" s="238">
        <f>IFERROR((HLOOKUP($AH36,Target_monthwise!$D$4:$O$20,DTR!N$4,FALSE))*1000,0)</f>
        <v>0</v>
      </c>
      <c r="O36" s="238">
        <f>IFERROR((HLOOKUP($AH36,Target_monthwise!$D$4:$O$20,DTR!O$4,FALSE))*1000,0)</f>
        <v>0</v>
      </c>
      <c r="P36" s="238">
        <f>IFERROR((HLOOKUP($AH36,Target_monthwise!$D$4:$O$20,DTR!P$4,FALSE))*1000,0)</f>
        <v>0</v>
      </c>
      <c r="Q36" s="141">
        <f>IFERROR((HLOOKUP($AH36,Target_monthwise!$D$4:$O$20,DTR!Q$4,FALSE))*1000,0)</f>
        <v>0</v>
      </c>
      <c r="R36" s="167">
        <f>IFERROR((HLOOKUP($AH36,Target_monthwise!$D$4:$O$20,DTR!R$4,FALSE))*1000,0)</f>
        <v>0</v>
      </c>
      <c r="S36" s="239">
        <f>IFERROR((HLOOKUP($AH36,Target_monthwise!$D$24:$O$40,DTR!S$4,FALSE)),0)</f>
        <v>0</v>
      </c>
      <c r="T36" s="239">
        <f>IFERROR((HLOOKUP($AH36,Target_monthwise!$D$24:$O$40,DTR!T$4,FALSE)),0)</f>
        <v>0</v>
      </c>
      <c r="U36" s="239">
        <f>IFERROR((HLOOKUP($AH36,Target_monthwise!$D$24:$O$40,DTR!U$4,FALSE)),0)</f>
        <v>0</v>
      </c>
      <c r="V36" s="239">
        <f>IFERROR((HLOOKUP($AH36,Target_monthwise!$D$24:$O$40,DTR!V$4,FALSE)),0)</f>
        <v>0</v>
      </c>
      <c r="W36" s="239">
        <f>IFERROR((HLOOKUP($AH36,Target_monthwise!$D$24:$O$40,DTR!W$4,FALSE)),0)</f>
        <v>0</v>
      </c>
      <c r="X36" s="239">
        <f>IFERROR((HLOOKUP($AH36,Target_monthwise!$D$24:$O$40,DTR!X$4,FALSE)),0)</f>
        <v>0</v>
      </c>
      <c r="Y36" s="239">
        <f>IFERROR((HLOOKUP($AH36,Target_monthwise!$D$24:$O$40,DTR!Y$4,FALSE)),0)</f>
        <v>0</v>
      </c>
      <c r="Z36" s="147">
        <f>IFERROR((HLOOKUP($AH36,Target_monthwise!$D$24:$O$40,DTR!Z$4,FALSE)),0)</f>
        <v>0</v>
      </c>
      <c r="AA36" s="147">
        <f>IFERROR((HLOOKUP($AH36,Target_monthwise!$D$24:$O$40,DTR!AA$4,FALSE)),0)</f>
        <v>0</v>
      </c>
      <c r="AB36" s="147">
        <f>IFERROR((HLOOKUP($AH36,Target_monthwise!$D$24:$O$40,DTR!AB$4,FALSE)),0)</f>
        <v>0</v>
      </c>
      <c r="AC36" s="239">
        <f>IFERROR((HLOOKUP($AH36,Target_monthwise!$D$24:$O$40,DTR!AC$4,FALSE)),0)</f>
        <v>0</v>
      </c>
      <c r="AD36" s="239">
        <f>IFERROR((HLOOKUP($AH36,Target_monthwise!$D$24:$O$40,DTR!AD$4,FALSE)),0)</f>
        <v>0</v>
      </c>
      <c r="AE36" s="239">
        <f>IFERROR((HLOOKUP($AH36,Target_monthwise!$D$24:$O$40,DTR!AE$4,FALSE)),0)</f>
        <v>0</v>
      </c>
      <c r="AF36" s="239">
        <f>IFERROR((HLOOKUP($AH36,Target_monthwise!$D$24:$O$40,DTR!AF$4,FALSE)),0)</f>
        <v>0</v>
      </c>
      <c r="AG36" s="172">
        <f>IFERROR((HLOOKUP($AH36,Target_monthwise!$D$24:$O$40,DTR!AG$4,FALSE)),0)</f>
        <v>0</v>
      </c>
      <c r="AH36" s="253">
        <f t="shared" si="0"/>
        <v>202204</v>
      </c>
    </row>
    <row r="37" spans="3:34" ht="15.75" hidden="1">
      <c r="C37" s="235">
        <v>44680</v>
      </c>
      <c r="D37" s="141">
        <f>IFERROR((HLOOKUP($AH37,Target_monthwise!$D$4:$O$20,DTR!D$4,FALSE))*1000,0)</f>
        <v>0</v>
      </c>
      <c r="E37" s="141">
        <f>IFERROR((HLOOKUP($AH37,Target_monthwise!$D$4:$O$20,DTR!E$4,FALSE))*1000,0)</f>
        <v>0</v>
      </c>
      <c r="F37" s="141">
        <f>IFERROR((HLOOKUP($AH37,Target_monthwise!$D$4:$O$20,DTR!F$4,FALSE))*1000,0)</f>
        <v>0</v>
      </c>
      <c r="G37" s="141">
        <f>IFERROR((HLOOKUP($AH37,Target_monthwise!$D$4:$O$20,DTR!G$4,FALSE))*1000,0)</f>
        <v>0</v>
      </c>
      <c r="H37" s="141">
        <f>IFERROR((HLOOKUP($AH37,Target_monthwise!$D$4:$O$20,DTR!H$4,FALSE))*1000,0)</f>
        <v>0</v>
      </c>
      <c r="I37" s="141">
        <f>IFERROR((HLOOKUP($AH37,Target_monthwise!$D$4:$O$20,DTR!I$4,FALSE))*1000,0)</f>
        <v>0</v>
      </c>
      <c r="J37" s="141">
        <f>IFERROR((HLOOKUP($AH37,Target_monthwise!$D$4:$O$20,DTR!J$4,FALSE))*1000,0)</f>
        <v>0</v>
      </c>
      <c r="K37" s="141">
        <f>IFERROR((HLOOKUP($AH37,Target_monthwise!$D$4:$O$20,DTR!K$4,FALSE))*1000,0)</f>
        <v>0</v>
      </c>
      <c r="L37" s="141">
        <f>IFERROR((HLOOKUP($AH37,Target_monthwise!$D$4:$O$20,DTR!L$4,FALSE))*1000,0)</f>
        <v>0</v>
      </c>
      <c r="M37" s="141">
        <f>IFERROR((HLOOKUP($AH37,Target_monthwise!$D$4:$O$20,DTR!M$4,FALSE))*1000,0)</f>
        <v>0</v>
      </c>
      <c r="N37" s="141">
        <f>IFERROR((HLOOKUP($AH37,Target_monthwise!$D$4:$O$20,DTR!N$4,FALSE))*1000,0)</f>
        <v>0</v>
      </c>
      <c r="O37" s="141">
        <f>IFERROR((HLOOKUP($AH37,Target_monthwise!$D$4:$O$20,DTR!O$4,FALSE))*1000,0)</f>
        <v>0</v>
      </c>
      <c r="P37" s="141">
        <f>IFERROR((HLOOKUP($AH37,Target_monthwise!$D$4:$O$20,DTR!P$4,FALSE))*1000,0)</f>
        <v>0</v>
      </c>
      <c r="Q37" s="141">
        <f>IFERROR((HLOOKUP($AH37,Target_monthwise!$D$4:$O$20,DTR!Q$4,FALSE))*1000,0)</f>
        <v>0</v>
      </c>
      <c r="R37" s="167">
        <f>IFERROR((HLOOKUP($AH37,Target_monthwise!$D$4:$O$20,DTR!R$4,FALSE))*1000,0)</f>
        <v>0</v>
      </c>
      <c r="S37" s="147">
        <f>IFERROR((HLOOKUP($AH37,Target_monthwise!$D$24:$O$40,DTR!S$4,FALSE)),0)</f>
        <v>0</v>
      </c>
      <c r="T37" s="147">
        <f>IFERROR((HLOOKUP($AH37,Target_monthwise!$D$24:$O$40,DTR!T$4,FALSE)),0)</f>
        <v>0</v>
      </c>
      <c r="U37" s="147">
        <f>IFERROR((HLOOKUP($AH37,Target_monthwise!$D$24:$O$40,DTR!U$4,FALSE)),0)</f>
        <v>0</v>
      </c>
      <c r="V37" s="147">
        <f>IFERROR((HLOOKUP($AH37,Target_monthwise!$D$24:$O$40,DTR!V$4,FALSE)),0)</f>
        <v>0</v>
      </c>
      <c r="W37" s="147">
        <f>IFERROR((HLOOKUP($AH37,Target_monthwise!$D$24:$O$40,DTR!W$4,FALSE)),0)</f>
        <v>0</v>
      </c>
      <c r="X37" s="147">
        <f>IFERROR((HLOOKUP($AH37,Target_monthwise!$D$24:$O$40,DTR!X$4,FALSE)),0)</f>
        <v>0</v>
      </c>
      <c r="Y37" s="147">
        <f>IFERROR((HLOOKUP($AH37,Target_monthwise!$D$24:$O$40,DTR!Y$4,FALSE)),0)</f>
        <v>0</v>
      </c>
      <c r="Z37" s="147">
        <f>IFERROR((HLOOKUP($AH37,Target_monthwise!$D$24:$O$40,DTR!Z$4,FALSE)),0)</f>
        <v>0</v>
      </c>
      <c r="AA37" s="147">
        <f>IFERROR((HLOOKUP($AH37,Target_monthwise!$D$24:$O$40,DTR!AA$4,FALSE)),0)</f>
        <v>0</v>
      </c>
      <c r="AB37" s="147">
        <f>IFERROR((HLOOKUP($AH37,Target_monthwise!$D$24:$O$40,DTR!AB$4,FALSE)),0)</f>
        <v>0</v>
      </c>
      <c r="AC37" s="147">
        <f>IFERROR((HLOOKUP($AH37,Target_monthwise!$D$24:$O$40,DTR!AC$4,FALSE)),0)</f>
        <v>0</v>
      </c>
      <c r="AD37" s="147">
        <f>IFERROR((HLOOKUP($AH37,Target_monthwise!$D$24:$O$40,DTR!AD$4,FALSE)),0)</f>
        <v>0</v>
      </c>
      <c r="AE37" s="147">
        <f>IFERROR((HLOOKUP($AH37,Target_monthwise!$D$24:$O$40,DTR!AE$4,FALSE)),0)</f>
        <v>0</v>
      </c>
      <c r="AF37" s="147">
        <f>IFERROR((HLOOKUP($AH37,Target_monthwise!$D$24:$O$40,DTR!AF$4,FALSE)),0)</f>
        <v>0</v>
      </c>
      <c r="AG37" s="172">
        <f>IFERROR((HLOOKUP($AH37,Target_monthwise!$D$24:$O$40,DTR!AG$4,FALSE)),0)</f>
        <v>0</v>
      </c>
      <c r="AH37" s="253">
        <f t="shared" si="0"/>
        <v>202204</v>
      </c>
    </row>
    <row r="38" spans="3:34" ht="15.75" hidden="1">
      <c r="C38" s="237">
        <v>44681</v>
      </c>
      <c r="D38" s="238">
        <f>IFERROR((HLOOKUP($AH38,Target_monthwise!$D$4:$O$20,DTR!D$4,FALSE))*1000,0)</f>
        <v>0</v>
      </c>
      <c r="E38" s="238">
        <f>IFERROR((HLOOKUP($AH38,Target_monthwise!$D$4:$O$20,DTR!E$4,FALSE))*1000,0)</f>
        <v>0</v>
      </c>
      <c r="F38" s="238">
        <f>IFERROR((HLOOKUP($AH38,Target_monthwise!$D$4:$O$20,DTR!F$4,FALSE))*1000,0)</f>
        <v>0</v>
      </c>
      <c r="G38" s="238">
        <f>IFERROR((HLOOKUP($AH38,Target_monthwise!$D$4:$O$20,DTR!G$4,FALSE))*1000,0)</f>
        <v>0</v>
      </c>
      <c r="H38" s="238">
        <f>IFERROR((HLOOKUP($AH38,Target_monthwise!$D$4:$O$20,DTR!H$4,FALSE))*1000,0)</f>
        <v>0</v>
      </c>
      <c r="I38" s="238">
        <f>IFERROR((HLOOKUP($AH38,Target_monthwise!$D$4:$O$20,DTR!I$4,FALSE))*1000,0)</f>
        <v>0</v>
      </c>
      <c r="J38" s="238">
        <f>IFERROR((HLOOKUP($AH38,Target_monthwise!$D$4:$O$20,DTR!J$4,FALSE))*1000,0)</f>
        <v>0</v>
      </c>
      <c r="K38" s="238">
        <f>IFERROR((HLOOKUP($AH38,Target_monthwise!$D$4:$O$20,DTR!K$4,FALSE))*1000,0)</f>
        <v>0</v>
      </c>
      <c r="L38" s="238">
        <f>IFERROR((HLOOKUP($AH38,Target_monthwise!$D$4:$O$20,DTR!L$4,FALSE))*1000,0)</f>
        <v>0</v>
      </c>
      <c r="M38" s="238">
        <f>IFERROR((HLOOKUP($AH38,Target_monthwise!$D$4:$O$20,DTR!M$4,FALSE))*1000,0)</f>
        <v>0</v>
      </c>
      <c r="N38" s="238">
        <f>IFERROR((HLOOKUP($AH38,Target_monthwise!$D$4:$O$20,DTR!N$4,FALSE))*1000,0)</f>
        <v>0</v>
      </c>
      <c r="O38" s="238">
        <f>IFERROR((HLOOKUP($AH38,Target_monthwise!$D$4:$O$20,DTR!O$4,FALSE))*1000,0)</f>
        <v>0</v>
      </c>
      <c r="P38" s="238">
        <f>IFERROR((HLOOKUP($AH38,Target_monthwise!$D$4:$O$20,DTR!P$4,FALSE))*1000,0)</f>
        <v>0</v>
      </c>
      <c r="Q38" s="141">
        <f>IFERROR((HLOOKUP($AH38,Target_monthwise!$D$4:$O$20,DTR!Q$4,FALSE))*1000,0)</f>
        <v>0</v>
      </c>
      <c r="R38" s="167">
        <f>IFERROR((HLOOKUP($AH38,Target_monthwise!$D$4:$O$20,DTR!R$4,FALSE))*1000,0)</f>
        <v>0</v>
      </c>
      <c r="S38" s="239">
        <f>IFERROR((HLOOKUP($AH38,Target_monthwise!$D$24:$O$40,DTR!S$4,FALSE)),0)</f>
        <v>0</v>
      </c>
      <c r="T38" s="239">
        <f>IFERROR((HLOOKUP($AH38,Target_monthwise!$D$24:$O$40,DTR!T$4,FALSE)),0)</f>
        <v>0</v>
      </c>
      <c r="U38" s="239">
        <f>IFERROR((HLOOKUP($AH38,Target_monthwise!$D$24:$O$40,DTR!U$4,FALSE)),0)</f>
        <v>0</v>
      </c>
      <c r="V38" s="239">
        <f>IFERROR((HLOOKUP($AH38,Target_monthwise!$D$24:$O$40,DTR!V$4,FALSE)),0)</f>
        <v>0</v>
      </c>
      <c r="W38" s="239">
        <f>IFERROR((HLOOKUP($AH38,Target_monthwise!$D$24:$O$40,DTR!W$4,FALSE)),0)</f>
        <v>0</v>
      </c>
      <c r="X38" s="239">
        <f>IFERROR((HLOOKUP($AH38,Target_monthwise!$D$24:$O$40,DTR!X$4,FALSE)),0)</f>
        <v>0</v>
      </c>
      <c r="Y38" s="239">
        <f>IFERROR((HLOOKUP($AH38,Target_monthwise!$D$24:$O$40,DTR!Y$4,FALSE)),0)</f>
        <v>0</v>
      </c>
      <c r="Z38" s="147">
        <f>IFERROR((HLOOKUP($AH38,Target_monthwise!$D$24:$O$40,DTR!Z$4,FALSE)),0)</f>
        <v>0</v>
      </c>
      <c r="AA38" s="147">
        <f>IFERROR((HLOOKUP($AH38,Target_monthwise!$D$24:$O$40,DTR!AA$4,FALSE)),0)</f>
        <v>0</v>
      </c>
      <c r="AB38" s="147">
        <f>IFERROR((HLOOKUP($AH38,Target_monthwise!$D$24:$O$40,DTR!AB$4,FALSE)),0)</f>
        <v>0</v>
      </c>
      <c r="AC38" s="239">
        <f>IFERROR((HLOOKUP($AH38,Target_monthwise!$D$24:$O$40,DTR!AC$4,FALSE)),0)</f>
        <v>0</v>
      </c>
      <c r="AD38" s="239">
        <f>IFERROR((HLOOKUP($AH38,Target_monthwise!$D$24:$O$40,DTR!AD$4,FALSE)),0)</f>
        <v>0</v>
      </c>
      <c r="AE38" s="239">
        <f>IFERROR((HLOOKUP($AH38,Target_monthwise!$D$24:$O$40,DTR!AE$4,FALSE)),0)</f>
        <v>0</v>
      </c>
      <c r="AF38" s="239">
        <f>IFERROR((HLOOKUP($AH38,Target_monthwise!$D$24:$O$40,DTR!AF$4,FALSE)),0)</f>
        <v>0</v>
      </c>
      <c r="AG38" s="172">
        <f>IFERROR((HLOOKUP($AH38,Target_monthwise!$D$24:$O$40,DTR!AG$4,FALSE)),0)</f>
        <v>0</v>
      </c>
      <c r="AH38" s="253">
        <f t="shared" si="0"/>
        <v>202204</v>
      </c>
    </row>
    <row r="39" spans="3:34" ht="15.75" hidden="1">
      <c r="C39" s="235">
        <v>44682</v>
      </c>
      <c r="D39" s="141">
        <f>IFERROR((HLOOKUP($AH39,Target_monthwise!$D$4:$O$20,DTR!D$4,FALSE))*1000,0)</f>
        <v>0</v>
      </c>
      <c r="E39" s="141">
        <f>IFERROR((HLOOKUP($AH39,Target_monthwise!$D$4:$O$20,DTR!E$4,FALSE))*1000,0)</f>
        <v>0</v>
      </c>
      <c r="F39" s="141">
        <f>IFERROR((HLOOKUP($AH39,Target_monthwise!$D$4:$O$20,DTR!F$4,FALSE))*1000,0)</f>
        <v>0</v>
      </c>
      <c r="G39" s="141">
        <f>IFERROR((HLOOKUP($AH39,Target_monthwise!$D$4:$O$20,DTR!G$4,FALSE))*1000,0)</f>
        <v>0</v>
      </c>
      <c r="H39" s="141">
        <f>IFERROR((HLOOKUP($AH39,Target_monthwise!$D$4:$O$20,DTR!H$4,FALSE))*1000,0)</f>
        <v>0</v>
      </c>
      <c r="I39" s="141">
        <f>IFERROR((HLOOKUP($AH39,Target_monthwise!$D$4:$O$20,DTR!I$4,FALSE))*1000,0)</f>
        <v>0</v>
      </c>
      <c r="J39" s="141">
        <f>IFERROR((HLOOKUP($AH39,Target_monthwise!$D$4:$O$20,DTR!J$4,FALSE))*1000,0)</f>
        <v>0</v>
      </c>
      <c r="K39" s="141">
        <f>IFERROR((HLOOKUP($AH39,Target_monthwise!$D$4:$O$20,DTR!K$4,FALSE))*1000,0)</f>
        <v>0</v>
      </c>
      <c r="L39" s="141">
        <f>IFERROR((HLOOKUP($AH39,Target_monthwise!$D$4:$O$20,DTR!L$4,FALSE))*1000,0)</f>
        <v>0</v>
      </c>
      <c r="M39" s="141">
        <f>IFERROR((HLOOKUP($AH39,Target_monthwise!$D$4:$O$20,DTR!M$4,FALSE))*1000,0)</f>
        <v>0</v>
      </c>
      <c r="N39" s="141">
        <f>IFERROR((HLOOKUP($AH39,Target_monthwise!$D$4:$O$20,DTR!N$4,FALSE))*1000,0)</f>
        <v>0</v>
      </c>
      <c r="O39" s="141">
        <f>IFERROR((HLOOKUP($AH39,Target_monthwise!$D$4:$O$20,DTR!O$4,FALSE))*1000,0)</f>
        <v>0</v>
      </c>
      <c r="P39" s="141">
        <f>IFERROR((HLOOKUP($AH39,Target_monthwise!$D$4:$O$20,DTR!P$4,FALSE))*1000,0)</f>
        <v>0</v>
      </c>
      <c r="Q39" s="141">
        <f>IFERROR((HLOOKUP($AH39,Target_monthwise!$D$4:$O$20,DTR!Q$4,FALSE))*1000,0)</f>
        <v>0</v>
      </c>
      <c r="R39" s="167">
        <f>IFERROR((HLOOKUP($AH39,Target_monthwise!$D$4:$O$20,DTR!R$4,FALSE))*1000,0)</f>
        <v>0</v>
      </c>
      <c r="S39" s="147">
        <f>IFERROR((HLOOKUP($AH39,Target_monthwise!$D$24:$O$40,DTR!S$4,FALSE)),0)</f>
        <v>0</v>
      </c>
      <c r="T39" s="147">
        <f>IFERROR((HLOOKUP($AH39,Target_monthwise!$D$24:$O$40,DTR!T$4,FALSE)),0)</f>
        <v>0</v>
      </c>
      <c r="U39" s="147">
        <f>IFERROR((HLOOKUP($AH39,Target_monthwise!$D$24:$O$40,DTR!U$4,FALSE)),0)</f>
        <v>0</v>
      </c>
      <c r="V39" s="147">
        <f>IFERROR((HLOOKUP($AH39,Target_monthwise!$D$24:$O$40,DTR!V$4,FALSE)),0)</f>
        <v>0</v>
      </c>
      <c r="W39" s="147">
        <f>IFERROR((HLOOKUP($AH39,Target_monthwise!$D$24:$O$40,DTR!W$4,FALSE)),0)</f>
        <v>0</v>
      </c>
      <c r="X39" s="147">
        <f>IFERROR((HLOOKUP($AH39,Target_monthwise!$D$24:$O$40,DTR!X$4,FALSE)),0)</f>
        <v>0</v>
      </c>
      <c r="Y39" s="147">
        <f>IFERROR((HLOOKUP($AH39,Target_monthwise!$D$24:$O$40,DTR!Y$4,FALSE)),0)</f>
        <v>0</v>
      </c>
      <c r="Z39" s="147">
        <f>IFERROR((HLOOKUP($AH39,Target_monthwise!$D$24:$O$40,DTR!Z$4,FALSE)),0)</f>
        <v>0</v>
      </c>
      <c r="AA39" s="147">
        <f>IFERROR((HLOOKUP($AH39,Target_monthwise!$D$24:$O$40,DTR!AA$4,FALSE)),0)</f>
        <v>0</v>
      </c>
      <c r="AB39" s="147">
        <f>IFERROR((HLOOKUP($AH39,Target_monthwise!$D$24:$O$40,DTR!AB$4,FALSE)),0)</f>
        <v>0</v>
      </c>
      <c r="AC39" s="147">
        <f>IFERROR((HLOOKUP($AH39,Target_monthwise!$D$24:$O$40,DTR!AC$4,FALSE)),0)</f>
        <v>0</v>
      </c>
      <c r="AD39" s="147">
        <f>IFERROR((HLOOKUP($AH39,Target_monthwise!$D$24:$O$40,DTR!AD$4,FALSE)),0)</f>
        <v>0</v>
      </c>
      <c r="AE39" s="147">
        <f>IFERROR((HLOOKUP($AH39,Target_monthwise!$D$24:$O$40,DTR!AE$4,FALSE)),0)</f>
        <v>0</v>
      </c>
      <c r="AF39" s="147">
        <f>IFERROR((HLOOKUP($AH39,Target_monthwise!$D$24:$O$40,DTR!AF$4,FALSE)),0)</f>
        <v>0</v>
      </c>
      <c r="AG39" s="172">
        <f>IFERROR((HLOOKUP($AH39,Target_monthwise!$D$24:$O$40,DTR!AG$4,FALSE)),0)</f>
        <v>0</v>
      </c>
      <c r="AH39" s="253">
        <f t="shared" si="0"/>
        <v>202205</v>
      </c>
    </row>
    <row r="40" spans="3:34" ht="15.75" hidden="1">
      <c r="C40" s="237">
        <v>44683</v>
      </c>
      <c r="D40" s="238">
        <f>IFERROR((HLOOKUP($AH40,Target_monthwise!$D$4:$O$20,DTR!D$4,FALSE))*1000,0)</f>
        <v>0</v>
      </c>
      <c r="E40" s="238">
        <f>IFERROR((HLOOKUP($AH40,Target_monthwise!$D$4:$O$20,DTR!E$4,FALSE))*1000,0)</f>
        <v>0</v>
      </c>
      <c r="F40" s="238">
        <f>IFERROR((HLOOKUP($AH40,Target_monthwise!$D$4:$O$20,DTR!F$4,FALSE))*1000,0)</f>
        <v>0</v>
      </c>
      <c r="G40" s="238">
        <f>IFERROR((HLOOKUP($AH40,Target_monthwise!$D$4:$O$20,DTR!G$4,FALSE))*1000,0)</f>
        <v>0</v>
      </c>
      <c r="H40" s="238">
        <f>IFERROR((HLOOKUP($AH40,Target_monthwise!$D$4:$O$20,DTR!H$4,FALSE))*1000,0)</f>
        <v>0</v>
      </c>
      <c r="I40" s="238">
        <f>IFERROR((HLOOKUP($AH40,Target_monthwise!$D$4:$O$20,DTR!I$4,FALSE))*1000,0)</f>
        <v>0</v>
      </c>
      <c r="J40" s="238">
        <f>IFERROR((HLOOKUP($AH40,Target_monthwise!$D$4:$O$20,DTR!J$4,FALSE))*1000,0)</f>
        <v>0</v>
      </c>
      <c r="K40" s="238">
        <f>IFERROR((HLOOKUP($AH40,Target_monthwise!$D$4:$O$20,DTR!K$4,FALSE))*1000,0)</f>
        <v>0</v>
      </c>
      <c r="L40" s="238">
        <f>IFERROR((HLOOKUP($AH40,Target_monthwise!$D$4:$O$20,DTR!L$4,FALSE))*1000,0)</f>
        <v>0</v>
      </c>
      <c r="M40" s="238">
        <f>IFERROR((HLOOKUP($AH40,Target_monthwise!$D$4:$O$20,DTR!M$4,FALSE))*1000,0)</f>
        <v>0</v>
      </c>
      <c r="N40" s="238">
        <f>IFERROR((HLOOKUP($AH40,Target_monthwise!$D$4:$O$20,DTR!N$4,FALSE))*1000,0)</f>
        <v>0</v>
      </c>
      <c r="O40" s="238">
        <f>IFERROR((HLOOKUP($AH40,Target_monthwise!$D$4:$O$20,DTR!O$4,FALSE))*1000,0)</f>
        <v>0</v>
      </c>
      <c r="P40" s="238">
        <f>IFERROR((HLOOKUP($AH40,Target_monthwise!$D$4:$O$20,DTR!P$4,FALSE))*1000,0)</f>
        <v>0</v>
      </c>
      <c r="Q40" s="141">
        <f>IFERROR((HLOOKUP($AH40,Target_monthwise!$D$4:$O$20,DTR!Q$4,FALSE))*1000,0)</f>
        <v>0</v>
      </c>
      <c r="R40" s="167">
        <f>IFERROR((HLOOKUP($AH40,Target_monthwise!$D$4:$O$20,DTR!R$4,FALSE))*1000,0)</f>
        <v>0</v>
      </c>
      <c r="S40" s="239">
        <f>IFERROR((HLOOKUP($AH40,Target_monthwise!$D$24:$O$40,DTR!S$4,FALSE)),0)</f>
        <v>0</v>
      </c>
      <c r="T40" s="239">
        <f>IFERROR((HLOOKUP($AH40,Target_monthwise!$D$24:$O$40,DTR!T$4,FALSE)),0)</f>
        <v>0</v>
      </c>
      <c r="U40" s="239">
        <f>IFERROR((HLOOKUP($AH40,Target_monthwise!$D$24:$O$40,DTR!U$4,FALSE)),0)</f>
        <v>0</v>
      </c>
      <c r="V40" s="239">
        <f>IFERROR((HLOOKUP($AH40,Target_monthwise!$D$24:$O$40,DTR!V$4,FALSE)),0)</f>
        <v>0</v>
      </c>
      <c r="W40" s="239">
        <f>IFERROR((HLOOKUP($AH40,Target_monthwise!$D$24:$O$40,DTR!W$4,FALSE)),0)</f>
        <v>0</v>
      </c>
      <c r="X40" s="239">
        <f>IFERROR((HLOOKUP($AH40,Target_monthwise!$D$24:$O$40,DTR!X$4,FALSE)),0)</f>
        <v>0</v>
      </c>
      <c r="Y40" s="239">
        <f>IFERROR((HLOOKUP($AH40,Target_monthwise!$D$24:$O$40,DTR!Y$4,FALSE)),0)</f>
        <v>0</v>
      </c>
      <c r="Z40" s="147">
        <f>IFERROR((HLOOKUP($AH40,Target_monthwise!$D$24:$O$40,DTR!Z$4,FALSE)),0)</f>
        <v>0</v>
      </c>
      <c r="AA40" s="147">
        <f>IFERROR((HLOOKUP($AH40,Target_monthwise!$D$24:$O$40,DTR!AA$4,FALSE)),0)</f>
        <v>0</v>
      </c>
      <c r="AB40" s="147">
        <f>IFERROR((HLOOKUP($AH40,Target_monthwise!$D$24:$O$40,DTR!AB$4,FALSE)),0)</f>
        <v>0</v>
      </c>
      <c r="AC40" s="239">
        <f>IFERROR((HLOOKUP($AH40,Target_monthwise!$D$24:$O$40,DTR!AC$4,FALSE)),0)</f>
        <v>0</v>
      </c>
      <c r="AD40" s="239">
        <f>IFERROR((HLOOKUP($AH40,Target_monthwise!$D$24:$O$40,DTR!AD$4,FALSE)),0)</f>
        <v>0</v>
      </c>
      <c r="AE40" s="239">
        <f>IFERROR((HLOOKUP($AH40,Target_monthwise!$D$24:$O$40,DTR!AE$4,FALSE)),0)</f>
        <v>0</v>
      </c>
      <c r="AF40" s="239">
        <f>IFERROR((HLOOKUP($AH40,Target_monthwise!$D$24:$O$40,DTR!AF$4,FALSE)),0)</f>
        <v>0</v>
      </c>
      <c r="AG40" s="172">
        <f>IFERROR((HLOOKUP($AH40,Target_monthwise!$D$24:$O$40,DTR!AG$4,FALSE)),0)</f>
        <v>0</v>
      </c>
      <c r="AH40" s="253">
        <f t="shared" si="0"/>
        <v>202205</v>
      </c>
    </row>
    <row r="41" spans="3:34" ht="15.75" hidden="1">
      <c r="C41" s="235">
        <v>44684</v>
      </c>
      <c r="D41" s="141">
        <f>IFERROR((HLOOKUP($AH41,Target_monthwise!$D$4:$O$20,DTR!D$4,FALSE))*1000,0)</f>
        <v>0</v>
      </c>
      <c r="E41" s="141">
        <f>IFERROR((HLOOKUP($AH41,Target_monthwise!$D$4:$O$20,DTR!E$4,FALSE))*1000,0)</f>
        <v>0</v>
      </c>
      <c r="F41" s="141">
        <f>IFERROR((HLOOKUP($AH41,Target_monthwise!$D$4:$O$20,DTR!F$4,FALSE))*1000,0)</f>
        <v>0</v>
      </c>
      <c r="G41" s="141">
        <f>IFERROR((HLOOKUP($AH41,Target_monthwise!$D$4:$O$20,DTR!G$4,FALSE))*1000,0)</f>
        <v>0</v>
      </c>
      <c r="H41" s="141">
        <f>IFERROR((HLOOKUP($AH41,Target_monthwise!$D$4:$O$20,DTR!H$4,FALSE))*1000,0)</f>
        <v>0</v>
      </c>
      <c r="I41" s="141">
        <f>IFERROR((HLOOKUP($AH41,Target_monthwise!$D$4:$O$20,DTR!I$4,FALSE))*1000,0)</f>
        <v>0</v>
      </c>
      <c r="J41" s="141">
        <f>IFERROR((HLOOKUP($AH41,Target_monthwise!$D$4:$O$20,DTR!J$4,FALSE))*1000,0)</f>
        <v>0</v>
      </c>
      <c r="K41" s="141">
        <f>IFERROR((HLOOKUP($AH41,Target_monthwise!$D$4:$O$20,DTR!K$4,FALSE))*1000,0)</f>
        <v>0</v>
      </c>
      <c r="L41" s="141">
        <f>IFERROR((HLOOKUP($AH41,Target_monthwise!$D$4:$O$20,DTR!L$4,FALSE))*1000,0)</f>
        <v>0</v>
      </c>
      <c r="M41" s="141">
        <f>IFERROR((HLOOKUP($AH41,Target_monthwise!$D$4:$O$20,DTR!M$4,FALSE))*1000,0)</f>
        <v>0</v>
      </c>
      <c r="N41" s="141">
        <f>IFERROR((HLOOKUP($AH41,Target_monthwise!$D$4:$O$20,DTR!N$4,FALSE))*1000,0)</f>
        <v>0</v>
      </c>
      <c r="O41" s="141">
        <f>IFERROR((HLOOKUP($AH41,Target_monthwise!$D$4:$O$20,DTR!O$4,FALSE))*1000,0)</f>
        <v>0</v>
      </c>
      <c r="P41" s="141">
        <f>IFERROR((HLOOKUP($AH41,Target_monthwise!$D$4:$O$20,DTR!P$4,FALSE))*1000,0)</f>
        <v>0</v>
      </c>
      <c r="Q41" s="141">
        <f>IFERROR((HLOOKUP($AH41,Target_monthwise!$D$4:$O$20,DTR!Q$4,FALSE))*1000,0)</f>
        <v>0</v>
      </c>
      <c r="R41" s="167">
        <f>IFERROR((HLOOKUP($AH41,Target_monthwise!$D$4:$O$20,DTR!R$4,FALSE))*1000,0)</f>
        <v>0</v>
      </c>
      <c r="S41" s="147">
        <f>IFERROR((HLOOKUP($AH41,Target_monthwise!$D$24:$O$40,DTR!S$4,FALSE)),0)</f>
        <v>0</v>
      </c>
      <c r="T41" s="147">
        <f>IFERROR((HLOOKUP($AH41,Target_monthwise!$D$24:$O$40,DTR!T$4,FALSE)),0)</f>
        <v>0</v>
      </c>
      <c r="U41" s="147">
        <f>IFERROR((HLOOKUP($AH41,Target_monthwise!$D$24:$O$40,DTR!U$4,FALSE)),0)</f>
        <v>0</v>
      </c>
      <c r="V41" s="147">
        <f>IFERROR((HLOOKUP($AH41,Target_monthwise!$D$24:$O$40,DTR!V$4,FALSE)),0)</f>
        <v>0</v>
      </c>
      <c r="W41" s="147">
        <f>IFERROR((HLOOKUP($AH41,Target_monthwise!$D$24:$O$40,DTR!W$4,FALSE)),0)</f>
        <v>0</v>
      </c>
      <c r="X41" s="147">
        <f>IFERROR((HLOOKUP($AH41,Target_monthwise!$D$24:$O$40,DTR!X$4,FALSE)),0)</f>
        <v>0</v>
      </c>
      <c r="Y41" s="147">
        <f>IFERROR((HLOOKUP($AH41,Target_monthwise!$D$24:$O$40,DTR!Y$4,FALSE)),0)</f>
        <v>0</v>
      </c>
      <c r="Z41" s="147">
        <f>IFERROR((HLOOKUP($AH41,Target_monthwise!$D$24:$O$40,DTR!Z$4,FALSE)),0)</f>
        <v>0</v>
      </c>
      <c r="AA41" s="147">
        <f>IFERROR((HLOOKUP($AH41,Target_monthwise!$D$24:$O$40,DTR!AA$4,FALSE)),0)</f>
        <v>0</v>
      </c>
      <c r="AB41" s="147">
        <f>IFERROR((HLOOKUP($AH41,Target_monthwise!$D$24:$O$40,DTR!AB$4,FALSE)),0)</f>
        <v>0</v>
      </c>
      <c r="AC41" s="147">
        <f>IFERROR((HLOOKUP($AH41,Target_monthwise!$D$24:$O$40,DTR!AC$4,FALSE)),0)</f>
        <v>0</v>
      </c>
      <c r="AD41" s="147">
        <f>IFERROR((HLOOKUP($AH41,Target_monthwise!$D$24:$O$40,DTR!AD$4,FALSE)),0)</f>
        <v>0</v>
      </c>
      <c r="AE41" s="147">
        <f>IFERROR((HLOOKUP($AH41,Target_monthwise!$D$24:$O$40,DTR!AE$4,FALSE)),0)</f>
        <v>0</v>
      </c>
      <c r="AF41" s="147">
        <f>IFERROR((HLOOKUP($AH41,Target_monthwise!$D$24:$O$40,DTR!AF$4,FALSE)),0)</f>
        <v>0</v>
      </c>
      <c r="AG41" s="172">
        <f>IFERROR((HLOOKUP($AH41,Target_monthwise!$D$24:$O$40,DTR!AG$4,FALSE)),0)</f>
        <v>0</v>
      </c>
      <c r="AH41" s="253">
        <f t="shared" si="0"/>
        <v>202205</v>
      </c>
    </row>
    <row r="42" spans="3:34" ht="15.75" hidden="1">
      <c r="C42" s="237">
        <v>44685</v>
      </c>
      <c r="D42" s="238">
        <f>IFERROR((HLOOKUP($AH42,Target_monthwise!$D$4:$O$20,DTR!D$4,FALSE))*1000,0)</f>
        <v>0</v>
      </c>
      <c r="E42" s="238">
        <f>IFERROR((HLOOKUP($AH42,Target_monthwise!$D$4:$O$20,DTR!E$4,FALSE))*1000,0)</f>
        <v>0</v>
      </c>
      <c r="F42" s="238">
        <f>IFERROR((HLOOKUP($AH42,Target_monthwise!$D$4:$O$20,DTR!F$4,FALSE))*1000,0)</f>
        <v>0</v>
      </c>
      <c r="G42" s="238">
        <f>IFERROR((HLOOKUP($AH42,Target_monthwise!$D$4:$O$20,DTR!G$4,FALSE))*1000,0)</f>
        <v>0</v>
      </c>
      <c r="H42" s="238">
        <f>IFERROR((HLOOKUP($AH42,Target_monthwise!$D$4:$O$20,DTR!H$4,FALSE))*1000,0)</f>
        <v>0</v>
      </c>
      <c r="I42" s="238">
        <f>IFERROR((HLOOKUP($AH42,Target_monthwise!$D$4:$O$20,DTR!I$4,FALSE))*1000,0)</f>
        <v>0</v>
      </c>
      <c r="J42" s="238">
        <f>IFERROR((HLOOKUP($AH42,Target_monthwise!$D$4:$O$20,DTR!J$4,FALSE))*1000,0)</f>
        <v>0</v>
      </c>
      <c r="K42" s="238">
        <f>IFERROR((HLOOKUP($AH42,Target_monthwise!$D$4:$O$20,DTR!K$4,FALSE))*1000,0)</f>
        <v>0</v>
      </c>
      <c r="L42" s="238">
        <f>IFERROR((HLOOKUP($AH42,Target_monthwise!$D$4:$O$20,DTR!L$4,FALSE))*1000,0)</f>
        <v>0</v>
      </c>
      <c r="M42" s="238">
        <f>IFERROR((HLOOKUP($AH42,Target_monthwise!$D$4:$O$20,DTR!M$4,FALSE))*1000,0)</f>
        <v>0</v>
      </c>
      <c r="N42" s="238">
        <f>IFERROR((HLOOKUP($AH42,Target_monthwise!$D$4:$O$20,DTR!N$4,FALSE))*1000,0)</f>
        <v>0</v>
      </c>
      <c r="O42" s="238">
        <f>IFERROR((HLOOKUP($AH42,Target_monthwise!$D$4:$O$20,DTR!O$4,FALSE))*1000,0)</f>
        <v>0</v>
      </c>
      <c r="P42" s="238">
        <f>IFERROR((HLOOKUP($AH42,Target_monthwise!$D$4:$O$20,DTR!P$4,FALSE))*1000,0)</f>
        <v>0</v>
      </c>
      <c r="Q42" s="141">
        <f>IFERROR((HLOOKUP($AH42,Target_monthwise!$D$4:$O$20,DTR!Q$4,FALSE))*1000,0)</f>
        <v>0</v>
      </c>
      <c r="R42" s="167">
        <f>IFERROR((HLOOKUP($AH42,Target_monthwise!$D$4:$O$20,DTR!R$4,FALSE))*1000,0)</f>
        <v>0</v>
      </c>
      <c r="S42" s="239">
        <f>IFERROR((HLOOKUP($AH42,Target_monthwise!$D$24:$O$40,DTR!S$4,FALSE)),0)</f>
        <v>0</v>
      </c>
      <c r="T42" s="239">
        <f>IFERROR((HLOOKUP($AH42,Target_monthwise!$D$24:$O$40,DTR!T$4,FALSE)),0)</f>
        <v>0</v>
      </c>
      <c r="U42" s="239">
        <f>IFERROR((HLOOKUP($AH42,Target_monthwise!$D$24:$O$40,DTR!U$4,FALSE)),0)</f>
        <v>0</v>
      </c>
      <c r="V42" s="239">
        <f>IFERROR((HLOOKUP($AH42,Target_monthwise!$D$24:$O$40,DTR!V$4,FALSE)),0)</f>
        <v>0</v>
      </c>
      <c r="W42" s="239">
        <f>IFERROR((HLOOKUP($AH42,Target_monthwise!$D$24:$O$40,DTR!W$4,FALSE)),0)</f>
        <v>0</v>
      </c>
      <c r="X42" s="239">
        <f>IFERROR((HLOOKUP($AH42,Target_monthwise!$D$24:$O$40,DTR!X$4,FALSE)),0)</f>
        <v>0</v>
      </c>
      <c r="Y42" s="239">
        <f>IFERROR((HLOOKUP($AH42,Target_monthwise!$D$24:$O$40,DTR!Y$4,FALSE)),0)</f>
        <v>0</v>
      </c>
      <c r="Z42" s="147">
        <f>IFERROR((HLOOKUP($AH42,Target_monthwise!$D$24:$O$40,DTR!Z$4,FALSE)),0)</f>
        <v>0</v>
      </c>
      <c r="AA42" s="147">
        <f>IFERROR((HLOOKUP($AH42,Target_monthwise!$D$24:$O$40,DTR!AA$4,FALSE)),0)</f>
        <v>0</v>
      </c>
      <c r="AB42" s="147">
        <f>IFERROR((HLOOKUP($AH42,Target_monthwise!$D$24:$O$40,DTR!AB$4,FALSE)),0)</f>
        <v>0</v>
      </c>
      <c r="AC42" s="239">
        <f>IFERROR((HLOOKUP($AH42,Target_monthwise!$D$24:$O$40,DTR!AC$4,FALSE)),0)</f>
        <v>0</v>
      </c>
      <c r="AD42" s="239">
        <f>IFERROR((HLOOKUP($AH42,Target_monthwise!$D$24:$O$40,DTR!AD$4,FALSE)),0)</f>
        <v>0</v>
      </c>
      <c r="AE42" s="239">
        <f>IFERROR((HLOOKUP($AH42,Target_monthwise!$D$24:$O$40,DTR!AE$4,FALSE)),0)</f>
        <v>0</v>
      </c>
      <c r="AF42" s="239">
        <f>IFERROR((HLOOKUP($AH42,Target_monthwise!$D$24:$O$40,DTR!AF$4,FALSE)),0)</f>
        <v>0</v>
      </c>
      <c r="AG42" s="172">
        <f>IFERROR((HLOOKUP($AH42,Target_monthwise!$D$24:$O$40,DTR!AG$4,FALSE)),0)</f>
        <v>0</v>
      </c>
      <c r="AH42" s="253">
        <f t="shared" si="0"/>
        <v>202205</v>
      </c>
    </row>
    <row r="43" spans="3:34" ht="15.75" hidden="1">
      <c r="C43" s="235">
        <v>44686</v>
      </c>
      <c r="D43" s="141">
        <f>IFERROR((HLOOKUP($AH43,Target_monthwise!$D$4:$O$20,DTR!D$4,FALSE))*1000,0)</f>
        <v>0</v>
      </c>
      <c r="E43" s="141">
        <f>IFERROR((HLOOKUP($AH43,Target_monthwise!$D$4:$O$20,DTR!E$4,FALSE))*1000,0)</f>
        <v>0</v>
      </c>
      <c r="F43" s="141">
        <f>IFERROR((HLOOKUP($AH43,Target_monthwise!$D$4:$O$20,DTR!F$4,FALSE))*1000,0)</f>
        <v>0</v>
      </c>
      <c r="G43" s="141">
        <f>IFERROR((HLOOKUP($AH43,Target_monthwise!$D$4:$O$20,DTR!G$4,FALSE))*1000,0)</f>
        <v>0</v>
      </c>
      <c r="H43" s="141">
        <f>IFERROR((HLOOKUP($AH43,Target_monthwise!$D$4:$O$20,DTR!H$4,FALSE))*1000,0)</f>
        <v>0</v>
      </c>
      <c r="I43" s="141">
        <f>IFERROR((HLOOKUP($AH43,Target_monthwise!$D$4:$O$20,DTR!I$4,FALSE))*1000,0)</f>
        <v>0</v>
      </c>
      <c r="J43" s="141">
        <f>IFERROR((HLOOKUP($AH43,Target_monthwise!$D$4:$O$20,DTR!J$4,FALSE))*1000,0)</f>
        <v>0</v>
      </c>
      <c r="K43" s="141">
        <f>IFERROR((HLOOKUP($AH43,Target_monthwise!$D$4:$O$20,DTR!K$4,FALSE))*1000,0)</f>
        <v>0</v>
      </c>
      <c r="L43" s="141">
        <f>IFERROR((HLOOKUP($AH43,Target_monthwise!$D$4:$O$20,DTR!L$4,FALSE))*1000,0)</f>
        <v>0</v>
      </c>
      <c r="M43" s="141">
        <f>IFERROR((HLOOKUP($AH43,Target_monthwise!$D$4:$O$20,DTR!M$4,FALSE))*1000,0)</f>
        <v>0</v>
      </c>
      <c r="N43" s="141">
        <f>IFERROR((HLOOKUP($AH43,Target_monthwise!$D$4:$O$20,DTR!N$4,FALSE))*1000,0)</f>
        <v>0</v>
      </c>
      <c r="O43" s="141">
        <f>IFERROR((HLOOKUP($AH43,Target_monthwise!$D$4:$O$20,DTR!O$4,FALSE))*1000,0)</f>
        <v>0</v>
      </c>
      <c r="P43" s="141">
        <f>IFERROR((HLOOKUP($AH43,Target_monthwise!$D$4:$O$20,DTR!P$4,FALSE))*1000,0)</f>
        <v>0</v>
      </c>
      <c r="Q43" s="141">
        <f>IFERROR((HLOOKUP($AH43,Target_monthwise!$D$4:$O$20,DTR!Q$4,FALSE))*1000,0)</f>
        <v>0</v>
      </c>
      <c r="R43" s="167">
        <f>IFERROR((HLOOKUP($AH43,Target_monthwise!$D$4:$O$20,DTR!R$4,FALSE))*1000,0)</f>
        <v>0</v>
      </c>
      <c r="S43" s="147">
        <f>IFERROR((HLOOKUP($AH43,Target_monthwise!$D$24:$O$40,DTR!S$4,FALSE)),0)</f>
        <v>0</v>
      </c>
      <c r="T43" s="147">
        <f>IFERROR((HLOOKUP($AH43,Target_monthwise!$D$24:$O$40,DTR!T$4,FALSE)),0)</f>
        <v>0</v>
      </c>
      <c r="U43" s="147">
        <f>IFERROR((HLOOKUP($AH43,Target_monthwise!$D$24:$O$40,DTR!U$4,FALSE)),0)</f>
        <v>0</v>
      </c>
      <c r="V43" s="147">
        <f>IFERROR((HLOOKUP($AH43,Target_monthwise!$D$24:$O$40,DTR!V$4,FALSE)),0)</f>
        <v>0</v>
      </c>
      <c r="W43" s="147">
        <f>IFERROR((HLOOKUP($AH43,Target_monthwise!$D$24:$O$40,DTR!W$4,FALSE)),0)</f>
        <v>0</v>
      </c>
      <c r="X43" s="147">
        <f>IFERROR((HLOOKUP($AH43,Target_monthwise!$D$24:$O$40,DTR!X$4,FALSE)),0)</f>
        <v>0</v>
      </c>
      <c r="Y43" s="147">
        <f>IFERROR((HLOOKUP($AH43,Target_monthwise!$D$24:$O$40,DTR!Y$4,FALSE)),0)</f>
        <v>0</v>
      </c>
      <c r="Z43" s="147">
        <f>IFERROR((HLOOKUP($AH43,Target_monthwise!$D$24:$O$40,DTR!Z$4,FALSE)),0)</f>
        <v>0</v>
      </c>
      <c r="AA43" s="147">
        <f>IFERROR((HLOOKUP($AH43,Target_monthwise!$D$24:$O$40,DTR!AA$4,FALSE)),0)</f>
        <v>0</v>
      </c>
      <c r="AB43" s="147">
        <f>IFERROR((HLOOKUP($AH43,Target_monthwise!$D$24:$O$40,DTR!AB$4,FALSE)),0)</f>
        <v>0</v>
      </c>
      <c r="AC43" s="147">
        <f>IFERROR((HLOOKUP($AH43,Target_monthwise!$D$24:$O$40,DTR!AC$4,FALSE)),0)</f>
        <v>0</v>
      </c>
      <c r="AD43" s="147">
        <f>IFERROR((HLOOKUP($AH43,Target_monthwise!$D$24:$O$40,DTR!AD$4,FALSE)),0)</f>
        <v>0</v>
      </c>
      <c r="AE43" s="147">
        <f>IFERROR((HLOOKUP($AH43,Target_monthwise!$D$24:$O$40,DTR!AE$4,FALSE)),0)</f>
        <v>0</v>
      </c>
      <c r="AF43" s="147">
        <f>IFERROR((HLOOKUP($AH43,Target_monthwise!$D$24:$O$40,DTR!AF$4,FALSE)),0)</f>
        <v>0</v>
      </c>
      <c r="AG43" s="172">
        <f>IFERROR((HLOOKUP($AH43,Target_monthwise!$D$24:$O$40,DTR!AG$4,FALSE)),0)</f>
        <v>0</v>
      </c>
      <c r="AH43" s="253">
        <f t="shared" si="0"/>
        <v>202205</v>
      </c>
    </row>
    <row r="44" spans="3:34" ht="15.75" hidden="1">
      <c r="C44" s="237">
        <v>44687</v>
      </c>
      <c r="D44" s="238">
        <f>IFERROR((HLOOKUP($AH44,Target_monthwise!$D$4:$O$20,DTR!D$4,FALSE))*1000,0)</f>
        <v>0</v>
      </c>
      <c r="E44" s="238">
        <f>IFERROR((HLOOKUP($AH44,Target_monthwise!$D$4:$O$20,DTR!E$4,FALSE))*1000,0)</f>
        <v>0</v>
      </c>
      <c r="F44" s="238">
        <f>IFERROR((HLOOKUP($AH44,Target_monthwise!$D$4:$O$20,DTR!F$4,FALSE))*1000,0)</f>
        <v>0</v>
      </c>
      <c r="G44" s="238">
        <f>IFERROR((HLOOKUP($AH44,Target_monthwise!$D$4:$O$20,DTR!G$4,FALSE))*1000,0)</f>
        <v>0</v>
      </c>
      <c r="H44" s="238">
        <f>IFERROR((HLOOKUP($AH44,Target_monthwise!$D$4:$O$20,DTR!H$4,FALSE))*1000,0)</f>
        <v>0</v>
      </c>
      <c r="I44" s="238">
        <f>IFERROR((HLOOKUP($AH44,Target_monthwise!$D$4:$O$20,DTR!I$4,FALSE))*1000,0)</f>
        <v>0</v>
      </c>
      <c r="J44" s="238">
        <f>IFERROR((HLOOKUP($AH44,Target_monthwise!$D$4:$O$20,DTR!J$4,FALSE))*1000,0)</f>
        <v>0</v>
      </c>
      <c r="K44" s="238">
        <f>IFERROR((HLOOKUP($AH44,Target_monthwise!$D$4:$O$20,DTR!K$4,FALSE))*1000,0)</f>
        <v>0</v>
      </c>
      <c r="L44" s="238">
        <f>IFERROR((HLOOKUP($AH44,Target_monthwise!$D$4:$O$20,DTR!L$4,FALSE))*1000,0)</f>
        <v>0</v>
      </c>
      <c r="M44" s="238">
        <f>IFERROR((HLOOKUP($AH44,Target_monthwise!$D$4:$O$20,DTR!M$4,FALSE))*1000,0)</f>
        <v>0</v>
      </c>
      <c r="N44" s="238">
        <f>IFERROR((HLOOKUP($AH44,Target_monthwise!$D$4:$O$20,DTR!N$4,FALSE))*1000,0)</f>
        <v>0</v>
      </c>
      <c r="O44" s="238">
        <f>IFERROR((HLOOKUP($AH44,Target_monthwise!$D$4:$O$20,DTR!O$4,FALSE))*1000,0)</f>
        <v>0</v>
      </c>
      <c r="P44" s="238">
        <f>IFERROR((HLOOKUP($AH44,Target_monthwise!$D$4:$O$20,DTR!P$4,FALSE))*1000,0)</f>
        <v>0</v>
      </c>
      <c r="Q44" s="141">
        <f>IFERROR((HLOOKUP($AH44,Target_monthwise!$D$4:$O$20,DTR!Q$4,FALSE))*1000,0)</f>
        <v>0</v>
      </c>
      <c r="R44" s="167">
        <f>IFERROR((HLOOKUP($AH44,Target_monthwise!$D$4:$O$20,DTR!R$4,FALSE))*1000,0)</f>
        <v>0</v>
      </c>
      <c r="S44" s="239">
        <f>IFERROR((HLOOKUP($AH44,Target_monthwise!$D$24:$O$40,DTR!S$4,FALSE)),0)</f>
        <v>0</v>
      </c>
      <c r="T44" s="239">
        <f>IFERROR((HLOOKUP($AH44,Target_monthwise!$D$24:$O$40,DTR!T$4,FALSE)),0)</f>
        <v>0</v>
      </c>
      <c r="U44" s="239">
        <f>IFERROR((HLOOKUP($AH44,Target_monthwise!$D$24:$O$40,DTR!U$4,FALSE)),0)</f>
        <v>0</v>
      </c>
      <c r="V44" s="239">
        <f>IFERROR((HLOOKUP($AH44,Target_monthwise!$D$24:$O$40,DTR!V$4,FALSE)),0)</f>
        <v>0</v>
      </c>
      <c r="W44" s="239">
        <f>IFERROR((HLOOKUP($AH44,Target_monthwise!$D$24:$O$40,DTR!W$4,FALSE)),0)</f>
        <v>0</v>
      </c>
      <c r="X44" s="239">
        <f>IFERROR((HLOOKUP($AH44,Target_monthwise!$D$24:$O$40,DTR!X$4,FALSE)),0)</f>
        <v>0</v>
      </c>
      <c r="Y44" s="239">
        <f>IFERROR((HLOOKUP($AH44,Target_monthwise!$D$24:$O$40,DTR!Y$4,FALSE)),0)</f>
        <v>0</v>
      </c>
      <c r="Z44" s="147">
        <f>IFERROR((HLOOKUP($AH44,Target_monthwise!$D$24:$O$40,DTR!Z$4,FALSE)),0)</f>
        <v>0</v>
      </c>
      <c r="AA44" s="147">
        <f>IFERROR((HLOOKUP($AH44,Target_monthwise!$D$24:$O$40,DTR!AA$4,FALSE)),0)</f>
        <v>0</v>
      </c>
      <c r="AB44" s="147">
        <f>IFERROR((HLOOKUP($AH44,Target_monthwise!$D$24:$O$40,DTR!AB$4,FALSE)),0)</f>
        <v>0</v>
      </c>
      <c r="AC44" s="239">
        <f>IFERROR((HLOOKUP($AH44,Target_monthwise!$D$24:$O$40,DTR!AC$4,FALSE)),0)</f>
        <v>0</v>
      </c>
      <c r="AD44" s="239">
        <f>IFERROR((HLOOKUP($AH44,Target_monthwise!$D$24:$O$40,DTR!AD$4,FALSE)),0)</f>
        <v>0</v>
      </c>
      <c r="AE44" s="239">
        <f>IFERROR((HLOOKUP($AH44,Target_monthwise!$D$24:$O$40,DTR!AE$4,FALSE)),0)</f>
        <v>0</v>
      </c>
      <c r="AF44" s="239">
        <f>IFERROR((HLOOKUP($AH44,Target_monthwise!$D$24:$O$40,DTR!AF$4,FALSE)),0)</f>
        <v>0</v>
      </c>
      <c r="AG44" s="172">
        <f>IFERROR((HLOOKUP($AH44,Target_monthwise!$D$24:$O$40,DTR!AG$4,FALSE)),0)</f>
        <v>0</v>
      </c>
      <c r="AH44" s="253">
        <f t="shared" si="0"/>
        <v>202205</v>
      </c>
    </row>
    <row r="45" spans="3:34" ht="15.75" hidden="1">
      <c r="C45" s="235">
        <v>44688</v>
      </c>
      <c r="D45" s="141">
        <f>IFERROR((HLOOKUP($AH45,Target_monthwise!$D$4:$O$20,DTR!D$4,FALSE))*1000,0)</f>
        <v>0</v>
      </c>
      <c r="E45" s="141">
        <f>IFERROR((HLOOKUP($AH45,Target_monthwise!$D$4:$O$20,DTR!E$4,FALSE))*1000,0)</f>
        <v>0</v>
      </c>
      <c r="F45" s="141">
        <f>IFERROR((HLOOKUP($AH45,Target_monthwise!$D$4:$O$20,DTR!F$4,FALSE))*1000,0)</f>
        <v>0</v>
      </c>
      <c r="G45" s="141">
        <f>IFERROR((HLOOKUP($AH45,Target_monthwise!$D$4:$O$20,DTR!G$4,FALSE))*1000,0)</f>
        <v>0</v>
      </c>
      <c r="H45" s="141">
        <f>IFERROR((HLOOKUP($AH45,Target_monthwise!$D$4:$O$20,DTR!H$4,FALSE))*1000,0)</f>
        <v>0</v>
      </c>
      <c r="I45" s="141">
        <f>IFERROR((HLOOKUP($AH45,Target_monthwise!$D$4:$O$20,DTR!I$4,FALSE))*1000,0)</f>
        <v>0</v>
      </c>
      <c r="J45" s="141">
        <f>IFERROR((HLOOKUP($AH45,Target_monthwise!$D$4:$O$20,DTR!J$4,FALSE))*1000,0)</f>
        <v>0</v>
      </c>
      <c r="K45" s="141">
        <f>IFERROR((HLOOKUP($AH45,Target_monthwise!$D$4:$O$20,DTR!K$4,FALSE))*1000,0)</f>
        <v>0</v>
      </c>
      <c r="L45" s="141">
        <f>IFERROR((HLOOKUP($AH45,Target_monthwise!$D$4:$O$20,DTR!L$4,FALSE))*1000,0)</f>
        <v>0</v>
      </c>
      <c r="M45" s="141">
        <f>IFERROR((HLOOKUP($AH45,Target_monthwise!$D$4:$O$20,DTR!M$4,FALSE))*1000,0)</f>
        <v>0</v>
      </c>
      <c r="N45" s="141">
        <f>IFERROR((HLOOKUP($AH45,Target_monthwise!$D$4:$O$20,DTR!N$4,FALSE))*1000,0)</f>
        <v>0</v>
      </c>
      <c r="O45" s="141">
        <f>IFERROR((HLOOKUP($AH45,Target_monthwise!$D$4:$O$20,DTR!O$4,FALSE))*1000,0)</f>
        <v>0</v>
      </c>
      <c r="P45" s="141">
        <f>IFERROR((HLOOKUP($AH45,Target_monthwise!$D$4:$O$20,DTR!P$4,FALSE))*1000,0)</f>
        <v>0</v>
      </c>
      <c r="Q45" s="141">
        <f>IFERROR((HLOOKUP($AH45,Target_monthwise!$D$4:$O$20,DTR!Q$4,FALSE))*1000,0)</f>
        <v>0</v>
      </c>
      <c r="R45" s="167">
        <f>IFERROR((HLOOKUP($AH45,Target_monthwise!$D$4:$O$20,DTR!R$4,FALSE))*1000,0)</f>
        <v>0</v>
      </c>
      <c r="S45" s="147">
        <f>IFERROR((HLOOKUP($AH45,Target_monthwise!$D$24:$O$40,DTR!S$4,FALSE)),0)</f>
        <v>0</v>
      </c>
      <c r="T45" s="147">
        <f>IFERROR((HLOOKUP($AH45,Target_monthwise!$D$24:$O$40,DTR!T$4,FALSE)),0)</f>
        <v>0</v>
      </c>
      <c r="U45" s="147">
        <f>IFERROR((HLOOKUP($AH45,Target_monthwise!$D$24:$O$40,DTR!U$4,FALSE)),0)</f>
        <v>0</v>
      </c>
      <c r="V45" s="147">
        <f>IFERROR((HLOOKUP($AH45,Target_monthwise!$D$24:$O$40,DTR!V$4,FALSE)),0)</f>
        <v>0</v>
      </c>
      <c r="W45" s="147">
        <f>IFERROR((HLOOKUP($AH45,Target_monthwise!$D$24:$O$40,DTR!W$4,FALSE)),0)</f>
        <v>0</v>
      </c>
      <c r="X45" s="147">
        <f>IFERROR((HLOOKUP($AH45,Target_monthwise!$D$24:$O$40,DTR!X$4,FALSE)),0)</f>
        <v>0</v>
      </c>
      <c r="Y45" s="147">
        <f>IFERROR((HLOOKUP($AH45,Target_monthwise!$D$24:$O$40,DTR!Y$4,FALSE)),0)</f>
        <v>0</v>
      </c>
      <c r="Z45" s="147">
        <f>IFERROR((HLOOKUP($AH45,Target_monthwise!$D$24:$O$40,DTR!Z$4,FALSE)),0)</f>
        <v>0</v>
      </c>
      <c r="AA45" s="147">
        <f>IFERROR((HLOOKUP($AH45,Target_monthwise!$D$24:$O$40,DTR!AA$4,FALSE)),0)</f>
        <v>0</v>
      </c>
      <c r="AB45" s="147">
        <f>IFERROR((HLOOKUP($AH45,Target_monthwise!$D$24:$O$40,DTR!AB$4,FALSE)),0)</f>
        <v>0</v>
      </c>
      <c r="AC45" s="147">
        <f>IFERROR((HLOOKUP($AH45,Target_monthwise!$D$24:$O$40,DTR!AC$4,FALSE)),0)</f>
        <v>0</v>
      </c>
      <c r="AD45" s="147">
        <f>IFERROR((HLOOKUP($AH45,Target_monthwise!$D$24:$O$40,DTR!AD$4,FALSE)),0)</f>
        <v>0</v>
      </c>
      <c r="AE45" s="147">
        <f>IFERROR((HLOOKUP($AH45,Target_monthwise!$D$24:$O$40,DTR!AE$4,FALSE)),0)</f>
        <v>0</v>
      </c>
      <c r="AF45" s="147">
        <f>IFERROR((HLOOKUP($AH45,Target_monthwise!$D$24:$O$40,DTR!AF$4,FALSE)),0)</f>
        <v>0</v>
      </c>
      <c r="AG45" s="172">
        <f>IFERROR((HLOOKUP($AH45,Target_monthwise!$D$24:$O$40,DTR!AG$4,FALSE)),0)</f>
        <v>0</v>
      </c>
      <c r="AH45" s="253">
        <f t="shared" si="0"/>
        <v>202205</v>
      </c>
    </row>
    <row r="46" spans="3:34" ht="15.75" hidden="1">
      <c r="C46" s="237">
        <v>44689</v>
      </c>
      <c r="D46" s="238">
        <f>IFERROR((HLOOKUP($AH46,Target_monthwise!$D$4:$O$20,DTR!D$4,FALSE))*1000,0)</f>
        <v>0</v>
      </c>
      <c r="E46" s="238">
        <f>IFERROR((HLOOKUP($AH46,Target_monthwise!$D$4:$O$20,DTR!E$4,FALSE))*1000,0)</f>
        <v>0</v>
      </c>
      <c r="F46" s="238">
        <f>IFERROR((HLOOKUP($AH46,Target_monthwise!$D$4:$O$20,DTR!F$4,FALSE))*1000,0)</f>
        <v>0</v>
      </c>
      <c r="G46" s="238">
        <f>IFERROR((HLOOKUP($AH46,Target_monthwise!$D$4:$O$20,DTR!G$4,FALSE))*1000,0)</f>
        <v>0</v>
      </c>
      <c r="H46" s="238">
        <f>IFERROR((HLOOKUP($AH46,Target_monthwise!$D$4:$O$20,DTR!H$4,FALSE))*1000,0)</f>
        <v>0</v>
      </c>
      <c r="I46" s="238">
        <f>IFERROR((HLOOKUP($AH46,Target_monthwise!$D$4:$O$20,DTR!I$4,FALSE))*1000,0)</f>
        <v>0</v>
      </c>
      <c r="J46" s="238">
        <f>IFERROR((HLOOKUP($AH46,Target_monthwise!$D$4:$O$20,DTR!J$4,FALSE))*1000,0)</f>
        <v>0</v>
      </c>
      <c r="K46" s="238">
        <f>IFERROR((HLOOKUP($AH46,Target_monthwise!$D$4:$O$20,DTR!K$4,FALSE))*1000,0)</f>
        <v>0</v>
      </c>
      <c r="L46" s="238">
        <f>IFERROR((HLOOKUP($AH46,Target_monthwise!$D$4:$O$20,DTR!L$4,FALSE))*1000,0)</f>
        <v>0</v>
      </c>
      <c r="M46" s="238">
        <f>IFERROR((HLOOKUP($AH46,Target_monthwise!$D$4:$O$20,DTR!M$4,FALSE))*1000,0)</f>
        <v>0</v>
      </c>
      <c r="N46" s="238">
        <f>IFERROR((HLOOKUP($AH46,Target_monthwise!$D$4:$O$20,DTR!N$4,FALSE))*1000,0)</f>
        <v>0</v>
      </c>
      <c r="O46" s="238">
        <f>IFERROR((HLOOKUP($AH46,Target_monthwise!$D$4:$O$20,DTR!O$4,FALSE))*1000,0)</f>
        <v>0</v>
      </c>
      <c r="P46" s="238">
        <f>IFERROR((HLOOKUP($AH46,Target_monthwise!$D$4:$O$20,DTR!P$4,FALSE))*1000,0)</f>
        <v>0</v>
      </c>
      <c r="Q46" s="141">
        <f>IFERROR((HLOOKUP($AH46,Target_monthwise!$D$4:$O$20,DTR!Q$4,FALSE))*1000,0)</f>
        <v>0</v>
      </c>
      <c r="R46" s="167">
        <f>IFERROR((HLOOKUP($AH46,Target_monthwise!$D$4:$O$20,DTR!R$4,FALSE))*1000,0)</f>
        <v>0</v>
      </c>
      <c r="S46" s="239">
        <f>IFERROR((HLOOKUP($AH46,Target_monthwise!$D$24:$O$40,DTR!S$4,FALSE)),0)</f>
        <v>0</v>
      </c>
      <c r="T46" s="239">
        <f>IFERROR((HLOOKUP($AH46,Target_monthwise!$D$24:$O$40,DTR!T$4,FALSE)),0)</f>
        <v>0</v>
      </c>
      <c r="U46" s="239">
        <f>IFERROR((HLOOKUP($AH46,Target_monthwise!$D$24:$O$40,DTR!U$4,FALSE)),0)</f>
        <v>0</v>
      </c>
      <c r="V46" s="239">
        <f>IFERROR((HLOOKUP($AH46,Target_monthwise!$D$24:$O$40,DTR!V$4,FALSE)),0)</f>
        <v>0</v>
      </c>
      <c r="W46" s="239">
        <f>IFERROR((HLOOKUP($AH46,Target_monthwise!$D$24:$O$40,DTR!W$4,FALSE)),0)</f>
        <v>0</v>
      </c>
      <c r="X46" s="239">
        <f>IFERROR((HLOOKUP($AH46,Target_monthwise!$D$24:$O$40,DTR!X$4,FALSE)),0)</f>
        <v>0</v>
      </c>
      <c r="Y46" s="239">
        <f>IFERROR((HLOOKUP($AH46,Target_monthwise!$D$24:$O$40,DTR!Y$4,FALSE)),0)</f>
        <v>0</v>
      </c>
      <c r="Z46" s="147">
        <f>IFERROR((HLOOKUP($AH46,Target_monthwise!$D$24:$O$40,DTR!Z$4,FALSE)),0)</f>
        <v>0</v>
      </c>
      <c r="AA46" s="147">
        <f>IFERROR((HLOOKUP($AH46,Target_monthwise!$D$24:$O$40,DTR!AA$4,FALSE)),0)</f>
        <v>0</v>
      </c>
      <c r="AB46" s="147">
        <f>IFERROR((HLOOKUP($AH46,Target_monthwise!$D$24:$O$40,DTR!AB$4,FALSE)),0)</f>
        <v>0</v>
      </c>
      <c r="AC46" s="239">
        <f>IFERROR((HLOOKUP($AH46,Target_monthwise!$D$24:$O$40,DTR!AC$4,FALSE)),0)</f>
        <v>0</v>
      </c>
      <c r="AD46" s="239">
        <f>IFERROR((HLOOKUP($AH46,Target_monthwise!$D$24:$O$40,DTR!AD$4,FALSE)),0)</f>
        <v>0</v>
      </c>
      <c r="AE46" s="239">
        <f>IFERROR((HLOOKUP($AH46,Target_monthwise!$D$24:$O$40,DTR!AE$4,FALSE)),0)</f>
        <v>0</v>
      </c>
      <c r="AF46" s="239">
        <f>IFERROR((HLOOKUP($AH46,Target_monthwise!$D$24:$O$40,DTR!AF$4,FALSE)),0)</f>
        <v>0</v>
      </c>
      <c r="AG46" s="172">
        <f>IFERROR((HLOOKUP($AH46,Target_monthwise!$D$24:$O$40,DTR!AG$4,FALSE)),0)</f>
        <v>0</v>
      </c>
      <c r="AH46" s="253">
        <f t="shared" si="0"/>
        <v>202205</v>
      </c>
    </row>
    <row r="47" spans="3:34" ht="15.75" hidden="1">
      <c r="C47" s="235">
        <v>44690</v>
      </c>
      <c r="D47" s="141">
        <f>IFERROR((HLOOKUP($AH47,Target_monthwise!$D$4:$O$20,DTR!D$4,FALSE))*1000,0)</f>
        <v>0</v>
      </c>
      <c r="E47" s="141">
        <f>IFERROR((HLOOKUP($AH47,Target_monthwise!$D$4:$O$20,DTR!E$4,FALSE))*1000,0)</f>
        <v>0</v>
      </c>
      <c r="F47" s="141">
        <f>IFERROR((HLOOKUP($AH47,Target_monthwise!$D$4:$O$20,DTR!F$4,FALSE))*1000,0)</f>
        <v>0</v>
      </c>
      <c r="G47" s="141">
        <f>IFERROR((HLOOKUP($AH47,Target_monthwise!$D$4:$O$20,DTR!G$4,FALSE))*1000,0)</f>
        <v>0</v>
      </c>
      <c r="H47" s="141">
        <f>IFERROR((HLOOKUP($AH47,Target_monthwise!$D$4:$O$20,DTR!H$4,FALSE))*1000,0)</f>
        <v>0</v>
      </c>
      <c r="I47" s="141">
        <f>IFERROR((HLOOKUP($AH47,Target_monthwise!$D$4:$O$20,DTR!I$4,FALSE))*1000,0)</f>
        <v>0</v>
      </c>
      <c r="J47" s="141">
        <f>IFERROR((HLOOKUP($AH47,Target_monthwise!$D$4:$O$20,DTR!J$4,FALSE))*1000,0)</f>
        <v>0</v>
      </c>
      <c r="K47" s="141">
        <f>IFERROR((HLOOKUP($AH47,Target_monthwise!$D$4:$O$20,DTR!K$4,FALSE))*1000,0)</f>
        <v>0</v>
      </c>
      <c r="L47" s="141">
        <f>IFERROR((HLOOKUP($AH47,Target_monthwise!$D$4:$O$20,DTR!L$4,FALSE))*1000,0)</f>
        <v>0</v>
      </c>
      <c r="M47" s="141">
        <f>IFERROR((HLOOKUP($AH47,Target_monthwise!$D$4:$O$20,DTR!M$4,FALSE))*1000,0)</f>
        <v>0</v>
      </c>
      <c r="N47" s="141">
        <f>IFERROR((HLOOKUP($AH47,Target_monthwise!$D$4:$O$20,DTR!N$4,FALSE))*1000,0)</f>
        <v>0</v>
      </c>
      <c r="O47" s="141">
        <f>IFERROR((HLOOKUP($AH47,Target_monthwise!$D$4:$O$20,DTR!O$4,FALSE))*1000,0)</f>
        <v>0</v>
      </c>
      <c r="P47" s="141">
        <f>IFERROR((HLOOKUP($AH47,Target_monthwise!$D$4:$O$20,DTR!P$4,FALSE))*1000,0)</f>
        <v>0</v>
      </c>
      <c r="Q47" s="141">
        <f>IFERROR((HLOOKUP($AH47,Target_monthwise!$D$4:$O$20,DTR!Q$4,FALSE))*1000,0)</f>
        <v>0</v>
      </c>
      <c r="R47" s="167">
        <f>IFERROR((HLOOKUP($AH47,Target_monthwise!$D$4:$O$20,DTR!R$4,FALSE))*1000,0)</f>
        <v>0</v>
      </c>
      <c r="S47" s="147">
        <f>IFERROR((HLOOKUP($AH47,Target_monthwise!$D$24:$O$40,DTR!S$4,FALSE)),0)</f>
        <v>0</v>
      </c>
      <c r="T47" s="147">
        <f>IFERROR((HLOOKUP($AH47,Target_monthwise!$D$24:$O$40,DTR!T$4,FALSE)),0)</f>
        <v>0</v>
      </c>
      <c r="U47" s="147">
        <f>IFERROR((HLOOKUP($AH47,Target_monthwise!$D$24:$O$40,DTR!U$4,FALSE)),0)</f>
        <v>0</v>
      </c>
      <c r="V47" s="147">
        <f>IFERROR((HLOOKUP($AH47,Target_monthwise!$D$24:$O$40,DTR!V$4,FALSE)),0)</f>
        <v>0</v>
      </c>
      <c r="W47" s="147">
        <f>IFERROR((HLOOKUP($AH47,Target_monthwise!$D$24:$O$40,DTR!W$4,FALSE)),0)</f>
        <v>0</v>
      </c>
      <c r="X47" s="147">
        <f>IFERROR((HLOOKUP($AH47,Target_monthwise!$D$24:$O$40,DTR!X$4,FALSE)),0)</f>
        <v>0</v>
      </c>
      <c r="Y47" s="147">
        <f>IFERROR((HLOOKUP($AH47,Target_monthwise!$D$24:$O$40,DTR!Y$4,FALSE)),0)</f>
        <v>0</v>
      </c>
      <c r="Z47" s="147">
        <f>IFERROR((HLOOKUP($AH47,Target_monthwise!$D$24:$O$40,DTR!Z$4,FALSE)),0)</f>
        <v>0</v>
      </c>
      <c r="AA47" s="147">
        <f>IFERROR((HLOOKUP($AH47,Target_monthwise!$D$24:$O$40,DTR!AA$4,FALSE)),0)</f>
        <v>0</v>
      </c>
      <c r="AB47" s="147">
        <f>IFERROR((HLOOKUP($AH47,Target_monthwise!$D$24:$O$40,DTR!AB$4,FALSE)),0)</f>
        <v>0</v>
      </c>
      <c r="AC47" s="147">
        <f>IFERROR((HLOOKUP($AH47,Target_monthwise!$D$24:$O$40,DTR!AC$4,FALSE)),0)</f>
        <v>0</v>
      </c>
      <c r="AD47" s="147">
        <f>IFERROR((HLOOKUP($AH47,Target_monthwise!$D$24:$O$40,DTR!AD$4,FALSE)),0)</f>
        <v>0</v>
      </c>
      <c r="AE47" s="147">
        <f>IFERROR((HLOOKUP($AH47,Target_monthwise!$D$24:$O$40,DTR!AE$4,FALSE)),0)</f>
        <v>0</v>
      </c>
      <c r="AF47" s="147">
        <f>IFERROR((HLOOKUP($AH47,Target_monthwise!$D$24:$O$40,DTR!AF$4,FALSE)),0)</f>
        <v>0</v>
      </c>
      <c r="AG47" s="172">
        <f>IFERROR((HLOOKUP($AH47,Target_monthwise!$D$24:$O$40,DTR!AG$4,FALSE)),0)</f>
        <v>0</v>
      </c>
      <c r="AH47" s="253">
        <f t="shared" si="0"/>
        <v>202205</v>
      </c>
    </row>
    <row r="48" spans="3:34" ht="15.75" hidden="1">
      <c r="C48" s="237">
        <v>44691</v>
      </c>
      <c r="D48" s="238">
        <f>IFERROR((HLOOKUP($AH48,Target_monthwise!$D$4:$O$20,DTR!D$4,FALSE))*1000,0)</f>
        <v>0</v>
      </c>
      <c r="E48" s="238">
        <f>IFERROR((HLOOKUP($AH48,Target_monthwise!$D$4:$O$20,DTR!E$4,FALSE))*1000,0)</f>
        <v>0</v>
      </c>
      <c r="F48" s="238">
        <f>IFERROR((HLOOKUP($AH48,Target_monthwise!$D$4:$O$20,DTR!F$4,FALSE))*1000,0)</f>
        <v>0</v>
      </c>
      <c r="G48" s="238">
        <f>IFERROR((HLOOKUP($AH48,Target_monthwise!$D$4:$O$20,DTR!G$4,FALSE))*1000,0)</f>
        <v>0</v>
      </c>
      <c r="H48" s="238">
        <f>IFERROR((HLOOKUP($AH48,Target_monthwise!$D$4:$O$20,DTR!H$4,FALSE))*1000,0)</f>
        <v>0</v>
      </c>
      <c r="I48" s="238">
        <f>IFERROR((HLOOKUP($AH48,Target_monthwise!$D$4:$O$20,DTR!I$4,FALSE))*1000,0)</f>
        <v>0</v>
      </c>
      <c r="J48" s="238">
        <f>IFERROR((HLOOKUP($AH48,Target_monthwise!$D$4:$O$20,DTR!J$4,FALSE))*1000,0)</f>
        <v>0</v>
      </c>
      <c r="K48" s="238">
        <f>IFERROR((HLOOKUP($AH48,Target_monthwise!$D$4:$O$20,DTR!K$4,FALSE))*1000,0)</f>
        <v>0</v>
      </c>
      <c r="L48" s="238">
        <f>IFERROR((HLOOKUP($AH48,Target_monthwise!$D$4:$O$20,DTR!L$4,FALSE))*1000,0)</f>
        <v>0</v>
      </c>
      <c r="M48" s="238">
        <f>IFERROR((HLOOKUP($AH48,Target_monthwise!$D$4:$O$20,DTR!M$4,FALSE))*1000,0)</f>
        <v>0</v>
      </c>
      <c r="N48" s="238">
        <f>IFERROR((HLOOKUP($AH48,Target_monthwise!$D$4:$O$20,DTR!N$4,FALSE))*1000,0)</f>
        <v>0</v>
      </c>
      <c r="O48" s="238">
        <f>IFERROR((HLOOKUP($AH48,Target_monthwise!$D$4:$O$20,DTR!O$4,FALSE))*1000,0)</f>
        <v>0</v>
      </c>
      <c r="P48" s="238">
        <f>IFERROR((HLOOKUP($AH48,Target_monthwise!$D$4:$O$20,DTR!P$4,FALSE))*1000,0)</f>
        <v>0</v>
      </c>
      <c r="Q48" s="141">
        <f>IFERROR((HLOOKUP($AH48,Target_monthwise!$D$4:$O$20,DTR!Q$4,FALSE))*1000,0)</f>
        <v>0</v>
      </c>
      <c r="R48" s="167">
        <f>IFERROR((HLOOKUP($AH48,Target_monthwise!$D$4:$O$20,DTR!R$4,FALSE))*1000,0)</f>
        <v>0</v>
      </c>
      <c r="S48" s="239">
        <f>IFERROR((HLOOKUP($AH48,Target_monthwise!$D$24:$O$40,DTR!S$4,FALSE)),0)</f>
        <v>0</v>
      </c>
      <c r="T48" s="239">
        <f>IFERROR((HLOOKUP($AH48,Target_monthwise!$D$24:$O$40,DTR!T$4,FALSE)),0)</f>
        <v>0</v>
      </c>
      <c r="U48" s="239">
        <f>IFERROR((HLOOKUP($AH48,Target_monthwise!$D$24:$O$40,DTR!U$4,FALSE)),0)</f>
        <v>0</v>
      </c>
      <c r="V48" s="239">
        <f>IFERROR((HLOOKUP($AH48,Target_monthwise!$D$24:$O$40,DTR!V$4,FALSE)),0)</f>
        <v>0</v>
      </c>
      <c r="W48" s="239">
        <f>IFERROR((HLOOKUP($AH48,Target_monthwise!$D$24:$O$40,DTR!W$4,FALSE)),0)</f>
        <v>0</v>
      </c>
      <c r="X48" s="239">
        <f>IFERROR((HLOOKUP($AH48,Target_monthwise!$D$24:$O$40,DTR!X$4,FALSE)),0)</f>
        <v>0</v>
      </c>
      <c r="Y48" s="239">
        <f>IFERROR((HLOOKUP($AH48,Target_monthwise!$D$24:$O$40,DTR!Y$4,FALSE)),0)</f>
        <v>0</v>
      </c>
      <c r="Z48" s="147">
        <f>IFERROR((HLOOKUP($AH48,Target_monthwise!$D$24:$O$40,DTR!Z$4,FALSE)),0)</f>
        <v>0</v>
      </c>
      <c r="AA48" s="147">
        <f>IFERROR((HLOOKUP($AH48,Target_monthwise!$D$24:$O$40,DTR!AA$4,FALSE)),0)</f>
        <v>0</v>
      </c>
      <c r="AB48" s="147">
        <f>IFERROR((HLOOKUP($AH48,Target_monthwise!$D$24:$O$40,DTR!AB$4,FALSE)),0)</f>
        <v>0</v>
      </c>
      <c r="AC48" s="239">
        <f>IFERROR((HLOOKUP($AH48,Target_monthwise!$D$24:$O$40,DTR!AC$4,FALSE)),0)</f>
        <v>0</v>
      </c>
      <c r="AD48" s="239">
        <f>IFERROR((HLOOKUP($AH48,Target_monthwise!$D$24:$O$40,DTR!AD$4,FALSE)),0)</f>
        <v>0</v>
      </c>
      <c r="AE48" s="239">
        <f>IFERROR((HLOOKUP($AH48,Target_monthwise!$D$24:$O$40,DTR!AE$4,FALSE)),0)</f>
        <v>0</v>
      </c>
      <c r="AF48" s="239">
        <f>IFERROR((HLOOKUP($AH48,Target_monthwise!$D$24:$O$40,DTR!AF$4,FALSE)),0)</f>
        <v>0</v>
      </c>
      <c r="AG48" s="172">
        <f>IFERROR((HLOOKUP($AH48,Target_monthwise!$D$24:$O$40,DTR!AG$4,FALSE)),0)</f>
        <v>0</v>
      </c>
      <c r="AH48" s="253">
        <f t="shared" si="0"/>
        <v>202205</v>
      </c>
    </row>
    <row r="49" spans="3:34" ht="15.75" hidden="1">
      <c r="C49" s="235">
        <v>44692</v>
      </c>
      <c r="D49" s="141">
        <f>IFERROR((HLOOKUP($AH49,Target_monthwise!$D$4:$O$20,DTR!D$4,FALSE))*1000,0)</f>
        <v>0</v>
      </c>
      <c r="E49" s="141">
        <f>IFERROR((HLOOKUP($AH49,Target_monthwise!$D$4:$O$20,DTR!E$4,FALSE))*1000,0)</f>
        <v>0</v>
      </c>
      <c r="F49" s="141">
        <f>IFERROR((HLOOKUP($AH49,Target_monthwise!$D$4:$O$20,DTR!F$4,FALSE))*1000,0)</f>
        <v>0</v>
      </c>
      <c r="G49" s="141">
        <f>IFERROR((HLOOKUP($AH49,Target_monthwise!$D$4:$O$20,DTR!G$4,FALSE))*1000,0)</f>
        <v>0</v>
      </c>
      <c r="H49" s="141">
        <f>IFERROR((HLOOKUP($AH49,Target_monthwise!$D$4:$O$20,DTR!H$4,FALSE))*1000,0)</f>
        <v>0</v>
      </c>
      <c r="I49" s="141">
        <f>IFERROR((HLOOKUP($AH49,Target_monthwise!$D$4:$O$20,DTR!I$4,FALSE))*1000,0)</f>
        <v>0</v>
      </c>
      <c r="J49" s="141">
        <f>IFERROR((HLOOKUP($AH49,Target_monthwise!$D$4:$O$20,DTR!J$4,FALSE))*1000,0)</f>
        <v>0</v>
      </c>
      <c r="K49" s="141">
        <f>IFERROR((HLOOKUP($AH49,Target_monthwise!$D$4:$O$20,DTR!K$4,FALSE))*1000,0)</f>
        <v>0</v>
      </c>
      <c r="L49" s="141">
        <f>IFERROR((HLOOKUP($AH49,Target_monthwise!$D$4:$O$20,DTR!L$4,FALSE))*1000,0)</f>
        <v>0</v>
      </c>
      <c r="M49" s="141">
        <f>IFERROR((HLOOKUP($AH49,Target_monthwise!$D$4:$O$20,DTR!M$4,FALSE))*1000,0)</f>
        <v>0</v>
      </c>
      <c r="N49" s="141">
        <f>IFERROR((HLOOKUP($AH49,Target_monthwise!$D$4:$O$20,DTR!N$4,FALSE))*1000,0)</f>
        <v>0</v>
      </c>
      <c r="O49" s="141">
        <f>IFERROR((HLOOKUP($AH49,Target_monthwise!$D$4:$O$20,DTR!O$4,FALSE))*1000,0)</f>
        <v>0</v>
      </c>
      <c r="P49" s="141">
        <f>IFERROR((HLOOKUP($AH49,Target_monthwise!$D$4:$O$20,DTR!P$4,FALSE))*1000,0)</f>
        <v>0</v>
      </c>
      <c r="Q49" s="141">
        <f>IFERROR((HLOOKUP($AH49,Target_monthwise!$D$4:$O$20,DTR!Q$4,FALSE))*1000,0)</f>
        <v>0</v>
      </c>
      <c r="R49" s="167">
        <f>IFERROR((HLOOKUP($AH49,Target_monthwise!$D$4:$O$20,DTR!R$4,FALSE))*1000,0)</f>
        <v>0</v>
      </c>
      <c r="S49" s="147">
        <f>IFERROR((HLOOKUP($AH49,Target_monthwise!$D$24:$O$40,DTR!S$4,FALSE)),0)</f>
        <v>0</v>
      </c>
      <c r="T49" s="147">
        <f>IFERROR((HLOOKUP($AH49,Target_monthwise!$D$24:$O$40,DTR!T$4,FALSE)),0)</f>
        <v>0</v>
      </c>
      <c r="U49" s="147">
        <f>IFERROR((HLOOKUP($AH49,Target_monthwise!$D$24:$O$40,DTR!U$4,FALSE)),0)</f>
        <v>0</v>
      </c>
      <c r="V49" s="147">
        <f>IFERROR((HLOOKUP($AH49,Target_monthwise!$D$24:$O$40,DTR!V$4,FALSE)),0)</f>
        <v>0</v>
      </c>
      <c r="W49" s="147">
        <f>IFERROR((HLOOKUP($AH49,Target_monthwise!$D$24:$O$40,DTR!W$4,FALSE)),0)</f>
        <v>0</v>
      </c>
      <c r="X49" s="147">
        <f>IFERROR((HLOOKUP($AH49,Target_monthwise!$D$24:$O$40,DTR!X$4,FALSE)),0)</f>
        <v>0</v>
      </c>
      <c r="Y49" s="147">
        <f>IFERROR((HLOOKUP($AH49,Target_monthwise!$D$24:$O$40,DTR!Y$4,FALSE)),0)</f>
        <v>0</v>
      </c>
      <c r="Z49" s="147">
        <f>IFERROR((HLOOKUP($AH49,Target_monthwise!$D$24:$O$40,DTR!Z$4,FALSE)),0)</f>
        <v>0</v>
      </c>
      <c r="AA49" s="147">
        <f>IFERROR((HLOOKUP($AH49,Target_monthwise!$D$24:$O$40,DTR!AA$4,FALSE)),0)</f>
        <v>0</v>
      </c>
      <c r="AB49" s="147">
        <f>IFERROR((HLOOKUP($AH49,Target_monthwise!$D$24:$O$40,DTR!AB$4,FALSE)),0)</f>
        <v>0</v>
      </c>
      <c r="AC49" s="147">
        <f>IFERROR((HLOOKUP($AH49,Target_monthwise!$D$24:$O$40,DTR!AC$4,FALSE)),0)</f>
        <v>0</v>
      </c>
      <c r="AD49" s="147">
        <f>IFERROR((HLOOKUP($AH49,Target_monthwise!$D$24:$O$40,DTR!AD$4,FALSE)),0)</f>
        <v>0</v>
      </c>
      <c r="AE49" s="147">
        <f>IFERROR((HLOOKUP($AH49,Target_monthwise!$D$24:$O$40,DTR!AE$4,FALSE)),0)</f>
        <v>0</v>
      </c>
      <c r="AF49" s="147">
        <f>IFERROR((HLOOKUP($AH49,Target_monthwise!$D$24:$O$40,DTR!AF$4,FALSE)),0)</f>
        <v>0</v>
      </c>
      <c r="AG49" s="172">
        <f>IFERROR((HLOOKUP($AH49,Target_monthwise!$D$24:$O$40,DTR!AG$4,FALSE)),0)</f>
        <v>0</v>
      </c>
      <c r="AH49" s="253">
        <f t="shared" si="0"/>
        <v>202205</v>
      </c>
    </row>
    <row r="50" spans="3:34" ht="15.75" hidden="1">
      <c r="C50" s="237">
        <v>44693</v>
      </c>
      <c r="D50" s="238">
        <f>IFERROR((HLOOKUP($AH50,Target_monthwise!$D$4:$O$20,DTR!D$4,FALSE))*1000,0)</f>
        <v>0</v>
      </c>
      <c r="E50" s="238">
        <f>IFERROR((HLOOKUP($AH50,Target_monthwise!$D$4:$O$20,DTR!E$4,FALSE))*1000,0)</f>
        <v>0</v>
      </c>
      <c r="F50" s="238">
        <f>IFERROR((HLOOKUP($AH50,Target_monthwise!$D$4:$O$20,DTR!F$4,FALSE))*1000,0)</f>
        <v>0</v>
      </c>
      <c r="G50" s="238">
        <f>IFERROR((HLOOKUP($AH50,Target_monthwise!$D$4:$O$20,DTR!G$4,FALSE))*1000,0)</f>
        <v>0</v>
      </c>
      <c r="H50" s="238">
        <f>IFERROR((HLOOKUP($AH50,Target_monthwise!$D$4:$O$20,DTR!H$4,FALSE))*1000,0)</f>
        <v>0</v>
      </c>
      <c r="I50" s="238">
        <f>IFERROR((HLOOKUP($AH50,Target_monthwise!$D$4:$O$20,DTR!I$4,FALSE))*1000,0)</f>
        <v>0</v>
      </c>
      <c r="J50" s="238">
        <f>IFERROR((HLOOKUP($AH50,Target_monthwise!$D$4:$O$20,DTR!J$4,FALSE))*1000,0)</f>
        <v>0</v>
      </c>
      <c r="K50" s="238">
        <f>IFERROR((HLOOKUP($AH50,Target_monthwise!$D$4:$O$20,DTR!K$4,FALSE))*1000,0)</f>
        <v>0</v>
      </c>
      <c r="L50" s="238">
        <f>IFERROR((HLOOKUP($AH50,Target_monthwise!$D$4:$O$20,DTR!L$4,FALSE))*1000,0)</f>
        <v>0</v>
      </c>
      <c r="M50" s="238">
        <f>IFERROR((HLOOKUP($AH50,Target_monthwise!$D$4:$O$20,DTR!M$4,FALSE))*1000,0)</f>
        <v>0</v>
      </c>
      <c r="N50" s="238">
        <f>IFERROR((HLOOKUP($AH50,Target_monthwise!$D$4:$O$20,DTR!N$4,FALSE))*1000,0)</f>
        <v>0</v>
      </c>
      <c r="O50" s="238">
        <f>IFERROR((HLOOKUP($AH50,Target_monthwise!$D$4:$O$20,DTR!O$4,FALSE))*1000,0)</f>
        <v>0</v>
      </c>
      <c r="P50" s="238">
        <f>IFERROR((HLOOKUP($AH50,Target_monthwise!$D$4:$O$20,DTR!P$4,FALSE))*1000,0)</f>
        <v>0</v>
      </c>
      <c r="Q50" s="141">
        <f>IFERROR((HLOOKUP($AH50,Target_monthwise!$D$4:$O$20,DTR!Q$4,FALSE))*1000,0)</f>
        <v>0</v>
      </c>
      <c r="R50" s="167">
        <f>IFERROR((HLOOKUP($AH50,Target_monthwise!$D$4:$O$20,DTR!R$4,FALSE))*1000,0)</f>
        <v>0</v>
      </c>
      <c r="S50" s="239">
        <f>IFERROR((HLOOKUP($AH50,Target_monthwise!$D$24:$O$40,DTR!S$4,FALSE)),0)</f>
        <v>0</v>
      </c>
      <c r="T50" s="239">
        <f>IFERROR((HLOOKUP($AH50,Target_monthwise!$D$24:$O$40,DTR!T$4,FALSE)),0)</f>
        <v>0</v>
      </c>
      <c r="U50" s="239">
        <f>IFERROR((HLOOKUP($AH50,Target_monthwise!$D$24:$O$40,DTR!U$4,FALSE)),0)</f>
        <v>0</v>
      </c>
      <c r="V50" s="239">
        <f>IFERROR((HLOOKUP($AH50,Target_monthwise!$D$24:$O$40,DTR!V$4,FALSE)),0)</f>
        <v>0</v>
      </c>
      <c r="W50" s="239">
        <f>IFERROR((HLOOKUP($AH50,Target_monthwise!$D$24:$O$40,DTR!W$4,FALSE)),0)</f>
        <v>0</v>
      </c>
      <c r="X50" s="239">
        <f>IFERROR((HLOOKUP($AH50,Target_monthwise!$D$24:$O$40,DTR!X$4,FALSE)),0)</f>
        <v>0</v>
      </c>
      <c r="Y50" s="239">
        <f>IFERROR((HLOOKUP($AH50,Target_monthwise!$D$24:$O$40,DTR!Y$4,FALSE)),0)</f>
        <v>0</v>
      </c>
      <c r="Z50" s="147">
        <f>IFERROR((HLOOKUP($AH50,Target_monthwise!$D$24:$O$40,DTR!Z$4,FALSE)),0)</f>
        <v>0</v>
      </c>
      <c r="AA50" s="147">
        <f>IFERROR((HLOOKUP($AH50,Target_monthwise!$D$24:$O$40,DTR!AA$4,FALSE)),0)</f>
        <v>0</v>
      </c>
      <c r="AB50" s="147">
        <f>IFERROR((HLOOKUP($AH50,Target_monthwise!$D$24:$O$40,DTR!AB$4,FALSE)),0)</f>
        <v>0</v>
      </c>
      <c r="AC50" s="239">
        <f>IFERROR((HLOOKUP($AH50,Target_monthwise!$D$24:$O$40,DTR!AC$4,FALSE)),0)</f>
        <v>0</v>
      </c>
      <c r="AD50" s="239">
        <f>IFERROR((HLOOKUP($AH50,Target_monthwise!$D$24:$O$40,DTR!AD$4,FALSE)),0)</f>
        <v>0</v>
      </c>
      <c r="AE50" s="239">
        <f>IFERROR((HLOOKUP($AH50,Target_monthwise!$D$24:$O$40,DTR!AE$4,FALSE)),0)</f>
        <v>0</v>
      </c>
      <c r="AF50" s="239">
        <f>IFERROR((HLOOKUP($AH50,Target_monthwise!$D$24:$O$40,DTR!AF$4,FALSE)),0)</f>
        <v>0</v>
      </c>
      <c r="AG50" s="172">
        <f>IFERROR((HLOOKUP($AH50,Target_monthwise!$D$24:$O$40,DTR!AG$4,FALSE)),0)</f>
        <v>0</v>
      </c>
      <c r="AH50" s="253">
        <f t="shared" si="0"/>
        <v>202205</v>
      </c>
    </row>
    <row r="51" spans="3:34" ht="15.75" hidden="1">
      <c r="C51" s="235">
        <v>44694</v>
      </c>
      <c r="D51" s="141">
        <f>IFERROR((HLOOKUP($AH51,Target_monthwise!$D$4:$O$20,DTR!D$4,FALSE))*1000,0)</f>
        <v>0</v>
      </c>
      <c r="E51" s="141">
        <f>IFERROR((HLOOKUP($AH51,Target_monthwise!$D$4:$O$20,DTR!E$4,FALSE))*1000,0)</f>
        <v>0</v>
      </c>
      <c r="F51" s="141">
        <f>IFERROR((HLOOKUP($AH51,Target_monthwise!$D$4:$O$20,DTR!F$4,FALSE))*1000,0)</f>
        <v>0</v>
      </c>
      <c r="G51" s="141">
        <f>IFERROR((HLOOKUP($AH51,Target_monthwise!$D$4:$O$20,DTR!G$4,FALSE))*1000,0)</f>
        <v>0</v>
      </c>
      <c r="H51" s="141">
        <f>IFERROR((HLOOKUP($AH51,Target_monthwise!$D$4:$O$20,DTR!H$4,FALSE))*1000,0)</f>
        <v>0</v>
      </c>
      <c r="I51" s="141">
        <f>IFERROR((HLOOKUP($AH51,Target_monthwise!$D$4:$O$20,DTR!I$4,FALSE))*1000,0)</f>
        <v>0</v>
      </c>
      <c r="J51" s="141">
        <f>IFERROR((HLOOKUP($AH51,Target_monthwise!$D$4:$O$20,DTR!J$4,FALSE))*1000,0)</f>
        <v>0</v>
      </c>
      <c r="K51" s="141">
        <f>IFERROR((HLOOKUP($AH51,Target_monthwise!$D$4:$O$20,DTR!K$4,FALSE))*1000,0)</f>
        <v>0</v>
      </c>
      <c r="L51" s="141">
        <f>IFERROR((HLOOKUP($AH51,Target_monthwise!$D$4:$O$20,DTR!L$4,FALSE))*1000,0)</f>
        <v>0</v>
      </c>
      <c r="M51" s="141">
        <f>IFERROR((HLOOKUP($AH51,Target_monthwise!$D$4:$O$20,DTR!M$4,FALSE))*1000,0)</f>
        <v>0</v>
      </c>
      <c r="N51" s="141">
        <f>IFERROR((HLOOKUP($AH51,Target_monthwise!$D$4:$O$20,DTR!N$4,FALSE))*1000,0)</f>
        <v>0</v>
      </c>
      <c r="O51" s="141">
        <f>IFERROR((HLOOKUP($AH51,Target_monthwise!$D$4:$O$20,DTR!O$4,FALSE))*1000,0)</f>
        <v>0</v>
      </c>
      <c r="P51" s="141">
        <f>IFERROR((HLOOKUP($AH51,Target_monthwise!$D$4:$O$20,DTR!P$4,FALSE))*1000,0)</f>
        <v>0</v>
      </c>
      <c r="Q51" s="141">
        <f>IFERROR((HLOOKUP($AH51,Target_monthwise!$D$4:$O$20,DTR!Q$4,FALSE))*1000,0)</f>
        <v>0</v>
      </c>
      <c r="R51" s="167">
        <f>IFERROR((HLOOKUP($AH51,Target_monthwise!$D$4:$O$20,DTR!R$4,FALSE))*1000,0)</f>
        <v>0</v>
      </c>
      <c r="S51" s="147">
        <f>IFERROR((HLOOKUP($AH51,Target_monthwise!$D$24:$O$40,DTR!S$4,FALSE)),0)</f>
        <v>0</v>
      </c>
      <c r="T51" s="147">
        <f>IFERROR((HLOOKUP($AH51,Target_monthwise!$D$24:$O$40,DTR!T$4,FALSE)),0)</f>
        <v>0</v>
      </c>
      <c r="U51" s="147">
        <f>IFERROR((HLOOKUP($AH51,Target_monthwise!$D$24:$O$40,DTR!U$4,FALSE)),0)</f>
        <v>0</v>
      </c>
      <c r="V51" s="147">
        <f>IFERROR((HLOOKUP($AH51,Target_monthwise!$D$24:$O$40,DTR!V$4,FALSE)),0)</f>
        <v>0</v>
      </c>
      <c r="W51" s="147">
        <f>IFERROR((HLOOKUP($AH51,Target_monthwise!$D$24:$O$40,DTR!W$4,FALSE)),0)</f>
        <v>0</v>
      </c>
      <c r="X51" s="147">
        <f>IFERROR((HLOOKUP($AH51,Target_monthwise!$D$24:$O$40,DTR!X$4,FALSE)),0)</f>
        <v>0</v>
      </c>
      <c r="Y51" s="147">
        <f>IFERROR((HLOOKUP($AH51,Target_monthwise!$D$24:$O$40,DTR!Y$4,FALSE)),0)</f>
        <v>0</v>
      </c>
      <c r="Z51" s="147">
        <f>IFERROR((HLOOKUP($AH51,Target_monthwise!$D$24:$O$40,DTR!Z$4,FALSE)),0)</f>
        <v>0</v>
      </c>
      <c r="AA51" s="147">
        <f>IFERROR((HLOOKUP($AH51,Target_monthwise!$D$24:$O$40,DTR!AA$4,FALSE)),0)</f>
        <v>0</v>
      </c>
      <c r="AB51" s="147">
        <f>IFERROR((HLOOKUP($AH51,Target_monthwise!$D$24:$O$40,DTR!AB$4,FALSE)),0)</f>
        <v>0</v>
      </c>
      <c r="AC51" s="147">
        <f>IFERROR((HLOOKUP($AH51,Target_monthwise!$D$24:$O$40,DTR!AC$4,FALSE)),0)</f>
        <v>0</v>
      </c>
      <c r="AD51" s="147">
        <f>IFERROR((HLOOKUP($AH51,Target_monthwise!$D$24:$O$40,DTR!AD$4,FALSE)),0)</f>
        <v>0</v>
      </c>
      <c r="AE51" s="147">
        <f>IFERROR((HLOOKUP($AH51,Target_monthwise!$D$24:$O$40,DTR!AE$4,FALSE)),0)</f>
        <v>0</v>
      </c>
      <c r="AF51" s="147">
        <f>IFERROR((HLOOKUP($AH51,Target_monthwise!$D$24:$O$40,DTR!AF$4,FALSE)),0)</f>
        <v>0</v>
      </c>
      <c r="AG51" s="172">
        <f>IFERROR((HLOOKUP($AH51,Target_monthwise!$D$24:$O$40,DTR!AG$4,FALSE)),0)</f>
        <v>0</v>
      </c>
      <c r="AH51" s="253">
        <f t="shared" si="0"/>
        <v>202205</v>
      </c>
    </row>
    <row r="52" spans="3:34" ht="15.75" hidden="1">
      <c r="C52" s="237">
        <v>44695</v>
      </c>
      <c r="D52" s="238">
        <f>IFERROR((HLOOKUP($AH52,Target_monthwise!$D$4:$O$20,DTR!D$4,FALSE))*1000,0)</f>
        <v>0</v>
      </c>
      <c r="E52" s="238">
        <f>IFERROR((HLOOKUP($AH52,Target_monthwise!$D$4:$O$20,DTR!E$4,FALSE))*1000,0)</f>
        <v>0</v>
      </c>
      <c r="F52" s="238">
        <f>IFERROR((HLOOKUP($AH52,Target_monthwise!$D$4:$O$20,DTR!F$4,FALSE))*1000,0)</f>
        <v>0</v>
      </c>
      <c r="G52" s="238">
        <f>IFERROR((HLOOKUP($AH52,Target_monthwise!$D$4:$O$20,DTR!G$4,FALSE))*1000,0)</f>
        <v>0</v>
      </c>
      <c r="H52" s="238">
        <f>IFERROR((HLOOKUP($AH52,Target_monthwise!$D$4:$O$20,DTR!H$4,FALSE))*1000,0)</f>
        <v>0</v>
      </c>
      <c r="I52" s="238">
        <f>IFERROR((HLOOKUP($AH52,Target_monthwise!$D$4:$O$20,DTR!I$4,FALSE))*1000,0)</f>
        <v>0</v>
      </c>
      <c r="J52" s="238">
        <f>IFERROR((HLOOKUP($AH52,Target_monthwise!$D$4:$O$20,DTR!J$4,FALSE))*1000,0)</f>
        <v>0</v>
      </c>
      <c r="K52" s="238">
        <f>IFERROR((HLOOKUP($AH52,Target_monthwise!$D$4:$O$20,DTR!K$4,FALSE))*1000,0)</f>
        <v>0</v>
      </c>
      <c r="L52" s="238">
        <f>IFERROR((HLOOKUP($AH52,Target_monthwise!$D$4:$O$20,DTR!L$4,FALSE))*1000,0)</f>
        <v>0</v>
      </c>
      <c r="M52" s="238">
        <f>IFERROR((HLOOKUP($AH52,Target_monthwise!$D$4:$O$20,DTR!M$4,FALSE))*1000,0)</f>
        <v>0</v>
      </c>
      <c r="N52" s="238">
        <f>IFERROR((HLOOKUP($AH52,Target_monthwise!$D$4:$O$20,DTR!N$4,FALSE))*1000,0)</f>
        <v>0</v>
      </c>
      <c r="O52" s="238">
        <f>IFERROR((HLOOKUP($AH52,Target_monthwise!$D$4:$O$20,DTR!O$4,FALSE))*1000,0)</f>
        <v>0</v>
      </c>
      <c r="P52" s="238">
        <f>IFERROR((HLOOKUP($AH52,Target_monthwise!$D$4:$O$20,DTR!P$4,FALSE))*1000,0)</f>
        <v>0</v>
      </c>
      <c r="Q52" s="141">
        <f>IFERROR((HLOOKUP($AH52,Target_monthwise!$D$4:$O$20,DTR!Q$4,FALSE))*1000,0)</f>
        <v>0</v>
      </c>
      <c r="R52" s="167">
        <f>IFERROR((HLOOKUP($AH52,Target_monthwise!$D$4:$O$20,DTR!R$4,FALSE))*1000,0)</f>
        <v>0</v>
      </c>
      <c r="S52" s="239">
        <f>IFERROR((HLOOKUP($AH52,Target_monthwise!$D$24:$O$40,DTR!S$4,FALSE)),0)</f>
        <v>0</v>
      </c>
      <c r="T52" s="239">
        <f>IFERROR((HLOOKUP($AH52,Target_monthwise!$D$24:$O$40,DTR!T$4,FALSE)),0)</f>
        <v>0</v>
      </c>
      <c r="U52" s="239">
        <f>IFERROR((HLOOKUP($AH52,Target_monthwise!$D$24:$O$40,DTR!U$4,FALSE)),0)</f>
        <v>0</v>
      </c>
      <c r="V52" s="239">
        <f>IFERROR((HLOOKUP($AH52,Target_monthwise!$D$24:$O$40,DTR!V$4,FALSE)),0)</f>
        <v>0</v>
      </c>
      <c r="W52" s="239">
        <f>IFERROR((HLOOKUP($AH52,Target_monthwise!$D$24:$O$40,DTR!W$4,FALSE)),0)</f>
        <v>0</v>
      </c>
      <c r="X52" s="239">
        <f>IFERROR((HLOOKUP($AH52,Target_monthwise!$D$24:$O$40,DTR!X$4,FALSE)),0)</f>
        <v>0</v>
      </c>
      <c r="Y52" s="239">
        <f>IFERROR((HLOOKUP($AH52,Target_monthwise!$D$24:$O$40,DTR!Y$4,FALSE)),0)</f>
        <v>0</v>
      </c>
      <c r="Z52" s="147">
        <f>IFERROR((HLOOKUP($AH52,Target_monthwise!$D$24:$O$40,DTR!Z$4,FALSE)),0)</f>
        <v>0</v>
      </c>
      <c r="AA52" s="147">
        <f>IFERROR((HLOOKUP($AH52,Target_monthwise!$D$24:$O$40,DTR!AA$4,FALSE)),0)</f>
        <v>0</v>
      </c>
      <c r="AB52" s="147">
        <f>IFERROR((HLOOKUP($AH52,Target_monthwise!$D$24:$O$40,DTR!AB$4,FALSE)),0)</f>
        <v>0</v>
      </c>
      <c r="AC52" s="239">
        <f>IFERROR((HLOOKUP($AH52,Target_monthwise!$D$24:$O$40,DTR!AC$4,FALSE)),0)</f>
        <v>0</v>
      </c>
      <c r="AD52" s="239">
        <f>IFERROR((HLOOKUP($AH52,Target_monthwise!$D$24:$O$40,DTR!AD$4,FALSE)),0)</f>
        <v>0</v>
      </c>
      <c r="AE52" s="239">
        <f>IFERROR((HLOOKUP($AH52,Target_monthwise!$D$24:$O$40,DTR!AE$4,FALSE)),0)</f>
        <v>0</v>
      </c>
      <c r="AF52" s="239">
        <f>IFERROR((HLOOKUP($AH52,Target_monthwise!$D$24:$O$40,DTR!AF$4,FALSE)),0)</f>
        <v>0</v>
      </c>
      <c r="AG52" s="172">
        <f>IFERROR((HLOOKUP($AH52,Target_monthwise!$D$24:$O$40,DTR!AG$4,FALSE)),0)</f>
        <v>0</v>
      </c>
      <c r="AH52" s="253">
        <f t="shared" si="0"/>
        <v>202205</v>
      </c>
    </row>
    <row r="53" spans="3:34" ht="15.75" hidden="1">
      <c r="C53" s="235">
        <v>44696</v>
      </c>
      <c r="D53" s="141">
        <f>IFERROR((HLOOKUP($AH53,Target_monthwise!$D$4:$O$20,DTR!D$4,FALSE))*1000,0)</f>
        <v>0</v>
      </c>
      <c r="E53" s="141">
        <f>IFERROR((HLOOKUP($AH53,Target_monthwise!$D$4:$O$20,DTR!E$4,FALSE))*1000,0)</f>
        <v>0</v>
      </c>
      <c r="F53" s="141">
        <f>IFERROR((HLOOKUP($AH53,Target_monthwise!$D$4:$O$20,DTR!F$4,FALSE))*1000,0)</f>
        <v>0</v>
      </c>
      <c r="G53" s="141">
        <f>IFERROR((HLOOKUP($AH53,Target_monthwise!$D$4:$O$20,DTR!G$4,FALSE))*1000,0)</f>
        <v>0</v>
      </c>
      <c r="H53" s="141">
        <f>IFERROR((HLOOKUP($AH53,Target_monthwise!$D$4:$O$20,DTR!H$4,FALSE))*1000,0)</f>
        <v>0</v>
      </c>
      <c r="I53" s="141">
        <f>IFERROR((HLOOKUP($AH53,Target_monthwise!$D$4:$O$20,DTR!I$4,FALSE))*1000,0)</f>
        <v>0</v>
      </c>
      <c r="J53" s="141">
        <f>IFERROR((HLOOKUP($AH53,Target_monthwise!$D$4:$O$20,DTR!J$4,FALSE))*1000,0)</f>
        <v>0</v>
      </c>
      <c r="K53" s="141">
        <f>IFERROR((HLOOKUP($AH53,Target_monthwise!$D$4:$O$20,DTR!K$4,FALSE))*1000,0)</f>
        <v>0</v>
      </c>
      <c r="L53" s="141">
        <f>IFERROR((HLOOKUP($AH53,Target_monthwise!$D$4:$O$20,DTR!L$4,FALSE))*1000,0)</f>
        <v>0</v>
      </c>
      <c r="M53" s="141">
        <f>IFERROR((HLOOKUP($AH53,Target_monthwise!$D$4:$O$20,DTR!M$4,FALSE))*1000,0)</f>
        <v>0</v>
      </c>
      <c r="N53" s="141">
        <f>IFERROR((HLOOKUP($AH53,Target_monthwise!$D$4:$O$20,DTR!N$4,FALSE))*1000,0)</f>
        <v>0</v>
      </c>
      <c r="O53" s="141">
        <f>IFERROR((HLOOKUP($AH53,Target_monthwise!$D$4:$O$20,DTR!O$4,FALSE))*1000,0)</f>
        <v>0</v>
      </c>
      <c r="P53" s="141">
        <f>IFERROR((HLOOKUP($AH53,Target_monthwise!$D$4:$O$20,DTR!P$4,FALSE))*1000,0)</f>
        <v>0</v>
      </c>
      <c r="Q53" s="141">
        <f>IFERROR((HLOOKUP($AH53,Target_monthwise!$D$4:$O$20,DTR!Q$4,FALSE))*1000,0)</f>
        <v>0</v>
      </c>
      <c r="R53" s="167">
        <f>IFERROR((HLOOKUP($AH53,Target_monthwise!$D$4:$O$20,DTR!R$4,FALSE))*1000,0)</f>
        <v>0</v>
      </c>
      <c r="S53" s="147">
        <f>IFERROR((HLOOKUP($AH53,Target_monthwise!$D$24:$O$40,DTR!S$4,FALSE)),0)</f>
        <v>0</v>
      </c>
      <c r="T53" s="147">
        <f>IFERROR((HLOOKUP($AH53,Target_monthwise!$D$24:$O$40,DTR!T$4,FALSE)),0)</f>
        <v>0</v>
      </c>
      <c r="U53" s="147">
        <f>IFERROR((HLOOKUP($AH53,Target_monthwise!$D$24:$O$40,DTR!U$4,FALSE)),0)</f>
        <v>0</v>
      </c>
      <c r="V53" s="147">
        <f>IFERROR((HLOOKUP($AH53,Target_monthwise!$D$24:$O$40,DTR!V$4,FALSE)),0)</f>
        <v>0</v>
      </c>
      <c r="W53" s="147">
        <f>IFERROR((HLOOKUP($AH53,Target_monthwise!$D$24:$O$40,DTR!W$4,FALSE)),0)</f>
        <v>0</v>
      </c>
      <c r="X53" s="147">
        <f>IFERROR((HLOOKUP($AH53,Target_monthwise!$D$24:$O$40,DTR!X$4,FALSE)),0)</f>
        <v>0</v>
      </c>
      <c r="Y53" s="147">
        <f>IFERROR((HLOOKUP($AH53,Target_monthwise!$D$24:$O$40,DTR!Y$4,FALSE)),0)</f>
        <v>0</v>
      </c>
      <c r="Z53" s="147">
        <f>IFERROR((HLOOKUP($AH53,Target_monthwise!$D$24:$O$40,DTR!Z$4,FALSE)),0)</f>
        <v>0</v>
      </c>
      <c r="AA53" s="147">
        <f>IFERROR((HLOOKUP($AH53,Target_monthwise!$D$24:$O$40,DTR!AA$4,FALSE)),0)</f>
        <v>0</v>
      </c>
      <c r="AB53" s="147">
        <f>IFERROR((HLOOKUP($AH53,Target_monthwise!$D$24:$O$40,DTR!AB$4,FALSE)),0)</f>
        <v>0</v>
      </c>
      <c r="AC53" s="147">
        <f>IFERROR((HLOOKUP($AH53,Target_monthwise!$D$24:$O$40,DTR!AC$4,FALSE)),0)</f>
        <v>0</v>
      </c>
      <c r="AD53" s="147">
        <f>IFERROR((HLOOKUP($AH53,Target_monthwise!$D$24:$O$40,DTR!AD$4,FALSE)),0)</f>
        <v>0</v>
      </c>
      <c r="AE53" s="147">
        <f>IFERROR((HLOOKUP($AH53,Target_monthwise!$D$24:$O$40,DTR!AE$4,FALSE)),0)</f>
        <v>0</v>
      </c>
      <c r="AF53" s="147">
        <f>IFERROR((HLOOKUP($AH53,Target_monthwise!$D$24:$O$40,DTR!AF$4,FALSE)),0)</f>
        <v>0</v>
      </c>
      <c r="AG53" s="172">
        <f>IFERROR((HLOOKUP($AH53,Target_monthwise!$D$24:$O$40,DTR!AG$4,FALSE)),0)</f>
        <v>0</v>
      </c>
      <c r="AH53" s="253">
        <f t="shared" si="0"/>
        <v>202205</v>
      </c>
    </row>
    <row r="54" spans="3:34" ht="15.75" hidden="1">
      <c r="C54" s="237">
        <v>44697</v>
      </c>
      <c r="D54" s="238">
        <f>IFERROR((HLOOKUP($AH54,Target_monthwise!$D$4:$O$20,DTR!D$4,FALSE))*1000,0)</f>
        <v>0</v>
      </c>
      <c r="E54" s="238">
        <f>IFERROR((HLOOKUP($AH54,Target_monthwise!$D$4:$O$20,DTR!E$4,FALSE))*1000,0)</f>
        <v>0</v>
      </c>
      <c r="F54" s="238">
        <f>IFERROR((HLOOKUP($AH54,Target_monthwise!$D$4:$O$20,DTR!F$4,FALSE))*1000,0)</f>
        <v>0</v>
      </c>
      <c r="G54" s="238">
        <f>IFERROR((HLOOKUP($AH54,Target_monthwise!$D$4:$O$20,DTR!G$4,FALSE))*1000,0)</f>
        <v>0</v>
      </c>
      <c r="H54" s="238">
        <f>IFERROR((HLOOKUP($AH54,Target_monthwise!$D$4:$O$20,DTR!H$4,FALSE))*1000,0)</f>
        <v>0</v>
      </c>
      <c r="I54" s="238">
        <f>IFERROR((HLOOKUP($AH54,Target_monthwise!$D$4:$O$20,DTR!I$4,FALSE))*1000,0)</f>
        <v>0</v>
      </c>
      <c r="J54" s="238">
        <f>IFERROR((HLOOKUP($AH54,Target_monthwise!$D$4:$O$20,DTR!J$4,FALSE))*1000,0)</f>
        <v>0</v>
      </c>
      <c r="K54" s="238">
        <f>IFERROR((HLOOKUP($AH54,Target_monthwise!$D$4:$O$20,DTR!K$4,FALSE))*1000,0)</f>
        <v>0</v>
      </c>
      <c r="L54" s="238">
        <f>IFERROR((HLOOKUP($AH54,Target_monthwise!$D$4:$O$20,DTR!L$4,FALSE))*1000,0)</f>
        <v>0</v>
      </c>
      <c r="M54" s="238">
        <f>IFERROR((HLOOKUP($AH54,Target_monthwise!$D$4:$O$20,DTR!M$4,FALSE))*1000,0)</f>
        <v>0</v>
      </c>
      <c r="N54" s="238">
        <f>IFERROR((HLOOKUP($AH54,Target_monthwise!$D$4:$O$20,DTR!N$4,FALSE))*1000,0)</f>
        <v>0</v>
      </c>
      <c r="O54" s="238">
        <f>IFERROR((HLOOKUP($AH54,Target_monthwise!$D$4:$O$20,DTR!O$4,FALSE))*1000,0)</f>
        <v>0</v>
      </c>
      <c r="P54" s="238">
        <f>IFERROR((HLOOKUP($AH54,Target_monthwise!$D$4:$O$20,DTR!P$4,FALSE))*1000,0)</f>
        <v>0</v>
      </c>
      <c r="Q54" s="141">
        <f>IFERROR((HLOOKUP($AH54,Target_monthwise!$D$4:$O$20,DTR!Q$4,FALSE))*1000,0)</f>
        <v>0</v>
      </c>
      <c r="R54" s="167">
        <f>IFERROR((HLOOKUP($AH54,Target_monthwise!$D$4:$O$20,DTR!R$4,FALSE))*1000,0)</f>
        <v>0</v>
      </c>
      <c r="S54" s="239">
        <f>IFERROR((HLOOKUP($AH54,Target_monthwise!$D$24:$O$40,DTR!S$4,FALSE)),0)</f>
        <v>0</v>
      </c>
      <c r="T54" s="239">
        <f>IFERROR((HLOOKUP($AH54,Target_monthwise!$D$24:$O$40,DTR!T$4,FALSE)),0)</f>
        <v>0</v>
      </c>
      <c r="U54" s="239">
        <f>IFERROR((HLOOKUP($AH54,Target_monthwise!$D$24:$O$40,DTR!U$4,FALSE)),0)</f>
        <v>0</v>
      </c>
      <c r="V54" s="239">
        <f>IFERROR((HLOOKUP($AH54,Target_monthwise!$D$24:$O$40,DTR!V$4,FALSE)),0)</f>
        <v>0</v>
      </c>
      <c r="W54" s="239">
        <f>IFERROR((HLOOKUP($AH54,Target_monthwise!$D$24:$O$40,DTR!W$4,FALSE)),0)</f>
        <v>0</v>
      </c>
      <c r="X54" s="239">
        <f>IFERROR((HLOOKUP($AH54,Target_monthwise!$D$24:$O$40,DTR!X$4,FALSE)),0)</f>
        <v>0</v>
      </c>
      <c r="Y54" s="239">
        <f>IFERROR((HLOOKUP($AH54,Target_monthwise!$D$24:$O$40,DTR!Y$4,FALSE)),0)</f>
        <v>0</v>
      </c>
      <c r="Z54" s="147">
        <f>IFERROR((HLOOKUP($AH54,Target_monthwise!$D$24:$O$40,DTR!Z$4,FALSE)),0)</f>
        <v>0</v>
      </c>
      <c r="AA54" s="147">
        <f>IFERROR((HLOOKUP($AH54,Target_monthwise!$D$24:$O$40,DTR!AA$4,FALSE)),0)</f>
        <v>0</v>
      </c>
      <c r="AB54" s="147">
        <f>IFERROR((HLOOKUP($AH54,Target_monthwise!$D$24:$O$40,DTR!AB$4,FALSE)),0)</f>
        <v>0</v>
      </c>
      <c r="AC54" s="239">
        <f>IFERROR((HLOOKUP($AH54,Target_monthwise!$D$24:$O$40,DTR!AC$4,FALSE)),0)</f>
        <v>0</v>
      </c>
      <c r="AD54" s="239">
        <f>IFERROR((HLOOKUP($AH54,Target_monthwise!$D$24:$O$40,DTR!AD$4,FALSE)),0)</f>
        <v>0</v>
      </c>
      <c r="AE54" s="239">
        <f>IFERROR((HLOOKUP($AH54,Target_monthwise!$D$24:$O$40,DTR!AE$4,FALSE)),0)</f>
        <v>0</v>
      </c>
      <c r="AF54" s="239">
        <f>IFERROR((HLOOKUP($AH54,Target_monthwise!$D$24:$O$40,DTR!AF$4,FALSE)),0)</f>
        <v>0</v>
      </c>
      <c r="AG54" s="172">
        <f>IFERROR((HLOOKUP($AH54,Target_monthwise!$D$24:$O$40,DTR!AG$4,FALSE)),0)</f>
        <v>0</v>
      </c>
      <c r="AH54" s="253">
        <f t="shared" si="0"/>
        <v>202205</v>
      </c>
    </row>
    <row r="55" spans="3:34" ht="15.75" hidden="1">
      <c r="C55" s="235">
        <v>44698</v>
      </c>
      <c r="D55" s="141">
        <f>IFERROR((HLOOKUP($AH55,Target_monthwise!$D$4:$O$20,DTR!D$4,FALSE))*1000,0)</f>
        <v>0</v>
      </c>
      <c r="E55" s="141">
        <f>IFERROR((HLOOKUP($AH55,Target_monthwise!$D$4:$O$20,DTR!E$4,FALSE))*1000,0)</f>
        <v>0</v>
      </c>
      <c r="F55" s="141">
        <f>IFERROR((HLOOKUP($AH55,Target_monthwise!$D$4:$O$20,DTR!F$4,FALSE))*1000,0)</f>
        <v>0</v>
      </c>
      <c r="G55" s="141">
        <f>IFERROR((HLOOKUP($AH55,Target_monthwise!$D$4:$O$20,DTR!G$4,FALSE))*1000,0)</f>
        <v>0</v>
      </c>
      <c r="H55" s="141">
        <f>IFERROR((HLOOKUP($AH55,Target_monthwise!$D$4:$O$20,DTR!H$4,FALSE))*1000,0)</f>
        <v>0</v>
      </c>
      <c r="I55" s="141">
        <f>IFERROR((HLOOKUP($AH55,Target_monthwise!$D$4:$O$20,DTR!I$4,FALSE))*1000,0)</f>
        <v>0</v>
      </c>
      <c r="J55" s="141">
        <f>IFERROR((HLOOKUP($AH55,Target_monthwise!$D$4:$O$20,DTR!J$4,FALSE))*1000,0)</f>
        <v>0</v>
      </c>
      <c r="K55" s="141">
        <f>IFERROR((HLOOKUP($AH55,Target_monthwise!$D$4:$O$20,DTR!K$4,FALSE))*1000,0)</f>
        <v>0</v>
      </c>
      <c r="L55" s="141">
        <f>IFERROR((HLOOKUP($AH55,Target_monthwise!$D$4:$O$20,DTR!L$4,FALSE))*1000,0)</f>
        <v>0</v>
      </c>
      <c r="M55" s="141">
        <f>IFERROR((HLOOKUP($AH55,Target_monthwise!$D$4:$O$20,DTR!M$4,FALSE))*1000,0)</f>
        <v>0</v>
      </c>
      <c r="N55" s="141">
        <f>IFERROR((HLOOKUP($AH55,Target_monthwise!$D$4:$O$20,DTR!N$4,FALSE))*1000,0)</f>
        <v>0</v>
      </c>
      <c r="O55" s="141">
        <f>IFERROR((HLOOKUP($AH55,Target_monthwise!$D$4:$O$20,DTR!O$4,FALSE))*1000,0)</f>
        <v>0</v>
      </c>
      <c r="P55" s="141">
        <f>IFERROR((HLOOKUP($AH55,Target_monthwise!$D$4:$O$20,DTR!P$4,FALSE))*1000,0)</f>
        <v>0</v>
      </c>
      <c r="Q55" s="141">
        <f>IFERROR((HLOOKUP($AH55,Target_monthwise!$D$4:$O$20,DTR!Q$4,FALSE))*1000,0)</f>
        <v>0</v>
      </c>
      <c r="R55" s="167">
        <f>IFERROR((HLOOKUP($AH55,Target_monthwise!$D$4:$O$20,DTR!R$4,FALSE))*1000,0)</f>
        <v>0</v>
      </c>
      <c r="S55" s="147">
        <f>IFERROR((HLOOKUP($AH55,Target_monthwise!$D$24:$O$40,DTR!S$4,FALSE)),0)</f>
        <v>0</v>
      </c>
      <c r="T55" s="147">
        <f>IFERROR((HLOOKUP($AH55,Target_monthwise!$D$24:$O$40,DTR!T$4,FALSE)),0)</f>
        <v>0</v>
      </c>
      <c r="U55" s="147">
        <f>IFERROR((HLOOKUP($AH55,Target_monthwise!$D$24:$O$40,DTR!U$4,FALSE)),0)</f>
        <v>0</v>
      </c>
      <c r="V55" s="147">
        <f>IFERROR((HLOOKUP($AH55,Target_monthwise!$D$24:$O$40,DTR!V$4,FALSE)),0)</f>
        <v>0</v>
      </c>
      <c r="W55" s="147">
        <f>IFERROR((HLOOKUP($AH55,Target_monthwise!$D$24:$O$40,DTR!W$4,FALSE)),0)</f>
        <v>0</v>
      </c>
      <c r="X55" s="147">
        <f>IFERROR((HLOOKUP($AH55,Target_monthwise!$D$24:$O$40,DTR!X$4,FALSE)),0)</f>
        <v>0</v>
      </c>
      <c r="Y55" s="147">
        <f>IFERROR((HLOOKUP($AH55,Target_monthwise!$D$24:$O$40,DTR!Y$4,FALSE)),0)</f>
        <v>0</v>
      </c>
      <c r="Z55" s="147">
        <f>IFERROR((HLOOKUP($AH55,Target_monthwise!$D$24:$O$40,DTR!Z$4,FALSE)),0)</f>
        <v>0</v>
      </c>
      <c r="AA55" s="147">
        <f>IFERROR((HLOOKUP($AH55,Target_monthwise!$D$24:$O$40,DTR!AA$4,FALSE)),0)</f>
        <v>0</v>
      </c>
      <c r="AB55" s="147">
        <f>IFERROR((HLOOKUP($AH55,Target_monthwise!$D$24:$O$40,DTR!AB$4,FALSE)),0)</f>
        <v>0</v>
      </c>
      <c r="AC55" s="147">
        <f>IFERROR((HLOOKUP($AH55,Target_monthwise!$D$24:$O$40,DTR!AC$4,FALSE)),0)</f>
        <v>0</v>
      </c>
      <c r="AD55" s="147">
        <f>IFERROR((HLOOKUP($AH55,Target_monthwise!$D$24:$O$40,DTR!AD$4,FALSE)),0)</f>
        <v>0</v>
      </c>
      <c r="AE55" s="147">
        <f>IFERROR((HLOOKUP($AH55,Target_monthwise!$D$24:$O$40,DTR!AE$4,FALSE)),0)</f>
        <v>0</v>
      </c>
      <c r="AF55" s="147">
        <f>IFERROR((HLOOKUP($AH55,Target_monthwise!$D$24:$O$40,DTR!AF$4,FALSE)),0)</f>
        <v>0</v>
      </c>
      <c r="AG55" s="172">
        <f>IFERROR((HLOOKUP($AH55,Target_monthwise!$D$24:$O$40,DTR!AG$4,FALSE)),0)</f>
        <v>0</v>
      </c>
      <c r="AH55" s="253">
        <f t="shared" si="0"/>
        <v>202205</v>
      </c>
    </row>
    <row r="56" spans="3:34" ht="15.75" hidden="1">
      <c r="C56" s="237">
        <v>44699</v>
      </c>
      <c r="D56" s="238">
        <f>IFERROR((HLOOKUP($AH56,Target_monthwise!$D$4:$O$20,DTR!D$4,FALSE))*1000,0)</f>
        <v>0</v>
      </c>
      <c r="E56" s="238">
        <f>IFERROR((HLOOKUP($AH56,Target_monthwise!$D$4:$O$20,DTR!E$4,FALSE))*1000,0)</f>
        <v>0</v>
      </c>
      <c r="F56" s="238">
        <f>IFERROR((HLOOKUP($AH56,Target_monthwise!$D$4:$O$20,DTR!F$4,FALSE))*1000,0)</f>
        <v>0</v>
      </c>
      <c r="G56" s="238">
        <f>IFERROR((HLOOKUP($AH56,Target_monthwise!$D$4:$O$20,DTR!G$4,FALSE))*1000,0)</f>
        <v>0</v>
      </c>
      <c r="H56" s="238">
        <f>IFERROR((HLOOKUP($AH56,Target_monthwise!$D$4:$O$20,DTR!H$4,FALSE))*1000,0)</f>
        <v>0</v>
      </c>
      <c r="I56" s="238">
        <f>IFERROR((HLOOKUP($AH56,Target_monthwise!$D$4:$O$20,DTR!I$4,FALSE))*1000,0)</f>
        <v>0</v>
      </c>
      <c r="J56" s="238">
        <f>IFERROR((HLOOKUP($AH56,Target_monthwise!$D$4:$O$20,DTR!J$4,FALSE))*1000,0)</f>
        <v>0</v>
      </c>
      <c r="K56" s="238">
        <f>IFERROR((HLOOKUP($AH56,Target_monthwise!$D$4:$O$20,DTR!K$4,FALSE))*1000,0)</f>
        <v>0</v>
      </c>
      <c r="L56" s="238">
        <f>IFERROR((HLOOKUP($AH56,Target_monthwise!$D$4:$O$20,DTR!L$4,FALSE))*1000,0)</f>
        <v>0</v>
      </c>
      <c r="M56" s="238">
        <f>IFERROR((HLOOKUP($AH56,Target_monthwise!$D$4:$O$20,DTR!M$4,FALSE))*1000,0)</f>
        <v>0</v>
      </c>
      <c r="N56" s="238">
        <f>IFERROR((HLOOKUP($AH56,Target_monthwise!$D$4:$O$20,DTR!N$4,FALSE))*1000,0)</f>
        <v>0</v>
      </c>
      <c r="O56" s="238">
        <f>IFERROR((HLOOKUP($AH56,Target_monthwise!$D$4:$O$20,DTR!O$4,FALSE))*1000,0)</f>
        <v>0</v>
      </c>
      <c r="P56" s="238">
        <f>IFERROR((HLOOKUP($AH56,Target_monthwise!$D$4:$O$20,DTR!P$4,FALSE))*1000,0)</f>
        <v>0</v>
      </c>
      <c r="Q56" s="141">
        <f>IFERROR((HLOOKUP($AH56,Target_monthwise!$D$4:$O$20,DTR!Q$4,FALSE))*1000,0)</f>
        <v>0</v>
      </c>
      <c r="R56" s="167">
        <f>IFERROR((HLOOKUP($AH56,Target_monthwise!$D$4:$O$20,DTR!R$4,FALSE))*1000,0)</f>
        <v>0</v>
      </c>
      <c r="S56" s="239">
        <f>IFERROR((HLOOKUP($AH56,Target_monthwise!$D$24:$O$40,DTR!S$4,FALSE)),0)</f>
        <v>0</v>
      </c>
      <c r="T56" s="239">
        <f>IFERROR((HLOOKUP($AH56,Target_monthwise!$D$24:$O$40,DTR!T$4,FALSE)),0)</f>
        <v>0</v>
      </c>
      <c r="U56" s="239">
        <f>IFERROR((HLOOKUP($AH56,Target_monthwise!$D$24:$O$40,DTR!U$4,FALSE)),0)</f>
        <v>0</v>
      </c>
      <c r="V56" s="239">
        <f>IFERROR((HLOOKUP($AH56,Target_monthwise!$D$24:$O$40,DTR!V$4,FALSE)),0)</f>
        <v>0</v>
      </c>
      <c r="W56" s="239">
        <f>IFERROR((HLOOKUP($AH56,Target_monthwise!$D$24:$O$40,DTR!W$4,FALSE)),0)</f>
        <v>0</v>
      </c>
      <c r="X56" s="239">
        <f>IFERROR((HLOOKUP($AH56,Target_monthwise!$D$24:$O$40,DTR!X$4,FALSE)),0)</f>
        <v>0</v>
      </c>
      <c r="Y56" s="239">
        <f>IFERROR((HLOOKUP($AH56,Target_monthwise!$D$24:$O$40,DTR!Y$4,FALSE)),0)</f>
        <v>0</v>
      </c>
      <c r="Z56" s="147">
        <f>IFERROR((HLOOKUP($AH56,Target_monthwise!$D$24:$O$40,DTR!Z$4,FALSE)),0)</f>
        <v>0</v>
      </c>
      <c r="AA56" s="147">
        <f>IFERROR((HLOOKUP($AH56,Target_monthwise!$D$24:$O$40,DTR!AA$4,FALSE)),0)</f>
        <v>0</v>
      </c>
      <c r="AB56" s="147">
        <f>IFERROR((HLOOKUP($AH56,Target_monthwise!$D$24:$O$40,DTR!AB$4,FALSE)),0)</f>
        <v>0</v>
      </c>
      <c r="AC56" s="239">
        <f>IFERROR((HLOOKUP($AH56,Target_monthwise!$D$24:$O$40,DTR!AC$4,FALSE)),0)</f>
        <v>0</v>
      </c>
      <c r="AD56" s="239">
        <f>IFERROR((HLOOKUP($AH56,Target_monthwise!$D$24:$O$40,DTR!AD$4,FALSE)),0)</f>
        <v>0</v>
      </c>
      <c r="AE56" s="239">
        <f>IFERROR((HLOOKUP($AH56,Target_monthwise!$D$24:$O$40,DTR!AE$4,FALSE)),0)</f>
        <v>0</v>
      </c>
      <c r="AF56" s="239">
        <f>IFERROR((HLOOKUP($AH56,Target_monthwise!$D$24:$O$40,DTR!AF$4,FALSE)),0)</f>
        <v>0</v>
      </c>
      <c r="AG56" s="172">
        <f>IFERROR((HLOOKUP($AH56,Target_monthwise!$D$24:$O$40,DTR!AG$4,FALSE)),0)</f>
        <v>0</v>
      </c>
      <c r="AH56" s="253">
        <f t="shared" si="0"/>
        <v>202205</v>
      </c>
    </row>
    <row r="57" spans="3:34" ht="15.75" hidden="1">
      <c r="C57" s="235">
        <v>44700</v>
      </c>
      <c r="D57" s="141">
        <f>IFERROR((HLOOKUP($AH57,Target_monthwise!$D$4:$O$20,DTR!D$4,FALSE))*1000,0)</f>
        <v>0</v>
      </c>
      <c r="E57" s="141">
        <f>IFERROR((HLOOKUP($AH57,Target_monthwise!$D$4:$O$20,DTR!E$4,FALSE))*1000,0)</f>
        <v>0</v>
      </c>
      <c r="F57" s="141">
        <f>IFERROR((HLOOKUP($AH57,Target_monthwise!$D$4:$O$20,DTR!F$4,FALSE))*1000,0)</f>
        <v>0</v>
      </c>
      <c r="G57" s="141">
        <f>IFERROR((HLOOKUP($AH57,Target_monthwise!$D$4:$O$20,DTR!G$4,FALSE))*1000,0)</f>
        <v>0</v>
      </c>
      <c r="H57" s="141">
        <f>IFERROR((HLOOKUP($AH57,Target_monthwise!$D$4:$O$20,DTR!H$4,FALSE))*1000,0)</f>
        <v>0</v>
      </c>
      <c r="I57" s="141">
        <f>IFERROR((HLOOKUP($AH57,Target_monthwise!$D$4:$O$20,DTR!I$4,FALSE))*1000,0)</f>
        <v>0</v>
      </c>
      <c r="J57" s="141">
        <f>IFERROR((HLOOKUP($AH57,Target_monthwise!$D$4:$O$20,DTR!J$4,FALSE))*1000,0)</f>
        <v>0</v>
      </c>
      <c r="K57" s="141">
        <f>IFERROR((HLOOKUP($AH57,Target_monthwise!$D$4:$O$20,DTR!K$4,FALSE))*1000,0)</f>
        <v>0</v>
      </c>
      <c r="L57" s="141">
        <f>IFERROR((HLOOKUP($AH57,Target_monthwise!$D$4:$O$20,DTR!L$4,FALSE))*1000,0)</f>
        <v>0</v>
      </c>
      <c r="M57" s="141">
        <f>IFERROR((HLOOKUP($AH57,Target_monthwise!$D$4:$O$20,DTR!M$4,FALSE))*1000,0)</f>
        <v>0</v>
      </c>
      <c r="N57" s="141">
        <f>IFERROR((HLOOKUP($AH57,Target_monthwise!$D$4:$O$20,DTR!N$4,FALSE))*1000,0)</f>
        <v>0</v>
      </c>
      <c r="O57" s="141">
        <f>IFERROR((HLOOKUP($AH57,Target_monthwise!$D$4:$O$20,DTR!O$4,FALSE))*1000,0)</f>
        <v>0</v>
      </c>
      <c r="P57" s="141">
        <f>IFERROR((HLOOKUP($AH57,Target_monthwise!$D$4:$O$20,DTR!P$4,FALSE))*1000,0)</f>
        <v>0</v>
      </c>
      <c r="Q57" s="141">
        <f>IFERROR((HLOOKUP($AH57,Target_monthwise!$D$4:$O$20,DTR!Q$4,FALSE))*1000,0)</f>
        <v>0</v>
      </c>
      <c r="R57" s="167">
        <f>IFERROR((HLOOKUP($AH57,Target_monthwise!$D$4:$O$20,DTR!R$4,FALSE))*1000,0)</f>
        <v>0</v>
      </c>
      <c r="S57" s="147">
        <f>IFERROR((HLOOKUP($AH57,Target_monthwise!$D$24:$O$40,DTR!S$4,FALSE)),0)</f>
        <v>0</v>
      </c>
      <c r="T57" s="147">
        <f>IFERROR((HLOOKUP($AH57,Target_monthwise!$D$24:$O$40,DTR!T$4,FALSE)),0)</f>
        <v>0</v>
      </c>
      <c r="U57" s="147">
        <f>IFERROR((HLOOKUP($AH57,Target_monthwise!$D$24:$O$40,DTR!U$4,FALSE)),0)</f>
        <v>0</v>
      </c>
      <c r="V57" s="147">
        <f>IFERROR((HLOOKUP($AH57,Target_monthwise!$D$24:$O$40,DTR!V$4,FALSE)),0)</f>
        <v>0</v>
      </c>
      <c r="W57" s="147">
        <f>IFERROR((HLOOKUP($AH57,Target_monthwise!$D$24:$O$40,DTR!W$4,FALSE)),0)</f>
        <v>0</v>
      </c>
      <c r="X57" s="147">
        <f>IFERROR((HLOOKUP($AH57,Target_monthwise!$D$24:$O$40,DTR!X$4,FALSE)),0)</f>
        <v>0</v>
      </c>
      <c r="Y57" s="147">
        <f>IFERROR((HLOOKUP($AH57,Target_monthwise!$D$24:$O$40,DTR!Y$4,FALSE)),0)</f>
        <v>0</v>
      </c>
      <c r="Z57" s="147">
        <f>IFERROR((HLOOKUP($AH57,Target_monthwise!$D$24:$O$40,DTR!Z$4,FALSE)),0)</f>
        <v>0</v>
      </c>
      <c r="AA57" s="147">
        <f>IFERROR((HLOOKUP($AH57,Target_monthwise!$D$24:$O$40,DTR!AA$4,FALSE)),0)</f>
        <v>0</v>
      </c>
      <c r="AB57" s="147">
        <f>IFERROR((HLOOKUP($AH57,Target_monthwise!$D$24:$O$40,DTR!AB$4,FALSE)),0)</f>
        <v>0</v>
      </c>
      <c r="AC57" s="147">
        <f>IFERROR((HLOOKUP($AH57,Target_monthwise!$D$24:$O$40,DTR!AC$4,FALSE)),0)</f>
        <v>0</v>
      </c>
      <c r="AD57" s="147">
        <f>IFERROR((HLOOKUP($AH57,Target_monthwise!$D$24:$O$40,DTR!AD$4,FALSE)),0)</f>
        <v>0</v>
      </c>
      <c r="AE57" s="147">
        <f>IFERROR((HLOOKUP($AH57,Target_monthwise!$D$24:$O$40,DTR!AE$4,FALSE)),0)</f>
        <v>0</v>
      </c>
      <c r="AF57" s="147">
        <f>IFERROR((HLOOKUP($AH57,Target_monthwise!$D$24:$O$40,DTR!AF$4,FALSE)),0)</f>
        <v>0</v>
      </c>
      <c r="AG57" s="172">
        <f>IFERROR((HLOOKUP($AH57,Target_monthwise!$D$24:$O$40,DTR!AG$4,FALSE)),0)</f>
        <v>0</v>
      </c>
      <c r="AH57" s="253">
        <f t="shared" si="0"/>
        <v>202205</v>
      </c>
    </row>
    <row r="58" spans="3:34" ht="15.75" hidden="1">
      <c r="C58" s="237">
        <v>44701</v>
      </c>
      <c r="D58" s="238">
        <f>IFERROR((HLOOKUP($AH58,Target_monthwise!$D$4:$O$20,DTR!D$4,FALSE))*1000,0)</f>
        <v>0</v>
      </c>
      <c r="E58" s="238">
        <f>IFERROR((HLOOKUP($AH58,Target_monthwise!$D$4:$O$20,DTR!E$4,FALSE))*1000,0)</f>
        <v>0</v>
      </c>
      <c r="F58" s="238">
        <f>IFERROR((HLOOKUP($AH58,Target_monthwise!$D$4:$O$20,DTR!F$4,FALSE))*1000,0)</f>
        <v>0</v>
      </c>
      <c r="G58" s="238">
        <f>IFERROR((HLOOKUP($AH58,Target_monthwise!$D$4:$O$20,DTR!G$4,FALSE))*1000,0)</f>
        <v>0</v>
      </c>
      <c r="H58" s="238">
        <f>IFERROR((HLOOKUP($AH58,Target_monthwise!$D$4:$O$20,DTR!H$4,FALSE))*1000,0)</f>
        <v>0</v>
      </c>
      <c r="I58" s="238">
        <f>IFERROR((HLOOKUP($AH58,Target_monthwise!$D$4:$O$20,DTR!I$4,FALSE))*1000,0)</f>
        <v>0</v>
      </c>
      <c r="J58" s="238">
        <f>IFERROR((HLOOKUP($AH58,Target_monthwise!$D$4:$O$20,DTR!J$4,FALSE))*1000,0)</f>
        <v>0</v>
      </c>
      <c r="K58" s="238">
        <f>IFERROR((HLOOKUP($AH58,Target_monthwise!$D$4:$O$20,DTR!K$4,FALSE))*1000,0)</f>
        <v>0</v>
      </c>
      <c r="L58" s="238">
        <f>IFERROR((HLOOKUP($AH58,Target_monthwise!$D$4:$O$20,DTR!L$4,FALSE))*1000,0)</f>
        <v>0</v>
      </c>
      <c r="M58" s="238">
        <f>IFERROR((HLOOKUP($AH58,Target_monthwise!$D$4:$O$20,DTR!M$4,FALSE))*1000,0)</f>
        <v>0</v>
      </c>
      <c r="N58" s="238">
        <f>IFERROR((HLOOKUP($AH58,Target_monthwise!$D$4:$O$20,DTR!N$4,FALSE))*1000,0)</f>
        <v>0</v>
      </c>
      <c r="O58" s="238">
        <f>IFERROR((HLOOKUP($AH58,Target_monthwise!$D$4:$O$20,DTR!O$4,FALSE))*1000,0)</f>
        <v>0</v>
      </c>
      <c r="P58" s="238">
        <f>IFERROR((HLOOKUP($AH58,Target_monthwise!$D$4:$O$20,DTR!P$4,FALSE))*1000,0)</f>
        <v>0</v>
      </c>
      <c r="Q58" s="141">
        <f>IFERROR((HLOOKUP($AH58,Target_monthwise!$D$4:$O$20,DTR!Q$4,FALSE))*1000,0)</f>
        <v>0</v>
      </c>
      <c r="R58" s="167">
        <f>IFERROR((HLOOKUP($AH58,Target_monthwise!$D$4:$O$20,DTR!R$4,FALSE))*1000,0)</f>
        <v>0</v>
      </c>
      <c r="S58" s="239">
        <f>IFERROR((HLOOKUP($AH58,Target_monthwise!$D$24:$O$40,DTR!S$4,FALSE)),0)</f>
        <v>0</v>
      </c>
      <c r="T58" s="239">
        <f>IFERROR((HLOOKUP($AH58,Target_monthwise!$D$24:$O$40,DTR!T$4,FALSE)),0)</f>
        <v>0</v>
      </c>
      <c r="U58" s="239">
        <f>IFERROR((HLOOKUP($AH58,Target_monthwise!$D$24:$O$40,DTR!U$4,FALSE)),0)</f>
        <v>0</v>
      </c>
      <c r="V58" s="239">
        <f>IFERROR((HLOOKUP($AH58,Target_monthwise!$D$24:$O$40,DTR!V$4,FALSE)),0)</f>
        <v>0</v>
      </c>
      <c r="W58" s="239">
        <f>IFERROR((HLOOKUP($AH58,Target_monthwise!$D$24:$O$40,DTR!W$4,FALSE)),0)</f>
        <v>0</v>
      </c>
      <c r="X58" s="239">
        <f>IFERROR((HLOOKUP($AH58,Target_monthwise!$D$24:$O$40,DTR!X$4,FALSE)),0)</f>
        <v>0</v>
      </c>
      <c r="Y58" s="239">
        <f>IFERROR((HLOOKUP($AH58,Target_monthwise!$D$24:$O$40,DTR!Y$4,FALSE)),0)</f>
        <v>0</v>
      </c>
      <c r="Z58" s="147">
        <f>IFERROR((HLOOKUP($AH58,Target_monthwise!$D$24:$O$40,DTR!Z$4,FALSE)),0)</f>
        <v>0</v>
      </c>
      <c r="AA58" s="147">
        <f>IFERROR((HLOOKUP($AH58,Target_monthwise!$D$24:$O$40,DTR!AA$4,FALSE)),0)</f>
        <v>0</v>
      </c>
      <c r="AB58" s="147">
        <f>IFERROR((HLOOKUP($AH58,Target_monthwise!$D$24:$O$40,DTR!AB$4,FALSE)),0)</f>
        <v>0</v>
      </c>
      <c r="AC58" s="239">
        <f>IFERROR((HLOOKUP($AH58,Target_monthwise!$D$24:$O$40,DTR!AC$4,FALSE)),0)</f>
        <v>0</v>
      </c>
      <c r="AD58" s="239">
        <f>IFERROR((HLOOKUP($AH58,Target_monthwise!$D$24:$O$40,DTR!AD$4,FALSE)),0)</f>
        <v>0</v>
      </c>
      <c r="AE58" s="239">
        <f>IFERROR((HLOOKUP($AH58,Target_monthwise!$D$24:$O$40,DTR!AE$4,FALSE)),0)</f>
        <v>0</v>
      </c>
      <c r="AF58" s="239">
        <f>IFERROR((HLOOKUP($AH58,Target_monthwise!$D$24:$O$40,DTR!AF$4,FALSE)),0)</f>
        <v>0</v>
      </c>
      <c r="AG58" s="172">
        <f>IFERROR((HLOOKUP($AH58,Target_monthwise!$D$24:$O$40,DTR!AG$4,FALSE)),0)</f>
        <v>0</v>
      </c>
      <c r="AH58" s="253">
        <f t="shared" si="0"/>
        <v>202205</v>
      </c>
    </row>
    <row r="59" spans="3:34" ht="15.75" hidden="1">
      <c r="C59" s="235">
        <v>44702</v>
      </c>
      <c r="D59" s="141">
        <f>IFERROR((HLOOKUP($AH59,Target_monthwise!$D$4:$O$20,DTR!D$4,FALSE))*1000,0)</f>
        <v>0</v>
      </c>
      <c r="E59" s="141">
        <f>IFERROR((HLOOKUP($AH59,Target_monthwise!$D$4:$O$20,DTR!E$4,FALSE))*1000,0)</f>
        <v>0</v>
      </c>
      <c r="F59" s="141">
        <f>IFERROR((HLOOKUP($AH59,Target_monthwise!$D$4:$O$20,DTR!F$4,FALSE))*1000,0)</f>
        <v>0</v>
      </c>
      <c r="G59" s="141">
        <f>IFERROR((HLOOKUP($AH59,Target_monthwise!$D$4:$O$20,DTR!G$4,FALSE))*1000,0)</f>
        <v>0</v>
      </c>
      <c r="H59" s="141">
        <f>IFERROR((HLOOKUP($AH59,Target_monthwise!$D$4:$O$20,DTR!H$4,FALSE))*1000,0)</f>
        <v>0</v>
      </c>
      <c r="I59" s="141">
        <f>IFERROR((HLOOKUP($AH59,Target_monthwise!$D$4:$O$20,DTR!I$4,FALSE))*1000,0)</f>
        <v>0</v>
      </c>
      <c r="J59" s="141">
        <f>IFERROR((HLOOKUP($AH59,Target_monthwise!$D$4:$O$20,DTR!J$4,FALSE))*1000,0)</f>
        <v>0</v>
      </c>
      <c r="K59" s="141">
        <f>IFERROR((HLOOKUP($AH59,Target_monthwise!$D$4:$O$20,DTR!K$4,FALSE))*1000,0)</f>
        <v>0</v>
      </c>
      <c r="L59" s="141">
        <f>IFERROR((HLOOKUP($AH59,Target_monthwise!$D$4:$O$20,DTR!L$4,FALSE))*1000,0)</f>
        <v>0</v>
      </c>
      <c r="M59" s="141">
        <f>IFERROR((HLOOKUP($AH59,Target_monthwise!$D$4:$O$20,DTR!M$4,FALSE))*1000,0)</f>
        <v>0</v>
      </c>
      <c r="N59" s="141">
        <f>IFERROR((HLOOKUP($AH59,Target_monthwise!$D$4:$O$20,DTR!N$4,FALSE))*1000,0)</f>
        <v>0</v>
      </c>
      <c r="O59" s="141">
        <f>IFERROR((HLOOKUP($AH59,Target_monthwise!$D$4:$O$20,DTR!O$4,FALSE))*1000,0)</f>
        <v>0</v>
      </c>
      <c r="P59" s="141">
        <f>IFERROR((HLOOKUP($AH59,Target_monthwise!$D$4:$O$20,DTR!P$4,FALSE))*1000,0)</f>
        <v>0</v>
      </c>
      <c r="Q59" s="141">
        <f>IFERROR((HLOOKUP($AH59,Target_monthwise!$D$4:$O$20,DTR!Q$4,FALSE))*1000,0)</f>
        <v>0</v>
      </c>
      <c r="R59" s="167">
        <f>IFERROR((HLOOKUP($AH59,Target_monthwise!$D$4:$O$20,DTR!R$4,FALSE))*1000,0)</f>
        <v>0</v>
      </c>
      <c r="S59" s="147">
        <f>IFERROR((HLOOKUP($AH59,Target_monthwise!$D$24:$O$40,DTR!S$4,FALSE)),0)</f>
        <v>0</v>
      </c>
      <c r="T59" s="147">
        <f>IFERROR((HLOOKUP($AH59,Target_monthwise!$D$24:$O$40,DTR!T$4,FALSE)),0)</f>
        <v>0</v>
      </c>
      <c r="U59" s="147">
        <f>IFERROR((HLOOKUP($AH59,Target_monthwise!$D$24:$O$40,DTR!U$4,FALSE)),0)</f>
        <v>0</v>
      </c>
      <c r="V59" s="147">
        <f>IFERROR((HLOOKUP($AH59,Target_monthwise!$D$24:$O$40,DTR!V$4,FALSE)),0)</f>
        <v>0</v>
      </c>
      <c r="W59" s="147">
        <f>IFERROR((HLOOKUP($AH59,Target_monthwise!$D$24:$O$40,DTR!W$4,FALSE)),0)</f>
        <v>0</v>
      </c>
      <c r="X59" s="147">
        <f>IFERROR((HLOOKUP($AH59,Target_monthwise!$D$24:$O$40,DTR!X$4,FALSE)),0)</f>
        <v>0</v>
      </c>
      <c r="Y59" s="147">
        <f>IFERROR((HLOOKUP($AH59,Target_monthwise!$D$24:$O$40,DTR!Y$4,FALSE)),0)</f>
        <v>0</v>
      </c>
      <c r="Z59" s="147">
        <f>IFERROR((HLOOKUP($AH59,Target_monthwise!$D$24:$O$40,DTR!Z$4,FALSE)),0)</f>
        <v>0</v>
      </c>
      <c r="AA59" s="147">
        <f>IFERROR((HLOOKUP($AH59,Target_monthwise!$D$24:$O$40,DTR!AA$4,FALSE)),0)</f>
        <v>0</v>
      </c>
      <c r="AB59" s="147">
        <f>IFERROR((HLOOKUP($AH59,Target_monthwise!$D$24:$O$40,DTR!AB$4,FALSE)),0)</f>
        <v>0</v>
      </c>
      <c r="AC59" s="147">
        <f>IFERROR((HLOOKUP($AH59,Target_monthwise!$D$24:$O$40,DTR!AC$4,FALSE)),0)</f>
        <v>0</v>
      </c>
      <c r="AD59" s="147">
        <f>IFERROR((HLOOKUP($AH59,Target_monthwise!$D$24:$O$40,DTR!AD$4,FALSE)),0)</f>
        <v>0</v>
      </c>
      <c r="AE59" s="147">
        <f>IFERROR((HLOOKUP($AH59,Target_monthwise!$D$24:$O$40,DTR!AE$4,FALSE)),0)</f>
        <v>0</v>
      </c>
      <c r="AF59" s="147">
        <f>IFERROR((HLOOKUP($AH59,Target_monthwise!$D$24:$O$40,DTR!AF$4,FALSE)),0)</f>
        <v>0</v>
      </c>
      <c r="AG59" s="172">
        <f>IFERROR((HLOOKUP($AH59,Target_monthwise!$D$24:$O$40,DTR!AG$4,FALSE)),0)</f>
        <v>0</v>
      </c>
      <c r="AH59" s="253">
        <f t="shared" si="0"/>
        <v>202205</v>
      </c>
    </row>
    <row r="60" spans="3:34" ht="15.75" hidden="1">
      <c r="C60" s="237">
        <v>44703</v>
      </c>
      <c r="D60" s="238">
        <f>IFERROR((HLOOKUP($AH60,Target_monthwise!$D$4:$O$20,DTR!D$4,FALSE))*1000,0)</f>
        <v>0</v>
      </c>
      <c r="E60" s="238">
        <f>IFERROR((HLOOKUP($AH60,Target_monthwise!$D$4:$O$20,DTR!E$4,FALSE))*1000,0)</f>
        <v>0</v>
      </c>
      <c r="F60" s="238">
        <f>IFERROR((HLOOKUP($AH60,Target_monthwise!$D$4:$O$20,DTR!F$4,FALSE))*1000,0)</f>
        <v>0</v>
      </c>
      <c r="G60" s="238">
        <f>IFERROR((HLOOKUP($AH60,Target_monthwise!$D$4:$O$20,DTR!G$4,FALSE))*1000,0)</f>
        <v>0</v>
      </c>
      <c r="H60" s="238">
        <f>IFERROR((HLOOKUP($AH60,Target_monthwise!$D$4:$O$20,DTR!H$4,FALSE))*1000,0)</f>
        <v>0</v>
      </c>
      <c r="I60" s="238">
        <f>IFERROR((HLOOKUP($AH60,Target_monthwise!$D$4:$O$20,DTR!I$4,FALSE))*1000,0)</f>
        <v>0</v>
      </c>
      <c r="J60" s="238">
        <f>IFERROR((HLOOKUP($AH60,Target_monthwise!$D$4:$O$20,DTR!J$4,FALSE))*1000,0)</f>
        <v>0</v>
      </c>
      <c r="K60" s="238">
        <f>IFERROR((HLOOKUP($AH60,Target_monthwise!$D$4:$O$20,DTR!K$4,FALSE))*1000,0)</f>
        <v>0</v>
      </c>
      <c r="L60" s="238">
        <f>IFERROR((HLOOKUP($AH60,Target_monthwise!$D$4:$O$20,DTR!L$4,FALSE))*1000,0)</f>
        <v>0</v>
      </c>
      <c r="M60" s="238">
        <f>IFERROR((HLOOKUP($AH60,Target_monthwise!$D$4:$O$20,DTR!M$4,FALSE))*1000,0)</f>
        <v>0</v>
      </c>
      <c r="N60" s="238">
        <f>IFERROR((HLOOKUP($AH60,Target_monthwise!$D$4:$O$20,DTR!N$4,FALSE))*1000,0)</f>
        <v>0</v>
      </c>
      <c r="O60" s="238">
        <f>IFERROR((HLOOKUP($AH60,Target_monthwise!$D$4:$O$20,DTR!O$4,FALSE))*1000,0)</f>
        <v>0</v>
      </c>
      <c r="P60" s="238">
        <f>IFERROR((HLOOKUP($AH60,Target_monthwise!$D$4:$O$20,DTR!P$4,FALSE))*1000,0)</f>
        <v>0</v>
      </c>
      <c r="Q60" s="141">
        <f>IFERROR((HLOOKUP($AH60,Target_monthwise!$D$4:$O$20,DTR!Q$4,FALSE))*1000,0)</f>
        <v>0</v>
      </c>
      <c r="R60" s="167">
        <f>IFERROR((HLOOKUP($AH60,Target_monthwise!$D$4:$O$20,DTR!R$4,FALSE))*1000,0)</f>
        <v>0</v>
      </c>
      <c r="S60" s="239">
        <f>IFERROR((HLOOKUP($AH60,Target_monthwise!$D$24:$O$40,DTR!S$4,FALSE)),0)</f>
        <v>0</v>
      </c>
      <c r="T60" s="239">
        <f>IFERROR((HLOOKUP($AH60,Target_monthwise!$D$24:$O$40,DTR!T$4,FALSE)),0)</f>
        <v>0</v>
      </c>
      <c r="U60" s="239">
        <f>IFERROR((HLOOKUP($AH60,Target_monthwise!$D$24:$O$40,DTR!U$4,FALSE)),0)</f>
        <v>0</v>
      </c>
      <c r="V60" s="239">
        <f>IFERROR((HLOOKUP($AH60,Target_monthwise!$D$24:$O$40,DTR!V$4,FALSE)),0)</f>
        <v>0</v>
      </c>
      <c r="W60" s="239">
        <f>IFERROR((HLOOKUP($AH60,Target_monthwise!$D$24:$O$40,DTR!W$4,FALSE)),0)</f>
        <v>0</v>
      </c>
      <c r="X60" s="239">
        <f>IFERROR((HLOOKUP($AH60,Target_monthwise!$D$24:$O$40,DTR!X$4,FALSE)),0)</f>
        <v>0</v>
      </c>
      <c r="Y60" s="239">
        <f>IFERROR((HLOOKUP($AH60,Target_monthwise!$D$24:$O$40,DTR!Y$4,FALSE)),0)</f>
        <v>0</v>
      </c>
      <c r="Z60" s="147">
        <f>IFERROR((HLOOKUP($AH60,Target_monthwise!$D$24:$O$40,DTR!Z$4,FALSE)),0)</f>
        <v>0</v>
      </c>
      <c r="AA60" s="147">
        <f>IFERROR((HLOOKUP($AH60,Target_monthwise!$D$24:$O$40,DTR!AA$4,FALSE)),0)</f>
        <v>0</v>
      </c>
      <c r="AB60" s="147">
        <f>IFERROR((HLOOKUP($AH60,Target_monthwise!$D$24:$O$40,DTR!AB$4,FALSE)),0)</f>
        <v>0</v>
      </c>
      <c r="AC60" s="239">
        <f>IFERROR((HLOOKUP($AH60,Target_monthwise!$D$24:$O$40,DTR!AC$4,FALSE)),0)</f>
        <v>0</v>
      </c>
      <c r="AD60" s="239">
        <f>IFERROR((HLOOKUP($AH60,Target_monthwise!$D$24:$O$40,DTR!AD$4,FALSE)),0)</f>
        <v>0</v>
      </c>
      <c r="AE60" s="239">
        <f>IFERROR((HLOOKUP($AH60,Target_monthwise!$D$24:$O$40,DTR!AE$4,FALSE)),0)</f>
        <v>0</v>
      </c>
      <c r="AF60" s="239">
        <f>IFERROR((HLOOKUP($AH60,Target_monthwise!$D$24:$O$40,DTR!AF$4,FALSE)),0)</f>
        <v>0</v>
      </c>
      <c r="AG60" s="172">
        <f>IFERROR((HLOOKUP($AH60,Target_monthwise!$D$24:$O$40,DTR!AG$4,FALSE)),0)</f>
        <v>0</v>
      </c>
      <c r="AH60" s="253">
        <f t="shared" si="0"/>
        <v>202205</v>
      </c>
    </row>
    <row r="61" spans="3:34" ht="15.75" hidden="1">
      <c r="C61" s="235">
        <v>44704</v>
      </c>
      <c r="D61" s="141">
        <f>IFERROR((HLOOKUP($AH61,Target_monthwise!$D$4:$O$20,DTR!D$4,FALSE))*1000,0)</f>
        <v>0</v>
      </c>
      <c r="E61" s="141">
        <f>IFERROR((HLOOKUP($AH61,Target_monthwise!$D$4:$O$20,DTR!E$4,FALSE))*1000,0)</f>
        <v>0</v>
      </c>
      <c r="F61" s="141">
        <f>IFERROR((HLOOKUP($AH61,Target_monthwise!$D$4:$O$20,DTR!F$4,FALSE))*1000,0)</f>
        <v>0</v>
      </c>
      <c r="G61" s="141">
        <f>IFERROR((HLOOKUP($AH61,Target_monthwise!$D$4:$O$20,DTR!G$4,FALSE))*1000,0)</f>
        <v>0</v>
      </c>
      <c r="H61" s="141">
        <f>IFERROR((HLOOKUP($AH61,Target_monthwise!$D$4:$O$20,DTR!H$4,FALSE))*1000,0)</f>
        <v>0</v>
      </c>
      <c r="I61" s="141">
        <f>IFERROR((HLOOKUP($AH61,Target_monthwise!$D$4:$O$20,DTR!I$4,FALSE))*1000,0)</f>
        <v>0</v>
      </c>
      <c r="J61" s="141">
        <f>IFERROR((HLOOKUP($AH61,Target_monthwise!$D$4:$O$20,DTR!J$4,FALSE))*1000,0)</f>
        <v>0</v>
      </c>
      <c r="K61" s="141">
        <f>IFERROR((HLOOKUP($AH61,Target_monthwise!$D$4:$O$20,DTR!K$4,FALSE))*1000,0)</f>
        <v>0</v>
      </c>
      <c r="L61" s="141">
        <f>IFERROR((HLOOKUP($AH61,Target_monthwise!$D$4:$O$20,DTR!L$4,FALSE))*1000,0)</f>
        <v>0</v>
      </c>
      <c r="M61" s="141">
        <f>IFERROR((HLOOKUP($AH61,Target_monthwise!$D$4:$O$20,DTR!M$4,FALSE))*1000,0)</f>
        <v>0</v>
      </c>
      <c r="N61" s="141">
        <f>IFERROR((HLOOKUP($AH61,Target_monthwise!$D$4:$O$20,DTR!N$4,FALSE))*1000,0)</f>
        <v>0</v>
      </c>
      <c r="O61" s="141">
        <f>IFERROR((HLOOKUP($AH61,Target_monthwise!$D$4:$O$20,DTR!O$4,FALSE))*1000,0)</f>
        <v>0</v>
      </c>
      <c r="P61" s="141">
        <f>IFERROR((HLOOKUP($AH61,Target_monthwise!$D$4:$O$20,DTR!P$4,FALSE))*1000,0)</f>
        <v>0</v>
      </c>
      <c r="Q61" s="141">
        <f>IFERROR((HLOOKUP($AH61,Target_monthwise!$D$4:$O$20,DTR!Q$4,FALSE))*1000,0)</f>
        <v>0</v>
      </c>
      <c r="R61" s="167">
        <f>IFERROR((HLOOKUP($AH61,Target_monthwise!$D$4:$O$20,DTR!R$4,FALSE))*1000,0)</f>
        <v>0</v>
      </c>
      <c r="S61" s="147">
        <f>IFERROR((HLOOKUP($AH61,Target_monthwise!$D$24:$O$40,DTR!S$4,FALSE)),0)</f>
        <v>0</v>
      </c>
      <c r="T61" s="147">
        <f>IFERROR((HLOOKUP($AH61,Target_monthwise!$D$24:$O$40,DTR!T$4,FALSE)),0)</f>
        <v>0</v>
      </c>
      <c r="U61" s="147">
        <f>IFERROR((HLOOKUP($AH61,Target_monthwise!$D$24:$O$40,DTR!U$4,FALSE)),0)</f>
        <v>0</v>
      </c>
      <c r="V61" s="147">
        <f>IFERROR((HLOOKUP($AH61,Target_monthwise!$D$24:$O$40,DTR!V$4,FALSE)),0)</f>
        <v>0</v>
      </c>
      <c r="W61" s="147">
        <f>IFERROR((HLOOKUP($AH61,Target_monthwise!$D$24:$O$40,DTR!W$4,FALSE)),0)</f>
        <v>0</v>
      </c>
      <c r="X61" s="147">
        <f>IFERROR((HLOOKUP($AH61,Target_monthwise!$D$24:$O$40,DTR!X$4,FALSE)),0)</f>
        <v>0</v>
      </c>
      <c r="Y61" s="147">
        <f>IFERROR((HLOOKUP($AH61,Target_monthwise!$D$24:$O$40,DTR!Y$4,FALSE)),0)</f>
        <v>0</v>
      </c>
      <c r="Z61" s="147">
        <f>IFERROR((HLOOKUP($AH61,Target_monthwise!$D$24:$O$40,DTR!Z$4,FALSE)),0)</f>
        <v>0</v>
      </c>
      <c r="AA61" s="147">
        <f>IFERROR((HLOOKUP($AH61,Target_monthwise!$D$24:$O$40,DTR!AA$4,FALSE)),0)</f>
        <v>0</v>
      </c>
      <c r="AB61" s="147">
        <f>IFERROR((HLOOKUP($AH61,Target_monthwise!$D$24:$O$40,DTR!AB$4,FALSE)),0)</f>
        <v>0</v>
      </c>
      <c r="AC61" s="147">
        <f>IFERROR((HLOOKUP($AH61,Target_monthwise!$D$24:$O$40,DTR!AC$4,FALSE)),0)</f>
        <v>0</v>
      </c>
      <c r="AD61" s="147">
        <f>IFERROR((HLOOKUP($AH61,Target_monthwise!$D$24:$O$40,DTR!AD$4,FALSE)),0)</f>
        <v>0</v>
      </c>
      <c r="AE61" s="147">
        <f>IFERROR((HLOOKUP($AH61,Target_monthwise!$D$24:$O$40,DTR!AE$4,FALSE)),0)</f>
        <v>0</v>
      </c>
      <c r="AF61" s="147">
        <f>IFERROR((HLOOKUP($AH61,Target_monthwise!$D$24:$O$40,DTR!AF$4,FALSE)),0)</f>
        <v>0</v>
      </c>
      <c r="AG61" s="172">
        <f>IFERROR((HLOOKUP($AH61,Target_monthwise!$D$24:$O$40,DTR!AG$4,FALSE)),0)</f>
        <v>0</v>
      </c>
      <c r="AH61" s="253">
        <f t="shared" si="0"/>
        <v>202205</v>
      </c>
    </row>
    <row r="62" spans="3:34" ht="15.75" hidden="1">
      <c r="C62" s="237">
        <v>44705</v>
      </c>
      <c r="D62" s="238">
        <f>IFERROR((HLOOKUP($AH62,Target_monthwise!$D$4:$O$20,DTR!D$4,FALSE))*1000,0)</f>
        <v>0</v>
      </c>
      <c r="E62" s="238">
        <f>IFERROR((HLOOKUP($AH62,Target_monthwise!$D$4:$O$20,DTR!E$4,FALSE))*1000,0)</f>
        <v>0</v>
      </c>
      <c r="F62" s="238">
        <f>IFERROR((HLOOKUP($AH62,Target_monthwise!$D$4:$O$20,DTR!F$4,FALSE))*1000,0)</f>
        <v>0</v>
      </c>
      <c r="G62" s="238">
        <f>IFERROR((HLOOKUP($AH62,Target_monthwise!$D$4:$O$20,DTR!G$4,FALSE))*1000,0)</f>
        <v>0</v>
      </c>
      <c r="H62" s="238">
        <f>IFERROR((HLOOKUP($AH62,Target_monthwise!$D$4:$O$20,DTR!H$4,FALSE))*1000,0)</f>
        <v>0</v>
      </c>
      <c r="I62" s="238">
        <f>IFERROR((HLOOKUP($AH62,Target_monthwise!$D$4:$O$20,DTR!I$4,FALSE))*1000,0)</f>
        <v>0</v>
      </c>
      <c r="J62" s="238">
        <f>IFERROR((HLOOKUP($AH62,Target_monthwise!$D$4:$O$20,DTR!J$4,FALSE))*1000,0)</f>
        <v>0</v>
      </c>
      <c r="K62" s="238">
        <f>IFERROR((HLOOKUP($AH62,Target_monthwise!$D$4:$O$20,DTR!K$4,FALSE))*1000,0)</f>
        <v>0</v>
      </c>
      <c r="L62" s="238">
        <f>IFERROR((HLOOKUP($AH62,Target_monthwise!$D$4:$O$20,DTR!L$4,FALSE))*1000,0)</f>
        <v>0</v>
      </c>
      <c r="M62" s="238">
        <f>IFERROR((HLOOKUP($AH62,Target_monthwise!$D$4:$O$20,DTR!M$4,FALSE))*1000,0)</f>
        <v>0</v>
      </c>
      <c r="N62" s="238">
        <f>IFERROR((HLOOKUP($AH62,Target_monthwise!$D$4:$O$20,DTR!N$4,FALSE))*1000,0)</f>
        <v>0</v>
      </c>
      <c r="O62" s="238">
        <f>IFERROR((HLOOKUP($AH62,Target_monthwise!$D$4:$O$20,DTR!O$4,FALSE))*1000,0)</f>
        <v>0</v>
      </c>
      <c r="P62" s="238">
        <f>IFERROR((HLOOKUP($AH62,Target_monthwise!$D$4:$O$20,DTR!P$4,FALSE))*1000,0)</f>
        <v>0</v>
      </c>
      <c r="Q62" s="141">
        <f>IFERROR((HLOOKUP($AH62,Target_monthwise!$D$4:$O$20,DTR!Q$4,FALSE))*1000,0)</f>
        <v>0</v>
      </c>
      <c r="R62" s="167">
        <f>IFERROR((HLOOKUP($AH62,Target_monthwise!$D$4:$O$20,DTR!R$4,FALSE))*1000,0)</f>
        <v>0</v>
      </c>
      <c r="S62" s="239">
        <f>IFERROR((HLOOKUP($AH62,Target_monthwise!$D$24:$O$40,DTR!S$4,FALSE)),0)</f>
        <v>0</v>
      </c>
      <c r="T62" s="239">
        <f>IFERROR((HLOOKUP($AH62,Target_monthwise!$D$24:$O$40,DTR!T$4,FALSE)),0)</f>
        <v>0</v>
      </c>
      <c r="U62" s="239">
        <f>IFERROR((HLOOKUP($AH62,Target_monthwise!$D$24:$O$40,DTR!U$4,FALSE)),0)</f>
        <v>0</v>
      </c>
      <c r="V62" s="239">
        <f>IFERROR((HLOOKUP($AH62,Target_monthwise!$D$24:$O$40,DTR!V$4,FALSE)),0)</f>
        <v>0</v>
      </c>
      <c r="W62" s="239">
        <f>IFERROR((HLOOKUP($AH62,Target_monthwise!$D$24:$O$40,DTR!W$4,FALSE)),0)</f>
        <v>0</v>
      </c>
      <c r="X62" s="239">
        <f>IFERROR((HLOOKUP($AH62,Target_monthwise!$D$24:$O$40,DTR!X$4,FALSE)),0)</f>
        <v>0</v>
      </c>
      <c r="Y62" s="239">
        <f>IFERROR((HLOOKUP($AH62,Target_monthwise!$D$24:$O$40,DTR!Y$4,FALSE)),0)</f>
        <v>0</v>
      </c>
      <c r="Z62" s="147">
        <f>IFERROR((HLOOKUP($AH62,Target_monthwise!$D$24:$O$40,DTR!Z$4,FALSE)),0)</f>
        <v>0</v>
      </c>
      <c r="AA62" s="147">
        <f>IFERROR((HLOOKUP($AH62,Target_monthwise!$D$24:$O$40,DTR!AA$4,FALSE)),0)</f>
        <v>0</v>
      </c>
      <c r="AB62" s="147">
        <f>IFERROR((HLOOKUP($AH62,Target_monthwise!$D$24:$O$40,DTR!AB$4,FALSE)),0)</f>
        <v>0</v>
      </c>
      <c r="AC62" s="239">
        <f>IFERROR((HLOOKUP($AH62,Target_monthwise!$D$24:$O$40,DTR!AC$4,FALSE)),0)</f>
        <v>0</v>
      </c>
      <c r="AD62" s="239">
        <f>IFERROR((HLOOKUP($AH62,Target_monthwise!$D$24:$O$40,DTR!AD$4,FALSE)),0)</f>
        <v>0</v>
      </c>
      <c r="AE62" s="239">
        <f>IFERROR((HLOOKUP($AH62,Target_monthwise!$D$24:$O$40,DTR!AE$4,FALSE)),0)</f>
        <v>0</v>
      </c>
      <c r="AF62" s="239">
        <f>IFERROR((HLOOKUP($AH62,Target_monthwise!$D$24:$O$40,DTR!AF$4,FALSE)),0)</f>
        <v>0</v>
      </c>
      <c r="AG62" s="172">
        <f>IFERROR((HLOOKUP($AH62,Target_monthwise!$D$24:$O$40,DTR!AG$4,FALSE)),0)</f>
        <v>0</v>
      </c>
      <c r="AH62" s="253">
        <f t="shared" si="0"/>
        <v>202205</v>
      </c>
    </row>
    <row r="63" spans="3:34" ht="15.75" hidden="1">
      <c r="C63" s="235">
        <v>44706</v>
      </c>
      <c r="D63" s="141">
        <f>IFERROR((HLOOKUP($AH63,Target_monthwise!$D$4:$O$20,DTR!D$4,FALSE))*1000,0)</f>
        <v>0</v>
      </c>
      <c r="E63" s="141">
        <f>IFERROR((HLOOKUP($AH63,Target_monthwise!$D$4:$O$20,DTR!E$4,FALSE))*1000,0)</f>
        <v>0</v>
      </c>
      <c r="F63" s="141">
        <f>IFERROR((HLOOKUP($AH63,Target_monthwise!$D$4:$O$20,DTR!F$4,FALSE))*1000,0)</f>
        <v>0</v>
      </c>
      <c r="G63" s="141">
        <f>IFERROR((HLOOKUP($AH63,Target_monthwise!$D$4:$O$20,DTR!G$4,FALSE))*1000,0)</f>
        <v>0</v>
      </c>
      <c r="H63" s="141">
        <f>IFERROR((HLOOKUP($AH63,Target_monthwise!$D$4:$O$20,DTR!H$4,FALSE))*1000,0)</f>
        <v>0</v>
      </c>
      <c r="I63" s="141">
        <f>IFERROR((HLOOKUP($AH63,Target_monthwise!$D$4:$O$20,DTR!I$4,FALSE))*1000,0)</f>
        <v>0</v>
      </c>
      <c r="J63" s="141">
        <f>IFERROR((HLOOKUP($AH63,Target_monthwise!$D$4:$O$20,DTR!J$4,FALSE))*1000,0)</f>
        <v>0</v>
      </c>
      <c r="K63" s="141">
        <f>IFERROR((HLOOKUP($AH63,Target_monthwise!$D$4:$O$20,DTR!K$4,FALSE))*1000,0)</f>
        <v>0</v>
      </c>
      <c r="L63" s="141">
        <f>IFERROR((HLOOKUP($AH63,Target_monthwise!$D$4:$O$20,DTR!L$4,FALSE))*1000,0)</f>
        <v>0</v>
      </c>
      <c r="M63" s="141">
        <f>IFERROR((HLOOKUP($AH63,Target_monthwise!$D$4:$O$20,DTR!M$4,FALSE))*1000,0)</f>
        <v>0</v>
      </c>
      <c r="N63" s="141">
        <f>IFERROR((HLOOKUP($AH63,Target_monthwise!$D$4:$O$20,DTR!N$4,FALSE))*1000,0)</f>
        <v>0</v>
      </c>
      <c r="O63" s="141">
        <f>IFERROR((HLOOKUP($AH63,Target_monthwise!$D$4:$O$20,DTR!O$4,FALSE))*1000,0)</f>
        <v>0</v>
      </c>
      <c r="P63" s="141">
        <f>IFERROR((HLOOKUP($AH63,Target_monthwise!$D$4:$O$20,DTR!P$4,FALSE))*1000,0)</f>
        <v>0</v>
      </c>
      <c r="Q63" s="141">
        <f>IFERROR((HLOOKUP($AH63,Target_monthwise!$D$4:$O$20,DTR!Q$4,FALSE))*1000,0)</f>
        <v>0</v>
      </c>
      <c r="R63" s="167">
        <f>IFERROR((HLOOKUP($AH63,Target_monthwise!$D$4:$O$20,DTR!R$4,FALSE))*1000,0)</f>
        <v>0</v>
      </c>
      <c r="S63" s="147">
        <f>IFERROR((HLOOKUP($AH63,Target_monthwise!$D$24:$O$40,DTR!S$4,FALSE)),0)</f>
        <v>0</v>
      </c>
      <c r="T63" s="147">
        <f>IFERROR((HLOOKUP($AH63,Target_monthwise!$D$24:$O$40,DTR!T$4,FALSE)),0)</f>
        <v>0</v>
      </c>
      <c r="U63" s="147">
        <f>IFERROR((HLOOKUP($AH63,Target_monthwise!$D$24:$O$40,DTR!U$4,FALSE)),0)</f>
        <v>0</v>
      </c>
      <c r="V63" s="147">
        <f>IFERROR((HLOOKUP($AH63,Target_monthwise!$D$24:$O$40,DTR!V$4,FALSE)),0)</f>
        <v>0</v>
      </c>
      <c r="W63" s="147">
        <f>IFERROR((HLOOKUP($AH63,Target_monthwise!$D$24:$O$40,DTR!W$4,FALSE)),0)</f>
        <v>0</v>
      </c>
      <c r="X63" s="147">
        <f>IFERROR((HLOOKUP($AH63,Target_monthwise!$D$24:$O$40,DTR!X$4,FALSE)),0)</f>
        <v>0</v>
      </c>
      <c r="Y63" s="147">
        <f>IFERROR((HLOOKUP($AH63,Target_monthwise!$D$24:$O$40,DTR!Y$4,FALSE)),0)</f>
        <v>0</v>
      </c>
      <c r="Z63" s="147">
        <f>IFERROR((HLOOKUP($AH63,Target_monthwise!$D$24:$O$40,DTR!Z$4,FALSE)),0)</f>
        <v>0</v>
      </c>
      <c r="AA63" s="147">
        <f>IFERROR((HLOOKUP($AH63,Target_monthwise!$D$24:$O$40,DTR!AA$4,FALSE)),0)</f>
        <v>0</v>
      </c>
      <c r="AB63" s="147">
        <f>IFERROR((HLOOKUP($AH63,Target_monthwise!$D$24:$O$40,DTR!AB$4,FALSE)),0)</f>
        <v>0</v>
      </c>
      <c r="AC63" s="147">
        <f>IFERROR((HLOOKUP($AH63,Target_monthwise!$D$24:$O$40,DTR!AC$4,FALSE)),0)</f>
        <v>0</v>
      </c>
      <c r="AD63" s="147">
        <f>IFERROR((HLOOKUP($AH63,Target_monthwise!$D$24:$O$40,DTR!AD$4,FALSE)),0)</f>
        <v>0</v>
      </c>
      <c r="AE63" s="147">
        <f>IFERROR((HLOOKUP($AH63,Target_monthwise!$D$24:$O$40,DTR!AE$4,FALSE)),0)</f>
        <v>0</v>
      </c>
      <c r="AF63" s="147">
        <f>IFERROR((HLOOKUP($AH63,Target_monthwise!$D$24:$O$40,DTR!AF$4,FALSE)),0)</f>
        <v>0</v>
      </c>
      <c r="AG63" s="172">
        <f>IFERROR((HLOOKUP($AH63,Target_monthwise!$D$24:$O$40,DTR!AG$4,FALSE)),0)</f>
        <v>0</v>
      </c>
      <c r="AH63" s="253">
        <f t="shared" si="0"/>
        <v>202205</v>
      </c>
    </row>
    <row r="64" spans="3:34" ht="15.75" hidden="1">
      <c r="C64" s="237">
        <v>44707</v>
      </c>
      <c r="D64" s="238">
        <f>IFERROR((HLOOKUP($AH64,Target_monthwise!$D$4:$O$20,DTR!D$4,FALSE))*1000,0)</f>
        <v>0</v>
      </c>
      <c r="E64" s="238">
        <f>IFERROR((HLOOKUP($AH64,Target_monthwise!$D$4:$O$20,DTR!E$4,FALSE))*1000,0)</f>
        <v>0</v>
      </c>
      <c r="F64" s="238">
        <f>IFERROR((HLOOKUP($AH64,Target_monthwise!$D$4:$O$20,DTR!F$4,FALSE))*1000,0)</f>
        <v>0</v>
      </c>
      <c r="G64" s="238">
        <f>IFERROR((HLOOKUP($AH64,Target_monthwise!$D$4:$O$20,DTR!G$4,FALSE))*1000,0)</f>
        <v>0</v>
      </c>
      <c r="H64" s="238">
        <f>IFERROR((HLOOKUP($AH64,Target_monthwise!$D$4:$O$20,DTR!H$4,FALSE))*1000,0)</f>
        <v>0</v>
      </c>
      <c r="I64" s="238">
        <f>IFERROR((HLOOKUP($AH64,Target_monthwise!$D$4:$O$20,DTR!I$4,FALSE))*1000,0)</f>
        <v>0</v>
      </c>
      <c r="J64" s="238">
        <f>IFERROR((HLOOKUP($AH64,Target_monthwise!$D$4:$O$20,DTR!J$4,FALSE))*1000,0)</f>
        <v>0</v>
      </c>
      <c r="K64" s="238">
        <f>IFERROR((HLOOKUP($AH64,Target_monthwise!$D$4:$O$20,DTR!K$4,FALSE))*1000,0)</f>
        <v>0</v>
      </c>
      <c r="L64" s="238">
        <f>IFERROR((HLOOKUP($AH64,Target_monthwise!$D$4:$O$20,DTR!L$4,FALSE))*1000,0)</f>
        <v>0</v>
      </c>
      <c r="M64" s="238">
        <f>IFERROR((HLOOKUP($AH64,Target_monthwise!$D$4:$O$20,DTR!M$4,FALSE))*1000,0)</f>
        <v>0</v>
      </c>
      <c r="N64" s="238">
        <f>IFERROR((HLOOKUP($AH64,Target_monthwise!$D$4:$O$20,DTR!N$4,FALSE))*1000,0)</f>
        <v>0</v>
      </c>
      <c r="O64" s="238">
        <f>IFERROR((HLOOKUP($AH64,Target_monthwise!$D$4:$O$20,DTR!O$4,FALSE))*1000,0)</f>
        <v>0</v>
      </c>
      <c r="P64" s="238">
        <f>IFERROR((HLOOKUP($AH64,Target_monthwise!$D$4:$O$20,DTR!P$4,FALSE))*1000,0)</f>
        <v>0</v>
      </c>
      <c r="Q64" s="141">
        <f>IFERROR((HLOOKUP($AH64,Target_monthwise!$D$4:$O$20,DTR!Q$4,FALSE))*1000,0)</f>
        <v>0</v>
      </c>
      <c r="R64" s="167">
        <f>IFERROR((HLOOKUP($AH64,Target_monthwise!$D$4:$O$20,DTR!R$4,FALSE))*1000,0)</f>
        <v>0</v>
      </c>
      <c r="S64" s="239">
        <f>IFERROR((HLOOKUP($AH64,Target_monthwise!$D$24:$O$40,DTR!S$4,FALSE)),0)</f>
        <v>0</v>
      </c>
      <c r="T64" s="239">
        <f>IFERROR((HLOOKUP($AH64,Target_monthwise!$D$24:$O$40,DTR!T$4,FALSE)),0)</f>
        <v>0</v>
      </c>
      <c r="U64" s="239">
        <f>IFERROR((HLOOKUP($AH64,Target_monthwise!$D$24:$O$40,DTR!U$4,FALSE)),0)</f>
        <v>0</v>
      </c>
      <c r="V64" s="239">
        <f>IFERROR((HLOOKUP($AH64,Target_monthwise!$D$24:$O$40,DTR!V$4,FALSE)),0)</f>
        <v>0</v>
      </c>
      <c r="W64" s="239">
        <f>IFERROR((HLOOKUP($AH64,Target_monthwise!$D$24:$O$40,DTR!W$4,FALSE)),0)</f>
        <v>0</v>
      </c>
      <c r="X64" s="239">
        <f>IFERROR((HLOOKUP($AH64,Target_monthwise!$D$24:$O$40,DTR!X$4,FALSE)),0)</f>
        <v>0</v>
      </c>
      <c r="Y64" s="239">
        <f>IFERROR((HLOOKUP($AH64,Target_monthwise!$D$24:$O$40,DTR!Y$4,FALSE)),0)</f>
        <v>0</v>
      </c>
      <c r="Z64" s="147">
        <f>IFERROR((HLOOKUP($AH64,Target_monthwise!$D$24:$O$40,DTR!Z$4,FALSE)),0)</f>
        <v>0</v>
      </c>
      <c r="AA64" s="147">
        <f>IFERROR((HLOOKUP($AH64,Target_monthwise!$D$24:$O$40,DTR!AA$4,FALSE)),0)</f>
        <v>0</v>
      </c>
      <c r="AB64" s="147">
        <f>IFERROR((HLOOKUP($AH64,Target_monthwise!$D$24:$O$40,DTR!AB$4,FALSE)),0)</f>
        <v>0</v>
      </c>
      <c r="AC64" s="239">
        <f>IFERROR((HLOOKUP($AH64,Target_monthwise!$D$24:$O$40,DTR!AC$4,FALSE)),0)</f>
        <v>0</v>
      </c>
      <c r="AD64" s="239">
        <f>IFERROR((HLOOKUP($AH64,Target_monthwise!$D$24:$O$40,DTR!AD$4,FALSE)),0)</f>
        <v>0</v>
      </c>
      <c r="AE64" s="239">
        <f>IFERROR((HLOOKUP($AH64,Target_monthwise!$D$24:$O$40,DTR!AE$4,FALSE)),0)</f>
        <v>0</v>
      </c>
      <c r="AF64" s="239">
        <f>IFERROR((HLOOKUP($AH64,Target_monthwise!$D$24:$O$40,DTR!AF$4,FALSE)),0)</f>
        <v>0</v>
      </c>
      <c r="AG64" s="172">
        <f>IFERROR((HLOOKUP($AH64,Target_monthwise!$D$24:$O$40,DTR!AG$4,FALSE)),0)</f>
        <v>0</v>
      </c>
      <c r="AH64" s="253">
        <f t="shared" si="0"/>
        <v>202205</v>
      </c>
    </row>
    <row r="65" spans="3:34" ht="15.75" hidden="1">
      <c r="C65" s="235">
        <v>44708</v>
      </c>
      <c r="D65" s="141">
        <f>IFERROR((HLOOKUP($AH65,Target_monthwise!$D$4:$O$20,DTR!D$4,FALSE))*1000,0)</f>
        <v>0</v>
      </c>
      <c r="E65" s="141">
        <f>IFERROR((HLOOKUP($AH65,Target_monthwise!$D$4:$O$20,DTR!E$4,FALSE))*1000,0)</f>
        <v>0</v>
      </c>
      <c r="F65" s="141">
        <f>IFERROR((HLOOKUP($AH65,Target_monthwise!$D$4:$O$20,DTR!F$4,FALSE))*1000,0)</f>
        <v>0</v>
      </c>
      <c r="G65" s="141">
        <f>IFERROR((HLOOKUP($AH65,Target_monthwise!$D$4:$O$20,DTR!G$4,FALSE))*1000,0)</f>
        <v>0</v>
      </c>
      <c r="H65" s="141">
        <f>IFERROR((HLOOKUP($AH65,Target_monthwise!$D$4:$O$20,DTR!H$4,FALSE))*1000,0)</f>
        <v>0</v>
      </c>
      <c r="I65" s="141">
        <f>IFERROR((HLOOKUP($AH65,Target_monthwise!$D$4:$O$20,DTR!I$4,FALSE))*1000,0)</f>
        <v>0</v>
      </c>
      <c r="J65" s="141">
        <f>IFERROR((HLOOKUP($AH65,Target_monthwise!$D$4:$O$20,DTR!J$4,FALSE))*1000,0)</f>
        <v>0</v>
      </c>
      <c r="K65" s="141">
        <f>IFERROR((HLOOKUP($AH65,Target_monthwise!$D$4:$O$20,DTR!K$4,FALSE))*1000,0)</f>
        <v>0</v>
      </c>
      <c r="L65" s="141">
        <f>IFERROR((HLOOKUP($AH65,Target_monthwise!$D$4:$O$20,DTR!L$4,FALSE))*1000,0)</f>
        <v>0</v>
      </c>
      <c r="M65" s="141">
        <f>IFERROR((HLOOKUP($AH65,Target_monthwise!$D$4:$O$20,DTR!M$4,FALSE))*1000,0)</f>
        <v>0</v>
      </c>
      <c r="N65" s="141">
        <f>IFERROR((HLOOKUP($AH65,Target_monthwise!$D$4:$O$20,DTR!N$4,FALSE))*1000,0)</f>
        <v>0</v>
      </c>
      <c r="O65" s="141">
        <f>IFERROR((HLOOKUP($AH65,Target_monthwise!$D$4:$O$20,DTR!O$4,FALSE))*1000,0)</f>
        <v>0</v>
      </c>
      <c r="P65" s="141">
        <f>IFERROR((HLOOKUP($AH65,Target_monthwise!$D$4:$O$20,DTR!P$4,FALSE))*1000,0)</f>
        <v>0</v>
      </c>
      <c r="Q65" s="141">
        <f>IFERROR((HLOOKUP($AH65,Target_monthwise!$D$4:$O$20,DTR!Q$4,FALSE))*1000,0)</f>
        <v>0</v>
      </c>
      <c r="R65" s="167">
        <f>IFERROR((HLOOKUP($AH65,Target_monthwise!$D$4:$O$20,DTR!R$4,FALSE))*1000,0)</f>
        <v>0</v>
      </c>
      <c r="S65" s="147">
        <f>IFERROR((HLOOKUP($AH65,Target_monthwise!$D$24:$O$40,DTR!S$4,FALSE)),0)</f>
        <v>0</v>
      </c>
      <c r="T65" s="147">
        <f>IFERROR((HLOOKUP($AH65,Target_monthwise!$D$24:$O$40,DTR!T$4,FALSE)),0)</f>
        <v>0</v>
      </c>
      <c r="U65" s="147">
        <f>IFERROR((HLOOKUP($AH65,Target_monthwise!$D$24:$O$40,DTR!U$4,FALSE)),0)</f>
        <v>0</v>
      </c>
      <c r="V65" s="147">
        <f>IFERROR((HLOOKUP($AH65,Target_monthwise!$D$24:$O$40,DTR!V$4,FALSE)),0)</f>
        <v>0</v>
      </c>
      <c r="W65" s="147">
        <f>IFERROR((HLOOKUP($AH65,Target_monthwise!$D$24:$O$40,DTR!W$4,FALSE)),0)</f>
        <v>0</v>
      </c>
      <c r="X65" s="147">
        <f>IFERROR((HLOOKUP($AH65,Target_monthwise!$D$24:$O$40,DTR!X$4,FALSE)),0)</f>
        <v>0</v>
      </c>
      <c r="Y65" s="147">
        <f>IFERROR((HLOOKUP($AH65,Target_monthwise!$D$24:$O$40,DTR!Y$4,FALSE)),0)</f>
        <v>0</v>
      </c>
      <c r="Z65" s="147">
        <f>IFERROR((HLOOKUP($AH65,Target_monthwise!$D$24:$O$40,DTR!Z$4,FALSE)),0)</f>
        <v>0</v>
      </c>
      <c r="AA65" s="147">
        <f>IFERROR((HLOOKUP($AH65,Target_monthwise!$D$24:$O$40,DTR!AA$4,FALSE)),0)</f>
        <v>0</v>
      </c>
      <c r="AB65" s="147">
        <f>IFERROR((HLOOKUP($AH65,Target_monthwise!$D$24:$O$40,DTR!AB$4,FALSE)),0)</f>
        <v>0</v>
      </c>
      <c r="AC65" s="147">
        <f>IFERROR((HLOOKUP($AH65,Target_monthwise!$D$24:$O$40,DTR!AC$4,FALSE)),0)</f>
        <v>0</v>
      </c>
      <c r="AD65" s="147">
        <f>IFERROR((HLOOKUP($AH65,Target_monthwise!$D$24:$O$40,DTR!AD$4,FALSE)),0)</f>
        <v>0</v>
      </c>
      <c r="AE65" s="147">
        <f>IFERROR((HLOOKUP($AH65,Target_monthwise!$D$24:$O$40,DTR!AE$4,FALSE)),0)</f>
        <v>0</v>
      </c>
      <c r="AF65" s="147">
        <f>IFERROR((HLOOKUP($AH65,Target_monthwise!$D$24:$O$40,DTR!AF$4,FALSE)),0)</f>
        <v>0</v>
      </c>
      <c r="AG65" s="172">
        <f>IFERROR((HLOOKUP($AH65,Target_monthwise!$D$24:$O$40,DTR!AG$4,FALSE)),0)</f>
        <v>0</v>
      </c>
      <c r="AH65" s="253">
        <f t="shared" si="0"/>
        <v>202205</v>
      </c>
    </row>
    <row r="66" spans="3:34" ht="15.75" hidden="1">
      <c r="C66" s="237">
        <v>44709</v>
      </c>
      <c r="D66" s="238">
        <f>IFERROR((HLOOKUP($AH66,Target_monthwise!$D$4:$O$20,DTR!D$4,FALSE))*1000,0)</f>
        <v>0</v>
      </c>
      <c r="E66" s="238">
        <f>IFERROR((HLOOKUP($AH66,Target_monthwise!$D$4:$O$20,DTR!E$4,FALSE))*1000,0)</f>
        <v>0</v>
      </c>
      <c r="F66" s="238">
        <f>IFERROR((HLOOKUP($AH66,Target_monthwise!$D$4:$O$20,DTR!F$4,FALSE))*1000,0)</f>
        <v>0</v>
      </c>
      <c r="G66" s="238">
        <f>IFERROR((HLOOKUP($AH66,Target_monthwise!$D$4:$O$20,DTR!G$4,FALSE))*1000,0)</f>
        <v>0</v>
      </c>
      <c r="H66" s="238">
        <f>IFERROR((HLOOKUP($AH66,Target_monthwise!$D$4:$O$20,DTR!H$4,FALSE))*1000,0)</f>
        <v>0</v>
      </c>
      <c r="I66" s="238">
        <f>IFERROR((HLOOKUP($AH66,Target_monthwise!$D$4:$O$20,DTR!I$4,FALSE))*1000,0)</f>
        <v>0</v>
      </c>
      <c r="J66" s="238">
        <f>IFERROR((HLOOKUP($AH66,Target_monthwise!$D$4:$O$20,DTR!J$4,FALSE))*1000,0)</f>
        <v>0</v>
      </c>
      <c r="K66" s="238">
        <f>IFERROR((HLOOKUP($AH66,Target_monthwise!$D$4:$O$20,DTR!K$4,FALSE))*1000,0)</f>
        <v>0</v>
      </c>
      <c r="L66" s="238">
        <f>IFERROR((HLOOKUP($AH66,Target_monthwise!$D$4:$O$20,DTR!L$4,FALSE))*1000,0)</f>
        <v>0</v>
      </c>
      <c r="M66" s="238">
        <f>IFERROR((HLOOKUP($AH66,Target_monthwise!$D$4:$O$20,DTR!M$4,FALSE))*1000,0)</f>
        <v>0</v>
      </c>
      <c r="N66" s="238">
        <f>IFERROR((HLOOKUP($AH66,Target_monthwise!$D$4:$O$20,DTR!N$4,FALSE))*1000,0)</f>
        <v>0</v>
      </c>
      <c r="O66" s="238">
        <f>IFERROR((HLOOKUP($AH66,Target_monthwise!$D$4:$O$20,DTR!O$4,FALSE))*1000,0)</f>
        <v>0</v>
      </c>
      <c r="P66" s="238">
        <f>IFERROR((HLOOKUP($AH66,Target_monthwise!$D$4:$O$20,DTR!P$4,FALSE))*1000,0)</f>
        <v>0</v>
      </c>
      <c r="Q66" s="141">
        <f>IFERROR((HLOOKUP($AH66,Target_monthwise!$D$4:$O$20,DTR!Q$4,FALSE))*1000,0)</f>
        <v>0</v>
      </c>
      <c r="R66" s="167">
        <f>IFERROR((HLOOKUP($AH66,Target_monthwise!$D$4:$O$20,DTR!R$4,FALSE))*1000,0)</f>
        <v>0</v>
      </c>
      <c r="S66" s="239">
        <f>IFERROR((HLOOKUP($AH66,Target_monthwise!$D$24:$O$40,DTR!S$4,FALSE)),0)</f>
        <v>0</v>
      </c>
      <c r="T66" s="239">
        <f>IFERROR((HLOOKUP($AH66,Target_monthwise!$D$24:$O$40,DTR!T$4,FALSE)),0)</f>
        <v>0</v>
      </c>
      <c r="U66" s="239">
        <f>IFERROR((HLOOKUP($AH66,Target_monthwise!$D$24:$O$40,DTR!U$4,FALSE)),0)</f>
        <v>0</v>
      </c>
      <c r="V66" s="239">
        <f>IFERROR((HLOOKUP($AH66,Target_monthwise!$D$24:$O$40,DTR!V$4,FALSE)),0)</f>
        <v>0</v>
      </c>
      <c r="W66" s="239">
        <f>IFERROR((HLOOKUP($AH66,Target_monthwise!$D$24:$O$40,DTR!W$4,FALSE)),0)</f>
        <v>0</v>
      </c>
      <c r="X66" s="239">
        <f>IFERROR((HLOOKUP($AH66,Target_monthwise!$D$24:$O$40,DTR!X$4,FALSE)),0)</f>
        <v>0</v>
      </c>
      <c r="Y66" s="239">
        <f>IFERROR((HLOOKUP($AH66,Target_monthwise!$D$24:$O$40,DTR!Y$4,FALSE)),0)</f>
        <v>0</v>
      </c>
      <c r="Z66" s="147">
        <f>IFERROR((HLOOKUP($AH66,Target_monthwise!$D$24:$O$40,DTR!Z$4,FALSE)),0)</f>
        <v>0</v>
      </c>
      <c r="AA66" s="147">
        <f>IFERROR((HLOOKUP($AH66,Target_monthwise!$D$24:$O$40,DTR!AA$4,FALSE)),0)</f>
        <v>0</v>
      </c>
      <c r="AB66" s="147">
        <f>IFERROR((HLOOKUP($AH66,Target_monthwise!$D$24:$O$40,DTR!AB$4,FALSE)),0)</f>
        <v>0</v>
      </c>
      <c r="AC66" s="239">
        <f>IFERROR((HLOOKUP($AH66,Target_monthwise!$D$24:$O$40,DTR!AC$4,FALSE)),0)</f>
        <v>0</v>
      </c>
      <c r="AD66" s="239">
        <f>IFERROR((HLOOKUP($AH66,Target_monthwise!$D$24:$O$40,DTR!AD$4,FALSE)),0)</f>
        <v>0</v>
      </c>
      <c r="AE66" s="239">
        <f>IFERROR((HLOOKUP($AH66,Target_monthwise!$D$24:$O$40,DTR!AE$4,FALSE)),0)</f>
        <v>0</v>
      </c>
      <c r="AF66" s="239">
        <f>IFERROR((HLOOKUP($AH66,Target_monthwise!$D$24:$O$40,DTR!AF$4,FALSE)),0)</f>
        <v>0</v>
      </c>
      <c r="AG66" s="172">
        <f>IFERROR((HLOOKUP($AH66,Target_monthwise!$D$24:$O$40,DTR!AG$4,FALSE)),0)</f>
        <v>0</v>
      </c>
      <c r="AH66" s="253">
        <f t="shared" si="0"/>
        <v>202205</v>
      </c>
    </row>
    <row r="67" spans="3:34" ht="15.75" hidden="1">
      <c r="C67" s="235">
        <v>44710</v>
      </c>
      <c r="D67" s="141">
        <f>IFERROR((HLOOKUP($AH67,Target_monthwise!$D$4:$O$20,DTR!D$4,FALSE))*1000,0)</f>
        <v>0</v>
      </c>
      <c r="E67" s="141">
        <f>IFERROR((HLOOKUP($AH67,Target_monthwise!$D$4:$O$20,DTR!E$4,FALSE))*1000,0)</f>
        <v>0</v>
      </c>
      <c r="F67" s="141">
        <f>IFERROR((HLOOKUP($AH67,Target_monthwise!$D$4:$O$20,DTR!F$4,FALSE))*1000,0)</f>
        <v>0</v>
      </c>
      <c r="G67" s="141">
        <f>IFERROR((HLOOKUP($AH67,Target_monthwise!$D$4:$O$20,DTR!G$4,FALSE))*1000,0)</f>
        <v>0</v>
      </c>
      <c r="H67" s="141">
        <f>IFERROR((HLOOKUP($AH67,Target_monthwise!$D$4:$O$20,DTR!H$4,FALSE))*1000,0)</f>
        <v>0</v>
      </c>
      <c r="I67" s="141">
        <f>IFERROR((HLOOKUP($AH67,Target_monthwise!$D$4:$O$20,DTR!I$4,FALSE))*1000,0)</f>
        <v>0</v>
      </c>
      <c r="J67" s="141">
        <f>IFERROR((HLOOKUP($AH67,Target_monthwise!$D$4:$O$20,DTR!J$4,FALSE))*1000,0)</f>
        <v>0</v>
      </c>
      <c r="K67" s="141">
        <f>IFERROR((HLOOKUP($AH67,Target_monthwise!$D$4:$O$20,DTR!K$4,FALSE))*1000,0)</f>
        <v>0</v>
      </c>
      <c r="L67" s="141">
        <f>IFERROR((HLOOKUP($AH67,Target_monthwise!$D$4:$O$20,DTR!L$4,FALSE))*1000,0)</f>
        <v>0</v>
      </c>
      <c r="M67" s="141">
        <f>IFERROR((HLOOKUP($AH67,Target_monthwise!$D$4:$O$20,DTR!M$4,FALSE))*1000,0)</f>
        <v>0</v>
      </c>
      <c r="N67" s="141">
        <f>IFERROR((HLOOKUP($AH67,Target_monthwise!$D$4:$O$20,DTR!N$4,FALSE))*1000,0)</f>
        <v>0</v>
      </c>
      <c r="O67" s="141">
        <f>IFERROR((HLOOKUP($AH67,Target_monthwise!$D$4:$O$20,DTR!O$4,FALSE))*1000,0)</f>
        <v>0</v>
      </c>
      <c r="P67" s="141">
        <f>IFERROR((HLOOKUP($AH67,Target_monthwise!$D$4:$O$20,DTR!P$4,FALSE))*1000,0)</f>
        <v>0</v>
      </c>
      <c r="Q67" s="141">
        <f>IFERROR((HLOOKUP($AH67,Target_monthwise!$D$4:$O$20,DTR!Q$4,FALSE))*1000,0)</f>
        <v>0</v>
      </c>
      <c r="R67" s="167">
        <f>IFERROR((HLOOKUP($AH67,Target_monthwise!$D$4:$O$20,DTR!R$4,FALSE))*1000,0)</f>
        <v>0</v>
      </c>
      <c r="S67" s="147">
        <f>IFERROR((HLOOKUP($AH67,Target_monthwise!$D$24:$O$40,DTR!S$4,FALSE)),0)</f>
        <v>0</v>
      </c>
      <c r="T67" s="147">
        <f>IFERROR((HLOOKUP($AH67,Target_monthwise!$D$24:$O$40,DTR!T$4,FALSE)),0)</f>
        <v>0</v>
      </c>
      <c r="U67" s="147">
        <f>IFERROR((HLOOKUP($AH67,Target_monthwise!$D$24:$O$40,DTR!U$4,FALSE)),0)</f>
        <v>0</v>
      </c>
      <c r="V67" s="147">
        <f>IFERROR((HLOOKUP($AH67,Target_monthwise!$D$24:$O$40,DTR!V$4,FALSE)),0)</f>
        <v>0</v>
      </c>
      <c r="W67" s="147">
        <f>IFERROR((HLOOKUP($AH67,Target_monthwise!$D$24:$O$40,DTR!W$4,FALSE)),0)</f>
        <v>0</v>
      </c>
      <c r="X67" s="147">
        <f>IFERROR((HLOOKUP($AH67,Target_monthwise!$D$24:$O$40,DTR!X$4,FALSE)),0)</f>
        <v>0</v>
      </c>
      <c r="Y67" s="147">
        <f>IFERROR((HLOOKUP($AH67,Target_monthwise!$D$24:$O$40,DTR!Y$4,FALSE)),0)</f>
        <v>0</v>
      </c>
      <c r="Z67" s="147">
        <f>IFERROR((HLOOKUP($AH67,Target_monthwise!$D$24:$O$40,DTR!Z$4,FALSE)),0)</f>
        <v>0</v>
      </c>
      <c r="AA67" s="147">
        <f>IFERROR((HLOOKUP($AH67,Target_monthwise!$D$24:$O$40,DTR!AA$4,FALSE)),0)</f>
        <v>0</v>
      </c>
      <c r="AB67" s="147">
        <f>IFERROR((HLOOKUP($AH67,Target_monthwise!$D$24:$O$40,DTR!AB$4,FALSE)),0)</f>
        <v>0</v>
      </c>
      <c r="AC67" s="147">
        <f>IFERROR((HLOOKUP($AH67,Target_monthwise!$D$24:$O$40,DTR!AC$4,FALSE)),0)</f>
        <v>0</v>
      </c>
      <c r="AD67" s="147">
        <f>IFERROR((HLOOKUP($AH67,Target_monthwise!$D$24:$O$40,DTR!AD$4,FALSE)),0)</f>
        <v>0</v>
      </c>
      <c r="AE67" s="147">
        <f>IFERROR((HLOOKUP($AH67,Target_monthwise!$D$24:$O$40,DTR!AE$4,FALSE)),0)</f>
        <v>0</v>
      </c>
      <c r="AF67" s="147">
        <f>IFERROR((HLOOKUP($AH67,Target_monthwise!$D$24:$O$40,DTR!AF$4,FALSE)),0)</f>
        <v>0</v>
      </c>
      <c r="AG67" s="172">
        <f>IFERROR((HLOOKUP($AH67,Target_monthwise!$D$24:$O$40,DTR!AG$4,FALSE)),0)</f>
        <v>0</v>
      </c>
      <c r="AH67" s="253">
        <f t="shared" si="0"/>
        <v>202205</v>
      </c>
    </row>
    <row r="68" spans="3:34" ht="15.75" hidden="1">
      <c r="C68" s="237">
        <v>44711</v>
      </c>
      <c r="D68" s="238">
        <f>IFERROR((HLOOKUP($AH68,Target_monthwise!$D$4:$O$20,DTR!D$4,FALSE))*1000,0)</f>
        <v>0</v>
      </c>
      <c r="E68" s="238">
        <f>IFERROR((HLOOKUP($AH68,Target_monthwise!$D$4:$O$20,DTR!E$4,FALSE))*1000,0)</f>
        <v>0</v>
      </c>
      <c r="F68" s="238">
        <f>IFERROR((HLOOKUP($AH68,Target_monthwise!$D$4:$O$20,DTR!F$4,FALSE))*1000,0)</f>
        <v>0</v>
      </c>
      <c r="G68" s="238">
        <f>IFERROR((HLOOKUP($AH68,Target_monthwise!$D$4:$O$20,DTR!G$4,FALSE))*1000,0)</f>
        <v>0</v>
      </c>
      <c r="H68" s="238">
        <f>IFERROR((HLOOKUP($AH68,Target_monthwise!$D$4:$O$20,DTR!H$4,FALSE))*1000,0)</f>
        <v>0</v>
      </c>
      <c r="I68" s="238">
        <f>IFERROR((HLOOKUP($AH68,Target_monthwise!$D$4:$O$20,DTR!I$4,FALSE))*1000,0)</f>
        <v>0</v>
      </c>
      <c r="J68" s="238">
        <f>IFERROR((HLOOKUP($AH68,Target_monthwise!$D$4:$O$20,DTR!J$4,FALSE))*1000,0)</f>
        <v>0</v>
      </c>
      <c r="K68" s="238">
        <f>IFERROR((HLOOKUP($AH68,Target_monthwise!$D$4:$O$20,DTR!K$4,FALSE))*1000,0)</f>
        <v>0</v>
      </c>
      <c r="L68" s="238">
        <f>IFERROR((HLOOKUP($AH68,Target_monthwise!$D$4:$O$20,DTR!L$4,FALSE))*1000,0)</f>
        <v>0</v>
      </c>
      <c r="M68" s="238">
        <f>IFERROR((HLOOKUP($AH68,Target_monthwise!$D$4:$O$20,DTR!M$4,FALSE))*1000,0)</f>
        <v>0</v>
      </c>
      <c r="N68" s="238">
        <f>IFERROR((HLOOKUP($AH68,Target_monthwise!$D$4:$O$20,DTR!N$4,FALSE))*1000,0)</f>
        <v>0</v>
      </c>
      <c r="O68" s="238">
        <f>IFERROR((HLOOKUP($AH68,Target_monthwise!$D$4:$O$20,DTR!O$4,FALSE))*1000,0)</f>
        <v>0</v>
      </c>
      <c r="P68" s="238">
        <f>IFERROR((HLOOKUP($AH68,Target_monthwise!$D$4:$O$20,DTR!P$4,FALSE))*1000,0)</f>
        <v>0</v>
      </c>
      <c r="Q68" s="141">
        <f>IFERROR((HLOOKUP($AH68,Target_monthwise!$D$4:$O$20,DTR!Q$4,FALSE))*1000,0)</f>
        <v>0</v>
      </c>
      <c r="R68" s="167">
        <f>IFERROR((HLOOKUP($AH68,Target_monthwise!$D$4:$O$20,DTR!R$4,FALSE))*1000,0)</f>
        <v>0</v>
      </c>
      <c r="S68" s="239">
        <f>IFERROR((HLOOKUP($AH68,Target_monthwise!$D$24:$O$40,DTR!S$4,FALSE)),0)</f>
        <v>0</v>
      </c>
      <c r="T68" s="239">
        <f>IFERROR((HLOOKUP($AH68,Target_monthwise!$D$24:$O$40,DTR!T$4,FALSE)),0)</f>
        <v>0</v>
      </c>
      <c r="U68" s="239">
        <f>IFERROR((HLOOKUP($AH68,Target_monthwise!$D$24:$O$40,DTR!U$4,FALSE)),0)</f>
        <v>0</v>
      </c>
      <c r="V68" s="239">
        <f>IFERROR((HLOOKUP($AH68,Target_monthwise!$D$24:$O$40,DTR!V$4,FALSE)),0)</f>
        <v>0</v>
      </c>
      <c r="W68" s="239">
        <f>IFERROR((HLOOKUP($AH68,Target_monthwise!$D$24:$O$40,DTR!W$4,FALSE)),0)</f>
        <v>0</v>
      </c>
      <c r="X68" s="239">
        <f>IFERROR((HLOOKUP($AH68,Target_monthwise!$D$24:$O$40,DTR!X$4,FALSE)),0)</f>
        <v>0</v>
      </c>
      <c r="Y68" s="239">
        <f>IFERROR((HLOOKUP($AH68,Target_monthwise!$D$24:$O$40,DTR!Y$4,FALSE)),0)</f>
        <v>0</v>
      </c>
      <c r="Z68" s="147">
        <f>IFERROR((HLOOKUP($AH68,Target_monthwise!$D$24:$O$40,DTR!Z$4,FALSE)),0)</f>
        <v>0</v>
      </c>
      <c r="AA68" s="147">
        <f>IFERROR((HLOOKUP($AH68,Target_monthwise!$D$24:$O$40,DTR!AA$4,FALSE)),0)</f>
        <v>0</v>
      </c>
      <c r="AB68" s="147">
        <f>IFERROR((HLOOKUP($AH68,Target_monthwise!$D$24:$O$40,DTR!AB$4,FALSE)),0)</f>
        <v>0</v>
      </c>
      <c r="AC68" s="239">
        <f>IFERROR((HLOOKUP($AH68,Target_monthwise!$D$24:$O$40,DTR!AC$4,FALSE)),0)</f>
        <v>0</v>
      </c>
      <c r="AD68" s="239">
        <f>IFERROR((HLOOKUP($AH68,Target_monthwise!$D$24:$O$40,DTR!AD$4,FALSE)),0)</f>
        <v>0</v>
      </c>
      <c r="AE68" s="239">
        <f>IFERROR((HLOOKUP($AH68,Target_monthwise!$D$24:$O$40,DTR!AE$4,FALSE)),0)</f>
        <v>0</v>
      </c>
      <c r="AF68" s="239">
        <f>IFERROR((HLOOKUP($AH68,Target_monthwise!$D$24:$O$40,DTR!AF$4,FALSE)),0)</f>
        <v>0</v>
      </c>
      <c r="AG68" s="172">
        <f>IFERROR((HLOOKUP($AH68,Target_monthwise!$D$24:$O$40,DTR!AG$4,FALSE)),0)</f>
        <v>0</v>
      </c>
      <c r="AH68" s="253">
        <f t="shared" si="0"/>
        <v>202205</v>
      </c>
    </row>
    <row r="69" spans="3:34" ht="15.75" hidden="1">
      <c r="C69" s="235">
        <v>44712</v>
      </c>
      <c r="D69" s="141">
        <f>IFERROR((HLOOKUP($AH69,Target_monthwise!$D$4:$O$20,DTR!D$4,FALSE))*1000,0)</f>
        <v>0</v>
      </c>
      <c r="E69" s="141">
        <f>IFERROR((HLOOKUP($AH69,Target_monthwise!$D$4:$O$20,DTR!E$4,FALSE))*1000,0)</f>
        <v>0</v>
      </c>
      <c r="F69" s="141">
        <f>IFERROR((HLOOKUP($AH69,Target_monthwise!$D$4:$O$20,DTR!F$4,FALSE))*1000,0)</f>
        <v>0</v>
      </c>
      <c r="G69" s="141">
        <f>IFERROR((HLOOKUP($AH69,Target_monthwise!$D$4:$O$20,DTR!G$4,FALSE))*1000,0)</f>
        <v>0</v>
      </c>
      <c r="H69" s="141">
        <f>IFERROR((HLOOKUP($AH69,Target_monthwise!$D$4:$O$20,DTR!H$4,FALSE))*1000,0)</f>
        <v>0</v>
      </c>
      <c r="I69" s="141">
        <f>IFERROR((HLOOKUP($AH69,Target_monthwise!$D$4:$O$20,DTR!I$4,FALSE))*1000,0)</f>
        <v>0</v>
      </c>
      <c r="J69" s="141">
        <f>IFERROR((HLOOKUP($AH69,Target_monthwise!$D$4:$O$20,DTR!J$4,FALSE))*1000,0)</f>
        <v>0</v>
      </c>
      <c r="K69" s="141">
        <f>IFERROR((HLOOKUP($AH69,Target_monthwise!$D$4:$O$20,DTR!K$4,FALSE))*1000,0)</f>
        <v>0</v>
      </c>
      <c r="L69" s="141">
        <f>IFERROR((HLOOKUP($AH69,Target_monthwise!$D$4:$O$20,DTR!L$4,FALSE))*1000,0)</f>
        <v>0</v>
      </c>
      <c r="M69" s="141">
        <f>IFERROR((HLOOKUP($AH69,Target_monthwise!$D$4:$O$20,DTR!M$4,FALSE))*1000,0)</f>
        <v>0</v>
      </c>
      <c r="N69" s="141">
        <f>IFERROR((HLOOKUP($AH69,Target_monthwise!$D$4:$O$20,DTR!N$4,FALSE))*1000,0)</f>
        <v>0</v>
      </c>
      <c r="O69" s="141">
        <f>IFERROR((HLOOKUP($AH69,Target_monthwise!$D$4:$O$20,DTR!O$4,FALSE))*1000,0)</f>
        <v>0</v>
      </c>
      <c r="P69" s="141">
        <f>IFERROR((HLOOKUP($AH69,Target_monthwise!$D$4:$O$20,DTR!P$4,FALSE))*1000,0)</f>
        <v>0</v>
      </c>
      <c r="Q69" s="141">
        <f>IFERROR((HLOOKUP($AH69,Target_monthwise!$D$4:$O$20,DTR!Q$4,FALSE))*1000,0)</f>
        <v>0</v>
      </c>
      <c r="R69" s="167">
        <f>IFERROR((HLOOKUP($AH69,Target_monthwise!$D$4:$O$20,DTR!R$4,FALSE))*1000,0)</f>
        <v>0</v>
      </c>
      <c r="S69" s="147">
        <f>IFERROR((HLOOKUP($AH69,Target_monthwise!$D$24:$O$40,DTR!S$4,FALSE)),0)</f>
        <v>0</v>
      </c>
      <c r="T69" s="147">
        <f>IFERROR((HLOOKUP($AH69,Target_monthwise!$D$24:$O$40,DTR!T$4,FALSE)),0)</f>
        <v>0</v>
      </c>
      <c r="U69" s="147">
        <f>IFERROR((HLOOKUP($AH69,Target_monthwise!$D$24:$O$40,DTR!U$4,FALSE)),0)</f>
        <v>0</v>
      </c>
      <c r="V69" s="147">
        <f>IFERROR((HLOOKUP($AH69,Target_monthwise!$D$24:$O$40,DTR!V$4,FALSE)),0)</f>
        <v>0</v>
      </c>
      <c r="W69" s="147">
        <f>IFERROR((HLOOKUP($AH69,Target_monthwise!$D$24:$O$40,DTR!W$4,FALSE)),0)</f>
        <v>0</v>
      </c>
      <c r="X69" s="147">
        <f>IFERROR((HLOOKUP($AH69,Target_monthwise!$D$24:$O$40,DTR!X$4,FALSE)),0)</f>
        <v>0</v>
      </c>
      <c r="Y69" s="147">
        <f>IFERROR((HLOOKUP($AH69,Target_monthwise!$D$24:$O$40,DTR!Y$4,FALSE)),0)</f>
        <v>0</v>
      </c>
      <c r="Z69" s="147">
        <f>IFERROR((HLOOKUP($AH69,Target_monthwise!$D$24:$O$40,DTR!Z$4,FALSE)),0)</f>
        <v>0</v>
      </c>
      <c r="AA69" s="147">
        <f>IFERROR((HLOOKUP($AH69,Target_monthwise!$D$24:$O$40,DTR!AA$4,FALSE)),0)</f>
        <v>0</v>
      </c>
      <c r="AB69" s="147">
        <f>IFERROR((HLOOKUP($AH69,Target_monthwise!$D$24:$O$40,DTR!AB$4,FALSE)),0)</f>
        <v>0</v>
      </c>
      <c r="AC69" s="147">
        <f>IFERROR((HLOOKUP($AH69,Target_monthwise!$D$24:$O$40,DTR!AC$4,FALSE)),0)</f>
        <v>0</v>
      </c>
      <c r="AD69" s="147">
        <f>IFERROR((HLOOKUP($AH69,Target_monthwise!$D$24:$O$40,DTR!AD$4,FALSE)),0)</f>
        <v>0</v>
      </c>
      <c r="AE69" s="147">
        <f>IFERROR((HLOOKUP($AH69,Target_monthwise!$D$24:$O$40,DTR!AE$4,FALSE)),0)</f>
        <v>0</v>
      </c>
      <c r="AF69" s="147">
        <f>IFERROR((HLOOKUP($AH69,Target_monthwise!$D$24:$O$40,DTR!AF$4,FALSE)),0)</f>
        <v>0</v>
      </c>
      <c r="AG69" s="172">
        <f>IFERROR((HLOOKUP($AH69,Target_monthwise!$D$24:$O$40,DTR!AG$4,FALSE)),0)</f>
        <v>0</v>
      </c>
      <c r="AH69" s="253">
        <f t="shared" si="0"/>
        <v>202205</v>
      </c>
    </row>
    <row r="70" spans="3:34" ht="15.75" hidden="1">
      <c r="C70" s="237">
        <v>44713</v>
      </c>
      <c r="D70" s="238">
        <f>IFERROR((HLOOKUP($AH70,Target_monthwise!$D$4:$O$20,DTR!D$4,FALSE))*1000,0)</f>
        <v>0</v>
      </c>
      <c r="E70" s="238">
        <f>IFERROR((HLOOKUP($AH70,Target_monthwise!$D$4:$O$20,DTR!E$4,FALSE))*1000,0)</f>
        <v>0</v>
      </c>
      <c r="F70" s="238">
        <f>IFERROR((HLOOKUP($AH70,Target_monthwise!$D$4:$O$20,DTR!F$4,FALSE))*1000,0)</f>
        <v>0</v>
      </c>
      <c r="G70" s="238">
        <f>IFERROR((HLOOKUP($AH70,Target_monthwise!$D$4:$O$20,DTR!G$4,FALSE))*1000,0)</f>
        <v>0</v>
      </c>
      <c r="H70" s="238">
        <f>IFERROR((HLOOKUP($AH70,Target_monthwise!$D$4:$O$20,DTR!H$4,FALSE))*1000,0)</f>
        <v>0</v>
      </c>
      <c r="I70" s="238">
        <f>IFERROR((HLOOKUP($AH70,Target_monthwise!$D$4:$O$20,DTR!I$4,FALSE))*1000,0)</f>
        <v>0</v>
      </c>
      <c r="J70" s="238">
        <f>IFERROR((HLOOKUP($AH70,Target_monthwise!$D$4:$O$20,DTR!J$4,FALSE))*1000,0)</f>
        <v>0</v>
      </c>
      <c r="K70" s="238">
        <f>IFERROR((HLOOKUP($AH70,Target_monthwise!$D$4:$O$20,DTR!K$4,FALSE))*1000,0)</f>
        <v>0</v>
      </c>
      <c r="L70" s="238">
        <f>IFERROR((HLOOKUP($AH70,Target_monthwise!$D$4:$O$20,DTR!L$4,FALSE))*1000,0)</f>
        <v>0</v>
      </c>
      <c r="M70" s="238">
        <f>IFERROR((HLOOKUP($AH70,Target_monthwise!$D$4:$O$20,DTR!M$4,FALSE))*1000,0)</f>
        <v>0</v>
      </c>
      <c r="N70" s="238">
        <f>IFERROR((HLOOKUP($AH70,Target_monthwise!$D$4:$O$20,DTR!N$4,FALSE))*1000,0)</f>
        <v>0</v>
      </c>
      <c r="O70" s="238">
        <f>IFERROR((HLOOKUP($AH70,Target_monthwise!$D$4:$O$20,DTR!O$4,FALSE))*1000,0)</f>
        <v>0</v>
      </c>
      <c r="P70" s="238">
        <f>IFERROR((HLOOKUP($AH70,Target_monthwise!$D$4:$O$20,DTR!P$4,FALSE))*1000,0)</f>
        <v>0</v>
      </c>
      <c r="Q70" s="141">
        <f>IFERROR((HLOOKUP($AH70,Target_monthwise!$D$4:$O$20,DTR!Q$4,FALSE))*1000,0)</f>
        <v>0</v>
      </c>
      <c r="R70" s="167">
        <f>IFERROR((HLOOKUP($AH70,Target_monthwise!$D$4:$O$20,DTR!R$4,FALSE))*1000,0)</f>
        <v>0</v>
      </c>
      <c r="S70" s="239">
        <f>IFERROR((HLOOKUP($AH70,Target_monthwise!$D$24:$O$40,DTR!S$4,FALSE)),0)</f>
        <v>0</v>
      </c>
      <c r="T70" s="239">
        <f>IFERROR((HLOOKUP($AH70,Target_monthwise!$D$24:$O$40,DTR!T$4,FALSE)),0)</f>
        <v>0</v>
      </c>
      <c r="U70" s="239">
        <f>IFERROR((HLOOKUP($AH70,Target_monthwise!$D$24:$O$40,DTR!U$4,FALSE)),0)</f>
        <v>0</v>
      </c>
      <c r="V70" s="239">
        <f>IFERROR((HLOOKUP($AH70,Target_monthwise!$D$24:$O$40,DTR!V$4,FALSE)),0)</f>
        <v>0</v>
      </c>
      <c r="W70" s="239">
        <f>IFERROR((HLOOKUP($AH70,Target_monthwise!$D$24:$O$40,DTR!W$4,FALSE)),0)</f>
        <v>0</v>
      </c>
      <c r="X70" s="239">
        <f>IFERROR((HLOOKUP($AH70,Target_monthwise!$D$24:$O$40,DTR!X$4,FALSE)),0)</f>
        <v>0</v>
      </c>
      <c r="Y70" s="239">
        <f>IFERROR((HLOOKUP($AH70,Target_monthwise!$D$24:$O$40,DTR!Y$4,FALSE)),0)</f>
        <v>0</v>
      </c>
      <c r="Z70" s="147">
        <f>IFERROR((HLOOKUP($AH70,Target_monthwise!$D$24:$O$40,DTR!Z$4,FALSE)),0)</f>
        <v>0</v>
      </c>
      <c r="AA70" s="147">
        <f>IFERROR((HLOOKUP($AH70,Target_monthwise!$D$24:$O$40,DTR!AA$4,FALSE)),0)</f>
        <v>0</v>
      </c>
      <c r="AB70" s="147">
        <f>IFERROR((HLOOKUP($AH70,Target_monthwise!$D$24:$O$40,DTR!AB$4,FALSE)),0)</f>
        <v>0</v>
      </c>
      <c r="AC70" s="239">
        <f>IFERROR((HLOOKUP($AH70,Target_monthwise!$D$24:$O$40,DTR!AC$4,FALSE)),0)</f>
        <v>0</v>
      </c>
      <c r="AD70" s="239">
        <f>IFERROR((HLOOKUP($AH70,Target_monthwise!$D$24:$O$40,DTR!AD$4,FALSE)),0)</f>
        <v>0</v>
      </c>
      <c r="AE70" s="239">
        <f>IFERROR((HLOOKUP($AH70,Target_monthwise!$D$24:$O$40,DTR!AE$4,FALSE)),0)</f>
        <v>0</v>
      </c>
      <c r="AF70" s="239">
        <f>IFERROR((HLOOKUP($AH70,Target_monthwise!$D$24:$O$40,DTR!AF$4,FALSE)),0)</f>
        <v>0</v>
      </c>
      <c r="AG70" s="172">
        <f>IFERROR((HLOOKUP($AH70,Target_monthwise!$D$24:$O$40,DTR!AG$4,FALSE)),0)</f>
        <v>0</v>
      </c>
      <c r="AH70" s="253">
        <f t="shared" si="0"/>
        <v>202206</v>
      </c>
    </row>
    <row r="71" spans="3:34" ht="15.75" hidden="1">
      <c r="C71" s="235">
        <v>44714</v>
      </c>
      <c r="D71" s="141">
        <f>IFERROR((HLOOKUP($AH71,Target_monthwise!$D$4:$O$20,DTR!D$4,FALSE))*1000,0)</f>
        <v>0</v>
      </c>
      <c r="E71" s="141">
        <f>IFERROR((HLOOKUP($AH71,Target_monthwise!$D$4:$O$20,DTR!E$4,FALSE))*1000,0)</f>
        <v>0</v>
      </c>
      <c r="F71" s="141">
        <f>IFERROR((HLOOKUP($AH71,Target_monthwise!$D$4:$O$20,DTR!F$4,FALSE))*1000,0)</f>
        <v>0</v>
      </c>
      <c r="G71" s="141">
        <f>IFERROR((HLOOKUP($AH71,Target_monthwise!$D$4:$O$20,DTR!G$4,FALSE))*1000,0)</f>
        <v>0</v>
      </c>
      <c r="H71" s="141">
        <f>IFERROR((HLOOKUP($AH71,Target_monthwise!$D$4:$O$20,DTR!H$4,FALSE))*1000,0)</f>
        <v>0</v>
      </c>
      <c r="I71" s="141">
        <f>IFERROR((HLOOKUP($AH71,Target_monthwise!$D$4:$O$20,DTR!I$4,FALSE))*1000,0)</f>
        <v>0</v>
      </c>
      <c r="J71" s="141">
        <f>IFERROR((HLOOKUP($AH71,Target_monthwise!$D$4:$O$20,DTR!J$4,FALSE))*1000,0)</f>
        <v>0</v>
      </c>
      <c r="K71" s="141">
        <f>IFERROR((HLOOKUP($AH71,Target_monthwise!$D$4:$O$20,DTR!K$4,FALSE))*1000,0)</f>
        <v>0</v>
      </c>
      <c r="L71" s="141">
        <f>IFERROR((HLOOKUP($AH71,Target_monthwise!$D$4:$O$20,DTR!L$4,FALSE))*1000,0)</f>
        <v>0</v>
      </c>
      <c r="M71" s="141">
        <f>IFERROR((HLOOKUP($AH71,Target_monthwise!$D$4:$O$20,DTR!M$4,FALSE))*1000,0)</f>
        <v>0</v>
      </c>
      <c r="N71" s="141">
        <f>IFERROR((HLOOKUP($AH71,Target_monthwise!$D$4:$O$20,DTR!N$4,FALSE))*1000,0)</f>
        <v>0</v>
      </c>
      <c r="O71" s="141">
        <f>IFERROR((HLOOKUP($AH71,Target_monthwise!$D$4:$O$20,DTR!O$4,FALSE))*1000,0)</f>
        <v>0</v>
      </c>
      <c r="P71" s="141">
        <f>IFERROR((HLOOKUP($AH71,Target_monthwise!$D$4:$O$20,DTR!P$4,FALSE))*1000,0)</f>
        <v>0</v>
      </c>
      <c r="Q71" s="141">
        <f>IFERROR((HLOOKUP($AH71,Target_monthwise!$D$4:$O$20,DTR!Q$4,FALSE))*1000,0)</f>
        <v>0</v>
      </c>
      <c r="R71" s="167">
        <f>IFERROR((HLOOKUP($AH71,Target_monthwise!$D$4:$O$20,DTR!R$4,FALSE))*1000,0)</f>
        <v>0</v>
      </c>
      <c r="S71" s="147">
        <f>IFERROR((HLOOKUP($AH71,Target_monthwise!$D$24:$O$40,DTR!S$4,FALSE)),0)</f>
        <v>0</v>
      </c>
      <c r="T71" s="147">
        <f>IFERROR((HLOOKUP($AH71,Target_monthwise!$D$24:$O$40,DTR!T$4,FALSE)),0)</f>
        <v>0</v>
      </c>
      <c r="U71" s="147">
        <f>IFERROR((HLOOKUP($AH71,Target_monthwise!$D$24:$O$40,DTR!U$4,FALSE)),0)</f>
        <v>0</v>
      </c>
      <c r="V71" s="147">
        <f>IFERROR((HLOOKUP($AH71,Target_monthwise!$D$24:$O$40,DTR!V$4,FALSE)),0)</f>
        <v>0</v>
      </c>
      <c r="W71" s="147">
        <f>IFERROR((HLOOKUP($AH71,Target_monthwise!$D$24:$O$40,DTR!W$4,FALSE)),0)</f>
        <v>0</v>
      </c>
      <c r="X71" s="147">
        <f>IFERROR((HLOOKUP($AH71,Target_monthwise!$D$24:$O$40,DTR!X$4,FALSE)),0)</f>
        <v>0</v>
      </c>
      <c r="Y71" s="147">
        <f>IFERROR((HLOOKUP($AH71,Target_monthwise!$D$24:$O$40,DTR!Y$4,FALSE)),0)</f>
        <v>0</v>
      </c>
      <c r="Z71" s="147">
        <f>IFERROR((HLOOKUP($AH71,Target_monthwise!$D$24:$O$40,DTR!Z$4,FALSE)),0)</f>
        <v>0</v>
      </c>
      <c r="AA71" s="147">
        <f>IFERROR((HLOOKUP($AH71,Target_monthwise!$D$24:$O$40,DTR!AA$4,FALSE)),0)</f>
        <v>0</v>
      </c>
      <c r="AB71" s="147">
        <f>IFERROR((HLOOKUP($AH71,Target_monthwise!$D$24:$O$40,DTR!AB$4,FALSE)),0)</f>
        <v>0</v>
      </c>
      <c r="AC71" s="147">
        <f>IFERROR((HLOOKUP($AH71,Target_monthwise!$D$24:$O$40,DTR!AC$4,FALSE)),0)</f>
        <v>0</v>
      </c>
      <c r="AD71" s="147">
        <f>IFERROR((HLOOKUP($AH71,Target_monthwise!$D$24:$O$40,DTR!AD$4,FALSE)),0)</f>
        <v>0</v>
      </c>
      <c r="AE71" s="147">
        <f>IFERROR((HLOOKUP($AH71,Target_monthwise!$D$24:$O$40,DTR!AE$4,FALSE)),0)</f>
        <v>0</v>
      </c>
      <c r="AF71" s="147">
        <f>IFERROR((HLOOKUP($AH71,Target_monthwise!$D$24:$O$40,DTR!AF$4,FALSE)),0)</f>
        <v>0</v>
      </c>
      <c r="AG71" s="172">
        <f>IFERROR((HLOOKUP($AH71,Target_monthwise!$D$24:$O$40,DTR!AG$4,FALSE)),0)</f>
        <v>0</v>
      </c>
      <c r="AH71" s="253">
        <f t="shared" si="0"/>
        <v>202206</v>
      </c>
    </row>
    <row r="72" spans="3:34" ht="15.75" hidden="1">
      <c r="C72" s="237">
        <v>44715</v>
      </c>
      <c r="D72" s="238">
        <f>IFERROR((HLOOKUP($AH72,Target_monthwise!$D$4:$O$20,DTR!D$4,FALSE))*1000,0)</f>
        <v>0</v>
      </c>
      <c r="E72" s="238">
        <f>IFERROR((HLOOKUP($AH72,Target_monthwise!$D$4:$O$20,DTR!E$4,FALSE))*1000,0)</f>
        <v>0</v>
      </c>
      <c r="F72" s="238">
        <f>IFERROR((HLOOKUP($AH72,Target_monthwise!$D$4:$O$20,DTR!F$4,FALSE))*1000,0)</f>
        <v>0</v>
      </c>
      <c r="G72" s="238">
        <f>IFERROR((HLOOKUP($AH72,Target_monthwise!$D$4:$O$20,DTR!G$4,FALSE))*1000,0)</f>
        <v>0</v>
      </c>
      <c r="H72" s="238">
        <f>IFERROR((HLOOKUP($AH72,Target_monthwise!$D$4:$O$20,DTR!H$4,FALSE))*1000,0)</f>
        <v>0</v>
      </c>
      <c r="I72" s="238">
        <f>IFERROR((HLOOKUP($AH72,Target_monthwise!$D$4:$O$20,DTR!I$4,FALSE))*1000,0)</f>
        <v>0</v>
      </c>
      <c r="J72" s="238">
        <f>IFERROR((HLOOKUP($AH72,Target_monthwise!$D$4:$O$20,DTR!J$4,FALSE))*1000,0)</f>
        <v>0</v>
      </c>
      <c r="K72" s="238">
        <f>IFERROR((HLOOKUP($AH72,Target_monthwise!$D$4:$O$20,DTR!K$4,FALSE))*1000,0)</f>
        <v>0</v>
      </c>
      <c r="L72" s="238">
        <f>IFERROR((HLOOKUP($AH72,Target_monthwise!$D$4:$O$20,DTR!L$4,FALSE))*1000,0)</f>
        <v>0</v>
      </c>
      <c r="M72" s="238">
        <f>IFERROR((HLOOKUP($AH72,Target_monthwise!$D$4:$O$20,DTR!M$4,FALSE))*1000,0)</f>
        <v>0</v>
      </c>
      <c r="N72" s="238">
        <f>IFERROR((HLOOKUP($AH72,Target_monthwise!$D$4:$O$20,DTR!N$4,FALSE))*1000,0)</f>
        <v>0</v>
      </c>
      <c r="O72" s="238">
        <f>IFERROR((HLOOKUP($AH72,Target_monthwise!$D$4:$O$20,DTR!O$4,FALSE))*1000,0)</f>
        <v>0</v>
      </c>
      <c r="P72" s="238">
        <f>IFERROR((HLOOKUP($AH72,Target_monthwise!$D$4:$O$20,DTR!P$4,FALSE))*1000,0)</f>
        <v>0</v>
      </c>
      <c r="Q72" s="141">
        <f>IFERROR((HLOOKUP($AH72,Target_monthwise!$D$4:$O$20,DTR!Q$4,FALSE))*1000,0)</f>
        <v>0</v>
      </c>
      <c r="R72" s="167">
        <f>IFERROR((HLOOKUP($AH72,Target_monthwise!$D$4:$O$20,DTR!R$4,FALSE))*1000,0)</f>
        <v>0</v>
      </c>
      <c r="S72" s="239">
        <f>IFERROR((HLOOKUP($AH72,Target_monthwise!$D$24:$O$40,DTR!S$4,FALSE)),0)</f>
        <v>0</v>
      </c>
      <c r="T72" s="239">
        <f>IFERROR((HLOOKUP($AH72,Target_monthwise!$D$24:$O$40,DTR!T$4,FALSE)),0)</f>
        <v>0</v>
      </c>
      <c r="U72" s="239">
        <f>IFERROR((HLOOKUP($AH72,Target_monthwise!$D$24:$O$40,DTR!U$4,FALSE)),0)</f>
        <v>0</v>
      </c>
      <c r="V72" s="239">
        <f>IFERROR((HLOOKUP($AH72,Target_monthwise!$D$24:$O$40,DTR!V$4,FALSE)),0)</f>
        <v>0</v>
      </c>
      <c r="W72" s="239">
        <f>IFERROR((HLOOKUP($AH72,Target_monthwise!$D$24:$O$40,DTR!W$4,FALSE)),0)</f>
        <v>0</v>
      </c>
      <c r="X72" s="239">
        <f>IFERROR((HLOOKUP($AH72,Target_monthwise!$D$24:$O$40,DTR!X$4,FALSE)),0)</f>
        <v>0</v>
      </c>
      <c r="Y72" s="239">
        <f>IFERROR((HLOOKUP($AH72,Target_monthwise!$D$24:$O$40,DTR!Y$4,FALSE)),0)</f>
        <v>0</v>
      </c>
      <c r="Z72" s="147">
        <f>IFERROR((HLOOKUP($AH72,Target_monthwise!$D$24:$O$40,DTR!Z$4,FALSE)),0)</f>
        <v>0</v>
      </c>
      <c r="AA72" s="147">
        <f>IFERROR((HLOOKUP($AH72,Target_monthwise!$D$24:$O$40,DTR!AA$4,FALSE)),0)</f>
        <v>0</v>
      </c>
      <c r="AB72" s="147">
        <f>IFERROR((HLOOKUP($AH72,Target_monthwise!$D$24:$O$40,DTR!AB$4,FALSE)),0)</f>
        <v>0</v>
      </c>
      <c r="AC72" s="239">
        <f>IFERROR((HLOOKUP($AH72,Target_monthwise!$D$24:$O$40,DTR!AC$4,FALSE)),0)</f>
        <v>0</v>
      </c>
      <c r="AD72" s="239">
        <f>IFERROR((HLOOKUP($AH72,Target_monthwise!$D$24:$O$40,DTR!AD$4,FALSE)),0)</f>
        <v>0</v>
      </c>
      <c r="AE72" s="239">
        <f>IFERROR((HLOOKUP($AH72,Target_monthwise!$D$24:$O$40,DTR!AE$4,FALSE)),0)</f>
        <v>0</v>
      </c>
      <c r="AF72" s="239">
        <f>IFERROR((HLOOKUP($AH72,Target_monthwise!$D$24:$O$40,DTR!AF$4,FALSE)),0)</f>
        <v>0</v>
      </c>
      <c r="AG72" s="172">
        <f>IFERROR((HLOOKUP($AH72,Target_monthwise!$D$24:$O$40,DTR!AG$4,FALSE)),0)</f>
        <v>0</v>
      </c>
      <c r="AH72" s="253">
        <f t="shared" si="0"/>
        <v>202206</v>
      </c>
    </row>
    <row r="73" spans="3:34" ht="15.75" hidden="1">
      <c r="C73" s="235">
        <v>44716</v>
      </c>
      <c r="D73" s="141">
        <f>IFERROR((HLOOKUP($AH73,Target_monthwise!$D$4:$O$20,DTR!D$4,FALSE))*1000,0)</f>
        <v>0</v>
      </c>
      <c r="E73" s="141">
        <f>IFERROR((HLOOKUP($AH73,Target_monthwise!$D$4:$O$20,DTR!E$4,FALSE))*1000,0)</f>
        <v>0</v>
      </c>
      <c r="F73" s="141">
        <f>IFERROR((HLOOKUP($AH73,Target_monthwise!$D$4:$O$20,DTR!F$4,FALSE))*1000,0)</f>
        <v>0</v>
      </c>
      <c r="G73" s="141">
        <f>IFERROR((HLOOKUP($AH73,Target_monthwise!$D$4:$O$20,DTR!G$4,FALSE))*1000,0)</f>
        <v>0</v>
      </c>
      <c r="H73" s="141">
        <f>IFERROR((HLOOKUP($AH73,Target_monthwise!$D$4:$O$20,DTR!H$4,FALSE))*1000,0)</f>
        <v>0</v>
      </c>
      <c r="I73" s="141">
        <f>IFERROR((HLOOKUP($AH73,Target_monthwise!$D$4:$O$20,DTR!I$4,FALSE))*1000,0)</f>
        <v>0</v>
      </c>
      <c r="J73" s="141">
        <f>IFERROR((HLOOKUP($AH73,Target_monthwise!$D$4:$O$20,DTR!J$4,FALSE))*1000,0)</f>
        <v>0</v>
      </c>
      <c r="K73" s="141">
        <f>IFERROR((HLOOKUP($AH73,Target_monthwise!$D$4:$O$20,DTR!K$4,FALSE))*1000,0)</f>
        <v>0</v>
      </c>
      <c r="L73" s="141">
        <f>IFERROR((HLOOKUP($AH73,Target_monthwise!$D$4:$O$20,DTR!L$4,FALSE))*1000,0)</f>
        <v>0</v>
      </c>
      <c r="M73" s="141">
        <f>IFERROR((HLOOKUP($AH73,Target_monthwise!$D$4:$O$20,DTR!M$4,FALSE))*1000,0)</f>
        <v>0</v>
      </c>
      <c r="N73" s="141">
        <f>IFERROR((HLOOKUP($AH73,Target_monthwise!$D$4:$O$20,DTR!N$4,FALSE))*1000,0)</f>
        <v>0</v>
      </c>
      <c r="O73" s="141">
        <f>IFERROR((HLOOKUP($AH73,Target_monthwise!$D$4:$O$20,DTR!O$4,FALSE))*1000,0)</f>
        <v>0</v>
      </c>
      <c r="P73" s="141">
        <f>IFERROR((HLOOKUP($AH73,Target_monthwise!$D$4:$O$20,DTR!P$4,FALSE))*1000,0)</f>
        <v>0</v>
      </c>
      <c r="Q73" s="141">
        <f>IFERROR((HLOOKUP($AH73,Target_monthwise!$D$4:$O$20,DTR!Q$4,FALSE))*1000,0)</f>
        <v>0</v>
      </c>
      <c r="R73" s="167">
        <f>IFERROR((HLOOKUP($AH73,Target_monthwise!$D$4:$O$20,DTR!R$4,FALSE))*1000,0)</f>
        <v>0</v>
      </c>
      <c r="S73" s="147">
        <f>IFERROR((HLOOKUP($AH73,Target_monthwise!$D$24:$O$40,DTR!S$4,FALSE)),0)</f>
        <v>0</v>
      </c>
      <c r="T73" s="147">
        <f>IFERROR((HLOOKUP($AH73,Target_monthwise!$D$24:$O$40,DTR!T$4,FALSE)),0)</f>
        <v>0</v>
      </c>
      <c r="U73" s="147">
        <f>IFERROR((HLOOKUP($AH73,Target_monthwise!$D$24:$O$40,DTR!U$4,FALSE)),0)</f>
        <v>0</v>
      </c>
      <c r="V73" s="147">
        <f>IFERROR((HLOOKUP($AH73,Target_monthwise!$D$24:$O$40,DTR!V$4,FALSE)),0)</f>
        <v>0</v>
      </c>
      <c r="W73" s="147">
        <f>IFERROR((HLOOKUP($AH73,Target_monthwise!$D$24:$O$40,DTR!W$4,FALSE)),0)</f>
        <v>0</v>
      </c>
      <c r="X73" s="147">
        <f>IFERROR((HLOOKUP($AH73,Target_monthwise!$D$24:$O$40,DTR!X$4,FALSE)),0)</f>
        <v>0</v>
      </c>
      <c r="Y73" s="147">
        <f>IFERROR((HLOOKUP($AH73,Target_monthwise!$D$24:$O$40,DTR!Y$4,FALSE)),0)</f>
        <v>0</v>
      </c>
      <c r="Z73" s="147">
        <f>IFERROR((HLOOKUP($AH73,Target_monthwise!$D$24:$O$40,DTR!Z$4,FALSE)),0)</f>
        <v>0</v>
      </c>
      <c r="AA73" s="147">
        <f>IFERROR((HLOOKUP($AH73,Target_monthwise!$D$24:$O$40,DTR!AA$4,FALSE)),0)</f>
        <v>0</v>
      </c>
      <c r="AB73" s="147">
        <f>IFERROR((HLOOKUP($AH73,Target_monthwise!$D$24:$O$40,DTR!AB$4,FALSE)),0)</f>
        <v>0</v>
      </c>
      <c r="AC73" s="147">
        <f>IFERROR((HLOOKUP($AH73,Target_monthwise!$D$24:$O$40,DTR!AC$4,FALSE)),0)</f>
        <v>0</v>
      </c>
      <c r="AD73" s="147">
        <f>IFERROR((HLOOKUP($AH73,Target_monthwise!$D$24:$O$40,DTR!AD$4,FALSE)),0)</f>
        <v>0</v>
      </c>
      <c r="AE73" s="147">
        <f>IFERROR((HLOOKUP($AH73,Target_monthwise!$D$24:$O$40,DTR!AE$4,FALSE)),0)</f>
        <v>0</v>
      </c>
      <c r="AF73" s="147">
        <f>IFERROR((HLOOKUP($AH73,Target_monthwise!$D$24:$O$40,DTR!AF$4,FALSE)),0)</f>
        <v>0</v>
      </c>
      <c r="AG73" s="172">
        <f>IFERROR((HLOOKUP($AH73,Target_monthwise!$D$24:$O$40,DTR!AG$4,FALSE)),0)</f>
        <v>0</v>
      </c>
      <c r="AH73" s="253">
        <f t="shared" si="0"/>
        <v>202206</v>
      </c>
    </row>
    <row r="74" spans="3:34" ht="15.75" hidden="1">
      <c r="C74" s="237">
        <v>44717</v>
      </c>
      <c r="D74" s="238">
        <f>IFERROR((HLOOKUP($AH74,Target_monthwise!$D$4:$O$20,DTR!D$4,FALSE))*1000,0)</f>
        <v>0</v>
      </c>
      <c r="E74" s="238">
        <f>IFERROR((HLOOKUP($AH74,Target_monthwise!$D$4:$O$20,DTR!E$4,FALSE))*1000,0)</f>
        <v>0</v>
      </c>
      <c r="F74" s="238">
        <f>IFERROR((HLOOKUP($AH74,Target_monthwise!$D$4:$O$20,DTR!F$4,FALSE))*1000,0)</f>
        <v>0</v>
      </c>
      <c r="G74" s="238">
        <f>IFERROR((HLOOKUP($AH74,Target_monthwise!$D$4:$O$20,DTR!G$4,FALSE))*1000,0)</f>
        <v>0</v>
      </c>
      <c r="H74" s="238">
        <f>IFERROR((HLOOKUP($AH74,Target_monthwise!$D$4:$O$20,DTR!H$4,FALSE))*1000,0)</f>
        <v>0</v>
      </c>
      <c r="I74" s="238">
        <f>IFERROR((HLOOKUP($AH74,Target_monthwise!$D$4:$O$20,DTR!I$4,FALSE))*1000,0)</f>
        <v>0</v>
      </c>
      <c r="J74" s="238">
        <f>IFERROR((HLOOKUP($AH74,Target_monthwise!$D$4:$O$20,DTR!J$4,FALSE))*1000,0)</f>
        <v>0</v>
      </c>
      <c r="K74" s="238">
        <f>IFERROR((HLOOKUP($AH74,Target_monthwise!$D$4:$O$20,DTR!K$4,FALSE))*1000,0)</f>
        <v>0</v>
      </c>
      <c r="L74" s="238">
        <f>IFERROR((HLOOKUP($AH74,Target_monthwise!$D$4:$O$20,DTR!L$4,FALSE))*1000,0)</f>
        <v>0</v>
      </c>
      <c r="M74" s="238">
        <f>IFERROR((HLOOKUP($AH74,Target_monthwise!$D$4:$O$20,DTR!M$4,FALSE))*1000,0)</f>
        <v>0</v>
      </c>
      <c r="N74" s="238">
        <f>IFERROR((HLOOKUP($AH74,Target_monthwise!$D$4:$O$20,DTR!N$4,FALSE))*1000,0)</f>
        <v>0</v>
      </c>
      <c r="O74" s="238">
        <f>IFERROR((HLOOKUP($AH74,Target_monthwise!$D$4:$O$20,DTR!O$4,FALSE))*1000,0)</f>
        <v>0</v>
      </c>
      <c r="P74" s="238">
        <f>IFERROR((HLOOKUP($AH74,Target_monthwise!$D$4:$O$20,DTR!P$4,FALSE))*1000,0)</f>
        <v>0</v>
      </c>
      <c r="Q74" s="141">
        <f>IFERROR((HLOOKUP($AH74,Target_monthwise!$D$4:$O$20,DTR!Q$4,FALSE))*1000,0)</f>
        <v>0</v>
      </c>
      <c r="R74" s="167">
        <f>IFERROR((HLOOKUP($AH74,Target_monthwise!$D$4:$O$20,DTR!R$4,FALSE))*1000,0)</f>
        <v>0</v>
      </c>
      <c r="S74" s="239">
        <f>IFERROR((HLOOKUP($AH74,Target_monthwise!$D$24:$O$40,DTR!S$4,FALSE)),0)</f>
        <v>0</v>
      </c>
      <c r="T74" s="239">
        <f>IFERROR((HLOOKUP($AH74,Target_monthwise!$D$24:$O$40,DTR!T$4,FALSE)),0)</f>
        <v>0</v>
      </c>
      <c r="U74" s="239">
        <f>IFERROR((HLOOKUP($AH74,Target_monthwise!$D$24:$O$40,DTR!U$4,FALSE)),0)</f>
        <v>0</v>
      </c>
      <c r="V74" s="239">
        <f>IFERROR((HLOOKUP($AH74,Target_monthwise!$D$24:$O$40,DTR!V$4,FALSE)),0)</f>
        <v>0</v>
      </c>
      <c r="W74" s="239">
        <f>IFERROR((HLOOKUP($AH74,Target_monthwise!$D$24:$O$40,DTR!W$4,FALSE)),0)</f>
        <v>0</v>
      </c>
      <c r="X74" s="239">
        <f>IFERROR((HLOOKUP($AH74,Target_monthwise!$D$24:$O$40,DTR!X$4,FALSE)),0)</f>
        <v>0</v>
      </c>
      <c r="Y74" s="239">
        <f>IFERROR((HLOOKUP($AH74,Target_monthwise!$D$24:$O$40,DTR!Y$4,FALSE)),0)</f>
        <v>0</v>
      </c>
      <c r="Z74" s="147">
        <f>IFERROR((HLOOKUP($AH74,Target_monthwise!$D$24:$O$40,DTR!Z$4,FALSE)),0)</f>
        <v>0</v>
      </c>
      <c r="AA74" s="147">
        <f>IFERROR((HLOOKUP($AH74,Target_monthwise!$D$24:$O$40,DTR!AA$4,FALSE)),0)</f>
        <v>0</v>
      </c>
      <c r="AB74" s="147">
        <f>IFERROR((HLOOKUP($AH74,Target_monthwise!$D$24:$O$40,DTR!AB$4,FALSE)),0)</f>
        <v>0</v>
      </c>
      <c r="AC74" s="239">
        <f>IFERROR((HLOOKUP($AH74,Target_monthwise!$D$24:$O$40,DTR!AC$4,FALSE)),0)</f>
        <v>0</v>
      </c>
      <c r="AD74" s="239">
        <f>IFERROR((HLOOKUP($AH74,Target_monthwise!$D$24:$O$40,DTR!AD$4,FALSE)),0)</f>
        <v>0</v>
      </c>
      <c r="AE74" s="239">
        <f>IFERROR((HLOOKUP($AH74,Target_monthwise!$D$24:$O$40,DTR!AE$4,FALSE)),0)</f>
        <v>0</v>
      </c>
      <c r="AF74" s="239">
        <f>IFERROR((HLOOKUP($AH74,Target_monthwise!$D$24:$O$40,DTR!AF$4,FALSE)),0)</f>
        <v>0</v>
      </c>
      <c r="AG74" s="172">
        <f>IFERROR((HLOOKUP($AH74,Target_monthwise!$D$24:$O$40,DTR!AG$4,FALSE)),0)</f>
        <v>0</v>
      </c>
      <c r="AH74" s="253">
        <f t="shared" ref="AH74:AH137" si="1">YEAR(C74)*100+MONTH(C74)</f>
        <v>202206</v>
      </c>
    </row>
    <row r="75" spans="3:34" ht="15.75" hidden="1">
      <c r="C75" s="235">
        <v>44718</v>
      </c>
      <c r="D75" s="141">
        <f>IFERROR((HLOOKUP($AH75,Target_monthwise!$D$4:$O$20,DTR!D$4,FALSE))*1000,0)</f>
        <v>0</v>
      </c>
      <c r="E75" s="141">
        <f>IFERROR((HLOOKUP($AH75,Target_monthwise!$D$4:$O$20,DTR!E$4,FALSE))*1000,0)</f>
        <v>0</v>
      </c>
      <c r="F75" s="141">
        <f>IFERROR((HLOOKUP($AH75,Target_monthwise!$D$4:$O$20,DTR!F$4,FALSE))*1000,0)</f>
        <v>0</v>
      </c>
      <c r="G75" s="141">
        <f>IFERROR((HLOOKUP($AH75,Target_monthwise!$D$4:$O$20,DTR!G$4,FALSE))*1000,0)</f>
        <v>0</v>
      </c>
      <c r="H75" s="141">
        <f>IFERROR((HLOOKUP($AH75,Target_monthwise!$D$4:$O$20,DTR!H$4,FALSE))*1000,0)</f>
        <v>0</v>
      </c>
      <c r="I75" s="141">
        <f>IFERROR((HLOOKUP($AH75,Target_monthwise!$D$4:$O$20,DTR!I$4,FALSE))*1000,0)</f>
        <v>0</v>
      </c>
      <c r="J75" s="141">
        <f>IFERROR((HLOOKUP($AH75,Target_monthwise!$D$4:$O$20,DTR!J$4,FALSE))*1000,0)</f>
        <v>0</v>
      </c>
      <c r="K75" s="141">
        <f>IFERROR((HLOOKUP($AH75,Target_monthwise!$D$4:$O$20,DTR!K$4,FALSE))*1000,0)</f>
        <v>0</v>
      </c>
      <c r="L75" s="141">
        <f>IFERROR((HLOOKUP($AH75,Target_monthwise!$D$4:$O$20,DTR!L$4,FALSE))*1000,0)</f>
        <v>0</v>
      </c>
      <c r="M75" s="141">
        <f>IFERROR((HLOOKUP($AH75,Target_monthwise!$D$4:$O$20,DTR!M$4,FALSE))*1000,0)</f>
        <v>0</v>
      </c>
      <c r="N75" s="141">
        <f>IFERROR((HLOOKUP($AH75,Target_monthwise!$D$4:$O$20,DTR!N$4,FALSE))*1000,0)</f>
        <v>0</v>
      </c>
      <c r="O75" s="141">
        <f>IFERROR((HLOOKUP($AH75,Target_monthwise!$D$4:$O$20,DTR!O$4,FALSE))*1000,0)</f>
        <v>0</v>
      </c>
      <c r="P75" s="141">
        <f>IFERROR((HLOOKUP($AH75,Target_monthwise!$D$4:$O$20,DTR!P$4,FALSE))*1000,0)</f>
        <v>0</v>
      </c>
      <c r="Q75" s="141">
        <f>IFERROR((HLOOKUP($AH75,Target_monthwise!$D$4:$O$20,DTR!Q$4,FALSE))*1000,0)</f>
        <v>0</v>
      </c>
      <c r="R75" s="167">
        <f>IFERROR((HLOOKUP($AH75,Target_monthwise!$D$4:$O$20,DTR!R$4,FALSE))*1000,0)</f>
        <v>0</v>
      </c>
      <c r="S75" s="147">
        <f>IFERROR((HLOOKUP($AH75,Target_monthwise!$D$24:$O$40,DTR!S$4,FALSE)),0)</f>
        <v>0</v>
      </c>
      <c r="T75" s="147">
        <f>IFERROR((HLOOKUP($AH75,Target_monthwise!$D$24:$O$40,DTR!T$4,FALSE)),0)</f>
        <v>0</v>
      </c>
      <c r="U75" s="147">
        <f>IFERROR((HLOOKUP($AH75,Target_monthwise!$D$24:$O$40,DTR!U$4,FALSE)),0)</f>
        <v>0</v>
      </c>
      <c r="V75" s="147">
        <f>IFERROR((HLOOKUP($AH75,Target_monthwise!$D$24:$O$40,DTR!V$4,FALSE)),0)</f>
        <v>0</v>
      </c>
      <c r="W75" s="147">
        <f>IFERROR((HLOOKUP($AH75,Target_monthwise!$D$24:$O$40,DTR!W$4,FALSE)),0)</f>
        <v>0</v>
      </c>
      <c r="X75" s="147">
        <f>IFERROR((HLOOKUP($AH75,Target_monthwise!$D$24:$O$40,DTR!X$4,FALSE)),0)</f>
        <v>0</v>
      </c>
      <c r="Y75" s="147">
        <f>IFERROR((HLOOKUP($AH75,Target_monthwise!$D$24:$O$40,DTR!Y$4,FALSE)),0)</f>
        <v>0</v>
      </c>
      <c r="Z75" s="147">
        <f>IFERROR((HLOOKUP($AH75,Target_monthwise!$D$24:$O$40,DTR!Z$4,FALSE)),0)</f>
        <v>0</v>
      </c>
      <c r="AA75" s="147">
        <f>IFERROR((HLOOKUP($AH75,Target_monthwise!$D$24:$O$40,DTR!AA$4,FALSE)),0)</f>
        <v>0</v>
      </c>
      <c r="AB75" s="147">
        <f>IFERROR((HLOOKUP($AH75,Target_monthwise!$D$24:$O$40,DTR!AB$4,FALSE)),0)</f>
        <v>0</v>
      </c>
      <c r="AC75" s="147">
        <f>IFERROR((HLOOKUP($AH75,Target_monthwise!$D$24:$O$40,DTR!AC$4,FALSE)),0)</f>
        <v>0</v>
      </c>
      <c r="AD75" s="147">
        <f>IFERROR((HLOOKUP($AH75,Target_monthwise!$D$24:$O$40,DTR!AD$4,FALSE)),0)</f>
        <v>0</v>
      </c>
      <c r="AE75" s="147">
        <f>IFERROR((HLOOKUP($AH75,Target_monthwise!$D$24:$O$40,DTR!AE$4,FALSE)),0)</f>
        <v>0</v>
      </c>
      <c r="AF75" s="147">
        <f>IFERROR((HLOOKUP($AH75,Target_monthwise!$D$24:$O$40,DTR!AF$4,FALSE)),0)</f>
        <v>0</v>
      </c>
      <c r="AG75" s="172">
        <f>IFERROR((HLOOKUP($AH75,Target_monthwise!$D$24:$O$40,DTR!AG$4,FALSE)),0)</f>
        <v>0</v>
      </c>
      <c r="AH75" s="253">
        <f t="shared" si="1"/>
        <v>202206</v>
      </c>
    </row>
    <row r="76" spans="3:34" ht="15.75" hidden="1">
      <c r="C76" s="237">
        <v>44719</v>
      </c>
      <c r="D76" s="238">
        <f>IFERROR((HLOOKUP($AH76,Target_monthwise!$D$4:$O$20,DTR!D$4,FALSE))*1000,0)</f>
        <v>0</v>
      </c>
      <c r="E76" s="238">
        <f>IFERROR((HLOOKUP($AH76,Target_monthwise!$D$4:$O$20,DTR!E$4,FALSE))*1000,0)</f>
        <v>0</v>
      </c>
      <c r="F76" s="238">
        <f>IFERROR((HLOOKUP($AH76,Target_monthwise!$D$4:$O$20,DTR!F$4,FALSE))*1000,0)</f>
        <v>0</v>
      </c>
      <c r="G76" s="238">
        <f>IFERROR((HLOOKUP($AH76,Target_monthwise!$D$4:$O$20,DTR!G$4,FALSE))*1000,0)</f>
        <v>0</v>
      </c>
      <c r="H76" s="238">
        <f>IFERROR((HLOOKUP($AH76,Target_monthwise!$D$4:$O$20,DTR!H$4,FALSE))*1000,0)</f>
        <v>0</v>
      </c>
      <c r="I76" s="238">
        <f>IFERROR((HLOOKUP($AH76,Target_monthwise!$D$4:$O$20,DTR!I$4,FALSE))*1000,0)</f>
        <v>0</v>
      </c>
      <c r="J76" s="238">
        <f>IFERROR((HLOOKUP($AH76,Target_monthwise!$D$4:$O$20,DTR!J$4,FALSE))*1000,0)</f>
        <v>0</v>
      </c>
      <c r="K76" s="238">
        <f>IFERROR((HLOOKUP($AH76,Target_monthwise!$D$4:$O$20,DTR!K$4,FALSE))*1000,0)</f>
        <v>0</v>
      </c>
      <c r="L76" s="238">
        <f>IFERROR((HLOOKUP($AH76,Target_monthwise!$D$4:$O$20,DTR!L$4,FALSE))*1000,0)</f>
        <v>0</v>
      </c>
      <c r="M76" s="238">
        <f>IFERROR((HLOOKUP($AH76,Target_monthwise!$D$4:$O$20,DTR!M$4,FALSE))*1000,0)</f>
        <v>0</v>
      </c>
      <c r="N76" s="238">
        <f>IFERROR((HLOOKUP($AH76,Target_monthwise!$D$4:$O$20,DTR!N$4,FALSE))*1000,0)</f>
        <v>0</v>
      </c>
      <c r="O76" s="238">
        <f>IFERROR((HLOOKUP($AH76,Target_monthwise!$D$4:$O$20,DTR!O$4,FALSE))*1000,0)</f>
        <v>0</v>
      </c>
      <c r="P76" s="238">
        <f>IFERROR((HLOOKUP($AH76,Target_monthwise!$D$4:$O$20,DTR!P$4,FALSE))*1000,0)</f>
        <v>0</v>
      </c>
      <c r="Q76" s="141">
        <f>IFERROR((HLOOKUP($AH76,Target_monthwise!$D$4:$O$20,DTR!Q$4,FALSE))*1000,0)</f>
        <v>0</v>
      </c>
      <c r="R76" s="167">
        <f>IFERROR((HLOOKUP($AH76,Target_monthwise!$D$4:$O$20,DTR!R$4,FALSE))*1000,0)</f>
        <v>0</v>
      </c>
      <c r="S76" s="239">
        <f>IFERROR((HLOOKUP($AH76,Target_monthwise!$D$24:$O$40,DTR!S$4,FALSE)),0)</f>
        <v>0</v>
      </c>
      <c r="T76" s="239">
        <f>IFERROR((HLOOKUP($AH76,Target_monthwise!$D$24:$O$40,DTR!T$4,FALSE)),0)</f>
        <v>0</v>
      </c>
      <c r="U76" s="239">
        <f>IFERROR((HLOOKUP($AH76,Target_monthwise!$D$24:$O$40,DTR!U$4,FALSE)),0)</f>
        <v>0</v>
      </c>
      <c r="V76" s="239">
        <f>IFERROR((HLOOKUP($AH76,Target_monthwise!$D$24:$O$40,DTR!V$4,FALSE)),0)</f>
        <v>0</v>
      </c>
      <c r="W76" s="239">
        <f>IFERROR((HLOOKUP($AH76,Target_monthwise!$D$24:$O$40,DTR!W$4,FALSE)),0)</f>
        <v>0</v>
      </c>
      <c r="X76" s="239">
        <f>IFERROR((HLOOKUP($AH76,Target_monthwise!$D$24:$O$40,DTR!X$4,FALSE)),0)</f>
        <v>0</v>
      </c>
      <c r="Y76" s="239">
        <f>IFERROR((HLOOKUP($AH76,Target_monthwise!$D$24:$O$40,DTR!Y$4,FALSE)),0)</f>
        <v>0</v>
      </c>
      <c r="Z76" s="147">
        <f>IFERROR((HLOOKUP($AH76,Target_monthwise!$D$24:$O$40,DTR!Z$4,FALSE)),0)</f>
        <v>0</v>
      </c>
      <c r="AA76" s="147">
        <f>IFERROR((HLOOKUP($AH76,Target_monthwise!$D$24:$O$40,DTR!AA$4,FALSE)),0)</f>
        <v>0</v>
      </c>
      <c r="AB76" s="147">
        <f>IFERROR((HLOOKUP($AH76,Target_monthwise!$D$24:$O$40,DTR!AB$4,FALSE)),0)</f>
        <v>0</v>
      </c>
      <c r="AC76" s="239">
        <f>IFERROR((HLOOKUP($AH76,Target_monthwise!$D$24:$O$40,DTR!AC$4,FALSE)),0)</f>
        <v>0</v>
      </c>
      <c r="AD76" s="239">
        <f>IFERROR((HLOOKUP($AH76,Target_monthwise!$D$24:$O$40,DTR!AD$4,FALSE)),0)</f>
        <v>0</v>
      </c>
      <c r="AE76" s="239">
        <f>IFERROR((HLOOKUP($AH76,Target_monthwise!$D$24:$O$40,DTR!AE$4,FALSE)),0)</f>
        <v>0</v>
      </c>
      <c r="AF76" s="239">
        <f>IFERROR((HLOOKUP($AH76,Target_monthwise!$D$24:$O$40,DTR!AF$4,FALSE)),0)</f>
        <v>0</v>
      </c>
      <c r="AG76" s="172">
        <f>IFERROR((HLOOKUP($AH76,Target_monthwise!$D$24:$O$40,DTR!AG$4,FALSE)),0)</f>
        <v>0</v>
      </c>
      <c r="AH76" s="253">
        <f t="shared" si="1"/>
        <v>202206</v>
      </c>
    </row>
    <row r="77" spans="3:34" ht="15.75" hidden="1">
      <c r="C77" s="235">
        <v>44720</v>
      </c>
      <c r="D77" s="141">
        <f>IFERROR((HLOOKUP($AH77,Target_monthwise!$D$4:$O$20,DTR!D$4,FALSE))*1000,0)</f>
        <v>0</v>
      </c>
      <c r="E77" s="141">
        <f>IFERROR((HLOOKUP($AH77,Target_monthwise!$D$4:$O$20,DTR!E$4,FALSE))*1000,0)</f>
        <v>0</v>
      </c>
      <c r="F77" s="141">
        <f>IFERROR((HLOOKUP($AH77,Target_monthwise!$D$4:$O$20,DTR!F$4,FALSE))*1000,0)</f>
        <v>0</v>
      </c>
      <c r="G77" s="141">
        <f>IFERROR((HLOOKUP($AH77,Target_monthwise!$D$4:$O$20,DTR!G$4,FALSE))*1000,0)</f>
        <v>0</v>
      </c>
      <c r="H77" s="141">
        <f>IFERROR((HLOOKUP($AH77,Target_monthwise!$D$4:$O$20,DTR!H$4,FALSE))*1000,0)</f>
        <v>0</v>
      </c>
      <c r="I77" s="141">
        <f>IFERROR((HLOOKUP($AH77,Target_monthwise!$D$4:$O$20,DTR!I$4,FALSE))*1000,0)</f>
        <v>0</v>
      </c>
      <c r="J77" s="141">
        <f>IFERROR((HLOOKUP($AH77,Target_monthwise!$D$4:$O$20,DTR!J$4,FALSE))*1000,0)</f>
        <v>0</v>
      </c>
      <c r="K77" s="141">
        <f>IFERROR((HLOOKUP($AH77,Target_monthwise!$D$4:$O$20,DTR!K$4,FALSE))*1000,0)</f>
        <v>0</v>
      </c>
      <c r="L77" s="141">
        <f>IFERROR((HLOOKUP($AH77,Target_monthwise!$D$4:$O$20,DTR!L$4,FALSE))*1000,0)</f>
        <v>0</v>
      </c>
      <c r="M77" s="141">
        <f>IFERROR((HLOOKUP($AH77,Target_monthwise!$D$4:$O$20,DTR!M$4,FALSE))*1000,0)</f>
        <v>0</v>
      </c>
      <c r="N77" s="141">
        <f>IFERROR((HLOOKUP($AH77,Target_monthwise!$D$4:$O$20,DTR!N$4,FALSE))*1000,0)</f>
        <v>0</v>
      </c>
      <c r="O77" s="141">
        <f>IFERROR((HLOOKUP($AH77,Target_monthwise!$D$4:$O$20,DTR!O$4,FALSE))*1000,0)</f>
        <v>0</v>
      </c>
      <c r="P77" s="141">
        <f>IFERROR((HLOOKUP($AH77,Target_monthwise!$D$4:$O$20,DTR!P$4,FALSE))*1000,0)</f>
        <v>0</v>
      </c>
      <c r="Q77" s="141">
        <f>IFERROR((HLOOKUP($AH77,Target_monthwise!$D$4:$O$20,DTR!Q$4,FALSE))*1000,0)</f>
        <v>0</v>
      </c>
      <c r="R77" s="167">
        <f>IFERROR((HLOOKUP($AH77,Target_monthwise!$D$4:$O$20,DTR!R$4,FALSE))*1000,0)</f>
        <v>0</v>
      </c>
      <c r="S77" s="147">
        <f>IFERROR((HLOOKUP($AH77,Target_monthwise!$D$24:$O$40,DTR!S$4,FALSE)),0)</f>
        <v>0</v>
      </c>
      <c r="T77" s="147">
        <f>IFERROR((HLOOKUP($AH77,Target_monthwise!$D$24:$O$40,DTR!T$4,FALSE)),0)</f>
        <v>0</v>
      </c>
      <c r="U77" s="147">
        <f>IFERROR((HLOOKUP($AH77,Target_monthwise!$D$24:$O$40,DTR!U$4,FALSE)),0)</f>
        <v>0</v>
      </c>
      <c r="V77" s="147">
        <f>IFERROR((HLOOKUP($AH77,Target_monthwise!$D$24:$O$40,DTR!V$4,FALSE)),0)</f>
        <v>0</v>
      </c>
      <c r="W77" s="147">
        <f>IFERROR((HLOOKUP($AH77,Target_monthwise!$D$24:$O$40,DTR!W$4,FALSE)),0)</f>
        <v>0</v>
      </c>
      <c r="X77" s="147">
        <f>IFERROR((HLOOKUP($AH77,Target_monthwise!$D$24:$O$40,DTR!X$4,FALSE)),0)</f>
        <v>0</v>
      </c>
      <c r="Y77" s="147">
        <f>IFERROR((HLOOKUP($AH77,Target_monthwise!$D$24:$O$40,DTR!Y$4,FALSE)),0)</f>
        <v>0</v>
      </c>
      <c r="Z77" s="147">
        <f>IFERROR((HLOOKUP($AH77,Target_monthwise!$D$24:$O$40,DTR!Z$4,FALSE)),0)</f>
        <v>0</v>
      </c>
      <c r="AA77" s="147">
        <f>IFERROR((HLOOKUP($AH77,Target_monthwise!$D$24:$O$40,DTR!AA$4,FALSE)),0)</f>
        <v>0</v>
      </c>
      <c r="AB77" s="147">
        <f>IFERROR((HLOOKUP($AH77,Target_monthwise!$D$24:$O$40,DTR!AB$4,FALSE)),0)</f>
        <v>0</v>
      </c>
      <c r="AC77" s="147">
        <f>IFERROR((HLOOKUP($AH77,Target_monthwise!$D$24:$O$40,DTR!AC$4,FALSE)),0)</f>
        <v>0</v>
      </c>
      <c r="AD77" s="147">
        <f>IFERROR((HLOOKUP($AH77,Target_monthwise!$D$24:$O$40,DTR!AD$4,FALSE)),0)</f>
        <v>0</v>
      </c>
      <c r="AE77" s="147">
        <f>IFERROR((HLOOKUP($AH77,Target_monthwise!$D$24:$O$40,DTR!AE$4,FALSE)),0)</f>
        <v>0</v>
      </c>
      <c r="AF77" s="147">
        <f>IFERROR((HLOOKUP($AH77,Target_monthwise!$D$24:$O$40,DTR!AF$4,FALSE)),0)</f>
        <v>0</v>
      </c>
      <c r="AG77" s="172">
        <f>IFERROR((HLOOKUP($AH77,Target_monthwise!$D$24:$O$40,DTR!AG$4,FALSE)),0)</f>
        <v>0</v>
      </c>
      <c r="AH77" s="253">
        <f t="shared" si="1"/>
        <v>202206</v>
      </c>
    </row>
    <row r="78" spans="3:34" ht="15.75" hidden="1">
      <c r="C78" s="237">
        <v>44721</v>
      </c>
      <c r="D78" s="238">
        <f>IFERROR((HLOOKUP($AH78,Target_monthwise!$D$4:$O$20,DTR!D$4,FALSE))*1000,0)</f>
        <v>0</v>
      </c>
      <c r="E78" s="238">
        <f>IFERROR((HLOOKUP($AH78,Target_monthwise!$D$4:$O$20,DTR!E$4,FALSE))*1000,0)</f>
        <v>0</v>
      </c>
      <c r="F78" s="238">
        <f>IFERROR((HLOOKUP($AH78,Target_monthwise!$D$4:$O$20,DTR!F$4,FALSE))*1000,0)</f>
        <v>0</v>
      </c>
      <c r="G78" s="238">
        <f>IFERROR((HLOOKUP($AH78,Target_monthwise!$D$4:$O$20,DTR!G$4,FALSE))*1000,0)</f>
        <v>0</v>
      </c>
      <c r="H78" s="238">
        <f>IFERROR((HLOOKUP($AH78,Target_monthwise!$D$4:$O$20,DTR!H$4,FALSE))*1000,0)</f>
        <v>0</v>
      </c>
      <c r="I78" s="238">
        <f>IFERROR((HLOOKUP($AH78,Target_monthwise!$D$4:$O$20,DTR!I$4,FALSE))*1000,0)</f>
        <v>0</v>
      </c>
      <c r="J78" s="238">
        <f>IFERROR((HLOOKUP($AH78,Target_monthwise!$D$4:$O$20,DTR!J$4,FALSE))*1000,0)</f>
        <v>0</v>
      </c>
      <c r="K78" s="238">
        <f>IFERROR((HLOOKUP($AH78,Target_monthwise!$D$4:$O$20,DTR!K$4,FALSE))*1000,0)</f>
        <v>0</v>
      </c>
      <c r="L78" s="238">
        <f>IFERROR((HLOOKUP($AH78,Target_monthwise!$D$4:$O$20,DTR!L$4,FALSE))*1000,0)</f>
        <v>0</v>
      </c>
      <c r="M78" s="238">
        <f>IFERROR((HLOOKUP($AH78,Target_monthwise!$D$4:$O$20,DTR!M$4,FALSE))*1000,0)</f>
        <v>0</v>
      </c>
      <c r="N78" s="238">
        <f>IFERROR((HLOOKUP($AH78,Target_monthwise!$D$4:$O$20,DTR!N$4,FALSE))*1000,0)</f>
        <v>0</v>
      </c>
      <c r="O78" s="238">
        <f>IFERROR((HLOOKUP($AH78,Target_monthwise!$D$4:$O$20,DTR!O$4,FALSE))*1000,0)</f>
        <v>0</v>
      </c>
      <c r="P78" s="238">
        <f>IFERROR((HLOOKUP($AH78,Target_monthwise!$D$4:$O$20,DTR!P$4,FALSE))*1000,0)</f>
        <v>0</v>
      </c>
      <c r="Q78" s="141">
        <f>IFERROR((HLOOKUP($AH78,Target_monthwise!$D$4:$O$20,DTR!Q$4,FALSE))*1000,0)</f>
        <v>0</v>
      </c>
      <c r="R78" s="167">
        <f>IFERROR((HLOOKUP($AH78,Target_monthwise!$D$4:$O$20,DTR!R$4,FALSE))*1000,0)</f>
        <v>0</v>
      </c>
      <c r="S78" s="239">
        <f>IFERROR((HLOOKUP($AH78,Target_monthwise!$D$24:$O$40,DTR!S$4,FALSE)),0)</f>
        <v>0</v>
      </c>
      <c r="T78" s="239">
        <f>IFERROR((HLOOKUP($AH78,Target_monthwise!$D$24:$O$40,DTR!T$4,FALSE)),0)</f>
        <v>0</v>
      </c>
      <c r="U78" s="239">
        <f>IFERROR((HLOOKUP($AH78,Target_monthwise!$D$24:$O$40,DTR!U$4,FALSE)),0)</f>
        <v>0</v>
      </c>
      <c r="V78" s="239">
        <f>IFERROR((HLOOKUP($AH78,Target_monthwise!$D$24:$O$40,DTR!V$4,FALSE)),0)</f>
        <v>0</v>
      </c>
      <c r="W78" s="239">
        <f>IFERROR((HLOOKUP($AH78,Target_monthwise!$D$24:$O$40,DTR!W$4,FALSE)),0)</f>
        <v>0</v>
      </c>
      <c r="X78" s="239">
        <f>IFERROR((HLOOKUP($AH78,Target_monthwise!$D$24:$O$40,DTR!X$4,FALSE)),0)</f>
        <v>0</v>
      </c>
      <c r="Y78" s="239">
        <f>IFERROR((HLOOKUP($AH78,Target_monthwise!$D$24:$O$40,DTR!Y$4,FALSE)),0)</f>
        <v>0</v>
      </c>
      <c r="Z78" s="147">
        <f>IFERROR((HLOOKUP($AH78,Target_monthwise!$D$24:$O$40,DTR!Z$4,FALSE)),0)</f>
        <v>0</v>
      </c>
      <c r="AA78" s="147">
        <f>IFERROR((HLOOKUP($AH78,Target_monthwise!$D$24:$O$40,DTR!AA$4,FALSE)),0)</f>
        <v>0</v>
      </c>
      <c r="AB78" s="147">
        <f>IFERROR((HLOOKUP($AH78,Target_monthwise!$D$24:$O$40,DTR!AB$4,FALSE)),0)</f>
        <v>0</v>
      </c>
      <c r="AC78" s="239">
        <f>IFERROR((HLOOKUP($AH78,Target_monthwise!$D$24:$O$40,DTR!AC$4,FALSE)),0)</f>
        <v>0</v>
      </c>
      <c r="AD78" s="239">
        <f>IFERROR((HLOOKUP($AH78,Target_monthwise!$D$24:$O$40,DTR!AD$4,FALSE)),0)</f>
        <v>0</v>
      </c>
      <c r="AE78" s="239">
        <f>IFERROR((HLOOKUP($AH78,Target_monthwise!$D$24:$O$40,DTR!AE$4,FALSE)),0)</f>
        <v>0</v>
      </c>
      <c r="AF78" s="239">
        <f>IFERROR((HLOOKUP($AH78,Target_monthwise!$D$24:$O$40,DTR!AF$4,FALSE)),0)</f>
        <v>0</v>
      </c>
      <c r="AG78" s="172">
        <f>IFERROR((HLOOKUP($AH78,Target_monthwise!$D$24:$O$40,DTR!AG$4,FALSE)),0)</f>
        <v>0</v>
      </c>
      <c r="AH78" s="253">
        <f t="shared" si="1"/>
        <v>202206</v>
      </c>
    </row>
    <row r="79" spans="3:34" ht="15.75" hidden="1">
      <c r="C79" s="235">
        <v>44722</v>
      </c>
      <c r="D79" s="141">
        <f>IFERROR((HLOOKUP($AH79,Target_monthwise!$D$4:$O$20,DTR!D$4,FALSE))*1000,0)</f>
        <v>0</v>
      </c>
      <c r="E79" s="141">
        <f>IFERROR((HLOOKUP($AH79,Target_monthwise!$D$4:$O$20,DTR!E$4,FALSE))*1000,0)</f>
        <v>0</v>
      </c>
      <c r="F79" s="141">
        <f>IFERROR((HLOOKUP($AH79,Target_monthwise!$D$4:$O$20,DTR!F$4,FALSE))*1000,0)</f>
        <v>0</v>
      </c>
      <c r="G79" s="141">
        <f>IFERROR((HLOOKUP($AH79,Target_monthwise!$D$4:$O$20,DTR!G$4,FALSE))*1000,0)</f>
        <v>0</v>
      </c>
      <c r="H79" s="141">
        <f>IFERROR((HLOOKUP($AH79,Target_monthwise!$D$4:$O$20,DTR!H$4,FALSE))*1000,0)</f>
        <v>0</v>
      </c>
      <c r="I79" s="141">
        <f>IFERROR((HLOOKUP($AH79,Target_monthwise!$D$4:$O$20,DTR!I$4,FALSE))*1000,0)</f>
        <v>0</v>
      </c>
      <c r="J79" s="141">
        <f>IFERROR((HLOOKUP($AH79,Target_monthwise!$D$4:$O$20,DTR!J$4,FALSE))*1000,0)</f>
        <v>0</v>
      </c>
      <c r="K79" s="141">
        <f>IFERROR((HLOOKUP($AH79,Target_monthwise!$D$4:$O$20,DTR!K$4,FALSE))*1000,0)</f>
        <v>0</v>
      </c>
      <c r="L79" s="141">
        <f>IFERROR((HLOOKUP($AH79,Target_monthwise!$D$4:$O$20,DTR!L$4,FALSE))*1000,0)</f>
        <v>0</v>
      </c>
      <c r="M79" s="141">
        <f>IFERROR((HLOOKUP($AH79,Target_monthwise!$D$4:$O$20,DTR!M$4,FALSE))*1000,0)</f>
        <v>0</v>
      </c>
      <c r="N79" s="141">
        <f>IFERROR((HLOOKUP($AH79,Target_monthwise!$D$4:$O$20,DTR!N$4,FALSE))*1000,0)</f>
        <v>0</v>
      </c>
      <c r="O79" s="141">
        <f>IFERROR((HLOOKUP($AH79,Target_monthwise!$D$4:$O$20,DTR!O$4,FALSE))*1000,0)</f>
        <v>0</v>
      </c>
      <c r="P79" s="141">
        <f>IFERROR((HLOOKUP($AH79,Target_monthwise!$D$4:$O$20,DTR!P$4,FALSE))*1000,0)</f>
        <v>0</v>
      </c>
      <c r="Q79" s="141">
        <f>IFERROR((HLOOKUP($AH79,Target_monthwise!$D$4:$O$20,DTR!Q$4,FALSE))*1000,0)</f>
        <v>0</v>
      </c>
      <c r="R79" s="167">
        <f>IFERROR((HLOOKUP($AH79,Target_monthwise!$D$4:$O$20,DTR!R$4,FALSE))*1000,0)</f>
        <v>0</v>
      </c>
      <c r="S79" s="147">
        <f>IFERROR((HLOOKUP($AH79,Target_monthwise!$D$24:$O$40,DTR!S$4,FALSE)),0)</f>
        <v>0</v>
      </c>
      <c r="T79" s="147">
        <f>IFERROR((HLOOKUP($AH79,Target_monthwise!$D$24:$O$40,DTR!T$4,FALSE)),0)</f>
        <v>0</v>
      </c>
      <c r="U79" s="147">
        <f>IFERROR((HLOOKUP($AH79,Target_monthwise!$D$24:$O$40,DTR!U$4,FALSE)),0)</f>
        <v>0</v>
      </c>
      <c r="V79" s="147">
        <f>IFERROR((HLOOKUP($AH79,Target_monthwise!$D$24:$O$40,DTR!V$4,FALSE)),0)</f>
        <v>0</v>
      </c>
      <c r="W79" s="147">
        <f>IFERROR((HLOOKUP($AH79,Target_monthwise!$D$24:$O$40,DTR!W$4,FALSE)),0)</f>
        <v>0</v>
      </c>
      <c r="X79" s="147">
        <f>IFERROR((HLOOKUP($AH79,Target_monthwise!$D$24:$O$40,DTR!X$4,FALSE)),0)</f>
        <v>0</v>
      </c>
      <c r="Y79" s="147">
        <f>IFERROR((HLOOKUP($AH79,Target_monthwise!$D$24:$O$40,DTR!Y$4,FALSE)),0)</f>
        <v>0</v>
      </c>
      <c r="Z79" s="147">
        <f>IFERROR((HLOOKUP($AH79,Target_monthwise!$D$24:$O$40,DTR!Z$4,FALSE)),0)</f>
        <v>0</v>
      </c>
      <c r="AA79" s="147">
        <f>IFERROR((HLOOKUP($AH79,Target_monthwise!$D$24:$O$40,DTR!AA$4,FALSE)),0)</f>
        <v>0</v>
      </c>
      <c r="AB79" s="147">
        <f>IFERROR((HLOOKUP($AH79,Target_monthwise!$D$24:$O$40,DTR!AB$4,FALSE)),0)</f>
        <v>0</v>
      </c>
      <c r="AC79" s="147">
        <f>IFERROR((HLOOKUP($AH79,Target_monthwise!$D$24:$O$40,DTR!AC$4,FALSE)),0)</f>
        <v>0</v>
      </c>
      <c r="AD79" s="147">
        <f>IFERROR((HLOOKUP($AH79,Target_monthwise!$D$24:$O$40,DTR!AD$4,FALSE)),0)</f>
        <v>0</v>
      </c>
      <c r="AE79" s="147">
        <f>IFERROR((HLOOKUP($AH79,Target_monthwise!$D$24:$O$40,DTR!AE$4,FALSE)),0)</f>
        <v>0</v>
      </c>
      <c r="AF79" s="147">
        <f>IFERROR((HLOOKUP($AH79,Target_monthwise!$D$24:$O$40,DTR!AF$4,FALSE)),0)</f>
        <v>0</v>
      </c>
      <c r="AG79" s="172">
        <f>IFERROR((HLOOKUP($AH79,Target_monthwise!$D$24:$O$40,DTR!AG$4,FALSE)),0)</f>
        <v>0</v>
      </c>
      <c r="AH79" s="253">
        <f t="shared" si="1"/>
        <v>202206</v>
      </c>
    </row>
    <row r="80" spans="3:34" ht="15.75" hidden="1">
      <c r="C80" s="237">
        <v>44723</v>
      </c>
      <c r="D80" s="238">
        <f>IFERROR((HLOOKUP($AH80,Target_monthwise!$D$4:$O$20,DTR!D$4,FALSE))*1000,0)</f>
        <v>0</v>
      </c>
      <c r="E80" s="238">
        <f>IFERROR((HLOOKUP($AH80,Target_monthwise!$D$4:$O$20,DTR!E$4,FALSE))*1000,0)</f>
        <v>0</v>
      </c>
      <c r="F80" s="238">
        <f>IFERROR((HLOOKUP($AH80,Target_monthwise!$D$4:$O$20,DTR!F$4,FALSE))*1000,0)</f>
        <v>0</v>
      </c>
      <c r="G80" s="238">
        <f>IFERROR((HLOOKUP($AH80,Target_monthwise!$D$4:$O$20,DTR!G$4,FALSE))*1000,0)</f>
        <v>0</v>
      </c>
      <c r="H80" s="238">
        <f>IFERROR((HLOOKUP($AH80,Target_monthwise!$D$4:$O$20,DTR!H$4,FALSE))*1000,0)</f>
        <v>0</v>
      </c>
      <c r="I80" s="238">
        <f>IFERROR((HLOOKUP($AH80,Target_monthwise!$D$4:$O$20,DTR!I$4,FALSE))*1000,0)</f>
        <v>0</v>
      </c>
      <c r="J80" s="238">
        <f>IFERROR((HLOOKUP($AH80,Target_monthwise!$D$4:$O$20,DTR!J$4,FALSE))*1000,0)</f>
        <v>0</v>
      </c>
      <c r="K80" s="238">
        <f>IFERROR((HLOOKUP($AH80,Target_monthwise!$D$4:$O$20,DTR!K$4,FALSE))*1000,0)</f>
        <v>0</v>
      </c>
      <c r="L80" s="238">
        <f>IFERROR((HLOOKUP($AH80,Target_monthwise!$D$4:$O$20,DTR!L$4,FALSE))*1000,0)</f>
        <v>0</v>
      </c>
      <c r="M80" s="238">
        <f>IFERROR((HLOOKUP($AH80,Target_monthwise!$D$4:$O$20,DTR!M$4,FALSE))*1000,0)</f>
        <v>0</v>
      </c>
      <c r="N80" s="238">
        <f>IFERROR((HLOOKUP($AH80,Target_monthwise!$D$4:$O$20,DTR!N$4,FALSE))*1000,0)</f>
        <v>0</v>
      </c>
      <c r="O80" s="238">
        <f>IFERROR((HLOOKUP($AH80,Target_monthwise!$D$4:$O$20,DTR!O$4,FALSE))*1000,0)</f>
        <v>0</v>
      </c>
      <c r="P80" s="238">
        <f>IFERROR((HLOOKUP($AH80,Target_monthwise!$D$4:$O$20,DTR!P$4,FALSE))*1000,0)</f>
        <v>0</v>
      </c>
      <c r="Q80" s="141">
        <f>IFERROR((HLOOKUP($AH80,Target_monthwise!$D$4:$O$20,DTR!Q$4,FALSE))*1000,0)</f>
        <v>0</v>
      </c>
      <c r="R80" s="167">
        <f>IFERROR((HLOOKUP($AH80,Target_monthwise!$D$4:$O$20,DTR!R$4,FALSE))*1000,0)</f>
        <v>0</v>
      </c>
      <c r="S80" s="239">
        <f>IFERROR((HLOOKUP($AH80,Target_monthwise!$D$24:$O$40,DTR!S$4,FALSE)),0)</f>
        <v>0</v>
      </c>
      <c r="T80" s="239">
        <f>IFERROR((HLOOKUP($AH80,Target_monthwise!$D$24:$O$40,DTR!T$4,FALSE)),0)</f>
        <v>0</v>
      </c>
      <c r="U80" s="239">
        <f>IFERROR((HLOOKUP($AH80,Target_monthwise!$D$24:$O$40,DTR!U$4,FALSE)),0)</f>
        <v>0</v>
      </c>
      <c r="V80" s="239">
        <f>IFERROR((HLOOKUP($AH80,Target_monthwise!$D$24:$O$40,DTR!V$4,FALSE)),0)</f>
        <v>0</v>
      </c>
      <c r="W80" s="239">
        <f>IFERROR((HLOOKUP($AH80,Target_monthwise!$D$24:$O$40,DTR!W$4,FALSE)),0)</f>
        <v>0</v>
      </c>
      <c r="X80" s="239">
        <f>IFERROR((HLOOKUP($AH80,Target_monthwise!$D$24:$O$40,DTR!X$4,FALSE)),0)</f>
        <v>0</v>
      </c>
      <c r="Y80" s="239">
        <f>IFERROR((HLOOKUP($AH80,Target_monthwise!$D$24:$O$40,DTR!Y$4,FALSE)),0)</f>
        <v>0</v>
      </c>
      <c r="Z80" s="147">
        <f>IFERROR((HLOOKUP($AH80,Target_monthwise!$D$24:$O$40,DTR!Z$4,FALSE)),0)</f>
        <v>0</v>
      </c>
      <c r="AA80" s="147">
        <f>IFERROR((HLOOKUP($AH80,Target_monthwise!$D$24:$O$40,DTR!AA$4,FALSE)),0)</f>
        <v>0</v>
      </c>
      <c r="AB80" s="147">
        <f>IFERROR((HLOOKUP($AH80,Target_monthwise!$D$24:$O$40,DTR!AB$4,FALSE)),0)</f>
        <v>0</v>
      </c>
      <c r="AC80" s="239">
        <f>IFERROR((HLOOKUP($AH80,Target_monthwise!$D$24:$O$40,DTR!AC$4,FALSE)),0)</f>
        <v>0</v>
      </c>
      <c r="AD80" s="239">
        <f>IFERROR((HLOOKUP($AH80,Target_monthwise!$D$24:$O$40,DTR!AD$4,FALSE)),0)</f>
        <v>0</v>
      </c>
      <c r="AE80" s="239">
        <f>IFERROR((HLOOKUP($AH80,Target_monthwise!$D$24:$O$40,DTR!AE$4,FALSE)),0)</f>
        <v>0</v>
      </c>
      <c r="AF80" s="239">
        <f>IFERROR((HLOOKUP($AH80,Target_monthwise!$D$24:$O$40,DTR!AF$4,FALSE)),0)</f>
        <v>0</v>
      </c>
      <c r="AG80" s="172">
        <f>IFERROR((HLOOKUP($AH80,Target_monthwise!$D$24:$O$40,DTR!AG$4,FALSE)),0)</f>
        <v>0</v>
      </c>
      <c r="AH80" s="253">
        <f t="shared" si="1"/>
        <v>202206</v>
      </c>
    </row>
    <row r="81" spans="3:34" ht="15.75" hidden="1">
      <c r="C81" s="235">
        <v>44724</v>
      </c>
      <c r="D81" s="141">
        <f>IFERROR((HLOOKUP($AH81,Target_monthwise!$D$4:$O$20,DTR!D$4,FALSE))*1000,0)</f>
        <v>0</v>
      </c>
      <c r="E81" s="141">
        <f>IFERROR((HLOOKUP($AH81,Target_monthwise!$D$4:$O$20,DTR!E$4,FALSE))*1000,0)</f>
        <v>0</v>
      </c>
      <c r="F81" s="141">
        <f>IFERROR((HLOOKUP($AH81,Target_monthwise!$D$4:$O$20,DTR!F$4,FALSE))*1000,0)</f>
        <v>0</v>
      </c>
      <c r="G81" s="141">
        <f>IFERROR((HLOOKUP($AH81,Target_monthwise!$D$4:$O$20,DTR!G$4,FALSE))*1000,0)</f>
        <v>0</v>
      </c>
      <c r="H81" s="141">
        <f>IFERROR((HLOOKUP($AH81,Target_monthwise!$D$4:$O$20,DTR!H$4,FALSE))*1000,0)</f>
        <v>0</v>
      </c>
      <c r="I81" s="141">
        <f>IFERROR((HLOOKUP($AH81,Target_monthwise!$D$4:$O$20,DTR!I$4,FALSE))*1000,0)</f>
        <v>0</v>
      </c>
      <c r="J81" s="141">
        <f>IFERROR((HLOOKUP($AH81,Target_monthwise!$D$4:$O$20,DTR!J$4,FALSE))*1000,0)</f>
        <v>0</v>
      </c>
      <c r="K81" s="141">
        <f>IFERROR((HLOOKUP($AH81,Target_monthwise!$D$4:$O$20,DTR!K$4,FALSE))*1000,0)</f>
        <v>0</v>
      </c>
      <c r="L81" s="141">
        <f>IFERROR((HLOOKUP($AH81,Target_monthwise!$D$4:$O$20,DTR!L$4,FALSE))*1000,0)</f>
        <v>0</v>
      </c>
      <c r="M81" s="141">
        <f>IFERROR((HLOOKUP($AH81,Target_monthwise!$D$4:$O$20,DTR!M$4,FALSE))*1000,0)</f>
        <v>0</v>
      </c>
      <c r="N81" s="141">
        <f>IFERROR((HLOOKUP($AH81,Target_monthwise!$D$4:$O$20,DTR!N$4,FALSE))*1000,0)</f>
        <v>0</v>
      </c>
      <c r="O81" s="141">
        <f>IFERROR((HLOOKUP($AH81,Target_monthwise!$D$4:$O$20,DTR!O$4,FALSE))*1000,0)</f>
        <v>0</v>
      </c>
      <c r="P81" s="141">
        <f>IFERROR((HLOOKUP($AH81,Target_monthwise!$D$4:$O$20,DTR!P$4,FALSE))*1000,0)</f>
        <v>0</v>
      </c>
      <c r="Q81" s="141">
        <f>IFERROR((HLOOKUP($AH81,Target_monthwise!$D$4:$O$20,DTR!Q$4,FALSE))*1000,0)</f>
        <v>0</v>
      </c>
      <c r="R81" s="167">
        <f>IFERROR((HLOOKUP($AH81,Target_monthwise!$D$4:$O$20,DTR!R$4,FALSE))*1000,0)</f>
        <v>0</v>
      </c>
      <c r="S81" s="147">
        <f>IFERROR((HLOOKUP($AH81,Target_monthwise!$D$24:$O$40,DTR!S$4,FALSE)),0)</f>
        <v>0</v>
      </c>
      <c r="T81" s="147">
        <f>IFERROR((HLOOKUP($AH81,Target_monthwise!$D$24:$O$40,DTR!T$4,FALSE)),0)</f>
        <v>0</v>
      </c>
      <c r="U81" s="147">
        <f>IFERROR((HLOOKUP($AH81,Target_monthwise!$D$24:$O$40,DTR!U$4,FALSE)),0)</f>
        <v>0</v>
      </c>
      <c r="V81" s="147">
        <f>IFERROR((HLOOKUP($AH81,Target_monthwise!$D$24:$O$40,DTR!V$4,FALSE)),0)</f>
        <v>0</v>
      </c>
      <c r="W81" s="147">
        <f>IFERROR((HLOOKUP($AH81,Target_monthwise!$D$24:$O$40,DTR!W$4,FALSE)),0)</f>
        <v>0</v>
      </c>
      <c r="X81" s="147">
        <f>IFERROR((HLOOKUP($AH81,Target_monthwise!$D$24:$O$40,DTR!X$4,FALSE)),0)</f>
        <v>0</v>
      </c>
      <c r="Y81" s="147">
        <f>IFERROR((HLOOKUP($AH81,Target_monthwise!$D$24:$O$40,DTR!Y$4,FALSE)),0)</f>
        <v>0</v>
      </c>
      <c r="Z81" s="147">
        <f>IFERROR((HLOOKUP($AH81,Target_monthwise!$D$24:$O$40,DTR!Z$4,FALSE)),0)</f>
        <v>0</v>
      </c>
      <c r="AA81" s="147">
        <f>IFERROR((HLOOKUP($AH81,Target_monthwise!$D$24:$O$40,DTR!AA$4,FALSE)),0)</f>
        <v>0</v>
      </c>
      <c r="AB81" s="147">
        <f>IFERROR((HLOOKUP($AH81,Target_monthwise!$D$24:$O$40,DTR!AB$4,FALSE)),0)</f>
        <v>0</v>
      </c>
      <c r="AC81" s="147">
        <f>IFERROR((HLOOKUP($AH81,Target_monthwise!$D$24:$O$40,DTR!AC$4,FALSE)),0)</f>
        <v>0</v>
      </c>
      <c r="AD81" s="147">
        <f>IFERROR((HLOOKUP($AH81,Target_monthwise!$D$24:$O$40,DTR!AD$4,FALSE)),0)</f>
        <v>0</v>
      </c>
      <c r="AE81" s="147">
        <f>IFERROR((HLOOKUP($AH81,Target_monthwise!$D$24:$O$40,DTR!AE$4,FALSE)),0)</f>
        <v>0</v>
      </c>
      <c r="AF81" s="147">
        <f>IFERROR((HLOOKUP($AH81,Target_monthwise!$D$24:$O$40,DTR!AF$4,FALSE)),0)</f>
        <v>0</v>
      </c>
      <c r="AG81" s="172">
        <f>IFERROR((HLOOKUP($AH81,Target_monthwise!$D$24:$O$40,DTR!AG$4,FALSE)),0)</f>
        <v>0</v>
      </c>
      <c r="AH81" s="253">
        <f t="shared" si="1"/>
        <v>202206</v>
      </c>
    </row>
    <row r="82" spans="3:34" ht="15.75" hidden="1">
      <c r="C82" s="237">
        <v>44725</v>
      </c>
      <c r="D82" s="238">
        <f>IFERROR((HLOOKUP($AH82,Target_monthwise!$D$4:$O$20,DTR!D$4,FALSE))*1000,0)</f>
        <v>0</v>
      </c>
      <c r="E82" s="238">
        <f>IFERROR((HLOOKUP($AH82,Target_monthwise!$D$4:$O$20,DTR!E$4,FALSE))*1000,0)</f>
        <v>0</v>
      </c>
      <c r="F82" s="238">
        <f>IFERROR((HLOOKUP($AH82,Target_monthwise!$D$4:$O$20,DTR!F$4,FALSE))*1000,0)</f>
        <v>0</v>
      </c>
      <c r="G82" s="238">
        <f>IFERROR((HLOOKUP($AH82,Target_monthwise!$D$4:$O$20,DTR!G$4,FALSE))*1000,0)</f>
        <v>0</v>
      </c>
      <c r="H82" s="238">
        <f>IFERROR((HLOOKUP($AH82,Target_monthwise!$D$4:$O$20,DTR!H$4,FALSE))*1000,0)</f>
        <v>0</v>
      </c>
      <c r="I82" s="238">
        <f>IFERROR((HLOOKUP($AH82,Target_monthwise!$D$4:$O$20,DTR!I$4,FALSE))*1000,0)</f>
        <v>0</v>
      </c>
      <c r="J82" s="238">
        <f>IFERROR((HLOOKUP($AH82,Target_monthwise!$D$4:$O$20,DTR!J$4,FALSE))*1000,0)</f>
        <v>0</v>
      </c>
      <c r="K82" s="238">
        <f>IFERROR((HLOOKUP($AH82,Target_monthwise!$D$4:$O$20,DTR!K$4,FALSE))*1000,0)</f>
        <v>0</v>
      </c>
      <c r="L82" s="238">
        <f>IFERROR((HLOOKUP($AH82,Target_monthwise!$D$4:$O$20,DTR!L$4,FALSE))*1000,0)</f>
        <v>0</v>
      </c>
      <c r="M82" s="238">
        <f>IFERROR((HLOOKUP($AH82,Target_monthwise!$D$4:$O$20,DTR!M$4,FALSE))*1000,0)</f>
        <v>0</v>
      </c>
      <c r="N82" s="238">
        <f>IFERROR((HLOOKUP($AH82,Target_monthwise!$D$4:$O$20,DTR!N$4,FALSE))*1000,0)</f>
        <v>0</v>
      </c>
      <c r="O82" s="238">
        <f>IFERROR((HLOOKUP($AH82,Target_monthwise!$D$4:$O$20,DTR!O$4,FALSE))*1000,0)</f>
        <v>0</v>
      </c>
      <c r="P82" s="238">
        <f>IFERROR((HLOOKUP($AH82,Target_monthwise!$D$4:$O$20,DTR!P$4,FALSE))*1000,0)</f>
        <v>0</v>
      </c>
      <c r="Q82" s="141">
        <f>IFERROR((HLOOKUP($AH82,Target_monthwise!$D$4:$O$20,DTR!Q$4,FALSE))*1000,0)</f>
        <v>0</v>
      </c>
      <c r="R82" s="167">
        <f>IFERROR((HLOOKUP($AH82,Target_monthwise!$D$4:$O$20,DTR!R$4,FALSE))*1000,0)</f>
        <v>0</v>
      </c>
      <c r="S82" s="239">
        <f>IFERROR((HLOOKUP($AH82,Target_monthwise!$D$24:$O$40,DTR!S$4,FALSE)),0)</f>
        <v>0</v>
      </c>
      <c r="T82" s="239">
        <f>IFERROR((HLOOKUP($AH82,Target_monthwise!$D$24:$O$40,DTR!T$4,FALSE)),0)</f>
        <v>0</v>
      </c>
      <c r="U82" s="239">
        <f>IFERROR((HLOOKUP($AH82,Target_monthwise!$D$24:$O$40,DTR!U$4,FALSE)),0)</f>
        <v>0</v>
      </c>
      <c r="V82" s="239">
        <f>IFERROR((HLOOKUP($AH82,Target_monthwise!$D$24:$O$40,DTR!V$4,FALSE)),0)</f>
        <v>0</v>
      </c>
      <c r="W82" s="239">
        <f>IFERROR((HLOOKUP($AH82,Target_monthwise!$D$24:$O$40,DTR!W$4,FALSE)),0)</f>
        <v>0</v>
      </c>
      <c r="X82" s="239">
        <f>IFERROR((HLOOKUP($AH82,Target_monthwise!$D$24:$O$40,DTR!X$4,FALSE)),0)</f>
        <v>0</v>
      </c>
      <c r="Y82" s="239">
        <f>IFERROR((HLOOKUP($AH82,Target_monthwise!$D$24:$O$40,DTR!Y$4,FALSE)),0)</f>
        <v>0</v>
      </c>
      <c r="Z82" s="147">
        <f>IFERROR((HLOOKUP($AH82,Target_monthwise!$D$24:$O$40,DTR!Z$4,FALSE)),0)</f>
        <v>0</v>
      </c>
      <c r="AA82" s="147">
        <f>IFERROR((HLOOKUP($AH82,Target_monthwise!$D$24:$O$40,DTR!AA$4,FALSE)),0)</f>
        <v>0</v>
      </c>
      <c r="AB82" s="147">
        <f>IFERROR((HLOOKUP($AH82,Target_monthwise!$D$24:$O$40,DTR!AB$4,FALSE)),0)</f>
        <v>0</v>
      </c>
      <c r="AC82" s="239">
        <f>IFERROR((HLOOKUP($AH82,Target_monthwise!$D$24:$O$40,DTR!AC$4,FALSE)),0)</f>
        <v>0</v>
      </c>
      <c r="AD82" s="239">
        <f>IFERROR((HLOOKUP($AH82,Target_monthwise!$D$24:$O$40,DTR!AD$4,FALSE)),0)</f>
        <v>0</v>
      </c>
      <c r="AE82" s="239">
        <f>IFERROR((HLOOKUP($AH82,Target_monthwise!$D$24:$O$40,DTR!AE$4,FALSE)),0)</f>
        <v>0</v>
      </c>
      <c r="AF82" s="239">
        <f>IFERROR((HLOOKUP($AH82,Target_monthwise!$D$24:$O$40,DTR!AF$4,FALSE)),0)</f>
        <v>0</v>
      </c>
      <c r="AG82" s="172">
        <f>IFERROR((HLOOKUP($AH82,Target_monthwise!$D$24:$O$40,DTR!AG$4,FALSE)),0)</f>
        <v>0</v>
      </c>
      <c r="AH82" s="253">
        <f t="shared" si="1"/>
        <v>202206</v>
      </c>
    </row>
    <row r="83" spans="3:34" ht="15.75" hidden="1">
      <c r="C83" s="235">
        <v>44726</v>
      </c>
      <c r="D83" s="141">
        <f>IFERROR((HLOOKUP($AH83,Target_monthwise!$D$4:$O$20,DTR!D$4,FALSE))*1000,0)</f>
        <v>0</v>
      </c>
      <c r="E83" s="141">
        <f>IFERROR((HLOOKUP($AH83,Target_monthwise!$D$4:$O$20,DTR!E$4,FALSE))*1000,0)</f>
        <v>0</v>
      </c>
      <c r="F83" s="141">
        <f>IFERROR((HLOOKUP($AH83,Target_monthwise!$D$4:$O$20,DTR!F$4,FALSE))*1000,0)</f>
        <v>0</v>
      </c>
      <c r="G83" s="141">
        <f>IFERROR((HLOOKUP($AH83,Target_monthwise!$D$4:$O$20,DTR!G$4,FALSE))*1000,0)</f>
        <v>0</v>
      </c>
      <c r="H83" s="141">
        <f>IFERROR((HLOOKUP($AH83,Target_monthwise!$D$4:$O$20,DTR!H$4,FALSE))*1000,0)</f>
        <v>0</v>
      </c>
      <c r="I83" s="141">
        <f>IFERROR((HLOOKUP($AH83,Target_monthwise!$D$4:$O$20,DTR!I$4,FALSE))*1000,0)</f>
        <v>0</v>
      </c>
      <c r="J83" s="141">
        <f>IFERROR((HLOOKUP($AH83,Target_monthwise!$D$4:$O$20,DTR!J$4,FALSE))*1000,0)</f>
        <v>0</v>
      </c>
      <c r="K83" s="141">
        <f>IFERROR((HLOOKUP($AH83,Target_monthwise!$D$4:$O$20,DTR!K$4,FALSE))*1000,0)</f>
        <v>0</v>
      </c>
      <c r="L83" s="141">
        <f>IFERROR((HLOOKUP($AH83,Target_monthwise!$D$4:$O$20,DTR!L$4,FALSE))*1000,0)</f>
        <v>0</v>
      </c>
      <c r="M83" s="141">
        <f>IFERROR((HLOOKUP($AH83,Target_monthwise!$D$4:$O$20,DTR!M$4,FALSE))*1000,0)</f>
        <v>0</v>
      </c>
      <c r="N83" s="141">
        <f>IFERROR((HLOOKUP($AH83,Target_monthwise!$D$4:$O$20,DTR!N$4,FALSE))*1000,0)</f>
        <v>0</v>
      </c>
      <c r="O83" s="141">
        <f>IFERROR((HLOOKUP($AH83,Target_monthwise!$D$4:$O$20,DTR!O$4,FALSE))*1000,0)</f>
        <v>0</v>
      </c>
      <c r="P83" s="141">
        <f>IFERROR((HLOOKUP($AH83,Target_monthwise!$D$4:$O$20,DTR!P$4,FALSE))*1000,0)</f>
        <v>0</v>
      </c>
      <c r="Q83" s="141">
        <f>IFERROR((HLOOKUP($AH83,Target_monthwise!$D$4:$O$20,DTR!Q$4,FALSE))*1000,0)</f>
        <v>0</v>
      </c>
      <c r="R83" s="167">
        <f>IFERROR((HLOOKUP($AH83,Target_monthwise!$D$4:$O$20,DTR!R$4,FALSE))*1000,0)</f>
        <v>0</v>
      </c>
      <c r="S83" s="147">
        <f>IFERROR((HLOOKUP($AH83,Target_monthwise!$D$24:$O$40,DTR!S$4,FALSE)),0)</f>
        <v>0</v>
      </c>
      <c r="T83" s="147">
        <f>IFERROR((HLOOKUP($AH83,Target_monthwise!$D$24:$O$40,DTR!T$4,FALSE)),0)</f>
        <v>0</v>
      </c>
      <c r="U83" s="147">
        <f>IFERROR((HLOOKUP($AH83,Target_monthwise!$D$24:$O$40,DTR!U$4,FALSE)),0)</f>
        <v>0</v>
      </c>
      <c r="V83" s="147">
        <f>IFERROR((HLOOKUP($AH83,Target_monthwise!$D$24:$O$40,DTR!V$4,FALSE)),0)</f>
        <v>0</v>
      </c>
      <c r="W83" s="147">
        <f>IFERROR((HLOOKUP($AH83,Target_monthwise!$D$24:$O$40,DTR!W$4,FALSE)),0)</f>
        <v>0</v>
      </c>
      <c r="X83" s="147">
        <f>IFERROR((HLOOKUP($AH83,Target_monthwise!$D$24:$O$40,DTR!X$4,FALSE)),0)</f>
        <v>0</v>
      </c>
      <c r="Y83" s="147">
        <f>IFERROR((HLOOKUP($AH83,Target_monthwise!$D$24:$O$40,DTR!Y$4,FALSE)),0)</f>
        <v>0</v>
      </c>
      <c r="Z83" s="147">
        <f>IFERROR((HLOOKUP($AH83,Target_monthwise!$D$24:$O$40,DTR!Z$4,FALSE)),0)</f>
        <v>0</v>
      </c>
      <c r="AA83" s="147">
        <f>IFERROR((HLOOKUP($AH83,Target_monthwise!$D$24:$O$40,DTR!AA$4,FALSE)),0)</f>
        <v>0</v>
      </c>
      <c r="AB83" s="147">
        <f>IFERROR((HLOOKUP($AH83,Target_monthwise!$D$24:$O$40,DTR!AB$4,FALSE)),0)</f>
        <v>0</v>
      </c>
      <c r="AC83" s="147">
        <f>IFERROR((HLOOKUP($AH83,Target_monthwise!$D$24:$O$40,DTR!AC$4,FALSE)),0)</f>
        <v>0</v>
      </c>
      <c r="AD83" s="147">
        <f>IFERROR((HLOOKUP($AH83,Target_monthwise!$D$24:$O$40,DTR!AD$4,FALSE)),0)</f>
        <v>0</v>
      </c>
      <c r="AE83" s="147">
        <f>IFERROR((HLOOKUP($AH83,Target_monthwise!$D$24:$O$40,DTR!AE$4,FALSE)),0)</f>
        <v>0</v>
      </c>
      <c r="AF83" s="147">
        <f>IFERROR((HLOOKUP($AH83,Target_monthwise!$D$24:$O$40,DTR!AF$4,FALSE)),0)</f>
        <v>0</v>
      </c>
      <c r="AG83" s="172">
        <f>IFERROR((HLOOKUP($AH83,Target_monthwise!$D$24:$O$40,DTR!AG$4,FALSE)),0)</f>
        <v>0</v>
      </c>
      <c r="AH83" s="253">
        <f t="shared" si="1"/>
        <v>202206</v>
      </c>
    </row>
    <row r="84" spans="3:34" ht="15.75" hidden="1">
      <c r="C84" s="237">
        <v>44727</v>
      </c>
      <c r="D84" s="238">
        <f>IFERROR((HLOOKUP($AH84,Target_monthwise!$D$4:$O$20,DTR!D$4,FALSE))*1000,0)</f>
        <v>0</v>
      </c>
      <c r="E84" s="238">
        <f>IFERROR((HLOOKUP($AH84,Target_monthwise!$D$4:$O$20,DTR!E$4,FALSE))*1000,0)</f>
        <v>0</v>
      </c>
      <c r="F84" s="238">
        <f>IFERROR((HLOOKUP($AH84,Target_monthwise!$D$4:$O$20,DTR!F$4,FALSE))*1000,0)</f>
        <v>0</v>
      </c>
      <c r="G84" s="238">
        <f>IFERROR((HLOOKUP($AH84,Target_monthwise!$D$4:$O$20,DTR!G$4,FALSE))*1000,0)</f>
        <v>0</v>
      </c>
      <c r="H84" s="238">
        <f>IFERROR((HLOOKUP($AH84,Target_monthwise!$D$4:$O$20,DTR!H$4,FALSE))*1000,0)</f>
        <v>0</v>
      </c>
      <c r="I84" s="238">
        <f>IFERROR((HLOOKUP($AH84,Target_monthwise!$D$4:$O$20,DTR!I$4,FALSE))*1000,0)</f>
        <v>0</v>
      </c>
      <c r="J84" s="238">
        <f>IFERROR((HLOOKUP($AH84,Target_monthwise!$D$4:$O$20,DTR!J$4,FALSE))*1000,0)</f>
        <v>0</v>
      </c>
      <c r="K84" s="238">
        <f>IFERROR((HLOOKUP($AH84,Target_monthwise!$D$4:$O$20,DTR!K$4,FALSE))*1000,0)</f>
        <v>0</v>
      </c>
      <c r="L84" s="238">
        <f>IFERROR((HLOOKUP($AH84,Target_monthwise!$D$4:$O$20,DTR!L$4,FALSE))*1000,0)</f>
        <v>0</v>
      </c>
      <c r="M84" s="238">
        <f>IFERROR((HLOOKUP($AH84,Target_monthwise!$D$4:$O$20,DTR!M$4,FALSE))*1000,0)</f>
        <v>0</v>
      </c>
      <c r="N84" s="238">
        <f>IFERROR((HLOOKUP($AH84,Target_monthwise!$D$4:$O$20,DTR!N$4,FALSE))*1000,0)</f>
        <v>0</v>
      </c>
      <c r="O84" s="238">
        <f>IFERROR((HLOOKUP($AH84,Target_monthwise!$D$4:$O$20,DTR!O$4,FALSE))*1000,0)</f>
        <v>0</v>
      </c>
      <c r="P84" s="238">
        <f>IFERROR((HLOOKUP($AH84,Target_monthwise!$D$4:$O$20,DTR!P$4,FALSE))*1000,0)</f>
        <v>0</v>
      </c>
      <c r="Q84" s="141">
        <f>IFERROR((HLOOKUP($AH84,Target_monthwise!$D$4:$O$20,DTR!Q$4,FALSE))*1000,0)</f>
        <v>0</v>
      </c>
      <c r="R84" s="167">
        <f>IFERROR((HLOOKUP($AH84,Target_monthwise!$D$4:$O$20,DTR!R$4,FALSE))*1000,0)</f>
        <v>0</v>
      </c>
      <c r="S84" s="239">
        <f>IFERROR((HLOOKUP($AH84,Target_monthwise!$D$24:$O$40,DTR!S$4,FALSE)),0)</f>
        <v>0</v>
      </c>
      <c r="T84" s="239">
        <f>IFERROR((HLOOKUP($AH84,Target_monthwise!$D$24:$O$40,DTR!T$4,FALSE)),0)</f>
        <v>0</v>
      </c>
      <c r="U84" s="239">
        <f>IFERROR((HLOOKUP($AH84,Target_monthwise!$D$24:$O$40,DTR!U$4,FALSE)),0)</f>
        <v>0</v>
      </c>
      <c r="V84" s="239">
        <f>IFERROR((HLOOKUP($AH84,Target_monthwise!$D$24:$O$40,DTR!V$4,FALSE)),0)</f>
        <v>0</v>
      </c>
      <c r="W84" s="239">
        <f>IFERROR((HLOOKUP($AH84,Target_monthwise!$D$24:$O$40,DTR!W$4,FALSE)),0)</f>
        <v>0</v>
      </c>
      <c r="X84" s="239">
        <f>IFERROR((HLOOKUP($AH84,Target_monthwise!$D$24:$O$40,DTR!X$4,FALSE)),0)</f>
        <v>0</v>
      </c>
      <c r="Y84" s="239">
        <f>IFERROR((HLOOKUP($AH84,Target_monthwise!$D$24:$O$40,DTR!Y$4,FALSE)),0)</f>
        <v>0</v>
      </c>
      <c r="Z84" s="147">
        <f>IFERROR((HLOOKUP($AH84,Target_monthwise!$D$24:$O$40,DTR!Z$4,FALSE)),0)</f>
        <v>0</v>
      </c>
      <c r="AA84" s="147">
        <f>IFERROR((HLOOKUP($AH84,Target_monthwise!$D$24:$O$40,DTR!AA$4,FALSE)),0)</f>
        <v>0</v>
      </c>
      <c r="AB84" s="147">
        <f>IFERROR((HLOOKUP($AH84,Target_monthwise!$D$24:$O$40,DTR!AB$4,FALSE)),0)</f>
        <v>0</v>
      </c>
      <c r="AC84" s="239">
        <f>IFERROR((HLOOKUP($AH84,Target_monthwise!$D$24:$O$40,DTR!AC$4,FALSE)),0)</f>
        <v>0</v>
      </c>
      <c r="AD84" s="239">
        <f>IFERROR((HLOOKUP($AH84,Target_monthwise!$D$24:$O$40,DTR!AD$4,FALSE)),0)</f>
        <v>0</v>
      </c>
      <c r="AE84" s="239">
        <f>IFERROR((HLOOKUP($AH84,Target_monthwise!$D$24:$O$40,DTR!AE$4,FALSE)),0)</f>
        <v>0</v>
      </c>
      <c r="AF84" s="239">
        <f>IFERROR((HLOOKUP($AH84,Target_monthwise!$D$24:$O$40,DTR!AF$4,FALSE)),0)</f>
        <v>0</v>
      </c>
      <c r="AG84" s="172">
        <f>IFERROR((HLOOKUP($AH84,Target_monthwise!$D$24:$O$40,DTR!AG$4,FALSE)),0)</f>
        <v>0</v>
      </c>
      <c r="AH84" s="253">
        <f t="shared" si="1"/>
        <v>202206</v>
      </c>
    </row>
    <row r="85" spans="3:34" ht="15.75" hidden="1">
      <c r="C85" s="235">
        <v>44728</v>
      </c>
      <c r="D85" s="141">
        <f>IFERROR((HLOOKUP($AH85,Target_monthwise!$D$4:$O$20,DTR!D$4,FALSE))*1000,0)</f>
        <v>0</v>
      </c>
      <c r="E85" s="141">
        <f>IFERROR((HLOOKUP($AH85,Target_monthwise!$D$4:$O$20,DTR!E$4,FALSE))*1000,0)</f>
        <v>0</v>
      </c>
      <c r="F85" s="141">
        <f>IFERROR((HLOOKUP($AH85,Target_monthwise!$D$4:$O$20,DTR!F$4,FALSE))*1000,0)</f>
        <v>0</v>
      </c>
      <c r="G85" s="141">
        <f>IFERROR((HLOOKUP($AH85,Target_monthwise!$D$4:$O$20,DTR!G$4,FALSE))*1000,0)</f>
        <v>0</v>
      </c>
      <c r="H85" s="141">
        <f>IFERROR((HLOOKUP($AH85,Target_monthwise!$D$4:$O$20,DTR!H$4,FALSE))*1000,0)</f>
        <v>0</v>
      </c>
      <c r="I85" s="141">
        <f>IFERROR((HLOOKUP($AH85,Target_monthwise!$D$4:$O$20,DTR!I$4,FALSE))*1000,0)</f>
        <v>0</v>
      </c>
      <c r="J85" s="141">
        <f>IFERROR((HLOOKUP($AH85,Target_monthwise!$D$4:$O$20,DTR!J$4,FALSE))*1000,0)</f>
        <v>0</v>
      </c>
      <c r="K85" s="141">
        <f>IFERROR((HLOOKUP($AH85,Target_monthwise!$D$4:$O$20,DTR!K$4,FALSE))*1000,0)</f>
        <v>0</v>
      </c>
      <c r="L85" s="141">
        <f>IFERROR((HLOOKUP($AH85,Target_monthwise!$D$4:$O$20,DTR!L$4,FALSE))*1000,0)</f>
        <v>0</v>
      </c>
      <c r="M85" s="141">
        <f>IFERROR((HLOOKUP($AH85,Target_monthwise!$D$4:$O$20,DTR!M$4,FALSE))*1000,0)</f>
        <v>0</v>
      </c>
      <c r="N85" s="141">
        <f>IFERROR((HLOOKUP($AH85,Target_monthwise!$D$4:$O$20,DTR!N$4,FALSE))*1000,0)</f>
        <v>0</v>
      </c>
      <c r="O85" s="141">
        <f>IFERROR((HLOOKUP($AH85,Target_monthwise!$D$4:$O$20,DTR!O$4,FALSE))*1000,0)</f>
        <v>0</v>
      </c>
      <c r="P85" s="141">
        <f>IFERROR((HLOOKUP($AH85,Target_monthwise!$D$4:$O$20,DTR!P$4,FALSE))*1000,0)</f>
        <v>0</v>
      </c>
      <c r="Q85" s="141">
        <f>IFERROR((HLOOKUP($AH85,Target_monthwise!$D$4:$O$20,DTR!Q$4,FALSE))*1000,0)</f>
        <v>0</v>
      </c>
      <c r="R85" s="167">
        <f>IFERROR((HLOOKUP($AH85,Target_monthwise!$D$4:$O$20,DTR!R$4,FALSE))*1000,0)</f>
        <v>0</v>
      </c>
      <c r="S85" s="147">
        <f>IFERROR((HLOOKUP($AH85,Target_monthwise!$D$24:$O$40,DTR!S$4,FALSE)),0)</f>
        <v>0</v>
      </c>
      <c r="T85" s="147">
        <f>IFERROR((HLOOKUP($AH85,Target_monthwise!$D$24:$O$40,DTR!T$4,FALSE)),0)</f>
        <v>0</v>
      </c>
      <c r="U85" s="147">
        <f>IFERROR((HLOOKUP($AH85,Target_monthwise!$D$24:$O$40,DTR!U$4,FALSE)),0)</f>
        <v>0</v>
      </c>
      <c r="V85" s="147">
        <f>IFERROR((HLOOKUP($AH85,Target_monthwise!$D$24:$O$40,DTR!V$4,FALSE)),0)</f>
        <v>0</v>
      </c>
      <c r="W85" s="147">
        <f>IFERROR((HLOOKUP($AH85,Target_monthwise!$D$24:$O$40,DTR!W$4,FALSE)),0)</f>
        <v>0</v>
      </c>
      <c r="X85" s="147">
        <f>IFERROR((HLOOKUP($AH85,Target_monthwise!$D$24:$O$40,DTR!X$4,FALSE)),0)</f>
        <v>0</v>
      </c>
      <c r="Y85" s="147">
        <f>IFERROR((HLOOKUP($AH85,Target_monthwise!$D$24:$O$40,DTR!Y$4,FALSE)),0)</f>
        <v>0</v>
      </c>
      <c r="Z85" s="147">
        <f>IFERROR((HLOOKUP($AH85,Target_monthwise!$D$24:$O$40,DTR!Z$4,FALSE)),0)</f>
        <v>0</v>
      </c>
      <c r="AA85" s="147">
        <f>IFERROR((HLOOKUP($AH85,Target_monthwise!$D$24:$O$40,DTR!AA$4,FALSE)),0)</f>
        <v>0</v>
      </c>
      <c r="AB85" s="147">
        <f>IFERROR((HLOOKUP($AH85,Target_monthwise!$D$24:$O$40,DTR!AB$4,FALSE)),0)</f>
        <v>0</v>
      </c>
      <c r="AC85" s="147">
        <f>IFERROR((HLOOKUP($AH85,Target_monthwise!$D$24:$O$40,DTR!AC$4,FALSE)),0)</f>
        <v>0</v>
      </c>
      <c r="AD85" s="147">
        <f>IFERROR((HLOOKUP($AH85,Target_monthwise!$D$24:$O$40,DTR!AD$4,FALSE)),0)</f>
        <v>0</v>
      </c>
      <c r="AE85" s="147">
        <f>IFERROR((HLOOKUP($AH85,Target_monthwise!$D$24:$O$40,DTR!AE$4,FALSE)),0)</f>
        <v>0</v>
      </c>
      <c r="AF85" s="147">
        <f>IFERROR((HLOOKUP($AH85,Target_monthwise!$D$24:$O$40,DTR!AF$4,FALSE)),0)</f>
        <v>0</v>
      </c>
      <c r="AG85" s="172">
        <f>IFERROR((HLOOKUP($AH85,Target_monthwise!$D$24:$O$40,DTR!AG$4,FALSE)),0)</f>
        <v>0</v>
      </c>
      <c r="AH85" s="253">
        <f t="shared" si="1"/>
        <v>202206</v>
      </c>
    </row>
    <row r="86" spans="3:34" ht="15.75" hidden="1">
      <c r="C86" s="237">
        <v>44729</v>
      </c>
      <c r="D86" s="238">
        <f>IFERROR((HLOOKUP($AH86,Target_monthwise!$D$4:$O$20,DTR!D$4,FALSE))*1000,0)</f>
        <v>0</v>
      </c>
      <c r="E86" s="238">
        <f>IFERROR((HLOOKUP($AH86,Target_monthwise!$D$4:$O$20,DTR!E$4,FALSE))*1000,0)</f>
        <v>0</v>
      </c>
      <c r="F86" s="238">
        <f>IFERROR((HLOOKUP($AH86,Target_monthwise!$D$4:$O$20,DTR!F$4,FALSE))*1000,0)</f>
        <v>0</v>
      </c>
      <c r="G86" s="238">
        <f>IFERROR((HLOOKUP($AH86,Target_monthwise!$D$4:$O$20,DTR!G$4,FALSE))*1000,0)</f>
        <v>0</v>
      </c>
      <c r="H86" s="238">
        <f>IFERROR((HLOOKUP($AH86,Target_monthwise!$D$4:$O$20,DTR!H$4,FALSE))*1000,0)</f>
        <v>0</v>
      </c>
      <c r="I86" s="238">
        <f>IFERROR((HLOOKUP($AH86,Target_monthwise!$D$4:$O$20,DTR!I$4,FALSE))*1000,0)</f>
        <v>0</v>
      </c>
      <c r="J86" s="238">
        <f>IFERROR((HLOOKUP($AH86,Target_monthwise!$D$4:$O$20,DTR!J$4,FALSE))*1000,0)</f>
        <v>0</v>
      </c>
      <c r="K86" s="238">
        <f>IFERROR((HLOOKUP($AH86,Target_monthwise!$D$4:$O$20,DTR!K$4,FALSE))*1000,0)</f>
        <v>0</v>
      </c>
      <c r="L86" s="238">
        <f>IFERROR((HLOOKUP($AH86,Target_monthwise!$D$4:$O$20,DTR!L$4,FALSE))*1000,0)</f>
        <v>0</v>
      </c>
      <c r="M86" s="238">
        <f>IFERROR((HLOOKUP($AH86,Target_monthwise!$D$4:$O$20,DTR!M$4,FALSE))*1000,0)</f>
        <v>0</v>
      </c>
      <c r="N86" s="238">
        <f>IFERROR((HLOOKUP($AH86,Target_monthwise!$D$4:$O$20,DTR!N$4,FALSE))*1000,0)</f>
        <v>0</v>
      </c>
      <c r="O86" s="238">
        <f>IFERROR((HLOOKUP($AH86,Target_monthwise!$D$4:$O$20,DTR!O$4,FALSE))*1000,0)</f>
        <v>0</v>
      </c>
      <c r="P86" s="238">
        <f>IFERROR((HLOOKUP($AH86,Target_monthwise!$D$4:$O$20,DTR!P$4,FALSE))*1000,0)</f>
        <v>0</v>
      </c>
      <c r="Q86" s="141">
        <f>IFERROR((HLOOKUP($AH86,Target_monthwise!$D$4:$O$20,DTR!Q$4,FALSE))*1000,0)</f>
        <v>0</v>
      </c>
      <c r="R86" s="167">
        <f>IFERROR((HLOOKUP($AH86,Target_monthwise!$D$4:$O$20,DTR!R$4,FALSE))*1000,0)</f>
        <v>0</v>
      </c>
      <c r="S86" s="239">
        <f>IFERROR((HLOOKUP($AH86,Target_monthwise!$D$24:$O$40,DTR!S$4,FALSE)),0)</f>
        <v>0</v>
      </c>
      <c r="T86" s="239">
        <f>IFERROR((HLOOKUP($AH86,Target_monthwise!$D$24:$O$40,DTR!T$4,FALSE)),0)</f>
        <v>0</v>
      </c>
      <c r="U86" s="239">
        <f>IFERROR((HLOOKUP($AH86,Target_monthwise!$D$24:$O$40,DTR!U$4,FALSE)),0)</f>
        <v>0</v>
      </c>
      <c r="V86" s="239">
        <f>IFERROR((HLOOKUP($AH86,Target_monthwise!$D$24:$O$40,DTR!V$4,FALSE)),0)</f>
        <v>0</v>
      </c>
      <c r="W86" s="239">
        <f>IFERROR((HLOOKUP($AH86,Target_monthwise!$D$24:$O$40,DTR!W$4,FALSE)),0)</f>
        <v>0</v>
      </c>
      <c r="X86" s="239">
        <f>IFERROR((HLOOKUP($AH86,Target_monthwise!$D$24:$O$40,DTR!X$4,FALSE)),0)</f>
        <v>0</v>
      </c>
      <c r="Y86" s="239">
        <f>IFERROR((HLOOKUP($AH86,Target_monthwise!$D$24:$O$40,DTR!Y$4,FALSE)),0)</f>
        <v>0</v>
      </c>
      <c r="Z86" s="147">
        <f>IFERROR((HLOOKUP($AH86,Target_monthwise!$D$24:$O$40,DTR!Z$4,FALSE)),0)</f>
        <v>0</v>
      </c>
      <c r="AA86" s="147">
        <f>IFERROR((HLOOKUP($AH86,Target_monthwise!$D$24:$O$40,DTR!AA$4,FALSE)),0)</f>
        <v>0</v>
      </c>
      <c r="AB86" s="147">
        <f>IFERROR((HLOOKUP($AH86,Target_monthwise!$D$24:$O$40,DTR!AB$4,FALSE)),0)</f>
        <v>0</v>
      </c>
      <c r="AC86" s="239">
        <f>IFERROR((HLOOKUP($AH86,Target_monthwise!$D$24:$O$40,DTR!AC$4,FALSE)),0)</f>
        <v>0</v>
      </c>
      <c r="AD86" s="239">
        <f>IFERROR((HLOOKUP($AH86,Target_monthwise!$D$24:$O$40,DTR!AD$4,FALSE)),0)</f>
        <v>0</v>
      </c>
      <c r="AE86" s="239">
        <f>IFERROR((HLOOKUP($AH86,Target_monthwise!$D$24:$O$40,DTR!AE$4,FALSE)),0)</f>
        <v>0</v>
      </c>
      <c r="AF86" s="239">
        <f>IFERROR((HLOOKUP($AH86,Target_monthwise!$D$24:$O$40,DTR!AF$4,FALSE)),0)</f>
        <v>0</v>
      </c>
      <c r="AG86" s="172">
        <f>IFERROR((HLOOKUP($AH86,Target_monthwise!$D$24:$O$40,DTR!AG$4,FALSE)),0)</f>
        <v>0</v>
      </c>
      <c r="AH86" s="253">
        <f t="shared" si="1"/>
        <v>202206</v>
      </c>
    </row>
    <row r="87" spans="3:34" ht="15.75" hidden="1">
      <c r="C87" s="235">
        <v>44730</v>
      </c>
      <c r="D87" s="141">
        <f>IFERROR((HLOOKUP($AH87,Target_monthwise!$D$4:$O$20,DTR!D$4,FALSE))*1000,0)</f>
        <v>0</v>
      </c>
      <c r="E87" s="141">
        <f>IFERROR((HLOOKUP($AH87,Target_monthwise!$D$4:$O$20,DTR!E$4,FALSE))*1000,0)</f>
        <v>0</v>
      </c>
      <c r="F87" s="141">
        <f>IFERROR((HLOOKUP($AH87,Target_monthwise!$D$4:$O$20,DTR!F$4,FALSE))*1000,0)</f>
        <v>0</v>
      </c>
      <c r="G87" s="141">
        <f>IFERROR((HLOOKUP($AH87,Target_monthwise!$D$4:$O$20,DTR!G$4,FALSE))*1000,0)</f>
        <v>0</v>
      </c>
      <c r="H87" s="141">
        <f>IFERROR((HLOOKUP($AH87,Target_monthwise!$D$4:$O$20,DTR!H$4,FALSE))*1000,0)</f>
        <v>0</v>
      </c>
      <c r="I87" s="141">
        <f>IFERROR((HLOOKUP($AH87,Target_monthwise!$D$4:$O$20,DTR!I$4,FALSE))*1000,0)</f>
        <v>0</v>
      </c>
      <c r="J87" s="141">
        <f>IFERROR((HLOOKUP($AH87,Target_monthwise!$D$4:$O$20,DTR!J$4,FALSE))*1000,0)</f>
        <v>0</v>
      </c>
      <c r="K87" s="141">
        <f>IFERROR((HLOOKUP($AH87,Target_monthwise!$D$4:$O$20,DTR!K$4,FALSE))*1000,0)</f>
        <v>0</v>
      </c>
      <c r="L87" s="141">
        <f>IFERROR((HLOOKUP($AH87,Target_monthwise!$D$4:$O$20,DTR!L$4,FALSE))*1000,0)</f>
        <v>0</v>
      </c>
      <c r="M87" s="141">
        <f>IFERROR((HLOOKUP($AH87,Target_monthwise!$D$4:$O$20,DTR!M$4,FALSE))*1000,0)</f>
        <v>0</v>
      </c>
      <c r="N87" s="141">
        <f>IFERROR((HLOOKUP($AH87,Target_monthwise!$D$4:$O$20,DTR!N$4,FALSE))*1000,0)</f>
        <v>0</v>
      </c>
      <c r="O87" s="141">
        <f>IFERROR((HLOOKUP($AH87,Target_monthwise!$D$4:$O$20,DTR!O$4,FALSE))*1000,0)</f>
        <v>0</v>
      </c>
      <c r="P87" s="141">
        <f>IFERROR((HLOOKUP($AH87,Target_monthwise!$D$4:$O$20,DTR!P$4,FALSE))*1000,0)</f>
        <v>0</v>
      </c>
      <c r="Q87" s="141">
        <f>IFERROR((HLOOKUP($AH87,Target_monthwise!$D$4:$O$20,DTR!Q$4,FALSE))*1000,0)</f>
        <v>0</v>
      </c>
      <c r="R87" s="167">
        <f>IFERROR((HLOOKUP($AH87,Target_monthwise!$D$4:$O$20,DTR!R$4,FALSE))*1000,0)</f>
        <v>0</v>
      </c>
      <c r="S87" s="147">
        <f>IFERROR((HLOOKUP($AH87,Target_monthwise!$D$24:$O$40,DTR!S$4,FALSE)),0)</f>
        <v>0</v>
      </c>
      <c r="T87" s="147">
        <f>IFERROR((HLOOKUP($AH87,Target_monthwise!$D$24:$O$40,DTR!T$4,FALSE)),0)</f>
        <v>0</v>
      </c>
      <c r="U87" s="147">
        <f>IFERROR((HLOOKUP($AH87,Target_monthwise!$D$24:$O$40,DTR!U$4,FALSE)),0)</f>
        <v>0</v>
      </c>
      <c r="V87" s="147">
        <f>IFERROR((HLOOKUP($AH87,Target_monthwise!$D$24:$O$40,DTR!V$4,FALSE)),0)</f>
        <v>0</v>
      </c>
      <c r="W87" s="147">
        <f>IFERROR((HLOOKUP($AH87,Target_monthwise!$D$24:$O$40,DTR!W$4,FALSE)),0)</f>
        <v>0</v>
      </c>
      <c r="X87" s="147">
        <f>IFERROR((HLOOKUP($AH87,Target_monthwise!$D$24:$O$40,DTR!X$4,FALSE)),0)</f>
        <v>0</v>
      </c>
      <c r="Y87" s="147">
        <f>IFERROR((HLOOKUP($AH87,Target_monthwise!$D$24:$O$40,DTR!Y$4,FALSE)),0)</f>
        <v>0</v>
      </c>
      <c r="Z87" s="147">
        <f>IFERROR((HLOOKUP($AH87,Target_monthwise!$D$24:$O$40,DTR!Z$4,FALSE)),0)</f>
        <v>0</v>
      </c>
      <c r="AA87" s="147">
        <f>IFERROR((HLOOKUP($AH87,Target_monthwise!$D$24:$O$40,DTR!AA$4,FALSE)),0)</f>
        <v>0</v>
      </c>
      <c r="AB87" s="147">
        <f>IFERROR((HLOOKUP($AH87,Target_monthwise!$D$24:$O$40,DTR!AB$4,FALSE)),0)</f>
        <v>0</v>
      </c>
      <c r="AC87" s="147">
        <f>IFERROR((HLOOKUP($AH87,Target_monthwise!$D$24:$O$40,DTR!AC$4,FALSE)),0)</f>
        <v>0</v>
      </c>
      <c r="AD87" s="147">
        <f>IFERROR((HLOOKUP($AH87,Target_monthwise!$D$24:$O$40,DTR!AD$4,FALSE)),0)</f>
        <v>0</v>
      </c>
      <c r="AE87" s="147">
        <f>IFERROR((HLOOKUP($AH87,Target_monthwise!$D$24:$O$40,DTR!AE$4,FALSE)),0)</f>
        <v>0</v>
      </c>
      <c r="AF87" s="147">
        <f>IFERROR((HLOOKUP($AH87,Target_monthwise!$D$24:$O$40,DTR!AF$4,FALSE)),0)</f>
        <v>0</v>
      </c>
      <c r="AG87" s="172">
        <f>IFERROR((HLOOKUP($AH87,Target_monthwise!$D$24:$O$40,DTR!AG$4,FALSE)),0)</f>
        <v>0</v>
      </c>
      <c r="AH87" s="253">
        <f t="shared" si="1"/>
        <v>202206</v>
      </c>
    </row>
    <row r="88" spans="3:34" ht="15.75" hidden="1">
      <c r="C88" s="237">
        <v>44731</v>
      </c>
      <c r="D88" s="238">
        <f>IFERROR((HLOOKUP($AH88,Target_monthwise!$D$4:$O$20,DTR!D$4,FALSE))*1000,0)</f>
        <v>0</v>
      </c>
      <c r="E88" s="238">
        <f>IFERROR((HLOOKUP($AH88,Target_monthwise!$D$4:$O$20,DTR!E$4,FALSE))*1000,0)</f>
        <v>0</v>
      </c>
      <c r="F88" s="238">
        <f>IFERROR((HLOOKUP($AH88,Target_monthwise!$D$4:$O$20,DTR!F$4,FALSE))*1000,0)</f>
        <v>0</v>
      </c>
      <c r="G88" s="238">
        <f>IFERROR((HLOOKUP($AH88,Target_monthwise!$D$4:$O$20,DTR!G$4,FALSE))*1000,0)</f>
        <v>0</v>
      </c>
      <c r="H88" s="238">
        <f>IFERROR((HLOOKUP($AH88,Target_monthwise!$D$4:$O$20,DTR!H$4,FALSE))*1000,0)</f>
        <v>0</v>
      </c>
      <c r="I88" s="238">
        <f>IFERROR((HLOOKUP($AH88,Target_monthwise!$D$4:$O$20,DTR!I$4,FALSE))*1000,0)</f>
        <v>0</v>
      </c>
      <c r="J88" s="238">
        <f>IFERROR((HLOOKUP($AH88,Target_monthwise!$D$4:$O$20,DTR!J$4,FALSE))*1000,0)</f>
        <v>0</v>
      </c>
      <c r="K88" s="238">
        <f>IFERROR((HLOOKUP($AH88,Target_monthwise!$D$4:$O$20,DTR!K$4,FALSE))*1000,0)</f>
        <v>0</v>
      </c>
      <c r="L88" s="238">
        <f>IFERROR((HLOOKUP($AH88,Target_monthwise!$D$4:$O$20,DTR!L$4,FALSE))*1000,0)</f>
        <v>0</v>
      </c>
      <c r="M88" s="238">
        <f>IFERROR((HLOOKUP($AH88,Target_monthwise!$D$4:$O$20,DTR!M$4,FALSE))*1000,0)</f>
        <v>0</v>
      </c>
      <c r="N88" s="238">
        <f>IFERROR((HLOOKUP($AH88,Target_monthwise!$D$4:$O$20,DTR!N$4,FALSE))*1000,0)</f>
        <v>0</v>
      </c>
      <c r="O88" s="238">
        <f>IFERROR((HLOOKUP($AH88,Target_monthwise!$D$4:$O$20,DTR!O$4,FALSE))*1000,0)</f>
        <v>0</v>
      </c>
      <c r="P88" s="238">
        <f>IFERROR((HLOOKUP($AH88,Target_monthwise!$D$4:$O$20,DTR!P$4,FALSE))*1000,0)</f>
        <v>0</v>
      </c>
      <c r="Q88" s="141">
        <f>IFERROR((HLOOKUP($AH88,Target_monthwise!$D$4:$O$20,DTR!Q$4,FALSE))*1000,0)</f>
        <v>0</v>
      </c>
      <c r="R88" s="167">
        <f>IFERROR((HLOOKUP($AH88,Target_monthwise!$D$4:$O$20,DTR!R$4,FALSE))*1000,0)</f>
        <v>0</v>
      </c>
      <c r="S88" s="239">
        <f>IFERROR((HLOOKUP($AH88,Target_monthwise!$D$24:$O$40,DTR!S$4,FALSE)),0)</f>
        <v>0</v>
      </c>
      <c r="T88" s="239">
        <f>IFERROR((HLOOKUP($AH88,Target_monthwise!$D$24:$O$40,DTR!T$4,FALSE)),0)</f>
        <v>0</v>
      </c>
      <c r="U88" s="239">
        <f>IFERROR((HLOOKUP($AH88,Target_monthwise!$D$24:$O$40,DTR!U$4,FALSE)),0)</f>
        <v>0</v>
      </c>
      <c r="V88" s="239">
        <f>IFERROR((HLOOKUP($AH88,Target_monthwise!$D$24:$O$40,DTR!V$4,FALSE)),0)</f>
        <v>0</v>
      </c>
      <c r="W88" s="239">
        <f>IFERROR((HLOOKUP($AH88,Target_monthwise!$D$24:$O$40,DTR!W$4,FALSE)),0)</f>
        <v>0</v>
      </c>
      <c r="X88" s="239">
        <f>IFERROR((HLOOKUP($AH88,Target_monthwise!$D$24:$O$40,DTR!X$4,FALSE)),0)</f>
        <v>0</v>
      </c>
      <c r="Y88" s="239">
        <f>IFERROR((HLOOKUP($AH88,Target_monthwise!$D$24:$O$40,DTR!Y$4,FALSE)),0)</f>
        <v>0</v>
      </c>
      <c r="Z88" s="147">
        <f>IFERROR((HLOOKUP($AH88,Target_monthwise!$D$24:$O$40,DTR!Z$4,FALSE)),0)</f>
        <v>0</v>
      </c>
      <c r="AA88" s="147">
        <f>IFERROR((HLOOKUP($AH88,Target_monthwise!$D$24:$O$40,DTR!AA$4,FALSE)),0)</f>
        <v>0</v>
      </c>
      <c r="AB88" s="147">
        <f>IFERROR((HLOOKUP($AH88,Target_monthwise!$D$24:$O$40,DTR!AB$4,FALSE)),0)</f>
        <v>0</v>
      </c>
      <c r="AC88" s="239">
        <f>IFERROR((HLOOKUP($AH88,Target_monthwise!$D$24:$O$40,DTR!AC$4,FALSE)),0)</f>
        <v>0</v>
      </c>
      <c r="AD88" s="239">
        <f>IFERROR((HLOOKUP($AH88,Target_monthwise!$D$24:$O$40,DTR!AD$4,FALSE)),0)</f>
        <v>0</v>
      </c>
      <c r="AE88" s="239">
        <f>IFERROR((HLOOKUP($AH88,Target_monthwise!$D$24:$O$40,DTR!AE$4,FALSE)),0)</f>
        <v>0</v>
      </c>
      <c r="AF88" s="239">
        <f>IFERROR((HLOOKUP($AH88,Target_monthwise!$D$24:$O$40,DTR!AF$4,FALSE)),0)</f>
        <v>0</v>
      </c>
      <c r="AG88" s="172">
        <f>IFERROR((HLOOKUP($AH88,Target_monthwise!$D$24:$O$40,DTR!AG$4,FALSE)),0)</f>
        <v>0</v>
      </c>
      <c r="AH88" s="253">
        <f t="shared" si="1"/>
        <v>202206</v>
      </c>
    </row>
    <row r="89" spans="3:34" ht="15.75" hidden="1">
      <c r="C89" s="235">
        <v>44732</v>
      </c>
      <c r="D89" s="141">
        <f>IFERROR((HLOOKUP($AH89,Target_monthwise!$D$4:$O$20,DTR!D$4,FALSE))*1000,0)</f>
        <v>0</v>
      </c>
      <c r="E89" s="141">
        <f>IFERROR((HLOOKUP($AH89,Target_monthwise!$D$4:$O$20,DTR!E$4,FALSE))*1000,0)</f>
        <v>0</v>
      </c>
      <c r="F89" s="141">
        <f>IFERROR((HLOOKUP($AH89,Target_monthwise!$D$4:$O$20,DTR!F$4,FALSE))*1000,0)</f>
        <v>0</v>
      </c>
      <c r="G89" s="141">
        <f>IFERROR((HLOOKUP($AH89,Target_monthwise!$D$4:$O$20,DTR!G$4,FALSE))*1000,0)</f>
        <v>0</v>
      </c>
      <c r="H89" s="141">
        <f>IFERROR((HLOOKUP($AH89,Target_monthwise!$D$4:$O$20,DTR!H$4,FALSE))*1000,0)</f>
        <v>0</v>
      </c>
      <c r="I89" s="141">
        <f>IFERROR((HLOOKUP($AH89,Target_monthwise!$D$4:$O$20,DTR!I$4,FALSE))*1000,0)</f>
        <v>0</v>
      </c>
      <c r="J89" s="141">
        <f>IFERROR((HLOOKUP($AH89,Target_monthwise!$D$4:$O$20,DTR!J$4,FALSE))*1000,0)</f>
        <v>0</v>
      </c>
      <c r="K89" s="141">
        <f>IFERROR((HLOOKUP($AH89,Target_monthwise!$D$4:$O$20,DTR!K$4,FALSE))*1000,0)</f>
        <v>0</v>
      </c>
      <c r="L89" s="141">
        <f>IFERROR((HLOOKUP($AH89,Target_monthwise!$D$4:$O$20,DTR!L$4,FALSE))*1000,0)</f>
        <v>0</v>
      </c>
      <c r="M89" s="141">
        <f>IFERROR((HLOOKUP($AH89,Target_monthwise!$D$4:$O$20,DTR!M$4,FALSE))*1000,0)</f>
        <v>0</v>
      </c>
      <c r="N89" s="141">
        <f>IFERROR((HLOOKUP($AH89,Target_monthwise!$D$4:$O$20,DTR!N$4,FALSE))*1000,0)</f>
        <v>0</v>
      </c>
      <c r="O89" s="141">
        <f>IFERROR((HLOOKUP($AH89,Target_monthwise!$D$4:$O$20,DTR!O$4,FALSE))*1000,0)</f>
        <v>0</v>
      </c>
      <c r="P89" s="141">
        <f>IFERROR((HLOOKUP($AH89,Target_monthwise!$D$4:$O$20,DTR!P$4,FALSE))*1000,0)</f>
        <v>0</v>
      </c>
      <c r="Q89" s="141">
        <f>IFERROR((HLOOKUP($AH89,Target_monthwise!$D$4:$O$20,DTR!Q$4,FALSE))*1000,0)</f>
        <v>0</v>
      </c>
      <c r="R89" s="167">
        <f>IFERROR((HLOOKUP($AH89,Target_monthwise!$D$4:$O$20,DTR!R$4,FALSE))*1000,0)</f>
        <v>0</v>
      </c>
      <c r="S89" s="147">
        <f>IFERROR((HLOOKUP($AH89,Target_monthwise!$D$24:$O$40,DTR!S$4,FALSE)),0)</f>
        <v>0</v>
      </c>
      <c r="T89" s="147">
        <f>IFERROR((HLOOKUP($AH89,Target_monthwise!$D$24:$O$40,DTR!T$4,FALSE)),0)</f>
        <v>0</v>
      </c>
      <c r="U89" s="147">
        <f>IFERROR((HLOOKUP($AH89,Target_monthwise!$D$24:$O$40,DTR!U$4,FALSE)),0)</f>
        <v>0</v>
      </c>
      <c r="V89" s="147">
        <f>IFERROR((HLOOKUP($AH89,Target_monthwise!$D$24:$O$40,DTR!V$4,FALSE)),0)</f>
        <v>0</v>
      </c>
      <c r="W89" s="147">
        <f>IFERROR((HLOOKUP($AH89,Target_monthwise!$D$24:$O$40,DTR!W$4,FALSE)),0)</f>
        <v>0</v>
      </c>
      <c r="X89" s="147">
        <f>IFERROR((HLOOKUP($AH89,Target_monthwise!$D$24:$O$40,DTR!X$4,FALSE)),0)</f>
        <v>0</v>
      </c>
      <c r="Y89" s="147">
        <f>IFERROR((HLOOKUP($AH89,Target_monthwise!$D$24:$O$40,DTR!Y$4,FALSE)),0)</f>
        <v>0</v>
      </c>
      <c r="Z89" s="147">
        <f>IFERROR((HLOOKUP($AH89,Target_monthwise!$D$24:$O$40,DTR!Z$4,FALSE)),0)</f>
        <v>0</v>
      </c>
      <c r="AA89" s="147">
        <f>IFERROR((HLOOKUP($AH89,Target_monthwise!$D$24:$O$40,DTR!AA$4,FALSE)),0)</f>
        <v>0</v>
      </c>
      <c r="AB89" s="147">
        <f>IFERROR((HLOOKUP($AH89,Target_monthwise!$D$24:$O$40,DTR!AB$4,FALSE)),0)</f>
        <v>0</v>
      </c>
      <c r="AC89" s="147">
        <f>IFERROR((HLOOKUP($AH89,Target_monthwise!$D$24:$O$40,DTR!AC$4,FALSE)),0)</f>
        <v>0</v>
      </c>
      <c r="AD89" s="147">
        <f>IFERROR((HLOOKUP($AH89,Target_monthwise!$D$24:$O$40,DTR!AD$4,FALSE)),0)</f>
        <v>0</v>
      </c>
      <c r="AE89" s="147">
        <f>IFERROR((HLOOKUP($AH89,Target_monthwise!$D$24:$O$40,DTR!AE$4,FALSE)),0)</f>
        <v>0</v>
      </c>
      <c r="AF89" s="147">
        <f>IFERROR((HLOOKUP($AH89,Target_monthwise!$D$24:$O$40,DTR!AF$4,FALSE)),0)</f>
        <v>0</v>
      </c>
      <c r="AG89" s="172">
        <f>IFERROR((HLOOKUP($AH89,Target_monthwise!$D$24:$O$40,DTR!AG$4,FALSE)),0)</f>
        <v>0</v>
      </c>
      <c r="AH89" s="253">
        <f t="shared" si="1"/>
        <v>202206</v>
      </c>
    </row>
    <row r="90" spans="3:34" ht="15.75" hidden="1">
      <c r="C90" s="237">
        <v>44733</v>
      </c>
      <c r="D90" s="238">
        <f>IFERROR((HLOOKUP($AH90,Target_monthwise!$D$4:$O$20,DTR!D$4,FALSE))*1000,0)</f>
        <v>0</v>
      </c>
      <c r="E90" s="238">
        <f>IFERROR((HLOOKUP($AH90,Target_monthwise!$D$4:$O$20,DTR!E$4,FALSE))*1000,0)</f>
        <v>0</v>
      </c>
      <c r="F90" s="238">
        <f>IFERROR((HLOOKUP($AH90,Target_monthwise!$D$4:$O$20,DTR!F$4,FALSE))*1000,0)</f>
        <v>0</v>
      </c>
      <c r="G90" s="238">
        <f>IFERROR((HLOOKUP($AH90,Target_monthwise!$D$4:$O$20,DTR!G$4,FALSE))*1000,0)</f>
        <v>0</v>
      </c>
      <c r="H90" s="238">
        <f>IFERROR((HLOOKUP($AH90,Target_monthwise!$D$4:$O$20,DTR!H$4,FALSE))*1000,0)</f>
        <v>0</v>
      </c>
      <c r="I90" s="238">
        <f>IFERROR((HLOOKUP($AH90,Target_monthwise!$D$4:$O$20,DTR!I$4,FALSE))*1000,0)</f>
        <v>0</v>
      </c>
      <c r="J90" s="238">
        <f>IFERROR((HLOOKUP($AH90,Target_monthwise!$D$4:$O$20,DTR!J$4,FALSE))*1000,0)</f>
        <v>0</v>
      </c>
      <c r="K90" s="238">
        <f>IFERROR((HLOOKUP($AH90,Target_monthwise!$D$4:$O$20,DTR!K$4,FALSE))*1000,0)</f>
        <v>0</v>
      </c>
      <c r="L90" s="238">
        <f>IFERROR((HLOOKUP($AH90,Target_monthwise!$D$4:$O$20,DTR!L$4,FALSE))*1000,0)</f>
        <v>0</v>
      </c>
      <c r="M90" s="238">
        <f>IFERROR((HLOOKUP($AH90,Target_monthwise!$D$4:$O$20,DTR!M$4,FALSE))*1000,0)</f>
        <v>0</v>
      </c>
      <c r="N90" s="238">
        <f>IFERROR((HLOOKUP($AH90,Target_monthwise!$D$4:$O$20,DTR!N$4,FALSE))*1000,0)</f>
        <v>0</v>
      </c>
      <c r="O90" s="238">
        <f>IFERROR((HLOOKUP($AH90,Target_monthwise!$D$4:$O$20,DTR!O$4,FALSE))*1000,0)</f>
        <v>0</v>
      </c>
      <c r="P90" s="238">
        <f>IFERROR((HLOOKUP($AH90,Target_monthwise!$D$4:$O$20,DTR!P$4,FALSE))*1000,0)</f>
        <v>0</v>
      </c>
      <c r="Q90" s="141">
        <f>IFERROR((HLOOKUP($AH90,Target_monthwise!$D$4:$O$20,DTR!Q$4,FALSE))*1000,0)</f>
        <v>0</v>
      </c>
      <c r="R90" s="167">
        <f>IFERROR((HLOOKUP($AH90,Target_monthwise!$D$4:$O$20,DTR!R$4,FALSE))*1000,0)</f>
        <v>0</v>
      </c>
      <c r="S90" s="239">
        <f>IFERROR((HLOOKUP($AH90,Target_monthwise!$D$24:$O$40,DTR!S$4,FALSE)),0)</f>
        <v>0</v>
      </c>
      <c r="T90" s="239">
        <f>IFERROR((HLOOKUP($AH90,Target_monthwise!$D$24:$O$40,DTR!T$4,FALSE)),0)</f>
        <v>0</v>
      </c>
      <c r="U90" s="239">
        <f>IFERROR((HLOOKUP($AH90,Target_monthwise!$D$24:$O$40,DTR!U$4,FALSE)),0)</f>
        <v>0</v>
      </c>
      <c r="V90" s="239">
        <f>IFERROR((HLOOKUP($AH90,Target_monthwise!$D$24:$O$40,DTR!V$4,FALSE)),0)</f>
        <v>0</v>
      </c>
      <c r="W90" s="239">
        <f>IFERROR((HLOOKUP($AH90,Target_monthwise!$D$24:$O$40,DTR!W$4,FALSE)),0)</f>
        <v>0</v>
      </c>
      <c r="X90" s="239">
        <f>IFERROR((HLOOKUP($AH90,Target_monthwise!$D$24:$O$40,DTR!X$4,FALSE)),0)</f>
        <v>0</v>
      </c>
      <c r="Y90" s="239">
        <f>IFERROR((HLOOKUP($AH90,Target_monthwise!$D$24:$O$40,DTR!Y$4,FALSE)),0)</f>
        <v>0</v>
      </c>
      <c r="Z90" s="147">
        <f>IFERROR((HLOOKUP($AH90,Target_monthwise!$D$24:$O$40,DTR!Z$4,FALSE)),0)</f>
        <v>0</v>
      </c>
      <c r="AA90" s="147">
        <f>IFERROR((HLOOKUP($AH90,Target_monthwise!$D$24:$O$40,DTR!AA$4,FALSE)),0)</f>
        <v>0</v>
      </c>
      <c r="AB90" s="147">
        <f>IFERROR((HLOOKUP($AH90,Target_monthwise!$D$24:$O$40,DTR!AB$4,FALSE)),0)</f>
        <v>0</v>
      </c>
      <c r="AC90" s="239">
        <f>IFERROR((HLOOKUP($AH90,Target_monthwise!$D$24:$O$40,DTR!AC$4,FALSE)),0)</f>
        <v>0</v>
      </c>
      <c r="AD90" s="239">
        <f>IFERROR((HLOOKUP($AH90,Target_monthwise!$D$24:$O$40,DTR!AD$4,FALSE)),0)</f>
        <v>0</v>
      </c>
      <c r="AE90" s="239">
        <f>IFERROR((HLOOKUP($AH90,Target_monthwise!$D$24:$O$40,DTR!AE$4,FALSE)),0)</f>
        <v>0</v>
      </c>
      <c r="AF90" s="239">
        <f>IFERROR((HLOOKUP($AH90,Target_monthwise!$D$24:$O$40,DTR!AF$4,FALSE)),0)</f>
        <v>0</v>
      </c>
      <c r="AG90" s="172">
        <f>IFERROR((HLOOKUP($AH90,Target_monthwise!$D$24:$O$40,DTR!AG$4,FALSE)),0)</f>
        <v>0</v>
      </c>
      <c r="AH90" s="253">
        <f t="shared" si="1"/>
        <v>202206</v>
      </c>
    </row>
    <row r="91" spans="3:34" ht="15.75" hidden="1">
      <c r="C91" s="235">
        <v>44734</v>
      </c>
      <c r="D91" s="141">
        <f>IFERROR((HLOOKUP($AH91,Target_monthwise!$D$4:$O$20,DTR!D$4,FALSE))*1000,0)</f>
        <v>0</v>
      </c>
      <c r="E91" s="141">
        <f>IFERROR((HLOOKUP($AH91,Target_monthwise!$D$4:$O$20,DTR!E$4,FALSE))*1000,0)</f>
        <v>0</v>
      </c>
      <c r="F91" s="141">
        <f>IFERROR((HLOOKUP($AH91,Target_monthwise!$D$4:$O$20,DTR!F$4,FALSE))*1000,0)</f>
        <v>0</v>
      </c>
      <c r="G91" s="141">
        <f>IFERROR((HLOOKUP($AH91,Target_monthwise!$D$4:$O$20,DTR!G$4,FALSE))*1000,0)</f>
        <v>0</v>
      </c>
      <c r="H91" s="141">
        <f>IFERROR((HLOOKUP($AH91,Target_monthwise!$D$4:$O$20,DTR!H$4,FALSE))*1000,0)</f>
        <v>0</v>
      </c>
      <c r="I91" s="141">
        <f>IFERROR((HLOOKUP($AH91,Target_monthwise!$D$4:$O$20,DTR!I$4,FALSE))*1000,0)</f>
        <v>0</v>
      </c>
      <c r="J91" s="141">
        <f>IFERROR((HLOOKUP($AH91,Target_monthwise!$D$4:$O$20,DTR!J$4,FALSE))*1000,0)</f>
        <v>0</v>
      </c>
      <c r="K91" s="141">
        <f>IFERROR((HLOOKUP($AH91,Target_monthwise!$D$4:$O$20,DTR!K$4,FALSE))*1000,0)</f>
        <v>0</v>
      </c>
      <c r="L91" s="141">
        <f>IFERROR((HLOOKUP($AH91,Target_monthwise!$D$4:$O$20,DTR!L$4,FALSE))*1000,0)</f>
        <v>0</v>
      </c>
      <c r="M91" s="141">
        <f>IFERROR((HLOOKUP($AH91,Target_monthwise!$D$4:$O$20,DTR!M$4,FALSE))*1000,0)</f>
        <v>0</v>
      </c>
      <c r="N91" s="141">
        <f>IFERROR((HLOOKUP($AH91,Target_monthwise!$D$4:$O$20,DTR!N$4,FALSE))*1000,0)</f>
        <v>0</v>
      </c>
      <c r="O91" s="141">
        <f>IFERROR((HLOOKUP($AH91,Target_monthwise!$D$4:$O$20,DTR!O$4,FALSE))*1000,0)</f>
        <v>0</v>
      </c>
      <c r="P91" s="141">
        <f>IFERROR((HLOOKUP($AH91,Target_monthwise!$D$4:$O$20,DTR!P$4,FALSE))*1000,0)</f>
        <v>0</v>
      </c>
      <c r="Q91" s="141">
        <f>IFERROR((HLOOKUP($AH91,Target_monthwise!$D$4:$O$20,DTR!Q$4,FALSE))*1000,0)</f>
        <v>0</v>
      </c>
      <c r="R91" s="167">
        <f>IFERROR((HLOOKUP($AH91,Target_monthwise!$D$4:$O$20,DTR!R$4,FALSE))*1000,0)</f>
        <v>0</v>
      </c>
      <c r="S91" s="147">
        <f>IFERROR((HLOOKUP($AH91,Target_monthwise!$D$24:$O$40,DTR!S$4,FALSE)),0)</f>
        <v>0</v>
      </c>
      <c r="T91" s="147">
        <f>IFERROR((HLOOKUP($AH91,Target_monthwise!$D$24:$O$40,DTR!T$4,FALSE)),0)</f>
        <v>0</v>
      </c>
      <c r="U91" s="147">
        <f>IFERROR((HLOOKUP($AH91,Target_monthwise!$D$24:$O$40,DTR!U$4,FALSE)),0)</f>
        <v>0</v>
      </c>
      <c r="V91" s="147">
        <f>IFERROR((HLOOKUP($AH91,Target_monthwise!$D$24:$O$40,DTR!V$4,FALSE)),0)</f>
        <v>0</v>
      </c>
      <c r="W91" s="147">
        <f>IFERROR((HLOOKUP($AH91,Target_monthwise!$D$24:$O$40,DTR!W$4,FALSE)),0)</f>
        <v>0</v>
      </c>
      <c r="X91" s="147">
        <f>IFERROR((HLOOKUP($AH91,Target_monthwise!$D$24:$O$40,DTR!X$4,FALSE)),0)</f>
        <v>0</v>
      </c>
      <c r="Y91" s="147">
        <f>IFERROR((HLOOKUP($AH91,Target_monthwise!$D$24:$O$40,DTR!Y$4,FALSE)),0)</f>
        <v>0</v>
      </c>
      <c r="Z91" s="147">
        <f>IFERROR((HLOOKUP($AH91,Target_monthwise!$D$24:$O$40,DTR!Z$4,FALSE)),0)</f>
        <v>0</v>
      </c>
      <c r="AA91" s="147">
        <f>IFERROR((HLOOKUP($AH91,Target_monthwise!$D$24:$O$40,DTR!AA$4,FALSE)),0)</f>
        <v>0</v>
      </c>
      <c r="AB91" s="147">
        <f>IFERROR((HLOOKUP($AH91,Target_monthwise!$D$24:$O$40,DTR!AB$4,FALSE)),0)</f>
        <v>0</v>
      </c>
      <c r="AC91" s="147">
        <f>IFERROR((HLOOKUP($AH91,Target_monthwise!$D$24:$O$40,DTR!AC$4,FALSE)),0)</f>
        <v>0</v>
      </c>
      <c r="AD91" s="147">
        <f>IFERROR((HLOOKUP($AH91,Target_monthwise!$D$24:$O$40,DTR!AD$4,FALSE)),0)</f>
        <v>0</v>
      </c>
      <c r="AE91" s="147">
        <f>IFERROR((HLOOKUP($AH91,Target_monthwise!$D$24:$O$40,DTR!AE$4,FALSE)),0)</f>
        <v>0</v>
      </c>
      <c r="AF91" s="147">
        <f>IFERROR((HLOOKUP($AH91,Target_monthwise!$D$24:$O$40,DTR!AF$4,FALSE)),0)</f>
        <v>0</v>
      </c>
      <c r="AG91" s="172">
        <f>IFERROR((HLOOKUP($AH91,Target_monthwise!$D$24:$O$40,DTR!AG$4,FALSE)),0)</f>
        <v>0</v>
      </c>
      <c r="AH91" s="253">
        <f t="shared" si="1"/>
        <v>202206</v>
      </c>
    </row>
    <row r="92" spans="3:34" ht="15.75" hidden="1">
      <c r="C92" s="237">
        <v>44735</v>
      </c>
      <c r="D92" s="238">
        <f>IFERROR((HLOOKUP($AH92,Target_monthwise!$D$4:$O$20,DTR!D$4,FALSE))*1000,0)</f>
        <v>0</v>
      </c>
      <c r="E92" s="238">
        <f>IFERROR((HLOOKUP($AH92,Target_monthwise!$D$4:$O$20,DTR!E$4,FALSE))*1000,0)</f>
        <v>0</v>
      </c>
      <c r="F92" s="238">
        <f>IFERROR((HLOOKUP($AH92,Target_monthwise!$D$4:$O$20,DTR!F$4,FALSE))*1000,0)</f>
        <v>0</v>
      </c>
      <c r="G92" s="238">
        <f>IFERROR((HLOOKUP($AH92,Target_monthwise!$D$4:$O$20,DTR!G$4,FALSE))*1000,0)</f>
        <v>0</v>
      </c>
      <c r="H92" s="238">
        <f>IFERROR((HLOOKUP($AH92,Target_monthwise!$D$4:$O$20,DTR!H$4,FALSE))*1000,0)</f>
        <v>0</v>
      </c>
      <c r="I92" s="238">
        <f>IFERROR((HLOOKUP($AH92,Target_monthwise!$D$4:$O$20,DTR!I$4,FALSE))*1000,0)</f>
        <v>0</v>
      </c>
      <c r="J92" s="238">
        <f>IFERROR((HLOOKUP($AH92,Target_monthwise!$D$4:$O$20,DTR!J$4,FALSE))*1000,0)</f>
        <v>0</v>
      </c>
      <c r="K92" s="238">
        <f>IFERROR((HLOOKUP($AH92,Target_monthwise!$D$4:$O$20,DTR!K$4,FALSE))*1000,0)</f>
        <v>0</v>
      </c>
      <c r="L92" s="238">
        <f>IFERROR((HLOOKUP($AH92,Target_monthwise!$D$4:$O$20,DTR!L$4,FALSE))*1000,0)</f>
        <v>0</v>
      </c>
      <c r="M92" s="238">
        <f>IFERROR((HLOOKUP($AH92,Target_monthwise!$D$4:$O$20,DTR!M$4,FALSE))*1000,0)</f>
        <v>0</v>
      </c>
      <c r="N92" s="238">
        <f>IFERROR((HLOOKUP($AH92,Target_monthwise!$D$4:$O$20,DTR!N$4,FALSE))*1000,0)</f>
        <v>0</v>
      </c>
      <c r="O92" s="238">
        <f>IFERROR((HLOOKUP($AH92,Target_monthwise!$D$4:$O$20,DTR!O$4,FALSE))*1000,0)</f>
        <v>0</v>
      </c>
      <c r="P92" s="238">
        <f>IFERROR((HLOOKUP($AH92,Target_monthwise!$D$4:$O$20,DTR!P$4,FALSE))*1000,0)</f>
        <v>0</v>
      </c>
      <c r="Q92" s="141">
        <f>IFERROR((HLOOKUP($AH92,Target_monthwise!$D$4:$O$20,DTR!Q$4,FALSE))*1000,0)</f>
        <v>0</v>
      </c>
      <c r="R92" s="167">
        <f>IFERROR((HLOOKUP($AH92,Target_monthwise!$D$4:$O$20,DTR!R$4,FALSE))*1000,0)</f>
        <v>0</v>
      </c>
      <c r="S92" s="239">
        <f>IFERROR((HLOOKUP($AH92,Target_monthwise!$D$24:$O$40,DTR!S$4,FALSE)),0)</f>
        <v>0</v>
      </c>
      <c r="T92" s="239">
        <f>IFERROR((HLOOKUP($AH92,Target_monthwise!$D$24:$O$40,DTR!T$4,FALSE)),0)</f>
        <v>0</v>
      </c>
      <c r="U92" s="239">
        <f>IFERROR((HLOOKUP($AH92,Target_monthwise!$D$24:$O$40,DTR!U$4,FALSE)),0)</f>
        <v>0</v>
      </c>
      <c r="V92" s="239">
        <f>IFERROR((HLOOKUP($AH92,Target_monthwise!$D$24:$O$40,DTR!V$4,FALSE)),0)</f>
        <v>0</v>
      </c>
      <c r="W92" s="239">
        <f>IFERROR((HLOOKUP($AH92,Target_monthwise!$D$24:$O$40,DTR!W$4,FALSE)),0)</f>
        <v>0</v>
      </c>
      <c r="X92" s="239">
        <f>IFERROR((HLOOKUP($AH92,Target_monthwise!$D$24:$O$40,DTR!X$4,FALSE)),0)</f>
        <v>0</v>
      </c>
      <c r="Y92" s="239">
        <f>IFERROR((HLOOKUP($AH92,Target_monthwise!$D$24:$O$40,DTR!Y$4,FALSE)),0)</f>
        <v>0</v>
      </c>
      <c r="Z92" s="147">
        <f>IFERROR((HLOOKUP($AH92,Target_monthwise!$D$24:$O$40,DTR!Z$4,FALSE)),0)</f>
        <v>0</v>
      </c>
      <c r="AA92" s="147">
        <f>IFERROR((HLOOKUP($AH92,Target_monthwise!$D$24:$O$40,DTR!AA$4,FALSE)),0)</f>
        <v>0</v>
      </c>
      <c r="AB92" s="147">
        <f>IFERROR((HLOOKUP($AH92,Target_monthwise!$D$24:$O$40,DTR!AB$4,FALSE)),0)</f>
        <v>0</v>
      </c>
      <c r="AC92" s="239">
        <f>IFERROR((HLOOKUP($AH92,Target_monthwise!$D$24:$O$40,DTR!AC$4,FALSE)),0)</f>
        <v>0</v>
      </c>
      <c r="AD92" s="239">
        <f>IFERROR((HLOOKUP($AH92,Target_monthwise!$D$24:$O$40,DTR!AD$4,FALSE)),0)</f>
        <v>0</v>
      </c>
      <c r="AE92" s="239">
        <f>IFERROR((HLOOKUP($AH92,Target_monthwise!$D$24:$O$40,DTR!AE$4,FALSE)),0)</f>
        <v>0</v>
      </c>
      <c r="AF92" s="239">
        <f>IFERROR((HLOOKUP($AH92,Target_monthwise!$D$24:$O$40,DTR!AF$4,FALSE)),0)</f>
        <v>0</v>
      </c>
      <c r="AG92" s="172">
        <f>IFERROR((HLOOKUP($AH92,Target_monthwise!$D$24:$O$40,DTR!AG$4,FALSE)),0)</f>
        <v>0</v>
      </c>
      <c r="AH92" s="253">
        <f t="shared" si="1"/>
        <v>202206</v>
      </c>
    </row>
    <row r="93" spans="3:34" ht="15.75" hidden="1">
      <c r="C93" s="235">
        <v>44736</v>
      </c>
      <c r="D93" s="141">
        <f>IFERROR((HLOOKUP($AH93,Target_monthwise!$D$4:$O$20,DTR!D$4,FALSE))*1000,0)</f>
        <v>0</v>
      </c>
      <c r="E93" s="141">
        <f>IFERROR((HLOOKUP($AH93,Target_monthwise!$D$4:$O$20,DTR!E$4,FALSE))*1000,0)</f>
        <v>0</v>
      </c>
      <c r="F93" s="141">
        <f>IFERROR((HLOOKUP($AH93,Target_monthwise!$D$4:$O$20,DTR!F$4,FALSE))*1000,0)</f>
        <v>0</v>
      </c>
      <c r="G93" s="141">
        <f>IFERROR((HLOOKUP($AH93,Target_monthwise!$D$4:$O$20,DTR!G$4,FALSE))*1000,0)</f>
        <v>0</v>
      </c>
      <c r="H93" s="141">
        <f>IFERROR((HLOOKUP($AH93,Target_monthwise!$D$4:$O$20,DTR!H$4,FALSE))*1000,0)</f>
        <v>0</v>
      </c>
      <c r="I93" s="141">
        <f>IFERROR((HLOOKUP($AH93,Target_monthwise!$D$4:$O$20,DTR!I$4,FALSE))*1000,0)</f>
        <v>0</v>
      </c>
      <c r="J93" s="141">
        <f>IFERROR((HLOOKUP($AH93,Target_monthwise!$D$4:$O$20,DTR!J$4,FALSE))*1000,0)</f>
        <v>0</v>
      </c>
      <c r="K93" s="141">
        <f>IFERROR((HLOOKUP($AH93,Target_monthwise!$D$4:$O$20,DTR!K$4,FALSE))*1000,0)</f>
        <v>0</v>
      </c>
      <c r="L93" s="141">
        <f>IFERROR((HLOOKUP($AH93,Target_monthwise!$D$4:$O$20,DTR!L$4,FALSE))*1000,0)</f>
        <v>0</v>
      </c>
      <c r="M93" s="141">
        <f>IFERROR((HLOOKUP($AH93,Target_monthwise!$D$4:$O$20,DTR!M$4,FALSE))*1000,0)</f>
        <v>0</v>
      </c>
      <c r="N93" s="141">
        <f>IFERROR((HLOOKUP($AH93,Target_monthwise!$D$4:$O$20,DTR!N$4,FALSE))*1000,0)</f>
        <v>0</v>
      </c>
      <c r="O93" s="141">
        <f>IFERROR((HLOOKUP($AH93,Target_monthwise!$D$4:$O$20,DTR!O$4,FALSE))*1000,0)</f>
        <v>0</v>
      </c>
      <c r="P93" s="141">
        <f>IFERROR((HLOOKUP($AH93,Target_monthwise!$D$4:$O$20,DTR!P$4,FALSE))*1000,0)</f>
        <v>0</v>
      </c>
      <c r="Q93" s="141">
        <f>IFERROR((HLOOKUP($AH93,Target_monthwise!$D$4:$O$20,DTR!Q$4,FALSE))*1000,0)</f>
        <v>0</v>
      </c>
      <c r="R93" s="167">
        <f>IFERROR((HLOOKUP($AH93,Target_monthwise!$D$4:$O$20,DTR!R$4,FALSE))*1000,0)</f>
        <v>0</v>
      </c>
      <c r="S93" s="147">
        <f>IFERROR((HLOOKUP($AH93,Target_monthwise!$D$24:$O$40,DTR!S$4,FALSE)),0)</f>
        <v>0</v>
      </c>
      <c r="T93" s="147">
        <f>IFERROR((HLOOKUP($AH93,Target_monthwise!$D$24:$O$40,DTR!T$4,FALSE)),0)</f>
        <v>0</v>
      </c>
      <c r="U93" s="147">
        <f>IFERROR((HLOOKUP($AH93,Target_monthwise!$D$24:$O$40,DTR!U$4,FALSE)),0)</f>
        <v>0</v>
      </c>
      <c r="V93" s="147">
        <f>IFERROR((HLOOKUP($AH93,Target_monthwise!$D$24:$O$40,DTR!V$4,FALSE)),0)</f>
        <v>0</v>
      </c>
      <c r="W93" s="147">
        <f>IFERROR((HLOOKUP($AH93,Target_monthwise!$D$24:$O$40,DTR!W$4,FALSE)),0)</f>
        <v>0</v>
      </c>
      <c r="X93" s="147">
        <f>IFERROR((HLOOKUP($AH93,Target_monthwise!$D$24:$O$40,DTR!X$4,FALSE)),0)</f>
        <v>0</v>
      </c>
      <c r="Y93" s="147">
        <f>IFERROR((HLOOKUP($AH93,Target_monthwise!$D$24:$O$40,DTR!Y$4,FALSE)),0)</f>
        <v>0</v>
      </c>
      <c r="Z93" s="147">
        <f>IFERROR((HLOOKUP($AH93,Target_monthwise!$D$24:$O$40,DTR!Z$4,FALSE)),0)</f>
        <v>0</v>
      </c>
      <c r="AA93" s="147">
        <f>IFERROR((HLOOKUP($AH93,Target_monthwise!$D$24:$O$40,DTR!AA$4,FALSE)),0)</f>
        <v>0</v>
      </c>
      <c r="AB93" s="147">
        <f>IFERROR((HLOOKUP($AH93,Target_monthwise!$D$24:$O$40,DTR!AB$4,FALSE)),0)</f>
        <v>0</v>
      </c>
      <c r="AC93" s="147">
        <f>IFERROR((HLOOKUP($AH93,Target_monthwise!$D$24:$O$40,DTR!AC$4,FALSE)),0)</f>
        <v>0</v>
      </c>
      <c r="AD93" s="147">
        <f>IFERROR((HLOOKUP($AH93,Target_monthwise!$D$24:$O$40,DTR!AD$4,FALSE)),0)</f>
        <v>0</v>
      </c>
      <c r="AE93" s="147">
        <f>IFERROR((HLOOKUP($AH93,Target_monthwise!$D$24:$O$40,DTR!AE$4,FALSE)),0)</f>
        <v>0</v>
      </c>
      <c r="AF93" s="147">
        <f>IFERROR((HLOOKUP($AH93,Target_monthwise!$D$24:$O$40,DTR!AF$4,FALSE)),0)</f>
        <v>0</v>
      </c>
      <c r="AG93" s="172">
        <f>IFERROR((HLOOKUP($AH93,Target_monthwise!$D$24:$O$40,DTR!AG$4,FALSE)),0)</f>
        <v>0</v>
      </c>
      <c r="AH93" s="253">
        <f t="shared" si="1"/>
        <v>202206</v>
      </c>
    </row>
    <row r="94" spans="3:34" ht="15.75" hidden="1">
      <c r="C94" s="237">
        <v>44737</v>
      </c>
      <c r="D94" s="238">
        <f>IFERROR((HLOOKUP($AH94,Target_monthwise!$D$4:$O$20,DTR!D$4,FALSE))*1000,0)</f>
        <v>0</v>
      </c>
      <c r="E94" s="238">
        <f>IFERROR((HLOOKUP($AH94,Target_monthwise!$D$4:$O$20,DTR!E$4,FALSE))*1000,0)</f>
        <v>0</v>
      </c>
      <c r="F94" s="238">
        <f>IFERROR((HLOOKUP($AH94,Target_monthwise!$D$4:$O$20,DTR!F$4,FALSE))*1000,0)</f>
        <v>0</v>
      </c>
      <c r="G94" s="238">
        <f>IFERROR((HLOOKUP($AH94,Target_monthwise!$D$4:$O$20,DTR!G$4,FALSE))*1000,0)</f>
        <v>0</v>
      </c>
      <c r="H94" s="238">
        <f>IFERROR((HLOOKUP($AH94,Target_monthwise!$D$4:$O$20,DTR!H$4,FALSE))*1000,0)</f>
        <v>0</v>
      </c>
      <c r="I94" s="238">
        <f>IFERROR((HLOOKUP($AH94,Target_monthwise!$D$4:$O$20,DTR!I$4,FALSE))*1000,0)</f>
        <v>0</v>
      </c>
      <c r="J94" s="238">
        <f>IFERROR((HLOOKUP($AH94,Target_monthwise!$D$4:$O$20,DTR!J$4,FALSE))*1000,0)</f>
        <v>0</v>
      </c>
      <c r="K94" s="238">
        <f>IFERROR((HLOOKUP($AH94,Target_monthwise!$D$4:$O$20,DTR!K$4,FALSE))*1000,0)</f>
        <v>0</v>
      </c>
      <c r="L94" s="238">
        <f>IFERROR((HLOOKUP($AH94,Target_monthwise!$D$4:$O$20,DTR!L$4,FALSE))*1000,0)</f>
        <v>0</v>
      </c>
      <c r="M94" s="238">
        <f>IFERROR((HLOOKUP($AH94,Target_monthwise!$D$4:$O$20,DTR!M$4,FALSE))*1000,0)</f>
        <v>0</v>
      </c>
      <c r="N94" s="238">
        <f>IFERROR((HLOOKUP($AH94,Target_monthwise!$D$4:$O$20,DTR!N$4,FALSE))*1000,0)</f>
        <v>0</v>
      </c>
      <c r="O94" s="238">
        <f>IFERROR((HLOOKUP($AH94,Target_monthwise!$D$4:$O$20,DTR!O$4,FALSE))*1000,0)</f>
        <v>0</v>
      </c>
      <c r="P94" s="238">
        <f>IFERROR((HLOOKUP($AH94,Target_monthwise!$D$4:$O$20,DTR!P$4,FALSE))*1000,0)</f>
        <v>0</v>
      </c>
      <c r="Q94" s="141">
        <f>IFERROR((HLOOKUP($AH94,Target_monthwise!$D$4:$O$20,DTR!Q$4,FALSE))*1000,0)</f>
        <v>0</v>
      </c>
      <c r="R94" s="167">
        <f>IFERROR((HLOOKUP($AH94,Target_monthwise!$D$4:$O$20,DTR!R$4,FALSE))*1000,0)</f>
        <v>0</v>
      </c>
      <c r="S94" s="239">
        <f>IFERROR((HLOOKUP($AH94,Target_monthwise!$D$24:$O$40,DTR!S$4,FALSE)),0)</f>
        <v>0</v>
      </c>
      <c r="T94" s="239">
        <f>IFERROR((HLOOKUP($AH94,Target_monthwise!$D$24:$O$40,DTR!T$4,FALSE)),0)</f>
        <v>0</v>
      </c>
      <c r="U94" s="239">
        <f>IFERROR((HLOOKUP($AH94,Target_monthwise!$D$24:$O$40,DTR!U$4,FALSE)),0)</f>
        <v>0</v>
      </c>
      <c r="V94" s="239">
        <f>IFERROR((HLOOKUP($AH94,Target_monthwise!$D$24:$O$40,DTR!V$4,FALSE)),0)</f>
        <v>0</v>
      </c>
      <c r="W94" s="239">
        <f>IFERROR((HLOOKUP($AH94,Target_monthwise!$D$24:$O$40,DTR!W$4,FALSE)),0)</f>
        <v>0</v>
      </c>
      <c r="X94" s="239">
        <f>IFERROR((HLOOKUP($AH94,Target_monthwise!$D$24:$O$40,DTR!X$4,FALSE)),0)</f>
        <v>0</v>
      </c>
      <c r="Y94" s="239">
        <f>IFERROR((HLOOKUP($AH94,Target_monthwise!$D$24:$O$40,DTR!Y$4,FALSE)),0)</f>
        <v>0</v>
      </c>
      <c r="Z94" s="147">
        <f>IFERROR((HLOOKUP($AH94,Target_monthwise!$D$24:$O$40,DTR!Z$4,FALSE)),0)</f>
        <v>0</v>
      </c>
      <c r="AA94" s="147">
        <f>IFERROR((HLOOKUP($AH94,Target_monthwise!$D$24:$O$40,DTR!AA$4,FALSE)),0)</f>
        <v>0</v>
      </c>
      <c r="AB94" s="147">
        <f>IFERROR((HLOOKUP($AH94,Target_monthwise!$D$24:$O$40,DTR!AB$4,FALSE)),0)</f>
        <v>0</v>
      </c>
      <c r="AC94" s="239">
        <f>IFERROR((HLOOKUP($AH94,Target_monthwise!$D$24:$O$40,DTR!AC$4,FALSE)),0)</f>
        <v>0</v>
      </c>
      <c r="AD94" s="239">
        <f>IFERROR((HLOOKUP($AH94,Target_monthwise!$D$24:$O$40,DTR!AD$4,FALSE)),0)</f>
        <v>0</v>
      </c>
      <c r="AE94" s="239">
        <f>IFERROR((HLOOKUP($AH94,Target_monthwise!$D$24:$O$40,DTR!AE$4,FALSE)),0)</f>
        <v>0</v>
      </c>
      <c r="AF94" s="239">
        <f>IFERROR((HLOOKUP($AH94,Target_monthwise!$D$24:$O$40,DTR!AF$4,FALSE)),0)</f>
        <v>0</v>
      </c>
      <c r="AG94" s="172">
        <f>IFERROR((HLOOKUP($AH94,Target_monthwise!$D$24:$O$40,DTR!AG$4,FALSE)),0)</f>
        <v>0</v>
      </c>
      <c r="AH94" s="253">
        <f t="shared" si="1"/>
        <v>202206</v>
      </c>
    </row>
    <row r="95" spans="3:34" ht="15.75" hidden="1">
      <c r="C95" s="235">
        <v>44738</v>
      </c>
      <c r="D95" s="141">
        <f>IFERROR((HLOOKUP($AH95,Target_monthwise!$D$4:$O$20,DTR!D$4,FALSE))*1000,0)</f>
        <v>0</v>
      </c>
      <c r="E95" s="141">
        <f>IFERROR((HLOOKUP($AH95,Target_monthwise!$D$4:$O$20,DTR!E$4,FALSE))*1000,0)</f>
        <v>0</v>
      </c>
      <c r="F95" s="141">
        <f>IFERROR((HLOOKUP($AH95,Target_monthwise!$D$4:$O$20,DTR!F$4,FALSE))*1000,0)</f>
        <v>0</v>
      </c>
      <c r="G95" s="141">
        <f>IFERROR((HLOOKUP($AH95,Target_monthwise!$D$4:$O$20,DTR!G$4,FALSE))*1000,0)</f>
        <v>0</v>
      </c>
      <c r="H95" s="141">
        <f>IFERROR((HLOOKUP($AH95,Target_monthwise!$D$4:$O$20,DTR!H$4,FALSE))*1000,0)</f>
        <v>0</v>
      </c>
      <c r="I95" s="141">
        <f>IFERROR((HLOOKUP($AH95,Target_monthwise!$D$4:$O$20,DTR!I$4,FALSE))*1000,0)</f>
        <v>0</v>
      </c>
      <c r="J95" s="141">
        <f>IFERROR((HLOOKUP($AH95,Target_monthwise!$D$4:$O$20,DTR!J$4,FALSE))*1000,0)</f>
        <v>0</v>
      </c>
      <c r="K95" s="141">
        <f>IFERROR((HLOOKUP($AH95,Target_monthwise!$D$4:$O$20,DTR!K$4,FALSE))*1000,0)</f>
        <v>0</v>
      </c>
      <c r="L95" s="141">
        <f>IFERROR((HLOOKUP($AH95,Target_monthwise!$D$4:$O$20,DTR!L$4,FALSE))*1000,0)</f>
        <v>0</v>
      </c>
      <c r="M95" s="141">
        <f>IFERROR((HLOOKUP($AH95,Target_monthwise!$D$4:$O$20,DTR!M$4,FALSE))*1000,0)</f>
        <v>0</v>
      </c>
      <c r="N95" s="141">
        <f>IFERROR((HLOOKUP($AH95,Target_monthwise!$D$4:$O$20,DTR!N$4,FALSE))*1000,0)</f>
        <v>0</v>
      </c>
      <c r="O95" s="141">
        <f>IFERROR((HLOOKUP($AH95,Target_monthwise!$D$4:$O$20,DTR!O$4,FALSE))*1000,0)</f>
        <v>0</v>
      </c>
      <c r="P95" s="141">
        <f>IFERROR((HLOOKUP($AH95,Target_monthwise!$D$4:$O$20,DTR!P$4,FALSE))*1000,0)</f>
        <v>0</v>
      </c>
      <c r="Q95" s="141">
        <f>IFERROR((HLOOKUP($AH95,Target_monthwise!$D$4:$O$20,DTR!Q$4,FALSE))*1000,0)</f>
        <v>0</v>
      </c>
      <c r="R95" s="167">
        <f>IFERROR((HLOOKUP($AH95,Target_monthwise!$D$4:$O$20,DTR!R$4,FALSE))*1000,0)</f>
        <v>0</v>
      </c>
      <c r="S95" s="147">
        <f>IFERROR((HLOOKUP($AH95,Target_monthwise!$D$24:$O$40,DTR!S$4,FALSE)),0)</f>
        <v>0</v>
      </c>
      <c r="T95" s="147">
        <f>IFERROR((HLOOKUP($AH95,Target_monthwise!$D$24:$O$40,DTR!T$4,FALSE)),0)</f>
        <v>0</v>
      </c>
      <c r="U95" s="147">
        <f>IFERROR((HLOOKUP($AH95,Target_monthwise!$D$24:$O$40,DTR!U$4,FALSE)),0)</f>
        <v>0</v>
      </c>
      <c r="V95" s="147">
        <f>IFERROR((HLOOKUP($AH95,Target_monthwise!$D$24:$O$40,DTR!V$4,FALSE)),0)</f>
        <v>0</v>
      </c>
      <c r="W95" s="147">
        <f>IFERROR((HLOOKUP($AH95,Target_monthwise!$D$24:$O$40,DTR!W$4,FALSE)),0)</f>
        <v>0</v>
      </c>
      <c r="X95" s="147">
        <f>IFERROR((HLOOKUP($AH95,Target_monthwise!$D$24:$O$40,DTR!X$4,FALSE)),0)</f>
        <v>0</v>
      </c>
      <c r="Y95" s="147">
        <f>IFERROR((HLOOKUP($AH95,Target_monthwise!$D$24:$O$40,DTR!Y$4,FALSE)),0)</f>
        <v>0</v>
      </c>
      <c r="Z95" s="147">
        <f>IFERROR((HLOOKUP($AH95,Target_monthwise!$D$24:$O$40,DTR!Z$4,FALSE)),0)</f>
        <v>0</v>
      </c>
      <c r="AA95" s="147">
        <f>IFERROR((HLOOKUP($AH95,Target_monthwise!$D$24:$O$40,DTR!AA$4,FALSE)),0)</f>
        <v>0</v>
      </c>
      <c r="AB95" s="147">
        <f>IFERROR((HLOOKUP($AH95,Target_monthwise!$D$24:$O$40,DTR!AB$4,FALSE)),0)</f>
        <v>0</v>
      </c>
      <c r="AC95" s="147">
        <f>IFERROR((HLOOKUP($AH95,Target_monthwise!$D$24:$O$40,DTR!AC$4,FALSE)),0)</f>
        <v>0</v>
      </c>
      <c r="AD95" s="147">
        <f>IFERROR((HLOOKUP($AH95,Target_monthwise!$D$24:$O$40,DTR!AD$4,FALSE)),0)</f>
        <v>0</v>
      </c>
      <c r="AE95" s="147">
        <f>IFERROR((HLOOKUP($AH95,Target_monthwise!$D$24:$O$40,DTR!AE$4,FALSE)),0)</f>
        <v>0</v>
      </c>
      <c r="AF95" s="147">
        <f>IFERROR((HLOOKUP($AH95,Target_monthwise!$D$24:$O$40,DTR!AF$4,FALSE)),0)</f>
        <v>0</v>
      </c>
      <c r="AG95" s="172">
        <f>IFERROR((HLOOKUP($AH95,Target_monthwise!$D$24:$O$40,DTR!AG$4,FALSE)),0)</f>
        <v>0</v>
      </c>
      <c r="AH95" s="253">
        <f t="shared" si="1"/>
        <v>202206</v>
      </c>
    </row>
    <row r="96" spans="3:34" ht="15.75" hidden="1">
      <c r="C96" s="237">
        <v>44739</v>
      </c>
      <c r="D96" s="238">
        <f>IFERROR((HLOOKUP($AH96,Target_monthwise!$D$4:$O$20,DTR!D$4,FALSE))*1000,0)</f>
        <v>0</v>
      </c>
      <c r="E96" s="238">
        <f>IFERROR((HLOOKUP($AH96,Target_monthwise!$D$4:$O$20,DTR!E$4,FALSE))*1000,0)</f>
        <v>0</v>
      </c>
      <c r="F96" s="238">
        <f>IFERROR((HLOOKUP($AH96,Target_monthwise!$D$4:$O$20,DTR!F$4,FALSE))*1000,0)</f>
        <v>0</v>
      </c>
      <c r="G96" s="238">
        <f>IFERROR((HLOOKUP($AH96,Target_monthwise!$D$4:$O$20,DTR!G$4,FALSE))*1000,0)</f>
        <v>0</v>
      </c>
      <c r="H96" s="238">
        <f>IFERROR((HLOOKUP($AH96,Target_monthwise!$D$4:$O$20,DTR!H$4,FALSE))*1000,0)</f>
        <v>0</v>
      </c>
      <c r="I96" s="238">
        <f>IFERROR((HLOOKUP($AH96,Target_monthwise!$D$4:$O$20,DTR!I$4,FALSE))*1000,0)</f>
        <v>0</v>
      </c>
      <c r="J96" s="238">
        <f>IFERROR((HLOOKUP($AH96,Target_monthwise!$D$4:$O$20,DTR!J$4,FALSE))*1000,0)</f>
        <v>0</v>
      </c>
      <c r="K96" s="238">
        <f>IFERROR((HLOOKUP($AH96,Target_monthwise!$D$4:$O$20,DTR!K$4,FALSE))*1000,0)</f>
        <v>0</v>
      </c>
      <c r="L96" s="238">
        <f>IFERROR((HLOOKUP($AH96,Target_monthwise!$D$4:$O$20,DTR!L$4,FALSE))*1000,0)</f>
        <v>0</v>
      </c>
      <c r="M96" s="238">
        <f>IFERROR((HLOOKUP($AH96,Target_monthwise!$D$4:$O$20,DTR!M$4,FALSE))*1000,0)</f>
        <v>0</v>
      </c>
      <c r="N96" s="238">
        <f>IFERROR((HLOOKUP($AH96,Target_monthwise!$D$4:$O$20,DTR!N$4,FALSE))*1000,0)</f>
        <v>0</v>
      </c>
      <c r="O96" s="238">
        <f>IFERROR((HLOOKUP($AH96,Target_monthwise!$D$4:$O$20,DTR!O$4,FALSE))*1000,0)</f>
        <v>0</v>
      </c>
      <c r="P96" s="238">
        <f>IFERROR((HLOOKUP($AH96,Target_monthwise!$D$4:$O$20,DTR!P$4,FALSE))*1000,0)</f>
        <v>0</v>
      </c>
      <c r="Q96" s="141">
        <f>IFERROR((HLOOKUP($AH96,Target_monthwise!$D$4:$O$20,DTR!Q$4,FALSE))*1000,0)</f>
        <v>0</v>
      </c>
      <c r="R96" s="167">
        <f>IFERROR((HLOOKUP($AH96,Target_monthwise!$D$4:$O$20,DTR!R$4,FALSE))*1000,0)</f>
        <v>0</v>
      </c>
      <c r="S96" s="239">
        <f>IFERROR((HLOOKUP($AH96,Target_monthwise!$D$24:$O$40,DTR!S$4,FALSE)),0)</f>
        <v>0</v>
      </c>
      <c r="T96" s="239">
        <f>IFERROR((HLOOKUP($AH96,Target_monthwise!$D$24:$O$40,DTR!T$4,FALSE)),0)</f>
        <v>0</v>
      </c>
      <c r="U96" s="239">
        <f>IFERROR((HLOOKUP($AH96,Target_monthwise!$D$24:$O$40,DTR!U$4,FALSE)),0)</f>
        <v>0</v>
      </c>
      <c r="V96" s="239">
        <f>IFERROR((HLOOKUP($AH96,Target_monthwise!$D$24:$O$40,DTR!V$4,FALSE)),0)</f>
        <v>0</v>
      </c>
      <c r="W96" s="239">
        <f>IFERROR((HLOOKUP($AH96,Target_monthwise!$D$24:$O$40,DTR!W$4,FALSE)),0)</f>
        <v>0</v>
      </c>
      <c r="X96" s="239">
        <f>IFERROR((HLOOKUP($AH96,Target_monthwise!$D$24:$O$40,DTR!X$4,FALSE)),0)</f>
        <v>0</v>
      </c>
      <c r="Y96" s="239">
        <f>IFERROR((HLOOKUP($AH96,Target_monthwise!$D$24:$O$40,DTR!Y$4,FALSE)),0)</f>
        <v>0</v>
      </c>
      <c r="Z96" s="147">
        <f>IFERROR((HLOOKUP($AH96,Target_monthwise!$D$24:$O$40,DTR!Z$4,FALSE)),0)</f>
        <v>0</v>
      </c>
      <c r="AA96" s="147">
        <f>IFERROR((HLOOKUP($AH96,Target_monthwise!$D$24:$O$40,DTR!AA$4,FALSE)),0)</f>
        <v>0</v>
      </c>
      <c r="AB96" s="147">
        <f>IFERROR((HLOOKUP($AH96,Target_monthwise!$D$24:$O$40,DTR!AB$4,FALSE)),0)</f>
        <v>0</v>
      </c>
      <c r="AC96" s="239">
        <f>IFERROR((HLOOKUP($AH96,Target_monthwise!$D$24:$O$40,DTR!AC$4,FALSE)),0)</f>
        <v>0</v>
      </c>
      <c r="AD96" s="239">
        <f>IFERROR((HLOOKUP($AH96,Target_monthwise!$D$24:$O$40,DTR!AD$4,FALSE)),0)</f>
        <v>0</v>
      </c>
      <c r="AE96" s="239">
        <f>IFERROR((HLOOKUP($AH96,Target_monthwise!$D$24:$O$40,DTR!AE$4,FALSE)),0)</f>
        <v>0</v>
      </c>
      <c r="AF96" s="239">
        <f>IFERROR((HLOOKUP($AH96,Target_monthwise!$D$24:$O$40,DTR!AF$4,FALSE)),0)</f>
        <v>0</v>
      </c>
      <c r="AG96" s="172">
        <f>IFERROR((HLOOKUP($AH96,Target_monthwise!$D$24:$O$40,DTR!AG$4,FALSE)),0)</f>
        <v>0</v>
      </c>
      <c r="AH96" s="253">
        <f t="shared" si="1"/>
        <v>202206</v>
      </c>
    </row>
    <row r="97" spans="3:34" ht="15.75" hidden="1">
      <c r="C97" s="235">
        <v>44740</v>
      </c>
      <c r="D97" s="141">
        <f>IFERROR((HLOOKUP($AH97,Target_monthwise!$D$4:$O$20,DTR!D$4,FALSE))*1000,0)</f>
        <v>0</v>
      </c>
      <c r="E97" s="141">
        <f>IFERROR((HLOOKUP($AH97,Target_monthwise!$D$4:$O$20,DTR!E$4,FALSE))*1000,0)</f>
        <v>0</v>
      </c>
      <c r="F97" s="141">
        <f>IFERROR((HLOOKUP($AH97,Target_monthwise!$D$4:$O$20,DTR!F$4,FALSE))*1000,0)</f>
        <v>0</v>
      </c>
      <c r="G97" s="141">
        <f>IFERROR((HLOOKUP($AH97,Target_monthwise!$D$4:$O$20,DTR!G$4,FALSE))*1000,0)</f>
        <v>0</v>
      </c>
      <c r="H97" s="141">
        <f>IFERROR((HLOOKUP($AH97,Target_monthwise!$D$4:$O$20,DTR!H$4,FALSE))*1000,0)</f>
        <v>0</v>
      </c>
      <c r="I97" s="141">
        <f>IFERROR((HLOOKUP($AH97,Target_monthwise!$D$4:$O$20,DTR!I$4,FALSE))*1000,0)</f>
        <v>0</v>
      </c>
      <c r="J97" s="141">
        <f>IFERROR((HLOOKUP($AH97,Target_monthwise!$D$4:$O$20,DTR!J$4,FALSE))*1000,0)</f>
        <v>0</v>
      </c>
      <c r="K97" s="141">
        <f>IFERROR((HLOOKUP($AH97,Target_monthwise!$D$4:$O$20,DTR!K$4,FALSE))*1000,0)</f>
        <v>0</v>
      </c>
      <c r="L97" s="141">
        <f>IFERROR((HLOOKUP($AH97,Target_monthwise!$D$4:$O$20,DTR!L$4,FALSE))*1000,0)</f>
        <v>0</v>
      </c>
      <c r="M97" s="141">
        <f>IFERROR((HLOOKUP($AH97,Target_monthwise!$D$4:$O$20,DTR!M$4,FALSE))*1000,0)</f>
        <v>0</v>
      </c>
      <c r="N97" s="141">
        <f>IFERROR((HLOOKUP($AH97,Target_monthwise!$D$4:$O$20,DTR!N$4,FALSE))*1000,0)</f>
        <v>0</v>
      </c>
      <c r="O97" s="141">
        <f>IFERROR((HLOOKUP($AH97,Target_monthwise!$D$4:$O$20,DTR!O$4,FALSE))*1000,0)</f>
        <v>0</v>
      </c>
      <c r="P97" s="141">
        <f>IFERROR((HLOOKUP($AH97,Target_monthwise!$D$4:$O$20,DTR!P$4,FALSE))*1000,0)</f>
        <v>0</v>
      </c>
      <c r="Q97" s="141">
        <f>IFERROR((HLOOKUP($AH97,Target_monthwise!$D$4:$O$20,DTR!Q$4,FALSE))*1000,0)</f>
        <v>0</v>
      </c>
      <c r="R97" s="167">
        <f>IFERROR((HLOOKUP($AH97,Target_monthwise!$D$4:$O$20,DTR!R$4,FALSE))*1000,0)</f>
        <v>0</v>
      </c>
      <c r="S97" s="147">
        <f>IFERROR((HLOOKUP($AH97,Target_monthwise!$D$24:$O$40,DTR!S$4,FALSE)),0)</f>
        <v>0</v>
      </c>
      <c r="T97" s="147">
        <f>IFERROR((HLOOKUP($AH97,Target_monthwise!$D$24:$O$40,DTR!T$4,FALSE)),0)</f>
        <v>0</v>
      </c>
      <c r="U97" s="147">
        <f>IFERROR((HLOOKUP($AH97,Target_monthwise!$D$24:$O$40,DTR!U$4,FALSE)),0)</f>
        <v>0</v>
      </c>
      <c r="V97" s="147">
        <f>IFERROR((HLOOKUP($AH97,Target_monthwise!$D$24:$O$40,DTR!V$4,FALSE)),0)</f>
        <v>0</v>
      </c>
      <c r="W97" s="147">
        <f>IFERROR((HLOOKUP($AH97,Target_monthwise!$D$24:$O$40,DTR!W$4,FALSE)),0)</f>
        <v>0</v>
      </c>
      <c r="X97" s="147">
        <f>IFERROR((HLOOKUP($AH97,Target_monthwise!$D$24:$O$40,DTR!X$4,FALSE)),0)</f>
        <v>0</v>
      </c>
      <c r="Y97" s="147">
        <f>IFERROR((HLOOKUP($AH97,Target_monthwise!$D$24:$O$40,DTR!Y$4,FALSE)),0)</f>
        <v>0</v>
      </c>
      <c r="Z97" s="147">
        <f>IFERROR((HLOOKUP($AH97,Target_monthwise!$D$24:$O$40,DTR!Z$4,FALSE)),0)</f>
        <v>0</v>
      </c>
      <c r="AA97" s="147">
        <f>IFERROR((HLOOKUP($AH97,Target_monthwise!$D$24:$O$40,DTR!AA$4,FALSE)),0)</f>
        <v>0</v>
      </c>
      <c r="AB97" s="147">
        <f>IFERROR((HLOOKUP($AH97,Target_monthwise!$D$24:$O$40,DTR!AB$4,FALSE)),0)</f>
        <v>0</v>
      </c>
      <c r="AC97" s="147">
        <f>IFERROR((HLOOKUP($AH97,Target_monthwise!$D$24:$O$40,DTR!AC$4,FALSE)),0)</f>
        <v>0</v>
      </c>
      <c r="AD97" s="147">
        <f>IFERROR((HLOOKUP($AH97,Target_monthwise!$D$24:$O$40,DTR!AD$4,FALSE)),0)</f>
        <v>0</v>
      </c>
      <c r="AE97" s="147">
        <f>IFERROR((HLOOKUP($AH97,Target_monthwise!$D$24:$O$40,DTR!AE$4,FALSE)),0)</f>
        <v>0</v>
      </c>
      <c r="AF97" s="147">
        <f>IFERROR((HLOOKUP($AH97,Target_monthwise!$D$24:$O$40,DTR!AF$4,FALSE)),0)</f>
        <v>0</v>
      </c>
      <c r="AG97" s="172">
        <f>IFERROR((HLOOKUP($AH97,Target_monthwise!$D$24:$O$40,DTR!AG$4,FALSE)),0)</f>
        <v>0</v>
      </c>
      <c r="AH97" s="253">
        <f t="shared" si="1"/>
        <v>202206</v>
      </c>
    </row>
    <row r="98" spans="3:34" ht="15.75" hidden="1">
      <c r="C98" s="237">
        <v>44741</v>
      </c>
      <c r="D98" s="238">
        <f>IFERROR((HLOOKUP($AH98,Target_monthwise!$D$4:$O$20,DTR!D$4,FALSE))*1000,0)</f>
        <v>0</v>
      </c>
      <c r="E98" s="238">
        <f>IFERROR((HLOOKUP($AH98,Target_monthwise!$D$4:$O$20,DTR!E$4,FALSE))*1000,0)</f>
        <v>0</v>
      </c>
      <c r="F98" s="238">
        <f>IFERROR((HLOOKUP($AH98,Target_monthwise!$D$4:$O$20,DTR!F$4,FALSE))*1000,0)</f>
        <v>0</v>
      </c>
      <c r="G98" s="238">
        <f>IFERROR((HLOOKUP($AH98,Target_monthwise!$D$4:$O$20,DTR!G$4,FALSE))*1000,0)</f>
        <v>0</v>
      </c>
      <c r="H98" s="238">
        <f>IFERROR((HLOOKUP($AH98,Target_monthwise!$D$4:$O$20,DTR!H$4,FALSE))*1000,0)</f>
        <v>0</v>
      </c>
      <c r="I98" s="238">
        <f>IFERROR((HLOOKUP($AH98,Target_monthwise!$D$4:$O$20,DTR!I$4,FALSE))*1000,0)</f>
        <v>0</v>
      </c>
      <c r="J98" s="238">
        <f>IFERROR((HLOOKUP($AH98,Target_monthwise!$D$4:$O$20,DTR!J$4,FALSE))*1000,0)</f>
        <v>0</v>
      </c>
      <c r="K98" s="238">
        <f>IFERROR((HLOOKUP($AH98,Target_monthwise!$D$4:$O$20,DTR!K$4,FALSE))*1000,0)</f>
        <v>0</v>
      </c>
      <c r="L98" s="238">
        <f>IFERROR((HLOOKUP($AH98,Target_monthwise!$D$4:$O$20,DTR!L$4,FALSE))*1000,0)</f>
        <v>0</v>
      </c>
      <c r="M98" s="238">
        <f>IFERROR((HLOOKUP($AH98,Target_monthwise!$D$4:$O$20,DTR!M$4,FALSE))*1000,0)</f>
        <v>0</v>
      </c>
      <c r="N98" s="238">
        <f>IFERROR((HLOOKUP($AH98,Target_monthwise!$D$4:$O$20,DTR!N$4,FALSE))*1000,0)</f>
        <v>0</v>
      </c>
      <c r="O98" s="238">
        <f>IFERROR((HLOOKUP($AH98,Target_monthwise!$D$4:$O$20,DTR!O$4,FALSE))*1000,0)</f>
        <v>0</v>
      </c>
      <c r="P98" s="238">
        <f>IFERROR((HLOOKUP($AH98,Target_monthwise!$D$4:$O$20,DTR!P$4,FALSE))*1000,0)</f>
        <v>0</v>
      </c>
      <c r="Q98" s="141">
        <f>IFERROR((HLOOKUP($AH98,Target_monthwise!$D$4:$O$20,DTR!Q$4,FALSE))*1000,0)</f>
        <v>0</v>
      </c>
      <c r="R98" s="167">
        <f>IFERROR((HLOOKUP($AH98,Target_monthwise!$D$4:$O$20,DTR!R$4,FALSE))*1000,0)</f>
        <v>0</v>
      </c>
      <c r="S98" s="239">
        <f>IFERROR((HLOOKUP($AH98,Target_monthwise!$D$24:$O$40,DTR!S$4,FALSE)),0)</f>
        <v>0</v>
      </c>
      <c r="T98" s="239">
        <f>IFERROR((HLOOKUP($AH98,Target_monthwise!$D$24:$O$40,DTR!T$4,FALSE)),0)</f>
        <v>0</v>
      </c>
      <c r="U98" s="239">
        <f>IFERROR((HLOOKUP($AH98,Target_monthwise!$D$24:$O$40,DTR!U$4,FALSE)),0)</f>
        <v>0</v>
      </c>
      <c r="V98" s="239">
        <f>IFERROR((HLOOKUP($AH98,Target_monthwise!$D$24:$O$40,DTR!V$4,FALSE)),0)</f>
        <v>0</v>
      </c>
      <c r="W98" s="239">
        <f>IFERROR((HLOOKUP($AH98,Target_monthwise!$D$24:$O$40,DTR!W$4,FALSE)),0)</f>
        <v>0</v>
      </c>
      <c r="X98" s="239">
        <f>IFERROR((HLOOKUP($AH98,Target_monthwise!$D$24:$O$40,DTR!X$4,FALSE)),0)</f>
        <v>0</v>
      </c>
      <c r="Y98" s="239">
        <f>IFERROR((HLOOKUP($AH98,Target_monthwise!$D$24:$O$40,DTR!Y$4,FALSE)),0)</f>
        <v>0</v>
      </c>
      <c r="Z98" s="147">
        <f>IFERROR((HLOOKUP($AH98,Target_monthwise!$D$24:$O$40,DTR!Z$4,FALSE)),0)</f>
        <v>0</v>
      </c>
      <c r="AA98" s="147">
        <f>IFERROR((HLOOKUP($AH98,Target_monthwise!$D$24:$O$40,DTR!AA$4,FALSE)),0)</f>
        <v>0</v>
      </c>
      <c r="AB98" s="147">
        <f>IFERROR((HLOOKUP($AH98,Target_monthwise!$D$24:$O$40,DTR!AB$4,FALSE)),0)</f>
        <v>0</v>
      </c>
      <c r="AC98" s="239">
        <f>IFERROR((HLOOKUP($AH98,Target_monthwise!$D$24:$O$40,DTR!AC$4,FALSE)),0)</f>
        <v>0</v>
      </c>
      <c r="AD98" s="239">
        <f>IFERROR((HLOOKUP($AH98,Target_monthwise!$D$24:$O$40,DTR!AD$4,FALSE)),0)</f>
        <v>0</v>
      </c>
      <c r="AE98" s="239">
        <f>IFERROR((HLOOKUP($AH98,Target_monthwise!$D$24:$O$40,DTR!AE$4,FALSE)),0)</f>
        <v>0</v>
      </c>
      <c r="AF98" s="239">
        <f>IFERROR((HLOOKUP($AH98,Target_monthwise!$D$24:$O$40,DTR!AF$4,FALSE)),0)</f>
        <v>0</v>
      </c>
      <c r="AG98" s="172">
        <f>IFERROR((HLOOKUP($AH98,Target_monthwise!$D$24:$O$40,DTR!AG$4,FALSE)),0)</f>
        <v>0</v>
      </c>
      <c r="AH98" s="253">
        <f t="shared" si="1"/>
        <v>202206</v>
      </c>
    </row>
    <row r="99" spans="3:34" ht="15.75" hidden="1">
      <c r="C99" s="235">
        <v>44742</v>
      </c>
      <c r="D99" s="141">
        <f>IFERROR((HLOOKUP($AH99,Target_monthwise!$D$4:$O$20,DTR!D$4,FALSE))*1000,0)</f>
        <v>0</v>
      </c>
      <c r="E99" s="141">
        <f>IFERROR((HLOOKUP($AH99,Target_monthwise!$D$4:$O$20,DTR!E$4,FALSE))*1000,0)</f>
        <v>0</v>
      </c>
      <c r="F99" s="141">
        <f>IFERROR((HLOOKUP($AH99,Target_monthwise!$D$4:$O$20,DTR!F$4,FALSE))*1000,0)</f>
        <v>0</v>
      </c>
      <c r="G99" s="141">
        <f>IFERROR((HLOOKUP($AH99,Target_monthwise!$D$4:$O$20,DTR!G$4,FALSE))*1000,0)</f>
        <v>0</v>
      </c>
      <c r="H99" s="141">
        <f>IFERROR((HLOOKUP($AH99,Target_monthwise!$D$4:$O$20,DTR!H$4,FALSE))*1000,0)</f>
        <v>0</v>
      </c>
      <c r="I99" s="141">
        <f>IFERROR((HLOOKUP($AH99,Target_monthwise!$D$4:$O$20,DTR!I$4,FALSE))*1000,0)</f>
        <v>0</v>
      </c>
      <c r="J99" s="141">
        <f>IFERROR((HLOOKUP($AH99,Target_monthwise!$D$4:$O$20,DTR!J$4,FALSE))*1000,0)</f>
        <v>0</v>
      </c>
      <c r="K99" s="141">
        <f>IFERROR((HLOOKUP($AH99,Target_monthwise!$D$4:$O$20,DTR!K$4,FALSE))*1000,0)</f>
        <v>0</v>
      </c>
      <c r="L99" s="141">
        <f>IFERROR((HLOOKUP($AH99,Target_monthwise!$D$4:$O$20,DTR!L$4,FALSE))*1000,0)</f>
        <v>0</v>
      </c>
      <c r="M99" s="141">
        <f>IFERROR((HLOOKUP($AH99,Target_monthwise!$D$4:$O$20,DTR!M$4,FALSE))*1000,0)</f>
        <v>0</v>
      </c>
      <c r="N99" s="141">
        <f>IFERROR((HLOOKUP($AH99,Target_monthwise!$D$4:$O$20,DTR!N$4,FALSE))*1000,0)</f>
        <v>0</v>
      </c>
      <c r="O99" s="141">
        <f>IFERROR((HLOOKUP($AH99,Target_monthwise!$D$4:$O$20,DTR!O$4,FALSE))*1000,0)</f>
        <v>0</v>
      </c>
      <c r="P99" s="141">
        <f>IFERROR((HLOOKUP($AH99,Target_monthwise!$D$4:$O$20,DTR!P$4,FALSE))*1000,0)</f>
        <v>0</v>
      </c>
      <c r="Q99" s="141">
        <f>IFERROR((HLOOKUP($AH99,Target_monthwise!$D$4:$O$20,DTR!Q$4,FALSE))*1000,0)</f>
        <v>0</v>
      </c>
      <c r="R99" s="167">
        <f>IFERROR((HLOOKUP($AH99,Target_monthwise!$D$4:$O$20,DTR!R$4,FALSE))*1000,0)</f>
        <v>0</v>
      </c>
      <c r="S99" s="147">
        <f>IFERROR((HLOOKUP($AH99,Target_monthwise!$D$24:$O$40,DTR!S$4,FALSE)),0)</f>
        <v>0</v>
      </c>
      <c r="T99" s="147">
        <f>IFERROR((HLOOKUP($AH99,Target_monthwise!$D$24:$O$40,DTR!T$4,FALSE)),0)</f>
        <v>0</v>
      </c>
      <c r="U99" s="147">
        <f>IFERROR((HLOOKUP($AH99,Target_monthwise!$D$24:$O$40,DTR!U$4,FALSE)),0)</f>
        <v>0</v>
      </c>
      <c r="V99" s="147">
        <f>IFERROR((HLOOKUP($AH99,Target_monthwise!$D$24:$O$40,DTR!V$4,FALSE)),0)</f>
        <v>0</v>
      </c>
      <c r="W99" s="147">
        <f>IFERROR((HLOOKUP($AH99,Target_monthwise!$D$24:$O$40,DTR!W$4,FALSE)),0)</f>
        <v>0</v>
      </c>
      <c r="X99" s="147">
        <f>IFERROR((HLOOKUP($AH99,Target_monthwise!$D$24:$O$40,DTR!X$4,FALSE)),0)</f>
        <v>0</v>
      </c>
      <c r="Y99" s="147">
        <f>IFERROR((HLOOKUP($AH99,Target_monthwise!$D$24:$O$40,DTR!Y$4,FALSE)),0)</f>
        <v>0</v>
      </c>
      <c r="Z99" s="147">
        <f>IFERROR((HLOOKUP($AH99,Target_monthwise!$D$24:$O$40,DTR!Z$4,FALSE)),0)</f>
        <v>0</v>
      </c>
      <c r="AA99" s="147">
        <f>IFERROR((HLOOKUP($AH99,Target_monthwise!$D$24:$O$40,DTR!AA$4,FALSE)),0)</f>
        <v>0</v>
      </c>
      <c r="AB99" s="147">
        <f>IFERROR((HLOOKUP($AH99,Target_monthwise!$D$24:$O$40,DTR!AB$4,FALSE)),0)</f>
        <v>0</v>
      </c>
      <c r="AC99" s="147">
        <f>IFERROR((HLOOKUP($AH99,Target_monthwise!$D$24:$O$40,DTR!AC$4,FALSE)),0)</f>
        <v>0</v>
      </c>
      <c r="AD99" s="147">
        <f>IFERROR((HLOOKUP($AH99,Target_monthwise!$D$24:$O$40,DTR!AD$4,FALSE)),0)</f>
        <v>0</v>
      </c>
      <c r="AE99" s="147">
        <f>IFERROR((HLOOKUP($AH99,Target_monthwise!$D$24:$O$40,DTR!AE$4,FALSE)),0)</f>
        <v>0</v>
      </c>
      <c r="AF99" s="147">
        <f>IFERROR((HLOOKUP($AH99,Target_monthwise!$D$24:$O$40,DTR!AF$4,FALSE)),0)</f>
        <v>0</v>
      </c>
      <c r="AG99" s="172">
        <f>IFERROR((HLOOKUP($AH99,Target_monthwise!$D$24:$O$40,DTR!AG$4,FALSE)),0)</f>
        <v>0</v>
      </c>
      <c r="AH99" s="253">
        <f t="shared" si="1"/>
        <v>202206</v>
      </c>
    </row>
    <row r="100" spans="3:34" ht="15.75" hidden="1">
      <c r="C100" s="237">
        <v>44743</v>
      </c>
      <c r="D100" s="238">
        <f>IFERROR((HLOOKUP($AH100,Target_monthwise!$D$4:$O$20,DTR!D$4,FALSE))*1000,0)</f>
        <v>0</v>
      </c>
      <c r="E100" s="238">
        <f>IFERROR((HLOOKUP($AH100,Target_monthwise!$D$4:$O$20,DTR!E$4,FALSE))*1000,0)</f>
        <v>0</v>
      </c>
      <c r="F100" s="238">
        <f>IFERROR((HLOOKUP($AH100,Target_monthwise!$D$4:$O$20,DTR!F$4,FALSE))*1000,0)</f>
        <v>0</v>
      </c>
      <c r="G100" s="238">
        <f>IFERROR((HLOOKUP($AH100,Target_monthwise!$D$4:$O$20,DTR!G$4,FALSE))*1000,0)</f>
        <v>0</v>
      </c>
      <c r="H100" s="238">
        <f>IFERROR((HLOOKUP($AH100,Target_monthwise!$D$4:$O$20,DTR!H$4,FALSE))*1000,0)</f>
        <v>0</v>
      </c>
      <c r="I100" s="238">
        <f>IFERROR((HLOOKUP($AH100,Target_monthwise!$D$4:$O$20,DTR!I$4,FALSE))*1000,0)</f>
        <v>0</v>
      </c>
      <c r="J100" s="238">
        <f>IFERROR((HLOOKUP($AH100,Target_monthwise!$D$4:$O$20,DTR!J$4,FALSE))*1000,0)</f>
        <v>0</v>
      </c>
      <c r="K100" s="238">
        <f>IFERROR((HLOOKUP($AH100,Target_monthwise!$D$4:$O$20,DTR!K$4,FALSE))*1000,0)</f>
        <v>0</v>
      </c>
      <c r="L100" s="238">
        <f>IFERROR((HLOOKUP($AH100,Target_monthwise!$D$4:$O$20,DTR!L$4,FALSE))*1000,0)</f>
        <v>0</v>
      </c>
      <c r="M100" s="238">
        <f>IFERROR((HLOOKUP($AH100,Target_monthwise!$D$4:$O$20,DTR!M$4,FALSE))*1000,0)</f>
        <v>0</v>
      </c>
      <c r="N100" s="238">
        <f>IFERROR((HLOOKUP($AH100,Target_monthwise!$D$4:$O$20,DTR!N$4,FALSE))*1000,0)</f>
        <v>0</v>
      </c>
      <c r="O100" s="238">
        <f>IFERROR((HLOOKUP($AH100,Target_monthwise!$D$4:$O$20,DTR!O$4,FALSE))*1000,0)</f>
        <v>0</v>
      </c>
      <c r="P100" s="238">
        <f>IFERROR((HLOOKUP($AH100,Target_monthwise!$D$4:$O$20,DTR!P$4,FALSE))*1000,0)</f>
        <v>0</v>
      </c>
      <c r="Q100" s="141">
        <f>IFERROR((HLOOKUP($AH100,Target_monthwise!$D$4:$O$20,DTR!Q$4,FALSE))*1000,0)</f>
        <v>0</v>
      </c>
      <c r="R100" s="167">
        <f>IFERROR((HLOOKUP($AH100,Target_monthwise!$D$4:$O$20,DTR!R$4,FALSE))*1000,0)</f>
        <v>0</v>
      </c>
      <c r="S100" s="239">
        <f>IFERROR((HLOOKUP($AH100,Target_monthwise!$D$24:$O$40,DTR!S$4,FALSE)),0)</f>
        <v>0</v>
      </c>
      <c r="T100" s="239">
        <f>IFERROR((HLOOKUP($AH100,Target_monthwise!$D$24:$O$40,DTR!T$4,FALSE)),0)</f>
        <v>0</v>
      </c>
      <c r="U100" s="239">
        <f>IFERROR((HLOOKUP($AH100,Target_monthwise!$D$24:$O$40,DTR!U$4,FALSE)),0)</f>
        <v>0</v>
      </c>
      <c r="V100" s="239">
        <f>IFERROR((HLOOKUP($AH100,Target_monthwise!$D$24:$O$40,DTR!V$4,FALSE)),0)</f>
        <v>0</v>
      </c>
      <c r="W100" s="239">
        <f>IFERROR((HLOOKUP($AH100,Target_monthwise!$D$24:$O$40,DTR!W$4,FALSE)),0)</f>
        <v>0</v>
      </c>
      <c r="X100" s="239">
        <f>IFERROR((HLOOKUP($AH100,Target_monthwise!$D$24:$O$40,DTR!X$4,FALSE)),0)</f>
        <v>0</v>
      </c>
      <c r="Y100" s="239">
        <f>IFERROR((HLOOKUP($AH100,Target_monthwise!$D$24:$O$40,DTR!Y$4,FALSE)),0)</f>
        <v>0</v>
      </c>
      <c r="Z100" s="147">
        <f>IFERROR((HLOOKUP($AH100,Target_monthwise!$D$24:$O$40,DTR!Z$4,FALSE)),0)</f>
        <v>0</v>
      </c>
      <c r="AA100" s="147">
        <f>IFERROR((HLOOKUP($AH100,Target_monthwise!$D$24:$O$40,DTR!AA$4,FALSE)),0)</f>
        <v>0</v>
      </c>
      <c r="AB100" s="147">
        <f>IFERROR((HLOOKUP($AH100,Target_monthwise!$D$24:$O$40,DTR!AB$4,FALSE)),0)</f>
        <v>0</v>
      </c>
      <c r="AC100" s="239">
        <f>IFERROR((HLOOKUP($AH100,Target_monthwise!$D$24:$O$40,DTR!AC$4,FALSE)),0)</f>
        <v>0</v>
      </c>
      <c r="AD100" s="239">
        <f>IFERROR((HLOOKUP($AH100,Target_monthwise!$D$24:$O$40,DTR!AD$4,FALSE)),0)</f>
        <v>0</v>
      </c>
      <c r="AE100" s="239">
        <f>IFERROR((HLOOKUP($AH100,Target_monthwise!$D$24:$O$40,DTR!AE$4,FALSE)),0)</f>
        <v>0</v>
      </c>
      <c r="AF100" s="239">
        <f>IFERROR((HLOOKUP($AH100,Target_monthwise!$D$24:$O$40,DTR!AF$4,FALSE)),0)</f>
        <v>0</v>
      </c>
      <c r="AG100" s="172">
        <f>IFERROR((HLOOKUP($AH100,Target_monthwise!$D$24:$O$40,DTR!AG$4,FALSE)),0)</f>
        <v>0</v>
      </c>
      <c r="AH100" s="253">
        <f t="shared" si="1"/>
        <v>202207</v>
      </c>
    </row>
    <row r="101" spans="3:34" ht="15.75" hidden="1">
      <c r="C101" s="235">
        <v>44744</v>
      </c>
      <c r="D101" s="141">
        <f>IFERROR((HLOOKUP($AH101,Target_monthwise!$D$4:$O$20,DTR!D$4,FALSE))*1000,0)</f>
        <v>0</v>
      </c>
      <c r="E101" s="141">
        <f>IFERROR((HLOOKUP($AH101,Target_monthwise!$D$4:$O$20,DTR!E$4,FALSE))*1000,0)</f>
        <v>0</v>
      </c>
      <c r="F101" s="141">
        <f>IFERROR((HLOOKUP($AH101,Target_monthwise!$D$4:$O$20,DTR!F$4,FALSE))*1000,0)</f>
        <v>0</v>
      </c>
      <c r="G101" s="141">
        <f>IFERROR((HLOOKUP($AH101,Target_monthwise!$D$4:$O$20,DTR!G$4,FALSE))*1000,0)</f>
        <v>0</v>
      </c>
      <c r="H101" s="141">
        <f>IFERROR((HLOOKUP($AH101,Target_monthwise!$D$4:$O$20,DTR!H$4,FALSE))*1000,0)</f>
        <v>0</v>
      </c>
      <c r="I101" s="141">
        <f>IFERROR((HLOOKUP($AH101,Target_monthwise!$D$4:$O$20,DTR!I$4,FALSE))*1000,0)</f>
        <v>0</v>
      </c>
      <c r="J101" s="141">
        <f>IFERROR((HLOOKUP($AH101,Target_monthwise!$D$4:$O$20,DTR!J$4,FALSE))*1000,0)</f>
        <v>0</v>
      </c>
      <c r="K101" s="141">
        <f>IFERROR((HLOOKUP($AH101,Target_monthwise!$D$4:$O$20,DTR!K$4,FALSE))*1000,0)</f>
        <v>0</v>
      </c>
      <c r="L101" s="141">
        <f>IFERROR((HLOOKUP($AH101,Target_monthwise!$D$4:$O$20,DTR!L$4,FALSE))*1000,0)</f>
        <v>0</v>
      </c>
      <c r="M101" s="141">
        <f>IFERROR((HLOOKUP($AH101,Target_monthwise!$D$4:$O$20,DTR!M$4,FALSE))*1000,0)</f>
        <v>0</v>
      </c>
      <c r="N101" s="141">
        <f>IFERROR((HLOOKUP($AH101,Target_monthwise!$D$4:$O$20,DTR!N$4,FALSE))*1000,0)</f>
        <v>0</v>
      </c>
      <c r="O101" s="141">
        <f>IFERROR((HLOOKUP($AH101,Target_monthwise!$D$4:$O$20,DTR!O$4,FALSE))*1000,0)</f>
        <v>0</v>
      </c>
      <c r="P101" s="141">
        <f>IFERROR((HLOOKUP($AH101,Target_monthwise!$D$4:$O$20,DTR!P$4,FALSE))*1000,0)</f>
        <v>0</v>
      </c>
      <c r="Q101" s="141">
        <f>IFERROR((HLOOKUP($AH101,Target_monthwise!$D$4:$O$20,DTR!Q$4,FALSE))*1000,0)</f>
        <v>0</v>
      </c>
      <c r="R101" s="167">
        <f>IFERROR((HLOOKUP($AH101,Target_monthwise!$D$4:$O$20,DTR!R$4,FALSE))*1000,0)</f>
        <v>0</v>
      </c>
      <c r="S101" s="147">
        <f>IFERROR((HLOOKUP($AH101,Target_monthwise!$D$24:$O$40,DTR!S$4,FALSE)),0)</f>
        <v>0</v>
      </c>
      <c r="T101" s="147">
        <f>IFERROR((HLOOKUP($AH101,Target_monthwise!$D$24:$O$40,DTR!T$4,FALSE)),0)</f>
        <v>0</v>
      </c>
      <c r="U101" s="147">
        <f>IFERROR((HLOOKUP($AH101,Target_monthwise!$D$24:$O$40,DTR!U$4,FALSE)),0)</f>
        <v>0</v>
      </c>
      <c r="V101" s="147">
        <f>IFERROR((HLOOKUP($AH101,Target_monthwise!$D$24:$O$40,DTR!V$4,FALSE)),0)</f>
        <v>0</v>
      </c>
      <c r="W101" s="147">
        <f>IFERROR((HLOOKUP($AH101,Target_monthwise!$D$24:$O$40,DTR!W$4,FALSE)),0)</f>
        <v>0</v>
      </c>
      <c r="X101" s="147">
        <f>IFERROR((HLOOKUP($AH101,Target_monthwise!$D$24:$O$40,DTR!X$4,FALSE)),0)</f>
        <v>0</v>
      </c>
      <c r="Y101" s="147">
        <f>IFERROR((HLOOKUP($AH101,Target_monthwise!$D$24:$O$40,DTR!Y$4,FALSE)),0)</f>
        <v>0</v>
      </c>
      <c r="Z101" s="147">
        <f>IFERROR((HLOOKUP($AH101,Target_monthwise!$D$24:$O$40,DTR!Z$4,FALSE)),0)</f>
        <v>0</v>
      </c>
      <c r="AA101" s="147">
        <f>IFERROR((HLOOKUP($AH101,Target_monthwise!$D$24:$O$40,DTR!AA$4,FALSE)),0)</f>
        <v>0</v>
      </c>
      <c r="AB101" s="147">
        <f>IFERROR((HLOOKUP($AH101,Target_monthwise!$D$24:$O$40,DTR!AB$4,FALSE)),0)</f>
        <v>0</v>
      </c>
      <c r="AC101" s="147">
        <f>IFERROR((HLOOKUP($AH101,Target_monthwise!$D$24:$O$40,DTR!AC$4,FALSE)),0)</f>
        <v>0</v>
      </c>
      <c r="AD101" s="147">
        <f>IFERROR((HLOOKUP($AH101,Target_monthwise!$D$24:$O$40,DTR!AD$4,FALSE)),0)</f>
        <v>0</v>
      </c>
      <c r="AE101" s="147">
        <f>IFERROR((HLOOKUP($AH101,Target_monthwise!$D$24:$O$40,DTR!AE$4,FALSE)),0)</f>
        <v>0</v>
      </c>
      <c r="AF101" s="147">
        <f>IFERROR((HLOOKUP($AH101,Target_monthwise!$D$24:$O$40,DTR!AF$4,FALSE)),0)</f>
        <v>0</v>
      </c>
      <c r="AG101" s="172">
        <f>IFERROR((HLOOKUP($AH101,Target_monthwise!$D$24:$O$40,DTR!AG$4,FALSE)),0)</f>
        <v>0</v>
      </c>
      <c r="AH101" s="253">
        <f t="shared" si="1"/>
        <v>202207</v>
      </c>
    </row>
    <row r="102" spans="3:34" ht="15.75" hidden="1">
      <c r="C102" s="237">
        <v>44745</v>
      </c>
      <c r="D102" s="238">
        <f>IFERROR((HLOOKUP($AH102,Target_monthwise!$D$4:$O$20,DTR!D$4,FALSE))*1000,0)</f>
        <v>0</v>
      </c>
      <c r="E102" s="238">
        <f>IFERROR((HLOOKUP($AH102,Target_monthwise!$D$4:$O$20,DTR!E$4,FALSE))*1000,0)</f>
        <v>0</v>
      </c>
      <c r="F102" s="238">
        <f>IFERROR((HLOOKUP($AH102,Target_monthwise!$D$4:$O$20,DTR!F$4,FALSE))*1000,0)</f>
        <v>0</v>
      </c>
      <c r="G102" s="238">
        <f>IFERROR((HLOOKUP($AH102,Target_monthwise!$D$4:$O$20,DTR!G$4,FALSE))*1000,0)</f>
        <v>0</v>
      </c>
      <c r="H102" s="238">
        <f>IFERROR((HLOOKUP($AH102,Target_monthwise!$D$4:$O$20,DTR!H$4,FALSE))*1000,0)</f>
        <v>0</v>
      </c>
      <c r="I102" s="238">
        <f>IFERROR((HLOOKUP($AH102,Target_monthwise!$D$4:$O$20,DTR!I$4,FALSE))*1000,0)</f>
        <v>0</v>
      </c>
      <c r="J102" s="238">
        <f>IFERROR((HLOOKUP($AH102,Target_monthwise!$D$4:$O$20,DTR!J$4,FALSE))*1000,0)</f>
        <v>0</v>
      </c>
      <c r="K102" s="238">
        <f>IFERROR((HLOOKUP($AH102,Target_monthwise!$D$4:$O$20,DTR!K$4,FALSE))*1000,0)</f>
        <v>0</v>
      </c>
      <c r="L102" s="238">
        <f>IFERROR((HLOOKUP($AH102,Target_monthwise!$D$4:$O$20,DTR!L$4,FALSE))*1000,0)</f>
        <v>0</v>
      </c>
      <c r="M102" s="238">
        <f>IFERROR((HLOOKUP($AH102,Target_monthwise!$D$4:$O$20,DTR!M$4,FALSE))*1000,0)</f>
        <v>0</v>
      </c>
      <c r="N102" s="238">
        <f>IFERROR((HLOOKUP($AH102,Target_monthwise!$D$4:$O$20,DTR!N$4,FALSE))*1000,0)</f>
        <v>0</v>
      </c>
      <c r="O102" s="238">
        <f>IFERROR((HLOOKUP($AH102,Target_monthwise!$D$4:$O$20,DTR!O$4,FALSE))*1000,0)</f>
        <v>0</v>
      </c>
      <c r="P102" s="238">
        <f>IFERROR((HLOOKUP($AH102,Target_monthwise!$D$4:$O$20,DTR!P$4,FALSE))*1000,0)</f>
        <v>0</v>
      </c>
      <c r="Q102" s="141">
        <f>IFERROR((HLOOKUP($AH102,Target_monthwise!$D$4:$O$20,DTR!Q$4,FALSE))*1000,0)</f>
        <v>0</v>
      </c>
      <c r="R102" s="167">
        <f>IFERROR((HLOOKUP($AH102,Target_monthwise!$D$4:$O$20,DTR!R$4,FALSE))*1000,0)</f>
        <v>0</v>
      </c>
      <c r="S102" s="239">
        <f>IFERROR((HLOOKUP($AH102,Target_monthwise!$D$24:$O$40,DTR!S$4,FALSE)),0)</f>
        <v>0</v>
      </c>
      <c r="T102" s="239">
        <f>IFERROR((HLOOKUP($AH102,Target_monthwise!$D$24:$O$40,DTR!T$4,FALSE)),0)</f>
        <v>0</v>
      </c>
      <c r="U102" s="239">
        <f>IFERROR((HLOOKUP($AH102,Target_monthwise!$D$24:$O$40,DTR!U$4,FALSE)),0)</f>
        <v>0</v>
      </c>
      <c r="V102" s="239">
        <f>IFERROR((HLOOKUP($AH102,Target_monthwise!$D$24:$O$40,DTR!V$4,FALSE)),0)</f>
        <v>0</v>
      </c>
      <c r="W102" s="239">
        <f>IFERROR((HLOOKUP($AH102,Target_monthwise!$D$24:$O$40,DTR!W$4,FALSE)),0)</f>
        <v>0</v>
      </c>
      <c r="X102" s="239">
        <f>IFERROR((HLOOKUP($AH102,Target_monthwise!$D$24:$O$40,DTR!X$4,FALSE)),0)</f>
        <v>0</v>
      </c>
      <c r="Y102" s="239">
        <f>IFERROR((HLOOKUP($AH102,Target_monthwise!$D$24:$O$40,DTR!Y$4,FALSE)),0)</f>
        <v>0</v>
      </c>
      <c r="Z102" s="147">
        <f>IFERROR((HLOOKUP($AH102,Target_monthwise!$D$24:$O$40,DTR!Z$4,FALSE)),0)</f>
        <v>0</v>
      </c>
      <c r="AA102" s="147">
        <f>IFERROR((HLOOKUP($AH102,Target_monthwise!$D$24:$O$40,DTR!AA$4,FALSE)),0)</f>
        <v>0</v>
      </c>
      <c r="AB102" s="147">
        <f>IFERROR((HLOOKUP($AH102,Target_monthwise!$D$24:$O$40,DTR!AB$4,FALSE)),0)</f>
        <v>0</v>
      </c>
      <c r="AC102" s="239">
        <f>IFERROR((HLOOKUP($AH102,Target_monthwise!$D$24:$O$40,DTR!AC$4,FALSE)),0)</f>
        <v>0</v>
      </c>
      <c r="AD102" s="239">
        <f>IFERROR((HLOOKUP($AH102,Target_monthwise!$D$24:$O$40,DTR!AD$4,FALSE)),0)</f>
        <v>0</v>
      </c>
      <c r="AE102" s="239">
        <f>IFERROR((HLOOKUP($AH102,Target_monthwise!$D$24:$O$40,DTR!AE$4,FALSE)),0)</f>
        <v>0</v>
      </c>
      <c r="AF102" s="239">
        <f>IFERROR((HLOOKUP($AH102,Target_monthwise!$D$24:$O$40,DTR!AF$4,FALSE)),0)</f>
        <v>0</v>
      </c>
      <c r="AG102" s="172">
        <f>IFERROR((HLOOKUP($AH102,Target_monthwise!$D$24:$O$40,DTR!AG$4,FALSE)),0)</f>
        <v>0</v>
      </c>
      <c r="AH102" s="253">
        <f t="shared" si="1"/>
        <v>202207</v>
      </c>
    </row>
    <row r="103" spans="3:34" ht="15.75" hidden="1">
      <c r="C103" s="235">
        <v>44746</v>
      </c>
      <c r="D103" s="141">
        <f>IFERROR((HLOOKUP($AH103,Target_monthwise!$D$4:$O$20,DTR!D$4,FALSE))*1000,0)</f>
        <v>0</v>
      </c>
      <c r="E103" s="141">
        <f>IFERROR((HLOOKUP($AH103,Target_monthwise!$D$4:$O$20,DTR!E$4,FALSE))*1000,0)</f>
        <v>0</v>
      </c>
      <c r="F103" s="141">
        <f>IFERROR((HLOOKUP($AH103,Target_monthwise!$D$4:$O$20,DTR!F$4,FALSE))*1000,0)</f>
        <v>0</v>
      </c>
      <c r="G103" s="141">
        <f>IFERROR((HLOOKUP($AH103,Target_monthwise!$D$4:$O$20,DTR!G$4,FALSE))*1000,0)</f>
        <v>0</v>
      </c>
      <c r="H103" s="141">
        <f>IFERROR((HLOOKUP($AH103,Target_monthwise!$D$4:$O$20,DTR!H$4,FALSE))*1000,0)</f>
        <v>0</v>
      </c>
      <c r="I103" s="141">
        <f>IFERROR((HLOOKUP($AH103,Target_monthwise!$D$4:$O$20,DTR!I$4,FALSE))*1000,0)</f>
        <v>0</v>
      </c>
      <c r="J103" s="141">
        <f>IFERROR((HLOOKUP($AH103,Target_monthwise!$D$4:$O$20,DTR!J$4,FALSE))*1000,0)</f>
        <v>0</v>
      </c>
      <c r="K103" s="141">
        <f>IFERROR((HLOOKUP($AH103,Target_monthwise!$D$4:$O$20,DTR!K$4,FALSE))*1000,0)</f>
        <v>0</v>
      </c>
      <c r="L103" s="141">
        <f>IFERROR((HLOOKUP($AH103,Target_monthwise!$D$4:$O$20,DTR!L$4,FALSE))*1000,0)</f>
        <v>0</v>
      </c>
      <c r="M103" s="141">
        <f>IFERROR((HLOOKUP($AH103,Target_monthwise!$D$4:$O$20,DTR!M$4,FALSE))*1000,0)</f>
        <v>0</v>
      </c>
      <c r="N103" s="141">
        <f>IFERROR((HLOOKUP($AH103,Target_monthwise!$D$4:$O$20,DTR!N$4,FALSE))*1000,0)</f>
        <v>0</v>
      </c>
      <c r="O103" s="141">
        <f>IFERROR((HLOOKUP($AH103,Target_monthwise!$D$4:$O$20,DTR!O$4,FALSE))*1000,0)</f>
        <v>0</v>
      </c>
      <c r="P103" s="141">
        <f>IFERROR((HLOOKUP($AH103,Target_monthwise!$D$4:$O$20,DTR!P$4,FALSE))*1000,0)</f>
        <v>0</v>
      </c>
      <c r="Q103" s="141">
        <f>IFERROR((HLOOKUP($AH103,Target_monthwise!$D$4:$O$20,DTR!Q$4,FALSE))*1000,0)</f>
        <v>0</v>
      </c>
      <c r="R103" s="167">
        <f>IFERROR((HLOOKUP($AH103,Target_monthwise!$D$4:$O$20,DTR!R$4,FALSE))*1000,0)</f>
        <v>0</v>
      </c>
      <c r="S103" s="147">
        <f>IFERROR((HLOOKUP($AH103,Target_monthwise!$D$24:$O$40,DTR!S$4,FALSE)),0)</f>
        <v>0</v>
      </c>
      <c r="T103" s="147">
        <f>IFERROR((HLOOKUP($AH103,Target_monthwise!$D$24:$O$40,DTR!T$4,FALSE)),0)</f>
        <v>0</v>
      </c>
      <c r="U103" s="147">
        <f>IFERROR((HLOOKUP($AH103,Target_monthwise!$D$24:$O$40,DTR!U$4,FALSE)),0)</f>
        <v>0</v>
      </c>
      <c r="V103" s="147">
        <f>IFERROR((HLOOKUP($AH103,Target_monthwise!$D$24:$O$40,DTR!V$4,FALSE)),0)</f>
        <v>0</v>
      </c>
      <c r="W103" s="147">
        <f>IFERROR((HLOOKUP($AH103,Target_monthwise!$D$24:$O$40,DTR!W$4,FALSE)),0)</f>
        <v>0</v>
      </c>
      <c r="X103" s="147">
        <f>IFERROR((HLOOKUP($AH103,Target_monthwise!$D$24:$O$40,DTR!X$4,FALSE)),0)</f>
        <v>0</v>
      </c>
      <c r="Y103" s="147">
        <f>IFERROR((HLOOKUP($AH103,Target_monthwise!$D$24:$O$40,DTR!Y$4,FALSE)),0)</f>
        <v>0</v>
      </c>
      <c r="Z103" s="147">
        <f>IFERROR((HLOOKUP($AH103,Target_monthwise!$D$24:$O$40,DTR!Z$4,FALSE)),0)</f>
        <v>0</v>
      </c>
      <c r="AA103" s="147">
        <f>IFERROR((HLOOKUP($AH103,Target_monthwise!$D$24:$O$40,DTR!AA$4,FALSE)),0)</f>
        <v>0</v>
      </c>
      <c r="AB103" s="147">
        <f>IFERROR((HLOOKUP($AH103,Target_monthwise!$D$24:$O$40,DTR!AB$4,FALSE)),0)</f>
        <v>0</v>
      </c>
      <c r="AC103" s="147">
        <f>IFERROR((HLOOKUP($AH103,Target_monthwise!$D$24:$O$40,DTR!AC$4,FALSE)),0)</f>
        <v>0</v>
      </c>
      <c r="AD103" s="147">
        <f>IFERROR((HLOOKUP($AH103,Target_monthwise!$D$24:$O$40,DTR!AD$4,FALSE)),0)</f>
        <v>0</v>
      </c>
      <c r="AE103" s="147">
        <f>IFERROR((HLOOKUP($AH103,Target_monthwise!$D$24:$O$40,DTR!AE$4,FALSE)),0)</f>
        <v>0</v>
      </c>
      <c r="AF103" s="147">
        <f>IFERROR((HLOOKUP($AH103,Target_monthwise!$D$24:$O$40,DTR!AF$4,FALSE)),0)</f>
        <v>0</v>
      </c>
      <c r="AG103" s="172">
        <f>IFERROR((HLOOKUP($AH103,Target_monthwise!$D$24:$O$40,DTR!AG$4,FALSE)),0)</f>
        <v>0</v>
      </c>
      <c r="AH103" s="253">
        <f t="shared" si="1"/>
        <v>202207</v>
      </c>
    </row>
    <row r="104" spans="3:34" ht="15.75" hidden="1">
      <c r="C104" s="237">
        <v>44747</v>
      </c>
      <c r="D104" s="238">
        <f>IFERROR((HLOOKUP($AH104,Target_monthwise!$D$4:$O$20,DTR!D$4,FALSE))*1000,0)</f>
        <v>0</v>
      </c>
      <c r="E104" s="238">
        <f>IFERROR((HLOOKUP($AH104,Target_monthwise!$D$4:$O$20,DTR!E$4,FALSE))*1000,0)</f>
        <v>0</v>
      </c>
      <c r="F104" s="238">
        <f>IFERROR((HLOOKUP($AH104,Target_monthwise!$D$4:$O$20,DTR!F$4,FALSE))*1000,0)</f>
        <v>0</v>
      </c>
      <c r="G104" s="238">
        <f>IFERROR((HLOOKUP($AH104,Target_monthwise!$D$4:$O$20,DTR!G$4,FALSE))*1000,0)</f>
        <v>0</v>
      </c>
      <c r="H104" s="238">
        <f>IFERROR((HLOOKUP($AH104,Target_monthwise!$D$4:$O$20,DTR!H$4,FALSE))*1000,0)</f>
        <v>0</v>
      </c>
      <c r="I104" s="238">
        <f>IFERROR((HLOOKUP($AH104,Target_monthwise!$D$4:$O$20,DTR!I$4,FALSE))*1000,0)</f>
        <v>0</v>
      </c>
      <c r="J104" s="238">
        <f>IFERROR((HLOOKUP($AH104,Target_monthwise!$D$4:$O$20,DTR!J$4,FALSE))*1000,0)</f>
        <v>0</v>
      </c>
      <c r="K104" s="238">
        <f>IFERROR((HLOOKUP($AH104,Target_monthwise!$D$4:$O$20,DTR!K$4,FALSE))*1000,0)</f>
        <v>0</v>
      </c>
      <c r="L104" s="238">
        <f>IFERROR((HLOOKUP($AH104,Target_monthwise!$D$4:$O$20,DTR!L$4,FALSE))*1000,0)</f>
        <v>0</v>
      </c>
      <c r="M104" s="238">
        <f>IFERROR((HLOOKUP($AH104,Target_monthwise!$D$4:$O$20,DTR!M$4,FALSE))*1000,0)</f>
        <v>0</v>
      </c>
      <c r="N104" s="238">
        <f>IFERROR((HLOOKUP($AH104,Target_monthwise!$D$4:$O$20,DTR!N$4,FALSE))*1000,0)</f>
        <v>0</v>
      </c>
      <c r="O104" s="238">
        <f>IFERROR((HLOOKUP($AH104,Target_monthwise!$D$4:$O$20,DTR!O$4,FALSE))*1000,0)</f>
        <v>0</v>
      </c>
      <c r="P104" s="238">
        <f>IFERROR((HLOOKUP($AH104,Target_monthwise!$D$4:$O$20,DTR!P$4,FALSE))*1000,0)</f>
        <v>0</v>
      </c>
      <c r="Q104" s="141">
        <f>IFERROR((HLOOKUP($AH104,Target_monthwise!$D$4:$O$20,DTR!Q$4,FALSE))*1000,0)</f>
        <v>0</v>
      </c>
      <c r="R104" s="167">
        <f>IFERROR((HLOOKUP($AH104,Target_monthwise!$D$4:$O$20,DTR!R$4,FALSE))*1000,0)</f>
        <v>0</v>
      </c>
      <c r="S104" s="239">
        <f>IFERROR((HLOOKUP($AH104,Target_monthwise!$D$24:$O$40,DTR!S$4,FALSE)),0)</f>
        <v>0</v>
      </c>
      <c r="T104" s="239">
        <f>IFERROR((HLOOKUP($AH104,Target_monthwise!$D$24:$O$40,DTR!T$4,FALSE)),0)</f>
        <v>0</v>
      </c>
      <c r="U104" s="239">
        <f>IFERROR((HLOOKUP($AH104,Target_monthwise!$D$24:$O$40,DTR!U$4,FALSE)),0)</f>
        <v>0</v>
      </c>
      <c r="V104" s="239">
        <f>IFERROR((HLOOKUP($AH104,Target_monthwise!$D$24:$O$40,DTR!V$4,FALSE)),0)</f>
        <v>0</v>
      </c>
      <c r="W104" s="239">
        <f>IFERROR((HLOOKUP($AH104,Target_monthwise!$D$24:$O$40,DTR!W$4,FALSE)),0)</f>
        <v>0</v>
      </c>
      <c r="X104" s="239">
        <f>IFERROR((HLOOKUP($AH104,Target_monthwise!$D$24:$O$40,DTR!X$4,FALSE)),0)</f>
        <v>0</v>
      </c>
      <c r="Y104" s="239">
        <f>IFERROR((HLOOKUP($AH104,Target_monthwise!$D$24:$O$40,DTR!Y$4,FALSE)),0)</f>
        <v>0</v>
      </c>
      <c r="Z104" s="147">
        <f>IFERROR((HLOOKUP($AH104,Target_monthwise!$D$24:$O$40,DTR!Z$4,FALSE)),0)</f>
        <v>0</v>
      </c>
      <c r="AA104" s="147">
        <f>IFERROR((HLOOKUP($AH104,Target_monthwise!$D$24:$O$40,DTR!AA$4,FALSE)),0)</f>
        <v>0</v>
      </c>
      <c r="AB104" s="147">
        <f>IFERROR((HLOOKUP($AH104,Target_monthwise!$D$24:$O$40,DTR!AB$4,FALSE)),0)</f>
        <v>0</v>
      </c>
      <c r="AC104" s="239">
        <f>IFERROR((HLOOKUP($AH104,Target_monthwise!$D$24:$O$40,DTR!AC$4,FALSE)),0)</f>
        <v>0</v>
      </c>
      <c r="AD104" s="239">
        <f>IFERROR((HLOOKUP($AH104,Target_monthwise!$D$24:$O$40,DTR!AD$4,FALSE)),0)</f>
        <v>0</v>
      </c>
      <c r="AE104" s="239">
        <f>IFERROR((HLOOKUP($AH104,Target_monthwise!$D$24:$O$40,DTR!AE$4,FALSE)),0)</f>
        <v>0</v>
      </c>
      <c r="AF104" s="239">
        <f>IFERROR((HLOOKUP($AH104,Target_monthwise!$D$24:$O$40,DTR!AF$4,FALSE)),0)</f>
        <v>0</v>
      </c>
      <c r="AG104" s="172">
        <f>IFERROR((HLOOKUP($AH104,Target_monthwise!$D$24:$O$40,DTR!AG$4,FALSE)),0)</f>
        <v>0</v>
      </c>
      <c r="AH104" s="253">
        <f t="shared" si="1"/>
        <v>202207</v>
      </c>
    </row>
    <row r="105" spans="3:34" ht="15.75" hidden="1">
      <c r="C105" s="235">
        <v>44748</v>
      </c>
      <c r="D105" s="141">
        <f>IFERROR((HLOOKUP($AH105,Target_monthwise!$D$4:$O$20,DTR!D$4,FALSE))*1000,0)</f>
        <v>0</v>
      </c>
      <c r="E105" s="141">
        <f>IFERROR((HLOOKUP($AH105,Target_monthwise!$D$4:$O$20,DTR!E$4,FALSE))*1000,0)</f>
        <v>0</v>
      </c>
      <c r="F105" s="141">
        <f>IFERROR((HLOOKUP($AH105,Target_monthwise!$D$4:$O$20,DTR!F$4,FALSE))*1000,0)</f>
        <v>0</v>
      </c>
      <c r="G105" s="141">
        <f>IFERROR((HLOOKUP($AH105,Target_monthwise!$D$4:$O$20,DTR!G$4,FALSE))*1000,0)</f>
        <v>0</v>
      </c>
      <c r="H105" s="141">
        <f>IFERROR((HLOOKUP($AH105,Target_monthwise!$D$4:$O$20,DTR!H$4,FALSE))*1000,0)</f>
        <v>0</v>
      </c>
      <c r="I105" s="141">
        <f>IFERROR((HLOOKUP($AH105,Target_monthwise!$D$4:$O$20,DTR!I$4,FALSE))*1000,0)</f>
        <v>0</v>
      </c>
      <c r="J105" s="141">
        <f>IFERROR((HLOOKUP($AH105,Target_monthwise!$D$4:$O$20,DTR!J$4,FALSE))*1000,0)</f>
        <v>0</v>
      </c>
      <c r="K105" s="141">
        <f>IFERROR((HLOOKUP($AH105,Target_monthwise!$D$4:$O$20,DTR!K$4,FALSE))*1000,0)</f>
        <v>0</v>
      </c>
      <c r="L105" s="141">
        <f>IFERROR((HLOOKUP($AH105,Target_monthwise!$D$4:$O$20,DTR!L$4,FALSE))*1000,0)</f>
        <v>0</v>
      </c>
      <c r="M105" s="141">
        <f>IFERROR((HLOOKUP($AH105,Target_monthwise!$D$4:$O$20,DTR!M$4,FALSE))*1000,0)</f>
        <v>0</v>
      </c>
      <c r="N105" s="141">
        <f>IFERROR((HLOOKUP($AH105,Target_monthwise!$D$4:$O$20,DTR!N$4,FALSE))*1000,0)</f>
        <v>0</v>
      </c>
      <c r="O105" s="141">
        <f>IFERROR((HLOOKUP($AH105,Target_monthwise!$D$4:$O$20,DTR!O$4,FALSE))*1000,0)</f>
        <v>0</v>
      </c>
      <c r="P105" s="141">
        <f>IFERROR((HLOOKUP($AH105,Target_monthwise!$D$4:$O$20,DTR!P$4,FALSE))*1000,0)</f>
        <v>0</v>
      </c>
      <c r="Q105" s="141">
        <f>IFERROR((HLOOKUP($AH105,Target_monthwise!$D$4:$O$20,DTR!Q$4,FALSE))*1000,0)</f>
        <v>0</v>
      </c>
      <c r="R105" s="167">
        <f>IFERROR((HLOOKUP($AH105,Target_monthwise!$D$4:$O$20,DTR!R$4,FALSE))*1000,0)</f>
        <v>0</v>
      </c>
      <c r="S105" s="147">
        <f>IFERROR((HLOOKUP($AH105,Target_monthwise!$D$24:$O$40,DTR!S$4,FALSE)),0)</f>
        <v>0</v>
      </c>
      <c r="T105" s="147">
        <f>IFERROR((HLOOKUP($AH105,Target_monthwise!$D$24:$O$40,DTR!T$4,FALSE)),0)</f>
        <v>0</v>
      </c>
      <c r="U105" s="147">
        <f>IFERROR((HLOOKUP($AH105,Target_monthwise!$D$24:$O$40,DTR!U$4,FALSE)),0)</f>
        <v>0</v>
      </c>
      <c r="V105" s="147">
        <f>IFERROR((HLOOKUP($AH105,Target_monthwise!$D$24:$O$40,DTR!V$4,FALSE)),0)</f>
        <v>0</v>
      </c>
      <c r="W105" s="147">
        <f>IFERROR((HLOOKUP($AH105,Target_monthwise!$D$24:$O$40,DTR!W$4,FALSE)),0)</f>
        <v>0</v>
      </c>
      <c r="X105" s="147">
        <f>IFERROR((HLOOKUP($AH105,Target_monthwise!$D$24:$O$40,DTR!X$4,FALSE)),0)</f>
        <v>0</v>
      </c>
      <c r="Y105" s="147">
        <f>IFERROR((HLOOKUP($AH105,Target_monthwise!$D$24:$O$40,DTR!Y$4,FALSE)),0)</f>
        <v>0</v>
      </c>
      <c r="Z105" s="147">
        <f>IFERROR((HLOOKUP($AH105,Target_monthwise!$D$24:$O$40,DTR!Z$4,FALSE)),0)</f>
        <v>0</v>
      </c>
      <c r="AA105" s="147">
        <f>IFERROR((HLOOKUP($AH105,Target_monthwise!$D$24:$O$40,DTR!AA$4,FALSE)),0)</f>
        <v>0</v>
      </c>
      <c r="AB105" s="147">
        <f>IFERROR((HLOOKUP($AH105,Target_monthwise!$D$24:$O$40,DTR!AB$4,FALSE)),0)</f>
        <v>0</v>
      </c>
      <c r="AC105" s="147">
        <f>IFERROR((HLOOKUP($AH105,Target_monthwise!$D$24:$O$40,DTR!AC$4,FALSE)),0)</f>
        <v>0</v>
      </c>
      <c r="AD105" s="147">
        <f>IFERROR((HLOOKUP($AH105,Target_monthwise!$D$24:$O$40,DTR!AD$4,FALSE)),0)</f>
        <v>0</v>
      </c>
      <c r="AE105" s="147">
        <f>IFERROR((HLOOKUP($AH105,Target_monthwise!$D$24:$O$40,DTR!AE$4,FALSE)),0)</f>
        <v>0</v>
      </c>
      <c r="AF105" s="147">
        <f>IFERROR((HLOOKUP($AH105,Target_monthwise!$D$24:$O$40,DTR!AF$4,FALSE)),0)</f>
        <v>0</v>
      </c>
      <c r="AG105" s="172">
        <f>IFERROR((HLOOKUP($AH105,Target_monthwise!$D$24:$O$40,DTR!AG$4,FALSE)),0)</f>
        <v>0</v>
      </c>
      <c r="AH105" s="253">
        <f t="shared" si="1"/>
        <v>202207</v>
      </c>
    </row>
    <row r="106" spans="3:34" ht="15.75" hidden="1">
      <c r="C106" s="237">
        <v>44749</v>
      </c>
      <c r="D106" s="238">
        <f>IFERROR((HLOOKUP($AH106,Target_monthwise!$D$4:$O$20,DTR!D$4,FALSE))*1000,0)</f>
        <v>0</v>
      </c>
      <c r="E106" s="238">
        <f>IFERROR((HLOOKUP($AH106,Target_monthwise!$D$4:$O$20,DTR!E$4,FALSE))*1000,0)</f>
        <v>0</v>
      </c>
      <c r="F106" s="238">
        <f>IFERROR((HLOOKUP($AH106,Target_monthwise!$D$4:$O$20,DTR!F$4,FALSE))*1000,0)</f>
        <v>0</v>
      </c>
      <c r="G106" s="238">
        <f>IFERROR((HLOOKUP($AH106,Target_monthwise!$D$4:$O$20,DTR!G$4,FALSE))*1000,0)</f>
        <v>0</v>
      </c>
      <c r="H106" s="238">
        <f>IFERROR((HLOOKUP($AH106,Target_monthwise!$D$4:$O$20,DTR!H$4,FALSE))*1000,0)</f>
        <v>0</v>
      </c>
      <c r="I106" s="238">
        <f>IFERROR((HLOOKUP($AH106,Target_monthwise!$D$4:$O$20,DTR!I$4,FALSE))*1000,0)</f>
        <v>0</v>
      </c>
      <c r="J106" s="238">
        <f>IFERROR((HLOOKUP($AH106,Target_monthwise!$D$4:$O$20,DTR!J$4,FALSE))*1000,0)</f>
        <v>0</v>
      </c>
      <c r="K106" s="238">
        <f>IFERROR((HLOOKUP($AH106,Target_monthwise!$D$4:$O$20,DTR!K$4,FALSE))*1000,0)</f>
        <v>0</v>
      </c>
      <c r="L106" s="238">
        <f>IFERROR((HLOOKUP($AH106,Target_monthwise!$D$4:$O$20,DTR!L$4,FALSE))*1000,0)</f>
        <v>0</v>
      </c>
      <c r="M106" s="238">
        <f>IFERROR((HLOOKUP($AH106,Target_monthwise!$D$4:$O$20,DTR!M$4,FALSE))*1000,0)</f>
        <v>0</v>
      </c>
      <c r="N106" s="238">
        <f>IFERROR((HLOOKUP($AH106,Target_monthwise!$D$4:$O$20,DTR!N$4,FALSE))*1000,0)</f>
        <v>0</v>
      </c>
      <c r="O106" s="238">
        <f>IFERROR((HLOOKUP($AH106,Target_monthwise!$D$4:$O$20,DTR!O$4,FALSE))*1000,0)</f>
        <v>0</v>
      </c>
      <c r="P106" s="238">
        <f>IFERROR((HLOOKUP($AH106,Target_monthwise!$D$4:$O$20,DTR!P$4,FALSE))*1000,0)</f>
        <v>0</v>
      </c>
      <c r="Q106" s="141">
        <f>IFERROR((HLOOKUP($AH106,Target_monthwise!$D$4:$O$20,DTR!Q$4,FALSE))*1000,0)</f>
        <v>0</v>
      </c>
      <c r="R106" s="167">
        <f>IFERROR((HLOOKUP($AH106,Target_monthwise!$D$4:$O$20,DTR!R$4,FALSE))*1000,0)</f>
        <v>0</v>
      </c>
      <c r="S106" s="239">
        <f>IFERROR((HLOOKUP($AH106,Target_monthwise!$D$24:$O$40,DTR!S$4,FALSE)),0)</f>
        <v>0</v>
      </c>
      <c r="T106" s="239">
        <f>IFERROR((HLOOKUP($AH106,Target_monthwise!$D$24:$O$40,DTR!T$4,FALSE)),0)</f>
        <v>0</v>
      </c>
      <c r="U106" s="239">
        <f>IFERROR((HLOOKUP($AH106,Target_monthwise!$D$24:$O$40,DTR!U$4,FALSE)),0)</f>
        <v>0</v>
      </c>
      <c r="V106" s="239">
        <f>IFERROR((HLOOKUP($AH106,Target_monthwise!$D$24:$O$40,DTR!V$4,FALSE)),0)</f>
        <v>0</v>
      </c>
      <c r="W106" s="239">
        <f>IFERROR((HLOOKUP($AH106,Target_monthwise!$D$24:$O$40,DTR!W$4,FALSE)),0)</f>
        <v>0</v>
      </c>
      <c r="X106" s="239">
        <f>IFERROR((HLOOKUP($AH106,Target_monthwise!$D$24:$O$40,DTR!X$4,FALSE)),0)</f>
        <v>0</v>
      </c>
      <c r="Y106" s="239">
        <f>IFERROR((HLOOKUP($AH106,Target_monthwise!$D$24:$O$40,DTR!Y$4,FALSE)),0)</f>
        <v>0</v>
      </c>
      <c r="Z106" s="147">
        <f>IFERROR((HLOOKUP($AH106,Target_monthwise!$D$24:$O$40,DTR!Z$4,FALSE)),0)</f>
        <v>0</v>
      </c>
      <c r="AA106" s="147">
        <f>IFERROR((HLOOKUP($AH106,Target_monthwise!$D$24:$O$40,DTR!AA$4,FALSE)),0)</f>
        <v>0</v>
      </c>
      <c r="AB106" s="147">
        <f>IFERROR((HLOOKUP($AH106,Target_monthwise!$D$24:$O$40,DTR!AB$4,FALSE)),0)</f>
        <v>0</v>
      </c>
      <c r="AC106" s="239">
        <f>IFERROR((HLOOKUP($AH106,Target_monthwise!$D$24:$O$40,DTR!AC$4,FALSE)),0)</f>
        <v>0</v>
      </c>
      <c r="AD106" s="239">
        <f>IFERROR((HLOOKUP($AH106,Target_monthwise!$D$24:$O$40,DTR!AD$4,FALSE)),0)</f>
        <v>0</v>
      </c>
      <c r="AE106" s="239">
        <f>IFERROR((HLOOKUP($AH106,Target_monthwise!$D$24:$O$40,DTR!AE$4,FALSE)),0)</f>
        <v>0</v>
      </c>
      <c r="AF106" s="239">
        <f>IFERROR((HLOOKUP($AH106,Target_monthwise!$D$24:$O$40,DTR!AF$4,FALSE)),0)</f>
        <v>0</v>
      </c>
      <c r="AG106" s="172">
        <f>IFERROR((HLOOKUP($AH106,Target_monthwise!$D$24:$O$40,DTR!AG$4,FALSE)),0)</f>
        <v>0</v>
      </c>
      <c r="AH106" s="253">
        <f t="shared" si="1"/>
        <v>202207</v>
      </c>
    </row>
    <row r="107" spans="3:34" ht="15.75" hidden="1">
      <c r="C107" s="235">
        <v>44750</v>
      </c>
      <c r="D107" s="141">
        <f>IFERROR((HLOOKUP($AH107,Target_monthwise!$D$4:$O$20,DTR!D$4,FALSE))*1000,0)</f>
        <v>0</v>
      </c>
      <c r="E107" s="141">
        <f>IFERROR((HLOOKUP($AH107,Target_monthwise!$D$4:$O$20,DTR!E$4,FALSE))*1000,0)</f>
        <v>0</v>
      </c>
      <c r="F107" s="141">
        <f>IFERROR((HLOOKUP($AH107,Target_monthwise!$D$4:$O$20,DTR!F$4,FALSE))*1000,0)</f>
        <v>0</v>
      </c>
      <c r="G107" s="141">
        <f>IFERROR((HLOOKUP($AH107,Target_monthwise!$D$4:$O$20,DTR!G$4,FALSE))*1000,0)</f>
        <v>0</v>
      </c>
      <c r="H107" s="141">
        <f>IFERROR((HLOOKUP($AH107,Target_monthwise!$D$4:$O$20,DTR!H$4,FALSE))*1000,0)</f>
        <v>0</v>
      </c>
      <c r="I107" s="141">
        <f>IFERROR((HLOOKUP($AH107,Target_monthwise!$D$4:$O$20,DTR!I$4,FALSE))*1000,0)</f>
        <v>0</v>
      </c>
      <c r="J107" s="141">
        <f>IFERROR((HLOOKUP($AH107,Target_monthwise!$D$4:$O$20,DTR!J$4,FALSE))*1000,0)</f>
        <v>0</v>
      </c>
      <c r="K107" s="141">
        <f>IFERROR((HLOOKUP($AH107,Target_monthwise!$D$4:$O$20,DTR!K$4,FALSE))*1000,0)</f>
        <v>0</v>
      </c>
      <c r="L107" s="141">
        <f>IFERROR((HLOOKUP($AH107,Target_monthwise!$D$4:$O$20,DTR!L$4,FALSE))*1000,0)</f>
        <v>0</v>
      </c>
      <c r="M107" s="141">
        <f>IFERROR((HLOOKUP($AH107,Target_monthwise!$D$4:$O$20,DTR!M$4,FALSE))*1000,0)</f>
        <v>0</v>
      </c>
      <c r="N107" s="141">
        <f>IFERROR((HLOOKUP($AH107,Target_monthwise!$D$4:$O$20,DTR!N$4,FALSE))*1000,0)</f>
        <v>0</v>
      </c>
      <c r="O107" s="141">
        <f>IFERROR((HLOOKUP($AH107,Target_monthwise!$D$4:$O$20,DTR!O$4,FALSE))*1000,0)</f>
        <v>0</v>
      </c>
      <c r="P107" s="141">
        <f>IFERROR((HLOOKUP($AH107,Target_monthwise!$D$4:$O$20,DTR!P$4,FALSE))*1000,0)</f>
        <v>0</v>
      </c>
      <c r="Q107" s="141">
        <f>IFERROR((HLOOKUP($AH107,Target_monthwise!$D$4:$O$20,DTR!Q$4,FALSE))*1000,0)</f>
        <v>0</v>
      </c>
      <c r="R107" s="167">
        <f>IFERROR((HLOOKUP($AH107,Target_monthwise!$D$4:$O$20,DTR!R$4,FALSE))*1000,0)</f>
        <v>0</v>
      </c>
      <c r="S107" s="147">
        <f>IFERROR((HLOOKUP($AH107,Target_monthwise!$D$24:$O$40,DTR!S$4,FALSE)),0)</f>
        <v>0</v>
      </c>
      <c r="T107" s="147">
        <f>IFERROR((HLOOKUP($AH107,Target_monthwise!$D$24:$O$40,DTR!T$4,FALSE)),0)</f>
        <v>0</v>
      </c>
      <c r="U107" s="147">
        <f>IFERROR((HLOOKUP($AH107,Target_monthwise!$D$24:$O$40,DTR!U$4,FALSE)),0)</f>
        <v>0</v>
      </c>
      <c r="V107" s="147">
        <f>IFERROR((HLOOKUP($AH107,Target_monthwise!$D$24:$O$40,DTR!V$4,FALSE)),0)</f>
        <v>0</v>
      </c>
      <c r="W107" s="147">
        <f>IFERROR((HLOOKUP($AH107,Target_monthwise!$D$24:$O$40,DTR!W$4,FALSE)),0)</f>
        <v>0</v>
      </c>
      <c r="X107" s="147">
        <f>IFERROR((HLOOKUP($AH107,Target_monthwise!$D$24:$O$40,DTR!X$4,FALSE)),0)</f>
        <v>0</v>
      </c>
      <c r="Y107" s="147">
        <f>IFERROR((HLOOKUP($AH107,Target_monthwise!$D$24:$O$40,DTR!Y$4,FALSE)),0)</f>
        <v>0</v>
      </c>
      <c r="Z107" s="147">
        <f>IFERROR((HLOOKUP($AH107,Target_monthwise!$D$24:$O$40,DTR!Z$4,FALSE)),0)</f>
        <v>0</v>
      </c>
      <c r="AA107" s="147">
        <f>IFERROR((HLOOKUP($AH107,Target_monthwise!$D$24:$O$40,DTR!AA$4,FALSE)),0)</f>
        <v>0</v>
      </c>
      <c r="AB107" s="147">
        <f>IFERROR((HLOOKUP($AH107,Target_monthwise!$D$24:$O$40,DTR!AB$4,FALSE)),0)</f>
        <v>0</v>
      </c>
      <c r="AC107" s="147">
        <f>IFERROR((HLOOKUP($AH107,Target_monthwise!$D$24:$O$40,DTR!AC$4,FALSE)),0)</f>
        <v>0</v>
      </c>
      <c r="AD107" s="147">
        <f>IFERROR((HLOOKUP($AH107,Target_monthwise!$D$24:$O$40,DTR!AD$4,FALSE)),0)</f>
        <v>0</v>
      </c>
      <c r="AE107" s="147">
        <f>IFERROR((HLOOKUP($AH107,Target_monthwise!$D$24:$O$40,DTR!AE$4,FALSE)),0)</f>
        <v>0</v>
      </c>
      <c r="AF107" s="147">
        <f>IFERROR((HLOOKUP($AH107,Target_monthwise!$D$24:$O$40,DTR!AF$4,FALSE)),0)</f>
        <v>0</v>
      </c>
      <c r="AG107" s="172">
        <f>IFERROR((HLOOKUP($AH107,Target_monthwise!$D$24:$O$40,DTR!AG$4,FALSE)),0)</f>
        <v>0</v>
      </c>
      <c r="AH107" s="253">
        <f t="shared" si="1"/>
        <v>202207</v>
      </c>
    </row>
    <row r="108" spans="3:34" ht="15.75" hidden="1">
      <c r="C108" s="237">
        <v>44751</v>
      </c>
      <c r="D108" s="238">
        <f>IFERROR((HLOOKUP($AH108,Target_monthwise!$D$4:$O$20,DTR!D$4,FALSE))*1000,0)</f>
        <v>0</v>
      </c>
      <c r="E108" s="238">
        <f>IFERROR((HLOOKUP($AH108,Target_monthwise!$D$4:$O$20,DTR!E$4,FALSE))*1000,0)</f>
        <v>0</v>
      </c>
      <c r="F108" s="238">
        <f>IFERROR((HLOOKUP($AH108,Target_monthwise!$D$4:$O$20,DTR!F$4,FALSE))*1000,0)</f>
        <v>0</v>
      </c>
      <c r="G108" s="238">
        <f>IFERROR((HLOOKUP($AH108,Target_monthwise!$D$4:$O$20,DTR!G$4,FALSE))*1000,0)</f>
        <v>0</v>
      </c>
      <c r="H108" s="238">
        <f>IFERROR((HLOOKUP($AH108,Target_monthwise!$D$4:$O$20,DTR!H$4,FALSE))*1000,0)</f>
        <v>0</v>
      </c>
      <c r="I108" s="238">
        <f>IFERROR((HLOOKUP($AH108,Target_monthwise!$D$4:$O$20,DTR!I$4,FALSE))*1000,0)</f>
        <v>0</v>
      </c>
      <c r="J108" s="238">
        <f>IFERROR((HLOOKUP($AH108,Target_monthwise!$D$4:$O$20,DTR!J$4,FALSE))*1000,0)</f>
        <v>0</v>
      </c>
      <c r="K108" s="238">
        <f>IFERROR((HLOOKUP($AH108,Target_monthwise!$D$4:$O$20,DTR!K$4,FALSE))*1000,0)</f>
        <v>0</v>
      </c>
      <c r="L108" s="238">
        <f>IFERROR((HLOOKUP($AH108,Target_monthwise!$D$4:$O$20,DTR!L$4,FALSE))*1000,0)</f>
        <v>0</v>
      </c>
      <c r="M108" s="238">
        <f>IFERROR((HLOOKUP($AH108,Target_monthwise!$D$4:$O$20,DTR!M$4,FALSE))*1000,0)</f>
        <v>0</v>
      </c>
      <c r="N108" s="238">
        <f>IFERROR((HLOOKUP($AH108,Target_monthwise!$D$4:$O$20,DTR!N$4,FALSE))*1000,0)</f>
        <v>0</v>
      </c>
      <c r="O108" s="238">
        <f>IFERROR((HLOOKUP($AH108,Target_monthwise!$D$4:$O$20,DTR!O$4,FALSE))*1000,0)</f>
        <v>0</v>
      </c>
      <c r="P108" s="238">
        <f>IFERROR((HLOOKUP($AH108,Target_monthwise!$D$4:$O$20,DTR!P$4,FALSE))*1000,0)</f>
        <v>0</v>
      </c>
      <c r="Q108" s="141">
        <f>IFERROR((HLOOKUP($AH108,Target_monthwise!$D$4:$O$20,DTR!Q$4,FALSE))*1000,0)</f>
        <v>0</v>
      </c>
      <c r="R108" s="167">
        <f>IFERROR((HLOOKUP($AH108,Target_monthwise!$D$4:$O$20,DTR!R$4,FALSE))*1000,0)</f>
        <v>0</v>
      </c>
      <c r="S108" s="239">
        <f>IFERROR((HLOOKUP($AH108,Target_monthwise!$D$24:$O$40,DTR!S$4,FALSE)),0)</f>
        <v>0</v>
      </c>
      <c r="T108" s="239">
        <f>IFERROR((HLOOKUP($AH108,Target_monthwise!$D$24:$O$40,DTR!T$4,FALSE)),0)</f>
        <v>0</v>
      </c>
      <c r="U108" s="239">
        <f>IFERROR((HLOOKUP($AH108,Target_monthwise!$D$24:$O$40,DTR!U$4,FALSE)),0)</f>
        <v>0</v>
      </c>
      <c r="V108" s="239">
        <f>IFERROR((HLOOKUP($AH108,Target_monthwise!$D$24:$O$40,DTR!V$4,FALSE)),0)</f>
        <v>0</v>
      </c>
      <c r="W108" s="239">
        <f>IFERROR((HLOOKUP($AH108,Target_monthwise!$D$24:$O$40,DTR!W$4,FALSE)),0)</f>
        <v>0</v>
      </c>
      <c r="X108" s="239">
        <f>IFERROR((HLOOKUP($AH108,Target_monthwise!$D$24:$O$40,DTR!X$4,FALSE)),0)</f>
        <v>0</v>
      </c>
      <c r="Y108" s="239">
        <f>IFERROR((HLOOKUP($AH108,Target_monthwise!$D$24:$O$40,DTR!Y$4,FALSE)),0)</f>
        <v>0</v>
      </c>
      <c r="Z108" s="147">
        <f>IFERROR((HLOOKUP($AH108,Target_monthwise!$D$24:$O$40,DTR!Z$4,FALSE)),0)</f>
        <v>0</v>
      </c>
      <c r="AA108" s="147">
        <f>IFERROR((HLOOKUP($AH108,Target_monthwise!$D$24:$O$40,DTR!AA$4,FALSE)),0)</f>
        <v>0</v>
      </c>
      <c r="AB108" s="147">
        <f>IFERROR((HLOOKUP($AH108,Target_monthwise!$D$24:$O$40,DTR!AB$4,FALSE)),0)</f>
        <v>0</v>
      </c>
      <c r="AC108" s="239">
        <f>IFERROR((HLOOKUP($AH108,Target_monthwise!$D$24:$O$40,DTR!AC$4,FALSE)),0)</f>
        <v>0</v>
      </c>
      <c r="AD108" s="239">
        <f>IFERROR((HLOOKUP($AH108,Target_monthwise!$D$24:$O$40,DTR!AD$4,FALSE)),0)</f>
        <v>0</v>
      </c>
      <c r="AE108" s="239">
        <f>IFERROR((HLOOKUP($AH108,Target_monthwise!$D$24:$O$40,DTR!AE$4,FALSE)),0)</f>
        <v>0</v>
      </c>
      <c r="AF108" s="239">
        <f>IFERROR((HLOOKUP($AH108,Target_monthwise!$D$24:$O$40,DTR!AF$4,FALSE)),0)</f>
        <v>0</v>
      </c>
      <c r="AG108" s="172">
        <f>IFERROR((HLOOKUP($AH108,Target_monthwise!$D$24:$O$40,DTR!AG$4,FALSE)),0)</f>
        <v>0</v>
      </c>
      <c r="AH108" s="253">
        <f t="shared" si="1"/>
        <v>202207</v>
      </c>
    </row>
    <row r="109" spans="3:34" ht="15.75" hidden="1">
      <c r="C109" s="235">
        <v>44752</v>
      </c>
      <c r="D109" s="141">
        <f>IFERROR((HLOOKUP($AH109,Target_monthwise!$D$4:$O$20,DTR!D$4,FALSE))*1000,0)</f>
        <v>0</v>
      </c>
      <c r="E109" s="141">
        <f>IFERROR((HLOOKUP($AH109,Target_monthwise!$D$4:$O$20,DTR!E$4,FALSE))*1000,0)</f>
        <v>0</v>
      </c>
      <c r="F109" s="141">
        <f>IFERROR((HLOOKUP($AH109,Target_monthwise!$D$4:$O$20,DTR!F$4,FALSE))*1000,0)</f>
        <v>0</v>
      </c>
      <c r="G109" s="141">
        <f>IFERROR((HLOOKUP($AH109,Target_monthwise!$D$4:$O$20,DTR!G$4,FALSE))*1000,0)</f>
        <v>0</v>
      </c>
      <c r="H109" s="141">
        <f>IFERROR((HLOOKUP($AH109,Target_monthwise!$D$4:$O$20,DTR!H$4,FALSE))*1000,0)</f>
        <v>0</v>
      </c>
      <c r="I109" s="141">
        <f>IFERROR((HLOOKUP($AH109,Target_monthwise!$D$4:$O$20,DTR!I$4,FALSE))*1000,0)</f>
        <v>0</v>
      </c>
      <c r="J109" s="141">
        <f>IFERROR((HLOOKUP($AH109,Target_monthwise!$D$4:$O$20,DTR!J$4,FALSE))*1000,0)</f>
        <v>0</v>
      </c>
      <c r="K109" s="141">
        <f>IFERROR((HLOOKUP($AH109,Target_monthwise!$D$4:$O$20,DTR!K$4,FALSE))*1000,0)</f>
        <v>0</v>
      </c>
      <c r="L109" s="141">
        <f>IFERROR((HLOOKUP($AH109,Target_monthwise!$D$4:$O$20,DTR!L$4,FALSE))*1000,0)</f>
        <v>0</v>
      </c>
      <c r="M109" s="141">
        <f>IFERROR((HLOOKUP($AH109,Target_monthwise!$D$4:$O$20,DTR!M$4,FALSE))*1000,0)</f>
        <v>0</v>
      </c>
      <c r="N109" s="141">
        <f>IFERROR((HLOOKUP($AH109,Target_monthwise!$D$4:$O$20,DTR!N$4,FALSE))*1000,0)</f>
        <v>0</v>
      </c>
      <c r="O109" s="141">
        <f>IFERROR((HLOOKUP($AH109,Target_monthwise!$D$4:$O$20,DTR!O$4,FALSE))*1000,0)</f>
        <v>0</v>
      </c>
      <c r="P109" s="141">
        <f>IFERROR((HLOOKUP($AH109,Target_monthwise!$D$4:$O$20,DTR!P$4,FALSE))*1000,0)</f>
        <v>0</v>
      </c>
      <c r="Q109" s="141">
        <f>IFERROR((HLOOKUP($AH109,Target_monthwise!$D$4:$O$20,DTR!Q$4,FALSE))*1000,0)</f>
        <v>0</v>
      </c>
      <c r="R109" s="167">
        <f>IFERROR((HLOOKUP($AH109,Target_monthwise!$D$4:$O$20,DTR!R$4,FALSE))*1000,0)</f>
        <v>0</v>
      </c>
      <c r="S109" s="147">
        <f>IFERROR((HLOOKUP($AH109,Target_monthwise!$D$24:$O$40,DTR!S$4,FALSE)),0)</f>
        <v>0</v>
      </c>
      <c r="T109" s="147">
        <f>IFERROR((HLOOKUP($AH109,Target_monthwise!$D$24:$O$40,DTR!T$4,FALSE)),0)</f>
        <v>0</v>
      </c>
      <c r="U109" s="147">
        <f>IFERROR((HLOOKUP($AH109,Target_monthwise!$D$24:$O$40,DTR!U$4,FALSE)),0)</f>
        <v>0</v>
      </c>
      <c r="V109" s="147">
        <f>IFERROR((HLOOKUP($AH109,Target_monthwise!$D$24:$O$40,DTR!V$4,FALSE)),0)</f>
        <v>0</v>
      </c>
      <c r="W109" s="147">
        <f>IFERROR((HLOOKUP($AH109,Target_monthwise!$D$24:$O$40,DTR!W$4,FALSE)),0)</f>
        <v>0</v>
      </c>
      <c r="X109" s="147">
        <f>IFERROR((HLOOKUP($AH109,Target_monthwise!$D$24:$O$40,DTR!X$4,FALSE)),0)</f>
        <v>0</v>
      </c>
      <c r="Y109" s="147">
        <f>IFERROR((HLOOKUP($AH109,Target_monthwise!$D$24:$O$40,DTR!Y$4,FALSE)),0)</f>
        <v>0</v>
      </c>
      <c r="Z109" s="147">
        <f>IFERROR((HLOOKUP($AH109,Target_monthwise!$D$24:$O$40,DTR!Z$4,FALSE)),0)</f>
        <v>0</v>
      </c>
      <c r="AA109" s="147">
        <f>IFERROR((HLOOKUP($AH109,Target_monthwise!$D$24:$O$40,DTR!AA$4,FALSE)),0)</f>
        <v>0</v>
      </c>
      <c r="AB109" s="147">
        <f>IFERROR((HLOOKUP($AH109,Target_monthwise!$D$24:$O$40,DTR!AB$4,FALSE)),0)</f>
        <v>0</v>
      </c>
      <c r="AC109" s="147">
        <f>IFERROR((HLOOKUP($AH109,Target_monthwise!$D$24:$O$40,DTR!AC$4,FALSE)),0)</f>
        <v>0</v>
      </c>
      <c r="AD109" s="147">
        <f>IFERROR((HLOOKUP($AH109,Target_monthwise!$D$24:$O$40,DTR!AD$4,FALSE)),0)</f>
        <v>0</v>
      </c>
      <c r="AE109" s="147">
        <f>IFERROR((HLOOKUP($AH109,Target_monthwise!$D$24:$O$40,DTR!AE$4,FALSE)),0)</f>
        <v>0</v>
      </c>
      <c r="AF109" s="147">
        <f>IFERROR((HLOOKUP($AH109,Target_monthwise!$D$24:$O$40,DTR!AF$4,FALSE)),0)</f>
        <v>0</v>
      </c>
      <c r="AG109" s="172">
        <f>IFERROR((HLOOKUP($AH109,Target_monthwise!$D$24:$O$40,DTR!AG$4,FALSE)),0)</f>
        <v>0</v>
      </c>
      <c r="AH109" s="253">
        <f t="shared" si="1"/>
        <v>202207</v>
      </c>
    </row>
    <row r="110" spans="3:34" ht="15.75" hidden="1">
      <c r="C110" s="237">
        <v>44753</v>
      </c>
      <c r="D110" s="238">
        <f>IFERROR((HLOOKUP($AH110,Target_monthwise!$D$4:$O$20,DTR!D$4,FALSE))*1000,0)</f>
        <v>0</v>
      </c>
      <c r="E110" s="238">
        <f>IFERROR((HLOOKUP($AH110,Target_monthwise!$D$4:$O$20,DTR!E$4,FALSE))*1000,0)</f>
        <v>0</v>
      </c>
      <c r="F110" s="238">
        <f>IFERROR((HLOOKUP($AH110,Target_monthwise!$D$4:$O$20,DTR!F$4,FALSE))*1000,0)</f>
        <v>0</v>
      </c>
      <c r="G110" s="238">
        <f>IFERROR((HLOOKUP($AH110,Target_monthwise!$D$4:$O$20,DTR!G$4,FALSE))*1000,0)</f>
        <v>0</v>
      </c>
      <c r="H110" s="238">
        <f>IFERROR((HLOOKUP($AH110,Target_monthwise!$D$4:$O$20,DTR!H$4,FALSE))*1000,0)</f>
        <v>0</v>
      </c>
      <c r="I110" s="238">
        <f>IFERROR((HLOOKUP($AH110,Target_monthwise!$D$4:$O$20,DTR!I$4,FALSE))*1000,0)</f>
        <v>0</v>
      </c>
      <c r="J110" s="238">
        <f>IFERROR((HLOOKUP($AH110,Target_monthwise!$D$4:$O$20,DTR!J$4,FALSE))*1000,0)</f>
        <v>0</v>
      </c>
      <c r="K110" s="238">
        <f>IFERROR((HLOOKUP($AH110,Target_monthwise!$D$4:$O$20,DTR!K$4,FALSE))*1000,0)</f>
        <v>0</v>
      </c>
      <c r="L110" s="238">
        <f>IFERROR((HLOOKUP($AH110,Target_monthwise!$D$4:$O$20,DTR!L$4,FALSE))*1000,0)</f>
        <v>0</v>
      </c>
      <c r="M110" s="238">
        <f>IFERROR((HLOOKUP($AH110,Target_monthwise!$D$4:$O$20,DTR!M$4,FALSE))*1000,0)</f>
        <v>0</v>
      </c>
      <c r="N110" s="238">
        <f>IFERROR((HLOOKUP($AH110,Target_monthwise!$D$4:$O$20,DTR!N$4,FALSE))*1000,0)</f>
        <v>0</v>
      </c>
      <c r="O110" s="238">
        <f>IFERROR((HLOOKUP($AH110,Target_monthwise!$D$4:$O$20,DTR!O$4,FALSE))*1000,0)</f>
        <v>0</v>
      </c>
      <c r="P110" s="238">
        <f>IFERROR((HLOOKUP($AH110,Target_monthwise!$D$4:$O$20,DTR!P$4,FALSE))*1000,0)</f>
        <v>0</v>
      </c>
      <c r="Q110" s="141">
        <f>IFERROR((HLOOKUP($AH110,Target_monthwise!$D$4:$O$20,DTR!Q$4,FALSE))*1000,0)</f>
        <v>0</v>
      </c>
      <c r="R110" s="167">
        <f>IFERROR((HLOOKUP($AH110,Target_monthwise!$D$4:$O$20,DTR!R$4,FALSE))*1000,0)</f>
        <v>0</v>
      </c>
      <c r="S110" s="239">
        <f>IFERROR((HLOOKUP($AH110,Target_monthwise!$D$24:$O$40,DTR!S$4,FALSE)),0)</f>
        <v>0</v>
      </c>
      <c r="T110" s="239">
        <f>IFERROR((HLOOKUP($AH110,Target_monthwise!$D$24:$O$40,DTR!T$4,FALSE)),0)</f>
        <v>0</v>
      </c>
      <c r="U110" s="239">
        <f>IFERROR((HLOOKUP($AH110,Target_monthwise!$D$24:$O$40,DTR!U$4,FALSE)),0)</f>
        <v>0</v>
      </c>
      <c r="V110" s="239">
        <f>IFERROR((HLOOKUP($AH110,Target_monthwise!$D$24:$O$40,DTR!V$4,FALSE)),0)</f>
        <v>0</v>
      </c>
      <c r="W110" s="239">
        <f>IFERROR((HLOOKUP($AH110,Target_monthwise!$D$24:$O$40,DTR!W$4,FALSE)),0)</f>
        <v>0</v>
      </c>
      <c r="X110" s="239">
        <f>IFERROR((HLOOKUP($AH110,Target_monthwise!$D$24:$O$40,DTR!X$4,FALSE)),0)</f>
        <v>0</v>
      </c>
      <c r="Y110" s="239">
        <f>IFERROR((HLOOKUP($AH110,Target_monthwise!$D$24:$O$40,DTR!Y$4,FALSE)),0)</f>
        <v>0</v>
      </c>
      <c r="Z110" s="147">
        <f>IFERROR((HLOOKUP($AH110,Target_monthwise!$D$24:$O$40,DTR!Z$4,FALSE)),0)</f>
        <v>0</v>
      </c>
      <c r="AA110" s="147">
        <f>IFERROR((HLOOKUP($AH110,Target_monthwise!$D$24:$O$40,DTR!AA$4,FALSE)),0)</f>
        <v>0</v>
      </c>
      <c r="AB110" s="147">
        <f>IFERROR((HLOOKUP($AH110,Target_monthwise!$D$24:$O$40,DTR!AB$4,FALSE)),0)</f>
        <v>0</v>
      </c>
      <c r="AC110" s="239">
        <f>IFERROR((HLOOKUP($AH110,Target_monthwise!$D$24:$O$40,DTR!AC$4,FALSE)),0)</f>
        <v>0</v>
      </c>
      <c r="AD110" s="239">
        <f>IFERROR((HLOOKUP($AH110,Target_monthwise!$D$24:$O$40,DTR!AD$4,FALSE)),0)</f>
        <v>0</v>
      </c>
      <c r="AE110" s="239">
        <f>IFERROR((HLOOKUP($AH110,Target_monthwise!$D$24:$O$40,DTR!AE$4,FALSE)),0)</f>
        <v>0</v>
      </c>
      <c r="AF110" s="239">
        <f>IFERROR((HLOOKUP($AH110,Target_monthwise!$D$24:$O$40,DTR!AF$4,FALSE)),0)</f>
        <v>0</v>
      </c>
      <c r="AG110" s="172">
        <f>IFERROR((HLOOKUP($AH110,Target_monthwise!$D$24:$O$40,DTR!AG$4,FALSE)),0)</f>
        <v>0</v>
      </c>
      <c r="AH110" s="253">
        <f t="shared" si="1"/>
        <v>202207</v>
      </c>
    </row>
    <row r="111" spans="3:34" ht="15.75" hidden="1">
      <c r="C111" s="235">
        <v>44754</v>
      </c>
      <c r="D111" s="141">
        <f>IFERROR((HLOOKUP($AH111,Target_monthwise!$D$4:$O$20,DTR!D$4,FALSE))*1000,0)</f>
        <v>0</v>
      </c>
      <c r="E111" s="141">
        <f>IFERROR((HLOOKUP($AH111,Target_monthwise!$D$4:$O$20,DTR!E$4,FALSE))*1000,0)</f>
        <v>0</v>
      </c>
      <c r="F111" s="141">
        <f>IFERROR((HLOOKUP($AH111,Target_monthwise!$D$4:$O$20,DTR!F$4,FALSE))*1000,0)</f>
        <v>0</v>
      </c>
      <c r="G111" s="141">
        <f>IFERROR((HLOOKUP($AH111,Target_monthwise!$D$4:$O$20,DTR!G$4,FALSE))*1000,0)</f>
        <v>0</v>
      </c>
      <c r="H111" s="141">
        <f>IFERROR((HLOOKUP($AH111,Target_monthwise!$D$4:$O$20,DTR!H$4,FALSE))*1000,0)</f>
        <v>0</v>
      </c>
      <c r="I111" s="141">
        <f>IFERROR((HLOOKUP($AH111,Target_monthwise!$D$4:$O$20,DTR!I$4,FALSE))*1000,0)</f>
        <v>0</v>
      </c>
      <c r="J111" s="141">
        <f>IFERROR((HLOOKUP($AH111,Target_monthwise!$D$4:$O$20,DTR!J$4,FALSE))*1000,0)</f>
        <v>0</v>
      </c>
      <c r="K111" s="141">
        <f>IFERROR((HLOOKUP($AH111,Target_monthwise!$D$4:$O$20,DTR!K$4,FALSE))*1000,0)</f>
        <v>0</v>
      </c>
      <c r="L111" s="141">
        <f>IFERROR((HLOOKUP($AH111,Target_monthwise!$D$4:$O$20,DTR!L$4,FALSE))*1000,0)</f>
        <v>0</v>
      </c>
      <c r="M111" s="141">
        <f>IFERROR((HLOOKUP($AH111,Target_monthwise!$D$4:$O$20,DTR!M$4,FALSE))*1000,0)</f>
        <v>0</v>
      </c>
      <c r="N111" s="141">
        <f>IFERROR((HLOOKUP($AH111,Target_monthwise!$D$4:$O$20,DTR!N$4,FALSE))*1000,0)</f>
        <v>0</v>
      </c>
      <c r="O111" s="141">
        <f>IFERROR((HLOOKUP($AH111,Target_monthwise!$D$4:$O$20,DTR!O$4,FALSE))*1000,0)</f>
        <v>0</v>
      </c>
      <c r="P111" s="141">
        <f>IFERROR((HLOOKUP($AH111,Target_monthwise!$D$4:$O$20,DTR!P$4,FALSE))*1000,0)</f>
        <v>0</v>
      </c>
      <c r="Q111" s="141">
        <f>IFERROR((HLOOKUP($AH111,Target_monthwise!$D$4:$O$20,DTR!Q$4,FALSE))*1000,0)</f>
        <v>0</v>
      </c>
      <c r="R111" s="167">
        <f>IFERROR((HLOOKUP($AH111,Target_monthwise!$D$4:$O$20,DTR!R$4,FALSE))*1000,0)</f>
        <v>0</v>
      </c>
      <c r="S111" s="147">
        <f>IFERROR((HLOOKUP($AH111,Target_monthwise!$D$24:$O$40,DTR!S$4,FALSE)),0)</f>
        <v>0</v>
      </c>
      <c r="T111" s="147">
        <f>IFERROR((HLOOKUP($AH111,Target_monthwise!$D$24:$O$40,DTR!T$4,FALSE)),0)</f>
        <v>0</v>
      </c>
      <c r="U111" s="147">
        <f>IFERROR((HLOOKUP($AH111,Target_monthwise!$D$24:$O$40,DTR!U$4,FALSE)),0)</f>
        <v>0</v>
      </c>
      <c r="V111" s="147">
        <f>IFERROR((HLOOKUP($AH111,Target_monthwise!$D$24:$O$40,DTR!V$4,FALSE)),0)</f>
        <v>0</v>
      </c>
      <c r="W111" s="147">
        <f>IFERROR((HLOOKUP($AH111,Target_monthwise!$D$24:$O$40,DTR!W$4,FALSE)),0)</f>
        <v>0</v>
      </c>
      <c r="X111" s="147">
        <f>IFERROR((HLOOKUP($AH111,Target_monthwise!$D$24:$O$40,DTR!X$4,FALSE)),0)</f>
        <v>0</v>
      </c>
      <c r="Y111" s="147">
        <f>IFERROR((HLOOKUP($AH111,Target_monthwise!$D$24:$O$40,DTR!Y$4,FALSE)),0)</f>
        <v>0</v>
      </c>
      <c r="Z111" s="147">
        <f>IFERROR((HLOOKUP($AH111,Target_monthwise!$D$24:$O$40,DTR!Z$4,FALSE)),0)</f>
        <v>0</v>
      </c>
      <c r="AA111" s="147">
        <f>IFERROR((HLOOKUP($AH111,Target_monthwise!$D$24:$O$40,DTR!AA$4,FALSE)),0)</f>
        <v>0</v>
      </c>
      <c r="AB111" s="147">
        <f>IFERROR((HLOOKUP($AH111,Target_monthwise!$D$24:$O$40,DTR!AB$4,FALSE)),0)</f>
        <v>0</v>
      </c>
      <c r="AC111" s="147">
        <f>IFERROR((HLOOKUP($AH111,Target_monthwise!$D$24:$O$40,DTR!AC$4,FALSE)),0)</f>
        <v>0</v>
      </c>
      <c r="AD111" s="147">
        <f>IFERROR((HLOOKUP($AH111,Target_monthwise!$D$24:$O$40,DTR!AD$4,FALSE)),0)</f>
        <v>0</v>
      </c>
      <c r="AE111" s="147">
        <f>IFERROR((HLOOKUP($AH111,Target_monthwise!$D$24:$O$40,DTR!AE$4,FALSE)),0)</f>
        <v>0</v>
      </c>
      <c r="AF111" s="147">
        <f>IFERROR((HLOOKUP($AH111,Target_monthwise!$D$24:$O$40,DTR!AF$4,FALSE)),0)</f>
        <v>0</v>
      </c>
      <c r="AG111" s="172">
        <f>IFERROR((HLOOKUP($AH111,Target_monthwise!$D$24:$O$40,DTR!AG$4,FALSE)),0)</f>
        <v>0</v>
      </c>
      <c r="AH111" s="253">
        <f t="shared" si="1"/>
        <v>202207</v>
      </c>
    </row>
    <row r="112" spans="3:34" ht="15.75" hidden="1">
      <c r="C112" s="237">
        <v>44755</v>
      </c>
      <c r="D112" s="238">
        <f>IFERROR((HLOOKUP($AH112,Target_monthwise!$D$4:$O$20,DTR!D$4,FALSE))*1000,0)</f>
        <v>0</v>
      </c>
      <c r="E112" s="238">
        <f>IFERROR((HLOOKUP($AH112,Target_monthwise!$D$4:$O$20,DTR!E$4,FALSE))*1000,0)</f>
        <v>0</v>
      </c>
      <c r="F112" s="238">
        <f>IFERROR((HLOOKUP($AH112,Target_monthwise!$D$4:$O$20,DTR!F$4,FALSE))*1000,0)</f>
        <v>0</v>
      </c>
      <c r="G112" s="238">
        <f>IFERROR((HLOOKUP($AH112,Target_monthwise!$D$4:$O$20,DTR!G$4,FALSE))*1000,0)</f>
        <v>0</v>
      </c>
      <c r="H112" s="238">
        <f>IFERROR((HLOOKUP($AH112,Target_monthwise!$D$4:$O$20,DTR!H$4,FALSE))*1000,0)</f>
        <v>0</v>
      </c>
      <c r="I112" s="238">
        <f>IFERROR((HLOOKUP($AH112,Target_monthwise!$D$4:$O$20,DTR!I$4,FALSE))*1000,0)</f>
        <v>0</v>
      </c>
      <c r="J112" s="238">
        <f>IFERROR((HLOOKUP($AH112,Target_monthwise!$D$4:$O$20,DTR!J$4,FALSE))*1000,0)</f>
        <v>0</v>
      </c>
      <c r="K112" s="238">
        <f>IFERROR((HLOOKUP($AH112,Target_monthwise!$D$4:$O$20,DTR!K$4,FALSE))*1000,0)</f>
        <v>0</v>
      </c>
      <c r="L112" s="238">
        <f>IFERROR((HLOOKUP($AH112,Target_monthwise!$D$4:$O$20,DTR!L$4,FALSE))*1000,0)</f>
        <v>0</v>
      </c>
      <c r="M112" s="238">
        <f>IFERROR((HLOOKUP($AH112,Target_monthwise!$D$4:$O$20,DTR!M$4,FALSE))*1000,0)</f>
        <v>0</v>
      </c>
      <c r="N112" s="238">
        <f>IFERROR((HLOOKUP($AH112,Target_monthwise!$D$4:$O$20,DTR!N$4,FALSE))*1000,0)</f>
        <v>0</v>
      </c>
      <c r="O112" s="238">
        <f>IFERROR((HLOOKUP($AH112,Target_monthwise!$D$4:$O$20,DTR!O$4,FALSE))*1000,0)</f>
        <v>0</v>
      </c>
      <c r="P112" s="238">
        <f>IFERROR((HLOOKUP($AH112,Target_monthwise!$D$4:$O$20,DTR!P$4,FALSE))*1000,0)</f>
        <v>0</v>
      </c>
      <c r="Q112" s="141">
        <f>IFERROR((HLOOKUP($AH112,Target_monthwise!$D$4:$O$20,DTR!Q$4,FALSE))*1000,0)</f>
        <v>0</v>
      </c>
      <c r="R112" s="167">
        <f>IFERROR((HLOOKUP($AH112,Target_monthwise!$D$4:$O$20,DTR!R$4,FALSE))*1000,0)</f>
        <v>0</v>
      </c>
      <c r="S112" s="239">
        <f>IFERROR((HLOOKUP($AH112,Target_monthwise!$D$24:$O$40,DTR!S$4,FALSE)),0)</f>
        <v>0</v>
      </c>
      <c r="T112" s="239">
        <f>IFERROR((HLOOKUP($AH112,Target_monthwise!$D$24:$O$40,DTR!T$4,FALSE)),0)</f>
        <v>0</v>
      </c>
      <c r="U112" s="239">
        <f>IFERROR((HLOOKUP($AH112,Target_monthwise!$D$24:$O$40,DTR!U$4,FALSE)),0)</f>
        <v>0</v>
      </c>
      <c r="V112" s="239">
        <f>IFERROR((HLOOKUP($AH112,Target_monthwise!$D$24:$O$40,DTR!V$4,FALSE)),0)</f>
        <v>0</v>
      </c>
      <c r="W112" s="239">
        <f>IFERROR((HLOOKUP($AH112,Target_monthwise!$D$24:$O$40,DTR!W$4,FALSE)),0)</f>
        <v>0</v>
      </c>
      <c r="X112" s="239">
        <f>IFERROR((HLOOKUP($AH112,Target_monthwise!$D$24:$O$40,DTR!X$4,FALSE)),0)</f>
        <v>0</v>
      </c>
      <c r="Y112" s="239">
        <f>IFERROR((HLOOKUP($AH112,Target_monthwise!$D$24:$O$40,DTR!Y$4,FALSE)),0)</f>
        <v>0</v>
      </c>
      <c r="Z112" s="147">
        <f>IFERROR((HLOOKUP($AH112,Target_monthwise!$D$24:$O$40,DTR!Z$4,FALSE)),0)</f>
        <v>0</v>
      </c>
      <c r="AA112" s="147">
        <f>IFERROR((HLOOKUP($AH112,Target_monthwise!$D$24:$O$40,DTR!AA$4,FALSE)),0)</f>
        <v>0</v>
      </c>
      <c r="AB112" s="147">
        <f>IFERROR((HLOOKUP($AH112,Target_monthwise!$D$24:$O$40,DTR!AB$4,FALSE)),0)</f>
        <v>0</v>
      </c>
      <c r="AC112" s="239">
        <f>IFERROR((HLOOKUP($AH112,Target_monthwise!$D$24:$O$40,DTR!AC$4,FALSE)),0)</f>
        <v>0</v>
      </c>
      <c r="AD112" s="239">
        <f>IFERROR((HLOOKUP($AH112,Target_monthwise!$D$24:$O$40,DTR!AD$4,FALSE)),0)</f>
        <v>0</v>
      </c>
      <c r="AE112" s="239">
        <f>IFERROR((HLOOKUP($AH112,Target_monthwise!$D$24:$O$40,DTR!AE$4,FALSE)),0)</f>
        <v>0</v>
      </c>
      <c r="AF112" s="239">
        <f>IFERROR((HLOOKUP($AH112,Target_monthwise!$D$24:$O$40,DTR!AF$4,FALSE)),0)</f>
        <v>0</v>
      </c>
      <c r="AG112" s="172">
        <f>IFERROR((HLOOKUP($AH112,Target_monthwise!$D$24:$O$40,DTR!AG$4,FALSE)),0)</f>
        <v>0</v>
      </c>
      <c r="AH112" s="253">
        <f t="shared" si="1"/>
        <v>202207</v>
      </c>
    </row>
    <row r="113" spans="3:34" ht="15.75" hidden="1">
      <c r="C113" s="235">
        <v>44756</v>
      </c>
      <c r="D113" s="141">
        <f>IFERROR((HLOOKUP($AH113,Target_monthwise!$D$4:$O$20,DTR!D$4,FALSE))*1000,0)</f>
        <v>0</v>
      </c>
      <c r="E113" s="141">
        <f>IFERROR((HLOOKUP($AH113,Target_monthwise!$D$4:$O$20,DTR!E$4,FALSE))*1000,0)</f>
        <v>0</v>
      </c>
      <c r="F113" s="141">
        <f>IFERROR((HLOOKUP($AH113,Target_monthwise!$D$4:$O$20,DTR!F$4,FALSE))*1000,0)</f>
        <v>0</v>
      </c>
      <c r="G113" s="141">
        <f>IFERROR((HLOOKUP($AH113,Target_monthwise!$D$4:$O$20,DTR!G$4,FALSE))*1000,0)</f>
        <v>0</v>
      </c>
      <c r="H113" s="141">
        <f>IFERROR((HLOOKUP($AH113,Target_monthwise!$D$4:$O$20,DTR!H$4,FALSE))*1000,0)</f>
        <v>0</v>
      </c>
      <c r="I113" s="141">
        <f>IFERROR((HLOOKUP($AH113,Target_monthwise!$D$4:$O$20,DTR!I$4,FALSE))*1000,0)</f>
        <v>0</v>
      </c>
      <c r="J113" s="141">
        <f>IFERROR((HLOOKUP($AH113,Target_monthwise!$D$4:$O$20,DTR!J$4,FALSE))*1000,0)</f>
        <v>0</v>
      </c>
      <c r="K113" s="141">
        <f>IFERROR((HLOOKUP($AH113,Target_monthwise!$D$4:$O$20,DTR!K$4,FALSE))*1000,0)</f>
        <v>0</v>
      </c>
      <c r="L113" s="141">
        <f>IFERROR((HLOOKUP($AH113,Target_monthwise!$D$4:$O$20,DTR!L$4,FALSE))*1000,0)</f>
        <v>0</v>
      </c>
      <c r="M113" s="141">
        <f>IFERROR((HLOOKUP($AH113,Target_monthwise!$D$4:$O$20,DTR!M$4,FALSE))*1000,0)</f>
        <v>0</v>
      </c>
      <c r="N113" s="141">
        <f>IFERROR((HLOOKUP($AH113,Target_monthwise!$D$4:$O$20,DTR!N$4,FALSE))*1000,0)</f>
        <v>0</v>
      </c>
      <c r="O113" s="141">
        <f>IFERROR((HLOOKUP($AH113,Target_monthwise!$D$4:$O$20,DTR!O$4,FALSE))*1000,0)</f>
        <v>0</v>
      </c>
      <c r="P113" s="141">
        <f>IFERROR((HLOOKUP($AH113,Target_monthwise!$D$4:$O$20,DTR!P$4,FALSE))*1000,0)</f>
        <v>0</v>
      </c>
      <c r="Q113" s="141">
        <f>IFERROR((HLOOKUP($AH113,Target_monthwise!$D$4:$O$20,DTR!Q$4,FALSE))*1000,0)</f>
        <v>0</v>
      </c>
      <c r="R113" s="167">
        <f>IFERROR((HLOOKUP($AH113,Target_monthwise!$D$4:$O$20,DTR!R$4,FALSE))*1000,0)</f>
        <v>0</v>
      </c>
      <c r="S113" s="147">
        <f>IFERROR((HLOOKUP($AH113,Target_monthwise!$D$24:$O$40,DTR!S$4,FALSE)),0)</f>
        <v>0</v>
      </c>
      <c r="T113" s="147">
        <f>IFERROR((HLOOKUP($AH113,Target_monthwise!$D$24:$O$40,DTR!T$4,FALSE)),0)</f>
        <v>0</v>
      </c>
      <c r="U113" s="147">
        <f>IFERROR((HLOOKUP($AH113,Target_monthwise!$D$24:$O$40,DTR!U$4,FALSE)),0)</f>
        <v>0</v>
      </c>
      <c r="V113" s="147">
        <f>IFERROR((HLOOKUP($AH113,Target_monthwise!$D$24:$O$40,DTR!V$4,FALSE)),0)</f>
        <v>0</v>
      </c>
      <c r="W113" s="147">
        <f>IFERROR((HLOOKUP($AH113,Target_monthwise!$D$24:$O$40,DTR!W$4,FALSE)),0)</f>
        <v>0</v>
      </c>
      <c r="X113" s="147">
        <f>IFERROR((HLOOKUP($AH113,Target_monthwise!$D$24:$O$40,DTR!X$4,FALSE)),0)</f>
        <v>0</v>
      </c>
      <c r="Y113" s="147">
        <f>IFERROR((HLOOKUP($AH113,Target_monthwise!$D$24:$O$40,DTR!Y$4,FALSE)),0)</f>
        <v>0</v>
      </c>
      <c r="Z113" s="147">
        <f>IFERROR((HLOOKUP($AH113,Target_monthwise!$D$24:$O$40,DTR!Z$4,FALSE)),0)</f>
        <v>0</v>
      </c>
      <c r="AA113" s="147">
        <f>IFERROR((HLOOKUP($AH113,Target_monthwise!$D$24:$O$40,DTR!AA$4,FALSE)),0)</f>
        <v>0</v>
      </c>
      <c r="AB113" s="147">
        <f>IFERROR((HLOOKUP($AH113,Target_monthwise!$D$24:$O$40,DTR!AB$4,FALSE)),0)</f>
        <v>0</v>
      </c>
      <c r="AC113" s="147">
        <f>IFERROR((HLOOKUP($AH113,Target_monthwise!$D$24:$O$40,DTR!AC$4,FALSE)),0)</f>
        <v>0</v>
      </c>
      <c r="AD113" s="147">
        <f>IFERROR((HLOOKUP($AH113,Target_monthwise!$D$24:$O$40,DTR!AD$4,FALSE)),0)</f>
        <v>0</v>
      </c>
      <c r="AE113" s="147">
        <f>IFERROR((HLOOKUP($AH113,Target_monthwise!$D$24:$O$40,DTR!AE$4,FALSE)),0)</f>
        <v>0</v>
      </c>
      <c r="AF113" s="147">
        <f>IFERROR((HLOOKUP($AH113,Target_monthwise!$D$24:$O$40,DTR!AF$4,FALSE)),0)</f>
        <v>0</v>
      </c>
      <c r="AG113" s="172">
        <f>IFERROR((HLOOKUP($AH113,Target_monthwise!$D$24:$O$40,DTR!AG$4,FALSE)),0)</f>
        <v>0</v>
      </c>
      <c r="AH113" s="253">
        <f t="shared" si="1"/>
        <v>202207</v>
      </c>
    </row>
    <row r="114" spans="3:34" ht="15.75" hidden="1">
      <c r="C114" s="237">
        <v>44757</v>
      </c>
      <c r="D114" s="238">
        <f>IFERROR((HLOOKUP($AH114,Target_monthwise!$D$4:$O$20,DTR!D$4,FALSE))*1000,0)</f>
        <v>0</v>
      </c>
      <c r="E114" s="238">
        <f>IFERROR((HLOOKUP($AH114,Target_monthwise!$D$4:$O$20,DTR!E$4,FALSE))*1000,0)</f>
        <v>0</v>
      </c>
      <c r="F114" s="238">
        <f>IFERROR((HLOOKUP($AH114,Target_monthwise!$D$4:$O$20,DTR!F$4,FALSE))*1000,0)</f>
        <v>0</v>
      </c>
      <c r="G114" s="238">
        <f>IFERROR((HLOOKUP($AH114,Target_monthwise!$D$4:$O$20,DTR!G$4,FALSE))*1000,0)</f>
        <v>0</v>
      </c>
      <c r="H114" s="238">
        <f>IFERROR((HLOOKUP($AH114,Target_monthwise!$D$4:$O$20,DTR!H$4,FALSE))*1000,0)</f>
        <v>0</v>
      </c>
      <c r="I114" s="238">
        <f>IFERROR((HLOOKUP($AH114,Target_monthwise!$D$4:$O$20,DTR!I$4,FALSE))*1000,0)</f>
        <v>0</v>
      </c>
      <c r="J114" s="238">
        <f>IFERROR((HLOOKUP($AH114,Target_monthwise!$D$4:$O$20,DTR!J$4,FALSE))*1000,0)</f>
        <v>0</v>
      </c>
      <c r="K114" s="238">
        <f>IFERROR((HLOOKUP($AH114,Target_monthwise!$D$4:$O$20,DTR!K$4,FALSE))*1000,0)</f>
        <v>0</v>
      </c>
      <c r="L114" s="238">
        <f>IFERROR((HLOOKUP($AH114,Target_monthwise!$D$4:$O$20,DTR!L$4,FALSE))*1000,0)</f>
        <v>0</v>
      </c>
      <c r="M114" s="238">
        <f>IFERROR((HLOOKUP($AH114,Target_monthwise!$D$4:$O$20,DTR!M$4,FALSE))*1000,0)</f>
        <v>0</v>
      </c>
      <c r="N114" s="238">
        <f>IFERROR((HLOOKUP($AH114,Target_monthwise!$D$4:$O$20,DTR!N$4,FALSE))*1000,0)</f>
        <v>0</v>
      </c>
      <c r="O114" s="238">
        <f>IFERROR((HLOOKUP($AH114,Target_monthwise!$D$4:$O$20,DTR!O$4,FALSE))*1000,0)</f>
        <v>0</v>
      </c>
      <c r="P114" s="238">
        <f>IFERROR((HLOOKUP($AH114,Target_monthwise!$D$4:$O$20,DTR!P$4,FALSE))*1000,0)</f>
        <v>0</v>
      </c>
      <c r="Q114" s="141">
        <f>IFERROR((HLOOKUP($AH114,Target_monthwise!$D$4:$O$20,DTR!Q$4,FALSE))*1000,0)</f>
        <v>0</v>
      </c>
      <c r="R114" s="167">
        <f>IFERROR((HLOOKUP($AH114,Target_monthwise!$D$4:$O$20,DTR!R$4,FALSE))*1000,0)</f>
        <v>0</v>
      </c>
      <c r="S114" s="239">
        <f>IFERROR((HLOOKUP($AH114,Target_monthwise!$D$24:$O$40,DTR!S$4,FALSE)),0)</f>
        <v>0</v>
      </c>
      <c r="T114" s="239">
        <f>IFERROR((HLOOKUP($AH114,Target_monthwise!$D$24:$O$40,DTR!T$4,FALSE)),0)</f>
        <v>0</v>
      </c>
      <c r="U114" s="239">
        <f>IFERROR((HLOOKUP($AH114,Target_monthwise!$D$24:$O$40,DTR!U$4,FALSE)),0)</f>
        <v>0</v>
      </c>
      <c r="V114" s="239">
        <f>IFERROR((HLOOKUP($AH114,Target_monthwise!$D$24:$O$40,DTR!V$4,FALSE)),0)</f>
        <v>0</v>
      </c>
      <c r="W114" s="239">
        <f>IFERROR((HLOOKUP($AH114,Target_monthwise!$D$24:$O$40,DTR!W$4,FALSE)),0)</f>
        <v>0</v>
      </c>
      <c r="X114" s="239">
        <f>IFERROR((HLOOKUP($AH114,Target_monthwise!$D$24:$O$40,DTR!X$4,FALSE)),0)</f>
        <v>0</v>
      </c>
      <c r="Y114" s="239">
        <f>IFERROR((HLOOKUP($AH114,Target_monthwise!$D$24:$O$40,DTR!Y$4,FALSE)),0)</f>
        <v>0</v>
      </c>
      <c r="Z114" s="147">
        <f>IFERROR((HLOOKUP($AH114,Target_monthwise!$D$24:$O$40,DTR!Z$4,FALSE)),0)</f>
        <v>0</v>
      </c>
      <c r="AA114" s="147">
        <f>IFERROR((HLOOKUP($AH114,Target_monthwise!$D$24:$O$40,DTR!AA$4,FALSE)),0)</f>
        <v>0</v>
      </c>
      <c r="AB114" s="147">
        <f>IFERROR((HLOOKUP($AH114,Target_monthwise!$D$24:$O$40,DTR!AB$4,FALSE)),0)</f>
        <v>0</v>
      </c>
      <c r="AC114" s="239">
        <f>IFERROR((HLOOKUP($AH114,Target_monthwise!$D$24:$O$40,DTR!AC$4,FALSE)),0)</f>
        <v>0</v>
      </c>
      <c r="AD114" s="239">
        <f>IFERROR((HLOOKUP($AH114,Target_monthwise!$D$24:$O$40,DTR!AD$4,FALSE)),0)</f>
        <v>0</v>
      </c>
      <c r="AE114" s="239">
        <f>IFERROR((HLOOKUP($AH114,Target_monthwise!$D$24:$O$40,DTR!AE$4,FALSE)),0)</f>
        <v>0</v>
      </c>
      <c r="AF114" s="239">
        <f>IFERROR((HLOOKUP($AH114,Target_monthwise!$D$24:$O$40,DTR!AF$4,FALSE)),0)</f>
        <v>0</v>
      </c>
      <c r="AG114" s="172">
        <f>IFERROR((HLOOKUP($AH114,Target_monthwise!$D$24:$O$40,DTR!AG$4,FALSE)),0)</f>
        <v>0</v>
      </c>
      <c r="AH114" s="253">
        <f t="shared" si="1"/>
        <v>202207</v>
      </c>
    </row>
    <row r="115" spans="3:34" ht="15.75" hidden="1">
      <c r="C115" s="235">
        <v>44758</v>
      </c>
      <c r="D115" s="141">
        <f>IFERROR((HLOOKUP($AH115,Target_monthwise!$D$4:$O$20,DTR!D$4,FALSE))*1000,0)</f>
        <v>0</v>
      </c>
      <c r="E115" s="141">
        <f>IFERROR((HLOOKUP($AH115,Target_monthwise!$D$4:$O$20,DTR!E$4,FALSE))*1000,0)</f>
        <v>0</v>
      </c>
      <c r="F115" s="141">
        <f>IFERROR((HLOOKUP($AH115,Target_monthwise!$D$4:$O$20,DTR!F$4,FALSE))*1000,0)</f>
        <v>0</v>
      </c>
      <c r="G115" s="141">
        <f>IFERROR((HLOOKUP($AH115,Target_monthwise!$D$4:$O$20,DTR!G$4,FALSE))*1000,0)</f>
        <v>0</v>
      </c>
      <c r="H115" s="141">
        <f>IFERROR((HLOOKUP($AH115,Target_monthwise!$D$4:$O$20,DTR!H$4,FALSE))*1000,0)</f>
        <v>0</v>
      </c>
      <c r="I115" s="141">
        <f>IFERROR((HLOOKUP($AH115,Target_monthwise!$D$4:$O$20,DTR!I$4,FALSE))*1000,0)</f>
        <v>0</v>
      </c>
      <c r="J115" s="141">
        <f>IFERROR((HLOOKUP($AH115,Target_monthwise!$D$4:$O$20,DTR!J$4,FALSE))*1000,0)</f>
        <v>0</v>
      </c>
      <c r="K115" s="141">
        <f>IFERROR((HLOOKUP($AH115,Target_monthwise!$D$4:$O$20,DTR!K$4,FALSE))*1000,0)</f>
        <v>0</v>
      </c>
      <c r="L115" s="141">
        <f>IFERROR((HLOOKUP($AH115,Target_monthwise!$D$4:$O$20,DTR!L$4,FALSE))*1000,0)</f>
        <v>0</v>
      </c>
      <c r="M115" s="141">
        <f>IFERROR((HLOOKUP($AH115,Target_monthwise!$D$4:$O$20,DTR!M$4,FALSE))*1000,0)</f>
        <v>0</v>
      </c>
      <c r="N115" s="141">
        <f>IFERROR((HLOOKUP($AH115,Target_monthwise!$D$4:$O$20,DTR!N$4,FALSE))*1000,0)</f>
        <v>0</v>
      </c>
      <c r="O115" s="141">
        <f>IFERROR((HLOOKUP($AH115,Target_monthwise!$D$4:$O$20,DTR!O$4,FALSE))*1000,0)</f>
        <v>0</v>
      </c>
      <c r="P115" s="141">
        <f>IFERROR((HLOOKUP($AH115,Target_monthwise!$D$4:$O$20,DTR!P$4,FALSE))*1000,0)</f>
        <v>0</v>
      </c>
      <c r="Q115" s="141">
        <f>IFERROR((HLOOKUP($AH115,Target_monthwise!$D$4:$O$20,DTR!Q$4,FALSE))*1000,0)</f>
        <v>0</v>
      </c>
      <c r="R115" s="167">
        <f>IFERROR((HLOOKUP($AH115,Target_monthwise!$D$4:$O$20,DTR!R$4,FALSE))*1000,0)</f>
        <v>0</v>
      </c>
      <c r="S115" s="147">
        <f>IFERROR((HLOOKUP($AH115,Target_monthwise!$D$24:$O$40,DTR!S$4,FALSE)),0)</f>
        <v>0</v>
      </c>
      <c r="T115" s="147">
        <f>IFERROR((HLOOKUP($AH115,Target_monthwise!$D$24:$O$40,DTR!T$4,FALSE)),0)</f>
        <v>0</v>
      </c>
      <c r="U115" s="147">
        <f>IFERROR((HLOOKUP($AH115,Target_monthwise!$D$24:$O$40,DTR!U$4,FALSE)),0)</f>
        <v>0</v>
      </c>
      <c r="V115" s="147">
        <f>IFERROR((HLOOKUP($AH115,Target_monthwise!$D$24:$O$40,DTR!V$4,FALSE)),0)</f>
        <v>0</v>
      </c>
      <c r="W115" s="147">
        <f>IFERROR((HLOOKUP($AH115,Target_monthwise!$D$24:$O$40,DTR!W$4,FALSE)),0)</f>
        <v>0</v>
      </c>
      <c r="X115" s="147">
        <f>IFERROR((HLOOKUP($AH115,Target_monthwise!$D$24:$O$40,DTR!X$4,FALSE)),0)</f>
        <v>0</v>
      </c>
      <c r="Y115" s="147">
        <f>IFERROR((HLOOKUP($AH115,Target_monthwise!$D$24:$O$40,DTR!Y$4,FALSE)),0)</f>
        <v>0</v>
      </c>
      <c r="Z115" s="147">
        <f>IFERROR((HLOOKUP($AH115,Target_monthwise!$D$24:$O$40,DTR!Z$4,FALSE)),0)</f>
        <v>0</v>
      </c>
      <c r="AA115" s="147">
        <f>IFERROR((HLOOKUP($AH115,Target_monthwise!$D$24:$O$40,DTR!AA$4,FALSE)),0)</f>
        <v>0</v>
      </c>
      <c r="AB115" s="147">
        <f>IFERROR((HLOOKUP($AH115,Target_monthwise!$D$24:$O$40,DTR!AB$4,FALSE)),0)</f>
        <v>0</v>
      </c>
      <c r="AC115" s="147">
        <f>IFERROR((HLOOKUP($AH115,Target_monthwise!$D$24:$O$40,DTR!AC$4,FALSE)),0)</f>
        <v>0</v>
      </c>
      <c r="AD115" s="147">
        <f>IFERROR((HLOOKUP($AH115,Target_monthwise!$D$24:$O$40,DTR!AD$4,FALSE)),0)</f>
        <v>0</v>
      </c>
      <c r="AE115" s="147">
        <f>IFERROR((HLOOKUP($AH115,Target_monthwise!$D$24:$O$40,DTR!AE$4,FALSE)),0)</f>
        <v>0</v>
      </c>
      <c r="AF115" s="147">
        <f>IFERROR((HLOOKUP($AH115,Target_monthwise!$D$24:$O$40,DTR!AF$4,FALSE)),0)</f>
        <v>0</v>
      </c>
      <c r="AG115" s="172">
        <f>IFERROR((HLOOKUP($AH115,Target_monthwise!$D$24:$O$40,DTR!AG$4,FALSE)),0)</f>
        <v>0</v>
      </c>
      <c r="AH115" s="253">
        <f t="shared" si="1"/>
        <v>202207</v>
      </c>
    </row>
    <row r="116" spans="3:34" ht="15.75" hidden="1">
      <c r="C116" s="237">
        <v>44759</v>
      </c>
      <c r="D116" s="238">
        <f>IFERROR((HLOOKUP($AH116,Target_monthwise!$D$4:$O$20,DTR!D$4,FALSE))*1000,0)</f>
        <v>0</v>
      </c>
      <c r="E116" s="238">
        <f>IFERROR((HLOOKUP($AH116,Target_monthwise!$D$4:$O$20,DTR!E$4,FALSE))*1000,0)</f>
        <v>0</v>
      </c>
      <c r="F116" s="238">
        <f>IFERROR((HLOOKUP($AH116,Target_monthwise!$D$4:$O$20,DTR!F$4,FALSE))*1000,0)</f>
        <v>0</v>
      </c>
      <c r="G116" s="238">
        <f>IFERROR((HLOOKUP($AH116,Target_monthwise!$D$4:$O$20,DTR!G$4,FALSE))*1000,0)</f>
        <v>0</v>
      </c>
      <c r="H116" s="238">
        <f>IFERROR((HLOOKUP($AH116,Target_monthwise!$D$4:$O$20,DTR!H$4,FALSE))*1000,0)</f>
        <v>0</v>
      </c>
      <c r="I116" s="238">
        <f>IFERROR((HLOOKUP($AH116,Target_monthwise!$D$4:$O$20,DTR!I$4,FALSE))*1000,0)</f>
        <v>0</v>
      </c>
      <c r="J116" s="238">
        <f>IFERROR((HLOOKUP($AH116,Target_monthwise!$D$4:$O$20,DTR!J$4,FALSE))*1000,0)</f>
        <v>0</v>
      </c>
      <c r="K116" s="238">
        <f>IFERROR((HLOOKUP($AH116,Target_monthwise!$D$4:$O$20,DTR!K$4,FALSE))*1000,0)</f>
        <v>0</v>
      </c>
      <c r="L116" s="238">
        <f>IFERROR((HLOOKUP($AH116,Target_monthwise!$D$4:$O$20,DTR!L$4,FALSE))*1000,0)</f>
        <v>0</v>
      </c>
      <c r="M116" s="238">
        <f>IFERROR((HLOOKUP($AH116,Target_monthwise!$D$4:$O$20,DTR!M$4,FALSE))*1000,0)</f>
        <v>0</v>
      </c>
      <c r="N116" s="238">
        <f>IFERROR((HLOOKUP($AH116,Target_monthwise!$D$4:$O$20,DTR!N$4,FALSE))*1000,0)</f>
        <v>0</v>
      </c>
      <c r="O116" s="238">
        <f>IFERROR((HLOOKUP($AH116,Target_monthwise!$D$4:$O$20,DTR!O$4,FALSE))*1000,0)</f>
        <v>0</v>
      </c>
      <c r="P116" s="238">
        <f>IFERROR((HLOOKUP($AH116,Target_monthwise!$D$4:$O$20,DTR!P$4,FALSE))*1000,0)</f>
        <v>0</v>
      </c>
      <c r="Q116" s="141">
        <f>IFERROR((HLOOKUP($AH116,Target_monthwise!$D$4:$O$20,DTR!Q$4,FALSE))*1000,0)</f>
        <v>0</v>
      </c>
      <c r="R116" s="167">
        <f>IFERROR((HLOOKUP($AH116,Target_monthwise!$D$4:$O$20,DTR!R$4,FALSE))*1000,0)</f>
        <v>0</v>
      </c>
      <c r="S116" s="239">
        <f>IFERROR((HLOOKUP($AH116,Target_monthwise!$D$24:$O$40,DTR!S$4,FALSE)),0)</f>
        <v>0</v>
      </c>
      <c r="T116" s="239">
        <f>IFERROR((HLOOKUP($AH116,Target_monthwise!$D$24:$O$40,DTR!T$4,FALSE)),0)</f>
        <v>0</v>
      </c>
      <c r="U116" s="239">
        <f>IFERROR((HLOOKUP($AH116,Target_monthwise!$D$24:$O$40,DTR!U$4,FALSE)),0)</f>
        <v>0</v>
      </c>
      <c r="V116" s="239">
        <f>IFERROR((HLOOKUP($AH116,Target_monthwise!$D$24:$O$40,DTR!V$4,FALSE)),0)</f>
        <v>0</v>
      </c>
      <c r="W116" s="239">
        <f>IFERROR((HLOOKUP($AH116,Target_monthwise!$D$24:$O$40,DTR!W$4,FALSE)),0)</f>
        <v>0</v>
      </c>
      <c r="X116" s="239">
        <f>IFERROR((HLOOKUP($AH116,Target_monthwise!$D$24:$O$40,DTR!X$4,FALSE)),0)</f>
        <v>0</v>
      </c>
      <c r="Y116" s="239">
        <f>IFERROR((HLOOKUP($AH116,Target_monthwise!$D$24:$O$40,DTR!Y$4,FALSE)),0)</f>
        <v>0</v>
      </c>
      <c r="Z116" s="147">
        <f>IFERROR((HLOOKUP($AH116,Target_monthwise!$D$24:$O$40,DTR!Z$4,FALSE)),0)</f>
        <v>0</v>
      </c>
      <c r="AA116" s="147">
        <f>IFERROR((HLOOKUP($AH116,Target_monthwise!$D$24:$O$40,DTR!AA$4,FALSE)),0)</f>
        <v>0</v>
      </c>
      <c r="AB116" s="147">
        <f>IFERROR((HLOOKUP($AH116,Target_monthwise!$D$24:$O$40,DTR!AB$4,FALSE)),0)</f>
        <v>0</v>
      </c>
      <c r="AC116" s="239">
        <f>IFERROR((HLOOKUP($AH116,Target_monthwise!$D$24:$O$40,DTR!AC$4,FALSE)),0)</f>
        <v>0</v>
      </c>
      <c r="AD116" s="239">
        <f>IFERROR((HLOOKUP($AH116,Target_monthwise!$D$24:$O$40,DTR!AD$4,FALSE)),0)</f>
        <v>0</v>
      </c>
      <c r="AE116" s="239">
        <f>IFERROR((HLOOKUP($AH116,Target_monthwise!$D$24:$O$40,DTR!AE$4,FALSE)),0)</f>
        <v>0</v>
      </c>
      <c r="AF116" s="239">
        <f>IFERROR((HLOOKUP($AH116,Target_monthwise!$D$24:$O$40,DTR!AF$4,FALSE)),0)</f>
        <v>0</v>
      </c>
      <c r="AG116" s="172">
        <f>IFERROR((HLOOKUP($AH116,Target_monthwise!$D$24:$O$40,DTR!AG$4,FALSE)),0)</f>
        <v>0</v>
      </c>
      <c r="AH116" s="253">
        <f t="shared" si="1"/>
        <v>202207</v>
      </c>
    </row>
    <row r="117" spans="3:34" ht="15.75" hidden="1">
      <c r="C117" s="235">
        <v>44760</v>
      </c>
      <c r="D117" s="141">
        <f>IFERROR((HLOOKUP($AH117,Target_monthwise!$D$4:$O$20,DTR!D$4,FALSE))*1000,0)</f>
        <v>0</v>
      </c>
      <c r="E117" s="141">
        <f>IFERROR((HLOOKUP($AH117,Target_monthwise!$D$4:$O$20,DTR!E$4,FALSE))*1000,0)</f>
        <v>0</v>
      </c>
      <c r="F117" s="141">
        <f>IFERROR((HLOOKUP($AH117,Target_monthwise!$D$4:$O$20,DTR!F$4,FALSE))*1000,0)</f>
        <v>0</v>
      </c>
      <c r="G117" s="141">
        <f>IFERROR((HLOOKUP($AH117,Target_monthwise!$D$4:$O$20,DTR!G$4,FALSE))*1000,0)</f>
        <v>0</v>
      </c>
      <c r="H117" s="141">
        <f>IFERROR((HLOOKUP($AH117,Target_monthwise!$D$4:$O$20,DTR!H$4,FALSE))*1000,0)</f>
        <v>0</v>
      </c>
      <c r="I117" s="141">
        <f>IFERROR((HLOOKUP($AH117,Target_monthwise!$D$4:$O$20,DTR!I$4,FALSE))*1000,0)</f>
        <v>0</v>
      </c>
      <c r="J117" s="141">
        <f>IFERROR((HLOOKUP($AH117,Target_monthwise!$D$4:$O$20,DTR!J$4,FALSE))*1000,0)</f>
        <v>0</v>
      </c>
      <c r="K117" s="141">
        <f>IFERROR((HLOOKUP($AH117,Target_monthwise!$D$4:$O$20,DTR!K$4,FALSE))*1000,0)</f>
        <v>0</v>
      </c>
      <c r="L117" s="141">
        <f>IFERROR((HLOOKUP($AH117,Target_monthwise!$D$4:$O$20,DTR!L$4,FALSE))*1000,0)</f>
        <v>0</v>
      </c>
      <c r="M117" s="141">
        <f>IFERROR((HLOOKUP($AH117,Target_monthwise!$D$4:$O$20,DTR!M$4,FALSE))*1000,0)</f>
        <v>0</v>
      </c>
      <c r="N117" s="141">
        <f>IFERROR((HLOOKUP($AH117,Target_monthwise!$D$4:$O$20,DTR!N$4,FALSE))*1000,0)</f>
        <v>0</v>
      </c>
      <c r="O117" s="141">
        <f>IFERROR((HLOOKUP($AH117,Target_monthwise!$D$4:$O$20,DTR!O$4,FALSE))*1000,0)</f>
        <v>0</v>
      </c>
      <c r="P117" s="141">
        <f>IFERROR((HLOOKUP($AH117,Target_monthwise!$D$4:$O$20,DTR!P$4,FALSE))*1000,0)</f>
        <v>0</v>
      </c>
      <c r="Q117" s="141">
        <f>IFERROR((HLOOKUP($AH117,Target_monthwise!$D$4:$O$20,DTR!Q$4,FALSE))*1000,0)</f>
        <v>0</v>
      </c>
      <c r="R117" s="167">
        <f>IFERROR((HLOOKUP($AH117,Target_monthwise!$D$4:$O$20,DTR!R$4,FALSE))*1000,0)</f>
        <v>0</v>
      </c>
      <c r="S117" s="147">
        <f>IFERROR((HLOOKUP($AH117,Target_monthwise!$D$24:$O$40,DTR!S$4,FALSE)),0)</f>
        <v>0</v>
      </c>
      <c r="T117" s="147">
        <f>IFERROR((HLOOKUP($AH117,Target_monthwise!$D$24:$O$40,DTR!T$4,FALSE)),0)</f>
        <v>0</v>
      </c>
      <c r="U117" s="147">
        <f>IFERROR((HLOOKUP($AH117,Target_monthwise!$D$24:$O$40,DTR!U$4,FALSE)),0)</f>
        <v>0</v>
      </c>
      <c r="V117" s="147">
        <f>IFERROR((HLOOKUP($AH117,Target_monthwise!$D$24:$O$40,DTR!V$4,FALSE)),0)</f>
        <v>0</v>
      </c>
      <c r="W117" s="147">
        <f>IFERROR((HLOOKUP($AH117,Target_monthwise!$D$24:$O$40,DTR!W$4,FALSE)),0)</f>
        <v>0</v>
      </c>
      <c r="X117" s="147">
        <f>IFERROR((HLOOKUP($AH117,Target_monthwise!$D$24:$O$40,DTR!X$4,FALSE)),0)</f>
        <v>0</v>
      </c>
      <c r="Y117" s="147">
        <f>IFERROR((HLOOKUP($AH117,Target_monthwise!$D$24:$O$40,DTR!Y$4,FALSE)),0)</f>
        <v>0</v>
      </c>
      <c r="Z117" s="147">
        <f>IFERROR((HLOOKUP($AH117,Target_monthwise!$D$24:$O$40,DTR!Z$4,FALSE)),0)</f>
        <v>0</v>
      </c>
      <c r="AA117" s="147">
        <f>IFERROR((HLOOKUP($AH117,Target_monthwise!$D$24:$O$40,DTR!AA$4,FALSE)),0)</f>
        <v>0</v>
      </c>
      <c r="AB117" s="147">
        <f>IFERROR((HLOOKUP($AH117,Target_monthwise!$D$24:$O$40,DTR!AB$4,FALSE)),0)</f>
        <v>0</v>
      </c>
      <c r="AC117" s="147">
        <f>IFERROR((HLOOKUP($AH117,Target_monthwise!$D$24:$O$40,DTR!AC$4,FALSE)),0)</f>
        <v>0</v>
      </c>
      <c r="AD117" s="147">
        <f>IFERROR((HLOOKUP($AH117,Target_monthwise!$D$24:$O$40,DTR!AD$4,FALSE)),0)</f>
        <v>0</v>
      </c>
      <c r="AE117" s="147">
        <f>IFERROR((HLOOKUP($AH117,Target_monthwise!$D$24:$O$40,DTR!AE$4,FALSE)),0)</f>
        <v>0</v>
      </c>
      <c r="AF117" s="147">
        <f>IFERROR((HLOOKUP($AH117,Target_monthwise!$D$24:$O$40,DTR!AF$4,FALSE)),0)</f>
        <v>0</v>
      </c>
      <c r="AG117" s="172">
        <f>IFERROR((HLOOKUP($AH117,Target_monthwise!$D$24:$O$40,DTR!AG$4,FALSE)),0)</f>
        <v>0</v>
      </c>
      <c r="AH117" s="253">
        <f t="shared" si="1"/>
        <v>202207</v>
      </c>
    </row>
    <row r="118" spans="3:34" ht="15.75" hidden="1">
      <c r="C118" s="237">
        <v>44761</v>
      </c>
      <c r="D118" s="238">
        <f>IFERROR((HLOOKUP($AH118,Target_monthwise!$D$4:$O$20,DTR!D$4,FALSE))*1000,0)</f>
        <v>0</v>
      </c>
      <c r="E118" s="238">
        <f>IFERROR((HLOOKUP($AH118,Target_monthwise!$D$4:$O$20,DTR!E$4,FALSE))*1000,0)</f>
        <v>0</v>
      </c>
      <c r="F118" s="238">
        <f>IFERROR((HLOOKUP($AH118,Target_monthwise!$D$4:$O$20,DTR!F$4,FALSE))*1000,0)</f>
        <v>0</v>
      </c>
      <c r="G118" s="238">
        <f>IFERROR((HLOOKUP($AH118,Target_monthwise!$D$4:$O$20,DTR!G$4,FALSE))*1000,0)</f>
        <v>0</v>
      </c>
      <c r="H118" s="238">
        <f>IFERROR((HLOOKUP($AH118,Target_monthwise!$D$4:$O$20,DTR!H$4,FALSE))*1000,0)</f>
        <v>0</v>
      </c>
      <c r="I118" s="238">
        <f>IFERROR((HLOOKUP($AH118,Target_monthwise!$D$4:$O$20,DTR!I$4,FALSE))*1000,0)</f>
        <v>0</v>
      </c>
      <c r="J118" s="238">
        <f>IFERROR((HLOOKUP($AH118,Target_monthwise!$D$4:$O$20,DTR!J$4,FALSE))*1000,0)</f>
        <v>0</v>
      </c>
      <c r="K118" s="238">
        <f>IFERROR((HLOOKUP($AH118,Target_monthwise!$D$4:$O$20,DTR!K$4,FALSE))*1000,0)</f>
        <v>0</v>
      </c>
      <c r="L118" s="238">
        <f>IFERROR((HLOOKUP($AH118,Target_monthwise!$D$4:$O$20,DTR!L$4,FALSE))*1000,0)</f>
        <v>0</v>
      </c>
      <c r="M118" s="238">
        <f>IFERROR((HLOOKUP($AH118,Target_monthwise!$D$4:$O$20,DTR!M$4,FALSE))*1000,0)</f>
        <v>0</v>
      </c>
      <c r="N118" s="238">
        <f>IFERROR((HLOOKUP($AH118,Target_monthwise!$D$4:$O$20,DTR!N$4,FALSE))*1000,0)</f>
        <v>0</v>
      </c>
      <c r="O118" s="238">
        <f>IFERROR((HLOOKUP($AH118,Target_monthwise!$D$4:$O$20,DTR!O$4,FALSE))*1000,0)</f>
        <v>0</v>
      </c>
      <c r="P118" s="238">
        <f>IFERROR((HLOOKUP($AH118,Target_monthwise!$D$4:$O$20,DTR!P$4,FALSE))*1000,0)</f>
        <v>0</v>
      </c>
      <c r="Q118" s="141">
        <f>IFERROR((HLOOKUP($AH118,Target_monthwise!$D$4:$O$20,DTR!Q$4,FALSE))*1000,0)</f>
        <v>0</v>
      </c>
      <c r="R118" s="167">
        <f>IFERROR((HLOOKUP($AH118,Target_monthwise!$D$4:$O$20,DTR!R$4,FALSE))*1000,0)</f>
        <v>0</v>
      </c>
      <c r="S118" s="239">
        <f>IFERROR((HLOOKUP($AH118,Target_monthwise!$D$24:$O$40,DTR!S$4,FALSE)),0)</f>
        <v>0</v>
      </c>
      <c r="T118" s="239">
        <f>IFERROR((HLOOKUP($AH118,Target_monthwise!$D$24:$O$40,DTR!T$4,FALSE)),0)</f>
        <v>0</v>
      </c>
      <c r="U118" s="239">
        <f>IFERROR((HLOOKUP($AH118,Target_monthwise!$D$24:$O$40,DTR!U$4,FALSE)),0)</f>
        <v>0</v>
      </c>
      <c r="V118" s="239">
        <f>IFERROR((HLOOKUP($AH118,Target_monthwise!$D$24:$O$40,DTR!V$4,FALSE)),0)</f>
        <v>0</v>
      </c>
      <c r="W118" s="239">
        <f>IFERROR((HLOOKUP($AH118,Target_monthwise!$D$24:$O$40,DTR!W$4,FALSE)),0)</f>
        <v>0</v>
      </c>
      <c r="X118" s="239">
        <f>IFERROR((HLOOKUP($AH118,Target_monthwise!$D$24:$O$40,DTR!X$4,FALSE)),0)</f>
        <v>0</v>
      </c>
      <c r="Y118" s="239">
        <f>IFERROR((HLOOKUP($AH118,Target_monthwise!$D$24:$O$40,DTR!Y$4,FALSE)),0)</f>
        <v>0</v>
      </c>
      <c r="Z118" s="147">
        <f>IFERROR((HLOOKUP($AH118,Target_monthwise!$D$24:$O$40,DTR!Z$4,FALSE)),0)</f>
        <v>0</v>
      </c>
      <c r="AA118" s="147">
        <f>IFERROR((HLOOKUP($AH118,Target_monthwise!$D$24:$O$40,DTR!AA$4,FALSE)),0)</f>
        <v>0</v>
      </c>
      <c r="AB118" s="147">
        <f>IFERROR((HLOOKUP($AH118,Target_monthwise!$D$24:$O$40,DTR!AB$4,FALSE)),0)</f>
        <v>0</v>
      </c>
      <c r="AC118" s="239">
        <f>IFERROR((HLOOKUP($AH118,Target_monthwise!$D$24:$O$40,DTR!AC$4,FALSE)),0)</f>
        <v>0</v>
      </c>
      <c r="AD118" s="239">
        <f>IFERROR((HLOOKUP($AH118,Target_monthwise!$D$24:$O$40,DTR!AD$4,FALSE)),0)</f>
        <v>0</v>
      </c>
      <c r="AE118" s="239">
        <f>IFERROR((HLOOKUP($AH118,Target_monthwise!$D$24:$O$40,DTR!AE$4,FALSE)),0)</f>
        <v>0</v>
      </c>
      <c r="AF118" s="239">
        <f>IFERROR((HLOOKUP($AH118,Target_monthwise!$D$24:$O$40,DTR!AF$4,FALSE)),0)</f>
        <v>0</v>
      </c>
      <c r="AG118" s="172">
        <f>IFERROR((HLOOKUP($AH118,Target_monthwise!$D$24:$O$40,DTR!AG$4,FALSE)),0)</f>
        <v>0</v>
      </c>
      <c r="AH118" s="253">
        <f t="shared" si="1"/>
        <v>202207</v>
      </c>
    </row>
    <row r="119" spans="3:34" ht="15.75" hidden="1">
      <c r="C119" s="235">
        <v>44762</v>
      </c>
      <c r="D119" s="141">
        <f>IFERROR((HLOOKUP($AH119,Target_monthwise!$D$4:$O$20,DTR!D$4,FALSE))*1000,0)</f>
        <v>0</v>
      </c>
      <c r="E119" s="141">
        <f>IFERROR((HLOOKUP($AH119,Target_monthwise!$D$4:$O$20,DTR!E$4,FALSE))*1000,0)</f>
        <v>0</v>
      </c>
      <c r="F119" s="141">
        <f>IFERROR((HLOOKUP($AH119,Target_monthwise!$D$4:$O$20,DTR!F$4,FALSE))*1000,0)</f>
        <v>0</v>
      </c>
      <c r="G119" s="141">
        <f>IFERROR((HLOOKUP($AH119,Target_monthwise!$D$4:$O$20,DTR!G$4,FALSE))*1000,0)</f>
        <v>0</v>
      </c>
      <c r="H119" s="141">
        <f>IFERROR((HLOOKUP($AH119,Target_monthwise!$D$4:$O$20,DTR!H$4,FALSE))*1000,0)</f>
        <v>0</v>
      </c>
      <c r="I119" s="141">
        <f>IFERROR((HLOOKUP($AH119,Target_monthwise!$D$4:$O$20,DTR!I$4,FALSE))*1000,0)</f>
        <v>0</v>
      </c>
      <c r="J119" s="141">
        <f>IFERROR((HLOOKUP($AH119,Target_monthwise!$D$4:$O$20,DTR!J$4,FALSE))*1000,0)</f>
        <v>0</v>
      </c>
      <c r="K119" s="141">
        <f>IFERROR((HLOOKUP($AH119,Target_monthwise!$D$4:$O$20,DTR!K$4,FALSE))*1000,0)</f>
        <v>0</v>
      </c>
      <c r="L119" s="141">
        <f>IFERROR((HLOOKUP($AH119,Target_monthwise!$D$4:$O$20,DTR!L$4,FALSE))*1000,0)</f>
        <v>0</v>
      </c>
      <c r="M119" s="141">
        <f>IFERROR((HLOOKUP($AH119,Target_monthwise!$D$4:$O$20,DTR!M$4,FALSE))*1000,0)</f>
        <v>0</v>
      </c>
      <c r="N119" s="141">
        <f>IFERROR((HLOOKUP($AH119,Target_monthwise!$D$4:$O$20,DTR!N$4,FALSE))*1000,0)</f>
        <v>0</v>
      </c>
      <c r="O119" s="141">
        <f>IFERROR((HLOOKUP($AH119,Target_monthwise!$D$4:$O$20,DTR!O$4,FALSE))*1000,0)</f>
        <v>0</v>
      </c>
      <c r="P119" s="141">
        <f>IFERROR((HLOOKUP($AH119,Target_monthwise!$D$4:$O$20,DTR!P$4,FALSE))*1000,0)</f>
        <v>0</v>
      </c>
      <c r="Q119" s="141">
        <f>IFERROR((HLOOKUP($AH119,Target_monthwise!$D$4:$O$20,DTR!Q$4,FALSE))*1000,0)</f>
        <v>0</v>
      </c>
      <c r="R119" s="167">
        <f>IFERROR((HLOOKUP($AH119,Target_monthwise!$D$4:$O$20,DTR!R$4,FALSE))*1000,0)</f>
        <v>0</v>
      </c>
      <c r="S119" s="147">
        <f>IFERROR((HLOOKUP($AH119,Target_monthwise!$D$24:$O$40,DTR!S$4,FALSE)),0)</f>
        <v>0</v>
      </c>
      <c r="T119" s="147">
        <f>IFERROR((HLOOKUP($AH119,Target_monthwise!$D$24:$O$40,DTR!T$4,FALSE)),0)</f>
        <v>0</v>
      </c>
      <c r="U119" s="147">
        <f>IFERROR((HLOOKUP($AH119,Target_monthwise!$D$24:$O$40,DTR!U$4,FALSE)),0)</f>
        <v>0</v>
      </c>
      <c r="V119" s="147">
        <f>IFERROR((HLOOKUP($AH119,Target_monthwise!$D$24:$O$40,DTR!V$4,FALSE)),0)</f>
        <v>0</v>
      </c>
      <c r="W119" s="147">
        <f>IFERROR((HLOOKUP($AH119,Target_monthwise!$D$24:$O$40,DTR!W$4,FALSE)),0)</f>
        <v>0</v>
      </c>
      <c r="X119" s="147">
        <f>IFERROR((HLOOKUP($AH119,Target_monthwise!$D$24:$O$40,DTR!X$4,FALSE)),0)</f>
        <v>0</v>
      </c>
      <c r="Y119" s="147">
        <f>IFERROR((HLOOKUP($AH119,Target_monthwise!$D$24:$O$40,DTR!Y$4,FALSE)),0)</f>
        <v>0</v>
      </c>
      <c r="Z119" s="147">
        <f>IFERROR((HLOOKUP($AH119,Target_monthwise!$D$24:$O$40,DTR!Z$4,FALSE)),0)</f>
        <v>0</v>
      </c>
      <c r="AA119" s="147">
        <f>IFERROR((HLOOKUP($AH119,Target_monthwise!$D$24:$O$40,DTR!AA$4,FALSE)),0)</f>
        <v>0</v>
      </c>
      <c r="AB119" s="147">
        <f>IFERROR((HLOOKUP($AH119,Target_monthwise!$D$24:$O$40,DTR!AB$4,FALSE)),0)</f>
        <v>0</v>
      </c>
      <c r="AC119" s="147">
        <f>IFERROR((HLOOKUP($AH119,Target_monthwise!$D$24:$O$40,DTR!AC$4,FALSE)),0)</f>
        <v>0</v>
      </c>
      <c r="AD119" s="147">
        <f>IFERROR((HLOOKUP($AH119,Target_monthwise!$D$24:$O$40,DTR!AD$4,FALSE)),0)</f>
        <v>0</v>
      </c>
      <c r="AE119" s="147">
        <f>IFERROR((HLOOKUP($AH119,Target_monthwise!$D$24:$O$40,DTR!AE$4,FALSE)),0)</f>
        <v>0</v>
      </c>
      <c r="AF119" s="147">
        <f>IFERROR((HLOOKUP($AH119,Target_monthwise!$D$24:$O$40,DTR!AF$4,FALSE)),0)</f>
        <v>0</v>
      </c>
      <c r="AG119" s="172">
        <f>IFERROR((HLOOKUP($AH119,Target_monthwise!$D$24:$O$40,DTR!AG$4,FALSE)),0)</f>
        <v>0</v>
      </c>
      <c r="AH119" s="253">
        <f t="shared" si="1"/>
        <v>202207</v>
      </c>
    </row>
    <row r="120" spans="3:34" ht="15.75" hidden="1">
      <c r="C120" s="237">
        <v>44763</v>
      </c>
      <c r="D120" s="238">
        <f>IFERROR((HLOOKUP($AH120,Target_monthwise!$D$4:$O$20,DTR!D$4,FALSE))*1000,0)</f>
        <v>0</v>
      </c>
      <c r="E120" s="238">
        <f>IFERROR((HLOOKUP($AH120,Target_monthwise!$D$4:$O$20,DTR!E$4,FALSE))*1000,0)</f>
        <v>0</v>
      </c>
      <c r="F120" s="238">
        <f>IFERROR((HLOOKUP($AH120,Target_monthwise!$D$4:$O$20,DTR!F$4,FALSE))*1000,0)</f>
        <v>0</v>
      </c>
      <c r="G120" s="238">
        <f>IFERROR((HLOOKUP($AH120,Target_monthwise!$D$4:$O$20,DTR!G$4,FALSE))*1000,0)</f>
        <v>0</v>
      </c>
      <c r="H120" s="238">
        <f>IFERROR((HLOOKUP($AH120,Target_monthwise!$D$4:$O$20,DTR!H$4,FALSE))*1000,0)</f>
        <v>0</v>
      </c>
      <c r="I120" s="238">
        <f>IFERROR((HLOOKUP($AH120,Target_monthwise!$D$4:$O$20,DTR!I$4,FALSE))*1000,0)</f>
        <v>0</v>
      </c>
      <c r="J120" s="238">
        <f>IFERROR((HLOOKUP($AH120,Target_monthwise!$D$4:$O$20,DTR!J$4,FALSE))*1000,0)</f>
        <v>0</v>
      </c>
      <c r="K120" s="238">
        <f>IFERROR((HLOOKUP($AH120,Target_monthwise!$D$4:$O$20,DTR!K$4,FALSE))*1000,0)</f>
        <v>0</v>
      </c>
      <c r="L120" s="238">
        <f>IFERROR((HLOOKUP($AH120,Target_monthwise!$D$4:$O$20,DTR!L$4,FALSE))*1000,0)</f>
        <v>0</v>
      </c>
      <c r="M120" s="238">
        <f>IFERROR((HLOOKUP($AH120,Target_monthwise!$D$4:$O$20,DTR!M$4,FALSE))*1000,0)</f>
        <v>0</v>
      </c>
      <c r="N120" s="238">
        <f>IFERROR((HLOOKUP($AH120,Target_monthwise!$D$4:$O$20,DTR!N$4,FALSE))*1000,0)</f>
        <v>0</v>
      </c>
      <c r="O120" s="238">
        <f>IFERROR((HLOOKUP($AH120,Target_monthwise!$D$4:$O$20,DTR!O$4,FALSE))*1000,0)</f>
        <v>0</v>
      </c>
      <c r="P120" s="238">
        <f>IFERROR((HLOOKUP($AH120,Target_monthwise!$D$4:$O$20,DTR!P$4,FALSE))*1000,0)</f>
        <v>0</v>
      </c>
      <c r="Q120" s="141">
        <f>IFERROR((HLOOKUP($AH120,Target_monthwise!$D$4:$O$20,DTR!Q$4,FALSE))*1000,0)</f>
        <v>0</v>
      </c>
      <c r="R120" s="167">
        <f>IFERROR((HLOOKUP($AH120,Target_monthwise!$D$4:$O$20,DTR!R$4,FALSE))*1000,0)</f>
        <v>0</v>
      </c>
      <c r="S120" s="239">
        <f>IFERROR((HLOOKUP($AH120,Target_monthwise!$D$24:$O$40,DTR!S$4,FALSE)),0)</f>
        <v>0</v>
      </c>
      <c r="T120" s="239">
        <f>IFERROR((HLOOKUP($AH120,Target_monthwise!$D$24:$O$40,DTR!T$4,FALSE)),0)</f>
        <v>0</v>
      </c>
      <c r="U120" s="239">
        <f>IFERROR((HLOOKUP($AH120,Target_monthwise!$D$24:$O$40,DTR!U$4,FALSE)),0)</f>
        <v>0</v>
      </c>
      <c r="V120" s="239">
        <f>IFERROR((HLOOKUP($AH120,Target_monthwise!$D$24:$O$40,DTR!V$4,FALSE)),0)</f>
        <v>0</v>
      </c>
      <c r="W120" s="239">
        <f>IFERROR((HLOOKUP($AH120,Target_monthwise!$D$24:$O$40,DTR!W$4,FALSE)),0)</f>
        <v>0</v>
      </c>
      <c r="X120" s="239">
        <f>IFERROR((HLOOKUP($AH120,Target_monthwise!$D$24:$O$40,DTR!X$4,FALSE)),0)</f>
        <v>0</v>
      </c>
      <c r="Y120" s="239">
        <f>IFERROR((HLOOKUP($AH120,Target_monthwise!$D$24:$O$40,DTR!Y$4,FALSE)),0)</f>
        <v>0</v>
      </c>
      <c r="Z120" s="147">
        <f>IFERROR((HLOOKUP($AH120,Target_monthwise!$D$24:$O$40,DTR!Z$4,FALSE)),0)</f>
        <v>0</v>
      </c>
      <c r="AA120" s="147">
        <f>IFERROR((HLOOKUP($AH120,Target_monthwise!$D$24:$O$40,DTR!AA$4,FALSE)),0)</f>
        <v>0</v>
      </c>
      <c r="AB120" s="147">
        <f>IFERROR((HLOOKUP($AH120,Target_monthwise!$D$24:$O$40,DTR!AB$4,FALSE)),0)</f>
        <v>0</v>
      </c>
      <c r="AC120" s="239">
        <f>IFERROR((HLOOKUP($AH120,Target_monthwise!$D$24:$O$40,DTR!AC$4,FALSE)),0)</f>
        <v>0</v>
      </c>
      <c r="AD120" s="239">
        <f>IFERROR((HLOOKUP($AH120,Target_monthwise!$D$24:$O$40,DTR!AD$4,FALSE)),0)</f>
        <v>0</v>
      </c>
      <c r="AE120" s="239">
        <f>IFERROR((HLOOKUP($AH120,Target_monthwise!$D$24:$O$40,DTR!AE$4,FALSE)),0)</f>
        <v>0</v>
      </c>
      <c r="AF120" s="239">
        <f>IFERROR((HLOOKUP($AH120,Target_monthwise!$D$24:$O$40,DTR!AF$4,FALSE)),0)</f>
        <v>0</v>
      </c>
      <c r="AG120" s="172">
        <f>IFERROR((HLOOKUP($AH120,Target_monthwise!$D$24:$O$40,DTR!AG$4,FALSE)),0)</f>
        <v>0</v>
      </c>
      <c r="AH120" s="253">
        <f t="shared" si="1"/>
        <v>202207</v>
      </c>
    </row>
    <row r="121" spans="3:34" ht="15.75" hidden="1">
      <c r="C121" s="235">
        <v>44764</v>
      </c>
      <c r="D121" s="141">
        <f>IFERROR((HLOOKUP($AH121,Target_monthwise!$D$4:$O$20,DTR!D$4,FALSE))*1000,0)</f>
        <v>0</v>
      </c>
      <c r="E121" s="141">
        <f>IFERROR((HLOOKUP($AH121,Target_monthwise!$D$4:$O$20,DTR!E$4,FALSE))*1000,0)</f>
        <v>0</v>
      </c>
      <c r="F121" s="141">
        <f>IFERROR((HLOOKUP($AH121,Target_monthwise!$D$4:$O$20,DTR!F$4,FALSE))*1000,0)</f>
        <v>0</v>
      </c>
      <c r="G121" s="141">
        <f>IFERROR((HLOOKUP($AH121,Target_monthwise!$D$4:$O$20,DTR!G$4,FALSE))*1000,0)</f>
        <v>0</v>
      </c>
      <c r="H121" s="141">
        <f>IFERROR((HLOOKUP($AH121,Target_monthwise!$D$4:$O$20,DTR!H$4,FALSE))*1000,0)</f>
        <v>0</v>
      </c>
      <c r="I121" s="141">
        <f>IFERROR((HLOOKUP($AH121,Target_monthwise!$D$4:$O$20,DTR!I$4,FALSE))*1000,0)</f>
        <v>0</v>
      </c>
      <c r="J121" s="141">
        <f>IFERROR((HLOOKUP($AH121,Target_monthwise!$D$4:$O$20,DTR!J$4,FALSE))*1000,0)</f>
        <v>0</v>
      </c>
      <c r="K121" s="141">
        <f>IFERROR((HLOOKUP($AH121,Target_monthwise!$D$4:$O$20,DTR!K$4,FALSE))*1000,0)</f>
        <v>0</v>
      </c>
      <c r="L121" s="141">
        <f>IFERROR((HLOOKUP($AH121,Target_monthwise!$D$4:$O$20,DTR!L$4,FALSE))*1000,0)</f>
        <v>0</v>
      </c>
      <c r="M121" s="141">
        <f>IFERROR((HLOOKUP($AH121,Target_monthwise!$D$4:$O$20,DTR!M$4,FALSE))*1000,0)</f>
        <v>0</v>
      </c>
      <c r="N121" s="141">
        <f>IFERROR((HLOOKUP($AH121,Target_monthwise!$D$4:$O$20,DTR!N$4,FALSE))*1000,0)</f>
        <v>0</v>
      </c>
      <c r="O121" s="141">
        <f>IFERROR((HLOOKUP($AH121,Target_monthwise!$D$4:$O$20,DTR!O$4,FALSE))*1000,0)</f>
        <v>0</v>
      </c>
      <c r="P121" s="141">
        <f>IFERROR((HLOOKUP($AH121,Target_monthwise!$D$4:$O$20,DTR!P$4,FALSE))*1000,0)</f>
        <v>0</v>
      </c>
      <c r="Q121" s="141">
        <f>IFERROR((HLOOKUP($AH121,Target_monthwise!$D$4:$O$20,DTR!Q$4,FALSE))*1000,0)</f>
        <v>0</v>
      </c>
      <c r="R121" s="167">
        <f>IFERROR((HLOOKUP($AH121,Target_monthwise!$D$4:$O$20,DTR!R$4,FALSE))*1000,0)</f>
        <v>0</v>
      </c>
      <c r="S121" s="147">
        <f>IFERROR((HLOOKUP($AH121,Target_monthwise!$D$24:$O$40,DTR!S$4,FALSE)),0)</f>
        <v>0</v>
      </c>
      <c r="T121" s="147">
        <f>IFERROR((HLOOKUP($AH121,Target_monthwise!$D$24:$O$40,DTR!T$4,FALSE)),0)</f>
        <v>0</v>
      </c>
      <c r="U121" s="147">
        <f>IFERROR((HLOOKUP($AH121,Target_monthwise!$D$24:$O$40,DTR!U$4,FALSE)),0)</f>
        <v>0</v>
      </c>
      <c r="V121" s="147">
        <f>IFERROR((HLOOKUP($AH121,Target_monthwise!$D$24:$O$40,DTR!V$4,FALSE)),0)</f>
        <v>0</v>
      </c>
      <c r="W121" s="147">
        <f>IFERROR((HLOOKUP($AH121,Target_monthwise!$D$24:$O$40,DTR!W$4,FALSE)),0)</f>
        <v>0</v>
      </c>
      <c r="X121" s="147">
        <f>IFERROR((HLOOKUP($AH121,Target_monthwise!$D$24:$O$40,DTR!X$4,FALSE)),0)</f>
        <v>0</v>
      </c>
      <c r="Y121" s="147">
        <f>IFERROR((HLOOKUP($AH121,Target_monthwise!$D$24:$O$40,DTR!Y$4,FALSE)),0)</f>
        <v>0</v>
      </c>
      <c r="Z121" s="147">
        <f>IFERROR((HLOOKUP($AH121,Target_monthwise!$D$24:$O$40,DTR!Z$4,FALSE)),0)</f>
        <v>0</v>
      </c>
      <c r="AA121" s="147">
        <f>IFERROR((HLOOKUP($AH121,Target_monthwise!$D$24:$O$40,DTR!AA$4,FALSE)),0)</f>
        <v>0</v>
      </c>
      <c r="AB121" s="147">
        <f>IFERROR((HLOOKUP($AH121,Target_monthwise!$D$24:$O$40,DTR!AB$4,FALSE)),0)</f>
        <v>0</v>
      </c>
      <c r="AC121" s="147">
        <f>IFERROR((HLOOKUP($AH121,Target_monthwise!$D$24:$O$40,DTR!AC$4,FALSE)),0)</f>
        <v>0</v>
      </c>
      <c r="AD121" s="147">
        <f>IFERROR((HLOOKUP($AH121,Target_monthwise!$D$24:$O$40,DTR!AD$4,FALSE)),0)</f>
        <v>0</v>
      </c>
      <c r="AE121" s="147">
        <f>IFERROR((HLOOKUP($AH121,Target_monthwise!$D$24:$O$40,DTR!AE$4,FALSE)),0)</f>
        <v>0</v>
      </c>
      <c r="AF121" s="147">
        <f>IFERROR((HLOOKUP($AH121,Target_monthwise!$D$24:$O$40,DTR!AF$4,FALSE)),0)</f>
        <v>0</v>
      </c>
      <c r="AG121" s="172">
        <f>IFERROR((HLOOKUP($AH121,Target_monthwise!$D$24:$O$40,DTR!AG$4,FALSE)),0)</f>
        <v>0</v>
      </c>
      <c r="AH121" s="253">
        <f t="shared" si="1"/>
        <v>202207</v>
      </c>
    </row>
    <row r="122" spans="3:34" ht="15.75" hidden="1">
      <c r="C122" s="237">
        <v>44765</v>
      </c>
      <c r="D122" s="238">
        <f>IFERROR((HLOOKUP($AH122,Target_monthwise!$D$4:$O$20,DTR!D$4,FALSE))*1000,0)</f>
        <v>0</v>
      </c>
      <c r="E122" s="238">
        <f>IFERROR((HLOOKUP($AH122,Target_monthwise!$D$4:$O$20,DTR!E$4,FALSE))*1000,0)</f>
        <v>0</v>
      </c>
      <c r="F122" s="238">
        <f>IFERROR((HLOOKUP($AH122,Target_monthwise!$D$4:$O$20,DTR!F$4,FALSE))*1000,0)</f>
        <v>0</v>
      </c>
      <c r="G122" s="238">
        <f>IFERROR((HLOOKUP($AH122,Target_monthwise!$D$4:$O$20,DTR!G$4,FALSE))*1000,0)</f>
        <v>0</v>
      </c>
      <c r="H122" s="238">
        <f>IFERROR((HLOOKUP($AH122,Target_monthwise!$D$4:$O$20,DTR!H$4,FALSE))*1000,0)</f>
        <v>0</v>
      </c>
      <c r="I122" s="238">
        <f>IFERROR((HLOOKUP($AH122,Target_monthwise!$D$4:$O$20,DTR!I$4,FALSE))*1000,0)</f>
        <v>0</v>
      </c>
      <c r="J122" s="238">
        <f>IFERROR((HLOOKUP($AH122,Target_monthwise!$D$4:$O$20,DTR!J$4,FALSE))*1000,0)</f>
        <v>0</v>
      </c>
      <c r="K122" s="238">
        <f>IFERROR((HLOOKUP($AH122,Target_monthwise!$D$4:$O$20,DTR!K$4,FALSE))*1000,0)</f>
        <v>0</v>
      </c>
      <c r="L122" s="238">
        <f>IFERROR((HLOOKUP($AH122,Target_monthwise!$D$4:$O$20,DTR!L$4,FALSE))*1000,0)</f>
        <v>0</v>
      </c>
      <c r="M122" s="238">
        <f>IFERROR((HLOOKUP($AH122,Target_monthwise!$D$4:$O$20,DTR!M$4,FALSE))*1000,0)</f>
        <v>0</v>
      </c>
      <c r="N122" s="238">
        <f>IFERROR((HLOOKUP($AH122,Target_monthwise!$D$4:$O$20,DTR!N$4,FALSE))*1000,0)</f>
        <v>0</v>
      </c>
      <c r="O122" s="238">
        <f>IFERROR((HLOOKUP($AH122,Target_monthwise!$D$4:$O$20,DTR!O$4,FALSE))*1000,0)</f>
        <v>0</v>
      </c>
      <c r="P122" s="238">
        <f>IFERROR((HLOOKUP($AH122,Target_monthwise!$D$4:$O$20,DTR!P$4,FALSE))*1000,0)</f>
        <v>0</v>
      </c>
      <c r="Q122" s="141">
        <f>IFERROR((HLOOKUP($AH122,Target_monthwise!$D$4:$O$20,DTR!Q$4,FALSE))*1000,0)</f>
        <v>0</v>
      </c>
      <c r="R122" s="167">
        <f>IFERROR((HLOOKUP($AH122,Target_monthwise!$D$4:$O$20,DTR!R$4,FALSE))*1000,0)</f>
        <v>0</v>
      </c>
      <c r="S122" s="239">
        <f>IFERROR((HLOOKUP($AH122,Target_monthwise!$D$24:$O$40,DTR!S$4,FALSE)),0)</f>
        <v>0</v>
      </c>
      <c r="T122" s="239">
        <f>IFERROR((HLOOKUP($AH122,Target_monthwise!$D$24:$O$40,DTR!T$4,FALSE)),0)</f>
        <v>0</v>
      </c>
      <c r="U122" s="239">
        <f>IFERROR((HLOOKUP($AH122,Target_monthwise!$D$24:$O$40,DTR!U$4,FALSE)),0)</f>
        <v>0</v>
      </c>
      <c r="V122" s="239">
        <f>IFERROR((HLOOKUP($AH122,Target_monthwise!$D$24:$O$40,DTR!V$4,FALSE)),0)</f>
        <v>0</v>
      </c>
      <c r="W122" s="239">
        <f>IFERROR((HLOOKUP($AH122,Target_monthwise!$D$24:$O$40,DTR!W$4,FALSE)),0)</f>
        <v>0</v>
      </c>
      <c r="X122" s="239">
        <f>IFERROR((HLOOKUP($AH122,Target_monthwise!$D$24:$O$40,DTR!X$4,FALSE)),0)</f>
        <v>0</v>
      </c>
      <c r="Y122" s="239">
        <f>IFERROR((HLOOKUP($AH122,Target_monthwise!$D$24:$O$40,DTR!Y$4,FALSE)),0)</f>
        <v>0</v>
      </c>
      <c r="Z122" s="147">
        <f>IFERROR((HLOOKUP($AH122,Target_monthwise!$D$24:$O$40,DTR!Z$4,FALSE)),0)</f>
        <v>0</v>
      </c>
      <c r="AA122" s="147">
        <f>IFERROR((HLOOKUP($AH122,Target_monthwise!$D$24:$O$40,DTR!AA$4,FALSE)),0)</f>
        <v>0</v>
      </c>
      <c r="AB122" s="147">
        <f>IFERROR((HLOOKUP($AH122,Target_monthwise!$D$24:$O$40,DTR!AB$4,FALSE)),0)</f>
        <v>0</v>
      </c>
      <c r="AC122" s="239">
        <f>IFERROR((HLOOKUP($AH122,Target_monthwise!$D$24:$O$40,DTR!AC$4,FALSE)),0)</f>
        <v>0</v>
      </c>
      <c r="AD122" s="239">
        <f>IFERROR((HLOOKUP($AH122,Target_monthwise!$D$24:$O$40,DTR!AD$4,FALSE)),0)</f>
        <v>0</v>
      </c>
      <c r="AE122" s="239">
        <f>IFERROR((HLOOKUP($AH122,Target_monthwise!$D$24:$O$40,DTR!AE$4,FALSE)),0)</f>
        <v>0</v>
      </c>
      <c r="AF122" s="239">
        <f>IFERROR((HLOOKUP($AH122,Target_monthwise!$D$24:$O$40,DTR!AF$4,FALSE)),0)</f>
        <v>0</v>
      </c>
      <c r="AG122" s="172">
        <f>IFERROR((HLOOKUP($AH122,Target_monthwise!$D$24:$O$40,DTR!AG$4,FALSE)),0)</f>
        <v>0</v>
      </c>
      <c r="AH122" s="253">
        <f t="shared" si="1"/>
        <v>202207</v>
      </c>
    </row>
    <row r="123" spans="3:34" ht="15.75" hidden="1">
      <c r="C123" s="235">
        <v>44766</v>
      </c>
      <c r="D123" s="141">
        <f>IFERROR((HLOOKUP($AH123,Target_monthwise!$D$4:$O$20,DTR!D$4,FALSE))*1000,0)</f>
        <v>0</v>
      </c>
      <c r="E123" s="141">
        <f>IFERROR((HLOOKUP($AH123,Target_monthwise!$D$4:$O$20,DTR!E$4,FALSE))*1000,0)</f>
        <v>0</v>
      </c>
      <c r="F123" s="141">
        <f>IFERROR((HLOOKUP($AH123,Target_monthwise!$D$4:$O$20,DTR!F$4,FALSE))*1000,0)</f>
        <v>0</v>
      </c>
      <c r="G123" s="141">
        <f>IFERROR((HLOOKUP($AH123,Target_monthwise!$D$4:$O$20,DTR!G$4,FALSE))*1000,0)</f>
        <v>0</v>
      </c>
      <c r="H123" s="141">
        <f>IFERROR((HLOOKUP($AH123,Target_monthwise!$D$4:$O$20,DTR!H$4,FALSE))*1000,0)</f>
        <v>0</v>
      </c>
      <c r="I123" s="141">
        <f>IFERROR((HLOOKUP($AH123,Target_monthwise!$D$4:$O$20,DTR!I$4,FALSE))*1000,0)</f>
        <v>0</v>
      </c>
      <c r="J123" s="141">
        <f>IFERROR((HLOOKUP($AH123,Target_monthwise!$D$4:$O$20,DTR!J$4,FALSE))*1000,0)</f>
        <v>0</v>
      </c>
      <c r="K123" s="141">
        <f>IFERROR((HLOOKUP($AH123,Target_monthwise!$D$4:$O$20,DTR!K$4,FALSE))*1000,0)</f>
        <v>0</v>
      </c>
      <c r="L123" s="141">
        <f>IFERROR((HLOOKUP($AH123,Target_monthwise!$D$4:$O$20,DTR!L$4,FALSE))*1000,0)</f>
        <v>0</v>
      </c>
      <c r="M123" s="141">
        <f>IFERROR((HLOOKUP($AH123,Target_monthwise!$D$4:$O$20,DTR!M$4,FALSE))*1000,0)</f>
        <v>0</v>
      </c>
      <c r="N123" s="141">
        <f>IFERROR((HLOOKUP($AH123,Target_monthwise!$D$4:$O$20,DTR!N$4,FALSE))*1000,0)</f>
        <v>0</v>
      </c>
      <c r="O123" s="141">
        <f>IFERROR((HLOOKUP($AH123,Target_monthwise!$D$4:$O$20,DTR!O$4,FALSE))*1000,0)</f>
        <v>0</v>
      </c>
      <c r="P123" s="141">
        <f>IFERROR((HLOOKUP($AH123,Target_monthwise!$D$4:$O$20,DTR!P$4,FALSE))*1000,0)</f>
        <v>0</v>
      </c>
      <c r="Q123" s="141">
        <f>IFERROR((HLOOKUP($AH123,Target_monthwise!$D$4:$O$20,DTR!Q$4,FALSE))*1000,0)</f>
        <v>0</v>
      </c>
      <c r="R123" s="167">
        <f>IFERROR((HLOOKUP($AH123,Target_monthwise!$D$4:$O$20,DTR!R$4,FALSE))*1000,0)</f>
        <v>0</v>
      </c>
      <c r="S123" s="147">
        <f>IFERROR((HLOOKUP($AH123,Target_monthwise!$D$24:$O$40,DTR!S$4,FALSE)),0)</f>
        <v>0</v>
      </c>
      <c r="T123" s="147">
        <f>IFERROR((HLOOKUP($AH123,Target_monthwise!$D$24:$O$40,DTR!T$4,FALSE)),0)</f>
        <v>0</v>
      </c>
      <c r="U123" s="147">
        <f>IFERROR((HLOOKUP($AH123,Target_monthwise!$D$24:$O$40,DTR!U$4,FALSE)),0)</f>
        <v>0</v>
      </c>
      <c r="V123" s="147">
        <f>IFERROR((HLOOKUP($AH123,Target_monthwise!$D$24:$O$40,DTR!V$4,FALSE)),0)</f>
        <v>0</v>
      </c>
      <c r="W123" s="147">
        <f>IFERROR((HLOOKUP($AH123,Target_monthwise!$D$24:$O$40,DTR!W$4,FALSE)),0)</f>
        <v>0</v>
      </c>
      <c r="X123" s="147">
        <f>IFERROR((HLOOKUP($AH123,Target_monthwise!$D$24:$O$40,DTR!X$4,FALSE)),0)</f>
        <v>0</v>
      </c>
      <c r="Y123" s="147">
        <f>IFERROR((HLOOKUP($AH123,Target_monthwise!$D$24:$O$40,DTR!Y$4,FALSE)),0)</f>
        <v>0</v>
      </c>
      <c r="Z123" s="147">
        <f>IFERROR((HLOOKUP($AH123,Target_monthwise!$D$24:$O$40,DTR!Z$4,FALSE)),0)</f>
        <v>0</v>
      </c>
      <c r="AA123" s="147">
        <f>IFERROR((HLOOKUP($AH123,Target_monthwise!$D$24:$O$40,DTR!AA$4,FALSE)),0)</f>
        <v>0</v>
      </c>
      <c r="AB123" s="147">
        <f>IFERROR((HLOOKUP($AH123,Target_monthwise!$D$24:$O$40,DTR!AB$4,FALSE)),0)</f>
        <v>0</v>
      </c>
      <c r="AC123" s="147">
        <f>IFERROR((HLOOKUP($AH123,Target_monthwise!$D$24:$O$40,DTR!AC$4,FALSE)),0)</f>
        <v>0</v>
      </c>
      <c r="AD123" s="147">
        <f>IFERROR((HLOOKUP($AH123,Target_monthwise!$D$24:$O$40,DTR!AD$4,FALSE)),0)</f>
        <v>0</v>
      </c>
      <c r="AE123" s="147">
        <f>IFERROR((HLOOKUP($AH123,Target_monthwise!$D$24:$O$40,DTR!AE$4,FALSE)),0)</f>
        <v>0</v>
      </c>
      <c r="AF123" s="147">
        <f>IFERROR((HLOOKUP($AH123,Target_monthwise!$D$24:$O$40,DTR!AF$4,FALSE)),0)</f>
        <v>0</v>
      </c>
      <c r="AG123" s="172">
        <f>IFERROR((HLOOKUP($AH123,Target_monthwise!$D$24:$O$40,DTR!AG$4,FALSE)),0)</f>
        <v>0</v>
      </c>
      <c r="AH123" s="253">
        <f t="shared" si="1"/>
        <v>202207</v>
      </c>
    </row>
    <row r="124" spans="3:34" ht="15.75" hidden="1">
      <c r="C124" s="237">
        <v>44767</v>
      </c>
      <c r="D124" s="238">
        <f>IFERROR((HLOOKUP($AH124,Target_monthwise!$D$4:$O$20,DTR!D$4,FALSE))*1000,0)</f>
        <v>0</v>
      </c>
      <c r="E124" s="238">
        <f>IFERROR((HLOOKUP($AH124,Target_monthwise!$D$4:$O$20,DTR!E$4,FALSE))*1000,0)</f>
        <v>0</v>
      </c>
      <c r="F124" s="238">
        <f>IFERROR((HLOOKUP($AH124,Target_monthwise!$D$4:$O$20,DTR!F$4,FALSE))*1000,0)</f>
        <v>0</v>
      </c>
      <c r="G124" s="238">
        <f>IFERROR((HLOOKUP($AH124,Target_monthwise!$D$4:$O$20,DTR!G$4,FALSE))*1000,0)</f>
        <v>0</v>
      </c>
      <c r="H124" s="238">
        <f>IFERROR((HLOOKUP($AH124,Target_monthwise!$D$4:$O$20,DTR!H$4,FALSE))*1000,0)</f>
        <v>0</v>
      </c>
      <c r="I124" s="238">
        <f>IFERROR((HLOOKUP($AH124,Target_monthwise!$D$4:$O$20,DTR!I$4,FALSE))*1000,0)</f>
        <v>0</v>
      </c>
      <c r="J124" s="238">
        <f>IFERROR((HLOOKUP($AH124,Target_monthwise!$D$4:$O$20,DTR!J$4,FALSE))*1000,0)</f>
        <v>0</v>
      </c>
      <c r="K124" s="238">
        <f>IFERROR((HLOOKUP($AH124,Target_monthwise!$D$4:$O$20,DTR!K$4,FALSE))*1000,0)</f>
        <v>0</v>
      </c>
      <c r="L124" s="238">
        <f>IFERROR((HLOOKUP($AH124,Target_monthwise!$D$4:$O$20,DTR!L$4,FALSE))*1000,0)</f>
        <v>0</v>
      </c>
      <c r="M124" s="238">
        <f>IFERROR((HLOOKUP($AH124,Target_monthwise!$D$4:$O$20,DTR!M$4,FALSE))*1000,0)</f>
        <v>0</v>
      </c>
      <c r="N124" s="238">
        <f>IFERROR((HLOOKUP($AH124,Target_monthwise!$D$4:$O$20,DTR!N$4,FALSE))*1000,0)</f>
        <v>0</v>
      </c>
      <c r="O124" s="238">
        <f>IFERROR((HLOOKUP($AH124,Target_monthwise!$D$4:$O$20,DTR!O$4,FALSE))*1000,0)</f>
        <v>0</v>
      </c>
      <c r="P124" s="238">
        <f>IFERROR((HLOOKUP($AH124,Target_monthwise!$D$4:$O$20,DTR!P$4,FALSE))*1000,0)</f>
        <v>0</v>
      </c>
      <c r="Q124" s="141">
        <f>IFERROR((HLOOKUP($AH124,Target_monthwise!$D$4:$O$20,DTR!Q$4,FALSE))*1000,0)</f>
        <v>0</v>
      </c>
      <c r="R124" s="167">
        <f>IFERROR((HLOOKUP($AH124,Target_monthwise!$D$4:$O$20,DTR!R$4,FALSE))*1000,0)</f>
        <v>0</v>
      </c>
      <c r="S124" s="239">
        <f>IFERROR((HLOOKUP($AH124,Target_monthwise!$D$24:$O$40,DTR!S$4,FALSE)),0)</f>
        <v>0</v>
      </c>
      <c r="T124" s="239">
        <f>IFERROR((HLOOKUP($AH124,Target_monthwise!$D$24:$O$40,DTR!T$4,FALSE)),0)</f>
        <v>0</v>
      </c>
      <c r="U124" s="239">
        <f>IFERROR((HLOOKUP($AH124,Target_monthwise!$D$24:$O$40,DTR!U$4,FALSE)),0)</f>
        <v>0</v>
      </c>
      <c r="V124" s="239">
        <f>IFERROR((HLOOKUP($AH124,Target_monthwise!$D$24:$O$40,DTR!V$4,FALSE)),0)</f>
        <v>0</v>
      </c>
      <c r="W124" s="239">
        <f>IFERROR((HLOOKUP($AH124,Target_monthwise!$D$24:$O$40,DTR!W$4,FALSE)),0)</f>
        <v>0</v>
      </c>
      <c r="X124" s="239">
        <f>IFERROR((HLOOKUP($AH124,Target_monthwise!$D$24:$O$40,DTR!X$4,FALSE)),0)</f>
        <v>0</v>
      </c>
      <c r="Y124" s="239">
        <f>IFERROR((HLOOKUP($AH124,Target_monthwise!$D$24:$O$40,DTR!Y$4,FALSE)),0)</f>
        <v>0</v>
      </c>
      <c r="Z124" s="147">
        <f>IFERROR((HLOOKUP($AH124,Target_monthwise!$D$24:$O$40,DTR!Z$4,FALSE)),0)</f>
        <v>0</v>
      </c>
      <c r="AA124" s="147">
        <f>IFERROR((HLOOKUP($AH124,Target_monthwise!$D$24:$O$40,DTR!AA$4,FALSE)),0)</f>
        <v>0</v>
      </c>
      <c r="AB124" s="147">
        <f>IFERROR((HLOOKUP($AH124,Target_monthwise!$D$24:$O$40,DTR!AB$4,FALSE)),0)</f>
        <v>0</v>
      </c>
      <c r="AC124" s="239">
        <f>IFERROR((HLOOKUP($AH124,Target_monthwise!$D$24:$O$40,DTR!AC$4,FALSE)),0)</f>
        <v>0</v>
      </c>
      <c r="AD124" s="239">
        <f>IFERROR((HLOOKUP($AH124,Target_monthwise!$D$24:$O$40,DTR!AD$4,FALSE)),0)</f>
        <v>0</v>
      </c>
      <c r="AE124" s="239">
        <f>IFERROR((HLOOKUP($AH124,Target_monthwise!$D$24:$O$40,DTR!AE$4,FALSE)),0)</f>
        <v>0</v>
      </c>
      <c r="AF124" s="239">
        <f>IFERROR((HLOOKUP($AH124,Target_monthwise!$D$24:$O$40,DTR!AF$4,FALSE)),0)</f>
        <v>0</v>
      </c>
      <c r="AG124" s="172">
        <f>IFERROR((HLOOKUP($AH124,Target_monthwise!$D$24:$O$40,DTR!AG$4,FALSE)),0)</f>
        <v>0</v>
      </c>
      <c r="AH124" s="253">
        <f t="shared" si="1"/>
        <v>202207</v>
      </c>
    </row>
    <row r="125" spans="3:34" ht="15.75" hidden="1">
      <c r="C125" s="235">
        <v>44768</v>
      </c>
      <c r="D125" s="141">
        <f>IFERROR((HLOOKUP($AH125,Target_monthwise!$D$4:$O$20,DTR!D$4,FALSE))*1000,0)</f>
        <v>0</v>
      </c>
      <c r="E125" s="141">
        <f>IFERROR((HLOOKUP($AH125,Target_monthwise!$D$4:$O$20,DTR!E$4,FALSE))*1000,0)</f>
        <v>0</v>
      </c>
      <c r="F125" s="141">
        <f>IFERROR((HLOOKUP($AH125,Target_monthwise!$D$4:$O$20,DTR!F$4,FALSE))*1000,0)</f>
        <v>0</v>
      </c>
      <c r="G125" s="141">
        <f>IFERROR((HLOOKUP($AH125,Target_monthwise!$D$4:$O$20,DTR!G$4,FALSE))*1000,0)</f>
        <v>0</v>
      </c>
      <c r="H125" s="141">
        <f>IFERROR((HLOOKUP($AH125,Target_monthwise!$D$4:$O$20,DTR!H$4,FALSE))*1000,0)</f>
        <v>0</v>
      </c>
      <c r="I125" s="141">
        <f>IFERROR((HLOOKUP($AH125,Target_monthwise!$D$4:$O$20,DTR!I$4,FALSE))*1000,0)</f>
        <v>0</v>
      </c>
      <c r="J125" s="141">
        <f>IFERROR((HLOOKUP($AH125,Target_monthwise!$D$4:$O$20,DTR!J$4,FALSE))*1000,0)</f>
        <v>0</v>
      </c>
      <c r="K125" s="141">
        <f>IFERROR((HLOOKUP($AH125,Target_monthwise!$D$4:$O$20,DTR!K$4,FALSE))*1000,0)</f>
        <v>0</v>
      </c>
      <c r="L125" s="141">
        <f>IFERROR((HLOOKUP($AH125,Target_monthwise!$D$4:$O$20,DTR!L$4,FALSE))*1000,0)</f>
        <v>0</v>
      </c>
      <c r="M125" s="141">
        <f>IFERROR((HLOOKUP($AH125,Target_monthwise!$D$4:$O$20,DTR!M$4,FALSE))*1000,0)</f>
        <v>0</v>
      </c>
      <c r="N125" s="141">
        <f>IFERROR((HLOOKUP($AH125,Target_monthwise!$D$4:$O$20,DTR!N$4,FALSE))*1000,0)</f>
        <v>0</v>
      </c>
      <c r="O125" s="141">
        <f>IFERROR((HLOOKUP($AH125,Target_monthwise!$D$4:$O$20,DTR!O$4,FALSE))*1000,0)</f>
        <v>0</v>
      </c>
      <c r="P125" s="141">
        <f>IFERROR((HLOOKUP($AH125,Target_monthwise!$D$4:$O$20,DTR!P$4,FALSE))*1000,0)</f>
        <v>0</v>
      </c>
      <c r="Q125" s="141">
        <f>IFERROR((HLOOKUP($AH125,Target_monthwise!$D$4:$O$20,DTR!Q$4,FALSE))*1000,0)</f>
        <v>0</v>
      </c>
      <c r="R125" s="167">
        <f>IFERROR((HLOOKUP($AH125,Target_monthwise!$D$4:$O$20,DTR!R$4,FALSE))*1000,0)</f>
        <v>0</v>
      </c>
      <c r="S125" s="147">
        <f>IFERROR((HLOOKUP($AH125,Target_monthwise!$D$24:$O$40,DTR!S$4,FALSE)),0)</f>
        <v>0</v>
      </c>
      <c r="T125" s="147">
        <f>IFERROR((HLOOKUP($AH125,Target_monthwise!$D$24:$O$40,DTR!T$4,FALSE)),0)</f>
        <v>0</v>
      </c>
      <c r="U125" s="147">
        <f>IFERROR((HLOOKUP($AH125,Target_monthwise!$D$24:$O$40,DTR!U$4,FALSE)),0)</f>
        <v>0</v>
      </c>
      <c r="V125" s="147">
        <f>IFERROR((HLOOKUP($AH125,Target_monthwise!$D$24:$O$40,DTR!V$4,FALSE)),0)</f>
        <v>0</v>
      </c>
      <c r="W125" s="147">
        <f>IFERROR((HLOOKUP($AH125,Target_monthwise!$D$24:$O$40,DTR!W$4,FALSE)),0)</f>
        <v>0</v>
      </c>
      <c r="X125" s="147">
        <f>IFERROR((HLOOKUP($AH125,Target_monthwise!$D$24:$O$40,DTR!X$4,FALSE)),0)</f>
        <v>0</v>
      </c>
      <c r="Y125" s="147">
        <f>IFERROR((HLOOKUP($AH125,Target_monthwise!$D$24:$O$40,DTR!Y$4,FALSE)),0)</f>
        <v>0</v>
      </c>
      <c r="Z125" s="147">
        <f>IFERROR((HLOOKUP($AH125,Target_monthwise!$D$24:$O$40,DTR!Z$4,FALSE)),0)</f>
        <v>0</v>
      </c>
      <c r="AA125" s="147">
        <f>IFERROR((HLOOKUP($AH125,Target_monthwise!$D$24:$O$40,DTR!AA$4,FALSE)),0)</f>
        <v>0</v>
      </c>
      <c r="AB125" s="147">
        <f>IFERROR((HLOOKUP($AH125,Target_monthwise!$D$24:$O$40,DTR!AB$4,FALSE)),0)</f>
        <v>0</v>
      </c>
      <c r="AC125" s="147">
        <f>IFERROR((HLOOKUP($AH125,Target_monthwise!$D$24:$O$40,DTR!AC$4,FALSE)),0)</f>
        <v>0</v>
      </c>
      <c r="AD125" s="147">
        <f>IFERROR((HLOOKUP($AH125,Target_monthwise!$D$24:$O$40,DTR!AD$4,FALSE)),0)</f>
        <v>0</v>
      </c>
      <c r="AE125" s="147">
        <f>IFERROR((HLOOKUP($AH125,Target_monthwise!$D$24:$O$40,DTR!AE$4,FALSE)),0)</f>
        <v>0</v>
      </c>
      <c r="AF125" s="147">
        <f>IFERROR((HLOOKUP($AH125,Target_monthwise!$D$24:$O$40,DTR!AF$4,FALSE)),0)</f>
        <v>0</v>
      </c>
      <c r="AG125" s="172">
        <f>IFERROR((HLOOKUP($AH125,Target_monthwise!$D$24:$O$40,DTR!AG$4,FALSE)),0)</f>
        <v>0</v>
      </c>
      <c r="AH125" s="253">
        <f t="shared" si="1"/>
        <v>202207</v>
      </c>
    </row>
    <row r="126" spans="3:34" ht="15.75" hidden="1">
      <c r="C126" s="237">
        <v>44769</v>
      </c>
      <c r="D126" s="238">
        <f>IFERROR((HLOOKUP($AH126,Target_monthwise!$D$4:$O$20,DTR!D$4,FALSE))*1000,0)</f>
        <v>0</v>
      </c>
      <c r="E126" s="238">
        <f>IFERROR((HLOOKUP($AH126,Target_monthwise!$D$4:$O$20,DTR!E$4,FALSE))*1000,0)</f>
        <v>0</v>
      </c>
      <c r="F126" s="238">
        <f>IFERROR((HLOOKUP($AH126,Target_monthwise!$D$4:$O$20,DTR!F$4,FALSE))*1000,0)</f>
        <v>0</v>
      </c>
      <c r="G126" s="238">
        <f>IFERROR((HLOOKUP($AH126,Target_monthwise!$D$4:$O$20,DTR!G$4,FALSE))*1000,0)</f>
        <v>0</v>
      </c>
      <c r="H126" s="238">
        <f>IFERROR((HLOOKUP($AH126,Target_monthwise!$D$4:$O$20,DTR!H$4,FALSE))*1000,0)</f>
        <v>0</v>
      </c>
      <c r="I126" s="238">
        <f>IFERROR((HLOOKUP($AH126,Target_monthwise!$D$4:$O$20,DTR!I$4,FALSE))*1000,0)</f>
        <v>0</v>
      </c>
      <c r="J126" s="238">
        <f>IFERROR((HLOOKUP($AH126,Target_monthwise!$D$4:$O$20,DTR!J$4,FALSE))*1000,0)</f>
        <v>0</v>
      </c>
      <c r="K126" s="238">
        <f>IFERROR((HLOOKUP($AH126,Target_monthwise!$D$4:$O$20,DTR!K$4,FALSE))*1000,0)</f>
        <v>0</v>
      </c>
      <c r="L126" s="238">
        <f>IFERROR((HLOOKUP($AH126,Target_monthwise!$D$4:$O$20,DTR!L$4,FALSE))*1000,0)</f>
        <v>0</v>
      </c>
      <c r="M126" s="238">
        <f>IFERROR((HLOOKUP($AH126,Target_monthwise!$D$4:$O$20,DTR!M$4,FALSE))*1000,0)</f>
        <v>0</v>
      </c>
      <c r="N126" s="238">
        <f>IFERROR((HLOOKUP($AH126,Target_monthwise!$D$4:$O$20,DTR!N$4,FALSE))*1000,0)</f>
        <v>0</v>
      </c>
      <c r="O126" s="238">
        <f>IFERROR((HLOOKUP($AH126,Target_monthwise!$D$4:$O$20,DTR!O$4,FALSE))*1000,0)</f>
        <v>0</v>
      </c>
      <c r="P126" s="238">
        <f>IFERROR((HLOOKUP($AH126,Target_monthwise!$D$4:$O$20,DTR!P$4,FALSE))*1000,0)</f>
        <v>0</v>
      </c>
      <c r="Q126" s="141">
        <f>IFERROR((HLOOKUP($AH126,Target_monthwise!$D$4:$O$20,DTR!Q$4,FALSE))*1000,0)</f>
        <v>0</v>
      </c>
      <c r="R126" s="167">
        <f>IFERROR((HLOOKUP($AH126,Target_monthwise!$D$4:$O$20,DTR!R$4,FALSE))*1000,0)</f>
        <v>0</v>
      </c>
      <c r="S126" s="239">
        <f>IFERROR((HLOOKUP($AH126,Target_monthwise!$D$24:$O$40,DTR!S$4,FALSE)),0)</f>
        <v>0</v>
      </c>
      <c r="T126" s="239">
        <f>IFERROR((HLOOKUP($AH126,Target_monthwise!$D$24:$O$40,DTR!T$4,FALSE)),0)</f>
        <v>0</v>
      </c>
      <c r="U126" s="239">
        <f>IFERROR((HLOOKUP($AH126,Target_monthwise!$D$24:$O$40,DTR!U$4,FALSE)),0)</f>
        <v>0</v>
      </c>
      <c r="V126" s="239">
        <f>IFERROR((HLOOKUP($AH126,Target_monthwise!$D$24:$O$40,DTR!V$4,FALSE)),0)</f>
        <v>0</v>
      </c>
      <c r="W126" s="239">
        <f>IFERROR((HLOOKUP($AH126,Target_monthwise!$D$24:$O$40,DTR!W$4,FALSE)),0)</f>
        <v>0</v>
      </c>
      <c r="X126" s="239">
        <f>IFERROR((HLOOKUP($AH126,Target_monthwise!$D$24:$O$40,DTR!X$4,FALSE)),0)</f>
        <v>0</v>
      </c>
      <c r="Y126" s="239">
        <f>IFERROR((HLOOKUP($AH126,Target_monthwise!$D$24:$O$40,DTR!Y$4,FALSE)),0)</f>
        <v>0</v>
      </c>
      <c r="Z126" s="147">
        <f>IFERROR((HLOOKUP($AH126,Target_monthwise!$D$24:$O$40,DTR!Z$4,FALSE)),0)</f>
        <v>0</v>
      </c>
      <c r="AA126" s="147">
        <f>IFERROR((HLOOKUP($AH126,Target_monthwise!$D$24:$O$40,DTR!AA$4,FALSE)),0)</f>
        <v>0</v>
      </c>
      <c r="AB126" s="147">
        <f>IFERROR((HLOOKUP($AH126,Target_monthwise!$D$24:$O$40,DTR!AB$4,FALSE)),0)</f>
        <v>0</v>
      </c>
      <c r="AC126" s="239">
        <f>IFERROR((HLOOKUP($AH126,Target_monthwise!$D$24:$O$40,DTR!AC$4,FALSE)),0)</f>
        <v>0</v>
      </c>
      <c r="AD126" s="239">
        <f>IFERROR((HLOOKUP($AH126,Target_monthwise!$D$24:$O$40,DTR!AD$4,FALSE)),0)</f>
        <v>0</v>
      </c>
      <c r="AE126" s="239">
        <f>IFERROR((HLOOKUP($AH126,Target_monthwise!$D$24:$O$40,DTR!AE$4,FALSE)),0)</f>
        <v>0</v>
      </c>
      <c r="AF126" s="239">
        <f>IFERROR((HLOOKUP($AH126,Target_monthwise!$D$24:$O$40,DTR!AF$4,FALSE)),0)</f>
        <v>0</v>
      </c>
      <c r="AG126" s="172">
        <f>IFERROR((HLOOKUP($AH126,Target_monthwise!$D$24:$O$40,DTR!AG$4,FALSE)),0)</f>
        <v>0</v>
      </c>
      <c r="AH126" s="253">
        <f t="shared" si="1"/>
        <v>202207</v>
      </c>
    </row>
    <row r="127" spans="3:34" ht="15.75" hidden="1">
      <c r="C127" s="235">
        <v>44770</v>
      </c>
      <c r="D127" s="141">
        <f>IFERROR((HLOOKUP($AH127,Target_monthwise!$D$4:$O$20,DTR!D$4,FALSE))*1000,0)</f>
        <v>0</v>
      </c>
      <c r="E127" s="141">
        <f>IFERROR((HLOOKUP($AH127,Target_monthwise!$D$4:$O$20,DTR!E$4,FALSE))*1000,0)</f>
        <v>0</v>
      </c>
      <c r="F127" s="141">
        <f>IFERROR((HLOOKUP($AH127,Target_monthwise!$D$4:$O$20,DTR!F$4,FALSE))*1000,0)</f>
        <v>0</v>
      </c>
      <c r="G127" s="141">
        <f>IFERROR((HLOOKUP($AH127,Target_monthwise!$D$4:$O$20,DTR!G$4,FALSE))*1000,0)</f>
        <v>0</v>
      </c>
      <c r="H127" s="141">
        <f>IFERROR((HLOOKUP($AH127,Target_monthwise!$D$4:$O$20,DTR!H$4,FALSE))*1000,0)</f>
        <v>0</v>
      </c>
      <c r="I127" s="141">
        <f>IFERROR((HLOOKUP($AH127,Target_monthwise!$D$4:$O$20,DTR!I$4,FALSE))*1000,0)</f>
        <v>0</v>
      </c>
      <c r="J127" s="141">
        <f>IFERROR((HLOOKUP($AH127,Target_monthwise!$D$4:$O$20,DTR!J$4,FALSE))*1000,0)</f>
        <v>0</v>
      </c>
      <c r="K127" s="141">
        <f>IFERROR((HLOOKUP($AH127,Target_monthwise!$D$4:$O$20,DTR!K$4,FALSE))*1000,0)</f>
        <v>0</v>
      </c>
      <c r="L127" s="141">
        <f>IFERROR((HLOOKUP($AH127,Target_monthwise!$D$4:$O$20,DTR!L$4,FALSE))*1000,0)</f>
        <v>0</v>
      </c>
      <c r="M127" s="141">
        <f>IFERROR((HLOOKUP($AH127,Target_monthwise!$D$4:$O$20,DTR!M$4,FALSE))*1000,0)</f>
        <v>0</v>
      </c>
      <c r="N127" s="141">
        <f>IFERROR((HLOOKUP($AH127,Target_monthwise!$D$4:$O$20,DTR!N$4,FALSE))*1000,0)</f>
        <v>0</v>
      </c>
      <c r="O127" s="141">
        <f>IFERROR((HLOOKUP($AH127,Target_monthwise!$D$4:$O$20,DTR!O$4,FALSE))*1000,0)</f>
        <v>0</v>
      </c>
      <c r="P127" s="141">
        <f>IFERROR((HLOOKUP($AH127,Target_monthwise!$D$4:$O$20,DTR!P$4,FALSE))*1000,0)</f>
        <v>0</v>
      </c>
      <c r="Q127" s="141">
        <f>IFERROR((HLOOKUP($AH127,Target_monthwise!$D$4:$O$20,DTR!Q$4,FALSE))*1000,0)</f>
        <v>0</v>
      </c>
      <c r="R127" s="167">
        <f>IFERROR((HLOOKUP($AH127,Target_monthwise!$D$4:$O$20,DTR!R$4,FALSE))*1000,0)</f>
        <v>0</v>
      </c>
      <c r="S127" s="147">
        <f>IFERROR((HLOOKUP($AH127,Target_monthwise!$D$24:$O$40,DTR!S$4,FALSE)),0)</f>
        <v>0</v>
      </c>
      <c r="T127" s="147">
        <f>IFERROR((HLOOKUP($AH127,Target_monthwise!$D$24:$O$40,DTR!T$4,FALSE)),0)</f>
        <v>0</v>
      </c>
      <c r="U127" s="147">
        <f>IFERROR((HLOOKUP($AH127,Target_monthwise!$D$24:$O$40,DTR!U$4,FALSE)),0)</f>
        <v>0</v>
      </c>
      <c r="V127" s="147">
        <f>IFERROR((HLOOKUP($AH127,Target_monthwise!$D$24:$O$40,DTR!V$4,FALSE)),0)</f>
        <v>0</v>
      </c>
      <c r="W127" s="147">
        <f>IFERROR((HLOOKUP($AH127,Target_monthwise!$D$24:$O$40,DTR!W$4,FALSE)),0)</f>
        <v>0</v>
      </c>
      <c r="X127" s="147">
        <f>IFERROR((HLOOKUP($AH127,Target_monthwise!$D$24:$O$40,DTR!X$4,FALSE)),0)</f>
        <v>0</v>
      </c>
      <c r="Y127" s="147">
        <f>IFERROR((HLOOKUP($AH127,Target_monthwise!$D$24:$O$40,DTR!Y$4,FALSE)),0)</f>
        <v>0</v>
      </c>
      <c r="Z127" s="147">
        <f>IFERROR((HLOOKUP($AH127,Target_monthwise!$D$24:$O$40,DTR!Z$4,FALSE)),0)</f>
        <v>0</v>
      </c>
      <c r="AA127" s="147">
        <f>IFERROR((HLOOKUP($AH127,Target_monthwise!$D$24:$O$40,DTR!AA$4,FALSE)),0)</f>
        <v>0</v>
      </c>
      <c r="AB127" s="147">
        <f>IFERROR((HLOOKUP($AH127,Target_monthwise!$D$24:$O$40,DTR!AB$4,FALSE)),0)</f>
        <v>0</v>
      </c>
      <c r="AC127" s="147">
        <f>IFERROR((HLOOKUP($AH127,Target_monthwise!$D$24:$O$40,DTR!AC$4,FALSE)),0)</f>
        <v>0</v>
      </c>
      <c r="AD127" s="147">
        <f>IFERROR((HLOOKUP($AH127,Target_monthwise!$D$24:$O$40,DTR!AD$4,FALSE)),0)</f>
        <v>0</v>
      </c>
      <c r="AE127" s="147">
        <f>IFERROR((HLOOKUP($AH127,Target_monthwise!$D$24:$O$40,DTR!AE$4,FALSE)),0)</f>
        <v>0</v>
      </c>
      <c r="AF127" s="147">
        <f>IFERROR((HLOOKUP($AH127,Target_monthwise!$D$24:$O$40,DTR!AF$4,FALSE)),0)</f>
        <v>0</v>
      </c>
      <c r="AG127" s="172">
        <f>IFERROR((HLOOKUP($AH127,Target_monthwise!$D$24:$O$40,DTR!AG$4,FALSE)),0)</f>
        <v>0</v>
      </c>
      <c r="AH127" s="253">
        <f t="shared" si="1"/>
        <v>202207</v>
      </c>
    </row>
    <row r="128" spans="3:34" ht="15.75" hidden="1">
      <c r="C128" s="237">
        <v>44771</v>
      </c>
      <c r="D128" s="238">
        <f>IFERROR((HLOOKUP($AH128,Target_monthwise!$D$4:$O$20,DTR!D$4,FALSE))*1000,0)</f>
        <v>0</v>
      </c>
      <c r="E128" s="238">
        <f>IFERROR((HLOOKUP($AH128,Target_monthwise!$D$4:$O$20,DTR!E$4,FALSE))*1000,0)</f>
        <v>0</v>
      </c>
      <c r="F128" s="238">
        <f>IFERROR((HLOOKUP($AH128,Target_monthwise!$D$4:$O$20,DTR!F$4,FALSE))*1000,0)</f>
        <v>0</v>
      </c>
      <c r="G128" s="238">
        <f>IFERROR((HLOOKUP($AH128,Target_monthwise!$D$4:$O$20,DTR!G$4,FALSE))*1000,0)</f>
        <v>0</v>
      </c>
      <c r="H128" s="238">
        <f>IFERROR((HLOOKUP($AH128,Target_monthwise!$D$4:$O$20,DTR!H$4,FALSE))*1000,0)</f>
        <v>0</v>
      </c>
      <c r="I128" s="238">
        <f>IFERROR((HLOOKUP($AH128,Target_monthwise!$D$4:$O$20,DTR!I$4,FALSE))*1000,0)</f>
        <v>0</v>
      </c>
      <c r="J128" s="238">
        <f>IFERROR((HLOOKUP($AH128,Target_monthwise!$D$4:$O$20,DTR!J$4,FALSE))*1000,0)</f>
        <v>0</v>
      </c>
      <c r="K128" s="238">
        <f>IFERROR((HLOOKUP($AH128,Target_monthwise!$D$4:$O$20,DTR!K$4,FALSE))*1000,0)</f>
        <v>0</v>
      </c>
      <c r="L128" s="238">
        <f>IFERROR((HLOOKUP($AH128,Target_monthwise!$D$4:$O$20,DTR!L$4,FALSE))*1000,0)</f>
        <v>0</v>
      </c>
      <c r="M128" s="238">
        <f>IFERROR((HLOOKUP($AH128,Target_monthwise!$D$4:$O$20,DTR!M$4,FALSE))*1000,0)</f>
        <v>0</v>
      </c>
      <c r="N128" s="238">
        <f>IFERROR((HLOOKUP($AH128,Target_monthwise!$D$4:$O$20,DTR!N$4,FALSE))*1000,0)</f>
        <v>0</v>
      </c>
      <c r="O128" s="238">
        <f>IFERROR((HLOOKUP($AH128,Target_monthwise!$D$4:$O$20,DTR!O$4,FALSE))*1000,0)</f>
        <v>0</v>
      </c>
      <c r="P128" s="238">
        <f>IFERROR((HLOOKUP($AH128,Target_monthwise!$D$4:$O$20,DTR!P$4,FALSE))*1000,0)</f>
        <v>0</v>
      </c>
      <c r="Q128" s="141">
        <f>IFERROR((HLOOKUP($AH128,Target_monthwise!$D$4:$O$20,DTR!Q$4,FALSE))*1000,0)</f>
        <v>0</v>
      </c>
      <c r="R128" s="167">
        <f>IFERROR((HLOOKUP($AH128,Target_monthwise!$D$4:$O$20,DTR!R$4,FALSE))*1000,0)</f>
        <v>0</v>
      </c>
      <c r="S128" s="239">
        <f>IFERROR((HLOOKUP($AH128,Target_monthwise!$D$24:$O$40,DTR!S$4,FALSE)),0)</f>
        <v>0</v>
      </c>
      <c r="T128" s="239">
        <f>IFERROR((HLOOKUP($AH128,Target_monthwise!$D$24:$O$40,DTR!T$4,FALSE)),0)</f>
        <v>0</v>
      </c>
      <c r="U128" s="239">
        <f>IFERROR((HLOOKUP($AH128,Target_monthwise!$D$24:$O$40,DTR!U$4,FALSE)),0)</f>
        <v>0</v>
      </c>
      <c r="V128" s="239">
        <f>IFERROR((HLOOKUP($AH128,Target_monthwise!$D$24:$O$40,DTR!V$4,FALSE)),0)</f>
        <v>0</v>
      </c>
      <c r="W128" s="239">
        <f>IFERROR((HLOOKUP($AH128,Target_monthwise!$D$24:$O$40,DTR!W$4,FALSE)),0)</f>
        <v>0</v>
      </c>
      <c r="X128" s="239">
        <f>IFERROR((HLOOKUP($AH128,Target_monthwise!$D$24:$O$40,DTR!X$4,FALSE)),0)</f>
        <v>0</v>
      </c>
      <c r="Y128" s="239">
        <f>IFERROR((HLOOKUP($AH128,Target_monthwise!$D$24:$O$40,DTR!Y$4,FALSE)),0)</f>
        <v>0</v>
      </c>
      <c r="Z128" s="147">
        <f>IFERROR((HLOOKUP($AH128,Target_monthwise!$D$24:$O$40,DTR!Z$4,FALSE)),0)</f>
        <v>0</v>
      </c>
      <c r="AA128" s="147">
        <f>IFERROR((HLOOKUP($AH128,Target_monthwise!$D$24:$O$40,DTR!AA$4,FALSE)),0)</f>
        <v>0</v>
      </c>
      <c r="AB128" s="147">
        <f>IFERROR((HLOOKUP($AH128,Target_monthwise!$D$24:$O$40,DTR!AB$4,FALSE)),0)</f>
        <v>0</v>
      </c>
      <c r="AC128" s="239">
        <f>IFERROR((HLOOKUP($AH128,Target_monthwise!$D$24:$O$40,DTR!AC$4,FALSE)),0)</f>
        <v>0</v>
      </c>
      <c r="AD128" s="239">
        <f>IFERROR((HLOOKUP($AH128,Target_monthwise!$D$24:$O$40,DTR!AD$4,FALSE)),0)</f>
        <v>0</v>
      </c>
      <c r="AE128" s="239">
        <f>IFERROR((HLOOKUP($AH128,Target_monthwise!$D$24:$O$40,DTR!AE$4,FALSE)),0)</f>
        <v>0</v>
      </c>
      <c r="AF128" s="239">
        <f>IFERROR((HLOOKUP($AH128,Target_monthwise!$D$24:$O$40,DTR!AF$4,FALSE)),0)</f>
        <v>0</v>
      </c>
      <c r="AG128" s="172">
        <f>IFERROR((HLOOKUP($AH128,Target_monthwise!$D$24:$O$40,DTR!AG$4,FALSE)),0)</f>
        <v>0</v>
      </c>
      <c r="AH128" s="253">
        <f t="shared" si="1"/>
        <v>202207</v>
      </c>
    </row>
    <row r="129" spans="3:34" ht="15.75" hidden="1">
      <c r="C129" s="235">
        <v>44772</v>
      </c>
      <c r="D129" s="141">
        <f>IFERROR((HLOOKUP($AH129,Target_monthwise!$D$4:$O$20,DTR!D$4,FALSE))*1000,0)</f>
        <v>0</v>
      </c>
      <c r="E129" s="141">
        <f>IFERROR((HLOOKUP($AH129,Target_monthwise!$D$4:$O$20,DTR!E$4,FALSE))*1000,0)</f>
        <v>0</v>
      </c>
      <c r="F129" s="141">
        <f>IFERROR((HLOOKUP($AH129,Target_monthwise!$D$4:$O$20,DTR!F$4,FALSE))*1000,0)</f>
        <v>0</v>
      </c>
      <c r="G129" s="141">
        <f>IFERROR((HLOOKUP($AH129,Target_monthwise!$D$4:$O$20,DTR!G$4,FALSE))*1000,0)</f>
        <v>0</v>
      </c>
      <c r="H129" s="141">
        <f>IFERROR((HLOOKUP($AH129,Target_monthwise!$D$4:$O$20,DTR!H$4,FALSE))*1000,0)</f>
        <v>0</v>
      </c>
      <c r="I129" s="141">
        <f>IFERROR((HLOOKUP($AH129,Target_monthwise!$D$4:$O$20,DTR!I$4,FALSE))*1000,0)</f>
        <v>0</v>
      </c>
      <c r="J129" s="141">
        <f>IFERROR((HLOOKUP($AH129,Target_monthwise!$D$4:$O$20,DTR!J$4,FALSE))*1000,0)</f>
        <v>0</v>
      </c>
      <c r="K129" s="141">
        <f>IFERROR((HLOOKUP($AH129,Target_monthwise!$D$4:$O$20,DTR!K$4,FALSE))*1000,0)</f>
        <v>0</v>
      </c>
      <c r="L129" s="141">
        <f>IFERROR((HLOOKUP($AH129,Target_monthwise!$D$4:$O$20,DTR!L$4,FALSE))*1000,0)</f>
        <v>0</v>
      </c>
      <c r="M129" s="141">
        <f>IFERROR((HLOOKUP($AH129,Target_monthwise!$D$4:$O$20,DTR!M$4,FALSE))*1000,0)</f>
        <v>0</v>
      </c>
      <c r="N129" s="141">
        <f>IFERROR((HLOOKUP($AH129,Target_monthwise!$D$4:$O$20,DTR!N$4,FALSE))*1000,0)</f>
        <v>0</v>
      </c>
      <c r="O129" s="141">
        <f>IFERROR((HLOOKUP($AH129,Target_monthwise!$D$4:$O$20,DTR!O$4,FALSE))*1000,0)</f>
        <v>0</v>
      </c>
      <c r="P129" s="141">
        <f>IFERROR((HLOOKUP($AH129,Target_monthwise!$D$4:$O$20,DTR!P$4,FALSE))*1000,0)</f>
        <v>0</v>
      </c>
      <c r="Q129" s="141">
        <f>IFERROR((HLOOKUP($AH129,Target_monthwise!$D$4:$O$20,DTR!Q$4,FALSE))*1000,0)</f>
        <v>0</v>
      </c>
      <c r="R129" s="167">
        <f>IFERROR((HLOOKUP($AH129,Target_monthwise!$D$4:$O$20,DTR!R$4,FALSE))*1000,0)</f>
        <v>0</v>
      </c>
      <c r="S129" s="147">
        <f>IFERROR((HLOOKUP($AH129,Target_monthwise!$D$24:$O$40,DTR!S$4,FALSE)),0)</f>
        <v>0</v>
      </c>
      <c r="T129" s="147">
        <f>IFERROR((HLOOKUP($AH129,Target_monthwise!$D$24:$O$40,DTR!T$4,FALSE)),0)</f>
        <v>0</v>
      </c>
      <c r="U129" s="147">
        <f>IFERROR((HLOOKUP($AH129,Target_monthwise!$D$24:$O$40,DTR!U$4,FALSE)),0)</f>
        <v>0</v>
      </c>
      <c r="V129" s="147">
        <f>IFERROR((HLOOKUP($AH129,Target_monthwise!$D$24:$O$40,DTR!V$4,FALSE)),0)</f>
        <v>0</v>
      </c>
      <c r="W129" s="147">
        <f>IFERROR((HLOOKUP($AH129,Target_monthwise!$D$24:$O$40,DTR!W$4,FALSE)),0)</f>
        <v>0</v>
      </c>
      <c r="X129" s="147">
        <f>IFERROR((HLOOKUP($AH129,Target_monthwise!$D$24:$O$40,DTR!X$4,FALSE)),0)</f>
        <v>0</v>
      </c>
      <c r="Y129" s="147">
        <f>IFERROR((HLOOKUP($AH129,Target_monthwise!$D$24:$O$40,DTR!Y$4,FALSE)),0)</f>
        <v>0</v>
      </c>
      <c r="Z129" s="147">
        <f>IFERROR((HLOOKUP($AH129,Target_monthwise!$D$24:$O$40,DTR!Z$4,FALSE)),0)</f>
        <v>0</v>
      </c>
      <c r="AA129" s="147">
        <f>IFERROR((HLOOKUP($AH129,Target_monthwise!$D$24:$O$40,DTR!AA$4,FALSE)),0)</f>
        <v>0</v>
      </c>
      <c r="AB129" s="147">
        <f>IFERROR((HLOOKUP($AH129,Target_monthwise!$D$24:$O$40,DTR!AB$4,FALSE)),0)</f>
        <v>0</v>
      </c>
      <c r="AC129" s="147">
        <f>IFERROR((HLOOKUP($AH129,Target_monthwise!$D$24:$O$40,DTR!AC$4,FALSE)),0)</f>
        <v>0</v>
      </c>
      <c r="AD129" s="147">
        <f>IFERROR((HLOOKUP($AH129,Target_monthwise!$D$24:$O$40,DTR!AD$4,FALSE)),0)</f>
        <v>0</v>
      </c>
      <c r="AE129" s="147">
        <f>IFERROR((HLOOKUP($AH129,Target_monthwise!$D$24:$O$40,DTR!AE$4,FALSE)),0)</f>
        <v>0</v>
      </c>
      <c r="AF129" s="147">
        <f>IFERROR((HLOOKUP($AH129,Target_monthwise!$D$24:$O$40,DTR!AF$4,FALSE)),0)</f>
        <v>0</v>
      </c>
      <c r="AG129" s="172">
        <f>IFERROR((HLOOKUP($AH129,Target_monthwise!$D$24:$O$40,DTR!AG$4,FALSE)),0)</f>
        <v>0</v>
      </c>
      <c r="AH129" s="253">
        <f t="shared" si="1"/>
        <v>202207</v>
      </c>
    </row>
    <row r="130" spans="3:34" ht="15.75" hidden="1">
      <c r="C130" s="237">
        <v>44773</v>
      </c>
      <c r="D130" s="238">
        <f>IFERROR((HLOOKUP($AH130,Target_monthwise!$D$4:$O$20,DTR!D$4,FALSE))*1000,0)</f>
        <v>0</v>
      </c>
      <c r="E130" s="238">
        <f>IFERROR((HLOOKUP($AH130,Target_monthwise!$D$4:$O$20,DTR!E$4,FALSE))*1000,0)</f>
        <v>0</v>
      </c>
      <c r="F130" s="238">
        <f>IFERROR((HLOOKUP($AH130,Target_monthwise!$D$4:$O$20,DTR!F$4,FALSE))*1000,0)</f>
        <v>0</v>
      </c>
      <c r="G130" s="238">
        <f>IFERROR((HLOOKUP($AH130,Target_monthwise!$D$4:$O$20,DTR!G$4,FALSE))*1000,0)</f>
        <v>0</v>
      </c>
      <c r="H130" s="238">
        <f>IFERROR((HLOOKUP($AH130,Target_monthwise!$D$4:$O$20,DTR!H$4,FALSE))*1000,0)</f>
        <v>0</v>
      </c>
      <c r="I130" s="238">
        <f>IFERROR((HLOOKUP($AH130,Target_monthwise!$D$4:$O$20,DTR!I$4,FALSE))*1000,0)</f>
        <v>0</v>
      </c>
      <c r="J130" s="238">
        <f>IFERROR((HLOOKUP($AH130,Target_monthwise!$D$4:$O$20,DTR!J$4,FALSE))*1000,0)</f>
        <v>0</v>
      </c>
      <c r="K130" s="238">
        <f>IFERROR((HLOOKUP($AH130,Target_monthwise!$D$4:$O$20,DTR!K$4,FALSE))*1000,0)</f>
        <v>0</v>
      </c>
      <c r="L130" s="238">
        <f>IFERROR((HLOOKUP($AH130,Target_monthwise!$D$4:$O$20,DTR!L$4,FALSE))*1000,0)</f>
        <v>0</v>
      </c>
      <c r="M130" s="238">
        <f>IFERROR((HLOOKUP($AH130,Target_monthwise!$D$4:$O$20,DTR!M$4,FALSE))*1000,0)</f>
        <v>0</v>
      </c>
      <c r="N130" s="238">
        <f>IFERROR((HLOOKUP($AH130,Target_monthwise!$D$4:$O$20,DTR!N$4,FALSE))*1000,0)</f>
        <v>0</v>
      </c>
      <c r="O130" s="238">
        <f>IFERROR((HLOOKUP($AH130,Target_monthwise!$D$4:$O$20,DTR!O$4,FALSE))*1000,0)</f>
        <v>0</v>
      </c>
      <c r="P130" s="238">
        <f>IFERROR((HLOOKUP($AH130,Target_monthwise!$D$4:$O$20,DTR!P$4,FALSE))*1000,0)</f>
        <v>0</v>
      </c>
      <c r="Q130" s="141">
        <f>IFERROR((HLOOKUP($AH130,Target_monthwise!$D$4:$O$20,DTR!Q$4,FALSE))*1000,0)</f>
        <v>0</v>
      </c>
      <c r="R130" s="167">
        <f>IFERROR((HLOOKUP($AH130,Target_monthwise!$D$4:$O$20,DTR!R$4,FALSE))*1000,0)</f>
        <v>0</v>
      </c>
      <c r="S130" s="239">
        <f>IFERROR((HLOOKUP($AH130,Target_monthwise!$D$24:$O$40,DTR!S$4,FALSE)),0)</f>
        <v>0</v>
      </c>
      <c r="T130" s="239">
        <f>IFERROR((HLOOKUP($AH130,Target_monthwise!$D$24:$O$40,DTR!T$4,FALSE)),0)</f>
        <v>0</v>
      </c>
      <c r="U130" s="239">
        <f>IFERROR((HLOOKUP($AH130,Target_monthwise!$D$24:$O$40,DTR!U$4,FALSE)),0)</f>
        <v>0</v>
      </c>
      <c r="V130" s="239">
        <f>IFERROR((HLOOKUP($AH130,Target_monthwise!$D$24:$O$40,DTR!V$4,FALSE)),0)</f>
        <v>0</v>
      </c>
      <c r="W130" s="239">
        <f>IFERROR((HLOOKUP($AH130,Target_monthwise!$D$24:$O$40,DTR!W$4,FALSE)),0)</f>
        <v>0</v>
      </c>
      <c r="X130" s="239">
        <f>IFERROR((HLOOKUP($AH130,Target_monthwise!$D$24:$O$40,DTR!X$4,FALSE)),0)</f>
        <v>0</v>
      </c>
      <c r="Y130" s="239">
        <f>IFERROR((HLOOKUP($AH130,Target_monthwise!$D$24:$O$40,DTR!Y$4,FALSE)),0)</f>
        <v>0</v>
      </c>
      <c r="Z130" s="147">
        <f>IFERROR((HLOOKUP($AH130,Target_monthwise!$D$24:$O$40,DTR!Z$4,FALSE)),0)</f>
        <v>0</v>
      </c>
      <c r="AA130" s="147">
        <f>IFERROR((HLOOKUP($AH130,Target_monthwise!$D$24:$O$40,DTR!AA$4,FALSE)),0)</f>
        <v>0</v>
      </c>
      <c r="AB130" s="147">
        <f>IFERROR((HLOOKUP($AH130,Target_monthwise!$D$24:$O$40,DTR!AB$4,FALSE)),0)</f>
        <v>0</v>
      </c>
      <c r="AC130" s="239">
        <f>IFERROR((HLOOKUP($AH130,Target_monthwise!$D$24:$O$40,DTR!AC$4,FALSE)),0)</f>
        <v>0</v>
      </c>
      <c r="AD130" s="239">
        <f>IFERROR((HLOOKUP($AH130,Target_monthwise!$D$24:$O$40,DTR!AD$4,FALSE)),0)</f>
        <v>0</v>
      </c>
      <c r="AE130" s="239">
        <f>IFERROR((HLOOKUP($AH130,Target_monthwise!$D$24:$O$40,DTR!AE$4,FALSE)),0)</f>
        <v>0</v>
      </c>
      <c r="AF130" s="239">
        <f>IFERROR((HLOOKUP($AH130,Target_monthwise!$D$24:$O$40,DTR!AF$4,FALSE)),0)</f>
        <v>0</v>
      </c>
      <c r="AG130" s="172">
        <f>IFERROR((HLOOKUP($AH130,Target_monthwise!$D$24:$O$40,DTR!AG$4,FALSE)),0)</f>
        <v>0</v>
      </c>
      <c r="AH130" s="253">
        <f t="shared" si="1"/>
        <v>202207</v>
      </c>
    </row>
    <row r="131" spans="3:34" ht="15.75" hidden="1">
      <c r="C131" s="235">
        <v>44774</v>
      </c>
      <c r="D131" s="141">
        <f>IFERROR((HLOOKUP($AH131,Target_monthwise!$D$4:$O$20,DTR!D$4,FALSE))*1000,0)</f>
        <v>0</v>
      </c>
      <c r="E131" s="141">
        <f>IFERROR((HLOOKUP($AH131,Target_monthwise!$D$4:$O$20,DTR!E$4,FALSE))*1000,0)</f>
        <v>0</v>
      </c>
      <c r="F131" s="141">
        <f>IFERROR((HLOOKUP($AH131,Target_monthwise!$D$4:$O$20,DTR!F$4,FALSE))*1000,0)</f>
        <v>0</v>
      </c>
      <c r="G131" s="141">
        <f>IFERROR((HLOOKUP($AH131,Target_monthwise!$D$4:$O$20,DTR!G$4,FALSE))*1000,0)</f>
        <v>0</v>
      </c>
      <c r="H131" s="141">
        <f>IFERROR((HLOOKUP($AH131,Target_monthwise!$D$4:$O$20,DTR!H$4,FALSE))*1000,0)</f>
        <v>0</v>
      </c>
      <c r="I131" s="141">
        <f>IFERROR((HLOOKUP($AH131,Target_monthwise!$D$4:$O$20,DTR!I$4,FALSE))*1000,0)</f>
        <v>0</v>
      </c>
      <c r="J131" s="141">
        <f>IFERROR((HLOOKUP($AH131,Target_monthwise!$D$4:$O$20,DTR!J$4,FALSE))*1000,0)</f>
        <v>0</v>
      </c>
      <c r="K131" s="141">
        <f>IFERROR((HLOOKUP($AH131,Target_monthwise!$D$4:$O$20,DTR!K$4,FALSE))*1000,0)</f>
        <v>0</v>
      </c>
      <c r="L131" s="141">
        <f>IFERROR((HLOOKUP($AH131,Target_monthwise!$D$4:$O$20,DTR!L$4,FALSE))*1000,0)</f>
        <v>0</v>
      </c>
      <c r="M131" s="141">
        <f>IFERROR((HLOOKUP($AH131,Target_monthwise!$D$4:$O$20,DTR!M$4,FALSE))*1000,0)</f>
        <v>0</v>
      </c>
      <c r="N131" s="141">
        <f>IFERROR((HLOOKUP($AH131,Target_monthwise!$D$4:$O$20,DTR!N$4,FALSE))*1000,0)</f>
        <v>0</v>
      </c>
      <c r="O131" s="141">
        <f>IFERROR((HLOOKUP($AH131,Target_monthwise!$D$4:$O$20,DTR!O$4,FALSE))*1000,0)</f>
        <v>0</v>
      </c>
      <c r="P131" s="141">
        <f>IFERROR((HLOOKUP($AH131,Target_monthwise!$D$4:$O$20,DTR!P$4,FALSE))*1000,0)</f>
        <v>0</v>
      </c>
      <c r="Q131" s="141">
        <f>IFERROR((HLOOKUP($AH131,Target_monthwise!$D$4:$O$20,DTR!Q$4,FALSE))*1000,0)</f>
        <v>0</v>
      </c>
      <c r="R131" s="167">
        <f>IFERROR((HLOOKUP($AH131,Target_monthwise!$D$4:$O$20,DTR!R$4,FALSE))*1000,0)</f>
        <v>0</v>
      </c>
      <c r="S131" s="147">
        <f>IFERROR((HLOOKUP($AH131,Target_monthwise!$D$24:$O$40,DTR!S$4,FALSE)),0)</f>
        <v>0</v>
      </c>
      <c r="T131" s="147">
        <f>IFERROR((HLOOKUP($AH131,Target_monthwise!$D$24:$O$40,DTR!T$4,FALSE)),0)</f>
        <v>0</v>
      </c>
      <c r="U131" s="147">
        <f>IFERROR((HLOOKUP($AH131,Target_monthwise!$D$24:$O$40,DTR!U$4,FALSE)),0)</f>
        <v>0</v>
      </c>
      <c r="V131" s="147">
        <f>IFERROR((HLOOKUP($AH131,Target_monthwise!$D$24:$O$40,DTR!V$4,FALSE)),0)</f>
        <v>0</v>
      </c>
      <c r="W131" s="147">
        <f>IFERROR((HLOOKUP($AH131,Target_monthwise!$D$24:$O$40,DTR!W$4,FALSE)),0)</f>
        <v>0</v>
      </c>
      <c r="X131" s="147">
        <f>IFERROR((HLOOKUP($AH131,Target_monthwise!$D$24:$O$40,DTR!X$4,FALSE)),0)</f>
        <v>0</v>
      </c>
      <c r="Y131" s="147">
        <f>IFERROR((HLOOKUP($AH131,Target_monthwise!$D$24:$O$40,DTR!Y$4,FALSE)),0)</f>
        <v>0</v>
      </c>
      <c r="Z131" s="147">
        <f>IFERROR((HLOOKUP($AH131,Target_monthwise!$D$24:$O$40,DTR!Z$4,FALSE)),0)</f>
        <v>0</v>
      </c>
      <c r="AA131" s="147">
        <f>IFERROR((HLOOKUP($AH131,Target_monthwise!$D$24:$O$40,DTR!AA$4,FALSE)),0)</f>
        <v>0</v>
      </c>
      <c r="AB131" s="147">
        <f>IFERROR((HLOOKUP($AH131,Target_monthwise!$D$24:$O$40,DTR!AB$4,FALSE)),0)</f>
        <v>0</v>
      </c>
      <c r="AC131" s="147">
        <f>IFERROR((HLOOKUP($AH131,Target_monthwise!$D$24:$O$40,DTR!AC$4,FALSE)),0)</f>
        <v>0</v>
      </c>
      <c r="AD131" s="147">
        <f>IFERROR((HLOOKUP($AH131,Target_monthwise!$D$24:$O$40,DTR!AD$4,FALSE)),0)</f>
        <v>0</v>
      </c>
      <c r="AE131" s="147">
        <f>IFERROR((HLOOKUP($AH131,Target_monthwise!$D$24:$O$40,DTR!AE$4,FALSE)),0)</f>
        <v>0</v>
      </c>
      <c r="AF131" s="147">
        <f>IFERROR((HLOOKUP($AH131,Target_monthwise!$D$24:$O$40,DTR!AF$4,FALSE)),0)</f>
        <v>0</v>
      </c>
      <c r="AG131" s="172">
        <f>IFERROR((HLOOKUP($AH131,Target_monthwise!$D$24:$O$40,DTR!AG$4,FALSE)),0)</f>
        <v>0</v>
      </c>
      <c r="AH131" s="253">
        <f t="shared" si="1"/>
        <v>202208</v>
      </c>
    </row>
    <row r="132" spans="3:34" ht="15.75" hidden="1">
      <c r="C132" s="237">
        <v>44775</v>
      </c>
      <c r="D132" s="238">
        <f>IFERROR((HLOOKUP($AH132,Target_monthwise!$D$4:$O$20,DTR!D$4,FALSE))*1000,0)</f>
        <v>0</v>
      </c>
      <c r="E132" s="238">
        <f>IFERROR((HLOOKUP($AH132,Target_monthwise!$D$4:$O$20,DTR!E$4,FALSE))*1000,0)</f>
        <v>0</v>
      </c>
      <c r="F132" s="238">
        <f>IFERROR((HLOOKUP($AH132,Target_monthwise!$D$4:$O$20,DTR!F$4,FALSE))*1000,0)</f>
        <v>0</v>
      </c>
      <c r="G132" s="238">
        <f>IFERROR((HLOOKUP($AH132,Target_monthwise!$D$4:$O$20,DTR!G$4,FALSE))*1000,0)</f>
        <v>0</v>
      </c>
      <c r="H132" s="238">
        <f>IFERROR((HLOOKUP($AH132,Target_monthwise!$D$4:$O$20,DTR!H$4,FALSE))*1000,0)</f>
        <v>0</v>
      </c>
      <c r="I132" s="238">
        <f>IFERROR((HLOOKUP($AH132,Target_monthwise!$D$4:$O$20,DTR!I$4,FALSE))*1000,0)</f>
        <v>0</v>
      </c>
      <c r="J132" s="238">
        <f>IFERROR((HLOOKUP($AH132,Target_monthwise!$D$4:$O$20,DTR!J$4,FALSE))*1000,0)</f>
        <v>0</v>
      </c>
      <c r="K132" s="238">
        <f>IFERROR((HLOOKUP($AH132,Target_monthwise!$D$4:$O$20,DTR!K$4,FALSE))*1000,0)</f>
        <v>0</v>
      </c>
      <c r="L132" s="238">
        <f>IFERROR((HLOOKUP($AH132,Target_monthwise!$D$4:$O$20,DTR!L$4,FALSE))*1000,0)</f>
        <v>0</v>
      </c>
      <c r="M132" s="238">
        <f>IFERROR((HLOOKUP($AH132,Target_monthwise!$D$4:$O$20,DTR!M$4,FALSE))*1000,0)</f>
        <v>0</v>
      </c>
      <c r="N132" s="238">
        <f>IFERROR((HLOOKUP($AH132,Target_monthwise!$D$4:$O$20,DTR!N$4,FALSE))*1000,0)</f>
        <v>0</v>
      </c>
      <c r="O132" s="238">
        <f>IFERROR((HLOOKUP($AH132,Target_monthwise!$D$4:$O$20,DTR!O$4,FALSE))*1000,0)</f>
        <v>0</v>
      </c>
      <c r="P132" s="238">
        <f>IFERROR((HLOOKUP($AH132,Target_monthwise!$D$4:$O$20,DTR!P$4,FALSE))*1000,0)</f>
        <v>0</v>
      </c>
      <c r="Q132" s="141">
        <f>IFERROR((HLOOKUP($AH132,Target_monthwise!$D$4:$O$20,DTR!Q$4,FALSE))*1000,0)</f>
        <v>0</v>
      </c>
      <c r="R132" s="167">
        <f>IFERROR((HLOOKUP($AH132,Target_monthwise!$D$4:$O$20,DTR!R$4,FALSE))*1000,0)</f>
        <v>0</v>
      </c>
      <c r="S132" s="239">
        <f>IFERROR((HLOOKUP($AH132,Target_monthwise!$D$24:$O$40,DTR!S$4,FALSE)),0)</f>
        <v>0</v>
      </c>
      <c r="T132" s="239">
        <f>IFERROR((HLOOKUP($AH132,Target_monthwise!$D$24:$O$40,DTR!T$4,FALSE)),0)</f>
        <v>0</v>
      </c>
      <c r="U132" s="239">
        <f>IFERROR((HLOOKUP($AH132,Target_monthwise!$D$24:$O$40,DTR!U$4,FALSE)),0)</f>
        <v>0</v>
      </c>
      <c r="V132" s="239">
        <f>IFERROR((HLOOKUP($AH132,Target_monthwise!$D$24:$O$40,DTR!V$4,FALSE)),0)</f>
        <v>0</v>
      </c>
      <c r="W132" s="239">
        <f>IFERROR((HLOOKUP($AH132,Target_monthwise!$D$24:$O$40,DTR!W$4,FALSE)),0)</f>
        <v>0</v>
      </c>
      <c r="X132" s="239">
        <f>IFERROR((HLOOKUP($AH132,Target_monthwise!$D$24:$O$40,DTR!X$4,FALSE)),0)</f>
        <v>0</v>
      </c>
      <c r="Y132" s="239">
        <f>IFERROR((HLOOKUP($AH132,Target_monthwise!$D$24:$O$40,DTR!Y$4,FALSE)),0)</f>
        <v>0</v>
      </c>
      <c r="Z132" s="147">
        <f>IFERROR((HLOOKUP($AH132,Target_monthwise!$D$24:$O$40,DTR!Z$4,FALSE)),0)</f>
        <v>0</v>
      </c>
      <c r="AA132" s="147">
        <f>IFERROR((HLOOKUP($AH132,Target_monthwise!$D$24:$O$40,DTR!AA$4,FALSE)),0)</f>
        <v>0</v>
      </c>
      <c r="AB132" s="147">
        <f>IFERROR((HLOOKUP($AH132,Target_monthwise!$D$24:$O$40,DTR!AB$4,FALSE)),0)</f>
        <v>0</v>
      </c>
      <c r="AC132" s="239">
        <f>IFERROR((HLOOKUP($AH132,Target_monthwise!$D$24:$O$40,DTR!AC$4,FALSE)),0)</f>
        <v>0</v>
      </c>
      <c r="AD132" s="239">
        <f>IFERROR((HLOOKUP($AH132,Target_monthwise!$D$24:$O$40,DTR!AD$4,FALSE)),0)</f>
        <v>0</v>
      </c>
      <c r="AE132" s="239">
        <f>IFERROR((HLOOKUP($AH132,Target_monthwise!$D$24:$O$40,DTR!AE$4,FALSE)),0)</f>
        <v>0</v>
      </c>
      <c r="AF132" s="239">
        <f>IFERROR((HLOOKUP($AH132,Target_monthwise!$D$24:$O$40,DTR!AF$4,FALSE)),0)</f>
        <v>0</v>
      </c>
      <c r="AG132" s="172">
        <f>IFERROR((HLOOKUP($AH132,Target_monthwise!$D$24:$O$40,DTR!AG$4,FALSE)),0)</f>
        <v>0</v>
      </c>
      <c r="AH132" s="253">
        <f t="shared" si="1"/>
        <v>202208</v>
      </c>
    </row>
    <row r="133" spans="3:34" ht="15.75" hidden="1">
      <c r="C133" s="235">
        <v>44776</v>
      </c>
      <c r="D133" s="141">
        <f>IFERROR((HLOOKUP($AH133,Target_monthwise!$D$4:$O$20,DTR!D$4,FALSE))*1000,0)</f>
        <v>0</v>
      </c>
      <c r="E133" s="141">
        <f>IFERROR((HLOOKUP($AH133,Target_monthwise!$D$4:$O$20,DTR!E$4,FALSE))*1000,0)</f>
        <v>0</v>
      </c>
      <c r="F133" s="141">
        <f>IFERROR((HLOOKUP($AH133,Target_monthwise!$D$4:$O$20,DTR!F$4,FALSE))*1000,0)</f>
        <v>0</v>
      </c>
      <c r="G133" s="141">
        <f>IFERROR((HLOOKUP($AH133,Target_monthwise!$D$4:$O$20,DTR!G$4,FALSE))*1000,0)</f>
        <v>0</v>
      </c>
      <c r="H133" s="141">
        <f>IFERROR((HLOOKUP($AH133,Target_monthwise!$D$4:$O$20,DTR!H$4,FALSE))*1000,0)</f>
        <v>0</v>
      </c>
      <c r="I133" s="141">
        <f>IFERROR((HLOOKUP($AH133,Target_monthwise!$D$4:$O$20,DTR!I$4,FALSE))*1000,0)</f>
        <v>0</v>
      </c>
      <c r="J133" s="141">
        <f>IFERROR((HLOOKUP($AH133,Target_monthwise!$D$4:$O$20,DTR!J$4,FALSE))*1000,0)</f>
        <v>0</v>
      </c>
      <c r="K133" s="141">
        <f>IFERROR((HLOOKUP($AH133,Target_monthwise!$D$4:$O$20,DTR!K$4,FALSE))*1000,0)</f>
        <v>0</v>
      </c>
      <c r="L133" s="141">
        <f>IFERROR((HLOOKUP($AH133,Target_monthwise!$D$4:$O$20,DTR!L$4,FALSE))*1000,0)</f>
        <v>0</v>
      </c>
      <c r="M133" s="141">
        <f>IFERROR((HLOOKUP($AH133,Target_monthwise!$D$4:$O$20,DTR!M$4,FALSE))*1000,0)</f>
        <v>0</v>
      </c>
      <c r="N133" s="141">
        <f>IFERROR((HLOOKUP($AH133,Target_monthwise!$D$4:$O$20,DTR!N$4,FALSE))*1000,0)</f>
        <v>0</v>
      </c>
      <c r="O133" s="141">
        <f>IFERROR((HLOOKUP($AH133,Target_monthwise!$D$4:$O$20,DTR!O$4,FALSE))*1000,0)</f>
        <v>0</v>
      </c>
      <c r="P133" s="141">
        <f>IFERROR((HLOOKUP($AH133,Target_monthwise!$D$4:$O$20,DTR!P$4,FALSE))*1000,0)</f>
        <v>0</v>
      </c>
      <c r="Q133" s="141">
        <f>IFERROR((HLOOKUP($AH133,Target_monthwise!$D$4:$O$20,DTR!Q$4,FALSE))*1000,0)</f>
        <v>0</v>
      </c>
      <c r="R133" s="167">
        <f>IFERROR((HLOOKUP($AH133,Target_monthwise!$D$4:$O$20,DTR!R$4,FALSE))*1000,0)</f>
        <v>0</v>
      </c>
      <c r="S133" s="147">
        <f>IFERROR((HLOOKUP($AH133,Target_monthwise!$D$24:$O$40,DTR!S$4,FALSE)),0)</f>
        <v>0</v>
      </c>
      <c r="T133" s="147">
        <f>IFERROR((HLOOKUP($AH133,Target_monthwise!$D$24:$O$40,DTR!T$4,FALSE)),0)</f>
        <v>0</v>
      </c>
      <c r="U133" s="147">
        <f>IFERROR((HLOOKUP($AH133,Target_monthwise!$D$24:$O$40,DTR!U$4,FALSE)),0)</f>
        <v>0</v>
      </c>
      <c r="V133" s="147">
        <f>IFERROR((HLOOKUP($AH133,Target_monthwise!$D$24:$O$40,DTR!V$4,FALSE)),0)</f>
        <v>0</v>
      </c>
      <c r="W133" s="147">
        <f>IFERROR((HLOOKUP($AH133,Target_monthwise!$D$24:$O$40,DTR!W$4,FALSE)),0)</f>
        <v>0</v>
      </c>
      <c r="X133" s="147">
        <f>IFERROR((HLOOKUP($AH133,Target_monthwise!$D$24:$O$40,DTR!X$4,FALSE)),0)</f>
        <v>0</v>
      </c>
      <c r="Y133" s="147">
        <f>IFERROR((HLOOKUP($AH133,Target_monthwise!$D$24:$O$40,DTR!Y$4,FALSE)),0)</f>
        <v>0</v>
      </c>
      <c r="Z133" s="147">
        <f>IFERROR((HLOOKUP($AH133,Target_monthwise!$D$24:$O$40,DTR!Z$4,FALSE)),0)</f>
        <v>0</v>
      </c>
      <c r="AA133" s="147">
        <f>IFERROR((HLOOKUP($AH133,Target_monthwise!$D$24:$O$40,DTR!AA$4,FALSE)),0)</f>
        <v>0</v>
      </c>
      <c r="AB133" s="147">
        <f>IFERROR((HLOOKUP($AH133,Target_monthwise!$D$24:$O$40,DTR!AB$4,FALSE)),0)</f>
        <v>0</v>
      </c>
      <c r="AC133" s="147">
        <f>IFERROR((HLOOKUP($AH133,Target_monthwise!$D$24:$O$40,DTR!AC$4,FALSE)),0)</f>
        <v>0</v>
      </c>
      <c r="AD133" s="147">
        <f>IFERROR((HLOOKUP($AH133,Target_monthwise!$D$24:$O$40,DTR!AD$4,FALSE)),0)</f>
        <v>0</v>
      </c>
      <c r="AE133" s="147">
        <f>IFERROR((HLOOKUP($AH133,Target_monthwise!$D$24:$O$40,DTR!AE$4,FALSE)),0)</f>
        <v>0</v>
      </c>
      <c r="AF133" s="147">
        <f>IFERROR((HLOOKUP($AH133,Target_monthwise!$D$24:$O$40,DTR!AF$4,FALSE)),0)</f>
        <v>0</v>
      </c>
      <c r="AG133" s="172">
        <f>IFERROR((HLOOKUP($AH133,Target_monthwise!$D$24:$O$40,DTR!AG$4,FALSE)),0)</f>
        <v>0</v>
      </c>
      <c r="AH133" s="253">
        <f t="shared" si="1"/>
        <v>202208</v>
      </c>
    </row>
    <row r="134" spans="3:34" ht="15.75" hidden="1">
      <c r="C134" s="237">
        <v>44777</v>
      </c>
      <c r="D134" s="238">
        <f>IFERROR((HLOOKUP($AH134,Target_monthwise!$D$4:$O$20,DTR!D$4,FALSE))*1000,0)</f>
        <v>0</v>
      </c>
      <c r="E134" s="238">
        <f>IFERROR((HLOOKUP($AH134,Target_monthwise!$D$4:$O$20,DTR!E$4,FALSE))*1000,0)</f>
        <v>0</v>
      </c>
      <c r="F134" s="238">
        <f>IFERROR((HLOOKUP($AH134,Target_monthwise!$D$4:$O$20,DTR!F$4,FALSE))*1000,0)</f>
        <v>0</v>
      </c>
      <c r="G134" s="238">
        <f>IFERROR((HLOOKUP($AH134,Target_monthwise!$D$4:$O$20,DTR!G$4,FALSE))*1000,0)</f>
        <v>0</v>
      </c>
      <c r="H134" s="238">
        <f>IFERROR((HLOOKUP($AH134,Target_monthwise!$D$4:$O$20,DTR!H$4,FALSE))*1000,0)</f>
        <v>0</v>
      </c>
      <c r="I134" s="238">
        <f>IFERROR((HLOOKUP($AH134,Target_monthwise!$D$4:$O$20,DTR!I$4,FALSE))*1000,0)</f>
        <v>0</v>
      </c>
      <c r="J134" s="238">
        <f>IFERROR((HLOOKUP($AH134,Target_monthwise!$D$4:$O$20,DTR!J$4,FALSE))*1000,0)</f>
        <v>0</v>
      </c>
      <c r="K134" s="238">
        <f>IFERROR((HLOOKUP($AH134,Target_monthwise!$D$4:$O$20,DTR!K$4,FALSE))*1000,0)</f>
        <v>0</v>
      </c>
      <c r="L134" s="238">
        <f>IFERROR((HLOOKUP($AH134,Target_monthwise!$D$4:$O$20,DTR!L$4,FALSE))*1000,0)</f>
        <v>0</v>
      </c>
      <c r="M134" s="238">
        <f>IFERROR((HLOOKUP($AH134,Target_monthwise!$D$4:$O$20,DTR!M$4,FALSE))*1000,0)</f>
        <v>0</v>
      </c>
      <c r="N134" s="238">
        <f>IFERROR((HLOOKUP($AH134,Target_monthwise!$D$4:$O$20,DTR!N$4,FALSE))*1000,0)</f>
        <v>0</v>
      </c>
      <c r="O134" s="238">
        <f>IFERROR((HLOOKUP($AH134,Target_monthwise!$D$4:$O$20,DTR!O$4,FALSE))*1000,0)</f>
        <v>0</v>
      </c>
      <c r="P134" s="238">
        <f>IFERROR((HLOOKUP($AH134,Target_monthwise!$D$4:$O$20,DTR!P$4,FALSE))*1000,0)</f>
        <v>0</v>
      </c>
      <c r="Q134" s="141">
        <f>IFERROR((HLOOKUP($AH134,Target_monthwise!$D$4:$O$20,DTR!Q$4,FALSE))*1000,0)</f>
        <v>0</v>
      </c>
      <c r="R134" s="167">
        <f>IFERROR((HLOOKUP($AH134,Target_monthwise!$D$4:$O$20,DTR!R$4,FALSE))*1000,0)</f>
        <v>0</v>
      </c>
      <c r="S134" s="239">
        <f>IFERROR((HLOOKUP($AH134,Target_monthwise!$D$24:$O$40,DTR!S$4,FALSE)),0)</f>
        <v>0</v>
      </c>
      <c r="T134" s="239">
        <f>IFERROR((HLOOKUP($AH134,Target_monthwise!$D$24:$O$40,DTR!T$4,FALSE)),0)</f>
        <v>0</v>
      </c>
      <c r="U134" s="239">
        <f>IFERROR((HLOOKUP($AH134,Target_monthwise!$D$24:$O$40,DTR!U$4,FALSE)),0)</f>
        <v>0</v>
      </c>
      <c r="V134" s="239">
        <f>IFERROR((HLOOKUP($AH134,Target_monthwise!$D$24:$O$40,DTR!V$4,FALSE)),0)</f>
        <v>0</v>
      </c>
      <c r="W134" s="239">
        <f>IFERROR((HLOOKUP($AH134,Target_monthwise!$D$24:$O$40,DTR!W$4,FALSE)),0)</f>
        <v>0</v>
      </c>
      <c r="X134" s="239">
        <f>IFERROR((HLOOKUP($AH134,Target_monthwise!$D$24:$O$40,DTR!X$4,FALSE)),0)</f>
        <v>0</v>
      </c>
      <c r="Y134" s="239">
        <f>IFERROR((HLOOKUP($AH134,Target_monthwise!$D$24:$O$40,DTR!Y$4,FALSE)),0)</f>
        <v>0</v>
      </c>
      <c r="Z134" s="147">
        <f>IFERROR((HLOOKUP($AH134,Target_monthwise!$D$24:$O$40,DTR!Z$4,FALSE)),0)</f>
        <v>0</v>
      </c>
      <c r="AA134" s="147">
        <f>IFERROR((HLOOKUP($AH134,Target_monthwise!$D$24:$O$40,DTR!AA$4,FALSE)),0)</f>
        <v>0</v>
      </c>
      <c r="AB134" s="147">
        <f>IFERROR((HLOOKUP($AH134,Target_monthwise!$D$24:$O$40,DTR!AB$4,FALSE)),0)</f>
        <v>0</v>
      </c>
      <c r="AC134" s="239">
        <f>IFERROR((HLOOKUP($AH134,Target_monthwise!$D$24:$O$40,DTR!AC$4,FALSE)),0)</f>
        <v>0</v>
      </c>
      <c r="AD134" s="239">
        <f>IFERROR((HLOOKUP($AH134,Target_monthwise!$D$24:$O$40,DTR!AD$4,FALSE)),0)</f>
        <v>0</v>
      </c>
      <c r="AE134" s="239">
        <f>IFERROR((HLOOKUP($AH134,Target_monthwise!$D$24:$O$40,DTR!AE$4,FALSE)),0)</f>
        <v>0</v>
      </c>
      <c r="AF134" s="239">
        <f>IFERROR((HLOOKUP($AH134,Target_monthwise!$D$24:$O$40,DTR!AF$4,FALSE)),0)</f>
        <v>0</v>
      </c>
      <c r="AG134" s="172">
        <f>IFERROR((HLOOKUP($AH134,Target_monthwise!$D$24:$O$40,DTR!AG$4,FALSE)),0)</f>
        <v>0</v>
      </c>
      <c r="AH134" s="253">
        <f t="shared" si="1"/>
        <v>202208</v>
      </c>
    </row>
    <row r="135" spans="3:34" ht="15.75" hidden="1">
      <c r="C135" s="235">
        <v>44778</v>
      </c>
      <c r="D135" s="141">
        <f>IFERROR((HLOOKUP($AH135,Target_monthwise!$D$4:$O$20,DTR!D$4,FALSE))*1000,0)</f>
        <v>0</v>
      </c>
      <c r="E135" s="141">
        <f>IFERROR((HLOOKUP($AH135,Target_monthwise!$D$4:$O$20,DTR!E$4,FALSE))*1000,0)</f>
        <v>0</v>
      </c>
      <c r="F135" s="141">
        <f>IFERROR((HLOOKUP($AH135,Target_monthwise!$D$4:$O$20,DTR!F$4,FALSE))*1000,0)</f>
        <v>0</v>
      </c>
      <c r="G135" s="141">
        <f>IFERROR((HLOOKUP($AH135,Target_monthwise!$D$4:$O$20,DTR!G$4,FALSE))*1000,0)</f>
        <v>0</v>
      </c>
      <c r="H135" s="141">
        <f>IFERROR((HLOOKUP($AH135,Target_monthwise!$D$4:$O$20,DTR!H$4,FALSE))*1000,0)</f>
        <v>0</v>
      </c>
      <c r="I135" s="141">
        <f>IFERROR((HLOOKUP($AH135,Target_monthwise!$D$4:$O$20,DTR!I$4,FALSE))*1000,0)</f>
        <v>0</v>
      </c>
      <c r="J135" s="141">
        <f>IFERROR((HLOOKUP($AH135,Target_monthwise!$D$4:$O$20,DTR!J$4,FALSE))*1000,0)</f>
        <v>0</v>
      </c>
      <c r="K135" s="141">
        <f>IFERROR((HLOOKUP($AH135,Target_monthwise!$D$4:$O$20,DTR!K$4,FALSE))*1000,0)</f>
        <v>0</v>
      </c>
      <c r="L135" s="141">
        <f>IFERROR((HLOOKUP($AH135,Target_monthwise!$D$4:$O$20,DTR!L$4,FALSE))*1000,0)</f>
        <v>0</v>
      </c>
      <c r="M135" s="141">
        <f>IFERROR((HLOOKUP($AH135,Target_monthwise!$D$4:$O$20,DTR!M$4,FALSE))*1000,0)</f>
        <v>0</v>
      </c>
      <c r="N135" s="141">
        <f>IFERROR((HLOOKUP($AH135,Target_monthwise!$D$4:$O$20,DTR!N$4,FALSE))*1000,0)</f>
        <v>0</v>
      </c>
      <c r="O135" s="141">
        <f>IFERROR((HLOOKUP($AH135,Target_monthwise!$D$4:$O$20,DTR!O$4,FALSE))*1000,0)</f>
        <v>0</v>
      </c>
      <c r="P135" s="141">
        <f>IFERROR((HLOOKUP($AH135,Target_monthwise!$D$4:$O$20,DTR!P$4,FALSE))*1000,0)</f>
        <v>0</v>
      </c>
      <c r="Q135" s="141">
        <f>IFERROR((HLOOKUP($AH135,Target_monthwise!$D$4:$O$20,DTR!Q$4,FALSE))*1000,0)</f>
        <v>0</v>
      </c>
      <c r="R135" s="167">
        <f>IFERROR((HLOOKUP($AH135,Target_monthwise!$D$4:$O$20,DTR!R$4,FALSE))*1000,0)</f>
        <v>0</v>
      </c>
      <c r="S135" s="147">
        <f>IFERROR((HLOOKUP($AH135,Target_monthwise!$D$24:$O$40,DTR!S$4,FALSE)),0)</f>
        <v>0</v>
      </c>
      <c r="T135" s="147">
        <f>IFERROR((HLOOKUP($AH135,Target_monthwise!$D$24:$O$40,DTR!T$4,FALSE)),0)</f>
        <v>0</v>
      </c>
      <c r="U135" s="147">
        <f>IFERROR((HLOOKUP($AH135,Target_monthwise!$D$24:$O$40,DTR!U$4,FALSE)),0)</f>
        <v>0</v>
      </c>
      <c r="V135" s="147">
        <f>IFERROR((HLOOKUP($AH135,Target_monthwise!$D$24:$O$40,DTR!V$4,FALSE)),0)</f>
        <v>0</v>
      </c>
      <c r="W135" s="147">
        <f>IFERROR((HLOOKUP($AH135,Target_monthwise!$D$24:$O$40,DTR!W$4,FALSE)),0)</f>
        <v>0</v>
      </c>
      <c r="X135" s="147">
        <f>IFERROR((HLOOKUP($AH135,Target_monthwise!$D$24:$O$40,DTR!X$4,FALSE)),0)</f>
        <v>0</v>
      </c>
      <c r="Y135" s="147">
        <f>IFERROR((HLOOKUP($AH135,Target_monthwise!$D$24:$O$40,DTR!Y$4,FALSE)),0)</f>
        <v>0</v>
      </c>
      <c r="Z135" s="147">
        <f>IFERROR((HLOOKUP($AH135,Target_monthwise!$D$24:$O$40,DTR!Z$4,FALSE)),0)</f>
        <v>0</v>
      </c>
      <c r="AA135" s="147">
        <f>IFERROR((HLOOKUP($AH135,Target_monthwise!$D$24:$O$40,DTR!AA$4,FALSE)),0)</f>
        <v>0</v>
      </c>
      <c r="AB135" s="147">
        <f>IFERROR((HLOOKUP($AH135,Target_monthwise!$D$24:$O$40,DTR!AB$4,FALSE)),0)</f>
        <v>0</v>
      </c>
      <c r="AC135" s="147">
        <f>IFERROR((HLOOKUP($AH135,Target_monthwise!$D$24:$O$40,DTR!AC$4,FALSE)),0)</f>
        <v>0</v>
      </c>
      <c r="AD135" s="147">
        <f>IFERROR((HLOOKUP($AH135,Target_monthwise!$D$24:$O$40,DTR!AD$4,FALSE)),0)</f>
        <v>0</v>
      </c>
      <c r="AE135" s="147">
        <f>IFERROR((HLOOKUP($AH135,Target_monthwise!$D$24:$O$40,DTR!AE$4,FALSE)),0)</f>
        <v>0</v>
      </c>
      <c r="AF135" s="147">
        <f>IFERROR((HLOOKUP($AH135,Target_monthwise!$D$24:$O$40,DTR!AF$4,FALSE)),0)</f>
        <v>0</v>
      </c>
      <c r="AG135" s="172">
        <f>IFERROR((HLOOKUP($AH135,Target_monthwise!$D$24:$O$40,DTR!AG$4,FALSE)),0)</f>
        <v>0</v>
      </c>
      <c r="AH135" s="253">
        <f t="shared" si="1"/>
        <v>202208</v>
      </c>
    </row>
    <row r="136" spans="3:34" ht="15.75" hidden="1">
      <c r="C136" s="237">
        <v>44779</v>
      </c>
      <c r="D136" s="238">
        <f>IFERROR((HLOOKUP($AH136,Target_monthwise!$D$4:$O$20,DTR!D$4,FALSE))*1000,0)</f>
        <v>0</v>
      </c>
      <c r="E136" s="238">
        <f>IFERROR((HLOOKUP($AH136,Target_monthwise!$D$4:$O$20,DTR!E$4,FALSE))*1000,0)</f>
        <v>0</v>
      </c>
      <c r="F136" s="238">
        <f>IFERROR((HLOOKUP($AH136,Target_monthwise!$D$4:$O$20,DTR!F$4,FALSE))*1000,0)</f>
        <v>0</v>
      </c>
      <c r="G136" s="238">
        <f>IFERROR((HLOOKUP($AH136,Target_monthwise!$D$4:$O$20,DTR!G$4,FALSE))*1000,0)</f>
        <v>0</v>
      </c>
      <c r="H136" s="238">
        <f>IFERROR((HLOOKUP($AH136,Target_monthwise!$D$4:$O$20,DTR!H$4,FALSE))*1000,0)</f>
        <v>0</v>
      </c>
      <c r="I136" s="238">
        <f>IFERROR((HLOOKUP($AH136,Target_monthwise!$D$4:$O$20,DTR!I$4,FALSE))*1000,0)</f>
        <v>0</v>
      </c>
      <c r="J136" s="238">
        <f>IFERROR((HLOOKUP($AH136,Target_monthwise!$D$4:$O$20,DTR!J$4,FALSE))*1000,0)</f>
        <v>0</v>
      </c>
      <c r="K136" s="238">
        <f>IFERROR((HLOOKUP($AH136,Target_monthwise!$D$4:$O$20,DTR!K$4,FALSE))*1000,0)</f>
        <v>0</v>
      </c>
      <c r="L136" s="238">
        <f>IFERROR((HLOOKUP($AH136,Target_monthwise!$D$4:$O$20,DTR!L$4,FALSE))*1000,0)</f>
        <v>0</v>
      </c>
      <c r="M136" s="238">
        <f>IFERROR((HLOOKUP($AH136,Target_monthwise!$D$4:$O$20,DTR!M$4,FALSE))*1000,0)</f>
        <v>0</v>
      </c>
      <c r="N136" s="238">
        <f>IFERROR((HLOOKUP($AH136,Target_monthwise!$D$4:$O$20,DTR!N$4,FALSE))*1000,0)</f>
        <v>0</v>
      </c>
      <c r="O136" s="238">
        <f>IFERROR((HLOOKUP($AH136,Target_monthwise!$D$4:$O$20,DTR!O$4,FALSE))*1000,0)</f>
        <v>0</v>
      </c>
      <c r="P136" s="238">
        <f>IFERROR((HLOOKUP($AH136,Target_monthwise!$D$4:$O$20,DTR!P$4,FALSE))*1000,0)</f>
        <v>0</v>
      </c>
      <c r="Q136" s="141">
        <f>IFERROR((HLOOKUP($AH136,Target_monthwise!$D$4:$O$20,DTR!Q$4,FALSE))*1000,0)</f>
        <v>0</v>
      </c>
      <c r="R136" s="167">
        <f>IFERROR((HLOOKUP($AH136,Target_monthwise!$D$4:$O$20,DTR!R$4,FALSE))*1000,0)</f>
        <v>0</v>
      </c>
      <c r="S136" s="239">
        <f>IFERROR((HLOOKUP($AH136,Target_monthwise!$D$24:$O$40,DTR!S$4,FALSE)),0)</f>
        <v>0</v>
      </c>
      <c r="T136" s="239">
        <f>IFERROR((HLOOKUP($AH136,Target_monthwise!$D$24:$O$40,DTR!T$4,FALSE)),0)</f>
        <v>0</v>
      </c>
      <c r="U136" s="239">
        <f>IFERROR((HLOOKUP($AH136,Target_monthwise!$D$24:$O$40,DTR!U$4,FALSE)),0)</f>
        <v>0</v>
      </c>
      <c r="V136" s="239">
        <f>IFERROR((HLOOKUP($AH136,Target_monthwise!$D$24:$O$40,DTR!V$4,FALSE)),0)</f>
        <v>0</v>
      </c>
      <c r="W136" s="239">
        <f>IFERROR((HLOOKUP($AH136,Target_monthwise!$D$24:$O$40,DTR!W$4,FALSE)),0)</f>
        <v>0</v>
      </c>
      <c r="X136" s="239">
        <f>IFERROR((HLOOKUP($AH136,Target_monthwise!$D$24:$O$40,DTR!X$4,FALSE)),0)</f>
        <v>0</v>
      </c>
      <c r="Y136" s="239">
        <f>IFERROR((HLOOKUP($AH136,Target_monthwise!$D$24:$O$40,DTR!Y$4,FALSE)),0)</f>
        <v>0</v>
      </c>
      <c r="Z136" s="147">
        <f>IFERROR((HLOOKUP($AH136,Target_monthwise!$D$24:$O$40,DTR!Z$4,FALSE)),0)</f>
        <v>0</v>
      </c>
      <c r="AA136" s="147">
        <f>IFERROR((HLOOKUP($AH136,Target_monthwise!$D$24:$O$40,DTR!AA$4,FALSE)),0)</f>
        <v>0</v>
      </c>
      <c r="AB136" s="147">
        <f>IFERROR((HLOOKUP($AH136,Target_monthwise!$D$24:$O$40,DTR!AB$4,FALSE)),0)</f>
        <v>0</v>
      </c>
      <c r="AC136" s="239">
        <f>IFERROR((HLOOKUP($AH136,Target_monthwise!$D$24:$O$40,DTR!AC$4,FALSE)),0)</f>
        <v>0</v>
      </c>
      <c r="AD136" s="239">
        <f>IFERROR((HLOOKUP($AH136,Target_monthwise!$D$24:$O$40,DTR!AD$4,FALSE)),0)</f>
        <v>0</v>
      </c>
      <c r="AE136" s="239">
        <f>IFERROR((HLOOKUP($AH136,Target_monthwise!$D$24:$O$40,DTR!AE$4,FALSE)),0)</f>
        <v>0</v>
      </c>
      <c r="AF136" s="239">
        <f>IFERROR((HLOOKUP($AH136,Target_monthwise!$D$24:$O$40,DTR!AF$4,FALSE)),0)</f>
        <v>0</v>
      </c>
      <c r="AG136" s="172">
        <f>IFERROR((HLOOKUP($AH136,Target_monthwise!$D$24:$O$40,DTR!AG$4,FALSE)),0)</f>
        <v>0</v>
      </c>
      <c r="AH136" s="253">
        <f t="shared" si="1"/>
        <v>202208</v>
      </c>
    </row>
    <row r="137" spans="3:34" ht="15.75" hidden="1">
      <c r="C137" s="235">
        <v>44780</v>
      </c>
      <c r="D137" s="141">
        <f>IFERROR((HLOOKUP($AH137,Target_monthwise!$D$4:$O$20,DTR!D$4,FALSE))*1000,0)</f>
        <v>0</v>
      </c>
      <c r="E137" s="141">
        <f>IFERROR((HLOOKUP($AH137,Target_monthwise!$D$4:$O$20,DTR!E$4,FALSE))*1000,0)</f>
        <v>0</v>
      </c>
      <c r="F137" s="141">
        <f>IFERROR((HLOOKUP($AH137,Target_monthwise!$D$4:$O$20,DTR!F$4,FALSE))*1000,0)</f>
        <v>0</v>
      </c>
      <c r="G137" s="141">
        <f>IFERROR((HLOOKUP($AH137,Target_monthwise!$D$4:$O$20,DTR!G$4,FALSE))*1000,0)</f>
        <v>0</v>
      </c>
      <c r="H137" s="141">
        <f>IFERROR((HLOOKUP($AH137,Target_monthwise!$D$4:$O$20,DTR!H$4,FALSE))*1000,0)</f>
        <v>0</v>
      </c>
      <c r="I137" s="141">
        <f>IFERROR((HLOOKUP($AH137,Target_monthwise!$D$4:$O$20,DTR!I$4,FALSE))*1000,0)</f>
        <v>0</v>
      </c>
      <c r="J137" s="141">
        <f>IFERROR((HLOOKUP($AH137,Target_monthwise!$D$4:$O$20,DTR!J$4,FALSE))*1000,0)</f>
        <v>0</v>
      </c>
      <c r="K137" s="141">
        <f>IFERROR((HLOOKUP($AH137,Target_monthwise!$D$4:$O$20,DTR!K$4,FALSE))*1000,0)</f>
        <v>0</v>
      </c>
      <c r="L137" s="141">
        <f>IFERROR((HLOOKUP($AH137,Target_monthwise!$D$4:$O$20,DTR!L$4,FALSE))*1000,0)</f>
        <v>0</v>
      </c>
      <c r="M137" s="141">
        <f>IFERROR((HLOOKUP($AH137,Target_monthwise!$D$4:$O$20,DTR!M$4,FALSE))*1000,0)</f>
        <v>0</v>
      </c>
      <c r="N137" s="141">
        <f>IFERROR((HLOOKUP($AH137,Target_monthwise!$D$4:$O$20,DTR!N$4,FALSE))*1000,0)</f>
        <v>0</v>
      </c>
      <c r="O137" s="141">
        <f>IFERROR((HLOOKUP($AH137,Target_monthwise!$D$4:$O$20,DTR!O$4,FALSE))*1000,0)</f>
        <v>0</v>
      </c>
      <c r="P137" s="141">
        <f>IFERROR((HLOOKUP($AH137,Target_monthwise!$D$4:$O$20,DTR!P$4,FALSE))*1000,0)</f>
        <v>0</v>
      </c>
      <c r="Q137" s="141">
        <f>IFERROR((HLOOKUP($AH137,Target_monthwise!$D$4:$O$20,DTR!Q$4,FALSE))*1000,0)</f>
        <v>0</v>
      </c>
      <c r="R137" s="167">
        <f>IFERROR((HLOOKUP($AH137,Target_monthwise!$D$4:$O$20,DTR!R$4,FALSE))*1000,0)</f>
        <v>0</v>
      </c>
      <c r="S137" s="147">
        <f>IFERROR((HLOOKUP($AH137,Target_monthwise!$D$24:$O$40,DTR!S$4,FALSE)),0)</f>
        <v>0</v>
      </c>
      <c r="T137" s="147">
        <f>IFERROR((HLOOKUP($AH137,Target_monthwise!$D$24:$O$40,DTR!T$4,FALSE)),0)</f>
        <v>0</v>
      </c>
      <c r="U137" s="147">
        <f>IFERROR((HLOOKUP($AH137,Target_monthwise!$D$24:$O$40,DTR!U$4,FALSE)),0)</f>
        <v>0</v>
      </c>
      <c r="V137" s="147">
        <f>IFERROR((HLOOKUP($AH137,Target_monthwise!$D$24:$O$40,DTR!V$4,FALSE)),0)</f>
        <v>0</v>
      </c>
      <c r="W137" s="147">
        <f>IFERROR((HLOOKUP($AH137,Target_monthwise!$D$24:$O$40,DTR!W$4,FALSE)),0)</f>
        <v>0</v>
      </c>
      <c r="X137" s="147">
        <f>IFERROR((HLOOKUP($AH137,Target_monthwise!$D$24:$O$40,DTR!X$4,FALSE)),0)</f>
        <v>0</v>
      </c>
      <c r="Y137" s="147">
        <f>IFERROR((HLOOKUP($AH137,Target_monthwise!$D$24:$O$40,DTR!Y$4,FALSE)),0)</f>
        <v>0</v>
      </c>
      <c r="Z137" s="147">
        <f>IFERROR((HLOOKUP($AH137,Target_monthwise!$D$24:$O$40,DTR!Z$4,FALSE)),0)</f>
        <v>0</v>
      </c>
      <c r="AA137" s="147">
        <f>IFERROR((HLOOKUP($AH137,Target_monthwise!$D$24:$O$40,DTR!AA$4,FALSE)),0)</f>
        <v>0</v>
      </c>
      <c r="AB137" s="147">
        <f>IFERROR((HLOOKUP($AH137,Target_monthwise!$D$24:$O$40,DTR!AB$4,FALSE)),0)</f>
        <v>0</v>
      </c>
      <c r="AC137" s="147">
        <f>IFERROR((HLOOKUP($AH137,Target_monthwise!$D$24:$O$40,DTR!AC$4,FALSE)),0)</f>
        <v>0</v>
      </c>
      <c r="AD137" s="147">
        <f>IFERROR((HLOOKUP($AH137,Target_monthwise!$D$24:$O$40,DTR!AD$4,FALSE)),0)</f>
        <v>0</v>
      </c>
      <c r="AE137" s="147">
        <f>IFERROR((HLOOKUP($AH137,Target_monthwise!$D$24:$O$40,DTR!AE$4,FALSE)),0)</f>
        <v>0</v>
      </c>
      <c r="AF137" s="147">
        <f>IFERROR((HLOOKUP($AH137,Target_monthwise!$D$24:$O$40,DTR!AF$4,FALSE)),0)</f>
        <v>0</v>
      </c>
      <c r="AG137" s="172">
        <f>IFERROR((HLOOKUP($AH137,Target_monthwise!$D$24:$O$40,DTR!AG$4,FALSE)),0)</f>
        <v>0</v>
      </c>
      <c r="AH137" s="253">
        <f t="shared" si="1"/>
        <v>202208</v>
      </c>
    </row>
    <row r="138" spans="3:34" ht="15.75" hidden="1">
      <c r="C138" s="237">
        <v>44781</v>
      </c>
      <c r="D138" s="238">
        <f>IFERROR((HLOOKUP($AH138,Target_monthwise!$D$4:$O$20,DTR!D$4,FALSE))*1000,0)</f>
        <v>0</v>
      </c>
      <c r="E138" s="238">
        <f>IFERROR((HLOOKUP($AH138,Target_monthwise!$D$4:$O$20,DTR!E$4,FALSE))*1000,0)</f>
        <v>0</v>
      </c>
      <c r="F138" s="238">
        <f>IFERROR((HLOOKUP($AH138,Target_monthwise!$D$4:$O$20,DTR!F$4,FALSE))*1000,0)</f>
        <v>0</v>
      </c>
      <c r="G138" s="238">
        <f>IFERROR((HLOOKUP($AH138,Target_monthwise!$D$4:$O$20,DTR!G$4,FALSE))*1000,0)</f>
        <v>0</v>
      </c>
      <c r="H138" s="238">
        <f>IFERROR((HLOOKUP($AH138,Target_monthwise!$D$4:$O$20,DTR!H$4,FALSE))*1000,0)</f>
        <v>0</v>
      </c>
      <c r="I138" s="238">
        <f>IFERROR((HLOOKUP($AH138,Target_monthwise!$D$4:$O$20,DTR!I$4,FALSE))*1000,0)</f>
        <v>0</v>
      </c>
      <c r="J138" s="238">
        <f>IFERROR((HLOOKUP($AH138,Target_monthwise!$D$4:$O$20,DTR!J$4,FALSE))*1000,0)</f>
        <v>0</v>
      </c>
      <c r="K138" s="238">
        <f>IFERROR((HLOOKUP($AH138,Target_monthwise!$D$4:$O$20,DTR!K$4,FALSE))*1000,0)</f>
        <v>0</v>
      </c>
      <c r="L138" s="238">
        <f>IFERROR((HLOOKUP($AH138,Target_monthwise!$D$4:$O$20,DTR!L$4,FALSE))*1000,0)</f>
        <v>0</v>
      </c>
      <c r="M138" s="238">
        <f>IFERROR((HLOOKUP($AH138,Target_monthwise!$D$4:$O$20,DTR!M$4,FALSE))*1000,0)</f>
        <v>0</v>
      </c>
      <c r="N138" s="238">
        <f>IFERROR((HLOOKUP($AH138,Target_monthwise!$D$4:$O$20,DTR!N$4,FALSE))*1000,0)</f>
        <v>0</v>
      </c>
      <c r="O138" s="238">
        <f>IFERROR((HLOOKUP($AH138,Target_monthwise!$D$4:$O$20,DTR!O$4,FALSE))*1000,0)</f>
        <v>0</v>
      </c>
      <c r="P138" s="238">
        <f>IFERROR((HLOOKUP($AH138,Target_monthwise!$D$4:$O$20,DTR!P$4,FALSE))*1000,0)</f>
        <v>0</v>
      </c>
      <c r="Q138" s="141">
        <f>IFERROR((HLOOKUP($AH138,Target_monthwise!$D$4:$O$20,DTR!Q$4,FALSE))*1000,0)</f>
        <v>0</v>
      </c>
      <c r="R138" s="167">
        <f>IFERROR((HLOOKUP($AH138,Target_monthwise!$D$4:$O$20,DTR!R$4,FALSE))*1000,0)</f>
        <v>0</v>
      </c>
      <c r="S138" s="239">
        <f>IFERROR((HLOOKUP($AH138,Target_monthwise!$D$24:$O$40,DTR!S$4,FALSE)),0)</f>
        <v>0</v>
      </c>
      <c r="T138" s="239">
        <f>IFERROR((HLOOKUP($AH138,Target_monthwise!$D$24:$O$40,DTR!T$4,FALSE)),0)</f>
        <v>0</v>
      </c>
      <c r="U138" s="239">
        <f>IFERROR((HLOOKUP($AH138,Target_monthwise!$D$24:$O$40,DTR!U$4,FALSE)),0)</f>
        <v>0</v>
      </c>
      <c r="V138" s="239">
        <f>IFERROR((HLOOKUP($AH138,Target_monthwise!$D$24:$O$40,DTR!V$4,FALSE)),0)</f>
        <v>0</v>
      </c>
      <c r="W138" s="239">
        <f>IFERROR((HLOOKUP($AH138,Target_monthwise!$D$24:$O$40,DTR!W$4,FALSE)),0)</f>
        <v>0</v>
      </c>
      <c r="X138" s="239">
        <f>IFERROR((HLOOKUP($AH138,Target_monthwise!$D$24:$O$40,DTR!X$4,FALSE)),0)</f>
        <v>0</v>
      </c>
      <c r="Y138" s="239">
        <f>IFERROR((HLOOKUP($AH138,Target_monthwise!$D$24:$O$40,DTR!Y$4,FALSE)),0)</f>
        <v>0</v>
      </c>
      <c r="Z138" s="147">
        <f>IFERROR((HLOOKUP($AH138,Target_monthwise!$D$24:$O$40,DTR!Z$4,FALSE)),0)</f>
        <v>0</v>
      </c>
      <c r="AA138" s="147">
        <f>IFERROR((HLOOKUP($AH138,Target_monthwise!$D$24:$O$40,DTR!AA$4,FALSE)),0)</f>
        <v>0</v>
      </c>
      <c r="AB138" s="147">
        <f>IFERROR((HLOOKUP($AH138,Target_monthwise!$D$24:$O$40,DTR!AB$4,FALSE)),0)</f>
        <v>0</v>
      </c>
      <c r="AC138" s="239">
        <f>IFERROR((HLOOKUP($AH138,Target_monthwise!$D$24:$O$40,DTR!AC$4,FALSE)),0)</f>
        <v>0</v>
      </c>
      <c r="AD138" s="239">
        <f>IFERROR((HLOOKUP($AH138,Target_monthwise!$D$24:$O$40,DTR!AD$4,FALSE)),0)</f>
        <v>0</v>
      </c>
      <c r="AE138" s="239">
        <f>IFERROR((HLOOKUP($AH138,Target_monthwise!$D$24:$O$40,DTR!AE$4,FALSE)),0)</f>
        <v>0</v>
      </c>
      <c r="AF138" s="239">
        <f>IFERROR((HLOOKUP($AH138,Target_monthwise!$D$24:$O$40,DTR!AF$4,FALSE)),0)</f>
        <v>0</v>
      </c>
      <c r="AG138" s="172">
        <f>IFERROR((HLOOKUP($AH138,Target_monthwise!$D$24:$O$40,DTR!AG$4,FALSE)),0)</f>
        <v>0</v>
      </c>
      <c r="AH138" s="253">
        <f t="shared" ref="AH138:AH201" si="2">YEAR(C138)*100+MONTH(C138)</f>
        <v>202208</v>
      </c>
    </row>
    <row r="139" spans="3:34" ht="15.75" hidden="1">
      <c r="C139" s="235">
        <v>44782</v>
      </c>
      <c r="D139" s="141">
        <f>IFERROR((HLOOKUP($AH139,Target_monthwise!$D$4:$O$20,DTR!D$4,FALSE))*1000,0)</f>
        <v>0</v>
      </c>
      <c r="E139" s="141">
        <f>IFERROR((HLOOKUP($AH139,Target_monthwise!$D$4:$O$20,DTR!E$4,FALSE))*1000,0)</f>
        <v>0</v>
      </c>
      <c r="F139" s="141">
        <f>IFERROR((HLOOKUP($AH139,Target_monthwise!$D$4:$O$20,DTR!F$4,FALSE))*1000,0)</f>
        <v>0</v>
      </c>
      <c r="G139" s="141">
        <f>IFERROR((HLOOKUP($AH139,Target_monthwise!$D$4:$O$20,DTR!G$4,FALSE))*1000,0)</f>
        <v>0</v>
      </c>
      <c r="H139" s="141">
        <f>IFERROR((HLOOKUP($AH139,Target_monthwise!$D$4:$O$20,DTR!H$4,FALSE))*1000,0)</f>
        <v>0</v>
      </c>
      <c r="I139" s="141">
        <f>IFERROR((HLOOKUP($AH139,Target_monthwise!$D$4:$O$20,DTR!I$4,FALSE))*1000,0)</f>
        <v>0</v>
      </c>
      <c r="J139" s="141">
        <f>IFERROR((HLOOKUP($AH139,Target_monthwise!$D$4:$O$20,DTR!J$4,FALSE))*1000,0)</f>
        <v>0</v>
      </c>
      <c r="K139" s="141">
        <f>IFERROR((HLOOKUP($AH139,Target_monthwise!$D$4:$O$20,DTR!K$4,FALSE))*1000,0)</f>
        <v>0</v>
      </c>
      <c r="L139" s="141">
        <f>IFERROR((HLOOKUP($AH139,Target_monthwise!$D$4:$O$20,DTR!L$4,FALSE))*1000,0)</f>
        <v>0</v>
      </c>
      <c r="M139" s="141">
        <f>IFERROR((HLOOKUP($AH139,Target_monthwise!$D$4:$O$20,DTR!M$4,FALSE))*1000,0)</f>
        <v>0</v>
      </c>
      <c r="N139" s="141">
        <f>IFERROR((HLOOKUP($AH139,Target_monthwise!$D$4:$O$20,DTR!N$4,FALSE))*1000,0)</f>
        <v>0</v>
      </c>
      <c r="O139" s="141">
        <f>IFERROR((HLOOKUP($AH139,Target_monthwise!$D$4:$O$20,DTR!O$4,FALSE))*1000,0)</f>
        <v>0</v>
      </c>
      <c r="P139" s="141">
        <f>IFERROR((HLOOKUP($AH139,Target_monthwise!$D$4:$O$20,DTR!P$4,FALSE))*1000,0)</f>
        <v>0</v>
      </c>
      <c r="Q139" s="141">
        <f>IFERROR((HLOOKUP($AH139,Target_monthwise!$D$4:$O$20,DTR!Q$4,FALSE))*1000,0)</f>
        <v>0</v>
      </c>
      <c r="R139" s="167">
        <f>IFERROR((HLOOKUP($AH139,Target_monthwise!$D$4:$O$20,DTR!R$4,FALSE))*1000,0)</f>
        <v>0</v>
      </c>
      <c r="S139" s="147">
        <f>IFERROR((HLOOKUP($AH139,Target_monthwise!$D$24:$O$40,DTR!S$4,FALSE)),0)</f>
        <v>0</v>
      </c>
      <c r="T139" s="147">
        <f>IFERROR((HLOOKUP($AH139,Target_monthwise!$D$24:$O$40,DTR!T$4,FALSE)),0)</f>
        <v>0</v>
      </c>
      <c r="U139" s="147">
        <f>IFERROR((HLOOKUP($AH139,Target_monthwise!$D$24:$O$40,DTR!U$4,FALSE)),0)</f>
        <v>0</v>
      </c>
      <c r="V139" s="147">
        <f>IFERROR((HLOOKUP($AH139,Target_monthwise!$D$24:$O$40,DTR!V$4,FALSE)),0)</f>
        <v>0</v>
      </c>
      <c r="W139" s="147">
        <f>IFERROR((HLOOKUP($AH139,Target_monthwise!$D$24:$O$40,DTR!W$4,FALSE)),0)</f>
        <v>0</v>
      </c>
      <c r="X139" s="147">
        <f>IFERROR((HLOOKUP($AH139,Target_monthwise!$D$24:$O$40,DTR!X$4,FALSE)),0)</f>
        <v>0</v>
      </c>
      <c r="Y139" s="147">
        <f>IFERROR((HLOOKUP($AH139,Target_monthwise!$D$24:$O$40,DTR!Y$4,FALSE)),0)</f>
        <v>0</v>
      </c>
      <c r="Z139" s="147">
        <f>IFERROR((HLOOKUP($AH139,Target_monthwise!$D$24:$O$40,DTR!Z$4,FALSE)),0)</f>
        <v>0</v>
      </c>
      <c r="AA139" s="147">
        <f>IFERROR((HLOOKUP($AH139,Target_monthwise!$D$24:$O$40,DTR!AA$4,FALSE)),0)</f>
        <v>0</v>
      </c>
      <c r="AB139" s="147">
        <f>IFERROR((HLOOKUP($AH139,Target_monthwise!$D$24:$O$40,DTR!AB$4,FALSE)),0)</f>
        <v>0</v>
      </c>
      <c r="AC139" s="147">
        <f>IFERROR((HLOOKUP($AH139,Target_monthwise!$D$24:$O$40,DTR!AC$4,FALSE)),0)</f>
        <v>0</v>
      </c>
      <c r="AD139" s="147">
        <f>IFERROR((HLOOKUP($AH139,Target_monthwise!$D$24:$O$40,DTR!AD$4,FALSE)),0)</f>
        <v>0</v>
      </c>
      <c r="AE139" s="147">
        <f>IFERROR((HLOOKUP($AH139,Target_monthwise!$D$24:$O$40,DTR!AE$4,FALSE)),0)</f>
        <v>0</v>
      </c>
      <c r="AF139" s="147">
        <f>IFERROR((HLOOKUP($AH139,Target_monthwise!$D$24:$O$40,DTR!AF$4,FALSE)),0)</f>
        <v>0</v>
      </c>
      <c r="AG139" s="172">
        <f>IFERROR((HLOOKUP($AH139,Target_monthwise!$D$24:$O$40,DTR!AG$4,FALSE)),0)</f>
        <v>0</v>
      </c>
      <c r="AH139" s="253">
        <f t="shared" si="2"/>
        <v>202208</v>
      </c>
    </row>
    <row r="140" spans="3:34" ht="15.75" hidden="1">
      <c r="C140" s="237">
        <v>44783</v>
      </c>
      <c r="D140" s="238">
        <f>IFERROR((HLOOKUP($AH140,Target_monthwise!$D$4:$O$20,DTR!D$4,FALSE))*1000,0)</f>
        <v>0</v>
      </c>
      <c r="E140" s="238">
        <f>IFERROR((HLOOKUP($AH140,Target_monthwise!$D$4:$O$20,DTR!E$4,FALSE))*1000,0)</f>
        <v>0</v>
      </c>
      <c r="F140" s="238">
        <f>IFERROR((HLOOKUP($AH140,Target_monthwise!$D$4:$O$20,DTR!F$4,FALSE))*1000,0)</f>
        <v>0</v>
      </c>
      <c r="G140" s="238">
        <f>IFERROR((HLOOKUP($AH140,Target_monthwise!$D$4:$O$20,DTR!G$4,FALSE))*1000,0)</f>
        <v>0</v>
      </c>
      <c r="H140" s="238">
        <f>IFERROR((HLOOKUP($AH140,Target_monthwise!$D$4:$O$20,DTR!H$4,FALSE))*1000,0)</f>
        <v>0</v>
      </c>
      <c r="I140" s="238">
        <f>IFERROR((HLOOKUP($AH140,Target_monthwise!$D$4:$O$20,DTR!I$4,FALSE))*1000,0)</f>
        <v>0</v>
      </c>
      <c r="J140" s="238">
        <f>IFERROR((HLOOKUP($AH140,Target_monthwise!$D$4:$O$20,DTR!J$4,FALSE))*1000,0)</f>
        <v>0</v>
      </c>
      <c r="K140" s="238">
        <f>IFERROR((HLOOKUP($AH140,Target_monthwise!$D$4:$O$20,DTR!K$4,FALSE))*1000,0)</f>
        <v>0</v>
      </c>
      <c r="L140" s="238">
        <f>IFERROR((HLOOKUP($AH140,Target_monthwise!$D$4:$O$20,DTR!L$4,FALSE))*1000,0)</f>
        <v>0</v>
      </c>
      <c r="M140" s="238">
        <f>IFERROR((HLOOKUP($AH140,Target_monthwise!$D$4:$O$20,DTR!M$4,FALSE))*1000,0)</f>
        <v>0</v>
      </c>
      <c r="N140" s="238">
        <f>IFERROR((HLOOKUP($AH140,Target_monthwise!$D$4:$O$20,DTR!N$4,FALSE))*1000,0)</f>
        <v>0</v>
      </c>
      <c r="O140" s="238">
        <f>IFERROR((HLOOKUP($AH140,Target_monthwise!$D$4:$O$20,DTR!O$4,FALSE))*1000,0)</f>
        <v>0</v>
      </c>
      <c r="P140" s="238">
        <f>IFERROR((HLOOKUP($AH140,Target_monthwise!$D$4:$O$20,DTR!P$4,FALSE))*1000,0)</f>
        <v>0</v>
      </c>
      <c r="Q140" s="141">
        <f>IFERROR((HLOOKUP($AH140,Target_monthwise!$D$4:$O$20,DTR!Q$4,FALSE))*1000,0)</f>
        <v>0</v>
      </c>
      <c r="R140" s="167">
        <f>IFERROR((HLOOKUP($AH140,Target_monthwise!$D$4:$O$20,DTR!R$4,FALSE))*1000,0)</f>
        <v>0</v>
      </c>
      <c r="S140" s="239">
        <f>IFERROR((HLOOKUP($AH140,Target_monthwise!$D$24:$O$40,DTR!S$4,FALSE)),0)</f>
        <v>0</v>
      </c>
      <c r="T140" s="239">
        <f>IFERROR((HLOOKUP($AH140,Target_monthwise!$D$24:$O$40,DTR!T$4,FALSE)),0)</f>
        <v>0</v>
      </c>
      <c r="U140" s="239">
        <f>IFERROR((HLOOKUP($AH140,Target_monthwise!$D$24:$O$40,DTR!U$4,FALSE)),0)</f>
        <v>0</v>
      </c>
      <c r="V140" s="239">
        <f>IFERROR((HLOOKUP($AH140,Target_monthwise!$D$24:$O$40,DTR!V$4,FALSE)),0)</f>
        <v>0</v>
      </c>
      <c r="W140" s="239">
        <f>IFERROR((HLOOKUP($AH140,Target_monthwise!$D$24:$O$40,DTR!W$4,FALSE)),0)</f>
        <v>0</v>
      </c>
      <c r="X140" s="239">
        <f>IFERROR((HLOOKUP($AH140,Target_monthwise!$D$24:$O$40,DTR!X$4,FALSE)),0)</f>
        <v>0</v>
      </c>
      <c r="Y140" s="239">
        <f>IFERROR((HLOOKUP($AH140,Target_monthwise!$D$24:$O$40,DTR!Y$4,FALSE)),0)</f>
        <v>0</v>
      </c>
      <c r="Z140" s="147">
        <f>IFERROR((HLOOKUP($AH140,Target_monthwise!$D$24:$O$40,DTR!Z$4,FALSE)),0)</f>
        <v>0</v>
      </c>
      <c r="AA140" s="147">
        <f>IFERROR((HLOOKUP($AH140,Target_monthwise!$D$24:$O$40,DTR!AA$4,FALSE)),0)</f>
        <v>0</v>
      </c>
      <c r="AB140" s="147">
        <f>IFERROR((HLOOKUP($AH140,Target_monthwise!$D$24:$O$40,DTR!AB$4,FALSE)),0)</f>
        <v>0</v>
      </c>
      <c r="AC140" s="239">
        <f>IFERROR((HLOOKUP($AH140,Target_monthwise!$D$24:$O$40,DTR!AC$4,FALSE)),0)</f>
        <v>0</v>
      </c>
      <c r="AD140" s="239">
        <f>IFERROR((HLOOKUP($AH140,Target_monthwise!$D$24:$O$40,DTR!AD$4,FALSE)),0)</f>
        <v>0</v>
      </c>
      <c r="AE140" s="239">
        <f>IFERROR((HLOOKUP($AH140,Target_monthwise!$D$24:$O$40,DTR!AE$4,FALSE)),0)</f>
        <v>0</v>
      </c>
      <c r="AF140" s="239">
        <f>IFERROR((HLOOKUP($AH140,Target_monthwise!$D$24:$O$40,DTR!AF$4,FALSE)),0)</f>
        <v>0</v>
      </c>
      <c r="AG140" s="172">
        <f>IFERROR((HLOOKUP($AH140,Target_monthwise!$D$24:$O$40,DTR!AG$4,FALSE)),0)</f>
        <v>0</v>
      </c>
      <c r="AH140" s="253">
        <f t="shared" si="2"/>
        <v>202208</v>
      </c>
    </row>
    <row r="141" spans="3:34" ht="15.75" hidden="1">
      <c r="C141" s="235">
        <v>44784</v>
      </c>
      <c r="D141" s="141">
        <f>IFERROR((HLOOKUP($AH141,Target_monthwise!$D$4:$O$20,DTR!D$4,FALSE))*1000,0)</f>
        <v>0</v>
      </c>
      <c r="E141" s="141">
        <f>IFERROR((HLOOKUP($AH141,Target_monthwise!$D$4:$O$20,DTR!E$4,FALSE))*1000,0)</f>
        <v>0</v>
      </c>
      <c r="F141" s="141">
        <f>IFERROR((HLOOKUP($AH141,Target_monthwise!$D$4:$O$20,DTR!F$4,FALSE))*1000,0)</f>
        <v>0</v>
      </c>
      <c r="G141" s="141">
        <f>IFERROR((HLOOKUP($AH141,Target_monthwise!$D$4:$O$20,DTR!G$4,FALSE))*1000,0)</f>
        <v>0</v>
      </c>
      <c r="H141" s="141">
        <f>IFERROR((HLOOKUP($AH141,Target_monthwise!$D$4:$O$20,DTR!H$4,FALSE))*1000,0)</f>
        <v>0</v>
      </c>
      <c r="I141" s="141">
        <f>IFERROR((HLOOKUP($AH141,Target_monthwise!$D$4:$O$20,DTR!I$4,FALSE))*1000,0)</f>
        <v>0</v>
      </c>
      <c r="J141" s="141">
        <f>IFERROR((HLOOKUP($AH141,Target_monthwise!$D$4:$O$20,DTR!J$4,FALSE))*1000,0)</f>
        <v>0</v>
      </c>
      <c r="K141" s="141">
        <f>IFERROR((HLOOKUP($AH141,Target_monthwise!$D$4:$O$20,DTR!K$4,FALSE))*1000,0)</f>
        <v>0</v>
      </c>
      <c r="L141" s="141">
        <f>IFERROR((HLOOKUP($AH141,Target_monthwise!$D$4:$O$20,DTR!L$4,FALSE))*1000,0)</f>
        <v>0</v>
      </c>
      <c r="M141" s="141">
        <f>IFERROR((HLOOKUP($AH141,Target_monthwise!$D$4:$O$20,DTR!M$4,FALSE))*1000,0)</f>
        <v>0</v>
      </c>
      <c r="N141" s="141">
        <f>IFERROR((HLOOKUP($AH141,Target_monthwise!$D$4:$O$20,DTR!N$4,FALSE))*1000,0)</f>
        <v>0</v>
      </c>
      <c r="O141" s="141">
        <f>IFERROR((HLOOKUP($AH141,Target_monthwise!$D$4:$O$20,DTR!O$4,FALSE))*1000,0)</f>
        <v>0</v>
      </c>
      <c r="P141" s="141">
        <f>IFERROR((HLOOKUP($AH141,Target_monthwise!$D$4:$O$20,DTR!P$4,FALSE))*1000,0)</f>
        <v>0</v>
      </c>
      <c r="Q141" s="141">
        <f>IFERROR((HLOOKUP($AH141,Target_monthwise!$D$4:$O$20,DTR!Q$4,FALSE))*1000,0)</f>
        <v>0</v>
      </c>
      <c r="R141" s="167">
        <f>IFERROR((HLOOKUP($AH141,Target_monthwise!$D$4:$O$20,DTR!R$4,FALSE))*1000,0)</f>
        <v>0</v>
      </c>
      <c r="S141" s="147">
        <f>IFERROR((HLOOKUP($AH141,Target_monthwise!$D$24:$O$40,DTR!S$4,FALSE)),0)</f>
        <v>0</v>
      </c>
      <c r="T141" s="147">
        <f>IFERROR((HLOOKUP($AH141,Target_monthwise!$D$24:$O$40,DTR!T$4,FALSE)),0)</f>
        <v>0</v>
      </c>
      <c r="U141" s="147">
        <f>IFERROR((HLOOKUP($AH141,Target_monthwise!$D$24:$O$40,DTR!U$4,FALSE)),0)</f>
        <v>0</v>
      </c>
      <c r="V141" s="147">
        <f>IFERROR((HLOOKUP($AH141,Target_monthwise!$D$24:$O$40,DTR!V$4,FALSE)),0)</f>
        <v>0</v>
      </c>
      <c r="W141" s="147">
        <f>IFERROR((HLOOKUP($AH141,Target_monthwise!$D$24:$O$40,DTR!W$4,FALSE)),0)</f>
        <v>0</v>
      </c>
      <c r="X141" s="147">
        <f>IFERROR((HLOOKUP($AH141,Target_monthwise!$D$24:$O$40,DTR!X$4,FALSE)),0)</f>
        <v>0</v>
      </c>
      <c r="Y141" s="147">
        <f>IFERROR((HLOOKUP($AH141,Target_monthwise!$D$24:$O$40,DTR!Y$4,FALSE)),0)</f>
        <v>0</v>
      </c>
      <c r="Z141" s="147">
        <f>IFERROR((HLOOKUP($AH141,Target_monthwise!$D$24:$O$40,DTR!Z$4,FALSE)),0)</f>
        <v>0</v>
      </c>
      <c r="AA141" s="147">
        <f>IFERROR((HLOOKUP($AH141,Target_monthwise!$D$24:$O$40,DTR!AA$4,FALSE)),0)</f>
        <v>0</v>
      </c>
      <c r="AB141" s="147">
        <f>IFERROR((HLOOKUP($AH141,Target_monthwise!$D$24:$O$40,DTR!AB$4,FALSE)),0)</f>
        <v>0</v>
      </c>
      <c r="AC141" s="147">
        <f>IFERROR((HLOOKUP($AH141,Target_monthwise!$D$24:$O$40,DTR!AC$4,FALSE)),0)</f>
        <v>0</v>
      </c>
      <c r="AD141" s="147">
        <f>IFERROR((HLOOKUP($AH141,Target_monthwise!$D$24:$O$40,DTR!AD$4,FALSE)),0)</f>
        <v>0</v>
      </c>
      <c r="AE141" s="147">
        <f>IFERROR((HLOOKUP($AH141,Target_monthwise!$D$24:$O$40,DTR!AE$4,FALSE)),0)</f>
        <v>0</v>
      </c>
      <c r="AF141" s="147">
        <f>IFERROR((HLOOKUP($AH141,Target_monthwise!$D$24:$O$40,DTR!AF$4,FALSE)),0)</f>
        <v>0</v>
      </c>
      <c r="AG141" s="172">
        <f>IFERROR((HLOOKUP($AH141,Target_monthwise!$D$24:$O$40,DTR!AG$4,FALSE)),0)</f>
        <v>0</v>
      </c>
      <c r="AH141" s="253">
        <f t="shared" si="2"/>
        <v>202208</v>
      </c>
    </row>
    <row r="142" spans="3:34" ht="15.75" hidden="1">
      <c r="C142" s="237">
        <v>44785</v>
      </c>
      <c r="D142" s="238">
        <f>IFERROR((HLOOKUP($AH142,Target_monthwise!$D$4:$O$20,DTR!D$4,FALSE))*1000,0)</f>
        <v>0</v>
      </c>
      <c r="E142" s="238">
        <f>IFERROR((HLOOKUP($AH142,Target_monthwise!$D$4:$O$20,DTR!E$4,FALSE))*1000,0)</f>
        <v>0</v>
      </c>
      <c r="F142" s="238">
        <f>IFERROR((HLOOKUP($AH142,Target_monthwise!$D$4:$O$20,DTR!F$4,FALSE))*1000,0)</f>
        <v>0</v>
      </c>
      <c r="G142" s="238">
        <f>IFERROR((HLOOKUP($AH142,Target_monthwise!$D$4:$O$20,DTR!G$4,FALSE))*1000,0)</f>
        <v>0</v>
      </c>
      <c r="H142" s="238">
        <f>IFERROR((HLOOKUP($AH142,Target_monthwise!$D$4:$O$20,DTR!H$4,FALSE))*1000,0)</f>
        <v>0</v>
      </c>
      <c r="I142" s="238">
        <f>IFERROR((HLOOKUP($AH142,Target_monthwise!$D$4:$O$20,DTR!I$4,FALSE))*1000,0)</f>
        <v>0</v>
      </c>
      <c r="J142" s="238">
        <f>IFERROR((HLOOKUP($AH142,Target_monthwise!$D$4:$O$20,DTR!J$4,FALSE))*1000,0)</f>
        <v>0</v>
      </c>
      <c r="K142" s="238">
        <f>IFERROR((HLOOKUP($AH142,Target_monthwise!$D$4:$O$20,DTR!K$4,FALSE))*1000,0)</f>
        <v>0</v>
      </c>
      <c r="L142" s="238">
        <f>IFERROR((HLOOKUP($AH142,Target_monthwise!$D$4:$O$20,DTR!L$4,FALSE))*1000,0)</f>
        <v>0</v>
      </c>
      <c r="M142" s="238">
        <f>IFERROR((HLOOKUP($AH142,Target_monthwise!$D$4:$O$20,DTR!M$4,FALSE))*1000,0)</f>
        <v>0</v>
      </c>
      <c r="N142" s="238">
        <f>IFERROR((HLOOKUP($AH142,Target_monthwise!$D$4:$O$20,DTR!N$4,FALSE))*1000,0)</f>
        <v>0</v>
      </c>
      <c r="O142" s="238">
        <f>IFERROR((HLOOKUP($AH142,Target_monthwise!$D$4:$O$20,DTR!O$4,FALSE))*1000,0)</f>
        <v>0</v>
      </c>
      <c r="P142" s="238">
        <f>IFERROR((HLOOKUP($AH142,Target_monthwise!$D$4:$O$20,DTR!P$4,FALSE))*1000,0)</f>
        <v>0</v>
      </c>
      <c r="Q142" s="141">
        <f>IFERROR((HLOOKUP($AH142,Target_monthwise!$D$4:$O$20,DTR!Q$4,FALSE))*1000,0)</f>
        <v>0</v>
      </c>
      <c r="R142" s="167">
        <f>IFERROR((HLOOKUP($AH142,Target_monthwise!$D$4:$O$20,DTR!R$4,FALSE))*1000,0)</f>
        <v>0</v>
      </c>
      <c r="S142" s="239">
        <f>IFERROR((HLOOKUP($AH142,Target_monthwise!$D$24:$O$40,DTR!S$4,FALSE)),0)</f>
        <v>0</v>
      </c>
      <c r="T142" s="239">
        <f>IFERROR((HLOOKUP($AH142,Target_monthwise!$D$24:$O$40,DTR!T$4,FALSE)),0)</f>
        <v>0</v>
      </c>
      <c r="U142" s="239">
        <f>IFERROR((HLOOKUP($AH142,Target_monthwise!$D$24:$O$40,DTR!U$4,FALSE)),0)</f>
        <v>0</v>
      </c>
      <c r="V142" s="239">
        <f>IFERROR((HLOOKUP($AH142,Target_monthwise!$D$24:$O$40,DTR!V$4,FALSE)),0)</f>
        <v>0</v>
      </c>
      <c r="W142" s="239">
        <f>IFERROR((HLOOKUP($AH142,Target_monthwise!$D$24:$O$40,DTR!W$4,FALSE)),0)</f>
        <v>0</v>
      </c>
      <c r="X142" s="239">
        <f>IFERROR((HLOOKUP($AH142,Target_monthwise!$D$24:$O$40,DTR!X$4,FALSE)),0)</f>
        <v>0</v>
      </c>
      <c r="Y142" s="239">
        <f>IFERROR((HLOOKUP($AH142,Target_monthwise!$D$24:$O$40,DTR!Y$4,FALSE)),0)</f>
        <v>0</v>
      </c>
      <c r="Z142" s="147">
        <f>IFERROR((HLOOKUP($AH142,Target_monthwise!$D$24:$O$40,DTR!Z$4,FALSE)),0)</f>
        <v>0</v>
      </c>
      <c r="AA142" s="147">
        <f>IFERROR((HLOOKUP($AH142,Target_monthwise!$D$24:$O$40,DTR!AA$4,FALSE)),0)</f>
        <v>0</v>
      </c>
      <c r="AB142" s="147">
        <f>IFERROR((HLOOKUP($AH142,Target_monthwise!$D$24:$O$40,DTR!AB$4,FALSE)),0)</f>
        <v>0</v>
      </c>
      <c r="AC142" s="239">
        <f>IFERROR((HLOOKUP($AH142,Target_monthwise!$D$24:$O$40,DTR!AC$4,FALSE)),0)</f>
        <v>0</v>
      </c>
      <c r="AD142" s="239">
        <f>IFERROR((HLOOKUP($AH142,Target_monthwise!$D$24:$O$40,DTR!AD$4,FALSE)),0)</f>
        <v>0</v>
      </c>
      <c r="AE142" s="239">
        <f>IFERROR((HLOOKUP($AH142,Target_monthwise!$D$24:$O$40,DTR!AE$4,FALSE)),0)</f>
        <v>0</v>
      </c>
      <c r="AF142" s="239">
        <f>IFERROR((HLOOKUP($AH142,Target_monthwise!$D$24:$O$40,DTR!AF$4,FALSE)),0)</f>
        <v>0</v>
      </c>
      <c r="AG142" s="172">
        <f>IFERROR((HLOOKUP($AH142,Target_monthwise!$D$24:$O$40,DTR!AG$4,FALSE)),0)</f>
        <v>0</v>
      </c>
      <c r="AH142" s="253">
        <f t="shared" si="2"/>
        <v>202208</v>
      </c>
    </row>
    <row r="143" spans="3:34" ht="15.75" hidden="1">
      <c r="C143" s="235">
        <v>44786</v>
      </c>
      <c r="D143" s="141">
        <f>IFERROR((HLOOKUP($AH143,Target_monthwise!$D$4:$O$20,DTR!D$4,FALSE))*1000,0)</f>
        <v>0</v>
      </c>
      <c r="E143" s="141">
        <f>IFERROR((HLOOKUP($AH143,Target_monthwise!$D$4:$O$20,DTR!E$4,FALSE))*1000,0)</f>
        <v>0</v>
      </c>
      <c r="F143" s="141">
        <f>IFERROR((HLOOKUP($AH143,Target_monthwise!$D$4:$O$20,DTR!F$4,FALSE))*1000,0)</f>
        <v>0</v>
      </c>
      <c r="G143" s="141">
        <f>IFERROR((HLOOKUP($AH143,Target_monthwise!$D$4:$O$20,DTR!G$4,FALSE))*1000,0)</f>
        <v>0</v>
      </c>
      <c r="H143" s="141">
        <f>IFERROR((HLOOKUP($AH143,Target_monthwise!$D$4:$O$20,DTR!H$4,FALSE))*1000,0)</f>
        <v>0</v>
      </c>
      <c r="I143" s="141">
        <f>IFERROR((HLOOKUP($AH143,Target_monthwise!$D$4:$O$20,DTR!I$4,FALSE))*1000,0)</f>
        <v>0</v>
      </c>
      <c r="J143" s="141">
        <f>IFERROR((HLOOKUP($AH143,Target_monthwise!$D$4:$O$20,DTR!J$4,FALSE))*1000,0)</f>
        <v>0</v>
      </c>
      <c r="K143" s="141">
        <f>IFERROR((HLOOKUP($AH143,Target_monthwise!$D$4:$O$20,DTR!K$4,FALSE))*1000,0)</f>
        <v>0</v>
      </c>
      <c r="L143" s="141">
        <f>IFERROR((HLOOKUP($AH143,Target_monthwise!$D$4:$O$20,DTR!L$4,FALSE))*1000,0)</f>
        <v>0</v>
      </c>
      <c r="M143" s="141">
        <f>IFERROR((HLOOKUP($AH143,Target_monthwise!$D$4:$O$20,DTR!M$4,FALSE))*1000,0)</f>
        <v>0</v>
      </c>
      <c r="N143" s="141">
        <f>IFERROR((HLOOKUP($AH143,Target_monthwise!$D$4:$O$20,DTR!N$4,FALSE))*1000,0)</f>
        <v>0</v>
      </c>
      <c r="O143" s="141">
        <f>IFERROR((HLOOKUP($AH143,Target_monthwise!$D$4:$O$20,DTR!O$4,FALSE))*1000,0)</f>
        <v>0</v>
      </c>
      <c r="P143" s="141">
        <f>IFERROR((HLOOKUP($AH143,Target_monthwise!$D$4:$O$20,DTR!P$4,FALSE))*1000,0)</f>
        <v>0</v>
      </c>
      <c r="Q143" s="141">
        <f>IFERROR((HLOOKUP($AH143,Target_monthwise!$D$4:$O$20,DTR!Q$4,FALSE))*1000,0)</f>
        <v>0</v>
      </c>
      <c r="R143" s="167">
        <f>IFERROR((HLOOKUP($AH143,Target_monthwise!$D$4:$O$20,DTR!R$4,FALSE))*1000,0)</f>
        <v>0</v>
      </c>
      <c r="S143" s="147">
        <f>IFERROR((HLOOKUP($AH143,Target_monthwise!$D$24:$O$40,DTR!S$4,FALSE)),0)</f>
        <v>0</v>
      </c>
      <c r="T143" s="147">
        <f>IFERROR((HLOOKUP($AH143,Target_monthwise!$D$24:$O$40,DTR!T$4,FALSE)),0)</f>
        <v>0</v>
      </c>
      <c r="U143" s="147">
        <f>IFERROR((HLOOKUP($AH143,Target_monthwise!$D$24:$O$40,DTR!U$4,FALSE)),0)</f>
        <v>0</v>
      </c>
      <c r="V143" s="147">
        <f>IFERROR((HLOOKUP($AH143,Target_monthwise!$D$24:$O$40,DTR!V$4,FALSE)),0)</f>
        <v>0</v>
      </c>
      <c r="W143" s="147">
        <f>IFERROR((HLOOKUP($AH143,Target_monthwise!$D$24:$O$40,DTR!W$4,FALSE)),0)</f>
        <v>0</v>
      </c>
      <c r="X143" s="147">
        <f>IFERROR((HLOOKUP($AH143,Target_monthwise!$D$24:$O$40,DTR!X$4,FALSE)),0)</f>
        <v>0</v>
      </c>
      <c r="Y143" s="147">
        <f>IFERROR((HLOOKUP($AH143,Target_monthwise!$D$24:$O$40,DTR!Y$4,FALSE)),0)</f>
        <v>0</v>
      </c>
      <c r="Z143" s="147">
        <f>IFERROR((HLOOKUP($AH143,Target_monthwise!$D$24:$O$40,DTR!Z$4,FALSE)),0)</f>
        <v>0</v>
      </c>
      <c r="AA143" s="147">
        <f>IFERROR((HLOOKUP($AH143,Target_monthwise!$D$24:$O$40,DTR!AA$4,FALSE)),0)</f>
        <v>0</v>
      </c>
      <c r="AB143" s="147">
        <f>IFERROR((HLOOKUP($AH143,Target_monthwise!$D$24:$O$40,DTR!AB$4,FALSE)),0)</f>
        <v>0</v>
      </c>
      <c r="AC143" s="147">
        <f>IFERROR((HLOOKUP($AH143,Target_monthwise!$D$24:$O$40,DTR!AC$4,FALSE)),0)</f>
        <v>0</v>
      </c>
      <c r="AD143" s="147">
        <f>IFERROR((HLOOKUP($AH143,Target_monthwise!$D$24:$O$40,DTR!AD$4,FALSE)),0)</f>
        <v>0</v>
      </c>
      <c r="AE143" s="147">
        <f>IFERROR((HLOOKUP($AH143,Target_monthwise!$D$24:$O$40,DTR!AE$4,FALSE)),0)</f>
        <v>0</v>
      </c>
      <c r="AF143" s="147">
        <f>IFERROR((HLOOKUP($AH143,Target_monthwise!$D$24:$O$40,DTR!AF$4,FALSE)),0)</f>
        <v>0</v>
      </c>
      <c r="AG143" s="172">
        <f>IFERROR((HLOOKUP($AH143,Target_monthwise!$D$24:$O$40,DTR!AG$4,FALSE)),0)</f>
        <v>0</v>
      </c>
      <c r="AH143" s="253">
        <f t="shared" si="2"/>
        <v>202208</v>
      </c>
    </row>
    <row r="144" spans="3:34" ht="15.75" hidden="1">
      <c r="C144" s="237">
        <v>44787</v>
      </c>
      <c r="D144" s="238">
        <f>IFERROR((HLOOKUP($AH144,Target_monthwise!$D$4:$O$20,DTR!D$4,FALSE))*1000,0)</f>
        <v>0</v>
      </c>
      <c r="E144" s="238">
        <f>IFERROR((HLOOKUP($AH144,Target_monthwise!$D$4:$O$20,DTR!E$4,FALSE))*1000,0)</f>
        <v>0</v>
      </c>
      <c r="F144" s="238">
        <f>IFERROR((HLOOKUP($AH144,Target_monthwise!$D$4:$O$20,DTR!F$4,FALSE))*1000,0)</f>
        <v>0</v>
      </c>
      <c r="G144" s="238">
        <f>IFERROR((HLOOKUP($AH144,Target_monthwise!$D$4:$O$20,DTR!G$4,FALSE))*1000,0)</f>
        <v>0</v>
      </c>
      <c r="H144" s="238">
        <f>IFERROR((HLOOKUP($AH144,Target_monthwise!$D$4:$O$20,DTR!H$4,FALSE))*1000,0)</f>
        <v>0</v>
      </c>
      <c r="I144" s="238">
        <f>IFERROR((HLOOKUP($AH144,Target_monthwise!$D$4:$O$20,DTR!I$4,FALSE))*1000,0)</f>
        <v>0</v>
      </c>
      <c r="J144" s="238">
        <f>IFERROR((HLOOKUP($AH144,Target_monthwise!$D$4:$O$20,DTR!J$4,FALSE))*1000,0)</f>
        <v>0</v>
      </c>
      <c r="K144" s="238">
        <f>IFERROR((HLOOKUP($AH144,Target_monthwise!$D$4:$O$20,DTR!K$4,FALSE))*1000,0)</f>
        <v>0</v>
      </c>
      <c r="L144" s="238">
        <f>IFERROR((HLOOKUP($AH144,Target_monthwise!$D$4:$O$20,DTR!L$4,FALSE))*1000,0)</f>
        <v>0</v>
      </c>
      <c r="M144" s="238">
        <f>IFERROR((HLOOKUP($AH144,Target_monthwise!$D$4:$O$20,DTR!M$4,FALSE))*1000,0)</f>
        <v>0</v>
      </c>
      <c r="N144" s="238">
        <f>IFERROR((HLOOKUP($AH144,Target_monthwise!$D$4:$O$20,DTR!N$4,FALSE))*1000,0)</f>
        <v>0</v>
      </c>
      <c r="O144" s="238">
        <f>IFERROR((HLOOKUP($AH144,Target_monthwise!$D$4:$O$20,DTR!O$4,FALSE))*1000,0)</f>
        <v>0</v>
      </c>
      <c r="P144" s="238">
        <f>IFERROR((HLOOKUP($AH144,Target_monthwise!$D$4:$O$20,DTR!P$4,FALSE))*1000,0)</f>
        <v>0</v>
      </c>
      <c r="Q144" s="141">
        <f>IFERROR((HLOOKUP($AH144,Target_monthwise!$D$4:$O$20,DTR!Q$4,FALSE))*1000,0)</f>
        <v>0</v>
      </c>
      <c r="R144" s="167">
        <f>IFERROR((HLOOKUP($AH144,Target_monthwise!$D$4:$O$20,DTR!R$4,FALSE))*1000,0)</f>
        <v>0</v>
      </c>
      <c r="S144" s="239">
        <f>IFERROR((HLOOKUP($AH144,Target_monthwise!$D$24:$O$40,DTR!S$4,FALSE)),0)</f>
        <v>0</v>
      </c>
      <c r="T144" s="239">
        <f>IFERROR((HLOOKUP($AH144,Target_monthwise!$D$24:$O$40,DTR!T$4,FALSE)),0)</f>
        <v>0</v>
      </c>
      <c r="U144" s="239">
        <f>IFERROR((HLOOKUP($AH144,Target_monthwise!$D$24:$O$40,DTR!U$4,FALSE)),0)</f>
        <v>0</v>
      </c>
      <c r="V144" s="239">
        <f>IFERROR((HLOOKUP($AH144,Target_monthwise!$D$24:$O$40,DTR!V$4,FALSE)),0)</f>
        <v>0</v>
      </c>
      <c r="W144" s="239">
        <f>IFERROR((HLOOKUP($AH144,Target_monthwise!$D$24:$O$40,DTR!W$4,FALSE)),0)</f>
        <v>0</v>
      </c>
      <c r="X144" s="239">
        <f>IFERROR((HLOOKUP($AH144,Target_monthwise!$D$24:$O$40,DTR!X$4,FALSE)),0)</f>
        <v>0</v>
      </c>
      <c r="Y144" s="239">
        <f>IFERROR((HLOOKUP($AH144,Target_monthwise!$D$24:$O$40,DTR!Y$4,FALSE)),0)</f>
        <v>0</v>
      </c>
      <c r="Z144" s="147">
        <f>IFERROR((HLOOKUP($AH144,Target_monthwise!$D$24:$O$40,DTR!Z$4,FALSE)),0)</f>
        <v>0</v>
      </c>
      <c r="AA144" s="147">
        <f>IFERROR((HLOOKUP($AH144,Target_monthwise!$D$24:$O$40,DTR!AA$4,FALSE)),0)</f>
        <v>0</v>
      </c>
      <c r="AB144" s="147">
        <f>IFERROR((HLOOKUP($AH144,Target_monthwise!$D$24:$O$40,DTR!AB$4,FALSE)),0)</f>
        <v>0</v>
      </c>
      <c r="AC144" s="239">
        <f>IFERROR((HLOOKUP($AH144,Target_monthwise!$D$24:$O$40,DTR!AC$4,FALSE)),0)</f>
        <v>0</v>
      </c>
      <c r="AD144" s="239">
        <f>IFERROR((HLOOKUP($AH144,Target_monthwise!$D$24:$O$40,DTR!AD$4,FALSE)),0)</f>
        <v>0</v>
      </c>
      <c r="AE144" s="239">
        <f>IFERROR((HLOOKUP($AH144,Target_monthwise!$D$24:$O$40,DTR!AE$4,FALSE)),0)</f>
        <v>0</v>
      </c>
      <c r="AF144" s="239">
        <f>IFERROR((HLOOKUP($AH144,Target_monthwise!$D$24:$O$40,DTR!AF$4,FALSE)),0)</f>
        <v>0</v>
      </c>
      <c r="AG144" s="172">
        <f>IFERROR((HLOOKUP($AH144,Target_monthwise!$D$24:$O$40,DTR!AG$4,FALSE)),0)</f>
        <v>0</v>
      </c>
      <c r="AH144" s="253">
        <f t="shared" si="2"/>
        <v>202208</v>
      </c>
    </row>
    <row r="145" spans="3:34" ht="15.75" hidden="1">
      <c r="C145" s="235">
        <v>44788</v>
      </c>
      <c r="D145" s="141">
        <f>IFERROR((HLOOKUP($AH145,Target_monthwise!$D$4:$O$20,DTR!D$4,FALSE))*1000,0)</f>
        <v>0</v>
      </c>
      <c r="E145" s="141">
        <f>IFERROR((HLOOKUP($AH145,Target_monthwise!$D$4:$O$20,DTR!E$4,FALSE))*1000,0)</f>
        <v>0</v>
      </c>
      <c r="F145" s="141">
        <f>IFERROR((HLOOKUP($AH145,Target_monthwise!$D$4:$O$20,DTR!F$4,FALSE))*1000,0)</f>
        <v>0</v>
      </c>
      <c r="G145" s="141">
        <f>IFERROR((HLOOKUP($AH145,Target_monthwise!$D$4:$O$20,DTR!G$4,FALSE))*1000,0)</f>
        <v>0</v>
      </c>
      <c r="H145" s="141">
        <f>IFERROR((HLOOKUP($AH145,Target_monthwise!$D$4:$O$20,DTR!H$4,FALSE))*1000,0)</f>
        <v>0</v>
      </c>
      <c r="I145" s="141">
        <f>IFERROR((HLOOKUP($AH145,Target_monthwise!$D$4:$O$20,DTR!I$4,FALSE))*1000,0)</f>
        <v>0</v>
      </c>
      <c r="J145" s="141">
        <f>IFERROR((HLOOKUP($AH145,Target_monthwise!$D$4:$O$20,DTR!J$4,FALSE))*1000,0)</f>
        <v>0</v>
      </c>
      <c r="K145" s="141">
        <f>IFERROR((HLOOKUP($AH145,Target_monthwise!$D$4:$O$20,DTR!K$4,FALSE))*1000,0)</f>
        <v>0</v>
      </c>
      <c r="L145" s="141">
        <f>IFERROR((HLOOKUP($AH145,Target_monthwise!$D$4:$O$20,DTR!L$4,FALSE))*1000,0)</f>
        <v>0</v>
      </c>
      <c r="M145" s="141">
        <f>IFERROR((HLOOKUP($AH145,Target_monthwise!$D$4:$O$20,DTR!M$4,FALSE))*1000,0)</f>
        <v>0</v>
      </c>
      <c r="N145" s="141">
        <f>IFERROR((HLOOKUP($AH145,Target_monthwise!$D$4:$O$20,DTR!N$4,FALSE))*1000,0)</f>
        <v>0</v>
      </c>
      <c r="O145" s="141">
        <f>IFERROR((HLOOKUP($AH145,Target_monthwise!$D$4:$O$20,DTR!O$4,FALSE))*1000,0)</f>
        <v>0</v>
      </c>
      <c r="P145" s="141">
        <f>IFERROR((HLOOKUP($AH145,Target_monthwise!$D$4:$O$20,DTR!P$4,FALSE))*1000,0)</f>
        <v>0</v>
      </c>
      <c r="Q145" s="141">
        <f>IFERROR((HLOOKUP($AH145,Target_monthwise!$D$4:$O$20,DTR!Q$4,FALSE))*1000,0)</f>
        <v>0</v>
      </c>
      <c r="R145" s="167">
        <f>IFERROR((HLOOKUP($AH145,Target_monthwise!$D$4:$O$20,DTR!R$4,FALSE))*1000,0)</f>
        <v>0</v>
      </c>
      <c r="S145" s="147">
        <f>IFERROR((HLOOKUP($AH145,Target_monthwise!$D$24:$O$40,DTR!S$4,FALSE)),0)</f>
        <v>0</v>
      </c>
      <c r="T145" s="147">
        <f>IFERROR((HLOOKUP($AH145,Target_monthwise!$D$24:$O$40,DTR!T$4,FALSE)),0)</f>
        <v>0</v>
      </c>
      <c r="U145" s="147">
        <f>IFERROR((HLOOKUP($AH145,Target_monthwise!$D$24:$O$40,DTR!U$4,FALSE)),0)</f>
        <v>0</v>
      </c>
      <c r="V145" s="147">
        <f>IFERROR((HLOOKUP($AH145,Target_monthwise!$D$24:$O$40,DTR!V$4,FALSE)),0)</f>
        <v>0</v>
      </c>
      <c r="W145" s="147">
        <f>IFERROR((HLOOKUP($AH145,Target_monthwise!$D$24:$O$40,DTR!W$4,FALSE)),0)</f>
        <v>0</v>
      </c>
      <c r="X145" s="147">
        <f>IFERROR((HLOOKUP($AH145,Target_monthwise!$D$24:$O$40,DTR!X$4,FALSE)),0)</f>
        <v>0</v>
      </c>
      <c r="Y145" s="147">
        <f>IFERROR((HLOOKUP($AH145,Target_monthwise!$D$24:$O$40,DTR!Y$4,FALSE)),0)</f>
        <v>0</v>
      </c>
      <c r="Z145" s="147">
        <f>IFERROR((HLOOKUP($AH145,Target_monthwise!$D$24:$O$40,DTR!Z$4,FALSE)),0)</f>
        <v>0</v>
      </c>
      <c r="AA145" s="147">
        <f>IFERROR((HLOOKUP($AH145,Target_monthwise!$D$24:$O$40,DTR!AA$4,FALSE)),0)</f>
        <v>0</v>
      </c>
      <c r="AB145" s="147">
        <f>IFERROR((HLOOKUP($AH145,Target_monthwise!$D$24:$O$40,DTR!AB$4,FALSE)),0)</f>
        <v>0</v>
      </c>
      <c r="AC145" s="147">
        <f>IFERROR((HLOOKUP($AH145,Target_monthwise!$D$24:$O$40,DTR!AC$4,FALSE)),0)</f>
        <v>0</v>
      </c>
      <c r="AD145" s="147">
        <f>IFERROR((HLOOKUP($AH145,Target_monthwise!$D$24:$O$40,DTR!AD$4,FALSE)),0)</f>
        <v>0</v>
      </c>
      <c r="AE145" s="147">
        <f>IFERROR((HLOOKUP($AH145,Target_monthwise!$D$24:$O$40,DTR!AE$4,FALSE)),0)</f>
        <v>0</v>
      </c>
      <c r="AF145" s="147">
        <f>IFERROR((HLOOKUP($AH145,Target_monthwise!$D$24:$O$40,DTR!AF$4,FALSE)),0)</f>
        <v>0</v>
      </c>
      <c r="AG145" s="172">
        <f>IFERROR((HLOOKUP($AH145,Target_monthwise!$D$24:$O$40,DTR!AG$4,FALSE)),0)</f>
        <v>0</v>
      </c>
      <c r="AH145" s="253">
        <f t="shared" si="2"/>
        <v>202208</v>
      </c>
    </row>
    <row r="146" spans="3:34" ht="15.75" hidden="1">
      <c r="C146" s="237">
        <v>44789</v>
      </c>
      <c r="D146" s="238">
        <f>IFERROR((HLOOKUP($AH146,Target_monthwise!$D$4:$O$20,DTR!D$4,FALSE))*1000,0)</f>
        <v>0</v>
      </c>
      <c r="E146" s="238">
        <f>IFERROR((HLOOKUP($AH146,Target_monthwise!$D$4:$O$20,DTR!E$4,FALSE))*1000,0)</f>
        <v>0</v>
      </c>
      <c r="F146" s="238">
        <f>IFERROR((HLOOKUP($AH146,Target_monthwise!$D$4:$O$20,DTR!F$4,FALSE))*1000,0)</f>
        <v>0</v>
      </c>
      <c r="G146" s="238">
        <f>IFERROR((HLOOKUP($AH146,Target_monthwise!$D$4:$O$20,DTR!G$4,FALSE))*1000,0)</f>
        <v>0</v>
      </c>
      <c r="H146" s="238">
        <f>IFERROR((HLOOKUP($AH146,Target_monthwise!$D$4:$O$20,DTR!H$4,FALSE))*1000,0)</f>
        <v>0</v>
      </c>
      <c r="I146" s="238">
        <f>IFERROR((HLOOKUP($AH146,Target_monthwise!$D$4:$O$20,DTR!I$4,FALSE))*1000,0)</f>
        <v>0</v>
      </c>
      <c r="J146" s="238">
        <f>IFERROR((HLOOKUP($AH146,Target_monthwise!$D$4:$O$20,DTR!J$4,FALSE))*1000,0)</f>
        <v>0</v>
      </c>
      <c r="K146" s="238">
        <f>IFERROR((HLOOKUP($AH146,Target_monthwise!$D$4:$O$20,DTR!K$4,FALSE))*1000,0)</f>
        <v>0</v>
      </c>
      <c r="L146" s="238">
        <f>IFERROR((HLOOKUP($AH146,Target_monthwise!$D$4:$O$20,DTR!L$4,FALSE))*1000,0)</f>
        <v>0</v>
      </c>
      <c r="M146" s="238">
        <f>IFERROR((HLOOKUP($AH146,Target_monthwise!$D$4:$O$20,DTR!M$4,FALSE))*1000,0)</f>
        <v>0</v>
      </c>
      <c r="N146" s="238">
        <f>IFERROR((HLOOKUP($AH146,Target_monthwise!$D$4:$O$20,DTR!N$4,FALSE))*1000,0)</f>
        <v>0</v>
      </c>
      <c r="O146" s="238">
        <f>IFERROR((HLOOKUP($AH146,Target_monthwise!$D$4:$O$20,DTR!O$4,FALSE))*1000,0)</f>
        <v>0</v>
      </c>
      <c r="P146" s="238">
        <f>IFERROR((HLOOKUP($AH146,Target_monthwise!$D$4:$O$20,DTR!P$4,FALSE))*1000,0)</f>
        <v>0</v>
      </c>
      <c r="Q146" s="141">
        <f>IFERROR((HLOOKUP($AH146,Target_monthwise!$D$4:$O$20,DTR!Q$4,FALSE))*1000,0)</f>
        <v>0</v>
      </c>
      <c r="R146" s="167">
        <f>IFERROR((HLOOKUP($AH146,Target_monthwise!$D$4:$O$20,DTR!R$4,FALSE))*1000,0)</f>
        <v>0</v>
      </c>
      <c r="S146" s="239">
        <f>IFERROR((HLOOKUP($AH146,Target_monthwise!$D$24:$O$40,DTR!S$4,FALSE)),0)</f>
        <v>0</v>
      </c>
      <c r="T146" s="239">
        <f>IFERROR((HLOOKUP($AH146,Target_monthwise!$D$24:$O$40,DTR!T$4,FALSE)),0)</f>
        <v>0</v>
      </c>
      <c r="U146" s="239">
        <f>IFERROR((HLOOKUP($AH146,Target_monthwise!$D$24:$O$40,DTR!U$4,FALSE)),0)</f>
        <v>0</v>
      </c>
      <c r="V146" s="239">
        <f>IFERROR((HLOOKUP($AH146,Target_monthwise!$D$24:$O$40,DTR!V$4,FALSE)),0)</f>
        <v>0</v>
      </c>
      <c r="W146" s="239">
        <f>IFERROR((HLOOKUP($AH146,Target_monthwise!$D$24:$O$40,DTR!W$4,FALSE)),0)</f>
        <v>0</v>
      </c>
      <c r="X146" s="239">
        <f>IFERROR((HLOOKUP($AH146,Target_monthwise!$D$24:$O$40,DTR!X$4,FALSE)),0)</f>
        <v>0</v>
      </c>
      <c r="Y146" s="239">
        <f>IFERROR((HLOOKUP($AH146,Target_monthwise!$D$24:$O$40,DTR!Y$4,FALSE)),0)</f>
        <v>0</v>
      </c>
      <c r="Z146" s="147">
        <f>IFERROR((HLOOKUP($AH146,Target_monthwise!$D$24:$O$40,DTR!Z$4,FALSE)),0)</f>
        <v>0</v>
      </c>
      <c r="AA146" s="147">
        <f>IFERROR((HLOOKUP($AH146,Target_monthwise!$D$24:$O$40,DTR!AA$4,FALSE)),0)</f>
        <v>0</v>
      </c>
      <c r="AB146" s="147">
        <f>IFERROR((HLOOKUP($AH146,Target_monthwise!$D$24:$O$40,DTR!AB$4,FALSE)),0)</f>
        <v>0</v>
      </c>
      <c r="AC146" s="239">
        <f>IFERROR((HLOOKUP($AH146,Target_monthwise!$D$24:$O$40,DTR!AC$4,FALSE)),0)</f>
        <v>0</v>
      </c>
      <c r="AD146" s="239">
        <f>IFERROR((HLOOKUP($AH146,Target_monthwise!$D$24:$O$40,DTR!AD$4,FALSE)),0)</f>
        <v>0</v>
      </c>
      <c r="AE146" s="239">
        <f>IFERROR((HLOOKUP($AH146,Target_monthwise!$D$24:$O$40,DTR!AE$4,FALSE)),0)</f>
        <v>0</v>
      </c>
      <c r="AF146" s="239">
        <f>IFERROR((HLOOKUP($AH146,Target_monthwise!$D$24:$O$40,DTR!AF$4,FALSE)),0)</f>
        <v>0</v>
      </c>
      <c r="AG146" s="172">
        <f>IFERROR((HLOOKUP($AH146,Target_monthwise!$D$24:$O$40,DTR!AG$4,FALSE)),0)</f>
        <v>0</v>
      </c>
      <c r="AH146" s="253">
        <f t="shared" si="2"/>
        <v>202208</v>
      </c>
    </row>
    <row r="147" spans="3:34" ht="15.75" hidden="1">
      <c r="C147" s="235">
        <v>44790</v>
      </c>
      <c r="D147" s="141">
        <f>IFERROR((HLOOKUP($AH147,Target_monthwise!$D$4:$O$20,DTR!D$4,FALSE))*1000,0)</f>
        <v>0</v>
      </c>
      <c r="E147" s="141">
        <f>IFERROR((HLOOKUP($AH147,Target_monthwise!$D$4:$O$20,DTR!E$4,FALSE))*1000,0)</f>
        <v>0</v>
      </c>
      <c r="F147" s="141">
        <f>IFERROR((HLOOKUP($AH147,Target_monthwise!$D$4:$O$20,DTR!F$4,FALSE))*1000,0)</f>
        <v>0</v>
      </c>
      <c r="G147" s="141">
        <f>IFERROR((HLOOKUP($AH147,Target_monthwise!$D$4:$O$20,DTR!G$4,FALSE))*1000,0)</f>
        <v>0</v>
      </c>
      <c r="H147" s="141">
        <f>IFERROR((HLOOKUP($AH147,Target_monthwise!$D$4:$O$20,DTR!H$4,FALSE))*1000,0)</f>
        <v>0</v>
      </c>
      <c r="I147" s="141">
        <f>IFERROR((HLOOKUP($AH147,Target_monthwise!$D$4:$O$20,DTR!I$4,FALSE))*1000,0)</f>
        <v>0</v>
      </c>
      <c r="J147" s="141">
        <f>IFERROR((HLOOKUP($AH147,Target_monthwise!$D$4:$O$20,DTR!J$4,FALSE))*1000,0)</f>
        <v>0</v>
      </c>
      <c r="K147" s="141">
        <f>IFERROR((HLOOKUP($AH147,Target_monthwise!$D$4:$O$20,DTR!K$4,FALSE))*1000,0)</f>
        <v>0</v>
      </c>
      <c r="L147" s="141">
        <f>IFERROR((HLOOKUP($AH147,Target_monthwise!$D$4:$O$20,DTR!L$4,FALSE))*1000,0)</f>
        <v>0</v>
      </c>
      <c r="M147" s="141">
        <f>IFERROR((HLOOKUP($AH147,Target_monthwise!$D$4:$O$20,DTR!M$4,FALSE))*1000,0)</f>
        <v>0</v>
      </c>
      <c r="N147" s="141">
        <f>IFERROR((HLOOKUP($AH147,Target_monthwise!$D$4:$O$20,DTR!N$4,FALSE))*1000,0)</f>
        <v>0</v>
      </c>
      <c r="O147" s="141">
        <f>IFERROR((HLOOKUP($AH147,Target_monthwise!$D$4:$O$20,DTR!O$4,FALSE))*1000,0)</f>
        <v>0</v>
      </c>
      <c r="P147" s="141">
        <f>IFERROR((HLOOKUP($AH147,Target_monthwise!$D$4:$O$20,DTR!P$4,FALSE))*1000,0)</f>
        <v>0</v>
      </c>
      <c r="Q147" s="141">
        <f>IFERROR((HLOOKUP($AH147,Target_monthwise!$D$4:$O$20,DTR!Q$4,FALSE))*1000,0)</f>
        <v>0</v>
      </c>
      <c r="R147" s="167">
        <f>IFERROR((HLOOKUP($AH147,Target_monthwise!$D$4:$O$20,DTR!R$4,FALSE))*1000,0)</f>
        <v>0</v>
      </c>
      <c r="S147" s="147">
        <f>IFERROR((HLOOKUP($AH147,Target_monthwise!$D$24:$O$40,DTR!S$4,FALSE)),0)</f>
        <v>0</v>
      </c>
      <c r="T147" s="147">
        <f>IFERROR((HLOOKUP($AH147,Target_monthwise!$D$24:$O$40,DTR!T$4,FALSE)),0)</f>
        <v>0</v>
      </c>
      <c r="U147" s="147">
        <f>IFERROR((HLOOKUP($AH147,Target_monthwise!$D$24:$O$40,DTR!U$4,FALSE)),0)</f>
        <v>0</v>
      </c>
      <c r="V147" s="147">
        <f>IFERROR((HLOOKUP($AH147,Target_monthwise!$D$24:$O$40,DTR!V$4,FALSE)),0)</f>
        <v>0</v>
      </c>
      <c r="W147" s="147">
        <f>IFERROR((HLOOKUP($AH147,Target_monthwise!$D$24:$O$40,DTR!W$4,FALSE)),0)</f>
        <v>0</v>
      </c>
      <c r="X147" s="147">
        <f>IFERROR((HLOOKUP($AH147,Target_monthwise!$D$24:$O$40,DTR!X$4,FALSE)),0)</f>
        <v>0</v>
      </c>
      <c r="Y147" s="147">
        <f>IFERROR((HLOOKUP($AH147,Target_monthwise!$D$24:$O$40,DTR!Y$4,FALSE)),0)</f>
        <v>0</v>
      </c>
      <c r="Z147" s="147">
        <f>IFERROR((HLOOKUP($AH147,Target_monthwise!$D$24:$O$40,DTR!Z$4,FALSE)),0)</f>
        <v>0</v>
      </c>
      <c r="AA147" s="147">
        <f>IFERROR((HLOOKUP($AH147,Target_monthwise!$D$24:$O$40,DTR!AA$4,FALSE)),0)</f>
        <v>0</v>
      </c>
      <c r="AB147" s="147">
        <f>IFERROR((HLOOKUP($AH147,Target_monthwise!$D$24:$O$40,DTR!AB$4,FALSE)),0)</f>
        <v>0</v>
      </c>
      <c r="AC147" s="147">
        <f>IFERROR((HLOOKUP($AH147,Target_monthwise!$D$24:$O$40,DTR!AC$4,FALSE)),0)</f>
        <v>0</v>
      </c>
      <c r="AD147" s="147">
        <f>IFERROR((HLOOKUP($AH147,Target_monthwise!$D$24:$O$40,DTR!AD$4,FALSE)),0)</f>
        <v>0</v>
      </c>
      <c r="AE147" s="147">
        <f>IFERROR((HLOOKUP($AH147,Target_monthwise!$D$24:$O$40,DTR!AE$4,FALSE)),0)</f>
        <v>0</v>
      </c>
      <c r="AF147" s="147">
        <f>IFERROR((HLOOKUP($AH147,Target_monthwise!$D$24:$O$40,DTR!AF$4,FALSE)),0)</f>
        <v>0</v>
      </c>
      <c r="AG147" s="172">
        <f>IFERROR((HLOOKUP($AH147,Target_monthwise!$D$24:$O$40,DTR!AG$4,FALSE)),0)</f>
        <v>0</v>
      </c>
      <c r="AH147" s="253">
        <f t="shared" si="2"/>
        <v>202208</v>
      </c>
    </row>
    <row r="148" spans="3:34" ht="15.75" hidden="1">
      <c r="C148" s="237">
        <v>44791</v>
      </c>
      <c r="D148" s="238">
        <f>IFERROR((HLOOKUP($AH148,Target_monthwise!$D$4:$O$20,DTR!D$4,FALSE))*1000,0)</f>
        <v>0</v>
      </c>
      <c r="E148" s="238">
        <f>IFERROR((HLOOKUP($AH148,Target_monthwise!$D$4:$O$20,DTR!E$4,FALSE))*1000,0)</f>
        <v>0</v>
      </c>
      <c r="F148" s="238">
        <f>IFERROR((HLOOKUP($AH148,Target_monthwise!$D$4:$O$20,DTR!F$4,FALSE))*1000,0)</f>
        <v>0</v>
      </c>
      <c r="G148" s="238">
        <f>IFERROR((HLOOKUP($AH148,Target_monthwise!$D$4:$O$20,DTR!G$4,FALSE))*1000,0)</f>
        <v>0</v>
      </c>
      <c r="H148" s="238">
        <f>IFERROR((HLOOKUP($AH148,Target_monthwise!$D$4:$O$20,DTR!H$4,FALSE))*1000,0)</f>
        <v>0</v>
      </c>
      <c r="I148" s="238">
        <f>IFERROR((HLOOKUP($AH148,Target_monthwise!$D$4:$O$20,DTR!I$4,FALSE))*1000,0)</f>
        <v>0</v>
      </c>
      <c r="J148" s="238">
        <f>IFERROR((HLOOKUP($AH148,Target_monthwise!$D$4:$O$20,DTR!J$4,FALSE))*1000,0)</f>
        <v>0</v>
      </c>
      <c r="K148" s="238">
        <f>IFERROR((HLOOKUP($AH148,Target_monthwise!$D$4:$O$20,DTR!K$4,FALSE))*1000,0)</f>
        <v>0</v>
      </c>
      <c r="L148" s="238">
        <f>IFERROR((HLOOKUP($AH148,Target_monthwise!$D$4:$O$20,DTR!L$4,FALSE))*1000,0)</f>
        <v>0</v>
      </c>
      <c r="M148" s="238">
        <f>IFERROR((HLOOKUP($AH148,Target_monthwise!$D$4:$O$20,DTR!M$4,FALSE))*1000,0)</f>
        <v>0</v>
      </c>
      <c r="N148" s="238">
        <f>IFERROR((HLOOKUP($AH148,Target_monthwise!$D$4:$O$20,DTR!N$4,FALSE))*1000,0)</f>
        <v>0</v>
      </c>
      <c r="O148" s="238">
        <f>IFERROR((HLOOKUP($AH148,Target_monthwise!$D$4:$O$20,DTR!O$4,FALSE))*1000,0)</f>
        <v>0</v>
      </c>
      <c r="P148" s="238">
        <f>IFERROR((HLOOKUP($AH148,Target_monthwise!$D$4:$O$20,DTR!P$4,FALSE))*1000,0)</f>
        <v>0</v>
      </c>
      <c r="Q148" s="141">
        <f>IFERROR((HLOOKUP($AH148,Target_monthwise!$D$4:$O$20,DTR!Q$4,FALSE))*1000,0)</f>
        <v>0</v>
      </c>
      <c r="R148" s="167">
        <f>IFERROR((HLOOKUP($AH148,Target_monthwise!$D$4:$O$20,DTR!R$4,FALSE))*1000,0)</f>
        <v>0</v>
      </c>
      <c r="S148" s="239">
        <f>IFERROR((HLOOKUP($AH148,Target_monthwise!$D$24:$O$40,DTR!S$4,FALSE)),0)</f>
        <v>0</v>
      </c>
      <c r="T148" s="239">
        <f>IFERROR((HLOOKUP($AH148,Target_monthwise!$D$24:$O$40,DTR!T$4,FALSE)),0)</f>
        <v>0</v>
      </c>
      <c r="U148" s="239">
        <f>IFERROR((HLOOKUP($AH148,Target_monthwise!$D$24:$O$40,DTR!U$4,FALSE)),0)</f>
        <v>0</v>
      </c>
      <c r="V148" s="239">
        <f>IFERROR((HLOOKUP($AH148,Target_monthwise!$D$24:$O$40,DTR!V$4,FALSE)),0)</f>
        <v>0</v>
      </c>
      <c r="W148" s="239">
        <f>IFERROR((HLOOKUP($AH148,Target_monthwise!$D$24:$O$40,DTR!W$4,FALSE)),0)</f>
        <v>0</v>
      </c>
      <c r="X148" s="239">
        <f>IFERROR((HLOOKUP($AH148,Target_monthwise!$D$24:$O$40,DTR!X$4,FALSE)),0)</f>
        <v>0</v>
      </c>
      <c r="Y148" s="239">
        <f>IFERROR((HLOOKUP($AH148,Target_monthwise!$D$24:$O$40,DTR!Y$4,FALSE)),0)</f>
        <v>0</v>
      </c>
      <c r="Z148" s="147">
        <f>IFERROR((HLOOKUP($AH148,Target_monthwise!$D$24:$O$40,DTR!Z$4,FALSE)),0)</f>
        <v>0</v>
      </c>
      <c r="AA148" s="147">
        <f>IFERROR((HLOOKUP($AH148,Target_monthwise!$D$24:$O$40,DTR!AA$4,FALSE)),0)</f>
        <v>0</v>
      </c>
      <c r="AB148" s="147">
        <f>IFERROR((HLOOKUP($AH148,Target_monthwise!$D$24:$O$40,DTR!AB$4,FALSE)),0)</f>
        <v>0</v>
      </c>
      <c r="AC148" s="239">
        <f>IFERROR((HLOOKUP($AH148,Target_monthwise!$D$24:$O$40,DTR!AC$4,FALSE)),0)</f>
        <v>0</v>
      </c>
      <c r="AD148" s="239">
        <f>IFERROR((HLOOKUP($AH148,Target_monthwise!$D$24:$O$40,DTR!AD$4,FALSE)),0)</f>
        <v>0</v>
      </c>
      <c r="AE148" s="239">
        <f>IFERROR((HLOOKUP($AH148,Target_monthwise!$D$24:$O$40,DTR!AE$4,FALSE)),0)</f>
        <v>0</v>
      </c>
      <c r="AF148" s="239">
        <f>IFERROR((HLOOKUP($AH148,Target_monthwise!$D$24:$O$40,DTR!AF$4,FALSE)),0)</f>
        <v>0</v>
      </c>
      <c r="AG148" s="172">
        <f>IFERROR((HLOOKUP($AH148,Target_monthwise!$D$24:$O$40,DTR!AG$4,FALSE)),0)</f>
        <v>0</v>
      </c>
      <c r="AH148" s="253">
        <f t="shared" si="2"/>
        <v>202208</v>
      </c>
    </row>
    <row r="149" spans="3:34" ht="15.75" hidden="1">
      <c r="C149" s="235">
        <v>44792</v>
      </c>
      <c r="D149" s="141">
        <f>IFERROR((HLOOKUP($AH149,Target_monthwise!$D$4:$O$20,DTR!D$4,FALSE))*1000,0)</f>
        <v>0</v>
      </c>
      <c r="E149" s="141">
        <f>IFERROR((HLOOKUP($AH149,Target_monthwise!$D$4:$O$20,DTR!E$4,FALSE))*1000,0)</f>
        <v>0</v>
      </c>
      <c r="F149" s="141">
        <f>IFERROR((HLOOKUP($AH149,Target_monthwise!$D$4:$O$20,DTR!F$4,FALSE))*1000,0)</f>
        <v>0</v>
      </c>
      <c r="G149" s="141">
        <f>IFERROR((HLOOKUP($AH149,Target_monthwise!$D$4:$O$20,DTR!G$4,FALSE))*1000,0)</f>
        <v>0</v>
      </c>
      <c r="H149" s="141">
        <f>IFERROR((HLOOKUP($AH149,Target_monthwise!$D$4:$O$20,DTR!H$4,FALSE))*1000,0)</f>
        <v>0</v>
      </c>
      <c r="I149" s="141">
        <f>IFERROR((HLOOKUP($AH149,Target_monthwise!$D$4:$O$20,DTR!I$4,FALSE))*1000,0)</f>
        <v>0</v>
      </c>
      <c r="J149" s="141">
        <f>IFERROR((HLOOKUP($AH149,Target_monthwise!$D$4:$O$20,DTR!J$4,FALSE))*1000,0)</f>
        <v>0</v>
      </c>
      <c r="K149" s="141">
        <f>IFERROR((HLOOKUP($AH149,Target_monthwise!$D$4:$O$20,DTR!K$4,FALSE))*1000,0)</f>
        <v>0</v>
      </c>
      <c r="L149" s="141">
        <f>IFERROR((HLOOKUP($AH149,Target_monthwise!$D$4:$O$20,DTR!L$4,FALSE))*1000,0)</f>
        <v>0</v>
      </c>
      <c r="M149" s="141">
        <f>IFERROR((HLOOKUP($AH149,Target_monthwise!$D$4:$O$20,DTR!M$4,FALSE))*1000,0)</f>
        <v>0</v>
      </c>
      <c r="N149" s="141">
        <f>IFERROR((HLOOKUP($AH149,Target_monthwise!$D$4:$O$20,DTR!N$4,FALSE))*1000,0)</f>
        <v>0</v>
      </c>
      <c r="O149" s="141">
        <f>IFERROR((HLOOKUP($AH149,Target_monthwise!$D$4:$O$20,DTR!O$4,FALSE))*1000,0)</f>
        <v>0</v>
      </c>
      <c r="P149" s="141">
        <f>IFERROR((HLOOKUP($AH149,Target_monthwise!$D$4:$O$20,DTR!P$4,FALSE))*1000,0)</f>
        <v>0</v>
      </c>
      <c r="Q149" s="141">
        <f>IFERROR((HLOOKUP($AH149,Target_monthwise!$D$4:$O$20,DTR!Q$4,FALSE))*1000,0)</f>
        <v>0</v>
      </c>
      <c r="R149" s="167">
        <f>IFERROR((HLOOKUP($AH149,Target_monthwise!$D$4:$O$20,DTR!R$4,FALSE))*1000,0)</f>
        <v>0</v>
      </c>
      <c r="S149" s="147">
        <f>IFERROR((HLOOKUP($AH149,Target_monthwise!$D$24:$O$40,DTR!S$4,FALSE)),0)</f>
        <v>0</v>
      </c>
      <c r="T149" s="147">
        <f>IFERROR((HLOOKUP($AH149,Target_monthwise!$D$24:$O$40,DTR!T$4,FALSE)),0)</f>
        <v>0</v>
      </c>
      <c r="U149" s="147">
        <f>IFERROR((HLOOKUP($AH149,Target_monthwise!$D$24:$O$40,DTR!U$4,FALSE)),0)</f>
        <v>0</v>
      </c>
      <c r="V149" s="147">
        <f>IFERROR((HLOOKUP($AH149,Target_monthwise!$D$24:$O$40,DTR!V$4,FALSE)),0)</f>
        <v>0</v>
      </c>
      <c r="W149" s="147">
        <f>IFERROR((HLOOKUP($AH149,Target_monthwise!$D$24:$O$40,DTR!W$4,FALSE)),0)</f>
        <v>0</v>
      </c>
      <c r="X149" s="147">
        <f>IFERROR((HLOOKUP($AH149,Target_monthwise!$D$24:$O$40,DTR!X$4,FALSE)),0)</f>
        <v>0</v>
      </c>
      <c r="Y149" s="147">
        <f>IFERROR((HLOOKUP($AH149,Target_monthwise!$D$24:$O$40,DTR!Y$4,FALSE)),0)</f>
        <v>0</v>
      </c>
      <c r="Z149" s="147">
        <f>IFERROR((HLOOKUP($AH149,Target_monthwise!$D$24:$O$40,DTR!Z$4,FALSE)),0)</f>
        <v>0</v>
      </c>
      <c r="AA149" s="147">
        <f>IFERROR((HLOOKUP($AH149,Target_monthwise!$D$24:$O$40,DTR!AA$4,FALSE)),0)</f>
        <v>0</v>
      </c>
      <c r="AB149" s="147">
        <f>IFERROR((HLOOKUP($AH149,Target_monthwise!$D$24:$O$40,DTR!AB$4,FALSE)),0)</f>
        <v>0</v>
      </c>
      <c r="AC149" s="147">
        <f>IFERROR((HLOOKUP($AH149,Target_monthwise!$D$24:$O$40,DTR!AC$4,FALSE)),0)</f>
        <v>0</v>
      </c>
      <c r="AD149" s="147">
        <f>IFERROR((HLOOKUP($AH149,Target_monthwise!$D$24:$O$40,DTR!AD$4,FALSE)),0)</f>
        <v>0</v>
      </c>
      <c r="AE149" s="147">
        <f>IFERROR((HLOOKUP($AH149,Target_monthwise!$D$24:$O$40,DTR!AE$4,FALSE)),0)</f>
        <v>0</v>
      </c>
      <c r="AF149" s="147">
        <f>IFERROR((HLOOKUP($AH149,Target_monthwise!$D$24:$O$40,DTR!AF$4,FALSE)),0)</f>
        <v>0</v>
      </c>
      <c r="AG149" s="172">
        <f>IFERROR((HLOOKUP($AH149,Target_monthwise!$D$24:$O$40,DTR!AG$4,FALSE)),0)</f>
        <v>0</v>
      </c>
      <c r="AH149" s="253">
        <f t="shared" si="2"/>
        <v>202208</v>
      </c>
    </row>
    <row r="150" spans="3:34" ht="15.75" hidden="1">
      <c r="C150" s="237">
        <v>44793</v>
      </c>
      <c r="D150" s="238">
        <f>IFERROR((HLOOKUP($AH150,Target_monthwise!$D$4:$O$20,DTR!D$4,FALSE))*1000,0)</f>
        <v>0</v>
      </c>
      <c r="E150" s="238">
        <f>IFERROR((HLOOKUP($AH150,Target_monthwise!$D$4:$O$20,DTR!E$4,FALSE))*1000,0)</f>
        <v>0</v>
      </c>
      <c r="F150" s="238">
        <f>IFERROR((HLOOKUP($AH150,Target_monthwise!$D$4:$O$20,DTR!F$4,FALSE))*1000,0)</f>
        <v>0</v>
      </c>
      <c r="G150" s="238">
        <f>IFERROR((HLOOKUP($AH150,Target_monthwise!$D$4:$O$20,DTR!G$4,FALSE))*1000,0)</f>
        <v>0</v>
      </c>
      <c r="H150" s="238">
        <f>IFERROR((HLOOKUP($AH150,Target_monthwise!$D$4:$O$20,DTR!H$4,FALSE))*1000,0)</f>
        <v>0</v>
      </c>
      <c r="I150" s="238">
        <f>IFERROR((HLOOKUP($AH150,Target_monthwise!$D$4:$O$20,DTR!I$4,FALSE))*1000,0)</f>
        <v>0</v>
      </c>
      <c r="J150" s="238">
        <f>IFERROR((HLOOKUP($AH150,Target_monthwise!$D$4:$O$20,DTR!J$4,FALSE))*1000,0)</f>
        <v>0</v>
      </c>
      <c r="K150" s="238">
        <f>IFERROR((HLOOKUP($AH150,Target_monthwise!$D$4:$O$20,DTR!K$4,FALSE))*1000,0)</f>
        <v>0</v>
      </c>
      <c r="L150" s="238">
        <f>IFERROR((HLOOKUP($AH150,Target_monthwise!$D$4:$O$20,DTR!L$4,FALSE))*1000,0)</f>
        <v>0</v>
      </c>
      <c r="M150" s="238">
        <f>IFERROR((HLOOKUP($AH150,Target_monthwise!$D$4:$O$20,DTR!M$4,FALSE))*1000,0)</f>
        <v>0</v>
      </c>
      <c r="N150" s="238">
        <f>IFERROR((HLOOKUP($AH150,Target_monthwise!$D$4:$O$20,DTR!N$4,FALSE))*1000,0)</f>
        <v>0</v>
      </c>
      <c r="O150" s="238">
        <f>IFERROR((HLOOKUP($AH150,Target_monthwise!$D$4:$O$20,DTR!O$4,FALSE))*1000,0)</f>
        <v>0</v>
      </c>
      <c r="P150" s="238">
        <f>IFERROR((HLOOKUP($AH150,Target_monthwise!$D$4:$O$20,DTR!P$4,FALSE))*1000,0)</f>
        <v>0</v>
      </c>
      <c r="Q150" s="141">
        <f>IFERROR((HLOOKUP($AH150,Target_monthwise!$D$4:$O$20,DTR!Q$4,FALSE))*1000,0)</f>
        <v>0</v>
      </c>
      <c r="R150" s="167">
        <f>IFERROR((HLOOKUP($AH150,Target_monthwise!$D$4:$O$20,DTR!R$4,FALSE))*1000,0)</f>
        <v>0</v>
      </c>
      <c r="S150" s="239">
        <f>IFERROR((HLOOKUP($AH150,Target_monthwise!$D$24:$O$40,DTR!S$4,FALSE)),0)</f>
        <v>0</v>
      </c>
      <c r="T150" s="239">
        <f>IFERROR((HLOOKUP($AH150,Target_monthwise!$D$24:$O$40,DTR!T$4,FALSE)),0)</f>
        <v>0</v>
      </c>
      <c r="U150" s="239">
        <f>IFERROR((HLOOKUP($AH150,Target_monthwise!$D$24:$O$40,DTR!U$4,FALSE)),0)</f>
        <v>0</v>
      </c>
      <c r="V150" s="239">
        <f>IFERROR((HLOOKUP($AH150,Target_monthwise!$D$24:$O$40,DTR!V$4,FALSE)),0)</f>
        <v>0</v>
      </c>
      <c r="W150" s="239">
        <f>IFERROR((HLOOKUP($AH150,Target_monthwise!$D$24:$O$40,DTR!W$4,FALSE)),0)</f>
        <v>0</v>
      </c>
      <c r="X150" s="239">
        <f>IFERROR((HLOOKUP($AH150,Target_monthwise!$D$24:$O$40,DTR!X$4,FALSE)),0)</f>
        <v>0</v>
      </c>
      <c r="Y150" s="239">
        <f>IFERROR((HLOOKUP($AH150,Target_monthwise!$D$24:$O$40,DTR!Y$4,FALSE)),0)</f>
        <v>0</v>
      </c>
      <c r="Z150" s="147">
        <f>IFERROR((HLOOKUP($AH150,Target_monthwise!$D$24:$O$40,DTR!Z$4,FALSE)),0)</f>
        <v>0</v>
      </c>
      <c r="AA150" s="147">
        <f>IFERROR((HLOOKUP($AH150,Target_monthwise!$D$24:$O$40,DTR!AA$4,FALSE)),0)</f>
        <v>0</v>
      </c>
      <c r="AB150" s="147">
        <f>IFERROR((HLOOKUP($AH150,Target_monthwise!$D$24:$O$40,DTR!AB$4,FALSE)),0)</f>
        <v>0</v>
      </c>
      <c r="AC150" s="239">
        <f>IFERROR((HLOOKUP($AH150,Target_monthwise!$D$24:$O$40,DTR!AC$4,FALSE)),0)</f>
        <v>0</v>
      </c>
      <c r="AD150" s="239">
        <f>IFERROR((HLOOKUP($AH150,Target_monthwise!$D$24:$O$40,DTR!AD$4,FALSE)),0)</f>
        <v>0</v>
      </c>
      <c r="AE150" s="239">
        <f>IFERROR((HLOOKUP($AH150,Target_monthwise!$D$24:$O$40,DTR!AE$4,FALSE)),0)</f>
        <v>0</v>
      </c>
      <c r="AF150" s="239">
        <f>IFERROR((HLOOKUP($AH150,Target_monthwise!$D$24:$O$40,DTR!AF$4,FALSE)),0)</f>
        <v>0</v>
      </c>
      <c r="AG150" s="172">
        <f>IFERROR((HLOOKUP($AH150,Target_monthwise!$D$24:$O$40,DTR!AG$4,FALSE)),0)</f>
        <v>0</v>
      </c>
      <c r="AH150" s="253">
        <f t="shared" si="2"/>
        <v>202208</v>
      </c>
    </row>
    <row r="151" spans="3:34" ht="15.75" hidden="1">
      <c r="C151" s="235">
        <v>44794</v>
      </c>
      <c r="D151" s="141">
        <f>IFERROR((HLOOKUP($AH151,Target_monthwise!$D$4:$O$20,DTR!D$4,FALSE))*1000,0)</f>
        <v>0</v>
      </c>
      <c r="E151" s="141">
        <f>IFERROR((HLOOKUP($AH151,Target_monthwise!$D$4:$O$20,DTR!E$4,FALSE))*1000,0)</f>
        <v>0</v>
      </c>
      <c r="F151" s="141">
        <f>IFERROR((HLOOKUP($AH151,Target_monthwise!$D$4:$O$20,DTR!F$4,FALSE))*1000,0)</f>
        <v>0</v>
      </c>
      <c r="G151" s="141">
        <f>IFERROR((HLOOKUP($AH151,Target_monthwise!$D$4:$O$20,DTR!G$4,FALSE))*1000,0)</f>
        <v>0</v>
      </c>
      <c r="H151" s="141">
        <f>IFERROR((HLOOKUP($AH151,Target_monthwise!$D$4:$O$20,DTR!H$4,FALSE))*1000,0)</f>
        <v>0</v>
      </c>
      <c r="I151" s="141">
        <f>IFERROR((HLOOKUP($AH151,Target_monthwise!$D$4:$O$20,DTR!I$4,FALSE))*1000,0)</f>
        <v>0</v>
      </c>
      <c r="J151" s="141">
        <f>IFERROR((HLOOKUP($AH151,Target_monthwise!$D$4:$O$20,DTR!J$4,FALSE))*1000,0)</f>
        <v>0</v>
      </c>
      <c r="K151" s="141">
        <f>IFERROR((HLOOKUP($AH151,Target_monthwise!$D$4:$O$20,DTR!K$4,FALSE))*1000,0)</f>
        <v>0</v>
      </c>
      <c r="L151" s="141">
        <f>IFERROR((HLOOKUP($AH151,Target_monthwise!$D$4:$O$20,DTR!L$4,FALSE))*1000,0)</f>
        <v>0</v>
      </c>
      <c r="M151" s="141">
        <f>IFERROR((HLOOKUP($AH151,Target_monthwise!$D$4:$O$20,DTR!M$4,FALSE))*1000,0)</f>
        <v>0</v>
      </c>
      <c r="N151" s="141">
        <f>IFERROR((HLOOKUP($AH151,Target_monthwise!$D$4:$O$20,DTR!N$4,FALSE))*1000,0)</f>
        <v>0</v>
      </c>
      <c r="O151" s="141">
        <f>IFERROR((HLOOKUP($AH151,Target_monthwise!$D$4:$O$20,DTR!O$4,FALSE))*1000,0)</f>
        <v>0</v>
      </c>
      <c r="P151" s="141">
        <f>IFERROR((HLOOKUP($AH151,Target_monthwise!$D$4:$O$20,DTR!P$4,FALSE))*1000,0)</f>
        <v>0</v>
      </c>
      <c r="Q151" s="141">
        <f>IFERROR((HLOOKUP($AH151,Target_monthwise!$D$4:$O$20,DTR!Q$4,FALSE))*1000,0)</f>
        <v>0</v>
      </c>
      <c r="R151" s="167">
        <f>IFERROR((HLOOKUP($AH151,Target_monthwise!$D$4:$O$20,DTR!R$4,FALSE))*1000,0)</f>
        <v>0</v>
      </c>
      <c r="S151" s="147">
        <f>IFERROR((HLOOKUP($AH151,Target_monthwise!$D$24:$O$40,DTR!S$4,FALSE)),0)</f>
        <v>0</v>
      </c>
      <c r="T151" s="147">
        <f>IFERROR((HLOOKUP($AH151,Target_monthwise!$D$24:$O$40,DTR!T$4,FALSE)),0)</f>
        <v>0</v>
      </c>
      <c r="U151" s="147">
        <f>IFERROR((HLOOKUP($AH151,Target_monthwise!$D$24:$O$40,DTR!U$4,FALSE)),0)</f>
        <v>0</v>
      </c>
      <c r="V151" s="147">
        <f>IFERROR((HLOOKUP($AH151,Target_monthwise!$D$24:$O$40,DTR!V$4,FALSE)),0)</f>
        <v>0</v>
      </c>
      <c r="W151" s="147">
        <f>IFERROR((HLOOKUP($AH151,Target_monthwise!$D$24:$O$40,DTR!W$4,FALSE)),0)</f>
        <v>0</v>
      </c>
      <c r="X151" s="147">
        <f>IFERROR((HLOOKUP($AH151,Target_monthwise!$D$24:$O$40,DTR!X$4,FALSE)),0)</f>
        <v>0</v>
      </c>
      <c r="Y151" s="147">
        <f>IFERROR((HLOOKUP($AH151,Target_monthwise!$D$24:$O$40,DTR!Y$4,FALSE)),0)</f>
        <v>0</v>
      </c>
      <c r="Z151" s="147">
        <f>IFERROR((HLOOKUP($AH151,Target_monthwise!$D$24:$O$40,DTR!Z$4,FALSE)),0)</f>
        <v>0</v>
      </c>
      <c r="AA151" s="147">
        <f>IFERROR((HLOOKUP($AH151,Target_monthwise!$D$24:$O$40,DTR!AA$4,FALSE)),0)</f>
        <v>0</v>
      </c>
      <c r="AB151" s="147">
        <f>IFERROR((HLOOKUP($AH151,Target_monthwise!$D$24:$O$40,DTR!AB$4,FALSE)),0)</f>
        <v>0</v>
      </c>
      <c r="AC151" s="147">
        <f>IFERROR((HLOOKUP($AH151,Target_monthwise!$D$24:$O$40,DTR!AC$4,FALSE)),0)</f>
        <v>0</v>
      </c>
      <c r="AD151" s="147">
        <f>IFERROR((HLOOKUP($AH151,Target_monthwise!$D$24:$O$40,DTR!AD$4,FALSE)),0)</f>
        <v>0</v>
      </c>
      <c r="AE151" s="147">
        <f>IFERROR((HLOOKUP($AH151,Target_monthwise!$D$24:$O$40,DTR!AE$4,FALSE)),0)</f>
        <v>0</v>
      </c>
      <c r="AF151" s="147">
        <f>IFERROR((HLOOKUP($AH151,Target_monthwise!$D$24:$O$40,DTR!AF$4,FALSE)),0)</f>
        <v>0</v>
      </c>
      <c r="AG151" s="172">
        <f>IFERROR((HLOOKUP($AH151,Target_monthwise!$D$24:$O$40,DTR!AG$4,FALSE)),0)</f>
        <v>0</v>
      </c>
      <c r="AH151" s="253">
        <f t="shared" si="2"/>
        <v>202208</v>
      </c>
    </row>
    <row r="152" spans="3:34" ht="15.75" hidden="1">
      <c r="C152" s="237">
        <v>44795</v>
      </c>
      <c r="D152" s="238">
        <f>IFERROR((HLOOKUP($AH152,Target_monthwise!$D$4:$O$20,DTR!D$4,FALSE))*1000,0)</f>
        <v>0</v>
      </c>
      <c r="E152" s="238">
        <f>IFERROR((HLOOKUP($AH152,Target_monthwise!$D$4:$O$20,DTR!E$4,FALSE))*1000,0)</f>
        <v>0</v>
      </c>
      <c r="F152" s="238">
        <f>IFERROR((HLOOKUP($AH152,Target_monthwise!$D$4:$O$20,DTR!F$4,FALSE))*1000,0)</f>
        <v>0</v>
      </c>
      <c r="G152" s="238">
        <f>IFERROR((HLOOKUP($AH152,Target_monthwise!$D$4:$O$20,DTR!G$4,FALSE))*1000,0)</f>
        <v>0</v>
      </c>
      <c r="H152" s="238">
        <f>IFERROR((HLOOKUP($AH152,Target_monthwise!$D$4:$O$20,DTR!H$4,FALSE))*1000,0)</f>
        <v>0</v>
      </c>
      <c r="I152" s="238">
        <f>IFERROR((HLOOKUP($AH152,Target_monthwise!$D$4:$O$20,DTR!I$4,FALSE))*1000,0)</f>
        <v>0</v>
      </c>
      <c r="J152" s="238">
        <f>IFERROR((HLOOKUP($AH152,Target_monthwise!$D$4:$O$20,DTR!J$4,FALSE))*1000,0)</f>
        <v>0</v>
      </c>
      <c r="K152" s="238">
        <f>IFERROR((HLOOKUP($AH152,Target_monthwise!$D$4:$O$20,DTR!K$4,FALSE))*1000,0)</f>
        <v>0</v>
      </c>
      <c r="L152" s="238">
        <f>IFERROR((HLOOKUP($AH152,Target_monthwise!$D$4:$O$20,DTR!L$4,FALSE))*1000,0)</f>
        <v>0</v>
      </c>
      <c r="M152" s="238">
        <f>IFERROR((HLOOKUP($AH152,Target_monthwise!$D$4:$O$20,DTR!M$4,FALSE))*1000,0)</f>
        <v>0</v>
      </c>
      <c r="N152" s="238">
        <f>IFERROR((HLOOKUP($AH152,Target_monthwise!$D$4:$O$20,DTR!N$4,FALSE))*1000,0)</f>
        <v>0</v>
      </c>
      <c r="O152" s="238">
        <f>IFERROR((HLOOKUP($AH152,Target_monthwise!$D$4:$O$20,DTR!O$4,FALSE))*1000,0)</f>
        <v>0</v>
      </c>
      <c r="P152" s="238">
        <f>IFERROR((HLOOKUP($AH152,Target_monthwise!$D$4:$O$20,DTR!P$4,FALSE))*1000,0)</f>
        <v>0</v>
      </c>
      <c r="Q152" s="141">
        <f>IFERROR((HLOOKUP($AH152,Target_monthwise!$D$4:$O$20,DTR!Q$4,FALSE))*1000,0)</f>
        <v>0</v>
      </c>
      <c r="R152" s="167">
        <f>IFERROR((HLOOKUP($AH152,Target_monthwise!$D$4:$O$20,DTR!R$4,FALSE))*1000,0)</f>
        <v>0</v>
      </c>
      <c r="S152" s="239">
        <f>IFERROR((HLOOKUP($AH152,Target_monthwise!$D$24:$O$40,DTR!S$4,FALSE)),0)</f>
        <v>0</v>
      </c>
      <c r="T152" s="239">
        <f>IFERROR((HLOOKUP($AH152,Target_monthwise!$D$24:$O$40,DTR!T$4,FALSE)),0)</f>
        <v>0</v>
      </c>
      <c r="U152" s="239">
        <f>IFERROR((HLOOKUP($AH152,Target_monthwise!$D$24:$O$40,DTR!U$4,FALSE)),0)</f>
        <v>0</v>
      </c>
      <c r="V152" s="239">
        <f>IFERROR((HLOOKUP($AH152,Target_monthwise!$D$24:$O$40,DTR!V$4,FALSE)),0)</f>
        <v>0</v>
      </c>
      <c r="W152" s="239">
        <f>IFERROR((HLOOKUP($AH152,Target_monthwise!$D$24:$O$40,DTR!W$4,FALSE)),0)</f>
        <v>0</v>
      </c>
      <c r="X152" s="239">
        <f>IFERROR((HLOOKUP($AH152,Target_monthwise!$D$24:$O$40,DTR!X$4,FALSE)),0)</f>
        <v>0</v>
      </c>
      <c r="Y152" s="239">
        <f>IFERROR((HLOOKUP($AH152,Target_monthwise!$D$24:$O$40,DTR!Y$4,FALSE)),0)</f>
        <v>0</v>
      </c>
      <c r="Z152" s="147">
        <f>IFERROR((HLOOKUP($AH152,Target_monthwise!$D$24:$O$40,DTR!Z$4,FALSE)),0)</f>
        <v>0</v>
      </c>
      <c r="AA152" s="147">
        <f>IFERROR((HLOOKUP($AH152,Target_monthwise!$D$24:$O$40,DTR!AA$4,FALSE)),0)</f>
        <v>0</v>
      </c>
      <c r="AB152" s="147">
        <f>IFERROR((HLOOKUP($AH152,Target_monthwise!$D$24:$O$40,DTR!AB$4,FALSE)),0)</f>
        <v>0</v>
      </c>
      <c r="AC152" s="239">
        <f>IFERROR((HLOOKUP($AH152,Target_monthwise!$D$24:$O$40,DTR!AC$4,FALSE)),0)</f>
        <v>0</v>
      </c>
      <c r="AD152" s="239">
        <f>IFERROR((HLOOKUP($AH152,Target_monthwise!$D$24:$O$40,DTR!AD$4,FALSE)),0)</f>
        <v>0</v>
      </c>
      <c r="AE152" s="239">
        <f>IFERROR((HLOOKUP($AH152,Target_monthwise!$D$24:$O$40,DTR!AE$4,FALSE)),0)</f>
        <v>0</v>
      </c>
      <c r="AF152" s="239">
        <f>IFERROR((HLOOKUP($AH152,Target_monthwise!$D$24:$O$40,DTR!AF$4,FALSE)),0)</f>
        <v>0</v>
      </c>
      <c r="AG152" s="172">
        <f>IFERROR((HLOOKUP($AH152,Target_monthwise!$D$24:$O$40,DTR!AG$4,FALSE)),0)</f>
        <v>0</v>
      </c>
      <c r="AH152" s="253">
        <f t="shared" si="2"/>
        <v>202208</v>
      </c>
    </row>
    <row r="153" spans="3:34" ht="15.75" hidden="1">
      <c r="C153" s="235">
        <v>44796</v>
      </c>
      <c r="D153" s="141">
        <f>IFERROR((HLOOKUP($AH153,Target_monthwise!$D$4:$O$20,DTR!D$4,FALSE))*1000,0)</f>
        <v>0</v>
      </c>
      <c r="E153" s="141">
        <f>IFERROR((HLOOKUP($AH153,Target_monthwise!$D$4:$O$20,DTR!E$4,FALSE))*1000,0)</f>
        <v>0</v>
      </c>
      <c r="F153" s="141">
        <f>IFERROR((HLOOKUP($AH153,Target_monthwise!$D$4:$O$20,DTR!F$4,FALSE))*1000,0)</f>
        <v>0</v>
      </c>
      <c r="G153" s="141">
        <f>IFERROR((HLOOKUP($AH153,Target_monthwise!$D$4:$O$20,DTR!G$4,FALSE))*1000,0)</f>
        <v>0</v>
      </c>
      <c r="H153" s="141">
        <f>IFERROR((HLOOKUP($AH153,Target_monthwise!$D$4:$O$20,DTR!H$4,FALSE))*1000,0)</f>
        <v>0</v>
      </c>
      <c r="I153" s="141">
        <f>IFERROR((HLOOKUP($AH153,Target_monthwise!$D$4:$O$20,DTR!I$4,FALSE))*1000,0)</f>
        <v>0</v>
      </c>
      <c r="J153" s="141">
        <f>IFERROR((HLOOKUP($AH153,Target_monthwise!$D$4:$O$20,DTR!J$4,FALSE))*1000,0)</f>
        <v>0</v>
      </c>
      <c r="K153" s="141">
        <f>IFERROR((HLOOKUP($AH153,Target_monthwise!$D$4:$O$20,DTR!K$4,FALSE))*1000,0)</f>
        <v>0</v>
      </c>
      <c r="L153" s="141">
        <f>IFERROR((HLOOKUP($AH153,Target_monthwise!$D$4:$O$20,DTR!L$4,FALSE))*1000,0)</f>
        <v>0</v>
      </c>
      <c r="M153" s="141">
        <f>IFERROR((HLOOKUP($AH153,Target_monthwise!$D$4:$O$20,DTR!M$4,FALSE))*1000,0)</f>
        <v>0</v>
      </c>
      <c r="N153" s="141">
        <f>IFERROR((HLOOKUP($AH153,Target_monthwise!$D$4:$O$20,DTR!N$4,FALSE))*1000,0)</f>
        <v>0</v>
      </c>
      <c r="O153" s="141">
        <f>IFERROR((HLOOKUP($AH153,Target_monthwise!$D$4:$O$20,DTR!O$4,FALSE))*1000,0)</f>
        <v>0</v>
      </c>
      <c r="P153" s="141">
        <f>IFERROR((HLOOKUP($AH153,Target_monthwise!$D$4:$O$20,DTR!P$4,FALSE))*1000,0)</f>
        <v>0</v>
      </c>
      <c r="Q153" s="141">
        <f>IFERROR((HLOOKUP($AH153,Target_monthwise!$D$4:$O$20,DTR!Q$4,FALSE))*1000,0)</f>
        <v>0</v>
      </c>
      <c r="R153" s="167">
        <f>IFERROR((HLOOKUP($AH153,Target_monthwise!$D$4:$O$20,DTR!R$4,FALSE))*1000,0)</f>
        <v>0</v>
      </c>
      <c r="S153" s="147">
        <f>IFERROR((HLOOKUP($AH153,Target_monthwise!$D$24:$O$40,DTR!S$4,FALSE)),0)</f>
        <v>0</v>
      </c>
      <c r="T153" s="147">
        <f>IFERROR((HLOOKUP($AH153,Target_monthwise!$D$24:$O$40,DTR!T$4,FALSE)),0)</f>
        <v>0</v>
      </c>
      <c r="U153" s="147">
        <f>IFERROR((HLOOKUP($AH153,Target_monthwise!$D$24:$O$40,DTR!U$4,FALSE)),0)</f>
        <v>0</v>
      </c>
      <c r="V153" s="147">
        <f>IFERROR((HLOOKUP($AH153,Target_monthwise!$D$24:$O$40,DTR!V$4,FALSE)),0)</f>
        <v>0</v>
      </c>
      <c r="W153" s="147">
        <f>IFERROR((HLOOKUP($AH153,Target_monthwise!$D$24:$O$40,DTR!W$4,FALSE)),0)</f>
        <v>0</v>
      </c>
      <c r="X153" s="147">
        <f>IFERROR((HLOOKUP($AH153,Target_monthwise!$D$24:$O$40,DTR!X$4,FALSE)),0)</f>
        <v>0</v>
      </c>
      <c r="Y153" s="147">
        <f>IFERROR((HLOOKUP($AH153,Target_monthwise!$D$24:$O$40,DTR!Y$4,FALSE)),0)</f>
        <v>0</v>
      </c>
      <c r="Z153" s="147">
        <f>IFERROR((HLOOKUP($AH153,Target_monthwise!$D$24:$O$40,DTR!Z$4,FALSE)),0)</f>
        <v>0</v>
      </c>
      <c r="AA153" s="147">
        <f>IFERROR((HLOOKUP($AH153,Target_monthwise!$D$24:$O$40,DTR!AA$4,FALSE)),0)</f>
        <v>0</v>
      </c>
      <c r="AB153" s="147">
        <f>IFERROR((HLOOKUP($AH153,Target_monthwise!$D$24:$O$40,DTR!AB$4,FALSE)),0)</f>
        <v>0</v>
      </c>
      <c r="AC153" s="147">
        <f>IFERROR((HLOOKUP($AH153,Target_monthwise!$D$24:$O$40,DTR!AC$4,FALSE)),0)</f>
        <v>0</v>
      </c>
      <c r="AD153" s="147">
        <f>IFERROR((HLOOKUP($AH153,Target_monthwise!$D$24:$O$40,DTR!AD$4,FALSE)),0)</f>
        <v>0</v>
      </c>
      <c r="AE153" s="147">
        <f>IFERROR((HLOOKUP($AH153,Target_monthwise!$D$24:$O$40,DTR!AE$4,FALSE)),0)</f>
        <v>0</v>
      </c>
      <c r="AF153" s="147">
        <f>IFERROR((HLOOKUP($AH153,Target_monthwise!$D$24:$O$40,DTR!AF$4,FALSE)),0)</f>
        <v>0</v>
      </c>
      <c r="AG153" s="172">
        <f>IFERROR((HLOOKUP($AH153,Target_monthwise!$D$24:$O$40,DTR!AG$4,FALSE)),0)</f>
        <v>0</v>
      </c>
      <c r="AH153" s="253">
        <f t="shared" si="2"/>
        <v>202208</v>
      </c>
    </row>
    <row r="154" spans="3:34" ht="15.75" hidden="1">
      <c r="C154" s="237">
        <v>44797</v>
      </c>
      <c r="D154" s="238">
        <f>IFERROR((HLOOKUP($AH154,Target_monthwise!$D$4:$O$20,DTR!D$4,FALSE))*1000,0)</f>
        <v>0</v>
      </c>
      <c r="E154" s="238">
        <f>IFERROR((HLOOKUP($AH154,Target_monthwise!$D$4:$O$20,DTR!E$4,FALSE))*1000,0)</f>
        <v>0</v>
      </c>
      <c r="F154" s="238">
        <f>IFERROR((HLOOKUP($AH154,Target_monthwise!$D$4:$O$20,DTR!F$4,FALSE))*1000,0)</f>
        <v>0</v>
      </c>
      <c r="G154" s="238">
        <f>IFERROR((HLOOKUP($AH154,Target_monthwise!$D$4:$O$20,DTR!G$4,FALSE))*1000,0)</f>
        <v>0</v>
      </c>
      <c r="H154" s="238">
        <f>IFERROR((HLOOKUP($AH154,Target_monthwise!$D$4:$O$20,DTR!H$4,FALSE))*1000,0)</f>
        <v>0</v>
      </c>
      <c r="I154" s="238">
        <f>IFERROR((HLOOKUP($AH154,Target_monthwise!$D$4:$O$20,DTR!I$4,FALSE))*1000,0)</f>
        <v>0</v>
      </c>
      <c r="J154" s="238">
        <f>IFERROR((HLOOKUP($AH154,Target_monthwise!$D$4:$O$20,DTR!J$4,FALSE))*1000,0)</f>
        <v>0</v>
      </c>
      <c r="K154" s="238">
        <f>IFERROR((HLOOKUP($AH154,Target_monthwise!$D$4:$O$20,DTR!K$4,FALSE))*1000,0)</f>
        <v>0</v>
      </c>
      <c r="L154" s="238">
        <f>IFERROR((HLOOKUP($AH154,Target_monthwise!$D$4:$O$20,DTR!L$4,FALSE))*1000,0)</f>
        <v>0</v>
      </c>
      <c r="M154" s="238">
        <f>IFERROR((HLOOKUP($AH154,Target_monthwise!$D$4:$O$20,DTR!M$4,FALSE))*1000,0)</f>
        <v>0</v>
      </c>
      <c r="N154" s="238">
        <f>IFERROR((HLOOKUP($AH154,Target_monthwise!$D$4:$O$20,DTR!N$4,FALSE))*1000,0)</f>
        <v>0</v>
      </c>
      <c r="O154" s="238">
        <f>IFERROR((HLOOKUP($AH154,Target_monthwise!$D$4:$O$20,DTR!O$4,FALSE))*1000,0)</f>
        <v>0</v>
      </c>
      <c r="P154" s="238">
        <f>IFERROR((HLOOKUP($AH154,Target_monthwise!$D$4:$O$20,DTR!P$4,FALSE))*1000,0)</f>
        <v>0</v>
      </c>
      <c r="Q154" s="141">
        <f>IFERROR((HLOOKUP($AH154,Target_monthwise!$D$4:$O$20,DTR!Q$4,FALSE))*1000,0)</f>
        <v>0</v>
      </c>
      <c r="R154" s="167">
        <f>IFERROR((HLOOKUP($AH154,Target_monthwise!$D$4:$O$20,DTR!R$4,FALSE))*1000,0)</f>
        <v>0</v>
      </c>
      <c r="S154" s="239">
        <f>IFERROR((HLOOKUP($AH154,Target_monthwise!$D$24:$O$40,DTR!S$4,FALSE)),0)</f>
        <v>0</v>
      </c>
      <c r="T154" s="239">
        <f>IFERROR((HLOOKUP($AH154,Target_monthwise!$D$24:$O$40,DTR!T$4,FALSE)),0)</f>
        <v>0</v>
      </c>
      <c r="U154" s="239">
        <f>IFERROR((HLOOKUP($AH154,Target_monthwise!$D$24:$O$40,DTR!U$4,FALSE)),0)</f>
        <v>0</v>
      </c>
      <c r="V154" s="239">
        <f>IFERROR((HLOOKUP($AH154,Target_monthwise!$D$24:$O$40,DTR!V$4,FALSE)),0)</f>
        <v>0</v>
      </c>
      <c r="W154" s="239">
        <f>IFERROR((HLOOKUP($AH154,Target_monthwise!$D$24:$O$40,DTR!W$4,FALSE)),0)</f>
        <v>0</v>
      </c>
      <c r="X154" s="239">
        <f>IFERROR((HLOOKUP($AH154,Target_monthwise!$D$24:$O$40,DTR!X$4,FALSE)),0)</f>
        <v>0</v>
      </c>
      <c r="Y154" s="239">
        <f>IFERROR((HLOOKUP($AH154,Target_monthwise!$D$24:$O$40,DTR!Y$4,FALSE)),0)</f>
        <v>0</v>
      </c>
      <c r="Z154" s="147">
        <f>IFERROR((HLOOKUP($AH154,Target_monthwise!$D$24:$O$40,DTR!Z$4,FALSE)),0)</f>
        <v>0</v>
      </c>
      <c r="AA154" s="147">
        <f>IFERROR((HLOOKUP($AH154,Target_monthwise!$D$24:$O$40,DTR!AA$4,FALSE)),0)</f>
        <v>0</v>
      </c>
      <c r="AB154" s="147">
        <f>IFERROR((HLOOKUP($AH154,Target_monthwise!$D$24:$O$40,DTR!AB$4,FALSE)),0)</f>
        <v>0</v>
      </c>
      <c r="AC154" s="239">
        <f>IFERROR((HLOOKUP($AH154,Target_monthwise!$D$24:$O$40,DTR!AC$4,FALSE)),0)</f>
        <v>0</v>
      </c>
      <c r="AD154" s="239">
        <f>IFERROR((HLOOKUP($AH154,Target_monthwise!$D$24:$O$40,DTR!AD$4,FALSE)),0)</f>
        <v>0</v>
      </c>
      <c r="AE154" s="239">
        <f>IFERROR((HLOOKUP($AH154,Target_monthwise!$D$24:$O$40,DTR!AE$4,FALSE)),0)</f>
        <v>0</v>
      </c>
      <c r="AF154" s="239">
        <f>IFERROR((HLOOKUP($AH154,Target_monthwise!$D$24:$O$40,DTR!AF$4,FALSE)),0)</f>
        <v>0</v>
      </c>
      <c r="AG154" s="172">
        <f>IFERROR((HLOOKUP($AH154,Target_monthwise!$D$24:$O$40,DTR!AG$4,FALSE)),0)</f>
        <v>0</v>
      </c>
      <c r="AH154" s="253">
        <f t="shared" si="2"/>
        <v>202208</v>
      </c>
    </row>
    <row r="155" spans="3:34" ht="15.75" hidden="1">
      <c r="C155" s="235">
        <v>44798</v>
      </c>
      <c r="D155" s="141">
        <f>IFERROR((HLOOKUP($AH155,Target_monthwise!$D$4:$O$20,DTR!D$4,FALSE))*1000,0)</f>
        <v>0</v>
      </c>
      <c r="E155" s="141">
        <f>IFERROR((HLOOKUP($AH155,Target_monthwise!$D$4:$O$20,DTR!E$4,FALSE))*1000,0)</f>
        <v>0</v>
      </c>
      <c r="F155" s="141">
        <f>IFERROR((HLOOKUP($AH155,Target_monthwise!$D$4:$O$20,DTR!F$4,FALSE))*1000,0)</f>
        <v>0</v>
      </c>
      <c r="G155" s="141">
        <f>IFERROR((HLOOKUP($AH155,Target_monthwise!$D$4:$O$20,DTR!G$4,FALSE))*1000,0)</f>
        <v>0</v>
      </c>
      <c r="H155" s="141">
        <f>IFERROR((HLOOKUP($AH155,Target_monthwise!$D$4:$O$20,DTR!H$4,FALSE))*1000,0)</f>
        <v>0</v>
      </c>
      <c r="I155" s="141">
        <f>IFERROR((HLOOKUP($AH155,Target_monthwise!$D$4:$O$20,DTR!I$4,FALSE))*1000,0)</f>
        <v>0</v>
      </c>
      <c r="J155" s="141">
        <f>IFERROR((HLOOKUP($AH155,Target_monthwise!$D$4:$O$20,DTR!J$4,FALSE))*1000,0)</f>
        <v>0</v>
      </c>
      <c r="K155" s="141">
        <f>IFERROR((HLOOKUP($AH155,Target_monthwise!$D$4:$O$20,DTR!K$4,FALSE))*1000,0)</f>
        <v>0</v>
      </c>
      <c r="L155" s="141">
        <f>IFERROR((HLOOKUP($AH155,Target_monthwise!$D$4:$O$20,DTR!L$4,FALSE))*1000,0)</f>
        <v>0</v>
      </c>
      <c r="M155" s="141">
        <f>IFERROR((HLOOKUP($AH155,Target_monthwise!$D$4:$O$20,DTR!M$4,FALSE))*1000,0)</f>
        <v>0</v>
      </c>
      <c r="N155" s="141">
        <f>IFERROR((HLOOKUP($AH155,Target_monthwise!$D$4:$O$20,DTR!N$4,FALSE))*1000,0)</f>
        <v>0</v>
      </c>
      <c r="O155" s="141">
        <f>IFERROR((HLOOKUP($AH155,Target_monthwise!$D$4:$O$20,DTR!O$4,FALSE))*1000,0)</f>
        <v>0</v>
      </c>
      <c r="P155" s="141">
        <f>IFERROR((HLOOKUP($AH155,Target_monthwise!$D$4:$O$20,DTR!P$4,FALSE))*1000,0)</f>
        <v>0</v>
      </c>
      <c r="Q155" s="141">
        <f>IFERROR((HLOOKUP($AH155,Target_monthwise!$D$4:$O$20,DTR!Q$4,FALSE))*1000,0)</f>
        <v>0</v>
      </c>
      <c r="R155" s="167">
        <f>IFERROR((HLOOKUP($AH155,Target_monthwise!$D$4:$O$20,DTR!R$4,FALSE))*1000,0)</f>
        <v>0</v>
      </c>
      <c r="S155" s="147">
        <f>IFERROR((HLOOKUP($AH155,Target_monthwise!$D$24:$O$40,DTR!S$4,FALSE)),0)</f>
        <v>0</v>
      </c>
      <c r="T155" s="147">
        <f>IFERROR((HLOOKUP($AH155,Target_monthwise!$D$24:$O$40,DTR!T$4,FALSE)),0)</f>
        <v>0</v>
      </c>
      <c r="U155" s="147">
        <f>IFERROR((HLOOKUP($AH155,Target_monthwise!$D$24:$O$40,DTR!U$4,FALSE)),0)</f>
        <v>0</v>
      </c>
      <c r="V155" s="147">
        <f>IFERROR((HLOOKUP($AH155,Target_monthwise!$D$24:$O$40,DTR!V$4,FALSE)),0)</f>
        <v>0</v>
      </c>
      <c r="W155" s="147">
        <f>IFERROR((HLOOKUP($AH155,Target_monthwise!$D$24:$O$40,DTR!W$4,FALSE)),0)</f>
        <v>0</v>
      </c>
      <c r="X155" s="147">
        <f>IFERROR((HLOOKUP($AH155,Target_monthwise!$D$24:$O$40,DTR!X$4,FALSE)),0)</f>
        <v>0</v>
      </c>
      <c r="Y155" s="147">
        <f>IFERROR((HLOOKUP($AH155,Target_monthwise!$D$24:$O$40,DTR!Y$4,FALSE)),0)</f>
        <v>0</v>
      </c>
      <c r="Z155" s="147">
        <f>IFERROR((HLOOKUP($AH155,Target_monthwise!$D$24:$O$40,DTR!Z$4,FALSE)),0)</f>
        <v>0</v>
      </c>
      <c r="AA155" s="147">
        <f>IFERROR((HLOOKUP($AH155,Target_monthwise!$D$24:$O$40,DTR!AA$4,FALSE)),0)</f>
        <v>0</v>
      </c>
      <c r="AB155" s="147">
        <f>IFERROR((HLOOKUP($AH155,Target_monthwise!$D$24:$O$40,DTR!AB$4,FALSE)),0)</f>
        <v>0</v>
      </c>
      <c r="AC155" s="147">
        <f>IFERROR((HLOOKUP($AH155,Target_monthwise!$D$24:$O$40,DTR!AC$4,FALSE)),0)</f>
        <v>0</v>
      </c>
      <c r="AD155" s="147">
        <f>IFERROR((HLOOKUP($AH155,Target_monthwise!$D$24:$O$40,DTR!AD$4,FALSE)),0)</f>
        <v>0</v>
      </c>
      <c r="AE155" s="147">
        <f>IFERROR((HLOOKUP($AH155,Target_monthwise!$D$24:$O$40,DTR!AE$4,FALSE)),0)</f>
        <v>0</v>
      </c>
      <c r="AF155" s="147">
        <f>IFERROR((HLOOKUP($AH155,Target_monthwise!$D$24:$O$40,DTR!AF$4,FALSE)),0)</f>
        <v>0</v>
      </c>
      <c r="AG155" s="172">
        <f>IFERROR((HLOOKUP($AH155,Target_monthwise!$D$24:$O$40,DTR!AG$4,FALSE)),0)</f>
        <v>0</v>
      </c>
      <c r="AH155" s="253">
        <f t="shared" si="2"/>
        <v>202208</v>
      </c>
    </row>
    <row r="156" spans="3:34" ht="15.75" hidden="1">
      <c r="C156" s="237">
        <v>44799</v>
      </c>
      <c r="D156" s="238">
        <f>IFERROR((HLOOKUP($AH156,Target_monthwise!$D$4:$O$20,DTR!D$4,FALSE))*1000,0)</f>
        <v>0</v>
      </c>
      <c r="E156" s="238">
        <f>IFERROR((HLOOKUP($AH156,Target_monthwise!$D$4:$O$20,DTR!E$4,FALSE))*1000,0)</f>
        <v>0</v>
      </c>
      <c r="F156" s="238">
        <f>IFERROR((HLOOKUP($AH156,Target_monthwise!$D$4:$O$20,DTR!F$4,FALSE))*1000,0)</f>
        <v>0</v>
      </c>
      <c r="G156" s="238">
        <f>IFERROR((HLOOKUP($AH156,Target_monthwise!$D$4:$O$20,DTR!G$4,FALSE))*1000,0)</f>
        <v>0</v>
      </c>
      <c r="H156" s="238">
        <f>IFERROR((HLOOKUP($AH156,Target_monthwise!$D$4:$O$20,DTR!H$4,FALSE))*1000,0)</f>
        <v>0</v>
      </c>
      <c r="I156" s="238">
        <f>IFERROR((HLOOKUP($AH156,Target_monthwise!$D$4:$O$20,DTR!I$4,FALSE))*1000,0)</f>
        <v>0</v>
      </c>
      <c r="J156" s="238">
        <f>IFERROR((HLOOKUP($AH156,Target_monthwise!$D$4:$O$20,DTR!J$4,FALSE))*1000,0)</f>
        <v>0</v>
      </c>
      <c r="K156" s="238">
        <f>IFERROR((HLOOKUP($AH156,Target_monthwise!$D$4:$O$20,DTR!K$4,FALSE))*1000,0)</f>
        <v>0</v>
      </c>
      <c r="L156" s="238">
        <f>IFERROR((HLOOKUP($AH156,Target_monthwise!$D$4:$O$20,DTR!L$4,FALSE))*1000,0)</f>
        <v>0</v>
      </c>
      <c r="M156" s="238">
        <f>IFERROR((HLOOKUP($AH156,Target_monthwise!$D$4:$O$20,DTR!M$4,FALSE))*1000,0)</f>
        <v>0</v>
      </c>
      <c r="N156" s="238">
        <f>IFERROR((HLOOKUP($AH156,Target_monthwise!$D$4:$O$20,DTR!N$4,FALSE))*1000,0)</f>
        <v>0</v>
      </c>
      <c r="O156" s="238">
        <f>IFERROR((HLOOKUP($AH156,Target_monthwise!$D$4:$O$20,DTR!O$4,FALSE))*1000,0)</f>
        <v>0</v>
      </c>
      <c r="P156" s="238">
        <f>IFERROR((HLOOKUP($AH156,Target_monthwise!$D$4:$O$20,DTR!P$4,FALSE))*1000,0)</f>
        <v>0</v>
      </c>
      <c r="Q156" s="141">
        <f>IFERROR((HLOOKUP($AH156,Target_monthwise!$D$4:$O$20,DTR!Q$4,FALSE))*1000,0)</f>
        <v>0</v>
      </c>
      <c r="R156" s="167">
        <f>IFERROR((HLOOKUP($AH156,Target_monthwise!$D$4:$O$20,DTR!R$4,FALSE))*1000,0)</f>
        <v>0</v>
      </c>
      <c r="S156" s="239">
        <f>IFERROR((HLOOKUP($AH156,Target_monthwise!$D$24:$O$40,DTR!S$4,FALSE)),0)</f>
        <v>0</v>
      </c>
      <c r="T156" s="239">
        <f>IFERROR((HLOOKUP($AH156,Target_monthwise!$D$24:$O$40,DTR!T$4,FALSE)),0)</f>
        <v>0</v>
      </c>
      <c r="U156" s="239">
        <f>IFERROR((HLOOKUP($AH156,Target_monthwise!$D$24:$O$40,DTR!U$4,FALSE)),0)</f>
        <v>0</v>
      </c>
      <c r="V156" s="239">
        <f>IFERROR((HLOOKUP($AH156,Target_monthwise!$D$24:$O$40,DTR!V$4,FALSE)),0)</f>
        <v>0</v>
      </c>
      <c r="W156" s="239">
        <f>IFERROR((HLOOKUP($AH156,Target_monthwise!$D$24:$O$40,DTR!W$4,FALSE)),0)</f>
        <v>0</v>
      </c>
      <c r="X156" s="239">
        <f>IFERROR((HLOOKUP($AH156,Target_monthwise!$D$24:$O$40,DTR!X$4,FALSE)),0)</f>
        <v>0</v>
      </c>
      <c r="Y156" s="239">
        <f>IFERROR((HLOOKUP($AH156,Target_monthwise!$D$24:$O$40,DTR!Y$4,FALSE)),0)</f>
        <v>0</v>
      </c>
      <c r="Z156" s="147">
        <f>IFERROR((HLOOKUP($AH156,Target_monthwise!$D$24:$O$40,DTR!Z$4,FALSE)),0)</f>
        <v>0</v>
      </c>
      <c r="AA156" s="147">
        <f>IFERROR((HLOOKUP($AH156,Target_monthwise!$D$24:$O$40,DTR!AA$4,FALSE)),0)</f>
        <v>0</v>
      </c>
      <c r="AB156" s="147">
        <f>IFERROR((HLOOKUP($AH156,Target_monthwise!$D$24:$O$40,DTR!AB$4,FALSE)),0)</f>
        <v>0</v>
      </c>
      <c r="AC156" s="239">
        <f>IFERROR((HLOOKUP($AH156,Target_monthwise!$D$24:$O$40,DTR!AC$4,FALSE)),0)</f>
        <v>0</v>
      </c>
      <c r="AD156" s="239">
        <f>IFERROR((HLOOKUP($AH156,Target_monthwise!$D$24:$O$40,DTR!AD$4,FALSE)),0)</f>
        <v>0</v>
      </c>
      <c r="AE156" s="239">
        <f>IFERROR((HLOOKUP($AH156,Target_monthwise!$D$24:$O$40,DTR!AE$4,FALSE)),0)</f>
        <v>0</v>
      </c>
      <c r="AF156" s="239">
        <f>IFERROR((HLOOKUP($AH156,Target_monthwise!$D$24:$O$40,DTR!AF$4,FALSE)),0)</f>
        <v>0</v>
      </c>
      <c r="AG156" s="172">
        <f>IFERROR((HLOOKUP($AH156,Target_monthwise!$D$24:$O$40,DTR!AG$4,FALSE)),0)</f>
        <v>0</v>
      </c>
      <c r="AH156" s="253">
        <f t="shared" si="2"/>
        <v>202208</v>
      </c>
    </row>
    <row r="157" spans="3:34" ht="15.75" hidden="1">
      <c r="C157" s="235">
        <v>44800</v>
      </c>
      <c r="D157" s="141">
        <f>IFERROR((HLOOKUP($AH157,Target_monthwise!$D$4:$O$20,DTR!D$4,FALSE))*1000,0)</f>
        <v>0</v>
      </c>
      <c r="E157" s="141">
        <f>IFERROR((HLOOKUP($AH157,Target_monthwise!$D$4:$O$20,DTR!E$4,FALSE))*1000,0)</f>
        <v>0</v>
      </c>
      <c r="F157" s="141">
        <f>IFERROR((HLOOKUP($AH157,Target_monthwise!$D$4:$O$20,DTR!F$4,FALSE))*1000,0)</f>
        <v>0</v>
      </c>
      <c r="G157" s="141">
        <f>IFERROR((HLOOKUP($AH157,Target_monthwise!$D$4:$O$20,DTR!G$4,FALSE))*1000,0)</f>
        <v>0</v>
      </c>
      <c r="H157" s="141">
        <f>IFERROR((HLOOKUP($AH157,Target_monthwise!$D$4:$O$20,DTR!H$4,FALSE))*1000,0)</f>
        <v>0</v>
      </c>
      <c r="I157" s="141">
        <f>IFERROR((HLOOKUP($AH157,Target_monthwise!$D$4:$O$20,DTR!I$4,FALSE))*1000,0)</f>
        <v>0</v>
      </c>
      <c r="J157" s="141">
        <f>IFERROR((HLOOKUP($AH157,Target_monthwise!$D$4:$O$20,DTR!J$4,FALSE))*1000,0)</f>
        <v>0</v>
      </c>
      <c r="K157" s="141">
        <f>IFERROR((HLOOKUP($AH157,Target_monthwise!$D$4:$O$20,DTR!K$4,FALSE))*1000,0)</f>
        <v>0</v>
      </c>
      <c r="L157" s="141">
        <f>IFERROR((HLOOKUP($AH157,Target_monthwise!$D$4:$O$20,DTR!L$4,FALSE))*1000,0)</f>
        <v>0</v>
      </c>
      <c r="M157" s="141">
        <f>IFERROR((HLOOKUP($AH157,Target_monthwise!$D$4:$O$20,DTR!M$4,FALSE))*1000,0)</f>
        <v>0</v>
      </c>
      <c r="N157" s="141">
        <f>IFERROR((HLOOKUP($AH157,Target_monthwise!$D$4:$O$20,DTR!N$4,FALSE))*1000,0)</f>
        <v>0</v>
      </c>
      <c r="O157" s="141">
        <f>IFERROR((HLOOKUP($AH157,Target_monthwise!$D$4:$O$20,DTR!O$4,FALSE))*1000,0)</f>
        <v>0</v>
      </c>
      <c r="P157" s="141">
        <f>IFERROR((HLOOKUP($AH157,Target_monthwise!$D$4:$O$20,DTR!P$4,FALSE))*1000,0)</f>
        <v>0</v>
      </c>
      <c r="Q157" s="141">
        <f>IFERROR((HLOOKUP($AH157,Target_monthwise!$D$4:$O$20,DTR!Q$4,FALSE))*1000,0)</f>
        <v>0</v>
      </c>
      <c r="R157" s="167">
        <f>IFERROR((HLOOKUP($AH157,Target_monthwise!$D$4:$O$20,DTR!R$4,FALSE))*1000,0)</f>
        <v>0</v>
      </c>
      <c r="S157" s="147">
        <f>IFERROR((HLOOKUP($AH157,Target_monthwise!$D$24:$O$40,DTR!S$4,FALSE)),0)</f>
        <v>0</v>
      </c>
      <c r="T157" s="147">
        <f>IFERROR((HLOOKUP($AH157,Target_monthwise!$D$24:$O$40,DTR!T$4,FALSE)),0)</f>
        <v>0</v>
      </c>
      <c r="U157" s="147">
        <f>IFERROR((HLOOKUP($AH157,Target_monthwise!$D$24:$O$40,DTR!U$4,FALSE)),0)</f>
        <v>0</v>
      </c>
      <c r="V157" s="147">
        <f>IFERROR((HLOOKUP($AH157,Target_monthwise!$D$24:$O$40,DTR!V$4,FALSE)),0)</f>
        <v>0</v>
      </c>
      <c r="W157" s="147">
        <f>IFERROR((HLOOKUP($AH157,Target_monthwise!$D$24:$O$40,DTR!W$4,FALSE)),0)</f>
        <v>0</v>
      </c>
      <c r="X157" s="147">
        <f>IFERROR((HLOOKUP($AH157,Target_monthwise!$D$24:$O$40,DTR!X$4,FALSE)),0)</f>
        <v>0</v>
      </c>
      <c r="Y157" s="147">
        <f>IFERROR((HLOOKUP($AH157,Target_monthwise!$D$24:$O$40,DTR!Y$4,FALSE)),0)</f>
        <v>0</v>
      </c>
      <c r="Z157" s="147">
        <f>IFERROR((HLOOKUP($AH157,Target_monthwise!$D$24:$O$40,DTR!Z$4,FALSE)),0)</f>
        <v>0</v>
      </c>
      <c r="AA157" s="147">
        <f>IFERROR((HLOOKUP($AH157,Target_monthwise!$D$24:$O$40,DTR!AA$4,FALSE)),0)</f>
        <v>0</v>
      </c>
      <c r="AB157" s="147">
        <f>IFERROR((HLOOKUP($AH157,Target_monthwise!$D$24:$O$40,DTR!AB$4,FALSE)),0)</f>
        <v>0</v>
      </c>
      <c r="AC157" s="147">
        <f>IFERROR((HLOOKUP($AH157,Target_monthwise!$D$24:$O$40,DTR!AC$4,FALSE)),0)</f>
        <v>0</v>
      </c>
      <c r="AD157" s="147">
        <f>IFERROR((HLOOKUP($AH157,Target_monthwise!$D$24:$O$40,DTR!AD$4,FALSE)),0)</f>
        <v>0</v>
      </c>
      <c r="AE157" s="147">
        <f>IFERROR((HLOOKUP($AH157,Target_monthwise!$D$24:$O$40,DTR!AE$4,FALSE)),0)</f>
        <v>0</v>
      </c>
      <c r="AF157" s="147">
        <f>IFERROR((HLOOKUP($AH157,Target_monthwise!$D$24:$O$40,DTR!AF$4,FALSE)),0)</f>
        <v>0</v>
      </c>
      <c r="AG157" s="172">
        <f>IFERROR((HLOOKUP($AH157,Target_monthwise!$D$24:$O$40,DTR!AG$4,FALSE)),0)</f>
        <v>0</v>
      </c>
      <c r="AH157" s="253">
        <f t="shared" si="2"/>
        <v>202208</v>
      </c>
    </row>
    <row r="158" spans="3:34" ht="15.75" hidden="1">
      <c r="C158" s="237">
        <v>44801</v>
      </c>
      <c r="D158" s="238">
        <f>IFERROR((HLOOKUP($AH158,Target_monthwise!$D$4:$O$20,DTR!D$4,FALSE))*1000,0)</f>
        <v>0</v>
      </c>
      <c r="E158" s="238">
        <f>IFERROR((HLOOKUP($AH158,Target_monthwise!$D$4:$O$20,DTR!E$4,FALSE))*1000,0)</f>
        <v>0</v>
      </c>
      <c r="F158" s="238">
        <f>IFERROR((HLOOKUP($AH158,Target_monthwise!$D$4:$O$20,DTR!F$4,FALSE))*1000,0)</f>
        <v>0</v>
      </c>
      <c r="G158" s="238">
        <f>IFERROR((HLOOKUP($AH158,Target_monthwise!$D$4:$O$20,DTR!G$4,FALSE))*1000,0)</f>
        <v>0</v>
      </c>
      <c r="H158" s="238">
        <f>IFERROR((HLOOKUP($AH158,Target_monthwise!$D$4:$O$20,DTR!H$4,FALSE))*1000,0)</f>
        <v>0</v>
      </c>
      <c r="I158" s="238">
        <f>IFERROR((HLOOKUP($AH158,Target_monthwise!$D$4:$O$20,DTR!I$4,FALSE))*1000,0)</f>
        <v>0</v>
      </c>
      <c r="J158" s="238">
        <f>IFERROR((HLOOKUP($AH158,Target_monthwise!$D$4:$O$20,DTR!J$4,FALSE))*1000,0)</f>
        <v>0</v>
      </c>
      <c r="K158" s="238">
        <f>IFERROR((HLOOKUP($AH158,Target_monthwise!$D$4:$O$20,DTR!K$4,FALSE))*1000,0)</f>
        <v>0</v>
      </c>
      <c r="L158" s="238">
        <f>IFERROR((HLOOKUP($AH158,Target_monthwise!$D$4:$O$20,DTR!L$4,FALSE))*1000,0)</f>
        <v>0</v>
      </c>
      <c r="M158" s="238">
        <f>IFERROR((HLOOKUP($AH158,Target_monthwise!$D$4:$O$20,DTR!M$4,FALSE))*1000,0)</f>
        <v>0</v>
      </c>
      <c r="N158" s="238">
        <f>IFERROR((HLOOKUP($AH158,Target_monthwise!$D$4:$O$20,DTR!N$4,FALSE))*1000,0)</f>
        <v>0</v>
      </c>
      <c r="O158" s="238">
        <f>IFERROR((HLOOKUP($AH158,Target_monthwise!$D$4:$O$20,DTR!O$4,FALSE))*1000,0)</f>
        <v>0</v>
      </c>
      <c r="P158" s="238">
        <f>IFERROR((HLOOKUP($AH158,Target_monthwise!$D$4:$O$20,DTR!P$4,FALSE))*1000,0)</f>
        <v>0</v>
      </c>
      <c r="Q158" s="141">
        <f>IFERROR((HLOOKUP($AH158,Target_monthwise!$D$4:$O$20,DTR!Q$4,FALSE))*1000,0)</f>
        <v>0</v>
      </c>
      <c r="R158" s="167">
        <f>IFERROR((HLOOKUP($AH158,Target_monthwise!$D$4:$O$20,DTR!R$4,FALSE))*1000,0)</f>
        <v>0</v>
      </c>
      <c r="S158" s="239">
        <f>IFERROR((HLOOKUP($AH158,Target_monthwise!$D$24:$O$40,DTR!S$4,FALSE)),0)</f>
        <v>0</v>
      </c>
      <c r="T158" s="239">
        <f>IFERROR((HLOOKUP($AH158,Target_monthwise!$D$24:$O$40,DTR!T$4,FALSE)),0)</f>
        <v>0</v>
      </c>
      <c r="U158" s="239">
        <f>IFERROR((HLOOKUP($AH158,Target_monthwise!$D$24:$O$40,DTR!U$4,FALSE)),0)</f>
        <v>0</v>
      </c>
      <c r="V158" s="239">
        <f>IFERROR((HLOOKUP($AH158,Target_monthwise!$D$24:$O$40,DTR!V$4,FALSE)),0)</f>
        <v>0</v>
      </c>
      <c r="W158" s="239">
        <f>IFERROR((HLOOKUP($AH158,Target_monthwise!$D$24:$O$40,DTR!W$4,FALSE)),0)</f>
        <v>0</v>
      </c>
      <c r="X158" s="239">
        <f>IFERROR((HLOOKUP($AH158,Target_monthwise!$D$24:$O$40,DTR!X$4,FALSE)),0)</f>
        <v>0</v>
      </c>
      <c r="Y158" s="239">
        <f>IFERROR((HLOOKUP($AH158,Target_monthwise!$D$24:$O$40,DTR!Y$4,FALSE)),0)</f>
        <v>0</v>
      </c>
      <c r="Z158" s="147">
        <f>IFERROR((HLOOKUP($AH158,Target_monthwise!$D$24:$O$40,DTR!Z$4,FALSE)),0)</f>
        <v>0</v>
      </c>
      <c r="AA158" s="147">
        <f>IFERROR((HLOOKUP($AH158,Target_monthwise!$D$24:$O$40,DTR!AA$4,FALSE)),0)</f>
        <v>0</v>
      </c>
      <c r="AB158" s="147">
        <f>IFERROR((HLOOKUP($AH158,Target_monthwise!$D$24:$O$40,DTR!AB$4,FALSE)),0)</f>
        <v>0</v>
      </c>
      <c r="AC158" s="239">
        <f>IFERROR((HLOOKUP($AH158,Target_monthwise!$D$24:$O$40,DTR!AC$4,FALSE)),0)</f>
        <v>0</v>
      </c>
      <c r="AD158" s="239">
        <f>IFERROR((HLOOKUP($AH158,Target_monthwise!$D$24:$O$40,DTR!AD$4,FALSE)),0)</f>
        <v>0</v>
      </c>
      <c r="AE158" s="239">
        <f>IFERROR((HLOOKUP($AH158,Target_monthwise!$D$24:$O$40,DTR!AE$4,FALSE)),0)</f>
        <v>0</v>
      </c>
      <c r="AF158" s="239">
        <f>IFERROR((HLOOKUP($AH158,Target_monthwise!$D$24:$O$40,DTR!AF$4,FALSE)),0)</f>
        <v>0</v>
      </c>
      <c r="AG158" s="172">
        <f>IFERROR((HLOOKUP($AH158,Target_monthwise!$D$24:$O$40,DTR!AG$4,FALSE)),0)</f>
        <v>0</v>
      </c>
      <c r="AH158" s="253">
        <f t="shared" si="2"/>
        <v>202208</v>
      </c>
    </row>
    <row r="159" spans="3:34" ht="15.75" hidden="1">
      <c r="C159" s="235">
        <v>44802</v>
      </c>
      <c r="D159" s="141">
        <f>IFERROR((HLOOKUP($AH159,Target_monthwise!$D$4:$O$20,DTR!D$4,FALSE))*1000,0)</f>
        <v>0</v>
      </c>
      <c r="E159" s="141">
        <f>IFERROR((HLOOKUP($AH159,Target_monthwise!$D$4:$O$20,DTR!E$4,FALSE))*1000,0)</f>
        <v>0</v>
      </c>
      <c r="F159" s="141">
        <f>IFERROR((HLOOKUP($AH159,Target_monthwise!$D$4:$O$20,DTR!F$4,FALSE))*1000,0)</f>
        <v>0</v>
      </c>
      <c r="G159" s="141">
        <f>IFERROR((HLOOKUP($AH159,Target_monthwise!$D$4:$O$20,DTR!G$4,FALSE))*1000,0)</f>
        <v>0</v>
      </c>
      <c r="H159" s="141">
        <f>IFERROR((HLOOKUP($AH159,Target_monthwise!$D$4:$O$20,DTR!H$4,FALSE))*1000,0)</f>
        <v>0</v>
      </c>
      <c r="I159" s="141">
        <f>IFERROR((HLOOKUP($AH159,Target_monthwise!$D$4:$O$20,DTR!I$4,FALSE))*1000,0)</f>
        <v>0</v>
      </c>
      <c r="J159" s="141">
        <f>IFERROR((HLOOKUP($AH159,Target_monthwise!$D$4:$O$20,DTR!J$4,FALSE))*1000,0)</f>
        <v>0</v>
      </c>
      <c r="K159" s="141">
        <f>IFERROR((HLOOKUP($AH159,Target_monthwise!$D$4:$O$20,DTR!K$4,FALSE))*1000,0)</f>
        <v>0</v>
      </c>
      <c r="L159" s="141">
        <f>IFERROR((HLOOKUP($AH159,Target_monthwise!$D$4:$O$20,DTR!L$4,FALSE))*1000,0)</f>
        <v>0</v>
      </c>
      <c r="M159" s="141">
        <f>IFERROR((HLOOKUP($AH159,Target_monthwise!$D$4:$O$20,DTR!M$4,FALSE))*1000,0)</f>
        <v>0</v>
      </c>
      <c r="N159" s="141">
        <f>IFERROR((HLOOKUP($AH159,Target_monthwise!$D$4:$O$20,DTR!N$4,FALSE))*1000,0)</f>
        <v>0</v>
      </c>
      <c r="O159" s="141">
        <f>IFERROR((HLOOKUP($AH159,Target_monthwise!$D$4:$O$20,DTR!O$4,FALSE))*1000,0)</f>
        <v>0</v>
      </c>
      <c r="P159" s="141">
        <f>IFERROR((HLOOKUP($AH159,Target_monthwise!$D$4:$O$20,DTR!P$4,FALSE))*1000,0)</f>
        <v>0</v>
      </c>
      <c r="Q159" s="141">
        <f>IFERROR((HLOOKUP($AH159,Target_monthwise!$D$4:$O$20,DTR!Q$4,FALSE))*1000,0)</f>
        <v>0</v>
      </c>
      <c r="R159" s="167">
        <f>IFERROR((HLOOKUP($AH159,Target_monthwise!$D$4:$O$20,DTR!R$4,FALSE))*1000,0)</f>
        <v>0</v>
      </c>
      <c r="S159" s="147">
        <f>IFERROR((HLOOKUP($AH159,Target_monthwise!$D$24:$O$40,DTR!S$4,FALSE)),0)</f>
        <v>0</v>
      </c>
      <c r="T159" s="147">
        <f>IFERROR((HLOOKUP($AH159,Target_monthwise!$D$24:$O$40,DTR!T$4,FALSE)),0)</f>
        <v>0</v>
      </c>
      <c r="U159" s="147">
        <f>IFERROR((HLOOKUP($AH159,Target_monthwise!$D$24:$O$40,DTR!U$4,FALSE)),0)</f>
        <v>0</v>
      </c>
      <c r="V159" s="147">
        <f>IFERROR((HLOOKUP($AH159,Target_monthwise!$D$24:$O$40,DTR!V$4,FALSE)),0)</f>
        <v>0</v>
      </c>
      <c r="W159" s="147">
        <f>IFERROR((HLOOKUP($AH159,Target_monthwise!$D$24:$O$40,DTR!W$4,FALSE)),0)</f>
        <v>0</v>
      </c>
      <c r="X159" s="147">
        <f>IFERROR((HLOOKUP($AH159,Target_monthwise!$D$24:$O$40,DTR!X$4,FALSE)),0)</f>
        <v>0</v>
      </c>
      <c r="Y159" s="147">
        <f>IFERROR((HLOOKUP($AH159,Target_monthwise!$D$24:$O$40,DTR!Y$4,FALSE)),0)</f>
        <v>0</v>
      </c>
      <c r="Z159" s="147">
        <f>IFERROR((HLOOKUP($AH159,Target_monthwise!$D$24:$O$40,DTR!Z$4,FALSE)),0)</f>
        <v>0</v>
      </c>
      <c r="AA159" s="147">
        <f>IFERROR((HLOOKUP($AH159,Target_monthwise!$D$24:$O$40,DTR!AA$4,FALSE)),0)</f>
        <v>0</v>
      </c>
      <c r="AB159" s="147">
        <f>IFERROR((HLOOKUP($AH159,Target_monthwise!$D$24:$O$40,DTR!AB$4,FALSE)),0)</f>
        <v>0</v>
      </c>
      <c r="AC159" s="147">
        <f>IFERROR((HLOOKUP($AH159,Target_monthwise!$D$24:$O$40,DTR!AC$4,FALSE)),0)</f>
        <v>0</v>
      </c>
      <c r="AD159" s="147">
        <f>IFERROR((HLOOKUP($AH159,Target_monthwise!$D$24:$O$40,DTR!AD$4,FALSE)),0)</f>
        <v>0</v>
      </c>
      <c r="AE159" s="147">
        <f>IFERROR((HLOOKUP($AH159,Target_monthwise!$D$24:$O$40,DTR!AE$4,FALSE)),0)</f>
        <v>0</v>
      </c>
      <c r="AF159" s="147">
        <f>IFERROR((HLOOKUP($AH159,Target_monthwise!$D$24:$O$40,DTR!AF$4,FALSE)),0)</f>
        <v>0</v>
      </c>
      <c r="AG159" s="172">
        <f>IFERROR((HLOOKUP($AH159,Target_monthwise!$D$24:$O$40,DTR!AG$4,FALSE)),0)</f>
        <v>0</v>
      </c>
      <c r="AH159" s="253">
        <f t="shared" si="2"/>
        <v>202208</v>
      </c>
    </row>
    <row r="160" spans="3:34" ht="15.75" hidden="1">
      <c r="C160" s="237">
        <v>44803</v>
      </c>
      <c r="D160" s="238">
        <f>IFERROR((HLOOKUP($AH160,Target_monthwise!$D$4:$O$20,DTR!D$4,FALSE))*1000,0)</f>
        <v>0</v>
      </c>
      <c r="E160" s="238">
        <f>IFERROR((HLOOKUP($AH160,Target_monthwise!$D$4:$O$20,DTR!E$4,FALSE))*1000,0)</f>
        <v>0</v>
      </c>
      <c r="F160" s="238">
        <f>IFERROR((HLOOKUP($AH160,Target_monthwise!$D$4:$O$20,DTR!F$4,FALSE))*1000,0)</f>
        <v>0</v>
      </c>
      <c r="G160" s="238">
        <f>IFERROR((HLOOKUP($AH160,Target_monthwise!$D$4:$O$20,DTR!G$4,FALSE))*1000,0)</f>
        <v>0</v>
      </c>
      <c r="H160" s="238">
        <f>IFERROR((HLOOKUP($AH160,Target_monthwise!$D$4:$O$20,DTR!H$4,FALSE))*1000,0)</f>
        <v>0</v>
      </c>
      <c r="I160" s="238">
        <f>IFERROR((HLOOKUP($AH160,Target_monthwise!$D$4:$O$20,DTR!I$4,FALSE))*1000,0)</f>
        <v>0</v>
      </c>
      <c r="J160" s="238">
        <f>IFERROR((HLOOKUP($AH160,Target_monthwise!$D$4:$O$20,DTR!J$4,FALSE))*1000,0)</f>
        <v>0</v>
      </c>
      <c r="K160" s="238">
        <f>IFERROR((HLOOKUP($AH160,Target_monthwise!$D$4:$O$20,DTR!K$4,FALSE))*1000,0)</f>
        <v>0</v>
      </c>
      <c r="L160" s="238">
        <f>IFERROR((HLOOKUP($AH160,Target_monthwise!$D$4:$O$20,DTR!L$4,FALSE))*1000,0)</f>
        <v>0</v>
      </c>
      <c r="M160" s="238">
        <f>IFERROR((HLOOKUP($AH160,Target_monthwise!$D$4:$O$20,DTR!M$4,FALSE))*1000,0)</f>
        <v>0</v>
      </c>
      <c r="N160" s="238">
        <f>IFERROR((HLOOKUP($AH160,Target_monthwise!$D$4:$O$20,DTR!N$4,FALSE))*1000,0)</f>
        <v>0</v>
      </c>
      <c r="O160" s="238">
        <f>IFERROR((HLOOKUP($AH160,Target_monthwise!$D$4:$O$20,DTR!O$4,FALSE))*1000,0)</f>
        <v>0</v>
      </c>
      <c r="P160" s="238">
        <f>IFERROR((HLOOKUP($AH160,Target_monthwise!$D$4:$O$20,DTR!P$4,FALSE))*1000,0)</f>
        <v>0</v>
      </c>
      <c r="Q160" s="141">
        <f>IFERROR((HLOOKUP($AH160,Target_monthwise!$D$4:$O$20,DTR!Q$4,FALSE))*1000,0)</f>
        <v>0</v>
      </c>
      <c r="R160" s="167">
        <f>IFERROR((HLOOKUP($AH160,Target_monthwise!$D$4:$O$20,DTR!R$4,FALSE))*1000,0)</f>
        <v>0</v>
      </c>
      <c r="S160" s="239">
        <f>IFERROR((HLOOKUP($AH160,Target_monthwise!$D$24:$O$40,DTR!S$4,FALSE)),0)</f>
        <v>0</v>
      </c>
      <c r="T160" s="239">
        <f>IFERROR((HLOOKUP($AH160,Target_monthwise!$D$24:$O$40,DTR!T$4,FALSE)),0)</f>
        <v>0</v>
      </c>
      <c r="U160" s="239">
        <f>IFERROR((HLOOKUP($AH160,Target_monthwise!$D$24:$O$40,DTR!U$4,FALSE)),0)</f>
        <v>0</v>
      </c>
      <c r="V160" s="239">
        <f>IFERROR((HLOOKUP($AH160,Target_monthwise!$D$24:$O$40,DTR!V$4,FALSE)),0)</f>
        <v>0</v>
      </c>
      <c r="W160" s="239">
        <f>IFERROR((HLOOKUP($AH160,Target_monthwise!$D$24:$O$40,DTR!W$4,FALSE)),0)</f>
        <v>0</v>
      </c>
      <c r="X160" s="239">
        <f>IFERROR((HLOOKUP($AH160,Target_monthwise!$D$24:$O$40,DTR!X$4,FALSE)),0)</f>
        <v>0</v>
      </c>
      <c r="Y160" s="239">
        <f>IFERROR((HLOOKUP($AH160,Target_monthwise!$D$24:$O$40,DTR!Y$4,FALSE)),0)</f>
        <v>0</v>
      </c>
      <c r="Z160" s="147">
        <f>IFERROR((HLOOKUP($AH160,Target_monthwise!$D$24:$O$40,DTR!Z$4,FALSE)),0)</f>
        <v>0</v>
      </c>
      <c r="AA160" s="147">
        <f>IFERROR((HLOOKUP($AH160,Target_monthwise!$D$24:$O$40,DTR!AA$4,FALSE)),0)</f>
        <v>0</v>
      </c>
      <c r="AB160" s="147">
        <f>IFERROR((HLOOKUP($AH160,Target_monthwise!$D$24:$O$40,DTR!AB$4,FALSE)),0)</f>
        <v>0</v>
      </c>
      <c r="AC160" s="239">
        <f>IFERROR((HLOOKUP($AH160,Target_monthwise!$D$24:$O$40,DTR!AC$4,FALSE)),0)</f>
        <v>0</v>
      </c>
      <c r="AD160" s="239">
        <f>IFERROR((HLOOKUP($AH160,Target_monthwise!$D$24:$O$40,DTR!AD$4,FALSE)),0)</f>
        <v>0</v>
      </c>
      <c r="AE160" s="239">
        <f>IFERROR((HLOOKUP($AH160,Target_monthwise!$D$24:$O$40,DTR!AE$4,FALSE)),0)</f>
        <v>0</v>
      </c>
      <c r="AF160" s="239">
        <f>IFERROR((HLOOKUP($AH160,Target_monthwise!$D$24:$O$40,DTR!AF$4,FALSE)),0)</f>
        <v>0</v>
      </c>
      <c r="AG160" s="172">
        <f>IFERROR((HLOOKUP($AH160,Target_monthwise!$D$24:$O$40,DTR!AG$4,FALSE)),0)</f>
        <v>0</v>
      </c>
      <c r="AH160" s="253">
        <f t="shared" si="2"/>
        <v>202208</v>
      </c>
    </row>
    <row r="161" spans="3:34" ht="15.75" hidden="1">
      <c r="C161" s="235">
        <v>44804</v>
      </c>
      <c r="D161" s="141">
        <f>IFERROR((HLOOKUP($AH161,Target_monthwise!$D$4:$O$20,DTR!D$4,FALSE))*1000,0)</f>
        <v>0</v>
      </c>
      <c r="E161" s="141">
        <f>IFERROR((HLOOKUP($AH161,Target_monthwise!$D$4:$O$20,DTR!E$4,FALSE))*1000,0)</f>
        <v>0</v>
      </c>
      <c r="F161" s="141">
        <f>IFERROR((HLOOKUP($AH161,Target_monthwise!$D$4:$O$20,DTR!F$4,FALSE))*1000,0)</f>
        <v>0</v>
      </c>
      <c r="G161" s="141">
        <f>IFERROR((HLOOKUP($AH161,Target_monthwise!$D$4:$O$20,DTR!G$4,FALSE))*1000,0)</f>
        <v>0</v>
      </c>
      <c r="H161" s="141">
        <f>IFERROR((HLOOKUP($AH161,Target_monthwise!$D$4:$O$20,DTR!H$4,FALSE))*1000,0)</f>
        <v>0</v>
      </c>
      <c r="I161" s="141">
        <f>IFERROR((HLOOKUP($AH161,Target_monthwise!$D$4:$O$20,DTR!I$4,FALSE))*1000,0)</f>
        <v>0</v>
      </c>
      <c r="J161" s="141">
        <f>IFERROR((HLOOKUP($AH161,Target_monthwise!$D$4:$O$20,DTR!J$4,FALSE))*1000,0)</f>
        <v>0</v>
      </c>
      <c r="K161" s="141">
        <f>IFERROR((HLOOKUP($AH161,Target_monthwise!$D$4:$O$20,DTR!K$4,FALSE))*1000,0)</f>
        <v>0</v>
      </c>
      <c r="L161" s="141">
        <f>IFERROR((HLOOKUP($AH161,Target_monthwise!$D$4:$O$20,DTR!L$4,FALSE))*1000,0)</f>
        <v>0</v>
      </c>
      <c r="M161" s="141">
        <f>IFERROR((HLOOKUP($AH161,Target_monthwise!$D$4:$O$20,DTR!M$4,FALSE))*1000,0)</f>
        <v>0</v>
      </c>
      <c r="N161" s="141">
        <f>IFERROR((HLOOKUP($AH161,Target_monthwise!$D$4:$O$20,DTR!N$4,FALSE))*1000,0)</f>
        <v>0</v>
      </c>
      <c r="O161" s="141">
        <f>IFERROR((HLOOKUP($AH161,Target_monthwise!$D$4:$O$20,DTR!O$4,FALSE))*1000,0)</f>
        <v>0</v>
      </c>
      <c r="P161" s="141">
        <f>IFERROR((HLOOKUP($AH161,Target_monthwise!$D$4:$O$20,DTR!P$4,FALSE))*1000,0)</f>
        <v>0</v>
      </c>
      <c r="Q161" s="141">
        <f>IFERROR((HLOOKUP($AH161,Target_monthwise!$D$4:$O$20,DTR!Q$4,FALSE))*1000,0)</f>
        <v>0</v>
      </c>
      <c r="R161" s="167">
        <f>IFERROR((HLOOKUP($AH161,Target_monthwise!$D$4:$O$20,DTR!R$4,FALSE))*1000,0)</f>
        <v>0</v>
      </c>
      <c r="S161" s="147">
        <f>IFERROR((HLOOKUP($AH161,Target_monthwise!$D$24:$O$40,DTR!S$4,FALSE)),0)</f>
        <v>0</v>
      </c>
      <c r="T161" s="147">
        <f>IFERROR((HLOOKUP($AH161,Target_monthwise!$D$24:$O$40,DTR!T$4,FALSE)),0)</f>
        <v>0</v>
      </c>
      <c r="U161" s="147">
        <f>IFERROR((HLOOKUP($AH161,Target_monthwise!$D$24:$O$40,DTR!U$4,FALSE)),0)</f>
        <v>0</v>
      </c>
      <c r="V161" s="147">
        <f>IFERROR((HLOOKUP($AH161,Target_monthwise!$D$24:$O$40,DTR!V$4,FALSE)),0)</f>
        <v>0</v>
      </c>
      <c r="W161" s="147">
        <f>IFERROR((HLOOKUP($AH161,Target_monthwise!$D$24:$O$40,DTR!W$4,FALSE)),0)</f>
        <v>0</v>
      </c>
      <c r="X161" s="147">
        <f>IFERROR((HLOOKUP($AH161,Target_monthwise!$D$24:$O$40,DTR!X$4,FALSE)),0)</f>
        <v>0</v>
      </c>
      <c r="Y161" s="147">
        <f>IFERROR((HLOOKUP($AH161,Target_monthwise!$D$24:$O$40,DTR!Y$4,FALSE)),0)</f>
        <v>0</v>
      </c>
      <c r="Z161" s="147">
        <f>IFERROR((HLOOKUP($AH161,Target_monthwise!$D$24:$O$40,DTR!Z$4,FALSE)),0)</f>
        <v>0</v>
      </c>
      <c r="AA161" s="147">
        <f>IFERROR((HLOOKUP($AH161,Target_monthwise!$D$24:$O$40,DTR!AA$4,FALSE)),0)</f>
        <v>0</v>
      </c>
      <c r="AB161" s="147">
        <f>IFERROR((HLOOKUP($AH161,Target_monthwise!$D$24:$O$40,DTR!AB$4,FALSE)),0)</f>
        <v>0</v>
      </c>
      <c r="AC161" s="147">
        <f>IFERROR((HLOOKUP($AH161,Target_monthwise!$D$24:$O$40,DTR!AC$4,FALSE)),0)</f>
        <v>0</v>
      </c>
      <c r="AD161" s="147">
        <f>IFERROR((HLOOKUP($AH161,Target_monthwise!$D$24:$O$40,DTR!AD$4,FALSE)),0)</f>
        <v>0</v>
      </c>
      <c r="AE161" s="147">
        <f>IFERROR((HLOOKUP($AH161,Target_monthwise!$D$24:$O$40,DTR!AE$4,FALSE)),0)</f>
        <v>0</v>
      </c>
      <c r="AF161" s="147">
        <f>IFERROR((HLOOKUP($AH161,Target_monthwise!$D$24:$O$40,DTR!AF$4,FALSE)),0)</f>
        <v>0</v>
      </c>
      <c r="AG161" s="172">
        <f>IFERROR((HLOOKUP($AH161,Target_monthwise!$D$24:$O$40,DTR!AG$4,FALSE)),0)</f>
        <v>0</v>
      </c>
      <c r="AH161" s="253">
        <f t="shared" si="2"/>
        <v>202208</v>
      </c>
    </row>
    <row r="162" spans="3:34" ht="15.75" hidden="1">
      <c r="C162" s="237">
        <v>44805</v>
      </c>
      <c r="D162" s="238">
        <f>IFERROR((HLOOKUP($AH162,Target_monthwise!$D$4:$O$20,DTR!D$4,FALSE))*1000,0)</f>
        <v>0</v>
      </c>
      <c r="E162" s="238">
        <f>IFERROR((HLOOKUP($AH162,Target_monthwise!$D$4:$O$20,DTR!E$4,FALSE))*1000,0)</f>
        <v>0</v>
      </c>
      <c r="F162" s="238">
        <f>IFERROR((HLOOKUP($AH162,Target_monthwise!$D$4:$O$20,DTR!F$4,FALSE))*1000,0)</f>
        <v>0</v>
      </c>
      <c r="G162" s="238">
        <f>IFERROR((HLOOKUP($AH162,Target_monthwise!$D$4:$O$20,DTR!G$4,FALSE))*1000,0)</f>
        <v>0</v>
      </c>
      <c r="H162" s="238">
        <f>IFERROR((HLOOKUP($AH162,Target_monthwise!$D$4:$O$20,DTR!H$4,FALSE))*1000,0)</f>
        <v>0</v>
      </c>
      <c r="I162" s="238">
        <f>IFERROR((HLOOKUP($AH162,Target_monthwise!$D$4:$O$20,DTR!I$4,FALSE))*1000,0)</f>
        <v>0</v>
      </c>
      <c r="J162" s="238">
        <f>IFERROR((HLOOKUP($AH162,Target_monthwise!$D$4:$O$20,DTR!J$4,FALSE))*1000,0)</f>
        <v>0</v>
      </c>
      <c r="K162" s="238">
        <f>IFERROR((HLOOKUP($AH162,Target_monthwise!$D$4:$O$20,DTR!K$4,FALSE))*1000,0)</f>
        <v>0</v>
      </c>
      <c r="L162" s="238">
        <f>IFERROR((HLOOKUP($AH162,Target_monthwise!$D$4:$O$20,DTR!L$4,FALSE))*1000,0)</f>
        <v>0</v>
      </c>
      <c r="M162" s="238">
        <f>IFERROR((HLOOKUP($AH162,Target_monthwise!$D$4:$O$20,DTR!M$4,FALSE))*1000,0)</f>
        <v>0</v>
      </c>
      <c r="N162" s="238">
        <f>IFERROR((HLOOKUP($AH162,Target_monthwise!$D$4:$O$20,DTR!N$4,FALSE))*1000,0)</f>
        <v>0</v>
      </c>
      <c r="O162" s="238">
        <f>IFERROR((HLOOKUP($AH162,Target_monthwise!$D$4:$O$20,DTR!O$4,FALSE))*1000,0)</f>
        <v>0</v>
      </c>
      <c r="P162" s="238">
        <f>IFERROR((HLOOKUP($AH162,Target_monthwise!$D$4:$O$20,DTR!P$4,FALSE))*1000,0)</f>
        <v>0</v>
      </c>
      <c r="Q162" s="141">
        <f>IFERROR((HLOOKUP($AH162,Target_monthwise!$D$4:$O$20,DTR!Q$4,FALSE))*1000,0)</f>
        <v>0</v>
      </c>
      <c r="R162" s="167">
        <f>IFERROR((HLOOKUP($AH162,Target_monthwise!$D$4:$O$20,DTR!R$4,FALSE))*1000,0)</f>
        <v>0</v>
      </c>
      <c r="S162" s="239">
        <f>IFERROR((HLOOKUP($AH162,Target_monthwise!$D$24:$O$40,DTR!S$4,FALSE)),0)</f>
        <v>0</v>
      </c>
      <c r="T162" s="239">
        <f>IFERROR((HLOOKUP($AH162,Target_monthwise!$D$24:$O$40,DTR!T$4,FALSE)),0)</f>
        <v>0</v>
      </c>
      <c r="U162" s="239">
        <f>IFERROR((HLOOKUP($AH162,Target_monthwise!$D$24:$O$40,DTR!U$4,FALSE)),0)</f>
        <v>0</v>
      </c>
      <c r="V162" s="239">
        <f>IFERROR((HLOOKUP($AH162,Target_monthwise!$D$24:$O$40,DTR!V$4,FALSE)),0)</f>
        <v>0</v>
      </c>
      <c r="W162" s="239">
        <f>IFERROR((HLOOKUP($AH162,Target_monthwise!$D$24:$O$40,DTR!W$4,FALSE)),0)</f>
        <v>0</v>
      </c>
      <c r="X162" s="239">
        <f>IFERROR((HLOOKUP($AH162,Target_monthwise!$D$24:$O$40,DTR!X$4,FALSE)),0)</f>
        <v>0</v>
      </c>
      <c r="Y162" s="239">
        <f>IFERROR((HLOOKUP($AH162,Target_monthwise!$D$24:$O$40,DTR!Y$4,FALSE)),0)</f>
        <v>0</v>
      </c>
      <c r="Z162" s="147">
        <f>IFERROR((HLOOKUP($AH162,Target_monthwise!$D$24:$O$40,DTR!Z$4,FALSE)),0)</f>
        <v>0</v>
      </c>
      <c r="AA162" s="147">
        <f>IFERROR((HLOOKUP($AH162,Target_monthwise!$D$24:$O$40,DTR!AA$4,FALSE)),0)</f>
        <v>0</v>
      </c>
      <c r="AB162" s="147">
        <f>IFERROR((HLOOKUP($AH162,Target_monthwise!$D$24:$O$40,DTR!AB$4,FALSE)),0)</f>
        <v>0</v>
      </c>
      <c r="AC162" s="239">
        <f>IFERROR((HLOOKUP($AH162,Target_monthwise!$D$24:$O$40,DTR!AC$4,FALSE)),0)</f>
        <v>0</v>
      </c>
      <c r="AD162" s="239">
        <f>IFERROR((HLOOKUP($AH162,Target_monthwise!$D$24:$O$40,DTR!AD$4,FALSE)),0)</f>
        <v>0</v>
      </c>
      <c r="AE162" s="239">
        <f>IFERROR((HLOOKUP($AH162,Target_monthwise!$D$24:$O$40,DTR!AE$4,FALSE)),0)</f>
        <v>0</v>
      </c>
      <c r="AF162" s="239">
        <f>IFERROR((HLOOKUP($AH162,Target_monthwise!$D$24:$O$40,DTR!AF$4,FALSE)),0)</f>
        <v>0</v>
      </c>
      <c r="AG162" s="172">
        <f>IFERROR((HLOOKUP($AH162,Target_monthwise!$D$24:$O$40,DTR!AG$4,FALSE)),0)</f>
        <v>0</v>
      </c>
      <c r="AH162" s="253">
        <f t="shared" si="2"/>
        <v>202209</v>
      </c>
    </row>
    <row r="163" spans="3:34" ht="15.75" hidden="1">
      <c r="C163" s="235">
        <v>44806</v>
      </c>
      <c r="D163" s="141">
        <f>IFERROR((HLOOKUP($AH163,Target_monthwise!$D$4:$O$20,DTR!D$4,FALSE))*1000,0)</f>
        <v>0</v>
      </c>
      <c r="E163" s="141">
        <f>IFERROR((HLOOKUP($AH163,Target_monthwise!$D$4:$O$20,DTR!E$4,FALSE))*1000,0)</f>
        <v>0</v>
      </c>
      <c r="F163" s="141">
        <f>IFERROR((HLOOKUP($AH163,Target_monthwise!$D$4:$O$20,DTR!F$4,FALSE))*1000,0)</f>
        <v>0</v>
      </c>
      <c r="G163" s="141">
        <f>IFERROR((HLOOKUP($AH163,Target_monthwise!$D$4:$O$20,DTR!G$4,FALSE))*1000,0)</f>
        <v>0</v>
      </c>
      <c r="H163" s="141">
        <f>IFERROR((HLOOKUP($AH163,Target_monthwise!$D$4:$O$20,DTR!H$4,FALSE))*1000,0)</f>
        <v>0</v>
      </c>
      <c r="I163" s="141">
        <f>IFERROR((HLOOKUP($AH163,Target_monthwise!$D$4:$O$20,DTR!I$4,FALSE))*1000,0)</f>
        <v>0</v>
      </c>
      <c r="J163" s="141">
        <f>IFERROR((HLOOKUP($AH163,Target_monthwise!$D$4:$O$20,DTR!J$4,FALSE))*1000,0)</f>
        <v>0</v>
      </c>
      <c r="K163" s="141">
        <f>IFERROR((HLOOKUP($AH163,Target_monthwise!$D$4:$O$20,DTR!K$4,FALSE))*1000,0)</f>
        <v>0</v>
      </c>
      <c r="L163" s="141">
        <f>IFERROR((HLOOKUP($AH163,Target_monthwise!$D$4:$O$20,DTR!L$4,FALSE))*1000,0)</f>
        <v>0</v>
      </c>
      <c r="M163" s="141">
        <f>IFERROR((HLOOKUP($AH163,Target_monthwise!$D$4:$O$20,DTR!M$4,FALSE))*1000,0)</f>
        <v>0</v>
      </c>
      <c r="N163" s="141">
        <f>IFERROR((HLOOKUP($AH163,Target_monthwise!$D$4:$O$20,DTR!N$4,FALSE))*1000,0)</f>
        <v>0</v>
      </c>
      <c r="O163" s="141">
        <f>IFERROR((HLOOKUP($AH163,Target_monthwise!$D$4:$O$20,DTR!O$4,FALSE))*1000,0)</f>
        <v>0</v>
      </c>
      <c r="P163" s="141">
        <f>IFERROR((HLOOKUP($AH163,Target_monthwise!$D$4:$O$20,DTR!P$4,FALSE))*1000,0)</f>
        <v>0</v>
      </c>
      <c r="Q163" s="141">
        <f>IFERROR((HLOOKUP($AH163,Target_monthwise!$D$4:$O$20,DTR!Q$4,FALSE))*1000,0)</f>
        <v>0</v>
      </c>
      <c r="R163" s="167">
        <f>IFERROR((HLOOKUP($AH163,Target_monthwise!$D$4:$O$20,DTR!R$4,FALSE))*1000,0)</f>
        <v>0</v>
      </c>
      <c r="S163" s="147">
        <f>IFERROR((HLOOKUP($AH163,Target_monthwise!$D$24:$O$40,DTR!S$4,FALSE)),0)</f>
        <v>0</v>
      </c>
      <c r="T163" s="147">
        <f>IFERROR((HLOOKUP($AH163,Target_monthwise!$D$24:$O$40,DTR!T$4,FALSE)),0)</f>
        <v>0</v>
      </c>
      <c r="U163" s="147">
        <f>IFERROR((HLOOKUP($AH163,Target_monthwise!$D$24:$O$40,DTR!U$4,FALSE)),0)</f>
        <v>0</v>
      </c>
      <c r="V163" s="147">
        <f>IFERROR((HLOOKUP($AH163,Target_monthwise!$D$24:$O$40,DTR!V$4,FALSE)),0)</f>
        <v>0</v>
      </c>
      <c r="W163" s="147">
        <f>IFERROR((HLOOKUP($AH163,Target_monthwise!$D$24:$O$40,DTR!W$4,FALSE)),0)</f>
        <v>0</v>
      </c>
      <c r="X163" s="147">
        <f>IFERROR((HLOOKUP($AH163,Target_monthwise!$D$24:$O$40,DTR!X$4,FALSE)),0)</f>
        <v>0</v>
      </c>
      <c r="Y163" s="147">
        <f>IFERROR((HLOOKUP($AH163,Target_monthwise!$D$24:$O$40,DTR!Y$4,FALSE)),0)</f>
        <v>0</v>
      </c>
      <c r="Z163" s="147">
        <f>IFERROR((HLOOKUP($AH163,Target_monthwise!$D$24:$O$40,DTR!Z$4,FALSE)),0)</f>
        <v>0</v>
      </c>
      <c r="AA163" s="147">
        <f>IFERROR((HLOOKUP($AH163,Target_monthwise!$D$24:$O$40,DTR!AA$4,FALSE)),0)</f>
        <v>0</v>
      </c>
      <c r="AB163" s="147">
        <f>IFERROR((HLOOKUP($AH163,Target_monthwise!$D$24:$O$40,DTR!AB$4,FALSE)),0)</f>
        <v>0</v>
      </c>
      <c r="AC163" s="147">
        <f>IFERROR((HLOOKUP($AH163,Target_monthwise!$D$24:$O$40,DTR!AC$4,FALSE)),0)</f>
        <v>0</v>
      </c>
      <c r="AD163" s="147">
        <f>IFERROR((HLOOKUP($AH163,Target_monthwise!$D$24:$O$40,DTR!AD$4,FALSE)),0)</f>
        <v>0</v>
      </c>
      <c r="AE163" s="147">
        <f>IFERROR((HLOOKUP($AH163,Target_monthwise!$D$24:$O$40,DTR!AE$4,FALSE)),0)</f>
        <v>0</v>
      </c>
      <c r="AF163" s="147">
        <f>IFERROR((HLOOKUP($AH163,Target_monthwise!$D$24:$O$40,DTR!AF$4,FALSE)),0)</f>
        <v>0</v>
      </c>
      <c r="AG163" s="172">
        <f>IFERROR((HLOOKUP($AH163,Target_monthwise!$D$24:$O$40,DTR!AG$4,FALSE)),0)</f>
        <v>0</v>
      </c>
      <c r="AH163" s="253">
        <f t="shared" si="2"/>
        <v>202209</v>
      </c>
    </row>
    <row r="164" spans="3:34" ht="15.75" hidden="1">
      <c r="C164" s="237">
        <v>44807</v>
      </c>
      <c r="D164" s="238">
        <f>IFERROR((HLOOKUP($AH164,Target_monthwise!$D$4:$O$20,DTR!D$4,FALSE))*1000,0)</f>
        <v>0</v>
      </c>
      <c r="E164" s="238">
        <f>IFERROR((HLOOKUP($AH164,Target_monthwise!$D$4:$O$20,DTR!E$4,FALSE))*1000,0)</f>
        <v>0</v>
      </c>
      <c r="F164" s="238">
        <f>IFERROR((HLOOKUP($AH164,Target_monthwise!$D$4:$O$20,DTR!F$4,FALSE))*1000,0)</f>
        <v>0</v>
      </c>
      <c r="G164" s="238">
        <f>IFERROR((HLOOKUP($AH164,Target_monthwise!$D$4:$O$20,DTR!G$4,FALSE))*1000,0)</f>
        <v>0</v>
      </c>
      <c r="H164" s="238">
        <f>IFERROR((HLOOKUP($AH164,Target_monthwise!$D$4:$O$20,DTR!H$4,FALSE))*1000,0)</f>
        <v>0</v>
      </c>
      <c r="I164" s="238">
        <f>IFERROR((HLOOKUP($AH164,Target_monthwise!$D$4:$O$20,DTR!I$4,FALSE))*1000,0)</f>
        <v>0</v>
      </c>
      <c r="J164" s="238">
        <f>IFERROR((HLOOKUP($AH164,Target_monthwise!$D$4:$O$20,DTR!J$4,FALSE))*1000,0)</f>
        <v>0</v>
      </c>
      <c r="K164" s="238">
        <f>IFERROR((HLOOKUP($AH164,Target_monthwise!$D$4:$O$20,DTR!K$4,FALSE))*1000,0)</f>
        <v>0</v>
      </c>
      <c r="L164" s="238">
        <f>IFERROR((HLOOKUP($AH164,Target_monthwise!$D$4:$O$20,DTR!L$4,FALSE))*1000,0)</f>
        <v>0</v>
      </c>
      <c r="M164" s="238">
        <f>IFERROR((HLOOKUP($AH164,Target_monthwise!$D$4:$O$20,DTR!M$4,FALSE))*1000,0)</f>
        <v>0</v>
      </c>
      <c r="N164" s="238">
        <f>IFERROR((HLOOKUP($AH164,Target_monthwise!$D$4:$O$20,DTR!N$4,FALSE))*1000,0)</f>
        <v>0</v>
      </c>
      <c r="O164" s="238">
        <f>IFERROR((HLOOKUP($AH164,Target_monthwise!$D$4:$O$20,DTR!O$4,FALSE))*1000,0)</f>
        <v>0</v>
      </c>
      <c r="P164" s="238">
        <f>IFERROR((HLOOKUP($AH164,Target_monthwise!$D$4:$O$20,DTR!P$4,FALSE))*1000,0)</f>
        <v>0</v>
      </c>
      <c r="Q164" s="141">
        <f>IFERROR((HLOOKUP($AH164,Target_monthwise!$D$4:$O$20,DTR!Q$4,FALSE))*1000,0)</f>
        <v>0</v>
      </c>
      <c r="R164" s="167">
        <f>IFERROR((HLOOKUP($AH164,Target_monthwise!$D$4:$O$20,DTR!R$4,FALSE))*1000,0)</f>
        <v>0</v>
      </c>
      <c r="S164" s="239">
        <f>IFERROR((HLOOKUP($AH164,Target_monthwise!$D$24:$O$40,DTR!S$4,FALSE)),0)</f>
        <v>0</v>
      </c>
      <c r="T164" s="239">
        <f>IFERROR((HLOOKUP($AH164,Target_monthwise!$D$24:$O$40,DTR!T$4,FALSE)),0)</f>
        <v>0</v>
      </c>
      <c r="U164" s="239">
        <f>IFERROR((HLOOKUP($AH164,Target_monthwise!$D$24:$O$40,DTR!U$4,FALSE)),0)</f>
        <v>0</v>
      </c>
      <c r="V164" s="239">
        <f>IFERROR((HLOOKUP($AH164,Target_monthwise!$D$24:$O$40,DTR!V$4,FALSE)),0)</f>
        <v>0</v>
      </c>
      <c r="W164" s="239">
        <f>IFERROR((HLOOKUP($AH164,Target_monthwise!$D$24:$O$40,DTR!W$4,FALSE)),0)</f>
        <v>0</v>
      </c>
      <c r="X164" s="239">
        <f>IFERROR((HLOOKUP($AH164,Target_monthwise!$D$24:$O$40,DTR!X$4,FALSE)),0)</f>
        <v>0</v>
      </c>
      <c r="Y164" s="239">
        <f>IFERROR((HLOOKUP($AH164,Target_monthwise!$D$24:$O$40,DTR!Y$4,FALSE)),0)</f>
        <v>0</v>
      </c>
      <c r="Z164" s="147">
        <f>IFERROR((HLOOKUP($AH164,Target_monthwise!$D$24:$O$40,DTR!Z$4,FALSE)),0)</f>
        <v>0</v>
      </c>
      <c r="AA164" s="147">
        <f>IFERROR((HLOOKUP($AH164,Target_monthwise!$D$24:$O$40,DTR!AA$4,FALSE)),0)</f>
        <v>0</v>
      </c>
      <c r="AB164" s="147">
        <f>IFERROR((HLOOKUP($AH164,Target_monthwise!$D$24:$O$40,DTR!AB$4,FALSE)),0)</f>
        <v>0</v>
      </c>
      <c r="AC164" s="239">
        <f>IFERROR((HLOOKUP($AH164,Target_monthwise!$D$24:$O$40,DTR!AC$4,FALSE)),0)</f>
        <v>0</v>
      </c>
      <c r="AD164" s="239">
        <f>IFERROR((HLOOKUP($AH164,Target_monthwise!$D$24:$O$40,DTR!AD$4,FALSE)),0)</f>
        <v>0</v>
      </c>
      <c r="AE164" s="239">
        <f>IFERROR((HLOOKUP($AH164,Target_monthwise!$D$24:$O$40,DTR!AE$4,FALSE)),0)</f>
        <v>0</v>
      </c>
      <c r="AF164" s="239">
        <f>IFERROR((HLOOKUP($AH164,Target_monthwise!$D$24:$O$40,DTR!AF$4,FALSE)),0)</f>
        <v>0</v>
      </c>
      <c r="AG164" s="172">
        <f>IFERROR((HLOOKUP($AH164,Target_monthwise!$D$24:$O$40,DTR!AG$4,FALSE)),0)</f>
        <v>0</v>
      </c>
      <c r="AH164" s="253">
        <f t="shared" si="2"/>
        <v>202209</v>
      </c>
    </row>
    <row r="165" spans="3:34" ht="15.75" hidden="1">
      <c r="C165" s="235">
        <v>44808</v>
      </c>
      <c r="D165" s="141">
        <f>IFERROR((HLOOKUP($AH165,Target_monthwise!$D$4:$O$20,DTR!D$4,FALSE))*1000,0)</f>
        <v>0</v>
      </c>
      <c r="E165" s="141">
        <f>IFERROR((HLOOKUP($AH165,Target_monthwise!$D$4:$O$20,DTR!E$4,FALSE))*1000,0)</f>
        <v>0</v>
      </c>
      <c r="F165" s="141">
        <f>IFERROR((HLOOKUP($AH165,Target_monthwise!$D$4:$O$20,DTR!F$4,FALSE))*1000,0)</f>
        <v>0</v>
      </c>
      <c r="G165" s="141">
        <f>IFERROR((HLOOKUP($AH165,Target_monthwise!$D$4:$O$20,DTR!G$4,FALSE))*1000,0)</f>
        <v>0</v>
      </c>
      <c r="H165" s="141">
        <f>IFERROR((HLOOKUP($AH165,Target_monthwise!$D$4:$O$20,DTR!H$4,FALSE))*1000,0)</f>
        <v>0</v>
      </c>
      <c r="I165" s="141">
        <f>IFERROR((HLOOKUP($AH165,Target_monthwise!$D$4:$O$20,DTR!I$4,FALSE))*1000,0)</f>
        <v>0</v>
      </c>
      <c r="J165" s="141">
        <f>IFERROR((HLOOKUP($AH165,Target_monthwise!$D$4:$O$20,DTR!J$4,FALSE))*1000,0)</f>
        <v>0</v>
      </c>
      <c r="K165" s="141">
        <f>IFERROR((HLOOKUP($AH165,Target_monthwise!$D$4:$O$20,DTR!K$4,FALSE))*1000,0)</f>
        <v>0</v>
      </c>
      <c r="L165" s="141">
        <f>IFERROR((HLOOKUP($AH165,Target_monthwise!$D$4:$O$20,DTR!L$4,FALSE))*1000,0)</f>
        <v>0</v>
      </c>
      <c r="M165" s="141">
        <f>IFERROR((HLOOKUP($AH165,Target_monthwise!$D$4:$O$20,DTR!M$4,FALSE))*1000,0)</f>
        <v>0</v>
      </c>
      <c r="N165" s="141">
        <f>IFERROR((HLOOKUP($AH165,Target_monthwise!$D$4:$O$20,DTR!N$4,FALSE))*1000,0)</f>
        <v>0</v>
      </c>
      <c r="O165" s="141">
        <f>IFERROR((HLOOKUP($AH165,Target_monthwise!$D$4:$O$20,DTR!O$4,FALSE))*1000,0)</f>
        <v>0</v>
      </c>
      <c r="P165" s="141">
        <f>IFERROR((HLOOKUP($AH165,Target_monthwise!$D$4:$O$20,DTR!P$4,FALSE))*1000,0)</f>
        <v>0</v>
      </c>
      <c r="Q165" s="141">
        <f>IFERROR((HLOOKUP($AH165,Target_monthwise!$D$4:$O$20,DTR!Q$4,FALSE))*1000,0)</f>
        <v>0</v>
      </c>
      <c r="R165" s="167">
        <f>IFERROR((HLOOKUP($AH165,Target_monthwise!$D$4:$O$20,DTR!R$4,FALSE))*1000,0)</f>
        <v>0</v>
      </c>
      <c r="S165" s="147">
        <f>IFERROR((HLOOKUP($AH165,Target_monthwise!$D$24:$O$40,DTR!S$4,FALSE)),0)</f>
        <v>0</v>
      </c>
      <c r="T165" s="147">
        <f>IFERROR((HLOOKUP($AH165,Target_monthwise!$D$24:$O$40,DTR!T$4,FALSE)),0)</f>
        <v>0</v>
      </c>
      <c r="U165" s="147">
        <f>IFERROR((HLOOKUP($AH165,Target_monthwise!$D$24:$O$40,DTR!U$4,FALSE)),0)</f>
        <v>0</v>
      </c>
      <c r="V165" s="147">
        <f>IFERROR((HLOOKUP($AH165,Target_monthwise!$D$24:$O$40,DTR!V$4,FALSE)),0)</f>
        <v>0</v>
      </c>
      <c r="W165" s="147">
        <f>IFERROR((HLOOKUP($AH165,Target_monthwise!$D$24:$O$40,DTR!W$4,FALSE)),0)</f>
        <v>0</v>
      </c>
      <c r="X165" s="147">
        <f>IFERROR((HLOOKUP($AH165,Target_monthwise!$D$24:$O$40,DTR!X$4,FALSE)),0)</f>
        <v>0</v>
      </c>
      <c r="Y165" s="147">
        <f>IFERROR((HLOOKUP($AH165,Target_monthwise!$D$24:$O$40,DTR!Y$4,FALSE)),0)</f>
        <v>0</v>
      </c>
      <c r="Z165" s="147">
        <f>IFERROR((HLOOKUP($AH165,Target_monthwise!$D$24:$O$40,DTR!Z$4,FALSE)),0)</f>
        <v>0</v>
      </c>
      <c r="AA165" s="147">
        <f>IFERROR((HLOOKUP($AH165,Target_monthwise!$D$24:$O$40,DTR!AA$4,FALSE)),0)</f>
        <v>0</v>
      </c>
      <c r="AB165" s="147">
        <f>IFERROR((HLOOKUP($AH165,Target_monthwise!$D$24:$O$40,DTR!AB$4,FALSE)),0)</f>
        <v>0</v>
      </c>
      <c r="AC165" s="147">
        <f>IFERROR((HLOOKUP($AH165,Target_monthwise!$D$24:$O$40,DTR!AC$4,FALSE)),0)</f>
        <v>0</v>
      </c>
      <c r="AD165" s="147">
        <f>IFERROR((HLOOKUP($AH165,Target_monthwise!$D$24:$O$40,DTR!AD$4,FALSE)),0)</f>
        <v>0</v>
      </c>
      <c r="AE165" s="147">
        <f>IFERROR((HLOOKUP($AH165,Target_monthwise!$D$24:$O$40,DTR!AE$4,FALSE)),0)</f>
        <v>0</v>
      </c>
      <c r="AF165" s="147">
        <f>IFERROR((HLOOKUP($AH165,Target_monthwise!$D$24:$O$40,DTR!AF$4,FALSE)),0)</f>
        <v>0</v>
      </c>
      <c r="AG165" s="172">
        <f>IFERROR((HLOOKUP($AH165,Target_monthwise!$D$24:$O$40,DTR!AG$4,FALSE)),0)</f>
        <v>0</v>
      </c>
      <c r="AH165" s="253">
        <f t="shared" si="2"/>
        <v>202209</v>
      </c>
    </row>
    <row r="166" spans="3:34" ht="15.75" hidden="1">
      <c r="C166" s="237">
        <v>44809</v>
      </c>
      <c r="D166" s="238">
        <f>IFERROR((HLOOKUP($AH166,Target_monthwise!$D$4:$O$20,DTR!D$4,FALSE))*1000,0)</f>
        <v>0</v>
      </c>
      <c r="E166" s="238">
        <f>IFERROR((HLOOKUP($AH166,Target_monthwise!$D$4:$O$20,DTR!E$4,FALSE))*1000,0)</f>
        <v>0</v>
      </c>
      <c r="F166" s="238">
        <f>IFERROR((HLOOKUP($AH166,Target_monthwise!$D$4:$O$20,DTR!F$4,FALSE))*1000,0)</f>
        <v>0</v>
      </c>
      <c r="G166" s="238">
        <f>IFERROR((HLOOKUP($AH166,Target_monthwise!$D$4:$O$20,DTR!G$4,FALSE))*1000,0)</f>
        <v>0</v>
      </c>
      <c r="H166" s="238">
        <f>IFERROR((HLOOKUP($AH166,Target_monthwise!$D$4:$O$20,DTR!H$4,FALSE))*1000,0)</f>
        <v>0</v>
      </c>
      <c r="I166" s="238">
        <f>IFERROR((HLOOKUP($AH166,Target_monthwise!$D$4:$O$20,DTR!I$4,FALSE))*1000,0)</f>
        <v>0</v>
      </c>
      <c r="J166" s="238">
        <f>IFERROR((HLOOKUP($AH166,Target_monthwise!$D$4:$O$20,DTR!J$4,FALSE))*1000,0)</f>
        <v>0</v>
      </c>
      <c r="K166" s="238">
        <f>IFERROR((HLOOKUP($AH166,Target_monthwise!$D$4:$O$20,DTR!K$4,FALSE))*1000,0)</f>
        <v>0</v>
      </c>
      <c r="L166" s="238">
        <f>IFERROR((HLOOKUP($AH166,Target_monthwise!$D$4:$O$20,DTR!L$4,FALSE))*1000,0)</f>
        <v>0</v>
      </c>
      <c r="M166" s="238">
        <f>IFERROR((HLOOKUP($AH166,Target_monthwise!$D$4:$O$20,DTR!M$4,FALSE))*1000,0)</f>
        <v>0</v>
      </c>
      <c r="N166" s="238">
        <f>IFERROR((HLOOKUP($AH166,Target_monthwise!$D$4:$O$20,DTR!N$4,FALSE))*1000,0)</f>
        <v>0</v>
      </c>
      <c r="O166" s="238">
        <f>IFERROR((HLOOKUP($AH166,Target_monthwise!$D$4:$O$20,DTR!O$4,FALSE))*1000,0)</f>
        <v>0</v>
      </c>
      <c r="P166" s="238">
        <f>IFERROR((HLOOKUP($AH166,Target_monthwise!$D$4:$O$20,DTR!P$4,FALSE))*1000,0)</f>
        <v>0</v>
      </c>
      <c r="Q166" s="141">
        <f>IFERROR((HLOOKUP($AH166,Target_monthwise!$D$4:$O$20,DTR!Q$4,FALSE))*1000,0)</f>
        <v>0</v>
      </c>
      <c r="R166" s="167">
        <f>IFERROR((HLOOKUP($AH166,Target_monthwise!$D$4:$O$20,DTR!R$4,FALSE))*1000,0)</f>
        <v>0</v>
      </c>
      <c r="S166" s="239">
        <f>IFERROR((HLOOKUP($AH166,Target_monthwise!$D$24:$O$40,DTR!S$4,FALSE)),0)</f>
        <v>0</v>
      </c>
      <c r="T166" s="239">
        <f>IFERROR((HLOOKUP($AH166,Target_monthwise!$D$24:$O$40,DTR!T$4,FALSE)),0)</f>
        <v>0</v>
      </c>
      <c r="U166" s="239">
        <f>IFERROR((HLOOKUP($AH166,Target_monthwise!$D$24:$O$40,DTR!U$4,FALSE)),0)</f>
        <v>0</v>
      </c>
      <c r="V166" s="239">
        <f>IFERROR((HLOOKUP($AH166,Target_monthwise!$D$24:$O$40,DTR!V$4,FALSE)),0)</f>
        <v>0</v>
      </c>
      <c r="W166" s="239">
        <f>IFERROR((HLOOKUP($AH166,Target_monthwise!$D$24:$O$40,DTR!W$4,FALSE)),0)</f>
        <v>0</v>
      </c>
      <c r="X166" s="239">
        <f>IFERROR((HLOOKUP($AH166,Target_monthwise!$D$24:$O$40,DTR!X$4,FALSE)),0)</f>
        <v>0</v>
      </c>
      <c r="Y166" s="239">
        <f>IFERROR((HLOOKUP($AH166,Target_monthwise!$D$24:$O$40,DTR!Y$4,FALSE)),0)</f>
        <v>0</v>
      </c>
      <c r="Z166" s="147">
        <f>IFERROR((HLOOKUP($AH166,Target_monthwise!$D$24:$O$40,DTR!Z$4,FALSE)),0)</f>
        <v>0</v>
      </c>
      <c r="AA166" s="147">
        <f>IFERROR((HLOOKUP($AH166,Target_monthwise!$D$24:$O$40,DTR!AA$4,FALSE)),0)</f>
        <v>0</v>
      </c>
      <c r="AB166" s="147">
        <f>IFERROR((HLOOKUP($AH166,Target_monthwise!$D$24:$O$40,DTR!AB$4,FALSE)),0)</f>
        <v>0</v>
      </c>
      <c r="AC166" s="239">
        <f>IFERROR((HLOOKUP($AH166,Target_monthwise!$D$24:$O$40,DTR!AC$4,FALSE)),0)</f>
        <v>0</v>
      </c>
      <c r="AD166" s="239">
        <f>IFERROR((HLOOKUP($AH166,Target_monthwise!$D$24:$O$40,DTR!AD$4,FALSE)),0)</f>
        <v>0</v>
      </c>
      <c r="AE166" s="239">
        <f>IFERROR((HLOOKUP($AH166,Target_monthwise!$D$24:$O$40,DTR!AE$4,FALSE)),0)</f>
        <v>0</v>
      </c>
      <c r="AF166" s="239">
        <f>IFERROR((HLOOKUP($AH166,Target_monthwise!$D$24:$O$40,DTR!AF$4,FALSE)),0)</f>
        <v>0</v>
      </c>
      <c r="AG166" s="172">
        <f>IFERROR((HLOOKUP($AH166,Target_monthwise!$D$24:$O$40,DTR!AG$4,FALSE)),0)</f>
        <v>0</v>
      </c>
      <c r="AH166" s="253">
        <f t="shared" si="2"/>
        <v>202209</v>
      </c>
    </row>
    <row r="167" spans="3:34" ht="15.75" hidden="1">
      <c r="C167" s="235">
        <v>44810</v>
      </c>
      <c r="D167" s="141">
        <f>IFERROR((HLOOKUP($AH167,Target_monthwise!$D$4:$O$20,DTR!D$4,FALSE))*1000,0)</f>
        <v>0</v>
      </c>
      <c r="E167" s="141">
        <f>IFERROR((HLOOKUP($AH167,Target_monthwise!$D$4:$O$20,DTR!E$4,FALSE))*1000,0)</f>
        <v>0</v>
      </c>
      <c r="F167" s="141">
        <f>IFERROR((HLOOKUP($AH167,Target_monthwise!$D$4:$O$20,DTR!F$4,FALSE))*1000,0)</f>
        <v>0</v>
      </c>
      <c r="G167" s="141">
        <f>IFERROR((HLOOKUP($AH167,Target_monthwise!$D$4:$O$20,DTR!G$4,FALSE))*1000,0)</f>
        <v>0</v>
      </c>
      <c r="H167" s="141">
        <f>IFERROR((HLOOKUP($AH167,Target_monthwise!$D$4:$O$20,DTR!H$4,FALSE))*1000,0)</f>
        <v>0</v>
      </c>
      <c r="I167" s="141">
        <f>IFERROR((HLOOKUP($AH167,Target_monthwise!$D$4:$O$20,DTR!I$4,FALSE))*1000,0)</f>
        <v>0</v>
      </c>
      <c r="J167" s="141">
        <f>IFERROR((HLOOKUP($AH167,Target_monthwise!$D$4:$O$20,DTR!J$4,FALSE))*1000,0)</f>
        <v>0</v>
      </c>
      <c r="K167" s="141">
        <f>IFERROR((HLOOKUP($AH167,Target_monthwise!$D$4:$O$20,DTR!K$4,FALSE))*1000,0)</f>
        <v>0</v>
      </c>
      <c r="L167" s="141">
        <f>IFERROR((HLOOKUP($AH167,Target_monthwise!$D$4:$O$20,DTR!L$4,FALSE))*1000,0)</f>
        <v>0</v>
      </c>
      <c r="M167" s="141">
        <f>IFERROR((HLOOKUP($AH167,Target_monthwise!$D$4:$O$20,DTR!M$4,FALSE))*1000,0)</f>
        <v>0</v>
      </c>
      <c r="N167" s="141">
        <f>IFERROR((HLOOKUP($AH167,Target_monthwise!$D$4:$O$20,DTR!N$4,FALSE))*1000,0)</f>
        <v>0</v>
      </c>
      <c r="O167" s="141">
        <f>IFERROR((HLOOKUP($AH167,Target_monthwise!$D$4:$O$20,DTR!O$4,FALSE))*1000,0)</f>
        <v>0</v>
      </c>
      <c r="P167" s="141">
        <f>IFERROR((HLOOKUP($AH167,Target_monthwise!$D$4:$O$20,DTR!P$4,FALSE))*1000,0)</f>
        <v>0</v>
      </c>
      <c r="Q167" s="141">
        <f>IFERROR((HLOOKUP($AH167,Target_monthwise!$D$4:$O$20,DTR!Q$4,FALSE))*1000,0)</f>
        <v>0</v>
      </c>
      <c r="R167" s="167">
        <f>IFERROR((HLOOKUP($AH167,Target_monthwise!$D$4:$O$20,DTR!R$4,FALSE))*1000,0)</f>
        <v>0</v>
      </c>
      <c r="S167" s="147">
        <f>IFERROR((HLOOKUP($AH167,Target_monthwise!$D$24:$O$40,DTR!S$4,FALSE)),0)</f>
        <v>0</v>
      </c>
      <c r="T167" s="147">
        <f>IFERROR((HLOOKUP($AH167,Target_monthwise!$D$24:$O$40,DTR!T$4,FALSE)),0)</f>
        <v>0</v>
      </c>
      <c r="U167" s="147">
        <f>IFERROR((HLOOKUP($AH167,Target_monthwise!$D$24:$O$40,DTR!U$4,FALSE)),0)</f>
        <v>0</v>
      </c>
      <c r="V167" s="147">
        <f>IFERROR((HLOOKUP($AH167,Target_monthwise!$D$24:$O$40,DTR!V$4,FALSE)),0)</f>
        <v>0</v>
      </c>
      <c r="W167" s="147">
        <f>IFERROR((HLOOKUP($AH167,Target_monthwise!$D$24:$O$40,DTR!W$4,FALSE)),0)</f>
        <v>0</v>
      </c>
      <c r="X167" s="147">
        <f>IFERROR((HLOOKUP($AH167,Target_monthwise!$D$24:$O$40,DTR!X$4,FALSE)),0)</f>
        <v>0</v>
      </c>
      <c r="Y167" s="147">
        <f>IFERROR((HLOOKUP($AH167,Target_monthwise!$D$24:$O$40,DTR!Y$4,FALSE)),0)</f>
        <v>0</v>
      </c>
      <c r="Z167" s="147">
        <f>IFERROR((HLOOKUP($AH167,Target_monthwise!$D$24:$O$40,DTR!Z$4,FALSE)),0)</f>
        <v>0</v>
      </c>
      <c r="AA167" s="147">
        <f>IFERROR((HLOOKUP($AH167,Target_monthwise!$D$24:$O$40,DTR!AA$4,FALSE)),0)</f>
        <v>0</v>
      </c>
      <c r="AB167" s="147">
        <f>IFERROR((HLOOKUP($AH167,Target_monthwise!$D$24:$O$40,DTR!AB$4,FALSE)),0)</f>
        <v>0</v>
      </c>
      <c r="AC167" s="147">
        <f>IFERROR((HLOOKUP($AH167,Target_monthwise!$D$24:$O$40,DTR!AC$4,FALSE)),0)</f>
        <v>0</v>
      </c>
      <c r="AD167" s="147">
        <f>IFERROR((HLOOKUP($AH167,Target_monthwise!$D$24:$O$40,DTR!AD$4,FALSE)),0)</f>
        <v>0</v>
      </c>
      <c r="AE167" s="147">
        <f>IFERROR((HLOOKUP($AH167,Target_monthwise!$D$24:$O$40,DTR!AE$4,FALSE)),0)</f>
        <v>0</v>
      </c>
      <c r="AF167" s="147">
        <f>IFERROR((HLOOKUP($AH167,Target_monthwise!$D$24:$O$40,DTR!AF$4,FALSE)),0)</f>
        <v>0</v>
      </c>
      <c r="AG167" s="172">
        <f>IFERROR((HLOOKUP($AH167,Target_monthwise!$D$24:$O$40,DTR!AG$4,FALSE)),0)</f>
        <v>0</v>
      </c>
      <c r="AH167" s="253">
        <f t="shared" si="2"/>
        <v>202209</v>
      </c>
    </row>
    <row r="168" spans="3:34" ht="15.75" hidden="1">
      <c r="C168" s="237">
        <v>44811</v>
      </c>
      <c r="D168" s="238">
        <f>IFERROR((HLOOKUP($AH168,Target_monthwise!$D$4:$O$20,DTR!D$4,FALSE))*1000,0)</f>
        <v>0</v>
      </c>
      <c r="E168" s="238">
        <f>IFERROR((HLOOKUP($AH168,Target_monthwise!$D$4:$O$20,DTR!E$4,FALSE))*1000,0)</f>
        <v>0</v>
      </c>
      <c r="F168" s="238">
        <f>IFERROR((HLOOKUP($AH168,Target_monthwise!$D$4:$O$20,DTR!F$4,FALSE))*1000,0)</f>
        <v>0</v>
      </c>
      <c r="G168" s="238">
        <f>IFERROR((HLOOKUP($AH168,Target_monthwise!$D$4:$O$20,DTR!G$4,FALSE))*1000,0)</f>
        <v>0</v>
      </c>
      <c r="H168" s="238">
        <f>IFERROR((HLOOKUP($AH168,Target_monthwise!$D$4:$O$20,DTR!H$4,FALSE))*1000,0)</f>
        <v>0</v>
      </c>
      <c r="I168" s="238">
        <f>IFERROR((HLOOKUP($AH168,Target_monthwise!$D$4:$O$20,DTR!I$4,FALSE))*1000,0)</f>
        <v>0</v>
      </c>
      <c r="J168" s="238">
        <f>IFERROR((HLOOKUP($AH168,Target_monthwise!$D$4:$O$20,DTR!J$4,FALSE))*1000,0)</f>
        <v>0</v>
      </c>
      <c r="K168" s="238">
        <f>IFERROR((HLOOKUP($AH168,Target_monthwise!$D$4:$O$20,DTR!K$4,FALSE))*1000,0)</f>
        <v>0</v>
      </c>
      <c r="L168" s="238">
        <f>IFERROR((HLOOKUP($AH168,Target_monthwise!$D$4:$O$20,DTR!L$4,FALSE))*1000,0)</f>
        <v>0</v>
      </c>
      <c r="M168" s="238">
        <f>IFERROR((HLOOKUP($AH168,Target_monthwise!$D$4:$O$20,DTR!M$4,FALSE))*1000,0)</f>
        <v>0</v>
      </c>
      <c r="N168" s="238">
        <f>IFERROR((HLOOKUP($AH168,Target_monthwise!$D$4:$O$20,DTR!N$4,FALSE))*1000,0)</f>
        <v>0</v>
      </c>
      <c r="O168" s="238">
        <f>IFERROR((HLOOKUP($AH168,Target_monthwise!$D$4:$O$20,DTR!O$4,FALSE))*1000,0)</f>
        <v>0</v>
      </c>
      <c r="P168" s="238">
        <f>IFERROR((HLOOKUP($AH168,Target_monthwise!$D$4:$O$20,DTR!P$4,FALSE))*1000,0)</f>
        <v>0</v>
      </c>
      <c r="Q168" s="141">
        <f>IFERROR((HLOOKUP($AH168,Target_monthwise!$D$4:$O$20,DTR!Q$4,FALSE))*1000,0)</f>
        <v>0</v>
      </c>
      <c r="R168" s="167">
        <f>IFERROR((HLOOKUP($AH168,Target_monthwise!$D$4:$O$20,DTR!R$4,FALSE))*1000,0)</f>
        <v>0</v>
      </c>
      <c r="S168" s="239">
        <f>IFERROR((HLOOKUP($AH168,Target_monthwise!$D$24:$O$40,DTR!S$4,FALSE)),0)</f>
        <v>0</v>
      </c>
      <c r="T168" s="239">
        <f>IFERROR((HLOOKUP($AH168,Target_monthwise!$D$24:$O$40,DTR!T$4,FALSE)),0)</f>
        <v>0</v>
      </c>
      <c r="U168" s="239">
        <f>IFERROR((HLOOKUP($AH168,Target_monthwise!$D$24:$O$40,DTR!U$4,FALSE)),0)</f>
        <v>0</v>
      </c>
      <c r="V168" s="239">
        <f>IFERROR((HLOOKUP($AH168,Target_monthwise!$D$24:$O$40,DTR!V$4,FALSE)),0)</f>
        <v>0</v>
      </c>
      <c r="W168" s="239">
        <f>IFERROR((HLOOKUP($AH168,Target_monthwise!$D$24:$O$40,DTR!W$4,FALSE)),0)</f>
        <v>0</v>
      </c>
      <c r="X168" s="239">
        <f>IFERROR((HLOOKUP($AH168,Target_monthwise!$D$24:$O$40,DTR!X$4,FALSE)),0)</f>
        <v>0</v>
      </c>
      <c r="Y168" s="239">
        <f>IFERROR((HLOOKUP($AH168,Target_monthwise!$D$24:$O$40,DTR!Y$4,FALSE)),0)</f>
        <v>0</v>
      </c>
      <c r="Z168" s="147">
        <f>IFERROR((HLOOKUP($AH168,Target_monthwise!$D$24:$O$40,DTR!Z$4,FALSE)),0)</f>
        <v>0</v>
      </c>
      <c r="AA168" s="147">
        <f>IFERROR((HLOOKUP($AH168,Target_monthwise!$D$24:$O$40,DTR!AA$4,FALSE)),0)</f>
        <v>0</v>
      </c>
      <c r="AB168" s="147">
        <f>IFERROR((HLOOKUP($AH168,Target_monthwise!$D$24:$O$40,DTR!AB$4,FALSE)),0)</f>
        <v>0</v>
      </c>
      <c r="AC168" s="239">
        <f>IFERROR((HLOOKUP($AH168,Target_monthwise!$D$24:$O$40,DTR!AC$4,FALSE)),0)</f>
        <v>0</v>
      </c>
      <c r="AD168" s="239">
        <f>IFERROR((HLOOKUP($AH168,Target_monthwise!$D$24:$O$40,DTR!AD$4,FALSE)),0)</f>
        <v>0</v>
      </c>
      <c r="AE168" s="239">
        <f>IFERROR((HLOOKUP($AH168,Target_monthwise!$D$24:$O$40,DTR!AE$4,FALSE)),0)</f>
        <v>0</v>
      </c>
      <c r="AF168" s="239">
        <f>IFERROR((HLOOKUP($AH168,Target_monthwise!$D$24:$O$40,DTR!AF$4,FALSE)),0)</f>
        <v>0</v>
      </c>
      <c r="AG168" s="172">
        <f>IFERROR((HLOOKUP($AH168,Target_monthwise!$D$24:$O$40,DTR!AG$4,FALSE)),0)</f>
        <v>0</v>
      </c>
      <c r="AH168" s="253">
        <f t="shared" si="2"/>
        <v>202209</v>
      </c>
    </row>
    <row r="169" spans="3:34" ht="15.75" hidden="1">
      <c r="C169" s="235">
        <v>44812</v>
      </c>
      <c r="D169" s="141">
        <f>IFERROR((HLOOKUP($AH169,Target_monthwise!$D$4:$O$20,DTR!D$4,FALSE))*1000,0)</f>
        <v>0</v>
      </c>
      <c r="E169" s="141">
        <f>IFERROR((HLOOKUP($AH169,Target_monthwise!$D$4:$O$20,DTR!E$4,FALSE))*1000,0)</f>
        <v>0</v>
      </c>
      <c r="F169" s="141">
        <f>IFERROR((HLOOKUP($AH169,Target_monthwise!$D$4:$O$20,DTR!F$4,FALSE))*1000,0)</f>
        <v>0</v>
      </c>
      <c r="G169" s="141">
        <f>IFERROR((HLOOKUP($AH169,Target_monthwise!$D$4:$O$20,DTR!G$4,FALSE))*1000,0)</f>
        <v>0</v>
      </c>
      <c r="H169" s="141">
        <f>IFERROR((HLOOKUP($AH169,Target_monthwise!$D$4:$O$20,DTR!H$4,FALSE))*1000,0)</f>
        <v>0</v>
      </c>
      <c r="I169" s="141">
        <f>IFERROR((HLOOKUP($AH169,Target_monthwise!$D$4:$O$20,DTR!I$4,FALSE))*1000,0)</f>
        <v>0</v>
      </c>
      <c r="J169" s="141">
        <f>IFERROR((HLOOKUP($AH169,Target_monthwise!$D$4:$O$20,DTR!J$4,FALSE))*1000,0)</f>
        <v>0</v>
      </c>
      <c r="K169" s="141">
        <f>IFERROR((HLOOKUP($AH169,Target_monthwise!$D$4:$O$20,DTR!K$4,FALSE))*1000,0)</f>
        <v>0</v>
      </c>
      <c r="L169" s="141">
        <f>IFERROR((HLOOKUP($AH169,Target_monthwise!$D$4:$O$20,DTR!L$4,FALSE))*1000,0)</f>
        <v>0</v>
      </c>
      <c r="M169" s="141">
        <f>IFERROR((HLOOKUP($AH169,Target_monthwise!$D$4:$O$20,DTR!M$4,FALSE))*1000,0)</f>
        <v>0</v>
      </c>
      <c r="N169" s="141">
        <f>IFERROR((HLOOKUP($AH169,Target_monthwise!$D$4:$O$20,DTR!N$4,FALSE))*1000,0)</f>
        <v>0</v>
      </c>
      <c r="O169" s="141">
        <f>IFERROR((HLOOKUP($AH169,Target_monthwise!$D$4:$O$20,DTR!O$4,FALSE))*1000,0)</f>
        <v>0</v>
      </c>
      <c r="P169" s="141">
        <f>IFERROR((HLOOKUP($AH169,Target_monthwise!$D$4:$O$20,DTR!P$4,FALSE))*1000,0)</f>
        <v>0</v>
      </c>
      <c r="Q169" s="141">
        <f>IFERROR((HLOOKUP($AH169,Target_monthwise!$D$4:$O$20,DTR!Q$4,FALSE))*1000,0)</f>
        <v>0</v>
      </c>
      <c r="R169" s="167">
        <f>IFERROR((HLOOKUP($AH169,Target_monthwise!$D$4:$O$20,DTR!R$4,FALSE))*1000,0)</f>
        <v>0</v>
      </c>
      <c r="S169" s="147">
        <f>IFERROR((HLOOKUP($AH169,Target_monthwise!$D$24:$O$40,DTR!S$4,FALSE)),0)</f>
        <v>0</v>
      </c>
      <c r="T169" s="147">
        <f>IFERROR((HLOOKUP($AH169,Target_monthwise!$D$24:$O$40,DTR!T$4,FALSE)),0)</f>
        <v>0</v>
      </c>
      <c r="U169" s="147">
        <f>IFERROR((HLOOKUP($AH169,Target_monthwise!$D$24:$O$40,DTR!U$4,FALSE)),0)</f>
        <v>0</v>
      </c>
      <c r="V169" s="147">
        <f>IFERROR((HLOOKUP($AH169,Target_monthwise!$D$24:$O$40,DTR!V$4,FALSE)),0)</f>
        <v>0</v>
      </c>
      <c r="W169" s="147">
        <f>IFERROR((HLOOKUP($AH169,Target_monthwise!$D$24:$O$40,DTR!W$4,FALSE)),0)</f>
        <v>0</v>
      </c>
      <c r="X169" s="147">
        <f>IFERROR((HLOOKUP($AH169,Target_monthwise!$D$24:$O$40,DTR!X$4,FALSE)),0)</f>
        <v>0</v>
      </c>
      <c r="Y169" s="147">
        <f>IFERROR((HLOOKUP($AH169,Target_monthwise!$D$24:$O$40,DTR!Y$4,FALSE)),0)</f>
        <v>0</v>
      </c>
      <c r="Z169" s="147">
        <f>IFERROR((HLOOKUP($AH169,Target_monthwise!$D$24:$O$40,DTR!Z$4,FALSE)),0)</f>
        <v>0</v>
      </c>
      <c r="AA169" s="147">
        <f>IFERROR((HLOOKUP($AH169,Target_monthwise!$D$24:$O$40,DTR!AA$4,FALSE)),0)</f>
        <v>0</v>
      </c>
      <c r="AB169" s="147">
        <f>IFERROR((HLOOKUP($AH169,Target_monthwise!$D$24:$O$40,DTR!AB$4,FALSE)),0)</f>
        <v>0</v>
      </c>
      <c r="AC169" s="147">
        <f>IFERROR((HLOOKUP($AH169,Target_monthwise!$D$24:$O$40,DTR!AC$4,FALSE)),0)</f>
        <v>0</v>
      </c>
      <c r="AD169" s="147">
        <f>IFERROR((HLOOKUP($AH169,Target_monthwise!$D$24:$O$40,DTR!AD$4,FALSE)),0)</f>
        <v>0</v>
      </c>
      <c r="AE169" s="147">
        <f>IFERROR((HLOOKUP($AH169,Target_monthwise!$D$24:$O$40,DTR!AE$4,FALSE)),0)</f>
        <v>0</v>
      </c>
      <c r="AF169" s="147">
        <f>IFERROR((HLOOKUP($AH169,Target_monthwise!$D$24:$O$40,DTR!AF$4,FALSE)),0)</f>
        <v>0</v>
      </c>
      <c r="AG169" s="172">
        <f>IFERROR((HLOOKUP($AH169,Target_monthwise!$D$24:$O$40,DTR!AG$4,FALSE)),0)</f>
        <v>0</v>
      </c>
      <c r="AH169" s="253">
        <f t="shared" si="2"/>
        <v>202209</v>
      </c>
    </row>
    <row r="170" spans="3:34" ht="15.75" hidden="1">
      <c r="C170" s="237">
        <v>44813</v>
      </c>
      <c r="D170" s="238">
        <f>IFERROR((HLOOKUP($AH170,Target_monthwise!$D$4:$O$20,DTR!D$4,FALSE))*1000,0)</f>
        <v>0</v>
      </c>
      <c r="E170" s="238">
        <f>IFERROR((HLOOKUP($AH170,Target_monthwise!$D$4:$O$20,DTR!E$4,FALSE))*1000,0)</f>
        <v>0</v>
      </c>
      <c r="F170" s="238">
        <f>IFERROR((HLOOKUP($AH170,Target_monthwise!$D$4:$O$20,DTR!F$4,FALSE))*1000,0)</f>
        <v>0</v>
      </c>
      <c r="G170" s="238">
        <f>IFERROR((HLOOKUP($AH170,Target_monthwise!$D$4:$O$20,DTR!G$4,FALSE))*1000,0)</f>
        <v>0</v>
      </c>
      <c r="H170" s="238">
        <f>IFERROR((HLOOKUP($AH170,Target_monthwise!$D$4:$O$20,DTR!H$4,FALSE))*1000,0)</f>
        <v>0</v>
      </c>
      <c r="I170" s="238">
        <f>IFERROR((HLOOKUP($AH170,Target_monthwise!$D$4:$O$20,DTR!I$4,FALSE))*1000,0)</f>
        <v>0</v>
      </c>
      <c r="J170" s="238">
        <f>IFERROR((HLOOKUP($AH170,Target_monthwise!$D$4:$O$20,DTR!J$4,FALSE))*1000,0)</f>
        <v>0</v>
      </c>
      <c r="K170" s="238">
        <f>IFERROR((HLOOKUP($AH170,Target_monthwise!$D$4:$O$20,DTR!K$4,FALSE))*1000,0)</f>
        <v>0</v>
      </c>
      <c r="L170" s="238">
        <f>IFERROR((HLOOKUP($AH170,Target_monthwise!$D$4:$O$20,DTR!L$4,FALSE))*1000,0)</f>
        <v>0</v>
      </c>
      <c r="M170" s="238">
        <f>IFERROR((HLOOKUP($AH170,Target_monthwise!$D$4:$O$20,DTR!M$4,FALSE))*1000,0)</f>
        <v>0</v>
      </c>
      <c r="N170" s="238">
        <f>IFERROR((HLOOKUP($AH170,Target_monthwise!$D$4:$O$20,DTR!N$4,FALSE))*1000,0)</f>
        <v>0</v>
      </c>
      <c r="O170" s="238">
        <f>IFERROR((HLOOKUP($AH170,Target_monthwise!$D$4:$O$20,DTR!O$4,FALSE))*1000,0)</f>
        <v>0</v>
      </c>
      <c r="P170" s="238">
        <f>IFERROR((HLOOKUP($AH170,Target_monthwise!$D$4:$O$20,DTR!P$4,FALSE))*1000,0)</f>
        <v>0</v>
      </c>
      <c r="Q170" s="141">
        <f>IFERROR((HLOOKUP($AH170,Target_monthwise!$D$4:$O$20,DTR!Q$4,FALSE))*1000,0)</f>
        <v>0</v>
      </c>
      <c r="R170" s="167">
        <f>IFERROR((HLOOKUP($AH170,Target_monthwise!$D$4:$O$20,DTR!R$4,FALSE))*1000,0)</f>
        <v>0</v>
      </c>
      <c r="S170" s="239">
        <f>IFERROR((HLOOKUP($AH170,Target_monthwise!$D$24:$O$40,DTR!S$4,FALSE)),0)</f>
        <v>0</v>
      </c>
      <c r="T170" s="239">
        <f>IFERROR((HLOOKUP($AH170,Target_monthwise!$D$24:$O$40,DTR!T$4,FALSE)),0)</f>
        <v>0</v>
      </c>
      <c r="U170" s="239">
        <f>IFERROR((HLOOKUP($AH170,Target_monthwise!$D$24:$O$40,DTR!U$4,FALSE)),0)</f>
        <v>0</v>
      </c>
      <c r="V170" s="239">
        <f>IFERROR((HLOOKUP($AH170,Target_monthwise!$D$24:$O$40,DTR!V$4,FALSE)),0)</f>
        <v>0</v>
      </c>
      <c r="W170" s="239">
        <f>IFERROR((HLOOKUP($AH170,Target_monthwise!$D$24:$O$40,DTR!W$4,FALSE)),0)</f>
        <v>0</v>
      </c>
      <c r="X170" s="239">
        <f>IFERROR((HLOOKUP($AH170,Target_monthwise!$D$24:$O$40,DTR!X$4,FALSE)),0)</f>
        <v>0</v>
      </c>
      <c r="Y170" s="239">
        <f>IFERROR((HLOOKUP($AH170,Target_monthwise!$D$24:$O$40,DTR!Y$4,FALSE)),0)</f>
        <v>0</v>
      </c>
      <c r="Z170" s="147">
        <f>IFERROR((HLOOKUP($AH170,Target_monthwise!$D$24:$O$40,DTR!Z$4,FALSE)),0)</f>
        <v>0</v>
      </c>
      <c r="AA170" s="147">
        <f>IFERROR((HLOOKUP($AH170,Target_monthwise!$D$24:$O$40,DTR!AA$4,FALSE)),0)</f>
        <v>0</v>
      </c>
      <c r="AB170" s="147">
        <f>IFERROR((HLOOKUP($AH170,Target_monthwise!$D$24:$O$40,DTR!AB$4,FALSE)),0)</f>
        <v>0</v>
      </c>
      <c r="AC170" s="239">
        <f>IFERROR((HLOOKUP($AH170,Target_monthwise!$D$24:$O$40,DTR!AC$4,FALSE)),0)</f>
        <v>0</v>
      </c>
      <c r="AD170" s="239">
        <f>IFERROR((HLOOKUP($AH170,Target_monthwise!$D$24:$O$40,DTR!AD$4,FALSE)),0)</f>
        <v>0</v>
      </c>
      <c r="AE170" s="239">
        <f>IFERROR((HLOOKUP($AH170,Target_monthwise!$D$24:$O$40,DTR!AE$4,FALSE)),0)</f>
        <v>0</v>
      </c>
      <c r="AF170" s="239">
        <f>IFERROR((HLOOKUP($AH170,Target_monthwise!$D$24:$O$40,DTR!AF$4,FALSE)),0)</f>
        <v>0</v>
      </c>
      <c r="AG170" s="172">
        <f>IFERROR((HLOOKUP($AH170,Target_monthwise!$D$24:$O$40,DTR!AG$4,FALSE)),0)</f>
        <v>0</v>
      </c>
      <c r="AH170" s="253">
        <f t="shared" si="2"/>
        <v>202209</v>
      </c>
    </row>
    <row r="171" spans="3:34" ht="15.75" hidden="1">
      <c r="C171" s="235">
        <v>44814</v>
      </c>
      <c r="D171" s="141">
        <f>IFERROR((HLOOKUP($AH171,Target_monthwise!$D$4:$O$20,DTR!D$4,FALSE))*1000,0)</f>
        <v>0</v>
      </c>
      <c r="E171" s="141">
        <f>IFERROR((HLOOKUP($AH171,Target_monthwise!$D$4:$O$20,DTR!E$4,FALSE))*1000,0)</f>
        <v>0</v>
      </c>
      <c r="F171" s="141">
        <f>IFERROR((HLOOKUP($AH171,Target_monthwise!$D$4:$O$20,DTR!F$4,FALSE))*1000,0)</f>
        <v>0</v>
      </c>
      <c r="G171" s="141">
        <f>IFERROR((HLOOKUP($AH171,Target_monthwise!$D$4:$O$20,DTR!G$4,FALSE))*1000,0)</f>
        <v>0</v>
      </c>
      <c r="H171" s="141">
        <f>IFERROR((HLOOKUP($AH171,Target_monthwise!$D$4:$O$20,DTR!H$4,FALSE))*1000,0)</f>
        <v>0</v>
      </c>
      <c r="I171" s="141">
        <f>IFERROR((HLOOKUP($AH171,Target_monthwise!$D$4:$O$20,DTR!I$4,FALSE))*1000,0)</f>
        <v>0</v>
      </c>
      <c r="J171" s="141">
        <f>IFERROR((HLOOKUP($AH171,Target_monthwise!$D$4:$O$20,DTR!J$4,FALSE))*1000,0)</f>
        <v>0</v>
      </c>
      <c r="K171" s="141">
        <f>IFERROR((HLOOKUP($AH171,Target_monthwise!$D$4:$O$20,DTR!K$4,FALSE))*1000,0)</f>
        <v>0</v>
      </c>
      <c r="L171" s="141">
        <f>IFERROR((HLOOKUP($AH171,Target_monthwise!$D$4:$O$20,DTR!L$4,FALSE))*1000,0)</f>
        <v>0</v>
      </c>
      <c r="M171" s="141">
        <f>IFERROR((HLOOKUP($AH171,Target_monthwise!$D$4:$O$20,DTR!M$4,FALSE))*1000,0)</f>
        <v>0</v>
      </c>
      <c r="N171" s="141">
        <f>IFERROR((HLOOKUP($AH171,Target_monthwise!$D$4:$O$20,DTR!N$4,FALSE))*1000,0)</f>
        <v>0</v>
      </c>
      <c r="O171" s="141">
        <f>IFERROR((HLOOKUP($AH171,Target_monthwise!$D$4:$O$20,DTR!O$4,FALSE))*1000,0)</f>
        <v>0</v>
      </c>
      <c r="P171" s="141">
        <f>IFERROR((HLOOKUP($AH171,Target_monthwise!$D$4:$O$20,DTR!P$4,FALSE))*1000,0)</f>
        <v>0</v>
      </c>
      <c r="Q171" s="141">
        <f>IFERROR((HLOOKUP($AH171,Target_monthwise!$D$4:$O$20,DTR!Q$4,FALSE))*1000,0)</f>
        <v>0</v>
      </c>
      <c r="R171" s="167">
        <f>IFERROR((HLOOKUP($AH171,Target_monthwise!$D$4:$O$20,DTR!R$4,FALSE))*1000,0)</f>
        <v>0</v>
      </c>
      <c r="S171" s="147">
        <f>IFERROR((HLOOKUP($AH171,Target_monthwise!$D$24:$O$40,DTR!S$4,FALSE)),0)</f>
        <v>0</v>
      </c>
      <c r="T171" s="147">
        <f>IFERROR((HLOOKUP($AH171,Target_monthwise!$D$24:$O$40,DTR!T$4,FALSE)),0)</f>
        <v>0</v>
      </c>
      <c r="U171" s="147">
        <f>IFERROR((HLOOKUP($AH171,Target_monthwise!$D$24:$O$40,DTR!U$4,FALSE)),0)</f>
        <v>0</v>
      </c>
      <c r="V171" s="147">
        <f>IFERROR((HLOOKUP($AH171,Target_monthwise!$D$24:$O$40,DTR!V$4,FALSE)),0)</f>
        <v>0</v>
      </c>
      <c r="W171" s="147">
        <f>IFERROR((HLOOKUP($AH171,Target_monthwise!$D$24:$O$40,DTR!W$4,FALSE)),0)</f>
        <v>0</v>
      </c>
      <c r="X171" s="147">
        <f>IFERROR((HLOOKUP($AH171,Target_monthwise!$D$24:$O$40,DTR!X$4,FALSE)),0)</f>
        <v>0</v>
      </c>
      <c r="Y171" s="147">
        <f>IFERROR((HLOOKUP($AH171,Target_monthwise!$D$24:$O$40,DTR!Y$4,FALSE)),0)</f>
        <v>0</v>
      </c>
      <c r="Z171" s="147">
        <f>IFERROR((HLOOKUP($AH171,Target_monthwise!$D$24:$O$40,DTR!Z$4,FALSE)),0)</f>
        <v>0</v>
      </c>
      <c r="AA171" s="147">
        <f>IFERROR((HLOOKUP($AH171,Target_monthwise!$D$24:$O$40,DTR!AA$4,FALSE)),0)</f>
        <v>0</v>
      </c>
      <c r="AB171" s="147">
        <f>IFERROR((HLOOKUP($AH171,Target_monthwise!$D$24:$O$40,DTR!AB$4,FALSE)),0)</f>
        <v>0</v>
      </c>
      <c r="AC171" s="147">
        <f>IFERROR((HLOOKUP($AH171,Target_monthwise!$D$24:$O$40,DTR!AC$4,FALSE)),0)</f>
        <v>0</v>
      </c>
      <c r="AD171" s="147">
        <f>IFERROR((HLOOKUP($AH171,Target_monthwise!$D$24:$O$40,DTR!AD$4,FALSE)),0)</f>
        <v>0</v>
      </c>
      <c r="AE171" s="147">
        <f>IFERROR((HLOOKUP($AH171,Target_monthwise!$D$24:$O$40,DTR!AE$4,FALSE)),0)</f>
        <v>0</v>
      </c>
      <c r="AF171" s="147">
        <f>IFERROR((HLOOKUP($AH171,Target_monthwise!$D$24:$O$40,DTR!AF$4,FALSE)),0)</f>
        <v>0</v>
      </c>
      <c r="AG171" s="172">
        <f>IFERROR((HLOOKUP($AH171,Target_monthwise!$D$24:$O$40,DTR!AG$4,FALSE)),0)</f>
        <v>0</v>
      </c>
      <c r="AH171" s="253">
        <f t="shared" si="2"/>
        <v>202209</v>
      </c>
    </row>
    <row r="172" spans="3:34" ht="15.75" hidden="1">
      <c r="C172" s="237">
        <v>44815</v>
      </c>
      <c r="D172" s="238">
        <f>IFERROR((HLOOKUP($AH172,Target_monthwise!$D$4:$O$20,DTR!D$4,FALSE))*1000,0)</f>
        <v>0</v>
      </c>
      <c r="E172" s="238">
        <f>IFERROR((HLOOKUP($AH172,Target_monthwise!$D$4:$O$20,DTR!E$4,FALSE))*1000,0)</f>
        <v>0</v>
      </c>
      <c r="F172" s="238">
        <f>IFERROR((HLOOKUP($AH172,Target_monthwise!$D$4:$O$20,DTR!F$4,FALSE))*1000,0)</f>
        <v>0</v>
      </c>
      <c r="G172" s="238">
        <f>IFERROR((HLOOKUP($AH172,Target_monthwise!$D$4:$O$20,DTR!G$4,FALSE))*1000,0)</f>
        <v>0</v>
      </c>
      <c r="H172" s="238">
        <f>IFERROR((HLOOKUP($AH172,Target_monthwise!$D$4:$O$20,DTR!H$4,FALSE))*1000,0)</f>
        <v>0</v>
      </c>
      <c r="I172" s="238">
        <f>IFERROR((HLOOKUP($AH172,Target_monthwise!$D$4:$O$20,DTR!I$4,FALSE))*1000,0)</f>
        <v>0</v>
      </c>
      <c r="J172" s="238">
        <f>IFERROR((HLOOKUP($AH172,Target_monthwise!$D$4:$O$20,DTR!J$4,FALSE))*1000,0)</f>
        <v>0</v>
      </c>
      <c r="K172" s="238">
        <f>IFERROR((HLOOKUP($AH172,Target_monthwise!$D$4:$O$20,DTR!K$4,FALSE))*1000,0)</f>
        <v>0</v>
      </c>
      <c r="L172" s="238">
        <f>IFERROR((HLOOKUP($AH172,Target_monthwise!$D$4:$O$20,DTR!L$4,FALSE))*1000,0)</f>
        <v>0</v>
      </c>
      <c r="M172" s="238">
        <f>IFERROR((HLOOKUP($AH172,Target_monthwise!$D$4:$O$20,DTR!M$4,FALSE))*1000,0)</f>
        <v>0</v>
      </c>
      <c r="N172" s="238">
        <f>IFERROR((HLOOKUP($AH172,Target_monthwise!$D$4:$O$20,DTR!N$4,FALSE))*1000,0)</f>
        <v>0</v>
      </c>
      <c r="O172" s="238">
        <f>IFERROR((HLOOKUP($AH172,Target_monthwise!$D$4:$O$20,DTR!O$4,FALSE))*1000,0)</f>
        <v>0</v>
      </c>
      <c r="P172" s="238">
        <f>IFERROR((HLOOKUP($AH172,Target_monthwise!$D$4:$O$20,DTR!P$4,FALSE))*1000,0)</f>
        <v>0</v>
      </c>
      <c r="Q172" s="141">
        <f>IFERROR((HLOOKUP($AH172,Target_monthwise!$D$4:$O$20,DTR!Q$4,FALSE))*1000,0)</f>
        <v>0</v>
      </c>
      <c r="R172" s="167">
        <f>IFERROR((HLOOKUP($AH172,Target_monthwise!$D$4:$O$20,DTR!R$4,FALSE))*1000,0)</f>
        <v>0</v>
      </c>
      <c r="S172" s="239">
        <f>IFERROR((HLOOKUP($AH172,Target_monthwise!$D$24:$O$40,DTR!S$4,FALSE)),0)</f>
        <v>0</v>
      </c>
      <c r="T172" s="239">
        <f>IFERROR((HLOOKUP($AH172,Target_monthwise!$D$24:$O$40,DTR!T$4,FALSE)),0)</f>
        <v>0</v>
      </c>
      <c r="U172" s="239">
        <f>IFERROR((HLOOKUP($AH172,Target_monthwise!$D$24:$O$40,DTR!U$4,FALSE)),0)</f>
        <v>0</v>
      </c>
      <c r="V172" s="239">
        <f>IFERROR((HLOOKUP($AH172,Target_monthwise!$D$24:$O$40,DTR!V$4,FALSE)),0)</f>
        <v>0</v>
      </c>
      <c r="W172" s="239">
        <f>IFERROR((HLOOKUP($AH172,Target_monthwise!$D$24:$O$40,DTR!W$4,FALSE)),0)</f>
        <v>0</v>
      </c>
      <c r="X172" s="239">
        <f>IFERROR((HLOOKUP($AH172,Target_monthwise!$D$24:$O$40,DTR!X$4,FALSE)),0)</f>
        <v>0</v>
      </c>
      <c r="Y172" s="239">
        <f>IFERROR((HLOOKUP($AH172,Target_monthwise!$D$24:$O$40,DTR!Y$4,FALSE)),0)</f>
        <v>0</v>
      </c>
      <c r="Z172" s="147">
        <f>IFERROR((HLOOKUP($AH172,Target_monthwise!$D$24:$O$40,DTR!Z$4,FALSE)),0)</f>
        <v>0</v>
      </c>
      <c r="AA172" s="147">
        <f>IFERROR((HLOOKUP($AH172,Target_monthwise!$D$24:$O$40,DTR!AA$4,FALSE)),0)</f>
        <v>0</v>
      </c>
      <c r="AB172" s="147">
        <f>IFERROR((HLOOKUP($AH172,Target_monthwise!$D$24:$O$40,DTR!AB$4,FALSE)),0)</f>
        <v>0</v>
      </c>
      <c r="AC172" s="239">
        <f>IFERROR((HLOOKUP($AH172,Target_monthwise!$D$24:$O$40,DTR!AC$4,FALSE)),0)</f>
        <v>0</v>
      </c>
      <c r="AD172" s="239">
        <f>IFERROR((HLOOKUP($AH172,Target_monthwise!$D$24:$O$40,DTR!AD$4,FALSE)),0)</f>
        <v>0</v>
      </c>
      <c r="AE172" s="239">
        <f>IFERROR((HLOOKUP($AH172,Target_monthwise!$D$24:$O$40,DTR!AE$4,FALSE)),0)</f>
        <v>0</v>
      </c>
      <c r="AF172" s="239">
        <f>IFERROR((HLOOKUP($AH172,Target_monthwise!$D$24:$O$40,DTR!AF$4,FALSE)),0)</f>
        <v>0</v>
      </c>
      <c r="AG172" s="172">
        <f>IFERROR((HLOOKUP($AH172,Target_monthwise!$D$24:$O$40,DTR!AG$4,FALSE)),0)</f>
        <v>0</v>
      </c>
      <c r="AH172" s="253">
        <f t="shared" si="2"/>
        <v>202209</v>
      </c>
    </row>
    <row r="173" spans="3:34" ht="15.75" hidden="1">
      <c r="C173" s="235">
        <v>44816</v>
      </c>
      <c r="D173" s="141">
        <f>IFERROR((HLOOKUP($AH173,Target_monthwise!$D$4:$O$20,DTR!D$4,FALSE))*1000,0)</f>
        <v>0</v>
      </c>
      <c r="E173" s="141">
        <f>IFERROR((HLOOKUP($AH173,Target_monthwise!$D$4:$O$20,DTR!E$4,FALSE))*1000,0)</f>
        <v>0</v>
      </c>
      <c r="F173" s="141">
        <f>IFERROR((HLOOKUP($AH173,Target_monthwise!$D$4:$O$20,DTR!F$4,FALSE))*1000,0)</f>
        <v>0</v>
      </c>
      <c r="G173" s="141">
        <f>IFERROR((HLOOKUP($AH173,Target_monthwise!$D$4:$O$20,DTR!G$4,FALSE))*1000,0)</f>
        <v>0</v>
      </c>
      <c r="H173" s="141">
        <f>IFERROR((HLOOKUP($AH173,Target_monthwise!$D$4:$O$20,DTR!H$4,FALSE))*1000,0)</f>
        <v>0</v>
      </c>
      <c r="I173" s="141">
        <f>IFERROR((HLOOKUP($AH173,Target_monthwise!$D$4:$O$20,DTR!I$4,FALSE))*1000,0)</f>
        <v>0</v>
      </c>
      <c r="J173" s="141">
        <f>IFERROR((HLOOKUP($AH173,Target_monthwise!$D$4:$O$20,DTR!J$4,FALSE))*1000,0)</f>
        <v>0</v>
      </c>
      <c r="K173" s="141">
        <f>IFERROR((HLOOKUP($AH173,Target_monthwise!$D$4:$O$20,DTR!K$4,FALSE))*1000,0)</f>
        <v>0</v>
      </c>
      <c r="L173" s="141">
        <f>IFERROR((HLOOKUP($AH173,Target_monthwise!$D$4:$O$20,DTR!L$4,FALSE))*1000,0)</f>
        <v>0</v>
      </c>
      <c r="M173" s="141">
        <f>IFERROR((HLOOKUP($AH173,Target_monthwise!$D$4:$O$20,DTR!M$4,FALSE))*1000,0)</f>
        <v>0</v>
      </c>
      <c r="N173" s="141">
        <f>IFERROR((HLOOKUP($AH173,Target_monthwise!$D$4:$O$20,DTR!N$4,FALSE))*1000,0)</f>
        <v>0</v>
      </c>
      <c r="O173" s="141">
        <f>IFERROR((HLOOKUP($AH173,Target_monthwise!$D$4:$O$20,DTR!O$4,FALSE))*1000,0)</f>
        <v>0</v>
      </c>
      <c r="P173" s="141">
        <f>IFERROR((HLOOKUP($AH173,Target_monthwise!$D$4:$O$20,DTR!P$4,FALSE))*1000,0)</f>
        <v>0</v>
      </c>
      <c r="Q173" s="141">
        <f>IFERROR((HLOOKUP($AH173,Target_monthwise!$D$4:$O$20,DTR!Q$4,FALSE))*1000,0)</f>
        <v>0</v>
      </c>
      <c r="R173" s="167">
        <f>IFERROR((HLOOKUP($AH173,Target_monthwise!$D$4:$O$20,DTR!R$4,FALSE))*1000,0)</f>
        <v>0</v>
      </c>
      <c r="S173" s="147">
        <f>IFERROR((HLOOKUP($AH173,Target_monthwise!$D$24:$O$40,DTR!S$4,FALSE)),0)</f>
        <v>0</v>
      </c>
      <c r="T173" s="147">
        <f>IFERROR((HLOOKUP($AH173,Target_monthwise!$D$24:$O$40,DTR!T$4,FALSE)),0)</f>
        <v>0</v>
      </c>
      <c r="U173" s="147">
        <f>IFERROR((HLOOKUP($AH173,Target_monthwise!$D$24:$O$40,DTR!U$4,FALSE)),0)</f>
        <v>0</v>
      </c>
      <c r="V173" s="147">
        <f>IFERROR((HLOOKUP($AH173,Target_monthwise!$D$24:$O$40,DTR!V$4,FALSE)),0)</f>
        <v>0</v>
      </c>
      <c r="W173" s="147">
        <f>IFERROR((HLOOKUP($AH173,Target_monthwise!$D$24:$O$40,DTR!W$4,FALSE)),0)</f>
        <v>0</v>
      </c>
      <c r="X173" s="147">
        <f>IFERROR((HLOOKUP($AH173,Target_monthwise!$D$24:$O$40,DTR!X$4,FALSE)),0)</f>
        <v>0</v>
      </c>
      <c r="Y173" s="147">
        <f>IFERROR((HLOOKUP($AH173,Target_monthwise!$D$24:$O$40,DTR!Y$4,FALSE)),0)</f>
        <v>0</v>
      </c>
      <c r="Z173" s="147">
        <f>IFERROR((HLOOKUP($AH173,Target_monthwise!$D$24:$O$40,DTR!Z$4,FALSE)),0)</f>
        <v>0</v>
      </c>
      <c r="AA173" s="147">
        <f>IFERROR((HLOOKUP($AH173,Target_monthwise!$D$24:$O$40,DTR!AA$4,FALSE)),0)</f>
        <v>0</v>
      </c>
      <c r="AB173" s="147">
        <f>IFERROR((HLOOKUP($AH173,Target_monthwise!$D$24:$O$40,DTR!AB$4,FALSE)),0)</f>
        <v>0</v>
      </c>
      <c r="AC173" s="147">
        <f>IFERROR((HLOOKUP($AH173,Target_monthwise!$D$24:$O$40,DTR!AC$4,FALSE)),0)</f>
        <v>0</v>
      </c>
      <c r="AD173" s="147">
        <f>IFERROR((HLOOKUP($AH173,Target_monthwise!$D$24:$O$40,DTR!AD$4,FALSE)),0)</f>
        <v>0</v>
      </c>
      <c r="AE173" s="147">
        <f>IFERROR((HLOOKUP($AH173,Target_monthwise!$D$24:$O$40,DTR!AE$4,FALSE)),0)</f>
        <v>0</v>
      </c>
      <c r="AF173" s="147">
        <f>IFERROR((HLOOKUP($AH173,Target_monthwise!$D$24:$O$40,DTR!AF$4,FALSE)),0)</f>
        <v>0</v>
      </c>
      <c r="AG173" s="172">
        <f>IFERROR((HLOOKUP($AH173,Target_monthwise!$D$24:$O$40,DTR!AG$4,FALSE)),0)</f>
        <v>0</v>
      </c>
      <c r="AH173" s="253">
        <f t="shared" si="2"/>
        <v>202209</v>
      </c>
    </row>
    <row r="174" spans="3:34" ht="15.75" hidden="1">
      <c r="C174" s="237">
        <v>44817</v>
      </c>
      <c r="D174" s="238">
        <f>IFERROR((HLOOKUP($AH174,Target_monthwise!$D$4:$O$20,DTR!D$4,FALSE))*1000,0)</f>
        <v>0</v>
      </c>
      <c r="E174" s="238">
        <f>IFERROR((HLOOKUP($AH174,Target_monthwise!$D$4:$O$20,DTR!E$4,FALSE))*1000,0)</f>
        <v>0</v>
      </c>
      <c r="F174" s="238">
        <f>IFERROR((HLOOKUP($AH174,Target_monthwise!$D$4:$O$20,DTR!F$4,FALSE))*1000,0)</f>
        <v>0</v>
      </c>
      <c r="G174" s="238">
        <f>IFERROR((HLOOKUP($AH174,Target_monthwise!$D$4:$O$20,DTR!G$4,FALSE))*1000,0)</f>
        <v>0</v>
      </c>
      <c r="H174" s="238">
        <f>IFERROR((HLOOKUP($AH174,Target_monthwise!$D$4:$O$20,DTR!H$4,FALSE))*1000,0)</f>
        <v>0</v>
      </c>
      <c r="I174" s="238">
        <f>IFERROR((HLOOKUP($AH174,Target_monthwise!$D$4:$O$20,DTR!I$4,FALSE))*1000,0)</f>
        <v>0</v>
      </c>
      <c r="J174" s="238">
        <f>IFERROR((HLOOKUP($AH174,Target_monthwise!$D$4:$O$20,DTR!J$4,FALSE))*1000,0)</f>
        <v>0</v>
      </c>
      <c r="K174" s="238">
        <f>IFERROR((HLOOKUP($AH174,Target_monthwise!$D$4:$O$20,DTR!K$4,FALSE))*1000,0)</f>
        <v>0</v>
      </c>
      <c r="L174" s="238">
        <f>IFERROR((HLOOKUP($AH174,Target_monthwise!$D$4:$O$20,DTR!L$4,FALSE))*1000,0)</f>
        <v>0</v>
      </c>
      <c r="M174" s="238">
        <f>IFERROR((HLOOKUP($AH174,Target_monthwise!$D$4:$O$20,DTR!M$4,FALSE))*1000,0)</f>
        <v>0</v>
      </c>
      <c r="N174" s="238">
        <f>IFERROR((HLOOKUP($AH174,Target_monthwise!$D$4:$O$20,DTR!N$4,FALSE))*1000,0)</f>
        <v>0</v>
      </c>
      <c r="O174" s="238">
        <f>IFERROR((HLOOKUP($AH174,Target_monthwise!$D$4:$O$20,DTR!O$4,FALSE))*1000,0)</f>
        <v>0</v>
      </c>
      <c r="P174" s="238">
        <f>IFERROR((HLOOKUP($AH174,Target_monthwise!$D$4:$O$20,DTR!P$4,FALSE))*1000,0)</f>
        <v>0</v>
      </c>
      <c r="Q174" s="141">
        <f>IFERROR((HLOOKUP($AH174,Target_monthwise!$D$4:$O$20,DTR!Q$4,FALSE))*1000,0)</f>
        <v>0</v>
      </c>
      <c r="R174" s="167">
        <f>IFERROR((HLOOKUP($AH174,Target_monthwise!$D$4:$O$20,DTR!R$4,FALSE))*1000,0)</f>
        <v>0</v>
      </c>
      <c r="S174" s="239">
        <f>IFERROR((HLOOKUP($AH174,Target_monthwise!$D$24:$O$40,DTR!S$4,FALSE)),0)</f>
        <v>0</v>
      </c>
      <c r="T174" s="239">
        <f>IFERROR((HLOOKUP($AH174,Target_monthwise!$D$24:$O$40,DTR!T$4,FALSE)),0)</f>
        <v>0</v>
      </c>
      <c r="U174" s="239">
        <f>IFERROR((HLOOKUP($AH174,Target_monthwise!$D$24:$O$40,DTR!U$4,FALSE)),0)</f>
        <v>0</v>
      </c>
      <c r="V174" s="239">
        <f>IFERROR((HLOOKUP($AH174,Target_monthwise!$D$24:$O$40,DTR!V$4,FALSE)),0)</f>
        <v>0</v>
      </c>
      <c r="W174" s="239">
        <f>IFERROR((HLOOKUP($AH174,Target_monthwise!$D$24:$O$40,DTR!W$4,FALSE)),0)</f>
        <v>0</v>
      </c>
      <c r="X174" s="239">
        <f>IFERROR((HLOOKUP($AH174,Target_monthwise!$D$24:$O$40,DTR!X$4,FALSE)),0)</f>
        <v>0</v>
      </c>
      <c r="Y174" s="239">
        <f>IFERROR((HLOOKUP($AH174,Target_monthwise!$D$24:$O$40,DTR!Y$4,FALSE)),0)</f>
        <v>0</v>
      </c>
      <c r="Z174" s="147">
        <f>IFERROR((HLOOKUP($AH174,Target_monthwise!$D$24:$O$40,DTR!Z$4,FALSE)),0)</f>
        <v>0</v>
      </c>
      <c r="AA174" s="147">
        <f>IFERROR((HLOOKUP($AH174,Target_monthwise!$D$24:$O$40,DTR!AA$4,FALSE)),0)</f>
        <v>0</v>
      </c>
      <c r="AB174" s="147">
        <f>IFERROR((HLOOKUP($AH174,Target_monthwise!$D$24:$O$40,DTR!AB$4,FALSE)),0)</f>
        <v>0</v>
      </c>
      <c r="AC174" s="239">
        <f>IFERROR((HLOOKUP($AH174,Target_monthwise!$D$24:$O$40,DTR!AC$4,FALSE)),0)</f>
        <v>0</v>
      </c>
      <c r="AD174" s="239">
        <f>IFERROR((HLOOKUP($AH174,Target_monthwise!$D$24:$O$40,DTR!AD$4,FALSE)),0)</f>
        <v>0</v>
      </c>
      <c r="AE174" s="239">
        <f>IFERROR((HLOOKUP($AH174,Target_monthwise!$D$24:$O$40,DTR!AE$4,FALSE)),0)</f>
        <v>0</v>
      </c>
      <c r="AF174" s="239">
        <f>IFERROR((HLOOKUP($AH174,Target_monthwise!$D$24:$O$40,DTR!AF$4,FALSE)),0)</f>
        <v>0</v>
      </c>
      <c r="AG174" s="172">
        <f>IFERROR((HLOOKUP($AH174,Target_monthwise!$D$24:$O$40,DTR!AG$4,FALSE)),0)</f>
        <v>0</v>
      </c>
      <c r="AH174" s="253">
        <f t="shared" si="2"/>
        <v>202209</v>
      </c>
    </row>
    <row r="175" spans="3:34" ht="15.75" hidden="1">
      <c r="C175" s="235">
        <v>44818</v>
      </c>
      <c r="D175" s="141">
        <f>IFERROR((HLOOKUP($AH175,Target_monthwise!$D$4:$O$20,DTR!D$4,FALSE))*1000,0)</f>
        <v>0</v>
      </c>
      <c r="E175" s="141">
        <f>IFERROR((HLOOKUP($AH175,Target_monthwise!$D$4:$O$20,DTR!E$4,FALSE))*1000,0)</f>
        <v>0</v>
      </c>
      <c r="F175" s="141">
        <f>IFERROR((HLOOKUP($AH175,Target_monthwise!$D$4:$O$20,DTR!F$4,FALSE))*1000,0)</f>
        <v>0</v>
      </c>
      <c r="G175" s="141">
        <f>IFERROR((HLOOKUP($AH175,Target_monthwise!$D$4:$O$20,DTR!G$4,FALSE))*1000,0)</f>
        <v>0</v>
      </c>
      <c r="H175" s="141">
        <f>IFERROR((HLOOKUP($AH175,Target_monthwise!$D$4:$O$20,DTR!H$4,FALSE))*1000,0)</f>
        <v>0</v>
      </c>
      <c r="I175" s="141">
        <f>IFERROR((HLOOKUP($AH175,Target_monthwise!$D$4:$O$20,DTR!I$4,FALSE))*1000,0)</f>
        <v>0</v>
      </c>
      <c r="J175" s="141">
        <f>IFERROR((HLOOKUP($AH175,Target_monthwise!$D$4:$O$20,DTR!J$4,FALSE))*1000,0)</f>
        <v>0</v>
      </c>
      <c r="K175" s="141">
        <f>IFERROR((HLOOKUP($AH175,Target_monthwise!$D$4:$O$20,DTR!K$4,FALSE))*1000,0)</f>
        <v>0</v>
      </c>
      <c r="L175" s="141">
        <f>IFERROR((HLOOKUP($AH175,Target_monthwise!$D$4:$O$20,DTR!L$4,FALSE))*1000,0)</f>
        <v>0</v>
      </c>
      <c r="M175" s="141">
        <f>IFERROR((HLOOKUP($AH175,Target_monthwise!$D$4:$O$20,DTR!M$4,FALSE))*1000,0)</f>
        <v>0</v>
      </c>
      <c r="N175" s="141">
        <f>IFERROR((HLOOKUP($AH175,Target_monthwise!$D$4:$O$20,DTR!N$4,FALSE))*1000,0)</f>
        <v>0</v>
      </c>
      <c r="O175" s="141">
        <f>IFERROR((HLOOKUP($AH175,Target_monthwise!$D$4:$O$20,DTR!O$4,FALSE))*1000,0)</f>
        <v>0</v>
      </c>
      <c r="P175" s="141">
        <f>IFERROR((HLOOKUP($AH175,Target_monthwise!$D$4:$O$20,DTR!P$4,FALSE))*1000,0)</f>
        <v>0</v>
      </c>
      <c r="Q175" s="141">
        <f>IFERROR((HLOOKUP($AH175,Target_monthwise!$D$4:$O$20,DTR!Q$4,FALSE))*1000,0)</f>
        <v>0</v>
      </c>
      <c r="R175" s="167">
        <f>IFERROR((HLOOKUP($AH175,Target_monthwise!$D$4:$O$20,DTR!R$4,FALSE))*1000,0)</f>
        <v>0</v>
      </c>
      <c r="S175" s="147">
        <f>IFERROR((HLOOKUP($AH175,Target_monthwise!$D$24:$O$40,DTR!S$4,FALSE)),0)</f>
        <v>0</v>
      </c>
      <c r="T175" s="147">
        <f>IFERROR((HLOOKUP($AH175,Target_monthwise!$D$24:$O$40,DTR!T$4,FALSE)),0)</f>
        <v>0</v>
      </c>
      <c r="U175" s="147">
        <f>IFERROR((HLOOKUP($AH175,Target_monthwise!$D$24:$O$40,DTR!U$4,FALSE)),0)</f>
        <v>0</v>
      </c>
      <c r="V175" s="147">
        <f>IFERROR((HLOOKUP($AH175,Target_monthwise!$D$24:$O$40,DTR!V$4,FALSE)),0)</f>
        <v>0</v>
      </c>
      <c r="W175" s="147">
        <f>IFERROR((HLOOKUP($AH175,Target_monthwise!$D$24:$O$40,DTR!W$4,FALSE)),0)</f>
        <v>0</v>
      </c>
      <c r="X175" s="147">
        <f>IFERROR((HLOOKUP($AH175,Target_monthwise!$D$24:$O$40,DTR!X$4,FALSE)),0)</f>
        <v>0</v>
      </c>
      <c r="Y175" s="147">
        <f>IFERROR((HLOOKUP($AH175,Target_monthwise!$D$24:$O$40,DTR!Y$4,FALSE)),0)</f>
        <v>0</v>
      </c>
      <c r="Z175" s="147">
        <f>IFERROR((HLOOKUP($AH175,Target_monthwise!$D$24:$O$40,DTR!Z$4,FALSE)),0)</f>
        <v>0</v>
      </c>
      <c r="AA175" s="147">
        <f>IFERROR((HLOOKUP($AH175,Target_monthwise!$D$24:$O$40,DTR!AA$4,FALSE)),0)</f>
        <v>0</v>
      </c>
      <c r="AB175" s="147">
        <f>IFERROR((HLOOKUP($AH175,Target_monthwise!$D$24:$O$40,DTR!AB$4,FALSE)),0)</f>
        <v>0</v>
      </c>
      <c r="AC175" s="147">
        <f>IFERROR((HLOOKUP($AH175,Target_monthwise!$D$24:$O$40,DTR!AC$4,FALSE)),0)</f>
        <v>0</v>
      </c>
      <c r="AD175" s="147">
        <f>IFERROR((HLOOKUP($AH175,Target_monthwise!$D$24:$O$40,DTR!AD$4,FALSE)),0)</f>
        <v>0</v>
      </c>
      <c r="AE175" s="147">
        <f>IFERROR((HLOOKUP($AH175,Target_monthwise!$D$24:$O$40,DTR!AE$4,FALSE)),0)</f>
        <v>0</v>
      </c>
      <c r="AF175" s="147">
        <f>IFERROR((HLOOKUP($AH175,Target_monthwise!$D$24:$O$40,DTR!AF$4,FALSE)),0)</f>
        <v>0</v>
      </c>
      <c r="AG175" s="172">
        <f>IFERROR((HLOOKUP($AH175,Target_monthwise!$D$24:$O$40,DTR!AG$4,FALSE)),0)</f>
        <v>0</v>
      </c>
      <c r="AH175" s="253">
        <f t="shared" si="2"/>
        <v>202209</v>
      </c>
    </row>
    <row r="176" spans="3:34" ht="15.75" hidden="1">
      <c r="C176" s="237">
        <v>44819</v>
      </c>
      <c r="D176" s="238">
        <f>IFERROR((HLOOKUP($AH176,Target_monthwise!$D$4:$O$20,DTR!D$4,FALSE))*1000,0)</f>
        <v>0</v>
      </c>
      <c r="E176" s="238">
        <f>IFERROR((HLOOKUP($AH176,Target_monthwise!$D$4:$O$20,DTR!E$4,FALSE))*1000,0)</f>
        <v>0</v>
      </c>
      <c r="F176" s="238">
        <f>IFERROR((HLOOKUP($AH176,Target_monthwise!$D$4:$O$20,DTR!F$4,FALSE))*1000,0)</f>
        <v>0</v>
      </c>
      <c r="G176" s="238">
        <f>IFERROR((HLOOKUP($AH176,Target_monthwise!$D$4:$O$20,DTR!G$4,FALSE))*1000,0)</f>
        <v>0</v>
      </c>
      <c r="H176" s="238">
        <f>IFERROR((HLOOKUP($AH176,Target_monthwise!$D$4:$O$20,DTR!H$4,FALSE))*1000,0)</f>
        <v>0</v>
      </c>
      <c r="I176" s="238">
        <f>IFERROR((HLOOKUP($AH176,Target_monthwise!$D$4:$O$20,DTR!I$4,FALSE))*1000,0)</f>
        <v>0</v>
      </c>
      <c r="J176" s="238">
        <f>IFERROR((HLOOKUP($AH176,Target_monthwise!$D$4:$O$20,DTR!J$4,FALSE))*1000,0)</f>
        <v>0</v>
      </c>
      <c r="K176" s="238">
        <f>IFERROR((HLOOKUP($AH176,Target_monthwise!$D$4:$O$20,DTR!K$4,FALSE))*1000,0)</f>
        <v>0</v>
      </c>
      <c r="L176" s="238">
        <f>IFERROR((HLOOKUP($AH176,Target_monthwise!$D$4:$O$20,DTR!L$4,FALSE))*1000,0)</f>
        <v>0</v>
      </c>
      <c r="M176" s="238">
        <f>IFERROR((HLOOKUP($AH176,Target_monthwise!$D$4:$O$20,DTR!M$4,FALSE))*1000,0)</f>
        <v>0</v>
      </c>
      <c r="N176" s="238">
        <f>IFERROR((HLOOKUP($AH176,Target_monthwise!$D$4:$O$20,DTR!N$4,FALSE))*1000,0)</f>
        <v>0</v>
      </c>
      <c r="O176" s="238">
        <f>IFERROR((HLOOKUP($AH176,Target_monthwise!$D$4:$O$20,DTR!O$4,FALSE))*1000,0)</f>
        <v>0</v>
      </c>
      <c r="P176" s="238">
        <f>IFERROR((HLOOKUP($AH176,Target_monthwise!$D$4:$O$20,DTR!P$4,FALSE))*1000,0)</f>
        <v>0</v>
      </c>
      <c r="Q176" s="141">
        <f>IFERROR((HLOOKUP($AH176,Target_monthwise!$D$4:$O$20,DTR!Q$4,FALSE))*1000,0)</f>
        <v>0</v>
      </c>
      <c r="R176" s="167">
        <f>IFERROR((HLOOKUP($AH176,Target_monthwise!$D$4:$O$20,DTR!R$4,FALSE))*1000,0)</f>
        <v>0</v>
      </c>
      <c r="S176" s="239">
        <f>IFERROR((HLOOKUP($AH176,Target_monthwise!$D$24:$O$40,DTR!S$4,FALSE)),0)</f>
        <v>0</v>
      </c>
      <c r="T176" s="239">
        <f>IFERROR((HLOOKUP($AH176,Target_monthwise!$D$24:$O$40,DTR!T$4,FALSE)),0)</f>
        <v>0</v>
      </c>
      <c r="U176" s="239">
        <f>IFERROR((HLOOKUP($AH176,Target_monthwise!$D$24:$O$40,DTR!U$4,FALSE)),0)</f>
        <v>0</v>
      </c>
      <c r="V176" s="239">
        <f>IFERROR((HLOOKUP($AH176,Target_monthwise!$D$24:$O$40,DTR!V$4,FALSE)),0)</f>
        <v>0</v>
      </c>
      <c r="W176" s="239">
        <f>IFERROR((HLOOKUP($AH176,Target_monthwise!$D$24:$O$40,DTR!W$4,FALSE)),0)</f>
        <v>0</v>
      </c>
      <c r="X176" s="239">
        <f>IFERROR((HLOOKUP($AH176,Target_monthwise!$D$24:$O$40,DTR!X$4,FALSE)),0)</f>
        <v>0</v>
      </c>
      <c r="Y176" s="239">
        <f>IFERROR((HLOOKUP($AH176,Target_monthwise!$D$24:$O$40,DTR!Y$4,FALSE)),0)</f>
        <v>0</v>
      </c>
      <c r="Z176" s="147">
        <f>IFERROR((HLOOKUP($AH176,Target_monthwise!$D$24:$O$40,DTR!Z$4,FALSE)),0)</f>
        <v>0</v>
      </c>
      <c r="AA176" s="147">
        <f>IFERROR((HLOOKUP($AH176,Target_monthwise!$D$24:$O$40,DTR!AA$4,FALSE)),0)</f>
        <v>0</v>
      </c>
      <c r="AB176" s="147">
        <f>IFERROR((HLOOKUP($AH176,Target_monthwise!$D$24:$O$40,DTR!AB$4,FALSE)),0)</f>
        <v>0</v>
      </c>
      <c r="AC176" s="239">
        <f>IFERROR((HLOOKUP($AH176,Target_monthwise!$D$24:$O$40,DTR!AC$4,FALSE)),0)</f>
        <v>0</v>
      </c>
      <c r="AD176" s="239">
        <f>IFERROR((HLOOKUP($AH176,Target_monthwise!$D$24:$O$40,DTR!AD$4,FALSE)),0)</f>
        <v>0</v>
      </c>
      <c r="AE176" s="239">
        <f>IFERROR((HLOOKUP($AH176,Target_monthwise!$D$24:$O$40,DTR!AE$4,FALSE)),0)</f>
        <v>0</v>
      </c>
      <c r="AF176" s="239">
        <f>IFERROR((HLOOKUP($AH176,Target_monthwise!$D$24:$O$40,DTR!AF$4,FALSE)),0)</f>
        <v>0</v>
      </c>
      <c r="AG176" s="172">
        <f>IFERROR((HLOOKUP($AH176,Target_monthwise!$D$24:$O$40,DTR!AG$4,FALSE)),0)</f>
        <v>0</v>
      </c>
      <c r="AH176" s="253">
        <f t="shared" si="2"/>
        <v>202209</v>
      </c>
    </row>
    <row r="177" spans="3:34" ht="15.75" hidden="1">
      <c r="C177" s="235">
        <v>44820</v>
      </c>
      <c r="D177" s="141">
        <f>IFERROR((HLOOKUP($AH177,Target_monthwise!$D$4:$O$20,DTR!D$4,FALSE))*1000,0)</f>
        <v>0</v>
      </c>
      <c r="E177" s="141">
        <f>IFERROR((HLOOKUP($AH177,Target_monthwise!$D$4:$O$20,DTR!E$4,FALSE))*1000,0)</f>
        <v>0</v>
      </c>
      <c r="F177" s="141">
        <f>IFERROR((HLOOKUP($AH177,Target_monthwise!$D$4:$O$20,DTR!F$4,FALSE))*1000,0)</f>
        <v>0</v>
      </c>
      <c r="G177" s="141">
        <f>IFERROR((HLOOKUP($AH177,Target_monthwise!$D$4:$O$20,DTR!G$4,FALSE))*1000,0)</f>
        <v>0</v>
      </c>
      <c r="H177" s="141">
        <f>IFERROR((HLOOKUP($AH177,Target_monthwise!$D$4:$O$20,DTR!H$4,FALSE))*1000,0)</f>
        <v>0</v>
      </c>
      <c r="I177" s="141">
        <f>IFERROR((HLOOKUP($AH177,Target_monthwise!$D$4:$O$20,DTR!I$4,FALSE))*1000,0)</f>
        <v>0</v>
      </c>
      <c r="J177" s="141">
        <f>IFERROR((HLOOKUP($AH177,Target_monthwise!$D$4:$O$20,DTR!J$4,FALSE))*1000,0)</f>
        <v>0</v>
      </c>
      <c r="K177" s="141">
        <f>IFERROR((HLOOKUP($AH177,Target_monthwise!$D$4:$O$20,DTR!K$4,FALSE))*1000,0)</f>
        <v>0</v>
      </c>
      <c r="L177" s="141">
        <f>IFERROR((HLOOKUP($AH177,Target_monthwise!$D$4:$O$20,DTR!L$4,FALSE))*1000,0)</f>
        <v>0</v>
      </c>
      <c r="M177" s="141">
        <f>IFERROR((HLOOKUP($AH177,Target_monthwise!$D$4:$O$20,DTR!M$4,FALSE))*1000,0)</f>
        <v>0</v>
      </c>
      <c r="N177" s="141">
        <f>IFERROR((HLOOKUP($AH177,Target_monthwise!$D$4:$O$20,DTR!N$4,FALSE))*1000,0)</f>
        <v>0</v>
      </c>
      <c r="O177" s="141">
        <f>IFERROR((HLOOKUP($AH177,Target_monthwise!$D$4:$O$20,DTR!O$4,FALSE))*1000,0)</f>
        <v>0</v>
      </c>
      <c r="P177" s="141">
        <f>IFERROR((HLOOKUP($AH177,Target_monthwise!$D$4:$O$20,DTR!P$4,FALSE))*1000,0)</f>
        <v>0</v>
      </c>
      <c r="Q177" s="141">
        <f>IFERROR((HLOOKUP($AH177,Target_monthwise!$D$4:$O$20,DTR!Q$4,FALSE))*1000,0)</f>
        <v>0</v>
      </c>
      <c r="R177" s="167">
        <f>IFERROR((HLOOKUP($AH177,Target_monthwise!$D$4:$O$20,DTR!R$4,FALSE))*1000,0)</f>
        <v>0</v>
      </c>
      <c r="S177" s="147">
        <f>IFERROR((HLOOKUP($AH177,Target_monthwise!$D$24:$O$40,DTR!S$4,FALSE)),0)</f>
        <v>0</v>
      </c>
      <c r="T177" s="147">
        <f>IFERROR((HLOOKUP($AH177,Target_monthwise!$D$24:$O$40,DTR!T$4,FALSE)),0)</f>
        <v>0</v>
      </c>
      <c r="U177" s="147">
        <f>IFERROR((HLOOKUP($AH177,Target_monthwise!$D$24:$O$40,DTR!U$4,FALSE)),0)</f>
        <v>0</v>
      </c>
      <c r="V177" s="147">
        <f>IFERROR((HLOOKUP($AH177,Target_monthwise!$D$24:$O$40,DTR!V$4,FALSE)),0)</f>
        <v>0</v>
      </c>
      <c r="W177" s="147">
        <f>IFERROR((HLOOKUP($AH177,Target_monthwise!$D$24:$O$40,DTR!W$4,FALSE)),0)</f>
        <v>0</v>
      </c>
      <c r="X177" s="147">
        <f>IFERROR((HLOOKUP($AH177,Target_monthwise!$D$24:$O$40,DTR!X$4,FALSE)),0)</f>
        <v>0</v>
      </c>
      <c r="Y177" s="147">
        <f>IFERROR((HLOOKUP($AH177,Target_monthwise!$D$24:$O$40,DTR!Y$4,FALSE)),0)</f>
        <v>0</v>
      </c>
      <c r="Z177" s="147">
        <f>IFERROR((HLOOKUP($AH177,Target_monthwise!$D$24:$O$40,DTR!Z$4,FALSE)),0)</f>
        <v>0</v>
      </c>
      <c r="AA177" s="147">
        <f>IFERROR((HLOOKUP($AH177,Target_monthwise!$D$24:$O$40,DTR!AA$4,FALSE)),0)</f>
        <v>0</v>
      </c>
      <c r="AB177" s="147">
        <f>IFERROR((HLOOKUP($AH177,Target_monthwise!$D$24:$O$40,DTR!AB$4,FALSE)),0)</f>
        <v>0</v>
      </c>
      <c r="AC177" s="147">
        <f>IFERROR((HLOOKUP($AH177,Target_monthwise!$D$24:$O$40,DTR!AC$4,FALSE)),0)</f>
        <v>0</v>
      </c>
      <c r="AD177" s="147">
        <f>IFERROR((HLOOKUP($AH177,Target_monthwise!$D$24:$O$40,DTR!AD$4,FALSE)),0)</f>
        <v>0</v>
      </c>
      <c r="AE177" s="147">
        <f>IFERROR((HLOOKUP($AH177,Target_monthwise!$D$24:$O$40,DTR!AE$4,FALSE)),0)</f>
        <v>0</v>
      </c>
      <c r="AF177" s="147">
        <f>IFERROR((HLOOKUP($AH177,Target_monthwise!$D$24:$O$40,DTR!AF$4,FALSE)),0)</f>
        <v>0</v>
      </c>
      <c r="AG177" s="172">
        <f>IFERROR((HLOOKUP($AH177,Target_monthwise!$D$24:$O$40,DTR!AG$4,FALSE)),0)</f>
        <v>0</v>
      </c>
      <c r="AH177" s="253">
        <f t="shared" si="2"/>
        <v>202209</v>
      </c>
    </row>
    <row r="178" spans="3:34" ht="15.75" hidden="1">
      <c r="C178" s="237">
        <v>44821</v>
      </c>
      <c r="D178" s="238">
        <f>IFERROR((HLOOKUP($AH178,Target_monthwise!$D$4:$O$20,DTR!D$4,FALSE))*1000,0)</f>
        <v>0</v>
      </c>
      <c r="E178" s="238">
        <f>IFERROR((HLOOKUP($AH178,Target_monthwise!$D$4:$O$20,DTR!E$4,FALSE))*1000,0)</f>
        <v>0</v>
      </c>
      <c r="F178" s="238">
        <f>IFERROR((HLOOKUP($AH178,Target_monthwise!$D$4:$O$20,DTR!F$4,FALSE))*1000,0)</f>
        <v>0</v>
      </c>
      <c r="G178" s="238">
        <f>IFERROR((HLOOKUP($AH178,Target_monthwise!$D$4:$O$20,DTR!G$4,FALSE))*1000,0)</f>
        <v>0</v>
      </c>
      <c r="H178" s="238">
        <f>IFERROR((HLOOKUP($AH178,Target_monthwise!$D$4:$O$20,DTR!H$4,FALSE))*1000,0)</f>
        <v>0</v>
      </c>
      <c r="I178" s="238">
        <f>IFERROR((HLOOKUP($AH178,Target_monthwise!$D$4:$O$20,DTR!I$4,FALSE))*1000,0)</f>
        <v>0</v>
      </c>
      <c r="J178" s="238">
        <f>IFERROR((HLOOKUP($AH178,Target_monthwise!$D$4:$O$20,DTR!J$4,FALSE))*1000,0)</f>
        <v>0</v>
      </c>
      <c r="K178" s="238">
        <f>IFERROR((HLOOKUP($AH178,Target_monthwise!$D$4:$O$20,DTR!K$4,FALSE))*1000,0)</f>
        <v>0</v>
      </c>
      <c r="L178" s="238">
        <f>IFERROR((HLOOKUP($AH178,Target_monthwise!$D$4:$O$20,DTR!L$4,FALSE))*1000,0)</f>
        <v>0</v>
      </c>
      <c r="M178" s="238">
        <f>IFERROR((HLOOKUP($AH178,Target_monthwise!$D$4:$O$20,DTR!M$4,FALSE))*1000,0)</f>
        <v>0</v>
      </c>
      <c r="N178" s="238">
        <f>IFERROR((HLOOKUP($AH178,Target_monthwise!$D$4:$O$20,DTR!N$4,FALSE))*1000,0)</f>
        <v>0</v>
      </c>
      <c r="O178" s="238">
        <f>IFERROR((HLOOKUP($AH178,Target_monthwise!$D$4:$O$20,DTR!O$4,FALSE))*1000,0)</f>
        <v>0</v>
      </c>
      <c r="P178" s="238">
        <f>IFERROR((HLOOKUP($AH178,Target_monthwise!$D$4:$O$20,DTR!P$4,FALSE))*1000,0)</f>
        <v>0</v>
      </c>
      <c r="Q178" s="141">
        <f>IFERROR((HLOOKUP($AH178,Target_monthwise!$D$4:$O$20,DTR!Q$4,FALSE))*1000,0)</f>
        <v>0</v>
      </c>
      <c r="R178" s="167">
        <f>IFERROR((HLOOKUP($AH178,Target_monthwise!$D$4:$O$20,DTR!R$4,FALSE))*1000,0)</f>
        <v>0</v>
      </c>
      <c r="S178" s="239">
        <f>IFERROR((HLOOKUP($AH178,Target_monthwise!$D$24:$O$40,DTR!S$4,FALSE)),0)</f>
        <v>0</v>
      </c>
      <c r="T178" s="239">
        <f>IFERROR((HLOOKUP($AH178,Target_monthwise!$D$24:$O$40,DTR!T$4,FALSE)),0)</f>
        <v>0</v>
      </c>
      <c r="U178" s="239">
        <f>IFERROR((HLOOKUP($AH178,Target_monthwise!$D$24:$O$40,DTR!U$4,FALSE)),0)</f>
        <v>0</v>
      </c>
      <c r="V178" s="239">
        <f>IFERROR((HLOOKUP($AH178,Target_monthwise!$D$24:$O$40,DTR!V$4,FALSE)),0)</f>
        <v>0</v>
      </c>
      <c r="W178" s="239">
        <f>IFERROR((HLOOKUP($AH178,Target_monthwise!$D$24:$O$40,DTR!W$4,FALSE)),0)</f>
        <v>0</v>
      </c>
      <c r="X178" s="239">
        <f>IFERROR((HLOOKUP($AH178,Target_monthwise!$D$24:$O$40,DTR!X$4,FALSE)),0)</f>
        <v>0</v>
      </c>
      <c r="Y178" s="239">
        <f>IFERROR((HLOOKUP($AH178,Target_monthwise!$D$24:$O$40,DTR!Y$4,FALSE)),0)</f>
        <v>0</v>
      </c>
      <c r="Z178" s="147">
        <f>IFERROR((HLOOKUP($AH178,Target_monthwise!$D$24:$O$40,DTR!Z$4,FALSE)),0)</f>
        <v>0</v>
      </c>
      <c r="AA178" s="147">
        <f>IFERROR((HLOOKUP($AH178,Target_monthwise!$D$24:$O$40,DTR!AA$4,FALSE)),0)</f>
        <v>0</v>
      </c>
      <c r="AB178" s="147">
        <f>IFERROR((HLOOKUP($AH178,Target_monthwise!$D$24:$O$40,DTR!AB$4,FALSE)),0)</f>
        <v>0</v>
      </c>
      <c r="AC178" s="239">
        <f>IFERROR((HLOOKUP($AH178,Target_monthwise!$D$24:$O$40,DTR!AC$4,FALSE)),0)</f>
        <v>0</v>
      </c>
      <c r="AD178" s="239">
        <f>IFERROR((HLOOKUP($AH178,Target_monthwise!$D$24:$O$40,DTR!AD$4,FALSE)),0)</f>
        <v>0</v>
      </c>
      <c r="AE178" s="239">
        <f>IFERROR((HLOOKUP($AH178,Target_monthwise!$D$24:$O$40,DTR!AE$4,FALSE)),0)</f>
        <v>0</v>
      </c>
      <c r="AF178" s="239">
        <f>IFERROR((HLOOKUP($AH178,Target_monthwise!$D$24:$O$40,DTR!AF$4,FALSE)),0)</f>
        <v>0</v>
      </c>
      <c r="AG178" s="172">
        <f>IFERROR((HLOOKUP($AH178,Target_monthwise!$D$24:$O$40,DTR!AG$4,FALSE)),0)</f>
        <v>0</v>
      </c>
      <c r="AH178" s="253">
        <f t="shared" si="2"/>
        <v>202209</v>
      </c>
    </row>
    <row r="179" spans="3:34" ht="15.75" hidden="1">
      <c r="C179" s="235">
        <v>44822</v>
      </c>
      <c r="D179" s="141">
        <f>IFERROR((HLOOKUP($AH179,Target_monthwise!$D$4:$O$20,DTR!D$4,FALSE))*1000,0)</f>
        <v>0</v>
      </c>
      <c r="E179" s="141">
        <f>IFERROR((HLOOKUP($AH179,Target_monthwise!$D$4:$O$20,DTR!E$4,FALSE))*1000,0)</f>
        <v>0</v>
      </c>
      <c r="F179" s="141">
        <f>IFERROR((HLOOKUP($AH179,Target_monthwise!$D$4:$O$20,DTR!F$4,FALSE))*1000,0)</f>
        <v>0</v>
      </c>
      <c r="G179" s="141">
        <f>IFERROR((HLOOKUP($AH179,Target_monthwise!$D$4:$O$20,DTR!G$4,FALSE))*1000,0)</f>
        <v>0</v>
      </c>
      <c r="H179" s="141">
        <f>IFERROR((HLOOKUP($AH179,Target_monthwise!$D$4:$O$20,DTR!H$4,FALSE))*1000,0)</f>
        <v>0</v>
      </c>
      <c r="I179" s="141">
        <f>IFERROR((HLOOKUP($AH179,Target_monthwise!$D$4:$O$20,DTR!I$4,FALSE))*1000,0)</f>
        <v>0</v>
      </c>
      <c r="J179" s="141">
        <f>IFERROR((HLOOKUP($AH179,Target_monthwise!$D$4:$O$20,DTR!J$4,FALSE))*1000,0)</f>
        <v>0</v>
      </c>
      <c r="K179" s="141">
        <f>IFERROR((HLOOKUP($AH179,Target_monthwise!$D$4:$O$20,DTR!K$4,FALSE))*1000,0)</f>
        <v>0</v>
      </c>
      <c r="L179" s="141">
        <f>IFERROR((HLOOKUP($AH179,Target_monthwise!$D$4:$O$20,DTR!L$4,FALSE))*1000,0)</f>
        <v>0</v>
      </c>
      <c r="M179" s="141">
        <f>IFERROR((HLOOKUP($AH179,Target_monthwise!$D$4:$O$20,DTR!M$4,FALSE))*1000,0)</f>
        <v>0</v>
      </c>
      <c r="N179" s="141">
        <f>IFERROR((HLOOKUP($AH179,Target_monthwise!$D$4:$O$20,DTR!N$4,FALSE))*1000,0)</f>
        <v>0</v>
      </c>
      <c r="O179" s="141">
        <f>IFERROR((HLOOKUP($AH179,Target_monthwise!$D$4:$O$20,DTR!O$4,FALSE))*1000,0)</f>
        <v>0</v>
      </c>
      <c r="P179" s="141">
        <f>IFERROR((HLOOKUP($AH179,Target_monthwise!$D$4:$O$20,DTR!P$4,FALSE))*1000,0)</f>
        <v>0</v>
      </c>
      <c r="Q179" s="141">
        <f>IFERROR((HLOOKUP($AH179,Target_monthwise!$D$4:$O$20,DTR!Q$4,FALSE))*1000,0)</f>
        <v>0</v>
      </c>
      <c r="R179" s="167">
        <f>IFERROR((HLOOKUP($AH179,Target_monthwise!$D$4:$O$20,DTR!R$4,FALSE))*1000,0)</f>
        <v>0</v>
      </c>
      <c r="S179" s="147">
        <f>IFERROR((HLOOKUP($AH179,Target_monthwise!$D$24:$O$40,DTR!S$4,FALSE)),0)</f>
        <v>0</v>
      </c>
      <c r="T179" s="147">
        <f>IFERROR((HLOOKUP($AH179,Target_monthwise!$D$24:$O$40,DTR!T$4,FALSE)),0)</f>
        <v>0</v>
      </c>
      <c r="U179" s="147">
        <f>IFERROR((HLOOKUP($AH179,Target_monthwise!$D$24:$O$40,DTR!U$4,FALSE)),0)</f>
        <v>0</v>
      </c>
      <c r="V179" s="147">
        <f>IFERROR((HLOOKUP($AH179,Target_monthwise!$D$24:$O$40,DTR!V$4,FALSE)),0)</f>
        <v>0</v>
      </c>
      <c r="W179" s="147">
        <f>IFERROR((HLOOKUP($AH179,Target_monthwise!$D$24:$O$40,DTR!W$4,FALSE)),0)</f>
        <v>0</v>
      </c>
      <c r="X179" s="147">
        <f>IFERROR((HLOOKUP($AH179,Target_monthwise!$D$24:$O$40,DTR!X$4,FALSE)),0)</f>
        <v>0</v>
      </c>
      <c r="Y179" s="147">
        <f>IFERROR((HLOOKUP($AH179,Target_monthwise!$D$24:$O$40,DTR!Y$4,FALSE)),0)</f>
        <v>0</v>
      </c>
      <c r="Z179" s="147">
        <f>IFERROR((HLOOKUP($AH179,Target_monthwise!$D$24:$O$40,DTR!Z$4,FALSE)),0)</f>
        <v>0</v>
      </c>
      <c r="AA179" s="147">
        <f>IFERROR((HLOOKUP($AH179,Target_monthwise!$D$24:$O$40,DTR!AA$4,FALSE)),0)</f>
        <v>0</v>
      </c>
      <c r="AB179" s="147">
        <f>IFERROR((HLOOKUP($AH179,Target_monthwise!$D$24:$O$40,DTR!AB$4,FALSE)),0)</f>
        <v>0</v>
      </c>
      <c r="AC179" s="147">
        <f>IFERROR((HLOOKUP($AH179,Target_monthwise!$D$24:$O$40,DTR!AC$4,FALSE)),0)</f>
        <v>0</v>
      </c>
      <c r="AD179" s="147">
        <f>IFERROR((HLOOKUP($AH179,Target_monthwise!$D$24:$O$40,DTR!AD$4,FALSE)),0)</f>
        <v>0</v>
      </c>
      <c r="AE179" s="147">
        <f>IFERROR((HLOOKUP($AH179,Target_monthwise!$D$24:$O$40,DTR!AE$4,FALSE)),0)</f>
        <v>0</v>
      </c>
      <c r="AF179" s="147">
        <f>IFERROR((HLOOKUP($AH179,Target_monthwise!$D$24:$O$40,DTR!AF$4,FALSE)),0)</f>
        <v>0</v>
      </c>
      <c r="AG179" s="172">
        <f>IFERROR((HLOOKUP($AH179,Target_monthwise!$D$24:$O$40,DTR!AG$4,FALSE)),0)</f>
        <v>0</v>
      </c>
      <c r="AH179" s="253">
        <f t="shared" si="2"/>
        <v>202209</v>
      </c>
    </row>
    <row r="180" spans="3:34" ht="15.75" hidden="1">
      <c r="C180" s="237">
        <v>44823</v>
      </c>
      <c r="D180" s="238">
        <f>IFERROR((HLOOKUP($AH180,Target_monthwise!$D$4:$O$20,DTR!D$4,FALSE))*1000,0)</f>
        <v>0</v>
      </c>
      <c r="E180" s="238">
        <f>IFERROR((HLOOKUP($AH180,Target_monthwise!$D$4:$O$20,DTR!E$4,FALSE))*1000,0)</f>
        <v>0</v>
      </c>
      <c r="F180" s="238">
        <f>IFERROR((HLOOKUP($AH180,Target_monthwise!$D$4:$O$20,DTR!F$4,FALSE))*1000,0)</f>
        <v>0</v>
      </c>
      <c r="G180" s="238">
        <f>IFERROR((HLOOKUP($AH180,Target_monthwise!$D$4:$O$20,DTR!G$4,FALSE))*1000,0)</f>
        <v>0</v>
      </c>
      <c r="H180" s="238">
        <f>IFERROR((HLOOKUP($AH180,Target_monthwise!$D$4:$O$20,DTR!H$4,FALSE))*1000,0)</f>
        <v>0</v>
      </c>
      <c r="I180" s="238">
        <f>IFERROR((HLOOKUP($AH180,Target_monthwise!$D$4:$O$20,DTR!I$4,FALSE))*1000,0)</f>
        <v>0</v>
      </c>
      <c r="J180" s="238">
        <f>IFERROR((HLOOKUP($AH180,Target_monthwise!$D$4:$O$20,DTR!J$4,FALSE))*1000,0)</f>
        <v>0</v>
      </c>
      <c r="K180" s="238">
        <f>IFERROR((HLOOKUP($AH180,Target_monthwise!$D$4:$O$20,DTR!K$4,FALSE))*1000,0)</f>
        <v>0</v>
      </c>
      <c r="L180" s="238">
        <f>IFERROR((HLOOKUP($AH180,Target_monthwise!$D$4:$O$20,DTR!L$4,FALSE))*1000,0)</f>
        <v>0</v>
      </c>
      <c r="M180" s="238">
        <f>IFERROR((HLOOKUP($AH180,Target_monthwise!$D$4:$O$20,DTR!M$4,FALSE))*1000,0)</f>
        <v>0</v>
      </c>
      <c r="N180" s="238">
        <f>IFERROR((HLOOKUP($AH180,Target_monthwise!$D$4:$O$20,DTR!N$4,FALSE))*1000,0)</f>
        <v>0</v>
      </c>
      <c r="O180" s="238">
        <f>IFERROR((HLOOKUP($AH180,Target_monthwise!$D$4:$O$20,DTR!O$4,FALSE))*1000,0)</f>
        <v>0</v>
      </c>
      <c r="P180" s="238">
        <f>IFERROR((HLOOKUP($AH180,Target_monthwise!$D$4:$O$20,DTR!P$4,FALSE))*1000,0)</f>
        <v>0</v>
      </c>
      <c r="Q180" s="141">
        <f>IFERROR((HLOOKUP($AH180,Target_monthwise!$D$4:$O$20,DTR!Q$4,FALSE))*1000,0)</f>
        <v>0</v>
      </c>
      <c r="R180" s="167">
        <f>IFERROR((HLOOKUP($AH180,Target_monthwise!$D$4:$O$20,DTR!R$4,FALSE))*1000,0)</f>
        <v>0</v>
      </c>
      <c r="S180" s="239">
        <f>IFERROR((HLOOKUP($AH180,Target_monthwise!$D$24:$O$40,DTR!S$4,FALSE)),0)</f>
        <v>0</v>
      </c>
      <c r="T180" s="239">
        <f>IFERROR((HLOOKUP($AH180,Target_monthwise!$D$24:$O$40,DTR!T$4,FALSE)),0)</f>
        <v>0</v>
      </c>
      <c r="U180" s="239">
        <f>IFERROR((HLOOKUP($AH180,Target_monthwise!$D$24:$O$40,DTR!U$4,FALSE)),0)</f>
        <v>0</v>
      </c>
      <c r="V180" s="239">
        <f>IFERROR((HLOOKUP($AH180,Target_monthwise!$D$24:$O$40,DTR!V$4,FALSE)),0)</f>
        <v>0</v>
      </c>
      <c r="W180" s="239">
        <f>IFERROR((HLOOKUP($AH180,Target_monthwise!$D$24:$O$40,DTR!W$4,FALSE)),0)</f>
        <v>0</v>
      </c>
      <c r="X180" s="239">
        <f>IFERROR((HLOOKUP($AH180,Target_monthwise!$D$24:$O$40,DTR!X$4,FALSE)),0)</f>
        <v>0</v>
      </c>
      <c r="Y180" s="239">
        <f>IFERROR((HLOOKUP($AH180,Target_monthwise!$D$24:$O$40,DTR!Y$4,FALSE)),0)</f>
        <v>0</v>
      </c>
      <c r="Z180" s="147">
        <f>IFERROR((HLOOKUP($AH180,Target_monthwise!$D$24:$O$40,DTR!Z$4,FALSE)),0)</f>
        <v>0</v>
      </c>
      <c r="AA180" s="147">
        <f>IFERROR((HLOOKUP($AH180,Target_monthwise!$D$24:$O$40,DTR!AA$4,FALSE)),0)</f>
        <v>0</v>
      </c>
      <c r="AB180" s="147">
        <f>IFERROR((HLOOKUP($AH180,Target_monthwise!$D$24:$O$40,DTR!AB$4,FALSE)),0)</f>
        <v>0</v>
      </c>
      <c r="AC180" s="239">
        <f>IFERROR((HLOOKUP($AH180,Target_monthwise!$D$24:$O$40,DTR!AC$4,FALSE)),0)</f>
        <v>0</v>
      </c>
      <c r="AD180" s="239">
        <f>IFERROR((HLOOKUP($AH180,Target_monthwise!$D$24:$O$40,DTR!AD$4,FALSE)),0)</f>
        <v>0</v>
      </c>
      <c r="AE180" s="239">
        <f>IFERROR((HLOOKUP($AH180,Target_monthwise!$D$24:$O$40,DTR!AE$4,FALSE)),0)</f>
        <v>0</v>
      </c>
      <c r="AF180" s="239">
        <f>IFERROR((HLOOKUP($AH180,Target_monthwise!$D$24:$O$40,DTR!AF$4,FALSE)),0)</f>
        <v>0</v>
      </c>
      <c r="AG180" s="172">
        <f>IFERROR((HLOOKUP($AH180,Target_monthwise!$D$24:$O$40,DTR!AG$4,FALSE)),0)</f>
        <v>0</v>
      </c>
      <c r="AH180" s="253">
        <f t="shared" si="2"/>
        <v>202209</v>
      </c>
    </row>
    <row r="181" spans="3:34" ht="15.75" hidden="1">
      <c r="C181" s="235">
        <v>44824</v>
      </c>
      <c r="D181" s="141">
        <f>IFERROR((HLOOKUP($AH181,Target_monthwise!$D$4:$O$20,DTR!D$4,FALSE))*1000,0)</f>
        <v>0</v>
      </c>
      <c r="E181" s="141">
        <f>IFERROR((HLOOKUP($AH181,Target_monthwise!$D$4:$O$20,DTR!E$4,FALSE))*1000,0)</f>
        <v>0</v>
      </c>
      <c r="F181" s="141">
        <f>IFERROR((HLOOKUP($AH181,Target_monthwise!$D$4:$O$20,DTR!F$4,FALSE))*1000,0)</f>
        <v>0</v>
      </c>
      <c r="G181" s="141">
        <f>IFERROR((HLOOKUP($AH181,Target_monthwise!$D$4:$O$20,DTR!G$4,FALSE))*1000,0)</f>
        <v>0</v>
      </c>
      <c r="H181" s="141">
        <f>IFERROR((HLOOKUP($AH181,Target_monthwise!$D$4:$O$20,DTR!H$4,FALSE))*1000,0)</f>
        <v>0</v>
      </c>
      <c r="I181" s="141">
        <f>IFERROR((HLOOKUP($AH181,Target_monthwise!$D$4:$O$20,DTR!I$4,FALSE))*1000,0)</f>
        <v>0</v>
      </c>
      <c r="J181" s="141">
        <f>IFERROR((HLOOKUP($AH181,Target_monthwise!$D$4:$O$20,DTR!J$4,FALSE))*1000,0)</f>
        <v>0</v>
      </c>
      <c r="K181" s="141">
        <f>IFERROR((HLOOKUP($AH181,Target_monthwise!$D$4:$O$20,DTR!K$4,FALSE))*1000,0)</f>
        <v>0</v>
      </c>
      <c r="L181" s="141">
        <f>IFERROR((HLOOKUP($AH181,Target_monthwise!$D$4:$O$20,DTR!L$4,FALSE))*1000,0)</f>
        <v>0</v>
      </c>
      <c r="M181" s="141">
        <f>IFERROR((HLOOKUP($AH181,Target_monthwise!$D$4:$O$20,DTR!M$4,FALSE))*1000,0)</f>
        <v>0</v>
      </c>
      <c r="N181" s="141">
        <f>IFERROR((HLOOKUP($AH181,Target_monthwise!$D$4:$O$20,DTR!N$4,FALSE))*1000,0)</f>
        <v>0</v>
      </c>
      <c r="O181" s="141">
        <f>IFERROR((HLOOKUP($AH181,Target_monthwise!$D$4:$O$20,DTR!O$4,FALSE))*1000,0)</f>
        <v>0</v>
      </c>
      <c r="P181" s="141">
        <f>IFERROR((HLOOKUP($AH181,Target_monthwise!$D$4:$O$20,DTR!P$4,FALSE))*1000,0)</f>
        <v>0</v>
      </c>
      <c r="Q181" s="141">
        <f>IFERROR((HLOOKUP($AH181,Target_monthwise!$D$4:$O$20,DTR!Q$4,FALSE))*1000,0)</f>
        <v>0</v>
      </c>
      <c r="R181" s="167">
        <f>IFERROR((HLOOKUP($AH181,Target_monthwise!$D$4:$O$20,DTR!R$4,FALSE))*1000,0)</f>
        <v>0</v>
      </c>
      <c r="S181" s="147">
        <f>IFERROR((HLOOKUP($AH181,Target_monthwise!$D$24:$O$40,DTR!S$4,FALSE)),0)</f>
        <v>0</v>
      </c>
      <c r="T181" s="147">
        <f>IFERROR((HLOOKUP($AH181,Target_monthwise!$D$24:$O$40,DTR!T$4,FALSE)),0)</f>
        <v>0</v>
      </c>
      <c r="U181" s="147">
        <f>IFERROR((HLOOKUP($AH181,Target_monthwise!$D$24:$O$40,DTR!U$4,FALSE)),0)</f>
        <v>0</v>
      </c>
      <c r="V181" s="147">
        <f>IFERROR((HLOOKUP($AH181,Target_monthwise!$D$24:$O$40,DTR!V$4,FALSE)),0)</f>
        <v>0</v>
      </c>
      <c r="W181" s="147">
        <f>IFERROR((HLOOKUP($AH181,Target_monthwise!$D$24:$O$40,DTR!W$4,FALSE)),0)</f>
        <v>0</v>
      </c>
      <c r="X181" s="147">
        <f>IFERROR((HLOOKUP($AH181,Target_monthwise!$D$24:$O$40,DTR!X$4,FALSE)),0)</f>
        <v>0</v>
      </c>
      <c r="Y181" s="147">
        <f>IFERROR((HLOOKUP($AH181,Target_monthwise!$D$24:$O$40,DTR!Y$4,FALSE)),0)</f>
        <v>0</v>
      </c>
      <c r="Z181" s="147">
        <f>IFERROR((HLOOKUP($AH181,Target_monthwise!$D$24:$O$40,DTR!Z$4,FALSE)),0)</f>
        <v>0</v>
      </c>
      <c r="AA181" s="147">
        <f>IFERROR((HLOOKUP($AH181,Target_monthwise!$D$24:$O$40,DTR!AA$4,FALSE)),0)</f>
        <v>0</v>
      </c>
      <c r="AB181" s="147">
        <f>IFERROR((HLOOKUP($AH181,Target_monthwise!$D$24:$O$40,DTR!AB$4,FALSE)),0)</f>
        <v>0</v>
      </c>
      <c r="AC181" s="147">
        <f>IFERROR((HLOOKUP($AH181,Target_monthwise!$D$24:$O$40,DTR!AC$4,FALSE)),0)</f>
        <v>0</v>
      </c>
      <c r="AD181" s="147">
        <f>IFERROR((HLOOKUP($AH181,Target_monthwise!$D$24:$O$40,DTR!AD$4,FALSE)),0)</f>
        <v>0</v>
      </c>
      <c r="AE181" s="147">
        <f>IFERROR((HLOOKUP($AH181,Target_monthwise!$D$24:$O$40,DTR!AE$4,FALSE)),0)</f>
        <v>0</v>
      </c>
      <c r="AF181" s="147">
        <f>IFERROR((HLOOKUP($AH181,Target_monthwise!$D$24:$O$40,DTR!AF$4,FALSE)),0)</f>
        <v>0</v>
      </c>
      <c r="AG181" s="172">
        <f>IFERROR((HLOOKUP($AH181,Target_monthwise!$D$24:$O$40,DTR!AG$4,FALSE)),0)</f>
        <v>0</v>
      </c>
      <c r="AH181" s="253">
        <f t="shared" si="2"/>
        <v>202209</v>
      </c>
    </row>
    <row r="182" spans="3:34" ht="15.75" hidden="1">
      <c r="C182" s="237">
        <v>44825</v>
      </c>
      <c r="D182" s="238">
        <f>IFERROR((HLOOKUP($AH182,Target_monthwise!$D$4:$O$20,DTR!D$4,FALSE))*1000,0)</f>
        <v>0</v>
      </c>
      <c r="E182" s="238">
        <f>IFERROR((HLOOKUP($AH182,Target_monthwise!$D$4:$O$20,DTR!E$4,FALSE))*1000,0)</f>
        <v>0</v>
      </c>
      <c r="F182" s="238">
        <f>IFERROR((HLOOKUP($AH182,Target_monthwise!$D$4:$O$20,DTR!F$4,FALSE))*1000,0)</f>
        <v>0</v>
      </c>
      <c r="G182" s="238">
        <f>IFERROR((HLOOKUP($AH182,Target_monthwise!$D$4:$O$20,DTR!G$4,FALSE))*1000,0)</f>
        <v>0</v>
      </c>
      <c r="H182" s="238">
        <f>IFERROR((HLOOKUP($AH182,Target_monthwise!$D$4:$O$20,DTR!H$4,FALSE))*1000,0)</f>
        <v>0</v>
      </c>
      <c r="I182" s="238">
        <f>IFERROR((HLOOKUP($AH182,Target_monthwise!$D$4:$O$20,DTR!I$4,FALSE))*1000,0)</f>
        <v>0</v>
      </c>
      <c r="J182" s="238">
        <f>IFERROR((HLOOKUP($AH182,Target_monthwise!$D$4:$O$20,DTR!J$4,FALSE))*1000,0)</f>
        <v>0</v>
      </c>
      <c r="K182" s="238">
        <f>IFERROR((HLOOKUP($AH182,Target_monthwise!$D$4:$O$20,DTR!K$4,FALSE))*1000,0)</f>
        <v>0</v>
      </c>
      <c r="L182" s="238">
        <f>IFERROR((HLOOKUP($AH182,Target_monthwise!$D$4:$O$20,DTR!L$4,FALSE))*1000,0)</f>
        <v>0</v>
      </c>
      <c r="M182" s="238">
        <f>IFERROR((HLOOKUP($AH182,Target_monthwise!$D$4:$O$20,DTR!M$4,FALSE))*1000,0)</f>
        <v>0</v>
      </c>
      <c r="N182" s="238">
        <f>IFERROR((HLOOKUP($AH182,Target_monthwise!$D$4:$O$20,DTR!N$4,FALSE))*1000,0)</f>
        <v>0</v>
      </c>
      <c r="O182" s="238">
        <f>IFERROR((HLOOKUP($AH182,Target_monthwise!$D$4:$O$20,DTR!O$4,FALSE))*1000,0)</f>
        <v>0</v>
      </c>
      <c r="P182" s="238">
        <f>IFERROR((HLOOKUP($AH182,Target_monthwise!$D$4:$O$20,DTR!P$4,FALSE))*1000,0)</f>
        <v>0</v>
      </c>
      <c r="Q182" s="141">
        <f>IFERROR((HLOOKUP($AH182,Target_monthwise!$D$4:$O$20,DTR!Q$4,FALSE))*1000,0)</f>
        <v>0</v>
      </c>
      <c r="R182" s="167">
        <f>IFERROR((HLOOKUP($AH182,Target_monthwise!$D$4:$O$20,DTR!R$4,FALSE))*1000,0)</f>
        <v>0</v>
      </c>
      <c r="S182" s="239">
        <f>IFERROR((HLOOKUP($AH182,Target_monthwise!$D$24:$O$40,DTR!S$4,FALSE)),0)</f>
        <v>0</v>
      </c>
      <c r="T182" s="239">
        <f>IFERROR((HLOOKUP($AH182,Target_monthwise!$D$24:$O$40,DTR!T$4,FALSE)),0)</f>
        <v>0</v>
      </c>
      <c r="U182" s="239">
        <f>IFERROR((HLOOKUP($AH182,Target_monthwise!$D$24:$O$40,DTR!U$4,FALSE)),0)</f>
        <v>0</v>
      </c>
      <c r="V182" s="239">
        <f>IFERROR((HLOOKUP($AH182,Target_monthwise!$D$24:$O$40,DTR!V$4,FALSE)),0)</f>
        <v>0</v>
      </c>
      <c r="W182" s="239">
        <f>IFERROR((HLOOKUP($AH182,Target_monthwise!$D$24:$O$40,DTR!W$4,FALSE)),0)</f>
        <v>0</v>
      </c>
      <c r="X182" s="239">
        <f>IFERROR((HLOOKUP($AH182,Target_monthwise!$D$24:$O$40,DTR!X$4,FALSE)),0)</f>
        <v>0</v>
      </c>
      <c r="Y182" s="239">
        <f>IFERROR((HLOOKUP($AH182,Target_monthwise!$D$24:$O$40,DTR!Y$4,FALSE)),0)</f>
        <v>0</v>
      </c>
      <c r="Z182" s="147">
        <f>IFERROR((HLOOKUP($AH182,Target_monthwise!$D$24:$O$40,DTR!Z$4,FALSE)),0)</f>
        <v>0</v>
      </c>
      <c r="AA182" s="147">
        <f>IFERROR((HLOOKUP($AH182,Target_monthwise!$D$24:$O$40,DTR!AA$4,FALSE)),0)</f>
        <v>0</v>
      </c>
      <c r="AB182" s="147">
        <f>IFERROR((HLOOKUP($AH182,Target_monthwise!$D$24:$O$40,DTR!AB$4,FALSE)),0)</f>
        <v>0</v>
      </c>
      <c r="AC182" s="239">
        <f>IFERROR((HLOOKUP($AH182,Target_monthwise!$D$24:$O$40,DTR!AC$4,FALSE)),0)</f>
        <v>0</v>
      </c>
      <c r="AD182" s="239">
        <f>IFERROR((HLOOKUP($AH182,Target_monthwise!$D$24:$O$40,DTR!AD$4,FALSE)),0)</f>
        <v>0</v>
      </c>
      <c r="AE182" s="239">
        <f>IFERROR((HLOOKUP($AH182,Target_monthwise!$D$24:$O$40,DTR!AE$4,FALSE)),0)</f>
        <v>0</v>
      </c>
      <c r="AF182" s="239">
        <f>IFERROR((HLOOKUP($AH182,Target_monthwise!$D$24:$O$40,DTR!AF$4,FALSE)),0)</f>
        <v>0</v>
      </c>
      <c r="AG182" s="172">
        <f>IFERROR((HLOOKUP($AH182,Target_monthwise!$D$24:$O$40,DTR!AG$4,FALSE)),0)</f>
        <v>0</v>
      </c>
      <c r="AH182" s="253">
        <f t="shared" si="2"/>
        <v>202209</v>
      </c>
    </row>
    <row r="183" spans="3:34" ht="15.75" hidden="1">
      <c r="C183" s="235">
        <v>44826</v>
      </c>
      <c r="D183" s="141">
        <f>IFERROR((HLOOKUP($AH183,Target_monthwise!$D$4:$O$20,DTR!D$4,FALSE))*1000,0)</f>
        <v>0</v>
      </c>
      <c r="E183" s="141">
        <f>IFERROR((HLOOKUP($AH183,Target_monthwise!$D$4:$O$20,DTR!E$4,FALSE))*1000,0)</f>
        <v>0</v>
      </c>
      <c r="F183" s="141">
        <f>IFERROR((HLOOKUP($AH183,Target_monthwise!$D$4:$O$20,DTR!F$4,FALSE))*1000,0)</f>
        <v>0</v>
      </c>
      <c r="G183" s="141">
        <f>IFERROR((HLOOKUP($AH183,Target_monthwise!$D$4:$O$20,DTR!G$4,FALSE))*1000,0)</f>
        <v>0</v>
      </c>
      <c r="H183" s="141">
        <f>IFERROR((HLOOKUP($AH183,Target_monthwise!$D$4:$O$20,DTR!H$4,FALSE))*1000,0)</f>
        <v>0</v>
      </c>
      <c r="I183" s="141">
        <f>IFERROR((HLOOKUP($AH183,Target_monthwise!$D$4:$O$20,DTR!I$4,FALSE))*1000,0)</f>
        <v>0</v>
      </c>
      <c r="J183" s="141">
        <f>IFERROR((HLOOKUP($AH183,Target_monthwise!$D$4:$O$20,DTR!J$4,FALSE))*1000,0)</f>
        <v>0</v>
      </c>
      <c r="K183" s="141">
        <f>IFERROR((HLOOKUP($AH183,Target_monthwise!$D$4:$O$20,DTR!K$4,FALSE))*1000,0)</f>
        <v>0</v>
      </c>
      <c r="L183" s="141">
        <f>IFERROR((HLOOKUP($AH183,Target_monthwise!$D$4:$O$20,DTR!L$4,FALSE))*1000,0)</f>
        <v>0</v>
      </c>
      <c r="M183" s="141">
        <f>IFERROR((HLOOKUP($AH183,Target_monthwise!$D$4:$O$20,DTR!M$4,FALSE))*1000,0)</f>
        <v>0</v>
      </c>
      <c r="N183" s="141">
        <f>IFERROR((HLOOKUP($AH183,Target_monthwise!$D$4:$O$20,DTR!N$4,FALSE))*1000,0)</f>
        <v>0</v>
      </c>
      <c r="O183" s="141">
        <f>IFERROR((HLOOKUP($AH183,Target_monthwise!$D$4:$O$20,DTR!O$4,FALSE))*1000,0)</f>
        <v>0</v>
      </c>
      <c r="P183" s="141">
        <f>IFERROR((HLOOKUP($AH183,Target_monthwise!$D$4:$O$20,DTR!P$4,FALSE))*1000,0)</f>
        <v>0</v>
      </c>
      <c r="Q183" s="141">
        <f>IFERROR((HLOOKUP($AH183,Target_monthwise!$D$4:$O$20,DTR!Q$4,FALSE))*1000,0)</f>
        <v>0</v>
      </c>
      <c r="R183" s="167">
        <f>IFERROR((HLOOKUP($AH183,Target_monthwise!$D$4:$O$20,DTR!R$4,FALSE))*1000,0)</f>
        <v>0</v>
      </c>
      <c r="S183" s="147">
        <f>IFERROR((HLOOKUP($AH183,Target_monthwise!$D$24:$O$40,DTR!S$4,FALSE)),0)</f>
        <v>0</v>
      </c>
      <c r="T183" s="147">
        <f>IFERROR((HLOOKUP($AH183,Target_monthwise!$D$24:$O$40,DTR!T$4,FALSE)),0)</f>
        <v>0</v>
      </c>
      <c r="U183" s="147">
        <f>IFERROR((HLOOKUP($AH183,Target_monthwise!$D$24:$O$40,DTR!U$4,FALSE)),0)</f>
        <v>0</v>
      </c>
      <c r="V183" s="147">
        <f>IFERROR((HLOOKUP($AH183,Target_monthwise!$D$24:$O$40,DTR!V$4,FALSE)),0)</f>
        <v>0</v>
      </c>
      <c r="W183" s="147">
        <f>IFERROR((HLOOKUP($AH183,Target_monthwise!$D$24:$O$40,DTR!W$4,FALSE)),0)</f>
        <v>0</v>
      </c>
      <c r="X183" s="147">
        <f>IFERROR((HLOOKUP($AH183,Target_monthwise!$D$24:$O$40,DTR!X$4,FALSE)),0)</f>
        <v>0</v>
      </c>
      <c r="Y183" s="147">
        <f>IFERROR((HLOOKUP($AH183,Target_monthwise!$D$24:$O$40,DTR!Y$4,FALSE)),0)</f>
        <v>0</v>
      </c>
      <c r="Z183" s="147">
        <f>IFERROR((HLOOKUP($AH183,Target_monthwise!$D$24:$O$40,DTR!Z$4,FALSE)),0)</f>
        <v>0</v>
      </c>
      <c r="AA183" s="147">
        <f>IFERROR((HLOOKUP($AH183,Target_monthwise!$D$24:$O$40,DTR!AA$4,FALSE)),0)</f>
        <v>0</v>
      </c>
      <c r="AB183" s="147">
        <f>IFERROR((HLOOKUP($AH183,Target_monthwise!$D$24:$O$40,DTR!AB$4,FALSE)),0)</f>
        <v>0</v>
      </c>
      <c r="AC183" s="147">
        <f>IFERROR((HLOOKUP($AH183,Target_monthwise!$D$24:$O$40,DTR!AC$4,FALSE)),0)</f>
        <v>0</v>
      </c>
      <c r="AD183" s="147">
        <f>IFERROR((HLOOKUP($AH183,Target_monthwise!$D$24:$O$40,DTR!AD$4,FALSE)),0)</f>
        <v>0</v>
      </c>
      <c r="AE183" s="147">
        <f>IFERROR((HLOOKUP($AH183,Target_monthwise!$D$24:$O$40,DTR!AE$4,FALSE)),0)</f>
        <v>0</v>
      </c>
      <c r="AF183" s="147">
        <f>IFERROR((HLOOKUP($AH183,Target_monthwise!$D$24:$O$40,DTR!AF$4,FALSE)),0)</f>
        <v>0</v>
      </c>
      <c r="AG183" s="172">
        <f>IFERROR((HLOOKUP($AH183,Target_monthwise!$D$24:$O$40,DTR!AG$4,FALSE)),0)</f>
        <v>0</v>
      </c>
      <c r="AH183" s="253">
        <f t="shared" si="2"/>
        <v>202209</v>
      </c>
    </row>
    <row r="184" spans="3:34" ht="15.75" hidden="1">
      <c r="C184" s="237">
        <v>44827</v>
      </c>
      <c r="D184" s="238">
        <f>IFERROR((HLOOKUP($AH184,Target_monthwise!$D$4:$O$20,DTR!D$4,FALSE))*1000,0)</f>
        <v>0</v>
      </c>
      <c r="E184" s="238">
        <f>IFERROR((HLOOKUP($AH184,Target_monthwise!$D$4:$O$20,DTR!E$4,FALSE))*1000,0)</f>
        <v>0</v>
      </c>
      <c r="F184" s="238">
        <f>IFERROR((HLOOKUP($AH184,Target_monthwise!$D$4:$O$20,DTR!F$4,FALSE))*1000,0)</f>
        <v>0</v>
      </c>
      <c r="G184" s="238">
        <f>IFERROR((HLOOKUP($AH184,Target_monthwise!$D$4:$O$20,DTR!G$4,FALSE))*1000,0)</f>
        <v>0</v>
      </c>
      <c r="H184" s="238">
        <f>IFERROR((HLOOKUP($AH184,Target_monthwise!$D$4:$O$20,DTR!H$4,FALSE))*1000,0)</f>
        <v>0</v>
      </c>
      <c r="I184" s="238">
        <f>IFERROR((HLOOKUP($AH184,Target_monthwise!$D$4:$O$20,DTR!I$4,FALSE))*1000,0)</f>
        <v>0</v>
      </c>
      <c r="J184" s="238">
        <f>IFERROR((HLOOKUP($AH184,Target_monthwise!$D$4:$O$20,DTR!J$4,FALSE))*1000,0)</f>
        <v>0</v>
      </c>
      <c r="K184" s="238">
        <f>IFERROR((HLOOKUP($AH184,Target_monthwise!$D$4:$O$20,DTR!K$4,FALSE))*1000,0)</f>
        <v>0</v>
      </c>
      <c r="L184" s="238">
        <f>IFERROR((HLOOKUP($AH184,Target_monthwise!$D$4:$O$20,DTR!L$4,FALSE))*1000,0)</f>
        <v>0</v>
      </c>
      <c r="M184" s="238">
        <f>IFERROR((HLOOKUP($AH184,Target_monthwise!$D$4:$O$20,DTR!M$4,FALSE))*1000,0)</f>
        <v>0</v>
      </c>
      <c r="N184" s="238">
        <f>IFERROR((HLOOKUP($AH184,Target_monthwise!$D$4:$O$20,DTR!N$4,FALSE))*1000,0)</f>
        <v>0</v>
      </c>
      <c r="O184" s="238">
        <f>IFERROR((HLOOKUP($AH184,Target_monthwise!$D$4:$O$20,DTR!O$4,FALSE))*1000,0)</f>
        <v>0</v>
      </c>
      <c r="P184" s="238">
        <f>IFERROR((HLOOKUP($AH184,Target_monthwise!$D$4:$O$20,DTR!P$4,FALSE))*1000,0)</f>
        <v>0</v>
      </c>
      <c r="Q184" s="141">
        <f>IFERROR((HLOOKUP($AH184,Target_monthwise!$D$4:$O$20,DTR!Q$4,FALSE))*1000,0)</f>
        <v>0</v>
      </c>
      <c r="R184" s="167">
        <f>IFERROR((HLOOKUP($AH184,Target_monthwise!$D$4:$O$20,DTR!R$4,FALSE))*1000,0)</f>
        <v>0</v>
      </c>
      <c r="S184" s="239">
        <f>IFERROR((HLOOKUP($AH184,Target_monthwise!$D$24:$O$40,DTR!S$4,FALSE)),0)</f>
        <v>0</v>
      </c>
      <c r="T184" s="239">
        <f>IFERROR((HLOOKUP($AH184,Target_monthwise!$D$24:$O$40,DTR!T$4,FALSE)),0)</f>
        <v>0</v>
      </c>
      <c r="U184" s="239">
        <f>IFERROR((HLOOKUP($AH184,Target_monthwise!$D$24:$O$40,DTR!U$4,FALSE)),0)</f>
        <v>0</v>
      </c>
      <c r="V184" s="239">
        <f>IFERROR((HLOOKUP($AH184,Target_monthwise!$D$24:$O$40,DTR!V$4,FALSE)),0)</f>
        <v>0</v>
      </c>
      <c r="W184" s="239">
        <f>IFERROR((HLOOKUP($AH184,Target_monthwise!$D$24:$O$40,DTR!W$4,FALSE)),0)</f>
        <v>0</v>
      </c>
      <c r="X184" s="239">
        <f>IFERROR((HLOOKUP($AH184,Target_monthwise!$D$24:$O$40,DTR!X$4,FALSE)),0)</f>
        <v>0</v>
      </c>
      <c r="Y184" s="239">
        <f>IFERROR((HLOOKUP($AH184,Target_monthwise!$D$24:$O$40,DTR!Y$4,FALSE)),0)</f>
        <v>0</v>
      </c>
      <c r="Z184" s="147">
        <f>IFERROR((HLOOKUP($AH184,Target_monthwise!$D$24:$O$40,DTR!Z$4,FALSE)),0)</f>
        <v>0</v>
      </c>
      <c r="AA184" s="147">
        <f>IFERROR((HLOOKUP($AH184,Target_monthwise!$D$24:$O$40,DTR!AA$4,FALSE)),0)</f>
        <v>0</v>
      </c>
      <c r="AB184" s="147">
        <f>IFERROR((HLOOKUP($AH184,Target_monthwise!$D$24:$O$40,DTR!AB$4,FALSE)),0)</f>
        <v>0</v>
      </c>
      <c r="AC184" s="239">
        <f>IFERROR((HLOOKUP($AH184,Target_monthwise!$D$24:$O$40,DTR!AC$4,FALSE)),0)</f>
        <v>0</v>
      </c>
      <c r="AD184" s="239">
        <f>IFERROR((HLOOKUP($AH184,Target_monthwise!$D$24:$O$40,DTR!AD$4,FALSE)),0)</f>
        <v>0</v>
      </c>
      <c r="AE184" s="239">
        <f>IFERROR((HLOOKUP($AH184,Target_monthwise!$D$24:$O$40,DTR!AE$4,FALSE)),0)</f>
        <v>0</v>
      </c>
      <c r="AF184" s="239">
        <f>IFERROR((HLOOKUP($AH184,Target_monthwise!$D$24:$O$40,DTR!AF$4,FALSE)),0)</f>
        <v>0</v>
      </c>
      <c r="AG184" s="172">
        <f>IFERROR((HLOOKUP($AH184,Target_monthwise!$D$24:$O$40,DTR!AG$4,FALSE)),0)</f>
        <v>0</v>
      </c>
      <c r="AH184" s="253">
        <f t="shared" si="2"/>
        <v>202209</v>
      </c>
    </row>
    <row r="185" spans="3:34" ht="15.75" hidden="1">
      <c r="C185" s="235">
        <v>44828</v>
      </c>
      <c r="D185" s="141">
        <f>IFERROR((HLOOKUP($AH185,Target_monthwise!$D$4:$O$20,DTR!D$4,FALSE))*1000,0)</f>
        <v>0</v>
      </c>
      <c r="E185" s="141">
        <f>IFERROR((HLOOKUP($AH185,Target_monthwise!$D$4:$O$20,DTR!E$4,FALSE))*1000,0)</f>
        <v>0</v>
      </c>
      <c r="F185" s="141">
        <f>IFERROR((HLOOKUP($AH185,Target_monthwise!$D$4:$O$20,DTR!F$4,FALSE))*1000,0)</f>
        <v>0</v>
      </c>
      <c r="G185" s="141">
        <f>IFERROR((HLOOKUP($AH185,Target_monthwise!$D$4:$O$20,DTR!G$4,FALSE))*1000,0)</f>
        <v>0</v>
      </c>
      <c r="H185" s="141">
        <f>IFERROR((HLOOKUP($AH185,Target_monthwise!$D$4:$O$20,DTR!H$4,FALSE))*1000,0)</f>
        <v>0</v>
      </c>
      <c r="I185" s="141">
        <f>IFERROR((HLOOKUP($AH185,Target_monthwise!$D$4:$O$20,DTR!I$4,FALSE))*1000,0)</f>
        <v>0</v>
      </c>
      <c r="J185" s="141">
        <f>IFERROR((HLOOKUP($AH185,Target_monthwise!$D$4:$O$20,DTR!J$4,FALSE))*1000,0)</f>
        <v>0</v>
      </c>
      <c r="K185" s="141">
        <f>IFERROR((HLOOKUP($AH185,Target_monthwise!$D$4:$O$20,DTR!K$4,FALSE))*1000,0)</f>
        <v>0</v>
      </c>
      <c r="L185" s="141">
        <f>IFERROR((HLOOKUP($AH185,Target_monthwise!$D$4:$O$20,DTR!L$4,FALSE))*1000,0)</f>
        <v>0</v>
      </c>
      <c r="M185" s="141">
        <f>IFERROR((HLOOKUP($AH185,Target_monthwise!$D$4:$O$20,DTR!M$4,FALSE))*1000,0)</f>
        <v>0</v>
      </c>
      <c r="N185" s="141">
        <f>IFERROR((HLOOKUP($AH185,Target_monthwise!$D$4:$O$20,DTR!N$4,FALSE))*1000,0)</f>
        <v>0</v>
      </c>
      <c r="O185" s="141">
        <f>IFERROR((HLOOKUP($AH185,Target_monthwise!$D$4:$O$20,DTR!O$4,FALSE))*1000,0)</f>
        <v>0</v>
      </c>
      <c r="P185" s="141">
        <f>IFERROR((HLOOKUP($AH185,Target_monthwise!$D$4:$O$20,DTR!P$4,FALSE))*1000,0)</f>
        <v>0</v>
      </c>
      <c r="Q185" s="141">
        <f>IFERROR((HLOOKUP($AH185,Target_monthwise!$D$4:$O$20,DTR!Q$4,FALSE))*1000,0)</f>
        <v>0</v>
      </c>
      <c r="R185" s="167">
        <f>IFERROR((HLOOKUP($AH185,Target_monthwise!$D$4:$O$20,DTR!R$4,FALSE))*1000,0)</f>
        <v>0</v>
      </c>
      <c r="S185" s="147">
        <f>IFERROR((HLOOKUP($AH185,Target_monthwise!$D$24:$O$40,DTR!S$4,FALSE)),0)</f>
        <v>0</v>
      </c>
      <c r="T185" s="147">
        <f>IFERROR((HLOOKUP($AH185,Target_monthwise!$D$24:$O$40,DTR!T$4,FALSE)),0)</f>
        <v>0</v>
      </c>
      <c r="U185" s="147">
        <f>IFERROR((HLOOKUP($AH185,Target_monthwise!$D$24:$O$40,DTR!U$4,FALSE)),0)</f>
        <v>0</v>
      </c>
      <c r="V185" s="147">
        <f>IFERROR((HLOOKUP($AH185,Target_monthwise!$D$24:$O$40,DTR!V$4,FALSE)),0)</f>
        <v>0</v>
      </c>
      <c r="W185" s="147">
        <f>IFERROR((HLOOKUP($AH185,Target_monthwise!$D$24:$O$40,DTR!W$4,FALSE)),0)</f>
        <v>0</v>
      </c>
      <c r="X185" s="147">
        <f>IFERROR((HLOOKUP($AH185,Target_monthwise!$D$24:$O$40,DTR!X$4,FALSE)),0)</f>
        <v>0</v>
      </c>
      <c r="Y185" s="147">
        <f>IFERROR((HLOOKUP($AH185,Target_monthwise!$D$24:$O$40,DTR!Y$4,FALSE)),0)</f>
        <v>0</v>
      </c>
      <c r="Z185" s="147">
        <f>IFERROR((HLOOKUP($AH185,Target_monthwise!$D$24:$O$40,DTR!Z$4,FALSE)),0)</f>
        <v>0</v>
      </c>
      <c r="AA185" s="147">
        <f>IFERROR((HLOOKUP($AH185,Target_monthwise!$D$24:$O$40,DTR!AA$4,FALSE)),0)</f>
        <v>0</v>
      </c>
      <c r="AB185" s="147">
        <f>IFERROR((HLOOKUP($AH185,Target_monthwise!$D$24:$O$40,DTR!AB$4,FALSE)),0)</f>
        <v>0</v>
      </c>
      <c r="AC185" s="147">
        <f>IFERROR((HLOOKUP($AH185,Target_monthwise!$D$24:$O$40,DTR!AC$4,FALSE)),0)</f>
        <v>0</v>
      </c>
      <c r="AD185" s="147">
        <f>IFERROR((HLOOKUP($AH185,Target_monthwise!$D$24:$O$40,DTR!AD$4,FALSE)),0)</f>
        <v>0</v>
      </c>
      <c r="AE185" s="147">
        <f>IFERROR((HLOOKUP($AH185,Target_monthwise!$D$24:$O$40,DTR!AE$4,FALSE)),0)</f>
        <v>0</v>
      </c>
      <c r="AF185" s="147">
        <f>IFERROR((HLOOKUP($AH185,Target_monthwise!$D$24:$O$40,DTR!AF$4,FALSE)),0)</f>
        <v>0</v>
      </c>
      <c r="AG185" s="172">
        <f>IFERROR((HLOOKUP($AH185,Target_monthwise!$D$24:$O$40,DTR!AG$4,FALSE)),0)</f>
        <v>0</v>
      </c>
      <c r="AH185" s="253">
        <f t="shared" si="2"/>
        <v>202209</v>
      </c>
    </row>
    <row r="186" spans="3:34" ht="15.75" hidden="1">
      <c r="C186" s="237">
        <v>44829</v>
      </c>
      <c r="D186" s="238">
        <f>IFERROR((HLOOKUP($AH186,Target_monthwise!$D$4:$O$20,DTR!D$4,FALSE))*1000,0)</f>
        <v>0</v>
      </c>
      <c r="E186" s="238">
        <f>IFERROR((HLOOKUP($AH186,Target_monthwise!$D$4:$O$20,DTR!E$4,FALSE))*1000,0)</f>
        <v>0</v>
      </c>
      <c r="F186" s="238">
        <f>IFERROR((HLOOKUP($AH186,Target_monthwise!$D$4:$O$20,DTR!F$4,FALSE))*1000,0)</f>
        <v>0</v>
      </c>
      <c r="G186" s="238">
        <f>IFERROR((HLOOKUP($AH186,Target_monthwise!$D$4:$O$20,DTR!G$4,FALSE))*1000,0)</f>
        <v>0</v>
      </c>
      <c r="H186" s="238">
        <f>IFERROR((HLOOKUP($AH186,Target_monthwise!$D$4:$O$20,DTR!H$4,FALSE))*1000,0)</f>
        <v>0</v>
      </c>
      <c r="I186" s="238">
        <f>IFERROR((HLOOKUP($AH186,Target_monthwise!$D$4:$O$20,DTR!I$4,FALSE))*1000,0)</f>
        <v>0</v>
      </c>
      <c r="J186" s="238">
        <f>IFERROR((HLOOKUP($AH186,Target_monthwise!$D$4:$O$20,DTR!J$4,FALSE))*1000,0)</f>
        <v>0</v>
      </c>
      <c r="K186" s="238">
        <f>IFERROR((HLOOKUP($AH186,Target_monthwise!$D$4:$O$20,DTR!K$4,FALSE))*1000,0)</f>
        <v>0</v>
      </c>
      <c r="L186" s="238">
        <f>IFERROR((HLOOKUP($AH186,Target_monthwise!$D$4:$O$20,DTR!L$4,FALSE))*1000,0)</f>
        <v>0</v>
      </c>
      <c r="M186" s="238">
        <f>IFERROR((HLOOKUP($AH186,Target_monthwise!$D$4:$O$20,DTR!M$4,FALSE))*1000,0)</f>
        <v>0</v>
      </c>
      <c r="N186" s="238">
        <f>IFERROR((HLOOKUP($AH186,Target_monthwise!$D$4:$O$20,DTR!N$4,FALSE))*1000,0)</f>
        <v>0</v>
      </c>
      <c r="O186" s="238">
        <f>IFERROR((HLOOKUP($AH186,Target_monthwise!$D$4:$O$20,DTR!O$4,FALSE))*1000,0)</f>
        <v>0</v>
      </c>
      <c r="P186" s="238">
        <f>IFERROR((HLOOKUP($AH186,Target_monthwise!$D$4:$O$20,DTR!P$4,FALSE))*1000,0)</f>
        <v>0</v>
      </c>
      <c r="Q186" s="141">
        <f>IFERROR((HLOOKUP($AH186,Target_monthwise!$D$4:$O$20,DTR!Q$4,FALSE))*1000,0)</f>
        <v>0</v>
      </c>
      <c r="R186" s="167">
        <f>IFERROR((HLOOKUP($AH186,Target_monthwise!$D$4:$O$20,DTR!R$4,FALSE))*1000,0)</f>
        <v>0</v>
      </c>
      <c r="S186" s="239">
        <f>IFERROR((HLOOKUP($AH186,Target_monthwise!$D$24:$O$40,DTR!S$4,FALSE)),0)</f>
        <v>0</v>
      </c>
      <c r="T186" s="239">
        <f>IFERROR((HLOOKUP($AH186,Target_monthwise!$D$24:$O$40,DTR!T$4,FALSE)),0)</f>
        <v>0</v>
      </c>
      <c r="U186" s="239">
        <f>IFERROR((HLOOKUP($AH186,Target_monthwise!$D$24:$O$40,DTR!U$4,FALSE)),0)</f>
        <v>0</v>
      </c>
      <c r="V186" s="239">
        <f>IFERROR((HLOOKUP($AH186,Target_monthwise!$D$24:$O$40,DTR!V$4,FALSE)),0)</f>
        <v>0</v>
      </c>
      <c r="W186" s="239">
        <f>IFERROR((HLOOKUP($AH186,Target_monthwise!$D$24:$O$40,DTR!W$4,FALSE)),0)</f>
        <v>0</v>
      </c>
      <c r="X186" s="239">
        <f>IFERROR((HLOOKUP($AH186,Target_monthwise!$D$24:$O$40,DTR!X$4,FALSE)),0)</f>
        <v>0</v>
      </c>
      <c r="Y186" s="239">
        <f>IFERROR((HLOOKUP($AH186,Target_monthwise!$D$24:$O$40,DTR!Y$4,FALSE)),0)</f>
        <v>0</v>
      </c>
      <c r="Z186" s="147">
        <f>IFERROR((HLOOKUP($AH186,Target_monthwise!$D$24:$O$40,DTR!Z$4,FALSE)),0)</f>
        <v>0</v>
      </c>
      <c r="AA186" s="147">
        <f>IFERROR((HLOOKUP($AH186,Target_monthwise!$D$24:$O$40,DTR!AA$4,FALSE)),0)</f>
        <v>0</v>
      </c>
      <c r="AB186" s="147">
        <f>IFERROR((HLOOKUP($AH186,Target_monthwise!$D$24:$O$40,DTR!AB$4,FALSE)),0)</f>
        <v>0</v>
      </c>
      <c r="AC186" s="239">
        <f>IFERROR((HLOOKUP($AH186,Target_monthwise!$D$24:$O$40,DTR!AC$4,FALSE)),0)</f>
        <v>0</v>
      </c>
      <c r="AD186" s="239">
        <f>IFERROR((HLOOKUP($AH186,Target_monthwise!$D$24:$O$40,DTR!AD$4,FALSE)),0)</f>
        <v>0</v>
      </c>
      <c r="AE186" s="239">
        <f>IFERROR((HLOOKUP($AH186,Target_monthwise!$D$24:$O$40,DTR!AE$4,FALSE)),0)</f>
        <v>0</v>
      </c>
      <c r="AF186" s="239">
        <f>IFERROR((HLOOKUP($AH186,Target_monthwise!$D$24:$O$40,DTR!AF$4,FALSE)),0)</f>
        <v>0</v>
      </c>
      <c r="AG186" s="172">
        <f>IFERROR((HLOOKUP($AH186,Target_monthwise!$D$24:$O$40,DTR!AG$4,FALSE)),0)</f>
        <v>0</v>
      </c>
      <c r="AH186" s="253">
        <f t="shared" si="2"/>
        <v>202209</v>
      </c>
    </row>
    <row r="187" spans="3:34" ht="15.75" hidden="1">
      <c r="C187" s="235">
        <v>44830</v>
      </c>
      <c r="D187" s="141">
        <f>IFERROR((HLOOKUP($AH187,Target_monthwise!$D$4:$O$20,DTR!D$4,FALSE))*1000,0)</f>
        <v>0</v>
      </c>
      <c r="E187" s="141">
        <f>IFERROR((HLOOKUP($AH187,Target_monthwise!$D$4:$O$20,DTR!E$4,FALSE))*1000,0)</f>
        <v>0</v>
      </c>
      <c r="F187" s="141">
        <f>IFERROR((HLOOKUP($AH187,Target_monthwise!$D$4:$O$20,DTR!F$4,FALSE))*1000,0)</f>
        <v>0</v>
      </c>
      <c r="G187" s="141">
        <f>IFERROR((HLOOKUP($AH187,Target_monthwise!$D$4:$O$20,DTR!G$4,FALSE))*1000,0)</f>
        <v>0</v>
      </c>
      <c r="H187" s="141">
        <f>IFERROR((HLOOKUP($AH187,Target_monthwise!$D$4:$O$20,DTR!H$4,FALSE))*1000,0)</f>
        <v>0</v>
      </c>
      <c r="I187" s="141">
        <f>IFERROR((HLOOKUP($AH187,Target_monthwise!$D$4:$O$20,DTR!I$4,FALSE))*1000,0)</f>
        <v>0</v>
      </c>
      <c r="J187" s="141">
        <f>IFERROR((HLOOKUP($AH187,Target_monthwise!$D$4:$O$20,DTR!J$4,FALSE))*1000,0)</f>
        <v>0</v>
      </c>
      <c r="K187" s="141">
        <f>IFERROR((HLOOKUP($AH187,Target_monthwise!$D$4:$O$20,DTR!K$4,FALSE))*1000,0)</f>
        <v>0</v>
      </c>
      <c r="L187" s="141">
        <f>IFERROR((HLOOKUP($AH187,Target_monthwise!$D$4:$O$20,DTR!L$4,FALSE))*1000,0)</f>
        <v>0</v>
      </c>
      <c r="M187" s="141">
        <f>IFERROR((HLOOKUP($AH187,Target_monthwise!$D$4:$O$20,DTR!M$4,FALSE))*1000,0)</f>
        <v>0</v>
      </c>
      <c r="N187" s="141">
        <f>IFERROR((HLOOKUP($AH187,Target_monthwise!$D$4:$O$20,DTR!N$4,FALSE))*1000,0)</f>
        <v>0</v>
      </c>
      <c r="O187" s="141">
        <f>IFERROR((HLOOKUP($AH187,Target_monthwise!$D$4:$O$20,DTR!O$4,FALSE))*1000,0)</f>
        <v>0</v>
      </c>
      <c r="P187" s="141">
        <f>IFERROR((HLOOKUP($AH187,Target_monthwise!$D$4:$O$20,DTR!P$4,FALSE))*1000,0)</f>
        <v>0</v>
      </c>
      <c r="Q187" s="141">
        <f>IFERROR((HLOOKUP($AH187,Target_monthwise!$D$4:$O$20,DTR!Q$4,FALSE))*1000,0)</f>
        <v>0</v>
      </c>
      <c r="R187" s="167">
        <f>IFERROR((HLOOKUP($AH187,Target_monthwise!$D$4:$O$20,DTR!R$4,FALSE))*1000,0)</f>
        <v>0</v>
      </c>
      <c r="S187" s="147">
        <f>IFERROR((HLOOKUP($AH187,Target_monthwise!$D$24:$O$40,DTR!S$4,FALSE)),0)</f>
        <v>0</v>
      </c>
      <c r="T187" s="147">
        <f>IFERROR((HLOOKUP($AH187,Target_monthwise!$D$24:$O$40,DTR!T$4,FALSE)),0)</f>
        <v>0</v>
      </c>
      <c r="U187" s="147">
        <f>IFERROR((HLOOKUP($AH187,Target_monthwise!$D$24:$O$40,DTR!U$4,FALSE)),0)</f>
        <v>0</v>
      </c>
      <c r="V187" s="147">
        <f>IFERROR((HLOOKUP($AH187,Target_monthwise!$D$24:$O$40,DTR!V$4,FALSE)),0)</f>
        <v>0</v>
      </c>
      <c r="W187" s="147">
        <f>IFERROR((HLOOKUP($AH187,Target_monthwise!$D$24:$O$40,DTR!W$4,FALSE)),0)</f>
        <v>0</v>
      </c>
      <c r="X187" s="147">
        <f>IFERROR((HLOOKUP($AH187,Target_monthwise!$D$24:$O$40,DTR!X$4,FALSE)),0)</f>
        <v>0</v>
      </c>
      <c r="Y187" s="147">
        <f>IFERROR((HLOOKUP($AH187,Target_monthwise!$D$24:$O$40,DTR!Y$4,FALSE)),0)</f>
        <v>0</v>
      </c>
      <c r="Z187" s="147">
        <f>IFERROR((HLOOKUP($AH187,Target_monthwise!$D$24:$O$40,DTR!Z$4,FALSE)),0)</f>
        <v>0</v>
      </c>
      <c r="AA187" s="147">
        <f>IFERROR((HLOOKUP($AH187,Target_monthwise!$D$24:$O$40,DTR!AA$4,FALSE)),0)</f>
        <v>0</v>
      </c>
      <c r="AB187" s="147">
        <f>IFERROR((HLOOKUP($AH187,Target_monthwise!$D$24:$O$40,DTR!AB$4,FALSE)),0)</f>
        <v>0</v>
      </c>
      <c r="AC187" s="147">
        <f>IFERROR((HLOOKUP($AH187,Target_monthwise!$D$24:$O$40,DTR!AC$4,FALSE)),0)</f>
        <v>0</v>
      </c>
      <c r="AD187" s="147">
        <f>IFERROR((HLOOKUP($AH187,Target_monthwise!$D$24:$O$40,DTR!AD$4,FALSE)),0)</f>
        <v>0</v>
      </c>
      <c r="AE187" s="147">
        <f>IFERROR((HLOOKUP($AH187,Target_monthwise!$D$24:$O$40,DTR!AE$4,FALSE)),0)</f>
        <v>0</v>
      </c>
      <c r="AF187" s="147">
        <f>IFERROR((HLOOKUP($AH187,Target_monthwise!$D$24:$O$40,DTR!AF$4,FALSE)),0)</f>
        <v>0</v>
      </c>
      <c r="AG187" s="172">
        <f>IFERROR((HLOOKUP($AH187,Target_monthwise!$D$24:$O$40,DTR!AG$4,FALSE)),0)</f>
        <v>0</v>
      </c>
      <c r="AH187" s="253">
        <f t="shared" si="2"/>
        <v>202209</v>
      </c>
    </row>
    <row r="188" spans="3:34" ht="15.75" hidden="1">
      <c r="C188" s="237">
        <v>44831</v>
      </c>
      <c r="D188" s="238">
        <f>IFERROR((HLOOKUP($AH188,Target_monthwise!$D$4:$O$20,DTR!D$4,FALSE))*1000,0)</f>
        <v>0</v>
      </c>
      <c r="E188" s="238">
        <f>IFERROR((HLOOKUP($AH188,Target_monthwise!$D$4:$O$20,DTR!E$4,FALSE))*1000,0)</f>
        <v>0</v>
      </c>
      <c r="F188" s="238">
        <f>IFERROR((HLOOKUP($AH188,Target_monthwise!$D$4:$O$20,DTR!F$4,FALSE))*1000,0)</f>
        <v>0</v>
      </c>
      <c r="G188" s="238">
        <f>IFERROR((HLOOKUP($AH188,Target_monthwise!$D$4:$O$20,DTR!G$4,FALSE))*1000,0)</f>
        <v>0</v>
      </c>
      <c r="H188" s="238">
        <f>IFERROR((HLOOKUP($AH188,Target_monthwise!$D$4:$O$20,DTR!H$4,FALSE))*1000,0)</f>
        <v>0</v>
      </c>
      <c r="I188" s="238">
        <f>IFERROR((HLOOKUP($AH188,Target_monthwise!$D$4:$O$20,DTR!I$4,FALSE))*1000,0)</f>
        <v>0</v>
      </c>
      <c r="J188" s="238">
        <f>IFERROR((HLOOKUP($AH188,Target_monthwise!$D$4:$O$20,DTR!J$4,FALSE))*1000,0)</f>
        <v>0</v>
      </c>
      <c r="K188" s="238">
        <f>IFERROR((HLOOKUP($AH188,Target_monthwise!$D$4:$O$20,DTR!K$4,FALSE))*1000,0)</f>
        <v>0</v>
      </c>
      <c r="L188" s="238">
        <f>IFERROR((HLOOKUP($AH188,Target_monthwise!$D$4:$O$20,DTR!L$4,FALSE))*1000,0)</f>
        <v>0</v>
      </c>
      <c r="M188" s="238">
        <f>IFERROR((HLOOKUP($AH188,Target_monthwise!$D$4:$O$20,DTR!M$4,FALSE))*1000,0)</f>
        <v>0</v>
      </c>
      <c r="N188" s="238">
        <f>IFERROR((HLOOKUP($AH188,Target_monthwise!$D$4:$O$20,DTR!N$4,FALSE))*1000,0)</f>
        <v>0</v>
      </c>
      <c r="O188" s="238">
        <f>IFERROR((HLOOKUP($AH188,Target_monthwise!$D$4:$O$20,DTR!O$4,FALSE))*1000,0)</f>
        <v>0</v>
      </c>
      <c r="P188" s="238">
        <f>IFERROR((HLOOKUP($AH188,Target_monthwise!$D$4:$O$20,DTR!P$4,FALSE))*1000,0)</f>
        <v>0</v>
      </c>
      <c r="Q188" s="141">
        <f>IFERROR((HLOOKUP($AH188,Target_monthwise!$D$4:$O$20,DTR!Q$4,FALSE))*1000,0)</f>
        <v>0</v>
      </c>
      <c r="R188" s="167">
        <f>IFERROR((HLOOKUP($AH188,Target_monthwise!$D$4:$O$20,DTR!R$4,FALSE))*1000,0)</f>
        <v>0</v>
      </c>
      <c r="S188" s="239">
        <f>IFERROR((HLOOKUP($AH188,Target_monthwise!$D$24:$O$40,DTR!S$4,FALSE)),0)</f>
        <v>0</v>
      </c>
      <c r="T188" s="239">
        <f>IFERROR((HLOOKUP($AH188,Target_monthwise!$D$24:$O$40,DTR!T$4,FALSE)),0)</f>
        <v>0</v>
      </c>
      <c r="U188" s="239">
        <f>IFERROR((HLOOKUP($AH188,Target_monthwise!$D$24:$O$40,DTR!U$4,FALSE)),0)</f>
        <v>0</v>
      </c>
      <c r="V188" s="239">
        <f>IFERROR((HLOOKUP($AH188,Target_monthwise!$D$24:$O$40,DTR!V$4,FALSE)),0)</f>
        <v>0</v>
      </c>
      <c r="W188" s="239">
        <f>IFERROR((HLOOKUP($AH188,Target_monthwise!$D$24:$O$40,DTR!W$4,FALSE)),0)</f>
        <v>0</v>
      </c>
      <c r="X188" s="239">
        <f>IFERROR((HLOOKUP($AH188,Target_monthwise!$D$24:$O$40,DTR!X$4,FALSE)),0)</f>
        <v>0</v>
      </c>
      <c r="Y188" s="239">
        <f>IFERROR((HLOOKUP($AH188,Target_monthwise!$D$24:$O$40,DTR!Y$4,FALSE)),0)</f>
        <v>0</v>
      </c>
      <c r="Z188" s="147">
        <f>IFERROR((HLOOKUP($AH188,Target_monthwise!$D$24:$O$40,DTR!Z$4,FALSE)),0)</f>
        <v>0</v>
      </c>
      <c r="AA188" s="147">
        <f>IFERROR((HLOOKUP($AH188,Target_monthwise!$D$24:$O$40,DTR!AA$4,FALSE)),0)</f>
        <v>0</v>
      </c>
      <c r="AB188" s="147">
        <f>IFERROR((HLOOKUP($AH188,Target_monthwise!$D$24:$O$40,DTR!AB$4,FALSE)),0)</f>
        <v>0</v>
      </c>
      <c r="AC188" s="239">
        <f>IFERROR((HLOOKUP($AH188,Target_monthwise!$D$24:$O$40,DTR!AC$4,FALSE)),0)</f>
        <v>0</v>
      </c>
      <c r="AD188" s="239">
        <f>IFERROR((HLOOKUP($AH188,Target_monthwise!$D$24:$O$40,DTR!AD$4,FALSE)),0)</f>
        <v>0</v>
      </c>
      <c r="AE188" s="239">
        <f>IFERROR((HLOOKUP($AH188,Target_monthwise!$D$24:$O$40,DTR!AE$4,FALSE)),0)</f>
        <v>0</v>
      </c>
      <c r="AF188" s="239">
        <f>IFERROR((HLOOKUP($AH188,Target_monthwise!$D$24:$O$40,DTR!AF$4,FALSE)),0)</f>
        <v>0</v>
      </c>
      <c r="AG188" s="172">
        <f>IFERROR((HLOOKUP($AH188,Target_monthwise!$D$24:$O$40,DTR!AG$4,FALSE)),0)</f>
        <v>0</v>
      </c>
      <c r="AH188" s="253">
        <f t="shared" si="2"/>
        <v>202209</v>
      </c>
    </row>
    <row r="189" spans="3:34" ht="15.75" hidden="1">
      <c r="C189" s="235">
        <v>44832</v>
      </c>
      <c r="D189" s="141">
        <f>IFERROR((HLOOKUP($AH189,Target_monthwise!$D$4:$O$20,DTR!D$4,FALSE))*1000,0)</f>
        <v>0</v>
      </c>
      <c r="E189" s="141">
        <f>IFERROR((HLOOKUP($AH189,Target_monthwise!$D$4:$O$20,DTR!E$4,FALSE))*1000,0)</f>
        <v>0</v>
      </c>
      <c r="F189" s="141">
        <f>IFERROR((HLOOKUP($AH189,Target_monthwise!$D$4:$O$20,DTR!F$4,FALSE))*1000,0)</f>
        <v>0</v>
      </c>
      <c r="G189" s="141">
        <f>IFERROR((HLOOKUP($AH189,Target_monthwise!$D$4:$O$20,DTR!G$4,FALSE))*1000,0)</f>
        <v>0</v>
      </c>
      <c r="H189" s="141">
        <f>IFERROR((HLOOKUP($AH189,Target_monthwise!$D$4:$O$20,DTR!H$4,FALSE))*1000,0)</f>
        <v>0</v>
      </c>
      <c r="I189" s="141">
        <f>IFERROR((HLOOKUP($AH189,Target_monthwise!$D$4:$O$20,DTR!I$4,FALSE))*1000,0)</f>
        <v>0</v>
      </c>
      <c r="J189" s="141">
        <f>IFERROR((HLOOKUP($AH189,Target_monthwise!$D$4:$O$20,DTR!J$4,FALSE))*1000,0)</f>
        <v>0</v>
      </c>
      <c r="K189" s="141">
        <f>IFERROR((HLOOKUP($AH189,Target_monthwise!$D$4:$O$20,DTR!K$4,FALSE))*1000,0)</f>
        <v>0</v>
      </c>
      <c r="L189" s="141">
        <f>IFERROR((HLOOKUP($AH189,Target_monthwise!$D$4:$O$20,DTR!L$4,FALSE))*1000,0)</f>
        <v>0</v>
      </c>
      <c r="M189" s="141">
        <f>IFERROR((HLOOKUP($AH189,Target_monthwise!$D$4:$O$20,DTR!M$4,FALSE))*1000,0)</f>
        <v>0</v>
      </c>
      <c r="N189" s="141">
        <f>IFERROR((HLOOKUP($AH189,Target_monthwise!$D$4:$O$20,DTR!N$4,FALSE))*1000,0)</f>
        <v>0</v>
      </c>
      <c r="O189" s="141">
        <f>IFERROR((HLOOKUP($AH189,Target_monthwise!$D$4:$O$20,DTR!O$4,FALSE))*1000,0)</f>
        <v>0</v>
      </c>
      <c r="P189" s="141">
        <f>IFERROR((HLOOKUP($AH189,Target_monthwise!$D$4:$O$20,DTR!P$4,FALSE))*1000,0)</f>
        <v>0</v>
      </c>
      <c r="Q189" s="141">
        <f>IFERROR((HLOOKUP($AH189,Target_monthwise!$D$4:$O$20,DTR!Q$4,FALSE))*1000,0)</f>
        <v>0</v>
      </c>
      <c r="R189" s="167">
        <f>IFERROR((HLOOKUP($AH189,Target_monthwise!$D$4:$O$20,DTR!R$4,FALSE))*1000,0)</f>
        <v>0</v>
      </c>
      <c r="S189" s="147">
        <f>IFERROR((HLOOKUP($AH189,Target_monthwise!$D$24:$O$40,DTR!S$4,FALSE)),0)</f>
        <v>0</v>
      </c>
      <c r="T189" s="147">
        <f>IFERROR((HLOOKUP($AH189,Target_monthwise!$D$24:$O$40,DTR!T$4,FALSE)),0)</f>
        <v>0</v>
      </c>
      <c r="U189" s="147">
        <f>IFERROR((HLOOKUP($AH189,Target_monthwise!$D$24:$O$40,DTR!U$4,FALSE)),0)</f>
        <v>0</v>
      </c>
      <c r="V189" s="147">
        <f>IFERROR((HLOOKUP($AH189,Target_monthwise!$D$24:$O$40,DTR!V$4,FALSE)),0)</f>
        <v>0</v>
      </c>
      <c r="W189" s="147">
        <f>IFERROR((HLOOKUP($AH189,Target_monthwise!$D$24:$O$40,DTR!W$4,FALSE)),0)</f>
        <v>0</v>
      </c>
      <c r="X189" s="147">
        <f>IFERROR((HLOOKUP($AH189,Target_monthwise!$D$24:$O$40,DTR!X$4,FALSE)),0)</f>
        <v>0</v>
      </c>
      <c r="Y189" s="147">
        <f>IFERROR((HLOOKUP($AH189,Target_monthwise!$D$24:$O$40,DTR!Y$4,FALSE)),0)</f>
        <v>0</v>
      </c>
      <c r="Z189" s="147">
        <f>IFERROR((HLOOKUP($AH189,Target_monthwise!$D$24:$O$40,DTR!Z$4,FALSE)),0)</f>
        <v>0</v>
      </c>
      <c r="AA189" s="147">
        <f>IFERROR((HLOOKUP($AH189,Target_monthwise!$D$24:$O$40,DTR!AA$4,FALSE)),0)</f>
        <v>0</v>
      </c>
      <c r="AB189" s="147">
        <f>IFERROR((HLOOKUP($AH189,Target_monthwise!$D$24:$O$40,DTR!AB$4,FALSE)),0)</f>
        <v>0</v>
      </c>
      <c r="AC189" s="147">
        <f>IFERROR((HLOOKUP($AH189,Target_monthwise!$D$24:$O$40,DTR!AC$4,FALSE)),0)</f>
        <v>0</v>
      </c>
      <c r="AD189" s="147">
        <f>IFERROR((HLOOKUP($AH189,Target_monthwise!$D$24:$O$40,DTR!AD$4,FALSE)),0)</f>
        <v>0</v>
      </c>
      <c r="AE189" s="147">
        <f>IFERROR((HLOOKUP($AH189,Target_monthwise!$D$24:$O$40,DTR!AE$4,FALSE)),0)</f>
        <v>0</v>
      </c>
      <c r="AF189" s="147">
        <f>IFERROR((HLOOKUP($AH189,Target_monthwise!$D$24:$O$40,DTR!AF$4,FALSE)),0)</f>
        <v>0</v>
      </c>
      <c r="AG189" s="172">
        <f>IFERROR((HLOOKUP($AH189,Target_monthwise!$D$24:$O$40,DTR!AG$4,FALSE)),0)</f>
        <v>0</v>
      </c>
      <c r="AH189" s="253">
        <f t="shared" si="2"/>
        <v>202209</v>
      </c>
    </row>
    <row r="190" spans="3:34" ht="15.75" hidden="1">
      <c r="C190" s="237">
        <v>44833</v>
      </c>
      <c r="D190" s="238">
        <f>IFERROR((HLOOKUP($AH190,Target_monthwise!$D$4:$O$20,DTR!D$4,FALSE))*1000,0)</f>
        <v>0</v>
      </c>
      <c r="E190" s="238">
        <f>IFERROR((HLOOKUP($AH190,Target_monthwise!$D$4:$O$20,DTR!E$4,FALSE))*1000,0)</f>
        <v>0</v>
      </c>
      <c r="F190" s="238">
        <f>IFERROR((HLOOKUP($AH190,Target_monthwise!$D$4:$O$20,DTR!F$4,FALSE))*1000,0)</f>
        <v>0</v>
      </c>
      <c r="G190" s="238">
        <f>IFERROR((HLOOKUP($AH190,Target_monthwise!$D$4:$O$20,DTR!G$4,FALSE))*1000,0)</f>
        <v>0</v>
      </c>
      <c r="H190" s="238">
        <f>IFERROR((HLOOKUP($AH190,Target_monthwise!$D$4:$O$20,DTR!H$4,FALSE))*1000,0)</f>
        <v>0</v>
      </c>
      <c r="I190" s="238">
        <f>IFERROR((HLOOKUP($AH190,Target_monthwise!$D$4:$O$20,DTR!I$4,FALSE))*1000,0)</f>
        <v>0</v>
      </c>
      <c r="J190" s="238">
        <f>IFERROR((HLOOKUP($AH190,Target_monthwise!$D$4:$O$20,DTR!J$4,FALSE))*1000,0)</f>
        <v>0</v>
      </c>
      <c r="K190" s="238">
        <f>IFERROR((HLOOKUP($AH190,Target_monthwise!$D$4:$O$20,DTR!K$4,FALSE))*1000,0)</f>
        <v>0</v>
      </c>
      <c r="L190" s="238">
        <f>IFERROR((HLOOKUP($AH190,Target_monthwise!$D$4:$O$20,DTR!L$4,FALSE))*1000,0)</f>
        <v>0</v>
      </c>
      <c r="M190" s="238">
        <f>IFERROR((HLOOKUP($AH190,Target_monthwise!$D$4:$O$20,DTR!M$4,FALSE))*1000,0)</f>
        <v>0</v>
      </c>
      <c r="N190" s="238">
        <f>IFERROR((HLOOKUP($AH190,Target_monthwise!$D$4:$O$20,DTR!N$4,FALSE))*1000,0)</f>
        <v>0</v>
      </c>
      <c r="O190" s="238">
        <f>IFERROR((HLOOKUP($AH190,Target_monthwise!$D$4:$O$20,DTR!O$4,FALSE))*1000,0)</f>
        <v>0</v>
      </c>
      <c r="P190" s="238">
        <f>IFERROR((HLOOKUP($AH190,Target_monthwise!$D$4:$O$20,DTR!P$4,FALSE))*1000,0)</f>
        <v>0</v>
      </c>
      <c r="Q190" s="141">
        <f>IFERROR((HLOOKUP($AH190,Target_monthwise!$D$4:$O$20,DTR!Q$4,FALSE))*1000,0)</f>
        <v>0</v>
      </c>
      <c r="R190" s="167">
        <f>IFERROR((HLOOKUP($AH190,Target_monthwise!$D$4:$O$20,DTR!R$4,FALSE))*1000,0)</f>
        <v>0</v>
      </c>
      <c r="S190" s="239">
        <f>IFERROR((HLOOKUP($AH190,Target_monthwise!$D$24:$O$40,DTR!S$4,FALSE)),0)</f>
        <v>0</v>
      </c>
      <c r="T190" s="239">
        <f>IFERROR((HLOOKUP($AH190,Target_monthwise!$D$24:$O$40,DTR!T$4,FALSE)),0)</f>
        <v>0</v>
      </c>
      <c r="U190" s="239">
        <f>IFERROR((HLOOKUP($AH190,Target_monthwise!$D$24:$O$40,DTR!U$4,FALSE)),0)</f>
        <v>0</v>
      </c>
      <c r="V190" s="239">
        <f>IFERROR((HLOOKUP($AH190,Target_monthwise!$D$24:$O$40,DTR!V$4,FALSE)),0)</f>
        <v>0</v>
      </c>
      <c r="W190" s="239">
        <f>IFERROR((HLOOKUP($AH190,Target_monthwise!$D$24:$O$40,DTR!W$4,FALSE)),0)</f>
        <v>0</v>
      </c>
      <c r="X190" s="239">
        <f>IFERROR((HLOOKUP($AH190,Target_monthwise!$D$24:$O$40,DTR!X$4,FALSE)),0)</f>
        <v>0</v>
      </c>
      <c r="Y190" s="239">
        <f>IFERROR((HLOOKUP($AH190,Target_monthwise!$D$24:$O$40,DTR!Y$4,FALSE)),0)</f>
        <v>0</v>
      </c>
      <c r="Z190" s="147">
        <f>IFERROR((HLOOKUP($AH190,Target_monthwise!$D$24:$O$40,DTR!Z$4,FALSE)),0)</f>
        <v>0</v>
      </c>
      <c r="AA190" s="147">
        <f>IFERROR((HLOOKUP($AH190,Target_monthwise!$D$24:$O$40,DTR!AA$4,FALSE)),0)</f>
        <v>0</v>
      </c>
      <c r="AB190" s="147">
        <f>IFERROR((HLOOKUP($AH190,Target_monthwise!$D$24:$O$40,DTR!AB$4,FALSE)),0)</f>
        <v>0</v>
      </c>
      <c r="AC190" s="239">
        <f>IFERROR((HLOOKUP($AH190,Target_monthwise!$D$24:$O$40,DTR!AC$4,FALSE)),0)</f>
        <v>0</v>
      </c>
      <c r="AD190" s="239">
        <f>IFERROR((HLOOKUP($AH190,Target_monthwise!$D$24:$O$40,DTR!AD$4,FALSE)),0)</f>
        <v>0</v>
      </c>
      <c r="AE190" s="239">
        <f>IFERROR((HLOOKUP($AH190,Target_monthwise!$D$24:$O$40,DTR!AE$4,FALSE)),0)</f>
        <v>0</v>
      </c>
      <c r="AF190" s="239">
        <f>IFERROR((HLOOKUP($AH190,Target_monthwise!$D$24:$O$40,DTR!AF$4,FALSE)),0)</f>
        <v>0</v>
      </c>
      <c r="AG190" s="172">
        <f>IFERROR((HLOOKUP($AH190,Target_monthwise!$D$24:$O$40,DTR!AG$4,FALSE)),0)</f>
        <v>0</v>
      </c>
      <c r="AH190" s="253">
        <f t="shared" si="2"/>
        <v>202209</v>
      </c>
    </row>
    <row r="191" spans="3:34" ht="15.75" hidden="1">
      <c r="C191" s="235">
        <v>44834</v>
      </c>
      <c r="D191" s="141">
        <f>IFERROR((HLOOKUP($AH191,Target_monthwise!$D$4:$O$20,DTR!D$4,FALSE))*1000,0)</f>
        <v>0</v>
      </c>
      <c r="E191" s="141">
        <f>IFERROR((HLOOKUP($AH191,Target_monthwise!$D$4:$O$20,DTR!E$4,FALSE))*1000,0)</f>
        <v>0</v>
      </c>
      <c r="F191" s="141">
        <f>IFERROR((HLOOKUP($AH191,Target_monthwise!$D$4:$O$20,DTR!F$4,FALSE))*1000,0)</f>
        <v>0</v>
      </c>
      <c r="G191" s="141">
        <f>IFERROR((HLOOKUP($AH191,Target_monthwise!$D$4:$O$20,DTR!G$4,FALSE))*1000,0)</f>
        <v>0</v>
      </c>
      <c r="H191" s="141">
        <f>IFERROR((HLOOKUP($AH191,Target_monthwise!$D$4:$O$20,DTR!H$4,FALSE))*1000,0)</f>
        <v>0</v>
      </c>
      <c r="I191" s="141">
        <f>IFERROR((HLOOKUP($AH191,Target_monthwise!$D$4:$O$20,DTR!I$4,FALSE))*1000,0)</f>
        <v>0</v>
      </c>
      <c r="J191" s="141">
        <f>IFERROR((HLOOKUP($AH191,Target_monthwise!$D$4:$O$20,DTR!J$4,FALSE))*1000,0)</f>
        <v>0</v>
      </c>
      <c r="K191" s="141">
        <f>IFERROR((HLOOKUP($AH191,Target_monthwise!$D$4:$O$20,DTR!K$4,FALSE))*1000,0)</f>
        <v>0</v>
      </c>
      <c r="L191" s="141">
        <f>IFERROR((HLOOKUP($AH191,Target_monthwise!$D$4:$O$20,DTR!L$4,FALSE))*1000,0)</f>
        <v>0</v>
      </c>
      <c r="M191" s="141">
        <f>IFERROR((HLOOKUP($AH191,Target_monthwise!$D$4:$O$20,DTR!M$4,FALSE))*1000,0)</f>
        <v>0</v>
      </c>
      <c r="N191" s="141">
        <f>IFERROR((HLOOKUP($AH191,Target_monthwise!$D$4:$O$20,DTR!N$4,FALSE))*1000,0)</f>
        <v>0</v>
      </c>
      <c r="O191" s="141">
        <f>IFERROR((HLOOKUP($AH191,Target_monthwise!$D$4:$O$20,DTR!O$4,FALSE))*1000,0)</f>
        <v>0</v>
      </c>
      <c r="P191" s="141">
        <f>IFERROR((HLOOKUP($AH191,Target_monthwise!$D$4:$O$20,DTR!P$4,FALSE))*1000,0)</f>
        <v>0</v>
      </c>
      <c r="Q191" s="141">
        <f>IFERROR((HLOOKUP($AH191,Target_monthwise!$D$4:$O$20,DTR!Q$4,FALSE))*1000,0)</f>
        <v>0</v>
      </c>
      <c r="R191" s="167">
        <f>IFERROR((HLOOKUP($AH191,Target_monthwise!$D$4:$O$20,DTR!R$4,FALSE))*1000,0)</f>
        <v>0</v>
      </c>
      <c r="S191" s="147">
        <f>IFERROR((HLOOKUP($AH191,Target_monthwise!$D$24:$O$40,DTR!S$4,FALSE)),0)</f>
        <v>0</v>
      </c>
      <c r="T191" s="147">
        <f>IFERROR((HLOOKUP($AH191,Target_monthwise!$D$24:$O$40,DTR!T$4,FALSE)),0)</f>
        <v>0</v>
      </c>
      <c r="U191" s="147">
        <f>IFERROR((HLOOKUP($AH191,Target_monthwise!$D$24:$O$40,DTR!U$4,FALSE)),0)</f>
        <v>0</v>
      </c>
      <c r="V191" s="147">
        <f>IFERROR((HLOOKUP($AH191,Target_monthwise!$D$24:$O$40,DTR!V$4,FALSE)),0)</f>
        <v>0</v>
      </c>
      <c r="W191" s="147">
        <f>IFERROR((HLOOKUP($AH191,Target_monthwise!$D$24:$O$40,DTR!W$4,FALSE)),0)</f>
        <v>0</v>
      </c>
      <c r="X191" s="147">
        <f>IFERROR((HLOOKUP($AH191,Target_monthwise!$D$24:$O$40,DTR!X$4,FALSE)),0)</f>
        <v>0</v>
      </c>
      <c r="Y191" s="147">
        <f>IFERROR((HLOOKUP($AH191,Target_monthwise!$D$24:$O$40,DTR!Y$4,FALSE)),0)</f>
        <v>0</v>
      </c>
      <c r="Z191" s="147">
        <f>IFERROR((HLOOKUP($AH191,Target_monthwise!$D$24:$O$40,DTR!Z$4,FALSE)),0)</f>
        <v>0</v>
      </c>
      <c r="AA191" s="147">
        <f>IFERROR((HLOOKUP($AH191,Target_monthwise!$D$24:$O$40,DTR!AA$4,FALSE)),0)</f>
        <v>0</v>
      </c>
      <c r="AB191" s="147">
        <f>IFERROR((HLOOKUP($AH191,Target_monthwise!$D$24:$O$40,DTR!AB$4,FALSE)),0)</f>
        <v>0</v>
      </c>
      <c r="AC191" s="147">
        <f>IFERROR((HLOOKUP($AH191,Target_monthwise!$D$24:$O$40,DTR!AC$4,FALSE)),0)</f>
        <v>0</v>
      </c>
      <c r="AD191" s="147">
        <f>IFERROR((HLOOKUP($AH191,Target_monthwise!$D$24:$O$40,DTR!AD$4,FALSE)),0)</f>
        <v>0</v>
      </c>
      <c r="AE191" s="147">
        <f>IFERROR((HLOOKUP($AH191,Target_monthwise!$D$24:$O$40,DTR!AE$4,FALSE)),0)</f>
        <v>0</v>
      </c>
      <c r="AF191" s="147">
        <f>IFERROR((HLOOKUP($AH191,Target_monthwise!$D$24:$O$40,DTR!AF$4,FALSE)),0)</f>
        <v>0</v>
      </c>
      <c r="AG191" s="172">
        <f>IFERROR((HLOOKUP($AH191,Target_monthwise!$D$24:$O$40,DTR!AG$4,FALSE)),0)</f>
        <v>0</v>
      </c>
      <c r="AH191" s="253">
        <f t="shared" si="2"/>
        <v>202209</v>
      </c>
    </row>
    <row r="192" spans="3:34" ht="15.75" hidden="1">
      <c r="C192" s="237">
        <v>44835</v>
      </c>
      <c r="D192" s="238">
        <f>IFERROR((HLOOKUP($AH192,Target_monthwise!$D$4:$O$20,DTR!D$4,FALSE))*1000,0)</f>
        <v>0</v>
      </c>
      <c r="E192" s="238">
        <f>IFERROR((HLOOKUP($AH192,Target_monthwise!$D$4:$O$20,DTR!E$4,FALSE))*1000,0)</f>
        <v>0</v>
      </c>
      <c r="F192" s="238">
        <f>IFERROR((HLOOKUP($AH192,Target_monthwise!$D$4:$O$20,DTR!F$4,FALSE))*1000,0)</f>
        <v>0</v>
      </c>
      <c r="G192" s="238">
        <f>IFERROR((HLOOKUP($AH192,Target_monthwise!$D$4:$O$20,DTR!G$4,FALSE))*1000,0)</f>
        <v>0</v>
      </c>
      <c r="H192" s="238">
        <f>IFERROR((HLOOKUP($AH192,Target_monthwise!$D$4:$O$20,DTR!H$4,FALSE))*1000,0)</f>
        <v>0</v>
      </c>
      <c r="I192" s="238">
        <f>IFERROR((HLOOKUP($AH192,Target_monthwise!$D$4:$O$20,DTR!I$4,FALSE))*1000,0)</f>
        <v>0</v>
      </c>
      <c r="J192" s="238">
        <f>IFERROR((HLOOKUP($AH192,Target_monthwise!$D$4:$O$20,DTR!J$4,FALSE))*1000,0)</f>
        <v>0</v>
      </c>
      <c r="K192" s="238">
        <f>IFERROR((HLOOKUP($AH192,Target_monthwise!$D$4:$O$20,DTR!K$4,FALSE))*1000,0)</f>
        <v>0</v>
      </c>
      <c r="L192" s="238">
        <f>IFERROR((HLOOKUP($AH192,Target_monthwise!$D$4:$O$20,DTR!L$4,FALSE))*1000,0)</f>
        <v>0</v>
      </c>
      <c r="M192" s="238">
        <f>IFERROR((HLOOKUP($AH192,Target_monthwise!$D$4:$O$20,DTR!M$4,FALSE))*1000,0)</f>
        <v>0</v>
      </c>
      <c r="N192" s="238">
        <f>IFERROR((HLOOKUP($AH192,Target_monthwise!$D$4:$O$20,DTR!N$4,FALSE))*1000,0)</f>
        <v>0</v>
      </c>
      <c r="O192" s="238">
        <f>IFERROR((HLOOKUP($AH192,Target_monthwise!$D$4:$O$20,DTR!O$4,FALSE))*1000,0)</f>
        <v>0</v>
      </c>
      <c r="P192" s="238">
        <f>IFERROR((HLOOKUP($AH192,Target_monthwise!$D$4:$O$20,DTR!P$4,FALSE))*1000,0)</f>
        <v>0</v>
      </c>
      <c r="Q192" s="141">
        <f>IFERROR((HLOOKUP($AH192,Target_monthwise!$D$4:$O$20,DTR!Q$4,FALSE))*1000,0)</f>
        <v>0</v>
      </c>
      <c r="R192" s="167">
        <f>IFERROR((HLOOKUP($AH192,Target_monthwise!$D$4:$O$20,DTR!R$4,FALSE))*1000,0)</f>
        <v>0</v>
      </c>
      <c r="S192" s="239">
        <f>IFERROR((HLOOKUP($AH192,Target_monthwise!$D$24:$O$40,DTR!S$4,FALSE)),0)</f>
        <v>0</v>
      </c>
      <c r="T192" s="239">
        <f>IFERROR((HLOOKUP($AH192,Target_monthwise!$D$24:$O$40,DTR!T$4,FALSE)),0)</f>
        <v>0</v>
      </c>
      <c r="U192" s="239">
        <f>IFERROR((HLOOKUP($AH192,Target_monthwise!$D$24:$O$40,DTR!U$4,FALSE)),0)</f>
        <v>0</v>
      </c>
      <c r="V192" s="239">
        <f>IFERROR((HLOOKUP($AH192,Target_monthwise!$D$24:$O$40,DTR!V$4,FALSE)),0)</f>
        <v>0</v>
      </c>
      <c r="W192" s="239">
        <f>IFERROR((HLOOKUP($AH192,Target_monthwise!$D$24:$O$40,DTR!W$4,FALSE)),0)</f>
        <v>0</v>
      </c>
      <c r="X192" s="239">
        <f>IFERROR((HLOOKUP($AH192,Target_monthwise!$D$24:$O$40,DTR!X$4,FALSE)),0)</f>
        <v>0</v>
      </c>
      <c r="Y192" s="239">
        <f>IFERROR((HLOOKUP($AH192,Target_monthwise!$D$24:$O$40,DTR!Y$4,FALSE)),0)</f>
        <v>0</v>
      </c>
      <c r="Z192" s="147">
        <f>IFERROR((HLOOKUP($AH192,Target_monthwise!$D$24:$O$40,DTR!Z$4,FALSE)),0)</f>
        <v>0</v>
      </c>
      <c r="AA192" s="147">
        <f>IFERROR((HLOOKUP($AH192,Target_monthwise!$D$24:$O$40,DTR!AA$4,FALSE)),0)</f>
        <v>0</v>
      </c>
      <c r="AB192" s="147">
        <f>IFERROR((HLOOKUP($AH192,Target_monthwise!$D$24:$O$40,DTR!AB$4,FALSE)),0)</f>
        <v>0</v>
      </c>
      <c r="AC192" s="239">
        <f>IFERROR((HLOOKUP($AH192,Target_monthwise!$D$24:$O$40,DTR!AC$4,FALSE)),0)</f>
        <v>0</v>
      </c>
      <c r="AD192" s="239">
        <f>IFERROR((HLOOKUP($AH192,Target_monthwise!$D$24:$O$40,DTR!AD$4,FALSE)),0)</f>
        <v>0</v>
      </c>
      <c r="AE192" s="239">
        <f>IFERROR((HLOOKUP($AH192,Target_monthwise!$D$24:$O$40,DTR!AE$4,FALSE)),0)</f>
        <v>0</v>
      </c>
      <c r="AF192" s="239">
        <f>IFERROR((HLOOKUP($AH192,Target_monthwise!$D$24:$O$40,DTR!AF$4,FALSE)),0)</f>
        <v>0</v>
      </c>
      <c r="AG192" s="172">
        <f>IFERROR((HLOOKUP($AH192,Target_monthwise!$D$24:$O$40,DTR!AG$4,FALSE)),0)</f>
        <v>0</v>
      </c>
      <c r="AH192" s="253">
        <f t="shared" si="2"/>
        <v>202210</v>
      </c>
    </row>
    <row r="193" spans="3:34" ht="15.75" hidden="1">
      <c r="C193" s="235">
        <v>44836</v>
      </c>
      <c r="D193" s="141">
        <f>IFERROR((HLOOKUP($AH193,Target_monthwise!$D$4:$O$20,DTR!D$4,FALSE))*1000,0)</f>
        <v>0</v>
      </c>
      <c r="E193" s="141">
        <f>IFERROR((HLOOKUP($AH193,Target_monthwise!$D$4:$O$20,DTR!E$4,FALSE))*1000,0)</f>
        <v>0</v>
      </c>
      <c r="F193" s="141">
        <f>IFERROR((HLOOKUP($AH193,Target_monthwise!$D$4:$O$20,DTR!F$4,FALSE))*1000,0)</f>
        <v>0</v>
      </c>
      <c r="G193" s="141">
        <f>IFERROR((HLOOKUP($AH193,Target_monthwise!$D$4:$O$20,DTR!G$4,FALSE))*1000,0)</f>
        <v>0</v>
      </c>
      <c r="H193" s="141">
        <f>IFERROR((HLOOKUP($AH193,Target_monthwise!$D$4:$O$20,DTR!H$4,FALSE))*1000,0)</f>
        <v>0</v>
      </c>
      <c r="I193" s="141">
        <f>IFERROR((HLOOKUP($AH193,Target_monthwise!$D$4:$O$20,DTR!I$4,FALSE))*1000,0)</f>
        <v>0</v>
      </c>
      <c r="J193" s="141">
        <f>IFERROR((HLOOKUP($AH193,Target_monthwise!$D$4:$O$20,DTR!J$4,FALSE))*1000,0)</f>
        <v>0</v>
      </c>
      <c r="K193" s="141">
        <f>IFERROR((HLOOKUP($AH193,Target_monthwise!$D$4:$O$20,DTR!K$4,FALSE))*1000,0)</f>
        <v>0</v>
      </c>
      <c r="L193" s="141">
        <f>IFERROR((HLOOKUP($AH193,Target_monthwise!$D$4:$O$20,DTR!L$4,FALSE))*1000,0)</f>
        <v>0</v>
      </c>
      <c r="M193" s="141">
        <f>IFERROR((HLOOKUP($AH193,Target_monthwise!$D$4:$O$20,DTR!M$4,FALSE))*1000,0)</f>
        <v>0</v>
      </c>
      <c r="N193" s="141">
        <f>IFERROR((HLOOKUP($AH193,Target_monthwise!$D$4:$O$20,DTR!N$4,FALSE))*1000,0)</f>
        <v>0</v>
      </c>
      <c r="O193" s="141">
        <f>IFERROR((HLOOKUP($AH193,Target_monthwise!$D$4:$O$20,DTR!O$4,FALSE))*1000,0)</f>
        <v>0</v>
      </c>
      <c r="P193" s="141">
        <f>IFERROR((HLOOKUP($AH193,Target_monthwise!$D$4:$O$20,DTR!P$4,FALSE))*1000,0)</f>
        <v>0</v>
      </c>
      <c r="Q193" s="141">
        <f>IFERROR((HLOOKUP($AH193,Target_monthwise!$D$4:$O$20,DTR!Q$4,FALSE))*1000,0)</f>
        <v>0</v>
      </c>
      <c r="R193" s="167">
        <f>IFERROR((HLOOKUP($AH193,Target_monthwise!$D$4:$O$20,DTR!R$4,FALSE))*1000,0)</f>
        <v>0</v>
      </c>
      <c r="S193" s="147">
        <f>IFERROR((HLOOKUP($AH193,Target_monthwise!$D$24:$O$40,DTR!S$4,FALSE)),0)</f>
        <v>0</v>
      </c>
      <c r="T193" s="147">
        <f>IFERROR((HLOOKUP($AH193,Target_monthwise!$D$24:$O$40,DTR!T$4,FALSE)),0)</f>
        <v>0</v>
      </c>
      <c r="U193" s="147">
        <f>IFERROR((HLOOKUP($AH193,Target_monthwise!$D$24:$O$40,DTR!U$4,FALSE)),0)</f>
        <v>0</v>
      </c>
      <c r="V193" s="147">
        <f>IFERROR((HLOOKUP($AH193,Target_monthwise!$D$24:$O$40,DTR!V$4,FALSE)),0)</f>
        <v>0</v>
      </c>
      <c r="W193" s="147">
        <f>IFERROR((HLOOKUP($AH193,Target_monthwise!$D$24:$O$40,DTR!W$4,FALSE)),0)</f>
        <v>0</v>
      </c>
      <c r="X193" s="147">
        <f>IFERROR((HLOOKUP($AH193,Target_monthwise!$D$24:$O$40,DTR!X$4,FALSE)),0)</f>
        <v>0</v>
      </c>
      <c r="Y193" s="147">
        <f>IFERROR((HLOOKUP($AH193,Target_monthwise!$D$24:$O$40,DTR!Y$4,FALSE)),0)</f>
        <v>0</v>
      </c>
      <c r="Z193" s="147">
        <f>IFERROR((HLOOKUP($AH193,Target_monthwise!$D$24:$O$40,DTR!Z$4,FALSE)),0)</f>
        <v>0</v>
      </c>
      <c r="AA193" s="147">
        <f>IFERROR((HLOOKUP($AH193,Target_monthwise!$D$24:$O$40,DTR!AA$4,FALSE)),0)</f>
        <v>0</v>
      </c>
      <c r="AB193" s="147">
        <f>IFERROR((HLOOKUP($AH193,Target_monthwise!$D$24:$O$40,DTR!AB$4,FALSE)),0)</f>
        <v>0</v>
      </c>
      <c r="AC193" s="147">
        <f>IFERROR((HLOOKUP($AH193,Target_monthwise!$D$24:$O$40,DTR!AC$4,FALSE)),0)</f>
        <v>0</v>
      </c>
      <c r="AD193" s="147">
        <f>IFERROR((HLOOKUP($AH193,Target_monthwise!$D$24:$O$40,DTR!AD$4,FALSE)),0)</f>
        <v>0</v>
      </c>
      <c r="AE193" s="147">
        <f>IFERROR((HLOOKUP($AH193,Target_monthwise!$D$24:$O$40,DTR!AE$4,FALSE)),0)</f>
        <v>0</v>
      </c>
      <c r="AF193" s="147">
        <f>IFERROR((HLOOKUP($AH193,Target_monthwise!$D$24:$O$40,DTR!AF$4,FALSE)),0)</f>
        <v>0</v>
      </c>
      <c r="AG193" s="172">
        <f>IFERROR((HLOOKUP($AH193,Target_monthwise!$D$24:$O$40,DTR!AG$4,FALSE)),0)</f>
        <v>0</v>
      </c>
      <c r="AH193" s="253">
        <f t="shared" si="2"/>
        <v>202210</v>
      </c>
    </row>
    <row r="194" spans="3:34" ht="15.75" hidden="1">
      <c r="C194" s="237">
        <v>44837</v>
      </c>
      <c r="D194" s="238">
        <f>IFERROR((HLOOKUP($AH194,Target_monthwise!$D$4:$O$20,DTR!D$4,FALSE))*1000,0)</f>
        <v>0</v>
      </c>
      <c r="E194" s="238">
        <f>IFERROR((HLOOKUP($AH194,Target_monthwise!$D$4:$O$20,DTR!E$4,FALSE))*1000,0)</f>
        <v>0</v>
      </c>
      <c r="F194" s="238">
        <f>IFERROR((HLOOKUP($AH194,Target_monthwise!$D$4:$O$20,DTR!F$4,FALSE))*1000,0)</f>
        <v>0</v>
      </c>
      <c r="G194" s="238">
        <f>IFERROR((HLOOKUP($AH194,Target_monthwise!$D$4:$O$20,DTR!G$4,FALSE))*1000,0)</f>
        <v>0</v>
      </c>
      <c r="H194" s="238">
        <f>IFERROR((HLOOKUP($AH194,Target_monthwise!$D$4:$O$20,DTR!H$4,FALSE))*1000,0)</f>
        <v>0</v>
      </c>
      <c r="I194" s="238">
        <f>IFERROR((HLOOKUP($AH194,Target_monthwise!$D$4:$O$20,DTR!I$4,FALSE))*1000,0)</f>
        <v>0</v>
      </c>
      <c r="J194" s="238">
        <f>IFERROR((HLOOKUP($AH194,Target_monthwise!$D$4:$O$20,DTR!J$4,FALSE))*1000,0)</f>
        <v>0</v>
      </c>
      <c r="K194" s="238">
        <f>IFERROR((HLOOKUP($AH194,Target_monthwise!$D$4:$O$20,DTR!K$4,FALSE))*1000,0)</f>
        <v>0</v>
      </c>
      <c r="L194" s="238">
        <f>IFERROR((HLOOKUP($AH194,Target_monthwise!$D$4:$O$20,DTR!L$4,FALSE))*1000,0)</f>
        <v>0</v>
      </c>
      <c r="M194" s="238">
        <f>IFERROR((HLOOKUP($AH194,Target_monthwise!$D$4:$O$20,DTR!M$4,FALSE))*1000,0)</f>
        <v>0</v>
      </c>
      <c r="N194" s="238">
        <f>IFERROR((HLOOKUP($AH194,Target_monthwise!$D$4:$O$20,DTR!N$4,FALSE))*1000,0)</f>
        <v>0</v>
      </c>
      <c r="O194" s="238">
        <f>IFERROR((HLOOKUP($AH194,Target_monthwise!$D$4:$O$20,DTR!O$4,FALSE))*1000,0)</f>
        <v>0</v>
      </c>
      <c r="P194" s="238">
        <f>IFERROR((HLOOKUP($AH194,Target_monthwise!$D$4:$O$20,DTR!P$4,FALSE))*1000,0)</f>
        <v>0</v>
      </c>
      <c r="Q194" s="141">
        <f>IFERROR((HLOOKUP($AH194,Target_monthwise!$D$4:$O$20,DTR!Q$4,FALSE))*1000,0)</f>
        <v>0</v>
      </c>
      <c r="R194" s="167">
        <f>IFERROR((HLOOKUP($AH194,Target_monthwise!$D$4:$O$20,DTR!R$4,FALSE))*1000,0)</f>
        <v>0</v>
      </c>
      <c r="S194" s="239">
        <f>IFERROR((HLOOKUP($AH194,Target_monthwise!$D$24:$O$40,DTR!S$4,FALSE)),0)</f>
        <v>0</v>
      </c>
      <c r="T194" s="239">
        <f>IFERROR((HLOOKUP($AH194,Target_monthwise!$D$24:$O$40,DTR!T$4,FALSE)),0)</f>
        <v>0</v>
      </c>
      <c r="U194" s="239">
        <f>IFERROR((HLOOKUP($AH194,Target_monthwise!$D$24:$O$40,DTR!U$4,FALSE)),0)</f>
        <v>0</v>
      </c>
      <c r="V194" s="239">
        <f>IFERROR((HLOOKUP($AH194,Target_monthwise!$D$24:$O$40,DTR!V$4,FALSE)),0)</f>
        <v>0</v>
      </c>
      <c r="W194" s="239">
        <f>IFERROR((HLOOKUP($AH194,Target_monthwise!$D$24:$O$40,DTR!W$4,FALSE)),0)</f>
        <v>0</v>
      </c>
      <c r="X194" s="239">
        <f>IFERROR((HLOOKUP($AH194,Target_monthwise!$D$24:$O$40,DTR!X$4,FALSE)),0)</f>
        <v>0</v>
      </c>
      <c r="Y194" s="239">
        <f>IFERROR((HLOOKUP($AH194,Target_monthwise!$D$24:$O$40,DTR!Y$4,FALSE)),0)</f>
        <v>0</v>
      </c>
      <c r="Z194" s="147">
        <f>IFERROR((HLOOKUP($AH194,Target_monthwise!$D$24:$O$40,DTR!Z$4,FALSE)),0)</f>
        <v>0</v>
      </c>
      <c r="AA194" s="147">
        <f>IFERROR((HLOOKUP($AH194,Target_monthwise!$D$24:$O$40,DTR!AA$4,FALSE)),0)</f>
        <v>0</v>
      </c>
      <c r="AB194" s="147">
        <f>IFERROR((HLOOKUP($AH194,Target_monthwise!$D$24:$O$40,DTR!AB$4,FALSE)),0)</f>
        <v>0</v>
      </c>
      <c r="AC194" s="239">
        <f>IFERROR((HLOOKUP($AH194,Target_monthwise!$D$24:$O$40,DTR!AC$4,FALSE)),0)</f>
        <v>0</v>
      </c>
      <c r="AD194" s="239">
        <f>IFERROR((HLOOKUP($AH194,Target_monthwise!$D$24:$O$40,DTR!AD$4,FALSE)),0)</f>
        <v>0</v>
      </c>
      <c r="AE194" s="239">
        <f>IFERROR((HLOOKUP($AH194,Target_monthwise!$D$24:$O$40,DTR!AE$4,FALSE)),0)</f>
        <v>0</v>
      </c>
      <c r="AF194" s="239">
        <f>IFERROR((HLOOKUP($AH194,Target_monthwise!$D$24:$O$40,DTR!AF$4,FALSE)),0)</f>
        <v>0</v>
      </c>
      <c r="AG194" s="172">
        <f>IFERROR((HLOOKUP($AH194,Target_monthwise!$D$24:$O$40,DTR!AG$4,FALSE)),0)</f>
        <v>0</v>
      </c>
      <c r="AH194" s="253">
        <f t="shared" si="2"/>
        <v>202210</v>
      </c>
    </row>
    <row r="195" spans="3:34" ht="15.75" hidden="1">
      <c r="C195" s="235">
        <v>44838</v>
      </c>
      <c r="D195" s="141">
        <f>IFERROR((HLOOKUP($AH195,Target_monthwise!$D$4:$O$20,DTR!D$4,FALSE))*1000,0)</f>
        <v>0</v>
      </c>
      <c r="E195" s="141">
        <f>IFERROR((HLOOKUP($AH195,Target_monthwise!$D$4:$O$20,DTR!E$4,FALSE))*1000,0)</f>
        <v>0</v>
      </c>
      <c r="F195" s="141">
        <f>IFERROR((HLOOKUP($AH195,Target_monthwise!$D$4:$O$20,DTR!F$4,FALSE))*1000,0)</f>
        <v>0</v>
      </c>
      <c r="G195" s="141">
        <f>IFERROR((HLOOKUP($AH195,Target_monthwise!$D$4:$O$20,DTR!G$4,FALSE))*1000,0)</f>
        <v>0</v>
      </c>
      <c r="H195" s="141">
        <f>IFERROR((HLOOKUP($AH195,Target_monthwise!$D$4:$O$20,DTR!H$4,FALSE))*1000,0)</f>
        <v>0</v>
      </c>
      <c r="I195" s="141">
        <f>IFERROR((HLOOKUP($AH195,Target_monthwise!$D$4:$O$20,DTR!I$4,FALSE))*1000,0)</f>
        <v>0</v>
      </c>
      <c r="J195" s="141">
        <f>IFERROR((HLOOKUP($AH195,Target_monthwise!$D$4:$O$20,DTR!J$4,FALSE))*1000,0)</f>
        <v>0</v>
      </c>
      <c r="K195" s="141">
        <f>IFERROR((HLOOKUP($AH195,Target_monthwise!$D$4:$O$20,DTR!K$4,FALSE))*1000,0)</f>
        <v>0</v>
      </c>
      <c r="L195" s="141">
        <f>IFERROR((HLOOKUP($AH195,Target_monthwise!$D$4:$O$20,DTR!L$4,FALSE))*1000,0)</f>
        <v>0</v>
      </c>
      <c r="M195" s="141">
        <f>IFERROR((HLOOKUP($AH195,Target_monthwise!$D$4:$O$20,DTR!M$4,FALSE))*1000,0)</f>
        <v>0</v>
      </c>
      <c r="N195" s="141">
        <f>IFERROR((HLOOKUP($AH195,Target_monthwise!$D$4:$O$20,DTR!N$4,FALSE))*1000,0)</f>
        <v>0</v>
      </c>
      <c r="O195" s="141">
        <f>IFERROR((HLOOKUP($AH195,Target_monthwise!$D$4:$O$20,DTR!O$4,FALSE))*1000,0)</f>
        <v>0</v>
      </c>
      <c r="P195" s="141">
        <f>IFERROR((HLOOKUP($AH195,Target_monthwise!$D$4:$O$20,DTR!P$4,FALSE))*1000,0)</f>
        <v>0</v>
      </c>
      <c r="Q195" s="141">
        <f>IFERROR((HLOOKUP($AH195,Target_monthwise!$D$4:$O$20,DTR!Q$4,FALSE))*1000,0)</f>
        <v>0</v>
      </c>
      <c r="R195" s="167">
        <f>IFERROR((HLOOKUP($AH195,Target_monthwise!$D$4:$O$20,DTR!R$4,FALSE))*1000,0)</f>
        <v>0</v>
      </c>
      <c r="S195" s="147">
        <f>IFERROR((HLOOKUP($AH195,Target_monthwise!$D$24:$O$40,DTR!S$4,FALSE)),0)</f>
        <v>0</v>
      </c>
      <c r="T195" s="147">
        <f>IFERROR((HLOOKUP($AH195,Target_monthwise!$D$24:$O$40,DTR!T$4,FALSE)),0)</f>
        <v>0</v>
      </c>
      <c r="U195" s="147">
        <f>IFERROR((HLOOKUP($AH195,Target_monthwise!$D$24:$O$40,DTR!U$4,FALSE)),0)</f>
        <v>0</v>
      </c>
      <c r="V195" s="147">
        <f>IFERROR((HLOOKUP($AH195,Target_monthwise!$D$24:$O$40,DTR!V$4,FALSE)),0)</f>
        <v>0</v>
      </c>
      <c r="W195" s="147">
        <f>IFERROR((HLOOKUP($AH195,Target_monthwise!$D$24:$O$40,DTR!W$4,FALSE)),0)</f>
        <v>0</v>
      </c>
      <c r="X195" s="147">
        <f>IFERROR((HLOOKUP($AH195,Target_monthwise!$D$24:$O$40,DTR!X$4,FALSE)),0)</f>
        <v>0</v>
      </c>
      <c r="Y195" s="147">
        <f>IFERROR((HLOOKUP($AH195,Target_monthwise!$D$24:$O$40,DTR!Y$4,FALSE)),0)</f>
        <v>0</v>
      </c>
      <c r="Z195" s="147">
        <f>IFERROR((HLOOKUP($AH195,Target_monthwise!$D$24:$O$40,DTR!Z$4,FALSE)),0)</f>
        <v>0</v>
      </c>
      <c r="AA195" s="147">
        <f>IFERROR((HLOOKUP($AH195,Target_monthwise!$D$24:$O$40,DTR!AA$4,FALSE)),0)</f>
        <v>0</v>
      </c>
      <c r="AB195" s="147">
        <f>IFERROR((HLOOKUP($AH195,Target_monthwise!$D$24:$O$40,DTR!AB$4,FALSE)),0)</f>
        <v>0</v>
      </c>
      <c r="AC195" s="147">
        <f>IFERROR((HLOOKUP($AH195,Target_monthwise!$D$24:$O$40,DTR!AC$4,FALSE)),0)</f>
        <v>0</v>
      </c>
      <c r="AD195" s="147">
        <f>IFERROR((HLOOKUP($AH195,Target_monthwise!$D$24:$O$40,DTR!AD$4,FALSE)),0)</f>
        <v>0</v>
      </c>
      <c r="AE195" s="147">
        <f>IFERROR((HLOOKUP($AH195,Target_monthwise!$D$24:$O$40,DTR!AE$4,FALSE)),0)</f>
        <v>0</v>
      </c>
      <c r="AF195" s="147">
        <f>IFERROR((HLOOKUP($AH195,Target_monthwise!$D$24:$O$40,DTR!AF$4,FALSE)),0)</f>
        <v>0</v>
      </c>
      <c r="AG195" s="172">
        <f>IFERROR((HLOOKUP($AH195,Target_monthwise!$D$24:$O$40,DTR!AG$4,FALSE)),0)</f>
        <v>0</v>
      </c>
      <c r="AH195" s="253">
        <f t="shared" si="2"/>
        <v>202210</v>
      </c>
    </row>
    <row r="196" spans="3:34" ht="15.75" hidden="1">
      <c r="C196" s="237">
        <v>44839</v>
      </c>
      <c r="D196" s="238">
        <f>IFERROR((HLOOKUP($AH196,Target_monthwise!$D$4:$O$20,DTR!D$4,FALSE))*1000,0)</f>
        <v>0</v>
      </c>
      <c r="E196" s="238">
        <f>IFERROR((HLOOKUP($AH196,Target_monthwise!$D$4:$O$20,DTR!E$4,FALSE))*1000,0)</f>
        <v>0</v>
      </c>
      <c r="F196" s="238">
        <f>IFERROR((HLOOKUP($AH196,Target_monthwise!$D$4:$O$20,DTR!F$4,FALSE))*1000,0)</f>
        <v>0</v>
      </c>
      <c r="G196" s="238">
        <f>IFERROR((HLOOKUP($AH196,Target_monthwise!$D$4:$O$20,DTR!G$4,FALSE))*1000,0)</f>
        <v>0</v>
      </c>
      <c r="H196" s="238">
        <f>IFERROR((HLOOKUP($AH196,Target_monthwise!$D$4:$O$20,DTR!H$4,FALSE))*1000,0)</f>
        <v>0</v>
      </c>
      <c r="I196" s="238">
        <f>IFERROR((HLOOKUP($AH196,Target_monthwise!$D$4:$O$20,DTR!I$4,FALSE))*1000,0)</f>
        <v>0</v>
      </c>
      <c r="J196" s="238">
        <f>IFERROR((HLOOKUP($AH196,Target_monthwise!$D$4:$O$20,DTR!J$4,FALSE))*1000,0)</f>
        <v>0</v>
      </c>
      <c r="K196" s="238">
        <f>IFERROR((HLOOKUP($AH196,Target_monthwise!$D$4:$O$20,DTR!K$4,FALSE))*1000,0)</f>
        <v>0</v>
      </c>
      <c r="L196" s="238">
        <f>IFERROR((HLOOKUP($AH196,Target_monthwise!$D$4:$O$20,DTR!L$4,FALSE))*1000,0)</f>
        <v>0</v>
      </c>
      <c r="M196" s="238">
        <f>IFERROR((HLOOKUP($AH196,Target_monthwise!$D$4:$O$20,DTR!M$4,FALSE))*1000,0)</f>
        <v>0</v>
      </c>
      <c r="N196" s="238">
        <f>IFERROR((HLOOKUP($AH196,Target_monthwise!$D$4:$O$20,DTR!N$4,FALSE))*1000,0)</f>
        <v>0</v>
      </c>
      <c r="O196" s="238">
        <f>IFERROR((HLOOKUP($AH196,Target_monthwise!$D$4:$O$20,DTR!O$4,FALSE))*1000,0)</f>
        <v>0</v>
      </c>
      <c r="P196" s="238">
        <f>IFERROR((HLOOKUP($AH196,Target_monthwise!$D$4:$O$20,DTR!P$4,FALSE))*1000,0)</f>
        <v>0</v>
      </c>
      <c r="Q196" s="141">
        <f>IFERROR((HLOOKUP($AH196,Target_monthwise!$D$4:$O$20,DTR!Q$4,FALSE))*1000,0)</f>
        <v>0</v>
      </c>
      <c r="R196" s="167">
        <f>IFERROR((HLOOKUP($AH196,Target_monthwise!$D$4:$O$20,DTR!R$4,FALSE))*1000,0)</f>
        <v>0</v>
      </c>
      <c r="S196" s="239">
        <f>IFERROR((HLOOKUP($AH196,Target_monthwise!$D$24:$O$40,DTR!S$4,FALSE)),0)</f>
        <v>0</v>
      </c>
      <c r="T196" s="239">
        <f>IFERROR((HLOOKUP($AH196,Target_monthwise!$D$24:$O$40,DTR!T$4,FALSE)),0)</f>
        <v>0</v>
      </c>
      <c r="U196" s="239">
        <f>IFERROR((HLOOKUP($AH196,Target_monthwise!$D$24:$O$40,DTR!U$4,FALSE)),0)</f>
        <v>0</v>
      </c>
      <c r="V196" s="239">
        <f>IFERROR((HLOOKUP($AH196,Target_monthwise!$D$24:$O$40,DTR!V$4,FALSE)),0)</f>
        <v>0</v>
      </c>
      <c r="W196" s="239">
        <f>IFERROR((HLOOKUP($AH196,Target_monthwise!$D$24:$O$40,DTR!W$4,FALSE)),0)</f>
        <v>0</v>
      </c>
      <c r="X196" s="239">
        <f>IFERROR((HLOOKUP($AH196,Target_monthwise!$D$24:$O$40,DTR!X$4,FALSE)),0)</f>
        <v>0</v>
      </c>
      <c r="Y196" s="239">
        <f>IFERROR((HLOOKUP($AH196,Target_monthwise!$D$24:$O$40,DTR!Y$4,FALSE)),0)</f>
        <v>0</v>
      </c>
      <c r="Z196" s="147">
        <f>IFERROR((HLOOKUP($AH196,Target_monthwise!$D$24:$O$40,DTR!Z$4,FALSE)),0)</f>
        <v>0</v>
      </c>
      <c r="AA196" s="147">
        <f>IFERROR((HLOOKUP($AH196,Target_monthwise!$D$24:$O$40,DTR!AA$4,FALSE)),0)</f>
        <v>0</v>
      </c>
      <c r="AB196" s="147">
        <f>IFERROR((HLOOKUP($AH196,Target_monthwise!$D$24:$O$40,DTR!AB$4,FALSE)),0)</f>
        <v>0</v>
      </c>
      <c r="AC196" s="239">
        <f>IFERROR((HLOOKUP($AH196,Target_monthwise!$D$24:$O$40,DTR!AC$4,FALSE)),0)</f>
        <v>0</v>
      </c>
      <c r="AD196" s="239">
        <f>IFERROR((HLOOKUP($AH196,Target_monthwise!$D$24:$O$40,DTR!AD$4,FALSE)),0)</f>
        <v>0</v>
      </c>
      <c r="AE196" s="239">
        <f>IFERROR((HLOOKUP($AH196,Target_monthwise!$D$24:$O$40,DTR!AE$4,FALSE)),0)</f>
        <v>0</v>
      </c>
      <c r="AF196" s="239">
        <f>IFERROR((HLOOKUP($AH196,Target_monthwise!$D$24:$O$40,DTR!AF$4,FALSE)),0)</f>
        <v>0</v>
      </c>
      <c r="AG196" s="172">
        <f>IFERROR((HLOOKUP($AH196,Target_monthwise!$D$24:$O$40,DTR!AG$4,FALSE)),0)</f>
        <v>0</v>
      </c>
      <c r="AH196" s="253">
        <f t="shared" si="2"/>
        <v>202210</v>
      </c>
    </row>
    <row r="197" spans="3:34" ht="15.75" hidden="1">
      <c r="C197" s="235">
        <v>44840</v>
      </c>
      <c r="D197" s="141">
        <f>IFERROR((HLOOKUP($AH197,Target_monthwise!$D$4:$O$20,DTR!D$4,FALSE))*1000,0)</f>
        <v>0</v>
      </c>
      <c r="E197" s="141">
        <f>IFERROR((HLOOKUP($AH197,Target_monthwise!$D$4:$O$20,DTR!E$4,FALSE))*1000,0)</f>
        <v>0</v>
      </c>
      <c r="F197" s="141">
        <f>IFERROR((HLOOKUP($AH197,Target_monthwise!$D$4:$O$20,DTR!F$4,FALSE))*1000,0)</f>
        <v>0</v>
      </c>
      <c r="G197" s="141">
        <f>IFERROR((HLOOKUP($AH197,Target_monthwise!$D$4:$O$20,DTR!G$4,FALSE))*1000,0)</f>
        <v>0</v>
      </c>
      <c r="H197" s="141">
        <f>IFERROR((HLOOKUP($AH197,Target_monthwise!$D$4:$O$20,DTR!H$4,FALSE))*1000,0)</f>
        <v>0</v>
      </c>
      <c r="I197" s="141">
        <f>IFERROR((HLOOKUP($AH197,Target_monthwise!$D$4:$O$20,DTR!I$4,FALSE))*1000,0)</f>
        <v>0</v>
      </c>
      <c r="J197" s="141">
        <f>IFERROR((HLOOKUP($AH197,Target_monthwise!$D$4:$O$20,DTR!J$4,FALSE))*1000,0)</f>
        <v>0</v>
      </c>
      <c r="K197" s="141">
        <f>IFERROR((HLOOKUP($AH197,Target_monthwise!$D$4:$O$20,DTR!K$4,FALSE))*1000,0)</f>
        <v>0</v>
      </c>
      <c r="L197" s="141">
        <f>IFERROR((HLOOKUP($AH197,Target_monthwise!$D$4:$O$20,DTR!L$4,FALSE))*1000,0)</f>
        <v>0</v>
      </c>
      <c r="M197" s="141">
        <f>IFERROR((HLOOKUP($AH197,Target_monthwise!$D$4:$O$20,DTR!M$4,FALSE))*1000,0)</f>
        <v>0</v>
      </c>
      <c r="N197" s="141">
        <f>IFERROR((HLOOKUP($AH197,Target_monthwise!$D$4:$O$20,DTR!N$4,FALSE))*1000,0)</f>
        <v>0</v>
      </c>
      <c r="O197" s="141">
        <f>IFERROR((HLOOKUP($AH197,Target_monthwise!$D$4:$O$20,DTR!O$4,FALSE))*1000,0)</f>
        <v>0</v>
      </c>
      <c r="P197" s="141">
        <f>IFERROR((HLOOKUP($AH197,Target_monthwise!$D$4:$O$20,DTR!P$4,FALSE))*1000,0)</f>
        <v>0</v>
      </c>
      <c r="Q197" s="141">
        <f>IFERROR((HLOOKUP($AH197,Target_monthwise!$D$4:$O$20,DTR!Q$4,FALSE))*1000,0)</f>
        <v>0</v>
      </c>
      <c r="R197" s="167">
        <f>IFERROR((HLOOKUP($AH197,Target_monthwise!$D$4:$O$20,DTR!R$4,FALSE))*1000,0)</f>
        <v>0</v>
      </c>
      <c r="S197" s="147">
        <f>IFERROR((HLOOKUP($AH197,Target_monthwise!$D$24:$O$40,DTR!S$4,FALSE)),0)</f>
        <v>0</v>
      </c>
      <c r="T197" s="147">
        <f>IFERROR((HLOOKUP($AH197,Target_monthwise!$D$24:$O$40,DTR!T$4,FALSE)),0)</f>
        <v>0</v>
      </c>
      <c r="U197" s="147">
        <f>IFERROR((HLOOKUP($AH197,Target_monthwise!$D$24:$O$40,DTR!U$4,FALSE)),0)</f>
        <v>0</v>
      </c>
      <c r="V197" s="147">
        <f>IFERROR((HLOOKUP($AH197,Target_monthwise!$D$24:$O$40,DTR!V$4,FALSE)),0)</f>
        <v>0</v>
      </c>
      <c r="W197" s="147">
        <f>IFERROR((HLOOKUP($AH197,Target_monthwise!$D$24:$O$40,DTR!W$4,FALSE)),0)</f>
        <v>0</v>
      </c>
      <c r="X197" s="147">
        <f>IFERROR((HLOOKUP($AH197,Target_monthwise!$D$24:$O$40,DTR!X$4,FALSE)),0)</f>
        <v>0</v>
      </c>
      <c r="Y197" s="147">
        <f>IFERROR((HLOOKUP($AH197,Target_monthwise!$D$24:$O$40,DTR!Y$4,FALSE)),0)</f>
        <v>0</v>
      </c>
      <c r="Z197" s="147">
        <f>IFERROR((HLOOKUP($AH197,Target_monthwise!$D$24:$O$40,DTR!Z$4,FALSE)),0)</f>
        <v>0</v>
      </c>
      <c r="AA197" s="147">
        <f>IFERROR((HLOOKUP($AH197,Target_monthwise!$D$24:$O$40,DTR!AA$4,FALSE)),0)</f>
        <v>0</v>
      </c>
      <c r="AB197" s="147">
        <f>IFERROR((HLOOKUP($AH197,Target_monthwise!$D$24:$O$40,DTR!AB$4,FALSE)),0)</f>
        <v>0</v>
      </c>
      <c r="AC197" s="147">
        <f>IFERROR((HLOOKUP($AH197,Target_monthwise!$D$24:$O$40,DTR!AC$4,FALSE)),0)</f>
        <v>0</v>
      </c>
      <c r="AD197" s="147">
        <f>IFERROR((HLOOKUP($AH197,Target_monthwise!$D$24:$O$40,DTR!AD$4,FALSE)),0)</f>
        <v>0</v>
      </c>
      <c r="AE197" s="147">
        <f>IFERROR((HLOOKUP($AH197,Target_monthwise!$D$24:$O$40,DTR!AE$4,FALSE)),0)</f>
        <v>0</v>
      </c>
      <c r="AF197" s="147">
        <f>IFERROR((HLOOKUP($AH197,Target_monthwise!$D$24:$O$40,DTR!AF$4,FALSE)),0)</f>
        <v>0</v>
      </c>
      <c r="AG197" s="172">
        <f>IFERROR((HLOOKUP($AH197,Target_monthwise!$D$24:$O$40,DTR!AG$4,FALSE)),0)</f>
        <v>0</v>
      </c>
      <c r="AH197" s="253">
        <f t="shared" si="2"/>
        <v>202210</v>
      </c>
    </row>
    <row r="198" spans="3:34" ht="15.75" hidden="1">
      <c r="C198" s="237">
        <v>44841</v>
      </c>
      <c r="D198" s="238">
        <f>IFERROR((HLOOKUP($AH198,Target_monthwise!$D$4:$O$20,DTR!D$4,FALSE))*1000,0)</f>
        <v>0</v>
      </c>
      <c r="E198" s="238">
        <f>IFERROR((HLOOKUP($AH198,Target_monthwise!$D$4:$O$20,DTR!E$4,FALSE))*1000,0)</f>
        <v>0</v>
      </c>
      <c r="F198" s="238">
        <f>IFERROR((HLOOKUP($AH198,Target_monthwise!$D$4:$O$20,DTR!F$4,FALSE))*1000,0)</f>
        <v>0</v>
      </c>
      <c r="G198" s="238">
        <f>IFERROR((HLOOKUP($AH198,Target_monthwise!$D$4:$O$20,DTR!G$4,FALSE))*1000,0)</f>
        <v>0</v>
      </c>
      <c r="H198" s="238">
        <f>IFERROR((HLOOKUP($AH198,Target_monthwise!$D$4:$O$20,DTR!H$4,FALSE))*1000,0)</f>
        <v>0</v>
      </c>
      <c r="I198" s="238">
        <f>IFERROR((HLOOKUP($AH198,Target_monthwise!$D$4:$O$20,DTR!I$4,FALSE))*1000,0)</f>
        <v>0</v>
      </c>
      <c r="J198" s="238">
        <f>IFERROR((HLOOKUP($AH198,Target_monthwise!$D$4:$O$20,DTR!J$4,FALSE))*1000,0)</f>
        <v>0</v>
      </c>
      <c r="K198" s="238">
        <f>IFERROR((HLOOKUP($AH198,Target_monthwise!$D$4:$O$20,DTR!K$4,FALSE))*1000,0)</f>
        <v>0</v>
      </c>
      <c r="L198" s="238">
        <f>IFERROR((HLOOKUP($AH198,Target_monthwise!$D$4:$O$20,DTR!L$4,FALSE))*1000,0)</f>
        <v>0</v>
      </c>
      <c r="M198" s="238">
        <f>IFERROR((HLOOKUP($AH198,Target_monthwise!$D$4:$O$20,DTR!M$4,FALSE))*1000,0)</f>
        <v>0</v>
      </c>
      <c r="N198" s="238">
        <f>IFERROR((HLOOKUP($AH198,Target_monthwise!$D$4:$O$20,DTR!N$4,FALSE))*1000,0)</f>
        <v>0</v>
      </c>
      <c r="O198" s="238">
        <f>IFERROR((HLOOKUP($AH198,Target_monthwise!$D$4:$O$20,DTR!O$4,FALSE))*1000,0)</f>
        <v>0</v>
      </c>
      <c r="P198" s="238">
        <f>IFERROR((HLOOKUP($AH198,Target_monthwise!$D$4:$O$20,DTR!P$4,FALSE))*1000,0)</f>
        <v>0</v>
      </c>
      <c r="Q198" s="141">
        <f>IFERROR((HLOOKUP($AH198,Target_monthwise!$D$4:$O$20,DTR!Q$4,FALSE))*1000,0)</f>
        <v>0</v>
      </c>
      <c r="R198" s="167">
        <f>IFERROR((HLOOKUP($AH198,Target_monthwise!$D$4:$O$20,DTR!R$4,FALSE))*1000,0)</f>
        <v>0</v>
      </c>
      <c r="S198" s="239">
        <f>IFERROR((HLOOKUP($AH198,Target_monthwise!$D$24:$O$40,DTR!S$4,FALSE)),0)</f>
        <v>0</v>
      </c>
      <c r="T198" s="239">
        <f>IFERROR((HLOOKUP($AH198,Target_monthwise!$D$24:$O$40,DTR!T$4,FALSE)),0)</f>
        <v>0</v>
      </c>
      <c r="U198" s="239">
        <f>IFERROR((HLOOKUP($AH198,Target_monthwise!$D$24:$O$40,DTR!U$4,FALSE)),0)</f>
        <v>0</v>
      </c>
      <c r="V198" s="239">
        <f>IFERROR((HLOOKUP($AH198,Target_monthwise!$D$24:$O$40,DTR!V$4,FALSE)),0)</f>
        <v>0</v>
      </c>
      <c r="W198" s="239">
        <f>IFERROR((HLOOKUP($AH198,Target_monthwise!$D$24:$O$40,DTR!W$4,FALSE)),0)</f>
        <v>0</v>
      </c>
      <c r="X198" s="239">
        <f>IFERROR((HLOOKUP($AH198,Target_monthwise!$D$24:$O$40,DTR!X$4,FALSE)),0)</f>
        <v>0</v>
      </c>
      <c r="Y198" s="239">
        <f>IFERROR((HLOOKUP($AH198,Target_monthwise!$D$24:$O$40,DTR!Y$4,FALSE)),0)</f>
        <v>0</v>
      </c>
      <c r="Z198" s="147">
        <f>IFERROR((HLOOKUP($AH198,Target_monthwise!$D$24:$O$40,DTR!Z$4,FALSE)),0)</f>
        <v>0</v>
      </c>
      <c r="AA198" s="147">
        <f>IFERROR((HLOOKUP($AH198,Target_monthwise!$D$24:$O$40,DTR!AA$4,FALSE)),0)</f>
        <v>0</v>
      </c>
      <c r="AB198" s="147">
        <f>IFERROR((HLOOKUP($AH198,Target_monthwise!$D$24:$O$40,DTR!AB$4,FALSE)),0)</f>
        <v>0</v>
      </c>
      <c r="AC198" s="239">
        <f>IFERROR((HLOOKUP($AH198,Target_monthwise!$D$24:$O$40,DTR!AC$4,FALSE)),0)</f>
        <v>0</v>
      </c>
      <c r="AD198" s="239">
        <f>IFERROR((HLOOKUP($AH198,Target_monthwise!$D$24:$O$40,DTR!AD$4,FALSE)),0)</f>
        <v>0</v>
      </c>
      <c r="AE198" s="239">
        <f>IFERROR((HLOOKUP($AH198,Target_monthwise!$D$24:$O$40,DTR!AE$4,FALSE)),0)</f>
        <v>0</v>
      </c>
      <c r="AF198" s="239">
        <f>IFERROR((HLOOKUP($AH198,Target_monthwise!$D$24:$O$40,DTR!AF$4,FALSE)),0)</f>
        <v>0</v>
      </c>
      <c r="AG198" s="172">
        <f>IFERROR((HLOOKUP($AH198,Target_monthwise!$D$24:$O$40,DTR!AG$4,FALSE)),0)</f>
        <v>0</v>
      </c>
      <c r="AH198" s="253">
        <f t="shared" si="2"/>
        <v>202210</v>
      </c>
    </row>
    <row r="199" spans="3:34" ht="15.75" hidden="1">
      <c r="C199" s="235">
        <v>44842</v>
      </c>
      <c r="D199" s="141">
        <f>IFERROR((HLOOKUP($AH199,Target_monthwise!$D$4:$O$20,DTR!D$4,FALSE))*1000,0)</f>
        <v>0</v>
      </c>
      <c r="E199" s="141">
        <f>IFERROR((HLOOKUP($AH199,Target_monthwise!$D$4:$O$20,DTR!E$4,FALSE))*1000,0)</f>
        <v>0</v>
      </c>
      <c r="F199" s="141">
        <f>IFERROR((HLOOKUP($AH199,Target_monthwise!$D$4:$O$20,DTR!F$4,FALSE))*1000,0)</f>
        <v>0</v>
      </c>
      <c r="G199" s="141">
        <f>IFERROR((HLOOKUP($AH199,Target_monthwise!$D$4:$O$20,DTR!G$4,FALSE))*1000,0)</f>
        <v>0</v>
      </c>
      <c r="H199" s="141">
        <f>IFERROR((HLOOKUP($AH199,Target_monthwise!$D$4:$O$20,DTR!H$4,FALSE))*1000,0)</f>
        <v>0</v>
      </c>
      <c r="I199" s="141">
        <f>IFERROR((HLOOKUP($AH199,Target_monthwise!$D$4:$O$20,DTR!I$4,FALSE))*1000,0)</f>
        <v>0</v>
      </c>
      <c r="J199" s="141">
        <f>IFERROR((HLOOKUP($AH199,Target_monthwise!$D$4:$O$20,DTR!J$4,FALSE))*1000,0)</f>
        <v>0</v>
      </c>
      <c r="K199" s="141">
        <f>IFERROR((HLOOKUP($AH199,Target_monthwise!$D$4:$O$20,DTR!K$4,FALSE))*1000,0)</f>
        <v>0</v>
      </c>
      <c r="L199" s="141">
        <f>IFERROR((HLOOKUP($AH199,Target_monthwise!$D$4:$O$20,DTR!L$4,FALSE))*1000,0)</f>
        <v>0</v>
      </c>
      <c r="M199" s="141">
        <f>IFERROR((HLOOKUP($AH199,Target_monthwise!$D$4:$O$20,DTR!M$4,FALSE))*1000,0)</f>
        <v>0</v>
      </c>
      <c r="N199" s="141">
        <f>IFERROR((HLOOKUP($AH199,Target_monthwise!$D$4:$O$20,DTR!N$4,FALSE))*1000,0)</f>
        <v>0</v>
      </c>
      <c r="O199" s="141">
        <f>IFERROR((HLOOKUP($AH199,Target_monthwise!$D$4:$O$20,DTR!O$4,FALSE))*1000,0)</f>
        <v>0</v>
      </c>
      <c r="P199" s="141">
        <f>IFERROR((HLOOKUP($AH199,Target_monthwise!$D$4:$O$20,DTR!P$4,FALSE))*1000,0)</f>
        <v>0</v>
      </c>
      <c r="Q199" s="141">
        <f>IFERROR((HLOOKUP($AH199,Target_monthwise!$D$4:$O$20,DTR!Q$4,FALSE))*1000,0)</f>
        <v>0</v>
      </c>
      <c r="R199" s="167">
        <f>IFERROR((HLOOKUP($AH199,Target_monthwise!$D$4:$O$20,DTR!R$4,FALSE))*1000,0)</f>
        <v>0</v>
      </c>
      <c r="S199" s="147">
        <f>IFERROR((HLOOKUP($AH199,Target_monthwise!$D$24:$O$40,DTR!S$4,FALSE)),0)</f>
        <v>0</v>
      </c>
      <c r="T199" s="147">
        <f>IFERROR((HLOOKUP($AH199,Target_monthwise!$D$24:$O$40,DTR!T$4,FALSE)),0)</f>
        <v>0</v>
      </c>
      <c r="U199" s="147">
        <f>IFERROR((HLOOKUP($AH199,Target_monthwise!$D$24:$O$40,DTR!U$4,FALSE)),0)</f>
        <v>0</v>
      </c>
      <c r="V199" s="147">
        <f>IFERROR((HLOOKUP($AH199,Target_monthwise!$D$24:$O$40,DTR!V$4,FALSE)),0)</f>
        <v>0</v>
      </c>
      <c r="W199" s="147">
        <f>IFERROR((HLOOKUP($AH199,Target_monthwise!$D$24:$O$40,DTR!W$4,FALSE)),0)</f>
        <v>0</v>
      </c>
      <c r="X199" s="147">
        <f>IFERROR((HLOOKUP($AH199,Target_monthwise!$D$24:$O$40,DTR!X$4,FALSE)),0)</f>
        <v>0</v>
      </c>
      <c r="Y199" s="147">
        <f>IFERROR((HLOOKUP($AH199,Target_monthwise!$D$24:$O$40,DTR!Y$4,FALSE)),0)</f>
        <v>0</v>
      </c>
      <c r="Z199" s="147">
        <f>IFERROR((HLOOKUP($AH199,Target_monthwise!$D$24:$O$40,DTR!Z$4,FALSE)),0)</f>
        <v>0</v>
      </c>
      <c r="AA199" s="147">
        <f>IFERROR((HLOOKUP($AH199,Target_monthwise!$D$24:$O$40,DTR!AA$4,FALSE)),0)</f>
        <v>0</v>
      </c>
      <c r="AB199" s="147">
        <f>IFERROR((HLOOKUP($AH199,Target_monthwise!$D$24:$O$40,DTR!AB$4,FALSE)),0)</f>
        <v>0</v>
      </c>
      <c r="AC199" s="147">
        <f>IFERROR((HLOOKUP($AH199,Target_monthwise!$D$24:$O$40,DTR!AC$4,FALSE)),0)</f>
        <v>0</v>
      </c>
      <c r="AD199" s="147">
        <f>IFERROR((HLOOKUP($AH199,Target_monthwise!$D$24:$O$40,DTR!AD$4,FALSE)),0)</f>
        <v>0</v>
      </c>
      <c r="AE199" s="147">
        <f>IFERROR((HLOOKUP($AH199,Target_monthwise!$D$24:$O$40,DTR!AE$4,FALSE)),0)</f>
        <v>0</v>
      </c>
      <c r="AF199" s="147">
        <f>IFERROR((HLOOKUP($AH199,Target_monthwise!$D$24:$O$40,DTR!AF$4,FALSE)),0)</f>
        <v>0</v>
      </c>
      <c r="AG199" s="172">
        <f>IFERROR((HLOOKUP($AH199,Target_monthwise!$D$24:$O$40,DTR!AG$4,FALSE)),0)</f>
        <v>0</v>
      </c>
      <c r="AH199" s="253">
        <f t="shared" si="2"/>
        <v>202210</v>
      </c>
    </row>
    <row r="200" spans="3:34" ht="15.75" hidden="1">
      <c r="C200" s="237">
        <v>44843</v>
      </c>
      <c r="D200" s="238">
        <f>IFERROR((HLOOKUP($AH200,Target_monthwise!$D$4:$O$20,DTR!D$4,FALSE))*1000,0)</f>
        <v>0</v>
      </c>
      <c r="E200" s="238">
        <f>IFERROR((HLOOKUP($AH200,Target_monthwise!$D$4:$O$20,DTR!E$4,FALSE))*1000,0)</f>
        <v>0</v>
      </c>
      <c r="F200" s="238">
        <f>IFERROR((HLOOKUP($AH200,Target_monthwise!$D$4:$O$20,DTR!F$4,FALSE))*1000,0)</f>
        <v>0</v>
      </c>
      <c r="G200" s="238">
        <f>IFERROR((HLOOKUP($AH200,Target_monthwise!$D$4:$O$20,DTR!G$4,FALSE))*1000,0)</f>
        <v>0</v>
      </c>
      <c r="H200" s="238">
        <f>IFERROR((HLOOKUP($AH200,Target_monthwise!$D$4:$O$20,DTR!H$4,FALSE))*1000,0)</f>
        <v>0</v>
      </c>
      <c r="I200" s="238">
        <f>IFERROR((HLOOKUP($AH200,Target_monthwise!$D$4:$O$20,DTR!I$4,FALSE))*1000,0)</f>
        <v>0</v>
      </c>
      <c r="J200" s="238">
        <f>IFERROR((HLOOKUP($AH200,Target_monthwise!$D$4:$O$20,DTR!J$4,FALSE))*1000,0)</f>
        <v>0</v>
      </c>
      <c r="K200" s="238">
        <f>IFERROR((HLOOKUP($AH200,Target_monthwise!$D$4:$O$20,DTR!K$4,FALSE))*1000,0)</f>
        <v>0</v>
      </c>
      <c r="L200" s="238">
        <f>IFERROR((HLOOKUP($AH200,Target_monthwise!$D$4:$O$20,DTR!L$4,FALSE))*1000,0)</f>
        <v>0</v>
      </c>
      <c r="M200" s="238">
        <f>IFERROR((HLOOKUP($AH200,Target_monthwise!$D$4:$O$20,DTR!M$4,FALSE))*1000,0)</f>
        <v>0</v>
      </c>
      <c r="N200" s="238">
        <f>IFERROR((HLOOKUP($AH200,Target_monthwise!$D$4:$O$20,DTR!N$4,FALSE))*1000,0)</f>
        <v>0</v>
      </c>
      <c r="O200" s="238">
        <f>IFERROR((HLOOKUP($AH200,Target_monthwise!$D$4:$O$20,DTR!O$4,FALSE))*1000,0)</f>
        <v>0</v>
      </c>
      <c r="P200" s="238">
        <f>IFERROR((HLOOKUP($AH200,Target_monthwise!$D$4:$O$20,DTR!P$4,FALSE))*1000,0)</f>
        <v>0</v>
      </c>
      <c r="Q200" s="141">
        <f>IFERROR((HLOOKUP($AH200,Target_monthwise!$D$4:$O$20,DTR!Q$4,FALSE))*1000,0)</f>
        <v>0</v>
      </c>
      <c r="R200" s="167">
        <f>IFERROR((HLOOKUP($AH200,Target_monthwise!$D$4:$O$20,DTR!R$4,FALSE))*1000,0)</f>
        <v>0</v>
      </c>
      <c r="S200" s="239">
        <f>IFERROR((HLOOKUP($AH200,Target_monthwise!$D$24:$O$40,DTR!S$4,FALSE)),0)</f>
        <v>0</v>
      </c>
      <c r="T200" s="239">
        <f>IFERROR((HLOOKUP($AH200,Target_monthwise!$D$24:$O$40,DTR!T$4,FALSE)),0)</f>
        <v>0</v>
      </c>
      <c r="U200" s="239">
        <f>IFERROR((HLOOKUP($AH200,Target_monthwise!$D$24:$O$40,DTR!U$4,FALSE)),0)</f>
        <v>0</v>
      </c>
      <c r="V200" s="239">
        <f>IFERROR((HLOOKUP($AH200,Target_monthwise!$D$24:$O$40,DTR!V$4,FALSE)),0)</f>
        <v>0</v>
      </c>
      <c r="W200" s="239">
        <f>IFERROR((HLOOKUP($AH200,Target_monthwise!$D$24:$O$40,DTR!W$4,FALSE)),0)</f>
        <v>0</v>
      </c>
      <c r="X200" s="239">
        <f>IFERROR((HLOOKUP($AH200,Target_monthwise!$D$24:$O$40,DTR!X$4,FALSE)),0)</f>
        <v>0</v>
      </c>
      <c r="Y200" s="239">
        <f>IFERROR((HLOOKUP($AH200,Target_monthwise!$D$24:$O$40,DTR!Y$4,FALSE)),0)</f>
        <v>0</v>
      </c>
      <c r="Z200" s="147">
        <f>IFERROR((HLOOKUP($AH200,Target_monthwise!$D$24:$O$40,DTR!Z$4,FALSE)),0)</f>
        <v>0</v>
      </c>
      <c r="AA200" s="147">
        <f>IFERROR((HLOOKUP($AH200,Target_monthwise!$D$24:$O$40,DTR!AA$4,FALSE)),0)</f>
        <v>0</v>
      </c>
      <c r="AB200" s="147">
        <f>IFERROR((HLOOKUP($AH200,Target_monthwise!$D$24:$O$40,DTR!AB$4,FALSE)),0)</f>
        <v>0</v>
      </c>
      <c r="AC200" s="239">
        <f>IFERROR((HLOOKUP($AH200,Target_monthwise!$D$24:$O$40,DTR!AC$4,FALSE)),0)</f>
        <v>0</v>
      </c>
      <c r="AD200" s="239">
        <f>IFERROR((HLOOKUP($AH200,Target_monthwise!$D$24:$O$40,DTR!AD$4,FALSE)),0)</f>
        <v>0</v>
      </c>
      <c r="AE200" s="239">
        <f>IFERROR((HLOOKUP($AH200,Target_monthwise!$D$24:$O$40,DTR!AE$4,FALSE)),0)</f>
        <v>0</v>
      </c>
      <c r="AF200" s="239">
        <f>IFERROR((HLOOKUP($AH200,Target_monthwise!$D$24:$O$40,DTR!AF$4,FALSE)),0)</f>
        <v>0</v>
      </c>
      <c r="AG200" s="172">
        <f>IFERROR((HLOOKUP($AH200,Target_monthwise!$D$24:$O$40,DTR!AG$4,FALSE)),0)</f>
        <v>0</v>
      </c>
      <c r="AH200" s="253">
        <f t="shared" si="2"/>
        <v>202210</v>
      </c>
    </row>
    <row r="201" spans="3:34" ht="15.75" hidden="1">
      <c r="C201" s="235">
        <v>44844</v>
      </c>
      <c r="D201" s="141">
        <f>IFERROR((HLOOKUP($AH201,Target_monthwise!$D$4:$O$20,DTR!D$4,FALSE))*1000,0)</f>
        <v>0</v>
      </c>
      <c r="E201" s="141">
        <f>IFERROR((HLOOKUP($AH201,Target_monthwise!$D$4:$O$20,DTR!E$4,FALSE))*1000,0)</f>
        <v>0</v>
      </c>
      <c r="F201" s="141">
        <f>IFERROR((HLOOKUP($AH201,Target_monthwise!$D$4:$O$20,DTR!F$4,FALSE))*1000,0)</f>
        <v>0</v>
      </c>
      <c r="G201" s="141">
        <f>IFERROR((HLOOKUP($AH201,Target_monthwise!$D$4:$O$20,DTR!G$4,FALSE))*1000,0)</f>
        <v>0</v>
      </c>
      <c r="H201" s="141">
        <f>IFERROR((HLOOKUP($AH201,Target_monthwise!$D$4:$O$20,DTR!H$4,FALSE))*1000,0)</f>
        <v>0</v>
      </c>
      <c r="I201" s="141">
        <f>IFERROR((HLOOKUP($AH201,Target_monthwise!$D$4:$O$20,DTR!I$4,FALSE))*1000,0)</f>
        <v>0</v>
      </c>
      <c r="J201" s="141">
        <f>IFERROR((HLOOKUP($AH201,Target_monthwise!$D$4:$O$20,DTR!J$4,FALSE))*1000,0)</f>
        <v>0</v>
      </c>
      <c r="K201" s="141">
        <f>IFERROR((HLOOKUP($AH201,Target_monthwise!$D$4:$O$20,DTR!K$4,FALSE))*1000,0)</f>
        <v>0</v>
      </c>
      <c r="L201" s="141">
        <f>IFERROR((HLOOKUP($AH201,Target_monthwise!$D$4:$O$20,DTR!L$4,FALSE))*1000,0)</f>
        <v>0</v>
      </c>
      <c r="M201" s="141">
        <f>IFERROR((HLOOKUP($AH201,Target_monthwise!$D$4:$O$20,DTR!M$4,FALSE))*1000,0)</f>
        <v>0</v>
      </c>
      <c r="N201" s="141">
        <f>IFERROR((HLOOKUP($AH201,Target_monthwise!$D$4:$O$20,DTR!N$4,FALSE))*1000,0)</f>
        <v>0</v>
      </c>
      <c r="O201" s="141">
        <f>IFERROR((HLOOKUP($AH201,Target_monthwise!$D$4:$O$20,DTR!O$4,FALSE))*1000,0)</f>
        <v>0</v>
      </c>
      <c r="P201" s="141">
        <f>IFERROR((HLOOKUP($AH201,Target_monthwise!$D$4:$O$20,DTR!P$4,FALSE))*1000,0)</f>
        <v>0</v>
      </c>
      <c r="Q201" s="141">
        <f>IFERROR((HLOOKUP($AH201,Target_monthwise!$D$4:$O$20,DTR!Q$4,FALSE))*1000,0)</f>
        <v>0</v>
      </c>
      <c r="R201" s="167">
        <f>IFERROR((HLOOKUP($AH201,Target_monthwise!$D$4:$O$20,DTR!R$4,FALSE))*1000,0)</f>
        <v>0</v>
      </c>
      <c r="S201" s="147">
        <f>IFERROR((HLOOKUP($AH201,Target_monthwise!$D$24:$O$40,DTR!S$4,FALSE)),0)</f>
        <v>0</v>
      </c>
      <c r="T201" s="147">
        <f>IFERROR((HLOOKUP($AH201,Target_monthwise!$D$24:$O$40,DTR!T$4,FALSE)),0)</f>
        <v>0</v>
      </c>
      <c r="U201" s="147">
        <f>IFERROR((HLOOKUP($AH201,Target_monthwise!$D$24:$O$40,DTR!U$4,FALSE)),0)</f>
        <v>0</v>
      </c>
      <c r="V201" s="147">
        <f>IFERROR((HLOOKUP($AH201,Target_monthwise!$D$24:$O$40,DTR!V$4,FALSE)),0)</f>
        <v>0</v>
      </c>
      <c r="W201" s="147">
        <f>IFERROR((HLOOKUP($AH201,Target_monthwise!$D$24:$O$40,DTR!W$4,FALSE)),0)</f>
        <v>0</v>
      </c>
      <c r="X201" s="147">
        <f>IFERROR((HLOOKUP($AH201,Target_monthwise!$D$24:$O$40,DTR!X$4,FALSE)),0)</f>
        <v>0</v>
      </c>
      <c r="Y201" s="147">
        <f>IFERROR((HLOOKUP($AH201,Target_monthwise!$D$24:$O$40,DTR!Y$4,FALSE)),0)</f>
        <v>0</v>
      </c>
      <c r="Z201" s="147">
        <f>IFERROR((HLOOKUP($AH201,Target_monthwise!$D$24:$O$40,DTR!Z$4,FALSE)),0)</f>
        <v>0</v>
      </c>
      <c r="AA201" s="147">
        <f>IFERROR((HLOOKUP($AH201,Target_monthwise!$D$24:$O$40,DTR!AA$4,FALSE)),0)</f>
        <v>0</v>
      </c>
      <c r="AB201" s="147">
        <f>IFERROR((HLOOKUP($AH201,Target_monthwise!$D$24:$O$40,DTR!AB$4,FALSE)),0)</f>
        <v>0</v>
      </c>
      <c r="AC201" s="147">
        <f>IFERROR((HLOOKUP($AH201,Target_monthwise!$D$24:$O$40,DTR!AC$4,FALSE)),0)</f>
        <v>0</v>
      </c>
      <c r="AD201" s="147">
        <f>IFERROR((HLOOKUP($AH201,Target_monthwise!$D$24:$O$40,DTR!AD$4,FALSE)),0)</f>
        <v>0</v>
      </c>
      <c r="AE201" s="147">
        <f>IFERROR((HLOOKUP($AH201,Target_monthwise!$D$24:$O$40,DTR!AE$4,FALSE)),0)</f>
        <v>0</v>
      </c>
      <c r="AF201" s="147">
        <f>IFERROR((HLOOKUP($AH201,Target_monthwise!$D$24:$O$40,DTR!AF$4,FALSE)),0)</f>
        <v>0</v>
      </c>
      <c r="AG201" s="172">
        <f>IFERROR((HLOOKUP($AH201,Target_monthwise!$D$24:$O$40,DTR!AG$4,FALSE)),0)</f>
        <v>0</v>
      </c>
      <c r="AH201" s="253">
        <f t="shared" si="2"/>
        <v>202210</v>
      </c>
    </row>
    <row r="202" spans="3:34" ht="15.75" hidden="1">
      <c r="C202" s="237">
        <v>44845</v>
      </c>
      <c r="D202" s="238">
        <f>IFERROR((HLOOKUP($AH202,Target_monthwise!$D$4:$O$20,DTR!D$4,FALSE))*1000,0)</f>
        <v>0</v>
      </c>
      <c r="E202" s="238">
        <f>IFERROR((HLOOKUP($AH202,Target_monthwise!$D$4:$O$20,DTR!E$4,FALSE))*1000,0)</f>
        <v>0</v>
      </c>
      <c r="F202" s="238">
        <f>IFERROR((HLOOKUP($AH202,Target_monthwise!$D$4:$O$20,DTR!F$4,FALSE))*1000,0)</f>
        <v>0</v>
      </c>
      <c r="G202" s="238">
        <f>IFERROR((HLOOKUP($AH202,Target_monthwise!$D$4:$O$20,DTR!G$4,FALSE))*1000,0)</f>
        <v>0</v>
      </c>
      <c r="H202" s="238">
        <f>IFERROR((HLOOKUP($AH202,Target_monthwise!$D$4:$O$20,DTR!H$4,FALSE))*1000,0)</f>
        <v>0</v>
      </c>
      <c r="I202" s="238">
        <f>IFERROR((HLOOKUP($AH202,Target_monthwise!$D$4:$O$20,DTR!I$4,FALSE))*1000,0)</f>
        <v>0</v>
      </c>
      <c r="J202" s="238">
        <f>IFERROR((HLOOKUP($AH202,Target_monthwise!$D$4:$O$20,DTR!J$4,FALSE))*1000,0)</f>
        <v>0</v>
      </c>
      <c r="K202" s="238">
        <f>IFERROR((HLOOKUP($AH202,Target_monthwise!$D$4:$O$20,DTR!K$4,FALSE))*1000,0)</f>
        <v>0</v>
      </c>
      <c r="L202" s="238">
        <f>IFERROR((HLOOKUP($AH202,Target_monthwise!$D$4:$O$20,DTR!L$4,FALSE))*1000,0)</f>
        <v>0</v>
      </c>
      <c r="M202" s="238">
        <f>IFERROR((HLOOKUP($AH202,Target_monthwise!$D$4:$O$20,DTR!M$4,FALSE))*1000,0)</f>
        <v>0</v>
      </c>
      <c r="N202" s="238">
        <f>IFERROR((HLOOKUP($AH202,Target_monthwise!$D$4:$O$20,DTR!N$4,FALSE))*1000,0)</f>
        <v>0</v>
      </c>
      <c r="O202" s="238">
        <f>IFERROR((HLOOKUP($AH202,Target_monthwise!$D$4:$O$20,DTR!O$4,FALSE))*1000,0)</f>
        <v>0</v>
      </c>
      <c r="P202" s="238">
        <f>IFERROR((HLOOKUP($AH202,Target_monthwise!$D$4:$O$20,DTR!P$4,FALSE))*1000,0)</f>
        <v>0</v>
      </c>
      <c r="Q202" s="141">
        <f>IFERROR((HLOOKUP($AH202,Target_monthwise!$D$4:$O$20,DTR!Q$4,FALSE))*1000,0)</f>
        <v>0</v>
      </c>
      <c r="R202" s="167">
        <f>IFERROR((HLOOKUP($AH202,Target_monthwise!$D$4:$O$20,DTR!R$4,FALSE))*1000,0)</f>
        <v>0</v>
      </c>
      <c r="S202" s="239">
        <f>IFERROR((HLOOKUP($AH202,Target_monthwise!$D$24:$O$40,DTR!S$4,FALSE)),0)</f>
        <v>0</v>
      </c>
      <c r="T202" s="239">
        <f>IFERROR((HLOOKUP($AH202,Target_monthwise!$D$24:$O$40,DTR!T$4,FALSE)),0)</f>
        <v>0</v>
      </c>
      <c r="U202" s="239">
        <f>IFERROR((HLOOKUP($AH202,Target_monthwise!$D$24:$O$40,DTR!U$4,FALSE)),0)</f>
        <v>0</v>
      </c>
      <c r="V202" s="239">
        <f>IFERROR((HLOOKUP($AH202,Target_monthwise!$D$24:$O$40,DTR!V$4,FALSE)),0)</f>
        <v>0</v>
      </c>
      <c r="W202" s="239">
        <f>IFERROR((HLOOKUP($AH202,Target_monthwise!$D$24:$O$40,DTR!W$4,FALSE)),0)</f>
        <v>0</v>
      </c>
      <c r="X202" s="239">
        <f>IFERROR((HLOOKUP($AH202,Target_monthwise!$D$24:$O$40,DTR!X$4,FALSE)),0)</f>
        <v>0</v>
      </c>
      <c r="Y202" s="239">
        <f>IFERROR((HLOOKUP($AH202,Target_monthwise!$D$24:$O$40,DTR!Y$4,FALSE)),0)</f>
        <v>0</v>
      </c>
      <c r="Z202" s="147">
        <f>IFERROR((HLOOKUP($AH202,Target_monthwise!$D$24:$O$40,DTR!Z$4,FALSE)),0)</f>
        <v>0</v>
      </c>
      <c r="AA202" s="147">
        <f>IFERROR((HLOOKUP($AH202,Target_monthwise!$D$24:$O$40,DTR!AA$4,FALSE)),0)</f>
        <v>0</v>
      </c>
      <c r="AB202" s="147">
        <f>IFERROR((HLOOKUP($AH202,Target_monthwise!$D$24:$O$40,DTR!AB$4,FALSE)),0)</f>
        <v>0</v>
      </c>
      <c r="AC202" s="239">
        <f>IFERROR((HLOOKUP($AH202,Target_monthwise!$D$24:$O$40,DTR!AC$4,FALSE)),0)</f>
        <v>0</v>
      </c>
      <c r="AD202" s="239">
        <f>IFERROR((HLOOKUP($AH202,Target_monthwise!$D$24:$O$40,DTR!AD$4,FALSE)),0)</f>
        <v>0</v>
      </c>
      <c r="AE202" s="239">
        <f>IFERROR((HLOOKUP($AH202,Target_monthwise!$D$24:$O$40,DTR!AE$4,FALSE)),0)</f>
        <v>0</v>
      </c>
      <c r="AF202" s="239">
        <f>IFERROR((HLOOKUP($AH202,Target_monthwise!$D$24:$O$40,DTR!AF$4,FALSE)),0)</f>
        <v>0</v>
      </c>
      <c r="AG202" s="172">
        <f>IFERROR((HLOOKUP($AH202,Target_monthwise!$D$24:$O$40,DTR!AG$4,FALSE)),0)</f>
        <v>0</v>
      </c>
      <c r="AH202" s="253">
        <f t="shared" ref="AH202:AH265" si="3">YEAR(C202)*100+MONTH(C202)</f>
        <v>202210</v>
      </c>
    </row>
    <row r="203" spans="3:34" ht="15.75" hidden="1">
      <c r="C203" s="235">
        <v>44846</v>
      </c>
      <c r="D203" s="141">
        <f>IFERROR((HLOOKUP($AH203,Target_monthwise!$D$4:$O$20,DTR!D$4,FALSE))*1000,0)</f>
        <v>0</v>
      </c>
      <c r="E203" s="141">
        <f>IFERROR((HLOOKUP($AH203,Target_monthwise!$D$4:$O$20,DTR!E$4,FALSE))*1000,0)</f>
        <v>0</v>
      </c>
      <c r="F203" s="141">
        <f>IFERROR((HLOOKUP($AH203,Target_monthwise!$D$4:$O$20,DTR!F$4,FALSE))*1000,0)</f>
        <v>0</v>
      </c>
      <c r="G203" s="141">
        <f>IFERROR((HLOOKUP($AH203,Target_monthwise!$D$4:$O$20,DTR!G$4,FALSE))*1000,0)</f>
        <v>0</v>
      </c>
      <c r="H203" s="141">
        <f>IFERROR((HLOOKUP($AH203,Target_monthwise!$D$4:$O$20,DTR!H$4,FALSE))*1000,0)</f>
        <v>0</v>
      </c>
      <c r="I203" s="141">
        <f>IFERROR((HLOOKUP($AH203,Target_monthwise!$D$4:$O$20,DTR!I$4,FALSE))*1000,0)</f>
        <v>0</v>
      </c>
      <c r="J203" s="141">
        <f>IFERROR((HLOOKUP($AH203,Target_monthwise!$D$4:$O$20,DTR!J$4,FALSE))*1000,0)</f>
        <v>0</v>
      </c>
      <c r="K203" s="141">
        <f>IFERROR((HLOOKUP($AH203,Target_monthwise!$D$4:$O$20,DTR!K$4,FALSE))*1000,0)</f>
        <v>0</v>
      </c>
      <c r="L203" s="141">
        <f>IFERROR((HLOOKUP($AH203,Target_monthwise!$D$4:$O$20,DTR!L$4,FALSE))*1000,0)</f>
        <v>0</v>
      </c>
      <c r="M203" s="141">
        <f>IFERROR((HLOOKUP($AH203,Target_monthwise!$D$4:$O$20,DTR!M$4,FALSE))*1000,0)</f>
        <v>0</v>
      </c>
      <c r="N203" s="141">
        <f>IFERROR((HLOOKUP($AH203,Target_monthwise!$D$4:$O$20,DTR!N$4,FALSE))*1000,0)</f>
        <v>0</v>
      </c>
      <c r="O203" s="141">
        <f>IFERROR((HLOOKUP($AH203,Target_monthwise!$D$4:$O$20,DTR!O$4,FALSE))*1000,0)</f>
        <v>0</v>
      </c>
      <c r="P203" s="141">
        <f>IFERROR((HLOOKUP($AH203,Target_monthwise!$D$4:$O$20,DTR!P$4,FALSE))*1000,0)</f>
        <v>0</v>
      </c>
      <c r="Q203" s="141">
        <f>IFERROR((HLOOKUP($AH203,Target_monthwise!$D$4:$O$20,DTR!Q$4,FALSE))*1000,0)</f>
        <v>0</v>
      </c>
      <c r="R203" s="167">
        <f>IFERROR((HLOOKUP($AH203,Target_monthwise!$D$4:$O$20,DTR!R$4,FALSE))*1000,0)</f>
        <v>0</v>
      </c>
      <c r="S203" s="147">
        <f>IFERROR((HLOOKUP($AH203,Target_monthwise!$D$24:$O$40,DTR!S$4,FALSE)),0)</f>
        <v>0</v>
      </c>
      <c r="T203" s="147">
        <f>IFERROR((HLOOKUP($AH203,Target_monthwise!$D$24:$O$40,DTR!T$4,FALSE)),0)</f>
        <v>0</v>
      </c>
      <c r="U203" s="147">
        <f>IFERROR((HLOOKUP($AH203,Target_monthwise!$D$24:$O$40,DTR!U$4,FALSE)),0)</f>
        <v>0</v>
      </c>
      <c r="V203" s="147">
        <f>IFERROR((HLOOKUP($AH203,Target_monthwise!$D$24:$O$40,DTR!V$4,FALSE)),0)</f>
        <v>0</v>
      </c>
      <c r="W203" s="147">
        <f>IFERROR((HLOOKUP($AH203,Target_monthwise!$D$24:$O$40,DTR!W$4,FALSE)),0)</f>
        <v>0</v>
      </c>
      <c r="X203" s="147">
        <f>IFERROR((HLOOKUP($AH203,Target_monthwise!$D$24:$O$40,DTR!X$4,FALSE)),0)</f>
        <v>0</v>
      </c>
      <c r="Y203" s="147">
        <f>IFERROR((HLOOKUP($AH203,Target_monthwise!$D$24:$O$40,DTR!Y$4,FALSE)),0)</f>
        <v>0</v>
      </c>
      <c r="Z203" s="147">
        <f>IFERROR((HLOOKUP($AH203,Target_monthwise!$D$24:$O$40,DTR!Z$4,FALSE)),0)</f>
        <v>0</v>
      </c>
      <c r="AA203" s="147">
        <f>IFERROR((HLOOKUP($AH203,Target_monthwise!$D$24:$O$40,DTR!AA$4,FALSE)),0)</f>
        <v>0</v>
      </c>
      <c r="AB203" s="147">
        <f>IFERROR((HLOOKUP($AH203,Target_monthwise!$D$24:$O$40,DTR!AB$4,FALSE)),0)</f>
        <v>0</v>
      </c>
      <c r="AC203" s="147">
        <f>IFERROR((HLOOKUP($AH203,Target_monthwise!$D$24:$O$40,DTR!AC$4,FALSE)),0)</f>
        <v>0</v>
      </c>
      <c r="AD203" s="147">
        <f>IFERROR((HLOOKUP($AH203,Target_monthwise!$D$24:$O$40,DTR!AD$4,FALSE)),0)</f>
        <v>0</v>
      </c>
      <c r="AE203" s="147">
        <f>IFERROR((HLOOKUP($AH203,Target_monthwise!$D$24:$O$40,DTR!AE$4,FALSE)),0)</f>
        <v>0</v>
      </c>
      <c r="AF203" s="147">
        <f>IFERROR((HLOOKUP($AH203,Target_monthwise!$D$24:$O$40,DTR!AF$4,FALSE)),0)</f>
        <v>0</v>
      </c>
      <c r="AG203" s="172">
        <f>IFERROR((HLOOKUP($AH203,Target_monthwise!$D$24:$O$40,DTR!AG$4,FALSE)),0)</f>
        <v>0</v>
      </c>
      <c r="AH203" s="253">
        <f t="shared" si="3"/>
        <v>202210</v>
      </c>
    </row>
    <row r="204" spans="3:34" ht="15.75" hidden="1">
      <c r="C204" s="237">
        <v>44847</v>
      </c>
      <c r="D204" s="238">
        <f>IFERROR((HLOOKUP($AH204,Target_monthwise!$D$4:$O$20,DTR!D$4,FALSE))*1000,0)</f>
        <v>0</v>
      </c>
      <c r="E204" s="238">
        <f>IFERROR((HLOOKUP($AH204,Target_monthwise!$D$4:$O$20,DTR!E$4,FALSE))*1000,0)</f>
        <v>0</v>
      </c>
      <c r="F204" s="238">
        <f>IFERROR((HLOOKUP($AH204,Target_monthwise!$D$4:$O$20,DTR!F$4,FALSE))*1000,0)</f>
        <v>0</v>
      </c>
      <c r="G204" s="238">
        <f>IFERROR((HLOOKUP($AH204,Target_monthwise!$D$4:$O$20,DTR!G$4,FALSE))*1000,0)</f>
        <v>0</v>
      </c>
      <c r="H204" s="238">
        <f>IFERROR((HLOOKUP($AH204,Target_monthwise!$D$4:$O$20,DTR!H$4,FALSE))*1000,0)</f>
        <v>0</v>
      </c>
      <c r="I204" s="238">
        <f>IFERROR((HLOOKUP($AH204,Target_monthwise!$D$4:$O$20,DTR!I$4,FALSE))*1000,0)</f>
        <v>0</v>
      </c>
      <c r="J204" s="238">
        <f>IFERROR((HLOOKUP($AH204,Target_monthwise!$D$4:$O$20,DTR!J$4,FALSE))*1000,0)</f>
        <v>0</v>
      </c>
      <c r="K204" s="238">
        <f>IFERROR((HLOOKUP($AH204,Target_monthwise!$D$4:$O$20,DTR!K$4,FALSE))*1000,0)</f>
        <v>0</v>
      </c>
      <c r="L204" s="238">
        <f>IFERROR((HLOOKUP($AH204,Target_monthwise!$D$4:$O$20,DTR!L$4,FALSE))*1000,0)</f>
        <v>0</v>
      </c>
      <c r="M204" s="238">
        <f>IFERROR((HLOOKUP($AH204,Target_monthwise!$D$4:$O$20,DTR!M$4,FALSE))*1000,0)</f>
        <v>0</v>
      </c>
      <c r="N204" s="238">
        <f>IFERROR((HLOOKUP($AH204,Target_monthwise!$D$4:$O$20,DTR!N$4,FALSE))*1000,0)</f>
        <v>0</v>
      </c>
      <c r="O204" s="238">
        <f>IFERROR((HLOOKUP($AH204,Target_monthwise!$D$4:$O$20,DTR!O$4,FALSE))*1000,0)</f>
        <v>0</v>
      </c>
      <c r="P204" s="238">
        <f>IFERROR((HLOOKUP($AH204,Target_monthwise!$D$4:$O$20,DTR!P$4,FALSE))*1000,0)</f>
        <v>0</v>
      </c>
      <c r="Q204" s="141">
        <f>IFERROR((HLOOKUP($AH204,Target_monthwise!$D$4:$O$20,DTR!Q$4,FALSE))*1000,0)</f>
        <v>0</v>
      </c>
      <c r="R204" s="167">
        <f>IFERROR((HLOOKUP($AH204,Target_monthwise!$D$4:$O$20,DTR!R$4,FALSE))*1000,0)</f>
        <v>0</v>
      </c>
      <c r="S204" s="239">
        <f>IFERROR((HLOOKUP($AH204,Target_monthwise!$D$24:$O$40,DTR!S$4,FALSE)),0)</f>
        <v>0</v>
      </c>
      <c r="T204" s="239">
        <f>IFERROR((HLOOKUP($AH204,Target_monthwise!$D$24:$O$40,DTR!T$4,FALSE)),0)</f>
        <v>0</v>
      </c>
      <c r="U204" s="239">
        <f>IFERROR((HLOOKUP($AH204,Target_monthwise!$D$24:$O$40,DTR!U$4,FALSE)),0)</f>
        <v>0</v>
      </c>
      <c r="V204" s="239">
        <f>IFERROR((HLOOKUP($AH204,Target_monthwise!$D$24:$O$40,DTR!V$4,FALSE)),0)</f>
        <v>0</v>
      </c>
      <c r="W204" s="239">
        <f>IFERROR((HLOOKUP($AH204,Target_monthwise!$D$24:$O$40,DTR!W$4,FALSE)),0)</f>
        <v>0</v>
      </c>
      <c r="X204" s="239">
        <f>IFERROR((HLOOKUP($AH204,Target_monthwise!$D$24:$O$40,DTR!X$4,FALSE)),0)</f>
        <v>0</v>
      </c>
      <c r="Y204" s="239">
        <f>IFERROR((HLOOKUP($AH204,Target_monthwise!$D$24:$O$40,DTR!Y$4,FALSE)),0)</f>
        <v>0</v>
      </c>
      <c r="Z204" s="147">
        <f>IFERROR((HLOOKUP($AH204,Target_monthwise!$D$24:$O$40,DTR!Z$4,FALSE)),0)</f>
        <v>0</v>
      </c>
      <c r="AA204" s="147">
        <f>IFERROR((HLOOKUP($AH204,Target_monthwise!$D$24:$O$40,DTR!AA$4,FALSE)),0)</f>
        <v>0</v>
      </c>
      <c r="AB204" s="147">
        <f>IFERROR((HLOOKUP($AH204,Target_monthwise!$D$24:$O$40,DTR!AB$4,FALSE)),0)</f>
        <v>0</v>
      </c>
      <c r="AC204" s="239">
        <f>IFERROR((HLOOKUP($AH204,Target_monthwise!$D$24:$O$40,DTR!AC$4,FALSE)),0)</f>
        <v>0</v>
      </c>
      <c r="AD204" s="239">
        <f>IFERROR((HLOOKUP($AH204,Target_monthwise!$D$24:$O$40,DTR!AD$4,FALSE)),0)</f>
        <v>0</v>
      </c>
      <c r="AE204" s="239">
        <f>IFERROR((HLOOKUP($AH204,Target_monthwise!$D$24:$O$40,DTR!AE$4,FALSE)),0)</f>
        <v>0</v>
      </c>
      <c r="AF204" s="239">
        <f>IFERROR((HLOOKUP($AH204,Target_monthwise!$D$24:$O$40,DTR!AF$4,FALSE)),0)</f>
        <v>0</v>
      </c>
      <c r="AG204" s="172">
        <f>IFERROR((HLOOKUP($AH204,Target_monthwise!$D$24:$O$40,DTR!AG$4,FALSE)),0)</f>
        <v>0</v>
      </c>
      <c r="AH204" s="253">
        <f t="shared" si="3"/>
        <v>202210</v>
      </c>
    </row>
    <row r="205" spans="3:34" ht="15.75" hidden="1">
      <c r="C205" s="235">
        <v>44848</v>
      </c>
      <c r="D205" s="141">
        <f>IFERROR((HLOOKUP($AH205,Target_monthwise!$D$4:$O$20,DTR!D$4,FALSE))*1000,0)</f>
        <v>0</v>
      </c>
      <c r="E205" s="141">
        <f>IFERROR((HLOOKUP($AH205,Target_monthwise!$D$4:$O$20,DTR!E$4,FALSE))*1000,0)</f>
        <v>0</v>
      </c>
      <c r="F205" s="141">
        <f>IFERROR((HLOOKUP($AH205,Target_monthwise!$D$4:$O$20,DTR!F$4,FALSE))*1000,0)</f>
        <v>0</v>
      </c>
      <c r="G205" s="141">
        <f>IFERROR((HLOOKUP($AH205,Target_monthwise!$D$4:$O$20,DTR!G$4,FALSE))*1000,0)</f>
        <v>0</v>
      </c>
      <c r="H205" s="141">
        <f>IFERROR((HLOOKUP($AH205,Target_monthwise!$D$4:$O$20,DTR!H$4,FALSE))*1000,0)</f>
        <v>0</v>
      </c>
      <c r="I205" s="141">
        <f>IFERROR((HLOOKUP($AH205,Target_monthwise!$D$4:$O$20,DTR!I$4,FALSE))*1000,0)</f>
        <v>0</v>
      </c>
      <c r="J205" s="141">
        <f>IFERROR((HLOOKUP($AH205,Target_monthwise!$D$4:$O$20,DTR!J$4,FALSE))*1000,0)</f>
        <v>0</v>
      </c>
      <c r="K205" s="141">
        <f>IFERROR((HLOOKUP($AH205,Target_monthwise!$D$4:$O$20,DTR!K$4,FALSE))*1000,0)</f>
        <v>0</v>
      </c>
      <c r="L205" s="141">
        <f>IFERROR((HLOOKUP($AH205,Target_monthwise!$D$4:$O$20,DTR!L$4,FALSE))*1000,0)</f>
        <v>0</v>
      </c>
      <c r="M205" s="141">
        <f>IFERROR((HLOOKUP($AH205,Target_monthwise!$D$4:$O$20,DTR!M$4,FALSE))*1000,0)</f>
        <v>0</v>
      </c>
      <c r="N205" s="141">
        <f>IFERROR((HLOOKUP($AH205,Target_monthwise!$D$4:$O$20,DTR!N$4,FALSE))*1000,0)</f>
        <v>0</v>
      </c>
      <c r="O205" s="141">
        <f>IFERROR((HLOOKUP($AH205,Target_monthwise!$D$4:$O$20,DTR!O$4,FALSE))*1000,0)</f>
        <v>0</v>
      </c>
      <c r="P205" s="141">
        <f>IFERROR((HLOOKUP($AH205,Target_monthwise!$D$4:$O$20,DTR!P$4,FALSE))*1000,0)</f>
        <v>0</v>
      </c>
      <c r="Q205" s="141">
        <f>IFERROR((HLOOKUP($AH205,Target_monthwise!$D$4:$O$20,DTR!Q$4,FALSE))*1000,0)</f>
        <v>0</v>
      </c>
      <c r="R205" s="167">
        <f>IFERROR((HLOOKUP($AH205,Target_monthwise!$D$4:$O$20,DTR!R$4,FALSE))*1000,0)</f>
        <v>0</v>
      </c>
      <c r="S205" s="147">
        <f>IFERROR((HLOOKUP($AH205,Target_monthwise!$D$24:$O$40,DTR!S$4,FALSE)),0)</f>
        <v>0</v>
      </c>
      <c r="T205" s="147">
        <f>IFERROR((HLOOKUP($AH205,Target_monthwise!$D$24:$O$40,DTR!T$4,FALSE)),0)</f>
        <v>0</v>
      </c>
      <c r="U205" s="147">
        <f>IFERROR((HLOOKUP($AH205,Target_monthwise!$D$24:$O$40,DTR!U$4,FALSE)),0)</f>
        <v>0</v>
      </c>
      <c r="V205" s="147">
        <f>IFERROR((HLOOKUP($AH205,Target_monthwise!$D$24:$O$40,DTR!V$4,FALSE)),0)</f>
        <v>0</v>
      </c>
      <c r="W205" s="147">
        <f>IFERROR((HLOOKUP($AH205,Target_monthwise!$D$24:$O$40,DTR!W$4,FALSE)),0)</f>
        <v>0</v>
      </c>
      <c r="X205" s="147">
        <f>IFERROR((HLOOKUP($AH205,Target_monthwise!$D$24:$O$40,DTR!X$4,FALSE)),0)</f>
        <v>0</v>
      </c>
      <c r="Y205" s="147">
        <f>IFERROR((HLOOKUP($AH205,Target_monthwise!$D$24:$O$40,DTR!Y$4,FALSE)),0)</f>
        <v>0</v>
      </c>
      <c r="Z205" s="147">
        <f>IFERROR((HLOOKUP($AH205,Target_monthwise!$D$24:$O$40,DTR!Z$4,FALSE)),0)</f>
        <v>0</v>
      </c>
      <c r="AA205" s="147">
        <f>IFERROR((HLOOKUP($AH205,Target_monthwise!$D$24:$O$40,DTR!AA$4,FALSE)),0)</f>
        <v>0</v>
      </c>
      <c r="AB205" s="147">
        <f>IFERROR((HLOOKUP($AH205,Target_monthwise!$D$24:$O$40,DTR!AB$4,FALSE)),0)</f>
        <v>0</v>
      </c>
      <c r="AC205" s="147">
        <f>IFERROR((HLOOKUP($AH205,Target_monthwise!$D$24:$O$40,DTR!AC$4,FALSE)),0)</f>
        <v>0</v>
      </c>
      <c r="AD205" s="147">
        <f>IFERROR((HLOOKUP($AH205,Target_monthwise!$D$24:$O$40,DTR!AD$4,FALSE)),0)</f>
        <v>0</v>
      </c>
      <c r="AE205" s="147">
        <f>IFERROR((HLOOKUP($AH205,Target_monthwise!$D$24:$O$40,DTR!AE$4,FALSE)),0)</f>
        <v>0</v>
      </c>
      <c r="AF205" s="147">
        <f>IFERROR((HLOOKUP($AH205,Target_monthwise!$D$24:$O$40,DTR!AF$4,FALSE)),0)</f>
        <v>0</v>
      </c>
      <c r="AG205" s="172">
        <f>IFERROR((HLOOKUP($AH205,Target_monthwise!$D$24:$O$40,DTR!AG$4,FALSE)),0)</f>
        <v>0</v>
      </c>
      <c r="AH205" s="253">
        <f t="shared" si="3"/>
        <v>202210</v>
      </c>
    </row>
    <row r="206" spans="3:34" ht="15.75" hidden="1">
      <c r="C206" s="237">
        <v>44849</v>
      </c>
      <c r="D206" s="238">
        <f>IFERROR((HLOOKUP($AH206,Target_monthwise!$D$4:$O$20,DTR!D$4,FALSE))*1000,0)</f>
        <v>0</v>
      </c>
      <c r="E206" s="238">
        <f>IFERROR((HLOOKUP($AH206,Target_monthwise!$D$4:$O$20,DTR!E$4,FALSE))*1000,0)</f>
        <v>0</v>
      </c>
      <c r="F206" s="238">
        <f>IFERROR((HLOOKUP($AH206,Target_monthwise!$D$4:$O$20,DTR!F$4,FALSE))*1000,0)</f>
        <v>0</v>
      </c>
      <c r="G206" s="238">
        <f>IFERROR((HLOOKUP($AH206,Target_monthwise!$D$4:$O$20,DTR!G$4,FALSE))*1000,0)</f>
        <v>0</v>
      </c>
      <c r="H206" s="238">
        <f>IFERROR((HLOOKUP($AH206,Target_monthwise!$D$4:$O$20,DTR!H$4,FALSE))*1000,0)</f>
        <v>0</v>
      </c>
      <c r="I206" s="238">
        <f>IFERROR((HLOOKUP($AH206,Target_monthwise!$D$4:$O$20,DTR!I$4,FALSE))*1000,0)</f>
        <v>0</v>
      </c>
      <c r="J206" s="238">
        <f>IFERROR((HLOOKUP($AH206,Target_monthwise!$D$4:$O$20,DTR!J$4,FALSE))*1000,0)</f>
        <v>0</v>
      </c>
      <c r="K206" s="238">
        <f>IFERROR((HLOOKUP($AH206,Target_monthwise!$D$4:$O$20,DTR!K$4,FALSE))*1000,0)</f>
        <v>0</v>
      </c>
      <c r="L206" s="238">
        <f>IFERROR((HLOOKUP($AH206,Target_monthwise!$D$4:$O$20,DTR!L$4,FALSE))*1000,0)</f>
        <v>0</v>
      </c>
      <c r="M206" s="238">
        <f>IFERROR((HLOOKUP($AH206,Target_monthwise!$D$4:$O$20,DTR!M$4,FALSE))*1000,0)</f>
        <v>0</v>
      </c>
      <c r="N206" s="238">
        <f>IFERROR((HLOOKUP($AH206,Target_monthwise!$D$4:$O$20,DTR!N$4,FALSE))*1000,0)</f>
        <v>0</v>
      </c>
      <c r="O206" s="238">
        <f>IFERROR((HLOOKUP($AH206,Target_monthwise!$D$4:$O$20,DTR!O$4,FALSE))*1000,0)</f>
        <v>0</v>
      </c>
      <c r="P206" s="238">
        <f>IFERROR((HLOOKUP($AH206,Target_monthwise!$D$4:$O$20,DTR!P$4,FALSE))*1000,0)</f>
        <v>0</v>
      </c>
      <c r="Q206" s="141">
        <f>IFERROR((HLOOKUP($AH206,Target_monthwise!$D$4:$O$20,DTR!Q$4,FALSE))*1000,0)</f>
        <v>0</v>
      </c>
      <c r="R206" s="167">
        <f>IFERROR((HLOOKUP($AH206,Target_monthwise!$D$4:$O$20,DTR!R$4,FALSE))*1000,0)</f>
        <v>0</v>
      </c>
      <c r="S206" s="239">
        <f>IFERROR((HLOOKUP($AH206,Target_monthwise!$D$24:$O$40,DTR!S$4,FALSE)),0)</f>
        <v>0</v>
      </c>
      <c r="T206" s="239">
        <f>IFERROR((HLOOKUP($AH206,Target_monthwise!$D$24:$O$40,DTR!T$4,FALSE)),0)</f>
        <v>0</v>
      </c>
      <c r="U206" s="239">
        <f>IFERROR((HLOOKUP($AH206,Target_monthwise!$D$24:$O$40,DTR!U$4,FALSE)),0)</f>
        <v>0</v>
      </c>
      <c r="V206" s="239">
        <f>IFERROR((HLOOKUP($AH206,Target_monthwise!$D$24:$O$40,DTR!V$4,FALSE)),0)</f>
        <v>0</v>
      </c>
      <c r="W206" s="239">
        <f>IFERROR((HLOOKUP($AH206,Target_monthwise!$D$24:$O$40,DTR!W$4,FALSE)),0)</f>
        <v>0</v>
      </c>
      <c r="X206" s="239">
        <f>IFERROR((HLOOKUP($AH206,Target_monthwise!$D$24:$O$40,DTR!X$4,FALSE)),0)</f>
        <v>0</v>
      </c>
      <c r="Y206" s="239">
        <f>IFERROR((HLOOKUP($AH206,Target_monthwise!$D$24:$O$40,DTR!Y$4,FALSE)),0)</f>
        <v>0</v>
      </c>
      <c r="Z206" s="147">
        <f>IFERROR((HLOOKUP($AH206,Target_monthwise!$D$24:$O$40,DTR!Z$4,FALSE)),0)</f>
        <v>0</v>
      </c>
      <c r="AA206" s="147">
        <f>IFERROR((HLOOKUP($AH206,Target_monthwise!$D$24:$O$40,DTR!AA$4,FALSE)),0)</f>
        <v>0</v>
      </c>
      <c r="AB206" s="147">
        <f>IFERROR((HLOOKUP($AH206,Target_monthwise!$D$24:$O$40,DTR!AB$4,FALSE)),0)</f>
        <v>0</v>
      </c>
      <c r="AC206" s="239">
        <f>IFERROR((HLOOKUP($AH206,Target_monthwise!$D$24:$O$40,DTR!AC$4,FALSE)),0)</f>
        <v>0</v>
      </c>
      <c r="AD206" s="239">
        <f>IFERROR((HLOOKUP($AH206,Target_monthwise!$D$24:$O$40,DTR!AD$4,FALSE)),0)</f>
        <v>0</v>
      </c>
      <c r="AE206" s="239">
        <f>IFERROR((HLOOKUP($AH206,Target_monthwise!$D$24:$O$40,DTR!AE$4,FALSE)),0)</f>
        <v>0</v>
      </c>
      <c r="AF206" s="239">
        <f>IFERROR((HLOOKUP($AH206,Target_monthwise!$D$24:$O$40,DTR!AF$4,FALSE)),0)</f>
        <v>0</v>
      </c>
      <c r="AG206" s="172">
        <f>IFERROR((HLOOKUP($AH206,Target_monthwise!$D$24:$O$40,DTR!AG$4,FALSE)),0)</f>
        <v>0</v>
      </c>
      <c r="AH206" s="253">
        <f t="shared" si="3"/>
        <v>202210</v>
      </c>
    </row>
    <row r="207" spans="3:34" ht="15.75" hidden="1">
      <c r="C207" s="235">
        <v>44850</v>
      </c>
      <c r="D207" s="141">
        <f>IFERROR((HLOOKUP($AH207,Target_monthwise!$D$4:$O$20,DTR!D$4,FALSE))*1000,0)</f>
        <v>0</v>
      </c>
      <c r="E207" s="141">
        <f>IFERROR((HLOOKUP($AH207,Target_monthwise!$D$4:$O$20,DTR!E$4,FALSE))*1000,0)</f>
        <v>0</v>
      </c>
      <c r="F207" s="141">
        <f>IFERROR((HLOOKUP($AH207,Target_monthwise!$D$4:$O$20,DTR!F$4,FALSE))*1000,0)</f>
        <v>0</v>
      </c>
      <c r="G207" s="141">
        <f>IFERROR((HLOOKUP($AH207,Target_monthwise!$D$4:$O$20,DTR!G$4,FALSE))*1000,0)</f>
        <v>0</v>
      </c>
      <c r="H207" s="141">
        <f>IFERROR((HLOOKUP($AH207,Target_monthwise!$D$4:$O$20,DTR!H$4,FALSE))*1000,0)</f>
        <v>0</v>
      </c>
      <c r="I207" s="141">
        <f>IFERROR((HLOOKUP($AH207,Target_monthwise!$D$4:$O$20,DTR!I$4,FALSE))*1000,0)</f>
        <v>0</v>
      </c>
      <c r="J207" s="141">
        <f>IFERROR((HLOOKUP($AH207,Target_monthwise!$D$4:$O$20,DTR!J$4,FALSE))*1000,0)</f>
        <v>0</v>
      </c>
      <c r="K207" s="141">
        <f>IFERROR((HLOOKUP($AH207,Target_monthwise!$D$4:$O$20,DTR!K$4,FALSE))*1000,0)</f>
        <v>0</v>
      </c>
      <c r="L207" s="141">
        <f>IFERROR((HLOOKUP($AH207,Target_monthwise!$D$4:$O$20,DTR!L$4,FALSE))*1000,0)</f>
        <v>0</v>
      </c>
      <c r="M207" s="141">
        <f>IFERROR((HLOOKUP($AH207,Target_monthwise!$D$4:$O$20,DTR!M$4,FALSE))*1000,0)</f>
        <v>0</v>
      </c>
      <c r="N207" s="141">
        <f>IFERROR((HLOOKUP($AH207,Target_monthwise!$D$4:$O$20,DTR!N$4,FALSE))*1000,0)</f>
        <v>0</v>
      </c>
      <c r="O207" s="141">
        <f>IFERROR((HLOOKUP($AH207,Target_monthwise!$D$4:$O$20,DTR!O$4,FALSE))*1000,0)</f>
        <v>0</v>
      </c>
      <c r="P207" s="141">
        <f>IFERROR((HLOOKUP($AH207,Target_monthwise!$D$4:$O$20,DTR!P$4,FALSE))*1000,0)</f>
        <v>0</v>
      </c>
      <c r="Q207" s="141">
        <f>IFERROR((HLOOKUP($AH207,Target_monthwise!$D$4:$O$20,DTR!Q$4,FALSE))*1000,0)</f>
        <v>0</v>
      </c>
      <c r="R207" s="167">
        <f>IFERROR((HLOOKUP($AH207,Target_monthwise!$D$4:$O$20,DTR!R$4,FALSE))*1000,0)</f>
        <v>0</v>
      </c>
      <c r="S207" s="147">
        <f>IFERROR((HLOOKUP($AH207,Target_monthwise!$D$24:$O$40,DTR!S$4,FALSE)),0)</f>
        <v>0</v>
      </c>
      <c r="T207" s="147">
        <f>IFERROR((HLOOKUP($AH207,Target_monthwise!$D$24:$O$40,DTR!T$4,FALSE)),0)</f>
        <v>0</v>
      </c>
      <c r="U207" s="147">
        <f>IFERROR((HLOOKUP($AH207,Target_monthwise!$D$24:$O$40,DTR!U$4,FALSE)),0)</f>
        <v>0</v>
      </c>
      <c r="V207" s="147">
        <f>IFERROR((HLOOKUP($AH207,Target_monthwise!$D$24:$O$40,DTR!V$4,FALSE)),0)</f>
        <v>0</v>
      </c>
      <c r="W207" s="147">
        <f>IFERROR((HLOOKUP($AH207,Target_monthwise!$D$24:$O$40,DTR!W$4,FALSE)),0)</f>
        <v>0</v>
      </c>
      <c r="X207" s="147">
        <f>IFERROR((HLOOKUP($AH207,Target_monthwise!$D$24:$O$40,DTR!X$4,FALSE)),0)</f>
        <v>0</v>
      </c>
      <c r="Y207" s="147">
        <f>IFERROR((HLOOKUP($AH207,Target_monthwise!$D$24:$O$40,DTR!Y$4,FALSE)),0)</f>
        <v>0</v>
      </c>
      <c r="Z207" s="147">
        <f>IFERROR((HLOOKUP($AH207,Target_monthwise!$D$24:$O$40,DTR!Z$4,FALSE)),0)</f>
        <v>0</v>
      </c>
      <c r="AA207" s="147">
        <f>IFERROR((HLOOKUP($AH207,Target_monthwise!$D$24:$O$40,DTR!AA$4,FALSE)),0)</f>
        <v>0</v>
      </c>
      <c r="AB207" s="147">
        <f>IFERROR((HLOOKUP($AH207,Target_monthwise!$D$24:$O$40,DTR!AB$4,FALSE)),0)</f>
        <v>0</v>
      </c>
      <c r="AC207" s="147">
        <f>IFERROR((HLOOKUP($AH207,Target_monthwise!$D$24:$O$40,DTR!AC$4,FALSE)),0)</f>
        <v>0</v>
      </c>
      <c r="AD207" s="147">
        <f>IFERROR((HLOOKUP($AH207,Target_monthwise!$D$24:$O$40,DTR!AD$4,FALSE)),0)</f>
        <v>0</v>
      </c>
      <c r="AE207" s="147">
        <f>IFERROR((HLOOKUP($AH207,Target_monthwise!$D$24:$O$40,DTR!AE$4,FALSE)),0)</f>
        <v>0</v>
      </c>
      <c r="AF207" s="147">
        <f>IFERROR((HLOOKUP($AH207,Target_monthwise!$D$24:$O$40,DTR!AF$4,FALSE)),0)</f>
        <v>0</v>
      </c>
      <c r="AG207" s="172">
        <f>IFERROR((HLOOKUP($AH207,Target_monthwise!$D$24:$O$40,DTR!AG$4,FALSE)),0)</f>
        <v>0</v>
      </c>
      <c r="AH207" s="253">
        <f t="shared" si="3"/>
        <v>202210</v>
      </c>
    </row>
    <row r="208" spans="3:34" ht="15.75" hidden="1">
      <c r="C208" s="237">
        <v>44851</v>
      </c>
      <c r="D208" s="238">
        <f>IFERROR((HLOOKUP($AH208,Target_monthwise!$D$4:$O$20,DTR!D$4,FALSE))*1000,0)</f>
        <v>0</v>
      </c>
      <c r="E208" s="238">
        <f>IFERROR((HLOOKUP($AH208,Target_monthwise!$D$4:$O$20,DTR!E$4,FALSE))*1000,0)</f>
        <v>0</v>
      </c>
      <c r="F208" s="238">
        <f>IFERROR((HLOOKUP($AH208,Target_monthwise!$D$4:$O$20,DTR!F$4,FALSE))*1000,0)</f>
        <v>0</v>
      </c>
      <c r="G208" s="238">
        <f>IFERROR((HLOOKUP($AH208,Target_monthwise!$D$4:$O$20,DTR!G$4,FALSE))*1000,0)</f>
        <v>0</v>
      </c>
      <c r="H208" s="238">
        <f>IFERROR((HLOOKUP($AH208,Target_monthwise!$D$4:$O$20,DTR!H$4,FALSE))*1000,0)</f>
        <v>0</v>
      </c>
      <c r="I208" s="238">
        <f>IFERROR((HLOOKUP($AH208,Target_monthwise!$D$4:$O$20,DTR!I$4,FALSE))*1000,0)</f>
        <v>0</v>
      </c>
      <c r="J208" s="238">
        <f>IFERROR((HLOOKUP($AH208,Target_monthwise!$D$4:$O$20,DTR!J$4,FALSE))*1000,0)</f>
        <v>0</v>
      </c>
      <c r="K208" s="238">
        <f>IFERROR((HLOOKUP($AH208,Target_monthwise!$D$4:$O$20,DTR!K$4,FALSE))*1000,0)</f>
        <v>0</v>
      </c>
      <c r="L208" s="238">
        <f>IFERROR((HLOOKUP($AH208,Target_monthwise!$D$4:$O$20,DTR!L$4,FALSE))*1000,0)</f>
        <v>0</v>
      </c>
      <c r="M208" s="238">
        <f>IFERROR((HLOOKUP($AH208,Target_monthwise!$D$4:$O$20,DTR!M$4,FALSE))*1000,0)</f>
        <v>0</v>
      </c>
      <c r="N208" s="238">
        <f>IFERROR((HLOOKUP($AH208,Target_monthwise!$D$4:$O$20,DTR!N$4,FALSE))*1000,0)</f>
        <v>0</v>
      </c>
      <c r="O208" s="238">
        <f>IFERROR((HLOOKUP($AH208,Target_monthwise!$D$4:$O$20,DTR!O$4,FALSE))*1000,0)</f>
        <v>0</v>
      </c>
      <c r="P208" s="238">
        <f>IFERROR((HLOOKUP($AH208,Target_monthwise!$D$4:$O$20,DTR!P$4,FALSE))*1000,0)</f>
        <v>0</v>
      </c>
      <c r="Q208" s="141">
        <f>IFERROR((HLOOKUP($AH208,Target_monthwise!$D$4:$O$20,DTR!Q$4,FALSE))*1000,0)</f>
        <v>0</v>
      </c>
      <c r="R208" s="167">
        <f>IFERROR((HLOOKUP($AH208,Target_monthwise!$D$4:$O$20,DTR!R$4,FALSE))*1000,0)</f>
        <v>0</v>
      </c>
      <c r="S208" s="239">
        <f>IFERROR((HLOOKUP($AH208,Target_monthwise!$D$24:$O$40,DTR!S$4,FALSE)),0)</f>
        <v>0</v>
      </c>
      <c r="T208" s="239">
        <f>IFERROR((HLOOKUP($AH208,Target_monthwise!$D$24:$O$40,DTR!T$4,FALSE)),0)</f>
        <v>0</v>
      </c>
      <c r="U208" s="239">
        <f>IFERROR((HLOOKUP($AH208,Target_monthwise!$D$24:$O$40,DTR!U$4,FALSE)),0)</f>
        <v>0</v>
      </c>
      <c r="V208" s="239">
        <f>IFERROR((HLOOKUP($AH208,Target_monthwise!$D$24:$O$40,DTR!V$4,FALSE)),0)</f>
        <v>0</v>
      </c>
      <c r="W208" s="239">
        <f>IFERROR((HLOOKUP($AH208,Target_monthwise!$D$24:$O$40,DTR!W$4,FALSE)),0)</f>
        <v>0</v>
      </c>
      <c r="X208" s="239">
        <f>IFERROR((HLOOKUP($AH208,Target_monthwise!$D$24:$O$40,DTR!X$4,FALSE)),0)</f>
        <v>0</v>
      </c>
      <c r="Y208" s="239">
        <f>IFERROR((HLOOKUP($AH208,Target_monthwise!$D$24:$O$40,DTR!Y$4,FALSE)),0)</f>
        <v>0</v>
      </c>
      <c r="Z208" s="147">
        <f>IFERROR((HLOOKUP($AH208,Target_monthwise!$D$24:$O$40,DTR!Z$4,FALSE)),0)</f>
        <v>0</v>
      </c>
      <c r="AA208" s="147">
        <f>IFERROR((HLOOKUP($AH208,Target_monthwise!$D$24:$O$40,DTR!AA$4,FALSE)),0)</f>
        <v>0</v>
      </c>
      <c r="AB208" s="147">
        <f>IFERROR((HLOOKUP($AH208,Target_monthwise!$D$24:$O$40,DTR!AB$4,FALSE)),0)</f>
        <v>0</v>
      </c>
      <c r="AC208" s="239">
        <f>IFERROR((HLOOKUP($AH208,Target_monthwise!$D$24:$O$40,DTR!AC$4,FALSE)),0)</f>
        <v>0</v>
      </c>
      <c r="AD208" s="239">
        <f>IFERROR((HLOOKUP($AH208,Target_monthwise!$D$24:$O$40,DTR!AD$4,FALSE)),0)</f>
        <v>0</v>
      </c>
      <c r="AE208" s="239">
        <f>IFERROR((HLOOKUP($AH208,Target_monthwise!$D$24:$O$40,DTR!AE$4,FALSE)),0)</f>
        <v>0</v>
      </c>
      <c r="AF208" s="239">
        <f>IFERROR((HLOOKUP($AH208,Target_monthwise!$D$24:$O$40,DTR!AF$4,FALSE)),0)</f>
        <v>0</v>
      </c>
      <c r="AG208" s="172">
        <f>IFERROR((HLOOKUP($AH208,Target_monthwise!$D$24:$O$40,DTR!AG$4,FALSE)),0)</f>
        <v>0</v>
      </c>
      <c r="AH208" s="253">
        <f t="shared" si="3"/>
        <v>202210</v>
      </c>
    </row>
    <row r="209" spans="3:34" ht="15.75" hidden="1">
      <c r="C209" s="235">
        <v>44852</v>
      </c>
      <c r="D209" s="141">
        <f>IFERROR((HLOOKUP($AH209,Target_monthwise!$D$4:$O$20,DTR!D$4,FALSE))*1000,0)</f>
        <v>0</v>
      </c>
      <c r="E209" s="141">
        <f>IFERROR((HLOOKUP($AH209,Target_monthwise!$D$4:$O$20,DTR!E$4,FALSE))*1000,0)</f>
        <v>0</v>
      </c>
      <c r="F209" s="141">
        <f>IFERROR((HLOOKUP($AH209,Target_monthwise!$D$4:$O$20,DTR!F$4,FALSE))*1000,0)</f>
        <v>0</v>
      </c>
      <c r="G209" s="141">
        <f>IFERROR((HLOOKUP($AH209,Target_monthwise!$D$4:$O$20,DTR!G$4,FALSE))*1000,0)</f>
        <v>0</v>
      </c>
      <c r="H209" s="141">
        <f>IFERROR((HLOOKUP($AH209,Target_monthwise!$D$4:$O$20,DTR!H$4,FALSE))*1000,0)</f>
        <v>0</v>
      </c>
      <c r="I209" s="141">
        <f>IFERROR((HLOOKUP($AH209,Target_monthwise!$D$4:$O$20,DTR!I$4,FALSE))*1000,0)</f>
        <v>0</v>
      </c>
      <c r="J209" s="141">
        <f>IFERROR((HLOOKUP($AH209,Target_monthwise!$D$4:$O$20,DTR!J$4,FALSE))*1000,0)</f>
        <v>0</v>
      </c>
      <c r="K209" s="141">
        <f>IFERROR((HLOOKUP($AH209,Target_monthwise!$D$4:$O$20,DTR!K$4,FALSE))*1000,0)</f>
        <v>0</v>
      </c>
      <c r="L209" s="141">
        <f>IFERROR((HLOOKUP($AH209,Target_monthwise!$D$4:$O$20,DTR!L$4,FALSE))*1000,0)</f>
        <v>0</v>
      </c>
      <c r="M209" s="141">
        <f>IFERROR((HLOOKUP($AH209,Target_monthwise!$D$4:$O$20,DTR!M$4,FALSE))*1000,0)</f>
        <v>0</v>
      </c>
      <c r="N209" s="141">
        <f>IFERROR((HLOOKUP($AH209,Target_monthwise!$D$4:$O$20,DTR!N$4,FALSE))*1000,0)</f>
        <v>0</v>
      </c>
      <c r="O209" s="141">
        <f>IFERROR((HLOOKUP($AH209,Target_monthwise!$D$4:$O$20,DTR!O$4,FALSE))*1000,0)</f>
        <v>0</v>
      </c>
      <c r="P209" s="141">
        <f>IFERROR((HLOOKUP($AH209,Target_monthwise!$D$4:$O$20,DTR!P$4,FALSE))*1000,0)</f>
        <v>0</v>
      </c>
      <c r="Q209" s="141">
        <f>IFERROR((HLOOKUP($AH209,Target_monthwise!$D$4:$O$20,DTR!Q$4,FALSE))*1000,0)</f>
        <v>0</v>
      </c>
      <c r="R209" s="167">
        <f>IFERROR((HLOOKUP($AH209,Target_monthwise!$D$4:$O$20,DTR!R$4,FALSE))*1000,0)</f>
        <v>0</v>
      </c>
      <c r="S209" s="147">
        <f>IFERROR((HLOOKUP($AH209,Target_monthwise!$D$24:$O$40,DTR!S$4,FALSE)),0)</f>
        <v>0</v>
      </c>
      <c r="T209" s="147">
        <f>IFERROR((HLOOKUP($AH209,Target_monthwise!$D$24:$O$40,DTR!T$4,FALSE)),0)</f>
        <v>0</v>
      </c>
      <c r="U209" s="147">
        <f>IFERROR((HLOOKUP($AH209,Target_monthwise!$D$24:$O$40,DTR!U$4,FALSE)),0)</f>
        <v>0</v>
      </c>
      <c r="V209" s="147">
        <f>IFERROR((HLOOKUP($AH209,Target_monthwise!$D$24:$O$40,DTR!V$4,FALSE)),0)</f>
        <v>0</v>
      </c>
      <c r="W209" s="147">
        <f>IFERROR((HLOOKUP($AH209,Target_monthwise!$D$24:$O$40,DTR!W$4,FALSE)),0)</f>
        <v>0</v>
      </c>
      <c r="X209" s="147">
        <f>IFERROR((HLOOKUP($AH209,Target_monthwise!$D$24:$O$40,DTR!X$4,FALSE)),0)</f>
        <v>0</v>
      </c>
      <c r="Y209" s="147">
        <f>IFERROR((HLOOKUP($AH209,Target_monthwise!$D$24:$O$40,DTR!Y$4,FALSE)),0)</f>
        <v>0</v>
      </c>
      <c r="Z209" s="147">
        <f>IFERROR((HLOOKUP($AH209,Target_monthwise!$D$24:$O$40,DTR!Z$4,FALSE)),0)</f>
        <v>0</v>
      </c>
      <c r="AA209" s="147">
        <f>IFERROR((HLOOKUP($AH209,Target_monthwise!$D$24:$O$40,DTR!AA$4,FALSE)),0)</f>
        <v>0</v>
      </c>
      <c r="AB209" s="147">
        <f>IFERROR((HLOOKUP($AH209,Target_monthwise!$D$24:$O$40,DTR!AB$4,FALSE)),0)</f>
        <v>0</v>
      </c>
      <c r="AC209" s="147">
        <f>IFERROR((HLOOKUP($AH209,Target_monthwise!$D$24:$O$40,DTR!AC$4,FALSE)),0)</f>
        <v>0</v>
      </c>
      <c r="AD209" s="147">
        <f>IFERROR((HLOOKUP($AH209,Target_monthwise!$D$24:$O$40,DTR!AD$4,FALSE)),0)</f>
        <v>0</v>
      </c>
      <c r="AE209" s="147">
        <f>IFERROR((HLOOKUP($AH209,Target_monthwise!$D$24:$O$40,DTR!AE$4,FALSE)),0)</f>
        <v>0</v>
      </c>
      <c r="AF209" s="147">
        <f>IFERROR((HLOOKUP($AH209,Target_monthwise!$D$24:$O$40,DTR!AF$4,FALSE)),0)</f>
        <v>0</v>
      </c>
      <c r="AG209" s="172">
        <f>IFERROR((HLOOKUP($AH209,Target_monthwise!$D$24:$O$40,DTR!AG$4,FALSE)),0)</f>
        <v>0</v>
      </c>
      <c r="AH209" s="253">
        <f t="shared" si="3"/>
        <v>202210</v>
      </c>
    </row>
    <row r="210" spans="3:34" ht="15.75" hidden="1">
      <c r="C210" s="237">
        <v>44853</v>
      </c>
      <c r="D210" s="238">
        <f>IFERROR((HLOOKUP($AH210,Target_monthwise!$D$4:$O$20,DTR!D$4,FALSE))*1000,0)</f>
        <v>0</v>
      </c>
      <c r="E210" s="238">
        <f>IFERROR((HLOOKUP($AH210,Target_monthwise!$D$4:$O$20,DTR!E$4,FALSE))*1000,0)</f>
        <v>0</v>
      </c>
      <c r="F210" s="238">
        <f>IFERROR((HLOOKUP($AH210,Target_monthwise!$D$4:$O$20,DTR!F$4,FALSE))*1000,0)</f>
        <v>0</v>
      </c>
      <c r="G210" s="238">
        <f>IFERROR((HLOOKUP($AH210,Target_monthwise!$D$4:$O$20,DTR!G$4,FALSE))*1000,0)</f>
        <v>0</v>
      </c>
      <c r="H210" s="238">
        <f>IFERROR((HLOOKUP($AH210,Target_monthwise!$D$4:$O$20,DTR!H$4,FALSE))*1000,0)</f>
        <v>0</v>
      </c>
      <c r="I210" s="238">
        <f>IFERROR((HLOOKUP($AH210,Target_monthwise!$D$4:$O$20,DTR!I$4,FALSE))*1000,0)</f>
        <v>0</v>
      </c>
      <c r="J210" s="238">
        <f>IFERROR((HLOOKUP($AH210,Target_monthwise!$D$4:$O$20,DTR!J$4,FALSE))*1000,0)</f>
        <v>0</v>
      </c>
      <c r="K210" s="238">
        <f>IFERROR((HLOOKUP($AH210,Target_monthwise!$D$4:$O$20,DTR!K$4,FALSE))*1000,0)</f>
        <v>0</v>
      </c>
      <c r="L210" s="238">
        <f>IFERROR((HLOOKUP($AH210,Target_monthwise!$D$4:$O$20,DTR!L$4,FALSE))*1000,0)</f>
        <v>0</v>
      </c>
      <c r="M210" s="238">
        <f>IFERROR((HLOOKUP($AH210,Target_monthwise!$D$4:$O$20,DTR!M$4,FALSE))*1000,0)</f>
        <v>0</v>
      </c>
      <c r="N210" s="238">
        <f>IFERROR((HLOOKUP($AH210,Target_monthwise!$D$4:$O$20,DTR!N$4,FALSE))*1000,0)</f>
        <v>0</v>
      </c>
      <c r="O210" s="238">
        <f>IFERROR((HLOOKUP($AH210,Target_monthwise!$D$4:$O$20,DTR!O$4,FALSE))*1000,0)</f>
        <v>0</v>
      </c>
      <c r="P210" s="238">
        <f>IFERROR((HLOOKUP($AH210,Target_monthwise!$D$4:$O$20,DTR!P$4,FALSE))*1000,0)</f>
        <v>0</v>
      </c>
      <c r="Q210" s="141">
        <f>IFERROR((HLOOKUP($AH210,Target_monthwise!$D$4:$O$20,DTR!Q$4,FALSE))*1000,0)</f>
        <v>0</v>
      </c>
      <c r="R210" s="167">
        <f>IFERROR((HLOOKUP($AH210,Target_monthwise!$D$4:$O$20,DTR!R$4,FALSE))*1000,0)</f>
        <v>0</v>
      </c>
      <c r="S210" s="239">
        <f>IFERROR((HLOOKUP($AH210,Target_monthwise!$D$24:$O$40,DTR!S$4,FALSE)),0)</f>
        <v>0</v>
      </c>
      <c r="T210" s="239">
        <f>IFERROR((HLOOKUP($AH210,Target_monthwise!$D$24:$O$40,DTR!T$4,FALSE)),0)</f>
        <v>0</v>
      </c>
      <c r="U210" s="239">
        <f>IFERROR((HLOOKUP($AH210,Target_monthwise!$D$24:$O$40,DTR!U$4,FALSE)),0)</f>
        <v>0</v>
      </c>
      <c r="V210" s="239">
        <f>IFERROR((HLOOKUP($AH210,Target_monthwise!$D$24:$O$40,DTR!V$4,FALSE)),0)</f>
        <v>0</v>
      </c>
      <c r="W210" s="239">
        <f>IFERROR((HLOOKUP($AH210,Target_monthwise!$D$24:$O$40,DTR!W$4,FALSE)),0)</f>
        <v>0</v>
      </c>
      <c r="X210" s="239">
        <f>IFERROR((HLOOKUP($AH210,Target_monthwise!$D$24:$O$40,DTR!X$4,FALSE)),0)</f>
        <v>0</v>
      </c>
      <c r="Y210" s="239">
        <f>IFERROR((HLOOKUP($AH210,Target_monthwise!$D$24:$O$40,DTR!Y$4,FALSE)),0)</f>
        <v>0</v>
      </c>
      <c r="Z210" s="147">
        <f>IFERROR((HLOOKUP($AH210,Target_monthwise!$D$24:$O$40,DTR!Z$4,FALSE)),0)</f>
        <v>0</v>
      </c>
      <c r="AA210" s="147">
        <f>IFERROR((HLOOKUP($AH210,Target_monthwise!$D$24:$O$40,DTR!AA$4,FALSE)),0)</f>
        <v>0</v>
      </c>
      <c r="AB210" s="147">
        <f>IFERROR((HLOOKUP($AH210,Target_monthwise!$D$24:$O$40,DTR!AB$4,FALSE)),0)</f>
        <v>0</v>
      </c>
      <c r="AC210" s="239">
        <f>IFERROR((HLOOKUP($AH210,Target_monthwise!$D$24:$O$40,DTR!AC$4,FALSE)),0)</f>
        <v>0</v>
      </c>
      <c r="AD210" s="239">
        <f>IFERROR((HLOOKUP($AH210,Target_monthwise!$D$24:$O$40,DTR!AD$4,FALSE)),0)</f>
        <v>0</v>
      </c>
      <c r="AE210" s="239">
        <f>IFERROR((HLOOKUP($AH210,Target_monthwise!$D$24:$O$40,DTR!AE$4,FALSE)),0)</f>
        <v>0</v>
      </c>
      <c r="AF210" s="239">
        <f>IFERROR((HLOOKUP($AH210,Target_monthwise!$D$24:$O$40,DTR!AF$4,FALSE)),0)</f>
        <v>0</v>
      </c>
      <c r="AG210" s="172">
        <f>IFERROR((HLOOKUP($AH210,Target_monthwise!$D$24:$O$40,DTR!AG$4,FALSE)),0)</f>
        <v>0</v>
      </c>
      <c r="AH210" s="253">
        <f t="shared" si="3"/>
        <v>202210</v>
      </c>
    </row>
    <row r="211" spans="3:34" ht="15.75" hidden="1">
      <c r="C211" s="235">
        <v>44854</v>
      </c>
      <c r="D211" s="141">
        <f>IFERROR((HLOOKUP($AH211,Target_monthwise!$D$4:$O$20,DTR!D$4,FALSE))*1000,0)</f>
        <v>0</v>
      </c>
      <c r="E211" s="141">
        <f>IFERROR((HLOOKUP($AH211,Target_monthwise!$D$4:$O$20,DTR!E$4,FALSE))*1000,0)</f>
        <v>0</v>
      </c>
      <c r="F211" s="141">
        <f>IFERROR((HLOOKUP($AH211,Target_monthwise!$D$4:$O$20,DTR!F$4,FALSE))*1000,0)</f>
        <v>0</v>
      </c>
      <c r="G211" s="141">
        <f>IFERROR((HLOOKUP($AH211,Target_monthwise!$D$4:$O$20,DTR!G$4,FALSE))*1000,0)</f>
        <v>0</v>
      </c>
      <c r="H211" s="141">
        <f>IFERROR((HLOOKUP($AH211,Target_monthwise!$D$4:$O$20,DTR!H$4,FALSE))*1000,0)</f>
        <v>0</v>
      </c>
      <c r="I211" s="141">
        <f>IFERROR((HLOOKUP($AH211,Target_monthwise!$D$4:$O$20,DTR!I$4,FALSE))*1000,0)</f>
        <v>0</v>
      </c>
      <c r="J211" s="141">
        <f>IFERROR((HLOOKUP($AH211,Target_monthwise!$D$4:$O$20,DTR!J$4,FALSE))*1000,0)</f>
        <v>0</v>
      </c>
      <c r="K211" s="141">
        <f>IFERROR((HLOOKUP($AH211,Target_monthwise!$D$4:$O$20,DTR!K$4,FALSE))*1000,0)</f>
        <v>0</v>
      </c>
      <c r="L211" s="141">
        <f>IFERROR((HLOOKUP($AH211,Target_monthwise!$D$4:$O$20,DTR!L$4,FALSE))*1000,0)</f>
        <v>0</v>
      </c>
      <c r="M211" s="141">
        <f>IFERROR((HLOOKUP($AH211,Target_monthwise!$D$4:$O$20,DTR!M$4,FALSE))*1000,0)</f>
        <v>0</v>
      </c>
      <c r="N211" s="141">
        <f>IFERROR((HLOOKUP($AH211,Target_monthwise!$D$4:$O$20,DTR!N$4,FALSE))*1000,0)</f>
        <v>0</v>
      </c>
      <c r="O211" s="141">
        <f>IFERROR((HLOOKUP($AH211,Target_monthwise!$D$4:$O$20,DTR!O$4,FALSE))*1000,0)</f>
        <v>0</v>
      </c>
      <c r="P211" s="141">
        <f>IFERROR((HLOOKUP($AH211,Target_monthwise!$D$4:$O$20,DTR!P$4,FALSE))*1000,0)</f>
        <v>0</v>
      </c>
      <c r="Q211" s="141">
        <f>IFERROR((HLOOKUP($AH211,Target_monthwise!$D$4:$O$20,DTR!Q$4,FALSE))*1000,0)</f>
        <v>0</v>
      </c>
      <c r="R211" s="167">
        <f>IFERROR((HLOOKUP($AH211,Target_monthwise!$D$4:$O$20,DTR!R$4,FALSE))*1000,0)</f>
        <v>0</v>
      </c>
      <c r="S211" s="147">
        <f>IFERROR((HLOOKUP($AH211,Target_monthwise!$D$24:$O$40,DTR!S$4,FALSE)),0)</f>
        <v>0</v>
      </c>
      <c r="T211" s="147">
        <f>IFERROR((HLOOKUP($AH211,Target_monthwise!$D$24:$O$40,DTR!T$4,FALSE)),0)</f>
        <v>0</v>
      </c>
      <c r="U211" s="147">
        <f>IFERROR((HLOOKUP($AH211,Target_monthwise!$D$24:$O$40,DTR!U$4,FALSE)),0)</f>
        <v>0</v>
      </c>
      <c r="V211" s="147">
        <f>IFERROR((HLOOKUP($AH211,Target_monthwise!$D$24:$O$40,DTR!V$4,FALSE)),0)</f>
        <v>0</v>
      </c>
      <c r="W211" s="147">
        <f>IFERROR((HLOOKUP($AH211,Target_monthwise!$D$24:$O$40,DTR!W$4,FALSE)),0)</f>
        <v>0</v>
      </c>
      <c r="X211" s="147">
        <f>IFERROR((HLOOKUP($AH211,Target_monthwise!$D$24:$O$40,DTR!X$4,FALSE)),0)</f>
        <v>0</v>
      </c>
      <c r="Y211" s="147">
        <f>IFERROR((HLOOKUP($AH211,Target_monthwise!$D$24:$O$40,DTR!Y$4,FALSE)),0)</f>
        <v>0</v>
      </c>
      <c r="Z211" s="147">
        <f>IFERROR((HLOOKUP($AH211,Target_monthwise!$D$24:$O$40,DTR!Z$4,FALSE)),0)</f>
        <v>0</v>
      </c>
      <c r="AA211" s="147">
        <f>IFERROR((HLOOKUP($AH211,Target_monthwise!$D$24:$O$40,DTR!AA$4,FALSE)),0)</f>
        <v>0</v>
      </c>
      <c r="AB211" s="147">
        <f>IFERROR((HLOOKUP($AH211,Target_monthwise!$D$24:$O$40,DTR!AB$4,FALSE)),0)</f>
        <v>0</v>
      </c>
      <c r="AC211" s="147">
        <f>IFERROR((HLOOKUP($AH211,Target_monthwise!$D$24:$O$40,DTR!AC$4,FALSE)),0)</f>
        <v>0</v>
      </c>
      <c r="AD211" s="147">
        <f>IFERROR((HLOOKUP($AH211,Target_monthwise!$D$24:$O$40,DTR!AD$4,FALSE)),0)</f>
        <v>0</v>
      </c>
      <c r="AE211" s="147">
        <f>IFERROR((HLOOKUP($AH211,Target_monthwise!$D$24:$O$40,DTR!AE$4,FALSE)),0)</f>
        <v>0</v>
      </c>
      <c r="AF211" s="147">
        <f>IFERROR((HLOOKUP($AH211,Target_monthwise!$D$24:$O$40,DTR!AF$4,FALSE)),0)</f>
        <v>0</v>
      </c>
      <c r="AG211" s="172">
        <f>IFERROR((HLOOKUP($AH211,Target_monthwise!$D$24:$O$40,DTR!AG$4,FALSE)),0)</f>
        <v>0</v>
      </c>
      <c r="AH211" s="253">
        <f t="shared" si="3"/>
        <v>202210</v>
      </c>
    </row>
    <row r="212" spans="3:34" ht="15.75" hidden="1">
      <c r="C212" s="237">
        <v>44855</v>
      </c>
      <c r="D212" s="238">
        <f>IFERROR((HLOOKUP($AH212,Target_monthwise!$D$4:$O$20,DTR!D$4,FALSE))*1000,0)</f>
        <v>0</v>
      </c>
      <c r="E212" s="238">
        <f>IFERROR((HLOOKUP($AH212,Target_monthwise!$D$4:$O$20,DTR!E$4,FALSE))*1000,0)</f>
        <v>0</v>
      </c>
      <c r="F212" s="238">
        <f>IFERROR((HLOOKUP($AH212,Target_monthwise!$D$4:$O$20,DTR!F$4,FALSE))*1000,0)</f>
        <v>0</v>
      </c>
      <c r="G212" s="238">
        <f>IFERROR((HLOOKUP($AH212,Target_monthwise!$D$4:$O$20,DTR!G$4,FALSE))*1000,0)</f>
        <v>0</v>
      </c>
      <c r="H212" s="238">
        <f>IFERROR((HLOOKUP($AH212,Target_monthwise!$D$4:$O$20,DTR!H$4,FALSE))*1000,0)</f>
        <v>0</v>
      </c>
      <c r="I212" s="238">
        <f>IFERROR((HLOOKUP($AH212,Target_monthwise!$D$4:$O$20,DTR!I$4,FALSE))*1000,0)</f>
        <v>0</v>
      </c>
      <c r="J212" s="238">
        <f>IFERROR((HLOOKUP($AH212,Target_monthwise!$D$4:$O$20,DTR!J$4,FALSE))*1000,0)</f>
        <v>0</v>
      </c>
      <c r="K212" s="238">
        <f>IFERROR((HLOOKUP($AH212,Target_monthwise!$D$4:$O$20,DTR!K$4,FALSE))*1000,0)</f>
        <v>0</v>
      </c>
      <c r="L212" s="238">
        <f>IFERROR((HLOOKUP($AH212,Target_monthwise!$D$4:$O$20,DTR!L$4,FALSE))*1000,0)</f>
        <v>0</v>
      </c>
      <c r="M212" s="238">
        <f>IFERROR((HLOOKUP($AH212,Target_monthwise!$D$4:$O$20,DTR!M$4,FALSE))*1000,0)</f>
        <v>0</v>
      </c>
      <c r="N212" s="238">
        <f>IFERROR((HLOOKUP($AH212,Target_monthwise!$D$4:$O$20,DTR!N$4,FALSE))*1000,0)</f>
        <v>0</v>
      </c>
      <c r="O212" s="238">
        <f>IFERROR((HLOOKUP($AH212,Target_monthwise!$D$4:$O$20,DTR!O$4,FALSE))*1000,0)</f>
        <v>0</v>
      </c>
      <c r="P212" s="238">
        <f>IFERROR((HLOOKUP($AH212,Target_monthwise!$D$4:$O$20,DTR!P$4,FALSE))*1000,0)</f>
        <v>0</v>
      </c>
      <c r="Q212" s="141">
        <f>IFERROR((HLOOKUP($AH212,Target_monthwise!$D$4:$O$20,DTR!Q$4,FALSE))*1000,0)</f>
        <v>0</v>
      </c>
      <c r="R212" s="167">
        <f>IFERROR((HLOOKUP($AH212,Target_monthwise!$D$4:$O$20,DTR!R$4,FALSE))*1000,0)</f>
        <v>0</v>
      </c>
      <c r="S212" s="239">
        <f>IFERROR((HLOOKUP($AH212,Target_monthwise!$D$24:$O$40,DTR!S$4,FALSE)),0)</f>
        <v>0</v>
      </c>
      <c r="T212" s="239">
        <f>IFERROR((HLOOKUP($AH212,Target_monthwise!$D$24:$O$40,DTR!T$4,FALSE)),0)</f>
        <v>0</v>
      </c>
      <c r="U212" s="239">
        <f>IFERROR((HLOOKUP($AH212,Target_monthwise!$D$24:$O$40,DTR!U$4,FALSE)),0)</f>
        <v>0</v>
      </c>
      <c r="V212" s="239">
        <f>IFERROR((HLOOKUP($AH212,Target_monthwise!$D$24:$O$40,DTR!V$4,FALSE)),0)</f>
        <v>0</v>
      </c>
      <c r="W212" s="239">
        <f>IFERROR((HLOOKUP($AH212,Target_monthwise!$D$24:$O$40,DTR!W$4,FALSE)),0)</f>
        <v>0</v>
      </c>
      <c r="X212" s="239">
        <f>IFERROR((HLOOKUP($AH212,Target_monthwise!$D$24:$O$40,DTR!X$4,FALSE)),0)</f>
        <v>0</v>
      </c>
      <c r="Y212" s="239">
        <f>IFERROR((HLOOKUP($AH212,Target_monthwise!$D$24:$O$40,DTR!Y$4,FALSE)),0)</f>
        <v>0</v>
      </c>
      <c r="Z212" s="147">
        <f>IFERROR((HLOOKUP($AH212,Target_monthwise!$D$24:$O$40,DTR!Z$4,FALSE)),0)</f>
        <v>0</v>
      </c>
      <c r="AA212" s="147">
        <f>IFERROR((HLOOKUP($AH212,Target_monthwise!$D$24:$O$40,DTR!AA$4,FALSE)),0)</f>
        <v>0</v>
      </c>
      <c r="AB212" s="147">
        <f>IFERROR((HLOOKUP($AH212,Target_monthwise!$D$24:$O$40,DTR!AB$4,FALSE)),0)</f>
        <v>0</v>
      </c>
      <c r="AC212" s="239">
        <f>IFERROR((HLOOKUP($AH212,Target_monthwise!$D$24:$O$40,DTR!AC$4,FALSE)),0)</f>
        <v>0</v>
      </c>
      <c r="AD212" s="239">
        <f>IFERROR((HLOOKUP($AH212,Target_monthwise!$D$24:$O$40,DTR!AD$4,FALSE)),0)</f>
        <v>0</v>
      </c>
      <c r="AE212" s="239">
        <f>IFERROR((HLOOKUP($AH212,Target_monthwise!$D$24:$O$40,DTR!AE$4,FALSE)),0)</f>
        <v>0</v>
      </c>
      <c r="AF212" s="239">
        <f>IFERROR((HLOOKUP($AH212,Target_monthwise!$D$24:$O$40,DTR!AF$4,FALSE)),0)</f>
        <v>0</v>
      </c>
      <c r="AG212" s="172">
        <f>IFERROR((HLOOKUP($AH212,Target_monthwise!$D$24:$O$40,DTR!AG$4,FALSE)),0)</f>
        <v>0</v>
      </c>
      <c r="AH212" s="253">
        <f t="shared" si="3"/>
        <v>202210</v>
      </c>
    </row>
    <row r="213" spans="3:34" ht="15.75" hidden="1">
      <c r="C213" s="235">
        <v>44856</v>
      </c>
      <c r="D213" s="141">
        <f>IFERROR((HLOOKUP($AH213,Target_monthwise!$D$4:$O$20,DTR!D$4,FALSE))*1000,0)</f>
        <v>0</v>
      </c>
      <c r="E213" s="141">
        <f>IFERROR((HLOOKUP($AH213,Target_monthwise!$D$4:$O$20,DTR!E$4,FALSE))*1000,0)</f>
        <v>0</v>
      </c>
      <c r="F213" s="141">
        <f>IFERROR((HLOOKUP($AH213,Target_monthwise!$D$4:$O$20,DTR!F$4,FALSE))*1000,0)</f>
        <v>0</v>
      </c>
      <c r="G213" s="141">
        <f>IFERROR((HLOOKUP($AH213,Target_monthwise!$D$4:$O$20,DTR!G$4,FALSE))*1000,0)</f>
        <v>0</v>
      </c>
      <c r="H213" s="141">
        <f>IFERROR((HLOOKUP($AH213,Target_monthwise!$D$4:$O$20,DTR!H$4,FALSE))*1000,0)</f>
        <v>0</v>
      </c>
      <c r="I213" s="141">
        <f>IFERROR((HLOOKUP($AH213,Target_monthwise!$D$4:$O$20,DTR!I$4,FALSE))*1000,0)</f>
        <v>0</v>
      </c>
      <c r="J213" s="141">
        <f>IFERROR((HLOOKUP($AH213,Target_monthwise!$D$4:$O$20,DTR!J$4,FALSE))*1000,0)</f>
        <v>0</v>
      </c>
      <c r="K213" s="141">
        <f>IFERROR((HLOOKUP($AH213,Target_monthwise!$D$4:$O$20,DTR!K$4,FALSE))*1000,0)</f>
        <v>0</v>
      </c>
      <c r="L213" s="141">
        <f>IFERROR((HLOOKUP($AH213,Target_monthwise!$D$4:$O$20,DTR!L$4,FALSE))*1000,0)</f>
        <v>0</v>
      </c>
      <c r="M213" s="141">
        <f>IFERROR((HLOOKUP($AH213,Target_monthwise!$D$4:$O$20,DTR!M$4,FALSE))*1000,0)</f>
        <v>0</v>
      </c>
      <c r="N213" s="141">
        <f>IFERROR((HLOOKUP($AH213,Target_monthwise!$D$4:$O$20,DTR!N$4,FALSE))*1000,0)</f>
        <v>0</v>
      </c>
      <c r="O213" s="141">
        <f>IFERROR((HLOOKUP($AH213,Target_monthwise!$D$4:$O$20,DTR!O$4,FALSE))*1000,0)</f>
        <v>0</v>
      </c>
      <c r="P213" s="141">
        <f>IFERROR((HLOOKUP($AH213,Target_monthwise!$D$4:$O$20,DTR!P$4,FALSE))*1000,0)</f>
        <v>0</v>
      </c>
      <c r="Q213" s="141">
        <f>IFERROR((HLOOKUP($AH213,Target_monthwise!$D$4:$O$20,DTR!Q$4,FALSE))*1000,0)</f>
        <v>0</v>
      </c>
      <c r="R213" s="167">
        <f>IFERROR((HLOOKUP($AH213,Target_monthwise!$D$4:$O$20,DTR!R$4,FALSE))*1000,0)</f>
        <v>0</v>
      </c>
      <c r="S213" s="147">
        <f>IFERROR((HLOOKUP($AH213,Target_monthwise!$D$24:$O$40,DTR!S$4,FALSE)),0)</f>
        <v>0</v>
      </c>
      <c r="T213" s="147">
        <f>IFERROR((HLOOKUP($AH213,Target_monthwise!$D$24:$O$40,DTR!T$4,FALSE)),0)</f>
        <v>0</v>
      </c>
      <c r="U213" s="147">
        <f>IFERROR((HLOOKUP($AH213,Target_monthwise!$D$24:$O$40,DTR!U$4,FALSE)),0)</f>
        <v>0</v>
      </c>
      <c r="V213" s="147">
        <f>IFERROR((HLOOKUP($AH213,Target_monthwise!$D$24:$O$40,DTR!V$4,FALSE)),0)</f>
        <v>0</v>
      </c>
      <c r="W213" s="147">
        <f>IFERROR((HLOOKUP($AH213,Target_monthwise!$D$24:$O$40,DTR!W$4,FALSE)),0)</f>
        <v>0</v>
      </c>
      <c r="X213" s="147">
        <f>IFERROR((HLOOKUP($AH213,Target_monthwise!$D$24:$O$40,DTR!X$4,FALSE)),0)</f>
        <v>0</v>
      </c>
      <c r="Y213" s="147">
        <f>IFERROR((HLOOKUP($AH213,Target_monthwise!$D$24:$O$40,DTR!Y$4,FALSE)),0)</f>
        <v>0</v>
      </c>
      <c r="Z213" s="147">
        <f>IFERROR((HLOOKUP($AH213,Target_monthwise!$D$24:$O$40,DTR!Z$4,FALSE)),0)</f>
        <v>0</v>
      </c>
      <c r="AA213" s="147">
        <f>IFERROR((HLOOKUP($AH213,Target_monthwise!$D$24:$O$40,DTR!AA$4,FALSE)),0)</f>
        <v>0</v>
      </c>
      <c r="AB213" s="147">
        <f>IFERROR((HLOOKUP($AH213,Target_monthwise!$D$24:$O$40,DTR!AB$4,FALSE)),0)</f>
        <v>0</v>
      </c>
      <c r="AC213" s="147">
        <f>IFERROR((HLOOKUP($AH213,Target_monthwise!$D$24:$O$40,DTR!AC$4,FALSE)),0)</f>
        <v>0</v>
      </c>
      <c r="AD213" s="147">
        <f>IFERROR((HLOOKUP($AH213,Target_monthwise!$D$24:$O$40,DTR!AD$4,FALSE)),0)</f>
        <v>0</v>
      </c>
      <c r="AE213" s="147">
        <f>IFERROR((HLOOKUP($AH213,Target_monthwise!$D$24:$O$40,DTR!AE$4,FALSE)),0)</f>
        <v>0</v>
      </c>
      <c r="AF213" s="147">
        <f>IFERROR((HLOOKUP($AH213,Target_monthwise!$D$24:$O$40,DTR!AF$4,FALSE)),0)</f>
        <v>0</v>
      </c>
      <c r="AG213" s="172">
        <f>IFERROR((HLOOKUP($AH213,Target_monthwise!$D$24:$O$40,DTR!AG$4,FALSE)),0)</f>
        <v>0</v>
      </c>
      <c r="AH213" s="253">
        <f t="shared" si="3"/>
        <v>202210</v>
      </c>
    </row>
    <row r="214" spans="3:34" ht="15.75" hidden="1">
      <c r="C214" s="237">
        <v>44857</v>
      </c>
      <c r="D214" s="238">
        <f>IFERROR((HLOOKUP($AH214,Target_monthwise!$D$4:$O$20,DTR!D$4,FALSE))*1000,0)</f>
        <v>0</v>
      </c>
      <c r="E214" s="238">
        <f>IFERROR((HLOOKUP($AH214,Target_monthwise!$D$4:$O$20,DTR!E$4,FALSE))*1000,0)</f>
        <v>0</v>
      </c>
      <c r="F214" s="238">
        <f>IFERROR((HLOOKUP($AH214,Target_monthwise!$D$4:$O$20,DTR!F$4,FALSE))*1000,0)</f>
        <v>0</v>
      </c>
      <c r="G214" s="238">
        <f>IFERROR((HLOOKUP($AH214,Target_monthwise!$D$4:$O$20,DTR!G$4,FALSE))*1000,0)</f>
        <v>0</v>
      </c>
      <c r="H214" s="238">
        <f>IFERROR((HLOOKUP($AH214,Target_monthwise!$D$4:$O$20,DTR!H$4,FALSE))*1000,0)</f>
        <v>0</v>
      </c>
      <c r="I214" s="238">
        <f>IFERROR((HLOOKUP($AH214,Target_monthwise!$D$4:$O$20,DTR!I$4,FALSE))*1000,0)</f>
        <v>0</v>
      </c>
      <c r="J214" s="238">
        <f>IFERROR((HLOOKUP($AH214,Target_monthwise!$D$4:$O$20,DTR!J$4,FALSE))*1000,0)</f>
        <v>0</v>
      </c>
      <c r="K214" s="238">
        <f>IFERROR((HLOOKUP($AH214,Target_monthwise!$D$4:$O$20,DTR!K$4,FALSE))*1000,0)</f>
        <v>0</v>
      </c>
      <c r="L214" s="238">
        <f>IFERROR((HLOOKUP($AH214,Target_monthwise!$D$4:$O$20,DTR!L$4,FALSE))*1000,0)</f>
        <v>0</v>
      </c>
      <c r="M214" s="238">
        <f>IFERROR((HLOOKUP($AH214,Target_monthwise!$D$4:$O$20,DTR!M$4,FALSE))*1000,0)</f>
        <v>0</v>
      </c>
      <c r="N214" s="238">
        <f>IFERROR((HLOOKUP($AH214,Target_monthwise!$D$4:$O$20,DTR!N$4,FALSE))*1000,0)</f>
        <v>0</v>
      </c>
      <c r="O214" s="238">
        <f>IFERROR((HLOOKUP($AH214,Target_monthwise!$D$4:$O$20,DTR!O$4,FALSE))*1000,0)</f>
        <v>0</v>
      </c>
      <c r="P214" s="238">
        <f>IFERROR((HLOOKUP($AH214,Target_monthwise!$D$4:$O$20,DTR!P$4,FALSE))*1000,0)</f>
        <v>0</v>
      </c>
      <c r="Q214" s="141">
        <f>IFERROR((HLOOKUP($AH214,Target_monthwise!$D$4:$O$20,DTR!Q$4,FALSE))*1000,0)</f>
        <v>0</v>
      </c>
      <c r="R214" s="167">
        <f>IFERROR((HLOOKUP($AH214,Target_monthwise!$D$4:$O$20,DTR!R$4,FALSE))*1000,0)</f>
        <v>0</v>
      </c>
      <c r="S214" s="239">
        <f>IFERROR((HLOOKUP($AH214,Target_monthwise!$D$24:$O$40,DTR!S$4,FALSE)),0)</f>
        <v>0</v>
      </c>
      <c r="T214" s="239">
        <f>IFERROR((HLOOKUP($AH214,Target_monthwise!$D$24:$O$40,DTR!T$4,FALSE)),0)</f>
        <v>0</v>
      </c>
      <c r="U214" s="239">
        <f>IFERROR((HLOOKUP($AH214,Target_monthwise!$D$24:$O$40,DTR!U$4,FALSE)),0)</f>
        <v>0</v>
      </c>
      <c r="V214" s="239">
        <f>IFERROR((HLOOKUP($AH214,Target_monthwise!$D$24:$O$40,DTR!V$4,FALSE)),0)</f>
        <v>0</v>
      </c>
      <c r="W214" s="239">
        <f>IFERROR((HLOOKUP($AH214,Target_monthwise!$D$24:$O$40,DTR!W$4,FALSE)),0)</f>
        <v>0</v>
      </c>
      <c r="X214" s="239">
        <f>IFERROR((HLOOKUP($AH214,Target_monthwise!$D$24:$O$40,DTR!X$4,FALSE)),0)</f>
        <v>0</v>
      </c>
      <c r="Y214" s="239">
        <f>IFERROR((HLOOKUP($AH214,Target_monthwise!$D$24:$O$40,DTR!Y$4,FALSE)),0)</f>
        <v>0</v>
      </c>
      <c r="Z214" s="147">
        <f>IFERROR((HLOOKUP($AH214,Target_monthwise!$D$24:$O$40,DTR!Z$4,FALSE)),0)</f>
        <v>0</v>
      </c>
      <c r="AA214" s="147">
        <f>IFERROR((HLOOKUP($AH214,Target_monthwise!$D$24:$O$40,DTR!AA$4,FALSE)),0)</f>
        <v>0</v>
      </c>
      <c r="AB214" s="147">
        <f>IFERROR((HLOOKUP($AH214,Target_monthwise!$D$24:$O$40,DTR!AB$4,FALSE)),0)</f>
        <v>0</v>
      </c>
      <c r="AC214" s="239">
        <f>IFERROR((HLOOKUP($AH214,Target_monthwise!$D$24:$O$40,DTR!AC$4,FALSE)),0)</f>
        <v>0</v>
      </c>
      <c r="AD214" s="239">
        <f>IFERROR((HLOOKUP($AH214,Target_monthwise!$D$24:$O$40,DTR!AD$4,FALSE)),0)</f>
        <v>0</v>
      </c>
      <c r="AE214" s="239">
        <f>IFERROR((HLOOKUP($AH214,Target_monthwise!$D$24:$O$40,DTR!AE$4,FALSE)),0)</f>
        <v>0</v>
      </c>
      <c r="AF214" s="239">
        <f>IFERROR((HLOOKUP($AH214,Target_monthwise!$D$24:$O$40,DTR!AF$4,FALSE)),0)</f>
        <v>0</v>
      </c>
      <c r="AG214" s="172">
        <f>IFERROR((HLOOKUP($AH214,Target_monthwise!$D$24:$O$40,DTR!AG$4,FALSE)),0)</f>
        <v>0</v>
      </c>
      <c r="AH214" s="253">
        <f t="shared" si="3"/>
        <v>202210</v>
      </c>
    </row>
    <row r="215" spans="3:34" ht="15.75" hidden="1">
      <c r="C215" s="235">
        <v>44858</v>
      </c>
      <c r="D215" s="141">
        <f>IFERROR((HLOOKUP($AH215,Target_monthwise!$D$4:$O$20,DTR!D$4,FALSE))*1000,0)</f>
        <v>0</v>
      </c>
      <c r="E215" s="141">
        <f>IFERROR((HLOOKUP($AH215,Target_monthwise!$D$4:$O$20,DTR!E$4,FALSE))*1000,0)</f>
        <v>0</v>
      </c>
      <c r="F215" s="141">
        <f>IFERROR((HLOOKUP($AH215,Target_monthwise!$D$4:$O$20,DTR!F$4,FALSE))*1000,0)</f>
        <v>0</v>
      </c>
      <c r="G215" s="141">
        <f>IFERROR((HLOOKUP($AH215,Target_monthwise!$D$4:$O$20,DTR!G$4,FALSE))*1000,0)</f>
        <v>0</v>
      </c>
      <c r="H215" s="141">
        <f>IFERROR((HLOOKUP($AH215,Target_monthwise!$D$4:$O$20,DTR!H$4,FALSE))*1000,0)</f>
        <v>0</v>
      </c>
      <c r="I215" s="141">
        <f>IFERROR((HLOOKUP($AH215,Target_monthwise!$D$4:$O$20,DTR!I$4,FALSE))*1000,0)</f>
        <v>0</v>
      </c>
      <c r="J215" s="141">
        <f>IFERROR((HLOOKUP($AH215,Target_monthwise!$D$4:$O$20,DTR!J$4,FALSE))*1000,0)</f>
        <v>0</v>
      </c>
      <c r="K215" s="141">
        <f>IFERROR((HLOOKUP($AH215,Target_monthwise!$D$4:$O$20,DTR!K$4,FALSE))*1000,0)</f>
        <v>0</v>
      </c>
      <c r="L215" s="141">
        <f>IFERROR((HLOOKUP($AH215,Target_monthwise!$D$4:$O$20,DTR!L$4,FALSE))*1000,0)</f>
        <v>0</v>
      </c>
      <c r="M215" s="141">
        <f>IFERROR((HLOOKUP($AH215,Target_monthwise!$D$4:$O$20,DTR!M$4,FALSE))*1000,0)</f>
        <v>0</v>
      </c>
      <c r="N215" s="141">
        <f>IFERROR((HLOOKUP($AH215,Target_monthwise!$D$4:$O$20,DTR!N$4,FALSE))*1000,0)</f>
        <v>0</v>
      </c>
      <c r="O215" s="141">
        <f>IFERROR((HLOOKUP($AH215,Target_monthwise!$D$4:$O$20,DTR!O$4,FALSE))*1000,0)</f>
        <v>0</v>
      </c>
      <c r="P215" s="141">
        <f>IFERROR((HLOOKUP($AH215,Target_monthwise!$D$4:$O$20,DTR!P$4,FALSE))*1000,0)</f>
        <v>0</v>
      </c>
      <c r="Q215" s="141">
        <f>IFERROR((HLOOKUP($AH215,Target_monthwise!$D$4:$O$20,DTR!Q$4,FALSE))*1000,0)</f>
        <v>0</v>
      </c>
      <c r="R215" s="167">
        <f>IFERROR((HLOOKUP($AH215,Target_monthwise!$D$4:$O$20,DTR!R$4,FALSE))*1000,0)</f>
        <v>0</v>
      </c>
      <c r="S215" s="147">
        <f>IFERROR((HLOOKUP($AH215,Target_monthwise!$D$24:$O$40,DTR!S$4,FALSE)),0)</f>
        <v>0</v>
      </c>
      <c r="T215" s="147">
        <f>IFERROR((HLOOKUP($AH215,Target_monthwise!$D$24:$O$40,DTR!T$4,FALSE)),0)</f>
        <v>0</v>
      </c>
      <c r="U215" s="147">
        <f>IFERROR((HLOOKUP($AH215,Target_monthwise!$D$24:$O$40,DTR!U$4,FALSE)),0)</f>
        <v>0</v>
      </c>
      <c r="V215" s="147">
        <f>IFERROR((HLOOKUP($AH215,Target_monthwise!$D$24:$O$40,DTR!V$4,FALSE)),0)</f>
        <v>0</v>
      </c>
      <c r="W215" s="147">
        <f>IFERROR((HLOOKUP($AH215,Target_monthwise!$D$24:$O$40,DTR!W$4,FALSE)),0)</f>
        <v>0</v>
      </c>
      <c r="X215" s="147">
        <f>IFERROR((HLOOKUP($AH215,Target_monthwise!$D$24:$O$40,DTR!X$4,FALSE)),0)</f>
        <v>0</v>
      </c>
      <c r="Y215" s="147">
        <f>IFERROR((HLOOKUP($AH215,Target_monthwise!$D$24:$O$40,DTR!Y$4,FALSE)),0)</f>
        <v>0</v>
      </c>
      <c r="Z215" s="147">
        <f>IFERROR((HLOOKUP($AH215,Target_monthwise!$D$24:$O$40,DTR!Z$4,FALSE)),0)</f>
        <v>0</v>
      </c>
      <c r="AA215" s="147">
        <f>IFERROR((HLOOKUP($AH215,Target_monthwise!$D$24:$O$40,DTR!AA$4,FALSE)),0)</f>
        <v>0</v>
      </c>
      <c r="AB215" s="147">
        <f>IFERROR((HLOOKUP($AH215,Target_monthwise!$D$24:$O$40,DTR!AB$4,FALSE)),0)</f>
        <v>0</v>
      </c>
      <c r="AC215" s="147">
        <f>IFERROR((HLOOKUP($AH215,Target_monthwise!$D$24:$O$40,DTR!AC$4,FALSE)),0)</f>
        <v>0</v>
      </c>
      <c r="AD215" s="147">
        <f>IFERROR((HLOOKUP($AH215,Target_monthwise!$D$24:$O$40,DTR!AD$4,FALSE)),0)</f>
        <v>0</v>
      </c>
      <c r="AE215" s="147">
        <f>IFERROR((HLOOKUP($AH215,Target_monthwise!$D$24:$O$40,DTR!AE$4,FALSE)),0)</f>
        <v>0</v>
      </c>
      <c r="AF215" s="147">
        <f>IFERROR((HLOOKUP($AH215,Target_monthwise!$D$24:$O$40,DTR!AF$4,FALSE)),0)</f>
        <v>0</v>
      </c>
      <c r="AG215" s="172">
        <f>IFERROR((HLOOKUP($AH215,Target_monthwise!$D$24:$O$40,DTR!AG$4,FALSE)),0)</f>
        <v>0</v>
      </c>
      <c r="AH215" s="253">
        <f t="shared" si="3"/>
        <v>202210</v>
      </c>
    </row>
    <row r="216" spans="3:34" ht="15.75" hidden="1">
      <c r="C216" s="237">
        <v>44859</v>
      </c>
      <c r="D216" s="238">
        <f>IFERROR((HLOOKUP($AH216,Target_monthwise!$D$4:$O$20,DTR!D$4,FALSE))*1000,0)</f>
        <v>0</v>
      </c>
      <c r="E216" s="238">
        <f>IFERROR((HLOOKUP($AH216,Target_monthwise!$D$4:$O$20,DTR!E$4,FALSE))*1000,0)</f>
        <v>0</v>
      </c>
      <c r="F216" s="238">
        <f>IFERROR((HLOOKUP($AH216,Target_monthwise!$D$4:$O$20,DTR!F$4,FALSE))*1000,0)</f>
        <v>0</v>
      </c>
      <c r="G216" s="238">
        <f>IFERROR((HLOOKUP($AH216,Target_monthwise!$D$4:$O$20,DTR!G$4,FALSE))*1000,0)</f>
        <v>0</v>
      </c>
      <c r="H216" s="238">
        <f>IFERROR((HLOOKUP($AH216,Target_monthwise!$D$4:$O$20,DTR!H$4,FALSE))*1000,0)</f>
        <v>0</v>
      </c>
      <c r="I216" s="238">
        <f>IFERROR((HLOOKUP($AH216,Target_monthwise!$D$4:$O$20,DTR!I$4,FALSE))*1000,0)</f>
        <v>0</v>
      </c>
      <c r="J216" s="238">
        <f>IFERROR((HLOOKUP($AH216,Target_monthwise!$D$4:$O$20,DTR!J$4,FALSE))*1000,0)</f>
        <v>0</v>
      </c>
      <c r="K216" s="238">
        <f>IFERROR((HLOOKUP($AH216,Target_monthwise!$D$4:$O$20,DTR!K$4,FALSE))*1000,0)</f>
        <v>0</v>
      </c>
      <c r="L216" s="238">
        <f>IFERROR((HLOOKUP($AH216,Target_monthwise!$D$4:$O$20,DTR!L$4,FALSE))*1000,0)</f>
        <v>0</v>
      </c>
      <c r="M216" s="238">
        <f>IFERROR((HLOOKUP($AH216,Target_monthwise!$D$4:$O$20,DTR!M$4,FALSE))*1000,0)</f>
        <v>0</v>
      </c>
      <c r="N216" s="238">
        <f>IFERROR((HLOOKUP($AH216,Target_monthwise!$D$4:$O$20,DTR!N$4,FALSE))*1000,0)</f>
        <v>0</v>
      </c>
      <c r="O216" s="238">
        <f>IFERROR((HLOOKUP($AH216,Target_monthwise!$D$4:$O$20,DTR!O$4,FALSE))*1000,0)</f>
        <v>0</v>
      </c>
      <c r="P216" s="238">
        <f>IFERROR((HLOOKUP($AH216,Target_monthwise!$D$4:$O$20,DTR!P$4,FALSE))*1000,0)</f>
        <v>0</v>
      </c>
      <c r="Q216" s="141">
        <f>IFERROR((HLOOKUP($AH216,Target_monthwise!$D$4:$O$20,DTR!Q$4,FALSE))*1000,0)</f>
        <v>0</v>
      </c>
      <c r="R216" s="167">
        <f>IFERROR((HLOOKUP($AH216,Target_monthwise!$D$4:$O$20,DTR!R$4,FALSE))*1000,0)</f>
        <v>0</v>
      </c>
      <c r="S216" s="239">
        <f>IFERROR((HLOOKUP($AH216,Target_monthwise!$D$24:$O$40,DTR!S$4,FALSE)),0)</f>
        <v>0</v>
      </c>
      <c r="T216" s="239">
        <f>IFERROR((HLOOKUP($AH216,Target_monthwise!$D$24:$O$40,DTR!T$4,FALSE)),0)</f>
        <v>0</v>
      </c>
      <c r="U216" s="239">
        <f>IFERROR((HLOOKUP($AH216,Target_monthwise!$D$24:$O$40,DTR!U$4,FALSE)),0)</f>
        <v>0</v>
      </c>
      <c r="V216" s="239">
        <f>IFERROR((HLOOKUP($AH216,Target_monthwise!$D$24:$O$40,DTR!V$4,FALSE)),0)</f>
        <v>0</v>
      </c>
      <c r="W216" s="239">
        <f>IFERROR((HLOOKUP($AH216,Target_monthwise!$D$24:$O$40,DTR!W$4,FALSE)),0)</f>
        <v>0</v>
      </c>
      <c r="X216" s="239">
        <f>IFERROR((HLOOKUP($AH216,Target_monthwise!$D$24:$O$40,DTR!X$4,FALSE)),0)</f>
        <v>0</v>
      </c>
      <c r="Y216" s="239">
        <f>IFERROR((HLOOKUP($AH216,Target_monthwise!$D$24:$O$40,DTR!Y$4,FALSE)),0)</f>
        <v>0</v>
      </c>
      <c r="Z216" s="147">
        <f>IFERROR((HLOOKUP($AH216,Target_monthwise!$D$24:$O$40,DTR!Z$4,FALSE)),0)</f>
        <v>0</v>
      </c>
      <c r="AA216" s="147">
        <f>IFERROR((HLOOKUP($AH216,Target_monthwise!$D$24:$O$40,DTR!AA$4,FALSE)),0)</f>
        <v>0</v>
      </c>
      <c r="AB216" s="147">
        <f>IFERROR((HLOOKUP($AH216,Target_monthwise!$D$24:$O$40,DTR!AB$4,FALSE)),0)</f>
        <v>0</v>
      </c>
      <c r="AC216" s="239">
        <f>IFERROR((HLOOKUP($AH216,Target_monthwise!$D$24:$O$40,DTR!AC$4,FALSE)),0)</f>
        <v>0</v>
      </c>
      <c r="AD216" s="239">
        <f>IFERROR((HLOOKUP($AH216,Target_monthwise!$D$24:$O$40,DTR!AD$4,FALSE)),0)</f>
        <v>0</v>
      </c>
      <c r="AE216" s="239">
        <f>IFERROR((HLOOKUP($AH216,Target_monthwise!$D$24:$O$40,DTR!AE$4,FALSE)),0)</f>
        <v>0</v>
      </c>
      <c r="AF216" s="239">
        <f>IFERROR((HLOOKUP($AH216,Target_monthwise!$D$24:$O$40,DTR!AF$4,FALSE)),0)</f>
        <v>0</v>
      </c>
      <c r="AG216" s="172">
        <f>IFERROR((HLOOKUP($AH216,Target_monthwise!$D$24:$O$40,DTR!AG$4,FALSE)),0)</f>
        <v>0</v>
      </c>
      <c r="AH216" s="253">
        <f t="shared" si="3"/>
        <v>202210</v>
      </c>
    </row>
    <row r="217" spans="3:34" ht="15.75" hidden="1">
      <c r="C217" s="235">
        <v>44860</v>
      </c>
      <c r="D217" s="141">
        <f>IFERROR((HLOOKUP($AH217,Target_monthwise!$D$4:$O$20,DTR!D$4,FALSE))*1000,0)</f>
        <v>0</v>
      </c>
      <c r="E217" s="141">
        <f>IFERROR((HLOOKUP($AH217,Target_monthwise!$D$4:$O$20,DTR!E$4,FALSE))*1000,0)</f>
        <v>0</v>
      </c>
      <c r="F217" s="141">
        <f>IFERROR((HLOOKUP($AH217,Target_monthwise!$D$4:$O$20,DTR!F$4,FALSE))*1000,0)</f>
        <v>0</v>
      </c>
      <c r="G217" s="141">
        <f>IFERROR((HLOOKUP($AH217,Target_monthwise!$D$4:$O$20,DTR!G$4,FALSE))*1000,0)</f>
        <v>0</v>
      </c>
      <c r="H217" s="141">
        <f>IFERROR((HLOOKUP($AH217,Target_monthwise!$D$4:$O$20,DTR!H$4,FALSE))*1000,0)</f>
        <v>0</v>
      </c>
      <c r="I217" s="141">
        <f>IFERROR((HLOOKUP($AH217,Target_monthwise!$D$4:$O$20,DTR!I$4,FALSE))*1000,0)</f>
        <v>0</v>
      </c>
      <c r="J217" s="141">
        <f>IFERROR((HLOOKUP($AH217,Target_monthwise!$D$4:$O$20,DTR!J$4,FALSE))*1000,0)</f>
        <v>0</v>
      </c>
      <c r="K217" s="141">
        <f>IFERROR((HLOOKUP($AH217,Target_monthwise!$D$4:$O$20,DTR!K$4,FALSE))*1000,0)</f>
        <v>0</v>
      </c>
      <c r="L217" s="141">
        <f>IFERROR((HLOOKUP($AH217,Target_monthwise!$D$4:$O$20,DTR!L$4,FALSE))*1000,0)</f>
        <v>0</v>
      </c>
      <c r="M217" s="141">
        <f>IFERROR((HLOOKUP($AH217,Target_monthwise!$D$4:$O$20,DTR!M$4,FALSE))*1000,0)</f>
        <v>0</v>
      </c>
      <c r="N217" s="141">
        <f>IFERROR((HLOOKUP($AH217,Target_monthwise!$D$4:$O$20,DTR!N$4,FALSE))*1000,0)</f>
        <v>0</v>
      </c>
      <c r="O217" s="141">
        <f>IFERROR((HLOOKUP($AH217,Target_monthwise!$D$4:$O$20,DTR!O$4,FALSE))*1000,0)</f>
        <v>0</v>
      </c>
      <c r="P217" s="141">
        <f>IFERROR((HLOOKUP($AH217,Target_monthwise!$D$4:$O$20,DTR!P$4,FALSE))*1000,0)</f>
        <v>0</v>
      </c>
      <c r="Q217" s="141">
        <f>IFERROR((HLOOKUP($AH217,Target_monthwise!$D$4:$O$20,DTR!Q$4,FALSE))*1000,0)</f>
        <v>0</v>
      </c>
      <c r="R217" s="167">
        <f>IFERROR((HLOOKUP($AH217,Target_monthwise!$D$4:$O$20,DTR!R$4,FALSE))*1000,0)</f>
        <v>0</v>
      </c>
      <c r="S217" s="147">
        <f>IFERROR((HLOOKUP($AH217,Target_monthwise!$D$24:$O$40,DTR!S$4,FALSE)),0)</f>
        <v>0</v>
      </c>
      <c r="T217" s="147">
        <f>IFERROR((HLOOKUP($AH217,Target_monthwise!$D$24:$O$40,DTR!T$4,FALSE)),0)</f>
        <v>0</v>
      </c>
      <c r="U217" s="147">
        <f>IFERROR((HLOOKUP($AH217,Target_monthwise!$D$24:$O$40,DTR!U$4,FALSE)),0)</f>
        <v>0</v>
      </c>
      <c r="V217" s="147">
        <f>IFERROR((HLOOKUP($AH217,Target_monthwise!$D$24:$O$40,DTR!V$4,FALSE)),0)</f>
        <v>0</v>
      </c>
      <c r="W217" s="147">
        <f>IFERROR((HLOOKUP($AH217,Target_monthwise!$D$24:$O$40,DTR!W$4,FALSE)),0)</f>
        <v>0</v>
      </c>
      <c r="X217" s="147">
        <f>IFERROR((HLOOKUP($AH217,Target_monthwise!$D$24:$O$40,DTR!X$4,FALSE)),0)</f>
        <v>0</v>
      </c>
      <c r="Y217" s="147">
        <f>IFERROR((HLOOKUP($AH217,Target_monthwise!$D$24:$O$40,DTR!Y$4,FALSE)),0)</f>
        <v>0</v>
      </c>
      <c r="Z217" s="147">
        <f>IFERROR((HLOOKUP($AH217,Target_monthwise!$D$24:$O$40,DTR!Z$4,FALSE)),0)</f>
        <v>0</v>
      </c>
      <c r="AA217" s="147">
        <f>IFERROR((HLOOKUP($AH217,Target_monthwise!$D$24:$O$40,DTR!AA$4,FALSE)),0)</f>
        <v>0</v>
      </c>
      <c r="AB217" s="147">
        <f>IFERROR((HLOOKUP($AH217,Target_monthwise!$D$24:$O$40,DTR!AB$4,FALSE)),0)</f>
        <v>0</v>
      </c>
      <c r="AC217" s="147">
        <f>IFERROR((HLOOKUP($AH217,Target_monthwise!$D$24:$O$40,DTR!AC$4,FALSE)),0)</f>
        <v>0</v>
      </c>
      <c r="AD217" s="147">
        <f>IFERROR((HLOOKUP($AH217,Target_monthwise!$D$24:$O$40,DTR!AD$4,FALSE)),0)</f>
        <v>0</v>
      </c>
      <c r="AE217" s="147">
        <f>IFERROR((HLOOKUP($AH217,Target_monthwise!$D$24:$O$40,DTR!AE$4,FALSE)),0)</f>
        <v>0</v>
      </c>
      <c r="AF217" s="147">
        <f>IFERROR((HLOOKUP($AH217,Target_monthwise!$D$24:$O$40,DTR!AF$4,FALSE)),0)</f>
        <v>0</v>
      </c>
      <c r="AG217" s="172">
        <f>IFERROR((HLOOKUP($AH217,Target_monthwise!$D$24:$O$40,DTR!AG$4,FALSE)),0)</f>
        <v>0</v>
      </c>
      <c r="AH217" s="253">
        <f t="shared" si="3"/>
        <v>202210</v>
      </c>
    </row>
    <row r="218" spans="3:34" ht="15.75" hidden="1">
      <c r="C218" s="237">
        <v>44861</v>
      </c>
      <c r="D218" s="238">
        <f>IFERROR((HLOOKUP($AH218,Target_monthwise!$D$4:$O$20,DTR!D$4,FALSE))*1000,0)</f>
        <v>0</v>
      </c>
      <c r="E218" s="238">
        <f>IFERROR((HLOOKUP($AH218,Target_monthwise!$D$4:$O$20,DTR!E$4,FALSE))*1000,0)</f>
        <v>0</v>
      </c>
      <c r="F218" s="238">
        <f>IFERROR((HLOOKUP($AH218,Target_monthwise!$D$4:$O$20,DTR!F$4,FALSE))*1000,0)</f>
        <v>0</v>
      </c>
      <c r="G218" s="238">
        <f>IFERROR((HLOOKUP($AH218,Target_monthwise!$D$4:$O$20,DTR!G$4,FALSE))*1000,0)</f>
        <v>0</v>
      </c>
      <c r="H218" s="238">
        <f>IFERROR((HLOOKUP($AH218,Target_monthwise!$D$4:$O$20,DTR!H$4,FALSE))*1000,0)</f>
        <v>0</v>
      </c>
      <c r="I218" s="238">
        <f>IFERROR((HLOOKUP($AH218,Target_monthwise!$D$4:$O$20,DTR!I$4,FALSE))*1000,0)</f>
        <v>0</v>
      </c>
      <c r="J218" s="238">
        <f>IFERROR((HLOOKUP($AH218,Target_monthwise!$D$4:$O$20,DTR!J$4,FALSE))*1000,0)</f>
        <v>0</v>
      </c>
      <c r="K218" s="238">
        <f>IFERROR((HLOOKUP($AH218,Target_monthwise!$D$4:$O$20,DTR!K$4,FALSE))*1000,0)</f>
        <v>0</v>
      </c>
      <c r="L218" s="238">
        <f>IFERROR((HLOOKUP($AH218,Target_monthwise!$D$4:$O$20,DTR!L$4,FALSE))*1000,0)</f>
        <v>0</v>
      </c>
      <c r="M218" s="238">
        <f>IFERROR((HLOOKUP($AH218,Target_monthwise!$D$4:$O$20,DTR!M$4,FALSE))*1000,0)</f>
        <v>0</v>
      </c>
      <c r="N218" s="238">
        <f>IFERROR((HLOOKUP($AH218,Target_monthwise!$D$4:$O$20,DTR!N$4,FALSE))*1000,0)</f>
        <v>0</v>
      </c>
      <c r="O218" s="238">
        <f>IFERROR((HLOOKUP($AH218,Target_monthwise!$D$4:$O$20,DTR!O$4,FALSE))*1000,0)</f>
        <v>0</v>
      </c>
      <c r="P218" s="238">
        <f>IFERROR((HLOOKUP($AH218,Target_monthwise!$D$4:$O$20,DTR!P$4,FALSE))*1000,0)</f>
        <v>0</v>
      </c>
      <c r="Q218" s="141">
        <f>IFERROR((HLOOKUP($AH218,Target_monthwise!$D$4:$O$20,DTR!Q$4,FALSE))*1000,0)</f>
        <v>0</v>
      </c>
      <c r="R218" s="167">
        <f>IFERROR((HLOOKUP($AH218,Target_monthwise!$D$4:$O$20,DTR!R$4,FALSE))*1000,0)</f>
        <v>0</v>
      </c>
      <c r="S218" s="239">
        <f>IFERROR((HLOOKUP($AH218,Target_monthwise!$D$24:$O$40,DTR!S$4,FALSE)),0)</f>
        <v>0</v>
      </c>
      <c r="T218" s="239">
        <f>IFERROR((HLOOKUP($AH218,Target_monthwise!$D$24:$O$40,DTR!T$4,FALSE)),0)</f>
        <v>0</v>
      </c>
      <c r="U218" s="239">
        <f>IFERROR((HLOOKUP($AH218,Target_monthwise!$D$24:$O$40,DTR!U$4,FALSE)),0)</f>
        <v>0</v>
      </c>
      <c r="V218" s="239">
        <f>IFERROR((HLOOKUP($AH218,Target_monthwise!$D$24:$O$40,DTR!V$4,FALSE)),0)</f>
        <v>0</v>
      </c>
      <c r="W218" s="239">
        <f>IFERROR((HLOOKUP($AH218,Target_monthwise!$D$24:$O$40,DTR!W$4,FALSE)),0)</f>
        <v>0</v>
      </c>
      <c r="X218" s="239">
        <f>IFERROR((HLOOKUP($AH218,Target_monthwise!$D$24:$O$40,DTR!X$4,FALSE)),0)</f>
        <v>0</v>
      </c>
      <c r="Y218" s="239">
        <f>IFERROR((HLOOKUP($AH218,Target_monthwise!$D$24:$O$40,DTR!Y$4,FALSE)),0)</f>
        <v>0</v>
      </c>
      <c r="Z218" s="147">
        <f>IFERROR((HLOOKUP($AH218,Target_monthwise!$D$24:$O$40,DTR!Z$4,FALSE)),0)</f>
        <v>0</v>
      </c>
      <c r="AA218" s="147">
        <f>IFERROR((HLOOKUP($AH218,Target_monthwise!$D$24:$O$40,DTR!AA$4,FALSE)),0)</f>
        <v>0</v>
      </c>
      <c r="AB218" s="147">
        <f>IFERROR((HLOOKUP($AH218,Target_monthwise!$D$24:$O$40,DTR!AB$4,FALSE)),0)</f>
        <v>0</v>
      </c>
      <c r="AC218" s="239">
        <f>IFERROR((HLOOKUP($AH218,Target_monthwise!$D$24:$O$40,DTR!AC$4,FALSE)),0)</f>
        <v>0</v>
      </c>
      <c r="AD218" s="239">
        <f>IFERROR((HLOOKUP($AH218,Target_monthwise!$D$24:$O$40,DTR!AD$4,FALSE)),0)</f>
        <v>0</v>
      </c>
      <c r="AE218" s="239">
        <f>IFERROR((HLOOKUP($AH218,Target_monthwise!$D$24:$O$40,DTR!AE$4,FALSE)),0)</f>
        <v>0</v>
      </c>
      <c r="AF218" s="239">
        <f>IFERROR((HLOOKUP($AH218,Target_monthwise!$D$24:$O$40,DTR!AF$4,FALSE)),0)</f>
        <v>0</v>
      </c>
      <c r="AG218" s="172">
        <f>IFERROR((HLOOKUP($AH218,Target_monthwise!$D$24:$O$40,DTR!AG$4,FALSE)),0)</f>
        <v>0</v>
      </c>
      <c r="AH218" s="253">
        <f t="shared" si="3"/>
        <v>202210</v>
      </c>
    </row>
    <row r="219" spans="3:34" ht="15.75" hidden="1">
      <c r="C219" s="235">
        <v>44862</v>
      </c>
      <c r="D219" s="141">
        <f>IFERROR((HLOOKUP($AH219,Target_monthwise!$D$4:$O$20,DTR!D$4,FALSE))*1000,0)</f>
        <v>0</v>
      </c>
      <c r="E219" s="141">
        <f>IFERROR((HLOOKUP($AH219,Target_monthwise!$D$4:$O$20,DTR!E$4,FALSE))*1000,0)</f>
        <v>0</v>
      </c>
      <c r="F219" s="141">
        <f>IFERROR((HLOOKUP($AH219,Target_monthwise!$D$4:$O$20,DTR!F$4,FALSE))*1000,0)</f>
        <v>0</v>
      </c>
      <c r="G219" s="141">
        <f>IFERROR((HLOOKUP($AH219,Target_monthwise!$D$4:$O$20,DTR!G$4,FALSE))*1000,0)</f>
        <v>0</v>
      </c>
      <c r="H219" s="141">
        <f>IFERROR((HLOOKUP($AH219,Target_monthwise!$D$4:$O$20,DTR!H$4,FALSE))*1000,0)</f>
        <v>0</v>
      </c>
      <c r="I219" s="141">
        <f>IFERROR((HLOOKUP($AH219,Target_monthwise!$D$4:$O$20,DTR!I$4,FALSE))*1000,0)</f>
        <v>0</v>
      </c>
      <c r="J219" s="141">
        <f>IFERROR((HLOOKUP($AH219,Target_monthwise!$D$4:$O$20,DTR!J$4,FALSE))*1000,0)</f>
        <v>0</v>
      </c>
      <c r="K219" s="141">
        <f>IFERROR((HLOOKUP($AH219,Target_monthwise!$D$4:$O$20,DTR!K$4,FALSE))*1000,0)</f>
        <v>0</v>
      </c>
      <c r="L219" s="141">
        <f>IFERROR((HLOOKUP($AH219,Target_monthwise!$D$4:$O$20,DTR!L$4,FALSE))*1000,0)</f>
        <v>0</v>
      </c>
      <c r="M219" s="141">
        <f>IFERROR((HLOOKUP($AH219,Target_monthwise!$D$4:$O$20,DTR!M$4,FALSE))*1000,0)</f>
        <v>0</v>
      </c>
      <c r="N219" s="141">
        <f>IFERROR((HLOOKUP($AH219,Target_monthwise!$D$4:$O$20,DTR!N$4,FALSE))*1000,0)</f>
        <v>0</v>
      </c>
      <c r="O219" s="141">
        <f>IFERROR((HLOOKUP($AH219,Target_monthwise!$D$4:$O$20,DTR!O$4,FALSE))*1000,0)</f>
        <v>0</v>
      </c>
      <c r="P219" s="141">
        <f>IFERROR((HLOOKUP($AH219,Target_monthwise!$D$4:$O$20,DTR!P$4,FALSE))*1000,0)</f>
        <v>0</v>
      </c>
      <c r="Q219" s="141">
        <f>IFERROR((HLOOKUP($AH219,Target_monthwise!$D$4:$O$20,DTR!Q$4,FALSE))*1000,0)</f>
        <v>0</v>
      </c>
      <c r="R219" s="167">
        <f>IFERROR((HLOOKUP($AH219,Target_monthwise!$D$4:$O$20,DTR!R$4,FALSE))*1000,0)</f>
        <v>0</v>
      </c>
      <c r="S219" s="147">
        <f>IFERROR((HLOOKUP($AH219,Target_monthwise!$D$24:$O$40,DTR!S$4,FALSE)),0)</f>
        <v>0</v>
      </c>
      <c r="T219" s="147">
        <f>IFERROR((HLOOKUP($AH219,Target_monthwise!$D$24:$O$40,DTR!T$4,FALSE)),0)</f>
        <v>0</v>
      </c>
      <c r="U219" s="147">
        <f>IFERROR((HLOOKUP($AH219,Target_monthwise!$D$24:$O$40,DTR!U$4,FALSE)),0)</f>
        <v>0</v>
      </c>
      <c r="V219" s="147">
        <f>IFERROR((HLOOKUP($AH219,Target_monthwise!$D$24:$O$40,DTR!V$4,FALSE)),0)</f>
        <v>0</v>
      </c>
      <c r="W219" s="147">
        <f>IFERROR((HLOOKUP($AH219,Target_monthwise!$D$24:$O$40,DTR!W$4,FALSE)),0)</f>
        <v>0</v>
      </c>
      <c r="X219" s="147">
        <f>IFERROR((HLOOKUP($AH219,Target_monthwise!$D$24:$O$40,DTR!X$4,FALSE)),0)</f>
        <v>0</v>
      </c>
      <c r="Y219" s="147">
        <f>IFERROR((HLOOKUP($AH219,Target_monthwise!$D$24:$O$40,DTR!Y$4,FALSE)),0)</f>
        <v>0</v>
      </c>
      <c r="Z219" s="147">
        <f>IFERROR((HLOOKUP($AH219,Target_monthwise!$D$24:$O$40,DTR!Z$4,FALSE)),0)</f>
        <v>0</v>
      </c>
      <c r="AA219" s="147">
        <f>IFERROR((HLOOKUP($AH219,Target_monthwise!$D$24:$O$40,DTR!AA$4,FALSE)),0)</f>
        <v>0</v>
      </c>
      <c r="AB219" s="147">
        <f>IFERROR((HLOOKUP($AH219,Target_monthwise!$D$24:$O$40,DTR!AB$4,FALSE)),0)</f>
        <v>0</v>
      </c>
      <c r="AC219" s="147">
        <f>IFERROR((HLOOKUP($AH219,Target_monthwise!$D$24:$O$40,DTR!AC$4,FALSE)),0)</f>
        <v>0</v>
      </c>
      <c r="AD219" s="147">
        <f>IFERROR((HLOOKUP($AH219,Target_monthwise!$D$24:$O$40,DTR!AD$4,FALSE)),0)</f>
        <v>0</v>
      </c>
      <c r="AE219" s="147">
        <f>IFERROR((HLOOKUP($AH219,Target_monthwise!$D$24:$O$40,DTR!AE$4,FALSE)),0)</f>
        <v>0</v>
      </c>
      <c r="AF219" s="147">
        <f>IFERROR((HLOOKUP($AH219,Target_monthwise!$D$24:$O$40,DTR!AF$4,FALSE)),0)</f>
        <v>0</v>
      </c>
      <c r="AG219" s="172">
        <f>IFERROR((HLOOKUP($AH219,Target_monthwise!$D$24:$O$40,DTR!AG$4,FALSE)),0)</f>
        <v>0</v>
      </c>
      <c r="AH219" s="253">
        <f t="shared" si="3"/>
        <v>202210</v>
      </c>
    </row>
    <row r="220" spans="3:34" ht="15.75" hidden="1">
      <c r="C220" s="237">
        <v>44863</v>
      </c>
      <c r="D220" s="238">
        <f>IFERROR((HLOOKUP($AH220,Target_monthwise!$D$4:$O$20,DTR!D$4,FALSE))*1000,0)</f>
        <v>0</v>
      </c>
      <c r="E220" s="238">
        <f>IFERROR((HLOOKUP($AH220,Target_monthwise!$D$4:$O$20,DTR!E$4,FALSE))*1000,0)</f>
        <v>0</v>
      </c>
      <c r="F220" s="238">
        <f>IFERROR((HLOOKUP($AH220,Target_monthwise!$D$4:$O$20,DTR!F$4,FALSE))*1000,0)</f>
        <v>0</v>
      </c>
      <c r="G220" s="238">
        <f>IFERROR((HLOOKUP($AH220,Target_monthwise!$D$4:$O$20,DTR!G$4,FALSE))*1000,0)</f>
        <v>0</v>
      </c>
      <c r="H220" s="238">
        <f>IFERROR((HLOOKUP($AH220,Target_monthwise!$D$4:$O$20,DTR!H$4,FALSE))*1000,0)</f>
        <v>0</v>
      </c>
      <c r="I220" s="238">
        <f>IFERROR((HLOOKUP($AH220,Target_monthwise!$D$4:$O$20,DTR!I$4,FALSE))*1000,0)</f>
        <v>0</v>
      </c>
      <c r="J220" s="238">
        <f>IFERROR((HLOOKUP($AH220,Target_monthwise!$D$4:$O$20,DTR!J$4,FALSE))*1000,0)</f>
        <v>0</v>
      </c>
      <c r="K220" s="238">
        <f>IFERROR((HLOOKUP($AH220,Target_monthwise!$D$4:$O$20,DTR!K$4,FALSE))*1000,0)</f>
        <v>0</v>
      </c>
      <c r="L220" s="238">
        <f>IFERROR((HLOOKUP($AH220,Target_monthwise!$D$4:$O$20,DTR!L$4,FALSE))*1000,0)</f>
        <v>0</v>
      </c>
      <c r="M220" s="238">
        <f>IFERROR((HLOOKUP($AH220,Target_monthwise!$D$4:$O$20,DTR!M$4,FALSE))*1000,0)</f>
        <v>0</v>
      </c>
      <c r="N220" s="238">
        <f>IFERROR((HLOOKUP($AH220,Target_monthwise!$D$4:$O$20,DTR!N$4,FALSE))*1000,0)</f>
        <v>0</v>
      </c>
      <c r="O220" s="238">
        <f>IFERROR((HLOOKUP($AH220,Target_monthwise!$D$4:$O$20,DTR!O$4,FALSE))*1000,0)</f>
        <v>0</v>
      </c>
      <c r="P220" s="238">
        <f>IFERROR((HLOOKUP($AH220,Target_monthwise!$D$4:$O$20,DTR!P$4,FALSE))*1000,0)</f>
        <v>0</v>
      </c>
      <c r="Q220" s="141">
        <f>IFERROR((HLOOKUP($AH220,Target_monthwise!$D$4:$O$20,DTR!Q$4,FALSE))*1000,0)</f>
        <v>0</v>
      </c>
      <c r="R220" s="167">
        <f>IFERROR((HLOOKUP($AH220,Target_monthwise!$D$4:$O$20,DTR!R$4,FALSE))*1000,0)</f>
        <v>0</v>
      </c>
      <c r="S220" s="239">
        <f>IFERROR((HLOOKUP($AH220,Target_monthwise!$D$24:$O$40,DTR!S$4,FALSE)),0)</f>
        <v>0</v>
      </c>
      <c r="T220" s="239">
        <f>IFERROR((HLOOKUP($AH220,Target_monthwise!$D$24:$O$40,DTR!T$4,FALSE)),0)</f>
        <v>0</v>
      </c>
      <c r="U220" s="239">
        <f>IFERROR((HLOOKUP($AH220,Target_monthwise!$D$24:$O$40,DTR!U$4,FALSE)),0)</f>
        <v>0</v>
      </c>
      <c r="V220" s="239">
        <f>IFERROR((HLOOKUP($AH220,Target_monthwise!$D$24:$O$40,DTR!V$4,FALSE)),0)</f>
        <v>0</v>
      </c>
      <c r="W220" s="239">
        <f>IFERROR((HLOOKUP($AH220,Target_monthwise!$D$24:$O$40,DTR!W$4,FALSE)),0)</f>
        <v>0</v>
      </c>
      <c r="X220" s="239">
        <f>IFERROR((HLOOKUP($AH220,Target_monthwise!$D$24:$O$40,DTR!X$4,FALSE)),0)</f>
        <v>0</v>
      </c>
      <c r="Y220" s="239">
        <f>IFERROR((HLOOKUP($AH220,Target_monthwise!$D$24:$O$40,DTR!Y$4,FALSE)),0)</f>
        <v>0</v>
      </c>
      <c r="Z220" s="147">
        <f>IFERROR((HLOOKUP($AH220,Target_monthwise!$D$24:$O$40,DTR!Z$4,FALSE)),0)</f>
        <v>0</v>
      </c>
      <c r="AA220" s="147">
        <f>IFERROR((HLOOKUP($AH220,Target_monthwise!$D$24:$O$40,DTR!AA$4,FALSE)),0)</f>
        <v>0</v>
      </c>
      <c r="AB220" s="147">
        <f>IFERROR((HLOOKUP($AH220,Target_monthwise!$D$24:$O$40,DTR!AB$4,FALSE)),0)</f>
        <v>0</v>
      </c>
      <c r="AC220" s="239">
        <f>IFERROR((HLOOKUP($AH220,Target_monthwise!$D$24:$O$40,DTR!AC$4,FALSE)),0)</f>
        <v>0</v>
      </c>
      <c r="AD220" s="239">
        <f>IFERROR((HLOOKUP($AH220,Target_monthwise!$D$24:$O$40,DTR!AD$4,FALSE)),0)</f>
        <v>0</v>
      </c>
      <c r="AE220" s="239">
        <f>IFERROR((HLOOKUP($AH220,Target_monthwise!$D$24:$O$40,DTR!AE$4,FALSE)),0)</f>
        <v>0</v>
      </c>
      <c r="AF220" s="239">
        <f>IFERROR((HLOOKUP($AH220,Target_monthwise!$D$24:$O$40,DTR!AF$4,FALSE)),0)</f>
        <v>0</v>
      </c>
      <c r="AG220" s="172">
        <f>IFERROR((HLOOKUP($AH220,Target_monthwise!$D$24:$O$40,DTR!AG$4,FALSE)),0)</f>
        <v>0</v>
      </c>
      <c r="AH220" s="253">
        <f t="shared" si="3"/>
        <v>202210</v>
      </c>
    </row>
    <row r="221" spans="3:34" ht="15.75" hidden="1">
      <c r="C221" s="235">
        <v>44864</v>
      </c>
      <c r="D221" s="141">
        <f>IFERROR((HLOOKUP($AH221,Target_monthwise!$D$4:$O$20,DTR!D$4,FALSE))*1000,0)</f>
        <v>0</v>
      </c>
      <c r="E221" s="141">
        <f>IFERROR((HLOOKUP($AH221,Target_monthwise!$D$4:$O$20,DTR!E$4,FALSE))*1000,0)</f>
        <v>0</v>
      </c>
      <c r="F221" s="141">
        <f>IFERROR((HLOOKUP($AH221,Target_monthwise!$D$4:$O$20,DTR!F$4,FALSE))*1000,0)</f>
        <v>0</v>
      </c>
      <c r="G221" s="141">
        <f>IFERROR((HLOOKUP($AH221,Target_monthwise!$D$4:$O$20,DTR!G$4,FALSE))*1000,0)</f>
        <v>0</v>
      </c>
      <c r="H221" s="141">
        <f>IFERROR((HLOOKUP($AH221,Target_monthwise!$D$4:$O$20,DTR!H$4,FALSE))*1000,0)</f>
        <v>0</v>
      </c>
      <c r="I221" s="141">
        <f>IFERROR((HLOOKUP($AH221,Target_monthwise!$D$4:$O$20,DTR!I$4,FALSE))*1000,0)</f>
        <v>0</v>
      </c>
      <c r="J221" s="141">
        <f>IFERROR((HLOOKUP($AH221,Target_monthwise!$D$4:$O$20,DTR!J$4,FALSE))*1000,0)</f>
        <v>0</v>
      </c>
      <c r="K221" s="141">
        <f>IFERROR((HLOOKUP($AH221,Target_monthwise!$D$4:$O$20,DTR!K$4,FALSE))*1000,0)</f>
        <v>0</v>
      </c>
      <c r="L221" s="141">
        <f>IFERROR((HLOOKUP($AH221,Target_monthwise!$D$4:$O$20,DTR!L$4,FALSE))*1000,0)</f>
        <v>0</v>
      </c>
      <c r="M221" s="141">
        <f>IFERROR((HLOOKUP($AH221,Target_monthwise!$D$4:$O$20,DTR!M$4,FALSE))*1000,0)</f>
        <v>0</v>
      </c>
      <c r="N221" s="141">
        <f>IFERROR((HLOOKUP($AH221,Target_monthwise!$D$4:$O$20,DTR!N$4,FALSE))*1000,0)</f>
        <v>0</v>
      </c>
      <c r="O221" s="141">
        <f>IFERROR((HLOOKUP($AH221,Target_monthwise!$D$4:$O$20,DTR!O$4,FALSE))*1000,0)</f>
        <v>0</v>
      </c>
      <c r="P221" s="141">
        <f>IFERROR((HLOOKUP($AH221,Target_monthwise!$D$4:$O$20,DTR!P$4,FALSE))*1000,0)</f>
        <v>0</v>
      </c>
      <c r="Q221" s="141">
        <f>IFERROR((HLOOKUP($AH221,Target_monthwise!$D$4:$O$20,DTR!Q$4,FALSE))*1000,0)</f>
        <v>0</v>
      </c>
      <c r="R221" s="167">
        <f>IFERROR((HLOOKUP($AH221,Target_monthwise!$D$4:$O$20,DTR!R$4,FALSE))*1000,0)</f>
        <v>0</v>
      </c>
      <c r="S221" s="147">
        <f>IFERROR((HLOOKUP($AH221,Target_monthwise!$D$24:$O$40,DTR!S$4,FALSE)),0)</f>
        <v>0</v>
      </c>
      <c r="T221" s="147">
        <f>IFERROR((HLOOKUP($AH221,Target_monthwise!$D$24:$O$40,DTR!T$4,FALSE)),0)</f>
        <v>0</v>
      </c>
      <c r="U221" s="147">
        <f>IFERROR((HLOOKUP($AH221,Target_monthwise!$D$24:$O$40,DTR!U$4,FALSE)),0)</f>
        <v>0</v>
      </c>
      <c r="V221" s="147">
        <f>IFERROR((HLOOKUP($AH221,Target_monthwise!$D$24:$O$40,DTR!V$4,FALSE)),0)</f>
        <v>0</v>
      </c>
      <c r="W221" s="147">
        <f>IFERROR((HLOOKUP($AH221,Target_monthwise!$D$24:$O$40,DTR!W$4,FALSE)),0)</f>
        <v>0</v>
      </c>
      <c r="X221" s="147">
        <f>IFERROR((HLOOKUP($AH221,Target_monthwise!$D$24:$O$40,DTR!X$4,FALSE)),0)</f>
        <v>0</v>
      </c>
      <c r="Y221" s="147">
        <f>IFERROR((HLOOKUP($AH221,Target_monthwise!$D$24:$O$40,DTR!Y$4,FALSE)),0)</f>
        <v>0</v>
      </c>
      <c r="Z221" s="147">
        <f>IFERROR((HLOOKUP($AH221,Target_monthwise!$D$24:$O$40,DTR!Z$4,FALSE)),0)</f>
        <v>0</v>
      </c>
      <c r="AA221" s="147">
        <f>IFERROR((HLOOKUP($AH221,Target_monthwise!$D$24:$O$40,DTR!AA$4,FALSE)),0)</f>
        <v>0</v>
      </c>
      <c r="AB221" s="147">
        <f>IFERROR((HLOOKUP($AH221,Target_monthwise!$D$24:$O$40,DTR!AB$4,FALSE)),0)</f>
        <v>0</v>
      </c>
      <c r="AC221" s="147">
        <f>IFERROR((HLOOKUP($AH221,Target_monthwise!$D$24:$O$40,DTR!AC$4,FALSE)),0)</f>
        <v>0</v>
      </c>
      <c r="AD221" s="147">
        <f>IFERROR((HLOOKUP($AH221,Target_monthwise!$D$24:$O$40,DTR!AD$4,FALSE)),0)</f>
        <v>0</v>
      </c>
      <c r="AE221" s="147">
        <f>IFERROR((HLOOKUP($AH221,Target_monthwise!$D$24:$O$40,DTR!AE$4,FALSE)),0)</f>
        <v>0</v>
      </c>
      <c r="AF221" s="147">
        <f>IFERROR((HLOOKUP($AH221,Target_monthwise!$D$24:$O$40,DTR!AF$4,FALSE)),0)</f>
        <v>0</v>
      </c>
      <c r="AG221" s="172">
        <f>IFERROR((HLOOKUP($AH221,Target_monthwise!$D$24:$O$40,DTR!AG$4,FALSE)),0)</f>
        <v>0</v>
      </c>
      <c r="AH221" s="253">
        <f t="shared" si="3"/>
        <v>202210</v>
      </c>
    </row>
    <row r="222" spans="3:34" ht="15.75" hidden="1">
      <c r="C222" s="237">
        <v>44865</v>
      </c>
      <c r="D222" s="238">
        <f>IFERROR((HLOOKUP($AH222,Target_monthwise!$D$4:$O$20,DTR!D$4,FALSE))*1000,0)</f>
        <v>0</v>
      </c>
      <c r="E222" s="238">
        <f>IFERROR((HLOOKUP($AH222,Target_monthwise!$D$4:$O$20,DTR!E$4,FALSE))*1000,0)</f>
        <v>0</v>
      </c>
      <c r="F222" s="238">
        <f>IFERROR((HLOOKUP($AH222,Target_monthwise!$D$4:$O$20,DTR!F$4,FALSE))*1000,0)</f>
        <v>0</v>
      </c>
      <c r="G222" s="238">
        <f>IFERROR((HLOOKUP($AH222,Target_monthwise!$D$4:$O$20,DTR!G$4,FALSE))*1000,0)</f>
        <v>0</v>
      </c>
      <c r="H222" s="238">
        <f>IFERROR((HLOOKUP($AH222,Target_monthwise!$D$4:$O$20,DTR!H$4,FALSE))*1000,0)</f>
        <v>0</v>
      </c>
      <c r="I222" s="238">
        <f>IFERROR((HLOOKUP($AH222,Target_monthwise!$D$4:$O$20,DTR!I$4,FALSE))*1000,0)</f>
        <v>0</v>
      </c>
      <c r="J222" s="238">
        <f>IFERROR((HLOOKUP($AH222,Target_monthwise!$D$4:$O$20,DTR!J$4,FALSE))*1000,0)</f>
        <v>0</v>
      </c>
      <c r="K222" s="238">
        <f>IFERROR((HLOOKUP($AH222,Target_monthwise!$D$4:$O$20,DTR!K$4,FALSE))*1000,0)</f>
        <v>0</v>
      </c>
      <c r="L222" s="238">
        <f>IFERROR((HLOOKUP($AH222,Target_monthwise!$D$4:$O$20,DTR!L$4,FALSE))*1000,0)</f>
        <v>0</v>
      </c>
      <c r="M222" s="238">
        <f>IFERROR((HLOOKUP($AH222,Target_monthwise!$D$4:$O$20,DTR!M$4,FALSE))*1000,0)</f>
        <v>0</v>
      </c>
      <c r="N222" s="238">
        <f>IFERROR((HLOOKUP($AH222,Target_monthwise!$D$4:$O$20,DTR!N$4,FALSE))*1000,0)</f>
        <v>0</v>
      </c>
      <c r="O222" s="238">
        <f>IFERROR((HLOOKUP($AH222,Target_monthwise!$D$4:$O$20,DTR!O$4,FALSE))*1000,0)</f>
        <v>0</v>
      </c>
      <c r="P222" s="238">
        <f>IFERROR((HLOOKUP($AH222,Target_monthwise!$D$4:$O$20,DTR!P$4,FALSE))*1000,0)</f>
        <v>0</v>
      </c>
      <c r="Q222" s="141">
        <f>IFERROR((HLOOKUP($AH222,Target_monthwise!$D$4:$O$20,DTR!Q$4,FALSE))*1000,0)</f>
        <v>0</v>
      </c>
      <c r="R222" s="167">
        <f>IFERROR((HLOOKUP($AH222,Target_monthwise!$D$4:$O$20,DTR!R$4,FALSE))*1000,0)</f>
        <v>0</v>
      </c>
      <c r="S222" s="239">
        <f>IFERROR((HLOOKUP($AH222,Target_monthwise!$D$24:$O$40,DTR!S$4,FALSE)),0)</f>
        <v>0</v>
      </c>
      <c r="T222" s="239">
        <f>IFERROR((HLOOKUP($AH222,Target_monthwise!$D$24:$O$40,DTR!T$4,FALSE)),0)</f>
        <v>0</v>
      </c>
      <c r="U222" s="239">
        <f>IFERROR((HLOOKUP($AH222,Target_monthwise!$D$24:$O$40,DTR!U$4,FALSE)),0)</f>
        <v>0</v>
      </c>
      <c r="V222" s="239">
        <f>IFERROR((HLOOKUP($AH222,Target_monthwise!$D$24:$O$40,DTR!V$4,FALSE)),0)</f>
        <v>0</v>
      </c>
      <c r="W222" s="239">
        <f>IFERROR((HLOOKUP($AH222,Target_monthwise!$D$24:$O$40,DTR!W$4,FALSE)),0)</f>
        <v>0</v>
      </c>
      <c r="X222" s="239">
        <f>IFERROR((HLOOKUP($AH222,Target_monthwise!$D$24:$O$40,DTR!X$4,FALSE)),0)</f>
        <v>0</v>
      </c>
      <c r="Y222" s="239">
        <f>IFERROR((HLOOKUP($AH222,Target_monthwise!$D$24:$O$40,DTR!Y$4,FALSE)),0)</f>
        <v>0</v>
      </c>
      <c r="Z222" s="147">
        <f>IFERROR((HLOOKUP($AH222,Target_monthwise!$D$24:$O$40,DTR!Z$4,FALSE)),0)</f>
        <v>0</v>
      </c>
      <c r="AA222" s="147">
        <f>IFERROR((HLOOKUP($AH222,Target_monthwise!$D$24:$O$40,DTR!AA$4,FALSE)),0)</f>
        <v>0</v>
      </c>
      <c r="AB222" s="147">
        <f>IFERROR((HLOOKUP($AH222,Target_monthwise!$D$24:$O$40,DTR!AB$4,FALSE)),0)</f>
        <v>0</v>
      </c>
      <c r="AC222" s="239">
        <f>IFERROR((HLOOKUP($AH222,Target_monthwise!$D$24:$O$40,DTR!AC$4,FALSE)),0)</f>
        <v>0</v>
      </c>
      <c r="AD222" s="239">
        <f>IFERROR((HLOOKUP($AH222,Target_monthwise!$D$24:$O$40,DTR!AD$4,FALSE)),0)</f>
        <v>0</v>
      </c>
      <c r="AE222" s="239">
        <f>IFERROR((HLOOKUP($AH222,Target_monthwise!$D$24:$O$40,DTR!AE$4,FALSE)),0)</f>
        <v>0</v>
      </c>
      <c r="AF222" s="239">
        <f>IFERROR((HLOOKUP($AH222,Target_monthwise!$D$24:$O$40,DTR!AF$4,FALSE)),0)</f>
        <v>0</v>
      </c>
      <c r="AG222" s="172">
        <f>IFERROR((HLOOKUP($AH222,Target_monthwise!$D$24:$O$40,DTR!AG$4,FALSE)),0)</f>
        <v>0</v>
      </c>
      <c r="AH222" s="253">
        <f t="shared" si="3"/>
        <v>202210</v>
      </c>
    </row>
    <row r="223" spans="3:34" ht="15.75" hidden="1">
      <c r="C223" s="235">
        <v>44866</v>
      </c>
      <c r="D223" s="141">
        <f>IFERROR((HLOOKUP($AH223,Target_monthwise!$D$4:$O$20,DTR!D$4,FALSE))*1000,0)</f>
        <v>0</v>
      </c>
      <c r="E223" s="141">
        <f>IFERROR((HLOOKUP($AH223,Target_monthwise!$D$4:$O$20,DTR!E$4,FALSE))*1000,0)</f>
        <v>0</v>
      </c>
      <c r="F223" s="141">
        <f>IFERROR((HLOOKUP($AH223,Target_monthwise!$D$4:$O$20,DTR!F$4,FALSE))*1000,0)</f>
        <v>0</v>
      </c>
      <c r="G223" s="141">
        <f>IFERROR((HLOOKUP($AH223,Target_monthwise!$D$4:$O$20,DTR!G$4,FALSE))*1000,0)</f>
        <v>0</v>
      </c>
      <c r="H223" s="141">
        <f>IFERROR((HLOOKUP($AH223,Target_monthwise!$D$4:$O$20,DTR!H$4,FALSE))*1000,0)</f>
        <v>0</v>
      </c>
      <c r="I223" s="141">
        <f>IFERROR((HLOOKUP($AH223,Target_monthwise!$D$4:$O$20,DTR!I$4,FALSE))*1000,0)</f>
        <v>0</v>
      </c>
      <c r="J223" s="141">
        <f>IFERROR((HLOOKUP($AH223,Target_monthwise!$D$4:$O$20,DTR!J$4,FALSE))*1000,0)</f>
        <v>0</v>
      </c>
      <c r="K223" s="141">
        <f>IFERROR((HLOOKUP($AH223,Target_monthwise!$D$4:$O$20,DTR!K$4,FALSE))*1000,0)</f>
        <v>0</v>
      </c>
      <c r="L223" s="141">
        <f>IFERROR((HLOOKUP($AH223,Target_monthwise!$D$4:$O$20,DTR!L$4,FALSE))*1000,0)</f>
        <v>0</v>
      </c>
      <c r="M223" s="141">
        <f>IFERROR((HLOOKUP($AH223,Target_monthwise!$D$4:$O$20,DTR!M$4,FALSE))*1000,0)</f>
        <v>0</v>
      </c>
      <c r="N223" s="141">
        <f>IFERROR((HLOOKUP($AH223,Target_monthwise!$D$4:$O$20,DTR!N$4,FALSE))*1000,0)</f>
        <v>0</v>
      </c>
      <c r="O223" s="141">
        <f>IFERROR((HLOOKUP($AH223,Target_monthwise!$D$4:$O$20,DTR!O$4,FALSE))*1000,0)</f>
        <v>0</v>
      </c>
      <c r="P223" s="141">
        <f>IFERROR((HLOOKUP($AH223,Target_monthwise!$D$4:$O$20,DTR!P$4,FALSE))*1000,0)</f>
        <v>0</v>
      </c>
      <c r="Q223" s="141">
        <f>IFERROR((HLOOKUP($AH223,Target_monthwise!$D$4:$O$20,DTR!Q$4,FALSE))*1000,0)</f>
        <v>0</v>
      </c>
      <c r="R223" s="167">
        <f>IFERROR((HLOOKUP($AH223,Target_monthwise!$D$4:$O$20,DTR!R$4,FALSE))*1000,0)</f>
        <v>0</v>
      </c>
      <c r="S223" s="147">
        <f>IFERROR((HLOOKUP($AH223,Target_monthwise!$D$24:$O$40,DTR!S$4,FALSE)),0)</f>
        <v>0</v>
      </c>
      <c r="T223" s="147">
        <f>IFERROR((HLOOKUP($AH223,Target_monthwise!$D$24:$O$40,DTR!T$4,FALSE)),0)</f>
        <v>0</v>
      </c>
      <c r="U223" s="147">
        <f>IFERROR((HLOOKUP($AH223,Target_monthwise!$D$24:$O$40,DTR!U$4,FALSE)),0)</f>
        <v>0</v>
      </c>
      <c r="V223" s="147">
        <f>IFERROR((HLOOKUP($AH223,Target_monthwise!$D$24:$O$40,DTR!V$4,FALSE)),0)</f>
        <v>0</v>
      </c>
      <c r="W223" s="147">
        <f>IFERROR((HLOOKUP($AH223,Target_monthwise!$D$24:$O$40,DTR!W$4,FALSE)),0)</f>
        <v>0</v>
      </c>
      <c r="X223" s="147">
        <f>IFERROR((HLOOKUP($AH223,Target_monthwise!$D$24:$O$40,DTR!X$4,FALSE)),0)</f>
        <v>0</v>
      </c>
      <c r="Y223" s="147">
        <f>IFERROR((HLOOKUP($AH223,Target_monthwise!$D$24:$O$40,DTR!Y$4,FALSE)),0)</f>
        <v>0</v>
      </c>
      <c r="Z223" s="147">
        <f>IFERROR((HLOOKUP($AH223,Target_monthwise!$D$24:$O$40,DTR!Z$4,FALSE)),0)</f>
        <v>0</v>
      </c>
      <c r="AA223" s="147">
        <f>IFERROR((HLOOKUP($AH223,Target_monthwise!$D$24:$O$40,DTR!AA$4,FALSE)),0)</f>
        <v>0</v>
      </c>
      <c r="AB223" s="147">
        <f>IFERROR((HLOOKUP($AH223,Target_monthwise!$D$24:$O$40,DTR!AB$4,FALSE)),0)</f>
        <v>0</v>
      </c>
      <c r="AC223" s="147">
        <f>IFERROR((HLOOKUP($AH223,Target_monthwise!$D$24:$O$40,DTR!AC$4,FALSE)),0)</f>
        <v>0</v>
      </c>
      <c r="AD223" s="147">
        <f>IFERROR((HLOOKUP($AH223,Target_monthwise!$D$24:$O$40,DTR!AD$4,FALSE)),0)</f>
        <v>0</v>
      </c>
      <c r="AE223" s="147">
        <f>IFERROR((HLOOKUP($AH223,Target_monthwise!$D$24:$O$40,DTR!AE$4,FALSE)),0)</f>
        <v>0</v>
      </c>
      <c r="AF223" s="147">
        <f>IFERROR((HLOOKUP($AH223,Target_monthwise!$D$24:$O$40,DTR!AF$4,FALSE)),0)</f>
        <v>0</v>
      </c>
      <c r="AG223" s="172">
        <f>IFERROR((HLOOKUP($AH223,Target_monthwise!$D$24:$O$40,DTR!AG$4,FALSE)),0)</f>
        <v>0</v>
      </c>
      <c r="AH223" s="253">
        <f t="shared" si="3"/>
        <v>202211</v>
      </c>
    </row>
    <row r="224" spans="3:34" ht="15.75" hidden="1">
      <c r="C224" s="237">
        <v>44867</v>
      </c>
      <c r="D224" s="238">
        <f>IFERROR((HLOOKUP($AH224,Target_monthwise!$D$4:$O$20,DTR!D$4,FALSE))*1000,0)</f>
        <v>0</v>
      </c>
      <c r="E224" s="238">
        <f>IFERROR((HLOOKUP($AH224,Target_monthwise!$D$4:$O$20,DTR!E$4,FALSE))*1000,0)</f>
        <v>0</v>
      </c>
      <c r="F224" s="238">
        <f>IFERROR((HLOOKUP($AH224,Target_monthwise!$D$4:$O$20,DTR!F$4,FALSE))*1000,0)</f>
        <v>0</v>
      </c>
      <c r="G224" s="238">
        <f>IFERROR((HLOOKUP($AH224,Target_monthwise!$D$4:$O$20,DTR!G$4,FALSE))*1000,0)</f>
        <v>0</v>
      </c>
      <c r="H224" s="238">
        <f>IFERROR((HLOOKUP($AH224,Target_monthwise!$D$4:$O$20,DTR!H$4,FALSE))*1000,0)</f>
        <v>0</v>
      </c>
      <c r="I224" s="238">
        <f>IFERROR((HLOOKUP($AH224,Target_monthwise!$D$4:$O$20,DTR!I$4,FALSE))*1000,0)</f>
        <v>0</v>
      </c>
      <c r="J224" s="238">
        <f>IFERROR((HLOOKUP($AH224,Target_monthwise!$D$4:$O$20,DTR!J$4,FALSE))*1000,0)</f>
        <v>0</v>
      </c>
      <c r="K224" s="238">
        <f>IFERROR((HLOOKUP($AH224,Target_monthwise!$D$4:$O$20,DTR!K$4,FALSE))*1000,0)</f>
        <v>0</v>
      </c>
      <c r="L224" s="238">
        <f>IFERROR((HLOOKUP($AH224,Target_monthwise!$D$4:$O$20,DTR!L$4,FALSE))*1000,0)</f>
        <v>0</v>
      </c>
      <c r="M224" s="238">
        <f>IFERROR((HLOOKUP($AH224,Target_monthwise!$D$4:$O$20,DTR!M$4,FALSE))*1000,0)</f>
        <v>0</v>
      </c>
      <c r="N224" s="238">
        <f>IFERROR((HLOOKUP($AH224,Target_monthwise!$D$4:$O$20,DTR!N$4,FALSE))*1000,0)</f>
        <v>0</v>
      </c>
      <c r="O224" s="238">
        <f>IFERROR((HLOOKUP($AH224,Target_monthwise!$D$4:$O$20,DTR!O$4,FALSE))*1000,0)</f>
        <v>0</v>
      </c>
      <c r="P224" s="238">
        <f>IFERROR((HLOOKUP($AH224,Target_monthwise!$D$4:$O$20,DTR!P$4,FALSE))*1000,0)</f>
        <v>0</v>
      </c>
      <c r="Q224" s="141">
        <f>IFERROR((HLOOKUP($AH224,Target_monthwise!$D$4:$O$20,DTR!Q$4,FALSE))*1000,0)</f>
        <v>0</v>
      </c>
      <c r="R224" s="167">
        <f>IFERROR((HLOOKUP($AH224,Target_monthwise!$D$4:$O$20,DTR!R$4,FALSE))*1000,0)</f>
        <v>0</v>
      </c>
      <c r="S224" s="239">
        <f>IFERROR((HLOOKUP($AH224,Target_monthwise!$D$24:$O$40,DTR!S$4,FALSE)),0)</f>
        <v>0</v>
      </c>
      <c r="T224" s="239">
        <f>IFERROR((HLOOKUP($AH224,Target_monthwise!$D$24:$O$40,DTR!T$4,FALSE)),0)</f>
        <v>0</v>
      </c>
      <c r="U224" s="239">
        <f>IFERROR((HLOOKUP($AH224,Target_monthwise!$D$24:$O$40,DTR!U$4,FALSE)),0)</f>
        <v>0</v>
      </c>
      <c r="V224" s="239">
        <f>IFERROR((HLOOKUP($AH224,Target_monthwise!$D$24:$O$40,DTR!V$4,FALSE)),0)</f>
        <v>0</v>
      </c>
      <c r="W224" s="239">
        <f>IFERROR((HLOOKUP($AH224,Target_monthwise!$D$24:$O$40,DTR!W$4,FALSE)),0)</f>
        <v>0</v>
      </c>
      <c r="X224" s="239">
        <f>IFERROR((HLOOKUP($AH224,Target_monthwise!$D$24:$O$40,DTR!X$4,FALSE)),0)</f>
        <v>0</v>
      </c>
      <c r="Y224" s="239">
        <f>IFERROR((HLOOKUP($AH224,Target_monthwise!$D$24:$O$40,DTR!Y$4,FALSE)),0)</f>
        <v>0</v>
      </c>
      <c r="Z224" s="147">
        <f>IFERROR((HLOOKUP($AH224,Target_monthwise!$D$24:$O$40,DTR!Z$4,FALSE)),0)</f>
        <v>0</v>
      </c>
      <c r="AA224" s="147">
        <f>IFERROR((HLOOKUP($AH224,Target_monthwise!$D$24:$O$40,DTR!AA$4,FALSE)),0)</f>
        <v>0</v>
      </c>
      <c r="AB224" s="147">
        <f>IFERROR((HLOOKUP($AH224,Target_monthwise!$D$24:$O$40,DTR!AB$4,FALSE)),0)</f>
        <v>0</v>
      </c>
      <c r="AC224" s="239">
        <f>IFERROR((HLOOKUP($AH224,Target_monthwise!$D$24:$O$40,DTR!AC$4,FALSE)),0)</f>
        <v>0</v>
      </c>
      <c r="AD224" s="239">
        <f>IFERROR((HLOOKUP($AH224,Target_monthwise!$D$24:$O$40,DTR!AD$4,FALSE)),0)</f>
        <v>0</v>
      </c>
      <c r="AE224" s="239">
        <f>IFERROR((HLOOKUP($AH224,Target_monthwise!$D$24:$O$40,DTR!AE$4,FALSE)),0)</f>
        <v>0</v>
      </c>
      <c r="AF224" s="239">
        <f>IFERROR((HLOOKUP($AH224,Target_monthwise!$D$24:$O$40,DTR!AF$4,FALSE)),0)</f>
        <v>0</v>
      </c>
      <c r="AG224" s="172">
        <f>IFERROR((HLOOKUP($AH224,Target_monthwise!$D$24:$O$40,DTR!AG$4,FALSE)),0)</f>
        <v>0</v>
      </c>
      <c r="AH224" s="253">
        <f t="shared" si="3"/>
        <v>202211</v>
      </c>
    </row>
    <row r="225" spans="3:34" ht="15.75" hidden="1">
      <c r="C225" s="235">
        <v>44868</v>
      </c>
      <c r="D225" s="141">
        <f>IFERROR((HLOOKUP($AH225,Target_monthwise!$D$4:$O$20,DTR!D$4,FALSE))*1000,0)</f>
        <v>0</v>
      </c>
      <c r="E225" s="141">
        <f>IFERROR((HLOOKUP($AH225,Target_monthwise!$D$4:$O$20,DTR!E$4,FALSE))*1000,0)</f>
        <v>0</v>
      </c>
      <c r="F225" s="141">
        <f>IFERROR((HLOOKUP($AH225,Target_monthwise!$D$4:$O$20,DTR!F$4,FALSE))*1000,0)</f>
        <v>0</v>
      </c>
      <c r="G225" s="141">
        <f>IFERROR((HLOOKUP($AH225,Target_monthwise!$D$4:$O$20,DTR!G$4,FALSE))*1000,0)</f>
        <v>0</v>
      </c>
      <c r="H225" s="141">
        <f>IFERROR((HLOOKUP($AH225,Target_monthwise!$D$4:$O$20,DTR!H$4,FALSE))*1000,0)</f>
        <v>0</v>
      </c>
      <c r="I225" s="141">
        <f>IFERROR((HLOOKUP($AH225,Target_monthwise!$D$4:$O$20,DTR!I$4,FALSE))*1000,0)</f>
        <v>0</v>
      </c>
      <c r="J225" s="141">
        <f>IFERROR((HLOOKUP($AH225,Target_monthwise!$D$4:$O$20,DTR!J$4,FALSE))*1000,0)</f>
        <v>0</v>
      </c>
      <c r="K225" s="141">
        <f>IFERROR((HLOOKUP($AH225,Target_monthwise!$D$4:$O$20,DTR!K$4,FALSE))*1000,0)</f>
        <v>0</v>
      </c>
      <c r="L225" s="141">
        <f>IFERROR((HLOOKUP($AH225,Target_monthwise!$D$4:$O$20,DTR!L$4,FALSE))*1000,0)</f>
        <v>0</v>
      </c>
      <c r="M225" s="141">
        <f>IFERROR((HLOOKUP($AH225,Target_monthwise!$D$4:$O$20,DTR!M$4,FALSE))*1000,0)</f>
        <v>0</v>
      </c>
      <c r="N225" s="141">
        <f>IFERROR((HLOOKUP($AH225,Target_monthwise!$D$4:$O$20,DTR!N$4,FALSE))*1000,0)</f>
        <v>0</v>
      </c>
      <c r="O225" s="141">
        <f>IFERROR((HLOOKUP($AH225,Target_monthwise!$D$4:$O$20,DTR!O$4,FALSE))*1000,0)</f>
        <v>0</v>
      </c>
      <c r="P225" s="141">
        <f>IFERROR((HLOOKUP($AH225,Target_monthwise!$D$4:$O$20,DTR!P$4,FALSE))*1000,0)</f>
        <v>0</v>
      </c>
      <c r="Q225" s="141">
        <f>IFERROR((HLOOKUP($AH225,Target_monthwise!$D$4:$O$20,DTR!Q$4,FALSE))*1000,0)</f>
        <v>0</v>
      </c>
      <c r="R225" s="167">
        <f>IFERROR((HLOOKUP($AH225,Target_monthwise!$D$4:$O$20,DTR!R$4,FALSE))*1000,0)</f>
        <v>0</v>
      </c>
      <c r="S225" s="147">
        <f>IFERROR((HLOOKUP($AH225,Target_monthwise!$D$24:$O$40,DTR!S$4,FALSE)),0)</f>
        <v>0</v>
      </c>
      <c r="T225" s="147">
        <f>IFERROR((HLOOKUP($AH225,Target_monthwise!$D$24:$O$40,DTR!T$4,FALSE)),0)</f>
        <v>0</v>
      </c>
      <c r="U225" s="147">
        <f>IFERROR((HLOOKUP($AH225,Target_monthwise!$D$24:$O$40,DTR!U$4,FALSE)),0)</f>
        <v>0</v>
      </c>
      <c r="V225" s="147">
        <f>IFERROR((HLOOKUP($AH225,Target_monthwise!$D$24:$O$40,DTR!V$4,FALSE)),0)</f>
        <v>0</v>
      </c>
      <c r="W225" s="147">
        <f>IFERROR((HLOOKUP($AH225,Target_monthwise!$D$24:$O$40,DTR!W$4,FALSE)),0)</f>
        <v>0</v>
      </c>
      <c r="X225" s="147">
        <f>IFERROR((HLOOKUP($AH225,Target_monthwise!$D$24:$O$40,DTR!X$4,FALSE)),0)</f>
        <v>0</v>
      </c>
      <c r="Y225" s="147">
        <f>IFERROR((HLOOKUP($AH225,Target_monthwise!$D$24:$O$40,DTR!Y$4,FALSE)),0)</f>
        <v>0</v>
      </c>
      <c r="Z225" s="147">
        <f>IFERROR((HLOOKUP($AH225,Target_monthwise!$D$24:$O$40,DTR!Z$4,FALSE)),0)</f>
        <v>0</v>
      </c>
      <c r="AA225" s="147">
        <f>IFERROR((HLOOKUP($AH225,Target_monthwise!$D$24:$O$40,DTR!AA$4,FALSE)),0)</f>
        <v>0</v>
      </c>
      <c r="AB225" s="147">
        <f>IFERROR((HLOOKUP($AH225,Target_monthwise!$D$24:$O$40,DTR!AB$4,FALSE)),0)</f>
        <v>0</v>
      </c>
      <c r="AC225" s="147">
        <f>IFERROR((HLOOKUP($AH225,Target_monthwise!$D$24:$O$40,DTR!AC$4,FALSE)),0)</f>
        <v>0</v>
      </c>
      <c r="AD225" s="147">
        <f>IFERROR((HLOOKUP($AH225,Target_monthwise!$D$24:$O$40,DTR!AD$4,FALSE)),0)</f>
        <v>0</v>
      </c>
      <c r="AE225" s="147">
        <f>IFERROR((HLOOKUP($AH225,Target_monthwise!$D$24:$O$40,DTR!AE$4,FALSE)),0)</f>
        <v>0</v>
      </c>
      <c r="AF225" s="147">
        <f>IFERROR((HLOOKUP($AH225,Target_monthwise!$D$24:$O$40,DTR!AF$4,FALSE)),0)</f>
        <v>0</v>
      </c>
      <c r="AG225" s="172">
        <f>IFERROR((HLOOKUP($AH225,Target_monthwise!$D$24:$O$40,DTR!AG$4,FALSE)),0)</f>
        <v>0</v>
      </c>
      <c r="AH225" s="253">
        <f t="shared" si="3"/>
        <v>202211</v>
      </c>
    </row>
    <row r="226" spans="3:34" ht="15.75" hidden="1">
      <c r="C226" s="237">
        <v>44869</v>
      </c>
      <c r="D226" s="238">
        <f>IFERROR((HLOOKUP($AH226,Target_monthwise!$D$4:$O$20,DTR!D$4,FALSE))*1000,0)</f>
        <v>0</v>
      </c>
      <c r="E226" s="238">
        <f>IFERROR((HLOOKUP($AH226,Target_monthwise!$D$4:$O$20,DTR!E$4,FALSE))*1000,0)</f>
        <v>0</v>
      </c>
      <c r="F226" s="238">
        <f>IFERROR((HLOOKUP($AH226,Target_monthwise!$D$4:$O$20,DTR!F$4,FALSE))*1000,0)</f>
        <v>0</v>
      </c>
      <c r="G226" s="238">
        <f>IFERROR((HLOOKUP($AH226,Target_monthwise!$D$4:$O$20,DTR!G$4,FALSE))*1000,0)</f>
        <v>0</v>
      </c>
      <c r="H226" s="238">
        <f>IFERROR((HLOOKUP($AH226,Target_monthwise!$D$4:$O$20,DTR!H$4,FALSE))*1000,0)</f>
        <v>0</v>
      </c>
      <c r="I226" s="238">
        <f>IFERROR((HLOOKUP($AH226,Target_monthwise!$D$4:$O$20,DTR!I$4,FALSE))*1000,0)</f>
        <v>0</v>
      </c>
      <c r="J226" s="238">
        <f>IFERROR((HLOOKUP($AH226,Target_monthwise!$D$4:$O$20,DTR!J$4,FALSE))*1000,0)</f>
        <v>0</v>
      </c>
      <c r="K226" s="238">
        <f>IFERROR((HLOOKUP($AH226,Target_monthwise!$D$4:$O$20,DTR!K$4,FALSE))*1000,0)</f>
        <v>0</v>
      </c>
      <c r="L226" s="238">
        <f>IFERROR((HLOOKUP($AH226,Target_monthwise!$D$4:$O$20,DTR!L$4,FALSE))*1000,0)</f>
        <v>0</v>
      </c>
      <c r="M226" s="238">
        <f>IFERROR((HLOOKUP($AH226,Target_monthwise!$D$4:$O$20,DTR!M$4,FALSE))*1000,0)</f>
        <v>0</v>
      </c>
      <c r="N226" s="238">
        <f>IFERROR((HLOOKUP($AH226,Target_monthwise!$D$4:$O$20,DTR!N$4,FALSE))*1000,0)</f>
        <v>0</v>
      </c>
      <c r="O226" s="238">
        <f>IFERROR((HLOOKUP($AH226,Target_monthwise!$D$4:$O$20,DTR!O$4,FALSE))*1000,0)</f>
        <v>0</v>
      </c>
      <c r="P226" s="238">
        <f>IFERROR((HLOOKUP($AH226,Target_monthwise!$D$4:$O$20,DTR!P$4,FALSE))*1000,0)</f>
        <v>0</v>
      </c>
      <c r="Q226" s="141">
        <f>IFERROR((HLOOKUP($AH226,Target_monthwise!$D$4:$O$20,DTR!Q$4,FALSE))*1000,0)</f>
        <v>0</v>
      </c>
      <c r="R226" s="167">
        <f>IFERROR((HLOOKUP($AH226,Target_monthwise!$D$4:$O$20,DTR!R$4,FALSE))*1000,0)</f>
        <v>0</v>
      </c>
      <c r="S226" s="239">
        <f>IFERROR((HLOOKUP($AH226,Target_monthwise!$D$24:$O$40,DTR!S$4,FALSE)),0)</f>
        <v>0</v>
      </c>
      <c r="T226" s="239">
        <f>IFERROR((HLOOKUP($AH226,Target_monthwise!$D$24:$O$40,DTR!T$4,FALSE)),0)</f>
        <v>0</v>
      </c>
      <c r="U226" s="239">
        <f>IFERROR((HLOOKUP($AH226,Target_monthwise!$D$24:$O$40,DTR!U$4,FALSE)),0)</f>
        <v>0</v>
      </c>
      <c r="V226" s="239">
        <f>IFERROR((HLOOKUP($AH226,Target_monthwise!$D$24:$O$40,DTR!V$4,FALSE)),0)</f>
        <v>0</v>
      </c>
      <c r="W226" s="239">
        <f>IFERROR((HLOOKUP($AH226,Target_monthwise!$D$24:$O$40,DTR!W$4,FALSE)),0)</f>
        <v>0</v>
      </c>
      <c r="X226" s="239">
        <f>IFERROR((HLOOKUP($AH226,Target_monthwise!$D$24:$O$40,DTR!X$4,FALSE)),0)</f>
        <v>0</v>
      </c>
      <c r="Y226" s="239">
        <f>IFERROR((HLOOKUP($AH226,Target_monthwise!$D$24:$O$40,DTR!Y$4,FALSE)),0)</f>
        <v>0</v>
      </c>
      <c r="Z226" s="147">
        <f>IFERROR((HLOOKUP($AH226,Target_monthwise!$D$24:$O$40,DTR!Z$4,FALSE)),0)</f>
        <v>0</v>
      </c>
      <c r="AA226" s="147">
        <f>IFERROR((HLOOKUP($AH226,Target_monthwise!$D$24:$O$40,DTR!AA$4,FALSE)),0)</f>
        <v>0</v>
      </c>
      <c r="AB226" s="147">
        <f>IFERROR((HLOOKUP($AH226,Target_monthwise!$D$24:$O$40,DTR!AB$4,FALSE)),0)</f>
        <v>0</v>
      </c>
      <c r="AC226" s="239">
        <f>IFERROR((HLOOKUP($AH226,Target_monthwise!$D$24:$O$40,DTR!AC$4,FALSE)),0)</f>
        <v>0</v>
      </c>
      <c r="AD226" s="239">
        <f>IFERROR((HLOOKUP($AH226,Target_monthwise!$D$24:$O$40,DTR!AD$4,FALSE)),0)</f>
        <v>0</v>
      </c>
      <c r="AE226" s="239">
        <f>IFERROR((HLOOKUP($AH226,Target_monthwise!$D$24:$O$40,DTR!AE$4,FALSE)),0)</f>
        <v>0</v>
      </c>
      <c r="AF226" s="239">
        <f>IFERROR((HLOOKUP($AH226,Target_monthwise!$D$24:$O$40,DTR!AF$4,FALSE)),0)</f>
        <v>0</v>
      </c>
      <c r="AG226" s="172">
        <f>IFERROR((HLOOKUP($AH226,Target_monthwise!$D$24:$O$40,DTR!AG$4,FALSE)),0)</f>
        <v>0</v>
      </c>
      <c r="AH226" s="253">
        <f t="shared" si="3"/>
        <v>202211</v>
      </c>
    </row>
    <row r="227" spans="3:34" ht="15.75" hidden="1">
      <c r="C227" s="235">
        <v>44870</v>
      </c>
      <c r="D227" s="141">
        <f>IFERROR((HLOOKUP($AH227,Target_monthwise!$D$4:$O$20,DTR!D$4,FALSE))*1000,0)</f>
        <v>0</v>
      </c>
      <c r="E227" s="141">
        <f>IFERROR((HLOOKUP($AH227,Target_monthwise!$D$4:$O$20,DTR!E$4,FALSE))*1000,0)</f>
        <v>0</v>
      </c>
      <c r="F227" s="141">
        <f>IFERROR((HLOOKUP($AH227,Target_monthwise!$D$4:$O$20,DTR!F$4,FALSE))*1000,0)</f>
        <v>0</v>
      </c>
      <c r="G227" s="141">
        <f>IFERROR((HLOOKUP($AH227,Target_monthwise!$D$4:$O$20,DTR!G$4,FALSE))*1000,0)</f>
        <v>0</v>
      </c>
      <c r="H227" s="141">
        <f>IFERROR((HLOOKUP($AH227,Target_monthwise!$D$4:$O$20,DTR!H$4,FALSE))*1000,0)</f>
        <v>0</v>
      </c>
      <c r="I227" s="141">
        <f>IFERROR((HLOOKUP($AH227,Target_monthwise!$D$4:$O$20,DTR!I$4,FALSE))*1000,0)</f>
        <v>0</v>
      </c>
      <c r="J227" s="141">
        <f>IFERROR((HLOOKUP($AH227,Target_monthwise!$D$4:$O$20,DTR!J$4,FALSE))*1000,0)</f>
        <v>0</v>
      </c>
      <c r="K227" s="141">
        <f>IFERROR((HLOOKUP($AH227,Target_monthwise!$D$4:$O$20,DTR!K$4,FALSE))*1000,0)</f>
        <v>0</v>
      </c>
      <c r="L227" s="141">
        <f>IFERROR((HLOOKUP($AH227,Target_monthwise!$D$4:$O$20,DTR!L$4,FALSE))*1000,0)</f>
        <v>0</v>
      </c>
      <c r="M227" s="141">
        <f>IFERROR((HLOOKUP($AH227,Target_monthwise!$D$4:$O$20,DTR!M$4,FALSE))*1000,0)</f>
        <v>0</v>
      </c>
      <c r="N227" s="141">
        <f>IFERROR((HLOOKUP($AH227,Target_monthwise!$D$4:$O$20,DTR!N$4,FALSE))*1000,0)</f>
        <v>0</v>
      </c>
      <c r="O227" s="141">
        <f>IFERROR((HLOOKUP($AH227,Target_monthwise!$D$4:$O$20,DTR!O$4,FALSE))*1000,0)</f>
        <v>0</v>
      </c>
      <c r="P227" s="141">
        <f>IFERROR((HLOOKUP($AH227,Target_monthwise!$D$4:$O$20,DTR!P$4,FALSE))*1000,0)</f>
        <v>0</v>
      </c>
      <c r="Q227" s="141">
        <f>IFERROR((HLOOKUP($AH227,Target_monthwise!$D$4:$O$20,DTR!Q$4,FALSE))*1000,0)</f>
        <v>0</v>
      </c>
      <c r="R227" s="167">
        <f>IFERROR((HLOOKUP($AH227,Target_monthwise!$D$4:$O$20,DTR!R$4,FALSE))*1000,0)</f>
        <v>0</v>
      </c>
      <c r="S227" s="147">
        <f>IFERROR((HLOOKUP($AH227,Target_monthwise!$D$24:$O$40,DTR!S$4,FALSE)),0)</f>
        <v>0</v>
      </c>
      <c r="T227" s="147">
        <f>IFERROR((HLOOKUP($AH227,Target_monthwise!$D$24:$O$40,DTR!T$4,FALSE)),0)</f>
        <v>0</v>
      </c>
      <c r="U227" s="147">
        <f>IFERROR((HLOOKUP($AH227,Target_monthwise!$D$24:$O$40,DTR!U$4,FALSE)),0)</f>
        <v>0</v>
      </c>
      <c r="V227" s="147">
        <f>IFERROR((HLOOKUP($AH227,Target_monthwise!$D$24:$O$40,DTR!V$4,FALSE)),0)</f>
        <v>0</v>
      </c>
      <c r="W227" s="147">
        <f>IFERROR((HLOOKUP($AH227,Target_monthwise!$D$24:$O$40,DTR!W$4,FALSE)),0)</f>
        <v>0</v>
      </c>
      <c r="X227" s="147">
        <f>IFERROR((HLOOKUP($AH227,Target_monthwise!$D$24:$O$40,DTR!X$4,FALSE)),0)</f>
        <v>0</v>
      </c>
      <c r="Y227" s="147">
        <f>IFERROR((HLOOKUP($AH227,Target_monthwise!$D$24:$O$40,DTR!Y$4,FALSE)),0)</f>
        <v>0</v>
      </c>
      <c r="Z227" s="147">
        <f>IFERROR((HLOOKUP($AH227,Target_monthwise!$D$24:$O$40,DTR!Z$4,FALSE)),0)</f>
        <v>0</v>
      </c>
      <c r="AA227" s="147">
        <f>IFERROR((HLOOKUP($AH227,Target_monthwise!$D$24:$O$40,DTR!AA$4,FALSE)),0)</f>
        <v>0</v>
      </c>
      <c r="AB227" s="147">
        <f>IFERROR((HLOOKUP($AH227,Target_monthwise!$D$24:$O$40,DTR!AB$4,FALSE)),0)</f>
        <v>0</v>
      </c>
      <c r="AC227" s="147">
        <f>IFERROR((HLOOKUP($AH227,Target_monthwise!$D$24:$O$40,DTR!AC$4,FALSE)),0)</f>
        <v>0</v>
      </c>
      <c r="AD227" s="147">
        <f>IFERROR((HLOOKUP($AH227,Target_monthwise!$D$24:$O$40,DTR!AD$4,FALSE)),0)</f>
        <v>0</v>
      </c>
      <c r="AE227" s="147">
        <f>IFERROR((HLOOKUP($AH227,Target_monthwise!$D$24:$O$40,DTR!AE$4,FALSE)),0)</f>
        <v>0</v>
      </c>
      <c r="AF227" s="147">
        <f>IFERROR((HLOOKUP($AH227,Target_monthwise!$D$24:$O$40,DTR!AF$4,FALSE)),0)</f>
        <v>0</v>
      </c>
      <c r="AG227" s="172">
        <f>IFERROR((HLOOKUP($AH227,Target_monthwise!$D$24:$O$40,DTR!AG$4,FALSE)),0)</f>
        <v>0</v>
      </c>
      <c r="AH227" s="253">
        <f t="shared" si="3"/>
        <v>202211</v>
      </c>
    </row>
    <row r="228" spans="3:34" ht="15.75" hidden="1">
      <c r="C228" s="237">
        <v>44871</v>
      </c>
      <c r="D228" s="238">
        <f>IFERROR((HLOOKUP($AH228,Target_monthwise!$D$4:$O$20,DTR!D$4,FALSE))*1000,0)</f>
        <v>0</v>
      </c>
      <c r="E228" s="238">
        <f>IFERROR((HLOOKUP($AH228,Target_monthwise!$D$4:$O$20,DTR!E$4,FALSE))*1000,0)</f>
        <v>0</v>
      </c>
      <c r="F228" s="238">
        <f>IFERROR((HLOOKUP($AH228,Target_monthwise!$D$4:$O$20,DTR!F$4,FALSE))*1000,0)</f>
        <v>0</v>
      </c>
      <c r="G228" s="238">
        <f>IFERROR((HLOOKUP($AH228,Target_monthwise!$D$4:$O$20,DTR!G$4,FALSE))*1000,0)</f>
        <v>0</v>
      </c>
      <c r="H228" s="238">
        <f>IFERROR((HLOOKUP($AH228,Target_monthwise!$D$4:$O$20,DTR!H$4,FALSE))*1000,0)</f>
        <v>0</v>
      </c>
      <c r="I228" s="238">
        <f>IFERROR((HLOOKUP($AH228,Target_monthwise!$D$4:$O$20,DTR!I$4,FALSE))*1000,0)</f>
        <v>0</v>
      </c>
      <c r="J228" s="238">
        <f>IFERROR((HLOOKUP($AH228,Target_monthwise!$D$4:$O$20,DTR!J$4,FALSE))*1000,0)</f>
        <v>0</v>
      </c>
      <c r="K228" s="238">
        <f>IFERROR((HLOOKUP($AH228,Target_monthwise!$D$4:$O$20,DTR!K$4,FALSE))*1000,0)</f>
        <v>0</v>
      </c>
      <c r="L228" s="238">
        <f>IFERROR((HLOOKUP($AH228,Target_monthwise!$D$4:$O$20,DTR!L$4,FALSE))*1000,0)</f>
        <v>0</v>
      </c>
      <c r="M228" s="238">
        <f>IFERROR((HLOOKUP($AH228,Target_monthwise!$D$4:$O$20,DTR!M$4,FALSE))*1000,0)</f>
        <v>0</v>
      </c>
      <c r="N228" s="238">
        <f>IFERROR((HLOOKUP($AH228,Target_monthwise!$D$4:$O$20,DTR!N$4,FALSE))*1000,0)</f>
        <v>0</v>
      </c>
      <c r="O228" s="238">
        <f>IFERROR((HLOOKUP($AH228,Target_monthwise!$D$4:$O$20,DTR!O$4,FALSE))*1000,0)</f>
        <v>0</v>
      </c>
      <c r="P228" s="238">
        <f>IFERROR((HLOOKUP($AH228,Target_monthwise!$D$4:$O$20,DTR!P$4,FALSE))*1000,0)</f>
        <v>0</v>
      </c>
      <c r="Q228" s="141">
        <f>IFERROR((HLOOKUP($AH228,Target_monthwise!$D$4:$O$20,DTR!Q$4,FALSE))*1000,0)</f>
        <v>0</v>
      </c>
      <c r="R228" s="167">
        <f>IFERROR((HLOOKUP($AH228,Target_monthwise!$D$4:$O$20,DTR!R$4,FALSE))*1000,0)</f>
        <v>0</v>
      </c>
      <c r="S228" s="239">
        <f>IFERROR((HLOOKUP($AH228,Target_monthwise!$D$24:$O$40,DTR!S$4,FALSE)),0)</f>
        <v>0</v>
      </c>
      <c r="T228" s="239">
        <f>IFERROR((HLOOKUP($AH228,Target_monthwise!$D$24:$O$40,DTR!T$4,FALSE)),0)</f>
        <v>0</v>
      </c>
      <c r="U228" s="239">
        <f>IFERROR((HLOOKUP($AH228,Target_monthwise!$D$24:$O$40,DTR!U$4,FALSE)),0)</f>
        <v>0</v>
      </c>
      <c r="V228" s="239">
        <f>IFERROR((HLOOKUP($AH228,Target_monthwise!$D$24:$O$40,DTR!V$4,FALSE)),0)</f>
        <v>0</v>
      </c>
      <c r="W228" s="239">
        <f>IFERROR((HLOOKUP($AH228,Target_monthwise!$D$24:$O$40,DTR!W$4,FALSE)),0)</f>
        <v>0</v>
      </c>
      <c r="X228" s="239">
        <f>IFERROR((HLOOKUP($AH228,Target_monthwise!$D$24:$O$40,DTR!X$4,FALSE)),0)</f>
        <v>0</v>
      </c>
      <c r="Y228" s="239">
        <f>IFERROR((HLOOKUP($AH228,Target_monthwise!$D$24:$O$40,DTR!Y$4,FALSE)),0)</f>
        <v>0</v>
      </c>
      <c r="Z228" s="147">
        <f>IFERROR((HLOOKUP($AH228,Target_monthwise!$D$24:$O$40,DTR!Z$4,FALSE)),0)</f>
        <v>0</v>
      </c>
      <c r="AA228" s="147">
        <f>IFERROR((HLOOKUP($AH228,Target_monthwise!$D$24:$O$40,DTR!AA$4,FALSE)),0)</f>
        <v>0</v>
      </c>
      <c r="AB228" s="147">
        <f>IFERROR((HLOOKUP($AH228,Target_monthwise!$D$24:$O$40,DTR!AB$4,FALSE)),0)</f>
        <v>0</v>
      </c>
      <c r="AC228" s="239">
        <f>IFERROR((HLOOKUP($AH228,Target_monthwise!$D$24:$O$40,DTR!AC$4,FALSE)),0)</f>
        <v>0</v>
      </c>
      <c r="AD228" s="239">
        <f>IFERROR((HLOOKUP($AH228,Target_monthwise!$D$24:$O$40,DTR!AD$4,FALSE)),0)</f>
        <v>0</v>
      </c>
      <c r="AE228" s="239">
        <f>IFERROR((HLOOKUP($AH228,Target_monthwise!$D$24:$O$40,DTR!AE$4,FALSE)),0)</f>
        <v>0</v>
      </c>
      <c r="AF228" s="239">
        <f>IFERROR((HLOOKUP($AH228,Target_monthwise!$D$24:$O$40,DTR!AF$4,FALSE)),0)</f>
        <v>0</v>
      </c>
      <c r="AG228" s="172">
        <f>IFERROR((HLOOKUP($AH228,Target_monthwise!$D$24:$O$40,DTR!AG$4,FALSE)),0)</f>
        <v>0</v>
      </c>
      <c r="AH228" s="253">
        <f t="shared" si="3"/>
        <v>202211</v>
      </c>
    </row>
    <row r="229" spans="3:34" ht="15.75" hidden="1">
      <c r="C229" s="235">
        <v>44872</v>
      </c>
      <c r="D229" s="141">
        <f>IFERROR((HLOOKUP($AH229,Target_monthwise!$D$4:$O$20,DTR!D$4,FALSE))*1000,0)</f>
        <v>0</v>
      </c>
      <c r="E229" s="141">
        <f>IFERROR((HLOOKUP($AH229,Target_monthwise!$D$4:$O$20,DTR!E$4,FALSE))*1000,0)</f>
        <v>0</v>
      </c>
      <c r="F229" s="141">
        <f>IFERROR((HLOOKUP($AH229,Target_monthwise!$D$4:$O$20,DTR!F$4,FALSE))*1000,0)</f>
        <v>0</v>
      </c>
      <c r="G229" s="141">
        <f>IFERROR((HLOOKUP($AH229,Target_monthwise!$D$4:$O$20,DTR!G$4,FALSE))*1000,0)</f>
        <v>0</v>
      </c>
      <c r="H229" s="141">
        <f>IFERROR((HLOOKUP($AH229,Target_monthwise!$D$4:$O$20,DTR!H$4,FALSE))*1000,0)</f>
        <v>0</v>
      </c>
      <c r="I229" s="141">
        <f>IFERROR((HLOOKUP($AH229,Target_monthwise!$D$4:$O$20,DTR!I$4,FALSE))*1000,0)</f>
        <v>0</v>
      </c>
      <c r="J229" s="141">
        <f>IFERROR((HLOOKUP($AH229,Target_monthwise!$D$4:$O$20,DTR!J$4,FALSE))*1000,0)</f>
        <v>0</v>
      </c>
      <c r="K229" s="141">
        <f>IFERROR((HLOOKUP($AH229,Target_monthwise!$D$4:$O$20,DTR!K$4,FALSE))*1000,0)</f>
        <v>0</v>
      </c>
      <c r="L229" s="141">
        <f>IFERROR((HLOOKUP($AH229,Target_monthwise!$D$4:$O$20,DTR!L$4,FALSE))*1000,0)</f>
        <v>0</v>
      </c>
      <c r="M229" s="141">
        <f>IFERROR((HLOOKUP($AH229,Target_monthwise!$D$4:$O$20,DTR!M$4,FALSE))*1000,0)</f>
        <v>0</v>
      </c>
      <c r="N229" s="141">
        <f>IFERROR((HLOOKUP($AH229,Target_monthwise!$D$4:$O$20,DTR!N$4,FALSE))*1000,0)</f>
        <v>0</v>
      </c>
      <c r="O229" s="141">
        <f>IFERROR((HLOOKUP($AH229,Target_monthwise!$D$4:$O$20,DTR!O$4,FALSE))*1000,0)</f>
        <v>0</v>
      </c>
      <c r="P229" s="141">
        <f>IFERROR((HLOOKUP($AH229,Target_monthwise!$D$4:$O$20,DTR!P$4,FALSE))*1000,0)</f>
        <v>0</v>
      </c>
      <c r="Q229" s="141">
        <f>IFERROR((HLOOKUP($AH229,Target_monthwise!$D$4:$O$20,DTR!Q$4,FALSE))*1000,0)</f>
        <v>0</v>
      </c>
      <c r="R229" s="167">
        <f>IFERROR((HLOOKUP($AH229,Target_monthwise!$D$4:$O$20,DTR!R$4,FALSE))*1000,0)</f>
        <v>0</v>
      </c>
      <c r="S229" s="147">
        <f>IFERROR((HLOOKUP($AH229,Target_monthwise!$D$24:$O$40,DTR!S$4,FALSE)),0)</f>
        <v>0</v>
      </c>
      <c r="T229" s="147">
        <f>IFERROR((HLOOKUP($AH229,Target_monthwise!$D$24:$O$40,DTR!T$4,FALSE)),0)</f>
        <v>0</v>
      </c>
      <c r="U229" s="147">
        <f>IFERROR((HLOOKUP($AH229,Target_monthwise!$D$24:$O$40,DTR!U$4,FALSE)),0)</f>
        <v>0</v>
      </c>
      <c r="V229" s="147">
        <f>IFERROR((HLOOKUP($AH229,Target_monthwise!$D$24:$O$40,DTR!V$4,FALSE)),0)</f>
        <v>0</v>
      </c>
      <c r="W229" s="147">
        <f>IFERROR((HLOOKUP($AH229,Target_monthwise!$D$24:$O$40,DTR!W$4,FALSE)),0)</f>
        <v>0</v>
      </c>
      <c r="X229" s="147">
        <f>IFERROR((HLOOKUP($AH229,Target_monthwise!$D$24:$O$40,DTR!X$4,FALSE)),0)</f>
        <v>0</v>
      </c>
      <c r="Y229" s="147">
        <f>IFERROR((HLOOKUP($AH229,Target_monthwise!$D$24:$O$40,DTR!Y$4,FALSE)),0)</f>
        <v>0</v>
      </c>
      <c r="Z229" s="147">
        <f>IFERROR((HLOOKUP($AH229,Target_monthwise!$D$24:$O$40,DTR!Z$4,FALSE)),0)</f>
        <v>0</v>
      </c>
      <c r="AA229" s="147">
        <f>IFERROR((HLOOKUP($AH229,Target_monthwise!$D$24:$O$40,DTR!AA$4,FALSE)),0)</f>
        <v>0</v>
      </c>
      <c r="AB229" s="147">
        <f>IFERROR((HLOOKUP($AH229,Target_monthwise!$D$24:$O$40,DTR!AB$4,FALSE)),0)</f>
        <v>0</v>
      </c>
      <c r="AC229" s="147">
        <f>IFERROR((HLOOKUP($AH229,Target_monthwise!$D$24:$O$40,DTR!AC$4,FALSE)),0)</f>
        <v>0</v>
      </c>
      <c r="AD229" s="147">
        <f>IFERROR((HLOOKUP($AH229,Target_monthwise!$D$24:$O$40,DTR!AD$4,FALSE)),0)</f>
        <v>0</v>
      </c>
      <c r="AE229" s="147">
        <f>IFERROR((HLOOKUP($AH229,Target_monthwise!$D$24:$O$40,DTR!AE$4,FALSE)),0)</f>
        <v>0</v>
      </c>
      <c r="AF229" s="147">
        <f>IFERROR((HLOOKUP($AH229,Target_monthwise!$D$24:$O$40,DTR!AF$4,FALSE)),0)</f>
        <v>0</v>
      </c>
      <c r="AG229" s="172">
        <f>IFERROR((HLOOKUP($AH229,Target_monthwise!$D$24:$O$40,DTR!AG$4,FALSE)),0)</f>
        <v>0</v>
      </c>
      <c r="AH229" s="253">
        <f t="shared" si="3"/>
        <v>202211</v>
      </c>
    </row>
    <row r="230" spans="3:34" ht="15.75" hidden="1">
      <c r="C230" s="237">
        <v>44873</v>
      </c>
      <c r="D230" s="238">
        <f>IFERROR((HLOOKUP($AH230,Target_monthwise!$D$4:$O$20,DTR!D$4,FALSE))*1000,0)</f>
        <v>0</v>
      </c>
      <c r="E230" s="238">
        <f>IFERROR((HLOOKUP($AH230,Target_monthwise!$D$4:$O$20,DTR!E$4,FALSE))*1000,0)</f>
        <v>0</v>
      </c>
      <c r="F230" s="238">
        <f>IFERROR((HLOOKUP($AH230,Target_monthwise!$D$4:$O$20,DTR!F$4,FALSE))*1000,0)</f>
        <v>0</v>
      </c>
      <c r="G230" s="238">
        <f>IFERROR((HLOOKUP($AH230,Target_monthwise!$D$4:$O$20,DTR!G$4,FALSE))*1000,0)</f>
        <v>0</v>
      </c>
      <c r="H230" s="238">
        <f>IFERROR((HLOOKUP($AH230,Target_monthwise!$D$4:$O$20,DTR!H$4,FALSE))*1000,0)</f>
        <v>0</v>
      </c>
      <c r="I230" s="238">
        <f>IFERROR((HLOOKUP($AH230,Target_monthwise!$D$4:$O$20,DTR!I$4,FALSE))*1000,0)</f>
        <v>0</v>
      </c>
      <c r="J230" s="238">
        <f>IFERROR((HLOOKUP($AH230,Target_monthwise!$D$4:$O$20,DTR!J$4,FALSE))*1000,0)</f>
        <v>0</v>
      </c>
      <c r="K230" s="238">
        <f>IFERROR((HLOOKUP($AH230,Target_monthwise!$D$4:$O$20,DTR!K$4,FALSE))*1000,0)</f>
        <v>0</v>
      </c>
      <c r="L230" s="238">
        <f>IFERROR((HLOOKUP($AH230,Target_monthwise!$D$4:$O$20,DTR!L$4,FALSE))*1000,0)</f>
        <v>0</v>
      </c>
      <c r="M230" s="238">
        <f>IFERROR((HLOOKUP($AH230,Target_monthwise!$D$4:$O$20,DTR!M$4,FALSE))*1000,0)</f>
        <v>0</v>
      </c>
      <c r="N230" s="238">
        <f>IFERROR((HLOOKUP($AH230,Target_monthwise!$D$4:$O$20,DTR!N$4,FALSE))*1000,0)</f>
        <v>0</v>
      </c>
      <c r="O230" s="238">
        <f>IFERROR((HLOOKUP($AH230,Target_monthwise!$D$4:$O$20,DTR!O$4,FALSE))*1000,0)</f>
        <v>0</v>
      </c>
      <c r="P230" s="238">
        <f>IFERROR((HLOOKUP($AH230,Target_monthwise!$D$4:$O$20,DTR!P$4,FALSE))*1000,0)</f>
        <v>0</v>
      </c>
      <c r="Q230" s="141">
        <f>IFERROR((HLOOKUP($AH230,Target_monthwise!$D$4:$O$20,DTR!Q$4,FALSE))*1000,0)</f>
        <v>0</v>
      </c>
      <c r="R230" s="167">
        <f>IFERROR((HLOOKUP($AH230,Target_monthwise!$D$4:$O$20,DTR!R$4,FALSE))*1000,0)</f>
        <v>0</v>
      </c>
      <c r="S230" s="239">
        <f>IFERROR((HLOOKUP($AH230,Target_monthwise!$D$24:$O$40,DTR!S$4,FALSE)),0)</f>
        <v>0</v>
      </c>
      <c r="T230" s="239">
        <f>IFERROR((HLOOKUP($AH230,Target_monthwise!$D$24:$O$40,DTR!T$4,FALSE)),0)</f>
        <v>0</v>
      </c>
      <c r="U230" s="239">
        <f>IFERROR((HLOOKUP($AH230,Target_monthwise!$D$24:$O$40,DTR!U$4,FALSE)),0)</f>
        <v>0</v>
      </c>
      <c r="V230" s="239">
        <f>IFERROR((HLOOKUP($AH230,Target_monthwise!$D$24:$O$40,DTR!V$4,FALSE)),0)</f>
        <v>0</v>
      </c>
      <c r="W230" s="239">
        <f>IFERROR((HLOOKUP($AH230,Target_monthwise!$D$24:$O$40,DTR!W$4,FALSE)),0)</f>
        <v>0</v>
      </c>
      <c r="X230" s="239">
        <f>IFERROR((HLOOKUP($AH230,Target_monthwise!$D$24:$O$40,DTR!X$4,FALSE)),0)</f>
        <v>0</v>
      </c>
      <c r="Y230" s="239">
        <f>IFERROR((HLOOKUP($AH230,Target_monthwise!$D$24:$O$40,DTR!Y$4,FALSE)),0)</f>
        <v>0</v>
      </c>
      <c r="Z230" s="147">
        <f>IFERROR((HLOOKUP($AH230,Target_monthwise!$D$24:$O$40,DTR!Z$4,FALSE)),0)</f>
        <v>0</v>
      </c>
      <c r="AA230" s="147">
        <f>IFERROR((HLOOKUP($AH230,Target_monthwise!$D$24:$O$40,DTR!AA$4,FALSE)),0)</f>
        <v>0</v>
      </c>
      <c r="AB230" s="147">
        <f>IFERROR((HLOOKUP($AH230,Target_monthwise!$D$24:$O$40,DTR!AB$4,FALSE)),0)</f>
        <v>0</v>
      </c>
      <c r="AC230" s="239">
        <f>IFERROR((HLOOKUP($AH230,Target_monthwise!$D$24:$O$40,DTR!AC$4,FALSE)),0)</f>
        <v>0</v>
      </c>
      <c r="AD230" s="239">
        <f>IFERROR((HLOOKUP($AH230,Target_monthwise!$D$24:$O$40,DTR!AD$4,FALSE)),0)</f>
        <v>0</v>
      </c>
      <c r="AE230" s="239">
        <f>IFERROR((HLOOKUP($AH230,Target_monthwise!$D$24:$O$40,DTR!AE$4,FALSE)),0)</f>
        <v>0</v>
      </c>
      <c r="AF230" s="239">
        <f>IFERROR((HLOOKUP($AH230,Target_monthwise!$D$24:$O$40,DTR!AF$4,FALSE)),0)</f>
        <v>0</v>
      </c>
      <c r="AG230" s="172">
        <f>IFERROR((HLOOKUP($AH230,Target_monthwise!$D$24:$O$40,DTR!AG$4,FALSE)),0)</f>
        <v>0</v>
      </c>
      <c r="AH230" s="253">
        <f t="shared" si="3"/>
        <v>202211</v>
      </c>
    </row>
    <row r="231" spans="3:34" ht="15.75" hidden="1">
      <c r="C231" s="235">
        <v>44874</v>
      </c>
      <c r="D231" s="141">
        <f>IFERROR((HLOOKUP($AH231,Target_monthwise!$D$4:$O$20,DTR!D$4,FALSE))*1000,0)</f>
        <v>0</v>
      </c>
      <c r="E231" s="141">
        <f>IFERROR((HLOOKUP($AH231,Target_monthwise!$D$4:$O$20,DTR!E$4,FALSE))*1000,0)</f>
        <v>0</v>
      </c>
      <c r="F231" s="141">
        <f>IFERROR((HLOOKUP($AH231,Target_monthwise!$D$4:$O$20,DTR!F$4,FALSE))*1000,0)</f>
        <v>0</v>
      </c>
      <c r="G231" s="141">
        <f>IFERROR((HLOOKUP($AH231,Target_monthwise!$D$4:$O$20,DTR!G$4,FALSE))*1000,0)</f>
        <v>0</v>
      </c>
      <c r="H231" s="141">
        <f>IFERROR((HLOOKUP($AH231,Target_monthwise!$D$4:$O$20,DTR!H$4,FALSE))*1000,0)</f>
        <v>0</v>
      </c>
      <c r="I231" s="141">
        <f>IFERROR((HLOOKUP($AH231,Target_monthwise!$D$4:$O$20,DTR!I$4,FALSE))*1000,0)</f>
        <v>0</v>
      </c>
      <c r="J231" s="141">
        <f>IFERROR((HLOOKUP($AH231,Target_monthwise!$D$4:$O$20,DTR!J$4,FALSE))*1000,0)</f>
        <v>0</v>
      </c>
      <c r="K231" s="141">
        <f>IFERROR((HLOOKUP($AH231,Target_monthwise!$D$4:$O$20,DTR!K$4,FALSE))*1000,0)</f>
        <v>0</v>
      </c>
      <c r="L231" s="141">
        <f>IFERROR((HLOOKUP($AH231,Target_monthwise!$D$4:$O$20,DTR!L$4,FALSE))*1000,0)</f>
        <v>0</v>
      </c>
      <c r="M231" s="141">
        <f>IFERROR((HLOOKUP($AH231,Target_monthwise!$D$4:$O$20,DTR!M$4,FALSE))*1000,0)</f>
        <v>0</v>
      </c>
      <c r="N231" s="141">
        <f>IFERROR((HLOOKUP($AH231,Target_monthwise!$D$4:$O$20,DTR!N$4,FALSE))*1000,0)</f>
        <v>0</v>
      </c>
      <c r="O231" s="141">
        <f>IFERROR((HLOOKUP($AH231,Target_monthwise!$D$4:$O$20,DTR!O$4,FALSE))*1000,0)</f>
        <v>0</v>
      </c>
      <c r="P231" s="141">
        <f>IFERROR((HLOOKUP($AH231,Target_monthwise!$D$4:$O$20,DTR!P$4,FALSE))*1000,0)</f>
        <v>0</v>
      </c>
      <c r="Q231" s="141">
        <f>IFERROR((HLOOKUP($AH231,Target_monthwise!$D$4:$O$20,DTR!Q$4,FALSE))*1000,0)</f>
        <v>0</v>
      </c>
      <c r="R231" s="167">
        <f>IFERROR((HLOOKUP($AH231,Target_monthwise!$D$4:$O$20,DTR!R$4,FALSE))*1000,0)</f>
        <v>0</v>
      </c>
      <c r="S231" s="147">
        <f>IFERROR((HLOOKUP($AH231,Target_monthwise!$D$24:$O$40,DTR!S$4,FALSE)),0)</f>
        <v>0</v>
      </c>
      <c r="T231" s="147">
        <f>IFERROR((HLOOKUP($AH231,Target_monthwise!$D$24:$O$40,DTR!T$4,FALSE)),0)</f>
        <v>0</v>
      </c>
      <c r="U231" s="147">
        <f>IFERROR((HLOOKUP($AH231,Target_monthwise!$D$24:$O$40,DTR!U$4,FALSE)),0)</f>
        <v>0</v>
      </c>
      <c r="V231" s="147">
        <f>IFERROR((HLOOKUP($AH231,Target_monthwise!$D$24:$O$40,DTR!V$4,FALSE)),0)</f>
        <v>0</v>
      </c>
      <c r="W231" s="147">
        <f>IFERROR((HLOOKUP($AH231,Target_monthwise!$D$24:$O$40,DTR!W$4,FALSE)),0)</f>
        <v>0</v>
      </c>
      <c r="X231" s="147">
        <f>IFERROR((HLOOKUP($AH231,Target_monthwise!$D$24:$O$40,DTR!X$4,FALSE)),0)</f>
        <v>0</v>
      </c>
      <c r="Y231" s="147">
        <f>IFERROR((HLOOKUP($AH231,Target_monthwise!$D$24:$O$40,DTR!Y$4,FALSE)),0)</f>
        <v>0</v>
      </c>
      <c r="Z231" s="147">
        <f>IFERROR((HLOOKUP($AH231,Target_monthwise!$D$24:$O$40,DTR!Z$4,FALSE)),0)</f>
        <v>0</v>
      </c>
      <c r="AA231" s="147">
        <f>IFERROR((HLOOKUP($AH231,Target_monthwise!$D$24:$O$40,DTR!AA$4,FALSE)),0)</f>
        <v>0</v>
      </c>
      <c r="AB231" s="147">
        <f>IFERROR((HLOOKUP($AH231,Target_monthwise!$D$24:$O$40,DTR!AB$4,FALSE)),0)</f>
        <v>0</v>
      </c>
      <c r="AC231" s="147">
        <f>IFERROR((HLOOKUP($AH231,Target_monthwise!$D$24:$O$40,DTR!AC$4,FALSE)),0)</f>
        <v>0</v>
      </c>
      <c r="AD231" s="147">
        <f>IFERROR((HLOOKUP($AH231,Target_monthwise!$D$24:$O$40,DTR!AD$4,FALSE)),0)</f>
        <v>0</v>
      </c>
      <c r="AE231" s="147">
        <f>IFERROR((HLOOKUP($AH231,Target_monthwise!$D$24:$O$40,DTR!AE$4,FALSE)),0)</f>
        <v>0</v>
      </c>
      <c r="AF231" s="147">
        <f>IFERROR((HLOOKUP($AH231,Target_monthwise!$D$24:$O$40,DTR!AF$4,FALSE)),0)</f>
        <v>0</v>
      </c>
      <c r="AG231" s="172">
        <f>IFERROR((HLOOKUP($AH231,Target_monthwise!$D$24:$O$40,DTR!AG$4,FALSE)),0)</f>
        <v>0</v>
      </c>
      <c r="AH231" s="253">
        <f t="shared" si="3"/>
        <v>202211</v>
      </c>
    </row>
    <row r="232" spans="3:34" ht="15.75" hidden="1">
      <c r="C232" s="237">
        <v>44875</v>
      </c>
      <c r="D232" s="238">
        <f>IFERROR((HLOOKUP($AH232,Target_monthwise!$D$4:$O$20,DTR!D$4,FALSE))*1000,0)</f>
        <v>0</v>
      </c>
      <c r="E232" s="238">
        <f>IFERROR((HLOOKUP($AH232,Target_monthwise!$D$4:$O$20,DTR!E$4,FALSE))*1000,0)</f>
        <v>0</v>
      </c>
      <c r="F232" s="238">
        <f>IFERROR((HLOOKUP($AH232,Target_monthwise!$D$4:$O$20,DTR!F$4,FALSE))*1000,0)</f>
        <v>0</v>
      </c>
      <c r="G232" s="238">
        <f>IFERROR((HLOOKUP($AH232,Target_monthwise!$D$4:$O$20,DTR!G$4,FALSE))*1000,0)</f>
        <v>0</v>
      </c>
      <c r="H232" s="238">
        <f>IFERROR((HLOOKUP($AH232,Target_monthwise!$D$4:$O$20,DTR!H$4,FALSE))*1000,0)</f>
        <v>0</v>
      </c>
      <c r="I232" s="238">
        <f>IFERROR((HLOOKUP($AH232,Target_monthwise!$D$4:$O$20,DTR!I$4,FALSE))*1000,0)</f>
        <v>0</v>
      </c>
      <c r="J232" s="238">
        <f>IFERROR((HLOOKUP($AH232,Target_monthwise!$D$4:$O$20,DTR!J$4,FALSE))*1000,0)</f>
        <v>0</v>
      </c>
      <c r="K232" s="238">
        <f>IFERROR((HLOOKUP($AH232,Target_monthwise!$D$4:$O$20,DTR!K$4,FALSE))*1000,0)</f>
        <v>0</v>
      </c>
      <c r="L232" s="238">
        <f>IFERROR((HLOOKUP($AH232,Target_monthwise!$D$4:$O$20,DTR!L$4,FALSE))*1000,0)</f>
        <v>0</v>
      </c>
      <c r="M232" s="238">
        <f>IFERROR((HLOOKUP($AH232,Target_monthwise!$D$4:$O$20,DTR!M$4,FALSE))*1000,0)</f>
        <v>0</v>
      </c>
      <c r="N232" s="238">
        <f>IFERROR((HLOOKUP($AH232,Target_monthwise!$D$4:$O$20,DTR!N$4,FALSE))*1000,0)</f>
        <v>0</v>
      </c>
      <c r="O232" s="238">
        <f>IFERROR((HLOOKUP($AH232,Target_monthwise!$D$4:$O$20,DTR!O$4,FALSE))*1000,0)</f>
        <v>0</v>
      </c>
      <c r="P232" s="238">
        <f>IFERROR((HLOOKUP($AH232,Target_monthwise!$D$4:$O$20,DTR!P$4,FALSE))*1000,0)</f>
        <v>0</v>
      </c>
      <c r="Q232" s="141">
        <f>IFERROR((HLOOKUP($AH232,Target_monthwise!$D$4:$O$20,DTR!Q$4,FALSE))*1000,0)</f>
        <v>0</v>
      </c>
      <c r="R232" s="167">
        <f>IFERROR((HLOOKUP($AH232,Target_monthwise!$D$4:$O$20,DTR!R$4,FALSE))*1000,0)</f>
        <v>0</v>
      </c>
      <c r="S232" s="239">
        <f>IFERROR((HLOOKUP($AH232,Target_monthwise!$D$24:$O$40,DTR!S$4,FALSE)),0)</f>
        <v>0</v>
      </c>
      <c r="T232" s="239">
        <f>IFERROR((HLOOKUP($AH232,Target_monthwise!$D$24:$O$40,DTR!T$4,FALSE)),0)</f>
        <v>0</v>
      </c>
      <c r="U232" s="239">
        <f>IFERROR((HLOOKUP($AH232,Target_monthwise!$D$24:$O$40,DTR!U$4,FALSE)),0)</f>
        <v>0</v>
      </c>
      <c r="V232" s="239">
        <f>IFERROR((HLOOKUP($AH232,Target_monthwise!$D$24:$O$40,DTR!V$4,FALSE)),0)</f>
        <v>0</v>
      </c>
      <c r="W232" s="239">
        <f>IFERROR((HLOOKUP($AH232,Target_monthwise!$D$24:$O$40,DTR!W$4,FALSE)),0)</f>
        <v>0</v>
      </c>
      <c r="X232" s="239">
        <f>IFERROR((HLOOKUP($AH232,Target_monthwise!$D$24:$O$40,DTR!X$4,FALSE)),0)</f>
        <v>0</v>
      </c>
      <c r="Y232" s="239">
        <f>IFERROR((HLOOKUP($AH232,Target_monthwise!$D$24:$O$40,DTR!Y$4,FALSE)),0)</f>
        <v>0</v>
      </c>
      <c r="Z232" s="147">
        <f>IFERROR((HLOOKUP($AH232,Target_monthwise!$D$24:$O$40,DTR!Z$4,FALSE)),0)</f>
        <v>0</v>
      </c>
      <c r="AA232" s="147">
        <f>IFERROR((HLOOKUP($AH232,Target_monthwise!$D$24:$O$40,DTR!AA$4,FALSE)),0)</f>
        <v>0</v>
      </c>
      <c r="AB232" s="147">
        <f>IFERROR((HLOOKUP($AH232,Target_monthwise!$D$24:$O$40,DTR!AB$4,FALSE)),0)</f>
        <v>0</v>
      </c>
      <c r="AC232" s="239">
        <f>IFERROR((HLOOKUP($AH232,Target_monthwise!$D$24:$O$40,DTR!AC$4,FALSE)),0)</f>
        <v>0</v>
      </c>
      <c r="AD232" s="239">
        <f>IFERROR((HLOOKUP($AH232,Target_monthwise!$D$24:$O$40,DTR!AD$4,FALSE)),0)</f>
        <v>0</v>
      </c>
      <c r="AE232" s="239">
        <f>IFERROR((HLOOKUP($AH232,Target_monthwise!$D$24:$O$40,DTR!AE$4,FALSE)),0)</f>
        <v>0</v>
      </c>
      <c r="AF232" s="239">
        <f>IFERROR((HLOOKUP($AH232,Target_monthwise!$D$24:$O$40,DTR!AF$4,FALSE)),0)</f>
        <v>0</v>
      </c>
      <c r="AG232" s="172">
        <f>IFERROR((HLOOKUP($AH232,Target_monthwise!$D$24:$O$40,DTR!AG$4,FALSE)),0)</f>
        <v>0</v>
      </c>
      <c r="AH232" s="253">
        <f t="shared" si="3"/>
        <v>202211</v>
      </c>
    </row>
    <row r="233" spans="3:34" ht="15.75" hidden="1">
      <c r="C233" s="235">
        <v>44876</v>
      </c>
      <c r="D233" s="141">
        <f>IFERROR((HLOOKUP($AH233,Target_monthwise!$D$4:$O$20,DTR!D$4,FALSE))*1000,0)</f>
        <v>0</v>
      </c>
      <c r="E233" s="141">
        <f>IFERROR((HLOOKUP($AH233,Target_monthwise!$D$4:$O$20,DTR!E$4,FALSE))*1000,0)</f>
        <v>0</v>
      </c>
      <c r="F233" s="141">
        <f>IFERROR((HLOOKUP($AH233,Target_monthwise!$D$4:$O$20,DTR!F$4,FALSE))*1000,0)</f>
        <v>0</v>
      </c>
      <c r="G233" s="141">
        <f>IFERROR((HLOOKUP($AH233,Target_monthwise!$D$4:$O$20,DTR!G$4,FALSE))*1000,0)</f>
        <v>0</v>
      </c>
      <c r="H233" s="141">
        <f>IFERROR((HLOOKUP($AH233,Target_monthwise!$D$4:$O$20,DTR!H$4,FALSE))*1000,0)</f>
        <v>0</v>
      </c>
      <c r="I233" s="141">
        <f>IFERROR((HLOOKUP($AH233,Target_monthwise!$D$4:$O$20,DTR!I$4,FALSE))*1000,0)</f>
        <v>0</v>
      </c>
      <c r="J233" s="141">
        <f>IFERROR((HLOOKUP($AH233,Target_monthwise!$D$4:$O$20,DTR!J$4,FALSE))*1000,0)</f>
        <v>0</v>
      </c>
      <c r="K233" s="141">
        <f>IFERROR((HLOOKUP($AH233,Target_monthwise!$D$4:$O$20,DTR!K$4,FALSE))*1000,0)</f>
        <v>0</v>
      </c>
      <c r="L233" s="141">
        <f>IFERROR((HLOOKUP($AH233,Target_monthwise!$D$4:$O$20,DTR!L$4,FALSE))*1000,0)</f>
        <v>0</v>
      </c>
      <c r="M233" s="141">
        <f>IFERROR((HLOOKUP($AH233,Target_monthwise!$D$4:$O$20,DTR!M$4,FALSE))*1000,0)</f>
        <v>0</v>
      </c>
      <c r="N233" s="141">
        <f>IFERROR((HLOOKUP($AH233,Target_monthwise!$D$4:$O$20,DTR!N$4,FALSE))*1000,0)</f>
        <v>0</v>
      </c>
      <c r="O233" s="141">
        <f>IFERROR((HLOOKUP($AH233,Target_monthwise!$D$4:$O$20,DTR!O$4,FALSE))*1000,0)</f>
        <v>0</v>
      </c>
      <c r="P233" s="141">
        <f>IFERROR((HLOOKUP($AH233,Target_monthwise!$D$4:$O$20,DTR!P$4,FALSE))*1000,0)</f>
        <v>0</v>
      </c>
      <c r="Q233" s="141">
        <f>IFERROR((HLOOKUP($AH233,Target_monthwise!$D$4:$O$20,DTR!Q$4,FALSE))*1000,0)</f>
        <v>0</v>
      </c>
      <c r="R233" s="167">
        <f>IFERROR((HLOOKUP($AH233,Target_monthwise!$D$4:$O$20,DTR!R$4,FALSE))*1000,0)</f>
        <v>0</v>
      </c>
      <c r="S233" s="147">
        <f>IFERROR((HLOOKUP($AH233,Target_monthwise!$D$24:$O$40,DTR!S$4,FALSE)),0)</f>
        <v>0</v>
      </c>
      <c r="T233" s="147">
        <f>IFERROR((HLOOKUP($AH233,Target_monthwise!$D$24:$O$40,DTR!T$4,FALSE)),0)</f>
        <v>0</v>
      </c>
      <c r="U233" s="147">
        <f>IFERROR((HLOOKUP($AH233,Target_monthwise!$D$24:$O$40,DTR!U$4,FALSE)),0)</f>
        <v>0</v>
      </c>
      <c r="V233" s="147">
        <f>IFERROR((HLOOKUP($AH233,Target_monthwise!$D$24:$O$40,DTR!V$4,FALSE)),0)</f>
        <v>0</v>
      </c>
      <c r="W233" s="147">
        <f>IFERROR((HLOOKUP($AH233,Target_monthwise!$D$24:$O$40,DTR!W$4,FALSE)),0)</f>
        <v>0</v>
      </c>
      <c r="X233" s="147">
        <f>IFERROR((HLOOKUP($AH233,Target_monthwise!$D$24:$O$40,DTR!X$4,FALSE)),0)</f>
        <v>0</v>
      </c>
      <c r="Y233" s="147">
        <f>IFERROR((HLOOKUP($AH233,Target_monthwise!$D$24:$O$40,DTR!Y$4,FALSE)),0)</f>
        <v>0</v>
      </c>
      <c r="Z233" s="147">
        <f>IFERROR((HLOOKUP($AH233,Target_monthwise!$D$24:$O$40,DTR!Z$4,FALSE)),0)</f>
        <v>0</v>
      </c>
      <c r="AA233" s="147">
        <f>IFERROR((HLOOKUP($AH233,Target_monthwise!$D$24:$O$40,DTR!AA$4,FALSE)),0)</f>
        <v>0</v>
      </c>
      <c r="AB233" s="147">
        <f>IFERROR((HLOOKUP($AH233,Target_monthwise!$D$24:$O$40,DTR!AB$4,FALSE)),0)</f>
        <v>0</v>
      </c>
      <c r="AC233" s="147">
        <f>IFERROR((HLOOKUP($AH233,Target_monthwise!$D$24:$O$40,DTR!AC$4,FALSE)),0)</f>
        <v>0</v>
      </c>
      <c r="AD233" s="147">
        <f>IFERROR((HLOOKUP($AH233,Target_monthwise!$D$24:$O$40,DTR!AD$4,FALSE)),0)</f>
        <v>0</v>
      </c>
      <c r="AE233" s="147">
        <f>IFERROR((HLOOKUP($AH233,Target_monthwise!$D$24:$O$40,DTR!AE$4,FALSE)),0)</f>
        <v>0</v>
      </c>
      <c r="AF233" s="147">
        <f>IFERROR((HLOOKUP($AH233,Target_monthwise!$D$24:$O$40,DTR!AF$4,FALSE)),0)</f>
        <v>0</v>
      </c>
      <c r="AG233" s="172">
        <f>IFERROR((HLOOKUP($AH233,Target_monthwise!$D$24:$O$40,DTR!AG$4,FALSE)),0)</f>
        <v>0</v>
      </c>
      <c r="AH233" s="253">
        <f t="shared" si="3"/>
        <v>202211</v>
      </c>
    </row>
    <row r="234" spans="3:34" ht="15.75" hidden="1">
      <c r="C234" s="237">
        <v>44877</v>
      </c>
      <c r="D234" s="238">
        <f>IFERROR((HLOOKUP($AH234,Target_monthwise!$D$4:$O$20,DTR!D$4,FALSE))*1000,0)</f>
        <v>0</v>
      </c>
      <c r="E234" s="238">
        <f>IFERROR((HLOOKUP($AH234,Target_monthwise!$D$4:$O$20,DTR!E$4,FALSE))*1000,0)</f>
        <v>0</v>
      </c>
      <c r="F234" s="238">
        <f>IFERROR((HLOOKUP($AH234,Target_monthwise!$D$4:$O$20,DTR!F$4,FALSE))*1000,0)</f>
        <v>0</v>
      </c>
      <c r="G234" s="238">
        <f>IFERROR((HLOOKUP($AH234,Target_monthwise!$D$4:$O$20,DTR!G$4,FALSE))*1000,0)</f>
        <v>0</v>
      </c>
      <c r="H234" s="238">
        <f>IFERROR((HLOOKUP($AH234,Target_monthwise!$D$4:$O$20,DTR!H$4,FALSE))*1000,0)</f>
        <v>0</v>
      </c>
      <c r="I234" s="238">
        <f>IFERROR((HLOOKUP($AH234,Target_monthwise!$D$4:$O$20,DTR!I$4,FALSE))*1000,0)</f>
        <v>0</v>
      </c>
      <c r="J234" s="238">
        <f>IFERROR((HLOOKUP($AH234,Target_monthwise!$D$4:$O$20,DTR!J$4,FALSE))*1000,0)</f>
        <v>0</v>
      </c>
      <c r="K234" s="238">
        <f>IFERROR((HLOOKUP($AH234,Target_monthwise!$D$4:$O$20,DTR!K$4,FALSE))*1000,0)</f>
        <v>0</v>
      </c>
      <c r="L234" s="238">
        <f>IFERROR((HLOOKUP($AH234,Target_monthwise!$D$4:$O$20,DTR!L$4,FALSE))*1000,0)</f>
        <v>0</v>
      </c>
      <c r="M234" s="238">
        <f>IFERROR((HLOOKUP($AH234,Target_monthwise!$D$4:$O$20,DTR!M$4,FALSE))*1000,0)</f>
        <v>0</v>
      </c>
      <c r="N234" s="238">
        <f>IFERROR((HLOOKUP($AH234,Target_monthwise!$D$4:$O$20,DTR!N$4,FALSE))*1000,0)</f>
        <v>0</v>
      </c>
      <c r="O234" s="238">
        <f>IFERROR((HLOOKUP($AH234,Target_monthwise!$D$4:$O$20,DTR!O$4,FALSE))*1000,0)</f>
        <v>0</v>
      </c>
      <c r="P234" s="238">
        <f>IFERROR((HLOOKUP($AH234,Target_monthwise!$D$4:$O$20,DTR!P$4,FALSE))*1000,0)</f>
        <v>0</v>
      </c>
      <c r="Q234" s="141">
        <f>IFERROR((HLOOKUP($AH234,Target_monthwise!$D$4:$O$20,DTR!Q$4,FALSE))*1000,0)</f>
        <v>0</v>
      </c>
      <c r="R234" s="167">
        <f>IFERROR((HLOOKUP($AH234,Target_monthwise!$D$4:$O$20,DTR!R$4,FALSE))*1000,0)</f>
        <v>0</v>
      </c>
      <c r="S234" s="239">
        <f>IFERROR((HLOOKUP($AH234,Target_monthwise!$D$24:$O$40,DTR!S$4,FALSE)),0)</f>
        <v>0</v>
      </c>
      <c r="T234" s="239">
        <f>IFERROR((HLOOKUP($AH234,Target_monthwise!$D$24:$O$40,DTR!T$4,FALSE)),0)</f>
        <v>0</v>
      </c>
      <c r="U234" s="239">
        <f>IFERROR((HLOOKUP($AH234,Target_monthwise!$D$24:$O$40,DTR!U$4,FALSE)),0)</f>
        <v>0</v>
      </c>
      <c r="V234" s="239">
        <f>IFERROR((HLOOKUP($AH234,Target_monthwise!$D$24:$O$40,DTR!V$4,FALSE)),0)</f>
        <v>0</v>
      </c>
      <c r="W234" s="239">
        <f>IFERROR((HLOOKUP($AH234,Target_monthwise!$D$24:$O$40,DTR!W$4,FALSE)),0)</f>
        <v>0</v>
      </c>
      <c r="X234" s="239">
        <f>IFERROR((HLOOKUP($AH234,Target_monthwise!$D$24:$O$40,DTR!X$4,FALSE)),0)</f>
        <v>0</v>
      </c>
      <c r="Y234" s="239">
        <f>IFERROR((HLOOKUP($AH234,Target_monthwise!$D$24:$O$40,DTR!Y$4,FALSE)),0)</f>
        <v>0</v>
      </c>
      <c r="Z234" s="147">
        <f>IFERROR((HLOOKUP($AH234,Target_monthwise!$D$24:$O$40,DTR!Z$4,FALSE)),0)</f>
        <v>0</v>
      </c>
      <c r="AA234" s="147">
        <f>IFERROR((HLOOKUP($AH234,Target_monthwise!$D$24:$O$40,DTR!AA$4,FALSE)),0)</f>
        <v>0</v>
      </c>
      <c r="AB234" s="147">
        <f>IFERROR((HLOOKUP($AH234,Target_monthwise!$D$24:$O$40,DTR!AB$4,FALSE)),0)</f>
        <v>0</v>
      </c>
      <c r="AC234" s="239">
        <f>IFERROR((HLOOKUP($AH234,Target_monthwise!$D$24:$O$40,DTR!AC$4,FALSE)),0)</f>
        <v>0</v>
      </c>
      <c r="AD234" s="239">
        <f>IFERROR((HLOOKUP($AH234,Target_monthwise!$D$24:$O$40,DTR!AD$4,FALSE)),0)</f>
        <v>0</v>
      </c>
      <c r="AE234" s="239">
        <f>IFERROR((HLOOKUP($AH234,Target_monthwise!$D$24:$O$40,DTR!AE$4,FALSE)),0)</f>
        <v>0</v>
      </c>
      <c r="AF234" s="239">
        <f>IFERROR((HLOOKUP($AH234,Target_monthwise!$D$24:$O$40,DTR!AF$4,FALSE)),0)</f>
        <v>0</v>
      </c>
      <c r="AG234" s="172">
        <f>IFERROR((HLOOKUP($AH234,Target_monthwise!$D$24:$O$40,DTR!AG$4,FALSE)),0)</f>
        <v>0</v>
      </c>
      <c r="AH234" s="253">
        <f t="shared" si="3"/>
        <v>202211</v>
      </c>
    </row>
    <row r="235" spans="3:34" ht="15.75" hidden="1">
      <c r="C235" s="235">
        <v>44878</v>
      </c>
      <c r="D235" s="141">
        <f>IFERROR((HLOOKUP($AH235,Target_monthwise!$D$4:$O$20,DTR!D$4,FALSE))*1000,0)</f>
        <v>0</v>
      </c>
      <c r="E235" s="141">
        <f>IFERROR((HLOOKUP($AH235,Target_monthwise!$D$4:$O$20,DTR!E$4,FALSE))*1000,0)</f>
        <v>0</v>
      </c>
      <c r="F235" s="141">
        <f>IFERROR((HLOOKUP($AH235,Target_monthwise!$D$4:$O$20,DTR!F$4,FALSE))*1000,0)</f>
        <v>0</v>
      </c>
      <c r="G235" s="141">
        <f>IFERROR((HLOOKUP($AH235,Target_monthwise!$D$4:$O$20,DTR!G$4,FALSE))*1000,0)</f>
        <v>0</v>
      </c>
      <c r="H235" s="141">
        <f>IFERROR((HLOOKUP($AH235,Target_monthwise!$D$4:$O$20,DTR!H$4,FALSE))*1000,0)</f>
        <v>0</v>
      </c>
      <c r="I235" s="141">
        <f>IFERROR((HLOOKUP($AH235,Target_monthwise!$D$4:$O$20,DTR!I$4,FALSE))*1000,0)</f>
        <v>0</v>
      </c>
      <c r="J235" s="141">
        <f>IFERROR((HLOOKUP($AH235,Target_monthwise!$D$4:$O$20,DTR!J$4,FALSE))*1000,0)</f>
        <v>0</v>
      </c>
      <c r="K235" s="141">
        <f>IFERROR((HLOOKUP($AH235,Target_monthwise!$D$4:$O$20,DTR!K$4,FALSE))*1000,0)</f>
        <v>0</v>
      </c>
      <c r="L235" s="141">
        <f>IFERROR((HLOOKUP($AH235,Target_monthwise!$D$4:$O$20,DTR!L$4,FALSE))*1000,0)</f>
        <v>0</v>
      </c>
      <c r="M235" s="141">
        <f>IFERROR((HLOOKUP($AH235,Target_monthwise!$D$4:$O$20,DTR!M$4,FALSE))*1000,0)</f>
        <v>0</v>
      </c>
      <c r="N235" s="141">
        <f>IFERROR((HLOOKUP($AH235,Target_monthwise!$D$4:$O$20,DTR!N$4,FALSE))*1000,0)</f>
        <v>0</v>
      </c>
      <c r="O235" s="141">
        <f>IFERROR((HLOOKUP($AH235,Target_monthwise!$D$4:$O$20,DTR!O$4,FALSE))*1000,0)</f>
        <v>0</v>
      </c>
      <c r="P235" s="141">
        <f>IFERROR((HLOOKUP($AH235,Target_monthwise!$D$4:$O$20,DTR!P$4,FALSE))*1000,0)</f>
        <v>0</v>
      </c>
      <c r="Q235" s="141">
        <f>IFERROR((HLOOKUP($AH235,Target_monthwise!$D$4:$O$20,DTR!Q$4,FALSE))*1000,0)</f>
        <v>0</v>
      </c>
      <c r="R235" s="167">
        <f>IFERROR((HLOOKUP($AH235,Target_monthwise!$D$4:$O$20,DTR!R$4,FALSE))*1000,0)</f>
        <v>0</v>
      </c>
      <c r="S235" s="147">
        <f>IFERROR((HLOOKUP($AH235,Target_monthwise!$D$24:$O$40,DTR!S$4,FALSE)),0)</f>
        <v>0</v>
      </c>
      <c r="T235" s="147">
        <f>IFERROR((HLOOKUP($AH235,Target_monthwise!$D$24:$O$40,DTR!T$4,FALSE)),0)</f>
        <v>0</v>
      </c>
      <c r="U235" s="147">
        <f>IFERROR((HLOOKUP($AH235,Target_monthwise!$D$24:$O$40,DTR!U$4,FALSE)),0)</f>
        <v>0</v>
      </c>
      <c r="V235" s="147">
        <f>IFERROR((HLOOKUP($AH235,Target_monthwise!$D$24:$O$40,DTR!V$4,FALSE)),0)</f>
        <v>0</v>
      </c>
      <c r="W235" s="147">
        <f>IFERROR((HLOOKUP($AH235,Target_monthwise!$D$24:$O$40,DTR!W$4,FALSE)),0)</f>
        <v>0</v>
      </c>
      <c r="X235" s="147">
        <f>IFERROR((HLOOKUP($AH235,Target_monthwise!$D$24:$O$40,DTR!X$4,FALSE)),0)</f>
        <v>0</v>
      </c>
      <c r="Y235" s="147">
        <f>IFERROR((HLOOKUP($AH235,Target_monthwise!$D$24:$O$40,DTR!Y$4,FALSE)),0)</f>
        <v>0</v>
      </c>
      <c r="Z235" s="147">
        <f>IFERROR((HLOOKUP($AH235,Target_monthwise!$D$24:$O$40,DTR!Z$4,FALSE)),0)</f>
        <v>0</v>
      </c>
      <c r="AA235" s="147">
        <f>IFERROR((HLOOKUP($AH235,Target_monthwise!$D$24:$O$40,DTR!AA$4,FALSE)),0)</f>
        <v>0</v>
      </c>
      <c r="AB235" s="147">
        <f>IFERROR((HLOOKUP($AH235,Target_monthwise!$D$24:$O$40,DTR!AB$4,FALSE)),0)</f>
        <v>0</v>
      </c>
      <c r="AC235" s="147">
        <f>IFERROR((HLOOKUP($AH235,Target_monthwise!$D$24:$O$40,DTR!AC$4,FALSE)),0)</f>
        <v>0</v>
      </c>
      <c r="AD235" s="147">
        <f>IFERROR((HLOOKUP($AH235,Target_monthwise!$D$24:$O$40,DTR!AD$4,FALSE)),0)</f>
        <v>0</v>
      </c>
      <c r="AE235" s="147">
        <f>IFERROR((HLOOKUP($AH235,Target_monthwise!$D$24:$O$40,DTR!AE$4,FALSE)),0)</f>
        <v>0</v>
      </c>
      <c r="AF235" s="147">
        <f>IFERROR((HLOOKUP($AH235,Target_monthwise!$D$24:$O$40,DTR!AF$4,FALSE)),0)</f>
        <v>0</v>
      </c>
      <c r="AG235" s="172">
        <f>IFERROR((HLOOKUP($AH235,Target_monthwise!$D$24:$O$40,DTR!AG$4,FALSE)),0)</f>
        <v>0</v>
      </c>
      <c r="AH235" s="253">
        <f t="shared" si="3"/>
        <v>202211</v>
      </c>
    </row>
    <row r="236" spans="3:34" ht="15.75" hidden="1">
      <c r="C236" s="237">
        <v>44879</v>
      </c>
      <c r="D236" s="238">
        <f>IFERROR((HLOOKUP($AH236,Target_monthwise!$D$4:$O$20,DTR!D$4,FALSE))*1000,0)</f>
        <v>0</v>
      </c>
      <c r="E236" s="238">
        <f>IFERROR((HLOOKUP($AH236,Target_monthwise!$D$4:$O$20,DTR!E$4,FALSE))*1000,0)</f>
        <v>0</v>
      </c>
      <c r="F236" s="238">
        <f>IFERROR((HLOOKUP($AH236,Target_monthwise!$D$4:$O$20,DTR!F$4,FALSE))*1000,0)</f>
        <v>0</v>
      </c>
      <c r="G236" s="238">
        <f>IFERROR((HLOOKUP($AH236,Target_monthwise!$D$4:$O$20,DTR!G$4,FALSE))*1000,0)</f>
        <v>0</v>
      </c>
      <c r="H236" s="238">
        <f>IFERROR((HLOOKUP($AH236,Target_monthwise!$D$4:$O$20,DTR!H$4,FALSE))*1000,0)</f>
        <v>0</v>
      </c>
      <c r="I236" s="238">
        <f>IFERROR((HLOOKUP($AH236,Target_monthwise!$D$4:$O$20,DTR!I$4,FALSE))*1000,0)</f>
        <v>0</v>
      </c>
      <c r="J236" s="238">
        <f>IFERROR((HLOOKUP($AH236,Target_monthwise!$D$4:$O$20,DTR!J$4,FALSE))*1000,0)</f>
        <v>0</v>
      </c>
      <c r="K236" s="238">
        <f>IFERROR((HLOOKUP($AH236,Target_monthwise!$D$4:$O$20,DTR!K$4,FALSE))*1000,0)</f>
        <v>0</v>
      </c>
      <c r="L236" s="238">
        <f>IFERROR((HLOOKUP($AH236,Target_monthwise!$D$4:$O$20,DTR!L$4,FALSE))*1000,0)</f>
        <v>0</v>
      </c>
      <c r="M236" s="238">
        <f>IFERROR((HLOOKUP($AH236,Target_monthwise!$D$4:$O$20,DTR!M$4,FALSE))*1000,0)</f>
        <v>0</v>
      </c>
      <c r="N236" s="238">
        <f>IFERROR((HLOOKUP($AH236,Target_monthwise!$D$4:$O$20,DTR!N$4,FALSE))*1000,0)</f>
        <v>0</v>
      </c>
      <c r="O236" s="238">
        <f>IFERROR((HLOOKUP($AH236,Target_monthwise!$D$4:$O$20,DTR!O$4,FALSE))*1000,0)</f>
        <v>0</v>
      </c>
      <c r="P236" s="238">
        <f>IFERROR((HLOOKUP($AH236,Target_monthwise!$D$4:$O$20,DTR!P$4,FALSE))*1000,0)</f>
        <v>0</v>
      </c>
      <c r="Q236" s="141">
        <f>IFERROR((HLOOKUP($AH236,Target_monthwise!$D$4:$O$20,DTR!Q$4,FALSE))*1000,0)</f>
        <v>0</v>
      </c>
      <c r="R236" s="167">
        <f>IFERROR((HLOOKUP($AH236,Target_monthwise!$D$4:$O$20,DTR!R$4,FALSE))*1000,0)</f>
        <v>0</v>
      </c>
      <c r="S236" s="239">
        <f>IFERROR((HLOOKUP($AH236,Target_monthwise!$D$24:$O$40,DTR!S$4,FALSE)),0)</f>
        <v>0</v>
      </c>
      <c r="T236" s="239">
        <f>IFERROR((HLOOKUP($AH236,Target_monthwise!$D$24:$O$40,DTR!T$4,FALSE)),0)</f>
        <v>0</v>
      </c>
      <c r="U236" s="239">
        <f>IFERROR((HLOOKUP($AH236,Target_monthwise!$D$24:$O$40,DTR!U$4,FALSE)),0)</f>
        <v>0</v>
      </c>
      <c r="V236" s="239">
        <f>IFERROR((HLOOKUP($AH236,Target_monthwise!$D$24:$O$40,DTR!V$4,FALSE)),0)</f>
        <v>0</v>
      </c>
      <c r="W236" s="239">
        <f>IFERROR((HLOOKUP($AH236,Target_monthwise!$D$24:$O$40,DTR!W$4,FALSE)),0)</f>
        <v>0</v>
      </c>
      <c r="X236" s="239">
        <f>IFERROR((HLOOKUP($AH236,Target_monthwise!$D$24:$O$40,DTR!X$4,FALSE)),0)</f>
        <v>0</v>
      </c>
      <c r="Y236" s="239">
        <f>IFERROR((HLOOKUP($AH236,Target_monthwise!$D$24:$O$40,DTR!Y$4,FALSE)),0)</f>
        <v>0</v>
      </c>
      <c r="Z236" s="147">
        <f>IFERROR((HLOOKUP($AH236,Target_monthwise!$D$24:$O$40,DTR!Z$4,FALSE)),0)</f>
        <v>0</v>
      </c>
      <c r="AA236" s="147">
        <f>IFERROR((HLOOKUP($AH236,Target_monthwise!$D$24:$O$40,DTR!AA$4,FALSE)),0)</f>
        <v>0</v>
      </c>
      <c r="AB236" s="147">
        <f>IFERROR((HLOOKUP($AH236,Target_monthwise!$D$24:$O$40,DTR!AB$4,FALSE)),0)</f>
        <v>0</v>
      </c>
      <c r="AC236" s="239">
        <f>IFERROR((HLOOKUP($AH236,Target_monthwise!$D$24:$O$40,DTR!AC$4,FALSE)),0)</f>
        <v>0</v>
      </c>
      <c r="AD236" s="239">
        <f>IFERROR((HLOOKUP($AH236,Target_monthwise!$D$24:$O$40,DTR!AD$4,FALSE)),0)</f>
        <v>0</v>
      </c>
      <c r="AE236" s="239">
        <f>IFERROR((HLOOKUP($AH236,Target_monthwise!$D$24:$O$40,DTR!AE$4,FALSE)),0)</f>
        <v>0</v>
      </c>
      <c r="AF236" s="239">
        <f>IFERROR((HLOOKUP($AH236,Target_monthwise!$D$24:$O$40,DTR!AF$4,FALSE)),0)</f>
        <v>0</v>
      </c>
      <c r="AG236" s="172">
        <f>IFERROR((HLOOKUP($AH236,Target_monthwise!$D$24:$O$40,DTR!AG$4,FALSE)),0)</f>
        <v>0</v>
      </c>
      <c r="AH236" s="253">
        <f t="shared" si="3"/>
        <v>202211</v>
      </c>
    </row>
    <row r="237" spans="3:34" ht="15.75" hidden="1">
      <c r="C237" s="235">
        <v>44880</v>
      </c>
      <c r="D237" s="141">
        <f>IFERROR((HLOOKUP($AH237,Target_monthwise!$D$4:$O$20,DTR!D$4,FALSE))*1000,0)</f>
        <v>0</v>
      </c>
      <c r="E237" s="141">
        <f>IFERROR((HLOOKUP($AH237,Target_monthwise!$D$4:$O$20,DTR!E$4,FALSE))*1000,0)</f>
        <v>0</v>
      </c>
      <c r="F237" s="141">
        <f>IFERROR((HLOOKUP($AH237,Target_monthwise!$D$4:$O$20,DTR!F$4,FALSE))*1000,0)</f>
        <v>0</v>
      </c>
      <c r="G237" s="141">
        <f>IFERROR((HLOOKUP($AH237,Target_monthwise!$D$4:$O$20,DTR!G$4,FALSE))*1000,0)</f>
        <v>0</v>
      </c>
      <c r="H237" s="141">
        <f>IFERROR((HLOOKUP($AH237,Target_monthwise!$D$4:$O$20,DTR!H$4,FALSE))*1000,0)</f>
        <v>0</v>
      </c>
      <c r="I237" s="141">
        <f>IFERROR((HLOOKUP($AH237,Target_monthwise!$D$4:$O$20,DTR!I$4,FALSE))*1000,0)</f>
        <v>0</v>
      </c>
      <c r="J237" s="141">
        <f>IFERROR((HLOOKUP($AH237,Target_monthwise!$D$4:$O$20,DTR!J$4,FALSE))*1000,0)</f>
        <v>0</v>
      </c>
      <c r="K237" s="141">
        <f>IFERROR((HLOOKUP($AH237,Target_monthwise!$D$4:$O$20,DTR!K$4,FALSE))*1000,0)</f>
        <v>0</v>
      </c>
      <c r="L237" s="141">
        <f>IFERROR((HLOOKUP($AH237,Target_monthwise!$D$4:$O$20,DTR!L$4,FALSE))*1000,0)</f>
        <v>0</v>
      </c>
      <c r="M237" s="141">
        <f>IFERROR((HLOOKUP($AH237,Target_monthwise!$D$4:$O$20,DTR!M$4,FALSE))*1000,0)</f>
        <v>0</v>
      </c>
      <c r="N237" s="141">
        <f>IFERROR((HLOOKUP($AH237,Target_monthwise!$D$4:$O$20,DTR!N$4,FALSE))*1000,0)</f>
        <v>0</v>
      </c>
      <c r="O237" s="141">
        <f>IFERROR((HLOOKUP($AH237,Target_monthwise!$D$4:$O$20,DTR!O$4,FALSE))*1000,0)</f>
        <v>0</v>
      </c>
      <c r="P237" s="141">
        <f>IFERROR((HLOOKUP($AH237,Target_monthwise!$D$4:$O$20,DTR!P$4,FALSE))*1000,0)</f>
        <v>0</v>
      </c>
      <c r="Q237" s="141">
        <f>IFERROR((HLOOKUP($AH237,Target_monthwise!$D$4:$O$20,DTR!Q$4,FALSE))*1000,0)</f>
        <v>0</v>
      </c>
      <c r="R237" s="167">
        <f>IFERROR((HLOOKUP($AH237,Target_monthwise!$D$4:$O$20,DTR!R$4,FALSE))*1000,0)</f>
        <v>0</v>
      </c>
      <c r="S237" s="147">
        <f>IFERROR((HLOOKUP($AH237,Target_monthwise!$D$24:$O$40,DTR!S$4,FALSE)),0)</f>
        <v>0</v>
      </c>
      <c r="T237" s="147">
        <f>IFERROR((HLOOKUP($AH237,Target_monthwise!$D$24:$O$40,DTR!T$4,FALSE)),0)</f>
        <v>0</v>
      </c>
      <c r="U237" s="147">
        <f>IFERROR((HLOOKUP($AH237,Target_monthwise!$D$24:$O$40,DTR!U$4,FALSE)),0)</f>
        <v>0</v>
      </c>
      <c r="V237" s="147">
        <f>IFERROR((HLOOKUP($AH237,Target_monthwise!$D$24:$O$40,DTR!V$4,FALSE)),0)</f>
        <v>0</v>
      </c>
      <c r="W237" s="147">
        <f>IFERROR((HLOOKUP($AH237,Target_monthwise!$D$24:$O$40,DTR!W$4,FALSE)),0)</f>
        <v>0</v>
      </c>
      <c r="X237" s="147">
        <f>IFERROR((HLOOKUP($AH237,Target_monthwise!$D$24:$O$40,DTR!X$4,FALSE)),0)</f>
        <v>0</v>
      </c>
      <c r="Y237" s="147">
        <f>IFERROR((HLOOKUP($AH237,Target_monthwise!$D$24:$O$40,DTR!Y$4,FALSE)),0)</f>
        <v>0</v>
      </c>
      <c r="Z237" s="147">
        <f>IFERROR((HLOOKUP($AH237,Target_monthwise!$D$24:$O$40,DTR!Z$4,FALSE)),0)</f>
        <v>0</v>
      </c>
      <c r="AA237" s="147">
        <f>IFERROR((HLOOKUP($AH237,Target_monthwise!$D$24:$O$40,DTR!AA$4,FALSE)),0)</f>
        <v>0</v>
      </c>
      <c r="AB237" s="147">
        <f>IFERROR((HLOOKUP($AH237,Target_monthwise!$D$24:$O$40,DTR!AB$4,FALSE)),0)</f>
        <v>0</v>
      </c>
      <c r="AC237" s="147">
        <f>IFERROR((HLOOKUP($AH237,Target_monthwise!$D$24:$O$40,DTR!AC$4,FALSE)),0)</f>
        <v>0</v>
      </c>
      <c r="AD237" s="147">
        <f>IFERROR((HLOOKUP($AH237,Target_monthwise!$D$24:$O$40,DTR!AD$4,FALSE)),0)</f>
        <v>0</v>
      </c>
      <c r="AE237" s="147">
        <f>IFERROR((HLOOKUP($AH237,Target_monthwise!$D$24:$O$40,DTR!AE$4,FALSE)),0)</f>
        <v>0</v>
      </c>
      <c r="AF237" s="147">
        <f>IFERROR((HLOOKUP($AH237,Target_monthwise!$D$24:$O$40,DTR!AF$4,FALSE)),0)</f>
        <v>0</v>
      </c>
      <c r="AG237" s="172">
        <f>IFERROR((HLOOKUP($AH237,Target_monthwise!$D$24:$O$40,DTR!AG$4,FALSE)),0)</f>
        <v>0</v>
      </c>
      <c r="AH237" s="253">
        <f t="shared" si="3"/>
        <v>202211</v>
      </c>
    </row>
    <row r="238" spans="3:34" ht="15.75" hidden="1">
      <c r="C238" s="237">
        <v>44881</v>
      </c>
      <c r="D238" s="238">
        <f>IFERROR((HLOOKUP($AH238,Target_monthwise!$D$4:$O$20,DTR!D$4,FALSE))*1000,0)</f>
        <v>0</v>
      </c>
      <c r="E238" s="238">
        <f>IFERROR((HLOOKUP($AH238,Target_monthwise!$D$4:$O$20,DTR!E$4,FALSE))*1000,0)</f>
        <v>0</v>
      </c>
      <c r="F238" s="238">
        <f>IFERROR((HLOOKUP($AH238,Target_monthwise!$D$4:$O$20,DTR!F$4,FALSE))*1000,0)</f>
        <v>0</v>
      </c>
      <c r="G238" s="238">
        <f>IFERROR((HLOOKUP($AH238,Target_monthwise!$D$4:$O$20,DTR!G$4,FALSE))*1000,0)</f>
        <v>0</v>
      </c>
      <c r="H238" s="238">
        <f>IFERROR((HLOOKUP($AH238,Target_monthwise!$D$4:$O$20,DTR!H$4,FALSE))*1000,0)</f>
        <v>0</v>
      </c>
      <c r="I238" s="238">
        <f>IFERROR((HLOOKUP($AH238,Target_monthwise!$D$4:$O$20,DTR!I$4,FALSE))*1000,0)</f>
        <v>0</v>
      </c>
      <c r="J238" s="238">
        <f>IFERROR((HLOOKUP($AH238,Target_monthwise!$D$4:$O$20,DTR!J$4,FALSE))*1000,0)</f>
        <v>0</v>
      </c>
      <c r="K238" s="238">
        <f>IFERROR((HLOOKUP($AH238,Target_monthwise!$D$4:$O$20,DTR!K$4,FALSE))*1000,0)</f>
        <v>0</v>
      </c>
      <c r="L238" s="238">
        <f>IFERROR((HLOOKUP($AH238,Target_monthwise!$D$4:$O$20,DTR!L$4,FALSE))*1000,0)</f>
        <v>0</v>
      </c>
      <c r="M238" s="238">
        <f>IFERROR((HLOOKUP($AH238,Target_monthwise!$D$4:$O$20,DTR!M$4,FALSE))*1000,0)</f>
        <v>0</v>
      </c>
      <c r="N238" s="238">
        <f>IFERROR((HLOOKUP($AH238,Target_monthwise!$D$4:$O$20,DTR!N$4,FALSE))*1000,0)</f>
        <v>0</v>
      </c>
      <c r="O238" s="238">
        <f>IFERROR((HLOOKUP($AH238,Target_monthwise!$D$4:$O$20,DTR!O$4,FALSE))*1000,0)</f>
        <v>0</v>
      </c>
      <c r="P238" s="238">
        <f>IFERROR((HLOOKUP($AH238,Target_monthwise!$D$4:$O$20,DTR!P$4,FALSE))*1000,0)</f>
        <v>0</v>
      </c>
      <c r="Q238" s="141">
        <f>IFERROR((HLOOKUP($AH238,Target_monthwise!$D$4:$O$20,DTR!Q$4,FALSE))*1000,0)</f>
        <v>0</v>
      </c>
      <c r="R238" s="167">
        <f>IFERROR((HLOOKUP($AH238,Target_monthwise!$D$4:$O$20,DTR!R$4,FALSE))*1000,0)</f>
        <v>0</v>
      </c>
      <c r="S238" s="239">
        <f>IFERROR((HLOOKUP($AH238,Target_monthwise!$D$24:$O$40,DTR!S$4,FALSE)),0)</f>
        <v>0</v>
      </c>
      <c r="T238" s="239">
        <f>IFERROR((HLOOKUP($AH238,Target_monthwise!$D$24:$O$40,DTR!T$4,FALSE)),0)</f>
        <v>0</v>
      </c>
      <c r="U238" s="239">
        <f>IFERROR((HLOOKUP($AH238,Target_monthwise!$D$24:$O$40,DTR!U$4,FALSE)),0)</f>
        <v>0</v>
      </c>
      <c r="V238" s="239">
        <f>IFERROR((HLOOKUP($AH238,Target_monthwise!$D$24:$O$40,DTR!V$4,FALSE)),0)</f>
        <v>0</v>
      </c>
      <c r="W238" s="239">
        <f>IFERROR((HLOOKUP($AH238,Target_monthwise!$D$24:$O$40,DTR!W$4,FALSE)),0)</f>
        <v>0</v>
      </c>
      <c r="X238" s="239">
        <f>IFERROR((HLOOKUP($AH238,Target_monthwise!$D$24:$O$40,DTR!X$4,FALSE)),0)</f>
        <v>0</v>
      </c>
      <c r="Y238" s="239">
        <f>IFERROR((HLOOKUP($AH238,Target_monthwise!$D$24:$O$40,DTR!Y$4,FALSE)),0)</f>
        <v>0</v>
      </c>
      <c r="Z238" s="147">
        <f>IFERROR((HLOOKUP($AH238,Target_monthwise!$D$24:$O$40,DTR!Z$4,FALSE)),0)</f>
        <v>0</v>
      </c>
      <c r="AA238" s="147">
        <f>IFERROR((HLOOKUP($AH238,Target_monthwise!$D$24:$O$40,DTR!AA$4,FALSE)),0)</f>
        <v>0</v>
      </c>
      <c r="AB238" s="147">
        <f>IFERROR((HLOOKUP($AH238,Target_monthwise!$D$24:$O$40,DTR!AB$4,FALSE)),0)</f>
        <v>0</v>
      </c>
      <c r="AC238" s="239">
        <f>IFERROR((HLOOKUP($AH238,Target_monthwise!$D$24:$O$40,DTR!AC$4,FALSE)),0)</f>
        <v>0</v>
      </c>
      <c r="AD238" s="239">
        <f>IFERROR((HLOOKUP($AH238,Target_monthwise!$D$24:$O$40,DTR!AD$4,FALSE)),0)</f>
        <v>0</v>
      </c>
      <c r="AE238" s="239">
        <f>IFERROR((HLOOKUP($AH238,Target_monthwise!$D$24:$O$40,DTR!AE$4,FALSE)),0)</f>
        <v>0</v>
      </c>
      <c r="AF238" s="239">
        <f>IFERROR((HLOOKUP($AH238,Target_monthwise!$D$24:$O$40,DTR!AF$4,FALSE)),0)</f>
        <v>0</v>
      </c>
      <c r="AG238" s="172">
        <f>IFERROR((HLOOKUP($AH238,Target_monthwise!$D$24:$O$40,DTR!AG$4,FALSE)),0)</f>
        <v>0</v>
      </c>
      <c r="AH238" s="253">
        <f t="shared" si="3"/>
        <v>202211</v>
      </c>
    </row>
    <row r="239" spans="3:34" ht="15.75" hidden="1">
      <c r="C239" s="235">
        <v>44882</v>
      </c>
      <c r="D239" s="141">
        <f>IFERROR((HLOOKUP($AH239,Target_monthwise!$D$4:$O$20,DTR!D$4,FALSE))*1000,0)</f>
        <v>0</v>
      </c>
      <c r="E239" s="141">
        <f>IFERROR((HLOOKUP($AH239,Target_monthwise!$D$4:$O$20,DTR!E$4,FALSE))*1000,0)</f>
        <v>0</v>
      </c>
      <c r="F239" s="141">
        <f>IFERROR((HLOOKUP($AH239,Target_monthwise!$D$4:$O$20,DTR!F$4,FALSE))*1000,0)</f>
        <v>0</v>
      </c>
      <c r="G239" s="141">
        <f>IFERROR((HLOOKUP($AH239,Target_monthwise!$D$4:$O$20,DTR!G$4,FALSE))*1000,0)</f>
        <v>0</v>
      </c>
      <c r="H239" s="141">
        <f>IFERROR((HLOOKUP($AH239,Target_monthwise!$D$4:$O$20,DTR!H$4,FALSE))*1000,0)</f>
        <v>0</v>
      </c>
      <c r="I239" s="141">
        <f>IFERROR((HLOOKUP($AH239,Target_monthwise!$D$4:$O$20,DTR!I$4,FALSE))*1000,0)</f>
        <v>0</v>
      </c>
      <c r="J239" s="141">
        <f>IFERROR((HLOOKUP($AH239,Target_monthwise!$D$4:$O$20,DTR!J$4,FALSE))*1000,0)</f>
        <v>0</v>
      </c>
      <c r="K239" s="141">
        <f>IFERROR((HLOOKUP($AH239,Target_monthwise!$D$4:$O$20,DTR!K$4,FALSE))*1000,0)</f>
        <v>0</v>
      </c>
      <c r="L239" s="141">
        <f>IFERROR((HLOOKUP($AH239,Target_monthwise!$D$4:$O$20,DTR!L$4,FALSE))*1000,0)</f>
        <v>0</v>
      </c>
      <c r="M239" s="141">
        <f>IFERROR((HLOOKUP($AH239,Target_monthwise!$D$4:$O$20,DTR!M$4,FALSE))*1000,0)</f>
        <v>0</v>
      </c>
      <c r="N239" s="141">
        <f>IFERROR((HLOOKUP($AH239,Target_monthwise!$D$4:$O$20,DTR!N$4,FALSE))*1000,0)</f>
        <v>0</v>
      </c>
      <c r="O239" s="141">
        <f>IFERROR((HLOOKUP($AH239,Target_monthwise!$D$4:$O$20,DTR!O$4,FALSE))*1000,0)</f>
        <v>0</v>
      </c>
      <c r="P239" s="141">
        <f>IFERROR((HLOOKUP($AH239,Target_monthwise!$D$4:$O$20,DTR!P$4,FALSE))*1000,0)</f>
        <v>0</v>
      </c>
      <c r="Q239" s="141">
        <f>IFERROR((HLOOKUP($AH239,Target_monthwise!$D$4:$O$20,DTR!Q$4,FALSE))*1000,0)</f>
        <v>0</v>
      </c>
      <c r="R239" s="167">
        <f>IFERROR((HLOOKUP($AH239,Target_monthwise!$D$4:$O$20,DTR!R$4,FALSE))*1000,0)</f>
        <v>0</v>
      </c>
      <c r="S239" s="147">
        <f>IFERROR((HLOOKUP($AH239,Target_monthwise!$D$24:$O$40,DTR!S$4,FALSE)),0)</f>
        <v>0</v>
      </c>
      <c r="T239" s="147">
        <f>IFERROR((HLOOKUP($AH239,Target_monthwise!$D$24:$O$40,DTR!T$4,FALSE)),0)</f>
        <v>0</v>
      </c>
      <c r="U239" s="147">
        <f>IFERROR((HLOOKUP($AH239,Target_monthwise!$D$24:$O$40,DTR!U$4,FALSE)),0)</f>
        <v>0</v>
      </c>
      <c r="V239" s="147">
        <f>IFERROR((HLOOKUP($AH239,Target_monthwise!$D$24:$O$40,DTR!V$4,FALSE)),0)</f>
        <v>0</v>
      </c>
      <c r="W239" s="147">
        <f>IFERROR((HLOOKUP($AH239,Target_monthwise!$D$24:$O$40,DTR!W$4,FALSE)),0)</f>
        <v>0</v>
      </c>
      <c r="X239" s="147">
        <f>IFERROR((HLOOKUP($AH239,Target_monthwise!$D$24:$O$40,DTR!X$4,FALSE)),0)</f>
        <v>0</v>
      </c>
      <c r="Y239" s="147">
        <f>IFERROR((HLOOKUP($AH239,Target_monthwise!$D$24:$O$40,DTR!Y$4,FALSE)),0)</f>
        <v>0</v>
      </c>
      <c r="Z239" s="147">
        <f>IFERROR((HLOOKUP($AH239,Target_monthwise!$D$24:$O$40,DTR!Z$4,FALSE)),0)</f>
        <v>0</v>
      </c>
      <c r="AA239" s="147">
        <f>IFERROR((HLOOKUP($AH239,Target_monthwise!$D$24:$O$40,DTR!AA$4,FALSE)),0)</f>
        <v>0</v>
      </c>
      <c r="AB239" s="147">
        <f>IFERROR((HLOOKUP($AH239,Target_monthwise!$D$24:$O$40,DTR!AB$4,FALSE)),0)</f>
        <v>0</v>
      </c>
      <c r="AC239" s="147">
        <f>IFERROR((HLOOKUP($AH239,Target_monthwise!$D$24:$O$40,DTR!AC$4,FALSE)),0)</f>
        <v>0</v>
      </c>
      <c r="AD239" s="147">
        <f>IFERROR((HLOOKUP($AH239,Target_monthwise!$D$24:$O$40,DTR!AD$4,FALSE)),0)</f>
        <v>0</v>
      </c>
      <c r="AE239" s="147">
        <f>IFERROR((HLOOKUP($AH239,Target_monthwise!$D$24:$O$40,DTR!AE$4,FALSE)),0)</f>
        <v>0</v>
      </c>
      <c r="AF239" s="147">
        <f>IFERROR((HLOOKUP($AH239,Target_monthwise!$D$24:$O$40,DTR!AF$4,FALSE)),0)</f>
        <v>0</v>
      </c>
      <c r="AG239" s="172">
        <f>IFERROR((HLOOKUP($AH239,Target_monthwise!$D$24:$O$40,DTR!AG$4,FALSE)),0)</f>
        <v>0</v>
      </c>
      <c r="AH239" s="253">
        <f t="shared" si="3"/>
        <v>202211</v>
      </c>
    </row>
    <row r="240" spans="3:34" ht="15.75" hidden="1">
      <c r="C240" s="237">
        <v>44883</v>
      </c>
      <c r="D240" s="238">
        <f>IFERROR((HLOOKUP($AH240,Target_monthwise!$D$4:$O$20,DTR!D$4,FALSE))*1000,0)</f>
        <v>0</v>
      </c>
      <c r="E240" s="238">
        <f>IFERROR((HLOOKUP($AH240,Target_monthwise!$D$4:$O$20,DTR!E$4,FALSE))*1000,0)</f>
        <v>0</v>
      </c>
      <c r="F240" s="238">
        <f>IFERROR((HLOOKUP($AH240,Target_monthwise!$D$4:$O$20,DTR!F$4,FALSE))*1000,0)</f>
        <v>0</v>
      </c>
      <c r="G240" s="238">
        <f>IFERROR((HLOOKUP($AH240,Target_monthwise!$D$4:$O$20,DTR!G$4,FALSE))*1000,0)</f>
        <v>0</v>
      </c>
      <c r="H240" s="238">
        <f>IFERROR((HLOOKUP($AH240,Target_monthwise!$D$4:$O$20,DTR!H$4,FALSE))*1000,0)</f>
        <v>0</v>
      </c>
      <c r="I240" s="238">
        <f>IFERROR((HLOOKUP($AH240,Target_monthwise!$D$4:$O$20,DTR!I$4,FALSE))*1000,0)</f>
        <v>0</v>
      </c>
      <c r="J240" s="238">
        <f>IFERROR((HLOOKUP($AH240,Target_monthwise!$D$4:$O$20,DTR!J$4,FALSE))*1000,0)</f>
        <v>0</v>
      </c>
      <c r="K240" s="238">
        <f>IFERROR((HLOOKUP($AH240,Target_monthwise!$D$4:$O$20,DTR!K$4,FALSE))*1000,0)</f>
        <v>0</v>
      </c>
      <c r="L240" s="238">
        <f>IFERROR((HLOOKUP($AH240,Target_monthwise!$D$4:$O$20,DTR!L$4,FALSE))*1000,0)</f>
        <v>0</v>
      </c>
      <c r="M240" s="238">
        <f>IFERROR((HLOOKUP($AH240,Target_monthwise!$D$4:$O$20,DTR!M$4,FALSE))*1000,0)</f>
        <v>0</v>
      </c>
      <c r="N240" s="238">
        <f>IFERROR((HLOOKUP($AH240,Target_monthwise!$D$4:$O$20,DTR!N$4,FALSE))*1000,0)</f>
        <v>0</v>
      </c>
      <c r="O240" s="238">
        <f>IFERROR((HLOOKUP($AH240,Target_monthwise!$D$4:$O$20,DTR!O$4,FALSE))*1000,0)</f>
        <v>0</v>
      </c>
      <c r="P240" s="238">
        <f>IFERROR((HLOOKUP($AH240,Target_monthwise!$D$4:$O$20,DTR!P$4,FALSE))*1000,0)</f>
        <v>0</v>
      </c>
      <c r="Q240" s="141">
        <f>IFERROR((HLOOKUP($AH240,Target_monthwise!$D$4:$O$20,DTR!Q$4,FALSE))*1000,0)</f>
        <v>0</v>
      </c>
      <c r="R240" s="167">
        <f>IFERROR((HLOOKUP($AH240,Target_monthwise!$D$4:$O$20,DTR!R$4,FALSE))*1000,0)</f>
        <v>0</v>
      </c>
      <c r="S240" s="239">
        <f>IFERROR((HLOOKUP($AH240,Target_monthwise!$D$24:$O$40,DTR!S$4,FALSE)),0)</f>
        <v>0</v>
      </c>
      <c r="T240" s="239">
        <f>IFERROR((HLOOKUP($AH240,Target_monthwise!$D$24:$O$40,DTR!T$4,FALSE)),0)</f>
        <v>0</v>
      </c>
      <c r="U240" s="239">
        <f>IFERROR((HLOOKUP($AH240,Target_monthwise!$D$24:$O$40,DTR!U$4,FALSE)),0)</f>
        <v>0</v>
      </c>
      <c r="V240" s="239">
        <f>IFERROR((HLOOKUP($AH240,Target_monthwise!$D$24:$O$40,DTR!V$4,FALSE)),0)</f>
        <v>0</v>
      </c>
      <c r="W240" s="239">
        <f>IFERROR((HLOOKUP($AH240,Target_monthwise!$D$24:$O$40,DTR!W$4,FALSE)),0)</f>
        <v>0</v>
      </c>
      <c r="X240" s="239">
        <f>IFERROR((HLOOKUP($AH240,Target_monthwise!$D$24:$O$40,DTR!X$4,FALSE)),0)</f>
        <v>0</v>
      </c>
      <c r="Y240" s="239">
        <f>IFERROR((HLOOKUP($AH240,Target_monthwise!$D$24:$O$40,DTR!Y$4,FALSE)),0)</f>
        <v>0</v>
      </c>
      <c r="Z240" s="147">
        <f>IFERROR((HLOOKUP($AH240,Target_monthwise!$D$24:$O$40,DTR!Z$4,FALSE)),0)</f>
        <v>0</v>
      </c>
      <c r="AA240" s="147">
        <f>IFERROR((HLOOKUP($AH240,Target_monthwise!$D$24:$O$40,DTR!AA$4,FALSE)),0)</f>
        <v>0</v>
      </c>
      <c r="AB240" s="147">
        <f>IFERROR((HLOOKUP($AH240,Target_monthwise!$D$24:$O$40,DTR!AB$4,FALSE)),0)</f>
        <v>0</v>
      </c>
      <c r="AC240" s="239">
        <f>IFERROR((HLOOKUP($AH240,Target_monthwise!$D$24:$O$40,DTR!AC$4,FALSE)),0)</f>
        <v>0</v>
      </c>
      <c r="AD240" s="239">
        <f>IFERROR((HLOOKUP($AH240,Target_monthwise!$D$24:$O$40,DTR!AD$4,FALSE)),0)</f>
        <v>0</v>
      </c>
      <c r="AE240" s="239">
        <f>IFERROR((HLOOKUP($AH240,Target_monthwise!$D$24:$O$40,DTR!AE$4,FALSE)),0)</f>
        <v>0</v>
      </c>
      <c r="AF240" s="239">
        <f>IFERROR((HLOOKUP($AH240,Target_monthwise!$D$24:$O$40,DTR!AF$4,FALSE)),0)</f>
        <v>0</v>
      </c>
      <c r="AG240" s="172">
        <f>IFERROR((HLOOKUP($AH240,Target_monthwise!$D$24:$O$40,DTR!AG$4,FALSE)),0)</f>
        <v>0</v>
      </c>
      <c r="AH240" s="253">
        <f t="shared" si="3"/>
        <v>202211</v>
      </c>
    </row>
    <row r="241" spans="3:34" ht="15.75" hidden="1">
      <c r="C241" s="235">
        <v>44884</v>
      </c>
      <c r="D241" s="141">
        <f>IFERROR((HLOOKUP($AH241,Target_monthwise!$D$4:$O$20,DTR!D$4,FALSE))*1000,0)</f>
        <v>0</v>
      </c>
      <c r="E241" s="141">
        <f>IFERROR((HLOOKUP($AH241,Target_monthwise!$D$4:$O$20,DTR!E$4,FALSE))*1000,0)</f>
        <v>0</v>
      </c>
      <c r="F241" s="141">
        <f>IFERROR((HLOOKUP($AH241,Target_monthwise!$D$4:$O$20,DTR!F$4,FALSE))*1000,0)</f>
        <v>0</v>
      </c>
      <c r="G241" s="141">
        <f>IFERROR((HLOOKUP($AH241,Target_monthwise!$D$4:$O$20,DTR!G$4,FALSE))*1000,0)</f>
        <v>0</v>
      </c>
      <c r="H241" s="141">
        <f>IFERROR((HLOOKUP($AH241,Target_monthwise!$D$4:$O$20,DTR!H$4,FALSE))*1000,0)</f>
        <v>0</v>
      </c>
      <c r="I241" s="141">
        <f>IFERROR((HLOOKUP($AH241,Target_monthwise!$D$4:$O$20,DTR!I$4,FALSE))*1000,0)</f>
        <v>0</v>
      </c>
      <c r="J241" s="141">
        <f>IFERROR((HLOOKUP($AH241,Target_monthwise!$D$4:$O$20,DTR!J$4,FALSE))*1000,0)</f>
        <v>0</v>
      </c>
      <c r="K241" s="141">
        <f>IFERROR((HLOOKUP($AH241,Target_monthwise!$D$4:$O$20,DTR!K$4,FALSE))*1000,0)</f>
        <v>0</v>
      </c>
      <c r="L241" s="141">
        <f>IFERROR((HLOOKUP($AH241,Target_monthwise!$D$4:$O$20,DTR!L$4,FALSE))*1000,0)</f>
        <v>0</v>
      </c>
      <c r="M241" s="141">
        <f>IFERROR((HLOOKUP($AH241,Target_monthwise!$D$4:$O$20,DTR!M$4,FALSE))*1000,0)</f>
        <v>0</v>
      </c>
      <c r="N241" s="141">
        <f>IFERROR((HLOOKUP($AH241,Target_monthwise!$D$4:$O$20,DTR!N$4,FALSE))*1000,0)</f>
        <v>0</v>
      </c>
      <c r="O241" s="141">
        <f>IFERROR((HLOOKUP($AH241,Target_monthwise!$D$4:$O$20,DTR!O$4,FALSE))*1000,0)</f>
        <v>0</v>
      </c>
      <c r="P241" s="141">
        <f>IFERROR((HLOOKUP($AH241,Target_monthwise!$D$4:$O$20,DTR!P$4,FALSE))*1000,0)</f>
        <v>0</v>
      </c>
      <c r="Q241" s="141">
        <f>IFERROR((HLOOKUP($AH241,Target_monthwise!$D$4:$O$20,DTR!Q$4,FALSE))*1000,0)</f>
        <v>0</v>
      </c>
      <c r="R241" s="167">
        <f>IFERROR((HLOOKUP($AH241,Target_monthwise!$D$4:$O$20,DTR!R$4,FALSE))*1000,0)</f>
        <v>0</v>
      </c>
      <c r="S241" s="147">
        <f>IFERROR((HLOOKUP($AH241,Target_monthwise!$D$24:$O$40,DTR!S$4,FALSE)),0)</f>
        <v>0</v>
      </c>
      <c r="T241" s="147">
        <f>IFERROR((HLOOKUP($AH241,Target_monthwise!$D$24:$O$40,DTR!T$4,FALSE)),0)</f>
        <v>0</v>
      </c>
      <c r="U241" s="147">
        <f>IFERROR((HLOOKUP($AH241,Target_monthwise!$D$24:$O$40,DTR!U$4,FALSE)),0)</f>
        <v>0</v>
      </c>
      <c r="V241" s="147">
        <f>IFERROR((HLOOKUP($AH241,Target_monthwise!$D$24:$O$40,DTR!V$4,FALSE)),0)</f>
        <v>0</v>
      </c>
      <c r="W241" s="147">
        <f>IFERROR((HLOOKUP($AH241,Target_monthwise!$D$24:$O$40,DTR!W$4,FALSE)),0)</f>
        <v>0</v>
      </c>
      <c r="X241" s="147">
        <f>IFERROR((HLOOKUP($AH241,Target_monthwise!$D$24:$O$40,DTR!X$4,FALSE)),0)</f>
        <v>0</v>
      </c>
      <c r="Y241" s="147">
        <f>IFERROR((HLOOKUP($AH241,Target_monthwise!$D$24:$O$40,DTR!Y$4,FALSE)),0)</f>
        <v>0</v>
      </c>
      <c r="Z241" s="147">
        <f>IFERROR((HLOOKUP($AH241,Target_monthwise!$D$24:$O$40,DTR!Z$4,FALSE)),0)</f>
        <v>0</v>
      </c>
      <c r="AA241" s="147">
        <f>IFERROR((HLOOKUP($AH241,Target_monthwise!$D$24:$O$40,DTR!AA$4,FALSE)),0)</f>
        <v>0</v>
      </c>
      <c r="AB241" s="147">
        <f>IFERROR((HLOOKUP($AH241,Target_monthwise!$D$24:$O$40,DTR!AB$4,FALSE)),0)</f>
        <v>0</v>
      </c>
      <c r="AC241" s="147">
        <f>IFERROR((HLOOKUP($AH241,Target_monthwise!$D$24:$O$40,DTR!AC$4,FALSE)),0)</f>
        <v>0</v>
      </c>
      <c r="AD241" s="147">
        <f>IFERROR((HLOOKUP($AH241,Target_monthwise!$D$24:$O$40,DTR!AD$4,FALSE)),0)</f>
        <v>0</v>
      </c>
      <c r="AE241" s="147">
        <f>IFERROR((HLOOKUP($AH241,Target_monthwise!$D$24:$O$40,DTR!AE$4,FALSE)),0)</f>
        <v>0</v>
      </c>
      <c r="AF241" s="147">
        <f>IFERROR((HLOOKUP($AH241,Target_monthwise!$D$24:$O$40,DTR!AF$4,FALSE)),0)</f>
        <v>0</v>
      </c>
      <c r="AG241" s="172">
        <f>IFERROR((HLOOKUP($AH241,Target_monthwise!$D$24:$O$40,DTR!AG$4,FALSE)),0)</f>
        <v>0</v>
      </c>
      <c r="AH241" s="253">
        <f t="shared" si="3"/>
        <v>202211</v>
      </c>
    </row>
    <row r="242" spans="3:34" ht="15.75" hidden="1">
      <c r="C242" s="237">
        <v>44885</v>
      </c>
      <c r="D242" s="238">
        <f>IFERROR((HLOOKUP($AH242,Target_monthwise!$D$4:$O$20,DTR!D$4,FALSE))*1000,0)</f>
        <v>0</v>
      </c>
      <c r="E242" s="238">
        <f>IFERROR((HLOOKUP($AH242,Target_monthwise!$D$4:$O$20,DTR!E$4,FALSE))*1000,0)</f>
        <v>0</v>
      </c>
      <c r="F242" s="238">
        <f>IFERROR((HLOOKUP($AH242,Target_monthwise!$D$4:$O$20,DTR!F$4,FALSE))*1000,0)</f>
        <v>0</v>
      </c>
      <c r="G242" s="238">
        <f>IFERROR((HLOOKUP($AH242,Target_monthwise!$D$4:$O$20,DTR!G$4,FALSE))*1000,0)</f>
        <v>0</v>
      </c>
      <c r="H242" s="238">
        <f>IFERROR((HLOOKUP($AH242,Target_monthwise!$D$4:$O$20,DTR!H$4,FALSE))*1000,0)</f>
        <v>0</v>
      </c>
      <c r="I242" s="238">
        <f>IFERROR((HLOOKUP($AH242,Target_monthwise!$D$4:$O$20,DTR!I$4,FALSE))*1000,0)</f>
        <v>0</v>
      </c>
      <c r="J242" s="238">
        <f>IFERROR((HLOOKUP($AH242,Target_monthwise!$D$4:$O$20,DTR!J$4,FALSE))*1000,0)</f>
        <v>0</v>
      </c>
      <c r="K242" s="238">
        <f>IFERROR((HLOOKUP($AH242,Target_monthwise!$D$4:$O$20,DTR!K$4,FALSE))*1000,0)</f>
        <v>0</v>
      </c>
      <c r="L242" s="238">
        <f>IFERROR((HLOOKUP($AH242,Target_monthwise!$D$4:$O$20,DTR!L$4,FALSE))*1000,0)</f>
        <v>0</v>
      </c>
      <c r="M242" s="238">
        <f>IFERROR((HLOOKUP($AH242,Target_monthwise!$D$4:$O$20,DTR!M$4,FALSE))*1000,0)</f>
        <v>0</v>
      </c>
      <c r="N242" s="238">
        <f>IFERROR((HLOOKUP($AH242,Target_monthwise!$D$4:$O$20,DTR!N$4,FALSE))*1000,0)</f>
        <v>0</v>
      </c>
      <c r="O242" s="238">
        <f>IFERROR((HLOOKUP($AH242,Target_monthwise!$D$4:$O$20,DTR!O$4,FALSE))*1000,0)</f>
        <v>0</v>
      </c>
      <c r="P242" s="238">
        <f>IFERROR((HLOOKUP($AH242,Target_monthwise!$D$4:$O$20,DTR!P$4,FALSE))*1000,0)</f>
        <v>0</v>
      </c>
      <c r="Q242" s="141">
        <f>IFERROR((HLOOKUP($AH242,Target_monthwise!$D$4:$O$20,DTR!Q$4,FALSE))*1000,0)</f>
        <v>0</v>
      </c>
      <c r="R242" s="167">
        <f>IFERROR((HLOOKUP($AH242,Target_monthwise!$D$4:$O$20,DTR!R$4,FALSE))*1000,0)</f>
        <v>0</v>
      </c>
      <c r="S242" s="239">
        <f>IFERROR((HLOOKUP($AH242,Target_monthwise!$D$24:$O$40,DTR!S$4,FALSE)),0)</f>
        <v>0</v>
      </c>
      <c r="T242" s="239">
        <f>IFERROR((HLOOKUP($AH242,Target_monthwise!$D$24:$O$40,DTR!T$4,FALSE)),0)</f>
        <v>0</v>
      </c>
      <c r="U242" s="239">
        <f>IFERROR((HLOOKUP($AH242,Target_monthwise!$D$24:$O$40,DTR!U$4,FALSE)),0)</f>
        <v>0</v>
      </c>
      <c r="V242" s="239">
        <f>IFERROR((HLOOKUP($AH242,Target_monthwise!$D$24:$O$40,DTR!V$4,FALSE)),0)</f>
        <v>0</v>
      </c>
      <c r="W242" s="239">
        <f>IFERROR((HLOOKUP($AH242,Target_monthwise!$D$24:$O$40,DTR!W$4,FALSE)),0)</f>
        <v>0</v>
      </c>
      <c r="X242" s="239">
        <f>IFERROR((HLOOKUP($AH242,Target_monthwise!$D$24:$O$40,DTR!X$4,FALSE)),0)</f>
        <v>0</v>
      </c>
      <c r="Y242" s="239">
        <f>IFERROR((HLOOKUP($AH242,Target_monthwise!$D$24:$O$40,DTR!Y$4,FALSE)),0)</f>
        <v>0</v>
      </c>
      <c r="Z242" s="147">
        <f>IFERROR((HLOOKUP($AH242,Target_monthwise!$D$24:$O$40,DTR!Z$4,FALSE)),0)</f>
        <v>0</v>
      </c>
      <c r="AA242" s="147">
        <f>IFERROR((HLOOKUP($AH242,Target_monthwise!$D$24:$O$40,DTR!AA$4,FALSE)),0)</f>
        <v>0</v>
      </c>
      <c r="AB242" s="147">
        <f>IFERROR((HLOOKUP($AH242,Target_monthwise!$D$24:$O$40,DTR!AB$4,FALSE)),0)</f>
        <v>0</v>
      </c>
      <c r="AC242" s="239">
        <f>IFERROR((HLOOKUP($AH242,Target_monthwise!$D$24:$O$40,DTR!AC$4,FALSE)),0)</f>
        <v>0</v>
      </c>
      <c r="AD242" s="239">
        <f>IFERROR((HLOOKUP($AH242,Target_monthwise!$D$24:$O$40,DTR!AD$4,FALSE)),0)</f>
        <v>0</v>
      </c>
      <c r="AE242" s="239">
        <f>IFERROR((HLOOKUP($AH242,Target_monthwise!$D$24:$O$40,DTR!AE$4,FALSE)),0)</f>
        <v>0</v>
      </c>
      <c r="AF242" s="239">
        <f>IFERROR((HLOOKUP($AH242,Target_monthwise!$D$24:$O$40,DTR!AF$4,FALSE)),0)</f>
        <v>0</v>
      </c>
      <c r="AG242" s="172">
        <f>IFERROR((HLOOKUP($AH242,Target_monthwise!$D$24:$O$40,DTR!AG$4,FALSE)),0)</f>
        <v>0</v>
      </c>
      <c r="AH242" s="253">
        <f t="shared" si="3"/>
        <v>202211</v>
      </c>
    </row>
    <row r="243" spans="3:34" ht="15.75" hidden="1">
      <c r="C243" s="235">
        <v>44886</v>
      </c>
      <c r="D243" s="141">
        <f>IFERROR((HLOOKUP($AH243,Target_monthwise!$D$4:$O$20,DTR!D$4,FALSE))*1000,0)</f>
        <v>0</v>
      </c>
      <c r="E243" s="141">
        <f>IFERROR((HLOOKUP($AH243,Target_monthwise!$D$4:$O$20,DTR!E$4,FALSE))*1000,0)</f>
        <v>0</v>
      </c>
      <c r="F243" s="141">
        <f>IFERROR((HLOOKUP($AH243,Target_monthwise!$D$4:$O$20,DTR!F$4,FALSE))*1000,0)</f>
        <v>0</v>
      </c>
      <c r="G243" s="141">
        <f>IFERROR((HLOOKUP($AH243,Target_monthwise!$D$4:$O$20,DTR!G$4,FALSE))*1000,0)</f>
        <v>0</v>
      </c>
      <c r="H243" s="141">
        <f>IFERROR((HLOOKUP($AH243,Target_monthwise!$D$4:$O$20,DTR!H$4,FALSE))*1000,0)</f>
        <v>0</v>
      </c>
      <c r="I243" s="141">
        <f>IFERROR((HLOOKUP($AH243,Target_monthwise!$D$4:$O$20,DTR!I$4,FALSE))*1000,0)</f>
        <v>0</v>
      </c>
      <c r="J243" s="141">
        <f>IFERROR((HLOOKUP($AH243,Target_monthwise!$D$4:$O$20,DTR!J$4,FALSE))*1000,0)</f>
        <v>0</v>
      </c>
      <c r="K243" s="141">
        <f>IFERROR((HLOOKUP($AH243,Target_monthwise!$D$4:$O$20,DTR!K$4,FALSE))*1000,0)</f>
        <v>0</v>
      </c>
      <c r="L243" s="141">
        <f>IFERROR((HLOOKUP($AH243,Target_monthwise!$D$4:$O$20,DTR!L$4,FALSE))*1000,0)</f>
        <v>0</v>
      </c>
      <c r="M243" s="141">
        <f>IFERROR((HLOOKUP($AH243,Target_monthwise!$D$4:$O$20,DTR!M$4,FALSE))*1000,0)</f>
        <v>0</v>
      </c>
      <c r="N243" s="141">
        <f>IFERROR((HLOOKUP($AH243,Target_monthwise!$D$4:$O$20,DTR!N$4,FALSE))*1000,0)</f>
        <v>0</v>
      </c>
      <c r="O243" s="141">
        <f>IFERROR((HLOOKUP($AH243,Target_monthwise!$D$4:$O$20,DTR!O$4,FALSE))*1000,0)</f>
        <v>0</v>
      </c>
      <c r="P243" s="141">
        <f>IFERROR((HLOOKUP($AH243,Target_monthwise!$D$4:$O$20,DTR!P$4,FALSE))*1000,0)</f>
        <v>0</v>
      </c>
      <c r="Q243" s="141">
        <f>IFERROR((HLOOKUP($AH243,Target_monthwise!$D$4:$O$20,DTR!Q$4,FALSE))*1000,0)</f>
        <v>0</v>
      </c>
      <c r="R243" s="167">
        <f>IFERROR((HLOOKUP($AH243,Target_monthwise!$D$4:$O$20,DTR!R$4,FALSE))*1000,0)</f>
        <v>0</v>
      </c>
      <c r="S243" s="147">
        <f>IFERROR((HLOOKUP($AH243,Target_monthwise!$D$24:$O$40,DTR!S$4,FALSE)),0)</f>
        <v>0</v>
      </c>
      <c r="T243" s="147">
        <f>IFERROR((HLOOKUP($AH243,Target_monthwise!$D$24:$O$40,DTR!T$4,FALSE)),0)</f>
        <v>0</v>
      </c>
      <c r="U243" s="147">
        <f>IFERROR((HLOOKUP($AH243,Target_monthwise!$D$24:$O$40,DTR!U$4,FALSE)),0)</f>
        <v>0</v>
      </c>
      <c r="V243" s="147">
        <f>IFERROR((HLOOKUP($AH243,Target_monthwise!$D$24:$O$40,DTR!V$4,FALSE)),0)</f>
        <v>0</v>
      </c>
      <c r="W243" s="147">
        <f>IFERROR((HLOOKUP($AH243,Target_monthwise!$D$24:$O$40,DTR!W$4,FALSE)),0)</f>
        <v>0</v>
      </c>
      <c r="X243" s="147">
        <f>IFERROR((HLOOKUP($AH243,Target_monthwise!$D$24:$O$40,DTR!X$4,FALSE)),0)</f>
        <v>0</v>
      </c>
      <c r="Y243" s="147">
        <f>IFERROR((HLOOKUP($AH243,Target_monthwise!$D$24:$O$40,DTR!Y$4,FALSE)),0)</f>
        <v>0</v>
      </c>
      <c r="Z243" s="147">
        <f>IFERROR((HLOOKUP($AH243,Target_monthwise!$D$24:$O$40,DTR!Z$4,FALSE)),0)</f>
        <v>0</v>
      </c>
      <c r="AA243" s="147">
        <f>IFERROR((HLOOKUP($AH243,Target_monthwise!$D$24:$O$40,DTR!AA$4,FALSE)),0)</f>
        <v>0</v>
      </c>
      <c r="AB243" s="147">
        <f>IFERROR((HLOOKUP($AH243,Target_monthwise!$D$24:$O$40,DTR!AB$4,FALSE)),0)</f>
        <v>0</v>
      </c>
      <c r="AC243" s="147">
        <f>IFERROR((HLOOKUP($AH243,Target_monthwise!$D$24:$O$40,DTR!AC$4,FALSE)),0)</f>
        <v>0</v>
      </c>
      <c r="AD243" s="147">
        <f>IFERROR((HLOOKUP($AH243,Target_monthwise!$D$24:$O$40,DTR!AD$4,FALSE)),0)</f>
        <v>0</v>
      </c>
      <c r="AE243" s="147">
        <f>IFERROR((HLOOKUP($AH243,Target_monthwise!$D$24:$O$40,DTR!AE$4,FALSE)),0)</f>
        <v>0</v>
      </c>
      <c r="AF243" s="147">
        <f>IFERROR((HLOOKUP($AH243,Target_monthwise!$D$24:$O$40,DTR!AF$4,FALSE)),0)</f>
        <v>0</v>
      </c>
      <c r="AG243" s="172">
        <f>IFERROR((HLOOKUP($AH243,Target_monthwise!$D$24:$O$40,DTR!AG$4,FALSE)),0)</f>
        <v>0</v>
      </c>
      <c r="AH243" s="253">
        <f t="shared" si="3"/>
        <v>202211</v>
      </c>
    </row>
    <row r="244" spans="3:34" ht="15.75" hidden="1">
      <c r="C244" s="237">
        <v>44887</v>
      </c>
      <c r="D244" s="238">
        <f>IFERROR((HLOOKUP($AH244,Target_monthwise!$D$4:$O$20,DTR!D$4,FALSE))*1000,0)</f>
        <v>0</v>
      </c>
      <c r="E244" s="238">
        <f>IFERROR((HLOOKUP($AH244,Target_monthwise!$D$4:$O$20,DTR!E$4,FALSE))*1000,0)</f>
        <v>0</v>
      </c>
      <c r="F244" s="238">
        <f>IFERROR((HLOOKUP($AH244,Target_monthwise!$D$4:$O$20,DTR!F$4,FALSE))*1000,0)</f>
        <v>0</v>
      </c>
      <c r="G244" s="238">
        <f>IFERROR((HLOOKUP($AH244,Target_monthwise!$D$4:$O$20,DTR!G$4,FALSE))*1000,0)</f>
        <v>0</v>
      </c>
      <c r="H244" s="238">
        <f>IFERROR((HLOOKUP($AH244,Target_monthwise!$D$4:$O$20,DTR!H$4,FALSE))*1000,0)</f>
        <v>0</v>
      </c>
      <c r="I244" s="238">
        <f>IFERROR((HLOOKUP($AH244,Target_monthwise!$D$4:$O$20,DTR!I$4,FALSE))*1000,0)</f>
        <v>0</v>
      </c>
      <c r="J244" s="238">
        <f>IFERROR((HLOOKUP($AH244,Target_monthwise!$D$4:$O$20,DTR!J$4,FALSE))*1000,0)</f>
        <v>0</v>
      </c>
      <c r="K244" s="238">
        <f>IFERROR((HLOOKUP($AH244,Target_monthwise!$D$4:$O$20,DTR!K$4,FALSE))*1000,0)</f>
        <v>0</v>
      </c>
      <c r="L244" s="238">
        <f>IFERROR((HLOOKUP($AH244,Target_monthwise!$D$4:$O$20,DTR!L$4,FALSE))*1000,0)</f>
        <v>0</v>
      </c>
      <c r="M244" s="238">
        <f>IFERROR((HLOOKUP($AH244,Target_monthwise!$D$4:$O$20,DTR!M$4,FALSE))*1000,0)</f>
        <v>0</v>
      </c>
      <c r="N244" s="238">
        <f>IFERROR((HLOOKUP($AH244,Target_monthwise!$D$4:$O$20,DTR!N$4,FALSE))*1000,0)</f>
        <v>0</v>
      </c>
      <c r="O244" s="238">
        <f>IFERROR((HLOOKUP($AH244,Target_monthwise!$D$4:$O$20,DTR!O$4,FALSE))*1000,0)</f>
        <v>0</v>
      </c>
      <c r="P244" s="238">
        <f>IFERROR((HLOOKUP($AH244,Target_monthwise!$D$4:$O$20,DTR!P$4,FALSE))*1000,0)</f>
        <v>0</v>
      </c>
      <c r="Q244" s="141">
        <f>IFERROR((HLOOKUP($AH244,Target_monthwise!$D$4:$O$20,DTR!Q$4,FALSE))*1000,0)</f>
        <v>0</v>
      </c>
      <c r="R244" s="167">
        <f>IFERROR((HLOOKUP($AH244,Target_monthwise!$D$4:$O$20,DTR!R$4,FALSE))*1000,0)</f>
        <v>0</v>
      </c>
      <c r="S244" s="239">
        <f>IFERROR((HLOOKUP($AH244,Target_monthwise!$D$24:$O$40,DTR!S$4,FALSE)),0)</f>
        <v>0</v>
      </c>
      <c r="T244" s="239">
        <f>IFERROR((HLOOKUP($AH244,Target_monthwise!$D$24:$O$40,DTR!T$4,FALSE)),0)</f>
        <v>0</v>
      </c>
      <c r="U244" s="239">
        <f>IFERROR((HLOOKUP($AH244,Target_monthwise!$D$24:$O$40,DTR!U$4,FALSE)),0)</f>
        <v>0</v>
      </c>
      <c r="V244" s="239">
        <f>IFERROR((HLOOKUP($AH244,Target_monthwise!$D$24:$O$40,DTR!V$4,FALSE)),0)</f>
        <v>0</v>
      </c>
      <c r="W244" s="239">
        <f>IFERROR((HLOOKUP($AH244,Target_monthwise!$D$24:$O$40,DTR!W$4,FALSE)),0)</f>
        <v>0</v>
      </c>
      <c r="X244" s="239">
        <f>IFERROR((HLOOKUP($AH244,Target_monthwise!$D$24:$O$40,DTR!X$4,FALSE)),0)</f>
        <v>0</v>
      </c>
      <c r="Y244" s="239">
        <f>IFERROR((HLOOKUP($AH244,Target_monthwise!$D$24:$O$40,DTR!Y$4,FALSE)),0)</f>
        <v>0</v>
      </c>
      <c r="Z244" s="147">
        <f>IFERROR((HLOOKUP($AH244,Target_monthwise!$D$24:$O$40,DTR!Z$4,FALSE)),0)</f>
        <v>0</v>
      </c>
      <c r="AA244" s="147">
        <f>IFERROR((HLOOKUP($AH244,Target_monthwise!$D$24:$O$40,DTR!AA$4,FALSE)),0)</f>
        <v>0</v>
      </c>
      <c r="AB244" s="147">
        <f>IFERROR((HLOOKUP($AH244,Target_monthwise!$D$24:$O$40,DTR!AB$4,FALSE)),0)</f>
        <v>0</v>
      </c>
      <c r="AC244" s="239">
        <f>IFERROR((HLOOKUP($AH244,Target_monthwise!$D$24:$O$40,DTR!AC$4,FALSE)),0)</f>
        <v>0</v>
      </c>
      <c r="AD244" s="239">
        <f>IFERROR((HLOOKUP($AH244,Target_monthwise!$D$24:$O$40,DTR!AD$4,FALSE)),0)</f>
        <v>0</v>
      </c>
      <c r="AE244" s="239">
        <f>IFERROR((HLOOKUP($AH244,Target_monthwise!$D$24:$O$40,DTR!AE$4,FALSE)),0)</f>
        <v>0</v>
      </c>
      <c r="AF244" s="239">
        <f>IFERROR((HLOOKUP($AH244,Target_monthwise!$D$24:$O$40,DTR!AF$4,FALSE)),0)</f>
        <v>0</v>
      </c>
      <c r="AG244" s="172">
        <f>IFERROR((HLOOKUP($AH244,Target_monthwise!$D$24:$O$40,DTR!AG$4,FALSE)),0)</f>
        <v>0</v>
      </c>
      <c r="AH244" s="253">
        <f t="shared" si="3"/>
        <v>202211</v>
      </c>
    </row>
    <row r="245" spans="3:34" ht="15.75" hidden="1">
      <c r="C245" s="235">
        <v>44888</v>
      </c>
      <c r="D245" s="141">
        <f>IFERROR((HLOOKUP($AH245,Target_monthwise!$D$4:$O$20,DTR!D$4,FALSE))*1000,0)</f>
        <v>0</v>
      </c>
      <c r="E245" s="141">
        <f>IFERROR((HLOOKUP($AH245,Target_monthwise!$D$4:$O$20,DTR!E$4,FALSE))*1000,0)</f>
        <v>0</v>
      </c>
      <c r="F245" s="141">
        <f>IFERROR((HLOOKUP($AH245,Target_monthwise!$D$4:$O$20,DTR!F$4,FALSE))*1000,0)</f>
        <v>0</v>
      </c>
      <c r="G245" s="141">
        <f>IFERROR((HLOOKUP($AH245,Target_monthwise!$D$4:$O$20,DTR!G$4,FALSE))*1000,0)</f>
        <v>0</v>
      </c>
      <c r="H245" s="141">
        <f>IFERROR((HLOOKUP($AH245,Target_monthwise!$D$4:$O$20,DTR!H$4,FALSE))*1000,0)</f>
        <v>0</v>
      </c>
      <c r="I245" s="141">
        <f>IFERROR((HLOOKUP($AH245,Target_monthwise!$D$4:$O$20,DTR!I$4,FALSE))*1000,0)</f>
        <v>0</v>
      </c>
      <c r="J245" s="141">
        <f>IFERROR((HLOOKUP($AH245,Target_monthwise!$D$4:$O$20,DTR!J$4,FALSE))*1000,0)</f>
        <v>0</v>
      </c>
      <c r="K245" s="141">
        <f>IFERROR((HLOOKUP($AH245,Target_monthwise!$D$4:$O$20,DTR!K$4,FALSE))*1000,0)</f>
        <v>0</v>
      </c>
      <c r="L245" s="141">
        <f>IFERROR((HLOOKUP($AH245,Target_monthwise!$D$4:$O$20,DTR!L$4,FALSE))*1000,0)</f>
        <v>0</v>
      </c>
      <c r="M245" s="141">
        <f>IFERROR((HLOOKUP($AH245,Target_monthwise!$D$4:$O$20,DTR!M$4,FALSE))*1000,0)</f>
        <v>0</v>
      </c>
      <c r="N245" s="141">
        <f>IFERROR((HLOOKUP($AH245,Target_monthwise!$D$4:$O$20,DTR!N$4,FALSE))*1000,0)</f>
        <v>0</v>
      </c>
      <c r="O245" s="141">
        <f>IFERROR((HLOOKUP($AH245,Target_monthwise!$D$4:$O$20,DTR!O$4,FALSE))*1000,0)</f>
        <v>0</v>
      </c>
      <c r="P245" s="141">
        <f>IFERROR((HLOOKUP($AH245,Target_monthwise!$D$4:$O$20,DTR!P$4,FALSE))*1000,0)</f>
        <v>0</v>
      </c>
      <c r="Q245" s="141">
        <f>IFERROR((HLOOKUP($AH245,Target_monthwise!$D$4:$O$20,DTR!Q$4,FALSE))*1000,0)</f>
        <v>0</v>
      </c>
      <c r="R245" s="167">
        <f>IFERROR((HLOOKUP($AH245,Target_monthwise!$D$4:$O$20,DTR!R$4,FALSE))*1000,0)</f>
        <v>0</v>
      </c>
      <c r="S245" s="147">
        <f>IFERROR((HLOOKUP($AH245,Target_monthwise!$D$24:$O$40,DTR!S$4,FALSE)),0)</f>
        <v>0</v>
      </c>
      <c r="T245" s="147">
        <f>IFERROR((HLOOKUP($AH245,Target_monthwise!$D$24:$O$40,DTR!T$4,FALSE)),0)</f>
        <v>0</v>
      </c>
      <c r="U245" s="147">
        <f>IFERROR((HLOOKUP($AH245,Target_monthwise!$D$24:$O$40,DTR!U$4,FALSE)),0)</f>
        <v>0</v>
      </c>
      <c r="V245" s="147">
        <f>IFERROR((HLOOKUP($AH245,Target_monthwise!$D$24:$O$40,DTR!V$4,FALSE)),0)</f>
        <v>0</v>
      </c>
      <c r="W245" s="147">
        <f>IFERROR((HLOOKUP($AH245,Target_monthwise!$D$24:$O$40,DTR!W$4,FALSE)),0)</f>
        <v>0</v>
      </c>
      <c r="X245" s="147">
        <f>IFERROR((HLOOKUP($AH245,Target_monthwise!$D$24:$O$40,DTR!X$4,FALSE)),0)</f>
        <v>0</v>
      </c>
      <c r="Y245" s="147">
        <f>IFERROR((HLOOKUP($AH245,Target_monthwise!$D$24:$O$40,DTR!Y$4,FALSE)),0)</f>
        <v>0</v>
      </c>
      <c r="Z245" s="147">
        <f>IFERROR((HLOOKUP($AH245,Target_monthwise!$D$24:$O$40,DTR!Z$4,FALSE)),0)</f>
        <v>0</v>
      </c>
      <c r="AA245" s="147">
        <f>IFERROR((HLOOKUP($AH245,Target_monthwise!$D$24:$O$40,DTR!AA$4,FALSE)),0)</f>
        <v>0</v>
      </c>
      <c r="AB245" s="147">
        <f>IFERROR((HLOOKUP($AH245,Target_monthwise!$D$24:$O$40,DTR!AB$4,FALSE)),0)</f>
        <v>0</v>
      </c>
      <c r="AC245" s="147">
        <f>IFERROR((HLOOKUP($AH245,Target_monthwise!$D$24:$O$40,DTR!AC$4,FALSE)),0)</f>
        <v>0</v>
      </c>
      <c r="AD245" s="147">
        <f>IFERROR((HLOOKUP($AH245,Target_monthwise!$D$24:$O$40,DTR!AD$4,FALSE)),0)</f>
        <v>0</v>
      </c>
      <c r="AE245" s="147">
        <f>IFERROR((HLOOKUP($AH245,Target_monthwise!$D$24:$O$40,DTR!AE$4,FALSE)),0)</f>
        <v>0</v>
      </c>
      <c r="AF245" s="147">
        <f>IFERROR((HLOOKUP($AH245,Target_monthwise!$D$24:$O$40,DTR!AF$4,FALSE)),0)</f>
        <v>0</v>
      </c>
      <c r="AG245" s="172">
        <f>IFERROR((HLOOKUP($AH245,Target_monthwise!$D$24:$O$40,DTR!AG$4,FALSE)),0)</f>
        <v>0</v>
      </c>
      <c r="AH245" s="253">
        <f t="shared" si="3"/>
        <v>202211</v>
      </c>
    </row>
    <row r="246" spans="3:34" ht="15.75" hidden="1">
      <c r="C246" s="237">
        <v>44889</v>
      </c>
      <c r="D246" s="238">
        <f>IFERROR((HLOOKUP($AH246,Target_monthwise!$D$4:$O$20,DTR!D$4,FALSE))*1000,0)</f>
        <v>0</v>
      </c>
      <c r="E246" s="238">
        <f>IFERROR((HLOOKUP($AH246,Target_monthwise!$D$4:$O$20,DTR!E$4,FALSE))*1000,0)</f>
        <v>0</v>
      </c>
      <c r="F246" s="238">
        <f>IFERROR((HLOOKUP($AH246,Target_monthwise!$D$4:$O$20,DTR!F$4,FALSE))*1000,0)</f>
        <v>0</v>
      </c>
      <c r="G246" s="238">
        <f>IFERROR((HLOOKUP($AH246,Target_monthwise!$D$4:$O$20,DTR!G$4,FALSE))*1000,0)</f>
        <v>0</v>
      </c>
      <c r="H246" s="238">
        <f>IFERROR((HLOOKUP($AH246,Target_monthwise!$D$4:$O$20,DTR!H$4,FALSE))*1000,0)</f>
        <v>0</v>
      </c>
      <c r="I246" s="238">
        <f>IFERROR((HLOOKUP($AH246,Target_monthwise!$D$4:$O$20,DTR!I$4,FALSE))*1000,0)</f>
        <v>0</v>
      </c>
      <c r="J246" s="238">
        <f>IFERROR((HLOOKUP($AH246,Target_monthwise!$D$4:$O$20,DTR!J$4,FALSE))*1000,0)</f>
        <v>0</v>
      </c>
      <c r="K246" s="238">
        <f>IFERROR((HLOOKUP($AH246,Target_monthwise!$D$4:$O$20,DTR!K$4,FALSE))*1000,0)</f>
        <v>0</v>
      </c>
      <c r="L246" s="238">
        <f>IFERROR((HLOOKUP($AH246,Target_monthwise!$D$4:$O$20,DTR!L$4,FALSE))*1000,0)</f>
        <v>0</v>
      </c>
      <c r="M246" s="238">
        <f>IFERROR((HLOOKUP($AH246,Target_monthwise!$D$4:$O$20,DTR!M$4,FALSE))*1000,0)</f>
        <v>0</v>
      </c>
      <c r="N246" s="238">
        <f>IFERROR((HLOOKUP($AH246,Target_monthwise!$D$4:$O$20,DTR!N$4,FALSE))*1000,0)</f>
        <v>0</v>
      </c>
      <c r="O246" s="238">
        <f>IFERROR((HLOOKUP($AH246,Target_monthwise!$D$4:$O$20,DTR!O$4,FALSE))*1000,0)</f>
        <v>0</v>
      </c>
      <c r="P246" s="238">
        <f>IFERROR((HLOOKUP($AH246,Target_monthwise!$D$4:$O$20,DTR!P$4,FALSE))*1000,0)</f>
        <v>0</v>
      </c>
      <c r="Q246" s="141">
        <f>IFERROR((HLOOKUP($AH246,Target_monthwise!$D$4:$O$20,DTR!Q$4,FALSE))*1000,0)</f>
        <v>0</v>
      </c>
      <c r="R246" s="167">
        <f>IFERROR((HLOOKUP($AH246,Target_monthwise!$D$4:$O$20,DTR!R$4,FALSE))*1000,0)</f>
        <v>0</v>
      </c>
      <c r="S246" s="239">
        <f>IFERROR((HLOOKUP($AH246,Target_monthwise!$D$24:$O$40,DTR!S$4,FALSE)),0)</f>
        <v>0</v>
      </c>
      <c r="T246" s="239">
        <f>IFERROR((HLOOKUP($AH246,Target_monthwise!$D$24:$O$40,DTR!T$4,FALSE)),0)</f>
        <v>0</v>
      </c>
      <c r="U246" s="239">
        <f>IFERROR((HLOOKUP($AH246,Target_monthwise!$D$24:$O$40,DTR!U$4,FALSE)),0)</f>
        <v>0</v>
      </c>
      <c r="V246" s="239">
        <f>IFERROR((HLOOKUP($AH246,Target_monthwise!$D$24:$O$40,DTR!V$4,FALSE)),0)</f>
        <v>0</v>
      </c>
      <c r="W246" s="239">
        <f>IFERROR((HLOOKUP($AH246,Target_monthwise!$D$24:$O$40,DTR!W$4,FALSE)),0)</f>
        <v>0</v>
      </c>
      <c r="X246" s="239">
        <f>IFERROR((HLOOKUP($AH246,Target_monthwise!$D$24:$O$40,DTR!X$4,FALSE)),0)</f>
        <v>0</v>
      </c>
      <c r="Y246" s="239">
        <f>IFERROR((HLOOKUP($AH246,Target_monthwise!$D$24:$O$40,DTR!Y$4,FALSE)),0)</f>
        <v>0</v>
      </c>
      <c r="Z246" s="147">
        <f>IFERROR((HLOOKUP($AH246,Target_monthwise!$D$24:$O$40,DTR!Z$4,FALSE)),0)</f>
        <v>0</v>
      </c>
      <c r="AA246" s="147">
        <f>IFERROR((HLOOKUP($AH246,Target_monthwise!$D$24:$O$40,DTR!AA$4,FALSE)),0)</f>
        <v>0</v>
      </c>
      <c r="AB246" s="147">
        <f>IFERROR((HLOOKUP($AH246,Target_monthwise!$D$24:$O$40,DTR!AB$4,FALSE)),0)</f>
        <v>0</v>
      </c>
      <c r="AC246" s="239">
        <f>IFERROR((HLOOKUP($AH246,Target_monthwise!$D$24:$O$40,DTR!AC$4,FALSE)),0)</f>
        <v>0</v>
      </c>
      <c r="AD246" s="239">
        <f>IFERROR((HLOOKUP($AH246,Target_monthwise!$D$24:$O$40,DTR!AD$4,FALSE)),0)</f>
        <v>0</v>
      </c>
      <c r="AE246" s="239">
        <f>IFERROR((HLOOKUP($AH246,Target_monthwise!$D$24:$O$40,DTR!AE$4,FALSE)),0)</f>
        <v>0</v>
      </c>
      <c r="AF246" s="239">
        <f>IFERROR((HLOOKUP($AH246,Target_monthwise!$D$24:$O$40,DTR!AF$4,FALSE)),0)</f>
        <v>0</v>
      </c>
      <c r="AG246" s="172">
        <f>IFERROR((HLOOKUP($AH246,Target_monthwise!$D$24:$O$40,DTR!AG$4,FALSE)),0)</f>
        <v>0</v>
      </c>
      <c r="AH246" s="253">
        <f t="shared" si="3"/>
        <v>202211</v>
      </c>
    </row>
    <row r="247" spans="3:34" ht="15.75" hidden="1">
      <c r="C247" s="235">
        <v>44890</v>
      </c>
      <c r="D247" s="141">
        <f>IFERROR((HLOOKUP($AH247,Target_monthwise!$D$4:$O$20,DTR!D$4,FALSE))*1000,0)</f>
        <v>0</v>
      </c>
      <c r="E247" s="141">
        <f>IFERROR((HLOOKUP($AH247,Target_monthwise!$D$4:$O$20,DTR!E$4,FALSE))*1000,0)</f>
        <v>0</v>
      </c>
      <c r="F247" s="141">
        <f>IFERROR((HLOOKUP($AH247,Target_monthwise!$D$4:$O$20,DTR!F$4,FALSE))*1000,0)</f>
        <v>0</v>
      </c>
      <c r="G247" s="141">
        <f>IFERROR((HLOOKUP($AH247,Target_monthwise!$D$4:$O$20,DTR!G$4,FALSE))*1000,0)</f>
        <v>0</v>
      </c>
      <c r="H247" s="141">
        <f>IFERROR((HLOOKUP($AH247,Target_monthwise!$D$4:$O$20,DTR!H$4,FALSE))*1000,0)</f>
        <v>0</v>
      </c>
      <c r="I247" s="141">
        <f>IFERROR((HLOOKUP($AH247,Target_monthwise!$D$4:$O$20,DTR!I$4,FALSE))*1000,0)</f>
        <v>0</v>
      </c>
      <c r="J247" s="141">
        <f>IFERROR((HLOOKUP($AH247,Target_monthwise!$D$4:$O$20,DTR!J$4,FALSE))*1000,0)</f>
        <v>0</v>
      </c>
      <c r="K247" s="141">
        <f>IFERROR((HLOOKUP($AH247,Target_monthwise!$D$4:$O$20,DTR!K$4,FALSE))*1000,0)</f>
        <v>0</v>
      </c>
      <c r="L247" s="141">
        <f>IFERROR((HLOOKUP($AH247,Target_monthwise!$D$4:$O$20,DTR!L$4,FALSE))*1000,0)</f>
        <v>0</v>
      </c>
      <c r="M247" s="141">
        <f>IFERROR((HLOOKUP($AH247,Target_monthwise!$D$4:$O$20,DTR!M$4,FALSE))*1000,0)</f>
        <v>0</v>
      </c>
      <c r="N247" s="141">
        <f>IFERROR((HLOOKUP($AH247,Target_monthwise!$D$4:$O$20,DTR!N$4,FALSE))*1000,0)</f>
        <v>0</v>
      </c>
      <c r="O247" s="141">
        <f>IFERROR((HLOOKUP($AH247,Target_monthwise!$D$4:$O$20,DTR!O$4,FALSE))*1000,0)</f>
        <v>0</v>
      </c>
      <c r="P247" s="141">
        <f>IFERROR((HLOOKUP($AH247,Target_monthwise!$D$4:$O$20,DTR!P$4,FALSE))*1000,0)</f>
        <v>0</v>
      </c>
      <c r="Q247" s="141">
        <f>IFERROR((HLOOKUP($AH247,Target_monthwise!$D$4:$O$20,DTR!Q$4,FALSE))*1000,0)</f>
        <v>0</v>
      </c>
      <c r="R247" s="167">
        <f>IFERROR((HLOOKUP($AH247,Target_monthwise!$D$4:$O$20,DTR!R$4,FALSE))*1000,0)</f>
        <v>0</v>
      </c>
      <c r="S247" s="147">
        <f>IFERROR((HLOOKUP($AH247,Target_monthwise!$D$24:$O$40,DTR!S$4,FALSE)),0)</f>
        <v>0</v>
      </c>
      <c r="T247" s="147">
        <f>IFERROR((HLOOKUP($AH247,Target_monthwise!$D$24:$O$40,DTR!T$4,FALSE)),0)</f>
        <v>0</v>
      </c>
      <c r="U247" s="147">
        <f>IFERROR((HLOOKUP($AH247,Target_monthwise!$D$24:$O$40,DTR!U$4,FALSE)),0)</f>
        <v>0</v>
      </c>
      <c r="V247" s="147">
        <f>IFERROR((HLOOKUP($AH247,Target_monthwise!$D$24:$O$40,DTR!V$4,FALSE)),0)</f>
        <v>0</v>
      </c>
      <c r="W247" s="147">
        <f>IFERROR((HLOOKUP($AH247,Target_monthwise!$D$24:$O$40,DTR!W$4,FALSE)),0)</f>
        <v>0</v>
      </c>
      <c r="X247" s="147">
        <f>IFERROR((HLOOKUP($AH247,Target_monthwise!$D$24:$O$40,DTR!X$4,FALSE)),0)</f>
        <v>0</v>
      </c>
      <c r="Y247" s="147">
        <f>IFERROR((HLOOKUP($AH247,Target_monthwise!$D$24:$O$40,DTR!Y$4,FALSE)),0)</f>
        <v>0</v>
      </c>
      <c r="Z247" s="147">
        <f>IFERROR((HLOOKUP($AH247,Target_monthwise!$D$24:$O$40,DTR!Z$4,FALSE)),0)</f>
        <v>0</v>
      </c>
      <c r="AA247" s="147">
        <f>IFERROR((HLOOKUP($AH247,Target_monthwise!$D$24:$O$40,DTR!AA$4,FALSE)),0)</f>
        <v>0</v>
      </c>
      <c r="AB247" s="147">
        <f>IFERROR((HLOOKUP($AH247,Target_monthwise!$D$24:$O$40,DTR!AB$4,FALSE)),0)</f>
        <v>0</v>
      </c>
      <c r="AC247" s="147">
        <f>IFERROR((HLOOKUP($AH247,Target_monthwise!$D$24:$O$40,DTR!AC$4,FALSE)),0)</f>
        <v>0</v>
      </c>
      <c r="AD247" s="147">
        <f>IFERROR((HLOOKUP($AH247,Target_monthwise!$D$24:$O$40,DTR!AD$4,FALSE)),0)</f>
        <v>0</v>
      </c>
      <c r="AE247" s="147">
        <f>IFERROR((HLOOKUP($AH247,Target_monthwise!$D$24:$O$40,DTR!AE$4,FALSE)),0)</f>
        <v>0</v>
      </c>
      <c r="AF247" s="147">
        <f>IFERROR((HLOOKUP($AH247,Target_monthwise!$D$24:$O$40,DTR!AF$4,FALSE)),0)</f>
        <v>0</v>
      </c>
      <c r="AG247" s="172">
        <f>IFERROR((HLOOKUP($AH247,Target_monthwise!$D$24:$O$40,DTR!AG$4,FALSE)),0)</f>
        <v>0</v>
      </c>
      <c r="AH247" s="253">
        <f t="shared" si="3"/>
        <v>202211</v>
      </c>
    </row>
    <row r="248" spans="3:34" ht="15.75" hidden="1">
      <c r="C248" s="237">
        <v>44891</v>
      </c>
      <c r="D248" s="238">
        <f>IFERROR((HLOOKUP($AH248,Target_monthwise!$D$4:$O$20,DTR!D$4,FALSE))*1000,0)</f>
        <v>0</v>
      </c>
      <c r="E248" s="238">
        <f>IFERROR((HLOOKUP($AH248,Target_monthwise!$D$4:$O$20,DTR!E$4,FALSE))*1000,0)</f>
        <v>0</v>
      </c>
      <c r="F248" s="238">
        <f>IFERROR((HLOOKUP($AH248,Target_monthwise!$D$4:$O$20,DTR!F$4,FALSE))*1000,0)</f>
        <v>0</v>
      </c>
      <c r="G248" s="238">
        <f>IFERROR((HLOOKUP($AH248,Target_monthwise!$D$4:$O$20,DTR!G$4,FALSE))*1000,0)</f>
        <v>0</v>
      </c>
      <c r="H248" s="238">
        <f>IFERROR((HLOOKUP($AH248,Target_monthwise!$D$4:$O$20,DTR!H$4,FALSE))*1000,0)</f>
        <v>0</v>
      </c>
      <c r="I248" s="238">
        <f>IFERROR((HLOOKUP($AH248,Target_monthwise!$D$4:$O$20,DTR!I$4,FALSE))*1000,0)</f>
        <v>0</v>
      </c>
      <c r="J248" s="238">
        <f>IFERROR((HLOOKUP($AH248,Target_monthwise!$D$4:$O$20,DTR!J$4,FALSE))*1000,0)</f>
        <v>0</v>
      </c>
      <c r="K248" s="238">
        <f>IFERROR((HLOOKUP($AH248,Target_monthwise!$D$4:$O$20,DTR!K$4,FALSE))*1000,0)</f>
        <v>0</v>
      </c>
      <c r="L248" s="238">
        <f>IFERROR((HLOOKUP($AH248,Target_monthwise!$D$4:$O$20,DTR!L$4,FALSE))*1000,0)</f>
        <v>0</v>
      </c>
      <c r="M248" s="238">
        <f>IFERROR((HLOOKUP($AH248,Target_monthwise!$D$4:$O$20,DTR!M$4,FALSE))*1000,0)</f>
        <v>0</v>
      </c>
      <c r="N248" s="238">
        <f>IFERROR((HLOOKUP($AH248,Target_monthwise!$D$4:$O$20,DTR!N$4,FALSE))*1000,0)</f>
        <v>0</v>
      </c>
      <c r="O248" s="238">
        <f>IFERROR((HLOOKUP($AH248,Target_monthwise!$D$4:$O$20,DTR!O$4,FALSE))*1000,0)</f>
        <v>0</v>
      </c>
      <c r="P248" s="238">
        <f>IFERROR((HLOOKUP($AH248,Target_monthwise!$D$4:$O$20,DTR!P$4,FALSE))*1000,0)</f>
        <v>0</v>
      </c>
      <c r="Q248" s="141">
        <f>IFERROR((HLOOKUP($AH248,Target_monthwise!$D$4:$O$20,DTR!Q$4,FALSE))*1000,0)</f>
        <v>0</v>
      </c>
      <c r="R248" s="167">
        <f>IFERROR((HLOOKUP($AH248,Target_monthwise!$D$4:$O$20,DTR!R$4,FALSE))*1000,0)</f>
        <v>0</v>
      </c>
      <c r="S248" s="239">
        <f>IFERROR((HLOOKUP($AH248,Target_monthwise!$D$24:$O$40,DTR!S$4,FALSE)),0)</f>
        <v>0</v>
      </c>
      <c r="T248" s="239">
        <f>IFERROR((HLOOKUP($AH248,Target_monthwise!$D$24:$O$40,DTR!T$4,FALSE)),0)</f>
        <v>0</v>
      </c>
      <c r="U248" s="239">
        <f>IFERROR((HLOOKUP($AH248,Target_monthwise!$D$24:$O$40,DTR!U$4,FALSE)),0)</f>
        <v>0</v>
      </c>
      <c r="V248" s="239">
        <f>IFERROR((HLOOKUP($AH248,Target_monthwise!$D$24:$O$40,DTR!V$4,FALSE)),0)</f>
        <v>0</v>
      </c>
      <c r="W248" s="239">
        <f>IFERROR((HLOOKUP($AH248,Target_monthwise!$D$24:$O$40,DTR!W$4,FALSE)),0)</f>
        <v>0</v>
      </c>
      <c r="X248" s="239">
        <f>IFERROR((HLOOKUP($AH248,Target_monthwise!$D$24:$O$40,DTR!X$4,FALSE)),0)</f>
        <v>0</v>
      </c>
      <c r="Y248" s="239">
        <f>IFERROR((HLOOKUP($AH248,Target_monthwise!$D$24:$O$40,DTR!Y$4,FALSE)),0)</f>
        <v>0</v>
      </c>
      <c r="Z248" s="147">
        <f>IFERROR((HLOOKUP($AH248,Target_monthwise!$D$24:$O$40,DTR!Z$4,FALSE)),0)</f>
        <v>0</v>
      </c>
      <c r="AA248" s="147">
        <f>IFERROR((HLOOKUP($AH248,Target_monthwise!$D$24:$O$40,DTR!AA$4,FALSE)),0)</f>
        <v>0</v>
      </c>
      <c r="AB248" s="147">
        <f>IFERROR((HLOOKUP($AH248,Target_monthwise!$D$24:$O$40,DTR!AB$4,FALSE)),0)</f>
        <v>0</v>
      </c>
      <c r="AC248" s="239">
        <f>IFERROR((HLOOKUP($AH248,Target_monthwise!$D$24:$O$40,DTR!AC$4,FALSE)),0)</f>
        <v>0</v>
      </c>
      <c r="AD248" s="239">
        <f>IFERROR((HLOOKUP($AH248,Target_monthwise!$D$24:$O$40,DTR!AD$4,FALSE)),0)</f>
        <v>0</v>
      </c>
      <c r="AE248" s="239">
        <f>IFERROR((HLOOKUP($AH248,Target_monthwise!$D$24:$O$40,DTR!AE$4,FALSE)),0)</f>
        <v>0</v>
      </c>
      <c r="AF248" s="239">
        <f>IFERROR((HLOOKUP($AH248,Target_monthwise!$D$24:$O$40,DTR!AF$4,FALSE)),0)</f>
        <v>0</v>
      </c>
      <c r="AG248" s="172">
        <f>IFERROR((HLOOKUP($AH248,Target_monthwise!$D$24:$O$40,DTR!AG$4,FALSE)),0)</f>
        <v>0</v>
      </c>
      <c r="AH248" s="253">
        <f t="shared" si="3"/>
        <v>202211</v>
      </c>
    </row>
    <row r="249" spans="3:34" ht="15.75" hidden="1">
      <c r="C249" s="235">
        <v>44892</v>
      </c>
      <c r="D249" s="141">
        <f>IFERROR((HLOOKUP($AH249,Target_monthwise!$D$4:$O$20,DTR!D$4,FALSE))*1000,0)</f>
        <v>0</v>
      </c>
      <c r="E249" s="141">
        <f>IFERROR((HLOOKUP($AH249,Target_monthwise!$D$4:$O$20,DTR!E$4,FALSE))*1000,0)</f>
        <v>0</v>
      </c>
      <c r="F249" s="141">
        <f>IFERROR((HLOOKUP($AH249,Target_monthwise!$D$4:$O$20,DTR!F$4,FALSE))*1000,0)</f>
        <v>0</v>
      </c>
      <c r="G249" s="141">
        <f>IFERROR((HLOOKUP($AH249,Target_monthwise!$D$4:$O$20,DTR!G$4,FALSE))*1000,0)</f>
        <v>0</v>
      </c>
      <c r="H249" s="141">
        <f>IFERROR((HLOOKUP($AH249,Target_monthwise!$D$4:$O$20,DTR!H$4,FALSE))*1000,0)</f>
        <v>0</v>
      </c>
      <c r="I249" s="141">
        <f>IFERROR((HLOOKUP($AH249,Target_monthwise!$D$4:$O$20,DTR!I$4,FALSE))*1000,0)</f>
        <v>0</v>
      </c>
      <c r="J249" s="141">
        <f>IFERROR((HLOOKUP($AH249,Target_monthwise!$D$4:$O$20,DTR!J$4,FALSE))*1000,0)</f>
        <v>0</v>
      </c>
      <c r="K249" s="141">
        <f>IFERROR((HLOOKUP($AH249,Target_monthwise!$D$4:$O$20,DTR!K$4,FALSE))*1000,0)</f>
        <v>0</v>
      </c>
      <c r="L249" s="141">
        <f>IFERROR((HLOOKUP($AH249,Target_monthwise!$D$4:$O$20,DTR!L$4,FALSE))*1000,0)</f>
        <v>0</v>
      </c>
      <c r="M249" s="141">
        <f>IFERROR((HLOOKUP($AH249,Target_monthwise!$D$4:$O$20,DTR!M$4,FALSE))*1000,0)</f>
        <v>0</v>
      </c>
      <c r="N249" s="141">
        <f>IFERROR((HLOOKUP($AH249,Target_monthwise!$D$4:$O$20,DTR!N$4,FALSE))*1000,0)</f>
        <v>0</v>
      </c>
      <c r="O249" s="141">
        <f>IFERROR((HLOOKUP($AH249,Target_monthwise!$D$4:$O$20,DTR!O$4,FALSE))*1000,0)</f>
        <v>0</v>
      </c>
      <c r="P249" s="141">
        <f>IFERROR((HLOOKUP($AH249,Target_monthwise!$D$4:$O$20,DTR!P$4,FALSE))*1000,0)</f>
        <v>0</v>
      </c>
      <c r="Q249" s="141">
        <f>IFERROR((HLOOKUP($AH249,Target_monthwise!$D$4:$O$20,DTR!Q$4,FALSE))*1000,0)</f>
        <v>0</v>
      </c>
      <c r="R249" s="167">
        <f>IFERROR((HLOOKUP($AH249,Target_monthwise!$D$4:$O$20,DTR!R$4,FALSE))*1000,0)</f>
        <v>0</v>
      </c>
      <c r="S249" s="147">
        <f>IFERROR((HLOOKUP($AH249,Target_monthwise!$D$24:$O$40,DTR!S$4,FALSE)),0)</f>
        <v>0</v>
      </c>
      <c r="T249" s="147">
        <f>IFERROR((HLOOKUP($AH249,Target_monthwise!$D$24:$O$40,DTR!T$4,FALSE)),0)</f>
        <v>0</v>
      </c>
      <c r="U249" s="147">
        <f>IFERROR((HLOOKUP($AH249,Target_monthwise!$D$24:$O$40,DTR!U$4,FALSE)),0)</f>
        <v>0</v>
      </c>
      <c r="V249" s="147">
        <f>IFERROR((HLOOKUP($AH249,Target_monthwise!$D$24:$O$40,DTR!V$4,FALSE)),0)</f>
        <v>0</v>
      </c>
      <c r="W249" s="147">
        <f>IFERROR((HLOOKUP($AH249,Target_monthwise!$D$24:$O$40,DTR!W$4,FALSE)),0)</f>
        <v>0</v>
      </c>
      <c r="X249" s="147">
        <f>IFERROR((HLOOKUP($AH249,Target_monthwise!$D$24:$O$40,DTR!X$4,FALSE)),0)</f>
        <v>0</v>
      </c>
      <c r="Y249" s="147">
        <f>IFERROR((HLOOKUP($AH249,Target_monthwise!$D$24:$O$40,DTR!Y$4,FALSE)),0)</f>
        <v>0</v>
      </c>
      <c r="Z249" s="147">
        <f>IFERROR((HLOOKUP($AH249,Target_monthwise!$D$24:$O$40,DTR!Z$4,FALSE)),0)</f>
        <v>0</v>
      </c>
      <c r="AA249" s="147">
        <f>IFERROR((HLOOKUP($AH249,Target_monthwise!$D$24:$O$40,DTR!AA$4,FALSE)),0)</f>
        <v>0</v>
      </c>
      <c r="AB249" s="147">
        <f>IFERROR((HLOOKUP($AH249,Target_monthwise!$D$24:$O$40,DTR!AB$4,FALSE)),0)</f>
        <v>0</v>
      </c>
      <c r="AC249" s="147">
        <f>IFERROR((HLOOKUP($AH249,Target_monthwise!$D$24:$O$40,DTR!AC$4,FALSE)),0)</f>
        <v>0</v>
      </c>
      <c r="AD249" s="147">
        <f>IFERROR((HLOOKUP($AH249,Target_monthwise!$D$24:$O$40,DTR!AD$4,FALSE)),0)</f>
        <v>0</v>
      </c>
      <c r="AE249" s="147">
        <f>IFERROR((HLOOKUP($AH249,Target_monthwise!$D$24:$O$40,DTR!AE$4,FALSE)),0)</f>
        <v>0</v>
      </c>
      <c r="AF249" s="147">
        <f>IFERROR((HLOOKUP($AH249,Target_monthwise!$D$24:$O$40,DTR!AF$4,FALSE)),0)</f>
        <v>0</v>
      </c>
      <c r="AG249" s="172">
        <f>IFERROR((HLOOKUP($AH249,Target_monthwise!$D$24:$O$40,DTR!AG$4,FALSE)),0)</f>
        <v>0</v>
      </c>
      <c r="AH249" s="253">
        <f t="shared" si="3"/>
        <v>202211</v>
      </c>
    </row>
    <row r="250" spans="3:34" ht="15.75" hidden="1">
      <c r="C250" s="237">
        <v>44893</v>
      </c>
      <c r="D250" s="238">
        <f>IFERROR((HLOOKUP($AH250,Target_monthwise!$D$4:$O$20,DTR!D$4,FALSE))*1000,0)</f>
        <v>0</v>
      </c>
      <c r="E250" s="238">
        <f>IFERROR((HLOOKUP($AH250,Target_monthwise!$D$4:$O$20,DTR!E$4,FALSE))*1000,0)</f>
        <v>0</v>
      </c>
      <c r="F250" s="238">
        <f>IFERROR((HLOOKUP($AH250,Target_monthwise!$D$4:$O$20,DTR!F$4,FALSE))*1000,0)</f>
        <v>0</v>
      </c>
      <c r="G250" s="238">
        <f>IFERROR((HLOOKUP($AH250,Target_monthwise!$D$4:$O$20,DTR!G$4,FALSE))*1000,0)</f>
        <v>0</v>
      </c>
      <c r="H250" s="238">
        <f>IFERROR((HLOOKUP($AH250,Target_monthwise!$D$4:$O$20,DTR!H$4,FALSE))*1000,0)</f>
        <v>0</v>
      </c>
      <c r="I250" s="238">
        <f>IFERROR((HLOOKUP($AH250,Target_monthwise!$D$4:$O$20,DTR!I$4,FALSE))*1000,0)</f>
        <v>0</v>
      </c>
      <c r="J250" s="238">
        <f>IFERROR((HLOOKUP($AH250,Target_monthwise!$D$4:$O$20,DTR!J$4,FALSE))*1000,0)</f>
        <v>0</v>
      </c>
      <c r="K250" s="238">
        <f>IFERROR((HLOOKUP($AH250,Target_monthwise!$D$4:$O$20,DTR!K$4,FALSE))*1000,0)</f>
        <v>0</v>
      </c>
      <c r="L250" s="238">
        <f>IFERROR((HLOOKUP($AH250,Target_monthwise!$D$4:$O$20,DTR!L$4,FALSE))*1000,0)</f>
        <v>0</v>
      </c>
      <c r="M250" s="238">
        <f>IFERROR((HLOOKUP($AH250,Target_monthwise!$D$4:$O$20,DTR!M$4,FALSE))*1000,0)</f>
        <v>0</v>
      </c>
      <c r="N250" s="238">
        <f>IFERROR((HLOOKUP($AH250,Target_monthwise!$D$4:$O$20,DTR!N$4,FALSE))*1000,0)</f>
        <v>0</v>
      </c>
      <c r="O250" s="238">
        <f>IFERROR((HLOOKUP($AH250,Target_monthwise!$D$4:$O$20,DTR!O$4,FALSE))*1000,0)</f>
        <v>0</v>
      </c>
      <c r="P250" s="238">
        <f>IFERROR((HLOOKUP($AH250,Target_monthwise!$D$4:$O$20,DTR!P$4,FALSE))*1000,0)</f>
        <v>0</v>
      </c>
      <c r="Q250" s="141">
        <f>IFERROR((HLOOKUP($AH250,Target_monthwise!$D$4:$O$20,DTR!Q$4,FALSE))*1000,0)</f>
        <v>0</v>
      </c>
      <c r="R250" s="167">
        <f>IFERROR((HLOOKUP($AH250,Target_monthwise!$D$4:$O$20,DTR!R$4,FALSE))*1000,0)</f>
        <v>0</v>
      </c>
      <c r="S250" s="239">
        <f>IFERROR((HLOOKUP($AH250,Target_monthwise!$D$24:$O$40,DTR!S$4,FALSE)),0)</f>
        <v>0</v>
      </c>
      <c r="T250" s="239">
        <f>IFERROR((HLOOKUP($AH250,Target_monthwise!$D$24:$O$40,DTR!T$4,FALSE)),0)</f>
        <v>0</v>
      </c>
      <c r="U250" s="239">
        <f>IFERROR((HLOOKUP($AH250,Target_monthwise!$D$24:$O$40,DTR!U$4,FALSE)),0)</f>
        <v>0</v>
      </c>
      <c r="V250" s="239">
        <f>IFERROR((HLOOKUP($AH250,Target_monthwise!$D$24:$O$40,DTR!V$4,FALSE)),0)</f>
        <v>0</v>
      </c>
      <c r="W250" s="239">
        <f>IFERROR((HLOOKUP($AH250,Target_monthwise!$D$24:$O$40,DTR!W$4,FALSE)),0)</f>
        <v>0</v>
      </c>
      <c r="X250" s="239">
        <f>IFERROR((HLOOKUP($AH250,Target_monthwise!$D$24:$O$40,DTR!X$4,FALSE)),0)</f>
        <v>0</v>
      </c>
      <c r="Y250" s="239">
        <f>IFERROR((HLOOKUP($AH250,Target_monthwise!$D$24:$O$40,DTR!Y$4,FALSE)),0)</f>
        <v>0</v>
      </c>
      <c r="Z250" s="147">
        <f>IFERROR((HLOOKUP($AH250,Target_monthwise!$D$24:$O$40,DTR!Z$4,FALSE)),0)</f>
        <v>0</v>
      </c>
      <c r="AA250" s="147">
        <f>IFERROR((HLOOKUP($AH250,Target_monthwise!$D$24:$O$40,DTR!AA$4,FALSE)),0)</f>
        <v>0</v>
      </c>
      <c r="AB250" s="147">
        <f>IFERROR((HLOOKUP($AH250,Target_monthwise!$D$24:$O$40,DTR!AB$4,FALSE)),0)</f>
        <v>0</v>
      </c>
      <c r="AC250" s="239">
        <f>IFERROR((HLOOKUP($AH250,Target_monthwise!$D$24:$O$40,DTR!AC$4,FALSE)),0)</f>
        <v>0</v>
      </c>
      <c r="AD250" s="239">
        <f>IFERROR((HLOOKUP($AH250,Target_monthwise!$D$24:$O$40,DTR!AD$4,FALSE)),0)</f>
        <v>0</v>
      </c>
      <c r="AE250" s="239">
        <f>IFERROR((HLOOKUP($AH250,Target_monthwise!$D$24:$O$40,DTR!AE$4,FALSE)),0)</f>
        <v>0</v>
      </c>
      <c r="AF250" s="239">
        <f>IFERROR((HLOOKUP($AH250,Target_monthwise!$D$24:$O$40,DTR!AF$4,FALSE)),0)</f>
        <v>0</v>
      </c>
      <c r="AG250" s="172">
        <f>IFERROR((HLOOKUP($AH250,Target_monthwise!$D$24:$O$40,DTR!AG$4,FALSE)),0)</f>
        <v>0</v>
      </c>
      <c r="AH250" s="253">
        <f t="shared" si="3"/>
        <v>202211</v>
      </c>
    </row>
    <row r="251" spans="3:34" ht="15.75" hidden="1">
      <c r="C251" s="235">
        <v>44894</v>
      </c>
      <c r="D251" s="141">
        <f>IFERROR((HLOOKUP($AH251,Target_monthwise!$D$4:$O$20,DTR!D$4,FALSE))*1000,0)</f>
        <v>0</v>
      </c>
      <c r="E251" s="141">
        <f>IFERROR((HLOOKUP($AH251,Target_monthwise!$D$4:$O$20,DTR!E$4,FALSE))*1000,0)</f>
        <v>0</v>
      </c>
      <c r="F251" s="141">
        <f>IFERROR((HLOOKUP($AH251,Target_monthwise!$D$4:$O$20,DTR!F$4,FALSE))*1000,0)</f>
        <v>0</v>
      </c>
      <c r="G251" s="141">
        <f>IFERROR((HLOOKUP($AH251,Target_monthwise!$D$4:$O$20,DTR!G$4,FALSE))*1000,0)</f>
        <v>0</v>
      </c>
      <c r="H251" s="141">
        <f>IFERROR((HLOOKUP($AH251,Target_monthwise!$D$4:$O$20,DTR!H$4,FALSE))*1000,0)</f>
        <v>0</v>
      </c>
      <c r="I251" s="141">
        <f>IFERROR((HLOOKUP($AH251,Target_monthwise!$D$4:$O$20,DTR!I$4,FALSE))*1000,0)</f>
        <v>0</v>
      </c>
      <c r="J251" s="141">
        <f>IFERROR((HLOOKUP($AH251,Target_monthwise!$D$4:$O$20,DTR!J$4,FALSE))*1000,0)</f>
        <v>0</v>
      </c>
      <c r="K251" s="141">
        <f>IFERROR((HLOOKUP($AH251,Target_monthwise!$D$4:$O$20,DTR!K$4,FALSE))*1000,0)</f>
        <v>0</v>
      </c>
      <c r="L251" s="141">
        <f>IFERROR((HLOOKUP($AH251,Target_monthwise!$D$4:$O$20,DTR!L$4,FALSE))*1000,0)</f>
        <v>0</v>
      </c>
      <c r="M251" s="141">
        <f>IFERROR((HLOOKUP($AH251,Target_monthwise!$D$4:$O$20,DTR!M$4,FALSE))*1000,0)</f>
        <v>0</v>
      </c>
      <c r="N251" s="141">
        <f>IFERROR((HLOOKUP($AH251,Target_monthwise!$D$4:$O$20,DTR!N$4,FALSE))*1000,0)</f>
        <v>0</v>
      </c>
      <c r="O251" s="141">
        <f>IFERROR((HLOOKUP($AH251,Target_monthwise!$D$4:$O$20,DTR!O$4,FALSE))*1000,0)</f>
        <v>0</v>
      </c>
      <c r="P251" s="141">
        <f>IFERROR((HLOOKUP($AH251,Target_monthwise!$D$4:$O$20,DTR!P$4,FALSE))*1000,0)</f>
        <v>0</v>
      </c>
      <c r="Q251" s="141">
        <f>IFERROR((HLOOKUP($AH251,Target_monthwise!$D$4:$O$20,DTR!Q$4,FALSE))*1000,0)</f>
        <v>0</v>
      </c>
      <c r="R251" s="167">
        <f>IFERROR((HLOOKUP($AH251,Target_monthwise!$D$4:$O$20,DTR!R$4,FALSE))*1000,0)</f>
        <v>0</v>
      </c>
      <c r="S251" s="147">
        <f>IFERROR((HLOOKUP($AH251,Target_monthwise!$D$24:$O$40,DTR!S$4,FALSE)),0)</f>
        <v>0</v>
      </c>
      <c r="T251" s="147">
        <f>IFERROR((HLOOKUP($AH251,Target_monthwise!$D$24:$O$40,DTR!T$4,FALSE)),0)</f>
        <v>0</v>
      </c>
      <c r="U251" s="147">
        <f>IFERROR((HLOOKUP($AH251,Target_monthwise!$D$24:$O$40,DTR!U$4,FALSE)),0)</f>
        <v>0</v>
      </c>
      <c r="V251" s="147">
        <f>IFERROR((HLOOKUP($AH251,Target_monthwise!$D$24:$O$40,DTR!V$4,FALSE)),0)</f>
        <v>0</v>
      </c>
      <c r="W251" s="147">
        <f>IFERROR((HLOOKUP($AH251,Target_monthwise!$D$24:$O$40,DTR!W$4,FALSE)),0)</f>
        <v>0</v>
      </c>
      <c r="X251" s="147">
        <f>IFERROR((HLOOKUP($AH251,Target_monthwise!$D$24:$O$40,DTR!X$4,FALSE)),0)</f>
        <v>0</v>
      </c>
      <c r="Y251" s="147">
        <f>IFERROR((HLOOKUP($AH251,Target_monthwise!$D$24:$O$40,DTR!Y$4,FALSE)),0)</f>
        <v>0</v>
      </c>
      <c r="Z251" s="147">
        <f>IFERROR((HLOOKUP($AH251,Target_monthwise!$D$24:$O$40,DTR!Z$4,FALSE)),0)</f>
        <v>0</v>
      </c>
      <c r="AA251" s="147">
        <f>IFERROR((HLOOKUP($AH251,Target_monthwise!$D$24:$O$40,DTR!AA$4,FALSE)),0)</f>
        <v>0</v>
      </c>
      <c r="AB251" s="147">
        <f>IFERROR((HLOOKUP($AH251,Target_monthwise!$D$24:$O$40,DTR!AB$4,FALSE)),0)</f>
        <v>0</v>
      </c>
      <c r="AC251" s="147">
        <f>IFERROR((HLOOKUP($AH251,Target_monthwise!$D$24:$O$40,DTR!AC$4,FALSE)),0)</f>
        <v>0</v>
      </c>
      <c r="AD251" s="147">
        <f>IFERROR((HLOOKUP($AH251,Target_monthwise!$D$24:$O$40,DTR!AD$4,FALSE)),0)</f>
        <v>0</v>
      </c>
      <c r="AE251" s="147">
        <f>IFERROR((HLOOKUP($AH251,Target_monthwise!$D$24:$O$40,DTR!AE$4,FALSE)),0)</f>
        <v>0</v>
      </c>
      <c r="AF251" s="147">
        <f>IFERROR((HLOOKUP($AH251,Target_monthwise!$D$24:$O$40,DTR!AF$4,FALSE)),0)</f>
        <v>0</v>
      </c>
      <c r="AG251" s="172">
        <f>IFERROR((HLOOKUP($AH251,Target_monthwise!$D$24:$O$40,DTR!AG$4,FALSE)),0)</f>
        <v>0</v>
      </c>
      <c r="AH251" s="253">
        <f t="shared" si="3"/>
        <v>202211</v>
      </c>
    </row>
    <row r="252" spans="3:34" ht="15.75" hidden="1">
      <c r="C252" s="237">
        <v>44895</v>
      </c>
      <c r="D252" s="238">
        <f>IFERROR((HLOOKUP($AH252,Target_monthwise!$D$4:$O$20,DTR!D$4,FALSE))*1000,0)</f>
        <v>0</v>
      </c>
      <c r="E252" s="238">
        <f>IFERROR((HLOOKUP($AH252,Target_monthwise!$D$4:$O$20,DTR!E$4,FALSE))*1000,0)</f>
        <v>0</v>
      </c>
      <c r="F252" s="238">
        <f>IFERROR((HLOOKUP($AH252,Target_monthwise!$D$4:$O$20,DTR!F$4,FALSE))*1000,0)</f>
        <v>0</v>
      </c>
      <c r="G252" s="238">
        <f>IFERROR((HLOOKUP($AH252,Target_monthwise!$D$4:$O$20,DTR!G$4,FALSE))*1000,0)</f>
        <v>0</v>
      </c>
      <c r="H252" s="238">
        <f>IFERROR((HLOOKUP($AH252,Target_monthwise!$D$4:$O$20,DTR!H$4,FALSE))*1000,0)</f>
        <v>0</v>
      </c>
      <c r="I252" s="238">
        <f>IFERROR((HLOOKUP($AH252,Target_monthwise!$D$4:$O$20,DTR!I$4,FALSE))*1000,0)</f>
        <v>0</v>
      </c>
      <c r="J252" s="238">
        <f>IFERROR((HLOOKUP($AH252,Target_monthwise!$D$4:$O$20,DTR!J$4,FALSE))*1000,0)</f>
        <v>0</v>
      </c>
      <c r="K252" s="238">
        <f>IFERROR((HLOOKUP($AH252,Target_monthwise!$D$4:$O$20,DTR!K$4,FALSE))*1000,0)</f>
        <v>0</v>
      </c>
      <c r="L252" s="238">
        <f>IFERROR((HLOOKUP($AH252,Target_monthwise!$D$4:$O$20,DTR!L$4,FALSE))*1000,0)</f>
        <v>0</v>
      </c>
      <c r="M252" s="238">
        <f>IFERROR((HLOOKUP($AH252,Target_monthwise!$D$4:$O$20,DTR!M$4,FALSE))*1000,0)</f>
        <v>0</v>
      </c>
      <c r="N252" s="238">
        <f>IFERROR((HLOOKUP($AH252,Target_monthwise!$D$4:$O$20,DTR!N$4,FALSE))*1000,0)</f>
        <v>0</v>
      </c>
      <c r="O252" s="238">
        <f>IFERROR((HLOOKUP($AH252,Target_monthwise!$D$4:$O$20,DTR!O$4,FALSE))*1000,0)</f>
        <v>0</v>
      </c>
      <c r="P252" s="238">
        <f>IFERROR((HLOOKUP($AH252,Target_monthwise!$D$4:$O$20,DTR!P$4,FALSE))*1000,0)</f>
        <v>0</v>
      </c>
      <c r="Q252" s="141">
        <f>IFERROR((HLOOKUP($AH252,Target_monthwise!$D$4:$O$20,DTR!Q$4,FALSE))*1000,0)</f>
        <v>0</v>
      </c>
      <c r="R252" s="167">
        <f>IFERROR((HLOOKUP($AH252,Target_monthwise!$D$4:$O$20,DTR!R$4,FALSE))*1000,0)</f>
        <v>0</v>
      </c>
      <c r="S252" s="239">
        <f>IFERROR((HLOOKUP($AH252,Target_monthwise!$D$24:$O$40,DTR!S$4,FALSE)),0)</f>
        <v>0</v>
      </c>
      <c r="T252" s="239">
        <f>IFERROR((HLOOKUP($AH252,Target_monthwise!$D$24:$O$40,DTR!T$4,FALSE)),0)</f>
        <v>0</v>
      </c>
      <c r="U252" s="239">
        <f>IFERROR((HLOOKUP($AH252,Target_monthwise!$D$24:$O$40,DTR!U$4,FALSE)),0)</f>
        <v>0</v>
      </c>
      <c r="V252" s="239">
        <f>IFERROR((HLOOKUP($AH252,Target_monthwise!$D$24:$O$40,DTR!V$4,FALSE)),0)</f>
        <v>0</v>
      </c>
      <c r="W252" s="239">
        <f>IFERROR((HLOOKUP($AH252,Target_monthwise!$D$24:$O$40,DTR!W$4,FALSE)),0)</f>
        <v>0</v>
      </c>
      <c r="X252" s="239">
        <f>IFERROR((HLOOKUP($AH252,Target_monthwise!$D$24:$O$40,DTR!X$4,FALSE)),0)</f>
        <v>0</v>
      </c>
      <c r="Y252" s="239">
        <f>IFERROR((HLOOKUP($AH252,Target_monthwise!$D$24:$O$40,DTR!Y$4,FALSE)),0)</f>
        <v>0</v>
      </c>
      <c r="Z252" s="147">
        <f>IFERROR((HLOOKUP($AH252,Target_monthwise!$D$24:$O$40,DTR!Z$4,FALSE)),0)</f>
        <v>0</v>
      </c>
      <c r="AA252" s="147">
        <f>IFERROR((HLOOKUP($AH252,Target_monthwise!$D$24:$O$40,DTR!AA$4,FALSE)),0)</f>
        <v>0</v>
      </c>
      <c r="AB252" s="147">
        <f>IFERROR((HLOOKUP($AH252,Target_monthwise!$D$24:$O$40,DTR!AB$4,FALSE)),0)</f>
        <v>0</v>
      </c>
      <c r="AC252" s="239">
        <f>IFERROR((HLOOKUP($AH252,Target_monthwise!$D$24:$O$40,DTR!AC$4,FALSE)),0)</f>
        <v>0</v>
      </c>
      <c r="AD252" s="239">
        <f>IFERROR((HLOOKUP($AH252,Target_monthwise!$D$24:$O$40,DTR!AD$4,FALSE)),0)</f>
        <v>0</v>
      </c>
      <c r="AE252" s="239">
        <f>IFERROR((HLOOKUP($AH252,Target_monthwise!$D$24:$O$40,DTR!AE$4,FALSE)),0)</f>
        <v>0</v>
      </c>
      <c r="AF252" s="239">
        <f>IFERROR((HLOOKUP($AH252,Target_monthwise!$D$24:$O$40,DTR!AF$4,FALSE)),0)</f>
        <v>0</v>
      </c>
      <c r="AG252" s="172">
        <f>IFERROR((HLOOKUP($AH252,Target_monthwise!$D$24:$O$40,DTR!AG$4,FALSE)),0)</f>
        <v>0</v>
      </c>
      <c r="AH252" s="253">
        <f t="shared" si="3"/>
        <v>202211</v>
      </c>
    </row>
    <row r="253" spans="3:34" ht="15.75" hidden="1">
      <c r="C253" s="235">
        <v>44896</v>
      </c>
      <c r="D253" s="141">
        <f>IFERROR((HLOOKUP($AH253,Target_monthwise!$D$4:$O$20,DTR!D$4,FALSE))*1000,0)</f>
        <v>0</v>
      </c>
      <c r="E253" s="141">
        <f>IFERROR((HLOOKUP($AH253,Target_monthwise!$D$4:$O$20,DTR!E$4,FALSE))*1000,0)</f>
        <v>0</v>
      </c>
      <c r="F253" s="141">
        <f>IFERROR((HLOOKUP($AH253,Target_monthwise!$D$4:$O$20,DTR!F$4,FALSE))*1000,0)</f>
        <v>0</v>
      </c>
      <c r="G253" s="141">
        <f>IFERROR((HLOOKUP($AH253,Target_monthwise!$D$4:$O$20,DTR!G$4,FALSE))*1000,0)</f>
        <v>0</v>
      </c>
      <c r="H253" s="141">
        <f>IFERROR((HLOOKUP($AH253,Target_monthwise!$D$4:$O$20,DTR!H$4,FALSE))*1000,0)</f>
        <v>0</v>
      </c>
      <c r="I253" s="141">
        <f>IFERROR((HLOOKUP($AH253,Target_monthwise!$D$4:$O$20,DTR!I$4,FALSE))*1000,0)</f>
        <v>0</v>
      </c>
      <c r="J253" s="141">
        <f>IFERROR((HLOOKUP($AH253,Target_monthwise!$D$4:$O$20,DTR!J$4,FALSE))*1000,0)</f>
        <v>0</v>
      </c>
      <c r="K253" s="141">
        <f>IFERROR((HLOOKUP($AH253,Target_monthwise!$D$4:$O$20,DTR!K$4,FALSE))*1000,0)</f>
        <v>0</v>
      </c>
      <c r="L253" s="141">
        <f>IFERROR((HLOOKUP($AH253,Target_monthwise!$D$4:$O$20,DTR!L$4,FALSE))*1000,0)</f>
        <v>0</v>
      </c>
      <c r="M253" s="141">
        <f>IFERROR((HLOOKUP($AH253,Target_monthwise!$D$4:$O$20,DTR!M$4,FALSE))*1000,0)</f>
        <v>0</v>
      </c>
      <c r="N253" s="141">
        <f>IFERROR((HLOOKUP($AH253,Target_monthwise!$D$4:$O$20,DTR!N$4,FALSE))*1000,0)</f>
        <v>0</v>
      </c>
      <c r="O253" s="141">
        <f>IFERROR((HLOOKUP($AH253,Target_monthwise!$D$4:$O$20,DTR!O$4,FALSE))*1000,0)</f>
        <v>0</v>
      </c>
      <c r="P253" s="141">
        <f>IFERROR((HLOOKUP($AH253,Target_monthwise!$D$4:$O$20,DTR!P$4,FALSE))*1000,0)</f>
        <v>0</v>
      </c>
      <c r="Q253" s="141">
        <f>IFERROR((HLOOKUP($AH253,Target_monthwise!$D$4:$O$20,DTR!Q$4,FALSE))*1000,0)</f>
        <v>0</v>
      </c>
      <c r="R253" s="167">
        <f>IFERROR((HLOOKUP($AH253,Target_monthwise!$D$4:$O$20,DTR!R$4,FALSE))*1000,0)</f>
        <v>0</v>
      </c>
      <c r="S253" s="147">
        <f>IFERROR((HLOOKUP($AH253,Target_monthwise!$D$24:$O$40,DTR!S$4,FALSE)),0)</f>
        <v>0</v>
      </c>
      <c r="T253" s="147">
        <f>IFERROR((HLOOKUP($AH253,Target_monthwise!$D$24:$O$40,DTR!T$4,FALSE)),0)</f>
        <v>0</v>
      </c>
      <c r="U253" s="147">
        <f>IFERROR((HLOOKUP($AH253,Target_monthwise!$D$24:$O$40,DTR!U$4,FALSE)),0)</f>
        <v>0</v>
      </c>
      <c r="V253" s="147">
        <f>IFERROR((HLOOKUP($AH253,Target_monthwise!$D$24:$O$40,DTR!V$4,FALSE)),0)</f>
        <v>0</v>
      </c>
      <c r="W253" s="147">
        <f>IFERROR((HLOOKUP($AH253,Target_monthwise!$D$24:$O$40,DTR!W$4,FALSE)),0)</f>
        <v>0</v>
      </c>
      <c r="X253" s="147">
        <f>IFERROR((HLOOKUP($AH253,Target_monthwise!$D$24:$O$40,DTR!X$4,FALSE)),0)</f>
        <v>0</v>
      </c>
      <c r="Y253" s="147">
        <f>IFERROR((HLOOKUP($AH253,Target_monthwise!$D$24:$O$40,DTR!Y$4,FALSE)),0)</f>
        <v>0</v>
      </c>
      <c r="Z253" s="147">
        <f>IFERROR((HLOOKUP($AH253,Target_monthwise!$D$24:$O$40,DTR!Z$4,FALSE)),0)</f>
        <v>0</v>
      </c>
      <c r="AA253" s="147">
        <f>IFERROR((HLOOKUP($AH253,Target_monthwise!$D$24:$O$40,DTR!AA$4,FALSE)),0)</f>
        <v>0</v>
      </c>
      <c r="AB253" s="147">
        <f>IFERROR((HLOOKUP($AH253,Target_monthwise!$D$24:$O$40,DTR!AB$4,FALSE)),0)</f>
        <v>0</v>
      </c>
      <c r="AC253" s="147">
        <f>IFERROR((HLOOKUP($AH253,Target_monthwise!$D$24:$O$40,DTR!AC$4,FALSE)),0)</f>
        <v>0</v>
      </c>
      <c r="AD253" s="147">
        <f>IFERROR((HLOOKUP($AH253,Target_monthwise!$D$24:$O$40,DTR!AD$4,FALSE)),0)</f>
        <v>0</v>
      </c>
      <c r="AE253" s="147">
        <f>IFERROR((HLOOKUP($AH253,Target_monthwise!$D$24:$O$40,DTR!AE$4,FALSE)),0)</f>
        <v>0</v>
      </c>
      <c r="AF253" s="147">
        <f>IFERROR((HLOOKUP($AH253,Target_monthwise!$D$24:$O$40,DTR!AF$4,FALSE)),0)</f>
        <v>0</v>
      </c>
      <c r="AG253" s="172">
        <f>IFERROR((HLOOKUP($AH253,Target_monthwise!$D$24:$O$40,DTR!AG$4,FALSE)),0)</f>
        <v>0</v>
      </c>
      <c r="AH253" s="253">
        <f t="shared" si="3"/>
        <v>202212</v>
      </c>
    </row>
    <row r="254" spans="3:34" ht="15.75" hidden="1">
      <c r="C254" s="237">
        <v>44897</v>
      </c>
      <c r="D254" s="238">
        <f>IFERROR((HLOOKUP($AH254,Target_monthwise!$D$4:$O$20,DTR!D$4,FALSE))*1000,0)</f>
        <v>0</v>
      </c>
      <c r="E254" s="238">
        <f>IFERROR((HLOOKUP($AH254,Target_monthwise!$D$4:$O$20,DTR!E$4,FALSE))*1000,0)</f>
        <v>0</v>
      </c>
      <c r="F254" s="238">
        <f>IFERROR((HLOOKUP($AH254,Target_monthwise!$D$4:$O$20,DTR!F$4,FALSE))*1000,0)</f>
        <v>0</v>
      </c>
      <c r="G254" s="238">
        <f>IFERROR((HLOOKUP($AH254,Target_monthwise!$D$4:$O$20,DTR!G$4,FALSE))*1000,0)</f>
        <v>0</v>
      </c>
      <c r="H254" s="238">
        <f>IFERROR((HLOOKUP($AH254,Target_monthwise!$D$4:$O$20,DTR!H$4,FALSE))*1000,0)</f>
        <v>0</v>
      </c>
      <c r="I254" s="238">
        <f>IFERROR((HLOOKUP($AH254,Target_monthwise!$D$4:$O$20,DTR!I$4,FALSE))*1000,0)</f>
        <v>0</v>
      </c>
      <c r="J254" s="238">
        <f>IFERROR((HLOOKUP($AH254,Target_monthwise!$D$4:$O$20,DTR!J$4,FALSE))*1000,0)</f>
        <v>0</v>
      </c>
      <c r="K254" s="238">
        <f>IFERROR((HLOOKUP($AH254,Target_monthwise!$D$4:$O$20,DTR!K$4,FALSE))*1000,0)</f>
        <v>0</v>
      </c>
      <c r="L254" s="238">
        <f>IFERROR((HLOOKUP($AH254,Target_monthwise!$D$4:$O$20,DTR!L$4,FALSE))*1000,0)</f>
        <v>0</v>
      </c>
      <c r="M254" s="238">
        <f>IFERROR((HLOOKUP($AH254,Target_monthwise!$D$4:$O$20,DTR!M$4,FALSE))*1000,0)</f>
        <v>0</v>
      </c>
      <c r="N254" s="238">
        <f>IFERROR((HLOOKUP($AH254,Target_monthwise!$D$4:$O$20,DTR!N$4,FALSE))*1000,0)</f>
        <v>0</v>
      </c>
      <c r="O254" s="238">
        <f>IFERROR((HLOOKUP($AH254,Target_monthwise!$D$4:$O$20,DTR!O$4,FALSE))*1000,0)</f>
        <v>0</v>
      </c>
      <c r="P254" s="238">
        <f>IFERROR((HLOOKUP($AH254,Target_monthwise!$D$4:$O$20,DTR!P$4,FALSE))*1000,0)</f>
        <v>0</v>
      </c>
      <c r="Q254" s="141">
        <f>IFERROR((HLOOKUP($AH254,Target_monthwise!$D$4:$O$20,DTR!Q$4,FALSE))*1000,0)</f>
        <v>0</v>
      </c>
      <c r="R254" s="167">
        <f>IFERROR((HLOOKUP($AH254,Target_monthwise!$D$4:$O$20,DTR!R$4,FALSE))*1000,0)</f>
        <v>0</v>
      </c>
      <c r="S254" s="239">
        <f>IFERROR((HLOOKUP($AH254,Target_monthwise!$D$24:$O$40,DTR!S$4,FALSE)),0)</f>
        <v>0</v>
      </c>
      <c r="T254" s="239">
        <f>IFERROR((HLOOKUP($AH254,Target_monthwise!$D$24:$O$40,DTR!T$4,FALSE)),0)</f>
        <v>0</v>
      </c>
      <c r="U254" s="239">
        <f>IFERROR((HLOOKUP($AH254,Target_monthwise!$D$24:$O$40,DTR!U$4,FALSE)),0)</f>
        <v>0</v>
      </c>
      <c r="V254" s="239">
        <f>IFERROR((HLOOKUP($AH254,Target_monthwise!$D$24:$O$40,DTR!V$4,FALSE)),0)</f>
        <v>0</v>
      </c>
      <c r="W254" s="239">
        <f>IFERROR((HLOOKUP($AH254,Target_monthwise!$D$24:$O$40,DTR!W$4,FALSE)),0)</f>
        <v>0</v>
      </c>
      <c r="X254" s="239">
        <f>IFERROR((HLOOKUP($AH254,Target_monthwise!$D$24:$O$40,DTR!X$4,FALSE)),0)</f>
        <v>0</v>
      </c>
      <c r="Y254" s="239">
        <f>IFERROR((HLOOKUP($AH254,Target_monthwise!$D$24:$O$40,DTR!Y$4,FALSE)),0)</f>
        <v>0</v>
      </c>
      <c r="Z254" s="147">
        <f>IFERROR((HLOOKUP($AH254,Target_monthwise!$D$24:$O$40,DTR!Z$4,FALSE)),0)</f>
        <v>0</v>
      </c>
      <c r="AA254" s="147">
        <f>IFERROR((HLOOKUP($AH254,Target_monthwise!$D$24:$O$40,DTR!AA$4,FALSE)),0)</f>
        <v>0</v>
      </c>
      <c r="AB254" s="147">
        <f>IFERROR((HLOOKUP($AH254,Target_monthwise!$D$24:$O$40,DTR!AB$4,FALSE)),0)</f>
        <v>0</v>
      </c>
      <c r="AC254" s="239">
        <f>IFERROR((HLOOKUP($AH254,Target_monthwise!$D$24:$O$40,DTR!AC$4,FALSE)),0)</f>
        <v>0</v>
      </c>
      <c r="AD254" s="239">
        <f>IFERROR((HLOOKUP($AH254,Target_monthwise!$D$24:$O$40,DTR!AD$4,FALSE)),0)</f>
        <v>0</v>
      </c>
      <c r="AE254" s="239">
        <f>IFERROR((HLOOKUP($AH254,Target_monthwise!$D$24:$O$40,DTR!AE$4,FALSE)),0)</f>
        <v>0</v>
      </c>
      <c r="AF254" s="239">
        <f>IFERROR((HLOOKUP($AH254,Target_monthwise!$D$24:$O$40,DTR!AF$4,FALSE)),0)</f>
        <v>0</v>
      </c>
      <c r="AG254" s="172">
        <f>IFERROR((HLOOKUP($AH254,Target_monthwise!$D$24:$O$40,DTR!AG$4,FALSE)),0)</f>
        <v>0</v>
      </c>
      <c r="AH254" s="253">
        <f t="shared" si="3"/>
        <v>202212</v>
      </c>
    </row>
    <row r="255" spans="3:34" ht="15.75" hidden="1">
      <c r="C255" s="235">
        <v>44898</v>
      </c>
      <c r="D255" s="141">
        <f>IFERROR((HLOOKUP($AH255,Target_monthwise!$D$4:$O$20,DTR!D$4,FALSE))*1000,0)</f>
        <v>0</v>
      </c>
      <c r="E255" s="141">
        <f>IFERROR((HLOOKUP($AH255,Target_monthwise!$D$4:$O$20,DTR!E$4,FALSE))*1000,0)</f>
        <v>0</v>
      </c>
      <c r="F255" s="141">
        <f>IFERROR((HLOOKUP($AH255,Target_monthwise!$D$4:$O$20,DTR!F$4,FALSE))*1000,0)</f>
        <v>0</v>
      </c>
      <c r="G255" s="141">
        <f>IFERROR((HLOOKUP($AH255,Target_monthwise!$D$4:$O$20,DTR!G$4,FALSE))*1000,0)</f>
        <v>0</v>
      </c>
      <c r="H255" s="141">
        <f>IFERROR((HLOOKUP($AH255,Target_monthwise!$D$4:$O$20,DTR!H$4,FALSE))*1000,0)</f>
        <v>0</v>
      </c>
      <c r="I255" s="141">
        <f>IFERROR((HLOOKUP($AH255,Target_monthwise!$D$4:$O$20,DTR!I$4,FALSE))*1000,0)</f>
        <v>0</v>
      </c>
      <c r="J255" s="141">
        <f>IFERROR((HLOOKUP($AH255,Target_monthwise!$D$4:$O$20,DTR!J$4,FALSE))*1000,0)</f>
        <v>0</v>
      </c>
      <c r="K255" s="141">
        <f>IFERROR((HLOOKUP($AH255,Target_monthwise!$D$4:$O$20,DTR!K$4,FALSE))*1000,0)</f>
        <v>0</v>
      </c>
      <c r="L255" s="141">
        <f>IFERROR((HLOOKUP($AH255,Target_monthwise!$D$4:$O$20,DTR!L$4,FALSE))*1000,0)</f>
        <v>0</v>
      </c>
      <c r="M255" s="141">
        <f>IFERROR((HLOOKUP($AH255,Target_monthwise!$D$4:$O$20,DTR!M$4,FALSE))*1000,0)</f>
        <v>0</v>
      </c>
      <c r="N255" s="141">
        <f>IFERROR((HLOOKUP($AH255,Target_monthwise!$D$4:$O$20,DTR!N$4,FALSE))*1000,0)</f>
        <v>0</v>
      </c>
      <c r="O255" s="141">
        <f>IFERROR((HLOOKUP($AH255,Target_monthwise!$D$4:$O$20,DTR!O$4,FALSE))*1000,0)</f>
        <v>0</v>
      </c>
      <c r="P255" s="141">
        <f>IFERROR((HLOOKUP($AH255,Target_monthwise!$D$4:$O$20,DTR!P$4,FALSE))*1000,0)</f>
        <v>0</v>
      </c>
      <c r="Q255" s="141">
        <f>IFERROR((HLOOKUP($AH255,Target_monthwise!$D$4:$O$20,DTR!Q$4,FALSE))*1000,0)</f>
        <v>0</v>
      </c>
      <c r="R255" s="167">
        <f>IFERROR((HLOOKUP($AH255,Target_monthwise!$D$4:$O$20,DTR!R$4,FALSE))*1000,0)</f>
        <v>0</v>
      </c>
      <c r="S255" s="147">
        <f>IFERROR((HLOOKUP($AH255,Target_monthwise!$D$24:$O$40,DTR!S$4,FALSE)),0)</f>
        <v>0</v>
      </c>
      <c r="T255" s="147">
        <f>IFERROR((HLOOKUP($AH255,Target_monthwise!$D$24:$O$40,DTR!T$4,FALSE)),0)</f>
        <v>0</v>
      </c>
      <c r="U255" s="147">
        <f>IFERROR((HLOOKUP($AH255,Target_monthwise!$D$24:$O$40,DTR!U$4,FALSE)),0)</f>
        <v>0</v>
      </c>
      <c r="V255" s="147">
        <f>IFERROR((HLOOKUP($AH255,Target_monthwise!$D$24:$O$40,DTR!V$4,FALSE)),0)</f>
        <v>0</v>
      </c>
      <c r="W255" s="147">
        <f>IFERROR((HLOOKUP($AH255,Target_monthwise!$D$24:$O$40,DTR!W$4,FALSE)),0)</f>
        <v>0</v>
      </c>
      <c r="X255" s="147">
        <f>IFERROR((HLOOKUP($AH255,Target_monthwise!$D$24:$O$40,DTR!X$4,FALSE)),0)</f>
        <v>0</v>
      </c>
      <c r="Y255" s="147">
        <f>IFERROR((HLOOKUP($AH255,Target_monthwise!$D$24:$O$40,DTR!Y$4,FALSE)),0)</f>
        <v>0</v>
      </c>
      <c r="Z255" s="147">
        <f>IFERROR((HLOOKUP($AH255,Target_monthwise!$D$24:$O$40,DTR!Z$4,FALSE)),0)</f>
        <v>0</v>
      </c>
      <c r="AA255" s="147">
        <f>IFERROR((HLOOKUP($AH255,Target_monthwise!$D$24:$O$40,DTR!AA$4,FALSE)),0)</f>
        <v>0</v>
      </c>
      <c r="AB255" s="147">
        <f>IFERROR((HLOOKUP($AH255,Target_monthwise!$D$24:$O$40,DTR!AB$4,FALSE)),0)</f>
        <v>0</v>
      </c>
      <c r="AC255" s="147">
        <f>IFERROR((HLOOKUP($AH255,Target_monthwise!$D$24:$O$40,DTR!AC$4,FALSE)),0)</f>
        <v>0</v>
      </c>
      <c r="AD255" s="147">
        <f>IFERROR((HLOOKUP($AH255,Target_monthwise!$D$24:$O$40,DTR!AD$4,FALSE)),0)</f>
        <v>0</v>
      </c>
      <c r="AE255" s="147">
        <f>IFERROR((HLOOKUP($AH255,Target_monthwise!$D$24:$O$40,DTR!AE$4,FALSE)),0)</f>
        <v>0</v>
      </c>
      <c r="AF255" s="147">
        <f>IFERROR((HLOOKUP($AH255,Target_monthwise!$D$24:$O$40,DTR!AF$4,FALSE)),0)</f>
        <v>0</v>
      </c>
      <c r="AG255" s="172">
        <f>IFERROR((HLOOKUP($AH255,Target_monthwise!$D$24:$O$40,DTR!AG$4,FALSE)),0)</f>
        <v>0</v>
      </c>
      <c r="AH255" s="253">
        <f t="shared" si="3"/>
        <v>202212</v>
      </c>
    </row>
    <row r="256" spans="3:34" ht="15.75" hidden="1">
      <c r="C256" s="237">
        <v>44899</v>
      </c>
      <c r="D256" s="238">
        <f>IFERROR((HLOOKUP($AH256,Target_monthwise!$D$4:$O$20,DTR!D$4,FALSE))*1000,0)</f>
        <v>0</v>
      </c>
      <c r="E256" s="238">
        <f>IFERROR((HLOOKUP($AH256,Target_monthwise!$D$4:$O$20,DTR!E$4,FALSE))*1000,0)</f>
        <v>0</v>
      </c>
      <c r="F256" s="238">
        <f>IFERROR((HLOOKUP($AH256,Target_monthwise!$D$4:$O$20,DTR!F$4,FALSE))*1000,0)</f>
        <v>0</v>
      </c>
      <c r="G256" s="238">
        <f>IFERROR((HLOOKUP($AH256,Target_monthwise!$D$4:$O$20,DTR!G$4,FALSE))*1000,0)</f>
        <v>0</v>
      </c>
      <c r="H256" s="238">
        <f>IFERROR((HLOOKUP($AH256,Target_monthwise!$D$4:$O$20,DTR!H$4,FALSE))*1000,0)</f>
        <v>0</v>
      </c>
      <c r="I256" s="238">
        <f>IFERROR((HLOOKUP($AH256,Target_monthwise!$D$4:$O$20,DTR!I$4,FALSE))*1000,0)</f>
        <v>0</v>
      </c>
      <c r="J256" s="238">
        <f>IFERROR((HLOOKUP($AH256,Target_monthwise!$D$4:$O$20,DTR!J$4,FALSE))*1000,0)</f>
        <v>0</v>
      </c>
      <c r="K256" s="238">
        <f>IFERROR((HLOOKUP($AH256,Target_monthwise!$D$4:$O$20,DTR!K$4,FALSE))*1000,0)</f>
        <v>0</v>
      </c>
      <c r="L256" s="238">
        <f>IFERROR((HLOOKUP($AH256,Target_monthwise!$D$4:$O$20,DTR!L$4,FALSE))*1000,0)</f>
        <v>0</v>
      </c>
      <c r="M256" s="238">
        <f>IFERROR((HLOOKUP($AH256,Target_monthwise!$D$4:$O$20,DTR!M$4,FALSE))*1000,0)</f>
        <v>0</v>
      </c>
      <c r="N256" s="238">
        <f>IFERROR((HLOOKUP($AH256,Target_monthwise!$D$4:$O$20,DTR!N$4,FALSE))*1000,0)</f>
        <v>0</v>
      </c>
      <c r="O256" s="238">
        <f>IFERROR((HLOOKUP($AH256,Target_monthwise!$D$4:$O$20,DTR!O$4,FALSE))*1000,0)</f>
        <v>0</v>
      </c>
      <c r="P256" s="238">
        <f>IFERROR((HLOOKUP($AH256,Target_monthwise!$D$4:$O$20,DTR!P$4,FALSE))*1000,0)</f>
        <v>0</v>
      </c>
      <c r="Q256" s="141">
        <f>IFERROR((HLOOKUP($AH256,Target_monthwise!$D$4:$O$20,DTR!Q$4,FALSE))*1000,0)</f>
        <v>0</v>
      </c>
      <c r="R256" s="167">
        <f>IFERROR((HLOOKUP($AH256,Target_monthwise!$D$4:$O$20,DTR!R$4,FALSE))*1000,0)</f>
        <v>0</v>
      </c>
      <c r="S256" s="239">
        <f>IFERROR((HLOOKUP($AH256,Target_monthwise!$D$24:$O$40,DTR!S$4,FALSE)),0)</f>
        <v>0</v>
      </c>
      <c r="T256" s="239">
        <f>IFERROR((HLOOKUP($AH256,Target_monthwise!$D$24:$O$40,DTR!T$4,FALSE)),0)</f>
        <v>0</v>
      </c>
      <c r="U256" s="239">
        <f>IFERROR((HLOOKUP($AH256,Target_monthwise!$D$24:$O$40,DTR!U$4,FALSE)),0)</f>
        <v>0</v>
      </c>
      <c r="V256" s="239">
        <f>IFERROR((HLOOKUP($AH256,Target_monthwise!$D$24:$O$40,DTR!V$4,FALSE)),0)</f>
        <v>0</v>
      </c>
      <c r="W256" s="239">
        <f>IFERROR((HLOOKUP($AH256,Target_monthwise!$D$24:$O$40,DTR!W$4,FALSE)),0)</f>
        <v>0</v>
      </c>
      <c r="X256" s="239">
        <f>IFERROR((HLOOKUP($AH256,Target_monthwise!$D$24:$O$40,DTR!X$4,FALSE)),0)</f>
        <v>0</v>
      </c>
      <c r="Y256" s="239">
        <f>IFERROR((HLOOKUP($AH256,Target_monthwise!$D$24:$O$40,DTR!Y$4,FALSE)),0)</f>
        <v>0</v>
      </c>
      <c r="Z256" s="147">
        <f>IFERROR((HLOOKUP($AH256,Target_monthwise!$D$24:$O$40,DTR!Z$4,FALSE)),0)</f>
        <v>0</v>
      </c>
      <c r="AA256" s="147">
        <f>IFERROR((HLOOKUP($AH256,Target_monthwise!$D$24:$O$40,DTR!AA$4,FALSE)),0)</f>
        <v>0</v>
      </c>
      <c r="AB256" s="147">
        <f>IFERROR((HLOOKUP($AH256,Target_monthwise!$D$24:$O$40,DTR!AB$4,FALSE)),0)</f>
        <v>0</v>
      </c>
      <c r="AC256" s="239">
        <f>IFERROR((HLOOKUP($AH256,Target_monthwise!$D$24:$O$40,DTR!AC$4,FALSE)),0)</f>
        <v>0</v>
      </c>
      <c r="AD256" s="239">
        <f>IFERROR((HLOOKUP($AH256,Target_monthwise!$D$24:$O$40,DTR!AD$4,FALSE)),0)</f>
        <v>0</v>
      </c>
      <c r="AE256" s="239">
        <f>IFERROR((HLOOKUP($AH256,Target_monthwise!$D$24:$O$40,DTR!AE$4,FALSE)),0)</f>
        <v>0</v>
      </c>
      <c r="AF256" s="239">
        <f>IFERROR((HLOOKUP($AH256,Target_monthwise!$D$24:$O$40,DTR!AF$4,FALSE)),0)</f>
        <v>0</v>
      </c>
      <c r="AG256" s="172">
        <f>IFERROR((HLOOKUP($AH256,Target_monthwise!$D$24:$O$40,DTR!AG$4,FALSE)),0)</f>
        <v>0</v>
      </c>
      <c r="AH256" s="253">
        <f t="shared" si="3"/>
        <v>202212</v>
      </c>
    </row>
    <row r="257" spans="3:34" ht="15.75" hidden="1">
      <c r="C257" s="235">
        <v>44900</v>
      </c>
      <c r="D257" s="141">
        <f>IFERROR((HLOOKUP($AH257,Target_monthwise!$D$4:$O$20,DTR!D$4,FALSE))*1000,0)</f>
        <v>0</v>
      </c>
      <c r="E257" s="141">
        <f>IFERROR((HLOOKUP($AH257,Target_monthwise!$D$4:$O$20,DTR!E$4,FALSE))*1000,0)</f>
        <v>0</v>
      </c>
      <c r="F257" s="141">
        <f>IFERROR((HLOOKUP($AH257,Target_monthwise!$D$4:$O$20,DTR!F$4,FALSE))*1000,0)</f>
        <v>0</v>
      </c>
      <c r="G257" s="141">
        <f>IFERROR((HLOOKUP($AH257,Target_monthwise!$D$4:$O$20,DTR!G$4,FALSE))*1000,0)</f>
        <v>0</v>
      </c>
      <c r="H257" s="141">
        <f>IFERROR((HLOOKUP($AH257,Target_monthwise!$D$4:$O$20,DTR!H$4,FALSE))*1000,0)</f>
        <v>0</v>
      </c>
      <c r="I257" s="141">
        <f>IFERROR((HLOOKUP($AH257,Target_monthwise!$D$4:$O$20,DTR!I$4,FALSE))*1000,0)</f>
        <v>0</v>
      </c>
      <c r="J257" s="141">
        <f>IFERROR((HLOOKUP($AH257,Target_monthwise!$D$4:$O$20,DTR!J$4,FALSE))*1000,0)</f>
        <v>0</v>
      </c>
      <c r="K257" s="141">
        <f>IFERROR((HLOOKUP($AH257,Target_monthwise!$D$4:$O$20,DTR!K$4,FALSE))*1000,0)</f>
        <v>0</v>
      </c>
      <c r="L257" s="141">
        <f>IFERROR((HLOOKUP($AH257,Target_monthwise!$D$4:$O$20,DTR!L$4,FALSE))*1000,0)</f>
        <v>0</v>
      </c>
      <c r="M257" s="141">
        <f>IFERROR((HLOOKUP($AH257,Target_monthwise!$D$4:$O$20,DTR!M$4,FALSE))*1000,0)</f>
        <v>0</v>
      </c>
      <c r="N257" s="141">
        <f>IFERROR((HLOOKUP($AH257,Target_monthwise!$D$4:$O$20,DTR!N$4,FALSE))*1000,0)</f>
        <v>0</v>
      </c>
      <c r="O257" s="141">
        <f>IFERROR((HLOOKUP($AH257,Target_monthwise!$D$4:$O$20,DTR!O$4,FALSE))*1000,0)</f>
        <v>0</v>
      </c>
      <c r="P257" s="141">
        <f>IFERROR((HLOOKUP($AH257,Target_monthwise!$D$4:$O$20,DTR!P$4,FALSE))*1000,0)</f>
        <v>0</v>
      </c>
      <c r="Q257" s="141">
        <f>IFERROR((HLOOKUP($AH257,Target_monthwise!$D$4:$O$20,DTR!Q$4,FALSE))*1000,0)</f>
        <v>0</v>
      </c>
      <c r="R257" s="167">
        <f>IFERROR((HLOOKUP($AH257,Target_monthwise!$D$4:$O$20,DTR!R$4,FALSE))*1000,0)</f>
        <v>0</v>
      </c>
      <c r="S257" s="147">
        <f>IFERROR((HLOOKUP($AH257,Target_monthwise!$D$24:$O$40,DTR!S$4,FALSE)),0)</f>
        <v>0</v>
      </c>
      <c r="T257" s="147">
        <f>IFERROR((HLOOKUP($AH257,Target_monthwise!$D$24:$O$40,DTR!T$4,FALSE)),0)</f>
        <v>0</v>
      </c>
      <c r="U257" s="147">
        <f>IFERROR((HLOOKUP($AH257,Target_monthwise!$D$24:$O$40,DTR!U$4,FALSE)),0)</f>
        <v>0</v>
      </c>
      <c r="V257" s="147">
        <f>IFERROR((HLOOKUP($AH257,Target_monthwise!$D$24:$O$40,DTR!V$4,FALSE)),0)</f>
        <v>0</v>
      </c>
      <c r="W257" s="147">
        <f>IFERROR((HLOOKUP($AH257,Target_monthwise!$D$24:$O$40,DTR!W$4,FALSE)),0)</f>
        <v>0</v>
      </c>
      <c r="X257" s="147">
        <f>IFERROR((HLOOKUP($AH257,Target_monthwise!$D$24:$O$40,DTR!X$4,FALSE)),0)</f>
        <v>0</v>
      </c>
      <c r="Y257" s="147">
        <f>IFERROR((HLOOKUP($AH257,Target_monthwise!$D$24:$O$40,DTR!Y$4,FALSE)),0)</f>
        <v>0</v>
      </c>
      <c r="Z257" s="147">
        <f>IFERROR((HLOOKUP($AH257,Target_monthwise!$D$24:$O$40,DTR!Z$4,FALSE)),0)</f>
        <v>0</v>
      </c>
      <c r="AA257" s="147">
        <f>IFERROR((HLOOKUP($AH257,Target_monthwise!$D$24:$O$40,DTR!AA$4,FALSE)),0)</f>
        <v>0</v>
      </c>
      <c r="AB257" s="147">
        <f>IFERROR((HLOOKUP($AH257,Target_monthwise!$D$24:$O$40,DTR!AB$4,FALSE)),0)</f>
        <v>0</v>
      </c>
      <c r="AC257" s="147">
        <f>IFERROR((HLOOKUP($AH257,Target_monthwise!$D$24:$O$40,DTR!AC$4,FALSE)),0)</f>
        <v>0</v>
      </c>
      <c r="AD257" s="147">
        <f>IFERROR((HLOOKUP($AH257,Target_monthwise!$D$24:$O$40,DTR!AD$4,FALSE)),0)</f>
        <v>0</v>
      </c>
      <c r="AE257" s="147">
        <f>IFERROR((HLOOKUP($AH257,Target_monthwise!$D$24:$O$40,DTR!AE$4,FALSE)),0)</f>
        <v>0</v>
      </c>
      <c r="AF257" s="147">
        <f>IFERROR((HLOOKUP($AH257,Target_monthwise!$D$24:$O$40,DTR!AF$4,FALSE)),0)</f>
        <v>0</v>
      </c>
      <c r="AG257" s="172">
        <f>IFERROR((HLOOKUP($AH257,Target_monthwise!$D$24:$O$40,DTR!AG$4,FALSE)),0)</f>
        <v>0</v>
      </c>
      <c r="AH257" s="253">
        <f t="shared" si="3"/>
        <v>202212</v>
      </c>
    </row>
    <row r="258" spans="3:34" ht="15.75" hidden="1">
      <c r="C258" s="237">
        <v>44901</v>
      </c>
      <c r="D258" s="238">
        <f>IFERROR((HLOOKUP($AH258,Target_monthwise!$D$4:$O$20,DTR!D$4,FALSE))*1000,0)</f>
        <v>0</v>
      </c>
      <c r="E258" s="238">
        <f>IFERROR((HLOOKUP($AH258,Target_monthwise!$D$4:$O$20,DTR!E$4,FALSE))*1000,0)</f>
        <v>0</v>
      </c>
      <c r="F258" s="238">
        <f>IFERROR((HLOOKUP($AH258,Target_monthwise!$D$4:$O$20,DTR!F$4,FALSE))*1000,0)</f>
        <v>0</v>
      </c>
      <c r="G258" s="238">
        <f>IFERROR((HLOOKUP($AH258,Target_monthwise!$D$4:$O$20,DTR!G$4,FALSE))*1000,0)</f>
        <v>0</v>
      </c>
      <c r="H258" s="238">
        <f>IFERROR((HLOOKUP($AH258,Target_monthwise!$D$4:$O$20,DTR!H$4,FALSE))*1000,0)</f>
        <v>0</v>
      </c>
      <c r="I258" s="238">
        <f>IFERROR((HLOOKUP($AH258,Target_monthwise!$D$4:$O$20,DTR!I$4,FALSE))*1000,0)</f>
        <v>0</v>
      </c>
      <c r="J258" s="238">
        <f>IFERROR((HLOOKUP($AH258,Target_monthwise!$D$4:$O$20,DTR!J$4,FALSE))*1000,0)</f>
        <v>0</v>
      </c>
      <c r="K258" s="238">
        <f>IFERROR((HLOOKUP($AH258,Target_monthwise!$D$4:$O$20,DTR!K$4,FALSE))*1000,0)</f>
        <v>0</v>
      </c>
      <c r="L258" s="238">
        <f>IFERROR((HLOOKUP($AH258,Target_monthwise!$D$4:$O$20,DTR!L$4,FALSE))*1000,0)</f>
        <v>0</v>
      </c>
      <c r="M258" s="238">
        <f>IFERROR((HLOOKUP($AH258,Target_monthwise!$D$4:$O$20,DTR!M$4,FALSE))*1000,0)</f>
        <v>0</v>
      </c>
      <c r="N258" s="238">
        <f>IFERROR((HLOOKUP($AH258,Target_monthwise!$D$4:$O$20,DTR!N$4,FALSE))*1000,0)</f>
        <v>0</v>
      </c>
      <c r="O258" s="238">
        <f>IFERROR((HLOOKUP($AH258,Target_monthwise!$D$4:$O$20,DTR!O$4,FALSE))*1000,0)</f>
        <v>0</v>
      </c>
      <c r="P258" s="238">
        <f>IFERROR((HLOOKUP($AH258,Target_monthwise!$D$4:$O$20,DTR!P$4,FALSE))*1000,0)</f>
        <v>0</v>
      </c>
      <c r="Q258" s="141">
        <f>IFERROR((HLOOKUP($AH258,Target_monthwise!$D$4:$O$20,DTR!Q$4,FALSE))*1000,0)</f>
        <v>0</v>
      </c>
      <c r="R258" s="167">
        <f>IFERROR((HLOOKUP($AH258,Target_monthwise!$D$4:$O$20,DTR!R$4,FALSE))*1000,0)</f>
        <v>0</v>
      </c>
      <c r="S258" s="239">
        <f>IFERROR((HLOOKUP($AH258,Target_monthwise!$D$24:$O$40,DTR!S$4,FALSE)),0)</f>
        <v>0</v>
      </c>
      <c r="T258" s="239">
        <f>IFERROR((HLOOKUP($AH258,Target_monthwise!$D$24:$O$40,DTR!T$4,FALSE)),0)</f>
        <v>0</v>
      </c>
      <c r="U258" s="239">
        <f>IFERROR((HLOOKUP($AH258,Target_monthwise!$D$24:$O$40,DTR!U$4,FALSE)),0)</f>
        <v>0</v>
      </c>
      <c r="V258" s="239">
        <f>IFERROR((HLOOKUP($AH258,Target_monthwise!$D$24:$O$40,DTR!V$4,FALSE)),0)</f>
        <v>0</v>
      </c>
      <c r="W258" s="239">
        <f>IFERROR((HLOOKUP($AH258,Target_monthwise!$D$24:$O$40,DTR!W$4,FALSE)),0)</f>
        <v>0</v>
      </c>
      <c r="X258" s="239">
        <f>IFERROR((HLOOKUP($AH258,Target_monthwise!$D$24:$O$40,DTR!X$4,FALSE)),0)</f>
        <v>0</v>
      </c>
      <c r="Y258" s="239">
        <f>IFERROR((HLOOKUP($AH258,Target_monthwise!$D$24:$O$40,DTR!Y$4,FALSE)),0)</f>
        <v>0</v>
      </c>
      <c r="Z258" s="147">
        <f>IFERROR((HLOOKUP($AH258,Target_monthwise!$D$24:$O$40,DTR!Z$4,FALSE)),0)</f>
        <v>0</v>
      </c>
      <c r="AA258" s="147">
        <f>IFERROR((HLOOKUP($AH258,Target_monthwise!$D$24:$O$40,DTR!AA$4,FALSE)),0)</f>
        <v>0</v>
      </c>
      <c r="AB258" s="147">
        <f>IFERROR((HLOOKUP($AH258,Target_monthwise!$D$24:$O$40,DTR!AB$4,FALSE)),0)</f>
        <v>0</v>
      </c>
      <c r="AC258" s="239">
        <f>IFERROR((HLOOKUP($AH258,Target_monthwise!$D$24:$O$40,DTR!AC$4,FALSE)),0)</f>
        <v>0</v>
      </c>
      <c r="AD258" s="239">
        <f>IFERROR((HLOOKUP($AH258,Target_monthwise!$D$24:$O$40,DTR!AD$4,FALSE)),0)</f>
        <v>0</v>
      </c>
      <c r="AE258" s="239">
        <f>IFERROR((HLOOKUP($AH258,Target_monthwise!$D$24:$O$40,DTR!AE$4,FALSE)),0)</f>
        <v>0</v>
      </c>
      <c r="AF258" s="239">
        <f>IFERROR((HLOOKUP($AH258,Target_monthwise!$D$24:$O$40,DTR!AF$4,FALSE)),0)</f>
        <v>0</v>
      </c>
      <c r="AG258" s="172">
        <f>IFERROR((HLOOKUP($AH258,Target_monthwise!$D$24:$O$40,DTR!AG$4,FALSE)),0)</f>
        <v>0</v>
      </c>
      <c r="AH258" s="253">
        <f t="shared" si="3"/>
        <v>202212</v>
      </c>
    </row>
    <row r="259" spans="3:34" ht="15.75" hidden="1">
      <c r="C259" s="235">
        <v>44902</v>
      </c>
      <c r="D259" s="141">
        <f>IFERROR((HLOOKUP($AH259,Target_monthwise!$D$4:$O$20,DTR!D$4,FALSE))*1000,0)</f>
        <v>0</v>
      </c>
      <c r="E259" s="141">
        <f>IFERROR((HLOOKUP($AH259,Target_monthwise!$D$4:$O$20,DTR!E$4,FALSE))*1000,0)</f>
        <v>0</v>
      </c>
      <c r="F259" s="141">
        <f>IFERROR((HLOOKUP($AH259,Target_monthwise!$D$4:$O$20,DTR!F$4,FALSE))*1000,0)</f>
        <v>0</v>
      </c>
      <c r="G259" s="141">
        <f>IFERROR((HLOOKUP($AH259,Target_monthwise!$D$4:$O$20,DTR!G$4,FALSE))*1000,0)</f>
        <v>0</v>
      </c>
      <c r="H259" s="141">
        <f>IFERROR((HLOOKUP($AH259,Target_monthwise!$D$4:$O$20,DTR!H$4,FALSE))*1000,0)</f>
        <v>0</v>
      </c>
      <c r="I259" s="141">
        <f>IFERROR((HLOOKUP($AH259,Target_monthwise!$D$4:$O$20,DTR!I$4,FALSE))*1000,0)</f>
        <v>0</v>
      </c>
      <c r="J259" s="141">
        <f>IFERROR((HLOOKUP($AH259,Target_monthwise!$D$4:$O$20,DTR!J$4,FALSE))*1000,0)</f>
        <v>0</v>
      </c>
      <c r="K259" s="141">
        <f>IFERROR((HLOOKUP($AH259,Target_monthwise!$D$4:$O$20,DTR!K$4,FALSE))*1000,0)</f>
        <v>0</v>
      </c>
      <c r="L259" s="141">
        <f>IFERROR((HLOOKUP($AH259,Target_monthwise!$D$4:$O$20,DTR!L$4,FALSE))*1000,0)</f>
        <v>0</v>
      </c>
      <c r="M259" s="141">
        <f>IFERROR((HLOOKUP($AH259,Target_monthwise!$D$4:$O$20,DTR!M$4,FALSE))*1000,0)</f>
        <v>0</v>
      </c>
      <c r="N259" s="141">
        <f>IFERROR((HLOOKUP($AH259,Target_monthwise!$D$4:$O$20,DTR!N$4,FALSE))*1000,0)</f>
        <v>0</v>
      </c>
      <c r="O259" s="141">
        <f>IFERROR((HLOOKUP($AH259,Target_monthwise!$D$4:$O$20,DTR!O$4,FALSE))*1000,0)</f>
        <v>0</v>
      </c>
      <c r="P259" s="141">
        <f>IFERROR((HLOOKUP($AH259,Target_monthwise!$D$4:$O$20,DTR!P$4,FALSE))*1000,0)</f>
        <v>0</v>
      </c>
      <c r="Q259" s="141">
        <f>IFERROR((HLOOKUP($AH259,Target_monthwise!$D$4:$O$20,DTR!Q$4,FALSE))*1000,0)</f>
        <v>0</v>
      </c>
      <c r="R259" s="167">
        <f>IFERROR((HLOOKUP($AH259,Target_monthwise!$D$4:$O$20,DTR!R$4,FALSE))*1000,0)</f>
        <v>0</v>
      </c>
      <c r="S259" s="147">
        <f>IFERROR((HLOOKUP($AH259,Target_monthwise!$D$24:$O$40,DTR!S$4,FALSE)),0)</f>
        <v>0</v>
      </c>
      <c r="T259" s="147">
        <f>IFERROR((HLOOKUP($AH259,Target_monthwise!$D$24:$O$40,DTR!T$4,FALSE)),0)</f>
        <v>0</v>
      </c>
      <c r="U259" s="147">
        <f>IFERROR((HLOOKUP($AH259,Target_monthwise!$D$24:$O$40,DTR!U$4,FALSE)),0)</f>
        <v>0</v>
      </c>
      <c r="V259" s="147">
        <f>IFERROR((HLOOKUP($AH259,Target_monthwise!$D$24:$O$40,DTR!V$4,FALSE)),0)</f>
        <v>0</v>
      </c>
      <c r="W259" s="147">
        <f>IFERROR((HLOOKUP($AH259,Target_monthwise!$D$24:$O$40,DTR!W$4,FALSE)),0)</f>
        <v>0</v>
      </c>
      <c r="X259" s="147">
        <f>IFERROR((HLOOKUP($AH259,Target_monthwise!$D$24:$O$40,DTR!X$4,FALSE)),0)</f>
        <v>0</v>
      </c>
      <c r="Y259" s="147">
        <f>IFERROR((HLOOKUP($AH259,Target_monthwise!$D$24:$O$40,DTR!Y$4,FALSE)),0)</f>
        <v>0</v>
      </c>
      <c r="Z259" s="147">
        <f>IFERROR((HLOOKUP($AH259,Target_monthwise!$D$24:$O$40,DTR!Z$4,FALSE)),0)</f>
        <v>0</v>
      </c>
      <c r="AA259" s="147">
        <f>IFERROR((HLOOKUP($AH259,Target_monthwise!$D$24:$O$40,DTR!AA$4,FALSE)),0)</f>
        <v>0</v>
      </c>
      <c r="AB259" s="147">
        <f>IFERROR((HLOOKUP($AH259,Target_monthwise!$D$24:$O$40,DTR!AB$4,FALSE)),0)</f>
        <v>0</v>
      </c>
      <c r="AC259" s="147">
        <f>IFERROR((HLOOKUP($AH259,Target_monthwise!$D$24:$O$40,DTR!AC$4,FALSE)),0)</f>
        <v>0</v>
      </c>
      <c r="AD259" s="147">
        <f>IFERROR((HLOOKUP($AH259,Target_monthwise!$D$24:$O$40,DTR!AD$4,FALSE)),0)</f>
        <v>0</v>
      </c>
      <c r="AE259" s="147">
        <f>IFERROR((HLOOKUP($AH259,Target_monthwise!$D$24:$O$40,DTR!AE$4,FALSE)),0)</f>
        <v>0</v>
      </c>
      <c r="AF259" s="147">
        <f>IFERROR((HLOOKUP($AH259,Target_monthwise!$D$24:$O$40,DTR!AF$4,FALSE)),0)</f>
        <v>0</v>
      </c>
      <c r="AG259" s="172">
        <f>IFERROR((HLOOKUP($AH259,Target_monthwise!$D$24:$O$40,DTR!AG$4,FALSE)),0)</f>
        <v>0</v>
      </c>
      <c r="AH259" s="253">
        <f t="shared" si="3"/>
        <v>202212</v>
      </c>
    </row>
    <row r="260" spans="3:34" ht="15.75" hidden="1">
      <c r="C260" s="237">
        <v>44903</v>
      </c>
      <c r="D260" s="238">
        <f>IFERROR((HLOOKUP($AH260,Target_monthwise!$D$4:$O$20,DTR!D$4,FALSE))*1000,0)</f>
        <v>0</v>
      </c>
      <c r="E260" s="238">
        <f>IFERROR((HLOOKUP($AH260,Target_monthwise!$D$4:$O$20,DTR!E$4,FALSE))*1000,0)</f>
        <v>0</v>
      </c>
      <c r="F260" s="238">
        <f>IFERROR((HLOOKUP($AH260,Target_monthwise!$D$4:$O$20,DTR!F$4,FALSE))*1000,0)</f>
        <v>0</v>
      </c>
      <c r="G260" s="238">
        <f>IFERROR((HLOOKUP($AH260,Target_monthwise!$D$4:$O$20,DTR!G$4,FALSE))*1000,0)</f>
        <v>0</v>
      </c>
      <c r="H260" s="238">
        <f>IFERROR((HLOOKUP($AH260,Target_monthwise!$D$4:$O$20,DTR!H$4,FALSE))*1000,0)</f>
        <v>0</v>
      </c>
      <c r="I260" s="238">
        <f>IFERROR((HLOOKUP($AH260,Target_monthwise!$D$4:$O$20,DTR!I$4,FALSE))*1000,0)</f>
        <v>0</v>
      </c>
      <c r="J260" s="238">
        <f>IFERROR((HLOOKUP($AH260,Target_monthwise!$D$4:$O$20,DTR!J$4,FALSE))*1000,0)</f>
        <v>0</v>
      </c>
      <c r="K260" s="238">
        <f>IFERROR((HLOOKUP($AH260,Target_monthwise!$D$4:$O$20,DTR!K$4,FALSE))*1000,0)</f>
        <v>0</v>
      </c>
      <c r="L260" s="238">
        <f>IFERROR((HLOOKUP($AH260,Target_monthwise!$D$4:$O$20,DTR!L$4,FALSE))*1000,0)</f>
        <v>0</v>
      </c>
      <c r="M260" s="238">
        <f>IFERROR((HLOOKUP($AH260,Target_monthwise!$D$4:$O$20,DTR!M$4,FALSE))*1000,0)</f>
        <v>0</v>
      </c>
      <c r="N260" s="238">
        <f>IFERROR((HLOOKUP($AH260,Target_monthwise!$D$4:$O$20,DTR!N$4,FALSE))*1000,0)</f>
        <v>0</v>
      </c>
      <c r="O260" s="238">
        <f>IFERROR((HLOOKUP($AH260,Target_monthwise!$D$4:$O$20,DTR!O$4,FALSE))*1000,0)</f>
        <v>0</v>
      </c>
      <c r="P260" s="238">
        <f>IFERROR((HLOOKUP($AH260,Target_monthwise!$D$4:$O$20,DTR!P$4,FALSE))*1000,0)</f>
        <v>0</v>
      </c>
      <c r="Q260" s="141">
        <f>IFERROR((HLOOKUP($AH260,Target_monthwise!$D$4:$O$20,DTR!Q$4,FALSE))*1000,0)</f>
        <v>0</v>
      </c>
      <c r="R260" s="167">
        <f>IFERROR((HLOOKUP($AH260,Target_monthwise!$D$4:$O$20,DTR!R$4,FALSE))*1000,0)</f>
        <v>0</v>
      </c>
      <c r="S260" s="239">
        <f>IFERROR((HLOOKUP($AH260,Target_monthwise!$D$24:$O$40,DTR!S$4,FALSE)),0)</f>
        <v>0</v>
      </c>
      <c r="T260" s="239">
        <f>IFERROR((HLOOKUP($AH260,Target_monthwise!$D$24:$O$40,DTR!T$4,FALSE)),0)</f>
        <v>0</v>
      </c>
      <c r="U260" s="239">
        <f>IFERROR((HLOOKUP($AH260,Target_monthwise!$D$24:$O$40,DTR!U$4,FALSE)),0)</f>
        <v>0</v>
      </c>
      <c r="V260" s="239">
        <f>IFERROR((HLOOKUP($AH260,Target_monthwise!$D$24:$O$40,DTR!V$4,FALSE)),0)</f>
        <v>0</v>
      </c>
      <c r="W260" s="239">
        <f>IFERROR((HLOOKUP($AH260,Target_monthwise!$D$24:$O$40,DTR!W$4,FALSE)),0)</f>
        <v>0</v>
      </c>
      <c r="X260" s="239">
        <f>IFERROR((HLOOKUP($AH260,Target_monthwise!$D$24:$O$40,DTR!X$4,FALSE)),0)</f>
        <v>0</v>
      </c>
      <c r="Y260" s="239">
        <f>IFERROR((HLOOKUP($AH260,Target_monthwise!$D$24:$O$40,DTR!Y$4,FALSE)),0)</f>
        <v>0</v>
      </c>
      <c r="Z260" s="147">
        <f>IFERROR((HLOOKUP($AH260,Target_monthwise!$D$24:$O$40,DTR!Z$4,FALSE)),0)</f>
        <v>0</v>
      </c>
      <c r="AA260" s="147">
        <f>IFERROR((HLOOKUP($AH260,Target_monthwise!$D$24:$O$40,DTR!AA$4,FALSE)),0)</f>
        <v>0</v>
      </c>
      <c r="AB260" s="147">
        <f>IFERROR((HLOOKUP($AH260,Target_monthwise!$D$24:$O$40,DTR!AB$4,FALSE)),0)</f>
        <v>0</v>
      </c>
      <c r="AC260" s="239">
        <f>IFERROR((HLOOKUP($AH260,Target_monthwise!$D$24:$O$40,DTR!AC$4,FALSE)),0)</f>
        <v>0</v>
      </c>
      <c r="AD260" s="239">
        <f>IFERROR((HLOOKUP($AH260,Target_monthwise!$D$24:$O$40,DTR!AD$4,FALSE)),0)</f>
        <v>0</v>
      </c>
      <c r="AE260" s="239">
        <f>IFERROR((HLOOKUP($AH260,Target_monthwise!$D$24:$O$40,DTR!AE$4,FALSE)),0)</f>
        <v>0</v>
      </c>
      <c r="AF260" s="239">
        <f>IFERROR((HLOOKUP($AH260,Target_monthwise!$D$24:$O$40,DTR!AF$4,FALSE)),0)</f>
        <v>0</v>
      </c>
      <c r="AG260" s="172">
        <f>IFERROR((HLOOKUP($AH260,Target_monthwise!$D$24:$O$40,DTR!AG$4,FALSE)),0)</f>
        <v>0</v>
      </c>
      <c r="AH260" s="253">
        <f t="shared" si="3"/>
        <v>202212</v>
      </c>
    </row>
    <row r="261" spans="3:34" ht="15.75" hidden="1">
      <c r="C261" s="235">
        <v>44904</v>
      </c>
      <c r="D261" s="141">
        <f>IFERROR((HLOOKUP($AH261,Target_monthwise!$D$4:$O$20,DTR!D$4,FALSE))*1000,0)</f>
        <v>0</v>
      </c>
      <c r="E261" s="141">
        <f>IFERROR((HLOOKUP($AH261,Target_monthwise!$D$4:$O$20,DTR!E$4,FALSE))*1000,0)</f>
        <v>0</v>
      </c>
      <c r="F261" s="141">
        <f>IFERROR((HLOOKUP($AH261,Target_monthwise!$D$4:$O$20,DTR!F$4,FALSE))*1000,0)</f>
        <v>0</v>
      </c>
      <c r="G261" s="141">
        <f>IFERROR((HLOOKUP($AH261,Target_monthwise!$D$4:$O$20,DTR!G$4,FALSE))*1000,0)</f>
        <v>0</v>
      </c>
      <c r="H261" s="141">
        <f>IFERROR((HLOOKUP($AH261,Target_monthwise!$D$4:$O$20,DTR!H$4,FALSE))*1000,0)</f>
        <v>0</v>
      </c>
      <c r="I261" s="141">
        <f>IFERROR((HLOOKUP($AH261,Target_monthwise!$D$4:$O$20,DTR!I$4,FALSE))*1000,0)</f>
        <v>0</v>
      </c>
      <c r="J261" s="141">
        <f>IFERROR((HLOOKUP($AH261,Target_monthwise!$D$4:$O$20,DTR!J$4,FALSE))*1000,0)</f>
        <v>0</v>
      </c>
      <c r="K261" s="141">
        <f>IFERROR((HLOOKUP($AH261,Target_monthwise!$D$4:$O$20,DTR!K$4,FALSE))*1000,0)</f>
        <v>0</v>
      </c>
      <c r="L261" s="141">
        <f>IFERROR((HLOOKUP($AH261,Target_monthwise!$D$4:$O$20,DTR!L$4,FALSE))*1000,0)</f>
        <v>0</v>
      </c>
      <c r="M261" s="141">
        <f>IFERROR((HLOOKUP($AH261,Target_monthwise!$D$4:$O$20,DTR!M$4,FALSE))*1000,0)</f>
        <v>0</v>
      </c>
      <c r="N261" s="141">
        <f>IFERROR((HLOOKUP($AH261,Target_monthwise!$D$4:$O$20,DTR!N$4,FALSE))*1000,0)</f>
        <v>0</v>
      </c>
      <c r="O261" s="141">
        <f>IFERROR((HLOOKUP($AH261,Target_monthwise!$D$4:$O$20,DTR!O$4,FALSE))*1000,0)</f>
        <v>0</v>
      </c>
      <c r="P261" s="141">
        <f>IFERROR((HLOOKUP($AH261,Target_monthwise!$D$4:$O$20,DTR!P$4,FALSE))*1000,0)</f>
        <v>0</v>
      </c>
      <c r="Q261" s="141">
        <f>IFERROR((HLOOKUP($AH261,Target_monthwise!$D$4:$O$20,DTR!Q$4,FALSE))*1000,0)</f>
        <v>0</v>
      </c>
      <c r="R261" s="167">
        <f>IFERROR((HLOOKUP($AH261,Target_monthwise!$D$4:$O$20,DTR!R$4,FALSE))*1000,0)</f>
        <v>0</v>
      </c>
      <c r="S261" s="147">
        <f>IFERROR((HLOOKUP($AH261,Target_monthwise!$D$24:$O$40,DTR!S$4,FALSE)),0)</f>
        <v>0</v>
      </c>
      <c r="T261" s="147">
        <f>IFERROR((HLOOKUP($AH261,Target_monthwise!$D$24:$O$40,DTR!T$4,FALSE)),0)</f>
        <v>0</v>
      </c>
      <c r="U261" s="147">
        <f>IFERROR((HLOOKUP($AH261,Target_monthwise!$D$24:$O$40,DTR!U$4,FALSE)),0)</f>
        <v>0</v>
      </c>
      <c r="V261" s="147">
        <f>IFERROR((HLOOKUP($AH261,Target_monthwise!$D$24:$O$40,DTR!V$4,FALSE)),0)</f>
        <v>0</v>
      </c>
      <c r="W261" s="147">
        <f>IFERROR((HLOOKUP($AH261,Target_monthwise!$D$24:$O$40,DTR!W$4,FALSE)),0)</f>
        <v>0</v>
      </c>
      <c r="X261" s="147">
        <f>IFERROR((HLOOKUP($AH261,Target_monthwise!$D$24:$O$40,DTR!X$4,FALSE)),0)</f>
        <v>0</v>
      </c>
      <c r="Y261" s="147">
        <f>IFERROR((HLOOKUP($AH261,Target_monthwise!$D$24:$O$40,DTR!Y$4,FALSE)),0)</f>
        <v>0</v>
      </c>
      <c r="Z261" s="147">
        <f>IFERROR((HLOOKUP($AH261,Target_monthwise!$D$24:$O$40,DTR!Z$4,FALSE)),0)</f>
        <v>0</v>
      </c>
      <c r="AA261" s="147">
        <f>IFERROR((HLOOKUP($AH261,Target_monthwise!$D$24:$O$40,DTR!AA$4,FALSE)),0)</f>
        <v>0</v>
      </c>
      <c r="AB261" s="147">
        <f>IFERROR((HLOOKUP($AH261,Target_monthwise!$D$24:$O$40,DTR!AB$4,FALSE)),0)</f>
        <v>0</v>
      </c>
      <c r="AC261" s="147">
        <f>IFERROR((HLOOKUP($AH261,Target_monthwise!$D$24:$O$40,DTR!AC$4,FALSE)),0)</f>
        <v>0</v>
      </c>
      <c r="AD261" s="147">
        <f>IFERROR((HLOOKUP($AH261,Target_monthwise!$D$24:$O$40,DTR!AD$4,FALSE)),0)</f>
        <v>0</v>
      </c>
      <c r="AE261" s="147">
        <f>IFERROR((HLOOKUP($AH261,Target_monthwise!$D$24:$O$40,DTR!AE$4,FALSE)),0)</f>
        <v>0</v>
      </c>
      <c r="AF261" s="147">
        <f>IFERROR((HLOOKUP($AH261,Target_monthwise!$D$24:$O$40,DTR!AF$4,FALSE)),0)</f>
        <v>0</v>
      </c>
      <c r="AG261" s="172">
        <f>IFERROR((HLOOKUP($AH261,Target_monthwise!$D$24:$O$40,DTR!AG$4,FALSE)),0)</f>
        <v>0</v>
      </c>
      <c r="AH261" s="253">
        <f t="shared" si="3"/>
        <v>202212</v>
      </c>
    </row>
    <row r="262" spans="3:34" ht="15.75" hidden="1">
      <c r="C262" s="237">
        <v>44905</v>
      </c>
      <c r="D262" s="238">
        <f>IFERROR((HLOOKUP($AH262,Target_monthwise!$D$4:$O$20,DTR!D$4,FALSE))*1000,0)</f>
        <v>0</v>
      </c>
      <c r="E262" s="238">
        <f>IFERROR((HLOOKUP($AH262,Target_monthwise!$D$4:$O$20,DTR!E$4,FALSE))*1000,0)</f>
        <v>0</v>
      </c>
      <c r="F262" s="238">
        <f>IFERROR((HLOOKUP($AH262,Target_monthwise!$D$4:$O$20,DTR!F$4,FALSE))*1000,0)</f>
        <v>0</v>
      </c>
      <c r="G262" s="238">
        <f>IFERROR((HLOOKUP($AH262,Target_monthwise!$D$4:$O$20,DTR!G$4,FALSE))*1000,0)</f>
        <v>0</v>
      </c>
      <c r="H262" s="238">
        <f>IFERROR((HLOOKUP($AH262,Target_monthwise!$D$4:$O$20,DTR!H$4,FALSE))*1000,0)</f>
        <v>0</v>
      </c>
      <c r="I262" s="238">
        <f>IFERROR((HLOOKUP($AH262,Target_monthwise!$D$4:$O$20,DTR!I$4,FALSE))*1000,0)</f>
        <v>0</v>
      </c>
      <c r="J262" s="238">
        <f>IFERROR((HLOOKUP($AH262,Target_monthwise!$D$4:$O$20,DTR!J$4,FALSE))*1000,0)</f>
        <v>0</v>
      </c>
      <c r="K262" s="238">
        <f>IFERROR((HLOOKUP($AH262,Target_monthwise!$D$4:$O$20,DTR!K$4,FALSE))*1000,0)</f>
        <v>0</v>
      </c>
      <c r="L262" s="238">
        <f>IFERROR((HLOOKUP($AH262,Target_monthwise!$D$4:$O$20,DTR!L$4,FALSE))*1000,0)</f>
        <v>0</v>
      </c>
      <c r="M262" s="238">
        <f>IFERROR((HLOOKUP($AH262,Target_monthwise!$D$4:$O$20,DTR!M$4,FALSE))*1000,0)</f>
        <v>0</v>
      </c>
      <c r="N262" s="238">
        <f>IFERROR((HLOOKUP($AH262,Target_monthwise!$D$4:$O$20,DTR!N$4,FALSE))*1000,0)</f>
        <v>0</v>
      </c>
      <c r="O262" s="238">
        <f>IFERROR((HLOOKUP($AH262,Target_monthwise!$D$4:$O$20,DTR!O$4,FALSE))*1000,0)</f>
        <v>0</v>
      </c>
      <c r="P262" s="238">
        <f>IFERROR((HLOOKUP($AH262,Target_monthwise!$D$4:$O$20,DTR!P$4,FALSE))*1000,0)</f>
        <v>0</v>
      </c>
      <c r="Q262" s="141">
        <f>IFERROR((HLOOKUP($AH262,Target_monthwise!$D$4:$O$20,DTR!Q$4,FALSE))*1000,0)</f>
        <v>0</v>
      </c>
      <c r="R262" s="167">
        <f>IFERROR((HLOOKUP($AH262,Target_monthwise!$D$4:$O$20,DTR!R$4,FALSE))*1000,0)</f>
        <v>0</v>
      </c>
      <c r="S262" s="239">
        <f>IFERROR((HLOOKUP($AH262,Target_monthwise!$D$24:$O$40,DTR!S$4,FALSE)),0)</f>
        <v>0</v>
      </c>
      <c r="T262" s="239">
        <f>IFERROR((HLOOKUP($AH262,Target_monthwise!$D$24:$O$40,DTR!T$4,FALSE)),0)</f>
        <v>0</v>
      </c>
      <c r="U262" s="239">
        <f>IFERROR((HLOOKUP($AH262,Target_monthwise!$D$24:$O$40,DTR!U$4,FALSE)),0)</f>
        <v>0</v>
      </c>
      <c r="V262" s="239">
        <f>IFERROR((HLOOKUP($AH262,Target_monthwise!$D$24:$O$40,DTR!V$4,FALSE)),0)</f>
        <v>0</v>
      </c>
      <c r="W262" s="239">
        <f>IFERROR((HLOOKUP($AH262,Target_monthwise!$D$24:$O$40,DTR!W$4,FALSE)),0)</f>
        <v>0</v>
      </c>
      <c r="X262" s="239">
        <f>IFERROR((HLOOKUP($AH262,Target_monthwise!$D$24:$O$40,DTR!X$4,FALSE)),0)</f>
        <v>0</v>
      </c>
      <c r="Y262" s="239">
        <f>IFERROR((HLOOKUP($AH262,Target_monthwise!$D$24:$O$40,DTR!Y$4,FALSE)),0)</f>
        <v>0</v>
      </c>
      <c r="Z262" s="147">
        <f>IFERROR((HLOOKUP($AH262,Target_monthwise!$D$24:$O$40,DTR!Z$4,FALSE)),0)</f>
        <v>0</v>
      </c>
      <c r="AA262" s="147">
        <f>IFERROR((HLOOKUP($AH262,Target_monthwise!$D$24:$O$40,DTR!AA$4,FALSE)),0)</f>
        <v>0</v>
      </c>
      <c r="AB262" s="147">
        <f>IFERROR((HLOOKUP($AH262,Target_monthwise!$D$24:$O$40,DTR!AB$4,FALSE)),0)</f>
        <v>0</v>
      </c>
      <c r="AC262" s="239">
        <f>IFERROR((HLOOKUP($AH262,Target_monthwise!$D$24:$O$40,DTR!AC$4,FALSE)),0)</f>
        <v>0</v>
      </c>
      <c r="AD262" s="239">
        <f>IFERROR((HLOOKUP($AH262,Target_monthwise!$D$24:$O$40,DTR!AD$4,FALSE)),0)</f>
        <v>0</v>
      </c>
      <c r="AE262" s="239">
        <f>IFERROR((HLOOKUP($AH262,Target_monthwise!$D$24:$O$40,DTR!AE$4,FALSE)),0)</f>
        <v>0</v>
      </c>
      <c r="AF262" s="239">
        <f>IFERROR((HLOOKUP($AH262,Target_monthwise!$D$24:$O$40,DTR!AF$4,FALSE)),0)</f>
        <v>0</v>
      </c>
      <c r="AG262" s="172">
        <f>IFERROR((HLOOKUP($AH262,Target_monthwise!$D$24:$O$40,DTR!AG$4,FALSE)),0)</f>
        <v>0</v>
      </c>
      <c r="AH262" s="253">
        <f t="shared" si="3"/>
        <v>202212</v>
      </c>
    </row>
    <row r="263" spans="3:34" ht="15.75" hidden="1">
      <c r="C263" s="235">
        <v>44906</v>
      </c>
      <c r="D263" s="141">
        <f>IFERROR((HLOOKUP($AH263,Target_monthwise!$D$4:$O$20,DTR!D$4,FALSE))*1000,0)</f>
        <v>0</v>
      </c>
      <c r="E263" s="141">
        <f>IFERROR((HLOOKUP($AH263,Target_monthwise!$D$4:$O$20,DTR!E$4,FALSE))*1000,0)</f>
        <v>0</v>
      </c>
      <c r="F263" s="141">
        <f>IFERROR((HLOOKUP($AH263,Target_monthwise!$D$4:$O$20,DTR!F$4,FALSE))*1000,0)</f>
        <v>0</v>
      </c>
      <c r="G263" s="141">
        <f>IFERROR((HLOOKUP($AH263,Target_monthwise!$D$4:$O$20,DTR!G$4,FALSE))*1000,0)</f>
        <v>0</v>
      </c>
      <c r="H263" s="141">
        <f>IFERROR((HLOOKUP($AH263,Target_monthwise!$D$4:$O$20,DTR!H$4,FALSE))*1000,0)</f>
        <v>0</v>
      </c>
      <c r="I263" s="141">
        <f>IFERROR((HLOOKUP($AH263,Target_monthwise!$D$4:$O$20,DTR!I$4,FALSE))*1000,0)</f>
        <v>0</v>
      </c>
      <c r="J263" s="141">
        <f>IFERROR((HLOOKUP($AH263,Target_monthwise!$D$4:$O$20,DTR!J$4,FALSE))*1000,0)</f>
        <v>0</v>
      </c>
      <c r="K263" s="141">
        <f>IFERROR((HLOOKUP($AH263,Target_monthwise!$D$4:$O$20,DTR!K$4,FALSE))*1000,0)</f>
        <v>0</v>
      </c>
      <c r="L263" s="141">
        <f>IFERROR((HLOOKUP($AH263,Target_monthwise!$D$4:$O$20,DTR!L$4,FALSE))*1000,0)</f>
        <v>0</v>
      </c>
      <c r="M263" s="141">
        <f>IFERROR((HLOOKUP($AH263,Target_monthwise!$D$4:$O$20,DTR!M$4,FALSE))*1000,0)</f>
        <v>0</v>
      </c>
      <c r="N263" s="141">
        <f>IFERROR((HLOOKUP($AH263,Target_monthwise!$D$4:$O$20,DTR!N$4,FALSE))*1000,0)</f>
        <v>0</v>
      </c>
      <c r="O263" s="141">
        <f>IFERROR((HLOOKUP($AH263,Target_monthwise!$D$4:$O$20,DTR!O$4,FALSE))*1000,0)</f>
        <v>0</v>
      </c>
      <c r="P263" s="141">
        <f>IFERROR((HLOOKUP($AH263,Target_monthwise!$D$4:$O$20,DTR!P$4,FALSE))*1000,0)</f>
        <v>0</v>
      </c>
      <c r="Q263" s="141">
        <f>IFERROR((HLOOKUP($AH263,Target_monthwise!$D$4:$O$20,DTR!Q$4,FALSE))*1000,0)</f>
        <v>0</v>
      </c>
      <c r="R263" s="167">
        <f>IFERROR((HLOOKUP($AH263,Target_monthwise!$D$4:$O$20,DTR!R$4,FALSE))*1000,0)</f>
        <v>0</v>
      </c>
      <c r="S263" s="147">
        <f>IFERROR((HLOOKUP($AH263,Target_monthwise!$D$24:$O$40,DTR!S$4,FALSE)),0)</f>
        <v>0</v>
      </c>
      <c r="T263" s="147">
        <f>IFERROR((HLOOKUP($AH263,Target_monthwise!$D$24:$O$40,DTR!T$4,FALSE)),0)</f>
        <v>0</v>
      </c>
      <c r="U263" s="147">
        <f>IFERROR((HLOOKUP($AH263,Target_monthwise!$D$24:$O$40,DTR!U$4,FALSE)),0)</f>
        <v>0</v>
      </c>
      <c r="V263" s="147">
        <f>IFERROR((HLOOKUP($AH263,Target_monthwise!$D$24:$O$40,DTR!V$4,FALSE)),0)</f>
        <v>0</v>
      </c>
      <c r="W263" s="147">
        <f>IFERROR((HLOOKUP($AH263,Target_monthwise!$D$24:$O$40,DTR!W$4,FALSE)),0)</f>
        <v>0</v>
      </c>
      <c r="X263" s="147">
        <f>IFERROR((HLOOKUP($AH263,Target_monthwise!$D$24:$O$40,DTR!X$4,FALSE)),0)</f>
        <v>0</v>
      </c>
      <c r="Y263" s="147">
        <f>IFERROR((HLOOKUP($AH263,Target_monthwise!$D$24:$O$40,DTR!Y$4,FALSE)),0)</f>
        <v>0</v>
      </c>
      <c r="Z263" s="147">
        <f>IFERROR((HLOOKUP($AH263,Target_monthwise!$D$24:$O$40,DTR!Z$4,FALSE)),0)</f>
        <v>0</v>
      </c>
      <c r="AA263" s="147">
        <f>IFERROR((HLOOKUP($AH263,Target_monthwise!$D$24:$O$40,DTR!AA$4,FALSE)),0)</f>
        <v>0</v>
      </c>
      <c r="AB263" s="147">
        <f>IFERROR((HLOOKUP($AH263,Target_monthwise!$D$24:$O$40,DTR!AB$4,FALSE)),0)</f>
        <v>0</v>
      </c>
      <c r="AC263" s="147">
        <f>IFERROR((HLOOKUP($AH263,Target_monthwise!$D$24:$O$40,DTR!AC$4,FALSE)),0)</f>
        <v>0</v>
      </c>
      <c r="AD263" s="147">
        <f>IFERROR((HLOOKUP($AH263,Target_monthwise!$D$24:$O$40,DTR!AD$4,FALSE)),0)</f>
        <v>0</v>
      </c>
      <c r="AE263" s="147">
        <f>IFERROR((HLOOKUP($AH263,Target_monthwise!$D$24:$O$40,DTR!AE$4,FALSE)),0)</f>
        <v>0</v>
      </c>
      <c r="AF263" s="147">
        <f>IFERROR((HLOOKUP($AH263,Target_monthwise!$D$24:$O$40,DTR!AF$4,FALSE)),0)</f>
        <v>0</v>
      </c>
      <c r="AG263" s="172">
        <f>IFERROR((HLOOKUP($AH263,Target_monthwise!$D$24:$O$40,DTR!AG$4,FALSE)),0)</f>
        <v>0</v>
      </c>
      <c r="AH263" s="253">
        <f t="shared" si="3"/>
        <v>202212</v>
      </c>
    </row>
    <row r="264" spans="3:34" ht="15.75" hidden="1">
      <c r="C264" s="237">
        <v>44907</v>
      </c>
      <c r="D264" s="238">
        <f>IFERROR((HLOOKUP($AH264,Target_monthwise!$D$4:$O$20,DTR!D$4,FALSE))*1000,0)</f>
        <v>0</v>
      </c>
      <c r="E264" s="238">
        <f>IFERROR((HLOOKUP($AH264,Target_monthwise!$D$4:$O$20,DTR!E$4,FALSE))*1000,0)</f>
        <v>0</v>
      </c>
      <c r="F264" s="238">
        <f>IFERROR((HLOOKUP($AH264,Target_monthwise!$D$4:$O$20,DTR!F$4,FALSE))*1000,0)</f>
        <v>0</v>
      </c>
      <c r="G264" s="238">
        <f>IFERROR((HLOOKUP($AH264,Target_monthwise!$D$4:$O$20,DTR!G$4,FALSE))*1000,0)</f>
        <v>0</v>
      </c>
      <c r="H264" s="238">
        <f>IFERROR((HLOOKUP($AH264,Target_monthwise!$D$4:$O$20,DTR!H$4,FALSE))*1000,0)</f>
        <v>0</v>
      </c>
      <c r="I264" s="238">
        <f>IFERROR((HLOOKUP($AH264,Target_monthwise!$D$4:$O$20,DTR!I$4,FALSE))*1000,0)</f>
        <v>0</v>
      </c>
      <c r="J264" s="238">
        <f>IFERROR((HLOOKUP($AH264,Target_monthwise!$D$4:$O$20,DTR!J$4,FALSE))*1000,0)</f>
        <v>0</v>
      </c>
      <c r="K264" s="238">
        <f>IFERROR((HLOOKUP($AH264,Target_monthwise!$D$4:$O$20,DTR!K$4,FALSE))*1000,0)</f>
        <v>0</v>
      </c>
      <c r="L264" s="238">
        <f>IFERROR((HLOOKUP($AH264,Target_monthwise!$D$4:$O$20,DTR!L$4,FALSE))*1000,0)</f>
        <v>0</v>
      </c>
      <c r="M264" s="238">
        <f>IFERROR((HLOOKUP($AH264,Target_monthwise!$D$4:$O$20,DTR!M$4,FALSE))*1000,0)</f>
        <v>0</v>
      </c>
      <c r="N264" s="238">
        <f>IFERROR((HLOOKUP($AH264,Target_monthwise!$D$4:$O$20,DTR!N$4,FALSE))*1000,0)</f>
        <v>0</v>
      </c>
      <c r="O264" s="238">
        <f>IFERROR((HLOOKUP($AH264,Target_monthwise!$D$4:$O$20,DTR!O$4,FALSE))*1000,0)</f>
        <v>0</v>
      </c>
      <c r="P264" s="238">
        <f>IFERROR((HLOOKUP($AH264,Target_monthwise!$D$4:$O$20,DTR!P$4,FALSE))*1000,0)</f>
        <v>0</v>
      </c>
      <c r="Q264" s="141">
        <f>IFERROR((HLOOKUP($AH264,Target_monthwise!$D$4:$O$20,DTR!Q$4,FALSE))*1000,0)</f>
        <v>0</v>
      </c>
      <c r="R264" s="167">
        <f>IFERROR((HLOOKUP($AH264,Target_monthwise!$D$4:$O$20,DTR!R$4,FALSE))*1000,0)</f>
        <v>0</v>
      </c>
      <c r="S264" s="239">
        <f>IFERROR((HLOOKUP($AH264,Target_monthwise!$D$24:$O$40,DTR!S$4,FALSE)),0)</f>
        <v>0</v>
      </c>
      <c r="T264" s="239">
        <f>IFERROR((HLOOKUP($AH264,Target_monthwise!$D$24:$O$40,DTR!T$4,FALSE)),0)</f>
        <v>0</v>
      </c>
      <c r="U264" s="239">
        <f>IFERROR((HLOOKUP($AH264,Target_monthwise!$D$24:$O$40,DTR!U$4,FALSE)),0)</f>
        <v>0</v>
      </c>
      <c r="V264" s="239">
        <f>IFERROR((HLOOKUP($AH264,Target_monthwise!$D$24:$O$40,DTR!V$4,FALSE)),0)</f>
        <v>0</v>
      </c>
      <c r="W264" s="239">
        <f>IFERROR((HLOOKUP($AH264,Target_monthwise!$D$24:$O$40,DTR!W$4,FALSE)),0)</f>
        <v>0</v>
      </c>
      <c r="X264" s="239">
        <f>IFERROR((HLOOKUP($AH264,Target_monthwise!$D$24:$O$40,DTR!X$4,FALSE)),0)</f>
        <v>0</v>
      </c>
      <c r="Y264" s="239">
        <f>IFERROR((HLOOKUP($AH264,Target_monthwise!$D$24:$O$40,DTR!Y$4,FALSE)),0)</f>
        <v>0</v>
      </c>
      <c r="Z264" s="147">
        <f>IFERROR((HLOOKUP($AH264,Target_monthwise!$D$24:$O$40,DTR!Z$4,FALSE)),0)</f>
        <v>0</v>
      </c>
      <c r="AA264" s="147">
        <f>IFERROR((HLOOKUP($AH264,Target_monthwise!$D$24:$O$40,DTR!AA$4,FALSE)),0)</f>
        <v>0</v>
      </c>
      <c r="AB264" s="147">
        <f>IFERROR((HLOOKUP($AH264,Target_monthwise!$D$24:$O$40,DTR!AB$4,FALSE)),0)</f>
        <v>0</v>
      </c>
      <c r="AC264" s="239">
        <f>IFERROR((HLOOKUP($AH264,Target_monthwise!$D$24:$O$40,DTR!AC$4,FALSE)),0)</f>
        <v>0</v>
      </c>
      <c r="AD264" s="239">
        <f>IFERROR((HLOOKUP($AH264,Target_monthwise!$D$24:$O$40,DTR!AD$4,FALSE)),0)</f>
        <v>0</v>
      </c>
      <c r="AE264" s="239">
        <f>IFERROR((HLOOKUP($AH264,Target_monthwise!$D$24:$O$40,DTR!AE$4,FALSE)),0)</f>
        <v>0</v>
      </c>
      <c r="AF264" s="239">
        <f>IFERROR((HLOOKUP($AH264,Target_monthwise!$D$24:$O$40,DTR!AF$4,FALSE)),0)</f>
        <v>0</v>
      </c>
      <c r="AG264" s="172">
        <f>IFERROR((HLOOKUP($AH264,Target_monthwise!$D$24:$O$40,DTR!AG$4,FALSE)),0)</f>
        <v>0</v>
      </c>
      <c r="AH264" s="253">
        <f t="shared" si="3"/>
        <v>202212</v>
      </c>
    </row>
    <row r="265" spans="3:34" ht="15.75" hidden="1">
      <c r="C265" s="235">
        <v>44908</v>
      </c>
      <c r="D265" s="141">
        <f>IFERROR((HLOOKUP($AH265,Target_monthwise!$D$4:$O$20,DTR!D$4,FALSE))*1000,0)</f>
        <v>0</v>
      </c>
      <c r="E265" s="141">
        <f>IFERROR((HLOOKUP($AH265,Target_monthwise!$D$4:$O$20,DTR!E$4,FALSE))*1000,0)</f>
        <v>0</v>
      </c>
      <c r="F265" s="141">
        <f>IFERROR((HLOOKUP($AH265,Target_monthwise!$D$4:$O$20,DTR!F$4,FALSE))*1000,0)</f>
        <v>0</v>
      </c>
      <c r="G265" s="141">
        <f>IFERROR((HLOOKUP($AH265,Target_monthwise!$D$4:$O$20,DTR!G$4,FALSE))*1000,0)</f>
        <v>0</v>
      </c>
      <c r="H265" s="141">
        <f>IFERROR((HLOOKUP($AH265,Target_monthwise!$D$4:$O$20,DTR!H$4,FALSE))*1000,0)</f>
        <v>0</v>
      </c>
      <c r="I265" s="141">
        <f>IFERROR((HLOOKUP($AH265,Target_monthwise!$D$4:$O$20,DTR!I$4,FALSE))*1000,0)</f>
        <v>0</v>
      </c>
      <c r="J265" s="141">
        <f>IFERROR((HLOOKUP($AH265,Target_monthwise!$D$4:$O$20,DTR!J$4,FALSE))*1000,0)</f>
        <v>0</v>
      </c>
      <c r="K265" s="141">
        <f>IFERROR((HLOOKUP($AH265,Target_monthwise!$D$4:$O$20,DTR!K$4,FALSE))*1000,0)</f>
        <v>0</v>
      </c>
      <c r="L265" s="141">
        <f>IFERROR((HLOOKUP($AH265,Target_monthwise!$D$4:$O$20,DTR!L$4,FALSE))*1000,0)</f>
        <v>0</v>
      </c>
      <c r="M265" s="141">
        <f>IFERROR((HLOOKUP($AH265,Target_monthwise!$D$4:$O$20,DTR!M$4,FALSE))*1000,0)</f>
        <v>0</v>
      </c>
      <c r="N265" s="141">
        <f>IFERROR((HLOOKUP($AH265,Target_monthwise!$D$4:$O$20,DTR!N$4,FALSE))*1000,0)</f>
        <v>0</v>
      </c>
      <c r="O265" s="141">
        <f>IFERROR((HLOOKUP($AH265,Target_monthwise!$D$4:$O$20,DTR!O$4,FALSE))*1000,0)</f>
        <v>0</v>
      </c>
      <c r="P265" s="141">
        <f>IFERROR((HLOOKUP($AH265,Target_monthwise!$D$4:$O$20,DTR!P$4,FALSE))*1000,0)</f>
        <v>0</v>
      </c>
      <c r="Q265" s="141">
        <f>IFERROR((HLOOKUP($AH265,Target_monthwise!$D$4:$O$20,DTR!Q$4,FALSE))*1000,0)</f>
        <v>0</v>
      </c>
      <c r="R265" s="167">
        <f>IFERROR((HLOOKUP($AH265,Target_monthwise!$D$4:$O$20,DTR!R$4,FALSE))*1000,0)</f>
        <v>0</v>
      </c>
      <c r="S265" s="147">
        <f>IFERROR((HLOOKUP($AH265,Target_monthwise!$D$24:$O$40,DTR!S$4,FALSE)),0)</f>
        <v>0</v>
      </c>
      <c r="T265" s="147">
        <f>IFERROR((HLOOKUP($AH265,Target_monthwise!$D$24:$O$40,DTR!T$4,FALSE)),0)</f>
        <v>0</v>
      </c>
      <c r="U265" s="147">
        <f>IFERROR((HLOOKUP($AH265,Target_monthwise!$D$24:$O$40,DTR!U$4,FALSE)),0)</f>
        <v>0</v>
      </c>
      <c r="V265" s="147">
        <f>IFERROR((HLOOKUP($AH265,Target_monthwise!$D$24:$O$40,DTR!V$4,FALSE)),0)</f>
        <v>0</v>
      </c>
      <c r="W265" s="147">
        <f>IFERROR((HLOOKUP($AH265,Target_monthwise!$D$24:$O$40,DTR!W$4,FALSE)),0)</f>
        <v>0</v>
      </c>
      <c r="X265" s="147">
        <f>IFERROR((HLOOKUP($AH265,Target_monthwise!$D$24:$O$40,DTR!X$4,FALSE)),0)</f>
        <v>0</v>
      </c>
      <c r="Y265" s="147">
        <f>IFERROR((HLOOKUP($AH265,Target_monthwise!$D$24:$O$40,DTR!Y$4,FALSE)),0)</f>
        <v>0</v>
      </c>
      <c r="Z265" s="147">
        <f>IFERROR((HLOOKUP($AH265,Target_monthwise!$D$24:$O$40,DTR!Z$4,FALSE)),0)</f>
        <v>0</v>
      </c>
      <c r="AA265" s="147">
        <f>IFERROR((HLOOKUP($AH265,Target_monthwise!$D$24:$O$40,DTR!AA$4,FALSE)),0)</f>
        <v>0</v>
      </c>
      <c r="AB265" s="147">
        <f>IFERROR((HLOOKUP($AH265,Target_monthwise!$D$24:$O$40,DTR!AB$4,FALSE)),0)</f>
        <v>0</v>
      </c>
      <c r="AC265" s="147">
        <f>IFERROR((HLOOKUP($AH265,Target_monthwise!$D$24:$O$40,DTR!AC$4,FALSE)),0)</f>
        <v>0</v>
      </c>
      <c r="AD265" s="147">
        <f>IFERROR((HLOOKUP($AH265,Target_monthwise!$D$24:$O$40,DTR!AD$4,FALSE)),0)</f>
        <v>0</v>
      </c>
      <c r="AE265" s="147">
        <f>IFERROR((HLOOKUP($AH265,Target_monthwise!$D$24:$O$40,DTR!AE$4,FALSE)),0)</f>
        <v>0</v>
      </c>
      <c r="AF265" s="147">
        <f>IFERROR((HLOOKUP($AH265,Target_monthwise!$D$24:$O$40,DTR!AF$4,FALSE)),0)</f>
        <v>0</v>
      </c>
      <c r="AG265" s="172">
        <f>IFERROR((HLOOKUP($AH265,Target_monthwise!$D$24:$O$40,DTR!AG$4,FALSE)),0)</f>
        <v>0</v>
      </c>
      <c r="AH265" s="253">
        <f t="shared" si="3"/>
        <v>202212</v>
      </c>
    </row>
    <row r="266" spans="3:34" ht="15.75" hidden="1">
      <c r="C266" s="237">
        <v>44909</v>
      </c>
      <c r="D266" s="238">
        <f>IFERROR((HLOOKUP($AH266,Target_monthwise!$D$4:$O$20,DTR!D$4,FALSE))*1000,0)</f>
        <v>0</v>
      </c>
      <c r="E266" s="238">
        <f>IFERROR((HLOOKUP($AH266,Target_monthwise!$D$4:$O$20,DTR!E$4,FALSE))*1000,0)</f>
        <v>0</v>
      </c>
      <c r="F266" s="238">
        <f>IFERROR((HLOOKUP($AH266,Target_monthwise!$D$4:$O$20,DTR!F$4,FALSE))*1000,0)</f>
        <v>0</v>
      </c>
      <c r="G266" s="238">
        <f>IFERROR((HLOOKUP($AH266,Target_monthwise!$D$4:$O$20,DTR!G$4,FALSE))*1000,0)</f>
        <v>0</v>
      </c>
      <c r="H266" s="238">
        <f>IFERROR((HLOOKUP($AH266,Target_monthwise!$D$4:$O$20,DTR!H$4,FALSE))*1000,0)</f>
        <v>0</v>
      </c>
      <c r="I266" s="238">
        <f>IFERROR((HLOOKUP($AH266,Target_monthwise!$D$4:$O$20,DTR!I$4,FALSE))*1000,0)</f>
        <v>0</v>
      </c>
      <c r="J266" s="238">
        <f>IFERROR((HLOOKUP($AH266,Target_monthwise!$D$4:$O$20,DTR!J$4,FALSE))*1000,0)</f>
        <v>0</v>
      </c>
      <c r="K266" s="238">
        <f>IFERROR((HLOOKUP($AH266,Target_monthwise!$D$4:$O$20,DTR!K$4,FALSE))*1000,0)</f>
        <v>0</v>
      </c>
      <c r="L266" s="238">
        <f>IFERROR((HLOOKUP($AH266,Target_monthwise!$D$4:$O$20,DTR!L$4,FALSE))*1000,0)</f>
        <v>0</v>
      </c>
      <c r="M266" s="238">
        <f>IFERROR((HLOOKUP($AH266,Target_monthwise!$D$4:$O$20,DTR!M$4,FALSE))*1000,0)</f>
        <v>0</v>
      </c>
      <c r="N266" s="238">
        <f>IFERROR((HLOOKUP($AH266,Target_monthwise!$D$4:$O$20,DTR!N$4,FALSE))*1000,0)</f>
        <v>0</v>
      </c>
      <c r="O266" s="238">
        <f>IFERROR((HLOOKUP($AH266,Target_monthwise!$D$4:$O$20,DTR!O$4,FALSE))*1000,0)</f>
        <v>0</v>
      </c>
      <c r="P266" s="238">
        <f>IFERROR((HLOOKUP($AH266,Target_monthwise!$D$4:$O$20,DTR!P$4,FALSE))*1000,0)</f>
        <v>0</v>
      </c>
      <c r="Q266" s="141">
        <f>IFERROR((HLOOKUP($AH266,Target_monthwise!$D$4:$O$20,DTR!Q$4,FALSE))*1000,0)</f>
        <v>0</v>
      </c>
      <c r="R266" s="167">
        <f>IFERROR((HLOOKUP($AH266,Target_monthwise!$D$4:$O$20,DTR!R$4,FALSE))*1000,0)</f>
        <v>0</v>
      </c>
      <c r="S266" s="239">
        <f>IFERROR((HLOOKUP($AH266,Target_monthwise!$D$24:$O$40,DTR!S$4,FALSE)),0)</f>
        <v>0</v>
      </c>
      <c r="T266" s="239">
        <f>IFERROR((HLOOKUP($AH266,Target_monthwise!$D$24:$O$40,DTR!T$4,FALSE)),0)</f>
        <v>0</v>
      </c>
      <c r="U266" s="239">
        <f>IFERROR((HLOOKUP($AH266,Target_monthwise!$D$24:$O$40,DTR!U$4,FALSE)),0)</f>
        <v>0</v>
      </c>
      <c r="V266" s="239">
        <f>IFERROR((HLOOKUP($AH266,Target_monthwise!$D$24:$O$40,DTR!V$4,FALSE)),0)</f>
        <v>0</v>
      </c>
      <c r="W266" s="239">
        <f>IFERROR((HLOOKUP($AH266,Target_monthwise!$D$24:$O$40,DTR!W$4,FALSE)),0)</f>
        <v>0</v>
      </c>
      <c r="X266" s="239">
        <f>IFERROR((HLOOKUP($AH266,Target_monthwise!$D$24:$O$40,DTR!X$4,FALSE)),0)</f>
        <v>0</v>
      </c>
      <c r="Y266" s="239">
        <f>IFERROR((HLOOKUP($AH266,Target_monthwise!$D$24:$O$40,DTR!Y$4,FALSE)),0)</f>
        <v>0</v>
      </c>
      <c r="Z266" s="147">
        <f>IFERROR((HLOOKUP($AH266,Target_monthwise!$D$24:$O$40,DTR!Z$4,FALSE)),0)</f>
        <v>0</v>
      </c>
      <c r="AA266" s="147">
        <f>IFERROR((HLOOKUP($AH266,Target_monthwise!$D$24:$O$40,DTR!AA$4,FALSE)),0)</f>
        <v>0</v>
      </c>
      <c r="AB266" s="147">
        <f>IFERROR((HLOOKUP($AH266,Target_monthwise!$D$24:$O$40,DTR!AB$4,FALSE)),0)</f>
        <v>0</v>
      </c>
      <c r="AC266" s="239">
        <f>IFERROR((HLOOKUP($AH266,Target_monthwise!$D$24:$O$40,DTR!AC$4,FALSE)),0)</f>
        <v>0</v>
      </c>
      <c r="AD266" s="239">
        <f>IFERROR((HLOOKUP($AH266,Target_monthwise!$D$24:$O$40,DTR!AD$4,FALSE)),0)</f>
        <v>0</v>
      </c>
      <c r="AE266" s="239">
        <f>IFERROR((HLOOKUP($AH266,Target_monthwise!$D$24:$O$40,DTR!AE$4,FALSE)),0)</f>
        <v>0</v>
      </c>
      <c r="AF266" s="239">
        <f>IFERROR((HLOOKUP($AH266,Target_monthwise!$D$24:$O$40,DTR!AF$4,FALSE)),0)</f>
        <v>0</v>
      </c>
      <c r="AG266" s="172">
        <f>IFERROR((HLOOKUP($AH266,Target_monthwise!$D$24:$O$40,DTR!AG$4,FALSE)),0)</f>
        <v>0</v>
      </c>
      <c r="AH266" s="253">
        <f t="shared" ref="AH266:AH329" si="4">YEAR(C266)*100+MONTH(C266)</f>
        <v>202212</v>
      </c>
    </row>
    <row r="267" spans="3:34" ht="15.75" hidden="1">
      <c r="C267" s="235">
        <v>44910</v>
      </c>
      <c r="D267" s="141">
        <f>IFERROR((HLOOKUP($AH267,Target_monthwise!$D$4:$O$20,DTR!D$4,FALSE))*1000,0)</f>
        <v>0</v>
      </c>
      <c r="E267" s="141">
        <f>IFERROR((HLOOKUP($AH267,Target_monthwise!$D$4:$O$20,DTR!E$4,FALSE))*1000,0)</f>
        <v>0</v>
      </c>
      <c r="F267" s="141">
        <f>IFERROR((HLOOKUP($AH267,Target_monthwise!$D$4:$O$20,DTR!F$4,FALSE))*1000,0)</f>
        <v>0</v>
      </c>
      <c r="G267" s="141">
        <f>IFERROR((HLOOKUP($AH267,Target_monthwise!$D$4:$O$20,DTR!G$4,FALSE))*1000,0)</f>
        <v>0</v>
      </c>
      <c r="H267" s="141">
        <f>IFERROR((HLOOKUP($AH267,Target_monthwise!$D$4:$O$20,DTR!H$4,FALSE))*1000,0)</f>
        <v>0</v>
      </c>
      <c r="I267" s="141">
        <f>IFERROR((HLOOKUP($AH267,Target_monthwise!$D$4:$O$20,DTR!I$4,FALSE))*1000,0)</f>
        <v>0</v>
      </c>
      <c r="J267" s="141">
        <f>IFERROR((HLOOKUP($AH267,Target_monthwise!$D$4:$O$20,DTR!J$4,FALSE))*1000,0)</f>
        <v>0</v>
      </c>
      <c r="K267" s="141">
        <f>IFERROR((HLOOKUP($AH267,Target_monthwise!$D$4:$O$20,DTR!K$4,FALSE))*1000,0)</f>
        <v>0</v>
      </c>
      <c r="L267" s="141">
        <f>IFERROR((HLOOKUP($AH267,Target_monthwise!$D$4:$O$20,DTR!L$4,FALSE))*1000,0)</f>
        <v>0</v>
      </c>
      <c r="M267" s="141">
        <f>IFERROR((HLOOKUP($AH267,Target_monthwise!$D$4:$O$20,DTR!M$4,FALSE))*1000,0)</f>
        <v>0</v>
      </c>
      <c r="N267" s="141">
        <f>IFERROR((HLOOKUP($AH267,Target_monthwise!$D$4:$O$20,DTR!N$4,FALSE))*1000,0)</f>
        <v>0</v>
      </c>
      <c r="O267" s="141">
        <f>IFERROR((HLOOKUP($AH267,Target_monthwise!$D$4:$O$20,DTR!O$4,FALSE))*1000,0)</f>
        <v>0</v>
      </c>
      <c r="P267" s="141">
        <f>IFERROR((HLOOKUP($AH267,Target_monthwise!$D$4:$O$20,DTR!P$4,FALSE))*1000,0)</f>
        <v>0</v>
      </c>
      <c r="Q267" s="141">
        <f>IFERROR((HLOOKUP($AH267,Target_monthwise!$D$4:$O$20,DTR!Q$4,FALSE))*1000,0)</f>
        <v>0</v>
      </c>
      <c r="R267" s="167">
        <f>IFERROR((HLOOKUP($AH267,Target_monthwise!$D$4:$O$20,DTR!R$4,FALSE))*1000,0)</f>
        <v>0</v>
      </c>
      <c r="S267" s="147">
        <f>IFERROR((HLOOKUP($AH267,Target_monthwise!$D$24:$O$40,DTR!S$4,FALSE)),0)</f>
        <v>0</v>
      </c>
      <c r="T267" s="147">
        <f>IFERROR((HLOOKUP($AH267,Target_monthwise!$D$24:$O$40,DTR!T$4,FALSE)),0)</f>
        <v>0</v>
      </c>
      <c r="U267" s="147">
        <f>IFERROR((HLOOKUP($AH267,Target_monthwise!$D$24:$O$40,DTR!U$4,FALSE)),0)</f>
        <v>0</v>
      </c>
      <c r="V267" s="147">
        <f>IFERROR((HLOOKUP($AH267,Target_monthwise!$D$24:$O$40,DTR!V$4,FALSE)),0)</f>
        <v>0</v>
      </c>
      <c r="W267" s="147">
        <f>IFERROR((HLOOKUP($AH267,Target_monthwise!$D$24:$O$40,DTR!W$4,FALSE)),0)</f>
        <v>0</v>
      </c>
      <c r="X267" s="147">
        <f>IFERROR((HLOOKUP($AH267,Target_monthwise!$D$24:$O$40,DTR!X$4,FALSE)),0)</f>
        <v>0</v>
      </c>
      <c r="Y267" s="147">
        <f>IFERROR((HLOOKUP($AH267,Target_monthwise!$D$24:$O$40,DTR!Y$4,FALSE)),0)</f>
        <v>0</v>
      </c>
      <c r="Z267" s="147">
        <f>IFERROR((HLOOKUP($AH267,Target_monthwise!$D$24:$O$40,DTR!Z$4,FALSE)),0)</f>
        <v>0</v>
      </c>
      <c r="AA267" s="147">
        <f>IFERROR((HLOOKUP($AH267,Target_monthwise!$D$24:$O$40,DTR!AA$4,FALSE)),0)</f>
        <v>0</v>
      </c>
      <c r="AB267" s="147">
        <f>IFERROR((HLOOKUP($AH267,Target_monthwise!$D$24:$O$40,DTR!AB$4,FALSE)),0)</f>
        <v>0</v>
      </c>
      <c r="AC267" s="147">
        <f>IFERROR((HLOOKUP($AH267,Target_monthwise!$D$24:$O$40,DTR!AC$4,FALSE)),0)</f>
        <v>0</v>
      </c>
      <c r="AD267" s="147">
        <f>IFERROR((HLOOKUP($AH267,Target_monthwise!$D$24:$O$40,DTR!AD$4,FALSE)),0)</f>
        <v>0</v>
      </c>
      <c r="AE267" s="147">
        <f>IFERROR((HLOOKUP($AH267,Target_monthwise!$D$24:$O$40,DTR!AE$4,FALSE)),0)</f>
        <v>0</v>
      </c>
      <c r="AF267" s="147">
        <f>IFERROR((HLOOKUP($AH267,Target_monthwise!$D$24:$O$40,DTR!AF$4,FALSE)),0)</f>
        <v>0</v>
      </c>
      <c r="AG267" s="172">
        <f>IFERROR((HLOOKUP($AH267,Target_monthwise!$D$24:$O$40,DTR!AG$4,FALSE)),0)</f>
        <v>0</v>
      </c>
      <c r="AH267" s="253">
        <f t="shared" si="4"/>
        <v>202212</v>
      </c>
    </row>
    <row r="268" spans="3:34" ht="15.75" hidden="1">
      <c r="C268" s="237">
        <v>44911</v>
      </c>
      <c r="D268" s="238">
        <f>IFERROR((HLOOKUP($AH268,Target_monthwise!$D$4:$O$20,DTR!D$4,FALSE))*1000,0)</f>
        <v>0</v>
      </c>
      <c r="E268" s="238">
        <f>IFERROR((HLOOKUP($AH268,Target_monthwise!$D$4:$O$20,DTR!E$4,FALSE))*1000,0)</f>
        <v>0</v>
      </c>
      <c r="F268" s="238">
        <f>IFERROR((HLOOKUP($AH268,Target_monthwise!$D$4:$O$20,DTR!F$4,FALSE))*1000,0)</f>
        <v>0</v>
      </c>
      <c r="G268" s="238">
        <f>IFERROR((HLOOKUP($AH268,Target_monthwise!$D$4:$O$20,DTR!G$4,FALSE))*1000,0)</f>
        <v>0</v>
      </c>
      <c r="H268" s="238">
        <f>IFERROR((HLOOKUP($AH268,Target_monthwise!$D$4:$O$20,DTR!H$4,FALSE))*1000,0)</f>
        <v>0</v>
      </c>
      <c r="I268" s="238">
        <f>IFERROR((HLOOKUP($AH268,Target_monthwise!$D$4:$O$20,DTR!I$4,FALSE))*1000,0)</f>
        <v>0</v>
      </c>
      <c r="J268" s="238">
        <f>IFERROR((HLOOKUP($AH268,Target_monthwise!$D$4:$O$20,DTR!J$4,FALSE))*1000,0)</f>
        <v>0</v>
      </c>
      <c r="K268" s="238">
        <f>IFERROR((HLOOKUP($AH268,Target_monthwise!$D$4:$O$20,DTR!K$4,FALSE))*1000,0)</f>
        <v>0</v>
      </c>
      <c r="L268" s="238">
        <f>IFERROR((HLOOKUP($AH268,Target_monthwise!$D$4:$O$20,DTR!L$4,FALSE))*1000,0)</f>
        <v>0</v>
      </c>
      <c r="M268" s="238">
        <f>IFERROR((HLOOKUP($AH268,Target_monthwise!$D$4:$O$20,DTR!M$4,FALSE))*1000,0)</f>
        <v>0</v>
      </c>
      <c r="N268" s="238">
        <f>IFERROR((HLOOKUP($AH268,Target_monthwise!$D$4:$O$20,DTR!N$4,FALSE))*1000,0)</f>
        <v>0</v>
      </c>
      <c r="O268" s="238">
        <f>IFERROR((HLOOKUP($AH268,Target_monthwise!$D$4:$O$20,DTR!O$4,FALSE))*1000,0)</f>
        <v>0</v>
      </c>
      <c r="P268" s="238">
        <f>IFERROR((HLOOKUP($AH268,Target_monthwise!$D$4:$O$20,DTR!P$4,FALSE))*1000,0)</f>
        <v>0</v>
      </c>
      <c r="Q268" s="141">
        <f>IFERROR((HLOOKUP($AH268,Target_monthwise!$D$4:$O$20,DTR!Q$4,FALSE))*1000,0)</f>
        <v>0</v>
      </c>
      <c r="R268" s="167">
        <f>IFERROR((HLOOKUP($AH268,Target_monthwise!$D$4:$O$20,DTR!R$4,FALSE))*1000,0)</f>
        <v>0</v>
      </c>
      <c r="S268" s="239">
        <f>IFERROR((HLOOKUP($AH268,Target_monthwise!$D$24:$O$40,DTR!S$4,FALSE)),0)</f>
        <v>0</v>
      </c>
      <c r="T268" s="239">
        <f>IFERROR((HLOOKUP($AH268,Target_monthwise!$D$24:$O$40,DTR!T$4,FALSE)),0)</f>
        <v>0</v>
      </c>
      <c r="U268" s="239">
        <f>IFERROR((HLOOKUP($AH268,Target_monthwise!$D$24:$O$40,DTR!U$4,FALSE)),0)</f>
        <v>0</v>
      </c>
      <c r="V268" s="239">
        <f>IFERROR((HLOOKUP($AH268,Target_monthwise!$D$24:$O$40,DTR!V$4,FALSE)),0)</f>
        <v>0</v>
      </c>
      <c r="W268" s="239">
        <f>IFERROR((HLOOKUP($AH268,Target_monthwise!$D$24:$O$40,DTR!W$4,FALSE)),0)</f>
        <v>0</v>
      </c>
      <c r="X268" s="239">
        <f>IFERROR((HLOOKUP($AH268,Target_monthwise!$D$24:$O$40,DTR!X$4,FALSE)),0)</f>
        <v>0</v>
      </c>
      <c r="Y268" s="239">
        <f>IFERROR((HLOOKUP($AH268,Target_monthwise!$D$24:$O$40,DTR!Y$4,FALSE)),0)</f>
        <v>0</v>
      </c>
      <c r="Z268" s="147">
        <f>IFERROR((HLOOKUP($AH268,Target_monthwise!$D$24:$O$40,DTR!Z$4,FALSE)),0)</f>
        <v>0</v>
      </c>
      <c r="AA268" s="147">
        <f>IFERROR((HLOOKUP($AH268,Target_monthwise!$D$24:$O$40,DTR!AA$4,FALSE)),0)</f>
        <v>0</v>
      </c>
      <c r="AB268" s="147">
        <f>IFERROR((HLOOKUP($AH268,Target_monthwise!$D$24:$O$40,DTR!AB$4,FALSE)),0)</f>
        <v>0</v>
      </c>
      <c r="AC268" s="239">
        <f>IFERROR((HLOOKUP($AH268,Target_monthwise!$D$24:$O$40,DTR!AC$4,FALSE)),0)</f>
        <v>0</v>
      </c>
      <c r="AD268" s="239">
        <f>IFERROR((HLOOKUP($AH268,Target_monthwise!$D$24:$O$40,DTR!AD$4,FALSE)),0)</f>
        <v>0</v>
      </c>
      <c r="AE268" s="239">
        <f>IFERROR((HLOOKUP($AH268,Target_monthwise!$D$24:$O$40,DTR!AE$4,FALSE)),0)</f>
        <v>0</v>
      </c>
      <c r="AF268" s="239">
        <f>IFERROR((HLOOKUP($AH268,Target_monthwise!$D$24:$O$40,DTR!AF$4,FALSE)),0)</f>
        <v>0</v>
      </c>
      <c r="AG268" s="172">
        <f>IFERROR((HLOOKUP($AH268,Target_monthwise!$D$24:$O$40,DTR!AG$4,FALSE)),0)</f>
        <v>0</v>
      </c>
      <c r="AH268" s="253">
        <f t="shared" si="4"/>
        <v>202212</v>
      </c>
    </row>
    <row r="269" spans="3:34" ht="15.75" hidden="1">
      <c r="C269" s="235">
        <v>44912</v>
      </c>
      <c r="D269" s="141">
        <f>IFERROR((HLOOKUP($AH269,Target_monthwise!$D$4:$O$20,DTR!D$4,FALSE))*1000,0)</f>
        <v>0</v>
      </c>
      <c r="E269" s="141">
        <f>IFERROR((HLOOKUP($AH269,Target_monthwise!$D$4:$O$20,DTR!E$4,FALSE))*1000,0)</f>
        <v>0</v>
      </c>
      <c r="F269" s="141">
        <f>IFERROR((HLOOKUP($AH269,Target_monthwise!$D$4:$O$20,DTR!F$4,FALSE))*1000,0)</f>
        <v>0</v>
      </c>
      <c r="G269" s="141">
        <f>IFERROR((HLOOKUP($AH269,Target_monthwise!$D$4:$O$20,DTR!G$4,FALSE))*1000,0)</f>
        <v>0</v>
      </c>
      <c r="H269" s="141">
        <f>IFERROR((HLOOKUP($AH269,Target_monthwise!$D$4:$O$20,DTR!H$4,FALSE))*1000,0)</f>
        <v>0</v>
      </c>
      <c r="I269" s="141">
        <f>IFERROR((HLOOKUP($AH269,Target_monthwise!$D$4:$O$20,DTR!I$4,FALSE))*1000,0)</f>
        <v>0</v>
      </c>
      <c r="J269" s="141">
        <f>IFERROR((HLOOKUP($AH269,Target_monthwise!$D$4:$O$20,DTR!J$4,FALSE))*1000,0)</f>
        <v>0</v>
      </c>
      <c r="K269" s="141">
        <f>IFERROR((HLOOKUP($AH269,Target_monthwise!$D$4:$O$20,DTR!K$4,FALSE))*1000,0)</f>
        <v>0</v>
      </c>
      <c r="L269" s="141">
        <f>IFERROR((HLOOKUP($AH269,Target_monthwise!$D$4:$O$20,DTR!L$4,FALSE))*1000,0)</f>
        <v>0</v>
      </c>
      <c r="M269" s="141">
        <f>IFERROR((HLOOKUP($AH269,Target_monthwise!$D$4:$O$20,DTR!M$4,FALSE))*1000,0)</f>
        <v>0</v>
      </c>
      <c r="N269" s="141">
        <f>IFERROR((HLOOKUP($AH269,Target_monthwise!$D$4:$O$20,DTR!N$4,FALSE))*1000,0)</f>
        <v>0</v>
      </c>
      <c r="O269" s="141">
        <f>IFERROR((HLOOKUP($AH269,Target_monthwise!$D$4:$O$20,DTR!O$4,FALSE))*1000,0)</f>
        <v>0</v>
      </c>
      <c r="P269" s="141">
        <f>IFERROR((HLOOKUP($AH269,Target_monthwise!$D$4:$O$20,DTR!P$4,FALSE))*1000,0)</f>
        <v>0</v>
      </c>
      <c r="Q269" s="141">
        <f>IFERROR((HLOOKUP($AH269,Target_monthwise!$D$4:$O$20,DTR!Q$4,FALSE))*1000,0)</f>
        <v>0</v>
      </c>
      <c r="R269" s="167">
        <f>IFERROR((HLOOKUP($AH269,Target_monthwise!$D$4:$O$20,DTR!R$4,FALSE))*1000,0)</f>
        <v>0</v>
      </c>
      <c r="S269" s="147">
        <f>IFERROR((HLOOKUP($AH269,Target_monthwise!$D$24:$O$40,DTR!S$4,FALSE)),0)</f>
        <v>0</v>
      </c>
      <c r="T269" s="147">
        <f>IFERROR((HLOOKUP($AH269,Target_monthwise!$D$24:$O$40,DTR!T$4,FALSE)),0)</f>
        <v>0</v>
      </c>
      <c r="U269" s="147">
        <f>IFERROR((HLOOKUP($AH269,Target_monthwise!$D$24:$O$40,DTR!U$4,FALSE)),0)</f>
        <v>0</v>
      </c>
      <c r="V269" s="147">
        <f>IFERROR((HLOOKUP($AH269,Target_monthwise!$D$24:$O$40,DTR!V$4,FALSE)),0)</f>
        <v>0</v>
      </c>
      <c r="W269" s="147">
        <f>IFERROR((HLOOKUP($AH269,Target_monthwise!$D$24:$O$40,DTR!W$4,FALSE)),0)</f>
        <v>0</v>
      </c>
      <c r="X269" s="147">
        <f>IFERROR((HLOOKUP($AH269,Target_monthwise!$D$24:$O$40,DTR!X$4,FALSE)),0)</f>
        <v>0</v>
      </c>
      <c r="Y269" s="147">
        <f>IFERROR((HLOOKUP($AH269,Target_monthwise!$D$24:$O$40,DTR!Y$4,FALSE)),0)</f>
        <v>0</v>
      </c>
      <c r="Z269" s="147">
        <f>IFERROR((HLOOKUP($AH269,Target_monthwise!$D$24:$O$40,DTR!Z$4,FALSE)),0)</f>
        <v>0</v>
      </c>
      <c r="AA269" s="147">
        <f>IFERROR((HLOOKUP($AH269,Target_monthwise!$D$24:$O$40,DTR!AA$4,FALSE)),0)</f>
        <v>0</v>
      </c>
      <c r="AB269" s="147">
        <f>IFERROR((HLOOKUP($AH269,Target_monthwise!$D$24:$O$40,DTR!AB$4,FALSE)),0)</f>
        <v>0</v>
      </c>
      <c r="AC269" s="147">
        <f>IFERROR((HLOOKUP($AH269,Target_monthwise!$D$24:$O$40,DTR!AC$4,FALSE)),0)</f>
        <v>0</v>
      </c>
      <c r="AD269" s="147">
        <f>IFERROR((HLOOKUP($AH269,Target_monthwise!$D$24:$O$40,DTR!AD$4,FALSE)),0)</f>
        <v>0</v>
      </c>
      <c r="AE269" s="147">
        <f>IFERROR((HLOOKUP($AH269,Target_monthwise!$D$24:$O$40,DTR!AE$4,FALSE)),0)</f>
        <v>0</v>
      </c>
      <c r="AF269" s="147">
        <f>IFERROR((HLOOKUP($AH269,Target_monthwise!$D$24:$O$40,DTR!AF$4,FALSE)),0)</f>
        <v>0</v>
      </c>
      <c r="AG269" s="172">
        <f>IFERROR((HLOOKUP($AH269,Target_monthwise!$D$24:$O$40,DTR!AG$4,FALSE)),0)</f>
        <v>0</v>
      </c>
      <c r="AH269" s="253">
        <f t="shared" si="4"/>
        <v>202212</v>
      </c>
    </row>
    <row r="270" spans="3:34" ht="15.75" hidden="1">
      <c r="C270" s="237">
        <v>44913</v>
      </c>
      <c r="D270" s="238">
        <f>IFERROR((HLOOKUP($AH270,Target_monthwise!$D$4:$O$20,DTR!D$4,FALSE))*1000,0)</f>
        <v>0</v>
      </c>
      <c r="E270" s="238">
        <f>IFERROR((HLOOKUP($AH270,Target_monthwise!$D$4:$O$20,DTR!E$4,FALSE))*1000,0)</f>
        <v>0</v>
      </c>
      <c r="F270" s="238">
        <f>IFERROR((HLOOKUP($AH270,Target_monthwise!$D$4:$O$20,DTR!F$4,FALSE))*1000,0)</f>
        <v>0</v>
      </c>
      <c r="G270" s="238">
        <f>IFERROR((HLOOKUP($AH270,Target_monthwise!$D$4:$O$20,DTR!G$4,FALSE))*1000,0)</f>
        <v>0</v>
      </c>
      <c r="H270" s="238">
        <f>IFERROR((HLOOKUP($AH270,Target_monthwise!$D$4:$O$20,DTR!H$4,FALSE))*1000,0)</f>
        <v>0</v>
      </c>
      <c r="I270" s="238">
        <f>IFERROR((HLOOKUP($AH270,Target_monthwise!$D$4:$O$20,DTR!I$4,FALSE))*1000,0)</f>
        <v>0</v>
      </c>
      <c r="J270" s="238">
        <f>IFERROR((HLOOKUP($AH270,Target_monthwise!$D$4:$O$20,DTR!J$4,FALSE))*1000,0)</f>
        <v>0</v>
      </c>
      <c r="K270" s="238">
        <f>IFERROR((HLOOKUP($AH270,Target_monthwise!$D$4:$O$20,DTR!K$4,FALSE))*1000,0)</f>
        <v>0</v>
      </c>
      <c r="L270" s="238">
        <f>IFERROR((HLOOKUP($AH270,Target_monthwise!$D$4:$O$20,DTR!L$4,FALSE))*1000,0)</f>
        <v>0</v>
      </c>
      <c r="M270" s="238">
        <f>IFERROR((HLOOKUP($AH270,Target_monthwise!$D$4:$O$20,DTR!M$4,FALSE))*1000,0)</f>
        <v>0</v>
      </c>
      <c r="N270" s="238">
        <f>IFERROR((HLOOKUP($AH270,Target_monthwise!$D$4:$O$20,DTR!N$4,FALSE))*1000,0)</f>
        <v>0</v>
      </c>
      <c r="O270" s="238">
        <f>IFERROR((HLOOKUP($AH270,Target_monthwise!$D$4:$O$20,DTR!O$4,FALSE))*1000,0)</f>
        <v>0</v>
      </c>
      <c r="P270" s="238">
        <f>IFERROR((HLOOKUP($AH270,Target_monthwise!$D$4:$O$20,DTR!P$4,FALSE))*1000,0)</f>
        <v>0</v>
      </c>
      <c r="Q270" s="141">
        <f>IFERROR((HLOOKUP($AH270,Target_monthwise!$D$4:$O$20,DTR!Q$4,FALSE))*1000,0)</f>
        <v>0</v>
      </c>
      <c r="R270" s="167">
        <f>IFERROR((HLOOKUP($AH270,Target_monthwise!$D$4:$O$20,DTR!R$4,FALSE))*1000,0)</f>
        <v>0</v>
      </c>
      <c r="S270" s="239">
        <f>IFERROR((HLOOKUP($AH270,Target_monthwise!$D$24:$O$40,DTR!S$4,FALSE)),0)</f>
        <v>0</v>
      </c>
      <c r="T270" s="239">
        <f>IFERROR((HLOOKUP($AH270,Target_monthwise!$D$24:$O$40,DTR!T$4,FALSE)),0)</f>
        <v>0</v>
      </c>
      <c r="U270" s="239">
        <f>IFERROR((HLOOKUP($AH270,Target_monthwise!$D$24:$O$40,DTR!U$4,FALSE)),0)</f>
        <v>0</v>
      </c>
      <c r="V270" s="239">
        <f>IFERROR((HLOOKUP($AH270,Target_monthwise!$D$24:$O$40,DTR!V$4,FALSE)),0)</f>
        <v>0</v>
      </c>
      <c r="W270" s="239">
        <f>IFERROR((HLOOKUP($AH270,Target_monthwise!$D$24:$O$40,DTR!W$4,FALSE)),0)</f>
        <v>0</v>
      </c>
      <c r="X270" s="239">
        <f>IFERROR((HLOOKUP($AH270,Target_monthwise!$D$24:$O$40,DTR!X$4,FALSE)),0)</f>
        <v>0</v>
      </c>
      <c r="Y270" s="239">
        <f>IFERROR((HLOOKUP($AH270,Target_monthwise!$D$24:$O$40,DTR!Y$4,FALSE)),0)</f>
        <v>0</v>
      </c>
      <c r="Z270" s="147">
        <f>IFERROR((HLOOKUP($AH270,Target_monthwise!$D$24:$O$40,DTR!Z$4,FALSE)),0)</f>
        <v>0</v>
      </c>
      <c r="AA270" s="147">
        <f>IFERROR((HLOOKUP($AH270,Target_monthwise!$D$24:$O$40,DTR!AA$4,FALSE)),0)</f>
        <v>0</v>
      </c>
      <c r="AB270" s="147">
        <f>IFERROR((HLOOKUP($AH270,Target_monthwise!$D$24:$O$40,DTR!AB$4,FALSE)),0)</f>
        <v>0</v>
      </c>
      <c r="AC270" s="239">
        <f>IFERROR((HLOOKUP($AH270,Target_monthwise!$D$24:$O$40,DTR!AC$4,FALSE)),0)</f>
        <v>0</v>
      </c>
      <c r="AD270" s="239">
        <f>IFERROR((HLOOKUP($AH270,Target_monthwise!$D$24:$O$40,DTR!AD$4,FALSE)),0)</f>
        <v>0</v>
      </c>
      <c r="AE270" s="239">
        <f>IFERROR((HLOOKUP($AH270,Target_monthwise!$D$24:$O$40,DTR!AE$4,FALSE)),0)</f>
        <v>0</v>
      </c>
      <c r="AF270" s="239">
        <f>IFERROR((HLOOKUP($AH270,Target_monthwise!$D$24:$O$40,DTR!AF$4,FALSE)),0)</f>
        <v>0</v>
      </c>
      <c r="AG270" s="172">
        <f>IFERROR((HLOOKUP($AH270,Target_monthwise!$D$24:$O$40,DTR!AG$4,FALSE)),0)</f>
        <v>0</v>
      </c>
      <c r="AH270" s="253">
        <f t="shared" si="4"/>
        <v>202212</v>
      </c>
    </row>
    <row r="271" spans="3:34" ht="15.75" hidden="1">
      <c r="C271" s="235">
        <v>44914</v>
      </c>
      <c r="D271" s="141">
        <f>IFERROR((HLOOKUP($AH271,Target_monthwise!$D$4:$O$20,DTR!D$4,FALSE))*1000,0)</f>
        <v>0</v>
      </c>
      <c r="E271" s="141">
        <f>IFERROR((HLOOKUP($AH271,Target_monthwise!$D$4:$O$20,DTR!E$4,FALSE))*1000,0)</f>
        <v>0</v>
      </c>
      <c r="F271" s="141">
        <f>IFERROR((HLOOKUP($AH271,Target_monthwise!$D$4:$O$20,DTR!F$4,FALSE))*1000,0)</f>
        <v>0</v>
      </c>
      <c r="G271" s="141">
        <f>IFERROR((HLOOKUP($AH271,Target_monthwise!$D$4:$O$20,DTR!G$4,FALSE))*1000,0)</f>
        <v>0</v>
      </c>
      <c r="H271" s="141">
        <f>IFERROR((HLOOKUP($AH271,Target_monthwise!$D$4:$O$20,DTR!H$4,FALSE))*1000,0)</f>
        <v>0</v>
      </c>
      <c r="I271" s="141">
        <f>IFERROR((HLOOKUP($AH271,Target_monthwise!$D$4:$O$20,DTR!I$4,FALSE))*1000,0)</f>
        <v>0</v>
      </c>
      <c r="J271" s="141">
        <f>IFERROR((HLOOKUP($AH271,Target_monthwise!$D$4:$O$20,DTR!J$4,FALSE))*1000,0)</f>
        <v>0</v>
      </c>
      <c r="K271" s="141">
        <f>IFERROR((HLOOKUP($AH271,Target_monthwise!$D$4:$O$20,DTR!K$4,FALSE))*1000,0)</f>
        <v>0</v>
      </c>
      <c r="L271" s="141">
        <f>IFERROR((HLOOKUP($AH271,Target_monthwise!$D$4:$O$20,DTR!L$4,FALSE))*1000,0)</f>
        <v>0</v>
      </c>
      <c r="M271" s="141">
        <f>IFERROR((HLOOKUP($AH271,Target_monthwise!$D$4:$O$20,DTR!M$4,FALSE))*1000,0)</f>
        <v>0</v>
      </c>
      <c r="N271" s="141">
        <f>IFERROR((HLOOKUP($AH271,Target_monthwise!$D$4:$O$20,DTR!N$4,FALSE))*1000,0)</f>
        <v>0</v>
      </c>
      <c r="O271" s="141">
        <f>IFERROR((HLOOKUP($AH271,Target_monthwise!$D$4:$O$20,DTR!O$4,FALSE))*1000,0)</f>
        <v>0</v>
      </c>
      <c r="P271" s="141">
        <f>IFERROR((HLOOKUP($AH271,Target_monthwise!$D$4:$O$20,DTR!P$4,FALSE))*1000,0)</f>
        <v>0</v>
      </c>
      <c r="Q271" s="141">
        <f>IFERROR((HLOOKUP($AH271,Target_monthwise!$D$4:$O$20,DTR!Q$4,FALSE))*1000,0)</f>
        <v>0</v>
      </c>
      <c r="R271" s="167">
        <f>IFERROR((HLOOKUP($AH271,Target_monthwise!$D$4:$O$20,DTR!R$4,FALSE))*1000,0)</f>
        <v>0</v>
      </c>
      <c r="S271" s="147">
        <f>IFERROR((HLOOKUP($AH271,Target_monthwise!$D$24:$O$40,DTR!S$4,FALSE)),0)</f>
        <v>0</v>
      </c>
      <c r="T271" s="147">
        <f>IFERROR((HLOOKUP($AH271,Target_monthwise!$D$24:$O$40,DTR!T$4,FALSE)),0)</f>
        <v>0</v>
      </c>
      <c r="U271" s="147">
        <f>IFERROR((HLOOKUP($AH271,Target_monthwise!$D$24:$O$40,DTR!U$4,FALSE)),0)</f>
        <v>0</v>
      </c>
      <c r="V271" s="147">
        <f>IFERROR((HLOOKUP($AH271,Target_monthwise!$D$24:$O$40,DTR!V$4,FALSE)),0)</f>
        <v>0</v>
      </c>
      <c r="W271" s="147">
        <f>IFERROR((HLOOKUP($AH271,Target_monthwise!$D$24:$O$40,DTR!W$4,FALSE)),0)</f>
        <v>0</v>
      </c>
      <c r="X271" s="147">
        <f>IFERROR((HLOOKUP($AH271,Target_monthwise!$D$24:$O$40,DTR!X$4,FALSE)),0)</f>
        <v>0</v>
      </c>
      <c r="Y271" s="147">
        <f>IFERROR((HLOOKUP($AH271,Target_monthwise!$D$24:$O$40,DTR!Y$4,FALSE)),0)</f>
        <v>0</v>
      </c>
      <c r="Z271" s="147">
        <f>IFERROR((HLOOKUP($AH271,Target_monthwise!$D$24:$O$40,DTR!Z$4,FALSE)),0)</f>
        <v>0</v>
      </c>
      <c r="AA271" s="147">
        <f>IFERROR((HLOOKUP($AH271,Target_monthwise!$D$24:$O$40,DTR!AA$4,FALSE)),0)</f>
        <v>0</v>
      </c>
      <c r="AB271" s="147">
        <f>IFERROR((HLOOKUP($AH271,Target_monthwise!$D$24:$O$40,DTR!AB$4,FALSE)),0)</f>
        <v>0</v>
      </c>
      <c r="AC271" s="147">
        <f>IFERROR((HLOOKUP($AH271,Target_monthwise!$D$24:$O$40,DTR!AC$4,FALSE)),0)</f>
        <v>0</v>
      </c>
      <c r="AD271" s="147">
        <f>IFERROR((HLOOKUP($AH271,Target_monthwise!$D$24:$O$40,DTR!AD$4,FALSE)),0)</f>
        <v>0</v>
      </c>
      <c r="AE271" s="147">
        <f>IFERROR((HLOOKUP($AH271,Target_monthwise!$D$24:$O$40,DTR!AE$4,FALSE)),0)</f>
        <v>0</v>
      </c>
      <c r="AF271" s="147">
        <f>IFERROR((HLOOKUP($AH271,Target_monthwise!$D$24:$O$40,DTR!AF$4,FALSE)),0)</f>
        <v>0</v>
      </c>
      <c r="AG271" s="172">
        <f>IFERROR((HLOOKUP($AH271,Target_monthwise!$D$24:$O$40,DTR!AG$4,FALSE)),0)</f>
        <v>0</v>
      </c>
      <c r="AH271" s="253">
        <f t="shared" si="4"/>
        <v>202212</v>
      </c>
    </row>
    <row r="272" spans="3:34" ht="15.75" hidden="1">
      <c r="C272" s="237">
        <v>44915</v>
      </c>
      <c r="D272" s="238">
        <f>IFERROR((HLOOKUP($AH272,Target_monthwise!$D$4:$O$20,DTR!D$4,FALSE))*1000,0)</f>
        <v>0</v>
      </c>
      <c r="E272" s="238">
        <f>IFERROR((HLOOKUP($AH272,Target_monthwise!$D$4:$O$20,DTR!E$4,FALSE))*1000,0)</f>
        <v>0</v>
      </c>
      <c r="F272" s="238">
        <f>IFERROR((HLOOKUP($AH272,Target_monthwise!$D$4:$O$20,DTR!F$4,FALSE))*1000,0)</f>
        <v>0</v>
      </c>
      <c r="G272" s="238">
        <f>IFERROR((HLOOKUP($AH272,Target_monthwise!$D$4:$O$20,DTR!G$4,FALSE))*1000,0)</f>
        <v>0</v>
      </c>
      <c r="H272" s="238">
        <f>IFERROR((HLOOKUP($AH272,Target_monthwise!$D$4:$O$20,DTR!H$4,FALSE))*1000,0)</f>
        <v>0</v>
      </c>
      <c r="I272" s="238">
        <f>IFERROR((HLOOKUP($AH272,Target_monthwise!$D$4:$O$20,DTR!I$4,FALSE))*1000,0)</f>
        <v>0</v>
      </c>
      <c r="J272" s="238">
        <f>IFERROR((HLOOKUP($AH272,Target_monthwise!$D$4:$O$20,DTR!J$4,FALSE))*1000,0)</f>
        <v>0</v>
      </c>
      <c r="K272" s="238">
        <f>IFERROR((HLOOKUP($AH272,Target_monthwise!$D$4:$O$20,DTR!K$4,FALSE))*1000,0)</f>
        <v>0</v>
      </c>
      <c r="L272" s="238">
        <f>IFERROR((HLOOKUP($AH272,Target_monthwise!$D$4:$O$20,DTR!L$4,FALSE))*1000,0)</f>
        <v>0</v>
      </c>
      <c r="M272" s="238">
        <f>IFERROR((HLOOKUP($AH272,Target_monthwise!$D$4:$O$20,DTR!M$4,FALSE))*1000,0)</f>
        <v>0</v>
      </c>
      <c r="N272" s="238">
        <f>IFERROR((HLOOKUP($AH272,Target_monthwise!$D$4:$O$20,DTR!N$4,FALSE))*1000,0)</f>
        <v>0</v>
      </c>
      <c r="O272" s="238">
        <f>IFERROR((HLOOKUP($AH272,Target_monthwise!$D$4:$O$20,DTR!O$4,FALSE))*1000,0)</f>
        <v>0</v>
      </c>
      <c r="P272" s="238">
        <f>IFERROR((HLOOKUP($AH272,Target_monthwise!$D$4:$O$20,DTR!P$4,FALSE))*1000,0)</f>
        <v>0</v>
      </c>
      <c r="Q272" s="141">
        <f>IFERROR((HLOOKUP($AH272,Target_monthwise!$D$4:$O$20,DTR!Q$4,FALSE))*1000,0)</f>
        <v>0</v>
      </c>
      <c r="R272" s="167">
        <f>IFERROR((HLOOKUP($AH272,Target_monthwise!$D$4:$O$20,DTR!R$4,FALSE))*1000,0)</f>
        <v>0</v>
      </c>
      <c r="S272" s="239">
        <f>IFERROR((HLOOKUP($AH272,Target_monthwise!$D$24:$O$40,DTR!S$4,FALSE)),0)</f>
        <v>0</v>
      </c>
      <c r="T272" s="239">
        <f>IFERROR((HLOOKUP($AH272,Target_monthwise!$D$24:$O$40,DTR!T$4,FALSE)),0)</f>
        <v>0</v>
      </c>
      <c r="U272" s="239">
        <f>IFERROR((HLOOKUP($AH272,Target_monthwise!$D$24:$O$40,DTR!U$4,FALSE)),0)</f>
        <v>0</v>
      </c>
      <c r="V272" s="239">
        <f>IFERROR((HLOOKUP($AH272,Target_monthwise!$D$24:$O$40,DTR!V$4,FALSE)),0)</f>
        <v>0</v>
      </c>
      <c r="W272" s="239">
        <f>IFERROR((HLOOKUP($AH272,Target_monthwise!$D$24:$O$40,DTR!W$4,FALSE)),0)</f>
        <v>0</v>
      </c>
      <c r="X272" s="239">
        <f>IFERROR((HLOOKUP($AH272,Target_monthwise!$D$24:$O$40,DTR!X$4,FALSE)),0)</f>
        <v>0</v>
      </c>
      <c r="Y272" s="239">
        <f>IFERROR((HLOOKUP($AH272,Target_monthwise!$D$24:$O$40,DTR!Y$4,FALSE)),0)</f>
        <v>0</v>
      </c>
      <c r="Z272" s="147">
        <f>IFERROR((HLOOKUP($AH272,Target_monthwise!$D$24:$O$40,DTR!Z$4,FALSE)),0)</f>
        <v>0</v>
      </c>
      <c r="AA272" s="147">
        <f>IFERROR((HLOOKUP($AH272,Target_monthwise!$D$24:$O$40,DTR!AA$4,FALSE)),0)</f>
        <v>0</v>
      </c>
      <c r="AB272" s="147">
        <f>IFERROR((HLOOKUP($AH272,Target_monthwise!$D$24:$O$40,DTR!AB$4,FALSE)),0)</f>
        <v>0</v>
      </c>
      <c r="AC272" s="239">
        <f>IFERROR((HLOOKUP($AH272,Target_monthwise!$D$24:$O$40,DTR!AC$4,FALSE)),0)</f>
        <v>0</v>
      </c>
      <c r="AD272" s="239">
        <f>IFERROR((HLOOKUP($AH272,Target_monthwise!$D$24:$O$40,DTR!AD$4,FALSE)),0)</f>
        <v>0</v>
      </c>
      <c r="AE272" s="239">
        <f>IFERROR((HLOOKUP($AH272,Target_monthwise!$D$24:$O$40,DTR!AE$4,FALSE)),0)</f>
        <v>0</v>
      </c>
      <c r="AF272" s="239">
        <f>IFERROR((HLOOKUP($AH272,Target_monthwise!$D$24:$O$40,DTR!AF$4,FALSE)),0)</f>
        <v>0</v>
      </c>
      <c r="AG272" s="172">
        <f>IFERROR((HLOOKUP($AH272,Target_monthwise!$D$24:$O$40,DTR!AG$4,FALSE)),0)</f>
        <v>0</v>
      </c>
      <c r="AH272" s="253">
        <f t="shared" si="4"/>
        <v>202212</v>
      </c>
    </row>
    <row r="273" spans="3:34" ht="15.75" hidden="1">
      <c r="C273" s="235">
        <v>44916</v>
      </c>
      <c r="D273" s="141">
        <f>IFERROR((HLOOKUP($AH273,Target_monthwise!$D$4:$O$20,DTR!D$4,FALSE))*1000,0)</f>
        <v>0</v>
      </c>
      <c r="E273" s="141">
        <f>IFERROR((HLOOKUP($AH273,Target_monthwise!$D$4:$O$20,DTR!E$4,FALSE))*1000,0)</f>
        <v>0</v>
      </c>
      <c r="F273" s="141">
        <f>IFERROR((HLOOKUP($AH273,Target_monthwise!$D$4:$O$20,DTR!F$4,FALSE))*1000,0)</f>
        <v>0</v>
      </c>
      <c r="G273" s="141">
        <f>IFERROR((HLOOKUP($AH273,Target_monthwise!$D$4:$O$20,DTR!G$4,FALSE))*1000,0)</f>
        <v>0</v>
      </c>
      <c r="H273" s="141">
        <f>IFERROR((HLOOKUP($AH273,Target_monthwise!$D$4:$O$20,DTR!H$4,FALSE))*1000,0)</f>
        <v>0</v>
      </c>
      <c r="I273" s="141">
        <f>IFERROR((HLOOKUP($AH273,Target_monthwise!$D$4:$O$20,DTR!I$4,FALSE))*1000,0)</f>
        <v>0</v>
      </c>
      <c r="J273" s="141">
        <f>IFERROR((HLOOKUP($AH273,Target_monthwise!$D$4:$O$20,DTR!J$4,FALSE))*1000,0)</f>
        <v>0</v>
      </c>
      <c r="K273" s="141">
        <f>IFERROR((HLOOKUP($AH273,Target_monthwise!$D$4:$O$20,DTR!K$4,FALSE))*1000,0)</f>
        <v>0</v>
      </c>
      <c r="L273" s="141">
        <f>IFERROR((HLOOKUP($AH273,Target_monthwise!$D$4:$O$20,DTR!L$4,FALSE))*1000,0)</f>
        <v>0</v>
      </c>
      <c r="M273" s="141">
        <f>IFERROR((HLOOKUP($AH273,Target_monthwise!$D$4:$O$20,DTR!M$4,FALSE))*1000,0)</f>
        <v>0</v>
      </c>
      <c r="N273" s="141">
        <f>IFERROR((HLOOKUP($AH273,Target_monthwise!$D$4:$O$20,DTR!N$4,FALSE))*1000,0)</f>
        <v>0</v>
      </c>
      <c r="O273" s="141">
        <f>IFERROR((HLOOKUP($AH273,Target_monthwise!$D$4:$O$20,DTR!O$4,FALSE))*1000,0)</f>
        <v>0</v>
      </c>
      <c r="P273" s="141">
        <f>IFERROR((HLOOKUP($AH273,Target_monthwise!$D$4:$O$20,DTR!P$4,FALSE))*1000,0)</f>
        <v>0</v>
      </c>
      <c r="Q273" s="141">
        <f>IFERROR((HLOOKUP($AH273,Target_monthwise!$D$4:$O$20,DTR!Q$4,FALSE))*1000,0)</f>
        <v>0</v>
      </c>
      <c r="R273" s="167">
        <f>IFERROR((HLOOKUP($AH273,Target_monthwise!$D$4:$O$20,DTR!R$4,FALSE))*1000,0)</f>
        <v>0</v>
      </c>
      <c r="S273" s="147">
        <f>IFERROR((HLOOKUP($AH273,Target_monthwise!$D$24:$O$40,DTR!S$4,FALSE)),0)</f>
        <v>0</v>
      </c>
      <c r="T273" s="147">
        <f>IFERROR((HLOOKUP($AH273,Target_monthwise!$D$24:$O$40,DTR!T$4,FALSE)),0)</f>
        <v>0</v>
      </c>
      <c r="U273" s="147">
        <f>IFERROR((HLOOKUP($AH273,Target_monthwise!$D$24:$O$40,DTR!U$4,FALSE)),0)</f>
        <v>0</v>
      </c>
      <c r="V273" s="147">
        <f>IFERROR((HLOOKUP($AH273,Target_monthwise!$D$24:$O$40,DTR!V$4,FALSE)),0)</f>
        <v>0</v>
      </c>
      <c r="W273" s="147">
        <f>IFERROR((HLOOKUP($AH273,Target_monthwise!$D$24:$O$40,DTR!W$4,FALSE)),0)</f>
        <v>0</v>
      </c>
      <c r="X273" s="147">
        <f>IFERROR((HLOOKUP($AH273,Target_monthwise!$D$24:$O$40,DTR!X$4,FALSE)),0)</f>
        <v>0</v>
      </c>
      <c r="Y273" s="147">
        <f>IFERROR((HLOOKUP($AH273,Target_monthwise!$D$24:$O$40,DTR!Y$4,FALSE)),0)</f>
        <v>0</v>
      </c>
      <c r="Z273" s="147">
        <f>IFERROR((HLOOKUP($AH273,Target_monthwise!$D$24:$O$40,DTR!Z$4,FALSE)),0)</f>
        <v>0</v>
      </c>
      <c r="AA273" s="147">
        <f>IFERROR((HLOOKUP($AH273,Target_monthwise!$D$24:$O$40,DTR!AA$4,FALSE)),0)</f>
        <v>0</v>
      </c>
      <c r="AB273" s="147">
        <f>IFERROR((HLOOKUP($AH273,Target_monthwise!$D$24:$O$40,DTR!AB$4,FALSE)),0)</f>
        <v>0</v>
      </c>
      <c r="AC273" s="147">
        <f>IFERROR((HLOOKUP($AH273,Target_monthwise!$D$24:$O$40,DTR!AC$4,FALSE)),0)</f>
        <v>0</v>
      </c>
      <c r="AD273" s="147">
        <f>IFERROR((HLOOKUP($AH273,Target_monthwise!$D$24:$O$40,DTR!AD$4,FALSE)),0)</f>
        <v>0</v>
      </c>
      <c r="AE273" s="147">
        <f>IFERROR((HLOOKUP($AH273,Target_monthwise!$D$24:$O$40,DTR!AE$4,FALSE)),0)</f>
        <v>0</v>
      </c>
      <c r="AF273" s="147">
        <f>IFERROR((HLOOKUP($AH273,Target_monthwise!$D$24:$O$40,DTR!AF$4,FALSE)),0)</f>
        <v>0</v>
      </c>
      <c r="AG273" s="172">
        <f>IFERROR((HLOOKUP($AH273,Target_monthwise!$D$24:$O$40,DTR!AG$4,FALSE)),0)</f>
        <v>0</v>
      </c>
      <c r="AH273" s="253">
        <f t="shared" si="4"/>
        <v>202212</v>
      </c>
    </row>
    <row r="274" spans="3:34" ht="15.75" hidden="1">
      <c r="C274" s="237">
        <v>44917</v>
      </c>
      <c r="D274" s="238">
        <f>IFERROR((HLOOKUP($AH274,Target_monthwise!$D$4:$O$20,DTR!D$4,FALSE))*1000,0)</f>
        <v>0</v>
      </c>
      <c r="E274" s="238">
        <f>IFERROR((HLOOKUP($AH274,Target_monthwise!$D$4:$O$20,DTR!E$4,FALSE))*1000,0)</f>
        <v>0</v>
      </c>
      <c r="F274" s="238">
        <f>IFERROR((HLOOKUP($AH274,Target_monthwise!$D$4:$O$20,DTR!F$4,FALSE))*1000,0)</f>
        <v>0</v>
      </c>
      <c r="G274" s="238">
        <f>IFERROR((HLOOKUP($AH274,Target_monthwise!$D$4:$O$20,DTR!G$4,FALSE))*1000,0)</f>
        <v>0</v>
      </c>
      <c r="H274" s="238">
        <f>IFERROR((HLOOKUP($AH274,Target_monthwise!$D$4:$O$20,DTR!H$4,FALSE))*1000,0)</f>
        <v>0</v>
      </c>
      <c r="I274" s="238">
        <f>IFERROR((HLOOKUP($AH274,Target_monthwise!$D$4:$O$20,DTR!I$4,FALSE))*1000,0)</f>
        <v>0</v>
      </c>
      <c r="J274" s="238">
        <f>IFERROR((HLOOKUP($AH274,Target_monthwise!$D$4:$O$20,DTR!J$4,FALSE))*1000,0)</f>
        <v>0</v>
      </c>
      <c r="K274" s="238">
        <f>IFERROR((HLOOKUP($AH274,Target_monthwise!$D$4:$O$20,DTR!K$4,FALSE))*1000,0)</f>
        <v>0</v>
      </c>
      <c r="L274" s="238">
        <f>IFERROR((HLOOKUP($AH274,Target_monthwise!$D$4:$O$20,DTR!L$4,FALSE))*1000,0)</f>
        <v>0</v>
      </c>
      <c r="M274" s="238">
        <f>IFERROR((HLOOKUP($AH274,Target_monthwise!$D$4:$O$20,DTR!M$4,FALSE))*1000,0)</f>
        <v>0</v>
      </c>
      <c r="N274" s="238">
        <f>IFERROR((HLOOKUP($AH274,Target_monthwise!$D$4:$O$20,DTR!N$4,FALSE))*1000,0)</f>
        <v>0</v>
      </c>
      <c r="O274" s="238">
        <f>IFERROR((HLOOKUP($AH274,Target_monthwise!$D$4:$O$20,DTR!O$4,FALSE))*1000,0)</f>
        <v>0</v>
      </c>
      <c r="P274" s="238">
        <f>IFERROR((HLOOKUP($AH274,Target_monthwise!$D$4:$O$20,DTR!P$4,FALSE))*1000,0)</f>
        <v>0</v>
      </c>
      <c r="Q274" s="141">
        <f>IFERROR((HLOOKUP($AH274,Target_monthwise!$D$4:$O$20,DTR!Q$4,FALSE))*1000,0)</f>
        <v>0</v>
      </c>
      <c r="R274" s="167">
        <f>IFERROR((HLOOKUP($AH274,Target_monthwise!$D$4:$O$20,DTR!R$4,FALSE))*1000,0)</f>
        <v>0</v>
      </c>
      <c r="S274" s="239">
        <f>IFERROR((HLOOKUP($AH274,Target_monthwise!$D$24:$O$40,DTR!S$4,FALSE)),0)</f>
        <v>0</v>
      </c>
      <c r="T274" s="239">
        <f>IFERROR((HLOOKUP($AH274,Target_monthwise!$D$24:$O$40,DTR!T$4,FALSE)),0)</f>
        <v>0</v>
      </c>
      <c r="U274" s="239">
        <f>IFERROR((HLOOKUP($AH274,Target_monthwise!$D$24:$O$40,DTR!U$4,FALSE)),0)</f>
        <v>0</v>
      </c>
      <c r="V274" s="239">
        <f>IFERROR((HLOOKUP($AH274,Target_monthwise!$D$24:$O$40,DTR!V$4,FALSE)),0)</f>
        <v>0</v>
      </c>
      <c r="W274" s="239">
        <f>IFERROR((HLOOKUP($AH274,Target_monthwise!$D$24:$O$40,DTR!W$4,FALSE)),0)</f>
        <v>0</v>
      </c>
      <c r="X274" s="239">
        <f>IFERROR((HLOOKUP($AH274,Target_monthwise!$D$24:$O$40,DTR!X$4,FALSE)),0)</f>
        <v>0</v>
      </c>
      <c r="Y274" s="239">
        <f>IFERROR((HLOOKUP($AH274,Target_monthwise!$D$24:$O$40,DTR!Y$4,FALSE)),0)</f>
        <v>0</v>
      </c>
      <c r="Z274" s="147">
        <f>IFERROR((HLOOKUP($AH274,Target_monthwise!$D$24:$O$40,DTR!Z$4,FALSE)),0)</f>
        <v>0</v>
      </c>
      <c r="AA274" s="147">
        <f>IFERROR((HLOOKUP($AH274,Target_monthwise!$D$24:$O$40,DTR!AA$4,FALSE)),0)</f>
        <v>0</v>
      </c>
      <c r="AB274" s="147">
        <f>IFERROR((HLOOKUP($AH274,Target_monthwise!$D$24:$O$40,DTR!AB$4,FALSE)),0)</f>
        <v>0</v>
      </c>
      <c r="AC274" s="239">
        <f>IFERROR((HLOOKUP($AH274,Target_monthwise!$D$24:$O$40,DTR!AC$4,FALSE)),0)</f>
        <v>0</v>
      </c>
      <c r="AD274" s="239">
        <f>IFERROR((HLOOKUP($AH274,Target_monthwise!$D$24:$O$40,DTR!AD$4,FALSE)),0)</f>
        <v>0</v>
      </c>
      <c r="AE274" s="239">
        <f>IFERROR((HLOOKUP($AH274,Target_monthwise!$D$24:$O$40,DTR!AE$4,FALSE)),0)</f>
        <v>0</v>
      </c>
      <c r="AF274" s="239">
        <f>IFERROR((HLOOKUP($AH274,Target_monthwise!$D$24:$O$40,DTR!AF$4,FALSE)),0)</f>
        <v>0</v>
      </c>
      <c r="AG274" s="172">
        <f>IFERROR((HLOOKUP($AH274,Target_monthwise!$D$24:$O$40,DTR!AG$4,FALSE)),0)</f>
        <v>0</v>
      </c>
      <c r="AH274" s="253">
        <f t="shared" si="4"/>
        <v>202212</v>
      </c>
    </row>
    <row r="275" spans="3:34" ht="15.75" hidden="1">
      <c r="C275" s="235">
        <v>44918</v>
      </c>
      <c r="D275" s="141">
        <f>IFERROR((HLOOKUP($AH275,Target_monthwise!$D$4:$O$20,DTR!D$4,FALSE))*1000,0)</f>
        <v>0</v>
      </c>
      <c r="E275" s="141">
        <f>IFERROR((HLOOKUP($AH275,Target_monthwise!$D$4:$O$20,DTR!E$4,FALSE))*1000,0)</f>
        <v>0</v>
      </c>
      <c r="F275" s="141">
        <f>IFERROR((HLOOKUP($AH275,Target_monthwise!$D$4:$O$20,DTR!F$4,FALSE))*1000,0)</f>
        <v>0</v>
      </c>
      <c r="G275" s="141">
        <f>IFERROR((HLOOKUP($AH275,Target_monthwise!$D$4:$O$20,DTR!G$4,FALSE))*1000,0)</f>
        <v>0</v>
      </c>
      <c r="H275" s="141">
        <f>IFERROR((HLOOKUP($AH275,Target_monthwise!$D$4:$O$20,DTR!H$4,FALSE))*1000,0)</f>
        <v>0</v>
      </c>
      <c r="I275" s="141">
        <f>IFERROR((HLOOKUP($AH275,Target_monthwise!$D$4:$O$20,DTR!I$4,FALSE))*1000,0)</f>
        <v>0</v>
      </c>
      <c r="J275" s="141">
        <f>IFERROR((HLOOKUP($AH275,Target_monthwise!$D$4:$O$20,DTR!J$4,FALSE))*1000,0)</f>
        <v>0</v>
      </c>
      <c r="K275" s="141">
        <f>IFERROR((HLOOKUP($AH275,Target_monthwise!$D$4:$O$20,DTR!K$4,FALSE))*1000,0)</f>
        <v>0</v>
      </c>
      <c r="L275" s="141">
        <f>IFERROR((HLOOKUP($AH275,Target_monthwise!$D$4:$O$20,DTR!L$4,FALSE))*1000,0)</f>
        <v>0</v>
      </c>
      <c r="M275" s="141">
        <f>IFERROR((HLOOKUP($AH275,Target_monthwise!$D$4:$O$20,DTR!M$4,FALSE))*1000,0)</f>
        <v>0</v>
      </c>
      <c r="N275" s="141">
        <f>IFERROR((HLOOKUP($AH275,Target_monthwise!$D$4:$O$20,DTR!N$4,FALSE))*1000,0)</f>
        <v>0</v>
      </c>
      <c r="O275" s="141">
        <f>IFERROR((HLOOKUP($AH275,Target_monthwise!$D$4:$O$20,DTR!O$4,FALSE))*1000,0)</f>
        <v>0</v>
      </c>
      <c r="P275" s="141">
        <f>IFERROR((HLOOKUP($AH275,Target_monthwise!$D$4:$O$20,DTR!P$4,FALSE))*1000,0)</f>
        <v>0</v>
      </c>
      <c r="Q275" s="141">
        <f>IFERROR((HLOOKUP($AH275,Target_monthwise!$D$4:$O$20,DTR!Q$4,FALSE))*1000,0)</f>
        <v>0</v>
      </c>
      <c r="R275" s="167">
        <f>IFERROR((HLOOKUP($AH275,Target_monthwise!$D$4:$O$20,DTR!R$4,FALSE))*1000,0)</f>
        <v>0</v>
      </c>
      <c r="S275" s="147">
        <f>IFERROR((HLOOKUP($AH275,Target_monthwise!$D$24:$O$40,DTR!S$4,FALSE)),0)</f>
        <v>0</v>
      </c>
      <c r="T275" s="147">
        <f>IFERROR((HLOOKUP($AH275,Target_monthwise!$D$24:$O$40,DTR!T$4,FALSE)),0)</f>
        <v>0</v>
      </c>
      <c r="U275" s="147">
        <f>IFERROR((HLOOKUP($AH275,Target_monthwise!$D$24:$O$40,DTR!U$4,FALSE)),0)</f>
        <v>0</v>
      </c>
      <c r="V275" s="147">
        <f>IFERROR((HLOOKUP($AH275,Target_monthwise!$D$24:$O$40,DTR!V$4,FALSE)),0)</f>
        <v>0</v>
      </c>
      <c r="W275" s="147">
        <f>IFERROR((HLOOKUP($AH275,Target_monthwise!$D$24:$O$40,DTR!W$4,FALSE)),0)</f>
        <v>0</v>
      </c>
      <c r="X275" s="147">
        <f>IFERROR((HLOOKUP($AH275,Target_monthwise!$D$24:$O$40,DTR!X$4,FALSE)),0)</f>
        <v>0</v>
      </c>
      <c r="Y275" s="147">
        <f>IFERROR((HLOOKUP($AH275,Target_monthwise!$D$24:$O$40,DTR!Y$4,FALSE)),0)</f>
        <v>0</v>
      </c>
      <c r="Z275" s="147">
        <f>IFERROR((HLOOKUP($AH275,Target_monthwise!$D$24:$O$40,DTR!Z$4,FALSE)),0)</f>
        <v>0</v>
      </c>
      <c r="AA275" s="147">
        <f>IFERROR((HLOOKUP($AH275,Target_monthwise!$D$24:$O$40,DTR!AA$4,FALSE)),0)</f>
        <v>0</v>
      </c>
      <c r="AB275" s="147">
        <f>IFERROR((HLOOKUP($AH275,Target_monthwise!$D$24:$O$40,DTR!AB$4,FALSE)),0)</f>
        <v>0</v>
      </c>
      <c r="AC275" s="147">
        <f>IFERROR((HLOOKUP($AH275,Target_monthwise!$D$24:$O$40,DTR!AC$4,FALSE)),0)</f>
        <v>0</v>
      </c>
      <c r="AD275" s="147">
        <f>IFERROR((HLOOKUP($AH275,Target_monthwise!$D$24:$O$40,DTR!AD$4,FALSE)),0)</f>
        <v>0</v>
      </c>
      <c r="AE275" s="147">
        <f>IFERROR((HLOOKUP($AH275,Target_monthwise!$D$24:$O$40,DTR!AE$4,FALSE)),0)</f>
        <v>0</v>
      </c>
      <c r="AF275" s="147">
        <f>IFERROR((HLOOKUP($AH275,Target_monthwise!$D$24:$O$40,DTR!AF$4,FALSE)),0)</f>
        <v>0</v>
      </c>
      <c r="AG275" s="172">
        <f>IFERROR((HLOOKUP($AH275,Target_monthwise!$D$24:$O$40,DTR!AG$4,FALSE)),0)</f>
        <v>0</v>
      </c>
      <c r="AH275" s="253">
        <f t="shared" si="4"/>
        <v>202212</v>
      </c>
    </row>
    <row r="276" spans="3:34" ht="15.75" hidden="1">
      <c r="C276" s="237">
        <v>44919</v>
      </c>
      <c r="D276" s="238">
        <f>IFERROR((HLOOKUP($AH276,Target_monthwise!$D$4:$O$20,DTR!D$4,FALSE))*1000,0)</f>
        <v>0</v>
      </c>
      <c r="E276" s="238">
        <f>IFERROR((HLOOKUP($AH276,Target_monthwise!$D$4:$O$20,DTR!E$4,FALSE))*1000,0)</f>
        <v>0</v>
      </c>
      <c r="F276" s="238">
        <f>IFERROR((HLOOKUP($AH276,Target_monthwise!$D$4:$O$20,DTR!F$4,FALSE))*1000,0)</f>
        <v>0</v>
      </c>
      <c r="G276" s="238">
        <f>IFERROR((HLOOKUP($AH276,Target_monthwise!$D$4:$O$20,DTR!G$4,FALSE))*1000,0)</f>
        <v>0</v>
      </c>
      <c r="H276" s="238">
        <f>IFERROR((HLOOKUP($AH276,Target_monthwise!$D$4:$O$20,DTR!H$4,FALSE))*1000,0)</f>
        <v>0</v>
      </c>
      <c r="I276" s="238">
        <f>IFERROR((HLOOKUP($AH276,Target_monthwise!$D$4:$O$20,DTR!I$4,FALSE))*1000,0)</f>
        <v>0</v>
      </c>
      <c r="J276" s="238">
        <f>IFERROR((HLOOKUP($AH276,Target_monthwise!$D$4:$O$20,DTR!J$4,FALSE))*1000,0)</f>
        <v>0</v>
      </c>
      <c r="K276" s="238">
        <f>IFERROR((HLOOKUP($AH276,Target_monthwise!$D$4:$O$20,DTR!K$4,FALSE))*1000,0)</f>
        <v>0</v>
      </c>
      <c r="L276" s="238">
        <f>IFERROR((HLOOKUP($AH276,Target_monthwise!$D$4:$O$20,DTR!L$4,FALSE))*1000,0)</f>
        <v>0</v>
      </c>
      <c r="M276" s="238">
        <f>IFERROR((HLOOKUP($AH276,Target_monthwise!$D$4:$O$20,DTR!M$4,FALSE))*1000,0)</f>
        <v>0</v>
      </c>
      <c r="N276" s="238">
        <f>IFERROR((HLOOKUP($AH276,Target_monthwise!$D$4:$O$20,DTR!N$4,FALSE))*1000,0)</f>
        <v>0</v>
      </c>
      <c r="O276" s="238">
        <f>IFERROR((HLOOKUP($AH276,Target_monthwise!$D$4:$O$20,DTR!O$4,FALSE))*1000,0)</f>
        <v>0</v>
      </c>
      <c r="P276" s="238">
        <f>IFERROR((HLOOKUP($AH276,Target_monthwise!$D$4:$O$20,DTR!P$4,FALSE))*1000,0)</f>
        <v>0</v>
      </c>
      <c r="Q276" s="141">
        <f>IFERROR((HLOOKUP($AH276,Target_monthwise!$D$4:$O$20,DTR!Q$4,FALSE))*1000,0)</f>
        <v>0</v>
      </c>
      <c r="R276" s="167">
        <f>IFERROR((HLOOKUP($AH276,Target_monthwise!$D$4:$O$20,DTR!R$4,FALSE))*1000,0)</f>
        <v>0</v>
      </c>
      <c r="S276" s="239">
        <f>IFERROR((HLOOKUP($AH276,Target_monthwise!$D$24:$O$40,DTR!S$4,FALSE)),0)</f>
        <v>0</v>
      </c>
      <c r="T276" s="239">
        <f>IFERROR((HLOOKUP($AH276,Target_monthwise!$D$24:$O$40,DTR!T$4,FALSE)),0)</f>
        <v>0</v>
      </c>
      <c r="U276" s="239">
        <f>IFERROR((HLOOKUP($AH276,Target_monthwise!$D$24:$O$40,DTR!U$4,FALSE)),0)</f>
        <v>0</v>
      </c>
      <c r="V276" s="239">
        <f>IFERROR((HLOOKUP($AH276,Target_monthwise!$D$24:$O$40,DTR!V$4,FALSE)),0)</f>
        <v>0</v>
      </c>
      <c r="W276" s="239">
        <f>IFERROR((HLOOKUP($AH276,Target_monthwise!$D$24:$O$40,DTR!W$4,FALSE)),0)</f>
        <v>0</v>
      </c>
      <c r="X276" s="239">
        <f>IFERROR((HLOOKUP($AH276,Target_monthwise!$D$24:$O$40,DTR!X$4,FALSE)),0)</f>
        <v>0</v>
      </c>
      <c r="Y276" s="239">
        <f>IFERROR((HLOOKUP($AH276,Target_monthwise!$D$24:$O$40,DTR!Y$4,FALSE)),0)</f>
        <v>0</v>
      </c>
      <c r="Z276" s="147">
        <f>IFERROR((HLOOKUP($AH276,Target_monthwise!$D$24:$O$40,DTR!Z$4,FALSE)),0)</f>
        <v>0</v>
      </c>
      <c r="AA276" s="147">
        <f>IFERROR((HLOOKUP($AH276,Target_monthwise!$D$24:$O$40,DTR!AA$4,FALSE)),0)</f>
        <v>0</v>
      </c>
      <c r="AB276" s="147">
        <f>IFERROR((HLOOKUP($AH276,Target_monthwise!$D$24:$O$40,DTR!AB$4,FALSE)),0)</f>
        <v>0</v>
      </c>
      <c r="AC276" s="239">
        <f>IFERROR((HLOOKUP($AH276,Target_monthwise!$D$24:$O$40,DTR!AC$4,FALSE)),0)</f>
        <v>0</v>
      </c>
      <c r="AD276" s="239">
        <f>IFERROR((HLOOKUP($AH276,Target_monthwise!$D$24:$O$40,DTR!AD$4,FALSE)),0)</f>
        <v>0</v>
      </c>
      <c r="AE276" s="239">
        <f>IFERROR((HLOOKUP($AH276,Target_monthwise!$D$24:$O$40,DTR!AE$4,FALSE)),0)</f>
        <v>0</v>
      </c>
      <c r="AF276" s="239">
        <f>IFERROR((HLOOKUP($AH276,Target_monthwise!$D$24:$O$40,DTR!AF$4,FALSE)),0)</f>
        <v>0</v>
      </c>
      <c r="AG276" s="172">
        <f>IFERROR((HLOOKUP($AH276,Target_monthwise!$D$24:$O$40,DTR!AG$4,FALSE)),0)</f>
        <v>0</v>
      </c>
      <c r="AH276" s="253">
        <f t="shared" si="4"/>
        <v>202212</v>
      </c>
    </row>
    <row r="277" spans="3:34" ht="15.75" hidden="1">
      <c r="C277" s="235">
        <v>44920</v>
      </c>
      <c r="D277" s="141">
        <f>IFERROR((HLOOKUP($AH277,Target_monthwise!$D$4:$O$20,DTR!D$4,FALSE))*1000,0)</f>
        <v>0</v>
      </c>
      <c r="E277" s="141">
        <f>IFERROR((HLOOKUP($AH277,Target_monthwise!$D$4:$O$20,DTR!E$4,FALSE))*1000,0)</f>
        <v>0</v>
      </c>
      <c r="F277" s="141">
        <f>IFERROR((HLOOKUP($AH277,Target_monthwise!$D$4:$O$20,DTR!F$4,FALSE))*1000,0)</f>
        <v>0</v>
      </c>
      <c r="G277" s="141">
        <f>IFERROR((HLOOKUP($AH277,Target_monthwise!$D$4:$O$20,DTR!G$4,FALSE))*1000,0)</f>
        <v>0</v>
      </c>
      <c r="H277" s="141">
        <f>IFERROR((HLOOKUP($AH277,Target_monthwise!$D$4:$O$20,DTR!H$4,FALSE))*1000,0)</f>
        <v>0</v>
      </c>
      <c r="I277" s="141">
        <f>IFERROR((HLOOKUP($AH277,Target_monthwise!$D$4:$O$20,DTR!I$4,FALSE))*1000,0)</f>
        <v>0</v>
      </c>
      <c r="J277" s="141">
        <f>IFERROR((HLOOKUP($AH277,Target_monthwise!$D$4:$O$20,DTR!J$4,FALSE))*1000,0)</f>
        <v>0</v>
      </c>
      <c r="K277" s="141">
        <f>IFERROR((HLOOKUP($AH277,Target_monthwise!$D$4:$O$20,DTR!K$4,FALSE))*1000,0)</f>
        <v>0</v>
      </c>
      <c r="L277" s="141">
        <f>IFERROR((HLOOKUP($AH277,Target_monthwise!$D$4:$O$20,DTR!L$4,FALSE))*1000,0)</f>
        <v>0</v>
      </c>
      <c r="M277" s="141">
        <f>IFERROR((HLOOKUP($AH277,Target_monthwise!$D$4:$O$20,DTR!M$4,FALSE))*1000,0)</f>
        <v>0</v>
      </c>
      <c r="N277" s="141">
        <f>IFERROR((HLOOKUP($AH277,Target_monthwise!$D$4:$O$20,DTR!N$4,FALSE))*1000,0)</f>
        <v>0</v>
      </c>
      <c r="O277" s="141">
        <f>IFERROR((HLOOKUP($AH277,Target_monthwise!$D$4:$O$20,DTR!O$4,FALSE))*1000,0)</f>
        <v>0</v>
      </c>
      <c r="P277" s="141">
        <f>IFERROR((HLOOKUP($AH277,Target_monthwise!$D$4:$O$20,DTR!P$4,FALSE))*1000,0)</f>
        <v>0</v>
      </c>
      <c r="Q277" s="141">
        <f>IFERROR((HLOOKUP($AH277,Target_monthwise!$D$4:$O$20,DTR!Q$4,FALSE))*1000,0)</f>
        <v>0</v>
      </c>
      <c r="R277" s="167">
        <f>IFERROR((HLOOKUP($AH277,Target_monthwise!$D$4:$O$20,DTR!R$4,FALSE))*1000,0)</f>
        <v>0</v>
      </c>
      <c r="S277" s="147">
        <f>IFERROR((HLOOKUP($AH277,Target_monthwise!$D$24:$O$40,DTR!S$4,FALSE)),0)</f>
        <v>0</v>
      </c>
      <c r="T277" s="147">
        <f>IFERROR((HLOOKUP($AH277,Target_monthwise!$D$24:$O$40,DTR!T$4,FALSE)),0)</f>
        <v>0</v>
      </c>
      <c r="U277" s="147">
        <f>IFERROR((HLOOKUP($AH277,Target_monthwise!$D$24:$O$40,DTR!U$4,FALSE)),0)</f>
        <v>0</v>
      </c>
      <c r="V277" s="147">
        <f>IFERROR((HLOOKUP($AH277,Target_monthwise!$D$24:$O$40,DTR!V$4,FALSE)),0)</f>
        <v>0</v>
      </c>
      <c r="W277" s="147">
        <f>IFERROR((HLOOKUP($AH277,Target_monthwise!$D$24:$O$40,DTR!W$4,FALSE)),0)</f>
        <v>0</v>
      </c>
      <c r="X277" s="147">
        <f>IFERROR((HLOOKUP($AH277,Target_monthwise!$D$24:$O$40,DTR!X$4,FALSE)),0)</f>
        <v>0</v>
      </c>
      <c r="Y277" s="147">
        <f>IFERROR((HLOOKUP($AH277,Target_monthwise!$D$24:$O$40,DTR!Y$4,FALSE)),0)</f>
        <v>0</v>
      </c>
      <c r="Z277" s="147">
        <f>IFERROR((HLOOKUP($AH277,Target_monthwise!$D$24:$O$40,DTR!Z$4,FALSE)),0)</f>
        <v>0</v>
      </c>
      <c r="AA277" s="147">
        <f>IFERROR((HLOOKUP($AH277,Target_monthwise!$D$24:$O$40,DTR!AA$4,FALSE)),0)</f>
        <v>0</v>
      </c>
      <c r="AB277" s="147">
        <f>IFERROR((HLOOKUP($AH277,Target_monthwise!$D$24:$O$40,DTR!AB$4,FALSE)),0)</f>
        <v>0</v>
      </c>
      <c r="AC277" s="147">
        <f>IFERROR((HLOOKUP($AH277,Target_monthwise!$D$24:$O$40,DTR!AC$4,FALSE)),0)</f>
        <v>0</v>
      </c>
      <c r="AD277" s="147">
        <f>IFERROR((HLOOKUP($AH277,Target_monthwise!$D$24:$O$40,DTR!AD$4,FALSE)),0)</f>
        <v>0</v>
      </c>
      <c r="AE277" s="147">
        <f>IFERROR((HLOOKUP($AH277,Target_monthwise!$D$24:$O$40,DTR!AE$4,FALSE)),0)</f>
        <v>0</v>
      </c>
      <c r="AF277" s="147">
        <f>IFERROR((HLOOKUP($AH277,Target_monthwise!$D$24:$O$40,DTR!AF$4,FALSE)),0)</f>
        <v>0</v>
      </c>
      <c r="AG277" s="172">
        <f>IFERROR((HLOOKUP($AH277,Target_monthwise!$D$24:$O$40,DTR!AG$4,FALSE)),0)</f>
        <v>0</v>
      </c>
      <c r="AH277" s="253">
        <f t="shared" si="4"/>
        <v>202212</v>
      </c>
    </row>
    <row r="278" spans="3:34" ht="15.75" hidden="1">
      <c r="C278" s="237">
        <v>44921</v>
      </c>
      <c r="D278" s="238">
        <f>IFERROR((HLOOKUP($AH278,Target_monthwise!$D$4:$O$20,DTR!D$4,FALSE))*1000,0)</f>
        <v>0</v>
      </c>
      <c r="E278" s="238">
        <f>IFERROR((HLOOKUP($AH278,Target_monthwise!$D$4:$O$20,DTR!E$4,FALSE))*1000,0)</f>
        <v>0</v>
      </c>
      <c r="F278" s="238">
        <f>IFERROR((HLOOKUP($AH278,Target_monthwise!$D$4:$O$20,DTR!F$4,FALSE))*1000,0)</f>
        <v>0</v>
      </c>
      <c r="G278" s="238">
        <f>IFERROR((HLOOKUP($AH278,Target_monthwise!$D$4:$O$20,DTR!G$4,FALSE))*1000,0)</f>
        <v>0</v>
      </c>
      <c r="H278" s="238">
        <f>IFERROR((HLOOKUP($AH278,Target_monthwise!$D$4:$O$20,DTR!H$4,FALSE))*1000,0)</f>
        <v>0</v>
      </c>
      <c r="I278" s="238">
        <f>IFERROR((HLOOKUP($AH278,Target_monthwise!$D$4:$O$20,DTR!I$4,FALSE))*1000,0)</f>
        <v>0</v>
      </c>
      <c r="J278" s="238">
        <f>IFERROR((HLOOKUP($AH278,Target_monthwise!$D$4:$O$20,DTR!J$4,FALSE))*1000,0)</f>
        <v>0</v>
      </c>
      <c r="K278" s="238">
        <f>IFERROR((HLOOKUP($AH278,Target_monthwise!$D$4:$O$20,DTR!K$4,FALSE))*1000,0)</f>
        <v>0</v>
      </c>
      <c r="L278" s="238">
        <f>IFERROR((HLOOKUP($AH278,Target_monthwise!$D$4:$O$20,DTR!L$4,FALSE))*1000,0)</f>
        <v>0</v>
      </c>
      <c r="M278" s="238">
        <f>IFERROR((HLOOKUP($AH278,Target_monthwise!$D$4:$O$20,DTR!M$4,FALSE))*1000,0)</f>
        <v>0</v>
      </c>
      <c r="N278" s="238">
        <f>IFERROR((HLOOKUP($AH278,Target_monthwise!$D$4:$O$20,DTR!N$4,FALSE))*1000,0)</f>
        <v>0</v>
      </c>
      <c r="O278" s="238">
        <f>IFERROR((HLOOKUP($AH278,Target_monthwise!$D$4:$O$20,DTR!O$4,FALSE))*1000,0)</f>
        <v>0</v>
      </c>
      <c r="P278" s="238">
        <f>IFERROR((HLOOKUP($AH278,Target_monthwise!$D$4:$O$20,DTR!P$4,FALSE))*1000,0)</f>
        <v>0</v>
      </c>
      <c r="Q278" s="141">
        <f>IFERROR((HLOOKUP($AH278,Target_monthwise!$D$4:$O$20,DTR!Q$4,FALSE))*1000,0)</f>
        <v>0</v>
      </c>
      <c r="R278" s="167">
        <f>IFERROR((HLOOKUP($AH278,Target_monthwise!$D$4:$O$20,DTR!R$4,FALSE))*1000,0)</f>
        <v>0</v>
      </c>
      <c r="S278" s="239">
        <f>IFERROR((HLOOKUP($AH278,Target_monthwise!$D$24:$O$40,DTR!S$4,FALSE)),0)</f>
        <v>0</v>
      </c>
      <c r="T278" s="239">
        <f>IFERROR((HLOOKUP($AH278,Target_monthwise!$D$24:$O$40,DTR!T$4,FALSE)),0)</f>
        <v>0</v>
      </c>
      <c r="U278" s="239">
        <f>IFERROR((HLOOKUP($AH278,Target_monthwise!$D$24:$O$40,DTR!U$4,FALSE)),0)</f>
        <v>0</v>
      </c>
      <c r="V278" s="239">
        <f>IFERROR((HLOOKUP($AH278,Target_monthwise!$D$24:$O$40,DTR!V$4,FALSE)),0)</f>
        <v>0</v>
      </c>
      <c r="W278" s="239">
        <f>IFERROR((HLOOKUP($AH278,Target_monthwise!$D$24:$O$40,DTR!W$4,FALSE)),0)</f>
        <v>0</v>
      </c>
      <c r="X278" s="239">
        <f>IFERROR((HLOOKUP($AH278,Target_monthwise!$D$24:$O$40,DTR!X$4,FALSE)),0)</f>
        <v>0</v>
      </c>
      <c r="Y278" s="239">
        <f>IFERROR((HLOOKUP($AH278,Target_monthwise!$D$24:$O$40,DTR!Y$4,FALSE)),0)</f>
        <v>0</v>
      </c>
      <c r="Z278" s="147">
        <f>IFERROR((HLOOKUP($AH278,Target_monthwise!$D$24:$O$40,DTR!Z$4,FALSE)),0)</f>
        <v>0</v>
      </c>
      <c r="AA278" s="147">
        <f>IFERROR((HLOOKUP($AH278,Target_monthwise!$D$24:$O$40,DTR!AA$4,FALSE)),0)</f>
        <v>0</v>
      </c>
      <c r="AB278" s="147">
        <f>IFERROR((HLOOKUP($AH278,Target_monthwise!$D$24:$O$40,DTR!AB$4,FALSE)),0)</f>
        <v>0</v>
      </c>
      <c r="AC278" s="239">
        <f>IFERROR((HLOOKUP($AH278,Target_monthwise!$D$24:$O$40,DTR!AC$4,FALSE)),0)</f>
        <v>0</v>
      </c>
      <c r="AD278" s="239">
        <f>IFERROR((HLOOKUP($AH278,Target_monthwise!$D$24:$O$40,DTR!AD$4,FALSE)),0)</f>
        <v>0</v>
      </c>
      <c r="AE278" s="239">
        <f>IFERROR((HLOOKUP($AH278,Target_monthwise!$D$24:$O$40,DTR!AE$4,FALSE)),0)</f>
        <v>0</v>
      </c>
      <c r="AF278" s="239">
        <f>IFERROR((HLOOKUP($AH278,Target_monthwise!$D$24:$O$40,DTR!AF$4,FALSE)),0)</f>
        <v>0</v>
      </c>
      <c r="AG278" s="172">
        <f>IFERROR((HLOOKUP($AH278,Target_monthwise!$D$24:$O$40,DTR!AG$4,FALSE)),0)</f>
        <v>0</v>
      </c>
      <c r="AH278" s="253">
        <f t="shared" si="4"/>
        <v>202212</v>
      </c>
    </row>
    <row r="279" spans="3:34" ht="15.75" hidden="1">
      <c r="C279" s="235">
        <v>44922</v>
      </c>
      <c r="D279" s="141">
        <f>IFERROR((HLOOKUP($AH279,Target_monthwise!$D$4:$O$20,DTR!D$4,FALSE))*1000,0)</f>
        <v>0</v>
      </c>
      <c r="E279" s="141">
        <f>IFERROR((HLOOKUP($AH279,Target_monthwise!$D$4:$O$20,DTR!E$4,FALSE))*1000,0)</f>
        <v>0</v>
      </c>
      <c r="F279" s="141">
        <f>IFERROR((HLOOKUP($AH279,Target_monthwise!$D$4:$O$20,DTR!F$4,FALSE))*1000,0)</f>
        <v>0</v>
      </c>
      <c r="G279" s="141">
        <f>IFERROR((HLOOKUP($AH279,Target_monthwise!$D$4:$O$20,DTR!G$4,FALSE))*1000,0)</f>
        <v>0</v>
      </c>
      <c r="H279" s="141">
        <f>IFERROR((HLOOKUP($AH279,Target_monthwise!$D$4:$O$20,DTR!H$4,FALSE))*1000,0)</f>
        <v>0</v>
      </c>
      <c r="I279" s="141">
        <f>IFERROR((HLOOKUP($AH279,Target_monthwise!$D$4:$O$20,DTR!I$4,FALSE))*1000,0)</f>
        <v>0</v>
      </c>
      <c r="J279" s="141">
        <f>IFERROR((HLOOKUP($AH279,Target_monthwise!$D$4:$O$20,DTR!J$4,FALSE))*1000,0)</f>
        <v>0</v>
      </c>
      <c r="K279" s="141">
        <f>IFERROR((HLOOKUP($AH279,Target_monthwise!$D$4:$O$20,DTR!K$4,FALSE))*1000,0)</f>
        <v>0</v>
      </c>
      <c r="L279" s="141">
        <f>IFERROR((HLOOKUP($AH279,Target_monthwise!$D$4:$O$20,DTR!L$4,FALSE))*1000,0)</f>
        <v>0</v>
      </c>
      <c r="M279" s="141">
        <f>IFERROR((HLOOKUP($AH279,Target_monthwise!$D$4:$O$20,DTR!M$4,FALSE))*1000,0)</f>
        <v>0</v>
      </c>
      <c r="N279" s="141">
        <f>IFERROR((HLOOKUP($AH279,Target_monthwise!$D$4:$O$20,DTR!N$4,FALSE))*1000,0)</f>
        <v>0</v>
      </c>
      <c r="O279" s="141">
        <f>IFERROR((HLOOKUP($AH279,Target_monthwise!$D$4:$O$20,DTR!O$4,FALSE))*1000,0)</f>
        <v>0</v>
      </c>
      <c r="P279" s="141">
        <f>IFERROR((HLOOKUP($AH279,Target_monthwise!$D$4:$O$20,DTR!P$4,FALSE))*1000,0)</f>
        <v>0</v>
      </c>
      <c r="Q279" s="141">
        <f>IFERROR((HLOOKUP($AH279,Target_monthwise!$D$4:$O$20,DTR!Q$4,FALSE))*1000,0)</f>
        <v>0</v>
      </c>
      <c r="R279" s="167">
        <f>IFERROR((HLOOKUP($AH279,Target_monthwise!$D$4:$O$20,DTR!R$4,FALSE))*1000,0)</f>
        <v>0</v>
      </c>
      <c r="S279" s="147">
        <f>IFERROR((HLOOKUP($AH279,Target_monthwise!$D$24:$O$40,DTR!S$4,FALSE)),0)</f>
        <v>0</v>
      </c>
      <c r="T279" s="147">
        <f>IFERROR((HLOOKUP($AH279,Target_monthwise!$D$24:$O$40,DTR!T$4,FALSE)),0)</f>
        <v>0</v>
      </c>
      <c r="U279" s="147">
        <f>IFERROR((HLOOKUP($AH279,Target_monthwise!$D$24:$O$40,DTR!U$4,FALSE)),0)</f>
        <v>0</v>
      </c>
      <c r="V279" s="147">
        <f>IFERROR((HLOOKUP($AH279,Target_monthwise!$D$24:$O$40,DTR!V$4,FALSE)),0)</f>
        <v>0</v>
      </c>
      <c r="W279" s="147">
        <f>IFERROR((HLOOKUP($AH279,Target_monthwise!$D$24:$O$40,DTR!W$4,FALSE)),0)</f>
        <v>0</v>
      </c>
      <c r="X279" s="147">
        <f>IFERROR((HLOOKUP($AH279,Target_monthwise!$D$24:$O$40,DTR!X$4,FALSE)),0)</f>
        <v>0</v>
      </c>
      <c r="Y279" s="147">
        <f>IFERROR((HLOOKUP($AH279,Target_monthwise!$D$24:$O$40,DTR!Y$4,FALSE)),0)</f>
        <v>0</v>
      </c>
      <c r="Z279" s="147">
        <f>IFERROR((HLOOKUP($AH279,Target_monthwise!$D$24:$O$40,DTR!Z$4,FALSE)),0)</f>
        <v>0</v>
      </c>
      <c r="AA279" s="147">
        <f>IFERROR((HLOOKUP($AH279,Target_monthwise!$D$24:$O$40,DTR!AA$4,FALSE)),0)</f>
        <v>0</v>
      </c>
      <c r="AB279" s="147">
        <f>IFERROR((HLOOKUP($AH279,Target_monthwise!$D$24:$O$40,DTR!AB$4,FALSE)),0)</f>
        <v>0</v>
      </c>
      <c r="AC279" s="147">
        <f>IFERROR((HLOOKUP($AH279,Target_monthwise!$D$24:$O$40,DTR!AC$4,FALSE)),0)</f>
        <v>0</v>
      </c>
      <c r="AD279" s="147">
        <f>IFERROR((HLOOKUP($AH279,Target_monthwise!$D$24:$O$40,DTR!AD$4,FALSE)),0)</f>
        <v>0</v>
      </c>
      <c r="AE279" s="147">
        <f>IFERROR((HLOOKUP($AH279,Target_monthwise!$D$24:$O$40,DTR!AE$4,FALSE)),0)</f>
        <v>0</v>
      </c>
      <c r="AF279" s="147">
        <f>IFERROR((HLOOKUP($AH279,Target_monthwise!$D$24:$O$40,DTR!AF$4,FALSE)),0)</f>
        <v>0</v>
      </c>
      <c r="AG279" s="172">
        <f>IFERROR((HLOOKUP($AH279,Target_monthwise!$D$24:$O$40,DTR!AG$4,FALSE)),0)</f>
        <v>0</v>
      </c>
      <c r="AH279" s="253">
        <f t="shared" si="4"/>
        <v>202212</v>
      </c>
    </row>
    <row r="280" spans="3:34" ht="15.75" hidden="1">
      <c r="C280" s="237">
        <v>44923</v>
      </c>
      <c r="D280" s="238">
        <f>IFERROR((HLOOKUP($AH280,Target_monthwise!$D$4:$O$20,DTR!D$4,FALSE))*1000,0)</f>
        <v>0</v>
      </c>
      <c r="E280" s="238">
        <f>IFERROR((HLOOKUP($AH280,Target_monthwise!$D$4:$O$20,DTR!E$4,FALSE))*1000,0)</f>
        <v>0</v>
      </c>
      <c r="F280" s="238">
        <f>IFERROR((HLOOKUP($AH280,Target_monthwise!$D$4:$O$20,DTR!F$4,FALSE))*1000,0)</f>
        <v>0</v>
      </c>
      <c r="G280" s="238">
        <f>IFERROR((HLOOKUP($AH280,Target_monthwise!$D$4:$O$20,DTR!G$4,FALSE))*1000,0)</f>
        <v>0</v>
      </c>
      <c r="H280" s="238">
        <f>IFERROR((HLOOKUP($AH280,Target_monthwise!$D$4:$O$20,DTR!H$4,FALSE))*1000,0)</f>
        <v>0</v>
      </c>
      <c r="I280" s="238">
        <f>IFERROR((HLOOKUP($AH280,Target_monthwise!$D$4:$O$20,DTR!I$4,FALSE))*1000,0)</f>
        <v>0</v>
      </c>
      <c r="J280" s="238">
        <f>IFERROR((HLOOKUP($AH280,Target_monthwise!$D$4:$O$20,DTR!J$4,FALSE))*1000,0)</f>
        <v>0</v>
      </c>
      <c r="K280" s="238">
        <f>IFERROR((HLOOKUP($AH280,Target_monthwise!$D$4:$O$20,DTR!K$4,FALSE))*1000,0)</f>
        <v>0</v>
      </c>
      <c r="L280" s="238">
        <f>IFERROR((HLOOKUP($AH280,Target_monthwise!$D$4:$O$20,DTR!L$4,FALSE))*1000,0)</f>
        <v>0</v>
      </c>
      <c r="M280" s="238">
        <f>IFERROR((HLOOKUP($AH280,Target_monthwise!$D$4:$O$20,DTR!M$4,FALSE))*1000,0)</f>
        <v>0</v>
      </c>
      <c r="N280" s="238">
        <f>IFERROR((HLOOKUP($AH280,Target_monthwise!$D$4:$O$20,DTR!N$4,FALSE))*1000,0)</f>
        <v>0</v>
      </c>
      <c r="O280" s="238">
        <f>IFERROR((HLOOKUP($AH280,Target_monthwise!$D$4:$O$20,DTR!O$4,FALSE))*1000,0)</f>
        <v>0</v>
      </c>
      <c r="P280" s="238">
        <f>IFERROR((HLOOKUP($AH280,Target_monthwise!$D$4:$O$20,DTR!P$4,FALSE))*1000,0)</f>
        <v>0</v>
      </c>
      <c r="Q280" s="141">
        <f>IFERROR((HLOOKUP($AH280,Target_monthwise!$D$4:$O$20,DTR!Q$4,FALSE))*1000,0)</f>
        <v>0</v>
      </c>
      <c r="R280" s="167">
        <f>IFERROR((HLOOKUP($AH280,Target_monthwise!$D$4:$O$20,DTR!R$4,FALSE))*1000,0)</f>
        <v>0</v>
      </c>
      <c r="S280" s="239">
        <f>IFERROR((HLOOKUP($AH280,Target_monthwise!$D$24:$O$40,DTR!S$4,FALSE)),0)</f>
        <v>0</v>
      </c>
      <c r="T280" s="239">
        <f>IFERROR((HLOOKUP($AH280,Target_monthwise!$D$24:$O$40,DTR!T$4,FALSE)),0)</f>
        <v>0</v>
      </c>
      <c r="U280" s="239">
        <f>IFERROR((HLOOKUP($AH280,Target_monthwise!$D$24:$O$40,DTR!U$4,FALSE)),0)</f>
        <v>0</v>
      </c>
      <c r="V280" s="239">
        <f>IFERROR((HLOOKUP($AH280,Target_monthwise!$D$24:$O$40,DTR!V$4,FALSE)),0)</f>
        <v>0</v>
      </c>
      <c r="W280" s="239">
        <f>IFERROR((HLOOKUP($AH280,Target_monthwise!$D$24:$O$40,DTR!W$4,FALSE)),0)</f>
        <v>0</v>
      </c>
      <c r="X280" s="239">
        <f>IFERROR((HLOOKUP($AH280,Target_monthwise!$D$24:$O$40,DTR!X$4,FALSE)),0)</f>
        <v>0</v>
      </c>
      <c r="Y280" s="239">
        <f>IFERROR((HLOOKUP($AH280,Target_monthwise!$D$24:$O$40,DTR!Y$4,FALSE)),0)</f>
        <v>0</v>
      </c>
      <c r="Z280" s="147">
        <f>IFERROR((HLOOKUP($AH280,Target_monthwise!$D$24:$O$40,DTR!Z$4,FALSE)),0)</f>
        <v>0</v>
      </c>
      <c r="AA280" s="147">
        <f>IFERROR((HLOOKUP($AH280,Target_monthwise!$D$24:$O$40,DTR!AA$4,FALSE)),0)</f>
        <v>0</v>
      </c>
      <c r="AB280" s="147">
        <f>IFERROR((HLOOKUP($AH280,Target_monthwise!$D$24:$O$40,DTR!AB$4,FALSE)),0)</f>
        <v>0</v>
      </c>
      <c r="AC280" s="239">
        <f>IFERROR((HLOOKUP($AH280,Target_monthwise!$D$24:$O$40,DTR!AC$4,FALSE)),0)</f>
        <v>0</v>
      </c>
      <c r="AD280" s="239">
        <f>IFERROR((HLOOKUP($AH280,Target_monthwise!$D$24:$O$40,DTR!AD$4,FALSE)),0)</f>
        <v>0</v>
      </c>
      <c r="AE280" s="239">
        <f>IFERROR((HLOOKUP($AH280,Target_monthwise!$D$24:$O$40,DTR!AE$4,FALSE)),0)</f>
        <v>0</v>
      </c>
      <c r="AF280" s="239">
        <f>IFERROR((HLOOKUP($AH280,Target_monthwise!$D$24:$O$40,DTR!AF$4,FALSE)),0)</f>
        <v>0</v>
      </c>
      <c r="AG280" s="172">
        <f>IFERROR((HLOOKUP($AH280,Target_monthwise!$D$24:$O$40,DTR!AG$4,FALSE)),0)</f>
        <v>0</v>
      </c>
      <c r="AH280" s="253">
        <f t="shared" si="4"/>
        <v>202212</v>
      </c>
    </row>
    <row r="281" spans="3:34" ht="15.75" hidden="1">
      <c r="C281" s="235">
        <v>44924</v>
      </c>
      <c r="D281" s="141">
        <f>IFERROR((HLOOKUP($AH281,Target_monthwise!$D$4:$O$20,DTR!D$4,FALSE))*1000,0)</f>
        <v>0</v>
      </c>
      <c r="E281" s="141">
        <f>IFERROR((HLOOKUP($AH281,Target_monthwise!$D$4:$O$20,DTR!E$4,FALSE))*1000,0)</f>
        <v>0</v>
      </c>
      <c r="F281" s="141">
        <f>IFERROR((HLOOKUP($AH281,Target_monthwise!$D$4:$O$20,DTR!F$4,FALSE))*1000,0)</f>
        <v>0</v>
      </c>
      <c r="G281" s="141">
        <f>IFERROR((HLOOKUP($AH281,Target_monthwise!$D$4:$O$20,DTR!G$4,FALSE))*1000,0)</f>
        <v>0</v>
      </c>
      <c r="H281" s="141">
        <f>IFERROR((HLOOKUP($AH281,Target_monthwise!$D$4:$O$20,DTR!H$4,FALSE))*1000,0)</f>
        <v>0</v>
      </c>
      <c r="I281" s="141">
        <f>IFERROR((HLOOKUP($AH281,Target_monthwise!$D$4:$O$20,DTR!I$4,FALSE))*1000,0)</f>
        <v>0</v>
      </c>
      <c r="J281" s="141">
        <f>IFERROR((HLOOKUP($AH281,Target_monthwise!$D$4:$O$20,DTR!J$4,FALSE))*1000,0)</f>
        <v>0</v>
      </c>
      <c r="K281" s="141">
        <f>IFERROR((HLOOKUP($AH281,Target_monthwise!$D$4:$O$20,DTR!K$4,FALSE))*1000,0)</f>
        <v>0</v>
      </c>
      <c r="L281" s="141">
        <f>IFERROR((HLOOKUP($AH281,Target_monthwise!$D$4:$O$20,DTR!L$4,FALSE))*1000,0)</f>
        <v>0</v>
      </c>
      <c r="M281" s="141">
        <f>IFERROR((HLOOKUP($AH281,Target_monthwise!$D$4:$O$20,DTR!M$4,FALSE))*1000,0)</f>
        <v>0</v>
      </c>
      <c r="N281" s="141">
        <f>IFERROR((HLOOKUP($AH281,Target_monthwise!$D$4:$O$20,DTR!N$4,FALSE))*1000,0)</f>
        <v>0</v>
      </c>
      <c r="O281" s="141">
        <f>IFERROR((HLOOKUP($AH281,Target_monthwise!$D$4:$O$20,DTR!O$4,FALSE))*1000,0)</f>
        <v>0</v>
      </c>
      <c r="P281" s="141">
        <f>IFERROR((HLOOKUP($AH281,Target_monthwise!$D$4:$O$20,DTR!P$4,FALSE))*1000,0)</f>
        <v>0</v>
      </c>
      <c r="Q281" s="141">
        <f>IFERROR((HLOOKUP($AH281,Target_monthwise!$D$4:$O$20,DTR!Q$4,FALSE))*1000,0)</f>
        <v>0</v>
      </c>
      <c r="R281" s="167">
        <f>IFERROR((HLOOKUP($AH281,Target_monthwise!$D$4:$O$20,DTR!R$4,FALSE))*1000,0)</f>
        <v>0</v>
      </c>
      <c r="S281" s="147">
        <f>IFERROR((HLOOKUP($AH281,Target_monthwise!$D$24:$O$40,DTR!S$4,FALSE)),0)</f>
        <v>0</v>
      </c>
      <c r="T281" s="147">
        <f>IFERROR((HLOOKUP($AH281,Target_monthwise!$D$24:$O$40,DTR!T$4,FALSE)),0)</f>
        <v>0</v>
      </c>
      <c r="U281" s="147">
        <f>IFERROR((HLOOKUP($AH281,Target_monthwise!$D$24:$O$40,DTR!U$4,FALSE)),0)</f>
        <v>0</v>
      </c>
      <c r="V281" s="147">
        <f>IFERROR((HLOOKUP($AH281,Target_monthwise!$D$24:$O$40,DTR!V$4,FALSE)),0)</f>
        <v>0</v>
      </c>
      <c r="W281" s="147">
        <f>IFERROR((HLOOKUP($AH281,Target_monthwise!$D$24:$O$40,DTR!W$4,FALSE)),0)</f>
        <v>0</v>
      </c>
      <c r="X281" s="147">
        <f>IFERROR((HLOOKUP($AH281,Target_monthwise!$D$24:$O$40,DTR!X$4,FALSE)),0)</f>
        <v>0</v>
      </c>
      <c r="Y281" s="147">
        <f>IFERROR((HLOOKUP($AH281,Target_monthwise!$D$24:$O$40,DTR!Y$4,FALSE)),0)</f>
        <v>0</v>
      </c>
      <c r="Z281" s="147">
        <f>IFERROR((HLOOKUP($AH281,Target_monthwise!$D$24:$O$40,DTR!Z$4,FALSE)),0)</f>
        <v>0</v>
      </c>
      <c r="AA281" s="147">
        <f>IFERROR((HLOOKUP($AH281,Target_monthwise!$D$24:$O$40,DTR!AA$4,FALSE)),0)</f>
        <v>0</v>
      </c>
      <c r="AB281" s="147">
        <f>IFERROR((HLOOKUP($AH281,Target_monthwise!$D$24:$O$40,DTR!AB$4,FALSE)),0)</f>
        <v>0</v>
      </c>
      <c r="AC281" s="147">
        <f>IFERROR((HLOOKUP($AH281,Target_monthwise!$D$24:$O$40,DTR!AC$4,FALSE)),0)</f>
        <v>0</v>
      </c>
      <c r="AD281" s="147">
        <f>IFERROR((HLOOKUP($AH281,Target_monthwise!$D$24:$O$40,DTR!AD$4,FALSE)),0)</f>
        <v>0</v>
      </c>
      <c r="AE281" s="147">
        <f>IFERROR((HLOOKUP($AH281,Target_monthwise!$D$24:$O$40,DTR!AE$4,FALSE)),0)</f>
        <v>0</v>
      </c>
      <c r="AF281" s="147">
        <f>IFERROR((HLOOKUP($AH281,Target_monthwise!$D$24:$O$40,DTR!AF$4,FALSE)),0)</f>
        <v>0</v>
      </c>
      <c r="AG281" s="172">
        <f>IFERROR((HLOOKUP($AH281,Target_monthwise!$D$24:$O$40,DTR!AG$4,FALSE)),0)</f>
        <v>0</v>
      </c>
      <c r="AH281" s="253">
        <f t="shared" si="4"/>
        <v>202212</v>
      </c>
    </row>
    <row r="282" spans="3:34" ht="15.75" hidden="1">
      <c r="C282" s="237">
        <v>44925</v>
      </c>
      <c r="D282" s="238">
        <f>IFERROR((HLOOKUP($AH282,Target_monthwise!$D$4:$O$20,DTR!D$4,FALSE))*1000,0)</f>
        <v>0</v>
      </c>
      <c r="E282" s="238">
        <f>IFERROR((HLOOKUP($AH282,Target_monthwise!$D$4:$O$20,DTR!E$4,FALSE))*1000,0)</f>
        <v>0</v>
      </c>
      <c r="F282" s="238">
        <f>IFERROR((HLOOKUP($AH282,Target_monthwise!$D$4:$O$20,DTR!F$4,FALSE))*1000,0)</f>
        <v>0</v>
      </c>
      <c r="G282" s="238">
        <f>IFERROR((HLOOKUP($AH282,Target_monthwise!$D$4:$O$20,DTR!G$4,FALSE))*1000,0)</f>
        <v>0</v>
      </c>
      <c r="H282" s="238">
        <f>IFERROR((HLOOKUP($AH282,Target_monthwise!$D$4:$O$20,DTR!H$4,FALSE))*1000,0)</f>
        <v>0</v>
      </c>
      <c r="I282" s="238">
        <f>IFERROR((HLOOKUP($AH282,Target_monthwise!$D$4:$O$20,DTR!I$4,FALSE))*1000,0)</f>
        <v>0</v>
      </c>
      <c r="J282" s="238">
        <f>IFERROR((HLOOKUP($AH282,Target_monthwise!$D$4:$O$20,DTR!J$4,FALSE))*1000,0)</f>
        <v>0</v>
      </c>
      <c r="K282" s="238">
        <f>IFERROR((HLOOKUP($AH282,Target_monthwise!$D$4:$O$20,DTR!K$4,FALSE))*1000,0)</f>
        <v>0</v>
      </c>
      <c r="L282" s="238">
        <f>IFERROR((HLOOKUP($AH282,Target_monthwise!$D$4:$O$20,DTR!L$4,FALSE))*1000,0)</f>
        <v>0</v>
      </c>
      <c r="M282" s="238">
        <f>IFERROR((HLOOKUP($AH282,Target_monthwise!$D$4:$O$20,DTR!M$4,FALSE))*1000,0)</f>
        <v>0</v>
      </c>
      <c r="N282" s="238">
        <f>IFERROR((HLOOKUP($AH282,Target_monthwise!$D$4:$O$20,DTR!N$4,FALSE))*1000,0)</f>
        <v>0</v>
      </c>
      <c r="O282" s="238">
        <f>IFERROR((HLOOKUP($AH282,Target_monthwise!$D$4:$O$20,DTR!O$4,FALSE))*1000,0)</f>
        <v>0</v>
      </c>
      <c r="P282" s="238">
        <f>IFERROR((HLOOKUP($AH282,Target_monthwise!$D$4:$O$20,DTR!P$4,FALSE))*1000,0)</f>
        <v>0</v>
      </c>
      <c r="Q282" s="141">
        <f>IFERROR((HLOOKUP($AH282,Target_monthwise!$D$4:$O$20,DTR!Q$4,FALSE))*1000,0)</f>
        <v>0</v>
      </c>
      <c r="R282" s="167">
        <f>IFERROR((HLOOKUP($AH282,Target_monthwise!$D$4:$O$20,DTR!R$4,FALSE))*1000,0)</f>
        <v>0</v>
      </c>
      <c r="S282" s="239">
        <f>IFERROR((HLOOKUP($AH282,Target_monthwise!$D$24:$O$40,DTR!S$4,FALSE)),0)</f>
        <v>0</v>
      </c>
      <c r="T282" s="239">
        <f>IFERROR((HLOOKUP($AH282,Target_monthwise!$D$24:$O$40,DTR!T$4,FALSE)),0)</f>
        <v>0</v>
      </c>
      <c r="U282" s="239">
        <f>IFERROR((HLOOKUP($AH282,Target_monthwise!$D$24:$O$40,DTR!U$4,FALSE)),0)</f>
        <v>0</v>
      </c>
      <c r="V282" s="239">
        <f>IFERROR((HLOOKUP($AH282,Target_monthwise!$D$24:$O$40,DTR!V$4,FALSE)),0)</f>
        <v>0</v>
      </c>
      <c r="W282" s="239">
        <f>IFERROR((HLOOKUP($AH282,Target_monthwise!$D$24:$O$40,DTR!W$4,FALSE)),0)</f>
        <v>0</v>
      </c>
      <c r="X282" s="239">
        <f>IFERROR((HLOOKUP($AH282,Target_monthwise!$D$24:$O$40,DTR!X$4,FALSE)),0)</f>
        <v>0</v>
      </c>
      <c r="Y282" s="239">
        <f>IFERROR((HLOOKUP($AH282,Target_monthwise!$D$24:$O$40,DTR!Y$4,FALSE)),0)</f>
        <v>0</v>
      </c>
      <c r="Z282" s="147">
        <f>IFERROR((HLOOKUP($AH282,Target_monthwise!$D$24:$O$40,DTR!Z$4,FALSE)),0)</f>
        <v>0</v>
      </c>
      <c r="AA282" s="147">
        <f>IFERROR((HLOOKUP($AH282,Target_monthwise!$D$24:$O$40,DTR!AA$4,FALSE)),0)</f>
        <v>0</v>
      </c>
      <c r="AB282" s="147">
        <f>IFERROR((HLOOKUP($AH282,Target_monthwise!$D$24:$O$40,DTR!AB$4,FALSE)),0)</f>
        <v>0</v>
      </c>
      <c r="AC282" s="239">
        <f>IFERROR((HLOOKUP($AH282,Target_monthwise!$D$24:$O$40,DTR!AC$4,FALSE)),0)</f>
        <v>0</v>
      </c>
      <c r="AD282" s="239">
        <f>IFERROR((HLOOKUP($AH282,Target_monthwise!$D$24:$O$40,DTR!AD$4,FALSE)),0)</f>
        <v>0</v>
      </c>
      <c r="AE282" s="239">
        <f>IFERROR((HLOOKUP($AH282,Target_monthwise!$D$24:$O$40,DTR!AE$4,FALSE)),0)</f>
        <v>0</v>
      </c>
      <c r="AF282" s="239">
        <f>IFERROR((HLOOKUP($AH282,Target_monthwise!$D$24:$O$40,DTR!AF$4,FALSE)),0)</f>
        <v>0</v>
      </c>
      <c r="AG282" s="172">
        <f>IFERROR((HLOOKUP($AH282,Target_monthwise!$D$24:$O$40,DTR!AG$4,FALSE)),0)</f>
        <v>0</v>
      </c>
      <c r="AH282" s="253">
        <f t="shared" si="4"/>
        <v>202212</v>
      </c>
    </row>
    <row r="283" spans="3:34" ht="15.75" hidden="1">
      <c r="C283" s="235">
        <v>44926</v>
      </c>
      <c r="D283" s="141">
        <f>IFERROR((HLOOKUP($AH283,Target_monthwise!$D$4:$O$20,DTR!D$4,FALSE))*1000,0)</f>
        <v>0</v>
      </c>
      <c r="E283" s="141">
        <f>IFERROR((HLOOKUP($AH283,Target_monthwise!$D$4:$O$20,DTR!E$4,FALSE))*1000,0)</f>
        <v>0</v>
      </c>
      <c r="F283" s="141">
        <f>IFERROR((HLOOKUP($AH283,Target_monthwise!$D$4:$O$20,DTR!F$4,FALSE))*1000,0)</f>
        <v>0</v>
      </c>
      <c r="G283" s="141">
        <f>IFERROR((HLOOKUP($AH283,Target_monthwise!$D$4:$O$20,DTR!G$4,FALSE))*1000,0)</f>
        <v>0</v>
      </c>
      <c r="H283" s="141">
        <f>IFERROR((HLOOKUP($AH283,Target_monthwise!$D$4:$O$20,DTR!H$4,FALSE))*1000,0)</f>
        <v>0</v>
      </c>
      <c r="I283" s="141">
        <f>IFERROR((HLOOKUP($AH283,Target_monthwise!$D$4:$O$20,DTR!I$4,FALSE))*1000,0)</f>
        <v>0</v>
      </c>
      <c r="J283" s="141">
        <f>IFERROR((HLOOKUP($AH283,Target_monthwise!$D$4:$O$20,DTR!J$4,FALSE))*1000,0)</f>
        <v>0</v>
      </c>
      <c r="K283" s="141">
        <f>IFERROR((HLOOKUP($AH283,Target_monthwise!$D$4:$O$20,DTR!K$4,FALSE))*1000,0)</f>
        <v>0</v>
      </c>
      <c r="L283" s="141">
        <f>IFERROR((HLOOKUP($AH283,Target_monthwise!$D$4:$O$20,DTR!L$4,FALSE))*1000,0)</f>
        <v>0</v>
      </c>
      <c r="M283" s="141">
        <f>IFERROR((HLOOKUP($AH283,Target_monthwise!$D$4:$O$20,DTR!M$4,FALSE))*1000,0)</f>
        <v>0</v>
      </c>
      <c r="N283" s="141">
        <f>IFERROR((HLOOKUP($AH283,Target_monthwise!$D$4:$O$20,DTR!N$4,FALSE))*1000,0)</f>
        <v>0</v>
      </c>
      <c r="O283" s="141">
        <f>IFERROR((HLOOKUP($AH283,Target_monthwise!$D$4:$O$20,DTR!O$4,FALSE))*1000,0)</f>
        <v>0</v>
      </c>
      <c r="P283" s="141">
        <f>IFERROR((HLOOKUP($AH283,Target_monthwise!$D$4:$O$20,DTR!P$4,FALSE))*1000,0)</f>
        <v>0</v>
      </c>
      <c r="Q283" s="141">
        <f>IFERROR((HLOOKUP($AH283,Target_monthwise!$D$4:$O$20,DTR!Q$4,FALSE))*1000,0)</f>
        <v>0</v>
      </c>
      <c r="R283" s="167">
        <f>IFERROR((HLOOKUP($AH283,Target_monthwise!$D$4:$O$20,DTR!R$4,FALSE))*1000,0)</f>
        <v>0</v>
      </c>
      <c r="S283" s="147">
        <f>IFERROR((HLOOKUP($AH283,Target_monthwise!$D$24:$O$40,DTR!S$4,FALSE)),0)</f>
        <v>0</v>
      </c>
      <c r="T283" s="147">
        <f>IFERROR((HLOOKUP($AH283,Target_monthwise!$D$24:$O$40,DTR!T$4,FALSE)),0)</f>
        <v>0</v>
      </c>
      <c r="U283" s="147">
        <f>IFERROR((HLOOKUP($AH283,Target_monthwise!$D$24:$O$40,DTR!U$4,FALSE)),0)</f>
        <v>0</v>
      </c>
      <c r="V283" s="147">
        <f>IFERROR((HLOOKUP($AH283,Target_monthwise!$D$24:$O$40,DTR!V$4,FALSE)),0)</f>
        <v>0</v>
      </c>
      <c r="W283" s="147">
        <f>IFERROR((HLOOKUP($AH283,Target_monthwise!$D$24:$O$40,DTR!W$4,FALSE)),0)</f>
        <v>0</v>
      </c>
      <c r="X283" s="147">
        <f>IFERROR((HLOOKUP($AH283,Target_monthwise!$D$24:$O$40,DTR!X$4,FALSE)),0)</f>
        <v>0</v>
      </c>
      <c r="Y283" s="147">
        <f>IFERROR((HLOOKUP($AH283,Target_monthwise!$D$24:$O$40,DTR!Y$4,FALSE)),0)</f>
        <v>0</v>
      </c>
      <c r="Z283" s="147">
        <f>IFERROR((HLOOKUP($AH283,Target_monthwise!$D$24:$O$40,DTR!Z$4,FALSE)),0)</f>
        <v>0</v>
      </c>
      <c r="AA283" s="147">
        <f>IFERROR((HLOOKUP($AH283,Target_monthwise!$D$24:$O$40,DTR!AA$4,FALSE)),0)</f>
        <v>0</v>
      </c>
      <c r="AB283" s="147">
        <f>IFERROR((HLOOKUP($AH283,Target_monthwise!$D$24:$O$40,DTR!AB$4,FALSE)),0)</f>
        <v>0</v>
      </c>
      <c r="AC283" s="147">
        <f>IFERROR((HLOOKUP($AH283,Target_monthwise!$D$24:$O$40,DTR!AC$4,FALSE)),0)</f>
        <v>0</v>
      </c>
      <c r="AD283" s="147">
        <f>IFERROR((HLOOKUP($AH283,Target_monthwise!$D$24:$O$40,DTR!AD$4,FALSE)),0)</f>
        <v>0</v>
      </c>
      <c r="AE283" s="147">
        <f>IFERROR((HLOOKUP($AH283,Target_monthwise!$D$24:$O$40,DTR!AE$4,FALSE)),0)</f>
        <v>0</v>
      </c>
      <c r="AF283" s="147">
        <f>IFERROR((HLOOKUP($AH283,Target_monthwise!$D$24:$O$40,DTR!AF$4,FALSE)),0)</f>
        <v>0</v>
      </c>
      <c r="AG283" s="172">
        <f>IFERROR((HLOOKUP($AH283,Target_monthwise!$D$24:$O$40,DTR!AG$4,FALSE)),0)</f>
        <v>0</v>
      </c>
      <c r="AH283" s="253">
        <f t="shared" si="4"/>
        <v>202212</v>
      </c>
    </row>
    <row r="284" spans="3:34" ht="15.75" hidden="1">
      <c r="C284" s="237">
        <v>44927</v>
      </c>
      <c r="D284" s="238">
        <f>IFERROR((HLOOKUP($AH284,Target_monthwise!$D$4:$O$20,DTR!D$4,FALSE))*1000,0)</f>
        <v>0</v>
      </c>
      <c r="E284" s="238">
        <f>IFERROR((HLOOKUP($AH284,Target_monthwise!$D$4:$O$20,DTR!E$4,FALSE))*1000,0)</f>
        <v>0</v>
      </c>
      <c r="F284" s="238">
        <f>IFERROR((HLOOKUP($AH284,Target_monthwise!$D$4:$O$20,DTR!F$4,FALSE))*1000,0)</f>
        <v>0</v>
      </c>
      <c r="G284" s="238">
        <f>IFERROR((HLOOKUP($AH284,Target_monthwise!$D$4:$O$20,DTR!G$4,FALSE))*1000,0)</f>
        <v>0</v>
      </c>
      <c r="H284" s="238">
        <f>IFERROR((HLOOKUP($AH284,Target_monthwise!$D$4:$O$20,DTR!H$4,FALSE))*1000,0)</f>
        <v>0</v>
      </c>
      <c r="I284" s="238">
        <f>IFERROR((HLOOKUP($AH284,Target_monthwise!$D$4:$O$20,DTR!I$4,FALSE))*1000,0)</f>
        <v>0</v>
      </c>
      <c r="J284" s="238">
        <f>IFERROR((HLOOKUP($AH284,Target_monthwise!$D$4:$O$20,DTR!J$4,FALSE))*1000,0)</f>
        <v>0</v>
      </c>
      <c r="K284" s="238">
        <f>IFERROR((HLOOKUP($AH284,Target_monthwise!$D$4:$O$20,DTR!K$4,FALSE))*1000,0)</f>
        <v>0</v>
      </c>
      <c r="L284" s="238">
        <f>IFERROR((HLOOKUP($AH284,Target_monthwise!$D$4:$O$20,DTR!L$4,FALSE))*1000,0)</f>
        <v>0</v>
      </c>
      <c r="M284" s="238">
        <f>IFERROR((HLOOKUP($AH284,Target_monthwise!$D$4:$O$20,DTR!M$4,FALSE))*1000,0)</f>
        <v>0</v>
      </c>
      <c r="N284" s="238">
        <f>IFERROR((HLOOKUP($AH284,Target_monthwise!$D$4:$O$20,DTR!N$4,FALSE))*1000,0)</f>
        <v>0</v>
      </c>
      <c r="O284" s="238">
        <f>IFERROR((HLOOKUP($AH284,Target_monthwise!$D$4:$O$20,DTR!O$4,FALSE))*1000,0)</f>
        <v>0</v>
      </c>
      <c r="P284" s="238">
        <f>IFERROR((HLOOKUP($AH284,Target_monthwise!$D$4:$O$20,DTR!P$4,FALSE))*1000,0)</f>
        <v>0</v>
      </c>
      <c r="Q284" s="141">
        <f>IFERROR((HLOOKUP($AH284,Target_monthwise!$D$4:$O$20,DTR!Q$4,FALSE))*1000,0)</f>
        <v>0</v>
      </c>
      <c r="R284" s="167">
        <f>IFERROR((HLOOKUP($AH284,Target_monthwise!$D$4:$O$20,DTR!R$4,FALSE))*1000,0)</f>
        <v>0</v>
      </c>
      <c r="S284" s="239">
        <f>IFERROR((HLOOKUP($AH284,Target_monthwise!$D$24:$O$40,DTR!S$4,FALSE)),0)</f>
        <v>0</v>
      </c>
      <c r="T284" s="239">
        <f>IFERROR((HLOOKUP($AH284,Target_monthwise!$D$24:$O$40,DTR!T$4,FALSE)),0)</f>
        <v>0</v>
      </c>
      <c r="U284" s="239">
        <f>IFERROR((HLOOKUP($AH284,Target_monthwise!$D$24:$O$40,DTR!U$4,FALSE)),0)</f>
        <v>0</v>
      </c>
      <c r="V284" s="239">
        <f>IFERROR((HLOOKUP($AH284,Target_monthwise!$D$24:$O$40,DTR!V$4,FALSE)),0)</f>
        <v>0</v>
      </c>
      <c r="W284" s="239">
        <f>IFERROR((HLOOKUP($AH284,Target_monthwise!$D$24:$O$40,DTR!W$4,FALSE)),0)</f>
        <v>0</v>
      </c>
      <c r="X284" s="239">
        <f>IFERROR((HLOOKUP($AH284,Target_monthwise!$D$24:$O$40,DTR!X$4,FALSE)),0)</f>
        <v>0</v>
      </c>
      <c r="Y284" s="239">
        <f>IFERROR((HLOOKUP($AH284,Target_monthwise!$D$24:$O$40,DTR!Y$4,FALSE)),0)</f>
        <v>0</v>
      </c>
      <c r="Z284" s="147">
        <f>IFERROR((HLOOKUP($AH284,Target_monthwise!$D$24:$O$40,DTR!Z$4,FALSE)),0)</f>
        <v>0</v>
      </c>
      <c r="AA284" s="147">
        <f>IFERROR((HLOOKUP($AH284,Target_monthwise!$D$24:$O$40,DTR!AA$4,FALSE)),0)</f>
        <v>0</v>
      </c>
      <c r="AB284" s="147">
        <f>IFERROR((HLOOKUP($AH284,Target_monthwise!$D$24:$O$40,DTR!AB$4,FALSE)),0)</f>
        <v>0</v>
      </c>
      <c r="AC284" s="239">
        <f>IFERROR((HLOOKUP($AH284,Target_monthwise!$D$24:$O$40,DTR!AC$4,FALSE)),0)</f>
        <v>0</v>
      </c>
      <c r="AD284" s="239">
        <f>IFERROR((HLOOKUP($AH284,Target_monthwise!$D$24:$O$40,DTR!AD$4,FALSE)),0)</f>
        <v>0</v>
      </c>
      <c r="AE284" s="239">
        <f>IFERROR((HLOOKUP($AH284,Target_monthwise!$D$24:$O$40,DTR!AE$4,FALSE)),0)</f>
        <v>0</v>
      </c>
      <c r="AF284" s="239">
        <f>IFERROR((HLOOKUP($AH284,Target_monthwise!$D$24:$O$40,DTR!AF$4,FALSE)),0)</f>
        <v>0</v>
      </c>
      <c r="AG284" s="172">
        <f>IFERROR((HLOOKUP($AH284,Target_monthwise!$D$24:$O$40,DTR!AG$4,FALSE)),0)</f>
        <v>0</v>
      </c>
      <c r="AH284" s="253">
        <f t="shared" si="4"/>
        <v>202301</v>
      </c>
    </row>
    <row r="285" spans="3:34" ht="15.75" hidden="1">
      <c r="C285" s="235">
        <v>44928</v>
      </c>
      <c r="D285" s="141">
        <f>IFERROR((HLOOKUP($AH285,Target_monthwise!$D$4:$O$20,DTR!D$4,FALSE))*1000,0)</f>
        <v>0</v>
      </c>
      <c r="E285" s="141">
        <f>IFERROR((HLOOKUP($AH285,Target_monthwise!$D$4:$O$20,DTR!E$4,FALSE))*1000,0)</f>
        <v>0</v>
      </c>
      <c r="F285" s="141">
        <f>IFERROR((HLOOKUP($AH285,Target_monthwise!$D$4:$O$20,DTR!F$4,FALSE))*1000,0)</f>
        <v>0</v>
      </c>
      <c r="G285" s="141">
        <f>IFERROR((HLOOKUP($AH285,Target_monthwise!$D$4:$O$20,DTR!G$4,FALSE))*1000,0)</f>
        <v>0</v>
      </c>
      <c r="H285" s="141">
        <f>IFERROR((HLOOKUP($AH285,Target_monthwise!$D$4:$O$20,DTR!H$4,FALSE))*1000,0)</f>
        <v>0</v>
      </c>
      <c r="I285" s="141">
        <f>IFERROR((HLOOKUP($AH285,Target_monthwise!$D$4:$O$20,DTR!I$4,FALSE))*1000,0)</f>
        <v>0</v>
      </c>
      <c r="J285" s="141">
        <f>IFERROR((HLOOKUP($AH285,Target_monthwise!$D$4:$O$20,DTR!J$4,FALSE))*1000,0)</f>
        <v>0</v>
      </c>
      <c r="K285" s="141">
        <f>IFERROR((HLOOKUP($AH285,Target_monthwise!$D$4:$O$20,DTR!K$4,FALSE))*1000,0)</f>
        <v>0</v>
      </c>
      <c r="L285" s="141">
        <f>IFERROR((HLOOKUP($AH285,Target_monthwise!$D$4:$O$20,DTR!L$4,FALSE))*1000,0)</f>
        <v>0</v>
      </c>
      <c r="M285" s="141">
        <f>IFERROR((HLOOKUP($AH285,Target_monthwise!$D$4:$O$20,DTR!M$4,FALSE))*1000,0)</f>
        <v>0</v>
      </c>
      <c r="N285" s="141">
        <f>IFERROR((HLOOKUP($AH285,Target_monthwise!$D$4:$O$20,DTR!N$4,FALSE))*1000,0)</f>
        <v>0</v>
      </c>
      <c r="O285" s="141">
        <f>IFERROR((HLOOKUP($AH285,Target_monthwise!$D$4:$O$20,DTR!O$4,FALSE))*1000,0)</f>
        <v>0</v>
      </c>
      <c r="P285" s="141">
        <f>IFERROR((HLOOKUP($AH285,Target_monthwise!$D$4:$O$20,DTR!P$4,FALSE))*1000,0)</f>
        <v>0</v>
      </c>
      <c r="Q285" s="141">
        <f>IFERROR((HLOOKUP($AH285,Target_monthwise!$D$4:$O$20,DTR!Q$4,FALSE))*1000,0)</f>
        <v>0</v>
      </c>
      <c r="R285" s="167">
        <f>IFERROR((HLOOKUP($AH285,Target_monthwise!$D$4:$O$20,DTR!R$4,FALSE))*1000,0)</f>
        <v>0</v>
      </c>
      <c r="S285" s="147">
        <f>IFERROR((HLOOKUP($AH285,Target_monthwise!$D$24:$O$40,DTR!S$4,FALSE)),0)</f>
        <v>0</v>
      </c>
      <c r="T285" s="147">
        <f>IFERROR((HLOOKUP($AH285,Target_monthwise!$D$24:$O$40,DTR!T$4,FALSE)),0)</f>
        <v>0</v>
      </c>
      <c r="U285" s="147">
        <f>IFERROR((HLOOKUP($AH285,Target_monthwise!$D$24:$O$40,DTR!U$4,FALSE)),0)</f>
        <v>0</v>
      </c>
      <c r="V285" s="147">
        <f>IFERROR((HLOOKUP($AH285,Target_monthwise!$D$24:$O$40,DTR!V$4,FALSE)),0)</f>
        <v>0</v>
      </c>
      <c r="W285" s="147">
        <f>IFERROR((HLOOKUP($AH285,Target_monthwise!$D$24:$O$40,DTR!W$4,FALSE)),0)</f>
        <v>0</v>
      </c>
      <c r="X285" s="147">
        <f>IFERROR((HLOOKUP($AH285,Target_monthwise!$D$24:$O$40,DTR!X$4,FALSE)),0)</f>
        <v>0</v>
      </c>
      <c r="Y285" s="147">
        <f>IFERROR((HLOOKUP($AH285,Target_monthwise!$D$24:$O$40,DTR!Y$4,FALSE)),0)</f>
        <v>0</v>
      </c>
      <c r="Z285" s="147">
        <f>IFERROR((HLOOKUP($AH285,Target_monthwise!$D$24:$O$40,DTR!Z$4,FALSE)),0)</f>
        <v>0</v>
      </c>
      <c r="AA285" s="147">
        <f>IFERROR((HLOOKUP($AH285,Target_monthwise!$D$24:$O$40,DTR!AA$4,FALSE)),0)</f>
        <v>0</v>
      </c>
      <c r="AB285" s="147">
        <f>IFERROR((HLOOKUP($AH285,Target_monthwise!$D$24:$O$40,DTR!AB$4,FALSE)),0)</f>
        <v>0</v>
      </c>
      <c r="AC285" s="147">
        <f>IFERROR((HLOOKUP($AH285,Target_monthwise!$D$24:$O$40,DTR!AC$4,FALSE)),0)</f>
        <v>0</v>
      </c>
      <c r="AD285" s="147">
        <f>IFERROR((HLOOKUP($AH285,Target_monthwise!$D$24:$O$40,DTR!AD$4,FALSE)),0)</f>
        <v>0</v>
      </c>
      <c r="AE285" s="147">
        <f>IFERROR((HLOOKUP($AH285,Target_monthwise!$D$24:$O$40,DTR!AE$4,FALSE)),0)</f>
        <v>0</v>
      </c>
      <c r="AF285" s="147">
        <f>IFERROR((HLOOKUP($AH285,Target_monthwise!$D$24:$O$40,DTR!AF$4,FALSE)),0)</f>
        <v>0</v>
      </c>
      <c r="AG285" s="172">
        <f>IFERROR((HLOOKUP($AH285,Target_monthwise!$D$24:$O$40,DTR!AG$4,FALSE)),0)</f>
        <v>0</v>
      </c>
      <c r="AH285" s="253">
        <f t="shared" si="4"/>
        <v>202301</v>
      </c>
    </row>
    <row r="286" spans="3:34" ht="15.75" hidden="1">
      <c r="C286" s="237">
        <v>44929</v>
      </c>
      <c r="D286" s="238">
        <f>IFERROR((HLOOKUP($AH286,Target_monthwise!$D$4:$O$20,DTR!D$4,FALSE))*1000,0)</f>
        <v>0</v>
      </c>
      <c r="E286" s="238">
        <f>IFERROR((HLOOKUP($AH286,Target_monthwise!$D$4:$O$20,DTR!E$4,FALSE))*1000,0)</f>
        <v>0</v>
      </c>
      <c r="F286" s="238">
        <f>IFERROR((HLOOKUP($AH286,Target_monthwise!$D$4:$O$20,DTR!F$4,FALSE))*1000,0)</f>
        <v>0</v>
      </c>
      <c r="G286" s="238">
        <f>IFERROR((HLOOKUP($AH286,Target_monthwise!$D$4:$O$20,DTR!G$4,FALSE))*1000,0)</f>
        <v>0</v>
      </c>
      <c r="H286" s="238">
        <f>IFERROR((HLOOKUP($AH286,Target_monthwise!$D$4:$O$20,DTR!H$4,FALSE))*1000,0)</f>
        <v>0</v>
      </c>
      <c r="I286" s="238">
        <f>IFERROR((HLOOKUP($AH286,Target_monthwise!$D$4:$O$20,DTR!I$4,FALSE))*1000,0)</f>
        <v>0</v>
      </c>
      <c r="J286" s="238">
        <f>IFERROR((HLOOKUP($AH286,Target_monthwise!$D$4:$O$20,DTR!J$4,FALSE))*1000,0)</f>
        <v>0</v>
      </c>
      <c r="K286" s="238">
        <f>IFERROR((HLOOKUP($AH286,Target_monthwise!$D$4:$O$20,DTR!K$4,FALSE))*1000,0)</f>
        <v>0</v>
      </c>
      <c r="L286" s="238">
        <f>IFERROR((HLOOKUP($AH286,Target_monthwise!$D$4:$O$20,DTR!L$4,FALSE))*1000,0)</f>
        <v>0</v>
      </c>
      <c r="M286" s="238">
        <f>IFERROR((HLOOKUP($AH286,Target_monthwise!$D$4:$O$20,DTR!M$4,FALSE))*1000,0)</f>
        <v>0</v>
      </c>
      <c r="N286" s="238">
        <f>IFERROR((HLOOKUP($AH286,Target_monthwise!$D$4:$O$20,DTR!N$4,FALSE))*1000,0)</f>
        <v>0</v>
      </c>
      <c r="O286" s="238">
        <f>IFERROR((HLOOKUP($AH286,Target_monthwise!$D$4:$O$20,DTR!O$4,FALSE))*1000,0)</f>
        <v>0</v>
      </c>
      <c r="P286" s="238">
        <f>IFERROR((HLOOKUP($AH286,Target_monthwise!$D$4:$O$20,DTR!P$4,FALSE))*1000,0)</f>
        <v>0</v>
      </c>
      <c r="Q286" s="141">
        <f>IFERROR((HLOOKUP($AH286,Target_monthwise!$D$4:$O$20,DTR!Q$4,FALSE))*1000,0)</f>
        <v>0</v>
      </c>
      <c r="R286" s="167">
        <f>IFERROR((HLOOKUP($AH286,Target_monthwise!$D$4:$O$20,DTR!R$4,FALSE))*1000,0)</f>
        <v>0</v>
      </c>
      <c r="S286" s="239">
        <f>IFERROR((HLOOKUP($AH286,Target_monthwise!$D$24:$O$40,DTR!S$4,FALSE)),0)</f>
        <v>0</v>
      </c>
      <c r="T286" s="239">
        <f>IFERROR((HLOOKUP($AH286,Target_monthwise!$D$24:$O$40,DTR!T$4,FALSE)),0)</f>
        <v>0</v>
      </c>
      <c r="U286" s="239">
        <f>IFERROR((HLOOKUP($AH286,Target_monthwise!$D$24:$O$40,DTR!U$4,FALSE)),0)</f>
        <v>0</v>
      </c>
      <c r="V286" s="239">
        <f>IFERROR((HLOOKUP($AH286,Target_monthwise!$D$24:$O$40,DTR!V$4,FALSE)),0)</f>
        <v>0</v>
      </c>
      <c r="W286" s="239">
        <f>IFERROR((HLOOKUP($AH286,Target_monthwise!$D$24:$O$40,DTR!W$4,FALSE)),0)</f>
        <v>0</v>
      </c>
      <c r="X286" s="239">
        <f>IFERROR((HLOOKUP($AH286,Target_monthwise!$D$24:$O$40,DTR!X$4,FALSE)),0)</f>
        <v>0</v>
      </c>
      <c r="Y286" s="239">
        <f>IFERROR((HLOOKUP($AH286,Target_monthwise!$D$24:$O$40,DTR!Y$4,FALSE)),0)</f>
        <v>0</v>
      </c>
      <c r="Z286" s="147">
        <f>IFERROR((HLOOKUP($AH286,Target_monthwise!$D$24:$O$40,DTR!Z$4,FALSE)),0)</f>
        <v>0</v>
      </c>
      <c r="AA286" s="147">
        <f>IFERROR((HLOOKUP($AH286,Target_monthwise!$D$24:$O$40,DTR!AA$4,FALSE)),0)</f>
        <v>0</v>
      </c>
      <c r="AB286" s="147">
        <f>IFERROR((HLOOKUP($AH286,Target_monthwise!$D$24:$O$40,DTR!AB$4,FALSE)),0)</f>
        <v>0</v>
      </c>
      <c r="AC286" s="239">
        <f>IFERROR((HLOOKUP($AH286,Target_monthwise!$D$24:$O$40,DTR!AC$4,FALSE)),0)</f>
        <v>0</v>
      </c>
      <c r="AD286" s="239">
        <f>IFERROR((HLOOKUP($AH286,Target_monthwise!$D$24:$O$40,DTR!AD$4,FALSE)),0)</f>
        <v>0</v>
      </c>
      <c r="AE286" s="239">
        <f>IFERROR((HLOOKUP($AH286,Target_monthwise!$D$24:$O$40,DTR!AE$4,FALSE)),0)</f>
        <v>0</v>
      </c>
      <c r="AF286" s="239">
        <f>IFERROR((HLOOKUP($AH286,Target_monthwise!$D$24:$O$40,DTR!AF$4,FALSE)),0)</f>
        <v>0</v>
      </c>
      <c r="AG286" s="172">
        <f>IFERROR((HLOOKUP($AH286,Target_monthwise!$D$24:$O$40,DTR!AG$4,FALSE)),0)</f>
        <v>0</v>
      </c>
      <c r="AH286" s="253">
        <f t="shared" si="4"/>
        <v>202301</v>
      </c>
    </row>
    <row r="287" spans="3:34" ht="15.75" hidden="1">
      <c r="C287" s="235">
        <v>44930</v>
      </c>
      <c r="D287" s="141">
        <f>IFERROR((HLOOKUP($AH287,Target_monthwise!$D$4:$O$20,DTR!D$4,FALSE))*1000,0)</f>
        <v>0</v>
      </c>
      <c r="E287" s="141">
        <f>IFERROR((HLOOKUP($AH287,Target_monthwise!$D$4:$O$20,DTR!E$4,FALSE))*1000,0)</f>
        <v>0</v>
      </c>
      <c r="F287" s="141">
        <f>IFERROR((HLOOKUP($AH287,Target_monthwise!$D$4:$O$20,DTR!F$4,FALSE))*1000,0)</f>
        <v>0</v>
      </c>
      <c r="G287" s="141">
        <f>IFERROR((HLOOKUP($AH287,Target_monthwise!$D$4:$O$20,DTR!G$4,FALSE))*1000,0)</f>
        <v>0</v>
      </c>
      <c r="H287" s="141">
        <f>IFERROR((HLOOKUP($AH287,Target_monthwise!$D$4:$O$20,DTR!H$4,FALSE))*1000,0)</f>
        <v>0</v>
      </c>
      <c r="I287" s="141">
        <f>IFERROR((HLOOKUP($AH287,Target_monthwise!$D$4:$O$20,DTR!I$4,FALSE))*1000,0)</f>
        <v>0</v>
      </c>
      <c r="J287" s="141">
        <f>IFERROR((HLOOKUP($AH287,Target_monthwise!$D$4:$O$20,DTR!J$4,FALSE))*1000,0)</f>
        <v>0</v>
      </c>
      <c r="K287" s="141">
        <f>IFERROR((HLOOKUP($AH287,Target_monthwise!$D$4:$O$20,DTR!K$4,FALSE))*1000,0)</f>
        <v>0</v>
      </c>
      <c r="L287" s="141">
        <f>IFERROR((HLOOKUP($AH287,Target_monthwise!$D$4:$O$20,DTR!L$4,FALSE))*1000,0)</f>
        <v>0</v>
      </c>
      <c r="M287" s="141">
        <f>IFERROR((HLOOKUP($AH287,Target_monthwise!$D$4:$O$20,DTR!M$4,FALSE))*1000,0)</f>
        <v>0</v>
      </c>
      <c r="N287" s="141">
        <f>IFERROR((HLOOKUP($AH287,Target_monthwise!$D$4:$O$20,DTR!N$4,FALSE))*1000,0)</f>
        <v>0</v>
      </c>
      <c r="O287" s="141">
        <f>IFERROR((HLOOKUP($AH287,Target_monthwise!$D$4:$O$20,DTR!O$4,FALSE))*1000,0)</f>
        <v>0</v>
      </c>
      <c r="P287" s="141">
        <f>IFERROR((HLOOKUP($AH287,Target_monthwise!$D$4:$O$20,DTR!P$4,FALSE))*1000,0)</f>
        <v>0</v>
      </c>
      <c r="Q287" s="141">
        <f>IFERROR((HLOOKUP($AH287,Target_monthwise!$D$4:$O$20,DTR!Q$4,FALSE))*1000,0)</f>
        <v>0</v>
      </c>
      <c r="R287" s="167">
        <f>IFERROR((HLOOKUP($AH287,Target_monthwise!$D$4:$O$20,DTR!R$4,FALSE))*1000,0)</f>
        <v>0</v>
      </c>
      <c r="S287" s="147">
        <f>IFERROR((HLOOKUP($AH287,Target_monthwise!$D$24:$O$40,DTR!S$4,FALSE)),0)</f>
        <v>0</v>
      </c>
      <c r="T287" s="147">
        <f>IFERROR((HLOOKUP($AH287,Target_monthwise!$D$24:$O$40,DTR!T$4,FALSE)),0)</f>
        <v>0</v>
      </c>
      <c r="U287" s="147">
        <f>IFERROR((HLOOKUP($AH287,Target_monthwise!$D$24:$O$40,DTR!U$4,FALSE)),0)</f>
        <v>0</v>
      </c>
      <c r="V287" s="147">
        <f>IFERROR((HLOOKUP($AH287,Target_monthwise!$D$24:$O$40,DTR!V$4,FALSE)),0)</f>
        <v>0</v>
      </c>
      <c r="W287" s="147">
        <f>IFERROR((HLOOKUP($AH287,Target_monthwise!$D$24:$O$40,DTR!W$4,FALSE)),0)</f>
        <v>0</v>
      </c>
      <c r="X287" s="147">
        <f>IFERROR((HLOOKUP($AH287,Target_monthwise!$D$24:$O$40,DTR!X$4,FALSE)),0)</f>
        <v>0</v>
      </c>
      <c r="Y287" s="147">
        <f>IFERROR((HLOOKUP($AH287,Target_monthwise!$D$24:$O$40,DTR!Y$4,FALSE)),0)</f>
        <v>0</v>
      </c>
      <c r="Z287" s="147">
        <f>IFERROR((HLOOKUP($AH287,Target_monthwise!$D$24:$O$40,DTR!Z$4,FALSE)),0)</f>
        <v>0</v>
      </c>
      <c r="AA287" s="147">
        <f>IFERROR((HLOOKUP($AH287,Target_monthwise!$D$24:$O$40,DTR!AA$4,FALSE)),0)</f>
        <v>0</v>
      </c>
      <c r="AB287" s="147">
        <f>IFERROR((HLOOKUP($AH287,Target_monthwise!$D$24:$O$40,DTR!AB$4,FALSE)),0)</f>
        <v>0</v>
      </c>
      <c r="AC287" s="147">
        <f>IFERROR((HLOOKUP($AH287,Target_monthwise!$D$24:$O$40,DTR!AC$4,FALSE)),0)</f>
        <v>0</v>
      </c>
      <c r="AD287" s="147">
        <f>IFERROR((HLOOKUP($AH287,Target_monthwise!$D$24:$O$40,DTR!AD$4,FALSE)),0)</f>
        <v>0</v>
      </c>
      <c r="AE287" s="147">
        <f>IFERROR((HLOOKUP($AH287,Target_monthwise!$D$24:$O$40,DTR!AE$4,FALSE)),0)</f>
        <v>0</v>
      </c>
      <c r="AF287" s="147">
        <f>IFERROR((HLOOKUP($AH287,Target_monthwise!$D$24:$O$40,DTR!AF$4,FALSE)),0)</f>
        <v>0</v>
      </c>
      <c r="AG287" s="172">
        <f>IFERROR((HLOOKUP($AH287,Target_monthwise!$D$24:$O$40,DTR!AG$4,FALSE)),0)</f>
        <v>0</v>
      </c>
      <c r="AH287" s="253">
        <f t="shared" si="4"/>
        <v>202301</v>
      </c>
    </row>
    <row r="288" spans="3:34" ht="15.75" hidden="1">
      <c r="C288" s="237">
        <v>44931</v>
      </c>
      <c r="D288" s="238">
        <f>IFERROR((HLOOKUP($AH288,Target_monthwise!$D$4:$O$20,DTR!D$4,FALSE))*1000,0)</f>
        <v>0</v>
      </c>
      <c r="E288" s="238">
        <f>IFERROR((HLOOKUP($AH288,Target_monthwise!$D$4:$O$20,DTR!E$4,FALSE))*1000,0)</f>
        <v>0</v>
      </c>
      <c r="F288" s="238">
        <f>IFERROR((HLOOKUP($AH288,Target_monthwise!$D$4:$O$20,DTR!F$4,FALSE))*1000,0)</f>
        <v>0</v>
      </c>
      <c r="G288" s="238">
        <f>IFERROR((HLOOKUP($AH288,Target_monthwise!$D$4:$O$20,DTR!G$4,FALSE))*1000,0)</f>
        <v>0</v>
      </c>
      <c r="H288" s="238">
        <f>IFERROR((HLOOKUP($AH288,Target_monthwise!$D$4:$O$20,DTR!H$4,FALSE))*1000,0)</f>
        <v>0</v>
      </c>
      <c r="I288" s="238">
        <f>IFERROR((HLOOKUP($AH288,Target_monthwise!$D$4:$O$20,DTR!I$4,FALSE))*1000,0)</f>
        <v>0</v>
      </c>
      <c r="J288" s="238">
        <f>IFERROR((HLOOKUP($AH288,Target_monthwise!$D$4:$O$20,DTR!J$4,FALSE))*1000,0)</f>
        <v>0</v>
      </c>
      <c r="K288" s="238">
        <f>IFERROR((HLOOKUP($AH288,Target_monthwise!$D$4:$O$20,DTR!K$4,FALSE))*1000,0)</f>
        <v>0</v>
      </c>
      <c r="L288" s="238">
        <f>IFERROR((HLOOKUP($AH288,Target_monthwise!$D$4:$O$20,DTR!L$4,FALSE))*1000,0)</f>
        <v>0</v>
      </c>
      <c r="M288" s="238">
        <f>IFERROR((HLOOKUP($AH288,Target_monthwise!$D$4:$O$20,DTR!M$4,FALSE))*1000,0)</f>
        <v>0</v>
      </c>
      <c r="N288" s="238">
        <f>IFERROR((HLOOKUP($AH288,Target_monthwise!$D$4:$O$20,DTR!N$4,FALSE))*1000,0)</f>
        <v>0</v>
      </c>
      <c r="O288" s="238">
        <f>IFERROR((HLOOKUP($AH288,Target_monthwise!$D$4:$O$20,DTR!O$4,FALSE))*1000,0)</f>
        <v>0</v>
      </c>
      <c r="P288" s="238">
        <f>IFERROR((HLOOKUP($AH288,Target_monthwise!$D$4:$O$20,DTR!P$4,FALSE))*1000,0)</f>
        <v>0</v>
      </c>
      <c r="Q288" s="141">
        <f>IFERROR((HLOOKUP($AH288,Target_monthwise!$D$4:$O$20,DTR!Q$4,FALSE))*1000,0)</f>
        <v>0</v>
      </c>
      <c r="R288" s="167">
        <f>IFERROR((HLOOKUP($AH288,Target_monthwise!$D$4:$O$20,DTR!R$4,FALSE))*1000,0)</f>
        <v>0</v>
      </c>
      <c r="S288" s="239">
        <f>IFERROR((HLOOKUP($AH288,Target_monthwise!$D$24:$O$40,DTR!S$4,FALSE)),0)</f>
        <v>0</v>
      </c>
      <c r="T288" s="239">
        <f>IFERROR((HLOOKUP($AH288,Target_monthwise!$D$24:$O$40,DTR!T$4,FALSE)),0)</f>
        <v>0</v>
      </c>
      <c r="U288" s="239">
        <f>IFERROR((HLOOKUP($AH288,Target_monthwise!$D$24:$O$40,DTR!U$4,FALSE)),0)</f>
        <v>0</v>
      </c>
      <c r="V288" s="239">
        <f>IFERROR((HLOOKUP($AH288,Target_monthwise!$D$24:$O$40,DTR!V$4,FALSE)),0)</f>
        <v>0</v>
      </c>
      <c r="W288" s="239">
        <f>IFERROR((HLOOKUP($AH288,Target_monthwise!$D$24:$O$40,DTR!W$4,FALSE)),0)</f>
        <v>0</v>
      </c>
      <c r="X288" s="239">
        <f>IFERROR((HLOOKUP($AH288,Target_monthwise!$D$24:$O$40,DTR!X$4,FALSE)),0)</f>
        <v>0</v>
      </c>
      <c r="Y288" s="239">
        <f>IFERROR((HLOOKUP($AH288,Target_monthwise!$D$24:$O$40,DTR!Y$4,FALSE)),0)</f>
        <v>0</v>
      </c>
      <c r="Z288" s="147">
        <f>IFERROR((HLOOKUP($AH288,Target_monthwise!$D$24:$O$40,DTR!Z$4,FALSE)),0)</f>
        <v>0</v>
      </c>
      <c r="AA288" s="147">
        <f>IFERROR((HLOOKUP($AH288,Target_monthwise!$D$24:$O$40,DTR!AA$4,FALSE)),0)</f>
        <v>0</v>
      </c>
      <c r="AB288" s="147">
        <f>IFERROR((HLOOKUP($AH288,Target_monthwise!$D$24:$O$40,DTR!AB$4,FALSE)),0)</f>
        <v>0</v>
      </c>
      <c r="AC288" s="239">
        <f>IFERROR((HLOOKUP($AH288,Target_monthwise!$D$24:$O$40,DTR!AC$4,FALSE)),0)</f>
        <v>0</v>
      </c>
      <c r="AD288" s="239">
        <f>IFERROR((HLOOKUP($AH288,Target_monthwise!$D$24:$O$40,DTR!AD$4,FALSE)),0)</f>
        <v>0</v>
      </c>
      <c r="AE288" s="239">
        <f>IFERROR((HLOOKUP($AH288,Target_monthwise!$D$24:$O$40,DTR!AE$4,FALSE)),0)</f>
        <v>0</v>
      </c>
      <c r="AF288" s="239">
        <f>IFERROR((HLOOKUP($AH288,Target_monthwise!$D$24:$O$40,DTR!AF$4,FALSE)),0)</f>
        <v>0</v>
      </c>
      <c r="AG288" s="172">
        <f>IFERROR((HLOOKUP($AH288,Target_monthwise!$D$24:$O$40,DTR!AG$4,FALSE)),0)</f>
        <v>0</v>
      </c>
      <c r="AH288" s="253">
        <f t="shared" si="4"/>
        <v>202301</v>
      </c>
    </row>
    <row r="289" spans="3:34" ht="15.75" hidden="1">
      <c r="C289" s="235">
        <v>44932</v>
      </c>
      <c r="D289" s="141">
        <f>IFERROR((HLOOKUP($AH289,Target_monthwise!$D$4:$O$20,DTR!D$4,FALSE))*1000,0)</f>
        <v>0</v>
      </c>
      <c r="E289" s="141">
        <f>IFERROR((HLOOKUP($AH289,Target_monthwise!$D$4:$O$20,DTR!E$4,FALSE))*1000,0)</f>
        <v>0</v>
      </c>
      <c r="F289" s="141">
        <f>IFERROR((HLOOKUP($AH289,Target_monthwise!$D$4:$O$20,DTR!F$4,FALSE))*1000,0)</f>
        <v>0</v>
      </c>
      <c r="G289" s="141">
        <f>IFERROR((HLOOKUP($AH289,Target_monthwise!$D$4:$O$20,DTR!G$4,FALSE))*1000,0)</f>
        <v>0</v>
      </c>
      <c r="H289" s="141">
        <f>IFERROR((HLOOKUP($AH289,Target_monthwise!$D$4:$O$20,DTR!H$4,FALSE))*1000,0)</f>
        <v>0</v>
      </c>
      <c r="I289" s="141">
        <f>IFERROR((HLOOKUP($AH289,Target_monthwise!$D$4:$O$20,DTR!I$4,FALSE))*1000,0)</f>
        <v>0</v>
      </c>
      <c r="J289" s="141">
        <f>IFERROR((HLOOKUP($AH289,Target_monthwise!$D$4:$O$20,DTR!J$4,FALSE))*1000,0)</f>
        <v>0</v>
      </c>
      <c r="K289" s="141">
        <f>IFERROR((HLOOKUP($AH289,Target_monthwise!$D$4:$O$20,DTR!K$4,FALSE))*1000,0)</f>
        <v>0</v>
      </c>
      <c r="L289" s="141">
        <f>IFERROR((HLOOKUP($AH289,Target_monthwise!$D$4:$O$20,DTR!L$4,FALSE))*1000,0)</f>
        <v>0</v>
      </c>
      <c r="M289" s="141">
        <f>IFERROR((HLOOKUP($AH289,Target_monthwise!$D$4:$O$20,DTR!M$4,FALSE))*1000,0)</f>
        <v>0</v>
      </c>
      <c r="N289" s="141">
        <f>IFERROR((HLOOKUP($AH289,Target_monthwise!$D$4:$O$20,DTR!N$4,FALSE))*1000,0)</f>
        <v>0</v>
      </c>
      <c r="O289" s="141">
        <f>IFERROR((HLOOKUP($AH289,Target_monthwise!$D$4:$O$20,DTR!O$4,FALSE))*1000,0)</f>
        <v>0</v>
      </c>
      <c r="P289" s="141">
        <f>IFERROR((HLOOKUP($AH289,Target_monthwise!$D$4:$O$20,DTR!P$4,FALSE))*1000,0)</f>
        <v>0</v>
      </c>
      <c r="Q289" s="141">
        <f>IFERROR((HLOOKUP($AH289,Target_monthwise!$D$4:$O$20,DTR!Q$4,FALSE))*1000,0)</f>
        <v>0</v>
      </c>
      <c r="R289" s="167">
        <f>IFERROR((HLOOKUP($AH289,Target_monthwise!$D$4:$O$20,DTR!R$4,FALSE))*1000,0)</f>
        <v>0</v>
      </c>
      <c r="S289" s="147">
        <f>IFERROR((HLOOKUP($AH289,Target_monthwise!$D$24:$O$40,DTR!S$4,FALSE)),0)</f>
        <v>0</v>
      </c>
      <c r="T289" s="147">
        <f>IFERROR((HLOOKUP($AH289,Target_monthwise!$D$24:$O$40,DTR!T$4,FALSE)),0)</f>
        <v>0</v>
      </c>
      <c r="U289" s="147">
        <f>IFERROR((HLOOKUP($AH289,Target_monthwise!$D$24:$O$40,DTR!U$4,FALSE)),0)</f>
        <v>0</v>
      </c>
      <c r="V289" s="147">
        <f>IFERROR((HLOOKUP($AH289,Target_monthwise!$D$24:$O$40,DTR!V$4,FALSE)),0)</f>
        <v>0</v>
      </c>
      <c r="W289" s="147">
        <f>IFERROR((HLOOKUP($AH289,Target_monthwise!$D$24:$O$40,DTR!W$4,FALSE)),0)</f>
        <v>0</v>
      </c>
      <c r="X289" s="147">
        <f>IFERROR((HLOOKUP($AH289,Target_monthwise!$D$24:$O$40,DTR!X$4,FALSE)),0)</f>
        <v>0</v>
      </c>
      <c r="Y289" s="147">
        <f>IFERROR((HLOOKUP($AH289,Target_monthwise!$D$24:$O$40,DTR!Y$4,FALSE)),0)</f>
        <v>0</v>
      </c>
      <c r="Z289" s="147">
        <f>IFERROR((HLOOKUP($AH289,Target_monthwise!$D$24:$O$40,DTR!Z$4,FALSE)),0)</f>
        <v>0</v>
      </c>
      <c r="AA289" s="147">
        <f>IFERROR((HLOOKUP($AH289,Target_monthwise!$D$24:$O$40,DTR!AA$4,FALSE)),0)</f>
        <v>0</v>
      </c>
      <c r="AB289" s="147">
        <f>IFERROR((HLOOKUP($AH289,Target_monthwise!$D$24:$O$40,DTR!AB$4,FALSE)),0)</f>
        <v>0</v>
      </c>
      <c r="AC289" s="147">
        <f>IFERROR((HLOOKUP($AH289,Target_monthwise!$D$24:$O$40,DTR!AC$4,FALSE)),0)</f>
        <v>0</v>
      </c>
      <c r="AD289" s="147">
        <f>IFERROR((HLOOKUP($AH289,Target_monthwise!$D$24:$O$40,DTR!AD$4,FALSE)),0)</f>
        <v>0</v>
      </c>
      <c r="AE289" s="147">
        <f>IFERROR((HLOOKUP($AH289,Target_monthwise!$D$24:$O$40,DTR!AE$4,FALSE)),0)</f>
        <v>0</v>
      </c>
      <c r="AF289" s="147">
        <f>IFERROR((HLOOKUP($AH289,Target_monthwise!$D$24:$O$40,DTR!AF$4,FALSE)),0)</f>
        <v>0</v>
      </c>
      <c r="AG289" s="172">
        <f>IFERROR((HLOOKUP($AH289,Target_monthwise!$D$24:$O$40,DTR!AG$4,FALSE)),0)</f>
        <v>0</v>
      </c>
      <c r="AH289" s="253">
        <f t="shared" si="4"/>
        <v>202301</v>
      </c>
    </row>
    <row r="290" spans="3:34" ht="15.75" hidden="1">
      <c r="C290" s="237">
        <v>44933</v>
      </c>
      <c r="D290" s="238">
        <f>IFERROR((HLOOKUP($AH290,Target_monthwise!$D$4:$O$20,DTR!D$4,FALSE))*1000,0)</f>
        <v>0</v>
      </c>
      <c r="E290" s="238">
        <f>IFERROR((HLOOKUP($AH290,Target_monthwise!$D$4:$O$20,DTR!E$4,FALSE))*1000,0)</f>
        <v>0</v>
      </c>
      <c r="F290" s="238">
        <f>IFERROR((HLOOKUP($AH290,Target_monthwise!$D$4:$O$20,DTR!F$4,FALSE))*1000,0)</f>
        <v>0</v>
      </c>
      <c r="G290" s="238">
        <f>IFERROR((HLOOKUP($AH290,Target_monthwise!$D$4:$O$20,DTR!G$4,FALSE))*1000,0)</f>
        <v>0</v>
      </c>
      <c r="H290" s="238">
        <f>IFERROR((HLOOKUP($AH290,Target_monthwise!$D$4:$O$20,DTR!H$4,FALSE))*1000,0)</f>
        <v>0</v>
      </c>
      <c r="I290" s="238">
        <f>IFERROR((HLOOKUP($AH290,Target_monthwise!$D$4:$O$20,DTR!I$4,FALSE))*1000,0)</f>
        <v>0</v>
      </c>
      <c r="J290" s="238">
        <f>IFERROR((HLOOKUP($AH290,Target_monthwise!$D$4:$O$20,DTR!J$4,FALSE))*1000,0)</f>
        <v>0</v>
      </c>
      <c r="K290" s="238">
        <f>IFERROR((HLOOKUP($AH290,Target_monthwise!$D$4:$O$20,DTR!K$4,FALSE))*1000,0)</f>
        <v>0</v>
      </c>
      <c r="L290" s="238">
        <f>IFERROR((HLOOKUP($AH290,Target_monthwise!$D$4:$O$20,DTR!L$4,FALSE))*1000,0)</f>
        <v>0</v>
      </c>
      <c r="M290" s="238">
        <f>IFERROR((HLOOKUP($AH290,Target_monthwise!$D$4:$O$20,DTR!M$4,FALSE))*1000,0)</f>
        <v>0</v>
      </c>
      <c r="N290" s="238">
        <f>IFERROR((HLOOKUP($AH290,Target_monthwise!$D$4:$O$20,DTR!N$4,FALSE))*1000,0)</f>
        <v>0</v>
      </c>
      <c r="O290" s="238">
        <f>IFERROR((HLOOKUP($AH290,Target_monthwise!$D$4:$O$20,DTR!O$4,FALSE))*1000,0)</f>
        <v>0</v>
      </c>
      <c r="P290" s="238">
        <f>IFERROR((HLOOKUP($AH290,Target_monthwise!$D$4:$O$20,DTR!P$4,FALSE))*1000,0)</f>
        <v>0</v>
      </c>
      <c r="Q290" s="141">
        <f>IFERROR((HLOOKUP($AH290,Target_monthwise!$D$4:$O$20,DTR!Q$4,FALSE))*1000,0)</f>
        <v>0</v>
      </c>
      <c r="R290" s="167">
        <f>IFERROR((HLOOKUP($AH290,Target_monthwise!$D$4:$O$20,DTR!R$4,FALSE))*1000,0)</f>
        <v>0</v>
      </c>
      <c r="S290" s="239">
        <f>IFERROR((HLOOKUP($AH290,Target_monthwise!$D$24:$O$40,DTR!S$4,FALSE)),0)</f>
        <v>0</v>
      </c>
      <c r="T290" s="239">
        <f>IFERROR((HLOOKUP($AH290,Target_monthwise!$D$24:$O$40,DTR!T$4,FALSE)),0)</f>
        <v>0</v>
      </c>
      <c r="U290" s="239">
        <f>IFERROR((HLOOKUP($AH290,Target_monthwise!$D$24:$O$40,DTR!U$4,FALSE)),0)</f>
        <v>0</v>
      </c>
      <c r="V290" s="239">
        <f>IFERROR((HLOOKUP($AH290,Target_monthwise!$D$24:$O$40,DTR!V$4,FALSE)),0)</f>
        <v>0</v>
      </c>
      <c r="W290" s="239">
        <f>IFERROR((HLOOKUP($AH290,Target_monthwise!$D$24:$O$40,DTR!W$4,FALSE)),0)</f>
        <v>0</v>
      </c>
      <c r="X290" s="239">
        <f>IFERROR((HLOOKUP($AH290,Target_monthwise!$D$24:$O$40,DTR!X$4,FALSE)),0)</f>
        <v>0</v>
      </c>
      <c r="Y290" s="239">
        <f>IFERROR((HLOOKUP($AH290,Target_monthwise!$D$24:$O$40,DTR!Y$4,FALSE)),0)</f>
        <v>0</v>
      </c>
      <c r="Z290" s="147">
        <f>IFERROR((HLOOKUP($AH290,Target_monthwise!$D$24:$O$40,DTR!Z$4,FALSE)),0)</f>
        <v>0</v>
      </c>
      <c r="AA290" s="147">
        <f>IFERROR((HLOOKUP($AH290,Target_monthwise!$D$24:$O$40,DTR!AA$4,FALSE)),0)</f>
        <v>0</v>
      </c>
      <c r="AB290" s="147">
        <f>IFERROR((HLOOKUP($AH290,Target_monthwise!$D$24:$O$40,DTR!AB$4,FALSE)),0)</f>
        <v>0</v>
      </c>
      <c r="AC290" s="239">
        <f>IFERROR((HLOOKUP($AH290,Target_monthwise!$D$24:$O$40,DTR!AC$4,FALSE)),0)</f>
        <v>0</v>
      </c>
      <c r="AD290" s="239">
        <f>IFERROR((HLOOKUP($AH290,Target_monthwise!$D$24:$O$40,DTR!AD$4,FALSE)),0)</f>
        <v>0</v>
      </c>
      <c r="AE290" s="239">
        <f>IFERROR((HLOOKUP($AH290,Target_monthwise!$D$24:$O$40,DTR!AE$4,FALSE)),0)</f>
        <v>0</v>
      </c>
      <c r="AF290" s="239">
        <f>IFERROR((HLOOKUP($AH290,Target_monthwise!$D$24:$O$40,DTR!AF$4,FALSE)),0)</f>
        <v>0</v>
      </c>
      <c r="AG290" s="172">
        <f>IFERROR((HLOOKUP($AH290,Target_monthwise!$D$24:$O$40,DTR!AG$4,FALSE)),0)</f>
        <v>0</v>
      </c>
      <c r="AH290" s="253">
        <f t="shared" si="4"/>
        <v>202301</v>
      </c>
    </row>
    <row r="291" spans="3:34" ht="15.75" hidden="1">
      <c r="C291" s="235">
        <v>44934</v>
      </c>
      <c r="D291" s="141">
        <f>IFERROR((HLOOKUP($AH291,Target_monthwise!$D$4:$O$20,DTR!D$4,FALSE))*1000,0)</f>
        <v>0</v>
      </c>
      <c r="E291" s="141">
        <f>IFERROR((HLOOKUP($AH291,Target_monthwise!$D$4:$O$20,DTR!E$4,FALSE))*1000,0)</f>
        <v>0</v>
      </c>
      <c r="F291" s="141">
        <f>IFERROR((HLOOKUP($AH291,Target_monthwise!$D$4:$O$20,DTR!F$4,FALSE))*1000,0)</f>
        <v>0</v>
      </c>
      <c r="G291" s="141">
        <f>IFERROR((HLOOKUP($AH291,Target_monthwise!$D$4:$O$20,DTR!G$4,FALSE))*1000,0)</f>
        <v>0</v>
      </c>
      <c r="H291" s="141">
        <f>IFERROR((HLOOKUP($AH291,Target_monthwise!$D$4:$O$20,DTR!H$4,FALSE))*1000,0)</f>
        <v>0</v>
      </c>
      <c r="I291" s="141">
        <f>IFERROR((HLOOKUP($AH291,Target_monthwise!$D$4:$O$20,DTR!I$4,FALSE))*1000,0)</f>
        <v>0</v>
      </c>
      <c r="J291" s="141">
        <f>IFERROR((HLOOKUP($AH291,Target_monthwise!$D$4:$O$20,DTR!J$4,FALSE))*1000,0)</f>
        <v>0</v>
      </c>
      <c r="K291" s="141">
        <f>IFERROR((HLOOKUP($AH291,Target_monthwise!$D$4:$O$20,DTR!K$4,FALSE))*1000,0)</f>
        <v>0</v>
      </c>
      <c r="L291" s="141">
        <f>IFERROR((HLOOKUP($AH291,Target_monthwise!$D$4:$O$20,DTR!L$4,FALSE))*1000,0)</f>
        <v>0</v>
      </c>
      <c r="M291" s="141">
        <f>IFERROR((HLOOKUP($AH291,Target_monthwise!$D$4:$O$20,DTR!M$4,FALSE))*1000,0)</f>
        <v>0</v>
      </c>
      <c r="N291" s="141">
        <f>IFERROR((HLOOKUP($AH291,Target_monthwise!$D$4:$O$20,DTR!N$4,FALSE))*1000,0)</f>
        <v>0</v>
      </c>
      <c r="O291" s="141">
        <f>IFERROR((HLOOKUP($AH291,Target_monthwise!$D$4:$O$20,DTR!O$4,FALSE))*1000,0)</f>
        <v>0</v>
      </c>
      <c r="P291" s="141">
        <f>IFERROR((HLOOKUP($AH291,Target_monthwise!$D$4:$O$20,DTR!P$4,FALSE))*1000,0)</f>
        <v>0</v>
      </c>
      <c r="Q291" s="141">
        <f>IFERROR((HLOOKUP($AH291,Target_monthwise!$D$4:$O$20,DTR!Q$4,FALSE))*1000,0)</f>
        <v>0</v>
      </c>
      <c r="R291" s="167">
        <f>IFERROR((HLOOKUP($AH291,Target_monthwise!$D$4:$O$20,DTR!R$4,FALSE))*1000,0)</f>
        <v>0</v>
      </c>
      <c r="S291" s="147">
        <f>IFERROR((HLOOKUP($AH291,Target_monthwise!$D$24:$O$40,DTR!S$4,FALSE)),0)</f>
        <v>0</v>
      </c>
      <c r="T291" s="147">
        <f>IFERROR((HLOOKUP($AH291,Target_monthwise!$D$24:$O$40,DTR!T$4,FALSE)),0)</f>
        <v>0</v>
      </c>
      <c r="U291" s="147">
        <f>IFERROR((HLOOKUP($AH291,Target_monthwise!$D$24:$O$40,DTR!U$4,FALSE)),0)</f>
        <v>0</v>
      </c>
      <c r="V291" s="147">
        <f>IFERROR((HLOOKUP($AH291,Target_monthwise!$D$24:$O$40,DTR!V$4,FALSE)),0)</f>
        <v>0</v>
      </c>
      <c r="W291" s="147">
        <f>IFERROR((HLOOKUP($AH291,Target_monthwise!$D$24:$O$40,DTR!W$4,FALSE)),0)</f>
        <v>0</v>
      </c>
      <c r="X291" s="147">
        <f>IFERROR((HLOOKUP($AH291,Target_monthwise!$D$24:$O$40,DTR!X$4,FALSE)),0)</f>
        <v>0</v>
      </c>
      <c r="Y291" s="147">
        <f>IFERROR((HLOOKUP($AH291,Target_monthwise!$D$24:$O$40,DTR!Y$4,FALSE)),0)</f>
        <v>0</v>
      </c>
      <c r="Z291" s="147">
        <f>IFERROR((HLOOKUP($AH291,Target_monthwise!$D$24:$O$40,DTR!Z$4,FALSE)),0)</f>
        <v>0</v>
      </c>
      <c r="AA291" s="147">
        <f>IFERROR((HLOOKUP($AH291,Target_monthwise!$D$24:$O$40,DTR!AA$4,FALSE)),0)</f>
        <v>0</v>
      </c>
      <c r="AB291" s="147">
        <f>IFERROR((HLOOKUP($AH291,Target_monthwise!$D$24:$O$40,DTR!AB$4,FALSE)),0)</f>
        <v>0</v>
      </c>
      <c r="AC291" s="147">
        <f>IFERROR((HLOOKUP($AH291,Target_monthwise!$D$24:$O$40,DTR!AC$4,FALSE)),0)</f>
        <v>0</v>
      </c>
      <c r="AD291" s="147">
        <f>IFERROR((HLOOKUP($AH291,Target_monthwise!$D$24:$O$40,DTR!AD$4,FALSE)),0)</f>
        <v>0</v>
      </c>
      <c r="AE291" s="147">
        <f>IFERROR((HLOOKUP($AH291,Target_monthwise!$D$24:$O$40,DTR!AE$4,FALSE)),0)</f>
        <v>0</v>
      </c>
      <c r="AF291" s="147">
        <f>IFERROR((HLOOKUP($AH291,Target_monthwise!$D$24:$O$40,DTR!AF$4,FALSE)),0)</f>
        <v>0</v>
      </c>
      <c r="AG291" s="172">
        <f>IFERROR((HLOOKUP($AH291,Target_monthwise!$D$24:$O$40,DTR!AG$4,FALSE)),0)</f>
        <v>0</v>
      </c>
      <c r="AH291" s="253">
        <f t="shared" si="4"/>
        <v>202301</v>
      </c>
    </row>
    <row r="292" spans="3:34" ht="15.75" hidden="1">
      <c r="C292" s="237">
        <v>44935</v>
      </c>
      <c r="D292" s="238">
        <f>IFERROR((HLOOKUP($AH292,Target_monthwise!$D$4:$O$20,DTR!D$4,FALSE))*1000,0)</f>
        <v>0</v>
      </c>
      <c r="E292" s="238">
        <f>IFERROR((HLOOKUP($AH292,Target_monthwise!$D$4:$O$20,DTR!E$4,FALSE))*1000,0)</f>
        <v>0</v>
      </c>
      <c r="F292" s="238">
        <f>IFERROR((HLOOKUP($AH292,Target_monthwise!$D$4:$O$20,DTR!F$4,FALSE))*1000,0)</f>
        <v>0</v>
      </c>
      <c r="G292" s="238">
        <f>IFERROR((HLOOKUP($AH292,Target_monthwise!$D$4:$O$20,DTR!G$4,FALSE))*1000,0)</f>
        <v>0</v>
      </c>
      <c r="H292" s="238">
        <f>IFERROR((HLOOKUP($AH292,Target_monthwise!$D$4:$O$20,DTR!H$4,FALSE))*1000,0)</f>
        <v>0</v>
      </c>
      <c r="I292" s="238">
        <f>IFERROR((HLOOKUP($AH292,Target_monthwise!$D$4:$O$20,DTR!I$4,FALSE))*1000,0)</f>
        <v>0</v>
      </c>
      <c r="J292" s="238">
        <f>IFERROR((HLOOKUP($AH292,Target_monthwise!$D$4:$O$20,DTR!J$4,FALSE))*1000,0)</f>
        <v>0</v>
      </c>
      <c r="K292" s="238">
        <f>IFERROR((HLOOKUP($AH292,Target_monthwise!$D$4:$O$20,DTR!K$4,FALSE))*1000,0)</f>
        <v>0</v>
      </c>
      <c r="L292" s="238">
        <f>IFERROR((HLOOKUP($AH292,Target_monthwise!$D$4:$O$20,DTR!L$4,FALSE))*1000,0)</f>
        <v>0</v>
      </c>
      <c r="M292" s="238">
        <f>IFERROR((HLOOKUP($AH292,Target_monthwise!$D$4:$O$20,DTR!M$4,FALSE))*1000,0)</f>
        <v>0</v>
      </c>
      <c r="N292" s="238">
        <f>IFERROR((HLOOKUP($AH292,Target_monthwise!$D$4:$O$20,DTR!N$4,FALSE))*1000,0)</f>
        <v>0</v>
      </c>
      <c r="O292" s="238">
        <f>IFERROR((HLOOKUP($AH292,Target_monthwise!$D$4:$O$20,DTR!O$4,FALSE))*1000,0)</f>
        <v>0</v>
      </c>
      <c r="P292" s="238">
        <f>IFERROR((HLOOKUP($AH292,Target_monthwise!$D$4:$O$20,DTR!P$4,FALSE))*1000,0)</f>
        <v>0</v>
      </c>
      <c r="Q292" s="141">
        <f>IFERROR((HLOOKUP($AH292,Target_monthwise!$D$4:$O$20,DTR!Q$4,FALSE))*1000,0)</f>
        <v>0</v>
      </c>
      <c r="R292" s="167">
        <f>IFERROR((HLOOKUP($AH292,Target_monthwise!$D$4:$O$20,DTR!R$4,FALSE))*1000,0)</f>
        <v>0</v>
      </c>
      <c r="S292" s="239">
        <f>IFERROR((HLOOKUP($AH292,Target_monthwise!$D$24:$O$40,DTR!S$4,FALSE)),0)</f>
        <v>0</v>
      </c>
      <c r="T292" s="239">
        <f>IFERROR((HLOOKUP($AH292,Target_monthwise!$D$24:$O$40,DTR!T$4,FALSE)),0)</f>
        <v>0</v>
      </c>
      <c r="U292" s="239">
        <f>IFERROR((HLOOKUP($AH292,Target_monthwise!$D$24:$O$40,DTR!U$4,FALSE)),0)</f>
        <v>0</v>
      </c>
      <c r="V292" s="239">
        <f>IFERROR((HLOOKUP($AH292,Target_monthwise!$D$24:$O$40,DTR!V$4,FALSE)),0)</f>
        <v>0</v>
      </c>
      <c r="W292" s="239">
        <f>IFERROR((HLOOKUP($AH292,Target_monthwise!$D$24:$O$40,DTR!W$4,FALSE)),0)</f>
        <v>0</v>
      </c>
      <c r="X292" s="239">
        <f>IFERROR((HLOOKUP($AH292,Target_monthwise!$D$24:$O$40,DTR!X$4,FALSE)),0)</f>
        <v>0</v>
      </c>
      <c r="Y292" s="239">
        <f>IFERROR((HLOOKUP($AH292,Target_monthwise!$D$24:$O$40,DTR!Y$4,FALSE)),0)</f>
        <v>0</v>
      </c>
      <c r="Z292" s="147">
        <f>IFERROR((HLOOKUP($AH292,Target_monthwise!$D$24:$O$40,DTR!Z$4,FALSE)),0)</f>
        <v>0</v>
      </c>
      <c r="AA292" s="147">
        <f>IFERROR((HLOOKUP($AH292,Target_monthwise!$D$24:$O$40,DTR!AA$4,FALSE)),0)</f>
        <v>0</v>
      </c>
      <c r="AB292" s="147">
        <f>IFERROR((HLOOKUP($AH292,Target_monthwise!$D$24:$O$40,DTR!AB$4,FALSE)),0)</f>
        <v>0</v>
      </c>
      <c r="AC292" s="239">
        <f>IFERROR((HLOOKUP($AH292,Target_monthwise!$D$24:$O$40,DTR!AC$4,FALSE)),0)</f>
        <v>0</v>
      </c>
      <c r="AD292" s="239">
        <f>IFERROR((HLOOKUP($AH292,Target_monthwise!$D$24:$O$40,DTR!AD$4,FALSE)),0)</f>
        <v>0</v>
      </c>
      <c r="AE292" s="239">
        <f>IFERROR((HLOOKUP($AH292,Target_monthwise!$D$24:$O$40,DTR!AE$4,FALSE)),0)</f>
        <v>0</v>
      </c>
      <c r="AF292" s="239">
        <f>IFERROR((HLOOKUP($AH292,Target_monthwise!$D$24:$O$40,DTR!AF$4,FALSE)),0)</f>
        <v>0</v>
      </c>
      <c r="AG292" s="172">
        <f>IFERROR((HLOOKUP($AH292,Target_monthwise!$D$24:$O$40,DTR!AG$4,FALSE)),0)</f>
        <v>0</v>
      </c>
      <c r="AH292" s="253">
        <f t="shared" si="4"/>
        <v>202301</v>
      </c>
    </row>
    <row r="293" spans="3:34" ht="15.75" hidden="1">
      <c r="C293" s="235">
        <v>44936</v>
      </c>
      <c r="D293" s="141">
        <f>IFERROR((HLOOKUP($AH293,Target_monthwise!$D$4:$O$20,DTR!D$4,FALSE))*1000,0)</f>
        <v>0</v>
      </c>
      <c r="E293" s="141">
        <f>IFERROR((HLOOKUP($AH293,Target_monthwise!$D$4:$O$20,DTR!E$4,FALSE))*1000,0)</f>
        <v>0</v>
      </c>
      <c r="F293" s="141">
        <f>IFERROR((HLOOKUP($AH293,Target_monthwise!$D$4:$O$20,DTR!F$4,FALSE))*1000,0)</f>
        <v>0</v>
      </c>
      <c r="G293" s="141">
        <f>IFERROR((HLOOKUP($AH293,Target_monthwise!$D$4:$O$20,DTR!G$4,FALSE))*1000,0)</f>
        <v>0</v>
      </c>
      <c r="H293" s="141">
        <f>IFERROR((HLOOKUP($AH293,Target_monthwise!$D$4:$O$20,DTR!H$4,FALSE))*1000,0)</f>
        <v>0</v>
      </c>
      <c r="I293" s="141">
        <f>IFERROR((HLOOKUP($AH293,Target_monthwise!$D$4:$O$20,DTR!I$4,FALSE))*1000,0)</f>
        <v>0</v>
      </c>
      <c r="J293" s="141">
        <f>IFERROR((HLOOKUP($AH293,Target_monthwise!$D$4:$O$20,DTR!J$4,FALSE))*1000,0)</f>
        <v>0</v>
      </c>
      <c r="K293" s="141">
        <f>IFERROR((HLOOKUP($AH293,Target_monthwise!$D$4:$O$20,DTR!K$4,FALSE))*1000,0)</f>
        <v>0</v>
      </c>
      <c r="L293" s="141">
        <f>IFERROR((HLOOKUP($AH293,Target_monthwise!$D$4:$O$20,DTR!L$4,FALSE))*1000,0)</f>
        <v>0</v>
      </c>
      <c r="M293" s="141">
        <f>IFERROR((HLOOKUP($AH293,Target_monthwise!$D$4:$O$20,DTR!M$4,FALSE))*1000,0)</f>
        <v>0</v>
      </c>
      <c r="N293" s="141">
        <f>IFERROR((HLOOKUP($AH293,Target_monthwise!$D$4:$O$20,DTR!N$4,FALSE))*1000,0)</f>
        <v>0</v>
      </c>
      <c r="O293" s="141">
        <f>IFERROR((HLOOKUP($AH293,Target_monthwise!$D$4:$O$20,DTR!O$4,FALSE))*1000,0)</f>
        <v>0</v>
      </c>
      <c r="P293" s="141">
        <f>IFERROR((HLOOKUP($AH293,Target_monthwise!$D$4:$O$20,DTR!P$4,FALSE))*1000,0)</f>
        <v>0</v>
      </c>
      <c r="Q293" s="141">
        <f>IFERROR((HLOOKUP($AH293,Target_monthwise!$D$4:$O$20,DTR!Q$4,FALSE))*1000,0)</f>
        <v>0</v>
      </c>
      <c r="R293" s="167">
        <f>IFERROR((HLOOKUP($AH293,Target_monthwise!$D$4:$O$20,DTR!R$4,FALSE))*1000,0)</f>
        <v>0</v>
      </c>
      <c r="S293" s="147">
        <f>IFERROR((HLOOKUP($AH293,Target_monthwise!$D$24:$O$40,DTR!S$4,FALSE)),0)</f>
        <v>0</v>
      </c>
      <c r="T293" s="147">
        <f>IFERROR((HLOOKUP($AH293,Target_monthwise!$D$24:$O$40,DTR!T$4,FALSE)),0)</f>
        <v>0</v>
      </c>
      <c r="U293" s="147">
        <f>IFERROR((HLOOKUP($AH293,Target_monthwise!$D$24:$O$40,DTR!U$4,FALSE)),0)</f>
        <v>0</v>
      </c>
      <c r="V293" s="147">
        <f>IFERROR((HLOOKUP($AH293,Target_monthwise!$D$24:$O$40,DTR!V$4,FALSE)),0)</f>
        <v>0</v>
      </c>
      <c r="W293" s="147">
        <f>IFERROR((HLOOKUP($AH293,Target_monthwise!$D$24:$O$40,DTR!W$4,FALSE)),0)</f>
        <v>0</v>
      </c>
      <c r="X293" s="147">
        <f>IFERROR((HLOOKUP($AH293,Target_monthwise!$D$24:$O$40,DTR!X$4,FALSE)),0)</f>
        <v>0</v>
      </c>
      <c r="Y293" s="147">
        <f>IFERROR((HLOOKUP($AH293,Target_monthwise!$D$24:$O$40,DTR!Y$4,FALSE)),0)</f>
        <v>0</v>
      </c>
      <c r="Z293" s="147">
        <f>IFERROR((HLOOKUP($AH293,Target_monthwise!$D$24:$O$40,DTR!Z$4,FALSE)),0)</f>
        <v>0</v>
      </c>
      <c r="AA293" s="147">
        <f>IFERROR((HLOOKUP($AH293,Target_monthwise!$D$24:$O$40,DTR!AA$4,FALSE)),0)</f>
        <v>0</v>
      </c>
      <c r="AB293" s="147">
        <f>IFERROR((HLOOKUP($AH293,Target_monthwise!$D$24:$O$40,DTR!AB$4,FALSE)),0)</f>
        <v>0</v>
      </c>
      <c r="AC293" s="147">
        <f>IFERROR((HLOOKUP($AH293,Target_monthwise!$D$24:$O$40,DTR!AC$4,FALSE)),0)</f>
        <v>0</v>
      </c>
      <c r="AD293" s="147">
        <f>IFERROR((HLOOKUP($AH293,Target_monthwise!$D$24:$O$40,DTR!AD$4,FALSE)),0)</f>
        <v>0</v>
      </c>
      <c r="AE293" s="147">
        <f>IFERROR((HLOOKUP($AH293,Target_monthwise!$D$24:$O$40,DTR!AE$4,FALSE)),0)</f>
        <v>0</v>
      </c>
      <c r="AF293" s="147">
        <f>IFERROR((HLOOKUP($AH293,Target_monthwise!$D$24:$O$40,DTR!AF$4,FALSE)),0)</f>
        <v>0</v>
      </c>
      <c r="AG293" s="172">
        <f>IFERROR((HLOOKUP($AH293,Target_monthwise!$D$24:$O$40,DTR!AG$4,FALSE)),0)</f>
        <v>0</v>
      </c>
      <c r="AH293" s="253">
        <f t="shared" si="4"/>
        <v>202301</v>
      </c>
    </row>
    <row r="294" spans="3:34" ht="15.75" hidden="1">
      <c r="C294" s="237">
        <v>44937</v>
      </c>
      <c r="D294" s="238">
        <f>IFERROR((HLOOKUP($AH294,Target_monthwise!$D$4:$O$20,DTR!D$4,FALSE))*1000,0)</f>
        <v>0</v>
      </c>
      <c r="E294" s="238">
        <f>IFERROR((HLOOKUP($AH294,Target_monthwise!$D$4:$O$20,DTR!E$4,FALSE))*1000,0)</f>
        <v>0</v>
      </c>
      <c r="F294" s="238">
        <f>IFERROR((HLOOKUP($AH294,Target_monthwise!$D$4:$O$20,DTR!F$4,FALSE))*1000,0)</f>
        <v>0</v>
      </c>
      <c r="G294" s="238">
        <f>IFERROR((HLOOKUP($AH294,Target_monthwise!$D$4:$O$20,DTR!G$4,FALSE))*1000,0)</f>
        <v>0</v>
      </c>
      <c r="H294" s="238">
        <f>IFERROR((HLOOKUP($AH294,Target_monthwise!$D$4:$O$20,DTR!H$4,FALSE))*1000,0)</f>
        <v>0</v>
      </c>
      <c r="I294" s="238">
        <f>IFERROR((HLOOKUP($AH294,Target_monthwise!$D$4:$O$20,DTR!I$4,FALSE))*1000,0)</f>
        <v>0</v>
      </c>
      <c r="J294" s="238">
        <f>IFERROR((HLOOKUP($AH294,Target_monthwise!$D$4:$O$20,DTR!J$4,FALSE))*1000,0)</f>
        <v>0</v>
      </c>
      <c r="K294" s="238">
        <f>IFERROR((HLOOKUP($AH294,Target_monthwise!$D$4:$O$20,DTR!K$4,FALSE))*1000,0)</f>
        <v>0</v>
      </c>
      <c r="L294" s="238">
        <f>IFERROR((HLOOKUP($AH294,Target_monthwise!$D$4:$O$20,DTR!L$4,FALSE))*1000,0)</f>
        <v>0</v>
      </c>
      <c r="M294" s="238">
        <f>IFERROR((HLOOKUP($AH294,Target_monthwise!$D$4:$O$20,DTR!M$4,FALSE))*1000,0)</f>
        <v>0</v>
      </c>
      <c r="N294" s="238">
        <f>IFERROR((HLOOKUP($AH294,Target_monthwise!$D$4:$O$20,DTR!N$4,FALSE))*1000,0)</f>
        <v>0</v>
      </c>
      <c r="O294" s="238">
        <f>IFERROR((HLOOKUP($AH294,Target_monthwise!$D$4:$O$20,DTR!O$4,FALSE))*1000,0)</f>
        <v>0</v>
      </c>
      <c r="P294" s="238">
        <f>IFERROR((HLOOKUP($AH294,Target_monthwise!$D$4:$O$20,DTR!P$4,FALSE))*1000,0)</f>
        <v>0</v>
      </c>
      <c r="Q294" s="141">
        <f>IFERROR((HLOOKUP($AH294,Target_monthwise!$D$4:$O$20,DTR!Q$4,FALSE))*1000,0)</f>
        <v>0</v>
      </c>
      <c r="R294" s="167">
        <f>IFERROR((HLOOKUP($AH294,Target_monthwise!$D$4:$O$20,DTR!R$4,FALSE))*1000,0)</f>
        <v>0</v>
      </c>
      <c r="S294" s="239">
        <f>IFERROR((HLOOKUP($AH294,Target_monthwise!$D$24:$O$40,DTR!S$4,FALSE)),0)</f>
        <v>0</v>
      </c>
      <c r="T294" s="239">
        <f>IFERROR((HLOOKUP($AH294,Target_monthwise!$D$24:$O$40,DTR!T$4,FALSE)),0)</f>
        <v>0</v>
      </c>
      <c r="U294" s="239">
        <f>IFERROR((HLOOKUP($AH294,Target_monthwise!$D$24:$O$40,DTR!U$4,FALSE)),0)</f>
        <v>0</v>
      </c>
      <c r="V294" s="239">
        <f>IFERROR((HLOOKUP($AH294,Target_monthwise!$D$24:$O$40,DTR!V$4,FALSE)),0)</f>
        <v>0</v>
      </c>
      <c r="W294" s="239">
        <f>IFERROR((HLOOKUP($AH294,Target_monthwise!$D$24:$O$40,DTR!W$4,FALSE)),0)</f>
        <v>0</v>
      </c>
      <c r="X294" s="239">
        <f>IFERROR((HLOOKUP($AH294,Target_monthwise!$D$24:$O$40,DTR!X$4,FALSE)),0)</f>
        <v>0</v>
      </c>
      <c r="Y294" s="239">
        <f>IFERROR((HLOOKUP($AH294,Target_monthwise!$D$24:$O$40,DTR!Y$4,FALSE)),0)</f>
        <v>0</v>
      </c>
      <c r="Z294" s="147">
        <f>IFERROR((HLOOKUP($AH294,Target_monthwise!$D$24:$O$40,DTR!Z$4,FALSE)),0)</f>
        <v>0</v>
      </c>
      <c r="AA294" s="147">
        <f>IFERROR((HLOOKUP($AH294,Target_monthwise!$D$24:$O$40,DTR!AA$4,FALSE)),0)</f>
        <v>0</v>
      </c>
      <c r="AB294" s="147">
        <f>IFERROR((HLOOKUP($AH294,Target_monthwise!$D$24:$O$40,DTR!AB$4,FALSE)),0)</f>
        <v>0</v>
      </c>
      <c r="AC294" s="239">
        <f>IFERROR((HLOOKUP($AH294,Target_monthwise!$D$24:$O$40,DTR!AC$4,FALSE)),0)</f>
        <v>0</v>
      </c>
      <c r="AD294" s="239">
        <f>IFERROR((HLOOKUP($AH294,Target_monthwise!$D$24:$O$40,DTR!AD$4,FALSE)),0)</f>
        <v>0</v>
      </c>
      <c r="AE294" s="239">
        <f>IFERROR((HLOOKUP($AH294,Target_monthwise!$D$24:$O$40,DTR!AE$4,FALSE)),0)</f>
        <v>0</v>
      </c>
      <c r="AF294" s="239">
        <f>IFERROR((HLOOKUP($AH294,Target_monthwise!$D$24:$O$40,DTR!AF$4,FALSE)),0)</f>
        <v>0</v>
      </c>
      <c r="AG294" s="172">
        <f>IFERROR((HLOOKUP($AH294,Target_monthwise!$D$24:$O$40,DTR!AG$4,FALSE)),0)</f>
        <v>0</v>
      </c>
      <c r="AH294" s="253">
        <f t="shared" si="4"/>
        <v>202301</v>
      </c>
    </row>
    <row r="295" spans="3:34" ht="15.75" hidden="1">
      <c r="C295" s="235">
        <v>44938</v>
      </c>
      <c r="D295" s="141">
        <f>IFERROR((HLOOKUP($AH295,Target_monthwise!$D$4:$O$20,DTR!D$4,FALSE))*1000,0)</f>
        <v>0</v>
      </c>
      <c r="E295" s="141">
        <f>IFERROR((HLOOKUP($AH295,Target_monthwise!$D$4:$O$20,DTR!E$4,FALSE))*1000,0)</f>
        <v>0</v>
      </c>
      <c r="F295" s="141">
        <f>IFERROR((HLOOKUP($AH295,Target_monthwise!$D$4:$O$20,DTR!F$4,FALSE))*1000,0)</f>
        <v>0</v>
      </c>
      <c r="G295" s="141">
        <f>IFERROR((HLOOKUP($AH295,Target_monthwise!$D$4:$O$20,DTR!G$4,FALSE))*1000,0)</f>
        <v>0</v>
      </c>
      <c r="H295" s="141">
        <f>IFERROR((HLOOKUP($AH295,Target_monthwise!$D$4:$O$20,DTR!H$4,FALSE))*1000,0)</f>
        <v>0</v>
      </c>
      <c r="I295" s="141">
        <f>IFERROR((HLOOKUP($AH295,Target_monthwise!$D$4:$O$20,DTR!I$4,FALSE))*1000,0)</f>
        <v>0</v>
      </c>
      <c r="J295" s="141">
        <f>IFERROR((HLOOKUP($AH295,Target_monthwise!$D$4:$O$20,DTR!J$4,FALSE))*1000,0)</f>
        <v>0</v>
      </c>
      <c r="K295" s="141">
        <f>IFERROR((HLOOKUP($AH295,Target_monthwise!$D$4:$O$20,DTR!K$4,FALSE))*1000,0)</f>
        <v>0</v>
      </c>
      <c r="L295" s="141">
        <f>IFERROR((HLOOKUP($AH295,Target_monthwise!$D$4:$O$20,DTR!L$4,FALSE))*1000,0)</f>
        <v>0</v>
      </c>
      <c r="M295" s="141">
        <f>IFERROR((HLOOKUP($AH295,Target_monthwise!$D$4:$O$20,DTR!M$4,FALSE))*1000,0)</f>
        <v>0</v>
      </c>
      <c r="N295" s="141">
        <f>IFERROR((HLOOKUP($AH295,Target_monthwise!$D$4:$O$20,DTR!N$4,FALSE))*1000,0)</f>
        <v>0</v>
      </c>
      <c r="O295" s="141">
        <f>IFERROR((HLOOKUP($AH295,Target_monthwise!$D$4:$O$20,DTR!O$4,FALSE))*1000,0)</f>
        <v>0</v>
      </c>
      <c r="P295" s="141">
        <f>IFERROR((HLOOKUP($AH295,Target_monthwise!$D$4:$O$20,DTR!P$4,FALSE))*1000,0)</f>
        <v>0</v>
      </c>
      <c r="Q295" s="141">
        <f>IFERROR((HLOOKUP($AH295,Target_monthwise!$D$4:$O$20,DTR!Q$4,FALSE))*1000,0)</f>
        <v>0</v>
      </c>
      <c r="R295" s="167">
        <f>IFERROR((HLOOKUP($AH295,Target_monthwise!$D$4:$O$20,DTR!R$4,FALSE))*1000,0)</f>
        <v>0</v>
      </c>
      <c r="S295" s="147">
        <f>IFERROR((HLOOKUP($AH295,Target_monthwise!$D$24:$O$40,DTR!S$4,FALSE)),0)</f>
        <v>0</v>
      </c>
      <c r="T295" s="147">
        <f>IFERROR((HLOOKUP($AH295,Target_monthwise!$D$24:$O$40,DTR!T$4,FALSE)),0)</f>
        <v>0</v>
      </c>
      <c r="U295" s="147">
        <f>IFERROR((HLOOKUP($AH295,Target_monthwise!$D$24:$O$40,DTR!U$4,FALSE)),0)</f>
        <v>0</v>
      </c>
      <c r="V295" s="147">
        <f>IFERROR((HLOOKUP($AH295,Target_monthwise!$D$24:$O$40,DTR!V$4,FALSE)),0)</f>
        <v>0</v>
      </c>
      <c r="W295" s="147">
        <f>IFERROR((HLOOKUP($AH295,Target_monthwise!$D$24:$O$40,DTR!W$4,FALSE)),0)</f>
        <v>0</v>
      </c>
      <c r="X295" s="147">
        <f>IFERROR((HLOOKUP($AH295,Target_monthwise!$D$24:$O$40,DTR!X$4,FALSE)),0)</f>
        <v>0</v>
      </c>
      <c r="Y295" s="147">
        <f>IFERROR((HLOOKUP($AH295,Target_monthwise!$D$24:$O$40,DTR!Y$4,FALSE)),0)</f>
        <v>0</v>
      </c>
      <c r="Z295" s="147">
        <f>IFERROR((HLOOKUP($AH295,Target_monthwise!$D$24:$O$40,DTR!Z$4,FALSE)),0)</f>
        <v>0</v>
      </c>
      <c r="AA295" s="147">
        <f>IFERROR((HLOOKUP($AH295,Target_monthwise!$D$24:$O$40,DTR!AA$4,FALSE)),0)</f>
        <v>0</v>
      </c>
      <c r="AB295" s="147">
        <f>IFERROR((HLOOKUP($AH295,Target_monthwise!$D$24:$O$40,DTR!AB$4,FALSE)),0)</f>
        <v>0</v>
      </c>
      <c r="AC295" s="147">
        <f>IFERROR((HLOOKUP($AH295,Target_monthwise!$D$24:$O$40,DTR!AC$4,FALSE)),0)</f>
        <v>0</v>
      </c>
      <c r="AD295" s="147">
        <f>IFERROR((HLOOKUP($AH295,Target_monthwise!$D$24:$O$40,DTR!AD$4,FALSE)),0)</f>
        <v>0</v>
      </c>
      <c r="AE295" s="147">
        <f>IFERROR((HLOOKUP($AH295,Target_monthwise!$D$24:$O$40,DTR!AE$4,FALSE)),0)</f>
        <v>0</v>
      </c>
      <c r="AF295" s="147">
        <f>IFERROR((HLOOKUP($AH295,Target_monthwise!$D$24:$O$40,DTR!AF$4,FALSE)),0)</f>
        <v>0</v>
      </c>
      <c r="AG295" s="172">
        <f>IFERROR((HLOOKUP($AH295,Target_monthwise!$D$24:$O$40,DTR!AG$4,FALSE)),0)</f>
        <v>0</v>
      </c>
      <c r="AH295" s="253">
        <f t="shared" si="4"/>
        <v>202301</v>
      </c>
    </row>
    <row r="296" spans="3:34" ht="15.75" hidden="1">
      <c r="C296" s="237">
        <v>44939</v>
      </c>
      <c r="D296" s="238">
        <f>IFERROR((HLOOKUP($AH296,Target_monthwise!$D$4:$O$20,DTR!D$4,FALSE))*1000,0)</f>
        <v>0</v>
      </c>
      <c r="E296" s="238">
        <f>IFERROR((HLOOKUP($AH296,Target_monthwise!$D$4:$O$20,DTR!E$4,FALSE))*1000,0)</f>
        <v>0</v>
      </c>
      <c r="F296" s="238">
        <f>IFERROR((HLOOKUP($AH296,Target_monthwise!$D$4:$O$20,DTR!F$4,FALSE))*1000,0)</f>
        <v>0</v>
      </c>
      <c r="G296" s="238">
        <f>IFERROR((HLOOKUP($AH296,Target_monthwise!$D$4:$O$20,DTR!G$4,FALSE))*1000,0)</f>
        <v>0</v>
      </c>
      <c r="H296" s="238">
        <f>IFERROR((HLOOKUP($AH296,Target_monthwise!$D$4:$O$20,DTR!H$4,FALSE))*1000,0)</f>
        <v>0</v>
      </c>
      <c r="I296" s="238">
        <f>IFERROR((HLOOKUP($AH296,Target_monthwise!$D$4:$O$20,DTR!I$4,FALSE))*1000,0)</f>
        <v>0</v>
      </c>
      <c r="J296" s="238">
        <f>IFERROR((HLOOKUP($AH296,Target_monthwise!$D$4:$O$20,DTR!J$4,FALSE))*1000,0)</f>
        <v>0</v>
      </c>
      <c r="K296" s="238">
        <f>IFERROR((HLOOKUP($AH296,Target_monthwise!$D$4:$O$20,DTR!K$4,FALSE))*1000,0)</f>
        <v>0</v>
      </c>
      <c r="L296" s="238">
        <f>IFERROR((HLOOKUP($AH296,Target_monthwise!$D$4:$O$20,DTR!L$4,FALSE))*1000,0)</f>
        <v>0</v>
      </c>
      <c r="M296" s="238">
        <f>IFERROR((HLOOKUP($AH296,Target_monthwise!$D$4:$O$20,DTR!M$4,FALSE))*1000,0)</f>
        <v>0</v>
      </c>
      <c r="N296" s="238">
        <f>IFERROR((HLOOKUP($AH296,Target_monthwise!$D$4:$O$20,DTR!N$4,FALSE))*1000,0)</f>
        <v>0</v>
      </c>
      <c r="O296" s="238">
        <f>IFERROR((HLOOKUP($AH296,Target_monthwise!$D$4:$O$20,DTR!O$4,FALSE))*1000,0)</f>
        <v>0</v>
      </c>
      <c r="P296" s="238">
        <f>IFERROR((HLOOKUP($AH296,Target_monthwise!$D$4:$O$20,DTR!P$4,FALSE))*1000,0)</f>
        <v>0</v>
      </c>
      <c r="Q296" s="141">
        <f>IFERROR((HLOOKUP($AH296,Target_monthwise!$D$4:$O$20,DTR!Q$4,FALSE))*1000,0)</f>
        <v>0</v>
      </c>
      <c r="R296" s="167">
        <f>IFERROR((HLOOKUP($AH296,Target_monthwise!$D$4:$O$20,DTR!R$4,FALSE))*1000,0)</f>
        <v>0</v>
      </c>
      <c r="S296" s="239">
        <f>IFERROR((HLOOKUP($AH296,Target_monthwise!$D$24:$O$40,DTR!S$4,FALSE)),0)</f>
        <v>0</v>
      </c>
      <c r="T296" s="239">
        <f>IFERROR((HLOOKUP($AH296,Target_monthwise!$D$24:$O$40,DTR!T$4,FALSE)),0)</f>
        <v>0</v>
      </c>
      <c r="U296" s="239">
        <f>IFERROR((HLOOKUP($AH296,Target_monthwise!$D$24:$O$40,DTR!U$4,FALSE)),0)</f>
        <v>0</v>
      </c>
      <c r="V296" s="239">
        <f>IFERROR((HLOOKUP($AH296,Target_monthwise!$D$24:$O$40,DTR!V$4,FALSE)),0)</f>
        <v>0</v>
      </c>
      <c r="W296" s="239">
        <f>IFERROR((HLOOKUP($AH296,Target_monthwise!$D$24:$O$40,DTR!W$4,FALSE)),0)</f>
        <v>0</v>
      </c>
      <c r="X296" s="239">
        <f>IFERROR((HLOOKUP($AH296,Target_monthwise!$D$24:$O$40,DTR!X$4,FALSE)),0)</f>
        <v>0</v>
      </c>
      <c r="Y296" s="239">
        <f>IFERROR((HLOOKUP($AH296,Target_monthwise!$D$24:$O$40,DTR!Y$4,FALSE)),0)</f>
        <v>0</v>
      </c>
      <c r="Z296" s="147">
        <f>IFERROR((HLOOKUP($AH296,Target_monthwise!$D$24:$O$40,DTR!Z$4,FALSE)),0)</f>
        <v>0</v>
      </c>
      <c r="AA296" s="147">
        <f>IFERROR((HLOOKUP($AH296,Target_monthwise!$D$24:$O$40,DTR!AA$4,FALSE)),0)</f>
        <v>0</v>
      </c>
      <c r="AB296" s="147">
        <f>IFERROR((HLOOKUP($AH296,Target_monthwise!$D$24:$O$40,DTR!AB$4,FALSE)),0)</f>
        <v>0</v>
      </c>
      <c r="AC296" s="239">
        <f>IFERROR((HLOOKUP($AH296,Target_monthwise!$D$24:$O$40,DTR!AC$4,FALSE)),0)</f>
        <v>0</v>
      </c>
      <c r="AD296" s="239">
        <f>IFERROR((HLOOKUP($AH296,Target_monthwise!$D$24:$O$40,DTR!AD$4,FALSE)),0)</f>
        <v>0</v>
      </c>
      <c r="AE296" s="239">
        <f>IFERROR((HLOOKUP($AH296,Target_monthwise!$D$24:$O$40,DTR!AE$4,FALSE)),0)</f>
        <v>0</v>
      </c>
      <c r="AF296" s="239">
        <f>IFERROR((HLOOKUP($AH296,Target_monthwise!$D$24:$O$40,DTR!AF$4,FALSE)),0)</f>
        <v>0</v>
      </c>
      <c r="AG296" s="172">
        <f>IFERROR((HLOOKUP($AH296,Target_monthwise!$D$24:$O$40,DTR!AG$4,FALSE)),0)</f>
        <v>0</v>
      </c>
      <c r="AH296" s="253">
        <f t="shared" si="4"/>
        <v>202301</v>
      </c>
    </row>
    <row r="297" spans="3:34" ht="15.75" hidden="1">
      <c r="C297" s="235">
        <v>44940</v>
      </c>
      <c r="D297" s="141">
        <f>IFERROR((HLOOKUP($AH297,Target_monthwise!$D$4:$O$20,DTR!D$4,FALSE))*1000,0)</f>
        <v>0</v>
      </c>
      <c r="E297" s="141">
        <f>IFERROR((HLOOKUP($AH297,Target_monthwise!$D$4:$O$20,DTR!E$4,FALSE))*1000,0)</f>
        <v>0</v>
      </c>
      <c r="F297" s="141">
        <f>IFERROR((HLOOKUP($AH297,Target_monthwise!$D$4:$O$20,DTR!F$4,FALSE))*1000,0)</f>
        <v>0</v>
      </c>
      <c r="G297" s="141">
        <f>IFERROR((HLOOKUP($AH297,Target_monthwise!$D$4:$O$20,DTR!G$4,FALSE))*1000,0)</f>
        <v>0</v>
      </c>
      <c r="H297" s="141">
        <f>IFERROR((HLOOKUP($AH297,Target_monthwise!$D$4:$O$20,DTR!H$4,FALSE))*1000,0)</f>
        <v>0</v>
      </c>
      <c r="I297" s="141">
        <f>IFERROR((HLOOKUP($AH297,Target_monthwise!$D$4:$O$20,DTR!I$4,FALSE))*1000,0)</f>
        <v>0</v>
      </c>
      <c r="J297" s="141">
        <f>IFERROR((HLOOKUP($AH297,Target_monthwise!$D$4:$O$20,DTR!J$4,FALSE))*1000,0)</f>
        <v>0</v>
      </c>
      <c r="K297" s="141">
        <f>IFERROR((HLOOKUP($AH297,Target_monthwise!$D$4:$O$20,DTR!K$4,FALSE))*1000,0)</f>
        <v>0</v>
      </c>
      <c r="L297" s="141">
        <f>IFERROR((HLOOKUP($AH297,Target_monthwise!$D$4:$O$20,DTR!L$4,FALSE))*1000,0)</f>
        <v>0</v>
      </c>
      <c r="M297" s="141">
        <f>IFERROR((HLOOKUP($AH297,Target_monthwise!$D$4:$O$20,DTR!M$4,FALSE))*1000,0)</f>
        <v>0</v>
      </c>
      <c r="N297" s="141">
        <f>IFERROR((HLOOKUP($AH297,Target_monthwise!$D$4:$O$20,DTR!N$4,FALSE))*1000,0)</f>
        <v>0</v>
      </c>
      <c r="O297" s="141">
        <f>IFERROR((HLOOKUP($AH297,Target_monthwise!$D$4:$O$20,DTR!O$4,FALSE))*1000,0)</f>
        <v>0</v>
      </c>
      <c r="P297" s="141">
        <f>IFERROR((HLOOKUP($AH297,Target_monthwise!$D$4:$O$20,DTR!P$4,FALSE))*1000,0)</f>
        <v>0</v>
      </c>
      <c r="Q297" s="141">
        <f>IFERROR((HLOOKUP($AH297,Target_monthwise!$D$4:$O$20,DTR!Q$4,FALSE))*1000,0)</f>
        <v>0</v>
      </c>
      <c r="R297" s="167">
        <f>IFERROR((HLOOKUP($AH297,Target_monthwise!$D$4:$O$20,DTR!R$4,FALSE))*1000,0)</f>
        <v>0</v>
      </c>
      <c r="S297" s="147">
        <f>IFERROR((HLOOKUP($AH297,Target_monthwise!$D$24:$O$40,DTR!S$4,FALSE)),0)</f>
        <v>0</v>
      </c>
      <c r="T297" s="147">
        <f>IFERROR((HLOOKUP($AH297,Target_monthwise!$D$24:$O$40,DTR!T$4,FALSE)),0)</f>
        <v>0</v>
      </c>
      <c r="U297" s="147">
        <f>IFERROR((HLOOKUP($AH297,Target_monthwise!$D$24:$O$40,DTR!U$4,FALSE)),0)</f>
        <v>0</v>
      </c>
      <c r="V297" s="147">
        <f>IFERROR((HLOOKUP($AH297,Target_monthwise!$D$24:$O$40,DTR!V$4,FALSE)),0)</f>
        <v>0</v>
      </c>
      <c r="W297" s="147">
        <f>IFERROR((HLOOKUP($AH297,Target_monthwise!$D$24:$O$40,DTR!W$4,FALSE)),0)</f>
        <v>0</v>
      </c>
      <c r="X297" s="147">
        <f>IFERROR((HLOOKUP($AH297,Target_monthwise!$D$24:$O$40,DTR!X$4,FALSE)),0)</f>
        <v>0</v>
      </c>
      <c r="Y297" s="147">
        <f>IFERROR((HLOOKUP($AH297,Target_monthwise!$D$24:$O$40,DTR!Y$4,FALSE)),0)</f>
        <v>0</v>
      </c>
      <c r="Z297" s="147">
        <f>IFERROR((HLOOKUP($AH297,Target_monthwise!$D$24:$O$40,DTR!Z$4,FALSE)),0)</f>
        <v>0</v>
      </c>
      <c r="AA297" s="147">
        <f>IFERROR((HLOOKUP($AH297,Target_monthwise!$D$24:$O$40,DTR!AA$4,FALSE)),0)</f>
        <v>0</v>
      </c>
      <c r="AB297" s="147">
        <f>IFERROR((HLOOKUP($AH297,Target_monthwise!$D$24:$O$40,DTR!AB$4,FALSE)),0)</f>
        <v>0</v>
      </c>
      <c r="AC297" s="147">
        <f>IFERROR((HLOOKUP($AH297,Target_monthwise!$D$24:$O$40,DTR!AC$4,FALSE)),0)</f>
        <v>0</v>
      </c>
      <c r="AD297" s="147">
        <f>IFERROR((HLOOKUP($AH297,Target_monthwise!$D$24:$O$40,DTR!AD$4,FALSE)),0)</f>
        <v>0</v>
      </c>
      <c r="AE297" s="147">
        <f>IFERROR((HLOOKUP($AH297,Target_monthwise!$D$24:$O$40,DTR!AE$4,FALSE)),0)</f>
        <v>0</v>
      </c>
      <c r="AF297" s="147">
        <f>IFERROR((HLOOKUP($AH297,Target_monthwise!$D$24:$O$40,DTR!AF$4,FALSE)),0)</f>
        <v>0</v>
      </c>
      <c r="AG297" s="172">
        <f>IFERROR((HLOOKUP($AH297,Target_monthwise!$D$24:$O$40,DTR!AG$4,FALSE)),0)</f>
        <v>0</v>
      </c>
      <c r="AH297" s="253">
        <f t="shared" si="4"/>
        <v>202301</v>
      </c>
    </row>
    <row r="298" spans="3:34" ht="15.75" hidden="1">
      <c r="C298" s="237">
        <v>44941</v>
      </c>
      <c r="D298" s="238">
        <f>IFERROR((HLOOKUP($AH298,Target_monthwise!$D$4:$O$20,DTR!D$4,FALSE))*1000,0)</f>
        <v>0</v>
      </c>
      <c r="E298" s="238">
        <f>IFERROR((HLOOKUP($AH298,Target_monthwise!$D$4:$O$20,DTR!E$4,FALSE))*1000,0)</f>
        <v>0</v>
      </c>
      <c r="F298" s="238">
        <f>IFERROR((HLOOKUP($AH298,Target_monthwise!$D$4:$O$20,DTR!F$4,FALSE))*1000,0)</f>
        <v>0</v>
      </c>
      <c r="G298" s="238">
        <f>IFERROR((HLOOKUP($AH298,Target_monthwise!$D$4:$O$20,DTR!G$4,FALSE))*1000,0)</f>
        <v>0</v>
      </c>
      <c r="H298" s="238">
        <f>IFERROR((HLOOKUP($AH298,Target_monthwise!$D$4:$O$20,DTR!H$4,FALSE))*1000,0)</f>
        <v>0</v>
      </c>
      <c r="I298" s="238">
        <f>IFERROR((HLOOKUP($AH298,Target_monthwise!$D$4:$O$20,DTR!I$4,FALSE))*1000,0)</f>
        <v>0</v>
      </c>
      <c r="J298" s="238">
        <f>IFERROR((HLOOKUP($AH298,Target_monthwise!$D$4:$O$20,DTR!J$4,FALSE))*1000,0)</f>
        <v>0</v>
      </c>
      <c r="K298" s="238">
        <f>IFERROR((HLOOKUP($AH298,Target_monthwise!$D$4:$O$20,DTR!K$4,FALSE))*1000,0)</f>
        <v>0</v>
      </c>
      <c r="L298" s="238">
        <f>IFERROR((HLOOKUP($AH298,Target_monthwise!$D$4:$O$20,DTR!L$4,FALSE))*1000,0)</f>
        <v>0</v>
      </c>
      <c r="M298" s="238">
        <f>IFERROR((HLOOKUP($AH298,Target_monthwise!$D$4:$O$20,DTR!M$4,FALSE))*1000,0)</f>
        <v>0</v>
      </c>
      <c r="N298" s="238">
        <f>IFERROR((HLOOKUP($AH298,Target_monthwise!$D$4:$O$20,DTR!N$4,FALSE))*1000,0)</f>
        <v>0</v>
      </c>
      <c r="O298" s="238">
        <f>IFERROR((HLOOKUP($AH298,Target_monthwise!$D$4:$O$20,DTR!O$4,FALSE))*1000,0)</f>
        <v>0</v>
      </c>
      <c r="P298" s="238">
        <f>IFERROR((HLOOKUP($AH298,Target_monthwise!$D$4:$O$20,DTR!P$4,FALSE))*1000,0)</f>
        <v>0</v>
      </c>
      <c r="Q298" s="141">
        <f>IFERROR((HLOOKUP($AH298,Target_monthwise!$D$4:$O$20,DTR!Q$4,FALSE))*1000,0)</f>
        <v>0</v>
      </c>
      <c r="R298" s="167">
        <f>IFERROR((HLOOKUP($AH298,Target_monthwise!$D$4:$O$20,DTR!R$4,FALSE))*1000,0)</f>
        <v>0</v>
      </c>
      <c r="S298" s="239">
        <f>IFERROR((HLOOKUP($AH298,Target_monthwise!$D$24:$O$40,DTR!S$4,FALSE)),0)</f>
        <v>0</v>
      </c>
      <c r="T298" s="239">
        <f>IFERROR((HLOOKUP($AH298,Target_monthwise!$D$24:$O$40,DTR!T$4,FALSE)),0)</f>
        <v>0</v>
      </c>
      <c r="U298" s="239">
        <f>IFERROR((HLOOKUP($AH298,Target_monthwise!$D$24:$O$40,DTR!U$4,FALSE)),0)</f>
        <v>0</v>
      </c>
      <c r="V298" s="239">
        <f>IFERROR((HLOOKUP($AH298,Target_monthwise!$D$24:$O$40,DTR!V$4,FALSE)),0)</f>
        <v>0</v>
      </c>
      <c r="W298" s="239">
        <f>IFERROR((HLOOKUP($AH298,Target_monthwise!$D$24:$O$40,DTR!W$4,FALSE)),0)</f>
        <v>0</v>
      </c>
      <c r="X298" s="239">
        <f>IFERROR((HLOOKUP($AH298,Target_monthwise!$D$24:$O$40,DTR!X$4,FALSE)),0)</f>
        <v>0</v>
      </c>
      <c r="Y298" s="239">
        <f>IFERROR((HLOOKUP($AH298,Target_monthwise!$D$24:$O$40,DTR!Y$4,FALSE)),0)</f>
        <v>0</v>
      </c>
      <c r="Z298" s="147">
        <f>IFERROR((HLOOKUP($AH298,Target_monthwise!$D$24:$O$40,DTR!Z$4,FALSE)),0)</f>
        <v>0</v>
      </c>
      <c r="AA298" s="147">
        <f>IFERROR((HLOOKUP($AH298,Target_monthwise!$D$24:$O$40,DTR!AA$4,FALSE)),0)</f>
        <v>0</v>
      </c>
      <c r="AB298" s="147">
        <f>IFERROR((HLOOKUP($AH298,Target_monthwise!$D$24:$O$40,DTR!AB$4,FALSE)),0)</f>
        <v>0</v>
      </c>
      <c r="AC298" s="239">
        <f>IFERROR((HLOOKUP($AH298,Target_monthwise!$D$24:$O$40,DTR!AC$4,FALSE)),0)</f>
        <v>0</v>
      </c>
      <c r="AD298" s="239">
        <f>IFERROR((HLOOKUP($AH298,Target_monthwise!$D$24:$O$40,DTR!AD$4,FALSE)),0)</f>
        <v>0</v>
      </c>
      <c r="AE298" s="239">
        <f>IFERROR((HLOOKUP($AH298,Target_monthwise!$D$24:$O$40,DTR!AE$4,FALSE)),0)</f>
        <v>0</v>
      </c>
      <c r="AF298" s="239">
        <f>IFERROR((HLOOKUP($AH298,Target_monthwise!$D$24:$O$40,DTR!AF$4,FALSE)),0)</f>
        <v>0</v>
      </c>
      <c r="AG298" s="172">
        <f>IFERROR((HLOOKUP($AH298,Target_monthwise!$D$24:$O$40,DTR!AG$4,FALSE)),0)</f>
        <v>0</v>
      </c>
      <c r="AH298" s="253">
        <f t="shared" si="4"/>
        <v>202301</v>
      </c>
    </row>
    <row r="299" spans="3:34" ht="15.75" hidden="1">
      <c r="C299" s="235">
        <v>44942</v>
      </c>
      <c r="D299" s="141">
        <f>IFERROR((HLOOKUP($AH299,Target_monthwise!$D$4:$O$20,DTR!D$4,FALSE))*1000,0)</f>
        <v>0</v>
      </c>
      <c r="E299" s="141">
        <f>IFERROR((HLOOKUP($AH299,Target_monthwise!$D$4:$O$20,DTR!E$4,FALSE))*1000,0)</f>
        <v>0</v>
      </c>
      <c r="F299" s="141">
        <f>IFERROR((HLOOKUP($AH299,Target_monthwise!$D$4:$O$20,DTR!F$4,FALSE))*1000,0)</f>
        <v>0</v>
      </c>
      <c r="G299" s="141">
        <f>IFERROR((HLOOKUP($AH299,Target_monthwise!$D$4:$O$20,DTR!G$4,FALSE))*1000,0)</f>
        <v>0</v>
      </c>
      <c r="H299" s="141">
        <f>IFERROR((HLOOKUP($AH299,Target_monthwise!$D$4:$O$20,DTR!H$4,FALSE))*1000,0)</f>
        <v>0</v>
      </c>
      <c r="I299" s="141">
        <f>IFERROR((HLOOKUP($AH299,Target_monthwise!$D$4:$O$20,DTR!I$4,FALSE))*1000,0)</f>
        <v>0</v>
      </c>
      <c r="J299" s="141">
        <f>IFERROR((HLOOKUP($AH299,Target_monthwise!$D$4:$O$20,DTR!J$4,FALSE))*1000,0)</f>
        <v>0</v>
      </c>
      <c r="K299" s="141">
        <f>IFERROR((HLOOKUP($AH299,Target_monthwise!$D$4:$O$20,DTR!K$4,FALSE))*1000,0)</f>
        <v>0</v>
      </c>
      <c r="L299" s="141">
        <f>IFERROR((HLOOKUP($AH299,Target_monthwise!$D$4:$O$20,DTR!L$4,FALSE))*1000,0)</f>
        <v>0</v>
      </c>
      <c r="M299" s="141">
        <f>IFERROR((HLOOKUP($AH299,Target_monthwise!$D$4:$O$20,DTR!M$4,FALSE))*1000,0)</f>
        <v>0</v>
      </c>
      <c r="N299" s="141">
        <f>IFERROR((HLOOKUP($AH299,Target_monthwise!$D$4:$O$20,DTR!N$4,FALSE))*1000,0)</f>
        <v>0</v>
      </c>
      <c r="O299" s="141">
        <f>IFERROR((HLOOKUP($AH299,Target_monthwise!$D$4:$O$20,DTR!O$4,FALSE))*1000,0)</f>
        <v>0</v>
      </c>
      <c r="P299" s="141">
        <f>IFERROR((HLOOKUP($AH299,Target_monthwise!$D$4:$O$20,DTR!P$4,FALSE))*1000,0)</f>
        <v>0</v>
      </c>
      <c r="Q299" s="141">
        <f>IFERROR((HLOOKUP($AH299,Target_monthwise!$D$4:$O$20,DTR!Q$4,FALSE))*1000,0)</f>
        <v>0</v>
      </c>
      <c r="R299" s="167">
        <f>IFERROR((HLOOKUP($AH299,Target_monthwise!$D$4:$O$20,DTR!R$4,FALSE))*1000,0)</f>
        <v>0</v>
      </c>
      <c r="S299" s="147">
        <f>IFERROR((HLOOKUP($AH299,Target_monthwise!$D$24:$O$40,DTR!S$4,FALSE)),0)</f>
        <v>0</v>
      </c>
      <c r="T299" s="147">
        <f>IFERROR((HLOOKUP($AH299,Target_monthwise!$D$24:$O$40,DTR!T$4,FALSE)),0)</f>
        <v>0</v>
      </c>
      <c r="U299" s="147">
        <f>IFERROR((HLOOKUP($AH299,Target_monthwise!$D$24:$O$40,DTR!U$4,FALSE)),0)</f>
        <v>0</v>
      </c>
      <c r="V299" s="147">
        <f>IFERROR((HLOOKUP($AH299,Target_monthwise!$D$24:$O$40,DTR!V$4,FALSE)),0)</f>
        <v>0</v>
      </c>
      <c r="W299" s="147">
        <f>IFERROR((HLOOKUP($AH299,Target_monthwise!$D$24:$O$40,DTR!W$4,FALSE)),0)</f>
        <v>0</v>
      </c>
      <c r="X299" s="147">
        <f>IFERROR((HLOOKUP($AH299,Target_monthwise!$D$24:$O$40,DTR!X$4,FALSE)),0)</f>
        <v>0</v>
      </c>
      <c r="Y299" s="147">
        <f>IFERROR((HLOOKUP($AH299,Target_monthwise!$D$24:$O$40,DTR!Y$4,FALSE)),0)</f>
        <v>0</v>
      </c>
      <c r="Z299" s="147">
        <f>IFERROR((HLOOKUP($AH299,Target_monthwise!$D$24:$O$40,DTR!Z$4,FALSE)),0)</f>
        <v>0</v>
      </c>
      <c r="AA299" s="147">
        <f>IFERROR((HLOOKUP($AH299,Target_monthwise!$D$24:$O$40,DTR!AA$4,FALSE)),0)</f>
        <v>0</v>
      </c>
      <c r="AB299" s="147">
        <f>IFERROR((HLOOKUP($AH299,Target_monthwise!$D$24:$O$40,DTR!AB$4,FALSE)),0)</f>
        <v>0</v>
      </c>
      <c r="AC299" s="147">
        <f>IFERROR((HLOOKUP($AH299,Target_monthwise!$D$24:$O$40,DTR!AC$4,FALSE)),0)</f>
        <v>0</v>
      </c>
      <c r="AD299" s="147">
        <f>IFERROR((HLOOKUP($AH299,Target_monthwise!$D$24:$O$40,DTR!AD$4,FALSE)),0)</f>
        <v>0</v>
      </c>
      <c r="AE299" s="147">
        <f>IFERROR((HLOOKUP($AH299,Target_monthwise!$D$24:$O$40,DTR!AE$4,FALSE)),0)</f>
        <v>0</v>
      </c>
      <c r="AF299" s="147">
        <f>IFERROR((HLOOKUP($AH299,Target_monthwise!$D$24:$O$40,DTR!AF$4,FALSE)),0)</f>
        <v>0</v>
      </c>
      <c r="AG299" s="172">
        <f>IFERROR((HLOOKUP($AH299,Target_monthwise!$D$24:$O$40,DTR!AG$4,FALSE)),0)</f>
        <v>0</v>
      </c>
      <c r="AH299" s="253">
        <f t="shared" si="4"/>
        <v>202301</v>
      </c>
    </row>
    <row r="300" spans="3:34" ht="15.75" hidden="1">
      <c r="C300" s="237">
        <v>44943</v>
      </c>
      <c r="D300" s="238">
        <f>IFERROR((HLOOKUP($AH300,Target_monthwise!$D$4:$O$20,DTR!D$4,FALSE))*1000,0)</f>
        <v>0</v>
      </c>
      <c r="E300" s="238">
        <f>IFERROR((HLOOKUP($AH300,Target_monthwise!$D$4:$O$20,DTR!E$4,FALSE))*1000,0)</f>
        <v>0</v>
      </c>
      <c r="F300" s="238">
        <f>IFERROR((HLOOKUP($AH300,Target_monthwise!$D$4:$O$20,DTR!F$4,FALSE))*1000,0)</f>
        <v>0</v>
      </c>
      <c r="G300" s="238">
        <f>IFERROR((HLOOKUP($AH300,Target_monthwise!$D$4:$O$20,DTR!G$4,FALSE))*1000,0)</f>
        <v>0</v>
      </c>
      <c r="H300" s="238">
        <f>IFERROR((HLOOKUP($AH300,Target_monthwise!$D$4:$O$20,DTR!H$4,FALSE))*1000,0)</f>
        <v>0</v>
      </c>
      <c r="I300" s="238">
        <f>IFERROR((HLOOKUP($AH300,Target_monthwise!$D$4:$O$20,DTR!I$4,FALSE))*1000,0)</f>
        <v>0</v>
      </c>
      <c r="J300" s="238">
        <f>IFERROR((HLOOKUP($AH300,Target_monthwise!$D$4:$O$20,DTR!J$4,FALSE))*1000,0)</f>
        <v>0</v>
      </c>
      <c r="K300" s="238">
        <f>IFERROR((HLOOKUP($AH300,Target_monthwise!$D$4:$O$20,DTR!K$4,FALSE))*1000,0)</f>
        <v>0</v>
      </c>
      <c r="L300" s="238">
        <f>IFERROR((HLOOKUP($AH300,Target_monthwise!$D$4:$O$20,DTR!L$4,FALSE))*1000,0)</f>
        <v>0</v>
      </c>
      <c r="M300" s="238">
        <f>IFERROR((HLOOKUP($AH300,Target_monthwise!$D$4:$O$20,DTR!M$4,FALSE))*1000,0)</f>
        <v>0</v>
      </c>
      <c r="N300" s="238">
        <f>IFERROR((HLOOKUP($AH300,Target_monthwise!$D$4:$O$20,DTR!N$4,FALSE))*1000,0)</f>
        <v>0</v>
      </c>
      <c r="O300" s="238">
        <f>IFERROR((HLOOKUP($AH300,Target_monthwise!$D$4:$O$20,DTR!O$4,FALSE))*1000,0)</f>
        <v>0</v>
      </c>
      <c r="P300" s="238">
        <f>IFERROR((HLOOKUP($AH300,Target_monthwise!$D$4:$O$20,DTR!P$4,FALSE))*1000,0)</f>
        <v>0</v>
      </c>
      <c r="Q300" s="141">
        <f>IFERROR((HLOOKUP($AH300,Target_monthwise!$D$4:$O$20,DTR!Q$4,FALSE))*1000,0)</f>
        <v>0</v>
      </c>
      <c r="R300" s="167">
        <f>IFERROR((HLOOKUP($AH300,Target_monthwise!$D$4:$O$20,DTR!R$4,FALSE))*1000,0)</f>
        <v>0</v>
      </c>
      <c r="S300" s="239">
        <f>IFERROR((HLOOKUP($AH300,Target_monthwise!$D$24:$O$40,DTR!S$4,FALSE)),0)</f>
        <v>0</v>
      </c>
      <c r="T300" s="239">
        <f>IFERROR((HLOOKUP($AH300,Target_monthwise!$D$24:$O$40,DTR!T$4,FALSE)),0)</f>
        <v>0</v>
      </c>
      <c r="U300" s="239">
        <f>IFERROR((HLOOKUP($AH300,Target_monthwise!$D$24:$O$40,DTR!U$4,FALSE)),0)</f>
        <v>0</v>
      </c>
      <c r="V300" s="239">
        <f>IFERROR((HLOOKUP($AH300,Target_monthwise!$D$24:$O$40,DTR!V$4,FALSE)),0)</f>
        <v>0</v>
      </c>
      <c r="W300" s="239">
        <f>IFERROR((HLOOKUP($AH300,Target_monthwise!$D$24:$O$40,DTR!W$4,FALSE)),0)</f>
        <v>0</v>
      </c>
      <c r="X300" s="239">
        <f>IFERROR((HLOOKUP($AH300,Target_monthwise!$D$24:$O$40,DTR!X$4,FALSE)),0)</f>
        <v>0</v>
      </c>
      <c r="Y300" s="239">
        <f>IFERROR((HLOOKUP($AH300,Target_monthwise!$D$24:$O$40,DTR!Y$4,FALSE)),0)</f>
        <v>0</v>
      </c>
      <c r="Z300" s="147">
        <f>IFERROR((HLOOKUP($AH300,Target_monthwise!$D$24:$O$40,DTR!Z$4,FALSE)),0)</f>
        <v>0</v>
      </c>
      <c r="AA300" s="147">
        <f>IFERROR((HLOOKUP($AH300,Target_monthwise!$D$24:$O$40,DTR!AA$4,FALSE)),0)</f>
        <v>0</v>
      </c>
      <c r="AB300" s="147">
        <f>IFERROR((HLOOKUP($AH300,Target_monthwise!$D$24:$O$40,DTR!AB$4,FALSE)),0)</f>
        <v>0</v>
      </c>
      <c r="AC300" s="239">
        <f>IFERROR((HLOOKUP($AH300,Target_monthwise!$D$24:$O$40,DTR!AC$4,FALSE)),0)</f>
        <v>0</v>
      </c>
      <c r="AD300" s="239">
        <f>IFERROR((HLOOKUP($AH300,Target_monthwise!$D$24:$O$40,DTR!AD$4,FALSE)),0)</f>
        <v>0</v>
      </c>
      <c r="AE300" s="239">
        <f>IFERROR((HLOOKUP($AH300,Target_monthwise!$D$24:$O$40,DTR!AE$4,FALSE)),0)</f>
        <v>0</v>
      </c>
      <c r="AF300" s="239">
        <f>IFERROR((HLOOKUP($AH300,Target_monthwise!$D$24:$O$40,DTR!AF$4,FALSE)),0)</f>
        <v>0</v>
      </c>
      <c r="AG300" s="172">
        <f>IFERROR((HLOOKUP($AH300,Target_monthwise!$D$24:$O$40,DTR!AG$4,FALSE)),0)</f>
        <v>0</v>
      </c>
      <c r="AH300" s="253">
        <f t="shared" si="4"/>
        <v>202301</v>
      </c>
    </row>
    <row r="301" spans="3:34" ht="15.75" hidden="1">
      <c r="C301" s="235">
        <v>44944</v>
      </c>
      <c r="D301" s="141">
        <f>IFERROR((HLOOKUP($AH301,Target_monthwise!$D$4:$O$20,DTR!D$4,FALSE))*1000,0)</f>
        <v>0</v>
      </c>
      <c r="E301" s="141">
        <f>IFERROR((HLOOKUP($AH301,Target_monthwise!$D$4:$O$20,DTR!E$4,FALSE))*1000,0)</f>
        <v>0</v>
      </c>
      <c r="F301" s="141">
        <f>IFERROR((HLOOKUP($AH301,Target_monthwise!$D$4:$O$20,DTR!F$4,FALSE))*1000,0)</f>
        <v>0</v>
      </c>
      <c r="G301" s="141">
        <f>IFERROR((HLOOKUP($AH301,Target_monthwise!$D$4:$O$20,DTR!G$4,FALSE))*1000,0)</f>
        <v>0</v>
      </c>
      <c r="H301" s="141">
        <f>IFERROR((HLOOKUP($AH301,Target_monthwise!$D$4:$O$20,DTR!H$4,FALSE))*1000,0)</f>
        <v>0</v>
      </c>
      <c r="I301" s="141">
        <f>IFERROR((HLOOKUP($AH301,Target_monthwise!$D$4:$O$20,DTR!I$4,FALSE))*1000,0)</f>
        <v>0</v>
      </c>
      <c r="J301" s="141">
        <f>IFERROR((HLOOKUP($AH301,Target_monthwise!$D$4:$O$20,DTR!J$4,FALSE))*1000,0)</f>
        <v>0</v>
      </c>
      <c r="K301" s="141">
        <f>IFERROR((HLOOKUP($AH301,Target_monthwise!$D$4:$O$20,DTR!K$4,FALSE))*1000,0)</f>
        <v>0</v>
      </c>
      <c r="L301" s="141">
        <f>IFERROR((HLOOKUP($AH301,Target_monthwise!$D$4:$O$20,DTR!L$4,FALSE))*1000,0)</f>
        <v>0</v>
      </c>
      <c r="M301" s="141">
        <f>IFERROR((HLOOKUP($AH301,Target_monthwise!$D$4:$O$20,DTR!M$4,FALSE))*1000,0)</f>
        <v>0</v>
      </c>
      <c r="N301" s="141">
        <f>IFERROR((HLOOKUP($AH301,Target_monthwise!$D$4:$O$20,DTR!N$4,FALSE))*1000,0)</f>
        <v>0</v>
      </c>
      <c r="O301" s="141">
        <f>IFERROR((HLOOKUP($AH301,Target_monthwise!$D$4:$O$20,DTR!O$4,FALSE))*1000,0)</f>
        <v>0</v>
      </c>
      <c r="P301" s="141">
        <f>IFERROR((HLOOKUP($AH301,Target_monthwise!$D$4:$O$20,DTR!P$4,FALSE))*1000,0)</f>
        <v>0</v>
      </c>
      <c r="Q301" s="141">
        <f>IFERROR((HLOOKUP($AH301,Target_monthwise!$D$4:$O$20,DTR!Q$4,FALSE))*1000,0)</f>
        <v>0</v>
      </c>
      <c r="R301" s="167">
        <f>IFERROR((HLOOKUP($AH301,Target_monthwise!$D$4:$O$20,DTR!R$4,FALSE))*1000,0)</f>
        <v>0</v>
      </c>
      <c r="S301" s="147">
        <f>IFERROR((HLOOKUP($AH301,Target_monthwise!$D$24:$O$40,DTR!S$4,FALSE)),0)</f>
        <v>0</v>
      </c>
      <c r="T301" s="147">
        <f>IFERROR((HLOOKUP($AH301,Target_monthwise!$D$24:$O$40,DTR!T$4,FALSE)),0)</f>
        <v>0</v>
      </c>
      <c r="U301" s="147">
        <f>IFERROR((HLOOKUP($AH301,Target_monthwise!$D$24:$O$40,DTR!U$4,FALSE)),0)</f>
        <v>0</v>
      </c>
      <c r="V301" s="147">
        <f>IFERROR((HLOOKUP($AH301,Target_monthwise!$D$24:$O$40,DTR!V$4,FALSE)),0)</f>
        <v>0</v>
      </c>
      <c r="W301" s="147">
        <f>IFERROR((HLOOKUP($AH301,Target_monthwise!$D$24:$O$40,DTR!W$4,FALSE)),0)</f>
        <v>0</v>
      </c>
      <c r="X301" s="147">
        <f>IFERROR((HLOOKUP($AH301,Target_monthwise!$D$24:$O$40,DTR!X$4,FALSE)),0)</f>
        <v>0</v>
      </c>
      <c r="Y301" s="147">
        <f>IFERROR((HLOOKUP($AH301,Target_monthwise!$D$24:$O$40,DTR!Y$4,FALSE)),0)</f>
        <v>0</v>
      </c>
      <c r="Z301" s="147">
        <f>IFERROR((HLOOKUP($AH301,Target_monthwise!$D$24:$O$40,DTR!Z$4,FALSE)),0)</f>
        <v>0</v>
      </c>
      <c r="AA301" s="147">
        <f>IFERROR((HLOOKUP($AH301,Target_monthwise!$D$24:$O$40,DTR!AA$4,FALSE)),0)</f>
        <v>0</v>
      </c>
      <c r="AB301" s="147">
        <f>IFERROR((HLOOKUP($AH301,Target_monthwise!$D$24:$O$40,DTR!AB$4,FALSE)),0)</f>
        <v>0</v>
      </c>
      <c r="AC301" s="147">
        <f>IFERROR((HLOOKUP($AH301,Target_monthwise!$D$24:$O$40,DTR!AC$4,FALSE)),0)</f>
        <v>0</v>
      </c>
      <c r="AD301" s="147">
        <f>IFERROR((HLOOKUP($AH301,Target_monthwise!$D$24:$O$40,DTR!AD$4,FALSE)),0)</f>
        <v>0</v>
      </c>
      <c r="AE301" s="147">
        <f>IFERROR((HLOOKUP($AH301,Target_monthwise!$D$24:$O$40,DTR!AE$4,FALSE)),0)</f>
        <v>0</v>
      </c>
      <c r="AF301" s="147">
        <f>IFERROR((HLOOKUP($AH301,Target_monthwise!$D$24:$O$40,DTR!AF$4,FALSE)),0)</f>
        <v>0</v>
      </c>
      <c r="AG301" s="172">
        <f>IFERROR((HLOOKUP($AH301,Target_monthwise!$D$24:$O$40,DTR!AG$4,FALSE)),0)</f>
        <v>0</v>
      </c>
      <c r="AH301" s="253">
        <f t="shared" si="4"/>
        <v>202301</v>
      </c>
    </row>
    <row r="302" spans="3:34" ht="15.75" hidden="1">
      <c r="C302" s="237">
        <v>44945</v>
      </c>
      <c r="D302" s="238">
        <f>IFERROR((HLOOKUP($AH302,Target_monthwise!$D$4:$O$20,DTR!D$4,FALSE))*1000,0)</f>
        <v>0</v>
      </c>
      <c r="E302" s="238">
        <f>IFERROR((HLOOKUP($AH302,Target_monthwise!$D$4:$O$20,DTR!E$4,FALSE))*1000,0)</f>
        <v>0</v>
      </c>
      <c r="F302" s="238">
        <f>IFERROR((HLOOKUP($AH302,Target_monthwise!$D$4:$O$20,DTR!F$4,FALSE))*1000,0)</f>
        <v>0</v>
      </c>
      <c r="G302" s="238">
        <f>IFERROR((HLOOKUP($AH302,Target_monthwise!$D$4:$O$20,DTR!G$4,FALSE))*1000,0)</f>
        <v>0</v>
      </c>
      <c r="H302" s="238">
        <f>IFERROR((HLOOKUP($AH302,Target_monthwise!$D$4:$O$20,DTR!H$4,FALSE))*1000,0)</f>
        <v>0</v>
      </c>
      <c r="I302" s="238">
        <f>IFERROR((HLOOKUP($AH302,Target_monthwise!$D$4:$O$20,DTR!I$4,FALSE))*1000,0)</f>
        <v>0</v>
      </c>
      <c r="J302" s="238">
        <f>IFERROR((HLOOKUP($AH302,Target_monthwise!$D$4:$O$20,DTR!J$4,FALSE))*1000,0)</f>
        <v>0</v>
      </c>
      <c r="K302" s="238">
        <f>IFERROR((HLOOKUP($AH302,Target_monthwise!$D$4:$O$20,DTR!K$4,FALSE))*1000,0)</f>
        <v>0</v>
      </c>
      <c r="L302" s="238">
        <f>IFERROR((HLOOKUP($AH302,Target_monthwise!$D$4:$O$20,DTR!L$4,FALSE))*1000,0)</f>
        <v>0</v>
      </c>
      <c r="M302" s="238">
        <f>IFERROR((HLOOKUP($AH302,Target_monthwise!$D$4:$O$20,DTR!M$4,FALSE))*1000,0)</f>
        <v>0</v>
      </c>
      <c r="N302" s="238">
        <f>IFERROR((HLOOKUP($AH302,Target_monthwise!$D$4:$O$20,DTR!N$4,FALSE))*1000,0)</f>
        <v>0</v>
      </c>
      <c r="O302" s="238">
        <f>IFERROR((HLOOKUP($AH302,Target_monthwise!$D$4:$O$20,DTR!O$4,FALSE))*1000,0)</f>
        <v>0</v>
      </c>
      <c r="P302" s="238">
        <f>IFERROR((HLOOKUP($AH302,Target_monthwise!$D$4:$O$20,DTR!P$4,FALSE))*1000,0)</f>
        <v>0</v>
      </c>
      <c r="Q302" s="141">
        <f>IFERROR((HLOOKUP($AH302,Target_monthwise!$D$4:$O$20,DTR!Q$4,FALSE))*1000,0)</f>
        <v>0</v>
      </c>
      <c r="R302" s="167">
        <f>IFERROR((HLOOKUP($AH302,Target_monthwise!$D$4:$O$20,DTR!R$4,FALSE))*1000,0)</f>
        <v>0</v>
      </c>
      <c r="S302" s="239">
        <f>IFERROR((HLOOKUP($AH302,Target_monthwise!$D$24:$O$40,DTR!S$4,FALSE)),0)</f>
        <v>0</v>
      </c>
      <c r="T302" s="239">
        <f>IFERROR((HLOOKUP($AH302,Target_monthwise!$D$24:$O$40,DTR!T$4,FALSE)),0)</f>
        <v>0</v>
      </c>
      <c r="U302" s="239">
        <f>IFERROR((HLOOKUP($AH302,Target_monthwise!$D$24:$O$40,DTR!U$4,FALSE)),0)</f>
        <v>0</v>
      </c>
      <c r="V302" s="239">
        <f>IFERROR((HLOOKUP($AH302,Target_monthwise!$D$24:$O$40,DTR!V$4,FALSE)),0)</f>
        <v>0</v>
      </c>
      <c r="W302" s="239">
        <f>IFERROR((HLOOKUP($AH302,Target_monthwise!$D$24:$O$40,DTR!W$4,FALSE)),0)</f>
        <v>0</v>
      </c>
      <c r="X302" s="239">
        <f>IFERROR((HLOOKUP($AH302,Target_monthwise!$D$24:$O$40,DTR!X$4,FALSE)),0)</f>
        <v>0</v>
      </c>
      <c r="Y302" s="239">
        <f>IFERROR((HLOOKUP($AH302,Target_monthwise!$D$24:$O$40,DTR!Y$4,FALSE)),0)</f>
        <v>0</v>
      </c>
      <c r="Z302" s="147">
        <f>IFERROR((HLOOKUP($AH302,Target_monthwise!$D$24:$O$40,DTR!Z$4,FALSE)),0)</f>
        <v>0</v>
      </c>
      <c r="AA302" s="147">
        <f>IFERROR((HLOOKUP($AH302,Target_monthwise!$D$24:$O$40,DTR!AA$4,FALSE)),0)</f>
        <v>0</v>
      </c>
      <c r="AB302" s="147">
        <f>IFERROR((HLOOKUP($AH302,Target_monthwise!$D$24:$O$40,DTR!AB$4,FALSE)),0)</f>
        <v>0</v>
      </c>
      <c r="AC302" s="239">
        <f>IFERROR((HLOOKUP($AH302,Target_monthwise!$D$24:$O$40,DTR!AC$4,FALSE)),0)</f>
        <v>0</v>
      </c>
      <c r="AD302" s="239">
        <f>IFERROR((HLOOKUP($AH302,Target_monthwise!$D$24:$O$40,DTR!AD$4,FALSE)),0)</f>
        <v>0</v>
      </c>
      <c r="AE302" s="239">
        <f>IFERROR((HLOOKUP($AH302,Target_monthwise!$D$24:$O$40,DTR!AE$4,FALSE)),0)</f>
        <v>0</v>
      </c>
      <c r="AF302" s="239">
        <f>IFERROR((HLOOKUP($AH302,Target_monthwise!$D$24:$O$40,DTR!AF$4,FALSE)),0)</f>
        <v>0</v>
      </c>
      <c r="AG302" s="172">
        <f>IFERROR((HLOOKUP($AH302,Target_monthwise!$D$24:$O$40,DTR!AG$4,FALSE)),0)</f>
        <v>0</v>
      </c>
      <c r="AH302" s="253">
        <f t="shared" si="4"/>
        <v>202301</v>
      </c>
    </row>
    <row r="303" spans="3:34" ht="15.75" hidden="1">
      <c r="C303" s="235">
        <v>44946</v>
      </c>
      <c r="D303" s="141">
        <f>IFERROR((HLOOKUP($AH303,Target_monthwise!$D$4:$O$20,DTR!D$4,FALSE))*1000,0)</f>
        <v>0</v>
      </c>
      <c r="E303" s="141">
        <f>IFERROR((HLOOKUP($AH303,Target_monthwise!$D$4:$O$20,DTR!E$4,FALSE))*1000,0)</f>
        <v>0</v>
      </c>
      <c r="F303" s="141">
        <f>IFERROR((HLOOKUP($AH303,Target_monthwise!$D$4:$O$20,DTR!F$4,FALSE))*1000,0)</f>
        <v>0</v>
      </c>
      <c r="G303" s="141">
        <f>IFERROR((HLOOKUP($AH303,Target_monthwise!$D$4:$O$20,DTR!G$4,FALSE))*1000,0)</f>
        <v>0</v>
      </c>
      <c r="H303" s="141">
        <f>IFERROR((HLOOKUP($AH303,Target_monthwise!$D$4:$O$20,DTR!H$4,FALSE))*1000,0)</f>
        <v>0</v>
      </c>
      <c r="I303" s="141">
        <f>IFERROR((HLOOKUP($AH303,Target_monthwise!$D$4:$O$20,DTR!I$4,FALSE))*1000,0)</f>
        <v>0</v>
      </c>
      <c r="J303" s="141">
        <f>IFERROR((HLOOKUP($AH303,Target_monthwise!$D$4:$O$20,DTR!J$4,FALSE))*1000,0)</f>
        <v>0</v>
      </c>
      <c r="K303" s="141">
        <f>IFERROR((HLOOKUP($AH303,Target_monthwise!$D$4:$O$20,DTR!K$4,FALSE))*1000,0)</f>
        <v>0</v>
      </c>
      <c r="L303" s="141">
        <f>IFERROR((HLOOKUP($AH303,Target_monthwise!$D$4:$O$20,DTR!L$4,FALSE))*1000,0)</f>
        <v>0</v>
      </c>
      <c r="M303" s="141">
        <f>IFERROR((HLOOKUP($AH303,Target_monthwise!$D$4:$O$20,DTR!M$4,FALSE))*1000,0)</f>
        <v>0</v>
      </c>
      <c r="N303" s="141">
        <f>IFERROR((HLOOKUP($AH303,Target_monthwise!$D$4:$O$20,DTR!N$4,FALSE))*1000,0)</f>
        <v>0</v>
      </c>
      <c r="O303" s="141">
        <f>IFERROR((HLOOKUP($AH303,Target_monthwise!$D$4:$O$20,DTR!O$4,FALSE))*1000,0)</f>
        <v>0</v>
      </c>
      <c r="P303" s="141">
        <f>IFERROR((HLOOKUP($AH303,Target_monthwise!$D$4:$O$20,DTR!P$4,FALSE))*1000,0)</f>
        <v>0</v>
      </c>
      <c r="Q303" s="141">
        <f>IFERROR((HLOOKUP($AH303,Target_monthwise!$D$4:$O$20,DTR!Q$4,FALSE))*1000,0)</f>
        <v>0</v>
      </c>
      <c r="R303" s="167">
        <f>IFERROR((HLOOKUP($AH303,Target_monthwise!$D$4:$O$20,DTR!R$4,FALSE))*1000,0)</f>
        <v>0</v>
      </c>
      <c r="S303" s="147">
        <f>IFERROR((HLOOKUP($AH303,Target_monthwise!$D$24:$O$40,DTR!S$4,FALSE)),0)</f>
        <v>0</v>
      </c>
      <c r="T303" s="147">
        <f>IFERROR((HLOOKUP($AH303,Target_monthwise!$D$24:$O$40,DTR!T$4,FALSE)),0)</f>
        <v>0</v>
      </c>
      <c r="U303" s="147">
        <f>IFERROR((HLOOKUP($AH303,Target_monthwise!$D$24:$O$40,DTR!U$4,FALSE)),0)</f>
        <v>0</v>
      </c>
      <c r="V303" s="147">
        <f>IFERROR((HLOOKUP($AH303,Target_monthwise!$D$24:$O$40,DTR!V$4,FALSE)),0)</f>
        <v>0</v>
      </c>
      <c r="W303" s="147">
        <f>IFERROR((HLOOKUP($AH303,Target_monthwise!$D$24:$O$40,DTR!W$4,FALSE)),0)</f>
        <v>0</v>
      </c>
      <c r="X303" s="147">
        <f>IFERROR((HLOOKUP($AH303,Target_monthwise!$D$24:$O$40,DTR!X$4,FALSE)),0)</f>
        <v>0</v>
      </c>
      <c r="Y303" s="147">
        <f>IFERROR((HLOOKUP($AH303,Target_monthwise!$D$24:$O$40,DTR!Y$4,FALSE)),0)</f>
        <v>0</v>
      </c>
      <c r="Z303" s="147">
        <f>IFERROR((HLOOKUP($AH303,Target_monthwise!$D$24:$O$40,DTR!Z$4,FALSE)),0)</f>
        <v>0</v>
      </c>
      <c r="AA303" s="147">
        <f>IFERROR((HLOOKUP($AH303,Target_monthwise!$D$24:$O$40,DTR!AA$4,FALSE)),0)</f>
        <v>0</v>
      </c>
      <c r="AB303" s="147">
        <f>IFERROR((HLOOKUP($AH303,Target_monthwise!$D$24:$O$40,DTR!AB$4,FALSE)),0)</f>
        <v>0</v>
      </c>
      <c r="AC303" s="147">
        <f>IFERROR((HLOOKUP($AH303,Target_monthwise!$D$24:$O$40,DTR!AC$4,FALSE)),0)</f>
        <v>0</v>
      </c>
      <c r="AD303" s="147">
        <f>IFERROR((HLOOKUP($AH303,Target_monthwise!$D$24:$O$40,DTR!AD$4,FALSE)),0)</f>
        <v>0</v>
      </c>
      <c r="AE303" s="147">
        <f>IFERROR((HLOOKUP($AH303,Target_monthwise!$D$24:$O$40,DTR!AE$4,FALSE)),0)</f>
        <v>0</v>
      </c>
      <c r="AF303" s="147">
        <f>IFERROR((HLOOKUP($AH303,Target_monthwise!$D$24:$O$40,DTR!AF$4,FALSE)),0)</f>
        <v>0</v>
      </c>
      <c r="AG303" s="172">
        <f>IFERROR((HLOOKUP($AH303,Target_monthwise!$D$24:$O$40,DTR!AG$4,FALSE)),0)</f>
        <v>0</v>
      </c>
      <c r="AH303" s="253">
        <f t="shared" si="4"/>
        <v>202301</v>
      </c>
    </row>
    <row r="304" spans="3:34" ht="15.75" hidden="1">
      <c r="C304" s="237">
        <v>44947</v>
      </c>
      <c r="D304" s="238">
        <f>IFERROR((HLOOKUP($AH304,Target_monthwise!$D$4:$O$20,DTR!D$4,FALSE))*1000,0)</f>
        <v>0</v>
      </c>
      <c r="E304" s="238">
        <f>IFERROR((HLOOKUP($AH304,Target_monthwise!$D$4:$O$20,DTR!E$4,FALSE))*1000,0)</f>
        <v>0</v>
      </c>
      <c r="F304" s="238">
        <f>IFERROR((HLOOKUP($AH304,Target_monthwise!$D$4:$O$20,DTR!F$4,FALSE))*1000,0)</f>
        <v>0</v>
      </c>
      <c r="G304" s="238">
        <f>IFERROR((HLOOKUP($AH304,Target_monthwise!$D$4:$O$20,DTR!G$4,FALSE))*1000,0)</f>
        <v>0</v>
      </c>
      <c r="H304" s="238">
        <f>IFERROR((HLOOKUP($AH304,Target_monthwise!$D$4:$O$20,DTR!H$4,FALSE))*1000,0)</f>
        <v>0</v>
      </c>
      <c r="I304" s="238">
        <f>IFERROR((HLOOKUP($AH304,Target_monthwise!$D$4:$O$20,DTR!I$4,FALSE))*1000,0)</f>
        <v>0</v>
      </c>
      <c r="J304" s="238">
        <f>IFERROR((HLOOKUP($AH304,Target_monthwise!$D$4:$O$20,DTR!J$4,FALSE))*1000,0)</f>
        <v>0</v>
      </c>
      <c r="K304" s="238">
        <f>IFERROR((HLOOKUP($AH304,Target_monthwise!$D$4:$O$20,DTR!K$4,FALSE))*1000,0)</f>
        <v>0</v>
      </c>
      <c r="L304" s="238">
        <f>IFERROR((HLOOKUP($AH304,Target_monthwise!$D$4:$O$20,DTR!L$4,FALSE))*1000,0)</f>
        <v>0</v>
      </c>
      <c r="M304" s="238">
        <f>IFERROR((HLOOKUP($AH304,Target_monthwise!$D$4:$O$20,DTR!M$4,FALSE))*1000,0)</f>
        <v>0</v>
      </c>
      <c r="N304" s="238">
        <f>IFERROR((HLOOKUP($AH304,Target_monthwise!$D$4:$O$20,DTR!N$4,FALSE))*1000,0)</f>
        <v>0</v>
      </c>
      <c r="O304" s="238">
        <f>IFERROR((HLOOKUP($AH304,Target_monthwise!$D$4:$O$20,DTR!O$4,FALSE))*1000,0)</f>
        <v>0</v>
      </c>
      <c r="P304" s="238">
        <f>IFERROR((HLOOKUP($AH304,Target_monthwise!$D$4:$O$20,DTR!P$4,FALSE))*1000,0)</f>
        <v>0</v>
      </c>
      <c r="Q304" s="141">
        <f>IFERROR((HLOOKUP($AH304,Target_monthwise!$D$4:$O$20,DTR!Q$4,FALSE))*1000,0)</f>
        <v>0</v>
      </c>
      <c r="R304" s="167">
        <f>IFERROR((HLOOKUP($AH304,Target_monthwise!$D$4:$O$20,DTR!R$4,FALSE))*1000,0)</f>
        <v>0</v>
      </c>
      <c r="S304" s="239">
        <f>IFERROR((HLOOKUP($AH304,Target_monthwise!$D$24:$O$40,DTR!S$4,FALSE)),0)</f>
        <v>0</v>
      </c>
      <c r="T304" s="239">
        <f>IFERROR((HLOOKUP($AH304,Target_monthwise!$D$24:$O$40,DTR!T$4,FALSE)),0)</f>
        <v>0</v>
      </c>
      <c r="U304" s="239">
        <f>IFERROR((HLOOKUP($AH304,Target_monthwise!$D$24:$O$40,DTR!U$4,FALSE)),0)</f>
        <v>0</v>
      </c>
      <c r="V304" s="239">
        <f>IFERROR((HLOOKUP($AH304,Target_monthwise!$D$24:$O$40,DTR!V$4,FALSE)),0)</f>
        <v>0</v>
      </c>
      <c r="W304" s="239">
        <f>IFERROR((HLOOKUP($AH304,Target_monthwise!$D$24:$O$40,DTR!W$4,FALSE)),0)</f>
        <v>0</v>
      </c>
      <c r="X304" s="239">
        <f>IFERROR((HLOOKUP($AH304,Target_monthwise!$D$24:$O$40,DTR!X$4,FALSE)),0)</f>
        <v>0</v>
      </c>
      <c r="Y304" s="239">
        <f>IFERROR((HLOOKUP($AH304,Target_monthwise!$D$24:$O$40,DTR!Y$4,FALSE)),0)</f>
        <v>0</v>
      </c>
      <c r="Z304" s="147">
        <f>IFERROR((HLOOKUP($AH304,Target_monthwise!$D$24:$O$40,DTR!Z$4,FALSE)),0)</f>
        <v>0</v>
      </c>
      <c r="AA304" s="147">
        <f>IFERROR((HLOOKUP($AH304,Target_monthwise!$D$24:$O$40,DTR!AA$4,FALSE)),0)</f>
        <v>0</v>
      </c>
      <c r="AB304" s="147">
        <f>IFERROR((HLOOKUP($AH304,Target_monthwise!$D$24:$O$40,DTR!AB$4,FALSE)),0)</f>
        <v>0</v>
      </c>
      <c r="AC304" s="239">
        <f>IFERROR((HLOOKUP($AH304,Target_monthwise!$D$24:$O$40,DTR!AC$4,FALSE)),0)</f>
        <v>0</v>
      </c>
      <c r="AD304" s="239">
        <f>IFERROR((HLOOKUP($AH304,Target_monthwise!$D$24:$O$40,DTR!AD$4,FALSE)),0)</f>
        <v>0</v>
      </c>
      <c r="AE304" s="239">
        <f>IFERROR((HLOOKUP($AH304,Target_monthwise!$D$24:$O$40,DTR!AE$4,FALSE)),0)</f>
        <v>0</v>
      </c>
      <c r="AF304" s="239">
        <f>IFERROR((HLOOKUP($AH304,Target_monthwise!$D$24:$O$40,DTR!AF$4,FALSE)),0)</f>
        <v>0</v>
      </c>
      <c r="AG304" s="172">
        <f>IFERROR((HLOOKUP($AH304,Target_monthwise!$D$24:$O$40,DTR!AG$4,FALSE)),0)</f>
        <v>0</v>
      </c>
      <c r="AH304" s="253">
        <f t="shared" si="4"/>
        <v>202301</v>
      </c>
    </row>
    <row r="305" spans="3:34" ht="15.75" hidden="1">
      <c r="C305" s="235">
        <v>44948</v>
      </c>
      <c r="D305" s="141">
        <f>IFERROR((HLOOKUP($AH305,Target_monthwise!$D$4:$O$20,DTR!D$4,FALSE))*1000,0)</f>
        <v>0</v>
      </c>
      <c r="E305" s="141">
        <f>IFERROR((HLOOKUP($AH305,Target_monthwise!$D$4:$O$20,DTR!E$4,FALSE))*1000,0)</f>
        <v>0</v>
      </c>
      <c r="F305" s="141">
        <f>IFERROR((HLOOKUP($AH305,Target_monthwise!$D$4:$O$20,DTR!F$4,FALSE))*1000,0)</f>
        <v>0</v>
      </c>
      <c r="G305" s="141">
        <f>IFERROR((HLOOKUP($AH305,Target_monthwise!$D$4:$O$20,DTR!G$4,FALSE))*1000,0)</f>
        <v>0</v>
      </c>
      <c r="H305" s="141">
        <f>IFERROR((HLOOKUP($AH305,Target_monthwise!$D$4:$O$20,DTR!H$4,FALSE))*1000,0)</f>
        <v>0</v>
      </c>
      <c r="I305" s="141">
        <f>IFERROR((HLOOKUP($AH305,Target_monthwise!$D$4:$O$20,DTR!I$4,FALSE))*1000,0)</f>
        <v>0</v>
      </c>
      <c r="J305" s="141">
        <f>IFERROR((HLOOKUP($AH305,Target_monthwise!$D$4:$O$20,DTR!J$4,FALSE))*1000,0)</f>
        <v>0</v>
      </c>
      <c r="K305" s="141">
        <f>IFERROR((HLOOKUP($AH305,Target_monthwise!$D$4:$O$20,DTR!K$4,FALSE))*1000,0)</f>
        <v>0</v>
      </c>
      <c r="L305" s="141">
        <f>IFERROR((HLOOKUP($AH305,Target_monthwise!$D$4:$O$20,DTR!L$4,FALSE))*1000,0)</f>
        <v>0</v>
      </c>
      <c r="M305" s="141">
        <f>IFERROR((HLOOKUP($AH305,Target_monthwise!$D$4:$O$20,DTR!M$4,FALSE))*1000,0)</f>
        <v>0</v>
      </c>
      <c r="N305" s="141">
        <f>IFERROR((HLOOKUP($AH305,Target_monthwise!$D$4:$O$20,DTR!N$4,FALSE))*1000,0)</f>
        <v>0</v>
      </c>
      <c r="O305" s="141">
        <f>IFERROR((HLOOKUP($AH305,Target_monthwise!$D$4:$O$20,DTR!O$4,FALSE))*1000,0)</f>
        <v>0</v>
      </c>
      <c r="P305" s="141">
        <f>IFERROR((HLOOKUP($AH305,Target_monthwise!$D$4:$O$20,DTR!P$4,FALSE))*1000,0)</f>
        <v>0</v>
      </c>
      <c r="Q305" s="141">
        <f>IFERROR((HLOOKUP($AH305,Target_monthwise!$D$4:$O$20,DTR!Q$4,FALSE))*1000,0)</f>
        <v>0</v>
      </c>
      <c r="R305" s="167">
        <f>IFERROR((HLOOKUP($AH305,Target_monthwise!$D$4:$O$20,DTR!R$4,FALSE))*1000,0)</f>
        <v>0</v>
      </c>
      <c r="S305" s="147">
        <f>IFERROR((HLOOKUP($AH305,Target_monthwise!$D$24:$O$40,DTR!S$4,FALSE)),0)</f>
        <v>0</v>
      </c>
      <c r="T305" s="147">
        <f>IFERROR((HLOOKUP($AH305,Target_monthwise!$D$24:$O$40,DTR!T$4,FALSE)),0)</f>
        <v>0</v>
      </c>
      <c r="U305" s="147">
        <f>IFERROR((HLOOKUP($AH305,Target_monthwise!$D$24:$O$40,DTR!U$4,FALSE)),0)</f>
        <v>0</v>
      </c>
      <c r="V305" s="147">
        <f>IFERROR((HLOOKUP($AH305,Target_monthwise!$D$24:$O$40,DTR!V$4,FALSE)),0)</f>
        <v>0</v>
      </c>
      <c r="W305" s="147">
        <f>IFERROR((HLOOKUP($AH305,Target_monthwise!$D$24:$O$40,DTR!W$4,FALSE)),0)</f>
        <v>0</v>
      </c>
      <c r="X305" s="147">
        <f>IFERROR((HLOOKUP($AH305,Target_monthwise!$D$24:$O$40,DTR!X$4,FALSE)),0)</f>
        <v>0</v>
      </c>
      <c r="Y305" s="147">
        <f>IFERROR((HLOOKUP($AH305,Target_monthwise!$D$24:$O$40,DTR!Y$4,FALSE)),0)</f>
        <v>0</v>
      </c>
      <c r="Z305" s="147">
        <f>IFERROR((HLOOKUP($AH305,Target_monthwise!$D$24:$O$40,DTR!Z$4,FALSE)),0)</f>
        <v>0</v>
      </c>
      <c r="AA305" s="147">
        <f>IFERROR((HLOOKUP($AH305,Target_monthwise!$D$24:$O$40,DTR!AA$4,FALSE)),0)</f>
        <v>0</v>
      </c>
      <c r="AB305" s="147">
        <f>IFERROR((HLOOKUP($AH305,Target_monthwise!$D$24:$O$40,DTR!AB$4,FALSE)),0)</f>
        <v>0</v>
      </c>
      <c r="AC305" s="147">
        <f>IFERROR((HLOOKUP($AH305,Target_monthwise!$D$24:$O$40,DTR!AC$4,FALSE)),0)</f>
        <v>0</v>
      </c>
      <c r="AD305" s="147">
        <f>IFERROR((HLOOKUP($AH305,Target_monthwise!$D$24:$O$40,DTR!AD$4,FALSE)),0)</f>
        <v>0</v>
      </c>
      <c r="AE305" s="147">
        <f>IFERROR((HLOOKUP($AH305,Target_monthwise!$D$24:$O$40,DTR!AE$4,FALSE)),0)</f>
        <v>0</v>
      </c>
      <c r="AF305" s="147">
        <f>IFERROR((HLOOKUP($AH305,Target_monthwise!$D$24:$O$40,DTR!AF$4,FALSE)),0)</f>
        <v>0</v>
      </c>
      <c r="AG305" s="172">
        <f>IFERROR((HLOOKUP($AH305,Target_monthwise!$D$24:$O$40,DTR!AG$4,FALSE)),0)</f>
        <v>0</v>
      </c>
      <c r="AH305" s="253">
        <f t="shared" si="4"/>
        <v>202301</v>
      </c>
    </row>
    <row r="306" spans="3:34" ht="15.75" hidden="1">
      <c r="C306" s="237">
        <v>44949</v>
      </c>
      <c r="D306" s="238">
        <f>IFERROR((HLOOKUP($AH306,Target_monthwise!$D$4:$O$20,DTR!D$4,FALSE))*1000,0)</f>
        <v>0</v>
      </c>
      <c r="E306" s="238">
        <f>IFERROR((HLOOKUP($AH306,Target_monthwise!$D$4:$O$20,DTR!E$4,FALSE))*1000,0)</f>
        <v>0</v>
      </c>
      <c r="F306" s="238">
        <f>IFERROR((HLOOKUP($AH306,Target_monthwise!$D$4:$O$20,DTR!F$4,FALSE))*1000,0)</f>
        <v>0</v>
      </c>
      <c r="G306" s="238">
        <f>IFERROR((HLOOKUP($AH306,Target_monthwise!$D$4:$O$20,DTR!G$4,FALSE))*1000,0)</f>
        <v>0</v>
      </c>
      <c r="H306" s="238">
        <f>IFERROR((HLOOKUP($AH306,Target_monthwise!$D$4:$O$20,DTR!H$4,FALSE))*1000,0)</f>
        <v>0</v>
      </c>
      <c r="I306" s="238">
        <f>IFERROR((HLOOKUP($AH306,Target_monthwise!$D$4:$O$20,DTR!I$4,FALSE))*1000,0)</f>
        <v>0</v>
      </c>
      <c r="J306" s="238">
        <f>IFERROR((HLOOKUP($AH306,Target_monthwise!$D$4:$O$20,DTR!J$4,FALSE))*1000,0)</f>
        <v>0</v>
      </c>
      <c r="K306" s="238">
        <f>IFERROR((HLOOKUP($AH306,Target_monthwise!$D$4:$O$20,DTR!K$4,FALSE))*1000,0)</f>
        <v>0</v>
      </c>
      <c r="L306" s="238">
        <f>IFERROR((HLOOKUP($AH306,Target_monthwise!$D$4:$O$20,DTR!L$4,FALSE))*1000,0)</f>
        <v>0</v>
      </c>
      <c r="M306" s="238">
        <f>IFERROR((HLOOKUP($AH306,Target_monthwise!$D$4:$O$20,DTR!M$4,FALSE))*1000,0)</f>
        <v>0</v>
      </c>
      <c r="N306" s="238">
        <f>IFERROR((HLOOKUP($AH306,Target_monthwise!$D$4:$O$20,DTR!N$4,FALSE))*1000,0)</f>
        <v>0</v>
      </c>
      <c r="O306" s="238">
        <f>IFERROR((HLOOKUP($AH306,Target_monthwise!$D$4:$O$20,DTR!O$4,FALSE))*1000,0)</f>
        <v>0</v>
      </c>
      <c r="P306" s="238">
        <f>IFERROR((HLOOKUP($AH306,Target_monthwise!$D$4:$O$20,DTR!P$4,FALSE))*1000,0)</f>
        <v>0</v>
      </c>
      <c r="Q306" s="141">
        <f>IFERROR((HLOOKUP($AH306,Target_monthwise!$D$4:$O$20,DTR!Q$4,FALSE))*1000,0)</f>
        <v>0</v>
      </c>
      <c r="R306" s="167">
        <f>IFERROR((HLOOKUP($AH306,Target_monthwise!$D$4:$O$20,DTR!R$4,FALSE))*1000,0)</f>
        <v>0</v>
      </c>
      <c r="S306" s="239">
        <f>IFERROR((HLOOKUP($AH306,Target_monthwise!$D$24:$O$40,DTR!S$4,FALSE)),0)</f>
        <v>0</v>
      </c>
      <c r="T306" s="239">
        <f>IFERROR((HLOOKUP($AH306,Target_monthwise!$D$24:$O$40,DTR!T$4,FALSE)),0)</f>
        <v>0</v>
      </c>
      <c r="U306" s="239">
        <f>IFERROR((HLOOKUP($AH306,Target_monthwise!$D$24:$O$40,DTR!U$4,FALSE)),0)</f>
        <v>0</v>
      </c>
      <c r="V306" s="239">
        <f>IFERROR((HLOOKUP($AH306,Target_monthwise!$D$24:$O$40,DTR!V$4,FALSE)),0)</f>
        <v>0</v>
      </c>
      <c r="W306" s="239">
        <f>IFERROR((HLOOKUP($AH306,Target_monthwise!$D$24:$O$40,DTR!W$4,FALSE)),0)</f>
        <v>0</v>
      </c>
      <c r="X306" s="239">
        <f>IFERROR((HLOOKUP($AH306,Target_monthwise!$D$24:$O$40,DTR!X$4,FALSE)),0)</f>
        <v>0</v>
      </c>
      <c r="Y306" s="239">
        <f>IFERROR((HLOOKUP($AH306,Target_monthwise!$D$24:$O$40,DTR!Y$4,FALSE)),0)</f>
        <v>0</v>
      </c>
      <c r="Z306" s="147">
        <f>IFERROR((HLOOKUP($AH306,Target_monthwise!$D$24:$O$40,DTR!Z$4,FALSE)),0)</f>
        <v>0</v>
      </c>
      <c r="AA306" s="147">
        <f>IFERROR((HLOOKUP($AH306,Target_monthwise!$D$24:$O$40,DTR!AA$4,FALSE)),0)</f>
        <v>0</v>
      </c>
      <c r="AB306" s="147">
        <f>IFERROR((HLOOKUP($AH306,Target_monthwise!$D$24:$O$40,DTR!AB$4,FALSE)),0)</f>
        <v>0</v>
      </c>
      <c r="AC306" s="239">
        <f>IFERROR((HLOOKUP($AH306,Target_monthwise!$D$24:$O$40,DTR!AC$4,FALSE)),0)</f>
        <v>0</v>
      </c>
      <c r="AD306" s="239">
        <f>IFERROR((HLOOKUP($AH306,Target_monthwise!$D$24:$O$40,DTR!AD$4,FALSE)),0)</f>
        <v>0</v>
      </c>
      <c r="AE306" s="239">
        <f>IFERROR((HLOOKUP($AH306,Target_monthwise!$D$24:$O$40,DTR!AE$4,FALSE)),0)</f>
        <v>0</v>
      </c>
      <c r="AF306" s="239">
        <f>IFERROR((HLOOKUP($AH306,Target_monthwise!$D$24:$O$40,DTR!AF$4,FALSE)),0)</f>
        <v>0</v>
      </c>
      <c r="AG306" s="172">
        <f>IFERROR((HLOOKUP($AH306,Target_monthwise!$D$24:$O$40,DTR!AG$4,FALSE)),0)</f>
        <v>0</v>
      </c>
      <c r="AH306" s="253">
        <f t="shared" si="4"/>
        <v>202301</v>
      </c>
    </row>
    <row r="307" spans="3:34" ht="15.75" hidden="1">
      <c r="C307" s="235">
        <v>44950</v>
      </c>
      <c r="D307" s="141">
        <f>IFERROR((HLOOKUP($AH307,Target_monthwise!$D$4:$O$20,DTR!D$4,FALSE))*1000,0)</f>
        <v>0</v>
      </c>
      <c r="E307" s="141">
        <f>IFERROR((HLOOKUP($AH307,Target_monthwise!$D$4:$O$20,DTR!E$4,FALSE))*1000,0)</f>
        <v>0</v>
      </c>
      <c r="F307" s="141">
        <f>IFERROR((HLOOKUP($AH307,Target_monthwise!$D$4:$O$20,DTR!F$4,FALSE))*1000,0)</f>
        <v>0</v>
      </c>
      <c r="G307" s="141">
        <f>IFERROR((HLOOKUP($AH307,Target_monthwise!$D$4:$O$20,DTR!G$4,FALSE))*1000,0)</f>
        <v>0</v>
      </c>
      <c r="H307" s="141">
        <f>IFERROR((HLOOKUP($AH307,Target_monthwise!$D$4:$O$20,DTR!H$4,FALSE))*1000,0)</f>
        <v>0</v>
      </c>
      <c r="I307" s="141">
        <f>IFERROR((HLOOKUP($AH307,Target_monthwise!$D$4:$O$20,DTR!I$4,FALSE))*1000,0)</f>
        <v>0</v>
      </c>
      <c r="J307" s="141">
        <f>IFERROR((HLOOKUP($AH307,Target_monthwise!$D$4:$O$20,DTR!J$4,FALSE))*1000,0)</f>
        <v>0</v>
      </c>
      <c r="K307" s="141">
        <f>IFERROR((HLOOKUP($AH307,Target_monthwise!$D$4:$O$20,DTR!K$4,FALSE))*1000,0)</f>
        <v>0</v>
      </c>
      <c r="L307" s="141">
        <f>IFERROR((HLOOKUP($AH307,Target_monthwise!$D$4:$O$20,DTR!L$4,FALSE))*1000,0)</f>
        <v>0</v>
      </c>
      <c r="M307" s="141">
        <f>IFERROR((HLOOKUP($AH307,Target_monthwise!$D$4:$O$20,DTR!M$4,FALSE))*1000,0)</f>
        <v>0</v>
      </c>
      <c r="N307" s="141">
        <f>IFERROR((HLOOKUP($AH307,Target_monthwise!$D$4:$O$20,DTR!N$4,FALSE))*1000,0)</f>
        <v>0</v>
      </c>
      <c r="O307" s="141">
        <f>IFERROR((HLOOKUP($AH307,Target_monthwise!$D$4:$O$20,DTR!O$4,FALSE))*1000,0)</f>
        <v>0</v>
      </c>
      <c r="P307" s="141">
        <f>IFERROR((HLOOKUP($AH307,Target_monthwise!$D$4:$O$20,DTR!P$4,FALSE))*1000,0)</f>
        <v>0</v>
      </c>
      <c r="Q307" s="141">
        <f>IFERROR((HLOOKUP($AH307,Target_monthwise!$D$4:$O$20,DTR!Q$4,FALSE))*1000,0)</f>
        <v>0</v>
      </c>
      <c r="R307" s="167">
        <f>IFERROR((HLOOKUP($AH307,Target_monthwise!$D$4:$O$20,DTR!R$4,FALSE))*1000,0)</f>
        <v>0</v>
      </c>
      <c r="S307" s="147">
        <f>IFERROR((HLOOKUP($AH307,Target_monthwise!$D$24:$O$40,DTR!S$4,FALSE)),0)</f>
        <v>0</v>
      </c>
      <c r="T307" s="147">
        <f>IFERROR((HLOOKUP($AH307,Target_monthwise!$D$24:$O$40,DTR!T$4,FALSE)),0)</f>
        <v>0</v>
      </c>
      <c r="U307" s="147">
        <f>IFERROR((HLOOKUP($AH307,Target_monthwise!$D$24:$O$40,DTR!U$4,FALSE)),0)</f>
        <v>0</v>
      </c>
      <c r="V307" s="147">
        <f>IFERROR((HLOOKUP($AH307,Target_monthwise!$D$24:$O$40,DTR!V$4,FALSE)),0)</f>
        <v>0</v>
      </c>
      <c r="W307" s="147">
        <f>IFERROR((HLOOKUP($AH307,Target_monthwise!$D$24:$O$40,DTR!W$4,FALSE)),0)</f>
        <v>0</v>
      </c>
      <c r="X307" s="147">
        <f>IFERROR((HLOOKUP($AH307,Target_monthwise!$D$24:$O$40,DTR!X$4,FALSE)),0)</f>
        <v>0</v>
      </c>
      <c r="Y307" s="147">
        <f>IFERROR((HLOOKUP($AH307,Target_monthwise!$D$24:$O$40,DTR!Y$4,FALSE)),0)</f>
        <v>0</v>
      </c>
      <c r="Z307" s="147">
        <f>IFERROR((HLOOKUP($AH307,Target_monthwise!$D$24:$O$40,DTR!Z$4,FALSE)),0)</f>
        <v>0</v>
      </c>
      <c r="AA307" s="147">
        <f>IFERROR((HLOOKUP($AH307,Target_monthwise!$D$24:$O$40,DTR!AA$4,FALSE)),0)</f>
        <v>0</v>
      </c>
      <c r="AB307" s="147">
        <f>IFERROR((HLOOKUP($AH307,Target_monthwise!$D$24:$O$40,DTR!AB$4,FALSE)),0)</f>
        <v>0</v>
      </c>
      <c r="AC307" s="147">
        <f>IFERROR((HLOOKUP($AH307,Target_monthwise!$D$24:$O$40,DTR!AC$4,FALSE)),0)</f>
        <v>0</v>
      </c>
      <c r="AD307" s="147">
        <f>IFERROR((HLOOKUP($AH307,Target_monthwise!$D$24:$O$40,DTR!AD$4,FALSE)),0)</f>
        <v>0</v>
      </c>
      <c r="AE307" s="147">
        <f>IFERROR((HLOOKUP($AH307,Target_monthwise!$D$24:$O$40,DTR!AE$4,FALSE)),0)</f>
        <v>0</v>
      </c>
      <c r="AF307" s="147">
        <f>IFERROR((HLOOKUP($AH307,Target_monthwise!$D$24:$O$40,DTR!AF$4,FALSE)),0)</f>
        <v>0</v>
      </c>
      <c r="AG307" s="172">
        <f>IFERROR((HLOOKUP($AH307,Target_monthwise!$D$24:$O$40,DTR!AG$4,FALSE)),0)</f>
        <v>0</v>
      </c>
      <c r="AH307" s="253">
        <f t="shared" si="4"/>
        <v>202301</v>
      </c>
    </row>
    <row r="308" spans="3:34" ht="15.75" hidden="1">
      <c r="C308" s="237">
        <v>44951</v>
      </c>
      <c r="D308" s="238">
        <f>IFERROR((HLOOKUP($AH308,Target_monthwise!$D$4:$O$20,DTR!D$4,FALSE))*1000,0)</f>
        <v>0</v>
      </c>
      <c r="E308" s="238">
        <f>IFERROR((HLOOKUP($AH308,Target_monthwise!$D$4:$O$20,DTR!E$4,FALSE))*1000,0)</f>
        <v>0</v>
      </c>
      <c r="F308" s="238">
        <f>IFERROR((HLOOKUP($AH308,Target_monthwise!$D$4:$O$20,DTR!F$4,FALSE))*1000,0)</f>
        <v>0</v>
      </c>
      <c r="G308" s="238">
        <f>IFERROR((HLOOKUP($AH308,Target_monthwise!$D$4:$O$20,DTR!G$4,FALSE))*1000,0)</f>
        <v>0</v>
      </c>
      <c r="H308" s="238">
        <f>IFERROR((HLOOKUP($AH308,Target_monthwise!$D$4:$O$20,DTR!H$4,FALSE))*1000,0)</f>
        <v>0</v>
      </c>
      <c r="I308" s="238">
        <f>IFERROR((HLOOKUP($AH308,Target_monthwise!$D$4:$O$20,DTR!I$4,FALSE))*1000,0)</f>
        <v>0</v>
      </c>
      <c r="J308" s="238">
        <f>IFERROR((HLOOKUP($AH308,Target_monthwise!$D$4:$O$20,DTR!J$4,FALSE))*1000,0)</f>
        <v>0</v>
      </c>
      <c r="K308" s="238">
        <f>IFERROR((HLOOKUP($AH308,Target_monthwise!$D$4:$O$20,DTR!K$4,FALSE))*1000,0)</f>
        <v>0</v>
      </c>
      <c r="L308" s="238">
        <f>IFERROR((HLOOKUP($AH308,Target_monthwise!$D$4:$O$20,DTR!L$4,FALSE))*1000,0)</f>
        <v>0</v>
      </c>
      <c r="M308" s="238">
        <f>IFERROR((HLOOKUP($AH308,Target_monthwise!$D$4:$O$20,DTR!M$4,FALSE))*1000,0)</f>
        <v>0</v>
      </c>
      <c r="N308" s="238">
        <f>IFERROR((HLOOKUP($AH308,Target_monthwise!$D$4:$O$20,DTR!N$4,FALSE))*1000,0)</f>
        <v>0</v>
      </c>
      <c r="O308" s="238">
        <f>IFERROR((HLOOKUP($AH308,Target_monthwise!$D$4:$O$20,DTR!O$4,FALSE))*1000,0)</f>
        <v>0</v>
      </c>
      <c r="P308" s="238">
        <f>IFERROR((HLOOKUP($AH308,Target_monthwise!$D$4:$O$20,DTR!P$4,FALSE))*1000,0)</f>
        <v>0</v>
      </c>
      <c r="Q308" s="141">
        <f>IFERROR((HLOOKUP($AH308,Target_monthwise!$D$4:$O$20,DTR!Q$4,FALSE))*1000,0)</f>
        <v>0</v>
      </c>
      <c r="R308" s="167">
        <f>IFERROR((HLOOKUP($AH308,Target_monthwise!$D$4:$O$20,DTR!R$4,FALSE))*1000,0)</f>
        <v>0</v>
      </c>
      <c r="S308" s="239">
        <f>IFERROR((HLOOKUP($AH308,Target_monthwise!$D$24:$O$40,DTR!S$4,FALSE)),0)</f>
        <v>0</v>
      </c>
      <c r="T308" s="239">
        <f>IFERROR((HLOOKUP($AH308,Target_monthwise!$D$24:$O$40,DTR!T$4,FALSE)),0)</f>
        <v>0</v>
      </c>
      <c r="U308" s="239">
        <f>IFERROR((HLOOKUP($AH308,Target_monthwise!$D$24:$O$40,DTR!U$4,FALSE)),0)</f>
        <v>0</v>
      </c>
      <c r="V308" s="239">
        <f>IFERROR((HLOOKUP($AH308,Target_monthwise!$D$24:$O$40,DTR!V$4,FALSE)),0)</f>
        <v>0</v>
      </c>
      <c r="W308" s="239">
        <f>IFERROR((HLOOKUP($AH308,Target_monthwise!$D$24:$O$40,DTR!W$4,FALSE)),0)</f>
        <v>0</v>
      </c>
      <c r="X308" s="239">
        <f>IFERROR((HLOOKUP($AH308,Target_monthwise!$D$24:$O$40,DTR!X$4,FALSE)),0)</f>
        <v>0</v>
      </c>
      <c r="Y308" s="239">
        <f>IFERROR((HLOOKUP($AH308,Target_monthwise!$D$24:$O$40,DTR!Y$4,FALSE)),0)</f>
        <v>0</v>
      </c>
      <c r="Z308" s="147">
        <f>IFERROR((HLOOKUP($AH308,Target_monthwise!$D$24:$O$40,DTR!Z$4,FALSE)),0)</f>
        <v>0</v>
      </c>
      <c r="AA308" s="147">
        <f>IFERROR((HLOOKUP($AH308,Target_monthwise!$D$24:$O$40,DTR!AA$4,FALSE)),0)</f>
        <v>0</v>
      </c>
      <c r="AB308" s="147">
        <f>IFERROR((HLOOKUP($AH308,Target_monthwise!$D$24:$O$40,DTR!AB$4,FALSE)),0)</f>
        <v>0</v>
      </c>
      <c r="AC308" s="239">
        <f>IFERROR((HLOOKUP($AH308,Target_monthwise!$D$24:$O$40,DTR!AC$4,FALSE)),0)</f>
        <v>0</v>
      </c>
      <c r="AD308" s="239">
        <f>IFERROR((HLOOKUP($AH308,Target_monthwise!$D$24:$O$40,DTR!AD$4,FALSE)),0)</f>
        <v>0</v>
      </c>
      <c r="AE308" s="239">
        <f>IFERROR((HLOOKUP($AH308,Target_monthwise!$D$24:$O$40,DTR!AE$4,FALSE)),0)</f>
        <v>0</v>
      </c>
      <c r="AF308" s="239">
        <f>IFERROR((HLOOKUP($AH308,Target_monthwise!$D$24:$O$40,DTR!AF$4,FALSE)),0)</f>
        <v>0</v>
      </c>
      <c r="AG308" s="172">
        <f>IFERROR((HLOOKUP($AH308,Target_monthwise!$D$24:$O$40,DTR!AG$4,FALSE)),0)</f>
        <v>0</v>
      </c>
      <c r="AH308" s="253">
        <f t="shared" si="4"/>
        <v>202301</v>
      </c>
    </row>
    <row r="309" spans="3:34" ht="15.75" hidden="1">
      <c r="C309" s="235">
        <v>44952</v>
      </c>
      <c r="D309" s="141">
        <f>IFERROR((HLOOKUP($AH309,Target_monthwise!$D$4:$O$20,DTR!D$4,FALSE))*1000,0)</f>
        <v>0</v>
      </c>
      <c r="E309" s="141">
        <f>IFERROR((HLOOKUP($AH309,Target_monthwise!$D$4:$O$20,DTR!E$4,FALSE))*1000,0)</f>
        <v>0</v>
      </c>
      <c r="F309" s="141">
        <f>IFERROR((HLOOKUP($AH309,Target_monthwise!$D$4:$O$20,DTR!F$4,FALSE))*1000,0)</f>
        <v>0</v>
      </c>
      <c r="G309" s="141">
        <f>IFERROR((HLOOKUP($AH309,Target_monthwise!$D$4:$O$20,DTR!G$4,FALSE))*1000,0)</f>
        <v>0</v>
      </c>
      <c r="H309" s="141">
        <f>IFERROR((HLOOKUP($AH309,Target_monthwise!$D$4:$O$20,DTR!H$4,FALSE))*1000,0)</f>
        <v>0</v>
      </c>
      <c r="I309" s="141">
        <f>IFERROR((HLOOKUP($AH309,Target_monthwise!$D$4:$O$20,DTR!I$4,FALSE))*1000,0)</f>
        <v>0</v>
      </c>
      <c r="J309" s="141">
        <f>IFERROR((HLOOKUP($AH309,Target_monthwise!$D$4:$O$20,DTR!J$4,FALSE))*1000,0)</f>
        <v>0</v>
      </c>
      <c r="K309" s="141">
        <f>IFERROR((HLOOKUP($AH309,Target_monthwise!$D$4:$O$20,DTR!K$4,FALSE))*1000,0)</f>
        <v>0</v>
      </c>
      <c r="L309" s="141">
        <f>IFERROR((HLOOKUP($AH309,Target_monthwise!$D$4:$O$20,DTR!L$4,FALSE))*1000,0)</f>
        <v>0</v>
      </c>
      <c r="M309" s="141">
        <f>IFERROR((HLOOKUP($AH309,Target_monthwise!$D$4:$O$20,DTR!M$4,FALSE))*1000,0)</f>
        <v>0</v>
      </c>
      <c r="N309" s="141">
        <f>IFERROR((HLOOKUP($AH309,Target_monthwise!$D$4:$O$20,DTR!N$4,FALSE))*1000,0)</f>
        <v>0</v>
      </c>
      <c r="O309" s="141">
        <f>IFERROR((HLOOKUP($AH309,Target_monthwise!$D$4:$O$20,DTR!O$4,FALSE))*1000,0)</f>
        <v>0</v>
      </c>
      <c r="P309" s="141">
        <f>IFERROR((HLOOKUP($AH309,Target_monthwise!$D$4:$O$20,DTR!P$4,FALSE))*1000,0)</f>
        <v>0</v>
      </c>
      <c r="Q309" s="141">
        <f>IFERROR((HLOOKUP($AH309,Target_monthwise!$D$4:$O$20,DTR!Q$4,FALSE))*1000,0)</f>
        <v>0</v>
      </c>
      <c r="R309" s="167">
        <f>IFERROR((HLOOKUP($AH309,Target_monthwise!$D$4:$O$20,DTR!R$4,FALSE))*1000,0)</f>
        <v>0</v>
      </c>
      <c r="S309" s="147">
        <f>IFERROR((HLOOKUP($AH309,Target_monthwise!$D$24:$O$40,DTR!S$4,FALSE)),0)</f>
        <v>0</v>
      </c>
      <c r="T309" s="147">
        <f>IFERROR((HLOOKUP($AH309,Target_monthwise!$D$24:$O$40,DTR!T$4,FALSE)),0)</f>
        <v>0</v>
      </c>
      <c r="U309" s="147">
        <f>IFERROR((HLOOKUP($AH309,Target_monthwise!$D$24:$O$40,DTR!U$4,FALSE)),0)</f>
        <v>0</v>
      </c>
      <c r="V309" s="147">
        <f>IFERROR((HLOOKUP($AH309,Target_monthwise!$D$24:$O$40,DTR!V$4,FALSE)),0)</f>
        <v>0</v>
      </c>
      <c r="W309" s="147">
        <f>IFERROR((HLOOKUP($AH309,Target_monthwise!$D$24:$O$40,DTR!W$4,FALSE)),0)</f>
        <v>0</v>
      </c>
      <c r="X309" s="147">
        <f>IFERROR((HLOOKUP($AH309,Target_monthwise!$D$24:$O$40,DTR!X$4,FALSE)),0)</f>
        <v>0</v>
      </c>
      <c r="Y309" s="147">
        <f>IFERROR((HLOOKUP($AH309,Target_monthwise!$D$24:$O$40,DTR!Y$4,FALSE)),0)</f>
        <v>0</v>
      </c>
      <c r="Z309" s="147">
        <f>IFERROR((HLOOKUP($AH309,Target_monthwise!$D$24:$O$40,DTR!Z$4,FALSE)),0)</f>
        <v>0</v>
      </c>
      <c r="AA309" s="147">
        <f>IFERROR((HLOOKUP($AH309,Target_monthwise!$D$24:$O$40,DTR!AA$4,FALSE)),0)</f>
        <v>0</v>
      </c>
      <c r="AB309" s="147">
        <f>IFERROR((HLOOKUP($AH309,Target_monthwise!$D$24:$O$40,DTR!AB$4,FALSE)),0)</f>
        <v>0</v>
      </c>
      <c r="AC309" s="147">
        <f>IFERROR((HLOOKUP($AH309,Target_monthwise!$D$24:$O$40,DTR!AC$4,FALSE)),0)</f>
        <v>0</v>
      </c>
      <c r="AD309" s="147">
        <f>IFERROR((HLOOKUP($AH309,Target_monthwise!$D$24:$O$40,DTR!AD$4,FALSE)),0)</f>
        <v>0</v>
      </c>
      <c r="AE309" s="147">
        <f>IFERROR((HLOOKUP($AH309,Target_monthwise!$D$24:$O$40,DTR!AE$4,FALSE)),0)</f>
        <v>0</v>
      </c>
      <c r="AF309" s="147">
        <f>IFERROR((HLOOKUP($AH309,Target_monthwise!$D$24:$O$40,DTR!AF$4,FALSE)),0)</f>
        <v>0</v>
      </c>
      <c r="AG309" s="172">
        <f>IFERROR((HLOOKUP($AH309,Target_monthwise!$D$24:$O$40,DTR!AG$4,FALSE)),0)</f>
        <v>0</v>
      </c>
      <c r="AH309" s="253">
        <f t="shared" si="4"/>
        <v>202301</v>
      </c>
    </row>
    <row r="310" spans="3:34" ht="15.75" hidden="1">
      <c r="C310" s="237">
        <v>44953</v>
      </c>
      <c r="D310" s="238">
        <f>IFERROR((HLOOKUP($AH310,Target_monthwise!$D$4:$O$20,DTR!D$4,FALSE))*1000,0)</f>
        <v>0</v>
      </c>
      <c r="E310" s="238">
        <f>IFERROR((HLOOKUP($AH310,Target_monthwise!$D$4:$O$20,DTR!E$4,FALSE))*1000,0)</f>
        <v>0</v>
      </c>
      <c r="F310" s="238">
        <f>IFERROR((HLOOKUP($AH310,Target_monthwise!$D$4:$O$20,DTR!F$4,FALSE))*1000,0)</f>
        <v>0</v>
      </c>
      <c r="G310" s="238">
        <f>IFERROR((HLOOKUP($AH310,Target_monthwise!$D$4:$O$20,DTR!G$4,FALSE))*1000,0)</f>
        <v>0</v>
      </c>
      <c r="H310" s="238">
        <f>IFERROR((HLOOKUP($AH310,Target_monthwise!$D$4:$O$20,DTR!H$4,FALSE))*1000,0)</f>
        <v>0</v>
      </c>
      <c r="I310" s="238">
        <f>IFERROR((HLOOKUP($AH310,Target_monthwise!$D$4:$O$20,DTR!I$4,FALSE))*1000,0)</f>
        <v>0</v>
      </c>
      <c r="J310" s="238">
        <f>IFERROR((HLOOKUP($AH310,Target_monthwise!$D$4:$O$20,DTR!J$4,FALSE))*1000,0)</f>
        <v>0</v>
      </c>
      <c r="K310" s="238">
        <f>IFERROR((HLOOKUP($AH310,Target_monthwise!$D$4:$O$20,DTR!K$4,FALSE))*1000,0)</f>
        <v>0</v>
      </c>
      <c r="L310" s="238">
        <f>IFERROR((HLOOKUP($AH310,Target_monthwise!$D$4:$O$20,DTR!L$4,FALSE))*1000,0)</f>
        <v>0</v>
      </c>
      <c r="M310" s="238">
        <f>IFERROR((HLOOKUP($AH310,Target_monthwise!$D$4:$O$20,DTR!M$4,FALSE))*1000,0)</f>
        <v>0</v>
      </c>
      <c r="N310" s="238">
        <f>IFERROR((HLOOKUP($AH310,Target_monthwise!$D$4:$O$20,DTR!N$4,FALSE))*1000,0)</f>
        <v>0</v>
      </c>
      <c r="O310" s="238">
        <f>IFERROR((HLOOKUP($AH310,Target_monthwise!$D$4:$O$20,DTR!O$4,FALSE))*1000,0)</f>
        <v>0</v>
      </c>
      <c r="P310" s="238">
        <f>IFERROR((HLOOKUP($AH310,Target_monthwise!$D$4:$O$20,DTR!P$4,FALSE))*1000,0)</f>
        <v>0</v>
      </c>
      <c r="Q310" s="141">
        <f>IFERROR((HLOOKUP($AH310,Target_monthwise!$D$4:$O$20,DTR!Q$4,FALSE))*1000,0)</f>
        <v>0</v>
      </c>
      <c r="R310" s="167">
        <f>IFERROR((HLOOKUP($AH310,Target_monthwise!$D$4:$O$20,DTR!R$4,FALSE))*1000,0)</f>
        <v>0</v>
      </c>
      <c r="S310" s="239">
        <f>IFERROR((HLOOKUP($AH310,Target_monthwise!$D$24:$O$40,DTR!S$4,FALSE)),0)</f>
        <v>0</v>
      </c>
      <c r="T310" s="239">
        <f>IFERROR((HLOOKUP($AH310,Target_monthwise!$D$24:$O$40,DTR!T$4,FALSE)),0)</f>
        <v>0</v>
      </c>
      <c r="U310" s="239">
        <f>IFERROR((HLOOKUP($AH310,Target_monthwise!$D$24:$O$40,DTR!U$4,FALSE)),0)</f>
        <v>0</v>
      </c>
      <c r="V310" s="239">
        <f>IFERROR((HLOOKUP($AH310,Target_monthwise!$D$24:$O$40,DTR!V$4,FALSE)),0)</f>
        <v>0</v>
      </c>
      <c r="W310" s="239">
        <f>IFERROR((HLOOKUP($AH310,Target_monthwise!$D$24:$O$40,DTR!W$4,FALSE)),0)</f>
        <v>0</v>
      </c>
      <c r="X310" s="239">
        <f>IFERROR((HLOOKUP($AH310,Target_monthwise!$D$24:$O$40,DTR!X$4,FALSE)),0)</f>
        <v>0</v>
      </c>
      <c r="Y310" s="239">
        <f>IFERROR((HLOOKUP($AH310,Target_monthwise!$D$24:$O$40,DTR!Y$4,FALSE)),0)</f>
        <v>0</v>
      </c>
      <c r="Z310" s="147">
        <f>IFERROR((HLOOKUP($AH310,Target_monthwise!$D$24:$O$40,DTR!Z$4,FALSE)),0)</f>
        <v>0</v>
      </c>
      <c r="AA310" s="147">
        <f>IFERROR((HLOOKUP($AH310,Target_monthwise!$D$24:$O$40,DTR!AA$4,FALSE)),0)</f>
        <v>0</v>
      </c>
      <c r="AB310" s="147">
        <f>IFERROR((HLOOKUP($AH310,Target_monthwise!$D$24:$O$40,DTR!AB$4,FALSE)),0)</f>
        <v>0</v>
      </c>
      <c r="AC310" s="239">
        <f>IFERROR((HLOOKUP($AH310,Target_monthwise!$D$24:$O$40,DTR!AC$4,FALSE)),0)</f>
        <v>0</v>
      </c>
      <c r="AD310" s="239">
        <f>IFERROR((HLOOKUP($AH310,Target_monthwise!$D$24:$O$40,DTR!AD$4,FALSE)),0)</f>
        <v>0</v>
      </c>
      <c r="AE310" s="239">
        <f>IFERROR((HLOOKUP($AH310,Target_monthwise!$D$24:$O$40,DTR!AE$4,FALSE)),0)</f>
        <v>0</v>
      </c>
      <c r="AF310" s="239">
        <f>IFERROR((HLOOKUP($AH310,Target_monthwise!$D$24:$O$40,DTR!AF$4,FALSE)),0)</f>
        <v>0</v>
      </c>
      <c r="AG310" s="172">
        <f>IFERROR((HLOOKUP($AH310,Target_monthwise!$D$24:$O$40,DTR!AG$4,FALSE)),0)</f>
        <v>0</v>
      </c>
      <c r="AH310" s="253">
        <f t="shared" si="4"/>
        <v>202301</v>
      </c>
    </row>
    <row r="311" spans="3:34" ht="15.75" hidden="1">
      <c r="C311" s="235">
        <v>44954</v>
      </c>
      <c r="D311" s="141">
        <f>IFERROR((HLOOKUP($AH311,Target_monthwise!$D$4:$O$20,DTR!D$4,FALSE))*1000,0)</f>
        <v>0</v>
      </c>
      <c r="E311" s="141">
        <f>IFERROR((HLOOKUP($AH311,Target_monthwise!$D$4:$O$20,DTR!E$4,FALSE))*1000,0)</f>
        <v>0</v>
      </c>
      <c r="F311" s="141">
        <f>IFERROR((HLOOKUP($AH311,Target_monthwise!$D$4:$O$20,DTR!F$4,FALSE))*1000,0)</f>
        <v>0</v>
      </c>
      <c r="G311" s="141">
        <f>IFERROR((HLOOKUP($AH311,Target_monthwise!$D$4:$O$20,DTR!G$4,FALSE))*1000,0)</f>
        <v>0</v>
      </c>
      <c r="H311" s="141">
        <f>IFERROR((HLOOKUP($AH311,Target_monthwise!$D$4:$O$20,DTR!H$4,FALSE))*1000,0)</f>
        <v>0</v>
      </c>
      <c r="I311" s="141">
        <f>IFERROR((HLOOKUP($AH311,Target_monthwise!$D$4:$O$20,DTR!I$4,FALSE))*1000,0)</f>
        <v>0</v>
      </c>
      <c r="J311" s="141">
        <f>IFERROR((HLOOKUP($AH311,Target_monthwise!$D$4:$O$20,DTR!J$4,FALSE))*1000,0)</f>
        <v>0</v>
      </c>
      <c r="K311" s="141">
        <f>IFERROR((HLOOKUP($AH311,Target_monthwise!$D$4:$O$20,DTR!K$4,FALSE))*1000,0)</f>
        <v>0</v>
      </c>
      <c r="L311" s="141">
        <f>IFERROR((HLOOKUP($AH311,Target_monthwise!$D$4:$O$20,DTR!L$4,FALSE))*1000,0)</f>
        <v>0</v>
      </c>
      <c r="M311" s="141">
        <f>IFERROR((HLOOKUP($AH311,Target_monthwise!$D$4:$O$20,DTR!M$4,FALSE))*1000,0)</f>
        <v>0</v>
      </c>
      <c r="N311" s="141">
        <f>IFERROR((HLOOKUP($AH311,Target_monthwise!$D$4:$O$20,DTR!N$4,FALSE))*1000,0)</f>
        <v>0</v>
      </c>
      <c r="O311" s="141">
        <f>IFERROR((HLOOKUP($AH311,Target_monthwise!$D$4:$O$20,DTR!O$4,FALSE))*1000,0)</f>
        <v>0</v>
      </c>
      <c r="P311" s="141">
        <f>IFERROR((HLOOKUP($AH311,Target_monthwise!$D$4:$O$20,DTR!P$4,FALSE))*1000,0)</f>
        <v>0</v>
      </c>
      <c r="Q311" s="141">
        <f>IFERROR((HLOOKUP($AH311,Target_monthwise!$D$4:$O$20,DTR!Q$4,FALSE))*1000,0)</f>
        <v>0</v>
      </c>
      <c r="R311" s="167">
        <f>IFERROR((HLOOKUP($AH311,Target_monthwise!$D$4:$O$20,DTR!R$4,FALSE))*1000,0)</f>
        <v>0</v>
      </c>
      <c r="S311" s="147">
        <f>IFERROR((HLOOKUP($AH311,Target_monthwise!$D$24:$O$40,DTR!S$4,FALSE)),0)</f>
        <v>0</v>
      </c>
      <c r="T311" s="147">
        <f>IFERROR((HLOOKUP($AH311,Target_monthwise!$D$24:$O$40,DTR!T$4,FALSE)),0)</f>
        <v>0</v>
      </c>
      <c r="U311" s="147">
        <f>IFERROR((HLOOKUP($AH311,Target_monthwise!$D$24:$O$40,DTR!U$4,FALSE)),0)</f>
        <v>0</v>
      </c>
      <c r="V311" s="147">
        <f>IFERROR((HLOOKUP($AH311,Target_monthwise!$D$24:$O$40,DTR!V$4,FALSE)),0)</f>
        <v>0</v>
      </c>
      <c r="W311" s="147">
        <f>IFERROR((HLOOKUP($AH311,Target_monthwise!$D$24:$O$40,DTR!W$4,FALSE)),0)</f>
        <v>0</v>
      </c>
      <c r="X311" s="147">
        <f>IFERROR((HLOOKUP($AH311,Target_monthwise!$D$24:$O$40,DTR!X$4,FALSE)),0)</f>
        <v>0</v>
      </c>
      <c r="Y311" s="147">
        <f>IFERROR((HLOOKUP($AH311,Target_monthwise!$D$24:$O$40,DTR!Y$4,FALSE)),0)</f>
        <v>0</v>
      </c>
      <c r="Z311" s="147">
        <f>IFERROR((HLOOKUP($AH311,Target_monthwise!$D$24:$O$40,DTR!Z$4,FALSE)),0)</f>
        <v>0</v>
      </c>
      <c r="AA311" s="147">
        <f>IFERROR((HLOOKUP($AH311,Target_monthwise!$D$24:$O$40,DTR!AA$4,FALSE)),0)</f>
        <v>0</v>
      </c>
      <c r="AB311" s="147">
        <f>IFERROR((HLOOKUP($AH311,Target_monthwise!$D$24:$O$40,DTR!AB$4,FALSE)),0)</f>
        <v>0</v>
      </c>
      <c r="AC311" s="147">
        <f>IFERROR((HLOOKUP($AH311,Target_monthwise!$D$24:$O$40,DTR!AC$4,FALSE)),0)</f>
        <v>0</v>
      </c>
      <c r="AD311" s="147">
        <f>IFERROR((HLOOKUP($AH311,Target_monthwise!$D$24:$O$40,DTR!AD$4,FALSE)),0)</f>
        <v>0</v>
      </c>
      <c r="AE311" s="147">
        <f>IFERROR((HLOOKUP($AH311,Target_monthwise!$D$24:$O$40,DTR!AE$4,FALSE)),0)</f>
        <v>0</v>
      </c>
      <c r="AF311" s="147">
        <f>IFERROR((HLOOKUP($AH311,Target_monthwise!$D$24:$O$40,DTR!AF$4,FALSE)),0)</f>
        <v>0</v>
      </c>
      <c r="AG311" s="172">
        <f>IFERROR((HLOOKUP($AH311,Target_monthwise!$D$24:$O$40,DTR!AG$4,FALSE)),0)</f>
        <v>0</v>
      </c>
      <c r="AH311" s="253">
        <f t="shared" si="4"/>
        <v>202301</v>
      </c>
    </row>
    <row r="312" spans="3:34" ht="15.75" hidden="1">
      <c r="C312" s="237">
        <v>44955</v>
      </c>
      <c r="D312" s="238">
        <f>IFERROR((HLOOKUP($AH312,Target_monthwise!$D$4:$O$20,DTR!D$4,FALSE))*1000,0)</f>
        <v>0</v>
      </c>
      <c r="E312" s="238">
        <f>IFERROR((HLOOKUP($AH312,Target_monthwise!$D$4:$O$20,DTR!E$4,FALSE))*1000,0)</f>
        <v>0</v>
      </c>
      <c r="F312" s="238">
        <f>IFERROR((HLOOKUP($AH312,Target_monthwise!$D$4:$O$20,DTR!F$4,FALSE))*1000,0)</f>
        <v>0</v>
      </c>
      <c r="G312" s="238">
        <f>IFERROR((HLOOKUP($AH312,Target_monthwise!$D$4:$O$20,DTR!G$4,FALSE))*1000,0)</f>
        <v>0</v>
      </c>
      <c r="H312" s="238">
        <f>IFERROR((HLOOKUP($AH312,Target_monthwise!$D$4:$O$20,DTR!H$4,FALSE))*1000,0)</f>
        <v>0</v>
      </c>
      <c r="I312" s="238">
        <f>IFERROR((HLOOKUP($AH312,Target_monthwise!$D$4:$O$20,DTR!I$4,FALSE))*1000,0)</f>
        <v>0</v>
      </c>
      <c r="J312" s="238">
        <f>IFERROR((HLOOKUP($AH312,Target_monthwise!$D$4:$O$20,DTR!J$4,FALSE))*1000,0)</f>
        <v>0</v>
      </c>
      <c r="K312" s="238">
        <f>IFERROR((HLOOKUP($AH312,Target_monthwise!$D$4:$O$20,DTR!K$4,FALSE))*1000,0)</f>
        <v>0</v>
      </c>
      <c r="L312" s="238">
        <f>IFERROR((HLOOKUP($AH312,Target_monthwise!$D$4:$O$20,DTR!L$4,FALSE))*1000,0)</f>
        <v>0</v>
      </c>
      <c r="M312" s="238">
        <f>IFERROR((HLOOKUP($AH312,Target_monthwise!$D$4:$O$20,DTR!M$4,FALSE))*1000,0)</f>
        <v>0</v>
      </c>
      <c r="N312" s="238">
        <f>IFERROR((HLOOKUP($AH312,Target_monthwise!$D$4:$O$20,DTR!N$4,FALSE))*1000,0)</f>
        <v>0</v>
      </c>
      <c r="O312" s="238">
        <f>IFERROR((HLOOKUP($AH312,Target_monthwise!$D$4:$O$20,DTR!O$4,FALSE))*1000,0)</f>
        <v>0</v>
      </c>
      <c r="P312" s="238">
        <f>IFERROR((HLOOKUP($AH312,Target_monthwise!$D$4:$O$20,DTR!P$4,FALSE))*1000,0)</f>
        <v>0</v>
      </c>
      <c r="Q312" s="141">
        <f>IFERROR((HLOOKUP($AH312,Target_monthwise!$D$4:$O$20,DTR!Q$4,FALSE))*1000,0)</f>
        <v>0</v>
      </c>
      <c r="R312" s="167">
        <f>IFERROR((HLOOKUP($AH312,Target_monthwise!$D$4:$O$20,DTR!R$4,FALSE))*1000,0)</f>
        <v>0</v>
      </c>
      <c r="S312" s="239">
        <f>IFERROR((HLOOKUP($AH312,Target_monthwise!$D$24:$O$40,DTR!S$4,FALSE)),0)</f>
        <v>0</v>
      </c>
      <c r="T312" s="239">
        <f>IFERROR((HLOOKUP($AH312,Target_monthwise!$D$24:$O$40,DTR!T$4,FALSE)),0)</f>
        <v>0</v>
      </c>
      <c r="U312" s="239">
        <f>IFERROR((HLOOKUP($AH312,Target_monthwise!$D$24:$O$40,DTR!U$4,FALSE)),0)</f>
        <v>0</v>
      </c>
      <c r="V312" s="239">
        <f>IFERROR((HLOOKUP($AH312,Target_monthwise!$D$24:$O$40,DTR!V$4,FALSE)),0)</f>
        <v>0</v>
      </c>
      <c r="W312" s="239">
        <f>IFERROR((HLOOKUP($AH312,Target_monthwise!$D$24:$O$40,DTR!W$4,FALSE)),0)</f>
        <v>0</v>
      </c>
      <c r="X312" s="239">
        <f>IFERROR((HLOOKUP($AH312,Target_monthwise!$D$24:$O$40,DTR!X$4,FALSE)),0)</f>
        <v>0</v>
      </c>
      <c r="Y312" s="239">
        <f>IFERROR((HLOOKUP($AH312,Target_monthwise!$D$24:$O$40,DTR!Y$4,FALSE)),0)</f>
        <v>0</v>
      </c>
      <c r="Z312" s="147">
        <f>IFERROR((HLOOKUP($AH312,Target_monthwise!$D$24:$O$40,DTR!Z$4,FALSE)),0)</f>
        <v>0</v>
      </c>
      <c r="AA312" s="147">
        <f>IFERROR((HLOOKUP($AH312,Target_monthwise!$D$24:$O$40,DTR!AA$4,FALSE)),0)</f>
        <v>0</v>
      </c>
      <c r="AB312" s="147">
        <f>IFERROR((HLOOKUP($AH312,Target_monthwise!$D$24:$O$40,DTR!AB$4,FALSE)),0)</f>
        <v>0</v>
      </c>
      <c r="AC312" s="239">
        <f>IFERROR((HLOOKUP($AH312,Target_monthwise!$D$24:$O$40,DTR!AC$4,FALSE)),0)</f>
        <v>0</v>
      </c>
      <c r="AD312" s="239">
        <f>IFERROR((HLOOKUP($AH312,Target_monthwise!$D$24:$O$40,DTR!AD$4,FALSE)),0)</f>
        <v>0</v>
      </c>
      <c r="AE312" s="239">
        <f>IFERROR((HLOOKUP($AH312,Target_monthwise!$D$24:$O$40,DTR!AE$4,FALSE)),0)</f>
        <v>0</v>
      </c>
      <c r="AF312" s="239">
        <f>IFERROR((HLOOKUP($AH312,Target_monthwise!$D$24:$O$40,DTR!AF$4,FALSE)),0)</f>
        <v>0</v>
      </c>
      <c r="AG312" s="172">
        <f>IFERROR((HLOOKUP($AH312,Target_monthwise!$D$24:$O$40,DTR!AG$4,FALSE)),0)</f>
        <v>0</v>
      </c>
      <c r="AH312" s="253">
        <f t="shared" si="4"/>
        <v>202301</v>
      </c>
    </row>
    <row r="313" spans="3:34" ht="15.75" hidden="1">
      <c r="C313" s="235">
        <v>44956</v>
      </c>
      <c r="D313" s="141">
        <f>IFERROR((HLOOKUP($AH313,Target_monthwise!$D$4:$O$20,DTR!D$4,FALSE))*1000,0)</f>
        <v>0</v>
      </c>
      <c r="E313" s="141">
        <f>IFERROR((HLOOKUP($AH313,Target_monthwise!$D$4:$O$20,DTR!E$4,FALSE))*1000,0)</f>
        <v>0</v>
      </c>
      <c r="F313" s="141">
        <f>IFERROR((HLOOKUP($AH313,Target_monthwise!$D$4:$O$20,DTR!F$4,FALSE))*1000,0)</f>
        <v>0</v>
      </c>
      <c r="G313" s="141">
        <f>IFERROR((HLOOKUP($AH313,Target_monthwise!$D$4:$O$20,DTR!G$4,FALSE))*1000,0)</f>
        <v>0</v>
      </c>
      <c r="H313" s="141">
        <f>IFERROR((HLOOKUP($AH313,Target_monthwise!$D$4:$O$20,DTR!H$4,FALSE))*1000,0)</f>
        <v>0</v>
      </c>
      <c r="I313" s="141">
        <f>IFERROR((HLOOKUP($AH313,Target_monthwise!$D$4:$O$20,DTR!I$4,FALSE))*1000,0)</f>
        <v>0</v>
      </c>
      <c r="J313" s="141">
        <f>IFERROR((HLOOKUP($AH313,Target_monthwise!$D$4:$O$20,DTR!J$4,FALSE))*1000,0)</f>
        <v>0</v>
      </c>
      <c r="K313" s="141">
        <f>IFERROR((HLOOKUP($AH313,Target_monthwise!$D$4:$O$20,DTR!K$4,FALSE))*1000,0)</f>
        <v>0</v>
      </c>
      <c r="L313" s="141">
        <f>IFERROR((HLOOKUP($AH313,Target_monthwise!$D$4:$O$20,DTR!L$4,FALSE))*1000,0)</f>
        <v>0</v>
      </c>
      <c r="M313" s="141">
        <f>IFERROR((HLOOKUP($AH313,Target_monthwise!$D$4:$O$20,DTR!M$4,FALSE))*1000,0)</f>
        <v>0</v>
      </c>
      <c r="N313" s="141">
        <f>IFERROR((HLOOKUP($AH313,Target_monthwise!$D$4:$O$20,DTR!N$4,FALSE))*1000,0)</f>
        <v>0</v>
      </c>
      <c r="O313" s="141">
        <f>IFERROR((HLOOKUP($AH313,Target_monthwise!$D$4:$O$20,DTR!O$4,FALSE))*1000,0)</f>
        <v>0</v>
      </c>
      <c r="P313" s="141">
        <f>IFERROR((HLOOKUP($AH313,Target_monthwise!$D$4:$O$20,DTR!P$4,FALSE))*1000,0)</f>
        <v>0</v>
      </c>
      <c r="Q313" s="141">
        <f>IFERROR((HLOOKUP($AH313,Target_monthwise!$D$4:$O$20,DTR!Q$4,FALSE))*1000,0)</f>
        <v>0</v>
      </c>
      <c r="R313" s="167">
        <f>IFERROR((HLOOKUP($AH313,Target_monthwise!$D$4:$O$20,DTR!R$4,FALSE))*1000,0)</f>
        <v>0</v>
      </c>
      <c r="S313" s="147">
        <f>IFERROR((HLOOKUP($AH313,Target_monthwise!$D$24:$O$40,DTR!S$4,FALSE)),0)</f>
        <v>0</v>
      </c>
      <c r="T313" s="147">
        <f>IFERROR((HLOOKUP($AH313,Target_monthwise!$D$24:$O$40,DTR!T$4,FALSE)),0)</f>
        <v>0</v>
      </c>
      <c r="U313" s="147">
        <f>IFERROR((HLOOKUP($AH313,Target_monthwise!$D$24:$O$40,DTR!U$4,FALSE)),0)</f>
        <v>0</v>
      </c>
      <c r="V313" s="147">
        <f>IFERROR((HLOOKUP($AH313,Target_monthwise!$D$24:$O$40,DTR!V$4,FALSE)),0)</f>
        <v>0</v>
      </c>
      <c r="W313" s="147">
        <f>IFERROR((HLOOKUP($AH313,Target_monthwise!$D$24:$O$40,DTR!W$4,FALSE)),0)</f>
        <v>0</v>
      </c>
      <c r="X313" s="147">
        <f>IFERROR((HLOOKUP($AH313,Target_monthwise!$D$24:$O$40,DTR!X$4,FALSE)),0)</f>
        <v>0</v>
      </c>
      <c r="Y313" s="147">
        <f>IFERROR((HLOOKUP($AH313,Target_monthwise!$D$24:$O$40,DTR!Y$4,FALSE)),0)</f>
        <v>0</v>
      </c>
      <c r="Z313" s="147">
        <f>IFERROR((HLOOKUP($AH313,Target_monthwise!$D$24:$O$40,DTR!Z$4,FALSE)),0)</f>
        <v>0</v>
      </c>
      <c r="AA313" s="147">
        <f>IFERROR((HLOOKUP($AH313,Target_monthwise!$D$24:$O$40,DTR!AA$4,FALSE)),0)</f>
        <v>0</v>
      </c>
      <c r="AB313" s="147">
        <f>IFERROR((HLOOKUP($AH313,Target_monthwise!$D$24:$O$40,DTR!AB$4,FALSE)),0)</f>
        <v>0</v>
      </c>
      <c r="AC313" s="147">
        <f>IFERROR((HLOOKUP($AH313,Target_monthwise!$D$24:$O$40,DTR!AC$4,FALSE)),0)</f>
        <v>0</v>
      </c>
      <c r="AD313" s="147">
        <f>IFERROR((HLOOKUP($AH313,Target_monthwise!$D$24:$O$40,DTR!AD$4,FALSE)),0)</f>
        <v>0</v>
      </c>
      <c r="AE313" s="147">
        <f>IFERROR((HLOOKUP($AH313,Target_monthwise!$D$24:$O$40,DTR!AE$4,FALSE)),0)</f>
        <v>0</v>
      </c>
      <c r="AF313" s="147">
        <f>IFERROR((HLOOKUP($AH313,Target_monthwise!$D$24:$O$40,DTR!AF$4,FALSE)),0)</f>
        <v>0</v>
      </c>
      <c r="AG313" s="172">
        <f>IFERROR((HLOOKUP($AH313,Target_monthwise!$D$24:$O$40,DTR!AG$4,FALSE)),0)</f>
        <v>0</v>
      </c>
      <c r="AH313" s="253">
        <f t="shared" si="4"/>
        <v>202301</v>
      </c>
    </row>
    <row r="314" spans="3:34" ht="15.75" hidden="1">
      <c r="C314" s="237">
        <v>44957</v>
      </c>
      <c r="D314" s="238">
        <f>IFERROR((HLOOKUP($AH314,Target_monthwise!$D$4:$O$20,DTR!D$4,FALSE))*1000,0)</f>
        <v>0</v>
      </c>
      <c r="E314" s="238">
        <f>IFERROR((HLOOKUP($AH314,Target_monthwise!$D$4:$O$20,DTR!E$4,FALSE))*1000,0)</f>
        <v>0</v>
      </c>
      <c r="F314" s="238">
        <f>IFERROR((HLOOKUP($AH314,Target_monthwise!$D$4:$O$20,DTR!F$4,FALSE))*1000,0)</f>
        <v>0</v>
      </c>
      <c r="G314" s="238">
        <f>IFERROR((HLOOKUP($AH314,Target_monthwise!$D$4:$O$20,DTR!G$4,FALSE))*1000,0)</f>
        <v>0</v>
      </c>
      <c r="H314" s="238">
        <f>IFERROR((HLOOKUP($AH314,Target_monthwise!$D$4:$O$20,DTR!H$4,FALSE))*1000,0)</f>
        <v>0</v>
      </c>
      <c r="I314" s="238">
        <f>IFERROR((HLOOKUP($AH314,Target_monthwise!$D$4:$O$20,DTR!I$4,FALSE))*1000,0)</f>
        <v>0</v>
      </c>
      <c r="J314" s="238">
        <f>IFERROR((HLOOKUP($AH314,Target_monthwise!$D$4:$O$20,DTR!J$4,FALSE))*1000,0)</f>
        <v>0</v>
      </c>
      <c r="K314" s="238">
        <f>IFERROR((HLOOKUP($AH314,Target_monthwise!$D$4:$O$20,DTR!K$4,FALSE))*1000,0)</f>
        <v>0</v>
      </c>
      <c r="L314" s="238">
        <f>IFERROR((HLOOKUP($AH314,Target_monthwise!$D$4:$O$20,DTR!L$4,FALSE))*1000,0)</f>
        <v>0</v>
      </c>
      <c r="M314" s="238">
        <f>IFERROR((HLOOKUP($AH314,Target_monthwise!$D$4:$O$20,DTR!M$4,FALSE))*1000,0)</f>
        <v>0</v>
      </c>
      <c r="N314" s="238">
        <f>IFERROR((HLOOKUP($AH314,Target_monthwise!$D$4:$O$20,DTR!N$4,FALSE))*1000,0)</f>
        <v>0</v>
      </c>
      <c r="O314" s="238">
        <f>IFERROR((HLOOKUP($AH314,Target_monthwise!$D$4:$O$20,DTR!O$4,FALSE))*1000,0)</f>
        <v>0</v>
      </c>
      <c r="P314" s="238">
        <f>IFERROR((HLOOKUP($AH314,Target_monthwise!$D$4:$O$20,DTR!P$4,FALSE))*1000,0)</f>
        <v>0</v>
      </c>
      <c r="Q314" s="141">
        <f>IFERROR((HLOOKUP($AH314,Target_monthwise!$D$4:$O$20,DTR!Q$4,FALSE))*1000,0)</f>
        <v>0</v>
      </c>
      <c r="R314" s="167">
        <f>IFERROR((HLOOKUP($AH314,Target_monthwise!$D$4:$O$20,DTR!R$4,FALSE))*1000,0)</f>
        <v>0</v>
      </c>
      <c r="S314" s="239">
        <f>IFERROR((HLOOKUP($AH314,Target_monthwise!$D$24:$O$40,DTR!S$4,FALSE)),0)</f>
        <v>0</v>
      </c>
      <c r="T314" s="239">
        <f>IFERROR((HLOOKUP($AH314,Target_monthwise!$D$24:$O$40,DTR!T$4,FALSE)),0)</f>
        <v>0</v>
      </c>
      <c r="U314" s="239">
        <f>IFERROR((HLOOKUP($AH314,Target_monthwise!$D$24:$O$40,DTR!U$4,FALSE)),0)</f>
        <v>0</v>
      </c>
      <c r="V314" s="239">
        <f>IFERROR((HLOOKUP($AH314,Target_monthwise!$D$24:$O$40,DTR!V$4,FALSE)),0)</f>
        <v>0</v>
      </c>
      <c r="W314" s="239">
        <f>IFERROR((HLOOKUP($AH314,Target_monthwise!$D$24:$O$40,DTR!W$4,FALSE)),0)</f>
        <v>0</v>
      </c>
      <c r="X314" s="239">
        <f>IFERROR((HLOOKUP($AH314,Target_monthwise!$D$24:$O$40,DTR!X$4,FALSE)),0)</f>
        <v>0</v>
      </c>
      <c r="Y314" s="239">
        <f>IFERROR((HLOOKUP($AH314,Target_monthwise!$D$24:$O$40,DTR!Y$4,FALSE)),0)</f>
        <v>0</v>
      </c>
      <c r="Z314" s="147">
        <f>IFERROR((HLOOKUP($AH314,Target_monthwise!$D$24:$O$40,DTR!Z$4,FALSE)),0)</f>
        <v>0</v>
      </c>
      <c r="AA314" s="147">
        <f>IFERROR((HLOOKUP($AH314,Target_monthwise!$D$24:$O$40,DTR!AA$4,FALSE)),0)</f>
        <v>0</v>
      </c>
      <c r="AB314" s="147">
        <f>IFERROR((HLOOKUP($AH314,Target_monthwise!$D$24:$O$40,DTR!AB$4,FALSE)),0)</f>
        <v>0</v>
      </c>
      <c r="AC314" s="239">
        <f>IFERROR((HLOOKUP($AH314,Target_monthwise!$D$24:$O$40,DTR!AC$4,FALSE)),0)</f>
        <v>0</v>
      </c>
      <c r="AD314" s="239">
        <f>IFERROR((HLOOKUP($AH314,Target_monthwise!$D$24:$O$40,DTR!AD$4,FALSE)),0)</f>
        <v>0</v>
      </c>
      <c r="AE314" s="239">
        <f>IFERROR((HLOOKUP($AH314,Target_monthwise!$D$24:$O$40,DTR!AE$4,FALSE)),0)</f>
        <v>0</v>
      </c>
      <c r="AF314" s="239">
        <f>IFERROR((HLOOKUP($AH314,Target_monthwise!$D$24:$O$40,DTR!AF$4,FALSE)),0)</f>
        <v>0</v>
      </c>
      <c r="AG314" s="172">
        <f>IFERROR((HLOOKUP($AH314,Target_monthwise!$D$24:$O$40,DTR!AG$4,FALSE)),0)</f>
        <v>0</v>
      </c>
      <c r="AH314" s="253">
        <f t="shared" si="4"/>
        <v>202301</v>
      </c>
    </row>
    <row r="315" spans="3:34" ht="15.75" hidden="1">
      <c r="C315" s="235">
        <v>44958</v>
      </c>
      <c r="D315" s="141">
        <f>IFERROR((HLOOKUP($AH315,Target_monthwise!$D$4:$O$20,DTR!D$4,FALSE))*1000,0)</f>
        <v>0</v>
      </c>
      <c r="E315" s="141">
        <f>IFERROR((HLOOKUP($AH315,Target_monthwise!$D$4:$O$20,DTR!E$4,FALSE))*1000,0)</f>
        <v>0</v>
      </c>
      <c r="F315" s="141">
        <f>IFERROR((HLOOKUP($AH315,Target_monthwise!$D$4:$O$20,DTR!F$4,FALSE))*1000,0)</f>
        <v>0</v>
      </c>
      <c r="G315" s="141">
        <f>IFERROR((HLOOKUP($AH315,Target_monthwise!$D$4:$O$20,DTR!G$4,FALSE))*1000,0)</f>
        <v>0</v>
      </c>
      <c r="H315" s="141">
        <f>IFERROR((HLOOKUP($AH315,Target_monthwise!$D$4:$O$20,DTR!H$4,FALSE))*1000,0)</f>
        <v>0</v>
      </c>
      <c r="I315" s="141">
        <f>IFERROR((HLOOKUP($AH315,Target_monthwise!$D$4:$O$20,DTR!I$4,FALSE))*1000,0)</f>
        <v>0</v>
      </c>
      <c r="J315" s="141">
        <f>IFERROR((HLOOKUP($AH315,Target_monthwise!$D$4:$O$20,DTR!J$4,FALSE))*1000,0)</f>
        <v>0</v>
      </c>
      <c r="K315" s="141">
        <f>IFERROR((HLOOKUP($AH315,Target_monthwise!$D$4:$O$20,DTR!K$4,FALSE))*1000,0)</f>
        <v>0</v>
      </c>
      <c r="L315" s="141">
        <f>IFERROR((HLOOKUP($AH315,Target_monthwise!$D$4:$O$20,DTR!L$4,FALSE))*1000,0)</f>
        <v>0</v>
      </c>
      <c r="M315" s="141">
        <f>IFERROR((HLOOKUP($AH315,Target_monthwise!$D$4:$O$20,DTR!M$4,FALSE))*1000,0)</f>
        <v>0</v>
      </c>
      <c r="N315" s="141">
        <f>IFERROR((HLOOKUP($AH315,Target_monthwise!$D$4:$O$20,DTR!N$4,FALSE))*1000,0)</f>
        <v>0</v>
      </c>
      <c r="O315" s="141">
        <f>IFERROR((HLOOKUP($AH315,Target_monthwise!$D$4:$O$20,DTR!O$4,FALSE))*1000,0)</f>
        <v>0</v>
      </c>
      <c r="P315" s="141">
        <f>IFERROR((HLOOKUP($AH315,Target_monthwise!$D$4:$O$20,DTR!P$4,FALSE))*1000,0)</f>
        <v>0</v>
      </c>
      <c r="Q315" s="141">
        <f>IFERROR((HLOOKUP($AH315,Target_monthwise!$D$4:$O$20,DTR!Q$4,FALSE))*1000,0)</f>
        <v>0</v>
      </c>
      <c r="R315" s="167">
        <f>IFERROR((HLOOKUP($AH315,Target_monthwise!$D$4:$O$20,DTR!R$4,FALSE))*1000,0)</f>
        <v>0</v>
      </c>
      <c r="S315" s="147">
        <f>IFERROR((HLOOKUP($AH315,Target_monthwise!$D$24:$O$40,DTR!S$4,FALSE)),0)</f>
        <v>0</v>
      </c>
      <c r="T315" s="147">
        <f>IFERROR((HLOOKUP($AH315,Target_monthwise!$D$24:$O$40,DTR!T$4,FALSE)),0)</f>
        <v>0</v>
      </c>
      <c r="U315" s="147">
        <f>IFERROR((HLOOKUP($AH315,Target_monthwise!$D$24:$O$40,DTR!U$4,FALSE)),0)</f>
        <v>0</v>
      </c>
      <c r="V315" s="147">
        <f>IFERROR((HLOOKUP($AH315,Target_monthwise!$D$24:$O$40,DTR!V$4,FALSE)),0)</f>
        <v>0</v>
      </c>
      <c r="W315" s="147">
        <f>IFERROR((HLOOKUP($AH315,Target_monthwise!$D$24:$O$40,DTR!W$4,FALSE)),0)</f>
        <v>0</v>
      </c>
      <c r="X315" s="147">
        <f>IFERROR((HLOOKUP($AH315,Target_monthwise!$D$24:$O$40,DTR!X$4,FALSE)),0)</f>
        <v>0</v>
      </c>
      <c r="Y315" s="147">
        <f>IFERROR((HLOOKUP($AH315,Target_monthwise!$D$24:$O$40,DTR!Y$4,FALSE)),0)</f>
        <v>0</v>
      </c>
      <c r="Z315" s="147">
        <f>IFERROR((HLOOKUP($AH315,Target_monthwise!$D$24:$O$40,DTR!Z$4,FALSE)),0)</f>
        <v>0</v>
      </c>
      <c r="AA315" s="147">
        <f>IFERROR((HLOOKUP($AH315,Target_monthwise!$D$24:$O$40,DTR!AA$4,FALSE)),0)</f>
        <v>0</v>
      </c>
      <c r="AB315" s="147">
        <f>IFERROR((HLOOKUP($AH315,Target_monthwise!$D$24:$O$40,DTR!AB$4,FALSE)),0)</f>
        <v>0</v>
      </c>
      <c r="AC315" s="147">
        <f>IFERROR((HLOOKUP($AH315,Target_monthwise!$D$24:$O$40,DTR!AC$4,FALSE)),0)</f>
        <v>0</v>
      </c>
      <c r="AD315" s="147">
        <f>IFERROR((HLOOKUP($AH315,Target_monthwise!$D$24:$O$40,DTR!AD$4,FALSE)),0)</f>
        <v>0</v>
      </c>
      <c r="AE315" s="147">
        <f>IFERROR((HLOOKUP($AH315,Target_monthwise!$D$24:$O$40,DTR!AE$4,FALSE)),0)</f>
        <v>0</v>
      </c>
      <c r="AF315" s="147">
        <f>IFERROR((HLOOKUP($AH315,Target_monthwise!$D$24:$O$40,DTR!AF$4,FALSE)),0)</f>
        <v>0</v>
      </c>
      <c r="AG315" s="172">
        <f>IFERROR((HLOOKUP($AH315,Target_monthwise!$D$24:$O$40,DTR!AG$4,FALSE)),0)</f>
        <v>0</v>
      </c>
      <c r="AH315" s="253">
        <f t="shared" si="4"/>
        <v>202302</v>
      </c>
    </row>
    <row r="316" spans="3:34" ht="15.75" hidden="1">
      <c r="C316" s="237">
        <v>44959</v>
      </c>
      <c r="D316" s="238">
        <f>IFERROR((HLOOKUP($AH316,Target_monthwise!$D$4:$O$20,DTR!D$4,FALSE))*1000,0)</f>
        <v>0</v>
      </c>
      <c r="E316" s="238">
        <f>IFERROR((HLOOKUP($AH316,Target_monthwise!$D$4:$O$20,DTR!E$4,FALSE))*1000,0)</f>
        <v>0</v>
      </c>
      <c r="F316" s="238">
        <f>IFERROR((HLOOKUP($AH316,Target_monthwise!$D$4:$O$20,DTR!F$4,FALSE))*1000,0)</f>
        <v>0</v>
      </c>
      <c r="G316" s="238">
        <f>IFERROR((HLOOKUP($AH316,Target_monthwise!$D$4:$O$20,DTR!G$4,FALSE))*1000,0)</f>
        <v>0</v>
      </c>
      <c r="H316" s="238">
        <f>IFERROR((HLOOKUP($AH316,Target_monthwise!$D$4:$O$20,DTR!H$4,FALSE))*1000,0)</f>
        <v>0</v>
      </c>
      <c r="I316" s="238">
        <f>IFERROR((HLOOKUP($AH316,Target_monthwise!$D$4:$O$20,DTR!I$4,FALSE))*1000,0)</f>
        <v>0</v>
      </c>
      <c r="J316" s="238">
        <f>IFERROR((HLOOKUP($AH316,Target_monthwise!$D$4:$O$20,DTR!J$4,FALSE))*1000,0)</f>
        <v>0</v>
      </c>
      <c r="K316" s="238">
        <f>IFERROR((HLOOKUP($AH316,Target_monthwise!$D$4:$O$20,DTR!K$4,FALSE))*1000,0)</f>
        <v>0</v>
      </c>
      <c r="L316" s="238">
        <f>IFERROR((HLOOKUP($AH316,Target_monthwise!$D$4:$O$20,DTR!L$4,FALSE))*1000,0)</f>
        <v>0</v>
      </c>
      <c r="M316" s="238">
        <f>IFERROR((HLOOKUP($AH316,Target_monthwise!$D$4:$O$20,DTR!M$4,FALSE))*1000,0)</f>
        <v>0</v>
      </c>
      <c r="N316" s="238">
        <f>IFERROR((HLOOKUP($AH316,Target_monthwise!$D$4:$O$20,DTR!N$4,FALSE))*1000,0)</f>
        <v>0</v>
      </c>
      <c r="O316" s="238">
        <f>IFERROR((HLOOKUP($AH316,Target_monthwise!$D$4:$O$20,DTR!O$4,FALSE))*1000,0)</f>
        <v>0</v>
      </c>
      <c r="P316" s="238">
        <f>IFERROR((HLOOKUP($AH316,Target_monthwise!$D$4:$O$20,DTR!P$4,FALSE))*1000,0)</f>
        <v>0</v>
      </c>
      <c r="Q316" s="141">
        <f>IFERROR((HLOOKUP($AH316,Target_monthwise!$D$4:$O$20,DTR!Q$4,FALSE))*1000,0)</f>
        <v>0</v>
      </c>
      <c r="R316" s="167">
        <f>IFERROR((HLOOKUP($AH316,Target_monthwise!$D$4:$O$20,DTR!R$4,FALSE))*1000,0)</f>
        <v>0</v>
      </c>
      <c r="S316" s="239">
        <f>IFERROR((HLOOKUP($AH316,Target_monthwise!$D$24:$O$40,DTR!S$4,FALSE)),0)</f>
        <v>0</v>
      </c>
      <c r="T316" s="239">
        <f>IFERROR((HLOOKUP($AH316,Target_monthwise!$D$24:$O$40,DTR!T$4,FALSE)),0)</f>
        <v>0</v>
      </c>
      <c r="U316" s="239">
        <f>IFERROR((HLOOKUP($AH316,Target_monthwise!$D$24:$O$40,DTR!U$4,FALSE)),0)</f>
        <v>0</v>
      </c>
      <c r="V316" s="239">
        <f>IFERROR((HLOOKUP($AH316,Target_monthwise!$D$24:$O$40,DTR!V$4,FALSE)),0)</f>
        <v>0</v>
      </c>
      <c r="W316" s="239">
        <f>IFERROR((HLOOKUP($AH316,Target_monthwise!$D$24:$O$40,DTR!W$4,FALSE)),0)</f>
        <v>0</v>
      </c>
      <c r="X316" s="239">
        <f>IFERROR((HLOOKUP($AH316,Target_monthwise!$D$24:$O$40,DTR!X$4,FALSE)),0)</f>
        <v>0</v>
      </c>
      <c r="Y316" s="239">
        <f>IFERROR((HLOOKUP($AH316,Target_monthwise!$D$24:$O$40,DTR!Y$4,FALSE)),0)</f>
        <v>0</v>
      </c>
      <c r="Z316" s="147">
        <f>IFERROR((HLOOKUP($AH316,Target_monthwise!$D$24:$O$40,DTR!Z$4,FALSE)),0)</f>
        <v>0</v>
      </c>
      <c r="AA316" s="147">
        <f>IFERROR((HLOOKUP($AH316,Target_monthwise!$D$24:$O$40,DTR!AA$4,FALSE)),0)</f>
        <v>0</v>
      </c>
      <c r="AB316" s="147">
        <f>IFERROR((HLOOKUP($AH316,Target_monthwise!$D$24:$O$40,DTR!AB$4,FALSE)),0)</f>
        <v>0</v>
      </c>
      <c r="AC316" s="239">
        <f>IFERROR((HLOOKUP($AH316,Target_monthwise!$D$24:$O$40,DTR!AC$4,FALSE)),0)</f>
        <v>0</v>
      </c>
      <c r="AD316" s="239">
        <f>IFERROR((HLOOKUP($AH316,Target_monthwise!$D$24:$O$40,DTR!AD$4,FALSE)),0)</f>
        <v>0</v>
      </c>
      <c r="AE316" s="239">
        <f>IFERROR((HLOOKUP($AH316,Target_monthwise!$D$24:$O$40,DTR!AE$4,FALSE)),0)</f>
        <v>0</v>
      </c>
      <c r="AF316" s="239">
        <f>IFERROR((HLOOKUP($AH316,Target_monthwise!$D$24:$O$40,DTR!AF$4,FALSE)),0)</f>
        <v>0</v>
      </c>
      <c r="AG316" s="172">
        <f>IFERROR((HLOOKUP($AH316,Target_monthwise!$D$24:$O$40,DTR!AG$4,FALSE)),0)</f>
        <v>0</v>
      </c>
      <c r="AH316" s="253">
        <f t="shared" si="4"/>
        <v>202302</v>
      </c>
    </row>
    <row r="317" spans="3:34" ht="15.75" hidden="1">
      <c r="C317" s="235">
        <v>44960</v>
      </c>
      <c r="D317" s="141">
        <f>IFERROR((HLOOKUP($AH317,Target_monthwise!$D$4:$O$20,DTR!D$4,FALSE))*1000,0)</f>
        <v>0</v>
      </c>
      <c r="E317" s="141">
        <f>IFERROR((HLOOKUP($AH317,Target_monthwise!$D$4:$O$20,DTR!E$4,FALSE))*1000,0)</f>
        <v>0</v>
      </c>
      <c r="F317" s="141">
        <f>IFERROR((HLOOKUP($AH317,Target_monthwise!$D$4:$O$20,DTR!F$4,FALSE))*1000,0)</f>
        <v>0</v>
      </c>
      <c r="G317" s="141">
        <f>IFERROR((HLOOKUP($AH317,Target_monthwise!$D$4:$O$20,DTR!G$4,FALSE))*1000,0)</f>
        <v>0</v>
      </c>
      <c r="H317" s="141">
        <f>IFERROR((HLOOKUP($AH317,Target_monthwise!$D$4:$O$20,DTR!H$4,FALSE))*1000,0)</f>
        <v>0</v>
      </c>
      <c r="I317" s="141">
        <f>IFERROR((HLOOKUP($AH317,Target_monthwise!$D$4:$O$20,DTR!I$4,FALSE))*1000,0)</f>
        <v>0</v>
      </c>
      <c r="J317" s="141">
        <f>IFERROR((HLOOKUP($AH317,Target_monthwise!$D$4:$O$20,DTR!J$4,FALSE))*1000,0)</f>
        <v>0</v>
      </c>
      <c r="K317" s="141">
        <f>IFERROR((HLOOKUP($AH317,Target_monthwise!$D$4:$O$20,DTR!K$4,FALSE))*1000,0)</f>
        <v>0</v>
      </c>
      <c r="L317" s="141">
        <f>IFERROR((HLOOKUP($AH317,Target_monthwise!$D$4:$O$20,DTR!L$4,FALSE))*1000,0)</f>
        <v>0</v>
      </c>
      <c r="M317" s="141">
        <f>IFERROR((HLOOKUP($AH317,Target_monthwise!$D$4:$O$20,DTR!M$4,FALSE))*1000,0)</f>
        <v>0</v>
      </c>
      <c r="N317" s="141">
        <f>IFERROR((HLOOKUP($AH317,Target_monthwise!$D$4:$O$20,DTR!N$4,FALSE))*1000,0)</f>
        <v>0</v>
      </c>
      <c r="O317" s="141">
        <f>IFERROR((HLOOKUP($AH317,Target_monthwise!$D$4:$O$20,DTR!O$4,FALSE))*1000,0)</f>
        <v>0</v>
      </c>
      <c r="P317" s="141">
        <f>IFERROR((HLOOKUP($AH317,Target_monthwise!$D$4:$O$20,DTR!P$4,FALSE))*1000,0)</f>
        <v>0</v>
      </c>
      <c r="Q317" s="141">
        <f>IFERROR((HLOOKUP($AH317,Target_monthwise!$D$4:$O$20,DTR!Q$4,FALSE))*1000,0)</f>
        <v>0</v>
      </c>
      <c r="R317" s="167">
        <f>IFERROR((HLOOKUP($AH317,Target_monthwise!$D$4:$O$20,DTR!R$4,FALSE))*1000,0)</f>
        <v>0</v>
      </c>
      <c r="S317" s="147">
        <f>IFERROR((HLOOKUP($AH317,Target_monthwise!$D$24:$O$40,DTR!S$4,FALSE)),0)</f>
        <v>0</v>
      </c>
      <c r="T317" s="147">
        <f>IFERROR((HLOOKUP($AH317,Target_monthwise!$D$24:$O$40,DTR!T$4,FALSE)),0)</f>
        <v>0</v>
      </c>
      <c r="U317" s="147">
        <f>IFERROR((HLOOKUP($AH317,Target_monthwise!$D$24:$O$40,DTR!U$4,FALSE)),0)</f>
        <v>0</v>
      </c>
      <c r="V317" s="147">
        <f>IFERROR((HLOOKUP($AH317,Target_monthwise!$D$24:$O$40,DTR!V$4,FALSE)),0)</f>
        <v>0</v>
      </c>
      <c r="W317" s="147">
        <f>IFERROR((HLOOKUP($AH317,Target_monthwise!$D$24:$O$40,DTR!W$4,FALSE)),0)</f>
        <v>0</v>
      </c>
      <c r="X317" s="147">
        <f>IFERROR((HLOOKUP($AH317,Target_monthwise!$D$24:$O$40,DTR!X$4,FALSE)),0)</f>
        <v>0</v>
      </c>
      <c r="Y317" s="147">
        <f>IFERROR((HLOOKUP($AH317,Target_monthwise!$D$24:$O$40,DTR!Y$4,FALSE)),0)</f>
        <v>0</v>
      </c>
      <c r="Z317" s="147">
        <f>IFERROR((HLOOKUP($AH317,Target_monthwise!$D$24:$O$40,DTR!Z$4,FALSE)),0)</f>
        <v>0</v>
      </c>
      <c r="AA317" s="147">
        <f>IFERROR((HLOOKUP($AH317,Target_monthwise!$D$24:$O$40,DTR!AA$4,FALSE)),0)</f>
        <v>0</v>
      </c>
      <c r="AB317" s="147">
        <f>IFERROR((HLOOKUP($AH317,Target_monthwise!$D$24:$O$40,DTR!AB$4,FALSE)),0)</f>
        <v>0</v>
      </c>
      <c r="AC317" s="147">
        <f>IFERROR((HLOOKUP($AH317,Target_monthwise!$D$24:$O$40,DTR!AC$4,FALSE)),0)</f>
        <v>0</v>
      </c>
      <c r="AD317" s="147">
        <f>IFERROR((HLOOKUP($AH317,Target_monthwise!$D$24:$O$40,DTR!AD$4,FALSE)),0)</f>
        <v>0</v>
      </c>
      <c r="AE317" s="147">
        <f>IFERROR((HLOOKUP($AH317,Target_monthwise!$D$24:$O$40,DTR!AE$4,FALSE)),0)</f>
        <v>0</v>
      </c>
      <c r="AF317" s="147">
        <f>IFERROR((HLOOKUP($AH317,Target_monthwise!$D$24:$O$40,DTR!AF$4,FALSE)),0)</f>
        <v>0</v>
      </c>
      <c r="AG317" s="172">
        <f>IFERROR((HLOOKUP($AH317,Target_monthwise!$D$24:$O$40,DTR!AG$4,FALSE)),0)</f>
        <v>0</v>
      </c>
      <c r="AH317" s="253">
        <f t="shared" si="4"/>
        <v>202302</v>
      </c>
    </row>
    <row r="318" spans="3:34" ht="15.75" hidden="1">
      <c r="C318" s="237">
        <v>44961</v>
      </c>
      <c r="D318" s="238">
        <f>IFERROR((HLOOKUP($AH318,Target_monthwise!$D$4:$O$20,DTR!D$4,FALSE))*1000,0)</f>
        <v>0</v>
      </c>
      <c r="E318" s="238">
        <f>IFERROR((HLOOKUP($AH318,Target_monthwise!$D$4:$O$20,DTR!E$4,FALSE))*1000,0)</f>
        <v>0</v>
      </c>
      <c r="F318" s="238">
        <f>IFERROR((HLOOKUP($AH318,Target_monthwise!$D$4:$O$20,DTR!F$4,FALSE))*1000,0)</f>
        <v>0</v>
      </c>
      <c r="G318" s="238">
        <f>IFERROR((HLOOKUP($AH318,Target_monthwise!$D$4:$O$20,DTR!G$4,FALSE))*1000,0)</f>
        <v>0</v>
      </c>
      <c r="H318" s="238">
        <f>IFERROR((HLOOKUP($AH318,Target_monthwise!$D$4:$O$20,DTR!H$4,FALSE))*1000,0)</f>
        <v>0</v>
      </c>
      <c r="I318" s="238">
        <f>IFERROR((HLOOKUP($AH318,Target_monthwise!$D$4:$O$20,DTR!I$4,FALSE))*1000,0)</f>
        <v>0</v>
      </c>
      <c r="J318" s="238">
        <f>IFERROR((HLOOKUP($AH318,Target_monthwise!$D$4:$O$20,DTR!J$4,FALSE))*1000,0)</f>
        <v>0</v>
      </c>
      <c r="K318" s="238">
        <f>IFERROR((HLOOKUP($AH318,Target_monthwise!$D$4:$O$20,DTR!K$4,FALSE))*1000,0)</f>
        <v>0</v>
      </c>
      <c r="L318" s="238">
        <f>IFERROR((HLOOKUP($AH318,Target_monthwise!$D$4:$O$20,DTR!L$4,FALSE))*1000,0)</f>
        <v>0</v>
      </c>
      <c r="M318" s="238">
        <f>IFERROR((HLOOKUP($AH318,Target_monthwise!$D$4:$O$20,DTR!M$4,FALSE))*1000,0)</f>
        <v>0</v>
      </c>
      <c r="N318" s="238">
        <f>IFERROR((HLOOKUP($AH318,Target_monthwise!$D$4:$O$20,DTR!N$4,FALSE))*1000,0)</f>
        <v>0</v>
      </c>
      <c r="O318" s="238">
        <f>IFERROR((HLOOKUP($AH318,Target_monthwise!$D$4:$O$20,DTR!O$4,FALSE))*1000,0)</f>
        <v>0</v>
      </c>
      <c r="P318" s="238">
        <f>IFERROR((HLOOKUP($AH318,Target_monthwise!$D$4:$O$20,DTR!P$4,FALSE))*1000,0)</f>
        <v>0</v>
      </c>
      <c r="Q318" s="141">
        <f>IFERROR((HLOOKUP($AH318,Target_monthwise!$D$4:$O$20,DTR!Q$4,FALSE))*1000,0)</f>
        <v>0</v>
      </c>
      <c r="R318" s="167">
        <f>IFERROR((HLOOKUP($AH318,Target_monthwise!$D$4:$O$20,DTR!R$4,FALSE))*1000,0)</f>
        <v>0</v>
      </c>
      <c r="S318" s="239">
        <f>IFERROR((HLOOKUP($AH318,Target_monthwise!$D$24:$O$40,DTR!S$4,FALSE)),0)</f>
        <v>0</v>
      </c>
      <c r="T318" s="239">
        <f>IFERROR((HLOOKUP($AH318,Target_monthwise!$D$24:$O$40,DTR!T$4,FALSE)),0)</f>
        <v>0</v>
      </c>
      <c r="U318" s="239">
        <f>IFERROR((HLOOKUP($AH318,Target_monthwise!$D$24:$O$40,DTR!U$4,FALSE)),0)</f>
        <v>0</v>
      </c>
      <c r="V318" s="239">
        <f>IFERROR((HLOOKUP($AH318,Target_monthwise!$D$24:$O$40,DTR!V$4,FALSE)),0)</f>
        <v>0</v>
      </c>
      <c r="W318" s="239">
        <f>IFERROR((HLOOKUP($AH318,Target_monthwise!$D$24:$O$40,DTR!W$4,FALSE)),0)</f>
        <v>0</v>
      </c>
      <c r="X318" s="239">
        <f>IFERROR((HLOOKUP($AH318,Target_monthwise!$D$24:$O$40,DTR!X$4,FALSE)),0)</f>
        <v>0</v>
      </c>
      <c r="Y318" s="239">
        <f>IFERROR((HLOOKUP($AH318,Target_monthwise!$D$24:$O$40,DTR!Y$4,FALSE)),0)</f>
        <v>0</v>
      </c>
      <c r="Z318" s="147">
        <f>IFERROR((HLOOKUP($AH318,Target_monthwise!$D$24:$O$40,DTR!Z$4,FALSE)),0)</f>
        <v>0</v>
      </c>
      <c r="AA318" s="147">
        <f>IFERROR((HLOOKUP($AH318,Target_monthwise!$D$24:$O$40,DTR!AA$4,FALSE)),0)</f>
        <v>0</v>
      </c>
      <c r="AB318" s="147">
        <f>IFERROR((HLOOKUP($AH318,Target_monthwise!$D$24:$O$40,DTR!AB$4,FALSE)),0)</f>
        <v>0</v>
      </c>
      <c r="AC318" s="239">
        <f>IFERROR((HLOOKUP($AH318,Target_monthwise!$D$24:$O$40,DTR!AC$4,FALSE)),0)</f>
        <v>0</v>
      </c>
      <c r="AD318" s="239">
        <f>IFERROR((HLOOKUP($AH318,Target_monthwise!$D$24:$O$40,DTR!AD$4,FALSE)),0)</f>
        <v>0</v>
      </c>
      <c r="AE318" s="239">
        <f>IFERROR((HLOOKUP($AH318,Target_monthwise!$D$24:$O$40,DTR!AE$4,FALSE)),0)</f>
        <v>0</v>
      </c>
      <c r="AF318" s="239">
        <f>IFERROR((HLOOKUP($AH318,Target_monthwise!$D$24:$O$40,DTR!AF$4,FALSE)),0)</f>
        <v>0</v>
      </c>
      <c r="AG318" s="172">
        <f>IFERROR((HLOOKUP($AH318,Target_monthwise!$D$24:$O$40,DTR!AG$4,FALSE)),0)</f>
        <v>0</v>
      </c>
      <c r="AH318" s="253">
        <f t="shared" si="4"/>
        <v>202302</v>
      </c>
    </row>
    <row r="319" spans="3:34" ht="15.75" hidden="1">
      <c r="C319" s="235">
        <v>44962</v>
      </c>
      <c r="D319" s="141">
        <f>IFERROR((HLOOKUP($AH319,Target_monthwise!$D$4:$O$20,DTR!D$4,FALSE))*1000,0)</f>
        <v>0</v>
      </c>
      <c r="E319" s="141">
        <f>IFERROR((HLOOKUP($AH319,Target_monthwise!$D$4:$O$20,DTR!E$4,FALSE))*1000,0)</f>
        <v>0</v>
      </c>
      <c r="F319" s="141">
        <f>IFERROR((HLOOKUP($AH319,Target_monthwise!$D$4:$O$20,DTR!F$4,FALSE))*1000,0)</f>
        <v>0</v>
      </c>
      <c r="G319" s="141">
        <f>IFERROR((HLOOKUP($AH319,Target_monthwise!$D$4:$O$20,DTR!G$4,FALSE))*1000,0)</f>
        <v>0</v>
      </c>
      <c r="H319" s="141">
        <f>IFERROR((HLOOKUP($AH319,Target_monthwise!$D$4:$O$20,DTR!H$4,FALSE))*1000,0)</f>
        <v>0</v>
      </c>
      <c r="I319" s="141">
        <f>IFERROR((HLOOKUP($AH319,Target_monthwise!$D$4:$O$20,DTR!I$4,FALSE))*1000,0)</f>
        <v>0</v>
      </c>
      <c r="J319" s="141">
        <f>IFERROR((HLOOKUP($AH319,Target_monthwise!$D$4:$O$20,DTR!J$4,FALSE))*1000,0)</f>
        <v>0</v>
      </c>
      <c r="K319" s="141">
        <f>IFERROR((HLOOKUP($AH319,Target_monthwise!$D$4:$O$20,DTR!K$4,FALSE))*1000,0)</f>
        <v>0</v>
      </c>
      <c r="L319" s="141">
        <f>IFERROR((HLOOKUP($AH319,Target_monthwise!$D$4:$O$20,DTR!L$4,FALSE))*1000,0)</f>
        <v>0</v>
      </c>
      <c r="M319" s="141">
        <f>IFERROR((HLOOKUP($AH319,Target_monthwise!$D$4:$O$20,DTR!M$4,FALSE))*1000,0)</f>
        <v>0</v>
      </c>
      <c r="N319" s="141">
        <f>IFERROR((HLOOKUP($AH319,Target_monthwise!$D$4:$O$20,DTR!N$4,FALSE))*1000,0)</f>
        <v>0</v>
      </c>
      <c r="O319" s="141">
        <f>IFERROR((HLOOKUP($AH319,Target_monthwise!$D$4:$O$20,DTR!O$4,FALSE))*1000,0)</f>
        <v>0</v>
      </c>
      <c r="P319" s="141">
        <f>IFERROR((HLOOKUP($AH319,Target_monthwise!$D$4:$O$20,DTR!P$4,FALSE))*1000,0)</f>
        <v>0</v>
      </c>
      <c r="Q319" s="141">
        <f>IFERROR((HLOOKUP($AH319,Target_monthwise!$D$4:$O$20,DTR!Q$4,FALSE))*1000,0)</f>
        <v>0</v>
      </c>
      <c r="R319" s="167">
        <f>IFERROR((HLOOKUP($AH319,Target_monthwise!$D$4:$O$20,DTR!R$4,FALSE))*1000,0)</f>
        <v>0</v>
      </c>
      <c r="S319" s="147">
        <f>IFERROR((HLOOKUP($AH319,Target_monthwise!$D$24:$O$40,DTR!S$4,FALSE)),0)</f>
        <v>0</v>
      </c>
      <c r="T319" s="147">
        <f>IFERROR((HLOOKUP($AH319,Target_monthwise!$D$24:$O$40,DTR!T$4,FALSE)),0)</f>
        <v>0</v>
      </c>
      <c r="U319" s="147">
        <f>IFERROR((HLOOKUP($AH319,Target_monthwise!$D$24:$O$40,DTR!U$4,FALSE)),0)</f>
        <v>0</v>
      </c>
      <c r="V319" s="147">
        <f>IFERROR((HLOOKUP($AH319,Target_monthwise!$D$24:$O$40,DTR!V$4,FALSE)),0)</f>
        <v>0</v>
      </c>
      <c r="W319" s="147">
        <f>IFERROR((HLOOKUP($AH319,Target_monthwise!$D$24:$O$40,DTR!W$4,FALSE)),0)</f>
        <v>0</v>
      </c>
      <c r="X319" s="147">
        <f>IFERROR((HLOOKUP($AH319,Target_monthwise!$D$24:$O$40,DTR!X$4,FALSE)),0)</f>
        <v>0</v>
      </c>
      <c r="Y319" s="147">
        <f>IFERROR((HLOOKUP($AH319,Target_monthwise!$D$24:$O$40,DTR!Y$4,FALSE)),0)</f>
        <v>0</v>
      </c>
      <c r="Z319" s="147">
        <f>IFERROR((HLOOKUP($AH319,Target_monthwise!$D$24:$O$40,DTR!Z$4,FALSE)),0)</f>
        <v>0</v>
      </c>
      <c r="AA319" s="147">
        <f>IFERROR((HLOOKUP($AH319,Target_monthwise!$D$24:$O$40,DTR!AA$4,FALSE)),0)</f>
        <v>0</v>
      </c>
      <c r="AB319" s="147">
        <f>IFERROR((HLOOKUP($AH319,Target_monthwise!$D$24:$O$40,DTR!AB$4,FALSE)),0)</f>
        <v>0</v>
      </c>
      <c r="AC319" s="147">
        <f>IFERROR((HLOOKUP($AH319,Target_monthwise!$D$24:$O$40,DTR!AC$4,FALSE)),0)</f>
        <v>0</v>
      </c>
      <c r="AD319" s="147">
        <f>IFERROR((HLOOKUP($AH319,Target_monthwise!$D$24:$O$40,DTR!AD$4,FALSE)),0)</f>
        <v>0</v>
      </c>
      <c r="AE319" s="147">
        <f>IFERROR((HLOOKUP($AH319,Target_monthwise!$D$24:$O$40,DTR!AE$4,FALSE)),0)</f>
        <v>0</v>
      </c>
      <c r="AF319" s="147">
        <f>IFERROR((HLOOKUP($AH319,Target_monthwise!$D$24:$O$40,DTR!AF$4,FALSE)),0)</f>
        <v>0</v>
      </c>
      <c r="AG319" s="172">
        <f>IFERROR((HLOOKUP($AH319,Target_monthwise!$D$24:$O$40,DTR!AG$4,FALSE)),0)</f>
        <v>0</v>
      </c>
      <c r="AH319" s="253">
        <f t="shared" si="4"/>
        <v>202302</v>
      </c>
    </row>
    <row r="320" spans="3:34" ht="15.75" hidden="1">
      <c r="C320" s="237">
        <v>44963</v>
      </c>
      <c r="D320" s="238">
        <f>IFERROR((HLOOKUP($AH320,Target_monthwise!$D$4:$O$20,DTR!D$4,FALSE))*1000,0)</f>
        <v>0</v>
      </c>
      <c r="E320" s="238">
        <f>IFERROR((HLOOKUP($AH320,Target_monthwise!$D$4:$O$20,DTR!E$4,FALSE))*1000,0)</f>
        <v>0</v>
      </c>
      <c r="F320" s="238">
        <f>IFERROR((HLOOKUP($AH320,Target_monthwise!$D$4:$O$20,DTR!F$4,FALSE))*1000,0)</f>
        <v>0</v>
      </c>
      <c r="G320" s="238">
        <f>IFERROR((HLOOKUP($AH320,Target_monthwise!$D$4:$O$20,DTR!G$4,FALSE))*1000,0)</f>
        <v>0</v>
      </c>
      <c r="H320" s="238">
        <f>IFERROR((HLOOKUP($AH320,Target_monthwise!$D$4:$O$20,DTR!H$4,FALSE))*1000,0)</f>
        <v>0</v>
      </c>
      <c r="I320" s="238">
        <f>IFERROR((HLOOKUP($AH320,Target_monthwise!$D$4:$O$20,DTR!I$4,FALSE))*1000,0)</f>
        <v>0</v>
      </c>
      <c r="J320" s="238">
        <f>IFERROR((HLOOKUP($AH320,Target_monthwise!$D$4:$O$20,DTR!J$4,FALSE))*1000,0)</f>
        <v>0</v>
      </c>
      <c r="K320" s="238">
        <f>IFERROR((HLOOKUP($AH320,Target_monthwise!$D$4:$O$20,DTR!K$4,FALSE))*1000,0)</f>
        <v>0</v>
      </c>
      <c r="L320" s="238">
        <f>IFERROR((HLOOKUP($AH320,Target_monthwise!$D$4:$O$20,DTR!L$4,FALSE))*1000,0)</f>
        <v>0</v>
      </c>
      <c r="M320" s="238">
        <f>IFERROR((HLOOKUP($AH320,Target_monthwise!$D$4:$O$20,DTR!M$4,FALSE))*1000,0)</f>
        <v>0</v>
      </c>
      <c r="N320" s="238">
        <f>IFERROR((HLOOKUP($AH320,Target_monthwise!$D$4:$O$20,DTR!N$4,FALSE))*1000,0)</f>
        <v>0</v>
      </c>
      <c r="O320" s="238">
        <f>IFERROR((HLOOKUP($AH320,Target_monthwise!$D$4:$O$20,DTR!O$4,FALSE))*1000,0)</f>
        <v>0</v>
      </c>
      <c r="P320" s="238">
        <f>IFERROR((HLOOKUP($AH320,Target_monthwise!$D$4:$O$20,DTR!P$4,FALSE))*1000,0)</f>
        <v>0</v>
      </c>
      <c r="Q320" s="141">
        <f>IFERROR((HLOOKUP($AH320,Target_monthwise!$D$4:$O$20,DTR!Q$4,FALSE))*1000,0)</f>
        <v>0</v>
      </c>
      <c r="R320" s="167">
        <f>IFERROR((HLOOKUP($AH320,Target_monthwise!$D$4:$O$20,DTR!R$4,FALSE))*1000,0)</f>
        <v>0</v>
      </c>
      <c r="S320" s="239">
        <f>IFERROR((HLOOKUP($AH320,Target_monthwise!$D$24:$O$40,DTR!S$4,FALSE)),0)</f>
        <v>0</v>
      </c>
      <c r="T320" s="239">
        <f>IFERROR((HLOOKUP($AH320,Target_monthwise!$D$24:$O$40,DTR!T$4,FALSE)),0)</f>
        <v>0</v>
      </c>
      <c r="U320" s="239">
        <f>IFERROR((HLOOKUP($AH320,Target_monthwise!$D$24:$O$40,DTR!U$4,FALSE)),0)</f>
        <v>0</v>
      </c>
      <c r="V320" s="239">
        <f>IFERROR((HLOOKUP($AH320,Target_monthwise!$D$24:$O$40,DTR!V$4,FALSE)),0)</f>
        <v>0</v>
      </c>
      <c r="W320" s="239">
        <f>IFERROR((HLOOKUP($AH320,Target_monthwise!$D$24:$O$40,DTR!W$4,FALSE)),0)</f>
        <v>0</v>
      </c>
      <c r="X320" s="239">
        <f>IFERROR((HLOOKUP($AH320,Target_monthwise!$D$24:$O$40,DTR!X$4,FALSE)),0)</f>
        <v>0</v>
      </c>
      <c r="Y320" s="239">
        <f>IFERROR((HLOOKUP($AH320,Target_monthwise!$D$24:$O$40,DTR!Y$4,FALSE)),0)</f>
        <v>0</v>
      </c>
      <c r="Z320" s="147">
        <f>IFERROR((HLOOKUP($AH320,Target_monthwise!$D$24:$O$40,DTR!Z$4,FALSE)),0)</f>
        <v>0</v>
      </c>
      <c r="AA320" s="147">
        <f>IFERROR((HLOOKUP($AH320,Target_monthwise!$D$24:$O$40,DTR!AA$4,FALSE)),0)</f>
        <v>0</v>
      </c>
      <c r="AB320" s="147">
        <f>IFERROR((HLOOKUP($AH320,Target_monthwise!$D$24:$O$40,DTR!AB$4,FALSE)),0)</f>
        <v>0</v>
      </c>
      <c r="AC320" s="239">
        <f>IFERROR((HLOOKUP($AH320,Target_monthwise!$D$24:$O$40,DTR!AC$4,FALSE)),0)</f>
        <v>0</v>
      </c>
      <c r="AD320" s="239">
        <f>IFERROR((HLOOKUP($AH320,Target_monthwise!$D$24:$O$40,DTR!AD$4,FALSE)),0)</f>
        <v>0</v>
      </c>
      <c r="AE320" s="239">
        <f>IFERROR((HLOOKUP($AH320,Target_monthwise!$D$24:$O$40,DTR!AE$4,FALSE)),0)</f>
        <v>0</v>
      </c>
      <c r="AF320" s="239">
        <f>IFERROR((HLOOKUP($AH320,Target_monthwise!$D$24:$O$40,DTR!AF$4,FALSE)),0)</f>
        <v>0</v>
      </c>
      <c r="AG320" s="172">
        <f>IFERROR((HLOOKUP($AH320,Target_monthwise!$D$24:$O$40,DTR!AG$4,FALSE)),0)</f>
        <v>0</v>
      </c>
      <c r="AH320" s="253">
        <f t="shared" si="4"/>
        <v>202302</v>
      </c>
    </row>
    <row r="321" spans="3:34" ht="15.75" hidden="1">
      <c r="C321" s="235">
        <v>44964</v>
      </c>
      <c r="D321" s="141">
        <f>IFERROR((HLOOKUP($AH321,Target_monthwise!$D$4:$O$20,DTR!D$4,FALSE))*1000,0)</f>
        <v>0</v>
      </c>
      <c r="E321" s="141">
        <f>IFERROR((HLOOKUP($AH321,Target_monthwise!$D$4:$O$20,DTR!E$4,FALSE))*1000,0)</f>
        <v>0</v>
      </c>
      <c r="F321" s="141">
        <f>IFERROR((HLOOKUP($AH321,Target_monthwise!$D$4:$O$20,DTR!F$4,FALSE))*1000,0)</f>
        <v>0</v>
      </c>
      <c r="G321" s="141">
        <f>IFERROR((HLOOKUP($AH321,Target_monthwise!$D$4:$O$20,DTR!G$4,FALSE))*1000,0)</f>
        <v>0</v>
      </c>
      <c r="H321" s="141">
        <f>IFERROR((HLOOKUP($AH321,Target_monthwise!$D$4:$O$20,DTR!H$4,FALSE))*1000,0)</f>
        <v>0</v>
      </c>
      <c r="I321" s="141">
        <f>IFERROR((HLOOKUP($AH321,Target_monthwise!$D$4:$O$20,DTR!I$4,FALSE))*1000,0)</f>
        <v>0</v>
      </c>
      <c r="J321" s="141">
        <f>IFERROR((HLOOKUP($AH321,Target_monthwise!$D$4:$O$20,DTR!J$4,FALSE))*1000,0)</f>
        <v>0</v>
      </c>
      <c r="K321" s="141">
        <f>IFERROR((HLOOKUP($AH321,Target_monthwise!$D$4:$O$20,DTR!K$4,FALSE))*1000,0)</f>
        <v>0</v>
      </c>
      <c r="L321" s="141">
        <f>IFERROR((HLOOKUP($AH321,Target_monthwise!$D$4:$O$20,DTR!L$4,FALSE))*1000,0)</f>
        <v>0</v>
      </c>
      <c r="M321" s="141">
        <f>IFERROR((HLOOKUP($AH321,Target_monthwise!$D$4:$O$20,DTR!M$4,FALSE))*1000,0)</f>
        <v>0</v>
      </c>
      <c r="N321" s="141">
        <f>IFERROR((HLOOKUP($AH321,Target_monthwise!$D$4:$O$20,DTR!N$4,FALSE))*1000,0)</f>
        <v>0</v>
      </c>
      <c r="O321" s="141">
        <f>IFERROR((HLOOKUP($AH321,Target_monthwise!$D$4:$O$20,DTR!O$4,FALSE))*1000,0)</f>
        <v>0</v>
      </c>
      <c r="P321" s="141">
        <f>IFERROR((HLOOKUP($AH321,Target_monthwise!$D$4:$O$20,DTR!P$4,FALSE))*1000,0)</f>
        <v>0</v>
      </c>
      <c r="Q321" s="141">
        <f>IFERROR((HLOOKUP($AH321,Target_monthwise!$D$4:$O$20,DTR!Q$4,FALSE))*1000,0)</f>
        <v>0</v>
      </c>
      <c r="R321" s="167">
        <f>IFERROR((HLOOKUP($AH321,Target_monthwise!$D$4:$O$20,DTR!R$4,FALSE))*1000,0)</f>
        <v>0</v>
      </c>
      <c r="S321" s="147">
        <f>IFERROR((HLOOKUP($AH321,Target_monthwise!$D$24:$O$40,DTR!S$4,FALSE)),0)</f>
        <v>0</v>
      </c>
      <c r="T321" s="147">
        <f>IFERROR((HLOOKUP($AH321,Target_monthwise!$D$24:$O$40,DTR!T$4,FALSE)),0)</f>
        <v>0</v>
      </c>
      <c r="U321" s="147">
        <f>IFERROR((HLOOKUP($AH321,Target_monthwise!$D$24:$O$40,DTR!U$4,FALSE)),0)</f>
        <v>0</v>
      </c>
      <c r="V321" s="147">
        <f>IFERROR((HLOOKUP($AH321,Target_monthwise!$D$24:$O$40,DTR!V$4,FALSE)),0)</f>
        <v>0</v>
      </c>
      <c r="W321" s="147">
        <f>IFERROR((HLOOKUP($AH321,Target_monthwise!$D$24:$O$40,DTR!W$4,FALSE)),0)</f>
        <v>0</v>
      </c>
      <c r="X321" s="147">
        <f>IFERROR((HLOOKUP($AH321,Target_monthwise!$D$24:$O$40,DTR!X$4,FALSE)),0)</f>
        <v>0</v>
      </c>
      <c r="Y321" s="147">
        <f>IFERROR((HLOOKUP($AH321,Target_monthwise!$D$24:$O$40,DTR!Y$4,FALSE)),0)</f>
        <v>0</v>
      </c>
      <c r="Z321" s="147">
        <f>IFERROR((HLOOKUP($AH321,Target_monthwise!$D$24:$O$40,DTR!Z$4,FALSE)),0)</f>
        <v>0</v>
      </c>
      <c r="AA321" s="147">
        <f>IFERROR((HLOOKUP($AH321,Target_monthwise!$D$24:$O$40,DTR!AA$4,FALSE)),0)</f>
        <v>0</v>
      </c>
      <c r="AB321" s="147">
        <f>IFERROR((HLOOKUP($AH321,Target_monthwise!$D$24:$O$40,DTR!AB$4,FALSE)),0)</f>
        <v>0</v>
      </c>
      <c r="AC321" s="147">
        <f>IFERROR((HLOOKUP($AH321,Target_monthwise!$D$24:$O$40,DTR!AC$4,FALSE)),0)</f>
        <v>0</v>
      </c>
      <c r="AD321" s="147">
        <f>IFERROR((HLOOKUP($AH321,Target_monthwise!$D$24:$O$40,DTR!AD$4,FALSE)),0)</f>
        <v>0</v>
      </c>
      <c r="AE321" s="147">
        <f>IFERROR((HLOOKUP($AH321,Target_monthwise!$D$24:$O$40,DTR!AE$4,FALSE)),0)</f>
        <v>0</v>
      </c>
      <c r="AF321" s="147">
        <f>IFERROR((HLOOKUP($AH321,Target_monthwise!$D$24:$O$40,DTR!AF$4,FALSE)),0)</f>
        <v>0</v>
      </c>
      <c r="AG321" s="172">
        <f>IFERROR((HLOOKUP($AH321,Target_monthwise!$D$24:$O$40,DTR!AG$4,FALSE)),0)</f>
        <v>0</v>
      </c>
      <c r="AH321" s="253">
        <f t="shared" si="4"/>
        <v>202302</v>
      </c>
    </row>
    <row r="322" spans="3:34" ht="15.75" hidden="1">
      <c r="C322" s="237">
        <v>44965</v>
      </c>
      <c r="D322" s="238">
        <f>IFERROR((HLOOKUP($AH322,Target_monthwise!$D$4:$O$20,DTR!D$4,FALSE))*1000,0)</f>
        <v>0</v>
      </c>
      <c r="E322" s="238">
        <f>IFERROR((HLOOKUP($AH322,Target_monthwise!$D$4:$O$20,DTR!E$4,FALSE))*1000,0)</f>
        <v>0</v>
      </c>
      <c r="F322" s="238">
        <f>IFERROR((HLOOKUP($AH322,Target_monthwise!$D$4:$O$20,DTR!F$4,FALSE))*1000,0)</f>
        <v>0</v>
      </c>
      <c r="G322" s="238">
        <f>IFERROR((HLOOKUP($AH322,Target_monthwise!$D$4:$O$20,DTR!G$4,FALSE))*1000,0)</f>
        <v>0</v>
      </c>
      <c r="H322" s="238">
        <f>IFERROR((HLOOKUP($AH322,Target_monthwise!$D$4:$O$20,DTR!H$4,FALSE))*1000,0)</f>
        <v>0</v>
      </c>
      <c r="I322" s="238">
        <f>IFERROR((HLOOKUP($AH322,Target_monthwise!$D$4:$O$20,DTR!I$4,FALSE))*1000,0)</f>
        <v>0</v>
      </c>
      <c r="J322" s="238">
        <f>IFERROR((HLOOKUP($AH322,Target_monthwise!$D$4:$O$20,DTR!J$4,FALSE))*1000,0)</f>
        <v>0</v>
      </c>
      <c r="K322" s="238">
        <f>IFERROR((HLOOKUP($AH322,Target_monthwise!$D$4:$O$20,DTR!K$4,FALSE))*1000,0)</f>
        <v>0</v>
      </c>
      <c r="L322" s="238">
        <f>IFERROR((HLOOKUP($AH322,Target_monthwise!$D$4:$O$20,DTR!L$4,FALSE))*1000,0)</f>
        <v>0</v>
      </c>
      <c r="M322" s="238">
        <f>IFERROR((HLOOKUP($AH322,Target_monthwise!$D$4:$O$20,DTR!M$4,FALSE))*1000,0)</f>
        <v>0</v>
      </c>
      <c r="N322" s="238">
        <f>IFERROR((HLOOKUP($AH322,Target_monthwise!$D$4:$O$20,DTR!N$4,FALSE))*1000,0)</f>
        <v>0</v>
      </c>
      <c r="O322" s="238">
        <f>IFERROR((HLOOKUP($AH322,Target_monthwise!$D$4:$O$20,DTR!O$4,FALSE))*1000,0)</f>
        <v>0</v>
      </c>
      <c r="P322" s="238">
        <f>IFERROR((HLOOKUP($AH322,Target_monthwise!$D$4:$O$20,DTR!P$4,FALSE))*1000,0)</f>
        <v>0</v>
      </c>
      <c r="Q322" s="141">
        <f>IFERROR((HLOOKUP($AH322,Target_monthwise!$D$4:$O$20,DTR!Q$4,FALSE))*1000,0)</f>
        <v>0</v>
      </c>
      <c r="R322" s="167">
        <f>IFERROR((HLOOKUP($AH322,Target_monthwise!$D$4:$O$20,DTR!R$4,FALSE))*1000,0)</f>
        <v>0</v>
      </c>
      <c r="S322" s="239">
        <f>IFERROR((HLOOKUP($AH322,Target_monthwise!$D$24:$O$40,DTR!S$4,FALSE)),0)</f>
        <v>0</v>
      </c>
      <c r="T322" s="239">
        <f>IFERROR((HLOOKUP($AH322,Target_monthwise!$D$24:$O$40,DTR!T$4,FALSE)),0)</f>
        <v>0</v>
      </c>
      <c r="U322" s="239">
        <f>IFERROR((HLOOKUP($AH322,Target_monthwise!$D$24:$O$40,DTR!U$4,FALSE)),0)</f>
        <v>0</v>
      </c>
      <c r="V322" s="239">
        <f>IFERROR((HLOOKUP($AH322,Target_monthwise!$D$24:$O$40,DTR!V$4,FALSE)),0)</f>
        <v>0</v>
      </c>
      <c r="W322" s="239">
        <f>IFERROR((HLOOKUP($AH322,Target_monthwise!$D$24:$O$40,DTR!W$4,FALSE)),0)</f>
        <v>0</v>
      </c>
      <c r="X322" s="239">
        <f>IFERROR((HLOOKUP($AH322,Target_monthwise!$D$24:$O$40,DTR!X$4,FALSE)),0)</f>
        <v>0</v>
      </c>
      <c r="Y322" s="239">
        <f>IFERROR((HLOOKUP($AH322,Target_monthwise!$D$24:$O$40,DTR!Y$4,FALSE)),0)</f>
        <v>0</v>
      </c>
      <c r="Z322" s="147">
        <f>IFERROR((HLOOKUP($AH322,Target_monthwise!$D$24:$O$40,DTR!Z$4,FALSE)),0)</f>
        <v>0</v>
      </c>
      <c r="AA322" s="147">
        <f>IFERROR((HLOOKUP($AH322,Target_monthwise!$D$24:$O$40,DTR!AA$4,FALSE)),0)</f>
        <v>0</v>
      </c>
      <c r="AB322" s="147">
        <f>IFERROR((HLOOKUP($AH322,Target_monthwise!$D$24:$O$40,DTR!AB$4,FALSE)),0)</f>
        <v>0</v>
      </c>
      <c r="AC322" s="239">
        <f>IFERROR((HLOOKUP($AH322,Target_monthwise!$D$24:$O$40,DTR!AC$4,FALSE)),0)</f>
        <v>0</v>
      </c>
      <c r="AD322" s="239">
        <f>IFERROR((HLOOKUP($AH322,Target_monthwise!$D$24:$O$40,DTR!AD$4,FALSE)),0)</f>
        <v>0</v>
      </c>
      <c r="AE322" s="239">
        <f>IFERROR((HLOOKUP($AH322,Target_monthwise!$D$24:$O$40,DTR!AE$4,FALSE)),0)</f>
        <v>0</v>
      </c>
      <c r="AF322" s="239">
        <f>IFERROR((HLOOKUP($AH322,Target_monthwise!$D$24:$O$40,DTR!AF$4,FALSE)),0)</f>
        <v>0</v>
      </c>
      <c r="AG322" s="172">
        <f>IFERROR((HLOOKUP($AH322,Target_monthwise!$D$24:$O$40,DTR!AG$4,FALSE)),0)</f>
        <v>0</v>
      </c>
      <c r="AH322" s="253">
        <f t="shared" si="4"/>
        <v>202302</v>
      </c>
    </row>
    <row r="323" spans="3:34" ht="15.75" hidden="1">
      <c r="C323" s="235">
        <v>44966</v>
      </c>
      <c r="D323" s="141">
        <f>IFERROR((HLOOKUP($AH323,Target_monthwise!$D$4:$O$20,DTR!D$4,FALSE))*1000,0)</f>
        <v>0</v>
      </c>
      <c r="E323" s="141">
        <f>IFERROR((HLOOKUP($AH323,Target_monthwise!$D$4:$O$20,DTR!E$4,FALSE))*1000,0)</f>
        <v>0</v>
      </c>
      <c r="F323" s="141">
        <f>IFERROR((HLOOKUP($AH323,Target_monthwise!$D$4:$O$20,DTR!F$4,FALSE))*1000,0)</f>
        <v>0</v>
      </c>
      <c r="G323" s="141">
        <f>IFERROR((HLOOKUP($AH323,Target_monthwise!$D$4:$O$20,DTR!G$4,FALSE))*1000,0)</f>
        <v>0</v>
      </c>
      <c r="H323" s="141">
        <f>IFERROR((HLOOKUP($AH323,Target_monthwise!$D$4:$O$20,DTR!H$4,FALSE))*1000,0)</f>
        <v>0</v>
      </c>
      <c r="I323" s="141">
        <f>IFERROR((HLOOKUP($AH323,Target_monthwise!$D$4:$O$20,DTR!I$4,FALSE))*1000,0)</f>
        <v>0</v>
      </c>
      <c r="J323" s="141">
        <f>IFERROR((HLOOKUP($AH323,Target_monthwise!$D$4:$O$20,DTR!J$4,FALSE))*1000,0)</f>
        <v>0</v>
      </c>
      <c r="K323" s="141">
        <f>IFERROR((HLOOKUP($AH323,Target_monthwise!$D$4:$O$20,DTR!K$4,FALSE))*1000,0)</f>
        <v>0</v>
      </c>
      <c r="L323" s="141">
        <f>IFERROR((HLOOKUP($AH323,Target_monthwise!$D$4:$O$20,DTR!L$4,FALSE))*1000,0)</f>
        <v>0</v>
      </c>
      <c r="M323" s="141">
        <f>IFERROR((HLOOKUP($AH323,Target_monthwise!$D$4:$O$20,DTR!M$4,FALSE))*1000,0)</f>
        <v>0</v>
      </c>
      <c r="N323" s="141">
        <f>IFERROR((HLOOKUP($AH323,Target_monthwise!$D$4:$O$20,DTR!N$4,FALSE))*1000,0)</f>
        <v>0</v>
      </c>
      <c r="O323" s="141">
        <f>IFERROR((HLOOKUP($AH323,Target_monthwise!$D$4:$O$20,DTR!O$4,FALSE))*1000,0)</f>
        <v>0</v>
      </c>
      <c r="P323" s="141">
        <f>IFERROR((HLOOKUP($AH323,Target_monthwise!$D$4:$O$20,DTR!P$4,FALSE))*1000,0)</f>
        <v>0</v>
      </c>
      <c r="Q323" s="141">
        <f>IFERROR((HLOOKUP($AH323,Target_monthwise!$D$4:$O$20,DTR!Q$4,FALSE))*1000,0)</f>
        <v>0</v>
      </c>
      <c r="R323" s="167">
        <f>IFERROR((HLOOKUP($AH323,Target_monthwise!$D$4:$O$20,DTR!R$4,FALSE))*1000,0)</f>
        <v>0</v>
      </c>
      <c r="S323" s="147">
        <f>IFERROR((HLOOKUP($AH323,Target_monthwise!$D$24:$O$40,DTR!S$4,FALSE)),0)</f>
        <v>0</v>
      </c>
      <c r="T323" s="147">
        <f>IFERROR((HLOOKUP($AH323,Target_monthwise!$D$24:$O$40,DTR!T$4,FALSE)),0)</f>
        <v>0</v>
      </c>
      <c r="U323" s="147">
        <f>IFERROR((HLOOKUP($AH323,Target_monthwise!$D$24:$O$40,DTR!U$4,FALSE)),0)</f>
        <v>0</v>
      </c>
      <c r="V323" s="147">
        <f>IFERROR((HLOOKUP($AH323,Target_monthwise!$D$24:$O$40,DTR!V$4,FALSE)),0)</f>
        <v>0</v>
      </c>
      <c r="W323" s="147">
        <f>IFERROR((HLOOKUP($AH323,Target_monthwise!$D$24:$O$40,DTR!W$4,FALSE)),0)</f>
        <v>0</v>
      </c>
      <c r="X323" s="147">
        <f>IFERROR((HLOOKUP($AH323,Target_monthwise!$D$24:$O$40,DTR!X$4,FALSE)),0)</f>
        <v>0</v>
      </c>
      <c r="Y323" s="147">
        <f>IFERROR((HLOOKUP($AH323,Target_monthwise!$D$24:$O$40,DTR!Y$4,FALSE)),0)</f>
        <v>0</v>
      </c>
      <c r="Z323" s="147">
        <f>IFERROR((HLOOKUP($AH323,Target_monthwise!$D$24:$O$40,DTR!Z$4,FALSE)),0)</f>
        <v>0</v>
      </c>
      <c r="AA323" s="147">
        <f>IFERROR((HLOOKUP($AH323,Target_monthwise!$D$24:$O$40,DTR!AA$4,FALSE)),0)</f>
        <v>0</v>
      </c>
      <c r="AB323" s="147">
        <f>IFERROR((HLOOKUP($AH323,Target_monthwise!$D$24:$O$40,DTR!AB$4,FALSE)),0)</f>
        <v>0</v>
      </c>
      <c r="AC323" s="147">
        <f>IFERROR((HLOOKUP($AH323,Target_monthwise!$D$24:$O$40,DTR!AC$4,FALSE)),0)</f>
        <v>0</v>
      </c>
      <c r="AD323" s="147">
        <f>IFERROR((HLOOKUP($AH323,Target_monthwise!$D$24:$O$40,DTR!AD$4,FALSE)),0)</f>
        <v>0</v>
      </c>
      <c r="AE323" s="147">
        <f>IFERROR((HLOOKUP($AH323,Target_monthwise!$D$24:$O$40,DTR!AE$4,FALSE)),0)</f>
        <v>0</v>
      </c>
      <c r="AF323" s="147">
        <f>IFERROR((HLOOKUP($AH323,Target_monthwise!$D$24:$O$40,DTR!AF$4,FALSE)),0)</f>
        <v>0</v>
      </c>
      <c r="AG323" s="172">
        <f>IFERROR((HLOOKUP($AH323,Target_monthwise!$D$24:$O$40,DTR!AG$4,FALSE)),0)</f>
        <v>0</v>
      </c>
      <c r="AH323" s="253">
        <f t="shared" si="4"/>
        <v>202302</v>
      </c>
    </row>
    <row r="324" spans="3:34" ht="15.75" hidden="1">
      <c r="C324" s="237">
        <v>44967</v>
      </c>
      <c r="D324" s="238">
        <f>IFERROR((HLOOKUP($AH324,Target_monthwise!$D$4:$O$20,DTR!D$4,FALSE))*1000,0)</f>
        <v>0</v>
      </c>
      <c r="E324" s="238">
        <f>IFERROR((HLOOKUP($AH324,Target_monthwise!$D$4:$O$20,DTR!E$4,FALSE))*1000,0)</f>
        <v>0</v>
      </c>
      <c r="F324" s="238">
        <f>IFERROR((HLOOKUP($AH324,Target_monthwise!$D$4:$O$20,DTR!F$4,FALSE))*1000,0)</f>
        <v>0</v>
      </c>
      <c r="G324" s="238">
        <f>IFERROR((HLOOKUP($AH324,Target_monthwise!$D$4:$O$20,DTR!G$4,FALSE))*1000,0)</f>
        <v>0</v>
      </c>
      <c r="H324" s="238">
        <f>IFERROR((HLOOKUP($AH324,Target_monthwise!$D$4:$O$20,DTR!H$4,FALSE))*1000,0)</f>
        <v>0</v>
      </c>
      <c r="I324" s="238">
        <f>IFERROR((HLOOKUP($AH324,Target_monthwise!$D$4:$O$20,DTR!I$4,FALSE))*1000,0)</f>
        <v>0</v>
      </c>
      <c r="J324" s="238">
        <f>IFERROR((HLOOKUP($AH324,Target_monthwise!$D$4:$O$20,DTR!J$4,FALSE))*1000,0)</f>
        <v>0</v>
      </c>
      <c r="K324" s="238">
        <f>IFERROR((HLOOKUP($AH324,Target_monthwise!$D$4:$O$20,DTR!K$4,FALSE))*1000,0)</f>
        <v>0</v>
      </c>
      <c r="L324" s="238">
        <f>IFERROR((HLOOKUP($AH324,Target_monthwise!$D$4:$O$20,DTR!L$4,FALSE))*1000,0)</f>
        <v>0</v>
      </c>
      <c r="M324" s="238">
        <f>IFERROR((HLOOKUP($AH324,Target_monthwise!$D$4:$O$20,DTR!M$4,FALSE))*1000,0)</f>
        <v>0</v>
      </c>
      <c r="N324" s="238">
        <f>IFERROR((HLOOKUP($AH324,Target_monthwise!$D$4:$O$20,DTR!N$4,FALSE))*1000,0)</f>
        <v>0</v>
      </c>
      <c r="O324" s="238">
        <f>IFERROR((HLOOKUP($AH324,Target_monthwise!$D$4:$O$20,DTR!O$4,FALSE))*1000,0)</f>
        <v>0</v>
      </c>
      <c r="P324" s="238">
        <f>IFERROR((HLOOKUP($AH324,Target_monthwise!$D$4:$O$20,DTR!P$4,FALSE))*1000,0)</f>
        <v>0</v>
      </c>
      <c r="Q324" s="141">
        <f>IFERROR((HLOOKUP($AH324,Target_monthwise!$D$4:$O$20,DTR!Q$4,FALSE))*1000,0)</f>
        <v>0</v>
      </c>
      <c r="R324" s="167">
        <f>IFERROR((HLOOKUP($AH324,Target_monthwise!$D$4:$O$20,DTR!R$4,FALSE))*1000,0)</f>
        <v>0</v>
      </c>
      <c r="S324" s="239">
        <f>IFERROR((HLOOKUP($AH324,Target_monthwise!$D$24:$O$40,DTR!S$4,FALSE)),0)</f>
        <v>0</v>
      </c>
      <c r="T324" s="239">
        <f>IFERROR((HLOOKUP($AH324,Target_monthwise!$D$24:$O$40,DTR!T$4,FALSE)),0)</f>
        <v>0</v>
      </c>
      <c r="U324" s="239">
        <f>IFERROR((HLOOKUP($AH324,Target_monthwise!$D$24:$O$40,DTR!U$4,FALSE)),0)</f>
        <v>0</v>
      </c>
      <c r="V324" s="239">
        <f>IFERROR((HLOOKUP($AH324,Target_monthwise!$D$24:$O$40,DTR!V$4,FALSE)),0)</f>
        <v>0</v>
      </c>
      <c r="W324" s="239">
        <f>IFERROR((HLOOKUP($AH324,Target_monthwise!$D$24:$O$40,DTR!W$4,FALSE)),0)</f>
        <v>0</v>
      </c>
      <c r="X324" s="239">
        <f>IFERROR((HLOOKUP($AH324,Target_monthwise!$D$24:$O$40,DTR!X$4,FALSE)),0)</f>
        <v>0</v>
      </c>
      <c r="Y324" s="239">
        <f>IFERROR((HLOOKUP($AH324,Target_monthwise!$D$24:$O$40,DTR!Y$4,FALSE)),0)</f>
        <v>0</v>
      </c>
      <c r="Z324" s="147">
        <f>IFERROR((HLOOKUP($AH324,Target_monthwise!$D$24:$O$40,DTR!Z$4,FALSE)),0)</f>
        <v>0</v>
      </c>
      <c r="AA324" s="147">
        <f>IFERROR((HLOOKUP($AH324,Target_monthwise!$D$24:$O$40,DTR!AA$4,FALSE)),0)</f>
        <v>0</v>
      </c>
      <c r="AB324" s="147">
        <f>IFERROR((HLOOKUP($AH324,Target_monthwise!$D$24:$O$40,DTR!AB$4,FALSE)),0)</f>
        <v>0</v>
      </c>
      <c r="AC324" s="239">
        <f>IFERROR((HLOOKUP($AH324,Target_monthwise!$D$24:$O$40,DTR!AC$4,FALSE)),0)</f>
        <v>0</v>
      </c>
      <c r="AD324" s="239">
        <f>IFERROR((HLOOKUP($AH324,Target_monthwise!$D$24:$O$40,DTR!AD$4,FALSE)),0)</f>
        <v>0</v>
      </c>
      <c r="AE324" s="239">
        <f>IFERROR((HLOOKUP($AH324,Target_monthwise!$D$24:$O$40,DTR!AE$4,FALSE)),0)</f>
        <v>0</v>
      </c>
      <c r="AF324" s="239">
        <f>IFERROR((HLOOKUP($AH324,Target_monthwise!$D$24:$O$40,DTR!AF$4,FALSE)),0)</f>
        <v>0</v>
      </c>
      <c r="AG324" s="172">
        <f>IFERROR((HLOOKUP($AH324,Target_monthwise!$D$24:$O$40,DTR!AG$4,FALSE)),0)</f>
        <v>0</v>
      </c>
      <c r="AH324" s="253">
        <f t="shared" si="4"/>
        <v>202302</v>
      </c>
    </row>
    <row r="325" spans="3:34" ht="15.75" hidden="1">
      <c r="C325" s="235">
        <v>44968</v>
      </c>
      <c r="D325" s="141">
        <f>IFERROR((HLOOKUP($AH325,Target_monthwise!$D$4:$O$20,DTR!D$4,FALSE))*1000,0)</f>
        <v>0</v>
      </c>
      <c r="E325" s="141">
        <f>IFERROR((HLOOKUP($AH325,Target_monthwise!$D$4:$O$20,DTR!E$4,FALSE))*1000,0)</f>
        <v>0</v>
      </c>
      <c r="F325" s="141">
        <f>IFERROR((HLOOKUP($AH325,Target_monthwise!$D$4:$O$20,DTR!F$4,FALSE))*1000,0)</f>
        <v>0</v>
      </c>
      <c r="G325" s="141">
        <f>IFERROR((HLOOKUP($AH325,Target_monthwise!$D$4:$O$20,DTR!G$4,FALSE))*1000,0)</f>
        <v>0</v>
      </c>
      <c r="H325" s="141">
        <f>IFERROR((HLOOKUP($AH325,Target_monthwise!$D$4:$O$20,DTR!H$4,FALSE))*1000,0)</f>
        <v>0</v>
      </c>
      <c r="I325" s="141">
        <f>IFERROR((HLOOKUP($AH325,Target_monthwise!$D$4:$O$20,DTR!I$4,FALSE))*1000,0)</f>
        <v>0</v>
      </c>
      <c r="J325" s="141">
        <f>IFERROR((HLOOKUP($AH325,Target_monthwise!$D$4:$O$20,DTR!J$4,FALSE))*1000,0)</f>
        <v>0</v>
      </c>
      <c r="K325" s="141">
        <f>IFERROR((HLOOKUP($AH325,Target_monthwise!$D$4:$O$20,DTR!K$4,FALSE))*1000,0)</f>
        <v>0</v>
      </c>
      <c r="L325" s="141">
        <f>IFERROR((HLOOKUP($AH325,Target_monthwise!$D$4:$O$20,DTR!L$4,FALSE))*1000,0)</f>
        <v>0</v>
      </c>
      <c r="M325" s="141">
        <f>IFERROR((HLOOKUP($AH325,Target_monthwise!$D$4:$O$20,DTR!M$4,FALSE))*1000,0)</f>
        <v>0</v>
      </c>
      <c r="N325" s="141">
        <f>IFERROR((HLOOKUP($AH325,Target_monthwise!$D$4:$O$20,DTR!N$4,FALSE))*1000,0)</f>
        <v>0</v>
      </c>
      <c r="O325" s="141">
        <f>IFERROR((HLOOKUP($AH325,Target_monthwise!$D$4:$O$20,DTR!O$4,FALSE))*1000,0)</f>
        <v>0</v>
      </c>
      <c r="P325" s="141">
        <f>IFERROR((HLOOKUP($AH325,Target_monthwise!$D$4:$O$20,DTR!P$4,FALSE))*1000,0)</f>
        <v>0</v>
      </c>
      <c r="Q325" s="141">
        <f>IFERROR((HLOOKUP($AH325,Target_monthwise!$D$4:$O$20,DTR!Q$4,FALSE))*1000,0)</f>
        <v>0</v>
      </c>
      <c r="R325" s="167">
        <f>IFERROR((HLOOKUP($AH325,Target_monthwise!$D$4:$O$20,DTR!R$4,FALSE))*1000,0)</f>
        <v>0</v>
      </c>
      <c r="S325" s="147">
        <f>IFERROR((HLOOKUP($AH325,Target_monthwise!$D$24:$O$40,DTR!S$4,FALSE)),0)</f>
        <v>0</v>
      </c>
      <c r="T325" s="147">
        <f>IFERROR((HLOOKUP($AH325,Target_monthwise!$D$24:$O$40,DTR!T$4,FALSE)),0)</f>
        <v>0</v>
      </c>
      <c r="U325" s="147">
        <f>IFERROR((HLOOKUP($AH325,Target_monthwise!$D$24:$O$40,DTR!U$4,FALSE)),0)</f>
        <v>0</v>
      </c>
      <c r="V325" s="147">
        <f>IFERROR((HLOOKUP($AH325,Target_monthwise!$D$24:$O$40,DTR!V$4,FALSE)),0)</f>
        <v>0</v>
      </c>
      <c r="W325" s="147">
        <f>IFERROR((HLOOKUP($AH325,Target_monthwise!$D$24:$O$40,DTR!W$4,FALSE)),0)</f>
        <v>0</v>
      </c>
      <c r="X325" s="147">
        <f>IFERROR((HLOOKUP($AH325,Target_monthwise!$D$24:$O$40,DTR!X$4,FALSE)),0)</f>
        <v>0</v>
      </c>
      <c r="Y325" s="147">
        <f>IFERROR((HLOOKUP($AH325,Target_monthwise!$D$24:$O$40,DTR!Y$4,FALSE)),0)</f>
        <v>0</v>
      </c>
      <c r="Z325" s="147">
        <f>IFERROR((HLOOKUP($AH325,Target_monthwise!$D$24:$O$40,DTR!Z$4,FALSE)),0)</f>
        <v>0</v>
      </c>
      <c r="AA325" s="147">
        <f>IFERROR((HLOOKUP($AH325,Target_monthwise!$D$24:$O$40,DTR!AA$4,FALSE)),0)</f>
        <v>0</v>
      </c>
      <c r="AB325" s="147">
        <f>IFERROR((HLOOKUP($AH325,Target_monthwise!$D$24:$O$40,DTR!AB$4,FALSE)),0)</f>
        <v>0</v>
      </c>
      <c r="AC325" s="147">
        <f>IFERROR((HLOOKUP($AH325,Target_monthwise!$D$24:$O$40,DTR!AC$4,FALSE)),0)</f>
        <v>0</v>
      </c>
      <c r="AD325" s="147">
        <f>IFERROR((HLOOKUP($AH325,Target_monthwise!$D$24:$O$40,DTR!AD$4,FALSE)),0)</f>
        <v>0</v>
      </c>
      <c r="AE325" s="147">
        <f>IFERROR((HLOOKUP($AH325,Target_monthwise!$D$24:$O$40,DTR!AE$4,FALSE)),0)</f>
        <v>0</v>
      </c>
      <c r="AF325" s="147">
        <f>IFERROR((HLOOKUP($AH325,Target_monthwise!$D$24:$O$40,DTR!AF$4,FALSE)),0)</f>
        <v>0</v>
      </c>
      <c r="AG325" s="172">
        <f>IFERROR((HLOOKUP($AH325,Target_monthwise!$D$24:$O$40,DTR!AG$4,FALSE)),0)</f>
        <v>0</v>
      </c>
      <c r="AH325" s="253">
        <f t="shared" si="4"/>
        <v>202302</v>
      </c>
    </row>
    <row r="326" spans="3:34" ht="15.75" hidden="1">
      <c r="C326" s="237">
        <v>44969</v>
      </c>
      <c r="D326" s="238">
        <f>IFERROR((HLOOKUP($AH326,Target_monthwise!$D$4:$O$20,DTR!D$4,FALSE))*1000,0)</f>
        <v>0</v>
      </c>
      <c r="E326" s="238">
        <f>IFERROR((HLOOKUP($AH326,Target_monthwise!$D$4:$O$20,DTR!E$4,FALSE))*1000,0)</f>
        <v>0</v>
      </c>
      <c r="F326" s="238">
        <f>IFERROR((HLOOKUP($AH326,Target_monthwise!$D$4:$O$20,DTR!F$4,FALSE))*1000,0)</f>
        <v>0</v>
      </c>
      <c r="G326" s="238">
        <f>IFERROR((HLOOKUP($AH326,Target_monthwise!$D$4:$O$20,DTR!G$4,FALSE))*1000,0)</f>
        <v>0</v>
      </c>
      <c r="H326" s="238">
        <f>IFERROR((HLOOKUP($AH326,Target_monthwise!$D$4:$O$20,DTR!H$4,FALSE))*1000,0)</f>
        <v>0</v>
      </c>
      <c r="I326" s="238">
        <f>IFERROR((HLOOKUP($AH326,Target_monthwise!$D$4:$O$20,DTR!I$4,FALSE))*1000,0)</f>
        <v>0</v>
      </c>
      <c r="J326" s="238">
        <f>IFERROR((HLOOKUP($AH326,Target_monthwise!$D$4:$O$20,DTR!J$4,FALSE))*1000,0)</f>
        <v>0</v>
      </c>
      <c r="K326" s="238">
        <f>IFERROR((HLOOKUP($AH326,Target_monthwise!$D$4:$O$20,DTR!K$4,FALSE))*1000,0)</f>
        <v>0</v>
      </c>
      <c r="L326" s="238">
        <f>IFERROR((HLOOKUP($AH326,Target_monthwise!$D$4:$O$20,DTR!L$4,FALSE))*1000,0)</f>
        <v>0</v>
      </c>
      <c r="M326" s="238">
        <f>IFERROR((HLOOKUP($AH326,Target_monthwise!$D$4:$O$20,DTR!M$4,FALSE))*1000,0)</f>
        <v>0</v>
      </c>
      <c r="N326" s="238">
        <f>IFERROR((HLOOKUP($AH326,Target_monthwise!$D$4:$O$20,DTR!N$4,FALSE))*1000,0)</f>
        <v>0</v>
      </c>
      <c r="O326" s="238">
        <f>IFERROR((HLOOKUP($AH326,Target_monthwise!$D$4:$O$20,DTR!O$4,FALSE))*1000,0)</f>
        <v>0</v>
      </c>
      <c r="P326" s="238">
        <f>IFERROR((HLOOKUP($AH326,Target_monthwise!$D$4:$O$20,DTR!P$4,FALSE))*1000,0)</f>
        <v>0</v>
      </c>
      <c r="Q326" s="141">
        <f>IFERROR((HLOOKUP($AH326,Target_monthwise!$D$4:$O$20,DTR!Q$4,FALSE))*1000,0)</f>
        <v>0</v>
      </c>
      <c r="R326" s="167">
        <f>IFERROR((HLOOKUP($AH326,Target_monthwise!$D$4:$O$20,DTR!R$4,FALSE))*1000,0)</f>
        <v>0</v>
      </c>
      <c r="S326" s="239">
        <f>IFERROR((HLOOKUP($AH326,Target_monthwise!$D$24:$O$40,DTR!S$4,FALSE)),0)</f>
        <v>0</v>
      </c>
      <c r="T326" s="239">
        <f>IFERROR((HLOOKUP($AH326,Target_monthwise!$D$24:$O$40,DTR!T$4,FALSE)),0)</f>
        <v>0</v>
      </c>
      <c r="U326" s="239">
        <f>IFERROR((HLOOKUP($AH326,Target_monthwise!$D$24:$O$40,DTR!U$4,FALSE)),0)</f>
        <v>0</v>
      </c>
      <c r="V326" s="239">
        <f>IFERROR((HLOOKUP($AH326,Target_monthwise!$D$24:$O$40,DTR!V$4,FALSE)),0)</f>
        <v>0</v>
      </c>
      <c r="W326" s="239">
        <f>IFERROR((HLOOKUP($AH326,Target_monthwise!$D$24:$O$40,DTR!W$4,FALSE)),0)</f>
        <v>0</v>
      </c>
      <c r="X326" s="239">
        <f>IFERROR((HLOOKUP($AH326,Target_monthwise!$D$24:$O$40,DTR!X$4,FALSE)),0)</f>
        <v>0</v>
      </c>
      <c r="Y326" s="239">
        <f>IFERROR((HLOOKUP($AH326,Target_monthwise!$D$24:$O$40,DTR!Y$4,FALSE)),0)</f>
        <v>0</v>
      </c>
      <c r="Z326" s="147">
        <f>IFERROR((HLOOKUP($AH326,Target_monthwise!$D$24:$O$40,DTR!Z$4,FALSE)),0)</f>
        <v>0</v>
      </c>
      <c r="AA326" s="147">
        <f>IFERROR((HLOOKUP($AH326,Target_monthwise!$D$24:$O$40,DTR!AA$4,FALSE)),0)</f>
        <v>0</v>
      </c>
      <c r="AB326" s="147">
        <f>IFERROR((HLOOKUP($AH326,Target_monthwise!$D$24:$O$40,DTR!AB$4,FALSE)),0)</f>
        <v>0</v>
      </c>
      <c r="AC326" s="239">
        <f>IFERROR((HLOOKUP($AH326,Target_monthwise!$D$24:$O$40,DTR!AC$4,FALSE)),0)</f>
        <v>0</v>
      </c>
      <c r="AD326" s="239">
        <f>IFERROR((HLOOKUP($AH326,Target_monthwise!$D$24:$O$40,DTR!AD$4,FALSE)),0)</f>
        <v>0</v>
      </c>
      <c r="AE326" s="239">
        <f>IFERROR((HLOOKUP($AH326,Target_monthwise!$D$24:$O$40,DTR!AE$4,FALSE)),0)</f>
        <v>0</v>
      </c>
      <c r="AF326" s="239">
        <f>IFERROR((HLOOKUP($AH326,Target_monthwise!$D$24:$O$40,DTR!AF$4,FALSE)),0)</f>
        <v>0</v>
      </c>
      <c r="AG326" s="172">
        <f>IFERROR((HLOOKUP($AH326,Target_monthwise!$D$24:$O$40,DTR!AG$4,FALSE)),0)</f>
        <v>0</v>
      </c>
      <c r="AH326" s="253">
        <f t="shared" si="4"/>
        <v>202302</v>
      </c>
    </row>
    <row r="327" spans="3:34" ht="15.75" hidden="1">
      <c r="C327" s="235">
        <v>44970</v>
      </c>
      <c r="D327" s="141">
        <f>IFERROR((HLOOKUP($AH327,Target_monthwise!$D$4:$O$20,DTR!D$4,FALSE))*1000,0)</f>
        <v>0</v>
      </c>
      <c r="E327" s="141">
        <f>IFERROR((HLOOKUP($AH327,Target_monthwise!$D$4:$O$20,DTR!E$4,FALSE))*1000,0)</f>
        <v>0</v>
      </c>
      <c r="F327" s="141">
        <f>IFERROR((HLOOKUP($AH327,Target_monthwise!$D$4:$O$20,DTR!F$4,FALSE))*1000,0)</f>
        <v>0</v>
      </c>
      <c r="G327" s="141">
        <f>IFERROR((HLOOKUP($AH327,Target_monthwise!$D$4:$O$20,DTR!G$4,FALSE))*1000,0)</f>
        <v>0</v>
      </c>
      <c r="H327" s="141">
        <f>IFERROR((HLOOKUP($AH327,Target_monthwise!$D$4:$O$20,DTR!H$4,FALSE))*1000,0)</f>
        <v>0</v>
      </c>
      <c r="I327" s="141">
        <f>IFERROR((HLOOKUP($AH327,Target_monthwise!$D$4:$O$20,DTR!I$4,FALSE))*1000,0)</f>
        <v>0</v>
      </c>
      <c r="J327" s="141">
        <f>IFERROR((HLOOKUP($AH327,Target_monthwise!$D$4:$O$20,DTR!J$4,FALSE))*1000,0)</f>
        <v>0</v>
      </c>
      <c r="K327" s="141">
        <f>IFERROR((HLOOKUP($AH327,Target_monthwise!$D$4:$O$20,DTR!K$4,FALSE))*1000,0)</f>
        <v>0</v>
      </c>
      <c r="L327" s="141">
        <f>IFERROR((HLOOKUP($AH327,Target_monthwise!$D$4:$O$20,DTR!L$4,FALSE))*1000,0)</f>
        <v>0</v>
      </c>
      <c r="M327" s="141">
        <f>IFERROR((HLOOKUP($AH327,Target_monthwise!$D$4:$O$20,DTR!M$4,FALSE))*1000,0)</f>
        <v>0</v>
      </c>
      <c r="N327" s="141">
        <f>IFERROR((HLOOKUP($AH327,Target_monthwise!$D$4:$O$20,DTR!N$4,FALSE))*1000,0)</f>
        <v>0</v>
      </c>
      <c r="O327" s="141">
        <f>IFERROR((HLOOKUP($AH327,Target_monthwise!$D$4:$O$20,DTR!O$4,FALSE))*1000,0)</f>
        <v>0</v>
      </c>
      <c r="P327" s="141">
        <f>IFERROR((HLOOKUP($AH327,Target_monthwise!$D$4:$O$20,DTR!P$4,FALSE))*1000,0)</f>
        <v>0</v>
      </c>
      <c r="Q327" s="141">
        <f>IFERROR((HLOOKUP($AH327,Target_monthwise!$D$4:$O$20,DTR!Q$4,FALSE))*1000,0)</f>
        <v>0</v>
      </c>
      <c r="R327" s="167">
        <f>IFERROR((HLOOKUP($AH327,Target_monthwise!$D$4:$O$20,DTR!R$4,FALSE))*1000,0)</f>
        <v>0</v>
      </c>
      <c r="S327" s="147">
        <f>IFERROR((HLOOKUP($AH327,Target_monthwise!$D$24:$O$40,DTR!S$4,FALSE)),0)</f>
        <v>0</v>
      </c>
      <c r="T327" s="147">
        <f>IFERROR((HLOOKUP($AH327,Target_monthwise!$D$24:$O$40,DTR!T$4,FALSE)),0)</f>
        <v>0</v>
      </c>
      <c r="U327" s="147">
        <f>IFERROR((HLOOKUP($AH327,Target_monthwise!$D$24:$O$40,DTR!U$4,FALSE)),0)</f>
        <v>0</v>
      </c>
      <c r="V327" s="147">
        <f>IFERROR((HLOOKUP($AH327,Target_monthwise!$D$24:$O$40,DTR!V$4,FALSE)),0)</f>
        <v>0</v>
      </c>
      <c r="W327" s="147">
        <f>IFERROR((HLOOKUP($AH327,Target_monthwise!$D$24:$O$40,DTR!W$4,FALSE)),0)</f>
        <v>0</v>
      </c>
      <c r="X327" s="147">
        <f>IFERROR((HLOOKUP($AH327,Target_monthwise!$D$24:$O$40,DTR!X$4,FALSE)),0)</f>
        <v>0</v>
      </c>
      <c r="Y327" s="147">
        <f>IFERROR((HLOOKUP($AH327,Target_monthwise!$D$24:$O$40,DTR!Y$4,FALSE)),0)</f>
        <v>0</v>
      </c>
      <c r="Z327" s="147">
        <f>IFERROR((HLOOKUP($AH327,Target_monthwise!$D$24:$O$40,DTR!Z$4,FALSE)),0)</f>
        <v>0</v>
      </c>
      <c r="AA327" s="147">
        <f>IFERROR((HLOOKUP($AH327,Target_monthwise!$D$24:$O$40,DTR!AA$4,FALSE)),0)</f>
        <v>0</v>
      </c>
      <c r="AB327" s="147">
        <f>IFERROR((HLOOKUP($AH327,Target_monthwise!$D$24:$O$40,DTR!AB$4,FALSE)),0)</f>
        <v>0</v>
      </c>
      <c r="AC327" s="147">
        <f>IFERROR((HLOOKUP($AH327,Target_monthwise!$D$24:$O$40,DTR!AC$4,FALSE)),0)</f>
        <v>0</v>
      </c>
      <c r="AD327" s="147">
        <f>IFERROR((HLOOKUP($AH327,Target_monthwise!$D$24:$O$40,DTR!AD$4,FALSE)),0)</f>
        <v>0</v>
      </c>
      <c r="AE327" s="147">
        <f>IFERROR((HLOOKUP($AH327,Target_monthwise!$D$24:$O$40,DTR!AE$4,FALSE)),0)</f>
        <v>0</v>
      </c>
      <c r="AF327" s="147">
        <f>IFERROR((HLOOKUP($AH327,Target_monthwise!$D$24:$O$40,DTR!AF$4,FALSE)),0)</f>
        <v>0</v>
      </c>
      <c r="AG327" s="172">
        <f>IFERROR((HLOOKUP($AH327,Target_monthwise!$D$24:$O$40,DTR!AG$4,FALSE)),0)</f>
        <v>0</v>
      </c>
      <c r="AH327" s="253">
        <f t="shared" si="4"/>
        <v>202302</v>
      </c>
    </row>
    <row r="328" spans="3:34" ht="15.75" hidden="1">
      <c r="C328" s="237">
        <v>44971</v>
      </c>
      <c r="D328" s="238">
        <f>IFERROR((HLOOKUP($AH328,Target_monthwise!$D$4:$O$20,DTR!D$4,FALSE))*1000,0)</f>
        <v>0</v>
      </c>
      <c r="E328" s="238">
        <f>IFERROR((HLOOKUP($AH328,Target_monthwise!$D$4:$O$20,DTR!E$4,FALSE))*1000,0)</f>
        <v>0</v>
      </c>
      <c r="F328" s="238">
        <f>IFERROR((HLOOKUP($AH328,Target_monthwise!$D$4:$O$20,DTR!F$4,FALSE))*1000,0)</f>
        <v>0</v>
      </c>
      <c r="G328" s="238">
        <f>IFERROR((HLOOKUP($AH328,Target_monthwise!$D$4:$O$20,DTR!G$4,FALSE))*1000,0)</f>
        <v>0</v>
      </c>
      <c r="H328" s="238">
        <f>IFERROR((HLOOKUP($AH328,Target_monthwise!$D$4:$O$20,DTR!H$4,FALSE))*1000,0)</f>
        <v>0</v>
      </c>
      <c r="I328" s="238">
        <f>IFERROR((HLOOKUP($AH328,Target_monthwise!$D$4:$O$20,DTR!I$4,FALSE))*1000,0)</f>
        <v>0</v>
      </c>
      <c r="J328" s="238">
        <f>IFERROR((HLOOKUP($AH328,Target_monthwise!$D$4:$O$20,DTR!J$4,FALSE))*1000,0)</f>
        <v>0</v>
      </c>
      <c r="K328" s="238">
        <f>IFERROR((HLOOKUP($AH328,Target_monthwise!$D$4:$O$20,DTR!K$4,FALSE))*1000,0)</f>
        <v>0</v>
      </c>
      <c r="L328" s="238">
        <f>IFERROR((HLOOKUP($AH328,Target_monthwise!$D$4:$O$20,DTR!L$4,FALSE))*1000,0)</f>
        <v>0</v>
      </c>
      <c r="M328" s="238">
        <f>IFERROR((HLOOKUP($AH328,Target_monthwise!$D$4:$O$20,DTR!M$4,FALSE))*1000,0)</f>
        <v>0</v>
      </c>
      <c r="N328" s="238">
        <f>IFERROR((HLOOKUP($AH328,Target_monthwise!$D$4:$O$20,DTR!N$4,FALSE))*1000,0)</f>
        <v>0</v>
      </c>
      <c r="O328" s="238">
        <f>IFERROR((HLOOKUP($AH328,Target_monthwise!$D$4:$O$20,DTR!O$4,FALSE))*1000,0)</f>
        <v>0</v>
      </c>
      <c r="P328" s="238">
        <f>IFERROR((HLOOKUP($AH328,Target_monthwise!$D$4:$O$20,DTR!P$4,FALSE))*1000,0)</f>
        <v>0</v>
      </c>
      <c r="Q328" s="141">
        <f>IFERROR((HLOOKUP($AH328,Target_monthwise!$D$4:$O$20,DTR!Q$4,FALSE))*1000,0)</f>
        <v>0</v>
      </c>
      <c r="R328" s="167">
        <f>IFERROR((HLOOKUP($AH328,Target_monthwise!$D$4:$O$20,DTR!R$4,FALSE))*1000,0)</f>
        <v>0</v>
      </c>
      <c r="S328" s="239">
        <f>IFERROR((HLOOKUP($AH328,Target_monthwise!$D$24:$O$40,DTR!S$4,FALSE)),0)</f>
        <v>0</v>
      </c>
      <c r="T328" s="239">
        <f>IFERROR((HLOOKUP($AH328,Target_monthwise!$D$24:$O$40,DTR!T$4,FALSE)),0)</f>
        <v>0</v>
      </c>
      <c r="U328" s="239">
        <f>IFERROR((HLOOKUP($AH328,Target_monthwise!$D$24:$O$40,DTR!U$4,FALSE)),0)</f>
        <v>0</v>
      </c>
      <c r="V328" s="239">
        <f>IFERROR((HLOOKUP($AH328,Target_monthwise!$D$24:$O$40,DTR!V$4,FALSE)),0)</f>
        <v>0</v>
      </c>
      <c r="W328" s="239">
        <f>IFERROR((HLOOKUP($AH328,Target_monthwise!$D$24:$O$40,DTR!W$4,FALSE)),0)</f>
        <v>0</v>
      </c>
      <c r="X328" s="239">
        <f>IFERROR((HLOOKUP($AH328,Target_monthwise!$D$24:$O$40,DTR!X$4,FALSE)),0)</f>
        <v>0</v>
      </c>
      <c r="Y328" s="239">
        <f>IFERROR((HLOOKUP($AH328,Target_monthwise!$D$24:$O$40,DTR!Y$4,FALSE)),0)</f>
        <v>0</v>
      </c>
      <c r="Z328" s="147">
        <f>IFERROR((HLOOKUP($AH328,Target_monthwise!$D$24:$O$40,DTR!Z$4,FALSE)),0)</f>
        <v>0</v>
      </c>
      <c r="AA328" s="147">
        <f>IFERROR((HLOOKUP($AH328,Target_monthwise!$D$24:$O$40,DTR!AA$4,FALSE)),0)</f>
        <v>0</v>
      </c>
      <c r="AB328" s="147">
        <f>IFERROR((HLOOKUP($AH328,Target_monthwise!$D$24:$O$40,DTR!AB$4,FALSE)),0)</f>
        <v>0</v>
      </c>
      <c r="AC328" s="239">
        <f>IFERROR((HLOOKUP($AH328,Target_monthwise!$D$24:$O$40,DTR!AC$4,FALSE)),0)</f>
        <v>0</v>
      </c>
      <c r="AD328" s="239">
        <f>IFERROR((HLOOKUP($AH328,Target_monthwise!$D$24:$O$40,DTR!AD$4,FALSE)),0)</f>
        <v>0</v>
      </c>
      <c r="AE328" s="239">
        <f>IFERROR((HLOOKUP($AH328,Target_monthwise!$D$24:$O$40,DTR!AE$4,FALSE)),0)</f>
        <v>0</v>
      </c>
      <c r="AF328" s="239">
        <f>IFERROR((HLOOKUP($AH328,Target_monthwise!$D$24:$O$40,DTR!AF$4,FALSE)),0)</f>
        <v>0</v>
      </c>
      <c r="AG328" s="172">
        <f>IFERROR((HLOOKUP($AH328,Target_monthwise!$D$24:$O$40,DTR!AG$4,FALSE)),0)</f>
        <v>0</v>
      </c>
      <c r="AH328" s="253">
        <f t="shared" si="4"/>
        <v>202302</v>
      </c>
    </row>
    <row r="329" spans="3:34" ht="15.75" hidden="1">
      <c r="C329" s="235">
        <v>44972</v>
      </c>
      <c r="D329" s="141">
        <f>IFERROR((HLOOKUP($AH329,Target_monthwise!$D$4:$O$20,DTR!D$4,FALSE))*1000,0)</f>
        <v>0</v>
      </c>
      <c r="E329" s="141">
        <f>IFERROR((HLOOKUP($AH329,Target_monthwise!$D$4:$O$20,DTR!E$4,FALSE))*1000,0)</f>
        <v>0</v>
      </c>
      <c r="F329" s="141">
        <f>IFERROR((HLOOKUP($AH329,Target_monthwise!$D$4:$O$20,DTR!F$4,FALSE))*1000,0)</f>
        <v>0</v>
      </c>
      <c r="G329" s="141">
        <f>IFERROR((HLOOKUP($AH329,Target_monthwise!$D$4:$O$20,DTR!G$4,FALSE))*1000,0)</f>
        <v>0</v>
      </c>
      <c r="H329" s="141">
        <f>IFERROR((HLOOKUP($AH329,Target_monthwise!$D$4:$O$20,DTR!H$4,FALSE))*1000,0)</f>
        <v>0</v>
      </c>
      <c r="I329" s="141">
        <f>IFERROR((HLOOKUP($AH329,Target_monthwise!$D$4:$O$20,DTR!I$4,FALSE))*1000,0)</f>
        <v>0</v>
      </c>
      <c r="J329" s="141">
        <f>IFERROR((HLOOKUP($AH329,Target_monthwise!$D$4:$O$20,DTR!J$4,FALSE))*1000,0)</f>
        <v>0</v>
      </c>
      <c r="K329" s="141">
        <f>IFERROR((HLOOKUP($AH329,Target_monthwise!$D$4:$O$20,DTR!K$4,FALSE))*1000,0)</f>
        <v>0</v>
      </c>
      <c r="L329" s="141">
        <f>IFERROR((HLOOKUP($AH329,Target_monthwise!$D$4:$O$20,DTR!L$4,FALSE))*1000,0)</f>
        <v>0</v>
      </c>
      <c r="M329" s="141">
        <f>IFERROR((HLOOKUP($AH329,Target_monthwise!$D$4:$O$20,DTR!M$4,FALSE))*1000,0)</f>
        <v>0</v>
      </c>
      <c r="N329" s="141">
        <f>IFERROR((HLOOKUP($AH329,Target_monthwise!$D$4:$O$20,DTR!N$4,FALSE))*1000,0)</f>
        <v>0</v>
      </c>
      <c r="O329" s="141">
        <f>IFERROR((HLOOKUP($AH329,Target_monthwise!$D$4:$O$20,DTR!O$4,FALSE))*1000,0)</f>
        <v>0</v>
      </c>
      <c r="P329" s="141">
        <f>IFERROR((HLOOKUP($AH329,Target_monthwise!$D$4:$O$20,DTR!P$4,FALSE))*1000,0)</f>
        <v>0</v>
      </c>
      <c r="Q329" s="141">
        <f>IFERROR((HLOOKUP($AH329,Target_monthwise!$D$4:$O$20,DTR!Q$4,FALSE))*1000,0)</f>
        <v>0</v>
      </c>
      <c r="R329" s="167">
        <f>IFERROR((HLOOKUP($AH329,Target_monthwise!$D$4:$O$20,DTR!R$4,FALSE))*1000,0)</f>
        <v>0</v>
      </c>
      <c r="S329" s="147">
        <f>IFERROR((HLOOKUP($AH329,Target_monthwise!$D$24:$O$40,DTR!S$4,FALSE)),0)</f>
        <v>0</v>
      </c>
      <c r="T329" s="147">
        <f>IFERROR((HLOOKUP($AH329,Target_monthwise!$D$24:$O$40,DTR!T$4,FALSE)),0)</f>
        <v>0</v>
      </c>
      <c r="U329" s="147">
        <f>IFERROR((HLOOKUP($AH329,Target_monthwise!$D$24:$O$40,DTR!U$4,FALSE)),0)</f>
        <v>0</v>
      </c>
      <c r="V329" s="147">
        <f>IFERROR((HLOOKUP($AH329,Target_monthwise!$D$24:$O$40,DTR!V$4,FALSE)),0)</f>
        <v>0</v>
      </c>
      <c r="W329" s="147">
        <f>IFERROR((HLOOKUP($AH329,Target_monthwise!$D$24:$O$40,DTR!W$4,FALSE)),0)</f>
        <v>0</v>
      </c>
      <c r="X329" s="147">
        <f>IFERROR((HLOOKUP($AH329,Target_monthwise!$D$24:$O$40,DTR!X$4,FALSE)),0)</f>
        <v>0</v>
      </c>
      <c r="Y329" s="147">
        <f>IFERROR((HLOOKUP($AH329,Target_monthwise!$D$24:$O$40,DTR!Y$4,FALSE)),0)</f>
        <v>0</v>
      </c>
      <c r="Z329" s="147">
        <f>IFERROR((HLOOKUP($AH329,Target_monthwise!$D$24:$O$40,DTR!Z$4,FALSE)),0)</f>
        <v>0</v>
      </c>
      <c r="AA329" s="147">
        <f>IFERROR((HLOOKUP($AH329,Target_monthwise!$D$24:$O$40,DTR!AA$4,FALSE)),0)</f>
        <v>0</v>
      </c>
      <c r="AB329" s="147">
        <f>IFERROR((HLOOKUP($AH329,Target_monthwise!$D$24:$O$40,DTR!AB$4,FALSE)),0)</f>
        <v>0</v>
      </c>
      <c r="AC329" s="147">
        <f>IFERROR((HLOOKUP($AH329,Target_monthwise!$D$24:$O$40,DTR!AC$4,FALSE)),0)</f>
        <v>0</v>
      </c>
      <c r="AD329" s="147">
        <f>IFERROR((HLOOKUP($AH329,Target_monthwise!$D$24:$O$40,DTR!AD$4,FALSE)),0)</f>
        <v>0</v>
      </c>
      <c r="AE329" s="147">
        <f>IFERROR((HLOOKUP($AH329,Target_monthwise!$D$24:$O$40,DTR!AE$4,FALSE)),0)</f>
        <v>0</v>
      </c>
      <c r="AF329" s="147">
        <f>IFERROR((HLOOKUP($AH329,Target_monthwise!$D$24:$O$40,DTR!AF$4,FALSE)),0)</f>
        <v>0</v>
      </c>
      <c r="AG329" s="172">
        <f>IFERROR((HLOOKUP($AH329,Target_monthwise!$D$24:$O$40,DTR!AG$4,FALSE)),0)</f>
        <v>0</v>
      </c>
      <c r="AH329" s="253">
        <f t="shared" si="4"/>
        <v>202302</v>
      </c>
    </row>
    <row r="330" spans="3:34" ht="15.75" hidden="1">
      <c r="C330" s="237">
        <v>44973</v>
      </c>
      <c r="D330" s="238">
        <f>IFERROR((HLOOKUP($AH330,Target_monthwise!$D$4:$O$20,DTR!D$4,FALSE))*1000,0)</f>
        <v>0</v>
      </c>
      <c r="E330" s="238">
        <f>IFERROR((HLOOKUP($AH330,Target_monthwise!$D$4:$O$20,DTR!E$4,FALSE))*1000,0)</f>
        <v>0</v>
      </c>
      <c r="F330" s="238">
        <f>IFERROR((HLOOKUP($AH330,Target_monthwise!$D$4:$O$20,DTR!F$4,FALSE))*1000,0)</f>
        <v>0</v>
      </c>
      <c r="G330" s="238">
        <f>IFERROR((HLOOKUP($AH330,Target_monthwise!$D$4:$O$20,DTR!G$4,FALSE))*1000,0)</f>
        <v>0</v>
      </c>
      <c r="H330" s="238">
        <f>IFERROR((HLOOKUP($AH330,Target_monthwise!$D$4:$O$20,DTR!H$4,FALSE))*1000,0)</f>
        <v>0</v>
      </c>
      <c r="I330" s="238">
        <f>IFERROR((HLOOKUP($AH330,Target_monthwise!$D$4:$O$20,DTR!I$4,FALSE))*1000,0)</f>
        <v>0</v>
      </c>
      <c r="J330" s="238">
        <f>IFERROR((HLOOKUP($AH330,Target_monthwise!$D$4:$O$20,DTR!J$4,FALSE))*1000,0)</f>
        <v>0</v>
      </c>
      <c r="K330" s="238">
        <f>IFERROR((HLOOKUP($AH330,Target_monthwise!$D$4:$O$20,DTR!K$4,FALSE))*1000,0)</f>
        <v>0</v>
      </c>
      <c r="L330" s="238">
        <f>IFERROR((HLOOKUP($AH330,Target_monthwise!$D$4:$O$20,DTR!L$4,FALSE))*1000,0)</f>
        <v>0</v>
      </c>
      <c r="M330" s="238">
        <f>IFERROR((HLOOKUP($AH330,Target_monthwise!$D$4:$O$20,DTR!M$4,FALSE))*1000,0)</f>
        <v>0</v>
      </c>
      <c r="N330" s="238">
        <f>IFERROR((HLOOKUP($AH330,Target_monthwise!$D$4:$O$20,DTR!N$4,FALSE))*1000,0)</f>
        <v>0</v>
      </c>
      <c r="O330" s="238">
        <f>IFERROR((HLOOKUP($AH330,Target_monthwise!$D$4:$O$20,DTR!O$4,FALSE))*1000,0)</f>
        <v>0</v>
      </c>
      <c r="P330" s="238">
        <f>IFERROR((HLOOKUP($AH330,Target_monthwise!$D$4:$O$20,DTR!P$4,FALSE))*1000,0)</f>
        <v>0</v>
      </c>
      <c r="Q330" s="141">
        <f>IFERROR((HLOOKUP($AH330,Target_monthwise!$D$4:$O$20,DTR!Q$4,FALSE))*1000,0)</f>
        <v>0</v>
      </c>
      <c r="R330" s="167">
        <f>IFERROR((HLOOKUP($AH330,Target_monthwise!$D$4:$O$20,DTR!R$4,FALSE))*1000,0)</f>
        <v>0</v>
      </c>
      <c r="S330" s="239">
        <f>IFERROR((HLOOKUP($AH330,Target_monthwise!$D$24:$O$40,DTR!S$4,FALSE)),0)</f>
        <v>0</v>
      </c>
      <c r="T330" s="239">
        <f>IFERROR((HLOOKUP($AH330,Target_monthwise!$D$24:$O$40,DTR!T$4,FALSE)),0)</f>
        <v>0</v>
      </c>
      <c r="U330" s="239">
        <f>IFERROR((HLOOKUP($AH330,Target_monthwise!$D$24:$O$40,DTR!U$4,FALSE)),0)</f>
        <v>0</v>
      </c>
      <c r="V330" s="239">
        <f>IFERROR((HLOOKUP($AH330,Target_monthwise!$D$24:$O$40,DTR!V$4,FALSE)),0)</f>
        <v>0</v>
      </c>
      <c r="W330" s="239">
        <f>IFERROR((HLOOKUP($AH330,Target_monthwise!$D$24:$O$40,DTR!W$4,FALSE)),0)</f>
        <v>0</v>
      </c>
      <c r="X330" s="239">
        <f>IFERROR((HLOOKUP($AH330,Target_monthwise!$D$24:$O$40,DTR!X$4,FALSE)),0)</f>
        <v>0</v>
      </c>
      <c r="Y330" s="239">
        <f>IFERROR((HLOOKUP($AH330,Target_monthwise!$D$24:$O$40,DTR!Y$4,FALSE)),0)</f>
        <v>0</v>
      </c>
      <c r="Z330" s="147">
        <f>IFERROR((HLOOKUP($AH330,Target_monthwise!$D$24:$O$40,DTR!Z$4,FALSE)),0)</f>
        <v>0</v>
      </c>
      <c r="AA330" s="147">
        <f>IFERROR((HLOOKUP($AH330,Target_monthwise!$D$24:$O$40,DTR!AA$4,FALSE)),0)</f>
        <v>0</v>
      </c>
      <c r="AB330" s="147">
        <f>IFERROR((HLOOKUP($AH330,Target_monthwise!$D$24:$O$40,DTR!AB$4,FALSE)),0)</f>
        <v>0</v>
      </c>
      <c r="AC330" s="239">
        <f>IFERROR((HLOOKUP($AH330,Target_monthwise!$D$24:$O$40,DTR!AC$4,FALSE)),0)</f>
        <v>0</v>
      </c>
      <c r="AD330" s="239">
        <f>IFERROR((HLOOKUP($AH330,Target_monthwise!$D$24:$O$40,DTR!AD$4,FALSE)),0)</f>
        <v>0</v>
      </c>
      <c r="AE330" s="239">
        <f>IFERROR((HLOOKUP($AH330,Target_monthwise!$D$24:$O$40,DTR!AE$4,FALSE)),0)</f>
        <v>0</v>
      </c>
      <c r="AF330" s="239">
        <f>IFERROR((HLOOKUP($AH330,Target_monthwise!$D$24:$O$40,DTR!AF$4,FALSE)),0)</f>
        <v>0</v>
      </c>
      <c r="AG330" s="172">
        <f>IFERROR((HLOOKUP($AH330,Target_monthwise!$D$24:$O$40,DTR!AG$4,FALSE)),0)</f>
        <v>0</v>
      </c>
      <c r="AH330" s="253">
        <f t="shared" ref="AH330:AH393" si="5">YEAR(C330)*100+MONTH(C330)</f>
        <v>202302</v>
      </c>
    </row>
    <row r="331" spans="3:34" ht="15.75" hidden="1">
      <c r="C331" s="235">
        <v>44974</v>
      </c>
      <c r="D331" s="141">
        <f>IFERROR((HLOOKUP($AH331,Target_monthwise!$D$4:$O$20,DTR!D$4,FALSE))*1000,0)</f>
        <v>0</v>
      </c>
      <c r="E331" s="141">
        <f>IFERROR((HLOOKUP($AH331,Target_monthwise!$D$4:$O$20,DTR!E$4,FALSE))*1000,0)</f>
        <v>0</v>
      </c>
      <c r="F331" s="141">
        <f>IFERROR((HLOOKUP($AH331,Target_monthwise!$D$4:$O$20,DTR!F$4,FALSE))*1000,0)</f>
        <v>0</v>
      </c>
      <c r="G331" s="141">
        <f>IFERROR((HLOOKUP($AH331,Target_monthwise!$D$4:$O$20,DTR!G$4,FALSE))*1000,0)</f>
        <v>0</v>
      </c>
      <c r="H331" s="141">
        <f>IFERROR((HLOOKUP($AH331,Target_monthwise!$D$4:$O$20,DTR!H$4,FALSE))*1000,0)</f>
        <v>0</v>
      </c>
      <c r="I331" s="141">
        <f>IFERROR((HLOOKUP($AH331,Target_monthwise!$D$4:$O$20,DTR!I$4,FALSE))*1000,0)</f>
        <v>0</v>
      </c>
      <c r="J331" s="141">
        <f>IFERROR((HLOOKUP($AH331,Target_monthwise!$D$4:$O$20,DTR!J$4,FALSE))*1000,0)</f>
        <v>0</v>
      </c>
      <c r="K331" s="141">
        <f>IFERROR((HLOOKUP($AH331,Target_monthwise!$D$4:$O$20,DTR!K$4,FALSE))*1000,0)</f>
        <v>0</v>
      </c>
      <c r="L331" s="141">
        <f>IFERROR((HLOOKUP($AH331,Target_monthwise!$D$4:$O$20,DTR!L$4,FALSE))*1000,0)</f>
        <v>0</v>
      </c>
      <c r="M331" s="141">
        <f>IFERROR((HLOOKUP($AH331,Target_monthwise!$D$4:$O$20,DTR!M$4,FALSE))*1000,0)</f>
        <v>0</v>
      </c>
      <c r="N331" s="141">
        <f>IFERROR((HLOOKUP($AH331,Target_monthwise!$D$4:$O$20,DTR!N$4,FALSE))*1000,0)</f>
        <v>0</v>
      </c>
      <c r="O331" s="141">
        <f>IFERROR((HLOOKUP($AH331,Target_monthwise!$D$4:$O$20,DTR!O$4,FALSE))*1000,0)</f>
        <v>0</v>
      </c>
      <c r="P331" s="141">
        <f>IFERROR((HLOOKUP($AH331,Target_monthwise!$D$4:$O$20,DTR!P$4,FALSE))*1000,0)</f>
        <v>0</v>
      </c>
      <c r="Q331" s="141">
        <f>IFERROR((HLOOKUP($AH331,Target_monthwise!$D$4:$O$20,DTR!Q$4,FALSE))*1000,0)</f>
        <v>0</v>
      </c>
      <c r="R331" s="167">
        <f>IFERROR((HLOOKUP($AH331,Target_monthwise!$D$4:$O$20,DTR!R$4,FALSE))*1000,0)</f>
        <v>0</v>
      </c>
      <c r="S331" s="147">
        <f>IFERROR((HLOOKUP($AH331,Target_monthwise!$D$24:$O$40,DTR!S$4,FALSE)),0)</f>
        <v>0</v>
      </c>
      <c r="T331" s="147">
        <f>IFERROR((HLOOKUP($AH331,Target_monthwise!$D$24:$O$40,DTR!T$4,FALSE)),0)</f>
        <v>0</v>
      </c>
      <c r="U331" s="147">
        <f>IFERROR((HLOOKUP($AH331,Target_monthwise!$D$24:$O$40,DTR!U$4,FALSE)),0)</f>
        <v>0</v>
      </c>
      <c r="V331" s="147">
        <f>IFERROR((HLOOKUP($AH331,Target_monthwise!$D$24:$O$40,DTR!V$4,FALSE)),0)</f>
        <v>0</v>
      </c>
      <c r="W331" s="147">
        <f>IFERROR((HLOOKUP($AH331,Target_monthwise!$D$24:$O$40,DTR!W$4,FALSE)),0)</f>
        <v>0</v>
      </c>
      <c r="X331" s="147">
        <f>IFERROR((HLOOKUP($AH331,Target_monthwise!$D$24:$O$40,DTR!X$4,FALSE)),0)</f>
        <v>0</v>
      </c>
      <c r="Y331" s="147">
        <f>IFERROR((HLOOKUP($AH331,Target_monthwise!$D$24:$O$40,DTR!Y$4,FALSE)),0)</f>
        <v>0</v>
      </c>
      <c r="Z331" s="147">
        <f>IFERROR((HLOOKUP($AH331,Target_monthwise!$D$24:$O$40,DTR!Z$4,FALSE)),0)</f>
        <v>0</v>
      </c>
      <c r="AA331" s="147">
        <f>IFERROR((HLOOKUP($AH331,Target_monthwise!$D$24:$O$40,DTR!AA$4,FALSE)),0)</f>
        <v>0</v>
      </c>
      <c r="AB331" s="147">
        <f>IFERROR((HLOOKUP($AH331,Target_monthwise!$D$24:$O$40,DTR!AB$4,FALSE)),0)</f>
        <v>0</v>
      </c>
      <c r="AC331" s="147">
        <f>IFERROR((HLOOKUP($AH331,Target_monthwise!$D$24:$O$40,DTR!AC$4,FALSE)),0)</f>
        <v>0</v>
      </c>
      <c r="AD331" s="147">
        <f>IFERROR((HLOOKUP($AH331,Target_monthwise!$D$24:$O$40,DTR!AD$4,FALSE)),0)</f>
        <v>0</v>
      </c>
      <c r="AE331" s="147">
        <f>IFERROR((HLOOKUP($AH331,Target_monthwise!$D$24:$O$40,DTR!AE$4,FALSE)),0)</f>
        <v>0</v>
      </c>
      <c r="AF331" s="147">
        <f>IFERROR((HLOOKUP($AH331,Target_monthwise!$D$24:$O$40,DTR!AF$4,FALSE)),0)</f>
        <v>0</v>
      </c>
      <c r="AG331" s="172">
        <f>IFERROR((HLOOKUP($AH331,Target_monthwise!$D$24:$O$40,DTR!AG$4,FALSE)),0)</f>
        <v>0</v>
      </c>
      <c r="AH331" s="253">
        <f t="shared" si="5"/>
        <v>202302</v>
      </c>
    </row>
    <row r="332" spans="3:34" ht="15.75" hidden="1">
      <c r="C332" s="237">
        <v>44975</v>
      </c>
      <c r="D332" s="238">
        <f>IFERROR((HLOOKUP($AH332,Target_monthwise!$D$4:$O$20,DTR!D$4,FALSE))*1000,0)</f>
        <v>0</v>
      </c>
      <c r="E332" s="238">
        <f>IFERROR((HLOOKUP($AH332,Target_monthwise!$D$4:$O$20,DTR!E$4,FALSE))*1000,0)</f>
        <v>0</v>
      </c>
      <c r="F332" s="238">
        <f>IFERROR((HLOOKUP($AH332,Target_monthwise!$D$4:$O$20,DTR!F$4,FALSE))*1000,0)</f>
        <v>0</v>
      </c>
      <c r="G332" s="238">
        <f>IFERROR((HLOOKUP($AH332,Target_monthwise!$D$4:$O$20,DTR!G$4,FALSE))*1000,0)</f>
        <v>0</v>
      </c>
      <c r="H332" s="238">
        <f>IFERROR((HLOOKUP($AH332,Target_monthwise!$D$4:$O$20,DTR!H$4,FALSE))*1000,0)</f>
        <v>0</v>
      </c>
      <c r="I332" s="238">
        <f>IFERROR((HLOOKUP($AH332,Target_monthwise!$D$4:$O$20,DTR!I$4,FALSE))*1000,0)</f>
        <v>0</v>
      </c>
      <c r="J332" s="238">
        <f>IFERROR((HLOOKUP($AH332,Target_monthwise!$D$4:$O$20,DTR!J$4,FALSE))*1000,0)</f>
        <v>0</v>
      </c>
      <c r="K332" s="238">
        <f>IFERROR((HLOOKUP($AH332,Target_monthwise!$D$4:$O$20,DTR!K$4,FALSE))*1000,0)</f>
        <v>0</v>
      </c>
      <c r="L332" s="238">
        <f>IFERROR((HLOOKUP($AH332,Target_monthwise!$D$4:$O$20,DTR!L$4,FALSE))*1000,0)</f>
        <v>0</v>
      </c>
      <c r="M332" s="238">
        <f>IFERROR((HLOOKUP($AH332,Target_monthwise!$D$4:$O$20,DTR!M$4,FALSE))*1000,0)</f>
        <v>0</v>
      </c>
      <c r="N332" s="238">
        <f>IFERROR((HLOOKUP($AH332,Target_monthwise!$D$4:$O$20,DTR!N$4,FALSE))*1000,0)</f>
        <v>0</v>
      </c>
      <c r="O332" s="238">
        <f>IFERROR((HLOOKUP($AH332,Target_monthwise!$D$4:$O$20,DTR!O$4,FALSE))*1000,0)</f>
        <v>0</v>
      </c>
      <c r="P332" s="238">
        <f>IFERROR((HLOOKUP($AH332,Target_monthwise!$D$4:$O$20,DTR!P$4,FALSE))*1000,0)</f>
        <v>0</v>
      </c>
      <c r="Q332" s="141">
        <f>IFERROR((HLOOKUP($AH332,Target_monthwise!$D$4:$O$20,DTR!Q$4,FALSE))*1000,0)</f>
        <v>0</v>
      </c>
      <c r="R332" s="167">
        <f>IFERROR((HLOOKUP($AH332,Target_monthwise!$D$4:$O$20,DTR!R$4,FALSE))*1000,0)</f>
        <v>0</v>
      </c>
      <c r="S332" s="239">
        <f>IFERROR((HLOOKUP($AH332,Target_monthwise!$D$24:$O$40,DTR!S$4,FALSE)),0)</f>
        <v>0</v>
      </c>
      <c r="T332" s="239">
        <f>IFERROR((HLOOKUP($AH332,Target_monthwise!$D$24:$O$40,DTR!T$4,FALSE)),0)</f>
        <v>0</v>
      </c>
      <c r="U332" s="239">
        <f>IFERROR((HLOOKUP($AH332,Target_monthwise!$D$24:$O$40,DTR!U$4,FALSE)),0)</f>
        <v>0</v>
      </c>
      <c r="V332" s="239">
        <f>IFERROR((HLOOKUP($AH332,Target_monthwise!$D$24:$O$40,DTR!V$4,FALSE)),0)</f>
        <v>0</v>
      </c>
      <c r="W332" s="239">
        <f>IFERROR((HLOOKUP($AH332,Target_monthwise!$D$24:$O$40,DTR!W$4,FALSE)),0)</f>
        <v>0</v>
      </c>
      <c r="X332" s="239">
        <f>IFERROR((HLOOKUP($AH332,Target_monthwise!$D$24:$O$40,DTR!X$4,FALSE)),0)</f>
        <v>0</v>
      </c>
      <c r="Y332" s="239">
        <f>IFERROR((HLOOKUP($AH332,Target_monthwise!$D$24:$O$40,DTR!Y$4,FALSE)),0)</f>
        <v>0</v>
      </c>
      <c r="Z332" s="147">
        <f>IFERROR((HLOOKUP($AH332,Target_monthwise!$D$24:$O$40,DTR!Z$4,FALSE)),0)</f>
        <v>0</v>
      </c>
      <c r="AA332" s="147">
        <f>IFERROR((HLOOKUP($AH332,Target_monthwise!$D$24:$O$40,DTR!AA$4,FALSE)),0)</f>
        <v>0</v>
      </c>
      <c r="AB332" s="147">
        <f>IFERROR((HLOOKUP($AH332,Target_monthwise!$D$24:$O$40,DTR!AB$4,FALSE)),0)</f>
        <v>0</v>
      </c>
      <c r="AC332" s="239">
        <f>IFERROR((HLOOKUP($AH332,Target_monthwise!$D$24:$O$40,DTR!AC$4,FALSE)),0)</f>
        <v>0</v>
      </c>
      <c r="AD332" s="239">
        <f>IFERROR((HLOOKUP($AH332,Target_monthwise!$D$24:$O$40,DTR!AD$4,FALSE)),0)</f>
        <v>0</v>
      </c>
      <c r="AE332" s="239">
        <f>IFERROR((HLOOKUP($AH332,Target_monthwise!$D$24:$O$40,DTR!AE$4,FALSE)),0)</f>
        <v>0</v>
      </c>
      <c r="AF332" s="239">
        <f>IFERROR((HLOOKUP($AH332,Target_monthwise!$D$24:$O$40,DTR!AF$4,FALSE)),0)</f>
        <v>0</v>
      </c>
      <c r="AG332" s="172">
        <f>IFERROR((HLOOKUP($AH332,Target_monthwise!$D$24:$O$40,DTR!AG$4,FALSE)),0)</f>
        <v>0</v>
      </c>
      <c r="AH332" s="253">
        <f t="shared" si="5"/>
        <v>202302</v>
      </c>
    </row>
    <row r="333" spans="3:34" ht="15.75" hidden="1">
      <c r="C333" s="235">
        <v>44976</v>
      </c>
      <c r="D333" s="141">
        <f>IFERROR((HLOOKUP($AH333,Target_monthwise!$D$4:$O$20,DTR!D$4,FALSE))*1000,0)</f>
        <v>0</v>
      </c>
      <c r="E333" s="141">
        <f>IFERROR((HLOOKUP($AH333,Target_monthwise!$D$4:$O$20,DTR!E$4,FALSE))*1000,0)</f>
        <v>0</v>
      </c>
      <c r="F333" s="141">
        <f>IFERROR((HLOOKUP($AH333,Target_monthwise!$D$4:$O$20,DTR!F$4,FALSE))*1000,0)</f>
        <v>0</v>
      </c>
      <c r="G333" s="141">
        <f>IFERROR((HLOOKUP($AH333,Target_monthwise!$D$4:$O$20,DTR!G$4,FALSE))*1000,0)</f>
        <v>0</v>
      </c>
      <c r="H333" s="141">
        <f>IFERROR((HLOOKUP($AH333,Target_monthwise!$D$4:$O$20,DTR!H$4,FALSE))*1000,0)</f>
        <v>0</v>
      </c>
      <c r="I333" s="141">
        <f>IFERROR((HLOOKUP($AH333,Target_monthwise!$D$4:$O$20,DTR!I$4,FALSE))*1000,0)</f>
        <v>0</v>
      </c>
      <c r="J333" s="141">
        <f>IFERROR((HLOOKUP($AH333,Target_monthwise!$D$4:$O$20,DTR!J$4,FALSE))*1000,0)</f>
        <v>0</v>
      </c>
      <c r="K333" s="141">
        <f>IFERROR((HLOOKUP($AH333,Target_monthwise!$D$4:$O$20,DTR!K$4,FALSE))*1000,0)</f>
        <v>0</v>
      </c>
      <c r="L333" s="141">
        <f>IFERROR((HLOOKUP($AH333,Target_monthwise!$D$4:$O$20,DTR!L$4,FALSE))*1000,0)</f>
        <v>0</v>
      </c>
      <c r="M333" s="141">
        <f>IFERROR((HLOOKUP($AH333,Target_monthwise!$D$4:$O$20,DTR!M$4,FALSE))*1000,0)</f>
        <v>0</v>
      </c>
      <c r="N333" s="141">
        <f>IFERROR((HLOOKUP($AH333,Target_monthwise!$D$4:$O$20,DTR!N$4,FALSE))*1000,0)</f>
        <v>0</v>
      </c>
      <c r="O333" s="141">
        <f>IFERROR((HLOOKUP($AH333,Target_monthwise!$D$4:$O$20,DTR!O$4,FALSE))*1000,0)</f>
        <v>0</v>
      </c>
      <c r="P333" s="141">
        <f>IFERROR((HLOOKUP($AH333,Target_monthwise!$D$4:$O$20,DTR!P$4,FALSE))*1000,0)</f>
        <v>0</v>
      </c>
      <c r="Q333" s="141">
        <f>IFERROR((HLOOKUP($AH333,Target_monthwise!$D$4:$O$20,DTR!Q$4,FALSE))*1000,0)</f>
        <v>0</v>
      </c>
      <c r="R333" s="167">
        <f>IFERROR((HLOOKUP($AH333,Target_monthwise!$D$4:$O$20,DTR!R$4,FALSE))*1000,0)</f>
        <v>0</v>
      </c>
      <c r="S333" s="147">
        <f>IFERROR((HLOOKUP($AH333,Target_monthwise!$D$24:$O$40,DTR!S$4,FALSE)),0)</f>
        <v>0</v>
      </c>
      <c r="T333" s="147">
        <f>IFERROR((HLOOKUP($AH333,Target_monthwise!$D$24:$O$40,DTR!T$4,FALSE)),0)</f>
        <v>0</v>
      </c>
      <c r="U333" s="147">
        <f>IFERROR((HLOOKUP($AH333,Target_monthwise!$D$24:$O$40,DTR!U$4,FALSE)),0)</f>
        <v>0</v>
      </c>
      <c r="V333" s="147">
        <f>IFERROR((HLOOKUP($AH333,Target_monthwise!$D$24:$O$40,DTR!V$4,FALSE)),0)</f>
        <v>0</v>
      </c>
      <c r="W333" s="147">
        <f>IFERROR((HLOOKUP($AH333,Target_monthwise!$D$24:$O$40,DTR!W$4,FALSE)),0)</f>
        <v>0</v>
      </c>
      <c r="X333" s="147">
        <f>IFERROR((HLOOKUP($AH333,Target_monthwise!$D$24:$O$40,DTR!X$4,FALSE)),0)</f>
        <v>0</v>
      </c>
      <c r="Y333" s="147">
        <f>IFERROR((HLOOKUP($AH333,Target_monthwise!$D$24:$O$40,DTR!Y$4,FALSE)),0)</f>
        <v>0</v>
      </c>
      <c r="Z333" s="147">
        <f>IFERROR((HLOOKUP($AH333,Target_monthwise!$D$24:$O$40,DTR!Z$4,FALSE)),0)</f>
        <v>0</v>
      </c>
      <c r="AA333" s="147">
        <f>IFERROR((HLOOKUP($AH333,Target_monthwise!$D$24:$O$40,DTR!AA$4,FALSE)),0)</f>
        <v>0</v>
      </c>
      <c r="AB333" s="147">
        <f>IFERROR((HLOOKUP($AH333,Target_monthwise!$D$24:$O$40,DTR!AB$4,FALSE)),0)</f>
        <v>0</v>
      </c>
      <c r="AC333" s="147">
        <f>IFERROR((HLOOKUP($AH333,Target_monthwise!$D$24:$O$40,DTR!AC$4,FALSE)),0)</f>
        <v>0</v>
      </c>
      <c r="AD333" s="147">
        <f>IFERROR((HLOOKUP($AH333,Target_monthwise!$D$24:$O$40,DTR!AD$4,FALSE)),0)</f>
        <v>0</v>
      </c>
      <c r="AE333" s="147">
        <f>IFERROR((HLOOKUP($AH333,Target_monthwise!$D$24:$O$40,DTR!AE$4,FALSE)),0)</f>
        <v>0</v>
      </c>
      <c r="AF333" s="147">
        <f>IFERROR((HLOOKUP($AH333,Target_monthwise!$D$24:$O$40,DTR!AF$4,FALSE)),0)</f>
        <v>0</v>
      </c>
      <c r="AG333" s="172">
        <f>IFERROR((HLOOKUP($AH333,Target_monthwise!$D$24:$O$40,DTR!AG$4,FALSE)),0)</f>
        <v>0</v>
      </c>
      <c r="AH333" s="253">
        <f t="shared" si="5"/>
        <v>202302</v>
      </c>
    </row>
    <row r="334" spans="3:34" ht="15.75" hidden="1">
      <c r="C334" s="237">
        <v>44977</v>
      </c>
      <c r="D334" s="238">
        <f>IFERROR((HLOOKUP($AH334,Target_monthwise!$D$4:$O$20,DTR!D$4,FALSE))*1000,0)</f>
        <v>0</v>
      </c>
      <c r="E334" s="238">
        <f>IFERROR((HLOOKUP($AH334,Target_monthwise!$D$4:$O$20,DTR!E$4,FALSE))*1000,0)</f>
        <v>0</v>
      </c>
      <c r="F334" s="238">
        <f>IFERROR((HLOOKUP($AH334,Target_monthwise!$D$4:$O$20,DTR!F$4,FALSE))*1000,0)</f>
        <v>0</v>
      </c>
      <c r="G334" s="238">
        <f>IFERROR((HLOOKUP($AH334,Target_monthwise!$D$4:$O$20,DTR!G$4,FALSE))*1000,0)</f>
        <v>0</v>
      </c>
      <c r="H334" s="238">
        <f>IFERROR((HLOOKUP($AH334,Target_monthwise!$D$4:$O$20,DTR!H$4,FALSE))*1000,0)</f>
        <v>0</v>
      </c>
      <c r="I334" s="238">
        <f>IFERROR((HLOOKUP($AH334,Target_monthwise!$D$4:$O$20,DTR!I$4,FALSE))*1000,0)</f>
        <v>0</v>
      </c>
      <c r="J334" s="238">
        <f>IFERROR((HLOOKUP($AH334,Target_monthwise!$D$4:$O$20,DTR!J$4,FALSE))*1000,0)</f>
        <v>0</v>
      </c>
      <c r="K334" s="238">
        <f>IFERROR((HLOOKUP($AH334,Target_monthwise!$D$4:$O$20,DTR!K$4,FALSE))*1000,0)</f>
        <v>0</v>
      </c>
      <c r="L334" s="238">
        <f>IFERROR((HLOOKUP($AH334,Target_monthwise!$D$4:$O$20,DTR!L$4,FALSE))*1000,0)</f>
        <v>0</v>
      </c>
      <c r="M334" s="238">
        <f>IFERROR((HLOOKUP($AH334,Target_monthwise!$D$4:$O$20,DTR!M$4,FALSE))*1000,0)</f>
        <v>0</v>
      </c>
      <c r="N334" s="238">
        <f>IFERROR((HLOOKUP($AH334,Target_monthwise!$D$4:$O$20,DTR!N$4,FALSE))*1000,0)</f>
        <v>0</v>
      </c>
      <c r="O334" s="238">
        <f>IFERROR((HLOOKUP($AH334,Target_monthwise!$D$4:$O$20,DTR!O$4,FALSE))*1000,0)</f>
        <v>0</v>
      </c>
      <c r="P334" s="238">
        <f>IFERROR((HLOOKUP($AH334,Target_monthwise!$D$4:$O$20,DTR!P$4,FALSE))*1000,0)</f>
        <v>0</v>
      </c>
      <c r="Q334" s="141">
        <f>IFERROR((HLOOKUP($AH334,Target_monthwise!$D$4:$O$20,DTR!Q$4,FALSE))*1000,0)</f>
        <v>0</v>
      </c>
      <c r="R334" s="167">
        <f>IFERROR((HLOOKUP($AH334,Target_monthwise!$D$4:$O$20,DTR!R$4,FALSE))*1000,0)</f>
        <v>0</v>
      </c>
      <c r="S334" s="239">
        <f>IFERROR((HLOOKUP($AH334,Target_monthwise!$D$24:$O$40,DTR!S$4,FALSE)),0)</f>
        <v>0</v>
      </c>
      <c r="T334" s="239">
        <f>IFERROR((HLOOKUP($AH334,Target_monthwise!$D$24:$O$40,DTR!T$4,FALSE)),0)</f>
        <v>0</v>
      </c>
      <c r="U334" s="239">
        <f>IFERROR((HLOOKUP($AH334,Target_monthwise!$D$24:$O$40,DTR!U$4,FALSE)),0)</f>
        <v>0</v>
      </c>
      <c r="V334" s="239">
        <f>IFERROR((HLOOKUP($AH334,Target_monthwise!$D$24:$O$40,DTR!V$4,FALSE)),0)</f>
        <v>0</v>
      </c>
      <c r="W334" s="239">
        <f>IFERROR((HLOOKUP($AH334,Target_monthwise!$D$24:$O$40,DTR!W$4,FALSE)),0)</f>
        <v>0</v>
      </c>
      <c r="X334" s="239">
        <f>IFERROR((HLOOKUP($AH334,Target_monthwise!$D$24:$O$40,DTR!X$4,FALSE)),0)</f>
        <v>0</v>
      </c>
      <c r="Y334" s="239">
        <f>IFERROR((HLOOKUP($AH334,Target_monthwise!$D$24:$O$40,DTR!Y$4,FALSE)),0)</f>
        <v>0</v>
      </c>
      <c r="Z334" s="147">
        <f>IFERROR((HLOOKUP($AH334,Target_monthwise!$D$24:$O$40,DTR!Z$4,FALSE)),0)</f>
        <v>0</v>
      </c>
      <c r="AA334" s="147">
        <f>IFERROR((HLOOKUP($AH334,Target_monthwise!$D$24:$O$40,DTR!AA$4,FALSE)),0)</f>
        <v>0</v>
      </c>
      <c r="AB334" s="147">
        <f>IFERROR((HLOOKUP($AH334,Target_monthwise!$D$24:$O$40,DTR!AB$4,FALSE)),0)</f>
        <v>0</v>
      </c>
      <c r="AC334" s="239">
        <f>IFERROR((HLOOKUP($AH334,Target_monthwise!$D$24:$O$40,DTR!AC$4,FALSE)),0)</f>
        <v>0</v>
      </c>
      <c r="AD334" s="239">
        <f>IFERROR((HLOOKUP($AH334,Target_monthwise!$D$24:$O$40,DTR!AD$4,FALSE)),0)</f>
        <v>0</v>
      </c>
      <c r="AE334" s="239">
        <f>IFERROR((HLOOKUP($AH334,Target_monthwise!$D$24:$O$40,DTR!AE$4,FALSE)),0)</f>
        <v>0</v>
      </c>
      <c r="AF334" s="239">
        <f>IFERROR((HLOOKUP($AH334,Target_monthwise!$D$24:$O$40,DTR!AF$4,FALSE)),0)</f>
        <v>0</v>
      </c>
      <c r="AG334" s="172">
        <f>IFERROR((HLOOKUP($AH334,Target_monthwise!$D$24:$O$40,DTR!AG$4,FALSE)),0)</f>
        <v>0</v>
      </c>
      <c r="AH334" s="253">
        <f t="shared" si="5"/>
        <v>202302</v>
      </c>
    </row>
    <row r="335" spans="3:34" ht="15.75" hidden="1">
      <c r="C335" s="235">
        <v>44978</v>
      </c>
      <c r="D335" s="141">
        <f>IFERROR((HLOOKUP($AH335,Target_monthwise!$D$4:$O$20,DTR!D$4,FALSE))*1000,0)</f>
        <v>0</v>
      </c>
      <c r="E335" s="141">
        <f>IFERROR((HLOOKUP($AH335,Target_monthwise!$D$4:$O$20,DTR!E$4,FALSE))*1000,0)</f>
        <v>0</v>
      </c>
      <c r="F335" s="141">
        <f>IFERROR((HLOOKUP($AH335,Target_monthwise!$D$4:$O$20,DTR!F$4,FALSE))*1000,0)</f>
        <v>0</v>
      </c>
      <c r="G335" s="141">
        <f>IFERROR((HLOOKUP($AH335,Target_monthwise!$D$4:$O$20,DTR!G$4,FALSE))*1000,0)</f>
        <v>0</v>
      </c>
      <c r="H335" s="141">
        <f>IFERROR((HLOOKUP($AH335,Target_monthwise!$D$4:$O$20,DTR!H$4,FALSE))*1000,0)</f>
        <v>0</v>
      </c>
      <c r="I335" s="141">
        <f>IFERROR((HLOOKUP($AH335,Target_monthwise!$D$4:$O$20,DTR!I$4,FALSE))*1000,0)</f>
        <v>0</v>
      </c>
      <c r="J335" s="141">
        <f>IFERROR((HLOOKUP($AH335,Target_monthwise!$D$4:$O$20,DTR!J$4,FALSE))*1000,0)</f>
        <v>0</v>
      </c>
      <c r="K335" s="141">
        <f>IFERROR((HLOOKUP($AH335,Target_monthwise!$D$4:$O$20,DTR!K$4,FALSE))*1000,0)</f>
        <v>0</v>
      </c>
      <c r="L335" s="141">
        <f>IFERROR((HLOOKUP($AH335,Target_monthwise!$D$4:$O$20,DTR!L$4,FALSE))*1000,0)</f>
        <v>0</v>
      </c>
      <c r="M335" s="141">
        <f>IFERROR((HLOOKUP($AH335,Target_monthwise!$D$4:$O$20,DTR!M$4,FALSE))*1000,0)</f>
        <v>0</v>
      </c>
      <c r="N335" s="141">
        <f>IFERROR((HLOOKUP($AH335,Target_monthwise!$D$4:$O$20,DTR!N$4,FALSE))*1000,0)</f>
        <v>0</v>
      </c>
      <c r="O335" s="141">
        <f>IFERROR((HLOOKUP($AH335,Target_monthwise!$D$4:$O$20,DTR!O$4,FALSE))*1000,0)</f>
        <v>0</v>
      </c>
      <c r="P335" s="141">
        <f>IFERROR((HLOOKUP($AH335,Target_monthwise!$D$4:$O$20,DTR!P$4,FALSE))*1000,0)</f>
        <v>0</v>
      </c>
      <c r="Q335" s="141">
        <f>IFERROR((HLOOKUP($AH335,Target_monthwise!$D$4:$O$20,DTR!Q$4,FALSE))*1000,0)</f>
        <v>0</v>
      </c>
      <c r="R335" s="167">
        <f>IFERROR((HLOOKUP($AH335,Target_monthwise!$D$4:$O$20,DTR!R$4,FALSE))*1000,0)</f>
        <v>0</v>
      </c>
      <c r="S335" s="147">
        <f>IFERROR((HLOOKUP($AH335,Target_monthwise!$D$24:$O$40,DTR!S$4,FALSE)),0)</f>
        <v>0</v>
      </c>
      <c r="T335" s="147">
        <f>IFERROR((HLOOKUP($AH335,Target_monthwise!$D$24:$O$40,DTR!T$4,FALSE)),0)</f>
        <v>0</v>
      </c>
      <c r="U335" s="147">
        <f>IFERROR((HLOOKUP($AH335,Target_monthwise!$D$24:$O$40,DTR!U$4,FALSE)),0)</f>
        <v>0</v>
      </c>
      <c r="V335" s="147">
        <f>IFERROR((HLOOKUP($AH335,Target_monthwise!$D$24:$O$40,DTR!V$4,FALSE)),0)</f>
        <v>0</v>
      </c>
      <c r="W335" s="147">
        <f>IFERROR((HLOOKUP($AH335,Target_monthwise!$D$24:$O$40,DTR!W$4,FALSE)),0)</f>
        <v>0</v>
      </c>
      <c r="X335" s="147">
        <f>IFERROR((HLOOKUP($AH335,Target_monthwise!$D$24:$O$40,DTR!X$4,FALSE)),0)</f>
        <v>0</v>
      </c>
      <c r="Y335" s="147">
        <f>IFERROR((HLOOKUP($AH335,Target_monthwise!$D$24:$O$40,DTR!Y$4,FALSE)),0)</f>
        <v>0</v>
      </c>
      <c r="Z335" s="147">
        <f>IFERROR((HLOOKUP($AH335,Target_monthwise!$D$24:$O$40,DTR!Z$4,FALSE)),0)</f>
        <v>0</v>
      </c>
      <c r="AA335" s="147">
        <f>IFERROR((HLOOKUP($AH335,Target_monthwise!$D$24:$O$40,DTR!AA$4,FALSE)),0)</f>
        <v>0</v>
      </c>
      <c r="AB335" s="147">
        <f>IFERROR((HLOOKUP($AH335,Target_monthwise!$D$24:$O$40,DTR!AB$4,FALSE)),0)</f>
        <v>0</v>
      </c>
      <c r="AC335" s="147">
        <f>IFERROR((HLOOKUP($AH335,Target_monthwise!$D$24:$O$40,DTR!AC$4,FALSE)),0)</f>
        <v>0</v>
      </c>
      <c r="AD335" s="147">
        <f>IFERROR((HLOOKUP($AH335,Target_monthwise!$D$24:$O$40,DTR!AD$4,FALSE)),0)</f>
        <v>0</v>
      </c>
      <c r="AE335" s="147">
        <f>IFERROR((HLOOKUP($AH335,Target_monthwise!$D$24:$O$40,DTR!AE$4,FALSE)),0)</f>
        <v>0</v>
      </c>
      <c r="AF335" s="147">
        <f>IFERROR((HLOOKUP($AH335,Target_monthwise!$D$24:$O$40,DTR!AF$4,FALSE)),0)</f>
        <v>0</v>
      </c>
      <c r="AG335" s="172">
        <f>IFERROR((HLOOKUP($AH335,Target_monthwise!$D$24:$O$40,DTR!AG$4,FALSE)),0)</f>
        <v>0</v>
      </c>
      <c r="AH335" s="253">
        <f t="shared" si="5"/>
        <v>202302</v>
      </c>
    </row>
    <row r="336" spans="3:34" ht="15.75" hidden="1">
      <c r="C336" s="237">
        <v>44979</v>
      </c>
      <c r="D336" s="238">
        <f>IFERROR((HLOOKUP($AH336,Target_monthwise!$D$4:$O$20,DTR!D$4,FALSE))*1000,0)</f>
        <v>0</v>
      </c>
      <c r="E336" s="238">
        <f>IFERROR((HLOOKUP($AH336,Target_monthwise!$D$4:$O$20,DTR!E$4,FALSE))*1000,0)</f>
        <v>0</v>
      </c>
      <c r="F336" s="238">
        <f>IFERROR((HLOOKUP($AH336,Target_monthwise!$D$4:$O$20,DTR!F$4,FALSE))*1000,0)</f>
        <v>0</v>
      </c>
      <c r="G336" s="238">
        <f>IFERROR((HLOOKUP($AH336,Target_monthwise!$D$4:$O$20,DTR!G$4,FALSE))*1000,0)</f>
        <v>0</v>
      </c>
      <c r="H336" s="238">
        <f>IFERROR((HLOOKUP($AH336,Target_monthwise!$D$4:$O$20,DTR!H$4,FALSE))*1000,0)</f>
        <v>0</v>
      </c>
      <c r="I336" s="238">
        <f>IFERROR((HLOOKUP($AH336,Target_monthwise!$D$4:$O$20,DTR!I$4,FALSE))*1000,0)</f>
        <v>0</v>
      </c>
      <c r="J336" s="238">
        <f>IFERROR((HLOOKUP($AH336,Target_monthwise!$D$4:$O$20,DTR!J$4,FALSE))*1000,0)</f>
        <v>0</v>
      </c>
      <c r="K336" s="238">
        <f>IFERROR((HLOOKUP($AH336,Target_monthwise!$D$4:$O$20,DTR!K$4,FALSE))*1000,0)</f>
        <v>0</v>
      </c>
      <c r="L336" s="238">
        <f>IFERROR((HLOOKUP($AH336,Target_monthwise!$D$4:$O$20,DTR!L$4,FALSE))*1000,0)</f>
        <v>0</v>
      </c>
      <c r="M336" s="238">
        <f>IFERROR((HLOOKUP($AH336,Target_monthwise!$D$4:$O$20,DTR!M$4,FALSE))*1000,0)</f>
        <v>0</v>
      </c>
      <c r="N336" s="238">
        <f>IFERROR((HLOOKUP($AH336,Target_monthwise!$D$4:$O$20,DTR!N$4,FALSE))*1000,0)</f>
        <v>0</v>
      </c>
      <c r="O336" s="238">
        <f>IFERROR((HLOOKUP($AH336,Target_monthwise!$D$4:$O$20,DTR!O$4,FALSE))*1000,0)</f>
        <v>0</v>
      </c>
      <c r="P336" s="238">
        <f>IFERROR((HLOOKUP($AH336,Target_monthwise!$D$4:$O$20,DTR!P$4,FALSE))*1000,0)</f>
        <v>0</v>
      </c>
      <c r="Q336" s="141">
        <f>IFERROR((HLOOKUP($AH336,Target_monthwise!$D$4:$O$20,DTR!Q$4,FALSE))*1000,0)</f>
        <v>0</v>
      </c>
      <c r="R336" s="167">
        <f>IFERROR((HLOOKUP($AH336,Target_monthwise!$D$4:$O$20,DTR!R$4,FALSE))*1000,0)</f>
        <v>0</v>
      </c>
      <c r="S336" s="239">
        <f>IFERROR((HLOOKUP($AH336,Target_monthwise!$D$24:$O$40,DTR!S$4,FALSE)),0)</f>
        <v>0</v>
      </c>
      <c r="T336" s="239">
        <f>IFERROR((HLOOKUP($AH336,Target_monthwise!$D$24:$O$40,DTR!T$4,FALSE)),0)</f>
        <v>0</v>
      </c>
      <c r="U336" s="239">
        <f>IFERROR((HLOOKUP($AH336,Target_monthwise!$D$24:$O$40,DTR!U$4,FALSE)),0)</f>
        <v>0</v>
      </c>
      <c r="V336" s="239">
        <f>IFERROR((HLOOKUP($AH336,Target_monthwise!$D$24:$O$40,DTR!V$4,FALSE)),0)</f>
        <v>0</v>
      </c>
      <c r="W336" s="239">
        <f>IFERROR((HLOOKUP($AH336,Target_monthwise!$D$24:$O$40,DTR!W$4,FALSE)),0)</f>
        <v>0</v>
      </c>
      <c r="X336" s="239">
        <f>IFERROR((HLOOKUP($AH336,Target_monthwise!$D$24:$O$40,DTR!X$4,FALSE)),0)</f>
        <v>0</v>
      </c>
      <c r="Y336" s="239">
        <f>IFERROR((HLOOKUP($AH336,Target_monthwise!$D$24:$O$40,DTR!Y$4,FALSE)),0)</f>
        <v>0</v>
      </c>
      <c r="Z336" s="147">
        <f>IFERROR((HLOOKUP($AH336,Target_monthwise!$D$24:$O$40,DTR!Z$4,FALSE)),0)</f>
        <v>0</v>
      </c>
      <c r="AA336" s="147">
        <f>IFERROR((HLOOKUP($AH336,Target_monthwise!$D$24:$O$40,DTR!AA$4,FALSE)),0)</f>
        <v>0</v>
      </c>
      <c r="AB336" s="147">
        <f>IFERROR((HLOOKUP($AH336,Target_monthwise!$D$24:$O$40,DTR!AB$4,FALSE)),0)</f>
        <v>0</v>
      </c>
      <c r="AC336" s="239">
        <f>IFERROR((HLOOKUP($AH336,Target_monthwise!$D$24:$O$40,DTR!AC$4,FALSE)),0)</f>
        <v>0</v>
      </c>
      <c r="AD336" s="239">
        <f>IFERROR((HLOOKUP($AH336,Target_monthwise!$D$24:$O$40,DTR!AD$4,FALSE)),0)</f>
        <v>0</v>
      </c>
      <c r="AE336" s="239">
        <f>IFERROR((HLOOKUP($AH336,Target_monthwise!$D$24:$O$40,DTR!AE$4,FALSE)),0)</f>
        <v>0</v>
      </c>
      <c r="AF336" s="239">
        <f>IFERROR((HLOOKUP($AH336,Target_monthwise!$D$24:$O$40,DTR!AF$4,FALSE)),0)</f>
        <v>0</v>
      </c>
      <c r="AG336" s="172">
        <f>IFERROR((HLOOKUP($AH336,Target_monthwise!$D$24:$O$40,DTR!AG$4,FALSE)),0)</f>
        <v>0</v>
      </c>
      <c r="AH336" s="253">
        <f t="shared" si="5"/>
        <v>202302</v>
      </c>
    </row>
    <row r="337" spans="3:34" ht="15.75" hidden="1">
      <c r="C337" s="235">
        <v>44980</v>
      </c>
      <c r="D337" s="141">
        <f>IFERROR((HLOOKUP($AH337,Target_monthwise!$D$4:$O$20,DTR!D$4,FALSE))*1000,0)</f>
        <v>0</v>
      </c>
      <c r="E337" s="141">
        <f>IFERROR((HLOOKUP($AH337,Target_monthwise!$D$4:$O$20,DTR!E$4,FALSE))*1000,0)</f>
        <v>0</v>
      </c>
      <c r="F337" s="141">
        <f>IFERROR((HLOOKUP($AH337,Target_monthwise!$D$4:$O$20,DTR!F$4,FALSE))*1000,0)</f>
        <v>0</v>
      </c>
      <c r="G337" s="141">
        <f>IFERROR((HLOOKUP($AH337,Target_monthwise!$D$4:$O$20,DTR!G$4,FALSE))*1000,0)</f>
        <v>0</v>
      </c>
      <c r="H337" s="141">
        <f>IFERROR((HLOOKUP($AH337,Target_monthwise!$D$4:$O$20,DTR!H$4,FALSE))*1000,0)</f>
        <v>0</v>
      </c>
      <c r="I337" s="141">
        <f>IFERROR((HLOOKUP($AH337,Target_monthwise!$D$4:$O$20,DTR!I$4,FALSE))*1000,0)</f>
        <v>0</v>
      </c>
      <c r="J337" s="141">
        <f>IFERROR((HLOOKUP($AH337,Target_monthwise!$D$4:$O$20,DTR!J$4,FALSE))*1000,0)</f>
        <v>0</v>
      </c>
      <c r="K337" s="141">
        <f>IFERROR((HLOOKUP($AH337,Target_monthwise!$D$4:$O$20,DTR!K$4,FALSE))*1000,0)</f>
        <v>0</v>
      </c>
      <c r="L337" s="141">
        <f>IFERROR((HLOOKUP($AH337,Target_monthwise!$D$4:$O$20,DTR!L$4,FALSE))*1000,0)</f>
        <v>0</v>
      </c>
      <c r="M337" s="141">
        <f>IFERROR((HLOOKUP($AH337,Target_monthwise!$D$4:$O$20,DTR!M$4,FALSE))*1000,0)</f>
        <v>0</v>
      </c>
      <c r="N337" s="141">
        <f>IFERROR((HLOOKUP($AH337,Target_monthwise!$D$4:$O$20,DTR!N$4,FALSE))*1000,0)</f>
        <v>0</v>
      </c>
      <c r="O337" s="141">
        <f>IFERROR((HLOOKUP($AH337,Target_monthwise!$D$4:$O$20,DTR!O$4,FALSE))*1000,0)</f>
        <v>0</v>
      </c>
      <c r="P337" s="141">
        <f>IFERROR((HLOOKUP($AH337,Target_monthwise!$D$4:$O$20,DTR!P$4,FALSE))*1000,0)</f>
        <v>0</v>
      </c>
      <c r="Q337" s="141">
        <f>IFERROR((HLOOKUP($AH337,Target_monthwise!$D$4:$O$20,DTR!Q$4,FALSE))*1000,0)</f>
        <v>0</v>
      </c>
      <c r="R337" s="167">
        <f>IFERROR((HLOOKUP($AH337,Target_monthwise!$D$4:$O$20,DTR!R$4,FALSE))*1000,0)</f>
        <v>0</v>
      </c>
      <c r="S337" s="147">
        <f>IFERROR((HLOOKUP($AH337,Target_monthwise!$D$24:$O$40,DTR!S$4,FALSE)),0)</f>
        <v>0</v>
      </c>
      <c r="T337" s="147">
        <f>IFERROR((HLOOKUP($AH337,Target_monthwise!$D$24:$O$40,DTR!T$4,FALSE)),0)</f>
        <v>0</v>
      </c>
      <c r="U337" s="147">
        <f>IFERROR((HLOOKUP($AH337,Target_monthwise!$D$24:$O$40,DTR!U$4,FALSE)),0)</f>
        <v>0</v>
      </c>
      <c r="V337" s="147">
        <f>IFERROR((HLOOKUP($AH337,Target_monthwise!$D$24:$O$40,DTR!V$4,FALSE)),0)</f>
        <v>0</v>
      </c>
      <c r="W337" s="147">
        <f>IFERROR((HLOOKUP($AH337,Target_monthwise!$D$24:$O$40,DTR!W$4,FALSE)),0)</f>
        <v>0</v>
      </c>
      <c r="X337" s="147">
        <f>IFERROR((HLOOKUP($AH337,Target_monthwise!$D$24:$O$40,DTR!X$4,FALSE)),0)</f>
        <v>0</v>
      </c>
      <c r="Y337" s="147">
        <f>IFERROR((HLOOKUP($AH337,Target_monthwise!$D$24:$O$40,DTR!Y$4,FALSE)),0)</f>
        <v>0</v>
      </c>
      <c r="Z337" s="147">
        <f>IFERROR((HLOOKUP($AH337,Target_monthwise!$D$24:$O$40,DTR!Z$4,FALSE)),0)</f>
        <v>0</v>
      </c>
      <c r="AA337" s="147">
        <f>IFERROR((HLOOKUP($AH337,Target_monthwise!$D$24:$O$40,DTR!AA$4,FALSE)),0)</f>
        <v>0</v>
      </c>
      <c r="AB337" s="147">
        <f>IFERROR((HLOOKUP($AH337,Target_monthwise!$D$24:$O$40,DTR!AB$4,FALSE)),0)</f>
        <v>0</v>
      </c>
      <c r="AC337" s="147">
        <f>IFERROR((HLOOKUP($AH337,Target_monthwise!$D$24:$O$40,DTR!AC$4,FALSE)),0)</f>
        <v>0</v>
      </c>
      <c r="AD337" s="147">
        <f>IFERROR((HLOOKUP($AH337,Target_monthwise!$D$24:$O$40,DTR!AD$4,FALSE)),0)</f>
        <v>0</v>
      </c>
      <c r="AE337" s="147">
        <f>IFERROR((HLOOKUP($AH337,Target_monthwise!$D$24:$O$40,DTR!AE$4,FALSE)),0)</f>
        <v>0</v>
      </c>
      <c r="AF337" s="147">
        <f>IFERROR((HLOOKUP($AH337,Target_monthwise!$D$24:$O$40,DTR!AF$4,FALSE)),0)</f>
        <v>0</v>
      </c>
      <c r="AG337" s="172">
        <f>IFERROR((HLOOKUP($AH337,Target_monthwise!$D$24:$O$40,DTR!AG$4,FALSE)),0)</f>
        <v>0</v>
      </c>
      <c r="AH337" s="253">
        <f t="shared" si="5"/>
        <v>202302</v>
      </c>
    </row>
    <row r="338" spans="3:34" ht="15.75" hidden="1">
      <c r="C338" s="237">
        <v>44981</v>
      </c>
      <c r="D338" s="238">
        <f>IFERROR((HLOOKUP($AH338,Target_monthwise!$D$4:$O$20,DTR!D$4,FALSE))*1000,0)</f>
        <v>0</v>
      </c>
      <c r="E338" s="238">
        <f>IFERROR((HLOOKUP($AH338,Target_monthwise!$D$4:$O$20,DTR!E$4,FALSE))*1000,0)</f>
        <v>0</v>
      </c>
      <c r="F338" s="238">
        <f>IFERROR((HLOOKUP($AH338,Target_monthwise!$D$4:$O$20,DTR!F$4,FALSE))*1000,0)</f>
        <v>0</v>
      </c>
      <c r="G338" s="238">
        <f>IFERROR((HLOOKUP($AH338,Target_monthwise!$D$4:$O$20,DTR!G$4,FALSE))*1000,0)</f>
        <v>0</v>
      </c>
      <c r="H338" s="238">
        <f>IFERROR((HLOOKUP($AH338,Target_monthwise!$D$4:$O$20,DTR!H$4,FALSE))*1000,0)</f>
        <v>0</v>
      </c>
      <c r="I338" s="238">
        <f>IFERROR((HLOOKUP($AH338,Target_monthwise!$D$4:$O$20,DTR!I$4,FALSE))*1000,0)</f>
        <v>0</v>
      </c>
      <c r="J338" s="238">
        <f>IFERROR((HLOOKUP($AH338,Target_monthwise!$D$4:$O$20,DTR!J$4,FALSE))*1000,0)</f>
        <v>0</v>
      </c>
      <c r="K338" s="238">
        <f>IFERROR((HLOOKUP($AH338,Target_monthwise!$D$4:$O$20,DTR!K$4,FALSE))*1000,0)</f>
        <v>0</v>
      </c>
      <c r="L338" s="238">
        <f>IFERROR((HLOOKUP($AH338,Target_monthwise!$D$4:$O$20,DTR!L$4,FALSE))*1000,0)</f>
        <v>0</v>
      </c>
      <c r="M338" s="238">
        <f>IFERROR((HLOOKUP($AH338,Target_monthwise!$D$4:$O$20,DTR!M$4,FALSE))*1000,0)</f>
        <v>0</v>
      </c>
      <c r="N338" s="238">
        <f>IFERROR((HLOOKUP($AH338,Target_monthwise!$D$4:$O$20,DTR!N$4,FALSE))*1000,0)</f>
        <v>0</v>
      </c>
      <c r="O338" s="238">
        <f>IFERROR((HLOOKUP($AH338,Target_monthwise!$D$4:$O$20,DTR!O$4,FALSE))*1000,0)</f>
        <v>0</v>
      </c>
      <c r="P338" s="238">
        <f>IFERROR((HLOOKUP($AH338,Target_monthwise!$D$4:$O$20,DTR!P$4,FALSE))*1000,0)</f>
        <v>0</v>
      </c>
      <c r="Q338" s="141">
        <f>IFERROR((HLOOKUP($AH338,Target_monthwise!$D$4:$O$20,DTR!Q$4,FALSE))*1000,0)</f>
        <v>0</v>
      </c>
      <c r="R338" s="167">
        <f>IFERROR((HLOOKUP($AH338,Target_monthwise!$D$4:$O$20,DTR!R$4,FALSE))*1000,0)</f>
        <v>0</v>
      </c>
      <c r="S338" s="239">
        <f>IFERROR((HLOOKUP($AH338,Target_monthwise!$D$24:$O$40,DTR!S$4,FALSE)),0)</f>
        <v>0</v>
      </c>
      <c r="T338" s="239">
        <f>IFERROR((HLOOKUP($AH338,Target_monthwise!$D$24:$O$40,DTR!T$4,FALSE)),0)</f>
        <v>0</v>
      </c>
      <c r="U338" s="239">
        <f>IFERROR((HLOOKUP($AH338,Target_monthwise!$D$24:$O$40,DTR!U$4,FALSE)),0)</f>
        <v>0</v>
      </c>
      <c r="V338" s="239">
        <f>IFERROR((HLOOKUP($AH338,Target_monthwise!$D$24:$O$40,DTR!V$4,FALSE)),0)</f>
        <v>0</v>
      </c>
      <c r="W338" s="239">
        <f>IFERROR((HLOOKUP($AH338,Target_monthwise!$D$24:$O$40,DTR!W$4,FALSE)),0)</f>
        <v>0</v>
      </c>
      <c r="X338" s="239">
        <f>IFERROR((HLOOKUP($AH338,Target_monthwise!$D$24:$O$40,DTR!X$4,FALSE)),0)</f>
        <v>0</v>
      </c>
      <c r="Y338" s="239">
        <f>IFERROR((HLOOKUP($AH338,Target_monthwise!$D$24:$O$40,DTR!Y$4,FALSE)),0)</f>
        <v>0</v>
      </c>
      <c r="Z338" s="147">
        <f>IFERROR((HLOOKUP($AH338,Target_monthwise!$D$24:$O$40,DTR!Z$4,FALSE)),0)</f>
        <v>0</v>
      </c>
      <c r="AA338" s="147">
        <f>IFERROR((HLOOKUP($AH338,Target_monthwise!$D$24:$O$40,DTR!AA$4,FALSE)),0)</f>
        <v>0</v>
      </c>
      <c r="AB338" s="147">
        <f>IFERROR((HLOOKUP($AH338,Target_monthwise!$D$24:$O$40,DTR!AB$4,FALSE)),0)</f>
        <v>0</v>
      </c>
      <c r="AC338" s="239">
        <f>IFERROR((HLOOKUP($AH338,Target_monthwise!$D$24:$O$40,DTR!AC$4,FALSE)),0)</f>
        <v>0</v>
      </c>
      <c r="AD338" s="239">
        <f>IFERROR((HLOOKUP($AH338,Target_monthwise!$D$24:$O$40,DTR!AD$4,FALSE)),0)</f>
        <v>0</v>
      </c>
      <c r="AE338" s="239">
        <f>IFERROR((HLOOKUP($AH338,Target_monthwise!$D$24:$O$40,DTR!AE$4,FALSE)),0)</f>
        <v>0</v>
      </c>
      <c r="AF338" s="239">
        <f>IFERROR((HLOOKUP($AH338,Target_monthwise!$D$24:$O$40,DTR!AF$4,FALSE)),0)</f>
        <v>0</v>
      </c>
      <c r="AG338" s="172">
        <f>IFERROR((HLOOKUP($AH338,Target_monthwise!$D$24:$O$40,DTR!AG$4,FALSE)),0)</f>
        <v>0</v>
      </c>
      <c r="AH338" s="253">
        <f t="shared" si="5"/>
        <v>202302</v>
      </c>
    </row>
    <row r="339" spans="3:34" ht="15.75" hidden="1">
      <c r="C339" s="235">
        <v>44982</v>
      </c>
      <c r="D339" s="141">
        <f>IFERROR((HLOOKUP($AH339,Target_monthwise!$D$4:$O$20,DTR!D$4,FALSE))*1000,0)</f>
        <v>0</v>
      </c>
      <c r="E339" s="141">
        <f>IFERROR((HLOOKUP($AH339,Target_monthwise!$D$4:$O$20,DTR!E$4,FALSE))*1000,0)</f>
        <v>0</v>
      </c>
      <c r="F339" s="141">
        <f>IFERROR((HLOOKUP($AH339,Target_monthwise!$D$4:$O$20,DTR!F$4,FALSE))*1000,0)</f>
        <v>0</v>
      </c>
      <c r="G339" s="141">
        <f>IFERROR((HLOOKUP($AH339,Target_monthwise!$D$4:$O$20,DTR!G$4,FALSE))*1000,0)</f>
        <v>0</v>
      </c>
      <c r="H339" s="141">
        <f>IFERROR((HLOOKUP($AH339,Target_monthwise!$D$4:$O$20,DTR!H$4,FALSE))*1000,0)</f>
        <v>0</v>
      </c>
      <c r="I339" s="141">
        <f>IFERROR((HLOOKUP($AH339,Target_monthwise!$D$4:$O$20,DTR!I$4,FALSE))*1000,0)</f>
        <v>0</v>
      </c>
      <c r="J339" s="141">
        <f>IFERROR((HLOOKUP($AH339,Target_monthwise!$D$4:$O$20,DTR!J$4,FALSE))*1000,0)</f>
        <v>0</v>
      </c>
      <c r="K339" s="141">
        <f>IFERROR((HLOOKUP($AH339,Target_monthwise!$D$4:$O$20,DTR!K$4,FALSE))*1000,0)</f>
        <v>0</v>
      </c>
      <c r="L339" s="141">
        <f>IFERROR((HLOOKUP($AH339,Target_monthwise!$D$4:$O$20,DTR!L$4,FALSE))*1000,0)</f>
        <v>0</v>
      </c>
      <c r="M339" s="141">
        <f>IFERROR((HLOOKUP($AH339,Target_monthwise!$D$4:$O$20,DTR!M$4,FALSE))*1000,0)</f>
        <v>0</v>
      </c>
      <c r="N339" s="141">
        <f>IFERROR((HLOOKUP($AH339,Target_monthwise!$D$4:$O$20,DTR!N$4,FALSE))*1000,0)</f>
        <v>0</v>
      </c>
      <c r="O339" s="141">
        <f>IFERROR((HLOOKUP($AH339,Target_monthwise!$D$4:$O$20,DTR!O$4,FALSE))*1000,0)</f>
        <v>0</v>
      </c>
      <c r="P339" s="141">
        <f>IFERROR((HLOOKUP($AH339,Target_monthwise!$D$4:$O$20,DTR!P$4,FALSE))*1000,0)</f>
        <v>0</v>
      </c>
      <c r="Q339" s="141">
        <f>IFERROR((HLOOKUP($AH339,Target_monthwise!$D$4:$O$20,DTR!Q$4,FALSE))*1000,0)</f>
        <v>0</v>
      </c>
      <c r="R339" s="167">
        <f>IFERROR((HLOOKUP($AH339,Target_monthwise!$D$4:$O$20,DTR!R$4,FALSE))*1000,0)</f>
        <v>0</v>
      </c>
      <c r="S339" s="147">
        <f>IFERROR((HLOOKUP($AH339,Target_monthwise!$D$24:$O$40,DTR!S$4,FALSE)),0)</f>
        <v>0</v>
      </c>
      <c r="T339" s="147">
        <f>IFERROR((HLOOKUP($AH339,Target_monthwise!$D$24:$O$40,DTR!T$4,FALSE)),0)</f>
        <v>0</v>
      </c>
      <c r="U339" s="147">
        <f>IFERROR((HLOOKUP($AH339,Target_monthwise!$D$24:$O$40,DTR!U$4,FALSE)),0)</f>
        <v>0</v>
      </c>
      <c r="V339" s="147">
        <f>IFERROR((HLOOKUP($AH339,Target_monthwise!$D$24:$O$40,DTR!V$4,FALSE)),0)</f>
        <v>0</v>
      </c>
      <c r="W339" s="147">
        <f>IFERROR((HLOOKUP($AH339,Target_monthwise!$D$24:$O$40,DTR!W$4,FALSE)),0)</f>
        <v>0</v>
      </c>
      <c r="X339" s="147">
        <f>IFERROR((HLOOKUP($AH339,Target_monthwise!$D$24:$O$40,DTR!X$4,FALSE)),0)</f>
        <v>0</v>
      </c>
      <c r="Y339" s="147">
        <f>IFERROR((HLOOKUP($AH339,Target_monthwise!$D$24:$O$40,DTR!Y$4,FALSE)),0)</f>
        <v>0</v>
      </c>
      <c r="Z339" s="147">
        <f>IFERROR((HLOOKUP($AH339,Target_monthwise!$D$24:$O$40,DTR!Z$4,FALSE)),0)</f>
        <v>0</v>
      </c>
      <c r="AA339" s="147">
        <f>IFERROR((HLOOKUP($AH339,Target_monthwise!$D$24:$O$40,DTR!AA$4,FALSE)),0)</f>
        <v>0</v>
      </c>
      <c r="AB339" s="147">
        <f>IFERROR((HLOOKUP($AH339,Target_monthwise!$D$24:$O$40,DTR!AB$4,FALSE)),0)</f>
        <v>0</v>
      </c>
      <c r="AC339" s="147">
        <f>IFERROR((HLOOKUP($AH339,Target_monthwise!$D$24:$O$40,DTR!AC$4,FALSE)),0)</f>
        <v>0</v>
      </c>
      <c r="AD339" s="147">
        <f>IFERROR((HLOOKUP($AH339,Target_monthwise!$D$24:$O$40,DTR!AD$4,FALSE)),0)</f>
        <v>0</v>
      </c>
      <c r="AE339" s="147">
        <f>IFERROR((HLOOKUP($AH339,Target_monthwise!$D$24:$O$40,DTR!AE$4,FALSE)),0)</f>
        <v>0</v>
      </c>
      <c r="AF339" s="147">
        <f>IFERROR((HLOOKUP($AH339,Target_monthwise!$D$24:$O$40,DTR!AF$4,FALSE)),0)</f>
        <v>0</v>
      </c>
      <c r="AG339" s="172">
        <f>IFERROR((HLOOKUP($AH339,Target_monthwise!$D$24:$O$40,DTR!AG$4,FALSE)),0)</f>
        <v>0</v>
      </c>
      <c r="AH339" s="253">
        <f t="shared" si="5"/>
        <v>202302</v>
      </c>
    </row>
    <row r="340" spans="3:34" ht="15.75" hidden="1">
      <c r="C340" s="237">
        <v>44983</v>
      </c>
      <c r="D340" s="238">
        <f>IFERROR((HLOOKUP($AH340,Target_monthwise!$D$4:$O$20,DTR!D$4,FALSE))*1000,0)</f>
        <v>0</v>
      </c>
      <c r="E340" s="238">
        <f>IFERROR((HLOOKUP($AH340,Target_monthwise!$D$4:$O$20,DTR!E$4,FALSE))*1000,0)</f>
        <v>0</v>
      </c>
      <c r="F340" s="238">
        <f>IFERROR((HLOOKUP($AH340,Target_monthwise!$D$4:$O$20,DTR!F$4,FALSE))*1000,0)</f>
        <v>0</v>
      </c>
      <c r="G340" s="238">
        <f>IFERROR((HLOOKUP($AH340,Target_monthwise!$D$4:$O$20,DTR!G$4,FALSE))*1000,0)</f>
        <v>0</v>
      </c>
      <c r="H340" s="238">
        <f>IFERROR((HLOOKUP($AH340,Target_monthwise!$D$4:$O$20,DTR!H$4,FALSE))*1000,0)</f>
        <v>0</v>
      </c>
      <c r="I340" s="238">
        <f>IFERROR((HLOOKUP($AH340,Target_monthwise!$D$4:$O$20,DTR!I$4,FALSE))*1000,0)</f>
        <v>0</v>
      </c>
      <c r="J340" s="238">
        <f>IFERROR((HLOOKUP($AH340,Target_monthwise!$D$4:$O$20,DTR!J$4,FALSE))*1000,0)</f>
        <v>0</v>
      </c>
      <c r="K340" s="238">
        <f>IFERROR((HLOOKUP($AH340,Target_monthwise!$D$4:$O$20,DTR!K$4,FALSE))*1000,0)</f>
        <v>0</v>
      </c>
      <c r="L340" s="238">
        <f>IFERROR((HLOOKUP($AH340,Target_monthwise!$D$4:$O$20,DTR!L$4,FALSE))*1000,0)</f>
        <v>0</v>
      </c>
      <c r="M340" s="238">
        <f>IFERROR((HLOOKUP($AH340,Target_monthwise!$D$4:$O$20,DTR!M$4,FALSE))*1000,0)</f>
        <v>0</v>
      </c>
      <c r="N340" s="238">
        <f>IFERROR((HLOOKUP($AH340,Target_monthwise!$D$4:$O$20,DTR!N$4,FALSE))*1000,0)</f>
        <v>0</v>
      </c>
      <c r="O340" s="238">
        <f>IFERROR((HLOOKUP($AH340,Target_monthwise!$D$4:$O$20,DTR!O$4,FALSE))*1000,0)</f>
        <v>0</v>
      </c>
      <c r="P340" s="238">
        <f>IFERROR((HLOOKUP($AH340,Target_monthwise!$D$4:$O$20,DTR!P$4,FALSE))*1000,0)</f>
        <v>0</v>
      </c>
      <c r="Q340" s="141">
        <f>IFERROR((HLOOKUP($AH340,Target_monthwise!$D$4:$O$20,DTR!Q$4,FALSE))*1000,0)</f>
        <v>0</v>
      </c>
      <c r="R340" s="167">
        <f>IFERROR((HLOOKUP($AH340,Target_monthwise!$D$4:$O$20,DTR!R$4,FALSE))*1000,0)</f>
        <v>0</v>
      </c>
      <c r="S340" s="239">
        <f>IFERROR((HLOOKUP($AH340,Target_monthwise!$D$24:$O$40,DTR!S$4,FALSE)),0)</f>
        <v>0</v>
      </c>
      <c r="T340" s="239">
        <f>IFERROR((HLOOKUP($AH340,Target_monthwise!$D$24:$O$40,DTR!T$4,FALSE)),0)</f>
        <v>0</v>
      </c>
      <c r="U340" s="239">
        <f>IFERROR((HLOOKUP($AH340,Target_monthwise!$D$24:$O$40,DTR!U$4,FALSE)),0)</f>
        <v>0</v>
      </c>
      <c r="V340" s="239">
        <f>IFERROR((HLOOKUP($AH340,Target_monthwise!$D$24:$O$40,DTR!V$4,FALSE)),0)</f>
        <v>0</v>
      </c>
      <c r="W340" s="239">
        <f>IFERROR((HLOOKUP($AH340,Target_monthwise!$D$24:$O$40,DTR!W$4,FALSE)),0)</f>
        <v>0</v>
      </c>
      <c r="X340" s="239">
        <f>IFERROR((HLOOKUP($AH340,Target_monthwise!$D$24:$O$40,DTR!X$4,FALSE)),0)</f>
        <v>0</v>
      </c>
      <c r="Y340" s="239">
        <f>IFERROR((HLOOKUP($AH340,Target_monthwise!$D$24:$O$40,DTR!Y$4,FALSE)),0)</f>
        <v>0</v>
      </c>
      <c r="Z340" s="147">
        <f>IFERROR((HLOOKUP($AH340,Target_monthwise!$D$24:$O$40,DTR!Z$4,FALSE)),0)</f>
        <v>0</v>
      </c>
      <c r="AA340" s="147">
        <f>IFERROR((HLOOKUP($AH340,Target_monthwise!$D$24:$O$40,DTR!AA$4,FALSE)),0)</f>
        <v>0</v>
      </c>
      <c r="AB340" s="147">
        <f>IFERROR((HLOOKUP($AH340,Target_monthwise!$D$24:$O$40,DTR!AB$4,FALSE)),0)</f>
        <v>0</v>
      </c>
      <c r="AC340" s="239">
        <f>IFERROR((HLOOKUP($AH340,Target_monthwise!$D$24:$O$40,DTR!AC$4,FALSE)),0)</f>
        <v>0</v>
      </c>
      <c r="AD340" s="239">
        <f>IFERROR((HLOOKUP($AH340,Target_monthwise!$D$24:$O$40,DTR!AD$4,FALSE)),0)</f>
        <v>0</v>
      </c>
      <c r="AE340" s="239">
        <f>IFERROR((HLOOKUP($AH340,Target_monthwise!$D$24:$O$40,DTR!AE$4,FALSE)),0)</f>
        <v>0</v>
      </c>
      <c r="AF340" s="239">
        <f>IFERROR((HLOOKUP($AH340,Target_monthwise!$D$24:$O$40,DTR!AF$4,FALSE)),0)</f>
        <v>0</v>
      </c>
      <c r="AG340" s="172">
        <f>IFERROR((HLOOKUP($AH340,Target_monthwise!$D$24:$O$40,DTR!AG$4,FALSE)),0)</f>
        <v>0</v>
      </c>
      <c r="AH340" s="253">
        <f t="shared" si="5"/>
        <v>202302</v>
      </c>
    </row>
    <row r="341" spans="3:34" ht="15.75" hidden="1">
      <c r="C341" s="235">
        <v>44984</v>
      </c>
      <c r="D341" s="141">
        <f>IFERROR((HLOOKUP($AH341,Target_monthwise!$D$4:$O$20,DTR!D$4,FALSE))*1000,0)</f>
        <v>0</v>
      </c>
      <c r="E341" s="141">
        <f>IFERROR((HLOOKUP($AH341,Target_monthwise!$D$4:$O$20,DTR!E$4,FALSE))*1000,0)</f>
        <v>0</v>
      </c>
      <c r="F341" s="141">
        <f>IFERROR((HLOOKUP($AH341,Target_monthwise!$D$4:$O$20,DTR!F$4,FALSE))*1000,0)</f>
        <v>0</v>
      </c>
      <c r="G341" s="141">
        <f>IFERROR((HLOOKUP($AH341,Target_monthwise!$D$4:$O$20,DTR!G$4,FALSE))*1000,0)</f>
        <v>0</v>
      </c>
      <c r="H341" s="141">
        <f>IFERROR((HLOOKUP($AH341,Target_monthwise!$D$4:$O$20,DTR!H$4,FALSE))*1000,0)</f>
        <v>0</v>
      </c>
      <c r="I341" s="141">
        <f>IFERROR((HLOOKUP($AH341,Target_monthwise!$D$4:$O$20,DTR!I$4,FALSE))*1000,0)</f>
        <v>0</v>
      </c>
      <c r="J341" s="141">
        <f>IFERROR((HLOOKUP($AH341,Target_monthwise!$D$4:$O$20,DTR!J$4,FALSE))*1000,0)</f>
        <v>0</v>
      </c>
      <c r="K341" s="141">
        <f>IFERROR((HLOOKUP($AH341,Target_monthwise!$D$4:$O$20,DTR!K$4,FALSE))*1000,0)</f>
        <v>0</v>
      </c>
      <c r="L341" s="141">
        <f>IFERROR((HLOOKUP($AH341,Target_monthwise!$D$4:$O$20,DTR!L$4,FALSE))*1000,0)</f>
        <v>0</v>
      </c>
      <c r="M341" s="141">
        <f>IFERROR((HLOOKUP($AH341,Target_monthwise!$D$4:$O$20,DTR!M$4,FALSE))*1000,0)</f>
        <v>0</v>
      </c>
      <c r="N341" s="141">
        <f>IFERROR((HLOOKUP($AH341,Target_monthwise!$D$4:$O$20,DTR!N$4,FALSE))*1000,0)</f>
        <v>0</v>
      </c>
      <c r="O341" s="141">
        <f>IFERROR((HLOOKUP($AH341,Target_monthwise!$D$4:$O$20,DTR!O$4,FALSE))*1000,0)</f>
        <v>0</v>
      </c>
      <c r="P341" s="141">
        <f>IFERROR((HLOOKUP($AH341,Target_monthwise!$D$4:$O$20,DTR!P$4,FALSE))*1000,0)</f>
        <v>0</v>
      </c>
      <c r="Q341" s="141">
        <f>IFERROR((HLOOKUP($AH341,Target_monthwise!$D$4:$O$20,DTR!Q$4,FALSE))*1000,0)</f>
        <v>0</v>
      </c>
      <c r="R341" s="167">
        <f>IFERROR((HLOOKUP($AH341,Target_monthwise!$D$4:$O$20,DTR!R$4,FALSE))*1000,0)</f>
        <v>0</v>
      </c>
      <c r="S341" s="147">
        <f>IFERROR((HLOOKUP($AH341,Target_monthwise!$D$24:$O$40,DTR!S$4,FALSE)),0)</f>
        <v>0</v>
      </c>
      <c r="T341" s="147">
        <f>IFERROR((HLOOKUP($AH341,Target_monthwise!$D$24:$O$40,DTR!T$4,FALSE)),0)</f>
        <v>0</v>
      </c>
      <c r="U341" s="147">
        <f>IFERROR((HLOOKUP($AH341,Target_monthwise!$D$24:$O$40,DTR!U$4,FALSE)),0)</f>
        <v>0</v>
      </c>
      <c r="V341" s="147">
        <f>IFERROR((HLOOKUP($AH341,Target_monthwise!$D$24:$O$40,DTR!V$4,FALSE)),0)</f>
        <v>0</v>
      </c>
      <c r="W341" s="147">
        <f>IFERROR((HLOOKUP($AH341,Target_monthwise!$D$24:$O$40,DTR!W$4,FALSE)),0)</f>
        <v>0</v>
      </c>
      <c r="X341" s="147">
        <f>IFERROR((HLOOKUP($AH341,Target_monthwise!$D$24:$O$40,DTR!X$4,FALSE)),0)</f>
        <v>0</v>
      </c>
      <c r="Y341" s="147">
        <f>IFERROR((HLOOKUP($AH341,Target_monthwise!$D$24:$O$40,DTR!Y$4,FALSE)),0)</f>
        <v>0</v>
      </c>
      <c r="Z341" s="147">
        <f>IFERROR((HLOOKUP($AH341,Target_monthwise!$D$24:$O$40,DTR!Z$4,FALSE)),0)</f>
        <v>0</v>
      </c>
      <c r="AA341" s="147">
        <f>IFERROR((HLOOKUP($AH341,Target_monthwise!$D$24:$O$40,DTR!AA$4,FALSE)),0)</f>
        <v>0</v>
      </c>
      <c r="AB341" s="147">
        <f>IFERROR((HLOOKUP($AH341,Target_monthwise!$D$24:$O$40,DTR!AB$4,FALSE)),0)</f>
        <v>0</v>
      </c>
      <c r="AC341" s="147">
        <f>IFERROR((HLOOKUP($AH341,Target_monthwise!$D$24:$O$40,DTR!AC$4,FALSE)),0)</f>
        <v>0</v>
      </c>
      <c r="AD341" s="147">
        <f>IFERROR((HLOOKUP($AH341,Target_monthwise!$D$24:$O$40,DTR!AD$4,FALSE)),0)</f>
        <v>0</v>
      </c>
      <c r="AE341" s="147">
        <f>IFERROR((HLOOKUP($AH341,Target_monthwise!$D$24:$O$40,DTR!AE$4,FALSE)),0)</f>
        <v>0</v>
      </c>
      <c r="AF341" s="147">
        <f>IFERROR((HLOOKUP($AH341,Target_monthwise!$D$24:$O$40,DTR!AF$4,FALSE)),0)</f>
        <v>0</v>
      </c>
      <c r="AG341" s="172">
        <f>IFERROR((HLOOKUP($AH341,Target_monthwise!$D$24:$O$40,DTR!AG$4,FALSE)),0)</f>
        <v>0</v>
      </c>
      <c r="AH341" s="253">
        <f t="shared" si="5"/>
        <v>202302</v>
      </c>
    </row>
    <row r="342" spans="3:34" ht="15.75" hidden="1">
      <c r="C342" s="237">
        <v>44985</v>
      </c>
      <c r="D342" s="238">
        <f>IFERROR((HLOOKUP($AH342,Target_monthwise!$D$4:$O$20,DTR!D$4,FALSE))*1000,0)</f>
        <v>0</v>
      </c>
      <c r="E342" s="238">
        <f>IFERROR((HLOOKUP($AH342,Target_monthwise!$D$4:$O$20,DTR!E$4,FALSE))*1000,0)</f>
        <v>0</v>
      </c>
      <c r="F342" s="238">
        <f>IFERROR((HLOOKUP($AH342,Target_monthwise!$D$4:$O$20,DTR!F$4,FALSE))*1000,0)</f>
        <v>0</v>
      </c>
      <c r="G342" s="238">
        <f>IFERROR((HLOOKUP($AH342,Target_monthwise!$D$4:$O$20,DTR!G$4,FALSE))*1000,0)</f>
        <v>0</v>
      </c>
      <c r="H342" s="238">
        <f>IFERROR((HLOOKUP($AH342,Target_monthwise!$D$4:$O$20,DTR!H$4,FALSE))*1000,0)</f>
        <v>0</v>
      </c>
      <c r="I342" s="238">
        <f>IFERROR((HLOOKUP($AH342,Target_monthwise!$D$4:$O$20,DTR!I$4,FALSE))*1000,0)</f>
        <v>0</v>
      </c>
      <c r="J342" s="238">
        <f>IFERROR((HLOOKUP($AH342,Target_monthwise!$D$4:$O$20,DTR!J$4,FALSE))*1000,0)</f>
        <v>0</v>
      </c>
      <c r="K342" s="238">
        <f>IFERROR((HLOOKUP($AH342,Target_monthwise!$D$4:$O$20,DTR!K$4,FALSE))*1000,0)</f>
        <v>0</v>
      </c>
      <c r="L342" s="238">
        <f>IFERROR((HLOOKUP($AH342,Target_monthwise!$D$4:$O$20,DTR!L$4,FALSE))*1000,0)</f>
        <v>0</v>
      </c>
      <c r="M342" s="238">
        <f>IFERROR((HLOOKUP($AH342,Target_monthwise!$D$4:$O$20,DTR!M$4,FALSE))*1000,0)</f>
        <v>0</v>
      </c>
      <c r="N342" s="238">
        <f>IFERROR((HLOOKUP($AH342,Target_monthwise!$D$4:$O$20,DTR!N$4,FALSE))*1000,0)</f>
        <v>0</v>
      </c>
      <c r="O342" s="238">
        <f>IFERROR((HLOOKUP($AH342,Target_monthwise!$D$4:$O$20,DTR!O$4,FALSE))*1000,0)</f>
        <v>0</v>
      </c>
      <c r="P342" s="238">
        <f>IFERROR((HLOOKUP($AH342,Target_monthwise!$D$4:$O$20,DTR!P$4,FALSE))*1000,0)</f>
        <v>0</v>
      </c>
      <c r="Q342" s="141">
        <f>IFERROR((HLOOKUP($AH342,Target_monthwise!$D$4:$O$20,DTR!Q$4,FALSE))*1000,0)</f>
        <v>0</v>
      </c>
      <c r="R342" s="167">
        <f>IFERROR((HLOOKUP($AH342,Target_monthwise!$D$4:$O$20,DTR!R$4,FALSE))*1000,0)</f>
        <v>0</v>
      </c>
      <c r="S342" s="239">
        <f>IFERROR((HLOOKUP($AH342,Target_monthwise!$D$24:$O$40,DTR!S$4,FALSE)),0)</f>
        <v>0</v>
      </c>
      <c r="T342" s="239">
        <f>IFERROR((HLOOKUP($AH342,Target_monthwise!$D$24:$O$40,DTR!T$4,FALSE)),0)</f>
        <v>0</v>
      </c>
      <c r="U342" s="239">
        <f>IFERROR((HLOOKUP($AH342,Target_monthwise!$D$24:$O$40,DTR!U$4,FALSE)),0)</f>
        <v>0</v>
      </c>
      <c r="V342" s="239">
        <f>IFERROR((HLOOKUP($AH342,Target_monthwise!$D$24:$O$40,DTR!V$4,FALSE)),0)</f>
        <v>0</v>
      </c>
      <c r="W342" s="239">
        <f>IFERROR((HLOOKUP($AH342,Target_monthwise!$D$24:$O$40,DTR!W$4,FALSE)),0)</f>
        <v>0</v>
      </c>
      <c r="X342" s="239">
        <f>IFERROR((HLOOKUP($AH342,Target_monthwise!$D$24:$O$40,DTR!X$4,FALSE)),0)</f>
        <v>0</v>
      </c>
      <c r="Y342" s="239">
        <f>IFERROR((HLOOKUP($AH342,Target_monthwise!$D$24:$O$40,DTR!Y$4,FALSE)),0)</f>
        <v>0</v>
      </c>
      <c r="Z342" s="147">
        <f>IFERROR((HLOOKUP($AH342,Target_monthwise!$D$24:$O$40,DTR!Z$4,FALSE)),0)</f>
        <v>0</v>
      </c>
      <c r="AA342" s="147">
        <f>IFERROR((HLOOKUP($AH342,Target_monthwise!$D$24:$O$40,DTR!AA$4,FALSE)),0)</f>
        <v>0</v>
      </c>
      <c r="AB342" s="147">
        <f>IFERROR((HLOOKUP($AH342,Target_monthwise!$D$24:$O$40,DTR!AB$4,FALSE)),0)</f>
        <v>0</v>
      </c>
      <c r="AC342" s="239">
        <f>IFERROR((HLOOKUP($AH342,Target_monthwise!$D$24:$O$40,DTR!AC$4,FALSE)),0)</f>
        <v>0</v>
      </c>
      <c r="AD342" s="239">
        <f>IFERROR((HLOOKUP($AH342,Target_monthwise!$D$24:$O$40,DTR!AD$4,FALSE)),0)</f>
        <v>0</v>
      </c>
      <c r="AE342" s="239">
        <f>IFERROR((HLOOKUP($AH342,Target_monthwise!$D$24:$O$40,DTR!AE$4,FALSE)),0)</f>
        <v>0</v>
      </c>
      <c r="AF342" s="239">
        <f>IFERROR((HLOOKUP($AH342,Target_monthwise!$D$24:$O$40,DTR!AF$4,FALSE)),0)</f>
        <v>0</v>
      </c>
      <c r="AG342" s="172">
        <f>IFERROR((HLOOKUP($AH342,Target_monthwise!$D$24:$O$40,DTR!AG$4,FALSE)),0)</f>
        <v>0</v>
      </c>
      <c r="AH342" s="253">
        <f t="shared" si="5"/>
        <v>202302</v>
      </c>
    </row>
    <row r="343" spans="3:34" ht="15.75" hidden="1">
      <c r="C343" s="235">
        <v>44986</v>
      </c>
      <c r="D343" s="141">
        <f>IFERROR((HLOOKUP($AH343,Target_monthwise!$D$4:$O$20,DTR!D$4,FALSE))*1000,0)</f>
        <v>0</v>
      </c>
      <c r="E343" s="141">
        <f>IFERROR((HLOOKUP($AH343,Target_monthwise!$D$4:$O$20,DTR!E$4,FALSE))*1000,0)</f>
        <v>0</v>
      </c>
      <c r="F343" s="141">
        <f>IFERROR((HLOOKUP($AH343,Target_monthwise!$D$4:$O$20,DTR!F$4,FALSE))*1000,0)</f>
        <v>0</v>
      </c>
      <c r="G343" s="141">
        <f>IFERROR((HLOOKUP($AH343,Target_monthwise!$D$4:$O$20,DTR!G$4,FALSE))*1000,0)</f>
        <v>0</v>
      </c>
      <c r="H343" s="141">
        <f>IFERROR((HLOOKUP($AH343,Target_monthwise!$D$4:$O$20,DTR!H$4,FALSE))*1000,0)</f>
        <v>0</v>
      </c>
      <c r="I343" s="141">
        <f>IFERROR((HLOOKUP($AH343,Target_monthwise!$D$4:$O$20,DTR!I$4,FALSE))*1000,0)</f>
        <v>0</v>
      </c>
      <c r="J343" s="141">
        <f>IFERROR((HLOOKUP($AH343,Target_monthwise!$D$4:$O$20,DTR!J$4,FALSE))*1000,0)</f>
        <v>0</v>
      </c>
      <c r="K343" s="141">
        <f>IFERROR((HLOOKUP($AH343,Target_monthwise!$D$4:$O$20,DTR!K$4,FALSE))*1000,0)</f>
        <v>0</v>
      </c>
      <c r="L343" s="141">
        <f>IFERROR((HLOOKUP($AH343,Target_monthwise!$D$4:$O$20,DTR!L$4,FALSE))*1000,0)</f>
        <v>0</v>
      </c>
      <c r="M343" s="141">
        <f>IFERROR((HLOOKUP($AH343,Target_monthwise!$D$4:$O$20,DTR!M$4,FALSE))*1000,0)</f>
        <v>0</v>
      </c>
      <c r="N343" s="141">
        <f>IFERROR((HLOOKUP($AH343,Target_monthwise!$D$4:$O$20,DTR!N$4,FALSE))*1000,0)</f>
        <v>0</v>
      </c>
      <c r="O343" s="141">
        <f>IFERROR((HLOOKUP($AH343,Target_monthwise!$D$4:$O$20,DTR!O$4,FALSE))*1000,0)</f>
        <v>0</v>
      </c>
      <c r="P343" s="141">
        <f>IFERROR((HLOOKUP($AH343,Target_monthwise!$D$4:$O$20,DTR!P$4,FALSE))*1000,0)</f>
        <v>0</v>
      </c>
      <c r="Q343" s="141">
        <f>IFERROR((HLOOKUP($AH343,Target_monthwise!$D$4:$O$20,DTR!Q$4,FALSE))*1000,0)</f>
        <v>0</v>
      </c>
      <c r="R343" s="167">
        <f>IFERROR((HLOOKUP($AH343,Target_monthwise!$D$4:$O$20,DTR!R$4,FALSE))*1000,0)</f>
        <v>0</v>
      </c>
      <c r="S343" s="147">
        <f>IFERROR((HLOOKUP($AH343,Target_monthwise!$D$24:$O$40,DTR!S$4,FALSE)),0)</f>
        <v>0</v>
      </c>
      <c r="T343" s="147">
        <f>IFERROR((HLOOKUP($AH343,Target_monthwise!$D$24:$O$40,DTR!T$4,FALSE)),0)</f>
        <v>0</v>
      </c>
      <c r="U343" s="147">
        <f>IFERROR((HLOOKUP($AH343,Target_monthwise!$D$24:$O$40,DTR!U$4,FALSE)),0)</f>
        <v>0</v>
      </c>
      <c r="V343" s="147">
        <f>IFERROR((HLOOKUP($AH343,Target_monthwise!$D$24:$O$40,DTR!V$4,FALSE)),0)</f>
        <v>0</v>
      </c>
      <c r="W343" s="147">
        <f>IFERROR((HLOOKUP($AH343,Target_monthwise!$D$24:$O$40,DTR!W$4,FALSE)),0)</f>
        <v>0</v>
      </c>
      <c r="X343" s="147">
        <f>IFERROR((HLOOKUP($AH343,Target_monthwise!$D$24:$O$40,DTR!X$4,FALSE)),0)</f>
        <v>0</v>
      </c>
      <c r="Y343" s="147">
        <f>IFERROR((HLOOKUP($AH343,Target_monthwise!$D$24:$O$40,DTR!Y$4,FALSE)),0)</f>
        <v>0</v>
      </c>
      <c r="Z343" s="147">
        <f>IFERROR((HLOOKUP($AH343,Target_monthwise!$D$24:$O$40,DTR!Z$4,FALSE)),0)</f>
        <v>0</v>
      </c>
      <c r="AA343" s="147">
        <f>IFERROR((HLOOKUP($AH343,Target_monthwise!$D$24:$O$40,DTR!AA$4,FALSE)),0)</f>
        <v>0</v>
      </c>
      <c r="AB343" s="147">
        <f>IFERROR((HLOOKUP($AH343,Target_monthwise!$D$24:$O$40,DTR!AB$4,FALSE)),0)</f>
        <v>0</v>
      </c>
      <c r="AC343" s="147">
        <f>IFERROR((HLOOKUP($AH343,Target_monthwise!$D$24:$O$40,DTR!AC$4,FALSE)),0)</f>
        <v>0</v>
      </c>
      <c r="AD343" s="147">
        <f>IFERROR((HLOOKUP($AH343,Target_monthwise!$D$24:$O$40,DTR!AD$4,FALSE)),0)</f>
        <v>0</v>
      </c>
      <c r="AE343" s="147">
        <f>IFERROR((HLOOKUP($AH343,Target_monthwise!$D$24:$O$40,DTR!AE$4,FALSE)),0)</f>
        <v>0</v>
      </c>
      <c r="AF343" s="147">
        <f>IFERROR((HLOOKUP($AH343,Target_monthwise!$D$24:$O$40,DTR!AF$4,FALSE)),0)</f>
        <v>0</v>
      </c>
      <c r="AG343" s="172">
        <f>IFERROR((HLOOKUP($AH343,Target_monthwise!$D$24:$O$40,DTR!AG$4,FALSE)),0)</f>
        <v>0</v>
      </c>
      <c r="AH343" s="253">
        <f t="shared" si="5"/>
        <v>202303</v>
      </c>
    </row>
    <row r="344" spans="3:34" ht="15.75" hidden="1">
      <c r="C344" s="237">
        <v>44987</v>
      </c>
      <c r="D344" s="238">
        <f>IFERROR((HLOOKUP($AH344,Target_monthwise!$D$4:$O$20,DTR!D$4,FALSE))*1000,0)</f>
        <v>0</v>
      </c>
      <c r="E344" s="238">
        <f>IFERROR((HLOOKUP($AH344,Target_monthwise!$D$4:$O$20,DTR!E$4,FALSE))*1000,0)</f>
        <v>0</v>
      </c>
      <c r="F344" s="238">
        <f>IFERROR((HLOOKUP($AH344,Target_monthwise!$D$4:$O$20,DTR!F$4,FALSE))*1000,0)</f>
        <v>0</v>
      </c>
      <c r="G344" s="238">
        <f>IFERROR((HLOOKUP($AH344,Target_monthwise!$D$4:$O$20,DTR!G$4,FALSE))*1000,0)</f>
        <v>0</v>
      </c>
      <c r="H344" s="238">
        <f>IFERROR((HLOOKUP($AH344,Target_monthwise!$D$4:$O$20,DTR!H$4,FALSE))*1000,0)</f>
        <v>0</v>
      </c>
      <c r="I344" s="238">
        <f>IFERROR((HLOOKUP($AH344,Target_monthwise!$D$4:$O$20,DTR!I$4,FALSE))*1000,0)</f>
        <v>0</v>
      </c>
      <c r="J344" s="238">
        <f>IFERROR((HLOOKUP($AH344,Target_monthwise!$D$4:$O$20,DTR!J$4,FALSE))*1000,0)</f>
        <v>0</v>
      </c>
      <c r="K344" s="238">
        <f>IFERROR((HLOOKUP($AH344,Target_monthwise!$D$4:$O$20,DTR!K$4,FALSE))*1000,0)</f>
        <v>0</v>
      </c>
      <c r="L344" s="238">
        <f>IFERROR((HLOOKUP($AH344,Target_monthwise!$D$4:$O$20,DTR!L$4,FALSE))*1000,0)</f>
        <v>0</v>
      </c>
      <c r="M344" s="238">
        <f>IFERROR((HLOOKUP($AH344,Target_monthwise!$D$4:$O$20,DTR!M$4,FALSE))*1000,0)</f>
        <v>0</v>
      </c>
      <c r="N344" s="238">
        <f>IFERROR((HLOOKUP($AH344,Target_monthwise!$D$4:$O$20,DTR!N$4,FALSE))*1000,0)</f>
        <v>0</v>
      </c>
      <c r="O344" s="238">
        <f>IFERROR((HLOOKUP($AH344,Target_monthwise!$D$4:$O$20,DTR!O$4,FALSE))*1000,0)</f>
        <v>0</v>
      </c>
      <c r="P344" s="238">
        <f>IFERROR((HLOOKUP($AH344,Target_monthwise!$D$4:$O$20,DTR!P$4,FALSE))*1000,0)</f>
        <v>0</v>
      </c>
      <c r="Q344" s="141">
        <f>IFERROR((HLOOKUP($AH344,Target_monthwise!$D$4:$O$20,DTR!Q$4,FALSE))*1000,0)</f>
        <v>0</v>
      </c>
      <c r="R344" s="167">
        <f>IFERROR((HLOOKUP($AH344,Target_monthwise!$D$4:$O$20,DTR!R$4,FALSE))*1000,0)</f>
        <v>0</v>
      </c>
      <c r="S344" s="239">
        <f>IFERROR((HLOOKUP($AH344,Target_monthwise!$D$24:$O$40,DTR!S$4,FALSE)),0)</f>
        <v>0</v>
      </c>
      <c r="T344" s="239">
        <f>IFERROR((HLOOKUP($AH344,Target_monthwise!$D$24:$O$40,DTR!T$4,FALSE)),0)</f>
        <v>0</v>
      </c>
      <c r="U344" s="239">
        <f>IFERROR((HLOOKUP($AH344,Target_monthwise!$D$24:$O$40,DTR!U$4,FALSE)),0)</f>
        <v>0</v>
      </c>
      <c r="V344" s="239">
        <f>IFERROR((HLOOKUP($AH344,Target_monthwise!$D$24:$O$40,DTR!V$4,FALSE)),0)</f>
        <v>0</v>
      </c>
      <c r="W344" s="239">
        <f>IFERROR((HLOOKUP($AH344,Target_monthwise!$D$24:$O$40,DTR!W$4,FALSE)),0)</f>
        <v>0</v>
      </c>
      <c r="X344" s="239">
        <f>IFERROR((HLOOKUP($AH344,Target_monthwise!$D$24:$O$40,DTR!X$4,FALSE)),0)</f>
        <v>0</v>
      </c>
      <c r="Y344" s="239">
        <f>IFERROR((HLOOKUP($AH344,Target_monthwise!$D$24:$O$40,DTR!Y$4,FALSE)),0)</f>
        <v>0</v>
      </c>
      <c r="Z344" s="147">
        <f>IFERROR((HLOOKUP($AH344,Target_monthwise!$D$24:$O$40,DTR!Z$4,FALSE)),0)</f>
        <v>0</v>
      </c>
      <c r="AA344" s="147">
        <f>IFERROR((HLOOKUP($AH344,Target_monthwise!$D$24:$O$40,DTR!AA$4,FALSE)),0)</f>
        <v>0</v>
      </c>
      <c r="AB344" s="147">
        <f>IFERROR((HLOOKUP($AH344,Target_monthwise!$D$24:$O$40,DTR!AB$4,FALSE)),0)</f>
        <v>0</v>
      </c>
      <c r="AC344" s="239">
        <f>IFERROR((HLOOKUP($AH344,Target_monthwise!$D$24:$O$40,DTR!AC$4,FALSE)),0)</f>
        <v>0</v>
      </c>
      <c r="AD344" s="239">
        <f>IFERROR((HLOOKUP($AH344,Target_monthwise!$D$24:$O$40,DTR!AD$4,FALSE)),0)</f>
        <v>0</v>
      </c>
      <c r="AE344" s="239">
        <f>IFERROR((HLOOKUP($AH344,Target_monthwise!$D$24:$O$40,DTR!AE$4,FALSE)),0)</f>
        <v>0</v>
      </c>
      <c r="AF344" s="239">
        <f>IFERROR((HLOOKUP($AH344,Target_monthwise!$D$24:$O$40,DTR!AF$4,FALSE)),0)</f>
        <v>0</v>
      </c>
      <c r="AG344" s="172">
        <f>IFERROR((HLOOKUP($AH344,Target_monthwise!$D$24:$O$40,DTR!AG$4,FALSE)),0)</f>
        <v>0</v>
      </c>
      <c r="AH344" s="253">
        <f t="shared" si="5"/>
        <v>202303</v>
      </c>
    </row>
    <row r="345" spans="3:34" ht="15.75" hidden="1">
      <c r="C345" s="235">
        <v>44988</v>
      </c>
      <c r="D345" s="141">
        <f>IFERROR((HLOOKUP($AH345,Target_monthwise!$D$4:$O$20,DTR!D$4,FALSE))*1000,0)</f>
        <v>0</v>
      </c>
      <c r="E345" s="141">
        <f>IFERROR((HLOOKUP($AH345,Target_monthwise!$D$4:$O$20,DTR!E$4,FALSE))*1000,0)</f>
        <v>0</v>
      </c>
      <c r="F345" s="141">
        <f>IFERROR((HLOOKUP($AH345,Target_monthwise!$D$4:$O$20,DTR!F$4,FALSE))*1000,0)</f>
        <v>0</v>
      </c>
      <c r="G345" s="141">
        <f>IFERROR((HLOOKUP($AH345,Target_monthwise!$D$4:$O$20,DTR!G$4,FALSE))*1000,0)</f>
        <v>0</v>
      </c>
      <c r="H345" s="141">
        <f>IFERROR((HLOOKUP($AH345,Target_monthwise!$D$4:$O$20,DTR!H$4,FALSE))*1000,0)</f>
        <v>0</v>
      </c>
      <c r="I345" s="141">
        <f>IFERROR((HLOOKUP($AH345,Target_monthwise!$D$4:$O$20,DTR!I$4,FALSE))*1000,0)</f>
        <v>0</v>
      </c>
      <c r="J345" s="141">
        <f>IFERROR((HLOOKUP($AH345,Target_monthwise!$D$4:$O$20,DTR!J$4,FALSE))*1000,0)</f>
        <v>0</v>
      </c>
      <c r="K345" s="141">
        <f>IFERROR((HLOOKUP($AH345,Target_monthwise!$D$4:$O$20,DTR!K$4,FALSE))*1000,0)</f>
        <v>0</v>
      </c>
      <c r="L345" s="141">
        <f>IFERROR((HLOOKUP($AH345,Target_monthwise!$D$4:$O$20,DTR!L$4,FALSE))*1000,0)</f>
        <v>0</v>
      </c>
      <c r="M345" s="141">
        <f>IFERROR((HLOOKUP($AH345,Target_monthwise!$D$4:$O$20,DTR!M$4,FALSE))*1000,0)</f>
        <v>0</v>
      </c>
      <c r="N345" s="141">
        <f>IFERROR((HLOOKUP($AH345,Target_monthwise!$D$4:$O$20,DTR!N$4,FALSE))*1000,0)</f>
        <v>0</v>
      </c>
      <c r="O345" s="141">
        <f>IFERROR((HLOOKUP($AH345,Target_monthwise!$D$4:$O$20,DTR!O$4,FALSE))*1000,0)</f>
        <v>0</v>
      </c>
      <c r="P345" s="141">
        <f>IFERROR((HLOOKUP($AH345,Target_monthwise!$D$4:$O$20,DTR!P$4,FALSE))*1000,0)</f>
        <v>0</v>
      </c>
      <c r="Q345" s="141">
        <f>IFERROR((HLOOKUP($AH345,Target_monthwise!$D$4:$O$20,DTR!Q$4,FALSE))*1000,0)</f>
        <v>0</v>
      </c>
      <c r="R345" s="167">
        <f>IFERROR((HLOOKUP($AH345,Target_monthwise!$D$4:$O$20,DTR!R$4,FALSE))*1000,0)</f>
        <v>0</v>
      </c>
      <c r="S345" s="147">
        <f>IFERROR((HLOOKUP($AH345,Target_monthwise!$D$24:$O$40,DTR!S$4,FALSE)),0)</f>
        <v>0</v>
      </c>
      <c r="T345" s="147">
        <f>IFERROR((HLOOKUP($AH345,Target_monthwise!$D$24:$O$40,DTR!T$4,FALSE)),0)</f>
        <v>0</v>
      </c>
      <c r="U345" s="147">
        <f>IFERROR((HLOOKUP($AH345,Target_monthwise!$D$24:$O$40,DTR!U$4,FALSE)),0)</f>
        <v>0</v>
      </c>
      <c r="V345" s="147">
        <f>IFERROR((HLOOKUP($AH345,Target_monthwise!$D$24:$O$40,DTR!V$4,FALSE)),0)</f>
        <v>0</v>
      </c>
      <c r="W345" s="147">
        <f>IFERROR((HLOOKUP($AH345,Target_monthwise!$D$24:$O$40,DTR!W$4,FALSE)),0)</f>
        <v>0</v>
      </c>
      <c r="X345" s="147">
        <f>IFERROR((HLOOKUP($AH345,Target_monthwise!$D$24:$O$40,DTR!X$4,FALSE)),0)</f>
        <v>0</v>
      </c>
      <c r="Y345" s="147">
        <f>IFERROR((HLOOKUP($AH345,Target_monthwise!$D$24:$O$40,DTR!Y$4,FALSE)),0)</f>
        <v>0</v>
      </c>
      <c r="Z345" s="147">
        <f>IFERROR((HLOOKUP($AH345,Target_monthwise!$D$24:$O$40,DTR!Z$4,FALSE)),0)</f>
        <v>0</v>
      </c>
      <c r="AA345" s="147">
        <f>IFERROR((HLOOKUP($AH345,Target_monthwise!$D$24:$O$40,DTR!AA$4,FALSE)),0)</f>
        <v>0</v>
      </c>
      <c r="AB345" s="147">
        <f>IFERROR((HLOOKUP($AH345,Target_monthwise!$D$24:$O$40,DTR!AB$4,FALSE)),0)</f>
        <v>0</v>
      </c>
      <c r="AC345" s="147">
        <f>IFERROR((HLOOKUP($AH345,Target_monthwise!$D$24:$O$40,DTR!AC$4,FALSE)),0)</f>
        <v>0</v>
      </c>
      <c r="AD345" s="147">
        <f>IFERROR((HLOOKUP($AH345,Target_monthwise!$D$24:$O$40,DTR!AD$4,FALSE)),0)</f>
        <v>0</v>
      </c>
      <c r="AE345" s="147">
        <f>IFERROR((HLOOKUP($AH345,Target_monthwise!$D$24:$O$40,DTR!AE$4,FALSE)),0)</f>
        <v>0</v>
      </c>
      <c r="AF345" s="147">
        <f>IFERROR((HLOOKUP($AH345,Target_monthwise!$D$24:$O$40,DTR!AF$4,FALSE)),0)</f>
        <v>0</v>
      </c>
      <c r="AG345" s="172">
        <f>IFERROR((HLOOKUP($AH345,Target_monthwise!$D$24:$O$40,DTR!AG$4,FALSE)),0)</f>
        <v>0</v>
      </c>
      <c r="AH345" s="253">
        <f t="shared" si="5"/>
        <v>202303</v>
      </c>
    </row>
    <row r="346" spans="3:34" ht="15.75" hidden="1">
      <c r="C346" s="237">
        <v>44989</v>
      </c>
      <c r="D346" s="238">
        <f>IFERROR((HLOOKUP($AH346,Target_monthwise!$D$4:$O$20,DTR!D$4,FALSE))*1000,0)</f>
        <v>0</v>
      </c>
      <c r="E346" s="238">
        <f>IFERROR((HLOOKUP($AH346,Target_monthwise!$D$4:$O$20,DTR!E$4,FALSE))*1000,0)</f>
        <v>0</v>
      </c>
      <c r="F346" s="238">
        <f>IFERROR((HLOOKUP($AH346,Target_monthwise!$D$4:$O$20,DTR!F$4,FALSE))*1000,0)</f>
        <v>0</v>
      </c>
      <c r="G346" s="238">
        <f>IFERROR((HLOOKUP($AH346,Target_monthwise!$D$4:$O$20,DTR!G$4,FALSE))*1000,0)</f>
        <v>0</v>
      </c>
      <c r="H346" s="238">
        <f>IFERROR((HLOOKUP($AH346,Target_monthwise!$D$4:$O$20,DTR!H$4,FALSE))*1000,0)</f>
        <v>0</v>
      </c>
      <c r="I346" s="238">
        <f>IFERROR((HLOOKUP($AH346,Target_monthwise!$D$4:$O$20,DTR!I$4,FALSE))*1000,0)</f>
        <v>0</v>
      </c>
      <c r="J346" s="238">
        <f>IFERROR((HLOOKUP($AH346,Target_monthwise!$D$4:$O$20,DTR!J$4,FALSE))*1000,0)</f>
        <v>0</v>
      </c>
      <c r="K346" s="238">
        <f>IFERROR((HLOOKUP($AH346,Target_monthwise!$D$4:$O$20,DTR!K$4,FALSE))*1000,0)</f>
        <v>0</v>
      </c>
      <c r="L346" s="238">
        <f>IFERROR((HLOOKUP($AH346,Target_monthwise!$D$4:$O$20,DTR!L$4,FALSE))*1000,0)</f>
        <v>0</v>
      </c>
      <c r="M346" s="238">
        <f>IFERROR((HLOOKUP($AH346,Target_monthwise!$D$4:$O$20,DTR!M$4,FALSE))*1000,0)</f>
        <v>0</v>
      </c>
      <c r="N346" s="238">
        <f>IFERROR((HLOOKUP($AH346,Target_monthwise!$D$4:$O$20,DTR!N$4,FALSE))*1000,0)</f>
        <v>0</v>
      </c>
      <c r="O346" s="238">
        <f>IFERROR((HLOOKUP($AH346,Target_monthwise!$D$4:$O$20,DTR!O$4,FALSE))*1000,0)</f>
        <v>0</v>
      </c>
      <c r="P346" s="238">
        <f>IFERROR((HLOOKUP($AH346,Target_monthwise!$D$4:$O$20,DTR!P$4,FALSE))*1000,0)</f>
        <v>0</v>
      </c>
      <c r="Q346" s="141">
        <f>IFERROR((HLOOKUP($AH346,Target_monthwise!$D$4:$O$20,DTR!Q$4,FALSE))*1000,0)</f>
        <v>0</v>
      </c>
      <c r="R346" s="167">
        <f>IFERROR((HLOOKUP($AH346,Target_monthwise!$D$4:$O$20,DTR!R$4,FALSE))*1000,0)</f>
        <v>0</v>
      </c>
      <c r="S346" s="239">
        <f>IFERROR((HLOOKUP($AH346,Target_monthwise!$D$24:$O$40,DTR!S$4,FALSE)),0)</f>
        <v>0</v>
      </c>
      <c r="T346" s="239">
        <f>IFERROR((HLOOKUP($AH346,Target_monthwise!$D$24:$O$40,DTR!T$4,FALSE)),0)</f>
        <v>0</v>
      </c>
      <c r="U346" s="239">
        <f>IFERROR((HLOOKUP($AH346,Target_monthwise!$D$24:$O$40,DTR!U$4,FALSE)),0)</f>
        <v>0</v>
      </c>
      <c r="V346" s="239">
        <f>IFERROR((HLOOKUP($AH346,Target_monthwise!$D$24:$O$40,DTR!V$4,FALSE)),0)</f>
        <v>0</v>
      </c>
      <c r="W346" s="239">
        <f>IFERROR((HLOOKUP($AH346,Target_monthwise!$D$24:$O$40,DTR!W$4,FALSE)),0)</f>
        <v>0</v>
      </c>
      <c r="X346" s="239">
        <f>IFERROR((HLOOKUP($AH346,Target_monthwise!$D$24:$O$40,DTR!X$4,FALSE)),0)</f>
        <v>0</v>
      </c>
      <c r="Y346" s="239">
        <f>IFERROR((HLOOKUP($AH346,Target_monthwise!$D$24:$O$40,DTR!Y$4,FALSE)),0)</f>
        <v>0</v>
      </c>
      <c r="Z346" s="147">
        <f>IFERROR((HLOOKUP($AH346,Target_monthwise!$D$24:$O$40,DTR!Z$4,FALSE)),0)</f>
        <v>0</v>
      </c>
      <c r="AA346" s="147">
        <f>IFERROR((HLOOKUP($AH346,Target_monthwise!$D$24:$O$40,DTR!AA$4,FALSE)),0)</f>
        <v>0</v>
      </c>
      <c r="AB346" s="147">
        <f>IFERROR((HLOOKUP($AH346,Target_monthwise!$D$24:$O$40,DTR!AB$4,FALSE)),0)</f>
        <v>0</v>
      </c>
      <c r="AC346" s="239">
        <f>IFERROR((HLOOKUP($AH346,Target_monthwise!$D$24:$O$40,DTR!AC$4,FALSE)),0)</f>
        <v>0</v>
      </c>
      <c r="AD346" s="239">
        <f>IFERROR((HLOOKUP($AH346,Target_monthwise!$D$24:$O$40,DTR!AD$4,FALSE)),0)</f>
        <v>0</v>
      </c>
      <c r="AE346" s="239">
        <f>IFERROR((HLOOKUP($AH346,Target_monthwise!$D$24:$O$40,DTR!AE$4,FALSE)),0)</f>
        <v>0</v>
      </c>
      <c r="AF346" s="239">
        <f>IFERROR((HLOOKUP($AH346,Target_monthwise!$D$24:$O$40,DTR!AF$4,FALSE)),0)</f>
        <v>0</v>
      </c>
      <c r="AG346" s="172">
        <f>IFERROR((HLOOKUP($AH346,Target_monthwise!$D$24:$O$40,DTR!AG$4,FALSE)),0)</f>
        <v>0</v>
      </c>
      <c r="AH346" s="253">
        <f t="shared" si="5"/>
        <v>202303</v>
      </c>
    </row>
    <row r="347" spans="3:34" ht="15.75" hidden="1">
      <c r="C347" s="235">
        <v>44990</v>
      </c>
      <c r="D347" s="141">
        <f>IFERROR((HLOOKUP($AH347,Target_monthwise!$D$4:$O$20,DTR!D$4,FALSE))*1000,0)</f>
        <v>0</v>
      </c>
      <c r="E347" s="141">
        <f>IFERROR((HLOOKUP($AH347,Target_monthwise!$D$4:$O$20,DTR!E$4,FALSE))*1000,0)</f>
        <v>0</v>
      </c>
      <c r="F347" s="141">
        <f>IFERROR((HLOOKUP($AH347,Target_monthwise!$D$4:$O$20,DTR!F$4,FALSE))*1000,0)</f>
        <v>0</v>
      </c>
      <c r="G347" s="141">
        <f>IFERROR((HLOOKUP($AH347,Target_monthwise!$D$4:$O$20,DTR!G$4,FALSE))*1000,0)</f>
        <v>0</v>
      </c>
      <c r="H347" s="141">
        <f>IFERROR((HLOOKUP($AH347,Target_monthwise!$D$4:$O$20,DTR!H$4,FALSE))*1000,0)</f>
        <v>0</v>
      </c>
      <c r="I347" s="141">
        <f>IFERROR((HLOOKUP($AH347,Target_monthwise!$D$4:$O$20,DTR!I$4,FALSE))*1000,0)</f>
        <v>0</v>
      </c>
      <c r="J347" s="141">
        <f>IFERROR((HLOOKUP($AH347,Target_monthwise!$D$4:$O$20,DTR!J$4,FALSE))*1000,0)</f>
        <v>0</v>
      </c>
      <c r="K347" s="141">
        <f>IFERROR((HLOOKUP($AH347,Target_monthwise!$D$4:$O$20,DTR!K$4,FALSE))*1000,0)</f>
        <v>0</v>
      </c>
      <c r="L347" s="141">
        <f>IFERROR((HLOOKUP($AH347,Target_monthwise!$D$4:$O$20,DTR!L$4,FALSE))*1000,0)</f>
        <v>0</v>
      </c>
      <c r="M347" s="141">
        <f>IFERROR((HLOOKUP($AH347,Target_monthwise!$D$4:$O$20,DTR!M$4,FALSE))*1000,0)</f>
        <v>0</v>
      </c>
      <c r="N347" s="141">
        <f>IFERROR((HLOOKUP($AH347,Target_monthwise!$D$4:$O$20,DTR!N$4,FALSE))*1000,0)</f>
        <v>0</v>
      </c>
      <c r="O347" s="141">
        <f>IFERROR((HLOOKUP($AH347,Target_monthwise!$D$4:$O$20,DTR!O$4,FALSE))*1000,0)</f>
        <v>0</v>
      </c>
      <c r="P347" s="141">
        <f>IFERROR((HLOOKUP($AH347,Target_monthwise!$D$4:$O$20,DTR!P$4,FALSE))*1000,0)</f>
        <v>0</v>
      </c>
      <c r="Q347" s="141">
        <f>IFERROR((HLOOKUP($AH347,Target_monthwise!$D$4:$O$20,DTR!Q$4,FALSE))*1000,0)</f>
        <v>0</v>
      </c>
      <c r="R347" s="167">
        <f>IFERROR((HLOOKUP($AH347,Target_monthwise!$D$4:$O$20,DTR!R$4,FALSE))*1000,0)</f>
        <v>0</v>
      </c>
      <c r="S347" s="147">
        <f>IFERROR((HLOOKUP($AH347,Target_monthwise!$D$24:$O$40,DTR!S$4,FALSE)),0)</f>
        <v>0</v>
      </c>
      <c r="T347" s="147">
        <f>IFERROR((HLOOKUP($AH347,Target_monthwise!$D$24:$O$40,DTR!T$4,FALSE)),0)</f>
        <v>0</v>
      </c>
      <c r="U347" s="147">
        <f>IFERROR((HLOOKUP($AH347,Target_monthwise!$D$24:$O$40,DTR!U$4,FALSE)),0)</f>
        <v>0</v>
      </c>
      <c r="V347" s="147">
        <f>IFERROR((HLOOKUP($AH347,Target_monthwise!$D$24:$O$40,DTR!V$4,FALSE)),0)</f>
        <v>0</v>
      </c>
      <c r="W347" s="147">
        <f>IFERROR((HLOOKUP($AH347,Target_monthwise!$D$24:$O$40,DTR!W$4,FALSE)),0)</f>
        <v>0</v>
      </c>
      <c r="X347" s="147">
        <f>IFERROR((HLOOKUP($AH347,Target_monthwise!$D$24:$O$40,DTR!X$4,FALSE)),0)</f>
        <v>0</v>
      </c>
      <c r="Y347" s="147">
        <f>IFERROR((HLOOKUP($AH347,Target_monthwise!$D$24:$O$40,DTR!Y$4,FALSE)),0)</f>
        <v>0</v>
      </c>
      <c r="Z347" s="147">
        <f>IFERROR((HLOOKUP($AH347,Target_monthwise!$D$24:$O$40,DTR!Z$4,FALSE)),0)</f>
        <v>0</v>
      </c>
      <c r="AA347" s="147">
        <f>IFERROR((HLOOKUP($AH347,Target_monthwise!$D$24:$O$40,DTR!AA$4,FALSE)),0)</f>
        <v>0</v>
      </c>
      <c r="AB347" s="147">
        <f>IFERROR((HLOOKUP($AH347,Target_monthwise!$D$24:$O$40,DTR!AB$4,FALSE)),0)</f>
        <v>0</v>
      </c>
      <c r="AC347" s="147">
        <f>IFERROR((HLOOKUP($AH347,Target_monthwise!$D$24:$O$40,DTR!AC$4,FALSE)),0)</f>
        <v>0</v>
      </c>
      <c r="AD347" s="147">
        <f>IFERROR((HLOOKUP($AH347,Target_monthwise!$D$24:$O$40,DTR!AD$4,FALSE)),0)</f>
        <v>0</v>
      </c>
      <c r="AE347" s="147">
        <f>IFERROR((HLOOKUP($AH347,Target_monthwise!$D$24:$O$40,DTR!AE$4,FALSE)),0)</f>
        <v>0</v>
      </c>
      <c r="AF347" s="147">
        <f>IFERROR((HLOOKUP($AH347,Target_monthwise!$D$24:$O$40,DTR!AF$4,FALSE)),0)</f>
        <v>0</v>
      </c>
      <c r="AG347" s="172">
        <f>IFERROR((HLOOKUP($AH347,Target_monthwise!$D$24:$O$40,DTR!AG$4,FALSE)),0)</f>
        <v>0</v>
      </c>
      <c r="AH347" s="253">
        <f t="shared" si="5"/>
        <v>202303</v>
      </c>
    </row>
    <row r="348" spans="3:34" ht="15.75" hidden="1">
      <c r="C348" s="237">
        <v>44991</v>
      </c>
      <c r="D348" s="238">
        <f>IFERROR((HLOOKUP($AH348,Target_monthwise!$D$4:$O$20,DTR!D$4,FALSE))*1000,0)</f>
        <v>0</v>
      </c>
      <c r="E348" s="238">
        <f>IFERROR((HLOOKUP($AH348,Target_monthwise!$D$4:$O$20,DTR!E$4,FALSE))*1000,0)</f>
        <v>0</v>
      </c>
      <c r="F348" s="238">
        <f>IFERROR((HLOOKUP($AH348,Target_monthwise!$D$4:$O$20,DTR!F$4,FALSE))*1000,0)</f>
        <v>0</v>
      </c>
      <c r="G348" s="238">
        <f>IFERROR((HLOOKUP($AH348,Target_monthwise!$D$4:$O$20,DTR!G$4,FALSE))*1000,0)</f>
        <v>0</v>
      </c>
      <c r="H348" s="238">
        <f>IFERROR((HLOOKUP($AH348,Target_monthwise!$D$4:$O$20,DTR!H$4,FALSE))*1000,0)</f>
        <v>0</v>
      </c>
      <c r="I348" s="238">
        <f>IFERROR((HLOOKUP($AH348,Target_monthwise!$D$4:$O$20,DTR!I$4,FALSE))*1000,0)</f>
        <v>0</v>
      </c>
      <c r="J348" s="238">
        <f>IFERROR((HLOOKUP($AH348,Target_monthwise!$D$4:$O$20,DTR!J$4,FALSE))*1000,0)</f>
        <v>0</v>
      </c>
      <c r="K348" s="238">
        <f>IFERROR((HLOOKUP($AH348,Target_monthwise!$D$4:$O$20,DTR!K$4,FALSE))*1000,0)</f>
        <v>0</v>
      </c>
      <c r="L348" s="238">
        <f>IFERROR((HLOOKUP($AH348,Target_monthwise!$D$4:$O$20,DTR!L$4,FALSE))*1000,0)</f>
        <v>0</v>
      </c>
      <c r="M348" s="238">
        <f>IFERROR((HLOOKUP($AH348,Target_monthwise!$D$4:$O$20,DTR!M$4,FALSE))*1000,0)</f>
        <v>0</v>
      </c>
      <c r="N348" s="238">
        <f>IFERROR((HLOOKUP($AH348,Target_monthwise!$D$4:$O$20,DTR!N$4,FALSE))*1000,0)</f>
        <v>0</v>
      </c>
      <c r="O348" s="238">
        <f>IFERROR((HLOOKUP($AH348,Target_monthwise!$D$4:$O$20,DTR!O$4,FALSE))*1000,0)</f>
        <v>0</v>
      </c>
      <c r="P348" s="238">
        <f>IFERROR((HLOOKUP($AH348,Target_monthwise!$D$4:$O$20,DTR!P$4,FALSE))*1000,0)</f>
        <v>0</v>
      </c>
      <c r="Q348" s="141">
        <f>IFERROR((HLOOKUP($AH348,Target_monthwise!$D$4:$O$20,DTR!Q$4,FALSE))*1000,0)</f>
        <v>0</v>
      </c>
      <c r="R348" s="167">
        <f>IFERROR((HLOOKUP($AH348,Target_monthwise!$D$4:$O$20,DTR!R$4,FALSE))*1000,0)</f>
        <v>0</v>
      </c>
      <c r="S348" s="239">
        <f>IFERROR((HLOOKUP($AH348,Target_monthwise!$D$24:$O$40,DTR!S$4,FALSE)),0)</f>
        <v>0</v>
      </c>
      <c r="T348" s="239">
        <f>IFERROR((HLOOKUP($AH348,Target_monthwise!$D$24:$O$40,DTR!T$4,FALSE)),0)</f>
        <v>0</v>
      </c>
      <c r="U348" s="239">
        <f>IFERROR((HLOOKUP($AH348,Target_monthwise!$D$24:$O$40,DTR!U$4,FALSE)),0)</f>
        <v>0</v>
      </c>
      <c r="V348" s="239">
        <f>IFERROR((HLOOKUP($AH348,Target_monthwise!$D$24:$O$40,DTR!V$4,FALSE)),0)</f>
        <v>0</v>
      </c>
      <c r="W348" s="239">
        <f>IFERROR((HLOOKUP($AH348,Target_monthwise!$D$24:$O$40,DTR!W$4,FALSE)),0)</f>
        <v>0</v>
      </c>
      <c r="X348" s="239">
        <f>IFERROR((HLOOKUP($AH348,Target_monthwise!$D$24:$O$40,DTR!X$4,FALSE)),0)</f>
        <v>0</v>
      </c>
      <c r="Y348" s="239">
        <f>IFERROR((HLOOKUP($AH348,Target_monthwise!$D$24:$O$40,DTR!Y$4,FALSE)),0)</f>
        <v>0</v>
      </c>
      <c r="Z348" s="147">
        <f>IFERROR((HLOOKUP($AH348,Target_monthwise!$D$24:$O$40,DTR!Z$4,FALSE)),0)</f>
        <v>0</v>
      </c>
      <c r="AA348" s="147">
        <f>IFERROR((HLOOKUP($AH348,Target_monthwise!$D$24:$O$40,DTR!AA$4,FALSE)),0)</f>
        <v>0</v>
      </c>
      <c r="AB348" s="147">
        <f>IFERROR((HLOOKUP($AH348,Target_monthwise!$D$24:$O$40,DTR!AB$4,FALSE)),0)</f>
        <v>0</v>
      </c>
      <c r="AC348" s="239">
        <f>IFERROR((HLOOKUP($AH348,Target_monthwise!$D$24:$O$40,DTR!AC$4,FALSE)),0)</f>
        <v>0</v>
      </c>
      <c r="AD348" s="239">
        <f>IFERROR((HLOOKUP($AH348,Target_monthwise!$D$24:$O$40,DTR!AD$4,FALSE)),0)</f>
        <v>0</v>
      </c>
      <c r="AE348" s="239">
        <f>IFERROR((HLOOKUP($AH348,Target_monthwise!$D$24:$O$40,DTR!AE$4,FALSE)),0)</f>
        <v>0</v>
      </c>
      <c r="AF348" s="239">
        <f>IFERROR((HLOOKUP($AH348,Target_monthwise!$D$24:$O$40,DTR!AF$4,FALSE)),0)</f>
        <v>0</v>
      </c>
      <c r="AG348" s="172">
        <f>IFERROR((HLOOKUP($AH348,Target_monthwise!$D$24:$O$40,DTR!AG$4,FALSE)),0)</f>
        <v>0</v>
      </c>
      <c r="AH348" s="253">
        <f t="shared" si="5"/>
        <v>202303</v>
      </c>
    </row>
    <row r="349" spans="3:34" ht="15.75" hidden="1">
      <c r="C349" s="235">
        <v>44992</v>
      </c>
      <c r="D349" s="141">
        <f>IFERROR((HLOOKUP($AH349,Target_monthwise!$D$4:$O$20,DTR!D$4,FALSE))*1000,0)</f>
        <v>0</v>
      </c>
      <c r="E349" s="141">
        <f>IFERROR((HLOOKUP($AH349,Target_monthwise!$D$4:$O$20,DTR!E$4,FALSE))*1000,0)</f>
        <v>0</v>
      </c>
      <c r="F349" s="141">
        <f>IFERROR((HLOOKUP($AH349,Target_monthwise!$D$4:$O$20,DTR!F$4,FALSE))*1000,0)</f>
        <v>0</v>
      </c>
      <c r="G349" s="141">
        <f>IFERROR((HLOOKUP($AH349,Target_monthwise!$D$4:$O$20,DTR!G$4,FALSE))*1000,0)</f>
        <v>0</v>
      </c>
      <c r="H349" s="141">
        <f>IFERROR((HLOOKUP($AH349,Target_monthwise!$D$4:$O$20,DTR!H$4,FALSE))*1000,0)</f>
        <v>0</v>
      </c>
      <c r="I349" s="141">
        <f>IFERROR((HLOOKUP($AH349,Target_monthwise!$D$4:$O$20,DTR!I$4,FALSE))*1000,0)</f>
        <v>0</v>
      </c>
      <c r="J349" s="141">
        <f>IFERROR((HLOOKUP($AH349,Target_monthwise!$D$4:$O$20,DTR!J$4,FALSE))*1000,0)</f>
        <v>0</v>
      </c>
      <c r="K349" s="141">
        <f>IFERROR((HLOOKUP($AH349,Target_monthwise!$D$4:$O$20,DTR!K$4,FALSE))*1000,0)</f>
        <v>0</v>
      </c>
      <c r="L349" s="141">
        <f>IFERROR((HLOOKUP($AH349,Target_monthwise!$D$4:$O$20,DTR!L$4,FALSE))*1000,0)</f>
        <v>0</v>
      </c>
      <c r="M349" s="141">
        <f>IFERROR((HLOOKUP($AH349,Target_monthwise!$D$4:$O$20,DTR!M$4,FALSE))*1000,0)</f>
        <v>0</v>
      </c>
      <c r="N349" s="141">
        <f>IFERROR((HLOOKUP($AH349,Target_monthwise!$D$4:$O$20,DTR!N$4,FALSE))*1000,0)</f>
        <v>0</v>
      </c>
      <c r="O349" s="141">
        <f>IFERROR((HLOOKUP($AH349,Target_monthwise!$D$4:$O$20,DTR!O$4,FALSE))*1000,0)</f>
        <v>0</v>
      </c>
      <c r="P349" s="141">
        <f>IFERROR((HLOOKUP($AH349,Target_monthwise!$D$4:$O$20,DTR!P$4,FALSE))*1000,0)</f>
        <v>0</v>
      </c>
      <c r="Q349" s="141">
        <f>IFERROR((HLOOKUP($AH349,Target_monthwise!$D$4:$O$20,DTR!Q$4,FALSE))*1000,0)</f>
        <v>0</v>
      </c>
      <c r="R349" s="167">
        <f>IFERROR((HLOOKUP($AH349,Target_monthwise!$D$4:$O$20,DTR!R$4,FALSE))*1000,0)</f>
        <v>0</v>
      </c>
      <c r="S349" s="147">
        <f>IFERROR((HLOOKUP($AH349,Target_monthwise!$D$24:$O$40,DTR!S$4,FALSE)),0)</f>
        <v>0</v>
      </c>
      <c r="T349" s="147">
        <f>IFERROR((HLOOKUP($AH349,Target_monthwise!$D$24:$O$40,DTR!T$4,FALSE)),0)</f>
        <v>0</v>
      </c>
      <c r="U349" s="147">
        <f>IFERROR((HLOOKUP($AH349,Target_monthwise!$D$24:$O$40,DTR!U$4,FALSE)),0)</f>
        <v>0</v>
      </c>
      <c r="V349" s="147">
        <f>IFERROR((HLOOKUP($AH349,Target_monthwise!$D$24:$O$40,DTR!V$4,FALSE)),0)</f>
        <v>0</v>
      </c>
      <c r="W349" s="147">
        <f>IFERROR((HLOOKUP($AH349,Target_monthwise!$D$24:$O$40,DTR!W$4,FALSE)),0)</f>
        <v>0</v>
      </c>
      <c r="X349" s="147">
        <f>IFERROR((HLOOKUP($AH349,Target_monthwise!$D$24:$O$40,DTR!X$4,FALSE)),0)</f>
        <v>0</v>
      </c>
      <c r="Y349" s="147">
        <f>IFERROR((HLOOKUP($AH349,Target_monthwise!$D$24:$O$40,DTR!Y$4,FALSE)),0)</f>
        <v>0</v>
      </c>
      <c r="Z349" s="147">
        <f>IFERROR((HLOOKUP($AH349,Target_monthwise!$D$24:$O$40,DTR!Z$4,FALSE)),0)</f>
        <v>0</v>
      </c>
      <c r="AA349" s="147">
        <f>IFERROR((HLOOKUP($AH349,Target_monthwise!$D$24:$O$40,DTR!AA$4,FALSE)),0)</f>
        <v>0</v>
      </c>
      <c r="AB349" s="147">
        <f>IFERROR((HLOOKUP($AH349,Target_monthwise!$D$24:$O$40,DTR!AB$4,FALSE)),0)</f>
        <v>0</v>
      </c>
      <c r="AC349" s="147">
        <f>IFERROR((HLOOKUP($AH349,Target_monthwise!$D$24:$O$40,DTR!AC$4,FALSE)),0)</f>
        <v>0</v>
      </c>
      <c r="AD349" s="147">
        <f>IFERROR((HLOOKUP($AH349,Target_monthwise!$D$24:$O$40,DTR!AD$4,FALSE)),0)</f>
        <v>0</v>
      </c>
      <c r="AE349" s="147">
        <f>IFERROR((HLOOKUP($AH349,Target_monthwise!$D$24:$O$40,DTR!AE$4,FALSE)),0)</f>
        <v>0</v>
      </c>
      <c r="AF349" s="147">
        <f>IFERROR((HLOOKUP($AH349,Target_monthwise!$D$24:$O$40,DTR!AF$4,FALSE)),0)</f>
        <v>0</v>
      </c>
      <c r="AG349" s="172">
        <f>IFERROR((HLOOKUP($AH349,Target_monthwise!$D$24:$O$40,DTR!AG$4,FALSE)),0)</f>
        <v>0</v>
      </c>
      <c r="AH349" s="253">
        <f t="shared" si="5"/>
        <v>202303</v>
      </c>
    </row>
    <row r="350" spans="3:34" ht="15.75" hidden="1">
      <c r="C350" s="237">
        <v>44993</v>
      </c>
      <c r="D350" s="238">
        <f>IFERROR((HLOOKUP($AH350,Target_monthwise!$D$4:$O$20,DTR!D$4,FALSE))*1000,0)</f>
        <v>0</v>
      </c>
      <c r="E350" s="238">
        <f>IFERROR((HLOOKUP($AH350,Target_monthwise!$D$4:$O$20,DTR!E$4,FALSE))*1000,0)</f>
        <v>0</v>
      </c>
      <c r="F350" s="238">
        <f>IFERROR((HLOOKUP($AH350,Target_monthwise!$D$4:$O$20,DTR!F$4,FALSE))*1000,0)</f>
        <v>0</v>
      </c>
      <c r="G350" s="238">
        <f>IFERROR((HLOOKUP($AH350,Target_monthwise!$D$4:$O$20,DTR!G$4,FALSE))*1000,0)</f>
        <v>0</v>
      </c>
      <c r="H350" s="238">
        <f>IFERROR((HLOOKUP($AH350,Target_monthwise!$D$4:$O$20,DTR!H$4,FALSE))*1000,0)</f>
        <v>0</v>
      </c>
      <c r="I350" s="238">
        <f>IFERROR((HLOOKUP($AH350,Target_monthwise!$D$4:$O$20,DTR!I$4,FALSE))*1000,0)</f>
        <v>0</v>
      </c>
      <c r="J350" s="238">
        <f>IFERROR((HLOOKUP($AH350,Target_monthwise!$D$4:$O$20,DTR!J$4,FALSE))*1000,0)</f>
        <v>0</v>
      </c>
      <c r="K350" s="238">
        <f>IFERROR((HLOOKUP($AH350,Target_monthwise!$D$4:$O$20,DTR!K$4,FALSE))*1000,0)</f>
        <v>0</v>
      </c>
      <c r="L350" s="238">
        <f>IFERROR((HLOOKUP($AH350,Target_monthwise!$D$4:$O$20,DTR!L$4,FALSE))*1000,0)</f>
        <v>0</v>
      </c>
      <c r="M350" s="238">
        <f>IFERROR((HLOOKUP($AH350,Target_monthwise!$D$4:$O$20,DTR!M$4,FALSE))*1000,0)</f>
        <v>0</v>
      </c>
      <c r="N350" s="238">
        <f>IFERROR((HLOOKUP($AH350,Target_monthwise!$D$4:$O$20,DTR!N$4,FALSE))*1000,0)</f>
        <v>0</v>
      </c>
      <c r="O350" s="238">
        <f>IFERROR((HLOOKUP($AH350,Target_monthwise!$D$4:$O$20,DTR!O$4,FALSE))*1000,0)</f>
        <v>0</v>
      </c>
      <c r="P350" s="238">
        <f>IFERROR((HLOOKUP($AH350,Target_monthwise!$D$4:$O$20,DTR!P$4,FALSE))*1000,0)</f>
        <v>0</v>
      </c>
      <c r="Q350" s="141">
        <f>IFERROR((HLOOKUP($AH350,Target_monthwise!$D$4:$O$20,DTR!Q$4,FALSE))*1000,0)</f>
        <v>0</v>
      </c>
      <c r="R350" s="167">
        <f>IFERROR((HLOOKUP($AH350,Target_monthwise!$D$4:$O$20,DTR!R$4,FALSE))*1000,0)</f>
        <v>0</v>
      </c>
      <c r="S350" s="239">
        <f>IFERROR((HLOOKUP($AH350,Target_monthwise!$D$24:$O$40,DTR!S$4,FALSE)),0)</f>
        <v>0</v>
      </c>
      <c r="T350" s="239">
        <f>IFERROR((HLOOKUP($AH350,Target_monthwise!$D$24:$O$40,DTR!T$4,FALSE)),0)</f>
        <v>0</v>
      </c>
      <c r="U350" s="239">
        <f>IFERROR((HLOOKUP($AH350,Target_monthwise!$D$24:$O$40,DTR!U$4,FALSE)),0)</f>
        <v>0</v>
      </c>
      <c r="V350" s="239">
        <f>IFERROR((HLOOKUP($AH350,Target_monthwise!$D$24:$O$40,DTR!V$4,FALSE)),0)</f>
        <v>0</v>
      </c>
      <c r="W350" s="239">
        <f>IFERROR((HLOOKUP($AH350,Target_monthwise!$D$24:$O$40,DTR!W$4,FALSE)),0)</f>
        <v>0</v>
      </c>
      <c r="X350" s="239">
        <f>IFERROR((HLOOKUP($AH350,Target_monthwise!$D$24:$O$40,DTR!X$4,FALSE)),0)</f>
        <v>0</v>
      </c>
      <c r="Y350" s="239">
        <f>IFERROR((HLOOKUP($AH350,Target_monthwise!$D$24:$O$40,DTR!Y$4,FALSE)),0)</f>
        <v>0</v>
      </c>
      <c r="Z350" s="147">
        <f>IFERROR((HLOOKUP($AH350,Target_monthwise!$D$24:$O$40,DTR!Z$4,FALSE)),0)</f>
        <v>0</v>
      </c>
      <c r="AA350" s="147">
        <f>IFERROR((HLOOKUP($AH350,Target_monthwise!$D$24:$O$40,DTR!AA$4,FALSE)),0)</f>
        <v>0</v>
      </c>
      <c r="AB350" s="147">
        <f>IFERROR((HLOOKUP($AH350,Target_monthwise!$D$24:$O$40,DTR!AB$4,FALSE)),0)</f>
        <v>0</v>
      </c>
      <c r="AC350" s="239">
        <f>IFERROR((HLOOKUP($AH350,Target_monthwise!$D$24:$O$40,DTR!AC$4,FALSE)),0)</f>
        <v>0</v>
      </c>
      <c r="AD350" s="239">
        <f>IFERROR((HLOOKUP($AH350,Target_monthwise!$D$24:$O$40,DTR!AD$4,FALSE)),0)</f>
        <v>0</v>
      </c>
      <c r="AE350" s="239">
        <f>IFERROR((HLOOKUP($AH350,Target_monthwise!$D$24:$O$40,DTR!AE$4,FALSE)),0)</f>
        <v>0</v>
      </c>
      <c r="AF350" s="239">
        <f>IFERROR((HLOOKUP($AH350,Target_monthwise!$D$24:$O$40,DTR!AF$4,FALSE)),0)</f>
        <v>0</v>
      </c>
      <c r="AG350" s="172">
        <f>IFERROR((HLOOKUP($AH350,Target_monthwise!$D$24:$O$40,DTR!AG$4,FALSE)),0)</f>
        <v>0</v>
      </c>
      <c r="AH350" s="253">
        <f t="shared" si="5"/>
        <v>202303</v>
      </c>
    </row>
    <row r="351" spans="3:34" ht="15.75" hidden="1">
      <c r="C351" s="235">
        <v>44994</v>
      </c>
      <c r="D351" s="141">
        <f>IFERROR((HLOOKUP($AH351,Target_monthwise!$D$4:$O$20,DTR!D$4,FALSE))*1000,0)</f>
        <v>0</v>
      </c>
      <c r="E351" s="141">
        <f>IFERROR((HLOOKUP($AH351,Target_monthwise!$D$4:$O$20,DTR!E$4,FALSE))*1000,0)</f>
        <v>0</v>
      </c>
      <c r="F351" s="141">
        <f>IFERROR((HLOOKUP($AH351,Target_monthwise!$D$4:$O$20,DTR!F$4,FALSE))*1000,0)</f>
        <v>0</v>
      </c>
      <c r="G351" s="141">
        <f>IFERROR((HLOOKUP($AH351,Target_monthwise!$D$4:$O$20,DTR!G$4,FALSE))*1000,0)</f>
        <v>0</v>
      </c>
      <c r="H351" s="141">
        <f>IFERROR((HLOOKUP($AH351,Target_monthwise!$D$4:$O$20,DTR!H$4,FALSE))*1000,0)</f>
        <v>0</v>
      </c>
      <c r="I351" s="141">
        <f>IFERROR((HLOOKUP($AH351,Target_monthwise!$D$4:$O$20,DTR!I$4,FALSE))*1000,0)</f>
        <v>0</v>
      </c>
      <c r="J351" s="141">
        <f>IFERROR((HLOOKUP($AH351,Target_monthwise!$D$4:$O$20,DTR!J$4,FALSE))*1000,0)</f>
        <v>0</v>
      </c>
      <c r="K351" s="141">
        <f>IFERROR((HLOOKUP($AH351,Target_monthwise!$D$4:$O$20,DTR!K$4,FALSE))*1000,0)</f>
        <v>0</v>
      </c>
      <c r="L351" s="141">
        <f>IFERROR((HLOOKUP($AH351,Target_monthwise!$D$4:$O$20,DTR!L$4,FALSE))*1000,0)</f>
        <v>0</v>
      </c>
      <c r="M351" s="141">
        <f>IFERROR((HLOOKUP($AH351,Target_monthwise!$D$4:$O$20,DTR!M$4,FALSE))*1000,0)</f>
        <v>0</v>
      </c>
      <c r="N351" s="141">
        <f>IFERROR((HLOOKUP($AH351,Target_monthwise!$D$4:$O$20,DTR!N$4,FALSE))*1000,0)</f>
        <v>0</v>
      </c>
      <c r="O351" s="141">
        <f>IFERROR((HLOOKUP($AH351,Target_monthwise!$D$4:$O$20,DTR!O$4,FALSE))*1000,0)</f>
        <v>0</v>
      </c>
      <c r="P351" s="141">
        <f>IFERROR((HLOOKUP($AH351,Target_monthwise!$D$4:$O$20,DTR!P$4,FALSE))*1000,0)</f>
        <v>0</v>
      </c>
      <c r="Q351" s="141">
        <f>IFERROR((HLOOKUP($AH351,Target_monthwise!$D$4:$O$20,DTR!Q$4,FALSE))*1000,0)</f>
        <v>0</v>
      </c>
      <c r="R351" s="167">
        <f>IFERROR((HLOOKUP($AH351,Target_monthwise!$D$4:$O$20,DTR!R$4,FALSE))*1000,0)</f>
        <v>0</v>
      </c>
      <c r="S351" s="147">
        <f>IFERROR((HLOOKUP($AH351,Target_monthwise!$D$24:$O$40,DTR!S$4,FALSE)),0)</f>
        <v>0</v>
      </c>
      <c r="T351" s="147">
        <f>IFERROR((HLOOKUP($AH351,Target_monthwise!$D$24:$O$40,DTR!T$4,FALSE)),0)</f>
        <v>0</v>
      </c>
      <c r="U351" s="147">
        <f>IFERROR((HLOOKUP($AH351,Target_monthwise!$D$24:$O$40,DTR!U$4,FALSE)),0)</f>
        <v>0</v>
      </c>
      <c r="V351" s="147">
        <f>IFERROR((HLOOKUP($AH351,Target_monthwise!$D$24:$O$40,DTR!V$4,FALSE)),0)</f>
        <v>0</v>
      </c>
      <c r="W351" s="147">
        <f>IFERROR((HLOOKUP($AH351,Target_monthwise!$D$24:$O$40,DTR!W$4,FALSE)),0)</f>
        <v>0</v>
      </c>
      <c r="X351" s="147">
        <f>IFERROR((HLOOKUP($AH351,Target_monthwise!$D$24:$O$40,DTR!X$4,FALSE)),0)</f>
        <v>0</v>
      </c>
      <c r="Y351" s="147">
        <f>IFERROR((HLOOKUP($AH351,Target_monthwise!$D$24:$O$40,DTR!Y$4,FALSE)),0)</f>
        <v>0</v>
      </c>
      <c r="Z351" s="147">
        <f>IFERROR((HLOOKUP($AH351,Target_monthwise!$D$24:$O$40,DTR!Z$4,FALSE)),0)</f>
        <v>0</v>
      </c>
      <c r="AA351" s="147">
        <f>IFERROR((HLOOKUP($AH351,Target_monthwise!$D$24:$O$40,DTR!AA$4,FALSE)),0)</f>
        <v>0</v>
      </c>
      <c r="AB351" s="147">
        <f>IFERROR((HLOOKUP($AH351,Target_monthwise!$D$24:$O$40,DTR!AB$4,FALSE)),0)</f>
        <v>0</v>
      </c>
      <c r="AC351" s="147">
        <f>IFERROR((HLOOKUP($AH351,Target_monthwise!$D$24:$O$40,DTR!AC$4,FALSE)),0)</f>
        <v>0</v>
      </c>
      <c r="AD351" s="147">
        <f>IFERROR((HLOOKUP($AH351,Target_monthwise!$D$24:$O$40,DTR!AD$4,FALSE)),0)</f>
        <v>0</v>
      </c>
      <c r="AE351" s="147">
        <f>IFERROR((HLOOKUP($AH351,Target_monthwise!$D$24:$O$40,DTR!AE$4,FALSE)),0)</f>
        <v>0</v>
      </c>
      <c r="AF351" s="147">
        <f>IFERROR((HLOOKUP($AH351,Target_monthwise!$D$24:$O$40,DTR!AF$4,FALSE)),0)</f>
        <v>0</v>
      </c>
      <c r="AG351" s="172">
        <f>IFERROR((HLOOKUP($AH351,Target_monthwise!$D$24:$O$40,DTR!AG$4,FALSE)),0)</f>
        <v>0</v>
      </c>
      <c r="AH351" s="253">
        <f t="shared" si="5"/>
        <v>202303</v>
      </c>
    </row>
    <row r="352" spans="3:34" ht="15.75" hidden="1">
      <c r="C352" s="237">
        <v>44995</v>
      </c>
      <c r="D352" s="238">
        <f>IFERROR((HLOOKUP($AH352,Target_monthwise!$D$4:$O$20,DTR!D$4,FALSE))*1000,0)</f>
        <v>0</v>
      </c>
      <c r="E352" s="238">
        <f>IFERROR((HLOOKUP($AH352,Target_monthwise!$D$4:$O$20,DTR!E$4,FALSE))*1000,0)</f>
        <v>0</v>
      </c>
      <c r="F352" s="238">
        <f>IFERROR((HLOOKUP($AH352,Target_monthwise!$D$4:$O$20,DTR!F$4,FALSE))*1000,0)</f>
        <v>0</v>
      </c>
      <c r="G352" s="238">
        <f>IFERROR((HLOOKUP($AH352,Target_monthwise!$D$4:$O$20,DTR!G$4,FALSE))*1000,0)</f>
        <v>0</v>
      </c>
      <c r="H352" s="238">
        <f>IFERROR((HLOOKUP($AH352,Target_monthwise!$D$4:$O$20,DTR!H$4,FALSE))*1000,0)</f>
        <v>0</v>
      </c>
      <c r="I352" s="238">
        <f>IFERROR((HLOOKUP($AH352,Target_monthwise!$D$4:$O$20,DTR!I$4,FALSE))*1000,0)</f>
        <v>0</v>
      </c>
      <c r="J352" s="238">
        <f>IFERROR((HLOOKUP($AH352,Target_monthwise!$D$4:$O$20,DTR!J$4,FALSE))*1000,0)</f>
        <v>0</v>
      </c>
      <c r="K352" s="238">
        <f>IFERROR((HLOOKUP($AH352,Target_monthwise!$D$4:$O$20,DTR!K$4,FALSE))*1000,0)</f>
        <v>0</v>
      </c>
      <c r="L352" s="238">
        <f>IFERROR((HLOOKUP($AH352,Target_monthwise!$D$4:$O$20,DTR!L$4,FALSE))*1000,0)</f>
        <v>0</v>
      </c>
      <c r="M352" s="238">
        <f>IFERROR((HLOOKUP($AH352,Target_monthwise!$D$4:$O$20,DTR!M$4,FALSE))*1000,0)</f>
        <v>0</v>
      </c>
      <c r="N352" s="238">
        <f>IFERROR((HLOOKUP($AH352,Target_monthwise!$D$4:$O$20,DTR!N$4,FALSE))*1000,0)</f>
        <v>0</v>
      </c>
      <c r="O352" s="238">
        <f>IFERROR((HLOOKUP($AH352,Target_monthwise!$D$4:$O$20,DTR!O$4,FALSE))*1000,0)</f>
        <v>0</v>
      </c>
      <c r="P352" s="238">
        <f>IFERROR((HLOOKUP($AH352,Target_monthwise!$D$4:$O$20,DTR!P$4,FALSE))*1000,0)</f>
        <v>0</v>
      </c>
      <c r="Q352" s="141">
        <f>IFERROR((HLOOKUP($AH352,Target_monthwise!$D$4:$O$20,DTR!Q$4,FALSE))*1000,0)</f>
        <v>0</v>
      </c>
      <c r="R352" s="167">
        <f>IFERROR((HLOOKUP($AH352,Target_monthwise!$D$4:$O$20,DTR!R$4,FALSE))*1000,0)</f>
        <v>0</v>
      </c>
      <c r="S352" s="239">
        <f>IFERROR((HLOOKUP($AH352,Target_monthwise!$D$24:$O$40,DTR!S$4,FALSE)),0)</f>
        <v>0</v>
      </c>
      <c r="T352" s="239">
        <f>IFERROR((HLOOKUP($AH352,Target_monthwise!$D$24:$O$40,DTR!T$4,FALSE)),0)</f>
        <v>0</v>
      </c>
      <c r="U352" s="239">
        <f>IFERROR((HLOOKUP($AH352,Target_monthwise!$D$24:$O$40,DTR!U$4,FALSE)),0)</f>
        <v>0</v>
      </c>
      <c r="V352" s="239">
        <f>IFERROR((HLOOKUP($AH352,Target_monthwise!$D$24:$O$40,DTR!V$4,FALSE)),0)</f>
        <v>0</v>
      </c>
      <c r="W352" s="239">
        <f>IFERROR((HLOOKUP($AH352,Target_monthwise!$D$24:$O$40,DTR!W$4,FALSE)),0)</f>
        <v>0</v>
      </c>
      <c r="X352" s="239">
        <f>IFERROR((HLOOKUP($AH352,Target_monthwise!$D$24:$O$40,DTR!X$4,FALSE)),0)</f>
        <v>0</v>
      </c>
      <c r="Y352" s="239">
        <f>IFERROR((HLOOKUP($AH352,Target_monthwise!$D$24:$O$40,DTR!Y$4,FALSE)),0)</f>
        <v>0</v>
      </c>
      <c r="Z352" s="147">
        <f>IFERROR((HLOOKUP($AH352,Target_monthwise!$D$24:$O$40,DTR!Z$4,FALSE)),0)</f>
        <v>0</v>
      </c>
      <c r="AA352" s="147">
        <f>IFERROR((HLOOKUP($AH352,Target_monthwise!$D$24:$O$40,DTR!AA$4,FALSE)),0)</f>
        <v>0</v>
      </c>
      <c r="AB352" s="147">
        <f>IFERROR((HLOOKUP($AH352,Target_monthwise!$D$24:$O$40,DTR!AB$4,FALSE)),0)</f>
        <v>0</v>
      </c>
      <c r="AC352" s="239">
        <f>IFERROR((HLOOKUP($AH352,Target_monthwise!$D$24:$O$40,DTR!AC$4,FALSE)),0)</f>
        <v>0</v>
      </c>
      <c r="AD352" s="239">
        <f>IFERROR((HLOOKUP($AH352,Target_monthwise!$D$24:$O$40,DTR!AD$4,FALSE)),0)</f>
        <v>0</v>
      </c>
      <c r="AE352" s="239">
        <f>IFERROR((HLOOKUP($AH352,Target_monthwise!$D$24:$O$40,DTR!AE$4,FALSE)),0)</f>
        <v>0</v>
      </c>
      <c r="AF352" s="239">
        <f>IFERROR((HLOOKUP($AH352,Target_monthwise!$D$24:$O$40,DTR!AF$4,FALSE)),0)</f>
        <v>0</v>
      </c>
      <c r="AG352" s="172">
        <f>IFERROR((HLOOKUP($AH352,Target_monthwise!$D$24:$O$40,DTR!AG$4,FALSE)),0)</f>
        <v>0</v>
      </c>
      <c r="AH352" s="253">
        <f t="shared" si="5"/>
        <v>202303</v>
      </c>
    </row>
    <row r="353" spans="3:34" ht="15.75" hidden="1">
      <c r="C353" s="235">
        <v>44996</v>
      </c>
      <c r="D353" s="141">
        <f>IFERROR((HLOOKUP($AH353,Target_monthwise!$D$4:$O$20,DTR!D$4,FALSE))*1000,0)</f>
        <v>0</v>
      </c>
      <c r="E353" s="141">
        <f>IFERROR((HLOOKUP($AH353,Target_monthwise!$D$4:$O$20,DTR!E$4,FALSE))*1000,0)</f>
        <v>0</v>
      </c>
      <c r="F353" s="141">
        <f>IFERROR((HLOOKUP($AH353,Target_monthwise!$D$4:$O$20,DTR!F$4,FALSE))*1000,0)</f>
        <v>0</v>
      </c>
      <c r="G353" s="141">
        <f>IFERROR((HLOOKUP($AH353,Target_monthwise!$D$4:$O$20,DTR!G$4,FALSE))*1000,0)</f>
        <v>0</v>
      </c>
      <c r="H353" s="141">
        <f>IFERROR((HLOOKUP($AH353,Target_monthwise!$D$4:$O$20,DTR!H$4,FALSE))*1000,0)</f>
        <v>0</v>
      </c>
      <c r="I353" s="141">
        <f>IFERROR((HLOOKUP($AH353,Target_monthwise!$D$4:$O$20,DTR!I$4,FALSE))*1000,0)</f>
        <v>0</v>
      </c>
      <c r="J353" s="141">
        <f>IFERROR((HLOOKUP($AH353,Target_monthwise!$D$4:$O$20,DTR!J$4,FALSE))*1000,0)</f>
        <v>0</v>
      </c>
      <c r="K353" s="141">
        <f>IFERROR((HLOOKUP($AH353,Target_monthwise!$D$4:$O$20,DTR!K$4,FALSE))*1000,0)</f>
        <v>0</v>
      </c>
      <c r="L353" s="141">
        <f>IFERROR((HLOOKUP($AH353,Target_monthwise!$D$4:$O$20,DTR!L$4,FALSE))*1000,0)</f>
        <v>0</v>
      </c>
      <c r="M353" s="141">
        <f>IFERROR((HLOOKUP($AH353,Target_monthwise!$D$4:$O$20,DTR!M$4,FALSE))*1000,0)</f>
        <v>0</v>
      </c>
      <c r="N353" s="141">
        <f>IFERROR((HLOOKUP($AH353,Target_monthwise!$D$4:$O$20,DTR!N$4,FALSE))*1000,0)</f>
        <v>0</v>
      </c>
      <c r="O353" s="141">
        <f>IFERROR((HLOOKUP($AH353,Target_monthwise!$D$4:$O$20,DTR!O$4,FALSE))*1000,0)</f>
        <v>0</v>
      </c>
      <c r="P353" s="141">
        <f>IFERROR((HLOOKUP($AH353,Target_monthwise!$D$4:$O$20,DTR!P$4,FALSE))*1000,0)</f>
        <v>0</v>
      </c>
      <c r="Q353" s="141">
        <f>IFERROR((HLOOKUP($AH353,Target_monthwise!$D$4:$O$20,DTR!Q$4,FALSE))*1000,0)</f>
        <v>0</v>
      </c>
      <c r="R353" s="167">
        <f>IFERROR((HLOOKUP($AH353,Target_monthwise!$D$4:$O$20,DTR!R$4,FALSE))*1000,0)</f>
        <v>0</v>
      </c>
      <c r="S353" s="147">
        <f>IFERROR((HLOOKUP($AH353,Target_monthwise!$D$24:$O$40,DTR!S$4,FALSE)),0)</f>
        <v>0</v>
      </c>
      <c r="T353" s="147">
        <f>IFERROR((HLOOKUP($AH353,Target_monthwise!$D$24:$O$40,DTR!T$4,FALSE)),0)</f>
        <v>0</v>
      </c>
      <c r="U353" s="147">
        <f>IFERROR((HLOOKUP($AH353,Target_monthwise!$D$24:$O$40,DTR!U$4,FALSE)),0)</f>
        <v>0</v>
      </c>
      <c r="V353" s="147">
        <f>IFERROR((HLOOKUP($AH353,Target_monthwise!$D$24:$O$40,DTR!V$4,FALSE)),0)</f>
        <v>0</v>
      </c>
      <c r="W353" s="147">
        <f>IFERROR((HLOOKUP($AH353,Target_monthwise!$D$24:$O$40,DTR!W$4,FALSE)),0)</f>
        <v>0</v>
      </c>
      <c r="X353" s="147">
        <f>IFERROR((HLOOKUP($AH353,Target_monthwise!$D$24:$O$40,DTR!X$4,FALSE)),0)</f>
        <v>0</v>
      </c>
      <c r="Y353" s="147">
        <f>IFERROR((HLOOKUP($AH353,Target_monthwise!$D$24:$O$40,DTR!Y$4,FALSE)),0)</f>
        <v>0</v>
      </c>
      <c r="Z353" s="147">
        <f>IFERROR((HLOOKUP($AH353,Target_monthwise!$D$24:$O$40,DTR!Z$4,FALSE)),0)</f>
        <v>0</v>
      </c>
      <c r="AA353" s="147">
        <f>IFERROR((HLOOKUP($AH353,Target_monthwise!$D$24:$O$40,DTR!AA$4,FALSE)),0)</f>
        <v>0</v>
      </c>
      <c r="AB353" s="147">
        <f>IFERROR((HLOOKUP($AH353,Target_monthwise!$D$24:$O$40,DTR!AB$4,FALSE)),0)</f>
        <v>0</v>
      </c>
      <c r="AC353" s="147">
        <f>IFERROR((HLOOKUP($AH353,Target_monthwise!$D$24:$O$40,DTR!AC$4,FALSE)),0)</f>
        <v>0</v>
      </c>
      <c r="AD353" s="147">
        <f>IFERROR((HLOOKUP($AH353,Target_monthwise!$D$24:$O$40,DTR!AD$4,FALSE)),0)</f>
        <v>0</v>
      </c>
      <c r="AE353" s="147">
        <f>IFERROR((HLOOKUP($AH353,Target_monthwise!$D$24:$O$40,DTR!AE$4,FALSE)),0)</f>
        <v>0</v>
      </c>
      <c r="AF353" s="147">
        <f>IFERROR((HLOOKUP($AH353,Target_monthwise!$D$24:$O$40,DTR!AF$4,FALSE)),0)</f>
        <v>0</v>
      </c>
      <c r="AG353" s="172">
        <f>IFERROR((HLOOKUP($AH353,Target_monthwise!$D$24:$O$40,DTR!AG$4,FALSE)),0)</f>
        <v>0</v>
      </c>
      <c r="AH353" s="253">
        <f t="shared" si="5"/>
        <v>202303</v>
      </c>
    </row>
    <row r="354" spans="3:34" ht="15.75" hidden="1">
      <c r="C354" s="237">
        <v>44997</v>
      </c>
      <c r="D354" s="238">
        <f>IFERROR((HLOOKUP($AH354,Target_monthwise!$D$4:$O$20,DTR!D$4,FALSE))*1000,0)</f>
        <v>0</v>
      </c>
      <c r="E354" s="238">
        <f>IFERROR((HLOOKUP($AH354,Target_monthwise!$D$4:$O$20,DTR!E$4,FALSE))*1000,0)</f>
        <v>0</v>
      </c>
      <c r="F354" s="238">
        <f>IFERROR((HLOOKUP($AH354,Target_monthwise!$D$4:$O$20,DTR!F$4,FALSE))*1000,0)</f>
        <v>0</v>
      </c>
      <c r="G354" s="238">
        <f>IFERROR((HLOOKUP($AH354,Target_monthwise!$D$4:$O$20,DTR!G$4,FALSE))*1000,0)</f>
        <v>0</v>
      </c>
      <c r="H354" s="238">
        <f>IFERROR((HLOOKUP($AH354,Target_monthwise!$D$4:$O$20,DTR!H$4,FALSE))*1000,0)</f>
        <v>0</v>
      </c>
      <c r="I354" s="238">
        <f>IFERROR((HLOOKUP($AH354,Target_monthwise!$D$4:$O$20,DTR!I$4,FALSE))*1000,0)</f>
        <v>0</v>
      </c>
      <c r="J354" s="238">
        <f>IFERROR((HLOOKUP($AH354,Target_monthwise!$D$4:$O$20,DTR!J$4,FALSE))*1000,0)</f>
        <v>0</v>
      </c>
      <c r="K354" s="238">
        <f>IFERROR((HLOOKUP($AH354,Target_monthwise!$D$4:$O$20,DTR!K$4,FALSE))*1000,0)</f>
        <v>0</v>
      </c>
      <c r="L354" s="238">
        <f>IFERROR((HLOOKUP($AH354,Target_monthwise!$D$4:$O$20,DTR!L$4,FALSE))*1000,0)</f>
        <v>0</v>
      </c>
      <c r="M354" s="238">
        <f>IFERROR((HLOOKUP($AH354,Target_monthwise!$D$4:$O$20,DTR!M$4,FALSE))*1000,0)</f>
        <v>0</v>
      </c>
      <c r="N354" s="238">
        <f>IFERROR((HLOOKUP($AH354,Target_monthwise!$D$4:$O$20,DTR!N$4,FALSE))*1000,0)</f>
        <v>0</v>
      </c>
      <c r="O354" s="238">
        <f>IFERROR((HLOOKUP($AH354,Target_monthwise!$D$4:$O$20,DTR!O$4,FALSE))*1000,0)</f>
        <v>0</v>
      </c>
      <c r="P354" s="238">
        <f>IFERROR((HLOOKUP($AH354,Target_monthwise!$D$4:$O$20,DTR!P$4,FALSE))*1000,0)</f>
        <v>0</v>
      </c>
      <c r="Q354" s="141">
        <f>IFERROR((HLOOKUP($AH354,Target_monthwise!$D$4:$O$20,DTR!Q$4,FALSE))*1000,0)</f>
        <v>0</v>
      </c>
      <c r="R354" s="167">
        <f>IFERROR((HLOOKUP($AH354,Target_monthwise!$D$4:$O$20,DTR!R$4,FALSE))*1000,0)</f>
        <v>0</v>
      </c>
      <c r="S354" s="239">
        <f>IFERROR((HLOOKUP($AH354,Target_monthwise!$D$24:$O$40,DTR!S$4,FALSE)),0)</f>
        <v>0</v>
      </c>
      <c r="T354" s="239">
        <f>IFERROR((HLOOKUP($AH354,Target_monthwise!$D$24:$O$40,DTR!T$4,FALSE)),0)</f>
        <v>0</v>
      </c>
      <c r="U354" s="239">
        <f>IFERROR((HLOOKUP($AH354,Target_monthwise!$D$24:$O$40,DTR!U$4,FALSE)),0)</f>
        <v>0</v>
      </c>
      <c r="V354" s="239">
        <f>IFERROR((HLOOKUP($AH354,Target_monthwise!$D$24:$O$40,DTR!V$4,FALSE)),0)</f>
        <v>0</v>
      </c>
      <c r="W354" s="239">
        <f>IFERROR((HLOOKUP($AH354,Target_monthwise!$D$24:$O$40,DTR!W$4,FALSE)),0)</f>
        <v>0</v>
      </c>
      <c r="X354" s="239">
        <f>IFERROR((HLOOKUP($AH354,Target_monthwise!$D$24:$O$40,DTR!X$4,FALSE)),0)</f>
        <v>0</v>
      </c>
      <c r="Y354" s="239">
        <f>IFERROR((HLOOKUP($AH354,Target_monthwise!$D$24:$O$40,DTR!Y$4,FALSE)),0)</f>
        <v>0</v>
      </c>
      <c r="Z354" s="147">
        <f>IFERROR((HLOOKUP($AH354,Target_monthwise!$D$24:$O$40,DTR!Z$4,FALSE)),0)</f>
        <v>0</v>
      </c>
      <c r="AA354" s="147">
        <f>IFERROR((HLOOKUP($AH354,Target_monthwise!$D$24:$O$40,DTR!AA$4,FALSE)),0)</f>
        <v>0</v>
      </c>
      <c r="AB354" s="147">
        <f>IFERROR((HLOOKUP($AH354,Target_monthwise!$D$24:$O$40,DTR!AB$4,FALSE)),0)</f>
        <v>0</v>
      </c>
      <c r="AC354" s="239">
        <f>IFERROR((HLOOKUP($AH354,Target_monthwise!$D$24:$O$40,DTR!AC$4,FALSE)),0)</f>
        <v>0</v>
      </c>
      <c r="AD354" s="239">
        <f>IFERROR((HLOOKUP($AH354,Target_monthwise!$D$24:$O$40,DTR!AD$4,FALSE)),0)</f>
        <v>0</v>
      </c>
      <c r="AE354" s="239">
        <f>IFERROR((HLOOKUP($AH354,Target_monthwise!$D$24:$O$40,DTR!AE$4,FALSE)),0)</f>
        <v>0</v>
      </c>
      <c r="AF354" s="239">
        <f>IFERROR((HLOOKUP($AH354,Target_monthwise!$D$24:$O$40,DTR!AF$4,FALSE)),0)</f>
        <v>0</v>
      </c>
      <c r="AG354" s="172">
        <f>IFERROR((HLOOKUP($AH354,Target_monthwise!$D$24:$O$40,DTR!AG$4,FALSE)),0)</f>
        <v>0</v>
      </c>
      <c r="AH354" s="253">
        <f t="shared" si="5"/>
        <v>202303</v>
      </c>
    </row>
    <row r="355" spans="3:34" ht="15.75" hidden="1">
      <c r="C355" s="235">
        <v>44998</v>
      </c>
      <c r="D355" s="141">
        <f>IFERROR((HLOOKUP($AH355,Target_monthwise!$D$4:$O$20,DTR!D$4,FALSE))*1000,0)</f>
        <v>0</v>
      </c>
      <c r="E355" s="141">
        <f>IFERROR((HLOOKUP($AH355,Target_monthwise!$D$4:$O$20,DTR!E$4,FALSE))*1000,0)</f>
        <v>0</v>
      </c>
      <c r="F355" s="141">
        <f>IFERROR((HLOOKUP($AH355,Target_monthwise!$D$4:$O$20,DTR!F$4,FALSE))*1000,0)</f>
        <v>0</v>
      </c>
      <c r="G355" s="141">
        <f>IFERROR((HLOOKUP($AH355,Target_monthwise!$D$4:$O$20,DTR!G$4,FALSE))*1000,0)</f>
        <v>0</v>
      </c>
      <c r="H355" s="141">
        <f>IFERROR((HLOOKUP($AH355,Target_monthwise!$D$4:$O$20,DTR!H$4,FALSE))*1000,0)</f>
        <v>0</v>
      </c>
      <c r="I355" s="141">
        <f>IFERROR((HLOOKUP($AH355,Target_monthwise!$D$4:$O$20,DTR!I$4,FALSE))*1000,0)</f>
        <v>0</v>
      </c>
      <c r="J355" s="141">
        <f>IFERROR((HLOOKUP($AH355,Target_monthwise!$D$4:$O$20,DTR!J$4,FALSE))*1000,0)</f>
        <v>0</v>
      </c>
      <c r="K355" s="141">
        <f>IFERROR((HLOOKUP($AH355,Target_monthwise!$D$4:$O$20,DTR!K$4,FALSE))*1000,0)</f>
        <v>0</v>
      </c>
      <c r="L355" s="141">
        <f>IFERROR((HLOOKUP($AH355,Target_monthwise!$D$4:$O$20,DTR!L$4,FALSE))*1000,0)</f>
        <v>0</v>
      </c>
      <c r="M355" s="141">
        <f>IFERROR((HLOOKUP($AH355,Target_monthwise!$D$4:$O$20,DTR!M$4,FALSE))*1000,0)</f>
        <v>0</v>
      </c>
      <c r="N355" s="141">
        <f>IFERROR((HLOOKUP($AH355,Target_monthwise!$D$4:$O$20,DTR!N$4,FALSE))*1000,0)</f>
        <v>0</v>
      </c>
      <c r="O355" s="141">
        <f>IFERROR((HLOOKUP($AH355,Target_monthwise!$D$4:$O$20,DTR!O$4,FALSE))*1000,0)</f>
        <v>0</v>
      </c>
      <c r="P355" s="141">
        <f>IFERROR((HLOOKUP($AH355,Target_monthwise!$D$4:$O$20,DTR!P$4,FALSE))*1000,0)</f>
        <v>0</v>
      </c>
      <c r="Q355" s="141">
        <f>IFERROR((HLOOKUP($AH355,Target_monthwise!$D$4:$O$20,DTR!Q$4,FALSE))*1000,0)</f>
        <v>0</v>
      </c>
      <c r="R355" s="167">
        <f>IFERROR((HLOOKUP($AH355,Target_monthwise!$D$4:$O$20,DTR!R$4,FALSE))*1000,0)</f>
        <v>0</v>
      </c>
      <c r="S355" s="147">
        <f>IFERROR((HLOOKUP($AH355,Target_monthwise!$D$24:$O$40,DTR!S$4,FALSE)),0)</f>
        <v>0</v>
      </c>
      <c r="T355" s="147">
        <f>IFERROR((HLOOKUP($AH355,Target_monthwise!$D$24:$O$40,DTR!T$4,FALSE)),0)</f>
        <v>0</v>
      </c>
      <c r="U355" s="147">
        <f>IFERROR((HLOOKUP($AH355,Target_monthwise!$D$24:$O$40,DTR!U$4,FALSE)),0)</f>
        <v>0</v>
      </c>
      <c r="V355" s="147">
        <f>IFERROR((HLOOKUP($AH355,Target_monthwise!$D$24:$O$40,DTR!V$4,FALSE)),0)</f>
        <v>0</v>
      </c>
      <c r="W355" s="147">
        <f>IFERROR((HLOOKUP($AH355,Target_monthwise!$D$24:$O$40,DTR!W$4,FALSE)),0)</f>
        <v>0</v>
      </c>
      <c r="X355" s="147">
        <f>IFERROR((HLOOKUP($AH355,Target_monthwise!$D$24:$O$40,DTR!X$4,FALSE)),0)</f>
        <v>0</v>
      </c>
      <c r="Y355" s="147">
        <f>IFERROR((HLOOKUP($AH355,Target_monthwise!$D$24:$O$40,DTR!Y$4,FALSE)),0)</f>
        <v>0</v>
      </c>
      <c r="Z355" s="147">
        <f>IFERROR((HLOOKUP($AH355,Target_monthwise!$D$24:$O$40,DTR!Z$4,FALSE)),0)</f>
        <v>0</v>
      </c>
      <c r="AA355" s="147">
        <f>IFERROR((HLOOKUP($AH355,Target_monthwise!$D$24:$O$40,DTR!AA$4,FALSE)),0)</f>
        <v>0</v>
      </c>
      <c r="AB355" s="147">
        <f>IFERROR((HLOOKUP($AH355,Target_monthwise!$D$24:$O$40,DTR!AB$4,FALSE)),0)</f>
        <v>0</v>
      </c>
      <c r="AC355" s="147">
        <f>IFERROR((HLOOKUP($AH355,Target_monthwise!$D$24:$O$40,DTR!AC$4,FALSE)),0)</f>
        <v>0</v>
      </c>
      <c r="AD355" s="147">
        <f>IFERROR((HLOOKUP($AH355,Target_monthwise!$D$24:$O$40,DTR!AD$4,FALSE)),0)</f>
        <v>0</v>
      </c>
      <c r="AE355" s="147">
        <f>IFERROR((HLOOKUP($AH355,Target_monthwise!$D$24:$O$40,DTR!AE$4,FALSE)),0)</f>
        <v>0</v>
      </c>
      <c r="AF355" s="147">
        <f>IFERROR((HLOOKUP($AH355,Target_monthwise!$D$24:$O$40,DTR!AF$4,FALSE)),0)</f>
        <v>0</v>
      </c>
      <c r="AG355" s="172">
        <f>IFERROR((HLOOKUP($AH355,Target_monthwise!$D$24:$O$40,DTR!AG$4,FALSE)),0)</f>
        <v>0</v>
      </c>
      <c r="AH355" s="253">
        <f t="shared" si="5"/>
        <v>202303</v>
      </c>
    </row>
    <row r="356" spans="3:34" ht="15.75" hidden="1">
      <c r="C356" s="237">
        <v>44999</v>
      </c>
      <c r="D356" s="238">
        <f>IFERROR((HLOOKUP($AH356,Target_monthwise!$D$4:$O$20,DTR!D$4,FALSE))*1000,0)</f>
        <v>0</v>
      </c>
      <c r="E356" s="238">
        <f>IFERROR((HLOOKUP($AH356,Target_monthwise!$D$4:$O$20,DTR!E$4,FALSE))*1000,0)</f>
        <v>0</v>
      </c>
      <c r="F356" s="238">
        <f>IFERROR((HLOOKUP($AH356,Target_monthwise!$D$4:$O$20,DTR!F$4,FALSE))*1000,0)</f>
        <v>0</v>
      </c>
      <c r="G356" s="238">
        <f>IFERROR((HLOOKUP($AH356,Target_monthwise!$D$4:$O$20,DTR!G$4,FALSE))*1000,0)</f>
        <v>0</v>
      </c>
      <c r="H356" s="238">
        <f>IFERROR((HLOOKUP($AH356,Target_monthwise!$D$4:$O$20,DTR!H$4,FALSE))*1000,0)</f>
        <v>0</v>
      </c>
      <c r="I356" s="238">
        <f>IFERROR((HLOOKUP($AH356,Target_monthwise!$D$4:$O$20,DTR!I$4,FALSE))*1000,0)</f>
        <v>0</v>
      </c>
      <c r="J356" s="238">
        <f>IFERROR((HLOOKUP($AH356,Target_monthwise!$D$4:$O$20,DTR!J$4,FALSE))*1000,0)</f>
        <v>0</v>
      </c>
      <c r="K356" s="238">
        <f>IFERROR((HLOOKUP($AH356,Target_monthwise!$D$4:$O$20,DTR!K$4,FALSE))*1000,0)</f>
        <v>0</v>
      </c>
      <c r="L356" s="238">
        <f>IFERROR((HLOOKUP($AH356,Target_monthwise!$D$4:$O$20,DTR!L$4,FALSE))*1000,0)</f>
        <v>0</v>
      </c>
      <c r="M356" s="238">
        <f>IFERROR((HLOOKUP($AH356,Target_monthwise!$D$4:$O$20,DTR!M$4,FALSE))*1000,0)</f>
        <v>0</v>
      </c>
      <c r="N356" s="238">
        <f>IFERROR((HLOOKUP($AH356,Target_monthwise!$D$4:$O$20,DTR!N$4,FALSE))*1000,0)</f>
        <v>0</v>
      </c>
      <c r="O356" s="238">
        <f>IFERROR((HLOOKUP($AH356,Target_monthwise!$D$4:$O$20,DTR!O$4,FALSE))*1000,0)</f>
        <v>0</v>
      </c>
      <c r="P356" s="238">
        <f>IFERROR((HLOOKUP($AH356,Target_monthwise!$D$4:$O$20,DTR!P$4,FALSE))*1000,0)</f>
        <v>0</v>
      </c>
      <c r="Q356" s="141">
        <f>IFERROR((HLOOKUP($AH356,Target_monthwise!$D$4:$O$20,DTR!Q$4,FALSE))*1000,0)</f>
        <v>0</v>
      </c>
      <c r="R356" s="167">
        <f>IFERROR((HLOOKUP($AH356,Target_monthwise!$D$4:$O$20,DTR!R$4,FALSE))*1000,0)</f>
        <v>0</v>
      </c>
      <c r="S356" s="239">
        <f>IFERROR((HLOOKUP($AH356,Target_monthwise!$D$24:$O$40,DTR!S$4,FALSE)),0)</f>
        <v>0</v>
      </c>
      <c r="T356" s="239">
        <f>IFERROR((HLOOKUP($AH356,Target_monthwise!$D$24:$O$40,DTR!T$4,FALSE)),0)</f>
        <v>0</v>
      </c>
      <c r="U356" s="239">
        <f>IFERROR((HLOOKUP($AH356,Target_monthwise!$D$24:$O$40,DTR!U$4,FALSE)),0)</f>
        <v>0</v>
      </c>
      <c r="V356" s="239">
        <f>IFERROR((HLOOKUP($AH356,Target_monthwise!$D$24:$O$40,DTR!V$4,FALSE)),0)</f>
        <v>0</v>
      </c>
      <c r="W356" s="239">
        <f>IFERROR((HLOOKUP($AH356,Target_monthwise!$D$24:$O$40,DTR!W$4,FALSE)),0)</f>
        <v>0</v>
      </c>
      <c r="X356" s="239">
        <f>IFERROR((HLOOKUP($AH356,Target_monthwise!$D$24:$O$40,DTR!X$4,FALSE)),0)</f>
        <v>0</v>
      </c>
      <c r="Y356" s="239">
        <f>IFERROR((HLOOKUP($AH356,Target_monthwise!$D$24:$O$40,DTR!Y$4,FALSE)),0)</f>
        <v>0</v>
      </c>
      <c r="Z356" s="147">
        <f>IFERROR((HLOOKUP($AH356,Target_monthwise!$D$24:$O$40,DTR!Z$4,FALSE)),0)</f>
        <v>0</v>
      </c>
      <c r="AA356" s="147">
        <f>IFERROR((HLOOKUP($AH356,Target_monthwise!$D$24:$O$40,DTR!AA$4,FALSE)),0)</f>
        <v>0</v>
      </c>
      <c r="AB356" s="147">
        <f>IFERROR((HLOOKUP($AH356,Target_monthwise!$D$24:$O$40,DTR!AB$4,FALSE)),0)</f>
        <v>0</v>
      </c>
      <c r="AC356" s="239">
        <f>IFERROR((HLOOKUP($AH356,Target_monthwise!$D$24:$O$40,DTR!AC$4,FALSE)),0)</f>
        <v>0</v>
      </c>
      <c r="AD356" s="239">
        <f>IFERROR((HLOOKUP($AH356,Target_monthwise!$D$24:$O$40,DTR!AD$4,FALSE)),0)</f>
        <v>0</v>
      </c>
      <c r="AE356" s="239">
        <f>IFERROR((HLOOKUP($AH356,Target_monthwise!$D$24:$O$40,DTR!AE$4,FALSE)),0)</f>
        <v>0</v>
      </c>
      <c r="AF356" s="239">
        <f>IFERROR((HLOOKUP($AH356,Target_monthwise!$D$24:$O$40,DTR!AF$4,FALSE)),0)</f>
        <v>0</v>
      </c>
      <c r="AG356" s="172">
        <f>IFERROR((HLOOKUP($AH356,Target_monthwise!$D$24:$O$40,DTR!AG$4,FALSE)),0)</f>
        <v>0</v>
      </c>
      <c r="AH356" s="253">
        <f t="shared" si="5"/>
        <v>202303</v>
      </c>
    </row>
    <row r="357" spans="3:34" ht="15.75" hidden="1">
      <c r="C357" s="235">
        <v>45000</v>
      </c>
      <c r="D357" s="141">
        <f>IFERROR((HLOOKUP($AH357,Target_monthwise!$D$4:$O$20,DTR!D$4,FALSE))*1000,0)</f>
        <v>0</v>
      </c>
      <c r="E357" s="141">
        <f>IFERROR((HLOOKUP($AH357,Target_monthwise!$D$4:$O$20,DTR!E$4,FALSE))*1000,0)</f>
        <v>0</v>
      </c>
      <c r="F357" s="141">
        <f>IFERROR((HLOOKUP($AH357,Target_monthwise!$D$4:$O$20,DTR!F$4,FALSE))*1000,0)</f>
        <v>0</v>
      </c>
      <c r="G357" s="141">
        <f>IFERROR((HLOOKUP($AH357,Target_monthwise!$D$4:$O$20,DTR!G$4,FALSE))*1000,0)</f>
        <v>0</v>
      </c>
      <c r="H357" s="141">
        <f>IFERROR((HLOOKUP($AH357,Target_monthwise!$D$4:$O$20,DTR!H$4,FALSE))*1000,0)</f>
        <v>0</v>
      </c>
      <c r="I357" s="141">
        <f>IFERROR((HLOOKUP($AH357,Target_monthwise!$D$4:$O$20,DTR!I$4,FALSE))*1000,0)</f>
        <v>0</v>
      </c>
      <c r="J357" s="141">
        <f>IFERROR((HLOOKUP($AH357,Target_monthwise!$D$4:$O$20,DTR!J$4,FALSE))*1000,0)</f>
        <v>0</v>
      </c>
      <c r="K357" s="141">
        <f>IFERROR((HLOOKUP($AH357,Target_monthwise!$D$4:$O$20,DTR!K$4,FALSE))*1000,0)</f>
        <v>0</v>
      </c>
      <c r="L357" s="141">
        <f>IFERROR((HLOOKUP($AH357,Target_monthwise!$D$4:$O$20,DTR!L$4,FALSE))*1000,0)</f>
        <v>0</v>
      </c>
      <c r="M357" s="141">
        <f>IFERROR((HLOOKUP($AH357,Target_monthwise!$D$4:$O$20,DTR!M$4,FALSE))*1000,0)</f>
        <v>0</v>
      </c>
      <c r="N357" s="141">
        <f>IFERROR((HLOOKUP($AH357,Target_monthwise!$D$4:$O$20,DTR!N$4,FALSE))*1000,0)</f>
        <v>0</v>
      </c>
      <c r="O357" s="141">
        <f>IFERROR((HLOOKUP($AH357,Target_monthwise!$D$4:$O$20,DTR!O$4,FALSE))*1000,0)</f>
        <v>0</v>
      </c>
      <c r="P357" s="141">
        <f>IFERROR((HLOOKUP($AH357,Target_monthwise!$D$4:$O$20,DTR!P$4,FALSE))*1000,0)</f>
        <v>0</v>
      </c>
      <c r="Q357" s="141">
        <f>IFERROR((HLOOKUP($AH357,Target_monthwise!$D$4:$O$20,DTR!Q$4,FALSE))*1000,0)</f>
        <v>0</v>
      </c>
      <c r="R357" s="167">
        <f>IFERROR((HLOOKUP($AH357,Target_monthwise!$D$4:$O$20,DTR!R$4,FALSE))*1000,0)</f>
        <v>0</v>
      </c>
      <c r="S357" s="147">
        <f>IFERROR((HLOOKUP($AH357,Target_monthwise!$D$24:$O$40,DTR!S$4,FALSE)),0)</f>
        <v>0</v>
      </c>
      <c r="T357" s="147">
        <f>IFERROR((HLOOKUP($AH357,Target_monthwise!$D$24:$O$40,DTR!T$4,FALSE)),0)</f>
        <v>0</v>
      </c>
      <c r="U357" s="147">
        <f>IFERROR((HLOOKUP($AH357,Target_monthwise!$D$24:$O$40,DTR!U$4,FALSE)),0)</f>
        <v>0</v>
      </c>
      <c r="V357" s="147">
        <f>IFERROR((HLOOKUP($AH357,Target_monthwise!$D$24:$O$40,DTR!V$4,FALSE)),0)</f>
        <v>0</v>
      </c>
      <c r="W357" s="147">
        <f>IFERROR((HLOOKUP($AH357,Target_monthwise!$D$24:$O$40,DTR!W$4,FALSE)),0)</f>
        <v>0</v>
      </c>
      <c r="X357" s="147">
        <f>IFERROR((HLOOKUP($AH357,Target_monthwise!$D$24:$O$40,DTR!X$4,FALSE)),0)</f>
        <v>0</v>
      </c>
      <c r="Y357" s="147">
        <f>IFERROR((HLOOKUP($AH357,Target_monthwise!$D$24:$O$40,DTR!Y$4,FALSE)),0)</f>
        <v>0</v>
      </c>
      <c r="Z357" s="147">
        <f>IFERROR((HLOOKUP($AH357,Target_monthwise!$D$24:$O$40,DTR!Z$4,FALSE)),0)</f>
        <v>0</v>
      </c>
      <c r="AA357" s="147">
        <f>IFERROR((HLOOKUP($AH357,Target_monthwise!$D$24:$O$40,DTR!AA$4,FALSE)),0)</f>
        <v>0</v>
      </c>
      <c r="AB357" s="147">
        <f>IFERROR((HLOOKUP($AH357,Target_monthwise!$D$24:$O$40,DTR!AB$4,FALSE)),0)</f>
        <v>0</v>
      </c>
      <c r="AC357" s="147">
        <f>IFERROR((HLOOKUP($AH357,Target_monthwise!$D$24:$O$40,DTR!AC$4,FALSE)),0)</f>
        <v>0</v>
      </c>
      <c r="AD357" s="147">
        <f>IFERROR((HLOOKUP($AH357,Target_monthwise!$D$24:$O$40,DTR!AD$4,FALSE)),0)</f>
        <v>0</v>
      </c>
      <c r="AE357" s="147">
        <f>IFERROR((HLOOKUP($AH357,Target_monthwise!$D$24:$O$40,DTR!AE$4,FALSE)),0)</f>
        <v>0</v>
      </c>
      <c r="AF357" s="147">
        <f>IFERROR((HLOOKUP($AH357,Target_monthwise!$D$24:$O$40,DTR!AF$4,FALSE)),0)</f>
        <v>0</v>
      </c>
      <c r="AG357" s="172">
        <f>IFERROR((HLOOKUP($AH357,Target_monthwise!$D$24:$O$40,DTR!AG$4,FALSE)),0)</f>
        <v>0</v>
      </c>
      <c r="AH357" s="253">
        <f t="shared" si="5"/>
        <v>202303</v>
      </c>
    </row>
    <row r="358" spans="3:34" ht="15.75" hidden="1">
      <c r="C358" s="237">
        <v>45001</v>
      </c>
      <c r="D358" s="238">
        <f>IFERROR((HLOOKUP($AH358,Target_monthwise!$D$4:$O$20,DTR!D$4,FALSE))*1000,0)</f>
        <v>0</v>
      </c>
      <c r="E358" s="238">
        <f>IFERROR((HLOOKUP($AH358,Target_monthwise!$D$4:$O$20,DTR!E$4,FALSE))*1000,0)</f>
        <v>0</v>
      </c>
      <c r="F358" s="238">
        <f>IFERROR((HLOOKUP($AH358,Target_monthwise!$D$4:$O$20,DTR!F$4,FALSE))*1000,0)</f>
        <v>0</v>
      </c>
      <c r="G358" s="238">
        <f>IFERROR((HLOOKUP($AH358,Target_monthwise!$D$4:$O$20,DTR!G$4,FALSE))*1000,0)</f>
        <v>0</v>
      </c>
      <c r="H358" s="238">
        <f>IFERROR((HLOOKUP($AH358,Target_monthwise!$D$4:$O$20,DTR!H$4,FALSE))*1000,0)</f>
        <v>0</v>
      </c>
      <c r="I358" s="238">
        <f>IFERROR((HLOOKUP($AH358,Target_monthwise!$D$4:$O$20,DTR!I$4,FALSE))*1000,0)</f>
        <v>0</v>
      </c>
      <c r="J358" s="238">
        <f>IFERROR((HLOOKUP($AH358,Target_monthwise!$D$4:$O$20,DTR!J$4,FALSE))*1000,0)</f>
        <v>0</v>
      </c>
      <c r="K358" s="238">
        <f>IFERROR((HLOOKUP($AH358,Target_monthwise!$D$4:$O$20,DTR!K$4,FALSE))*1000,0)</f>
        <v>0</v>
      </c>
      <c r="L358" s="238">
        <f>IFERROR((HLOOKUP($AH358,Target_monthwise!$D$4:$O$20,DTR!L$4,FALSE))*1000,0)</f>
        <v>0</v>
      </c>
      <c r="M358" s="238">
        <f>IFERROR((HLOOKUP($AH358,Target_monthwise!$D$4:$O$20,DTR!M$4,FALSE))*1000,0)</f>
        <v>0</v>
      </c>
      <c r="N358" s="238">
        <f>IFERROR((HLOOKUP($AH358,Target_monthwise!$D$4:$O$20,DTR!N$4,FALSE))*1000,0)</f>
        <v>0</v>
      </c>
      <c r="O358" s="238">
        <f>IFERROR((HLOOKUP($AH358,Target_monthwise!$D$4:$O$20,DTR!O$4,FALSE))*1000,0)</f>
        <v>0</v>
      </c>
      <c r="P358" s="238">
        <f>IFERROR((HLOOKUP($AH358,Target_monthwise!$D$4:$O$20,DTR!P$4,FALSE))*1000,0)</f>
        <v>0</v>
      </c>
      <c r="Q358" s="141">
        <f>IFERROR((HLOOKUP($AH358,Target_monthwise!$D$4:$O$20,DTR!Q$4,FALSE))*1000,0)</f>
        <v>0</v>
      </c>
      <c r="R358" s="167">
        <f>IFERROR((HLOOKUP($AH358,Target_monthwise!$D$4:$O$20,DTR!R$4,FALSE))*1000,0)</f>
        <v>0</v>
      </c>
      <c r="S358" s="239">
        <f>IFERROR((HLOOKUP($AH358,Target_monthwise!$D$24:$O$40,DTR!S$4,FALSE)),0)</f>
        <v>0</v>
      </c>
      <c r="T358" s="239">
        <f>IFERROR((HLOOKUP($AH358,Target_monthwise!$D$24:$O$40,DTR!T$4,FALSE)),0)</f>
        <v>0</v>
      </c>
      <c r="U358" s="239">
        <f>IFERROR((HLOOKUP($AH358,Target_monthwise!$D$24:$O$40,DTR!U$4,FALSE)),0)</f>
        <v>0</v>
      </c>
      <c r="V358" s="239">
        <f>IFERROR((HLOOKUP($AH358,Target_monthwise!$D$24:$O$40,DTR!V$4,FALSE)),0)</f>
        <v>0</v>
      </c>
      <c r="W358" s="239">
        <f>IFERROR((HLOOKUP($AH358,Target_monthwise!$D$24:$O$40,DTR!W$4,FALSE)),0)</f>
        <v>0</v>
      </c>
      <c r="X358" s="239">
        <f>IFERROR((HLOOKUP($AH358,Target_monthwise!$D$24:$O$40,DTR!X$4,FALSE)),0)</f>
        <v>0</v>
      </c>
      <c r="Y358" s="239">
        <f>IFERROR((HLOOKUP($AH358,Target_monthwise!$D$24:$O$40,DTR!Y$4,FALSE)),0)</f>
        <v>0</v>
      </c>
      <c r="Z358" s="147">
        <f>IFERROR((HLOOKUP($AH358,Target_monthwise!$D$24:$O$40,DTR!Z$4,FALSE)),0)</f>
        <v>0</v>
      </c>
      <c r="AA358" s="147">
        <f>IFERROR((HLOOKUP($AH358,Target_monthwise!$D$24:$O$40,DTR!AA$4,FALSE)),0)</f>
        <v>0</v>
      </c>
      <c r="AB358" s="147">
        <f>IFERROR((HLOOKUP($AH358,Target_monthwise!$D$24:$O$40,DTR!AB$4,FALSE)),0)</f>
        <v>0</v>
      </c>
      <c r="AC358" s="239">
        <f>IFERROR((HLOOKUP($AH358,Target_monthwise!$D$24:$O$40,DTR!AC$4,FALSE)),0)</f>
        <v>0</v>
      </c>
      <c r="AD358" s="239">
        <f>IFERROR((HLOOKUP($AH358,Target_monthwise!$D$24:$O$40,DTR!AD$4,FALSE)),0)</f>
        <v>0</v>
      </c>
      <c r="AE358" s="239">
        <f>IFERROR((HLOOKUP($AH358,Target_monthwise!$D$24:$O$40,DTR!AE$4,FALSE)),0)</f>
        <v>0</v>
      </c>
      <c r="AF358" s="239">
        <f>IFERROR((HLOOKUP($AH358,Target_monthwise!$D$24:$O$40,DTR!AF$4,FALSE)),0)</f>
        <v>0</v>
      </c>
      <c r="AG358" s="172">
        <f>IFERROR((HLOOKUP($AH358,Target_monthwise!$D$24:$O$40,DTR!AG$4,FALSE)),0)</f>
        <v>0</v>
      </c>
      <c r="AH358" s="253">
        <f t="shared" si="5"/>
        <v>202303</v>
      </c>
    </row>
    <row r="359" spans="3:34" ht="15.75" hidden="1">
      <c r="C359" s="235">
        <v>45002</v>
      </c>
      <c r="D359" s="141">
        <f>IFERROR((HLOOKUP($AH359,Target_monthwise!$D$4:$O$20,DTR!D$4,FALSE))*1000,0)</f>
        <v>0</v>
      </c>
      <c r="E359" s="141">
        <f>IFERROR((HLOOKUP($AH359,Target_monthwise!$D$4:$O$20,DTR!E$4,FALSE))*1000,0)</f>
        <v>0</v>
      </c>
      <c r="F359" s="141">
        <f>IFERROR((HLOOKUP($AH359,Target_monthwise!$D$4:$O$20,DTR!F$4,FALSE))*1000,0)</f>
        <v>0</v>
      </c>
      <c r="G359" s="141">
        <f>IFERROR((HLOOKUP($AH359,Target_monthwise!$D$4:$O$20,DTR!G$4,FALSE))*1000,0)</f>
        <v>0</v>
      </c>
      <c r="H359" s="141">
        <f>IFERROR((HLOOKUP($AH359,Target_monthwise!$D$4:$O$20,DTR!H$4,FALSE))*1000,0)</f>
        <v>0</v>
      </c>
      <c r="I359" s="141">
        <f>IFERROR((HLOOKUP($AH359,Target_monthwise!$D$4:$O$20,DTR!I$4,FALSE))*1000,0)</f>
        <v>0</v>
      </c>
      <c r="J359" s="141">
        <f>IFERROR((HLOOKUP($AH359,Target_monthwise!$D$4:$O$20,DTR!J$4,FALSE))*1000,0)</f>
        <v>0</v>
      </c>
      <c r="K359" s="141">
        <f>IFERROR((HLOOKUP($AH359,Target_monthwise!$D$4:$O$20,DTR!K$4,FALSE))*1000,0)</f>
        <v>0</v>
      </c>
      <c r="L359" s="141">
        <f>IFERROR((HLOOKUP($AH359,Target_monthwise!$D$4:$O$20,DTR!L$4,FALSE))*1000,0)</f>
        <v>0</v>
      </c>
      <c r="M359" s="141">
        <f>IFERROR((HLOOKUP($AH359,Target_monthwise!$D$4:$O$20,DTR!M$4,FALSE))*1000,0)</f>
        <v>0</v>
      </c>
      <c r="N359" s="141">
        <f>IFERROR((HLOOKUP($AH359,Target_monthwise!$D$4:$O$20,DTR!N$4,FALSE))*1000,0)</f>
        <v>0</v>
      </c>
      <c r="O359" s="141">
        <f>IFERROR((HLOOKUP($AH359,Target_monthwise!$D$4:$O$20,DTR!O$4,FALSE))*1000,0)</f>
        <v>0</v>
      </c>
      <c r="P359" s="141">
        <f>IFERROR((HLOOKUP($AH359,Target_monthwise!$D$4:$O$20,DTR!P$4,FALSE))*1000,0)</f>
        <v>0</v>
      </c>
      <c r="Q359" s="141">
        <f>IFERROR((HLOOKUP($AH359,Target_monthwise!$D$4:$O$20,DTR!Q$4,FALSE))*1000,0)</f>
        <v>0</v>
      </c>
      <c r="R359" s="167">
        <f>IFERROR((HLOOKUP($AH359,Target_monthwise!$D$4:$O$20,DTR!R$4,FALSE))*1000,0)</f>
        <v>0</v>
      </c>
      <c r="S359" s="147">
        <f>IFERROR((HLOOKUP($AH359,Target_monthwise!$D$24:$O$40,DTR!S$4,FALSE)),0)</f>
        <v>0</v>
      </c>
      <c r="T359" s="147">
        <f>IFERROR((HLOOKUP($AH359,Target_monthwise!$D$24:$O$40,DTR!T$4,FALSE)),0)</f>
        <v>0</v>
      </c>
      <c r="U359" s="147">
        <f>IFERROR((HLOOKUP($AH359,Target_monthwise!$D$24:$O$40,DTR!U$4,FALSE)),0)</f>
        <v>0</v>
      </c>
      <c r="V359" s="147">
        <f>IFERROR((HLOOKUP($AH359,Target_monthwise!$D$24:$O$40,DTR!V$4,FALSE)),0)</f>
        <v>0</v>
      </c>
      <c r="W359" s="147">
        <f>IFERROR((HLOOKUP($AH359,Target_monthwise!$D$24:$O$40,DTR!W$4,FALSE)),0)</f>
        <v>0</v>
      </c>
      <c r="X359" s="147">
        <f>IFERROR((HLOOKUP($AH359,Target_monthwise!$D$24:$O$40,DTR!X$4,FALSE)),0)</f>
        <v>0</v>
      </c>
      <c r="Y359" s="147">
        <f>IFERROR((HLOOKUP($AH359,Target_monthwise!$D$24:$O$40,DTR!Y$4,FALSE)),0)</f>
        <v>0</v>
      </c>
      <c r="Z359" s="147">
        <f>IFERROR((HLOOKUP($AH359,Target_monthwise!$D$24:$O$40,DTR!Z$4,FALSE)),0)</f>
        <v>0</v>
      </c>
      <c r="AA359" s="147">
        <f>IFERROR((HLOOKUP($AH359,Target_monthwise!$D$24:$O$40,DTR!AA$4,FALSE)),0)</f>
        <v>0</v>
      </c>
      <c r="AB359" s="147">
        <f>IFERROR((HLOOKUP($AH359,Target_monthwise!$D$24:$O$40,DTR!AB$4,FALSE)),0)</f>
        <v>0</v>
      </c>
      <c r="AC359" s="147">
        <f>IFERROR((HLOOKUP($AH359,Target_monthwise!$D$24:$O$40,DTR!AC$4,FALSE)),0)</f>
        <v>0</v>
      </c>
      <c r="AD359" s="147">
        <f>IFERROR((HLOOKUP($AH359,Target_monthwise!$D$24:$O$40,DTR!AD$4,FALSE)),0)</f>
        <v>0</v>
      </c>
      <c r="AE359" s="147">
        <f>IFERROR((HLOOKUP($AH359,Target_monthwise!$D$24:$O$40,DTR!AE$4,FALSE)),0)</f>
        <v>0</v>
      </c>
      <c r="AF359" s="147">
        <f>IFERROR((HLOOKUP($AH359,Target_monthwise!$D$24:$O$40,DTR!AF$4,FALSE)),0)</f>
        <v>0</v>
      </c>
      <c r="AG359" s="172">
        <f>IFERROR((HLOOKUP($AH359,Target_monthwise!$D$24:$O$40,DTR!AG$4,FALSE)),0)</f>
        <v>0</v>
      </c>
      <c r="AH359" s="253">
        <f t="shared" si="5"/>
        <v>202303</v>
      </c>
    </row>
    <row r="360" spans="3:34" ht="15.75" hidden="1">
      <c r="C360" s="237">
        <v>45003</v>
      </c>
      <c r="D360" s="238">
        <f>IFERROR((HLOOKUP($AH360,Target_monthwise!$D$4:$O$20,DTR!D$4,FALSE))*1000,0)</f>
        <v>0</v>
      </c>
      <c r="E360" s="238">
        <f>IFERROR((HLOOKUP($AH360,Target_monthwise!$D$4:$O$20,DTR!E$4,FALSE))*1000,0)</f>
        <v>0</v>
      </c>
      <c r="F360" s="238">
        <f>IFERROR((HLOOKUP($AH360,Target_monthwise!$D$4:$O$20,DTR!F$4,FALSE))*1000,0)</f>
        <v>0</v>
      </c>
      <c r="G360" s="238">
        <f>IFERROR((HLOOKUP($AH360,Target_monthwise!$D$4:$O$20,DTR!G$4,FALSE))*1000,0)</f>
        <v>0</v>
      </c>
      <c r="H360" s="238">
        <f>IFERROR((HLOOKUP($AH360,Target_monthwise!$D$4:$O$20,DTR!H$4,FALSE))*1000,0)</f>
        <v>0</v>
      </c>
      <c r="I360" s="238">
        <f>IFERROR((HLOOKUP($AH360,Target_monthwise!$D$4:$O$20,DTR!I$4,FALSE))*1000,0)</f>
        <v>0</v>
      </c>
      <c r="J360" s="238">
        <f>IFERROR((HLOOKUP($AH360,Target_monthwise!$D$4:$O$20,DTR!J$4,FALSE))*1000,0)</f>
        <v>0</v>
      </c>
      <c r="K360" s="238">
        <f>IFERROR((HLOOKUP($AH360,Target_monthwise!$D$4:$O$20,DTR!K$4,FALSE))*1000,0)</f>
        <v>0</v>
      </c>
      <c r="L360" s="238">
        <f>IFERROR((HLOOKUP($AH360,Target_monthwise!$D$4:$O$20,DTR!L$4,FALSE))*1000,0)</f>
        <v>0</v>
      </c>
      <c r="M360" s="238">
        <f>IFERROR((HLOOKUP($AH360,Target_monthwise!$D$4:$O$20,DTR!M$4,FALSE))*1000,0)</f>
        <v>0</v>
      </c>
      <c r="N360" s="238">
        <f>IFERROR((HLOOKUP($AH360,Target_monthwise!$D$4:$O$20,DTR!N$4,FALSE))*1000,0)</f>
        <v>0</v>
      </c>
      <c r="O360" s="238">
        <f>IFERROR((HLOOKUP($AH360,Target_monthwise!$D$4:$O$20,DTR!O$4,FALSE))*1000,0)</f>
        <v>0</v>
      </c>
      <c r="P360" s="238">
        <f>IFERROR((HLOOKUP($AH360,Target_monthwise!$D$4:$O$20,DTR!P$4,FALSE))*1000,0)</f>
        <v>0</v>
      </c>
      <c r="Q360" s="141">
        <f>IFERROR((HLOOKUP($AH360,Target_monthwise!$D$4:$O$20,DTR!Q$4,FALSE))*1000,0)</f>
        <v>0</v>
      </c>
      <c r="R360" s="167">
        <f>IFERROR((HLOOKUP($AH360,Target_monthwise!$D$4:$O$20,DTR!R$4,FALSE))*1000,0)</f>
        <v>0</v>
      </c>
      <c r="S360" s="239">
        <f>IFERROR((HLOOKUP($AH360,Target_monthwise!$D$24:$O$40,DTR!S$4,FALSE)),0)</f>
        <v>0</v>
      </c>
      <c r="T360" s="239">
        <f>IFERROR((HLOOKUP($AH360,Target_monthwise!$D$24:$O$40,DTR!T$4,FALSE)),0)</f>
        <v>0</v>
      </c>
      <c r="U360" s="239">
        <f>IFERROR((HLOOKUP($AH360,Target_monthwise!$D$24:$O$40,DTR!U$4,FALSE)),0)</f>
        <v>0</v>
      </c>
      <c r="V360" s="239">
        <f>IFERROR((HLOOKUP($AH360,Target_monthwise!$D$24:$O$40,DTR!V$4,FALSE)),0)</f>
        <v>0</v>
      </c>
      <c r="W360" s="239">
        <f>IFERROR((HLOOKUP($AH360,Target_monthwise!$D$24:$O$40,DTR!W$4,FALSE)),0)</f>
        <v>0</v>
      </c>
      <c r="X360" s="239">
        <f>IFERROR((HLOOKUP($AH360,Target_monthwise!$D$24:$O$40,DTR!X$4,FALSE)),0)</f>
        <v>0</v>
      </c>
      <c r="Y360" s="239">
        <f>IFERROR((HLOOKUP($AH360,Target_monthwise!$D$24:$O$40,DTR!Y$4,FALSE)),0)</f>
        <v>0</v>
      </c>
      <c r="Z360" s="147">
        <f>IFERROR((HLOOKUP($AH360,Target_monthwise!$D$24:$O$40,DTR!Z$4,FALSE)),0)</f>
        <v>0</v>
      </c>
      <c r="AA360" s="147">
        <f>IFERROR((HLOOKUP($AH360,Target_monthwise!$D$24:$O$40,DTR!AA$4,FALSE)),0)</f>
        <v>0</v>
      </c>
      <c r="AB360" s="147">
        <f>IFERROR((HLOOKUP($AH360,Target_monthwise!$D$24:$O$40,DTR!AB$4,FALSE)),0)</f>
        <v>0</v>
      </c>
      <c r="AC360" s="239">
        <f>IFERROR((HLOOKUP($AH360,Target_monthwise!$D$24:$O$40,DTR!AC$4,FALSE)),0)</f>
        <v>0</v>
      </c>
      <c r="AD360" s="239">
        <f>IFERROR((HLOOKUP($AH360,Target_monthwise!$D$24:$O$40,DTR!AD$4,FALSE)),0)</f>
        <v>0</v>
      </c>
      <c r="AE360" s="239">
        <f>IFERROR((HLOOKUP($AH360,Target_monthwise!$D$24:$O$40,DTR!AE$4,FALSE)),0)</f>
        <v>0</v>
      </c>
      <c r="AF360" s="239">
        <f>IFERROR((HLOOKUP($AH360,Target_monthwise!$D$24:$O$40,DTR!AF$4,FALSE)),0)</f>
        <v>0</v>
      </c>
      <c r="AG360" s="172">
        <f>IFERROR((HLOOKUP($AH360,Target_monthwise!$D$24:$O$40,DTR!AG$4,FALSE)),0)</f>
        <v>0</v>
      </c>
      <c r="AH360" s="253">
        <f t="shared" si="5"/>
        <v>202303</v>
      </c>
    </row>
    <row r="361" spans="3:34" ht="15.75" hidden="1">
      <c r="C361" s="235">
        <v>45004</v>
      </c>
      <c r="D361" s="141">
        <f>IFERROR((HLOOKUP($AH361,Target_monthwise!$D$4:$O$20,DTR!D$4,FALSE))*1000,0)</f>
        <v>0</v>
      </c>
      <c r="E361" s="141">
        <f>IFERROR((HLOOKUP($AH361,Target_monthwise!$D$4:$O$20,DTR!E$4,FALSE))*1000,0)</f>
        <v>0</v>
      </c>
      <c r="F361" s="141">
        <f>IFERROR((HLOOKUP($AH361,Target_monthwise!$D$4:$O$20,DTR!F$4,FALSE))*1000,0)</f>
        <v>0</v>
      </c>
      <c r="G361" s="141">
        <f>IFERROR((HLOOKUP($AH361,Target_monthwise!$D$4:$O$20,DTR!G$4,FALSE))*1000,0)</f>
        <v>0</v>
      </c>
      <c r="H361" s="141">
        <f>IFERROR((HLOOKUP($AH361,Target_monthwise!$D$4:$O$20,DTR!H$4,FALSE))*1000,0)</f>
        <v>0</v>
      </c>
      <c r="I361" s="141">
        <f>IFERROR((HLOOKUP($AH361,Target_monthwise!$D$4:$O$20,DTR!I$4,FALSE))*1000,0)</f>
        <v>0</v>
      </c>
      <c r="J361" s="141">
        <f>IFERROR((HLOOKUP($AH361,Target_monthwise!$D$4:$O$20,DTR!J$4,FALSE))*1000,0)</f>
        <v>0</v>
      </c>
      <c r="K361" s="141">
        <f>IFERROR((HLOOKUP($AH361,Target_monthwise!$D$4:$O$20,DTR!K$4,FALSE))*1000,0)</f>
        <v>0</v>
      </c>
      <c r="L361" s="141">
        <f>IFERROR((HLOOKUP($AH361,Target_monthwise!$D$4:$O$20,DTR!L$4,FALSE))*1000,0)</f>
        <v>0</v>
      </c>
      <c r="M361" s="141">
        <f>IFERROR((HLOOKUP($AH361,Target_monthwise!$D$4:$O$20,DTR!M$4,FALSE))*1000,0)</f>
        <v>0</v>
      </c>
      <c r="N361" s="141">
        <f>IFERROR((HLOOKUP($AH361,Target_monthwise!$D$4:$O$20,DTR!N$4,FALSE))*1000,0)</f>
        <v>0</v>
      </c>
      <c r="O361" s="141">
        <f>IFERROR((HLOOKUP($AH361,Target_monthwise!$D$4:$O$20,DTR!O$4,FALSE))*1000,0)</f>
        <v>0</v>
      </c>
      <c r="P361" s="141">
        <f>IFERROR((HLOOKUP($AH361,Target_monthwise!$D$4:$O$20,DTR!P$4,FALSE))*1000,0)</f>
        <v>0</v>
      </c>
      <c r="Q361" s="141">
        <f>IFERROR((HLOOKUP($AH361,Target_monthwise!$D$4:$O$20,DTR!Q$4,FALSE))*1000,0)</f>
        <v>0</v>
      </c>
      <c r="R361" s="167">
        <f>IFERROR((HLOOKUP($AH361,Target_monthwise!$D$4:$O$20,DTR!R$4,FALSE))*1000,0)</f>
        <v>0</v>
      </c>
      <c r="S361" s="147">
        <f>IFERROR((HLOOKUP($AH361,Target_monthwise!$D$24:$O$40,DTR!S$4,FALSE)),0)</f>
        <v>0</v>
      </c>
      <c r="T361" s="147">
        <f>IFERROR((HLOOKUP($AH361,Target_monthwise!$D$24:$O$40,DTR!T$4,FALSE)),0)</f>
        <v>0</v>
      </c>
      <c r="U361" s="147">
        <f>IFERROR((HLOOKUP($AH361,Target_monthwise!$D$24:$O$40,DTR!U$4,FALSE)),0)</f>
        <v>0</v>
      </c>
      <c r="V361" s="147">
        <f>IFERROR((HLOOKUP($AH361,Target_monthwise!$D$24:$O$40,DTR!V$4,FALSE)),0)</f>
        <v>0</v>
      </c>
      <c r="W361" s="147">
        <f>IFERROR((HLOOKUP($AH361,Target_monthwise!$D$24:$O$40,DTR!W$4,FALSE)),0)</f>
        <v>0</v>
      </c>
      <c r="X361" s="147">
        <f>IFERROR((HLOOKUP($AH361,Target_monthwise!$D$24:$O$40,DTR!X$4,FALSE)),0)</f>
        <v>0</v>
      </c>
      <c r="Y361" s="147">
        <f>IFERROR((HLOOKUP($AH361,Target_monthwise!$D$24:$O$40,DTR!Y$4,FALSE)),0)</f>
        <v>0</v>
      </c>
      <c r="Z361" s="147">
        <f>IFERROR((HLOOKUP($AH361,Target_monthwise!$D$24:$O$40,DTR!Z$4,FALSE)),0)</f>
        <v>0</v>
      </c>
      <c r="AA361" s="147">
        <f>IFERROR((HLOOKUP($AH361,Target_monthwise!$D$24:$O$40,DTR!AA$4,FALSE)),0)</f>
        <v>0</v>
      </c>
      <c r="AB361" s="147">
        <f>IFERROR((HLOOKUP($AH361,Target_monthwise!$D$24:$O$40,DTR!AB$4,FALSE)),0)</f>
        <v>0</v>
      </c>
      <c r="AC361" s="147">
        <f>IFERROR((HLOOKUP($AH361,Target_monthwise!$D$24:$O$40,DTR!AC$4,FALSE)),0)</f>
        <v>0</v>
      </c>
      <c r="AD361" s="147">
        <f>IFERROR((HLOOKUP($AH361,Target_monthwise!$D$24:$O$40,DTR!AD$4,FALSE)),0)</f>
        <v>0</v>
      </c>
      <c r="AE361" s="147">
        <f>IFERROR((HLOOKUP($AH361,Target_monthwise!$D$24:$O$40,DTR!AE$4,FALSE)),0)</f>
        <v>0</v>
      </c>
      <c r="AF361" s="147">
        <f>IFERROR((HLOOKUP($AH361,Target_monthwise!$D$24:$O$40,DTR!AF$4,FALSE)),0)</f>
        <v>0</v>
      </c>
      <c r="AG361" s="172">
        <f>IFERROR((HLOOKUP($AH361,Target_monthwise!$D$24:$O$40,DTR!AG$4,FALSE)),0)</f>
        <v>0</v>
      </c>
      <c r="AH361" s="253">
        <f t="shared" si="5"/>
        <v>202303</v>
      </c>
    </row>
    <row r="362" spans="3:34" ht="15.75" hidden="1">
      <c r="C362" s="237">
        <v>45005</v>
      </c>
      <c r="D362" s="238">
        <f>IFERROR((HLOOKUP($AH362,Target_monthwise!$D$4:$O$20,DTR!D$4,FALSE))*1000,0)</f>
        <v>0</v>
      </c>
      <c r="E362" s="238">
        <f>IFERROR((HLOOKUP($AH362,Target_monthwise!$D$4:$O$20,DTR!E$4,FALSE))*1000,0)</f>
        <v>0</v>
      </c>
      <c r="F362" s="238">
        <f>IFERROR((HLOOKUP($AH362,Target_monthwise!$D$4:$O$20,DTR!F$4,FALSE))*1000,0)</f>
        <v>0</v>
      </c>
      <c r="G362" s="238">
        <f>IFERROR((HLOOKUP($AH362,Target_monthwise!$D$4:$O$20,DTR!G$4,FALSE))*1000,0)</f>
        <v>0</v>
      </c>
      <c r="H362" s="238">
        <f>IFERROR((HLOOKUP($AH362,Target_monthwise!$D$4:$O$20,DTR!H$4,FALSE))*1000,0)</f>
        <v>0</v>
      </c>
      <c r="I362" s="238">
        <f>IFERROR((HLOOKUP($AH362,Target_monthwise!$D$4:$O$20,DTR!I$4,FALSE))*1000,0)</f>
        <v>0</v>
      </c>
      <c r="J362" s="238">
        <f>IFERROR((HLOOKUP($AH362,Target_monthwise!$D$4:$O$20,DTR!J$4,FALSE))*1000,0)</f>
        <v>0</v>
      </c>
      <c r="K362" s="238">
        <f>IFERROR((HLOOKUP($AH362,Target_monthwise!$D$4:$O$20,DTR!K$4,FALSE))*1000,0)</f>
        <v>0</v>
      </c>
      <c r="L362" s="238">
        <f>IFERROR((HLOOKUP($AH362,Target_monthwise!$D$4:$O$20,DTR!L$4,FALSE))*1000,0)</f>
        <v>0</v>
      </c>
      <c r="M362" s="238">
        <f>IFERROR((HLOOKUP($AH362,Target_monthwise!$D$4:$O$20,DTR!M$4,FALSE))*1000,0)</f>
        <v>0</v>
      </c>
      <c r="N362" s="238">
        <f>IFERROR((HLOOKUP($AH362,Target_monthwise!$D$4:$O$20,DTR!N$4,FALSE))*1000,0)</f>
        <v>0</v>
      </c>
      <c r="O362" s="238">
        <f>IFERROR((HLOOKUP($AH362,Target_monthwise!$D$4:$O$20,DTR!O$4,FALSE))*1000,0)</f>
        <v>0</v>
      </c>
      <c r="P362" s="238">
        <f>IFERROR((HLOOKUP($AH362,Target_monthwise!$D$4:$O$20,DTR!P$4,FALSE))*1000,0)</f>
        <v>0</v>
      </c>
      <c r="Q362" s="141">
        <f>IFERROR((HLOOKUP($AH362,Target_monthwise!$D$4:$O$20,DTR!Q$4,FALSE))*1000,0)</f>
        <v>0</v>
      </c>
      <c r="R362" s="167">
        <f>IFERROR((HLOOKUP($AH362,Target_monthwise!$D$4:$O$20,DTR!R$4,FALSE))*1000,0)</f>
        <v>0</v>
      </c>
      <c r="S362" s="239">
        <f>IFERROR((HLOOKUP($AH362,Target_monthwise!$D$24:$O$40,DTR!S$4,FALSE)),0)</f>
        <v>0</v>
      </c>
      <c r="T362" s="239">
        <f>IFERROR((HLOOKUP($AH362,Target_monthwise!$D$24:$O$40,DTR!T$4,FALSE)),0)</f>
        <v>0</v>
      </c>
      <c r="U362" s="239">
        <f>IFERROR((HLOOKUP($AH362,Target_monthwise!$D$24:$O$40,DTR!U$4,FALSE)),0)</f>
        <v>0</v>
      </c>
      <c r="V362" s="239">
        <f>IFERROR((HLOOKUP($AH362,Target_monthwise!$D$24:$O$40,DTR!V$4,FALSE)),0)</f>
        <v>0</v>
      </c>
      <c r="W362" s="239">
        <f>IFERROR((HLOOKUP($AH362,Target_monthwise!$D$24:$O$40,DTR!W$4,FALSE)),0)</f>
        <v>0</v>
      </c>
      <c r="X362" s="239">
        <f>IFERROR((HLOOKUP($AH362,Target_monthwise!$D$24:$O$40,DTR!X$4,FALSE)),0)</f>
        <v>0</v>
      </c>
      <c r="Y362" s="239">
        <f>IFERROR((HLOOKUP($AH362,Target_monthwise!$D$24:$O$40,DTR!Y$4,FALSE)),0)</f>
        <v>0</v>
      </c>
      <c r="Z362" s="147">
        <f>IFERROR((HLOOKUP($AH362,Target_monthwise!$D$24:$O$40,DTR!Z$4,FALSE)),0)</f>
        <v>0</v>
      </c>
      <c r="AA362" s="147">
        <f>IFERROR((HLOOKUP($AH362,Target_monthwise!$D$24:$O$40,DTR!AA$4,FALSE)),0)</f>
        <v>0</v>
      </c>
      <c r="AB362" s="147">
        <f>IFERROR((HLOOKUP($AH362,Target_monthwise!$D$24:$O$40,DTR!AB$4,FALSE)),0)</f>
        <v>0</v>
      </c>
      <c r="AC362" s="239">
        <f>IFERROR((HLOOKUP($AH362,Target_monthwise!$D$24:$O$40,DTR!AC$4,FALSE)),0)</f>
        <v>0</v>
      </c>
      <c r="AD362" s="239">
        <f>IFERROR((HLOOKUP($AH362,Target_monthwise!$D$24:$O$40,DTR!AD$4,FALSE)),0)</f>
        <v>0</v>
      </c>
      <c r="AE362" s="239">
        <f>IFERROR((HLOOKUP($AH362,Target_monthwise!$D$24:$O$40,DTR!AE$4,FALSE)),0)</f>
        <v>0</v>
      </c>
      <c r="AF362" s="239">
        <f>IFERROR((HLOOKUP($AH362,Target_monthwise!$D$24:$O$40,DTR!AF$4,FALSE)),0)</f>
        <v>0</v>
      </c>
      <c r="AG362" s="172">
        <f>IFERROR((HLOOKUP($AH362,Target_monthwise!$D$24:$O$40,DTR!AG$4,FALSE)),0)</f>
        <v>0</v>
      </c>
      <c r="AH362" s="253">
        <f t="shared" si="5"/>
        <v>202303</v>
      </c>
    </row>
    <row r="363" spans="3:34" ht="15.75" hidden="1">
      <c r="C363" s="235">
        <v>45006</v>
      </c>
      <c r="D363" s="141">
        <f>IFERROR((HLOOKUP($AH363,Target_monthwise!$D$4:$O$20,DTR!D$4,FALSE))*1000,0)</f>
        <v>0</v>
      </c>
      <c r="E363" s="141">
        <f>IFERROR((HLOOKUP($AH363,Target_monthwise!$D$4:$O$20,DTR!E$4,FALSE))*1000,0)</f>
        <v>0</v>
      </c>
      <c r="F363" s="141">
        <f>IFERROR((HLOOKUP($AH363,Target_monthwise!$D$4:$O$20,DTR!F$4,FALSE))*1000,0)</f>
        <v>0</v>
      </c>
      <c r="G363" s="141">
        <f>IFERROR((HLOOKUP($AH363,Target_monthwise!$D$4:$O$20,DTR!G$4,FALSE))*1000,0)</f>
        <v>0</v>
      </c>
      <c r="H363" s="141">
        <f>IFERROR((HLOOKUP($AH363,Target_monthwise!$D$4:$O$20,DTR!H$4,FALSE))*1000,0)</f>
        <v>0</v>
      </c>
      <c r="I363" s="141">
        <f>IFERROR((HLOOKUP($AH363,Target_monthwise!$D$4:$O$20,DTR!I$4,FALSE))*1000,0)</f>
        <v>0</v>
      </c>
      <c r="J363" s="141">
        <f>IFERROR((HLOOKUP($AH363,Target_monthwise!$D$4:$O$20,DTR!J$4,FALSE))*1000,0)</f>
        <v>0</v>
      </c>
      <c r="K363" s="141">
        <f>IFERROR((HLOOKUP($AH363,Target_monthwise!$D$4:$O$20,DTR!K$4,FALSE))*1000,0)</f>
        <v>0</v>
      </c>
      <c r="L363" s="141">
        <f>IFERROR((HLOOKUP($AH363,Target_monthwise!$D$4:$O$20,DTR!L$4,FALSE))*1000,0)</f>
        <v>0</v>
      </c>
      <c r="M363" s="141">
        <f>IFERROR((HLOOKUP($AH363,Target_monthwise!$D$4:$O$20,DTR!M$4,FALSE))*1000,0)</f>
        <v>0</v>
      </c>
      <c r="N363" s="141">
        <f>IFERROR((HLOOKUP($AH363,Target_monthwise!$D$4:$O$20,DTR!N$4,FALSE))*1000,0)</f>
        <v>0</v>
      </c>
      <c r="O363" s="141">
        <f>IFERROR((HLOOKUP($AH363,Target_monthwise!$D$4:$O$20,DTR!O$4,FALSE))*1000,0)</f>
        <v>0</v>
      </c>
      <c r="P363" s="141">
        <f>IFERROR((HLOOKUP($AH363,Target_monthwise!$D$4:$O$20,DTR!P$4,FALSE))*1000,0)</f>
        <v>0</v>
      </c>
      <c r="Q363" s="141">
        <f>IFERROR((HLOOKUP($AH363,Target_monthwise!$D$4:$O$20,DTR!Q$4,FALSE))*1000,0)</f>
        <v>0</v>
      </c>
      <c r="R363" s="167">
        <f>IFERROR((HLOOKUP($AH363,Target_monthwise!$D$4:$O$20,DTR!R$4,FALSE))*1000,0)</f>
        <v>0</v>
      </c>
      <c r="S363" s="147">
        <f>IFERROR((HLOOKUP($AH363,Target_monthwise!$D$24:$O$40,DTR!S$4,FALSE)),0)</f>
        <v>0</v>
      </c>
      <c r="T363" s="147">
        <f>IFERROR((HLOOKUP($AH363,Target_monthwise!$D$24:$O$40,DTR!T$4,FALSE)),0)</f>
        <v>0</v>
      </c>
      <c r="U363" s="147">
        <f>IFERROR((HLOOKUP($AH363,Target_monthwise!$D$24:$O$40,DTR!U$4,FALSE)),0)</f>
        <v>0</v>
      </c>
      <c r="V363" s="147">
        <f>IFERROR((HLOOKUP($AH363,Target_monthwise!$D$24:$O$40,DTR!V$4,FALSE)),0)</f>
        <v>0</v>
      </c>
      <c r="W363" s="147">
        <f>IFERROR((HLOOKUP($AH363,Target_monthwise!$D$24:$O$40,DTR!W$4,FALSE)),0)</f>
        <v>0</v>
      </c>
      <c r="X363" s="147">
        <f>IFERROR((HLOOKUP($AH363,Target_monthwise!$D$24:$O$40,DTR!X$4,FALSE)),0)</f>
        <v>0</v>
      </c>
      <c r="Y363" s="147">
        <f>IFERROR((HLOOKUP($AH363,Target_monthwise!$D$24:$O$40,DTR!Y$4,FALSE)),0)</f>
        <v>0</v>
      </c>
      <c r="Z363" s="147">
        <f>IFERROR((HLOOKUP($AH363,Target_monthwise!$D$24:$O$40,DTR!Z$4,FALSE)),0)</f>
        <v>0</v>
      </c>
      <c r="AA363" s="147">
        <f>IFERROR((HLOOKUP($AH363,Target_monthwise!$D$24:$O$40,DTR!AA$4,FALSE)),0)</f>
        <v>0</v>
      </c>
      <c r="AB363" s="147">
        <f>IFERROR((HLOOKUP($AH363,Target_monthwise!$D$24:$O$40,DTR!AB$4,FALSE)),0)</f>
        <v>0</v>
      </c>
      <c r="AC363" s="147">
        <f>IFERROR((HLOOKUP($AH363,Target_monthwise!$D$24:$O$40,DTR!AC$4,FALSE)),0)</f>
        <v>0</v>
      </c>
      <c r="AD363" s="147">
        <f>IFERROR((HLOOKUP($AH363,Target_monthwise!$D$24:$O$40,DTR!AD$4,FALSE)),0)</f>
        <v>0</v>
      </c>
      <c r="AE363" s="147">
        <f>IFERROR((HLOOKUP($AH363,Target_monthwise!$D$24:$O$40,DTR!AE$4,FALSE)),0)</f>
        <v>0</v>
      </c>
      <c r="AF363" s="147">
        <f>IFERROR((HLOOKUP($AH363,Target_monthwise!$D$24:$O$40,DTR!AF$4,FALSE)),0)</f>
        <v>0</v>
      </c>
      <c r="AG363" s="172">
        <f>IFERROR((HLOOKUP($AH363,Target_monthwise!$D$24:$O$40,DTR!AG$4,FALSE)),0)</f>
        <v>0</v>
      </c>
      <c r="AH363" s="253">
        <f t="shared" si="5"/>
        <v>202303</v>
      </c>
    </row>
    <row r="364" spans="3:34" ht="15.75" hidden="1">
      <c r="C364" s="237">
        <v>45007</v>
      </c>
      <c r="D364" s="238">
        <f>IFERROR((HLOOKUP($AH364,Target_monthwise!$D$4:$O$20,DTR!D$4,FALSE))*1000,0)</f>
        <v>0</v>
      </c>
      <c r="E364" s="238">
        <f>IFERROR((HLOOKUP($AH364,Target_monthwise!$D$4:$O$20,DTR!E$4,FALSE))*1000,0)</f>
        <v>0</v>
      </c>
      <c r="F364" s="238">
        <f>IFERROR((HLOOKUP($AH364,Target_monthwise!$D$4:$O$20,DTR!F$4,FALSE))*1000,0)</f>
        <v>0</v>
      </c>
      <c r="G364" s="238">
        <f>IFERROR((HLOOKUP($AH364,Target_monthwise!$D$4:$O$20,DTR!G$4,FALSE))*1000,0)</f>
        <v>0</v>
      </c>
      <c r="H364" s="238">
        <f>IFERROR((HLOOKUP($AH364,Target_monthwise!$D$4:$O$20,DTR!H$4,FALSE))*1000,0)</f>
        <v>0</v>
      </c>
      <c r="I364" s="238">
        <f>IFERROR((HLOOKUP($AH364,Target_monthwise!$D$4:$O$20,DTR!I$4,FALSE))*1000,0)</f>
        <v>0</v>
      </c>
      <c r="J364" s="238">
        <f>IFERROR((HLOOKUP($AH364,Target_monthwise!$D$4:$O$20,DTR!J$4,FALSE))*1000,0)</f>
        <v>0</v>
      </c>
      <c r="K364" s="238">
        <f>IFERROR((HLOOKUP($AH364,Target_monthwise!$D$4:$O$20,DTR!K$4,FALSE))*1000,0)</f>
        <v>0</v>
      </c>
      <c r="L364" s="238">
        <f>IFERROR((HLOOKUP($AH364,Target_monthwise!$D$4:$O$20,DTR!L$4,FALSE))*1000,0)</f>
        <v>0</v>
      </c>
      <c r="M364" s="238">
        <f>IFERROR((HLOOKUP($AH364,Target_monthwise!$D$4:$O$20,DTR!M$4,FALSE))*1000,0)</f>
        <v>0</v>
      </c>
      <c r="N364" s="238">
        <f>IFERROR((HLOOKUP($AH364,Target_monthwise!$D$4:$O$20,DTR!N$4,FALSE))*1000,0)</f>
        <v>0</v>
      </c>
      <c r="O364" s="238">
        <f>IFERROR((HLOOKUP($AH364,Target_monthwise!$D$4:$O$20,DTR!O$4,FALSE))*1000,0)</f>
        <v>0</v>
      </c>
      <c r="P364" s="238">
        <f>IFERROR((HLOOKUP($AH364,Target_monthwise!$D$4:$O$20,DTR!P$4,FALSE))*1000,0)</f>
        <v>0</v>
      </c>
      <c r="Q364" s="141">
        <f>IFERROR((HLOOKUP($AH364,Target_monthwise!$D$4:$O$20,DTR!Q$4,FALSE))*1000,0)</f>
        <v>0</v>
      </c>
      <c r="R364" s="167">
        <f>IFERROR((HLOOKUP($AH364,Target_monthwise!$D$4:$O$20,DTR!R$4,FALSE))*1000,0)</f>
        <v>0</v>
      </c>
      <c r="S364" s="239">
        <f>IFERROR((HLOOKUP($AH364,Target_monthwise!$D$24:$O$40,DTR!S$4,FALSE)),0)</f>
        <v>0</v>
      </c>
      <c r="T364" s="239">
        <f>IFERROR((HLOOKUP($AH364,Target_monthwise!$D$24:$O$40,DTR!T$4,FALSE)),0)</f>
        <v>0</v>
      </c>
      <c r="U364" s="239">
        <f>IFERROR((HLOOKUP($AH364,Target_monthwise!$D$24:$O$40,DTR!U$4,FALSE)),0)</f>
        <v>0</v>
      </c>
      <c r="V364" s="239">
        <f>IFERROR((HLOOKUP($AH364,Target_monthwise!$D$24:$O$40,DTR!V$4,FALSE)),0)</f>
        <v>0</v>
      </c>
      <c r="W364" s="239">
        <f>IFERROR((HLOOKUP($AH364,Target_monthwise!$D$24:$O$40,DTR!W$4,FALSE)),0)</f>
        <v>0</v>
      </c>
      <c r="X364" s="239">
        <f>IFERROR((HLOOKUP($AH364,Target_monthwise!$D$24:$O$40,DTR!X$4,FALSE)),0)</f>
        <v>0</v>
      </c>
      <c r="Y364" s="239">
        <f>IFERROR((HLOOKUP($AH364,Target_monthwise!$D$24:$O$40,DTR!Y$4,FALSE)),0)</f>
        <v>0</v>
      </c>
      <c r="Z364" s="147">
        <f>IFERROR((HLOOKUP($AH364,Target_monthwise!$D$24:$O$40,DTR!Z$4,FALSE)),0)</f>
        <v>0</v>
      </c>
      <c r="AA364" s="147">
        <f>IFERROR((HLOOKUP($AH364,Target_monthwise!$D$24:$O$40,DTR!AA$4,FALSE)),0)</f>
        <v>0</v>
      </c>
      <c r="AB364" s="147">
        <f>IFERROR((HLOOKUP($AH364,Target_monthwise!$D$24:$O$40,DTR!AB$4,FALSE)),0)</f>
        <v>0</v>
      </c>
      <c r="AC364" s="239">
        <f>IFERROR((HLOOKUP($AH364,Target_monthwise!$D$24:$O$40,DTR!AC$4,FALSE)),0)</f>
        <v>0</v>
      </c>
      <c r="AD364" s="239">
        <f>IFERROR((HLOOKUP($AH364,Target_monthwise!$D$24:$O$40,DTR!AD$4,FALSE)),0)</f>
        <v>0</v>
      </c>
      <c r="AE364" s="239">
        <f>IFERROR((HLOOKUP($AH364,Target_monthwise!$D$24:$O$40,DTR!AE$4,FALSE)),0)</f>
        <v>0</v>
      </c>
      <c r="AF364" s="239">
        <f>IFERROR((HLOOKUP($AH364,Target_monthwise!$D$24:$O$40,DTR!AF$4,FALSE)),0)</f>
        <v>0</v>
      </c>
      <c r="AG364" s="172">
        <f>IFERROR((HLOOKUP($AH364,Target_monthwise!$D$24:$O$40,DTR!AG$4,FALSE)),0)</f>
        <v>0</v>
      </c>
      <c r="AH364" s="253">
        <f t="shared" si="5"/>
        <v>202303</v>
      </c>
    </row>
    <row r="365" spans="3:34" ht="15.75" hidden="1">
      <c r="C365" s="235">
        <v>45008</v>
      </c>
      <c r="D365" s="141">
        <f>IFERROR((HLOOKUP($AH365,Target_monthwise!$D$4:$O$20,DTR!D$4,FALSE))*1000,0)</f>
        <v>0</v>
      </c>
      <c r="E365" s="141">
        <f>IFERROR((HLOOKUP($AH365,Target_monthwise!$D$4:$O$20,DTR!E$4,FALSE))*1000,0)</f>
        <v>0</v>
      </c>
      <c r="F365" s="141">
        <f>IFERROR((HLOOKUP($AH365,Target_monthwise!$D$4:$O$20,DTR!F$4,FALSE))*1000,0)</f>
        <v>0</v>
      </c>
      <c r="G365" s="141">
        <f>IFERROR((HLOOKUP($AH365,Target_monthwise!$D$4:$O$20,DTR!G$4,FALSE))*1000,0)</f>
        <v>0</v>
      </c>
      <c r="H365" s="141">
        <f>IFERROR((HLOOKUP($AH365,Target_monthwise!$D$4:$O$20,DTR!H$4,FALSE))*1000,0)</f>
        <v>0</v>
      </c>
      <c r="I365" s="141">
        <f>IFERROR((HLOOKUP($AH365,Target_monthwise!$D$4:$O$20,DTR!I$4,FALSE))*1000,0)</f>
        <v>0</v>
      </c>
      <c r="J365" s="141">
        <f>IFERROR((HLOOKUP($AH365,Target_monthwise!$D$4:$O$20,DTR!J$4,FALSE))*1000,0)</f>
        <v>0</v>
      </c>
      <c r="K365" s="141">
        <f>IFERROR((HLOOKUP($AH365,Target_monthwise!$D$4:$O$20,DTR!K$4,FALSE))*1000,0)</f>
        <v>0</v>
      </c>
      <c r="L365" s="141">
        <f>IFERROR((HLOOKUP($AH365,Target_monthwise!$D$4:$O$20,DTR!L$4,FALSE))*1000,0)</f>
        <v>0</v>
      </c>
      <c r="M365" s="141">
        <f>IFERROR((HLOOKUP($AH365,Target_monthwise!$D$4:$O$20,DTR!M$4,FALSE))*1000,0)</f>
        <v>0</v>
      </c>
      <c r="N365" s="141">
        <f>IFERROR((HLOOKUP($AH365,Target_monthwise!$D$4:$O$20,DTR!N$4,FALSE))*1000,0)</f>
        <v>0</v>
      </c>
      <c r="O365" s="141">
        <f>IFERROR((HLOOKUP($AH365,Target_monthwise!$D$4:$O$20,DTR!O$4,FALSE))*1000,0)</f>
        <v>0</v>
      </c>
      <c r="P365" s="141">
        <f>IFERROR((HLOOKUP($AH365,Target_monthwise!$D$4:$O$20,DTR!P$4,FALSE))*1000,0)</f>
        <v>0</v>
      </c>
      <c r="Q365" s="141">
        <f>IFERROR((HLOOKUP($AH365,Target_monthwise!$D$4:$O$20,DTR!Q$4,FALSE))*1000,0)</f>
        <v>0</v>
      </c>
      <c r="R365" s="167">
        <f>IFERROR((HLOOKUP($AH365,Target_monthwise!$D$4:$O$20,DTR!R$4,FALSE))*1000,0)</f>
        <v>0</v>
      </c>
      <c r="S365" s="147">
        <f>IFERROR((HLOOKUP($AH365,Target_monthwise!$D$24:$O$40,DTR!S$4,FALSE)),0)</f>
        <v>0</v>
      </c>
      <c r="T365" s="147">
        <f>IFERROR((HLOOKUP($AH365,Target_monthwise!$D$24:$O$40,DTR!T$4,FALSE)),0)</f>
        <v>0</v>
      </c>
      <c r="U365" s="147">
        <f>IFERROR((HLOOKUP($AH365,Target_monthwise!$D$24:$O$40,DTR!U$4,FALSE)),0)</f>
        <v>0</v>
      </c>
      <c r="V365" s="147">
        <f>IFERROR((HLOOKUP($AH365,Target_monthwise!$D$24:$O$40,DTR!V$4,FALSE)),0)</f>
        <v>0</v>
      </c>
      <c r="W365" s="147">
        <f>IFERROR((HLOOKUP($AH365,Target_monthwise!$D$24:$O$40,DTR!W$4,FALSE)),0)</f>
        <v>0</v>
      </c>
      <c r="X365" s="147">
        <f>IFERROR((HLOOKUP($AH365,Target_monthwise!$D$24:$O$40,DTR!X$4,FALSE)),0)</f>
        <v>0</v>
      </c>
      <c r="Y365" s="147">
        <f>IFERROR((HLOOKUP($AH365,Target_monthwise!$D$24:$O$40,DTR!Y$4,FALSE)),0)</f>
        <v>0</v>
      </c>
      <c r="Z365" s="147">
        <f>IFERROR((HLOOKUP($AH365,Target_monthwise!$D$24:$O$40,DTR!Z$4,FALSE)),0)</f>
        <v>0</v>
      </c>
      <c r="AA365" s="147">
        <f>IFERROR((HLOOKUP($AH365,Target_monthwise!$D$24:$O$40,DTR!AA$4,FALSE)),0)</f>
        <v>0</v>
      </c>
      <c r="AB365" s="147">
        <f>IFERROR((HLOOKUP($AH365,Target_monthwise!$D$24:$O$40,DTR!AB$4,FALSE)),0)</f>
        <v>0</v>
      </c>
      <c r="AC365" s="147">
        <f>IFERROR((HLOOKUP($AH365,Target_monthwise!$D$24:$O$40,DTR!AC$4,FALSE)),0)</f>
        <v>0</v>
      </c>
      <c r="AD365" s="147">
        <f>IFERROR((HLOOKUP($AH365,Target_monthwise!$D$24:$O$40,DTR!AD$4,FALSE)),0)</f>
        <v>0</v>
      </c>
      <c r="AE365" s="147">
        <f>IFERROR((HLOOKUP($AH365,Target_monthwise!$D$24:$O$40,DTR!AE$4,FALSE)),0)</f>
        <v>0</v>
      </c>
      <c r="AF365" s="147">
        <f>IFERROR((HLOOKUP($AH365,Target_monthwise!$D$24:$O$40,DTR!AF$4,FALSE)),0)</f>
        <v>0</v>
      </c>
      <c r="AG365" s="172">
        <f>IFERROR((HLOOKUP($AH365,Target_monthwise!$D$24:$O$40,DTR!AG$4,FALSE)),0)</f>
        <v>0</v>
      </c>
      <c r="AH365" s="253">
        <f t="shared" si="5"/>
        <v>202303</v>
      </c>
    </row>
    <row r="366" spans="3:34" ht="15.75" hidden="1">
      <c r="C366" s="237">
        <v>45009</v>
      </c>
      <c r="D366" s="238">
        <f>IFERROR((HLOOKUP($AH366,Target_monthwise!$D$4:$O$20,DTR!D$4,FALSE))*1000,0)</f>
        <v>0</v>
      </c>
      <c r="E366" s="238">
        <f>IFERROR((HLOOKUP($AH366,Target_monthwise!$D$4:$O$20,DTR!E$4,FALSE))*1000,0)</f>
        <v>0</v>
      </c>
      <c r="F366" s="238">
        <f>IFERROR((HLOOKUP($AH366,Target_monthwise!$D$4:$O$20,DTR!F$4,FALSE))*1000,0)</f>
        <v>0</v>
      </c>
      <c r="G366" s="238">
        <f>IFERROR((HLOOKUP($AH366,Target_monthwise!$D$4:$O$20,DTR!G$4,FALSE))*1000,0)</f>
        <v>0</v>
      </c>
      <c r="H366" s="238">
        <f>IFERROR((HLOOKUP($AH366,Target_monthwise!$D$4:$O$20,DTR!H$4,FALSE))*1000,0)</f>
        <v>0</v>
      </c>
      <c r="I366" s="238">
        <f>IFERROR((HLOOKUP($AH366,Target_monthwise!$D$4:$O$20,DTR!I$4,FALSE))*1000,0)</f>
        <v>0</v>
      </c>
      <c r="J366" s="238">
        <f>IFERROR((HLOOKUP($AH366,Target_monthwise!$D$4:$O$20,DTR!J$4,FALSE))*1000,0)</f>
        <v>0</v>
      </c>
      <c r="K366" s="238">
        <f>IFERROR((HLOOKUP($AH366,Target_monthwise!$D$4:$O$20,DTR!K$4,FALSE))*1000,0)</f>
        <v>0</v>
      </c>
      <c r="L366" s="238">
        <f>IFERROR((HLOOKUP($AH366,Target_monthwise!$D$4:$O$20,DTR!L$4,FALSE))*1000,0)</f>
        <v>0</v>
      </c>
      <c r="M366" s="238">
        <f>IFERROR((HLOOKUP($AH366,Target_monthwise!$D$4:$O$20,DTR!M$4,FALSE))*1000,0)</f>
        <v>0</v>
      </c>
      <c r="N366" s="238">
        <f>IFERROR((HLOOKUP($AH366,Target_monthwise!$D$4:$O$20,DTR!N$4,FALSE))*1000,0)</f>
        <v>0</v>
      </c>
      <c r="O366" s="238">
        <f>IFERROR((HLOOKUP($AH366,Target_monthwise!$D$4:$O$20,DTR!O$4,FALSE))*1000,0)</f>
        <v>0</v>
      </c>
      <c r="P366" s="238">
        <f>IFERROR((HLOOKUP($AH366,Target_monthwise!$D$4:$O$20,DTR!P$4,FALSE))*1000,0)</f>
        <v>0</v>
      </c>
      <c r="Q366" s="141">
        <f>IFERROR((HLOOKUP($AH366,Target_monthwise!$D$4:$O$20,DTR!Q$4,FALSE))*1000,0)</f>
        <v>0</v>
      </c>
      <c r="R366" s="167">
        <f>IFERROR((HLOOKUP($AH366,Target_monthwise!$D$4:$O$20,DTR!R$4,FALSE))*1000,0)</f>
        <v>0</v>
      </c>
      <c r="S366" s="239">
        <f>IFERROR((HLOOKUP($AH366,Target_monthwise!$D$24:$O$40,DTR!S$4,FALSE)),0)</f>
        <v>0</v>
      </c>
      <c r="T366" s="239">
        <f>IFERROR((HLOOKUP($AH366,Target_monthwise!$D$24:$O$40,DTR!T$4,FALSE)),0)</f>
        <v>0</v>
      </c>
      <c r="U366" s="239">
        <f>IFERROR((HLOOKUP($AH366,Target_monthwise!$D$24:$O$40,DTR!U$4,FALSE)),0)</f>
        <v>0</v>
      </c>
      <c r="V366" s="239">
        <f>IFERROR((HLOOKUP($AH366,Target_monthwise!$D$24:$O$40,DTR!V$4,FALSE)),0)</f>
        <v>0</v>
      </c>
      <c r="W366" s="239">
        <f>IFERROR((HLOOKUP($AH366,Target_monthwise!$D$24:$O$40,DTR!W$4,FALSE)),0)</f>
        <v>0</v>
      </c>
      <c r="X366" s="239">
        <f>IFERROR((HLOOKUP($AH366,Target_monthwise!$D$24:$O$40,DTR!X$4,FALSE)),0)</f>
        <v>0</v>
      </c>
      <c r="Y366" s="239">
        <f>IFERROR((HLOOKUP($AH366,Target_monthwise!$D$24:$O$40,DTR!Y$4,FALSE)),0)</f>
        <v>0</v>
      </c>
      <c r="Z366" s="147">
        <f>IFERROR((HLOOKUP($AH366,Target_monthwise!$D$24:$O$40,DTR!Z$4,FALSE)),0)</f>
        <v>0</v>
      </c>
      <c r="AA366" s="147">
        <f>IFERROR((HLOOKUP($AH366,Target_monthwise!$D$24:$O$40,DTR!AA$4,FALSE)),0)</f>
        <v>0</v>
      </c>
      <c r="AB366" s="147">
        <f>IFERROR((HLOOKUP($AH366,Target_monthwise!$D$24:$O$40,DTR!AB$4,FALSE)),0)</f>
        <v>0</v>
      </c>
      <c r="AC366" s="239">
        <f>IFERROR((HLOOKUP($AH366,Target_monthwise!$D$24:$O$40,DTR!AC$4,FALSE)),0)</f>
        <v>0</v>
      </c>
      <c r="AD366" s="239">
        <f>IFERROR((HLOOKUP($AH366,Target_monthwise!$D$24:$O$40,DTR!AD$4,FALSE)),0)</f>
        <v>0</v>
      </c>
      <c r="AE366" s="239">
        <f>IFERROR((HLOOKUP($AH366,Target_monthwise!$D$24:$O$40,DTR!AE$4,FALSE)),0)</f>
        <v>0</v>
      </c>
      <c r="AF366" s="239">
        <f>IFERROR((HLOOKUP($AH366,Target_monthwise!$D$24:$O$40,DTR!AF$4,FALSE)),0)</f>
        <v>0</v>
      </c>
      <c r="AG366" s="172">
        <f>IFERROR((HLOOKUP($AH366,Target_monthwise!$D$24:$O$40,DTR!AG$4,FALSE)),0)</f>
        <v>0</v>
      </c>
      <c r="AH366" s="253">
        <f t="shared" si="5"/>
        <v>202303</v>
      </c>
    </row>
    <row r="367" spans="3:34" ht="15.75" hidden="1">
      <c r="C367" s="235">
        <v>45010</v>
      </c>
      <c r="D367" s="141">
        <f>IFERROR((HLOOKUP($AH367,Target_monthwise!$D$4:$O$20,DTR!D$4,FALSE))*1000,0)</f>
        <v>0</v>
      </c>
      <c r="E367" s="141">
        <f>IFERROR((HLOOKUP($AH367,Target_monthwise!$D$4:$O$20,DTR!E$4,FALSE))*1000,0)</f>
        <v>0</v>
      </c>
      <c r="F367" s="141">
        <f>IFERROR((HLOOKUP($AH367,Target_monthwise!$D$4:$O$20,DTR!F$4,FALSE))*1000,0)</f>
        <v>0</v>
      </c>
      <c r="G367" s="141">
        <f>IFERROR((HLOOKUP($AH367,Target_monthwise!$D$4:$O$20,DTR!G$4,FALSE))*1000,0)</f>
        <v>0</v>
      </c>
      <c r="H367" s="141">
        <f>IFERROR((HLOOKUP($AH367,Target_monthwise!$D$4:$O$20,DTR!H$4,FALSE))*1000,0)</f>
        <v>0</v>
      </c>
      <c r="I367" s="141">
        <f>IFERROR((HLOOKUP($AH367,Target_monthwise!$D$4:$O$20,DTR!I$4,FALSE))*1000,0)</f>
        <v>0</v>
      </c>
      <c r="J367" s="141">
        <f>IFERROR((HLOOKUP($AH367,Target_monthwise!$D$4:$O$20,DTR!J$4,FALSE))*1000,0)</f>
        <v>0</v>
      </c>
      <c r="K367" s="141">
        <f>IFERROR((HLOOKUP($AH367,Target_monthwise!$D$4:$O$20,DTR!K$4,FALSE))*1000,0)</f>
        <v>0</v>
      </c>
      <c r="L367" s="141">
        <f>IFERROR((HLOOKUP($AH367,Target_monthwise!$D$4:$O$20,DTR!L$4,FALSE))*1000,0)</f>
        <v>0</v>
      </c>
      <c r="M367" s="141">
        <f>IFERROR((HLOOKUP($AH367,Target_monthwise!$D$4:$O$20,DTR!M$4,FALSE))*1000,0)</f>
        <v>0</v>
      </c>
      <c r="N367" s="141">
        <f>IFERROR((HLOOKUP($AH367,Target_monthwise!$D$4:$O$20,DTR!N$4,FALSE))*1000,0)</f>
        <v>0</v>
      </c>
      <c r="O367" s="141">
        <f>IFERROR((HLOOKUP($AH367,Target_monthwise!$D$4:$O$20,DTR!O$4,FALSE))*1000,0)</f>
        <v>0</v>
      </c>
      <c r="P367" s="141">
        <f>IFERROR((HLOOKUP($AH367,Target_monthwise!$D$4:$O$20,DTR!P$4,FALSE))*1000,0)</f>
        <v>0</v>
      </c>
      <c r="Q367" s="141">
        <f>IFERROR((HLOOKUP($AH367,Target_monthwise!$D$4:$O$20,DTR!Q$4,FALSE))*1000,0)</f>
        <v>0</v>
      </c>
      <c r="R367" s="167">
        <f>IFERROR((HLOOKUP($AH367,Target_monthwise!$D$4:$O$20,DTR!R$4,FALSE))*1000,0)</f>
        <v>0</v>
      </c>
      <c r="S367" s="147">
        <f>IFERROR((HLOOKUP($AH367,Target_monthwise!$D$24:$O$40,DTR!S$4,FALSE)),0)</f>
        <v>0</v>
      </c>
      <c r="T367" s="147">
        <f>IFERROR((HLOOKUP($AH367,Target_monthwise!$D$24:$O$40,DTR!T$4,FALSE)),0)</f>
        <v>0</v>
      </c>
      <c r="U367" s="147">
        <f>IFERROR((HLOOKUP($AH367,Target_monthwise!$D$24:$O$40,DTR!U$4,FALSE)),0)</f>
        <v>0</v>
      </c>
      <c r="V367" s="147">
        <f>IFERROR((HLOOKUP($AH367,Target_monthwise!$D$24:$O$40,DTR!V$4,FALSE)),0)</f>
        <v>0</v>
      </c>
      <c r="W367" s="147">
        <f>IFERROR((HLOOKUP($AH367,Target_monthwise!$D$24:$O$40,DTR!W$4,FALSE)),0)</f>
        <v>0</v>
      </c>
      <c r="X367" s="147">
        <f>IFERROR((HLOOKUP($AH367,Target_monthwise!$D$24:$O$40,DTR!X$4,FALSE)),0)</f>
        <v>0</v>
      </c>
      <c r="Y367" s="147">
        <f>IFERROR((HLOOKUP($AH367,Target_monthwise!$D$24:$O$40,DTR!Y$4,FALSE)),0)</f>
        <v>0</v>
      </c>
      <c r="Z367" s="147">
        <f>IFERROR((HLOOKUP($AH367,Target_monthwise!$D$24:$O$40,DTR!Z$4,FALSE)),0)</f>
        <v>0</v>
      </c>
      <c r="AA367" s="147">
        <f>IFERROR((HLOOKUP($AH367,Target_monthwise!$D$24:$O$40,DTR!AA$4,FALSE)),0)</f>
        <v>0</v>
      </c>
      <c r="AB367" s="147">
        <f>IFERROR((HLOOKUP($AH367,Target_monthwise!$D$24:$O$40,DTR!AB$4,FALSE)),0)</f>
        <v>0</v>
      </c>
      <c r="AC367" s="147">
        <f>IFERROR((HLOOKUP($AH367,Target_monthwise!$D$24:$O$40,DTR!AC$4,FALSE)),0)</f>
        <v>0</v>
      </c>
      <c r="AD367" s="147">
        <f>IFERROR((HLOOKUP($AH367,Target_monthwise!$D$24:$O$40,DTR!AD$4,FALSE)),0)</f>
        <v>0</v>
      </c>
      <c r="AE367" s="147">
        <f>IFERROR((HLOOKUP($AH367,Target_monthwise!$D$24:$O$40,DTR!AE$4,FALSE)),0)</f>
        <v>0</v>
      </c>
      <c r="AF367" s="147">
        <f>IFERROR((HLOOKUP($AH367,Target_monthwise!$D$24:$O$40,DTR!AF$4,FALSE)),0)</f>
        <v>0</v>
      </c>
      <c r="AG367" s="172">
        <f>IFERROR((HLOOKUP($AH367,Target_monthwise!$D$24:$O$40,DTR!AG$4,FALSE)),0)</f>
        <v>0</v>
      </c>
      <c r="AH367" s="253">
        <f t="shared" si="5"/>
        <v>202303</v>
      </c>
    </row>
    <row r="368" spans="3:34" ht="15.75" hidden="1">
      <c r="C368" s="237">
        <v>45011</v>
      </c>
      <c r="D368" s="238">
        <f>IFERROR((HLOOKUP($AH368,Target_monthwise!$D$4:$O$20,DTR!D$4,FALSE))*1000,0)</f>
        <v>0</v>
      </c>
      <c r="E368" s="238">
        <f>IFERROR((HLOOKUP($AH368,Target_monthwise!$D$4:$O$20,DTR!E$4,FALSE))*1000,0)</f>
        <v>0</v>
      </c>
      <c r="F368" s="238">
        <f>IFERROR((HLOOKUP($AH368,Target_monthwise!$D$4:$O$20,DTR!F$4,FALSE))*1000,0)</f>
        <v>0</v>
      </c>
      <c r="G368" s="238">
        <f>IFERROR((HLOOKUP($AH368,Target_monthwise!$D$4:$O$20,DTR!G$4,FALSE))*1000,0)</f>
        <v>0</v>
      </c>
      <c r="H368" s="238">
        <f>IFERROR((HLOOKUP($AH368,Target_monthwise!$D$4:$O$20,DTR!H$4,FALSE))*1000,0)</f>
        <v>0</v>
      </c>
      <c r="I368" s="238">
        <f>IFERROR((HLOOKUP($AH368,Target_monthwise!$D$4:$O$20,DTR!I$4,FALSE))*1000,0)</f>
        <v>0</v>
      </c>
      <c r="J368" s="238">
        <f>IFERROR((HLOOKUP($AH368,Target_monthwise!$D$4:$O$20,DTR!J$4,FALSE))*1000,0)</f>
        <v>0</v>
      </c>
      <c r="K368" s="238">
        <f>IFERROR((HLOOKUP($AH368,Target_monthwise!$D$4:$O$20,DTR!K$4,FALSE))*1000,0)</f>
        <v>0</v>
      </c>
      <c r="L368" s="238">
        <f>IFERROR((HLOOKUP($AH368,Target_monthwise!$D$4:$O$20,DTR!L$4,FALSE))*1000,0)</f>
        <v>0</v>
      </c>
      <c r="M368" s="238">
        <f>IFERROR((HLOOKUP($AH368,Target_monthwise!$D$4:$O$20,DTR!M$4,FALSE))*1000,0)</f>
        <v>0</v>
      </c>
      <c r="N368" s="238">
        <f>IFERROR((HLOOKUP($AH368,Target_monthwise!$D$4:$O$20,DTR!N$4,FALSE))*1000,0)</f>
        <v>0</v>
      </c>
      <c r="O368" s="238">
        <f>IFERROR((HLOOKUP($AH368,Target_monthwise!$D$4:$O$20,DTR!O$4,FALSE))*1000,0)</f>
        <v>0</v>
      </c>
      <c r="P368" s="238">
        <f>IFERROR((HLOOKUP($AH368,Target_monthwise!$D$4:$O$20,DTR!P$4,FALSE))*1000,0)</f>
        <v>0</v>
      </c>
      <c r="Q368" s="141">
        <f>IFERROR((HLOOKUP($AH368,Target_monthwise!$D$4:$O$20,DTR!Q$4,FALSE))*1000,0)</f>
        <v>0</v>
      </c>
      <c r="R368" s="167">
        <f>IFERROR((HLOOKUP($AH368,Target_monthwise!$D$4:$O$20,DTR!R$4,FALSE))*1000,0)</f>
        <v>0</v>
      </c>
      <c r="S368" s="239">
        <f>IFERROR((HLOOKUP($AH368,Target_monthwise!$D$24:$O$40,DTR!S$4,FALSE)),0)</f>
        <v>0</v>
      </c>
      <c r="T368" s="239">
        <f>IFERROR((HLOOKUP($AH368,Target_monthwise!$D$24:$O$40,DTR!T$4,FALSE)),0)</f>
        <v>0</v>
      </c>
      <c r="U368" s="239">
        <f>IFERROR((HLOOKUP($AH368,Target_monthwise!$D$24:$O$40,DTR!U$4,FALSE)),0)</f>
        <v>0</v>
      </c>
      <c r="V368" s="239">
        <f>IFERROR((HLOOKUP($AH368,Target_monthwise!$D$24:$O$40,DTR!V$4,FALSE)),0)</f>
        <v>0</v>
      </c>
      <c r="W368" s="239">
        <f>IFERROR((HLOOKUP($AH368,Target_monthwise!$D$24:$O$40,DTR!W$4,FALSE)),0)</f>
        <v>0</v>
      </c>
      <c r="X368" s="239">
        <f>IFERROR((HLOOKUP($AH368,Target_monthwise!$D$24:$O$40,DTR!X$4,FALSE)),0)</f>
        <v>0</v>
      </c>
      <c r="Y368" s="239">
        <f>IFERROR((HLOOKUP($AH368,Target_monthwise!$D$24:$O$40,DTR!Y$4,FALSE)),0)</f>
        <v>0</v>
      </c>
      <c r="Z368" s="147">
        <f>IFERROR((HLOOKUP($AH368,Target_monthwise!$D$24:$O$40,DTR!Z$4,FALSE)),0)</f>
        <v>0</v>
      </c>
      <c r="AA368" s="147">
        <f>IFERROR((HLOOKUP($AH368,Target_monthwise!$D$24:$O$40,DTR!AA$4,FALSE)),0)</f>
        <v>0</v>
      </c>
      <c r="AB368" s="147">
        <f>IFERROR((HLOOKUP($AH368,Target_monthwise!$D$24:$O$40,DTR!AB$4,FALSE)),0)</f>
        <v>0</v>
      </c>
      <c r="AC368" s="239">
        <f>IFERROR((HLOOKUP($AH368,Target_monthwise!$D$24:$O$40,DTR!AC$4,FALSE)),0)</f>
        <v>0</v>
      </c>
      <c r="AD368" s="239">
        <f>IFERROR((HLOOKUP($AH368,Target_monthwise!$D$24:$O$40,DTR!AD$4,FALSE)),0)</f>
        <v>0</v>
      </c>
      <c r="AE368" s="239">
        <f>IFERROR((HLOOKUP($AH368,Target_monthwise!$D$24:$O$40,DTR!AE$4,FALSE)),0)</f>
        <v>0</v>
      </c>
      <c r="AF368" s="239">
        <f>IFERROR((HLOOKUP($AH368,Target_monthwise!$D$24:$O$40,DTR!AF$4,FALSE)),0)</f>
        <v>0</v>
      </c>
      <c r="AG368" s="172">
        <f>IFERROR((HLOOKUP($AH368,Target_monthwise!$D$24:$O$40,DTR!AG$4,FALSE)),0)</f>
        <v>0</v>
      </c>
      <c r="AH368" s="253">
        <f t="shared" si="5"/>
        <v>202303</v>
      </c>
    </row>
    <row r="369" spans="3:34" ht="15.75" hidden="1">
      <c r="C369" s="235">
        <v>45012</v>
      </c>
      <c r="D369" s="141">
        <f>IFERROR((HLOOKUP($AH369,Target_monthwise!$D$4:$O$20,DTR!D$4,FALSE))*1000,0)</f>
        <v>0</v>
      </c>
      <c r="E369" s="141">
        <f>IFERROR((HLOOKUP($AH369,Target_monthwise!$D$4:$O$20,DTR!E$4,FALSE))*1000,0)</f>
        <v>0</v>
      </c>
      <c r="F369" s="141">
        <f>IFERROR((HLOOKUP($AH369,Target_monthwise!$D$4:$O$20,DTR!F$4,FALSE))*1000,0)</f>
        <v>0</v>
      </c>
      <c r="G369" s="141">
        <f>IFERROR((HLOOKUP($AH369,Target_monthwise!$D$4:$O$20,DTR!G$4,FALSE))*1000,0)</f>
        <v>0</v>
      </c>
      <c r="H369" s="141">
        <f>IFERROR((HLOOKUP($AH369,Target_monthwise!$D$4:$O$20,DTR!H$4,FALSE))*1000,0)</f>
        <v>0</v>
      </c>
      <c r="I369" s="141">
        <f>IFERROR((HLOOKUP($AH369,Target_monthwise!$D$4:$O$20,DTR!I$4,FALSE))*1000,0)</f>
        <v>0</v>
      </c>
      <c r="J369" s="141">
        <f>IFERROR((HLOOKUP($AH369,Target_monthwise!$D$4:$O$20,DTR!J$4,FALSE))*1000,0)</f>
        <v>0</v>
      </c>
      <c r="K369" s="141">
        <f>IFERROR((HLOOKUP($AH369,Target_monthwise!$D$4:$O$20,DTR!K$4,FALSE))*1000,0)</f>
        <v>0</v>
      </c>
      <c r="L369" s="141">
        <f>IFERROR((HLOOKUP($AH369,Target_monthwise!$D$4:$O$20,DTR!L$4,FALSE))*1000,0)</f>
        <v>0</v>
      </c>
      <c r="M369" s="141">
        <f>IFERROR((HLOOKUP($AH369,Target_monthwise!$D$4:$O$20,DTR!M$4,FALSE))*1000,0)</f>
        <v>0</v>
      </c>
      <c r="N369" s="141">
        <f>IFERROR((HLOOKUP($AH369,Target_monthwise!$D$4:$O$20,DTR!N$4,FALSE))*1000,0)</f>
        <v>0</v>
      </c>
      <c r="O369" s="141">
        <f>IFERROR((HLOOKUP($AH369,Target_monthwise!$D$4:$O$20,DTR!O$4,FALSE))*1000,0)</f>
        <v>0</v>
      </c>
      <c r="P369" s="141">
        <f>IFERROR((HLOOKUP($AH369,Target_monthwise!$D$4:$O$20,DTR!P$4,FALSE))*1000,0)</f>
        <v>0</v>
      </c>
      <c r="Q369" s="141">
        <f>IFERROR((HLOOKUP($AH369,Target_monthwise!$D$4:$O$20,DTR!Q$4,FALSE))*1000,0)</f>
        <v>0</v>
      </c>
      <c r="R369" s="167">
        <f>IFERROR((HLOOKUP($AH369,Target_monthwise!$D$4:$O$20,DTR!R$4,FALSE))*1000,0)</f>
        <v>0</v>
      </c>
      <c r="S369" s="147">
        <f>IFERROR((HLOOKUP($AH369,Target_monthwise!$D$24:$O$40,DTR!S$4,FALSE)),0)</f>
        <v>0</v>
      </c>
      <c r="T369" s="147">
        <f>IFERROR((HLOOKUP($AH369,Target_monthwise!$D$24:$O$40,DTR!T$4,FALSE)),0)</f>
        <v>0</v>
      </c>
      <c r="U369" s="147">
        <f>IFERROR((HLOOKUP($AH369,Target_monthwise!$D$24:$O$40,DTR!U$4,FALSE)),0)</f>
        <v>0</v>
      </c>
      <c r="V369" s="147">
        <f>IFERROR((HLOOKUP($AH369,Target_monthwise!$D$24:$O$40,DTR!V$4,FALSE)),0)</f>
        <v>0</v>
      </c>
      <c r="W369" s="147">
        <f>IFERROR((HLOOKUP($AH369,Target_monthwise!$D$24:$O$40,DTR!W$4,FALSE)),0)</f>
        <v>0</v>
      </c>
      <c r="X369" s="147">
        <f>IFERROR((HLOOKUP($AH369,Target_monthwise!$D$24:$O$40,DTR!X$4,FALSE)),0)</f>
        <v>0</v>
      </c>
      <c r="Y369" s="147">
        <f>IFERROR((HLOOKUP($AH369,Target_monthwise!$D$24:$O$40,DTR!Y$4,FALSE)),0)</f>
        <v>0</v>
      </c>
      <c r="Z369" s="147">
        <f>IFERROR((HLOOKUP($AH369,Target_monthwise!$D$24:$O$40,DTR!Z$4,FALSE)),0)</f>
        <v>0</v>
      </c>
      <c r="AA369" s="147">
        <f>IFERROR((HLOOKUP($AH369,Target_monthwise!$D$24:$O$40,DTR!AA$4,FALSE)),0)</f>
        <v>0</v>
      </c>
      <c r="AB369" s="147">
        <f>IFERROR((HLOOKUP($AH369,Target_monthwise!$D$24:$O$40,DTR!AB$4,FALSE)),0)</f>
        <v>0</v>
      </c>
      <c r="AC369" s="147">
        <f>IFERROR((HLOOKUP($AH369,Target_monthwise!$D$24:$O$40,DTR!AC$4,FALSE)),0)</f>
        <v>0</v>
      </c>
      <c r="AD369" s="147">
        <f>IFERROR((HLOOKUP($AH369,Target_monthwise!$D$24:$O$40,DTR!AD$4,FALSE)),0)</f>
        <v>0</v>
      </c>
      <c r="AE369" s="147">
        <f>IFERROR((HLOOKUP($AH369,Target_monthwise!$D$24:$O$40,DTR!AE$4,FALSE)),0)</f>
        <v>0</v>
      </c>
      <c r="AF369" s="147">
        <f>IFERROR((HLOOKUP($AH369,Target_monthwise!$D$24:$O$40,DTR!AF$4,FALSE)),0)</f>
        <v>0</v>
      </c>
      <c r="AG369" s="172">
        <f>IFERROR((HLOOKUP($AH369,Target_monthwise!$D$24:$O$40,DTR!AG$4,FALSE)),0)</f>
        <v>0</v>
      </c>
      <c r="AH369" s="253">
        <f t="shared" si="5"/>
        <v>202303</v>
      </c>
    </row>
    <row r="370" spans="3:34" ht="15.75" hidden="1">
      <c r="C370" s="237">
        <v>45013</v>
      </c>
      <c r="D370" s="238">
        <f>IFERROR((HLOOKUP($AH370,Target_monthwise!$D$4:$O$20,DTR!D$4,FALSE))*1000,0)</f>
        <v>0</v>
      </c>
      <c r="E370" s="238">
        <f>IFERROR((HLOOKUP($AH370,Target_monthwise!$D$4:$O$20,DTR!E$4,FALSE))*1000,0)</f>
        <v>0</v>
      </c>
      <c r="F370" s="238">
        <f>IFERROR((HLOOKUP($AH370,Target_monthwise!$D$4:$O$20,DTR!F$4,FALSE))*1000,0)</f>
        <v>0</v>
      </c>
      <c r="G370" s="238">
        <f>IFERROR((HLOOKUP($AH370,Target_monthwise!$D$4:$O$20,DTR!G$4,FALSE))*1000,0)</f>
        <v>0</v>
      </c>
      <c r="H370" s="238">
        <f>IFERROR((HLOOKUP($AH370,Target_monthwise!$D$4:$O$20,DTR!H$4,FALSE))*1000,0)</f>
        <v>0</v>
      </c>
      <c r="I370" s="238">
        <f>IFERROR((HLOOKUP($AH370,Target_monthwise!$D$4:$O$20,DTR!I$4,FALSE))*1000,0)</f>
        <v>0</v>
      </c>
      <c r="J370" s="238">
        <f>IFERROR((HLOOKUP($AH370,Target_monthwise!$D$4:$O$20,DTR!J$4,FALSE))*1000,0)</f>
        <v>0</v>
      </c>
      <c r="K370" s="238">
        <f>IFERROR((HLOOKUP($AH370,Target_monthwise!$D$4:$O$20,DTR!K$4,FALSE))*1000,0)</f>
        <v>0</v>
      </c>
      <c r="L370" s="238">
        <f>IFERROR((HLOOKUP($AH370,Target_monthwise!$D$4:$O$20,DTR!L$4,FALSE))*1000,0)</f>
        <v>0</v>
      </c>
      <c r="M370" s="238">
        <f>IFERROR((HLOOKUP($AH370,Target_monthwise!$D$4:$O$20,DTR!M$4,FALSE))*1000,0)</f>
        <v>0</v>
      </c>
      <c r="N370" s="238">
        <f>IFERROR((HLOOKUP($AH370,Target_monthwise!$D$4:$O$20,DTR!N$4,FALSE))*1000,0)</f>
        <v>0</v>
      </c>
      <c r="O370" s="238">
        <f>IFERROR((HLOOKUP($AH370,Target_monthwise!$D$4:$O$20,DTR!O$4,FALSE))*1000,0)</f>
        <v>0</v>
      </c>
      <c r="P370" s="238">
        <f>IFERROR((HLOOKUP($AH370,Target_monthwise!$D$4:$O$20,DTR!P$4,FALSE))*1000,0)</f>
        <v>0</v>
      </c>
      <c r="Q370" s="141">
        <f>IFERROR((HLOOKUP($AH370,Target_monthwise!$D$4:$O$20,DTR!Q$4,FALSE))*1000,0)</f>
        <v>0</v>
      </c>
      <c r="R370" s="167">
        <f>IFERROR((HLOOKUP($AH370,Target_monthwise!$D$4:$O$20,DTR!R$4,FALSE))*1000,0)</f>
        <v>0</v>
      </c>
      <c r="S370" s="239">
        <f>IFERROR((HLOOKUP($AH370,Target_monthwise!$D$24:$O$40,DTR!S$4,FALSE)),0)</f>
        <v>0</v>
      </c>
      <c r="T370" s="239">
        <f>IFERROR((HLOOKUP($AH370,Target_monthwise!$D$24:$O$40,DTR!T$4,FALSE)),0)</f>
        <v>0</v>
      </c>
      <c r="U370" s="239">
        <f>IFERROR((HLOOKUP($AH370,Target_monthwise!$D$24:$O$40,DTR!U$4,FALSE)),0)</f>
        <v>0</v>
      </c>
      <c r="V370" s="239">
        <f>IFERROR((HLOOKUP($AH370,Target_monthwise!$D$24:$O$40,DTR!V$4,FALSE)),0)</f>
        <v>0</v>
      </c>
      <c r="W370" s="239">
        <f>IFERROR((HLOOKUP($AH370,Target_monthwise!$D$24:$O$40,DTR!W$4,FALSE)),0)</f>
        <v>0</v>
      </c>
      <c r="X370" s="239">
        <f>IFERROR((HLOOKUP($AH370,Target_monthwise!$D$24:$O$40,DTR!X$4,FALSE)),0)</f>
        <v>0</v>
      </c>
      <c r="Y370" s="239">
        <f>IFERROR((HLOOKUP($AH370,Target_monthwise!$D$24:$O$40,DTR!Y$4,FALSE)),0)</f>
        <v>0</v>
      </c>
      <c r="Z370" s="147">
        <f>IFERROR((HLOOKUP($AH370,Target_monthwise!$D$24:$O$40,DTR!Z$4,FALSE)),0)</f>
        <v>0</v>
      </c>
      <c r="AA370" s="147">
        <f>IFERROR((HLOOKUP($AH370,Target_monthwise!$D$24:$O$40,DTR!AA$4,FALSE)),0)</f>
        <v>0</v>
      </c>
      <c r="AB370" s="147">
        <f>IFERROR((HLOOKUP($AH370,Target_monthwise!$D$24:$O$40,DTR!AB$4,FALSE)),0)</f>
        <v>0</v>
      </c>
      <c r="AC370" s="239">
        <f>IFERROR((HLOOKUP($AH370,Target_monthwise!$D$24:$O$40,DTR!AC$4,FALSE)),0)</f>
        <v>0</v>
      </c>
      <c r="AD370" s="239">
        <f>IFERROR((HLOOKUP($AH370,Target_monthwise!$D$24:$O$40,DTR!AD$4,FALSE)),0)</f>
        <v>0</v>
      </c>
      <c r="AE370" s="239">
        <f>IFERROR((HLOOKUP($AH370,Target_monthwise!$D$24:$O$40,DTR!AE$4,FALSE)),0)</f>
        <v>0</v>
      </c>
      <c r="AF370" s="239">
        <f>IFERROR((HLOOKUP($AH370,Target_monthwise!$D$24:$O$40,DTR!AF$4,FALSE)),0)</f>
        <v>0</v>
      </c>
      <c r="AG370" s="172">
        <f>IFERROR((HLOOKUP($AH370,Target_monthwise!$D$24:$O$40,DTR!AG$4,FALSE)),0)</f>
        <v>0</v>
      </c>
      <c r="AH370" s="253">
        <f t="shared" si="5"/>
        <v>202303</v>
      </c>
    </row>
    <row r="371" spans="3:34" ht="15.75" hidden="1">
      <c r="C371" s="235">
        <v>45014</v>
      </c>
      <c r="D371" s="141">
        <f>IFERROR((HLOOKUP($AH371,Target_monthwise!$D$4:$O$20,DTR!D$4,FALSE))*1000,0)</f>
        <v>0</v>
      </c>
      <c r="E371" s="141">
        <f>IFERROR((HLOOKUP($AH371,Target_monthwise!$D$4:$O$20,DTR!E$4,FALSE))*1000,0)</f>
        <v>0</v>
      </c>
      <c r="F371" s="141">
        <f>IFERROR((HLOOKUP($AH371,Target_monthwise!$D$4:$O$20,DTR!F$4,FALSE))*1000,0)</f>
        <v>0</v>
      </c>
      <c r="G371" s="141">
        <f>IFERROR((HLOOKUP($AH371,Target_monthwise!$D$4:$O$20,DTR!G$4,FALSE))*1000,0)</f>
        <v>0</v>
      </c>
      <c r="H371" s="141">
        <f>IFERROR((HLOOKUP($AH371,Target_monthwise!$D$4:$O$20,DTR!H$4,FALSE))*1000,0)</f>
        <v>0</v>
      </c>
      <c r="I371" s="141">
        <f>IFERROR((HLOOKUP($AH371,Target_monthwise!$D$4:$O$20,DTR!I$4,FALSE))*1000,0)</f>
        <v>0</v>
      </c>
      <c r="J371" s="141">
        <f>IFERROR((HLOOKUP($AH371,Target_monthwise!$D$4:$O$20,DTR!J$4,FALSE))*1000,0)</f>
        <v>0</v>
      </c>
      <c r="K371" s="141">
        <f>IFERROR((HLOOKUP($AH371,Target_monthwise!$D$4:$O$20,DTR!K$4,FALSE))*1000,0)</f>
        <v>0</v>
      </c>
      <c r="L371" s="141">
        <f>IFERROR((HLOOKUP($AH371,Target_monthwise!$D$4:$O$20,DTR!L$4,FALSE))*1000,0)</f>
        <v>0</v>
      </c>
      <c r="M371" s="141">
        <f>IFERROR((HLOOKUP($AH371,Target_monthwise!$D$4:$O$20,DTR!M$4,FALSE))*1000,0)</f>
        <v>0</v>
      </c>
      <c r="N371" s="141">
        <f>IFERROR((HLOOKUP($AH371,Target_monthwise!$D$4:$O$20,DTR!N$4,FALSE))*1000,0)</f>
        <v>0</v>
      </c>
      <c r="O371" s="141">
        <f>IFERROR((HLOOKUP($AH371,Target_monthwise!$D$4:$O$20,DTR!O$4,FALSE))*1000,0)</f>
        <v>0</v>
      </c>
      <c r="P371" s="141">
        <f>IFERROR((HLOOKUP($AH371,Target_monthwise!$D$4:$O$20,DTR!P$4,FALSE))*1000,0)</f>
        <v>0</v>
      </c>
      <c r="Q371" s="141">
        <f>IFERROR((HLOOKUP($AH371,Target_monthwise!$D$4:$O$20,DTR!Q$4,FALSE))*1000,0)</f>
        <v>0</v>
      </c>
      <c r="R371" s="167">
        <f>IFERROR((HLOOKUP($AH371,Target_monthwise!$D$4:$O$20,DTR!R$4,FALSE))*1000,0)</f>
        <v>0</v>
      </c>
      <c r="S371" s="147">
        <f>IFERROR((HLOOKUP($AH371,Target_monthwise!$D$24:$O$40,DTR!S$4,FALSE)),0)</f>
        <v>0</v>
      </c>
      <c r="T371" s="147">
        <f>IFERROR((HLOOKUP($AH371,Target_monthwise!$D$24:$O$40,DTR!T$4,FALSE)),0)</f>
        <v>0</v>
      </c>
      <c r="U371" s="147">
        <f>IFERROR((HLOOKUP($AH371,Target_monthwise!$D$24:$O$40,DTR!U$4,FALSE)),0)</f>
        <v>0</v>
      </c>
      <c r="V371" s="147">
        <f>IFERROR((HLOOKUP($AH371,Target_monthwise!$D$24:$O$40,DTR!V$4,FALSE)),0)</f>
        <v>0</v>
      </c>
      <c r="W371" s="147">
        <f>IFERROR((HLOOKUP($AH371,Target_monthwise!$D$24:$O$40,DTR!W$4,FALSE)),0)</f>
        <v>0</v>
      </c>
      <c r="X371" s="147">
        <f>IFERROR((HLOOKUP($AH371,Target_monthwise!$D$24:$O$40,DTR!X$4,FALSE)),0)</f>
        <v>0</v>
      </c>
      <c r="Y371" s="147">
        <f>IFERROR((HLOOKUP($AH371,Target_monthwise!$D$24:$O$40,DTR!Y$4,FALSE)),0)</f>
        <v>0</v>
      </c>
      <c r="Z371" s="147">
        <f>IFERROR((HLOOKUP($AH371,Target_monthwise!$D$24:$O$40,DTR!Z$4,FALSE)),0)</f>
        <v>0</v>
      </c>
      <c r="AA371" s="147">
        <f>IFERROR((HLOOKUP($AH371,Target_monthwise!$D$24:$O$40,DTR!AA$4,FALSE)),0)</f>
        <v>0</v>
      </c>
      <c r="AB371" s="147">
        <f>IFERROR((HLOOKUP($AH371,Target_monthwise!$D$24:$O$40,DTR!AB$4,FALSE)),0)</f>
        <v>0</v>
      </c>
      <c r="AC371" s="147">
        <f>IFERROR((HLOOKUP($AH371,Target_monthwise!$D$24:$O$40,DTR!AC$4,FALSE)),0)</f>
        <v>0</v>
      </c>
      <c r="AD371" s="147">
        <f>IFERROR((HLOOKUP($AH371,Target_monthwise!$D$24:$O$40,DTR!AD$4,FALSE)),0)</f>
        <v>0</v>
      </c>
      <c r="AE371" s="147">
        <f>IFERROR((HLOOKUP($AH371,Target_monthwise!$D$24:$O$40,DTR!AE$4,FALSE)),0)</f>
        <v>0</v>
      </c>
      <c r="AF371" s="147">
        <f>IFERROR((HLOOKUP($AH371,Target_monthwise!$D$24:$O$40,DTR!AF$4,FALSE)),0)</f>
        <v>0</v>
      </c>
      <c r="AG371" s="172">
        <f>IFERROR((HLOOKUP($AH371,Target_monthwise!$D$24:$O$40,DTR!AG$4,FALSE)),0)</f>
        <v>0</v>
      </c>
      <c r="AH371" s="253">
        <f t="shared" si="5"/>
        <v>202303</v>
      </c>
    </row>
    <row r="372" spans="3:34" ht="15.75" hidden="1">
      <c r="C372" s="237">
        <v>45015</v>
      </c>
      <c r="D372" s="238">
        <f>IFERROR((HLOOKUP($AH372,Target_monthwise!$D$4:$O$20,DTR!D$4,FALSE))*1000,0)</f>
        <v>0</v>
      </c>
      <c r="E372" s="238">
        <f>IFERROR((HLOOKUP($AH372,Target_monthwise!$D$4:$O$20,DTR!E$4,FALSE))*1000,0)</f>
        <v>0</v>
      </c>
      <c r="F372" s="238">
        <f>IFERROR((HLOOKUP($AH372,Target_monthwise!$D$4:$O$20,DTR!F$4,FALSE))*1000,0)</f>
        <v>0</v>
      </c>
      <c r="G372" s="238">
        <f>IFERROR((HLOOKUP($AH372,Target_monthwise!$D$4:$O$20,DTR!G$4,FALSE))*1000,0)</f>
        <v>0</v>
      </c>
      <c r="H372" s="238">
        <f>IFERROR((HLOOKUP($AH372,Target_monthwise!$D$4:$O$20,DTR!H$4,FALSE))*1000,0)</f>
        <v>0</v>
      </c>
      <c r="I372" s="238">
        <f>IFERROR((HLOOKUP($AH372,Target_monthwise!$D$4:$O$20,DTR!I$4,FALSE))*1000,0)</f>
        <v>0</v>
      </c>
      <c r="J372" s="238">
        <f>IFERROR((HLOOKUP($AH372,Target_monthwise!$D$4:$O$20,DTR!J$4,FALSE))*1000,0)</f>
        <v>0</v>
      </c>
      <c r="K372" s="238">
        <f>IFERROR((HLOOKUP($AH372,Target_monthwise!$D$4:$O$20,DTR!K$4,FALSE))*1000,0)</f>
        <v>0</v>
      </c>
      <c r="L372" s="238">
        <f>IFERROR((HLOOKUP($AH372,Target_monthwise!$D$4:$O$20,DTR!L$4,FALSE))*1000,0)</f>
        <v>0</v>
      </c>
      <c r="M372" s="238">
        <f>IFERROR((HLOOKUP($AH372,Target_monthwise!$D$4:$O$20,DTR!M$4,FALSE))*1000,0)</f>
        <v>0</v>
      </c>
      <c r="N372" s="238">
        <f>IFERROR((HLOOKUP($AH372,Target_monthwise!$D$4:$O$20,DTR!N$4,FALSE))*1000,0)</f>
        <v>0</v>
      </c>
      <c r="O372" s="238">
        <f>IFERROR((HLOOKUP($AH372,Target_monthwise!$D$4:$O$20,DTR!O$4,FALSE))*1000,0)</f>
        <v>0</v>
      </c>
      <c r="P372" s="238">
        <f>IFERROR((HLOOKUP($AH372,Target_monthwise!$D$4:$O$20,DTR!P$4,FALSE))*1000,0)</f>
        <v>0</v>
      </c>
      <c r="Q372" s="141">
        <f>IFERROR((HLOOKUP($AH372,Target_monthwise!$D$4:$O$20,DTR!Q$4,FALSE))*1000,0)</f>
        <v>0</v>
      </c>
      <c r="R372" s="167">
        <f>IFERROR((HLOOKUP($AH372,Target_monthwise!$D$4:$O$20,DTR!R$4,FALSE))*1000,0)</f>
        <v>0</v>
      </c>
      <c r="S372" s="239">
        <f>IFERROR((HLOOKUP($AH372,Target_monthwise!$D$24:$O$40,DTR!S$4,FALSE)),0)</f>
        <v>0</v>
      </c>
      <c r="T372" s="239">
        <f>IFERROR((HLOOKUP($AH372,Target_monthwise!$D$24:$O$40,DTR!T$4,FALSE)),0)</f>
        <v>0</v>
      </c>
      <c r="U372" s="239">
        <f>IFERROR((HLOOKUP($AH372,Target_monthwise!$D$24:$O$40,DTR!U$4,FALSE)),0)</f>
        <v>0</v>
      </c>
      <c r="V372" s="239">
        <f>IFERROR((HLOOKUP($AH372,Target_monthwise!$D$24:$O$40,DTR!V$4,FALSE)),0)</f>
        <v>0</v>
      </c>
      <c r="W372" s="239">
        <f>IFERROR((HLOOKUP($AH372,Target_monthwise!$D$24:$O$40,DTR!W$4,FALSE)),0)</f>
        <v>0</v>
      </c>
      <c r="X372" s="239">
        <f>IFERROR((HLOOKUP($AH372,Target_monthwise!$D$24:$O$40,DTR!X$4,FALSE)),0)</f>
        <v>0</v>
      </c>
      <c r="Y372" s="239">
        <f>IFERROR((HLOOKUP($AH372,Target_monthwise!$D$24:$O$40,DTR!Y$4,FALSE)),0)</f>
        <v>0</v>
      </c>
      <c r="Z372" s="147">
        <f>IFERROR((HLOOKUP($AH372,Target_monthwise!$D$24:$O$40,DTR!Z$4,FALSE)),0)</f>
        <v>0</v>
      </c>
      <c r="AA372" s="147">
        <f>IFERROR((HLOOKUP($AH372,Target_monthwise!$D$24:$O$40,DTR!AA$4,FALSE)),0)</f>
        <v>0</v>
      </c>
      <c r="AB372" s="147">
        <f>IFERROR((HLOOKUP($AH372,Target_monthwise!$D$24:$O$40,DTR!AB$4,FALSE)),0)</f>
        <v>0</v>
      </c>
      <c r="AC372" s="239">
        <f>IFERROR((HLOOKUP($AH372,Target_monthwise!$D$24:$O$40,DTR!AC$4,FALSE)),0)</f>
        <v>0</v>
      </c>
      <c r="AD372" s="239">
        <f>IFERROR((HLOOKUP($AH372,Target_monthwise!$D$24:$O$40,DTR!AD$4,FALSE)),0)</f>
        <v>0</v>
      </c>
      <c r="AE372" s="239">
        <f>IFERROR((HLOOKUP($AH372,Target_monthwise!$D$24:$O$40,DTR!AE$4,FALSE)),0)</f>
        <v>0</v>
      </c>
      <c r="AF372" s="239">
        <f>IFERROR((HLOOKUP($AH372,Target_monthwise!$D$24:$O$40,DTR!AF$4,FALSE)),0)</f>
        <v>0</v>
      </c>
      <c r="AG372" s="172">
        <f>IFERROR((HLOOKUP($AH372,Target_monthwise!$D$24:$O$40,DTR!AG$4,FALSE)),0)</f>
        <v>0</v>
      </c>
      <c r="AH372" s="253">
        <f t="shared" si="5"/>
        <v>202303</v>
      </c>
    </row>
    <row r="373" spans="3:34" ht="15.75" hidden="1">
      <c r="C373" s="235">
        <v>45016</v>
      </c>
      <c r="D373" s="141">
        <f>IFERROR((HLOOKUP($AH373,Target_monthwise!$D$4:$O$20,DTR!D$4,FALSE))*1000,0)</f>
        <v>0</v>
      </c>
      <c r="E373" s="141">
        <f>IFERROR((HLOOKUP($AH373,Target_monthwise!$D$4:$O$20,DTR!E$4,FALSE))*1000,0)</f>
        <v>0</v>
      </c>
      <c r="F373" s="141">
        <f>IFERROR((HLOOKUP($AH373,Target_monthwise!$D$4:$O$20,DTR!F$4,FALSE))*1000,0)</f>
        <v>0</v>
      </c>
      <c r="G373" s="141">
        <f>IFERROR((HLOOKUP($AH373,Target_monthwise!$D$4:$O$20,DTR!G$4,FALSE))*1000,0)</f>
        <v>0</v>
      </c>
      <c r="H373" s="141">
        <f>IFERROR((HLOOKUP($AH373,Target_monthwise!$D$4:$O$20,DTR!H$4,FALSE))*1000,0)</f>
        <v>0</v>
      </c>
      <c r="I373" s="141">
        <f>IFERROR((HLOOKUP($AH373,Target_monthwise!$D$4:$O$20,DTR!I$4,FALSE))*1000,0)</f>
        <v>0</v>
      </c>
      <c r="J373" s="141">
        <f>IFERROR((HLOOKUP($AH373,Target_monthwise!$D$4:$O$20,DTR!J$4,FALSE))*1000,0)</f>
        <v>0</v>
      </c>
      <c r="K373" s="141">
        <f>IFERROR((HLOOKUP($AH373,Target_monthwise!$D$4:$O$20,DTR!K$4,FALSE))*1000,0)</f>
        <v>0</v>
      </c>
      <c r="L373" s="141">
        <f>IFERROR((HLOOKUP($AH373,Target_monthwise!$D$4:$O$20,DTR!L$4,FALSE))*1000,0)</f>
        <v>0</v>
      </c>
      <c r="M373" s="141">
        <f>IFERROR((HLOOKUP($AH373,Target_monthwise!$D$4:$O$20,DTR!M$4,FALSE))*1000,0)</f>
        <v>0</v>
      </c>
      <c r="N373" s="141">
        <f>IFERROR((HLOOKUP($AH373,Target_monthwise!$D$4:$O$20,DTR!N$4,FALSE))*1000,0)</f>
        <v>0</v>
      </c>
      <c r="O373" s="141">
        <f>IFERROR((HLOOKUP($AH373,Target_monthwise!$D$4:$O$20,DTR!O$4,FALSE))*1000,0)</f>
        <v>0</v>
      </c>
      <c r="P373" s="141">
        <f>IFERROR((HLOOKUP($AH373,Target_monthwise!$D$4:$O$20,DTR!P$4,FALSE))*1000,0)</f>
        <v>0</v>
      </c>
      <c r="Q373" s="141">
        <f>IFERROR((HLOOKUP($AH373,Target_monthwise!$D$4:$O$20,DTR!Q$4,FALSE))*1000,0)</f>
        <v>0</v>
      </c>
      <c r="R373" s="167">
        <f>IFERROR((HLOOKUP($AH373,Target_monthwise!$D$4:$O$20,DTR!R$4,FALSE))*1000,0)</f>
        <v>0</v>
      </c>
      <c r="S373" s="147">
        <f>IFERROR((HLOOKUP($AH373,Target_monthwise!$D$24:$O$40,DTR!S$4,FALSE)),0)</f>
        <v>0</v>
      </c>
      <c r="T373" s="147">
        <f>IFERROR((HLOOKUP($AH373,Target_monthwise!$D$24:$O$40,DTR!T$4,FALSE)),0)</f>
        <v>0</v>
      </c>
      <c r="U373" s="147">
        <f>IFERROR((HLOOKUP($AH373,Target_monthwise!$D$24:$O$40,DTR!U$4,FALSE)),0)</f>
        <v>0</v>
      </c>
      <c r="V373" s="147">
        <f>IFERROR((HLOOKUP($AH373,Target_monthwise!$D$24:$O$40,DTR!V$4,FALSE)),0)</f>
        <v>0</v>
      </c>
      <c r="W373" s="147">
        <f>IFERROR((HLOOKUP($AH373,Target_monthwise!$D$24:$O$40,DTR!W$4,FALSE)),0)</f>
        <v>0</v>
      </c>
      <c r="X373" s="147">
        <f>IFERROR((HLOOKUP($AH373,Target_monthwise!$D$24:$O$40,DTR!X$4,FALSE)),0)</f>
        <v>0</v>
      </c>
      <c r="Y373" s="147">
        <f>IFERROR((HLOOKUP($AH373,Target_monthwise!$D$24:$O$40,DTR!Y$4,FALSE)),0)</f>
        <v>0</v>
      </c>
      <c r="Z373" s="147">
        <f>IFERROR((HLOOKUP($AH373,Target_monthwise!$D$24:$O$40,DTR!Z$4,FALSE)),0)</f>
        <v>0</v>
      </c>
      <c r="AA373" s="147">
        <f>IFERROR((HLOOKUP($AH373,Target_monthwise!$D$24:$O$40,DTR!AA$4,FALSE)),0)</f>
        <v>0</v>
      </c>
      <c r="AB373" s="147">
        <f>IFERROR((HLOOKUP($AH373,Target_monthwise!$D$24:$O$40,DTR!AB$4,FALSE)),0)</f>
        <v>0</v>
      </c>
      <c r="AC373" s="147">
        <f>IFERROR((HLOOKUP($AH373,Target_monthwise!$D$24:$O$40,DTR!AC$4,FALSE)),0)</f>
        <v>0</v>
      </c>
      <c r="AD373" s="147">
        <f>IFERROR((HLOOKUP($AH373,Target_monthwise!$D$24:$O$40,DTR!AD$4,FALSE)),0)</f>
        <v>0</v>
      </c>
      <c r="AE373" s="147">
        <f>IFERROR((HLOOKUP($AH373,Target_monthwise!$D$24:$O$40,DTR!AE$4,FALSE)),0)</f>
        <v>0</v>
      </c>
      <c r="AF373" s="147">
        <f>IFERROR((HLOOKUP($AH373,Target_monthwise!$D$24:$O$40,DTR!AF$4,FALSE)),0)</f>
        <v>0</v>
      </c>
      <c r="AG373" s="172">
        <f>IFERROR((HLOOKUP($AH373,Target_monthwise!$D$24:$O$40,DTR!AG$4,FALSE)),0)</f>
        <v>0</v>
      </c>
      <c r="AH373" s="253">
        <f t="shared" si="5"/>
        <v>202303</v>
      </c>
    </row>
    <row r="374" spans="3:34" ht="15.75" hidden="1">
      <c r="C374" s="237">
        <v>45017</v>
      </c>
      <c r="D374" s="238">
        <f>IFERROR((HLOOKUP($AH374,Target_monthwise!$D$4:$O$20,DTR!D$4,FALSE))*1000,0)</f>
        <v>0</v>
      </c>
      <c r="E374" s="238">
        <f>IFERROR((HLOOKUP($AH374,Target_monthwise!$D$4:$O$20,DTR!E$4,FALSE))*1000,0)</f>
        <v>0</v>
      </c>
      <c r="F374" s="238">
        <f>IFERROR((HLOOKUP($AH374,Target_monthwise!$D$4:$O$20,DTR!F$4,FALSE))*1000,0)</f>
        <v>0</v>
      </c>
      <c r="G374" s="238">
        <f>IFERROR((HLOOKUP($AH374,Target_monthwise!$D$4:$O$20,DTR!G$4,FALSE))*1000,0)</f>
        <v>0</v>
      </c>
      <c r="H374" s="238">
        <f>IFERROR((HLOOKUP($AH374,Target_monthwise!$D$4:$O$20,DTR!H$4,FALSE))*1000,0)</f>
        <v>0</v>
      </c>
      <c r="I374" s="238">
        <f>IFERROR((HLOOKUP($AH374,Target_monthwise!$D$4:$O$20,DTR!I$4,FALSE))*1000,0)</f>
        <v>0</v>
      </c>
      <c r="J374" s="238">
        <f>IFERROR((HLOOKUP($AH374,Target_monthwise!$D$4:$O$20,DTR!J$4,FALSE))*1000,0)</f>
        <v>0</v>
      </c>
      <c r="K374" s="238">
        <f>IFERROR((HLOOKUP($AH374,Target_monthwise!$D$4:$O$20,DTR!K$4,FALSE))*1000,0)</f>
        <v>0</v>
      </c>
      <c r="L374" s="238">
        <f>IFERROR((HLOOKUP($AH374,Target_monthwise!$D$4:$O$20,DTR!L$4,FALSE))*1000,0)</f>
        <v>0</v>
      </c>
      <c r="M374" s="238">
        <f>IFERROR((HLOOKUP($AH374,Target_monthwise!$D$4:$O$20,DTR!M$4,FALSE))*1000,0)</f>
        <v>0</v>
      </c>
      <c r="N374" s="238">
        <f>IFERROR((HLOOKUP($AH374,Target_monthwise!$D$4:$O$20,DTR!N$4,FALSE))*1000,0)</f>
        <v>0</v>
      </c>
      <c r="O374" s="238">
        <f>IFERROR((HLOOKUP($AH374,Target_monthwise!$D$4:$O$20,DTR!O$4,FALSE))*1000,0)</f>
        <v>0</v>
      </c>
      <c r="P374" s="238">
        <f>IFERROR((HLOOKUP($AH374,Target_monthwise!$D$4:$O$20,DTR!P$4,FALSE))*1000,0)</f>
        <v>0</v>
      </c>
      <c r="Q374" s="141">
        <f>IFERROR((HLOOKUP($AH374,Target_monthwise!$D$4:$O$20,DTR!Q$4,FALSE))*1000,0)</f>
        <v>0</v>
      </c>
      <c r="R374" s="167">
        <f>IFERROR((HLOOKUP($AH374,Target_monthwise!$D$4:$O$20,DTR!R$4,FALSE))*1000,0)</f>
        <v>0</v>
      </c>
      <c r="S374" s="239">
        <f>IFERROR((HLOOKUP($AH374,Target_monthwise!$D$24:$O$40,DTR!S$4,FALSE)),0)</f>
        <v>0</v>
      </c>
      <c r="T374" s="239">
        <f>IFERROR((HLOOKUP($AH374,Target_monthwise!$D$24:$O$40,DTR!T$4,FALSE)),0)</f>
        <v>0</v>
      </c>
      <c r="U374" s="239">
        <f>IFERROR((HLOOKUP($AH374,Target_monthwise!$D$24:$O$40,DTR!U$4,FALSE)),0)</f>
        <v>0</v>
      </c>
      <c r="V374" s="239">
        <f>IFERROR((HLOOKUP($AH374,Target_monthwise!$D$24:$O$40,DTR!V$4,FALSE)),0)</f>
        <v>0</v>
      </c>
      <c r="W374" s="239">
        <f>IFERROR((HLOOKUP($AH374,Target_monthwise!$D$24:$O$40,DTR!W$4,FALSE)),0)</f>
        <v>0</v>
      </c>
      <c r="X374" s="239">
        <f>IFERROR((HLOOKUP($AH374,Target_monthwise!$D$24:$O$40,DTR!X$4,FALSE)),0)</f>
        <v>0</v>
      </c>
      <c r="Y374" s="239">
        <f>IFERROR((HLOOKUP($AH374,Target_monthwise!$D$24:$O$40,DTR!Y$4,FALSE)),0)</f>
        <v>0</v>
      </c>
      <c r="Z374" s="147">
        <f>IFERROR((HLOOKUP($AH374,Target_monthwise!$D$24:$O$40,DTR!Z$4,FALSE)),0)</f>
        <v>0</v>
      </c>
      <c r="AA374" s="147">
        <f>IFERROR((HLOOKUP($AH374,Target_monthwise!$D$24:$O$40,DTR!AA$4,FALSE)),0)</f>
        <v>0</v>
      </c>
      <c r="AB374" s="147">
        <f>IFERROR((HLOOKUP($AH374,Target_monthwise!$D$24:$O$40,DTR!AB$4,FALSE)),0)</f>
        <v>0</v>
      </c>
      <c r="AC374" s="239">
        <f>IFERROR((HLOOKUP($AH374,Target_monthwise!$D$24:$O$40,DTR!AC$4,FALSE)),0)</f>
        <v>0</v>
      </c>
      <c r="AD374" s="239">
        <f>IFERROR((HLOOKUP($AH374,Target_monthwise!$D$24:$O$40,DTR!AD$4,FALSE)),0)</f>
        <v>0</v>
      </c>
      <c r="AE374" s="239">
        <f>IFERROR((HLOOKUP($AH374,Target_monthwise!$D$24:$O$40,DTR!AE$4,FALSE)),0)</f>
        <v>0</v>
      </c>
      <c r="AF374" s="239">
        <f>IFERROR((HLOOKUP($AH374,Target_monthwise!$D$24:$O$40,DTR!AF$4,FALSE)),0)</f>
        <v>0</v>
      </c>
      <c r="AG374" s="172">
        <f>IFERROR((HLOOKUP($AH374,Target_monthwise!$D$24:$O$40,DTR!AG$4,FALSE)),0)</f>
        <v>0</v>
      </c>
      <c r="AH374" s="253">
        <f t="shared" si="5"/>
        <v>202304</v>
      </c>
    </row>
    <row r="375" spans="3:34" ht="15.75" hidden="1">
      <c r="C375" s="235">
        <v>45018</v>
      </c>
      <c r="D375" s="141">
        <f>IFERROR((HLOOKUP($AH375,Target_monthwise!$D$4:$O$20,DTR!D$4,FALSE))*1000,0)</f>
        <v>0</v>
      </c>
      <c r="E375" s="141">
        <f>IFERROR((HLOOKUP($AH375,Target_monthwise!$D$4:$O$20,DTR!E$4,FALSE))*1000,0)</f>
        <v>0</v>
      </c>
      <c r="F375" s="141">
        <f>IFERROR((HLOOKUP($AH375,Target_monthwise!$D$4:$O$20,DTR!F$4,FALSE))*1000,0)</f>
        <v>0</v>
      </c>
      <c r="G375" s="141">
        <f>IFERROR((HLOOKUP($AH375,Target_monthwise!$D$4:$O$20,DTR!G$4,FALSE))*1000,0)</f>
        <v>0</v>
      </c>
      <c r="H375" s="141">
        <f>IFERROR((HLOOKUP($AH375,Target_monthwise!$D$4:$O$20,DTR!H$4,FALSE))*1000,0)</f>
        <v>0</v>
      </c>
      <c r="I375" s="141">
        <f>IFERROR((HLOOKUP($AH375,Target_monthwise!$D$4:$O$20,DTR!I$4,FALSE))*1000,0)</f>
        <v>0</v>
      </c>
      <c r="J375" s="141">
        <f>IFERROR((HLOOKUP($AH375,Target_monthwise!$D$4:$O$20,DTR!J$4,FALSE))*1000,0)</f>
        <v>0</v>
      </c>
      <c r="K375" s="141">
        <f>IFERROR((HLOOKUP($AH375,Target_monthwise!$D$4:$O$20,DTR!K$4,FALSE))*1000,0)</f>
        <v>0</v>
      </c>
      <c r="L375" s="141">
        <f>IFERROR((HLOOKUP($AH375,Target_monthwise!$D$4:$O$20,DTR!L$4,FALSE))*1000,0)</f>
        <v>0</v>
      </c>
      <c r="M375" s="141">
        <f>IFERROR((HLOOKUP($AH375,Target_monthwise!$D$4:$O$20,DTR!M$4,FALSE))*1000,0)</f>
        <v>0</v>
      </c>
      <c r="N375" s="141">
        <f>IFERROR((HLOOKUP($AH375,Target_monthwise!$D$4:$O$20,DTR!N$4,FALSE))*1000,0)</f>
        <v>0</v>
      </c>
      <c r="O375" s="141">
        <f>IFERROR((HLOOKUP($AH375,Target_monthwise!$D$4:$O$20,DTR!O$4,FALSE))*1000,0)</f>
        <v>0</v>
      </c>
      <c r="P375" s="141">
        <f>IFERROR((HLOOKUP($AH375,Target_monthwise!$D$4:$O$20,DTR!P$4,FALSE))*1000,0)</f>
        <v>0</v>
      </c>
      <c r="Q375" s="141">
        <f>IFERROR((HLOOKUP($AH375,Target_monthwise!$D$4:$O$20,DTR!Q$4,FALSE))*1000,0)</f>
        <v>0</v>
      </c>
      <c r="R375" s="167">
        <f>IFERROR((HLOOKUP($AH375,Target_monthwise!$D$4:$O$20,DTR!R$4,FALSE))*1000,0)</f>
        <v>0</v>
      </c>
      <c r="S375" s="147">
        <f>IFERROR((HLOOKUP($AH375,Target_monthwise!$D$24:$O$40,DTR!S$4,FALSE)),0)</f>
        <v>0</v>
      </c>
      <c r="T375" s="147">
        <f>IFERROR((HLOOKUP($AH375,Target_monthwise!$D$24:$O$40,DTR!T$4,FALSE)),0)</f>
        <v>0</v>
      </c>
      <c r="U375" s="147">
        <f>IFERROR((HLOOKUP($AH375,Target_monthwise!$D$24:$O$40,DTR!U$4,FALSE)),0)</f>
        <v>0</v>
      </c>
      <c r="V375" s="147">
        <f>IFERROR((HLOOKUP($AH375,Target_monthwise!$D$24:$O$40,DTR!V$4,FALSE)),0)</f>
        <v>0</v>
      </c>
      <c r="W375" s="147">
        <f>IFERROR((HLOOKUP($AH375,Target_monthwise!$D$24:$O$40,DTR!W$4,FALSE)),0)</f>
        <v>0</v>
      </c>
      <c r="X375" s="147">
        <f>IFERROR((HLOOKUP($AH375,Target_monthwise!$D$24:$O$40,DTR!X$4,FALSE)),0)</f>
        <v>0</v>
      </c>
      <c r="Y375" s="147">
        <f>IFERROR((HLOOKUP($AH375,Target_monthwise!$D$24:$O$40,DTR!Y$4,FALSE)),0)</f>
        <v>0</v>
      </c>
      <c r="Z375" s="147">
        <f>IFERROR((HLOOKUP($AH375,Target_monthwise!$D$24:$O$40,DTR!Z$4,FALSE)),0)</f>
        <v>0</v>
      </c>
      <c r="AA375" s="147">
        <f>IFERROR((HLOOKUP($AH375,Target_monthwise!$D$24:$O$40,DTR!AA$4,FALSE)),0)</f>
        <v>0</v>
      </c>
      <c r="AB375" s="147">
        <f>IFERROR((HLOOKUP($AH375,Target_monthwise!$D$24:$O$40,DTR!AB$4,FALSE)),0)</f>
        <v>0</v>
      </c>
      <c r="AC375" s="147">
        <f>IFERROR((HLOOKUP($AH375,Target_monthwise!$D$24:$O$40,DTR!AC$4,FALSE)),0)</f>
        <v>0</v>
      </c>
      <c r="AD375" s="147">
        <f>IFERROR((HLOOKUP($AH375,Target_monthwise!$D$24:$O$40,DTR!AD$4,FALSE)),0)</f>
        <v>0</v>
      </c>
      <c r="AE375" s="147">
        <f>IFERROR((HLOOKUP($AH375,Target_monthwise!$D$24:$O$40,DTR!AE$4,FALSE)),0)</f>
        <v>0</v>
      </c>
      <c r="AF375" s="147">
        <f>IFERROR((HLOOKUP($AH375,Target_monthwise!$D$24:$O$40,DTR!AF$4,FALSE)),0)</f>
        <v>0</v>
      </c>
      <c r="AG375" s="172">
        <f>IFERROR((HLOOKUP($AH375,Target_monthwise!$D$24:$O$40,DTR!AG$4,FALSE)),0)</f>
        <v>0</v>
      </c>
      <c r="AH375" s="253">
        <f t="shared" si="5"/>
        <v>202304</v>
      </c>
    </row>
    <row r="376" spans="3:34" ht="15.75" hidden="1">
      <c r="C376" s="237">
        <v>45019</v>
      </c>
      <c r="D376" s="238">
        <f>IFERROR((HLOOKUP($AH376,Target_monthwise!$D$4:$O$20,DTR!D$4,FALSE))*1000,0)</f>
        <v>0</v>
      </c>
      <c r="E376" s="238">
        <f>IFERROR((HLOOKUP($AH376,Target_monthwise!$D$4:$O$20,DTR!E$4,FALSE))*1000,0)</f>
        <v>0</v>
      </c>
      <c r="F376" s="238">
        <f>IFERROR((HLOOKUP($AH376,Target_monthwise!$D$4:$O$20,DTR!F$4,FALSE))*1000,0)</f>
        <v>0</v>
      </c>
      <c r="G376" s="238">
        <f>IFERROR((HLOOKUP($AH376,Target_monthwise!$D$4:$O$20,DTR!G$4,FALSE))*1000,0)</f>
        <v>0</v>
      </c>
      <c r="H376" s="238">
        <f>IFERROR((HLOOKUP($AH376,Target_monthwise!$D$4:$O$20,DTR!H$4,FALSE))*1000,0)</f>
        <v>0</v>
      </c>
      <c r="I376" s="238">
        <f>IFERROR((HLOOKUP($AH376,Target_monthwise!$D$4:$O$20,DTR!I$4,FALSE))*1000,0)</f>
        <v>0</v>
      </c>
      <c r="J376" s="238">
        <f>IFERROR((HLOOKUP($AH376,Target_monthwise!$D$4:$O$20,DTR!J$4,FALSE))*1000,0)</f>
        <v>0</v>
      </c>
      <c r="K376" s="238">
        <f>IFERROR((HLOOKUP($AH376,Target_monthwise!$D$4:$O$20,DTR!K$4,FALSE))*1000,0)</f>
        <v>0</v>
      </c>
      <c r="L376" s="238">
        <f>IFERROR((HLOOKUP($AH376,Target_monthwise!$D$4:$O$20,DTR!L$4,FALSE))*1000,0)</f>
        <v>0</v>
      </c>
      <c r="M376" s="238">
        <f>IFERROR((HLOOKUP($AH376,Target_monthwise!$D$4:$O$20,DTR!M$4,FALSE))*1000,0)</f>
        <v>0</v>
      </c>
      <c r="N376" s="238">
        <f>IFERROR((HLOOKUP($AH376,Target_monthwise!$D$4:$O$20,DTR!N$4,FALSE))*1000,0)</f>
        <v>0</v>
      </c>
      <c r="O376" s="238">
        <f>IFERROR((HLOOKUP($AH376,Target_monthwise!$D$4:$O$20,DTR!O$4,FALSE))*1000,0)</f>
        <v>0</v>
      </c>
      <c r="P376" s="238">
        <f>IFERROR((HLOOKUP($AH376,Target_monthwise!$D$4:$O$20,DTR!P$4,FALSE))*1000,0)</f>
        <v>0</v>
      </c>
      <c r="Q376" s="141">
        <f>IFERROR((HLOOKUP($AH376,Target_monthwise!$D$4:$O$20,DTR!Q$4,FALSE))*1000,0)</f>
        <v>0</v>
      </c>
      <c r="R376" s="167">
        <f>IFERROR((HLOOKUP($AH376,Target_monthwise!$D$4:$O$20,DTR!R$4,FALSE))*1000,0)</f>
        <v>0</v>
      </c>
      <c r="S376" s="239">
        <f>IFERROR((HLOOKUP($AH376,Target_monthwise!$D$24:$O$40,DTR!S$4,FALSE)),0)</f>
        <v>0</v>
      </c>
      <c r="T376" s="239">
        <f>IFERROR((HLOOKUP($AH376,Target_monthwise!$D$24:$O$40,DTR!T$4,FALSE)),0)</f>
        <v>0</v>
      </c>
      <c r="U376" s="239">
        <f>IFERROR((HLOOKUP($AH376,Target_monthwise!$D$24:$O$40,DTR!U$4,FALSE)),0)</f>
        <v>0</v>
      </c>
      <c r="V376" s="239">
        <f>IFERROR((HLOOKUP($AH376,Target_monthwise!$D$24:$O$40,DTR!V$4,FALSE)),0)</f>
        <v>0</v>
      </c>
      <c r="W376" s="239">
        <f>IFERROR((HLOOKUP($AH376,Target_monthwise!$D$24:$O$40,DTR!W$4,FALSE)),0)</f>
        <v>0</v>
      </c>
      <c r="X376" s="239">
        <f>IFERROR((HLOOKUP($AH376,Target_monthwise!$D$24:$O$40,DTR!X$4,FALSE)),0)</f>
        <v>0</v>
      </c>
      <c r="Y376" s="239">
        <f>IFERROR((HLOOKUP($AH376,Target_monthwise!$D$24:$O$40,DTR!Y$4,FALSE)),0)</f>
        <v>0</v>
      </c>
      <c r="Z376" s="147">
        <f>IFERROR((HLOOKUP($AH376,Target_monthwise!$D$24:$O$40,DTR!Z$4,FALSE)),0)</f>
        <v>0</v>
      </c>
      <c r="AA376" s="147">
        <f>IFERROR((HLOOKUP($AH376,Target_monthwise!$D$24:$O$40,DTR!AA$4,FALSE)),0)</f>
        <v>0</v>
      </c>
      <c r="AB376" s="147">
        <f>IFERROR((HLOOKUP($AH376,Target_monthwise!$D$24:$O$40,DTR!AB$4,FALSE)),0)</f>
        <v>0</v>
      </c>
      <c r="AC376" s="239">
        <f>IFERROR((HLOOKUP($AH376,Target_monthwise!$D$24:$O$40,DTR!AC$4,FALSE)),0)</f>
        <v>0</v>
      </c>
      <c r="AD376" s="239">
        <f>IFERROR((HLOOKUP($AH376,Target_monthwise!$D$24:$O$40,DTR!AD$4,FALSE)),0)</f>
        <v>0</v>
      </c>
      <c r="AE376" s="239">
        <f>IFERROR((HLOOKUP($AH376,Target_monthwise!$D$24:$O$40,DTR!AE$4,FALSE)),0)</f>
        <v>0</v>
      </c>
      <c r="AF376" s="239">
        <f>IFERROR((HLOOKUP($AH376,Target_monthwise!$D$24:$O$40,DTR!AF$4,FALSE)),0)</f>
        <v>0</v>
      </c>
      <c r="AG376" s="172">
        <f>IFERROR((HLOOKUP($AH376,Target_monthwise!$D$24:$O$40,DTR!AG$4,FALSE)),0)</f>
        <v>0</v>
      </c>
      <c r="AH376" s="253">
        <f t="shared" si="5"/>
        <v>202304</v>
      </c>
    </row>
    <row r="377" spans="3:34" ht="15.75" hidden="1">
      <c r="C377" s="235">
        <v>45020</v>
      </c>
      <c r="D377" s="141">
        <f>IFERROR((HLOOKUP($AH377,Target_monthwise!$D$4:$O$20,DTR!D$4,FALSE))*1000,0)</f>
        <v>0</v>
      </c>
      <c r="E377" s="141">
        <f>IFERROR((HLOOKUP($AH377,Target_monthwise!$D$4:$O$20,DTR!E$4,FALSE))*1000,0)</f>
        <v>0</v>
      </c>
      <c r="F377" s="141">
        <f>IFERROR((HLOOKUP($AH377,Target_monthwise!$D$4:$O$20,DTR!F$4,FALSE))*1000,0)</f>
        <v>0</v>
      </c>
      <c r="G377" s="141">
        <f>IFERROR((HLOOKUP($AH377,Target_monthwise!$D$4:$O$20,DTR!G$4,FALSE))*1000,0)</f>
        <v>0</v>
      </c>
      <c r="H377" s="141">
        <f>IFERROR((HLOOKUP($AH377,Target_monthwise!$D$4:$O$20,DTR!H$4,FALSE))*1000,0)</f>
        <v>0</v>
      </c>
      <c r="I377" s="141">
        <f>IFERROR((HLOOKUP($AH377,Target_monthwise!$D$4:$O$20,DTR!I$4,FALSE))*1000,0)</f>
        <v>0</v>
      </c>
      <c r="J377" s="141">
        <f>IFERROR((HLOOKUP($AH377,Target_monthwise!$D$4:$O$20,DTR!J$4,FALSE))*1000,0)</f>
        <v>0</v>
      </c>
      <c r="K377" s="141">
        <f>IFERROR((HLOOKUP($AH377,Target_monthwise!$D$4:$O$20,DTR!K$4,FALSE))*1000,0)</f>
        <v>0</v>
      </c>
      <c r="L377" s="141">
        <f>IFERROR((HLOOKUP($AH377,Target_monthwise!$D$4:$O$20,DTR!L$4,FALSE))*1000,0)</f>
        <v>0</v>
      </c>
      <c r="M377" s="141">
        <f>IFERROR((HLOOKUP($AH377,Target_monthwise!$D$4:$O$20,DTR!M$4,FALSE))*1000,0)</f>
        <v>0</v>
      </c>
      <c r="N377" s="141">
        <f>IFERROR((HLOOKUP($AH377,Target_monthwise!$D$4:$O$20,DTR!N$4,FALSE))*1000,0)</f>
        <v>0</v>
      </c>
      <c r="O377" s="141">
        <f>IFERROR((HLOOKUP($AH377,Target_monthwise!$D$4:$O$20,DTR!O$4,FALSE))*1000,0)</f>
        <v>0</v>
      </c>
      <c r="P377" s="141">
        <f>IFERROR((HLOOKUP($AH377,Target_monthwise!$D$4:$O$20,DTR!P$4,FALSE))*1000,0)</f>
        <v>0</v>
      </c>
      <c r="Q377" s="141">
        <f>IFERROR((HLOOKUP($AH377,Target_monthwise!$D$4:$O$20,DTR!Q$4,FALSE))*1000,0)</f>
        <v>0</v>
      </c>
      <c r="R377" s="167">
        <f>IFERROR((HLOOKUP($AH377,Target_monthwise!$D$4:$O$20,DTR!R$4,FALSE))*1000,0)</f>
        <v>0</v>
      </c>
      <c r="S377" s="147">
        <f>IFERROR((HLOOKUP($AH377,Target_monthwise!$D$24:$O$40,DTR!S$4,FALSE)),0)</f>
        <v>0</v>
      </c>
      <c r="T377" s="147">
        <f>IFERROR((HLOOKUP($AH377,Target_monthwise!$D$24:$O$40,DTR!T$4,FALSE)),0)</f>
        <v>0</v>
      </c>
      <c r="U377" s="147">
        <f>IFERROR((HLOOKUP($AH377,Target_monthwise!$D$24:$O$40,DTR!U$4,FALSE)),0)</f>
        <v>0</v>
      </c>
      <c r="V377" s="147">
        <f>IFERROR((HLOOKUP($AH377,Target_monthwise!$D$24:$O$40,DTR!V$4,FALSE)),0)</f>
        <v>0</v>
      </c>
      <c r="W377" s="147">
        <f>IFERROR((HLOOKUP($AH377,Target_monthwise!$D$24:$O$40,DTR!W$4,FALSE)),0)</f>
        <v>0</v>
      </c>
      <c r="X377" s="147">
        <f>IFERROR((HLOOKUP($AH377,Target_monthwise!$D$24:$O$40,DTR!X$4,FALSE)),0)</f>
        <v>0</v>
      </c>
      <c r="Y377" s="147">
        <f>IFERROR((HLOOKUP($AH377,Target_monthwise!$D$24:$O$40,DTR!Y$4,FALSE)),0)</f>
        <v>0</v>
      </c>
      <c r="Z377" s="147">
        <f>IFERROR((HLOOKUP($AH377,Target_monthwise!$D$24:$O$40,DTR!Z$4,FALSE)),0)</f>
        <v>0</v>
      </c>
      <c r="AA377" s="147">
        <f>IFERROR((HLOOKUP($AH377,Target_monthwise!$D$24:$O$40,DTR!AA$4,FALSE)),0)</f>
        <v>0</v>
      </c>
      <c r="AB377" s="147">
        <f>IFERROR((HLOOKUP($AH377,Target_monthwise!$D$24:$O$40,DTR!AB$4,FALSE)),0)</f>
        <v>0</v>
      </c>
      <c r="AC377" s="147">
        <f>IFERROR((HLOOKUP($AH377,Target_monthwise!$D$24:$O$40,DTR!AC$4,FALSE)),0)</f>
        <v>0</v>
      </c>
      <c r="AD377" s="147">
        <f>IFERROR((HLOOKUP($AH377,Target_monthwise!$D$24:$O$40,DTR!AD$4,FALSE)),0)</f>
        <v>0</v>
      </c>
      <c r="AE377" s="147">
        <f>IFERROR((HLOOKUP($AH377,Target_monthwise!$D$24:$O$40,DTR!AE$4,FALSE)),0)</f>
        <v>0</v>
      </c>
      <c r="AF377" s="147">
        <f>IFERROR((HLOOKUP($AH377,Target_monthwise!$D$24:$O$40,DTR!AF$4,FALSE)),0)</f>
        <v>0</v>
      </c>
      <c r="AG377" s="172">
        <f>IFERROR((HLOOKUP($AH377,Target_monthwise!$D$24:$O$40,DTR!AG$4,FALSE)),0)</f>
        <v>0</v>
      </c>
      <c r="AH377" s="253">
        <f t="shared" si="5"/>
        <v>202304</v>
      </c>
    </row>
    <row r="378" spans="3:34" ht="15.75" hidden="1">
      <c r="C378" s="237">
        <v>45021</v>
      </c>
      <c r="D378" s="238">
        <f>IFERROR((HLOOKUP($AH378,Target_monthwise!$D$4:$O$20,DTR!D$4,FALSE))*1000,0)</f>
        <v>0</v>
      </c>
      <c r="E378" s="238">
        <f>IFERROR((HLOOKUP($AH378,Target_monthwise!$D$4:$O$20,DTR!E$4,FALSE))*1000,0)</f>
        <v>0</v>
      </c>
      <c r="F378" s="238">
        <f>IFERROR((HLOOKUP($AH378,Target_monthwise!$D$4:$O$20,DTR!F$4,FALSE))*1000,0)</f>
        <v>0</v>
      </c>
      <c r="G378" s="238">
        <f>IFERROR((HLOOKUP($AH378,Target_monthwise!$D$4:$O$20,DTR!G$4,FALSE))*1000,0)</f>
        <v>0</v>
      </c>
      <c r="H378" s="238">
        <f>IFERROR((HLOOKUP($AH378,Target_monthwise!$D$4:$O$20,DTR!H$4,FALSE))*1000,0)</f>
        <v>0</v>
      </c>
      <c r="I378" s="238">
        <f>IFERROR((HLOOKUP($AH378,Target_monthwise!$D$4:$O$20,DTR!I$4,FALSE))*1000,0)</f>
        <v>0</v>
      </c>
      <c r="J378" s="238">
        <f>IFERROR((HLOOKUP($AH378,Target_monthwise!$D$4:$O$20,DTR!J$4,FALSE))*1000,0)</f>
        <v>0</v>
      </c>
      <c r="K378" s="238">
        <f>IFERROR((HLOOKUP($AH378,Target_monthwise!$D$4:$O$20,DTR!K$4,FALSE))*1000,0)</f>
        <v>0</v>
      </c>
      <c r="L378" s="238">
        <f>IFERROR((HLOOKUP($AH378,Target_monthwise!$D$4:$O$20,DTR!L$4,FALSE))*1000,0)</f>
        <v>0</v>
      </c>
      <c r="M378" s="238">
        <f>IFERROR((HLOOKUP($AH378,Target_monthwise!$D$4:$O$20,DTR!M$4,FALSE))*1000,0)</f>
        <v>0</v>
      </c>
      <c r="N378" s="238">
        <f>IFERROR((HLOOKUP($AH378,Target_monthwise!$D$4:$O$20,DTR!N$4,FALSE))*1000,0)</f>
        <v>0</v>
      </c>
      <c r="O378" s="238">
        <f>IFERROR((HLOOKUP($AH378,Target_monthwise!$D$4:$O$20,DTR!O$4,FALSE))*1000,0)</f>
        <v>0</v>
      </c>
      <c r="P378" s="238">
        <f>IFERROR((HLOOKUP($AH378,Target_monthwise!$D$4:$O$20,DTR!P$4,FALSE))*1000,0)</f>
        <v>0</v>
      </c>
      <c r="Q378" s="141">
        <f>IFERROR((HLOOKUP($AH378,Target_monthwise!$D$4:$O$20,DTR!Q$4,FALSE))*1000,0)</f>
        <v>0</v>
      </c>
      <c r="R378" s="167">
        <f>IFERROR((HLOOKUP($AH378,Target_monthwise!$D$4:$O$20,DTR!R$4,FALSE))*1000,0)</f>
        <v>0</v>
      </c>
      <c r="S378" s="239">
        <f>IFERROR((HLOOKUP($AH378,Target_monthwise!$D$24:$O$40,DTR!S$4,FALSE)),0)</f>
        <v>0</v>
      </c>
      <c r="T378" s="239">
        <f>IFERROR((HLOOKUP($AH378,Target_monthwise!$D$24:$O$40,DTR!T$4,FALSE)),0)</f>
        <v>0</v>
      </c>
      <c r="U378" s="239">
        <f>IFERROR((HLOOKUP($AH378,Target_monthwise!$D$24:$O$40,DTR!U$4,FALSE)),0)</f>
        <v>0</v>
      </c>
      <c r="V378" s="239">
        <f>IFERROR((HLOOKUP($AH378,Target_monthwise!$D$24:$O$40,DTR!V$4,FALSE)),0)</f>
        <v>0</v>
      </c>
      <c r="W378" s="239">
        <f>IFERROR((HLOOKUP($AH378,Target_monthwise!$D$24:$O$40,DTR!W$4,FALSE)),0)</f>
        <v>0</v>
      </c>
      <c r="X378" s="239">
        <f>IFERROR((HLOOKUP($AH378,Target_monthwise!$D$24:$O$40,DTR!X$4,FALSE)),0)</f>
        <v>0</v>
      </c>
      <c r="Y378" s="239">
        <f>IFERROR((HLOOKUP($AH378,Target_monthwise!$D$24:$O$40,DTR!Y$4,FALSE)),0)</f>
        <v>0</v>
      </c>
      <c r="Z378" s="147">
        <f>IFERROR((HLOOKUP($AH378,Target_monthwise!$D$24:$O$40,DTR!Z$4,FALSE)),0)</f>
        <v>0</v>
      </c>
      <c r="AA378" s="147">
        <f>IFERROR((HLOOKUP($AH378,Target_monthwise!$D$24:$O$40,DTR!AA$4,FALSE)),0)</f>
        <v>0</v>
      </c>
      <c r="AB378" s="147">
        <f>IFERROR((HLOOKUP($AH378,Target_monthwise!$D$24:$O$40,DTR!AB$4,FALSE)),0)</f>
        <v>0</v>
      </c>
      <c r="AC378" s="239">
        <f>IFERROR((HLOOKUP($AH378,Target_monthwise!$D$24:$O$40,DTR!AC$4,FALSE)),0)</f>
        <v>0</v>
      </c>
      <c r="AD378" s="239">
        <f>IFERROR((HLOOKUP($AH378,Target_monthwise!$D$24:$O$40,DTR!AD$4,FALSE)),0)</f>
        <v>0</v>
      </c>
      <c r="AE378" s="239">
        <f>IFERROR((HLOOKUP($AH378,Target_monthwise!$D$24:$O$40,DTR!AE$4,FALSE)),0)</f>
        <v>0</v>
      </c>
      <c r="AF378" s="239">
        <f>IFERROR((HLOOKUP($AH378,Target_monthwise!$D$24:$O$40,DTR!AF$4,FALSE)),0)</f>
        <v>0</v>
      </c>
      <c r="AG378" s="172">
        <f>IFERROR((HLOOKUP($AH378,Target_monthwise!$D$24:$O$40,DTR!AG$4,FALSE)),0)</f>
        <v>0</v>
      </c>
      <c r="AH378" s="253">
        <f t="shared" si="5"/>
        <v>202304</v>
      </c>
    </row>
    <row r="379" spans="3:34" ht="15.75" hidden="1">
      <c r="C379" s="235">
        <v>45022</v>
      </c>
      <c r="D379" s="141">
        <f>IFERROR((HLOOKUP($AH379,Target_monthwise!$D$4:$O$20,DTR!D$4,FALSE))*1000,0)</f>
        <v>0</v>
      </c>
      <c r="E379" s="141">
        <f>IFERROR((HLOOKUP($AH379,Target_monthwise!$D$4:$O$20,DTR!E$4,FALSE))*1000,0)</f>
        <v>0</v>
      </c>
      <c r="F379" s="141">
        <f>IFERROR((HLOOKUP($AH379,Target_monthwise!$D$4:$O$20,DTR!F$4,FALSE))*1000,0)</f>
        <v>0</v>
      </c>
      <c r="G379" s="141">
        <f>IFERROR((HLOOKUP($AH379,Target_monthwise!$D$4:$O$20,DTR!G$4,FALSE))*1000,0)</f>
        <v>0</v>
      </c>
      <c r="H379" s="141">
        <f>IFERROR((HLOOKUP($AH379,Target_monthwise!$D$4:$O$20,DTR!H$4,FALSE))*1000,0)</f>
        <v>0</v>
      </c>
      <c r="I379" s="141">
        <f>IFERROR((HLOOKUP($AH379,Target_monthwise!$D$4:$O$20,DTR!I$4,FALSE))*1000,0)</f>
        <v>0</v>
      </c>
      <c r="J379" s="141">
        <f>IFERROR((HLOOKUP($AH379,Target_monthwise!$D$4:$O$20,DTR!J$4,FALSE))*1000,0)</f>
        <v>0</v>
      </c>
      <c r="K379" s="141">
        <f>IFERROR((HLOOKUP($AH379,Target_monthwise!$D$4:$O$20,DTR!K$4,FALSE))*1000,0)</f>
        <v>0</v>
      </c>
      <c r="L379" s="141">
        <f>IFERROR((HLOOKUP($AH379,Target_monthwise!$D$4:$O$20,DTR!L$4,FALSE))*1000,0)</f>
        <v>0</v>
      </c>
      <c r="M379" s="141">
        <f>IFERROR((HLOOKUP($AH379,Target_monthwise!$D$4:$O$20,DTR!M$4,FALSE))*1000,0)</f>
        <v>0</v>
      </c>
      <c r="N379" s="141">
        <f>IFERROR((HLOOKUP($AH379,Target_monthwise!$D$4:$O$20,DTR!N$4,FALSE))*1000,0)</f>
        <v>0</v>
      </c>
      <c r="O379" s="141">
        <f>IFERROR((HLOOKUP($AH379,Target_monthwise!$D$4:$O$20,DTR!O$4,FALSE))*1000,0)</f>
        <v>0</v>
      </c>
      <c r="P379" s="141">
        <f>IFERROR((HLOOKUP($AH379,Target_monthwise!$D$4:$O$20,DTR!P$4,FALSE))*1000,0)</f>
        <v>0</v>
      </c>
      <c r="Q379" s="141">
        <f>IFERROR((HLOOKUP($AH379,Target_monthwise!$D$4:$O$20,DTR!Q$4,FALSE))*1000,0)</f>
        <v>0</v>
      </c>
      <c r="R379" s="167">
        <f>IFERROR((HLOOKUP($AH379,Target_monthwise!$D$4:$O$20,DTR!R$4,FALSE))*1000,0)</f>
        <v>0</v>
      </c>
      <c r="S379" s="147">
        <f>IFERROR((HLOOKUP($AH379,Target_monthwise!$D$24:$O$40,DTR!S$4,FALSE)),0)</f>
        <v>0</v>
      </c>
      <c r="T379" s="147">
        <f>IFERROR((HLOOKUP($AH379,Target_monthwise!$D$24:$O$40,DTR!T$4,FALSE)),0)</f>
        <v>0</v>
      </c>
      <c r="U379" s="147">
        <f>IFERROR((HLOOKUP($AH379,Target_monthwise!$D$24:$O$40,DTR!U$4,FALSE)),0)</f>
        <v>0</v>
      </c>
      <c r="V379" s="147">
        <f>IFERROR((HLOOKUP($AH379,Target_monthwise!$D$24:$O$40,DTR!V$4,FALSE)),0)</f>
        <v>0</v>
      </c>
      <c r="W379" s="147">
        <f>IFERROR((HLOOKUP($AH379,Target_monthwise!$D$24:$O$40,DTR!W$4,FALSE)),0)</f>
        <v>0</v>
      </c>
      <c r="X379" s="147">
        <f>IFERROR((HLOOKUP($AH379,Target_monthwise!$D$24:$O$40,DTR!X$4,FALSE)),0)</f>
        <v>0</v>
      </c>
      <c r="Y379" s="147">
        <f>IFERROR((HLOOKUP($AH379,Target_monthwise!$D$24:$O$40,DTR!Y$4,FALSE)),0)</f>
        <v>0</v>
      </c>
      <c r="Z379" s="147">
        <f>IFERROR((HLOOKUP($AH379,Target_monthwise!$D$24:$O$40,DTR!Z$4,FALSE)),0)</f>
        <v>0</v>
      </c>
      <c r="AA379" s="147">
        <f>IFERROR((HLOOKUP($AH379,Target_monthwise!$D$24:$O$40,DTR!AA$4,FALSE)),0)</f>
        <v>0</v>
      </c>
      <c r="AB379" s="147">
        <f>IFERROR((HLOOKUP($AH379,Target_monthwise!$D$24:$O$40,DTR!AB$4,FALSE)),0)</f>
        <v>0</v>
      </c>
      <c r="AC379" s="147">
        <f>IFERROR((HLOOKUP($AH379,Target_monthwise!$D$24:$O$40,DTR!AC$4,FALSE)),0)</f>
        <v>0</v>
      </c>
      <c r="AD379" s="147">
        <f>IFERROR((HLOOKUP($AH379,Target_monthwise!$D$24:$O$40,DTR!AD$4,FALSE)),0)</f>
        <v>0</v>
      </c>
      <c r="AE379" s="147">
        <f>IFERROR((HLOOKUP($AH379,Target_monthwise!$D$24:$O$40,DTR!AE$4,FALSE)),0)</f>
        <v>0</v>
      </c>
      <c r="AF379" s="147">
        <f>IFERROR((HLOOKUP($AH379,Target_monthwise!$D$24:$O$40,DTR!AF$4,FALSE)),0)</f>
        <v>0</v>
      </c>
      <c r="AG379" s="172">
        <f>IFERROR((HLOOKUP($AH379,Target_monthwise!$D$24:$O$40,DTR!AG$4,FALSE)),0)</f>
        <v>0</v>
      </c>
      <c r="AH379" s="253">
        <f t="shared" si="5"/>
        <v>202304</v>
      </c>
    </row>
    <row r="380" spans="3:34" ht="15.75" hidden="1">
      <c r="C380" s="237">
        <v>45023</v>
      </c>
      <c r="D380" s="238">
        <f>IFERROR((HLOOKUP($AH380,Target_monthwise!$D$4:$O$20,DTR!D$4,FALSE))*1000,0)</f>
        <v>0</v>
      </c>
      <c r="E380" s="238">
        <f>IFERROR((HLOOKUP($AH380,Target_monthwise!$D$4:$O$20,DTR!E$4,FALSE))*1000,0)</f>
        <v>0</v>
      </c>
      <c r="F380" s="238">
        <f>IFERROR((HLOOKUP($AH380,Target_monthwise!$D$4:$O$20,DTR!F$4,FALSE))*1000,0)</f>
        <v>0</v>
      </c>
      <c r="G380" s="238">
        <f>IFERROR((HLOOKUP($AH380,Target_monthwise!$D$4:$O$20,DTR!G$4,FALSE))*1000,0)</f>
        <v>0</v>
      </c>
      <c r="H380" s="238">
        <f>IFERROR((HLOOKUP($AH380,Target_monthwise!$D$4:$O$20,DTR!H$4,FALSE))*1000,0)</f>
        <v>0</v>
      </c>
      <c r="I380" s="238">
        <f>IFERROR((HLOOKUP($AH380,Target_monthwise!$D$4:$O$20,DTR!I$4,FALSE))*1000,0)</f>
        <v>0</v>
      </c>
      <c r="J380" s="238">
        <f>IFERROR((HLOOKUP($AH380,Target_monthwise!$D$4:$O$20,DTR!J$4,FALSE))*1000,0)</f>
        <v>0</v>
      </c>
      <c r="K380" s="238">
        <f>IFERROR((HLOOKUP($AH380,Target_monthwise!$D$4:$O$20,DTR!K$4,FALSE))*1000,0)</f>
        <v>0</v>
      </c>
      <c r="L380" s="238">
        <f>IFERROR((HLOOKUP($AH380,Target_monthwise!$D$4:$O$20,DTR!L$4,FALSE))*1000,0)</f>
        <v>0</v>
      </c>
      <c r="M380" s="238">
        <f>IFERROR((HLOOKUP($AH380,Target_monthwise!$D$4:$O$20,DTR!M$4,FALSE))*1000,0)</f>
        <v>0</v>
      </c>
      <c r="N380" s="238">
        <f>IFERROR((HLOOKUP($AH380,Target_monthwise!$D$4:$O$20,DTR!N$4,FALSE))*1000,0)</f>
        <v>0</v>
      </c>
      <c r="O380" s="238">
        <f>IFERROR((HLOOKUP($AH380,Target_monthwise!$D$4:$O$20,DTR!O$4,FALSE))*1000,0)</f>
        <v>0</v>
      </c>
      <c r="P380" s="238">
        <f>IFERROR((HLOOKUP($AH380,Target_monthwise!$D$4:$O$20,DTR!P$4,FALSE))*1000,0)</f>
        <v>0</v>
      </c>
      <c r="Q380" s="141">
        <f>IFERROR((HLOOKUP($AH380,Target_monthwise!$D$4:$O$20,DTR!Q$4,FALSE))*1000,0)</f>
        <v>0</v>
      </c>
      <c r="R380" s="167">
        <f>IFERROR((HLOOKUP($AH380,Target_monthwise!$D$4:$O$20,DTR!R$4,FALSE))*1000,0)</f>
        <v>0</v>
      </c>
      <c r="S380" s="239">
        <f>IFERROR((HLOOKUP($AH380,Target_monthwise!$D$24:$O$40,DTR!S$4,FALSE)),0)</f>
        <v>0</v>
      </c>
      <c r="T380" s="239">
        <f>IFERROR((HLOOKUP($AH380,Target_monthwise!$D$24:$O$40,DTR!T$4,FALSE)),0)</f>
        <v>0</v>
      </c>
      <c r="U380" s="239">
        <f>IFERROR((HLOOKUP($AH380,Target_monthwise!$D$24:$O$40,DTR!U$4,FALSE)),0)</f>
        <v>0</v>
      </c>
      <c r="V380" s="239">
        <f>IFERROR((HLOOKUP($AH380,Target_monthwise!$D$24:$O$40,DTR!V$4,FALSE)),0)</f>
        <v>0</v>
      </c>
      <c r="W380" s="239">
        <f>IFERROR((HLOOKUP($AH380,Target_monthwise!$D$24:$O$40,DTR!W$4,FALSE)),0)</f>
        <v>0</v>
      </c>
      <c r="X380" s="239">
        <f>IFERROR((HLOOKUP($AH380,Target_monthwise!$D$24:$O$40,DTR!X$4,FALSE)),0)</f>
        <v>0</v>
      </c>
      <c r="Y380" s="239">
        <f>IFERROR((HLOOKUP($AH380,Target_monthwise!$D$24:$O$40,DTR!Y$4,FALSE)),0)</f>
        <v>0</v>
      </c>
      <c r="Z380" s="147">
        <f>IFERROR((HLOOKUP($AH380,Target_monthwise!$D$24:$O$40,DTR!Z$4,FALSE)),0)</f>
        <v>0</v>
      </c>
      <c r="AA380" s="147">
        <f>IFERROR((HLOOKUP($AH380,Target_monthwise!$D$24:$O$40,DTR!AA$4,FALSE)),0)</f>
        <v>0</v>
      </c>
      <c r="AB380" s="147">
        <f>IFERROR((HLOOKUP($AH380,Target_monthwise!$D$24:$O$40,DTR!AB$4,FALSE)),0)</f>
        <v>0</v>
      </c>
      <c r="AC380" s="239">
        <f>IFERROR((HLOOKUP($AH380,Target_monthwise!$D$24:$O$40,DTR!AC$4,FALSE)),0)</f>
        <v>0</v>
      </c>
      <c r="AD380" s="239">
        <f>IFERROR((HLOOKUP($AH380,Target_monthwise!$D$24:$O$40,DTR!AD$4,FALSE)),0)</f>
        <v>0</v>
      </c>
      <c r="AE380" s="239">
        <f>IFERROR((HLOOKUP($AH380,Target_monthwise!$D$24:$O$40,DTR!AE$4,FALSE)),0)</f>
        <v>0</v>
      </c>
      <c r="AF380" s="239">
        <f>IFERROR((HLOOKUP($AH380,Target_monthwise!$D$24:$O$40,DTR!AF$4,FALSE)),0)</f>
        <v>0</v>
      </c>
      <c r="AG380" s="172">
        <f>IFERROR((HLOOKUP($AH380,Target_monthwise!$D$24:$O$40,DTR!AG$4,FALSE)),0)</f>
        <v>0</v>
      </c>
      <c r="AH380" s="253">
        <f t="shared" si="5"/>
        <v>202304</v>
      </c>
    </row>
    <row r="381" spans="3:34" ht="15.75" hidden="1">
      <c r="C381" s="235">
        <v>45024</v>
      </c>
      <c r="D381" s="141">
        <f>IFERROR((HLOOKUP($AH381,Target_monthwise!$D$4:$O$20,DTR!D$4,FALSE))*1000,0)</f>
        <v>0</v>
      </c>
      <c r="E381" s="141">
        <f>IFERROR((HLOOKUP($AH381,Target_monthwise!$D$4:$O$20,DTR!E$4,FALSE))*1000,0)</f>
        <v>0</v>
      </c>
      <c r="F381" s="141">
        <f>IFERROR((HLOOKUP($AH381,Target_monthwise!$D$4:$O$20,DTR!F$4,FALSE))*1000,0)</f>
        <v>0</v>
      </c>
      <c r="G381" s="141">
        <f>IFERROR((HLOOKUP($AH381,Target_monthwise!$D$4:$O$20,DTR!G$4,FALSE))*1000,0)</f>
        <v>0</v>
      </c>
      <c r="H381" s="141">
        <f>IFERROR((HLOOKUP($AH381,Target_monthwise!$D$4:$O$20,DTR!H$4,FALSE))*1000,0)</f>
        <v>0</v>
      </c>
      <c r="I381" s="141">
        <f>IFERROR((HLOOKUP($AH381,Target_monthwise!$D$4:$O$20,DTR!I$4,FALSE))*1000,0)</f>
        <v>0</v>
      </c>
      <c r="J381" s="141">
        <f>IFERROR((HLOOKUP($AH381,Target_monthwise!$D$4:$O$20,DTR!J$4,FALSE))*1000,0)</f>
        <v>0</v>
      </c>
      <c r="K381" s="141">
        <f>IFERROR((HLOOKUP($AH381,Target_monthwise!$D$4:$O$20,DTR!K$4,FALSE))*1000,0)</f>
        <v>0</v>
      </c>
      <c r="L381" s="141">
        <f>IFERROR((HLOOKUP($AH381,Target_monthwise!$D$4:$O$20,DTR!L$4,FALSE))*1000,0)</f>
        <v>0</v>
      </c>
      <c r="M381" s="141">
        <f>IFERROR((HLOOKUP($AH381,Target_monthwise!$D$4:$O$20,DTR!M$4,FALSE))*1000,0)</f>
        <v>0</v>
      </c>
      <c r="N381" s="141">
        <f>IFERROR((HLOOKUP($AH381,Target_monthwise!$D$4:$O$20,DTR!N$4,FALSE))*1000,0)</f>
        <v>0</v>
      </c>
      <c r="O381" s="141">
        <f>IFERROR((HLOOKUP($AH381,Target_monthwise!$D$4:$O$20,DTR!O$4,FALSE))*1000,0)</f>
        <v>0</v>
      </c>
      <c r="P381" s="141">
        <f>IFERROR((HLOOKUP($AH381,Target_monthwise!$D$4:$O$20,DTR!P$4,FALSE))*1000,0)</f>
        <v>0</v>
      </c>
      <c r="Q381" s="141">
        <f>IFERROR((HLOOKUP($AH381,Target_monthwise!$D$4:$O$20,DTR!Q$4,FALSE))*1000,0)</f>
        <v>0</v>
      </c>
      <c r="R381" s="167">
        <f>IFERROR((HLOOKUP($AH381,Target_monthwise!$D$4:$O$20,DTR!R$4,FALSE))*1000,0)</f>
        <v>0</v>
      </c>
      <c r="S381" s="147">
        <f>IFERROR((HLOOKUP($AH381,Target_monthwise!$D$24:$O$40,DTR!S$4,FALSE)),0)</f>
        <v>0</v>
      </c>
      <c r="T381" s="147">
        <f>IFERROR((HLOOKUP($AH381,Target_monthwise!$D$24:$O$40,DTR!T$4,FALSE)),0)</f>
        <v>0</v>
      </c>
      <c r="U381" s="147">
        <f>IFERROR((HLOOKUP($AH381,Target_monthwise!$D$24:$O$40,DTR!U$4,FALSE)),0)</f>
        <v>0</v>
      </c>
      <c r="V381" s="147">
        <f>IFERROR((HLOOKUP($AH381,Target_monthwise!$D$24:$O$40,DTR!V$4,FALSE)),0)</f>
        <v>0</v>
      </c>
      <c r="W381" s="147">
        <f>IFERROR((HLOOKUP($AH381,Target_monthwise!$D$24:$O$40,DTR!W$4,FALSE)),0)</f>
        <v>0</v>
      </c>
      <c r="X381" s="147">
        <f>IFERROR((HLOOKUP($AH381,Target_monthwise!$D$24:$O$40,DTR!X$4,FALSE)),0)</f>
        <v>0</v>
      </c>
      <c r="Y381" s="147">
        <f>IFERROR((HLOOKUP($AH381,Target_monthwise!$D$24:$O$40,DTR!Y$4,FALSE)),0)</f>
        <v>0</v>
      </c>
      <c r="Z381" s="147">
        <f>IFERROR((HLOOKUP($AH381,Target_monthwise!$D$24:$O$40,DTR!Z$4,FALSE)),0)</f>
        <v>0</v>
      </c>
      <c r="AA381" s="147">
        <f>IFERROR((HLOOKUP($AH381,Target_monthwise!$D$24:$O$40,DTR!AA$4,FALSE)),0)</f>
        <v>0</v>
      </c>
      <c r="AB381" s="147">
        <f>IFERROR((HLOOKUP($AH381,Target_monthwise!$D$24:$O$40,DTR!AB$4,FALSE)),0)</f>
        <v>0</v>
      </c>
      <c r="AC381" s="147">
        <f>IFERROR((HLOOKUP($AH381,Target_monthwise!$D$24:$O$40,DTR!AC$4,FALSE)),0)</f>
        <v>0</v>
      </c>
      <c r="AD381" s="147">
        <f>IFERROR((HLOOKUP($AH381,Target_monthwise!$D$24:$O$40,DTR!AD$4,FALSE)),0)</f>
        <v>0</v>
      </c>
      <c r="AE381" s="147">
        <f>IFERROR((HLOOKUP($AH381,Target_monthwise!$D$24:$O$40,DTR!AE$4,FALSE)),0)</f>
        <v>0</v>
      </c>
      <c r="AF381" s="147">
        <f>IFERROR((HLOOKUP($AH381,Target_monthwise!$D$24:$O$40,DTR!AF$4,FALSE)),0)</f>
        <v>0</v>
      </c>
      <c r="AG381" s="172">
        <f>IFERROR((HLOOKUP($AH381,Target_monthwise!$D$24:$O$40,DTR!AG$4,FALSE)),0)</f>
        <v>0</v>
      </c>
      <c r="AH381" s="253">
        <f t="shared" si="5"/>
        <v>202304</v>
      </c>
    </row>
    <row r="382" spans="3:34" ht="15.75" hidden="1">
      <c r="C382" s="237">
        <v>45025</v>
      </c>
      <c r="D382" s="238">
        <f>IFERROR((HLOOKUP($AH382,Target_monthwise!$D$4:$O$20,DTR!D$4,FALSE))*1000,0)</f>
        <v>0</v>
      </c>
      <c r="E382" s="238">
        <f>IFERROR((HLOOKUP($AH382,Target_monthwise!$D$4:$O$20,DTR!E$4,FALSE))*1000,0)</f>
        <v>0</v>
      </c>
      <c r="F382" s="238">
        <f>IFERROR((HLOOKUP($AH382,Target_monthwise!$D$4:$O$20,DTR!F$4,FALSE))*1000,0)</f>
        <v>0</v>
      </c>
      <c r="G382" s="238">
        <f>IFERROR((HLOOKUP($AH382,Target_monthwise!$D$4:$O$20,DTR!G$4,FALSE))*1000,0)</f>
        <v>0</v>
      </c>
      <c r="H382" s="238">
        <f>IFERROR((HLOOKUP($AH382,Target_monthwise!$D$4:$O$20,DTR!H$4,FALSE))*1000,0)</f>
        <v>0</v>
      </c>
      <c r="I382" s="238">
        <f>IFERROR((HLOOKUP($AH382,Target_monthwise!$D$4:$O$20,DTR!I$4,FALSE))*1000,0)</f>
        <v>0</v>
      </c>
      <c r="J382" s="238">
        <f>IFERROR((HLOOKUP($AH382,Target_monthwise!$D$4:$O$20,DTR!J$4,FALSE))*1000,0)</f>
        <v>0</v>
      </c>
      <c r="K382" s="238">
        <f>IFERROR((HLOOKUP($AH382,Target_monthwise!$D$4:$O$20,DTR!K$4,FALSE))*1000,0)</f>
        <v>0</v>
      </c>
      <c r="L382" s="238">
        <f>IFERROR((HLOOKUP($AH382,Target_monthwise!$D$4:$O$20,DTR!L$4,FALSE))*1000,0)</f>
        <v>0</v>
      </c>
      <c r="M382" s="238">
        <f>IFERROR((HLOOKUP($AH382,Target_monthwise!$D$4:$O$20,DTR!M$4,FALSE))*1000,0)</f>
        <v>0</v>
      </c>
      <c r="N382" s="238">
        <f>IFERROR((HLOOKUP($AH382,Target_monthwise!$D$4:$O$20,DTR!N$4,FALSE))*1000,0)</f>
        <v>0</v>
      </c>
      <c r="O382" s="238">
        <f>IFERROR((HLOOKUP($AH382,Target_monthwise!$D$4:$O$20,DTR!O$4,FALSE))*1000,0)</f>
        <v>0</v>
      </c>
      <c r="P382" s="238">
        <f>IFERROR((HLOOKUP($AH382,Target_monthwise!$D$4:$O$20,DTR!P$4,FALSE))*1000,0)</f>
        <v>0</v>
      </c>
      <c r="Q382" s="141">
        <f>IFERROR((HLOOKUP($AH382,Target_monthwise!$D$4:$O$20,DTR!Q$4,FALSE))*1000,0)</f>
        <v>0</v>
      </c>
      <c r="R382" s="167">
        <f>IFERROR((HLOOKUP($AH382,Target_monthwise!$D$4:$O$20,DTR!R$4,FALSE))*1000,0)</f>
        <v>0</v>
      </c>
      <c r="S382" s="239">
        <f>IFERROR((HLOOKUP($AH382,Target_monthwise!$D$24:$O$40,DTR!S$4,FALSE)),0)</f>
        <v>0</v>
      </c>
      <c r="T382" s="239">
        <f>IFERROR((HLOOKUP($AH382,Target_monthwise!$D$24:$O$40,DTR!T$4,FALSE)),0)</f>
        <v>0</v>
      </c>
      <c r="U382" s="239">
        <f>IFERROR((HLOOKUP($AH382,Target_monthwise!$D$24:$O$40,DTR!U$4,FALSE)),0)</f>
        <v>0</v>
      </c>
      <c r="V382" s="239">
        <f>IFERROR((HLOOKUP($AH382,Target_monthwise!$D$24:$O$40,DTR!V$4,FALSE)),0)</f>
        <v>0</v>
      </c>
      <c r="W382" s="239">
        <f>IFERROR((HLOOKUP($AH382,Target_monthwise!$D$24:$O$40,DTR!W$4,FALSE)),0)</f>
        <v>0</v>
      </c>
      <c r="X382" s="239">
        <f>IFERROR((HLOOKUP($AH382,Target_monthwise!$D$24:$O$40,DTR!X$4,FALSE)),0)</f>
        <v>0</v>
      </c>
      <c r="Y382" s="239">
        <f>IFERROR((HLOOKUP($AH382,Target_monthwise!$D$24:$O$40,DTR!Y$4,FALSE)),0)</f>
        <v>0</v>
      </c>
      <c r="Z382" s="147">
        <f>IFERROR((HLOOKUP($AH382,Target_monthwise!$D$24:$O$40,DTR!Z$4,FALSE)),0)</f>
        <v>0</v>
      </c>
      <c r="AA382" s="147">
        <f>IFERROR((HLOOKUP($AH382,Target_monthwise!$D$24:$O$40,DTR!AA$4,FALSE)),0)</f>
        <v>0</v>
      </c>
      <c r="AB382" s="147">
        <f>IFERROR((HLOOKUP($AH382,Target_monthwise!$D$24:$O$40,DTR!AB$4,FALSE)),0)</f>
        <v>0</v>
      </c>
      <c r="AC382" s="239">
        <f>IFERROR((HLOOKUP($AH382,Target_monthwise!$D$24:$O$40,DTR!AC$4,FALSE)),0)</f>
        <v>0</v>
      </c>
      <c r="AD382" s="239">
        <f>IFERROR((HLOOKUP($AH382,Target_monthwise!$D$24:$O$40,DTR!AD$4,FALSE)),0)</f>
        <v>0</v>
      </c>
      <c r="AE382" s="239">
        <f>IFERROR((HLOOKUP($AH382,Target_monthwise!$D$24:$O$40,DTR!AE$4,FALSE)),0)</f>
        <v>0</v>
      </c>
      <c r="AF382" s="239">
        <f>IFERROR((HLOOKUP($AH382,Target_monthwise!$D$24:$O$40,DTR!AF$4,FALSE)),0)</f>
        <v>0</v>
      </c>
      <c r="AG382" s="172">
        <f>IFERROR((HLOOKUP($AH382,Target_monthwise!$D$24:$O$40,DTR!AG$4,FALSE)),0)</f>
        <v>0</v>
      </c>
      <c r="AH382" s="253">
        <f t="shared" si="5"/>
        <v>202304</v>
      </c>
    </row>
    <row r="383" spans="3:34" ht="15.75" hidden="1">
      <c r="C383" s="235">
        <v>45026</v>
      </c>
      <c r="D383" s="141">
        <f>IFERROR((HLOOKUP($AH383,Target_monthwise!$D$4:$O$20,DTR!D$4,FALSE))*1000,0)</f>
        <v>0</v>
      </c>
      <c r="E383" s="141">
        <f>IFERROR((HLOOKUP($AH383,Target_monthwise!$D$4:$O$20,DTR!E$4,FALSE))*1000,0)</f>
        <v>0</v>
      </c>
      <c r="F383" s="141">
        <f>IFERROR((HLOOKUP($AH383,Target_monthwise!$D$4:$O$20,DTR!F$4,FALSE))*1000,0)</f>
        <v>0</v>
      </c>
      <c r="G383" s="141">
        <f>IFERROR((HLOOKUP($AH383,Target_monthwise!$D$4:$O$20,DTR!G$4,FALSE))*1000,0)</f>
        <v>0</v>
      </c>
      <c r="H383" s="141">
        <f>IFERROR((HLOOKUP($AH383,Target_monthwise!$D$4:$O$20,DTR!H$4,FALSE))*1000,0)</f>
        <v>0</v>
      </c>
      <c r="I383" s="141">
        <f>IFERROR((HLOOKUP($AH383,Target_monthwise!$D$4:$O$20,DTR!I$4,FALSE))*1000,0)</f>
        <v>0</v>
      </c>
      <c r="J383" s="141">
        <f>IFERROR((HLOOKUP($AH383,Target_monthwise!$D$4:$O$20,DTR!J$4,FALSE))*1000,0)</f>
        <v>0</v>
      </c>
      <c r="K383" s="141">
        <f>IFERROR((HLOOKUP($AH383,Target_monthwise!$D$4:$O$20,DTR!K$4,FALSE))*1000,0)</f>
        <v>0</v>
      </c>
      <c r="L383" s="141">
        <f>IFERROR((HLOOKUP($AH383,Target_monthwise!$D$4:$O$20,DTR!L$4,FALSE))*1000,0)</f>
        <v>0</v>
      </c>
      <c r="M383" s="141">
        <f>IFERROR((HLOOKUP($AH383,Target_monthwise!$D$4:$O$20,DTR!M$4,FALSE))*1000,0)</f>
        <v>0</v>
      </c>
      <c r="N383" s="141">
        <f>IFERROR((HLOOKUP($AH383,Target_monthwise!$D$4:$O$20,DTR!N$4,FALSE))*1000,0)</f>
        <v>0</v>
      </c>
      <c r="O383" s="141">
        <f>IFERROR((HLOOKUP($AH383,Target_monthwise!$D$4:$O$20,DTR!O$4,FALSE))*1000,0)</f>
        <v>0</v>
      </c>
      <c r="P383" s="141">
        <f>IFERROR((HLOOKUP($AH383,Target_monthwise!$D$4:$O$20,DTR!P$4,FALSE))*1000,0)</f>
        <v>0</v>
      </c>
      <c r="Q383" s="141">
        <f>IFERROR((HLOOKUP($AH383,Target_monthwise!$D$4:$O$20,DTR!Q$4,FALSE))*1000,0)</f>
        <v>0</v>
      </c>
      <c r="R383" s="167">
        <f>IFERROR((HLOOKUP($AH383,Target_monthwise!$D$4:$O$20,DTR!R$4,FALSE))*1000,0)</f>
        <v>0</v>
      </c>
      <c r="S383" s="147">
        <f>IFERROR((HLOOKUP($AH383,Target_monthwise!$D$24:$O$40,DTR!S$4,FALSE)),0)</f>
        <v>0</v>
      </c>
      <c r="T383" s="147">
        <f>IFERROR((HLOOKUP($AH383,Target_monthwise!$D$24:$O$40,DTR!T$4,FALSE)),0)</f>
        <v>0</v>
      </c>
      <c r="U383" s="147">
        <f>IFERROR((HLOOKUP($AH383,Target_monthwise!$D$24:$O$40,DTR!U$4,FALSE)),0)</f>
        <v>0</v>
      </c>
      <c r="V383" s="147">
        <f>IFERROR((HLOOKUP($AH383,Target_monthwise!$D$24:$O$40,DTR!V$4,FALSE)),0)</f>
        <v>0</v>
      </c>
      <c r="W383" s="147">
        <f>IFERROR((HLOOKUP($AH383,Target_monthwise!$D$24:$O$40,DTR!W$4,FALSE)),0)</f>
        <v>0</v>
      </c>
      <c r="X383" s="147">
        <f>IFERROR((HLOOKUP($AH383,Target_monthwise!$D$24:$O$40,DTR!X$4,FALSE)),0)</f>
        <v>0</v>
      </c>
      <c r="Y383" s="147">
        <f>IFERROR((HLOOKUP($AH383,Target_monthwise!$D$24:$O$40,DTR!Y$4,FALSE)),0)</f>
        <v>0</v>
      </c>
      <c r="Z383" s="147">
        <f>IFERROR((HLOOKUP($AH383,Target_monthwise!$D$24:$O$40,DTR!Z$4,FALSE)),0)</f>
        <v>0</v>
      </c>
      <c r="AA383" s="147">
        <f>IFERROR((HLOOKUP($AH383,Target_monthwise!$D$24:$O$40,DTR!AA$4,FALSE)),0)</f>
        <v>0</v>
      </c>
      <c r="AB383" s="147">
        <f>IFERROR((HLOOKUP($AH383,Target_monthwise!$D$24:$O$40,DTR!AB$4,FALSE)),0)</f>
        <v>0</v>
      </c>
      <c r="AC383" s="147">
        <f>IFERROR((HLOOKUP($AH383,Target_monthwise!$D$24:$O$40,DTR!AC$4,FALSE)),0)</f>
        <v>0</v>
      </c>
      <c r="AD383" s="147">
        <f>IFERROR((HLOOKUP($AH383,Target_monthwise!$D$24:$O$40,DTR!AD$4,FALSE)),0)</f>
        <v>0</v>
      </c>
      <c r="AE383" s="147">
        <f>IFERROR((HLOOKUP($AH383,Target_monthwise!$D$24:$O$40,DTR!AE$4,FALSE)),0)</f>
        <v>0</v>
      </c>
      <c r="AF383" s="147">
        <f>IFERROR((HLOOKUP($AH383,Target_monthwise!$D$24:$O$40,DTR!AF$4,FALSE)),0)</f>
        <v>0</v>
      </c>
      <c r="AG383" s="172">
        <f>IFERROR((HLOOKUP($AH383,Target_monthwise!$D$24:$O$40,DTR!AG$4,FALSE)),0)</f>
        <v>0</v>
      </c>
      <c r="AH383" s="253">
        <f t="shared" si="5"/>
        <v>202304</v>
      </c>
    </row>
    <row r="384" spans="3:34" ht="15.75" hidden="1">
      <c r="C384" s="237">
        <v>45027</v>
      </c>
      <c r="D384" s="238">
        <f>IFERROR((HLOOKUP($AH384,Target_monthwise!$D$4:$O$20,DTR!D$4,FALSE))*1000,0)</f>
        <v>0</v>
      </c>
      <c r="E384" s="238">
        <f>IFERROR((HLOOKUP($AH384,Target_monthwise!$D$4:$O$20,DTR!E$4,FALSE))*1000,0)</f>
        <v>0</v>
      </c>
      <c r="F384" s="238">
        <f>IFERROR((HLOOKUP($AH384,Target_monthwise!$D$4:$O$20,DTR!F$4,FALSE))*1000,0)</f>
        <v>0</v>
      </c>
      <c r="G384" s="238">
        <f>IFERROR((HLOOKUP($AH384,Target_monthwise!$D$4:$O$20,DTR!G$4,FALSE))*1000,0)</f>
        <v>0</v>
      </c>
      <c r="H384" s="238">
        <f>IFERROR((HLOOKUP($AH384,Target_monthwise!$D$4:$O$20,DTR!H$4,FALSE))*1000,0)</f>
        <v>0</v>
      </c>
      <c r="I384" s="238">
        <f>IFERROR((HLOOKUP($AH384,Target_monthwise!$D$4:$O$20,DTR!I$4,FALSE))*1000,0)</f>
        <v>0</v>
      </c>
      <c r="J384" s="238">
        <f>IFERROR((HLOOKUP($AH384,Target_monthwise!$D$4:$O$20,DTR!J$4,FALSE))*1000,0)</f>
        <v>0</v>
      </c>
      <c r="K384" s="238">
        <f>IFERROR((HLOOKUP($AH384,Target_monthwise!$D$4:$O$20,DTR!K$4,FALSE))*1000,0)</f>
        <v>0</v>
      </c>
      <c r="L384" s="238">
        <f>IFERROR((HLOOKUP($AH384,Target_monthwise!$D$4:$O$20,DTR!L$4,FALSE))*1000,0)</f>
        <v>0</v>
      </c>
      <c r="M384" s="238">
        <f>IFERROR((HLOOKUP($AH384,Target_monthwise!$D$4:$O$20,DTR!M$4,FALSE))*1000,0)</f>
        <v>0</v>
      </c>
      <c r="N384" s="238">
        <f>IFERROR((HLOOKUP($AH384,Target_monthwise!$D$4:$O$20,DTR!N$4,FALSE))*1000,0)</f>
        <v>0</v>
      </c>
      <c r="O384" s="238">
        <f>IFERROR((HLOOKUP($AH384,Target_monthwise!$D$4:$O$20,DTR!O$4,FALSE))*1000,0)</f>
        <v>0</v>
      </c>
      <c r="P384" s="238">
        <f>IFERROR((HLOOKUP($AH384,Target_monthwise!$D$4:$O$20,DTR!P$4,FALSE))*1000,0)</f>
        <v>0</v>
      </c>
      <c r="Q384" s="141">
        <f>IFERROR((HLOOKUP($AH384,Target_monthwise!$D$4:$O$20,DTR!Q$4,FALSE))*1000,0)</f>
        <v>0</v>
      </c>
      <c r="R384" s="167">
        <f>IFERROR((HLOOKUP($AH384,Target_monthwise!$D$4:$O$20,DTR!R$4,FALSE))*1000,0)</f>
        <v>0</v>
      </c>
      <c r="S384" s="239">
        <f>IFERROR((HLOOKUP($AH384,Target_monthwise!$D$24:$O$40,DTR!S$4,FALSE)),0)</f>
        <v>0</v>
      </c>
      <c r="T384" s="239">
        <f>IFERROR((HLOOKUP($AH384,Target_monthwise!$D$24:$O$40,DTR!T$4,FALSE)),0)</f>
        <v>0</v>
      </c>
      <c r="U384" s="239">
        <f>IFERROR((HLOOKUP($AH384,Target_monthwise!$D$24:$O$40,DTR!U$4,FALSE)),0)</f>
        <v>0</v>
      </c>
      <c r="V384" s="239">
        <f>IFERROR((HLOOKUP($AH384,Target_monthwise!$D$24:$O$40,DTR!V$4,FALSE)),0)</f>
        <v>0</v>
      </c>
      <c r="W384" s="239">
        <f>IFERROR((HLOOKUP($AH384,Target_monthwise!$D$24:$O$40,DTR!W$4,FALSE)),0)</f>
        <v>0</v>
      </c>
      <c r="X384" s="239">
        <f>IFERROR((HLOOKUP($AH384,Target_monthwise!$D$24:$O$40,DTR!X$4,FALSE)),0)</f>
        <v>0</v>
      </c>
      <c r="Y384" s="239">
        <f>IFERROR((HLOOKUP($AH384,Target_monthwise!$D$24:$O$40,DTR!Y$4,FALSE)),0)</f>
        <v>0</v>
      </c>
      <c r="Z384" s="147">
        <f>IFERROR((HLOOKUP($AH384,Target_monthwise!$D$24:$O$40,DTR!Z$4,FALSE)),0)</f>
        <v>0</v>
      </c>
      <c r="AA384" s="147">
        <f>IFERROR((HLOOKUP($AH384,Target_monthwise!$D$24:$O$40,DTR!AA$4,FALSE)),0)</f>
        <v>0</v>
      </c>
      <c r="AB384" s="147">
        <f>IFERROR((HLOOKUP($AH384,Target_monthwise!$D$24:$O$40,DTR!AB$4,FALSE)),0)</f>
        <v>0</v>
      </c>
      <c r="AC384" s="239">
        <f>IFERROR((HLOOKUP($AH384,Target_monthwise!$D$24:$O$40,DTR!AC$4,FALSE)),0)</f>
        <v>0</v>
      </c>
      <c r="AD384" s="239">
        <f>IFERROR((HLOOKUP($AH384,Target_monthwise!$D$24:$O$40,DTR!AD$4,FALSE)),0)</f>
        <v>0</v>
      </c>
      <c r="AE384" s="239">
        <f>IFERROR((HLOOKUP($AH384,Target_monthwise!$D$24:$O$40,DTR!AE$4,FALSE)),0)</f>
        <v>0</v>
      </c>
      <c r="AF384" s="239">
        <f>IFERROR((HLOOKUP($AH384,Target_monthwise!$D$24:$O$40,DTR!AF$4,FALSE)),0)</f>
        <v>0</v>
      </c>
      <c r="AG384" s="172">
        <f>IFERROR((HLOOKUP($AH384,Target_monthwise!$D$24:$O$40,DTR!AG$4,FALSE)),0)</f>
        <v>0</v>
      </c>
      <c r="AH384" s="253">
        <f t="shared" si="5"/>
        <v>202304</v>
      </c>
    </row>
    <row r="385" spans="3:34" ht="15.75" hidden="1">
      <c r="C385" s="235">
        <v>45028</v>
      </c>
      <c r="D385" s="141">
        <f>IFERROR((HLOOKUP($AH385,Target_monthwise!$D$4:$O$20,DTR!D$4,FALSE))*1000,0)</f>
        <v>0</v>
      </c>
      <c r="E385" s="141">
        <f>IFERROR((HLOOKUP($AH385,Target_monthwise!$D$4:$O$20,DTR!E$4,FALSE))*1000,0)</f>
        <v>0</v>
      </c>
      <c r="F385" s="141">
        <f>IFERROR((HLOOKUP($AH385,Target_monthwise!$D$4:$O$20,DTR!F$4,FALSE))*1000,0)</f>
        <v>0</v>
      </c>
      <c r="G385" s="141">
        <f>IFERROR((HLOOKUP($AH385,Target_monthwise!$D$4:$O$20,DTR!G$4,FALSE))*1000,0)</f>
        <v>0</v>
      </c>
      <c r="H385" s="141">
        <f>IFERROR((HLOOKUP($AH385,Target_monthwise!$D$4:$O$20,DTR!H$4,FALSE))*1000,0)</f>
        <v>0</v>
      </c>
      <c r="I385" s="141">
        <f>IFERROR((HLOOKUP($AH385,Target_monthwise!$D$4:$O$20,DTR!I$4,FALSE))*1000,0)</f>
        <v>0</v>
      </c>
      <c r="J385" s="141">
        <f>IFERROR((HLOOKUP($AH385,Target_monthwise!$D$4:$O$20,DTR!J$4,FALSE))*1000,0)</f>
        <v>0</v>
      </c>
      <c r="K385" s="141">
        <f>IFERROR((HLOOKUP($AH385,Target_monthwise!$D$4:$O$20,DTR!K$4,FALSE))*1000,0)</f>
        <v>0</v>
      </c>
      <c r="L385" s="141">
        <f>IFERROR((HLOOKUP($AH385,Target_monthwise!$D$4:$O$20,DTR!L$4,FALSE))*1000,0)</f>
        <v>0</v>
      </c>
      <c r="M385" s="141">
        <f>IFERROR((HLOOKUP($AH385,Target_monthwise!$D$4:$O$20,DTR!M$4,FALSE))*1000,0)</f>
        <v>0</v>
      </c>
      <c r="N385" s="141">
        <f>IFERROR((HLOOKUP($AH385,Target_monthwise!$D$4:$O$20,DTR!N$4,FALSE))*1000,0)</f>
        <v>0</v>
      </c>
      <c r="O385" s="141">
        <f>IFERROR((HLOOKUP($AH385,Target_monthwise!$D$4:$O$20,DTR!O$4,FALSE))*1000,0)</f>
        <v>0</v>
      </c>
      <c r="P385" s="141">
        <f>IFERROR((HLOOKUP($AH385,Target_monthwise!$D$4:$O$20,DTR!P$4,FALSE))*1000,0)</f>
        <v>0</v>
      </c>
      <c r="Q385" s="141">
        <f>IFERROR((HLOOKUP($AH385,Target_monthwise!$D$4:$O$20,DTR!Q$4,FALSE))*1000,0)</f>
        <v>0</v>
      </c>
      <c r="R385" s="167">
        <f>IFERROR((HLOOKUP($AH385,Target_monthwise!$D$4:$O$20,DTR!R$4,FALSE))*1000,0)</f>
        <v>0</v>
      </c>
      <c r="S385" s="147">
        <f>IFERROR((HLOOKUP($AH385,Target_monthwise!$D$24:$O$40,DTR!S$4,FALSE)),0)</f>
        <v>0</v>
      </c>
      <c r="T385" s="147">
        <f>IFERROR((HLOOKUP($AH385,Target_monthwise!$D$24:$O$40,DTR!T$4,FALSE)),0)</f>
        <v>0</v>
      </c>
      <c r="U385" s="147">
        <f>IFERROR((HLOOKUP($AH385,Target_monthwise!$D$24:$O$40,DTR!U$4,FALSE)),0)</f>
        <v>0</v>
      </c>
      <c r="V385" s="147">
        <f>IFERROR((HLOOKUP($AH385,Target_monthwise!$D$24:$O$40,DTR!V$4,FALSE)),0)</f>
        <v>0</v>
      </c>
      <c r="W385" s="147">
        <f>IFERROR((HLOOKUP($AH385,Target_monthwise!$D$24:$O$40,DTR!W$4,FALSE)),0)</f>
        <v>0</v>
      </c>
      <c r="X385" s="147">
        <f>IFERROR((HLOOKUP($AH385,Target_monthwise!$D$24:$O$40,DTR!X$4,FALSE)),0)</f>
        <v>0</v>
      </c>
      <c r="Y385" s="147">
        <f>IFERROR((HLOOKUP($AH385,Target_monthwise!$D$24:$O$40,DTR!Y$4,FALSE)),0)</f>
        <v>0</v>
      </c>
      <c r="Z385" s="147">
        <f>IFERROR((HLOOKUP($AH385,Target_monthwise!$D$24:$O$40,DTR!Z$4,FALSE)),0)</f>
        <v>0</v>
      </c>
      <c r="AA385" s="147">
        <f>IFERROR((HLOOKUP($AH385,Target_monthwise!$D$24:$O$40,DTR!AA$4,FALSE)),0)</f>
        <v>0</v>
      </c>
      <c r="AB385" s="147">
        <f>IFERROR((HLOOKUP($AH385,Target_monthwise!$D$24:$O$40,DTR!AB$4,FALSE)),0)</f>
        <v>0</v>
      </c>
      <c r="AC385" s="147">
        <f>IFERROR((HLOOKUP($AH385,Target_monthwise!$D$24:$O$40,DTR!AC$4,FALSE)),0)</f>
        <v>0</v>
      </c>
      <c r="AD385" s="147">
        <f>IFERROR((HLOOKUP($AH385,Target_monthwise!$D$24:$O$40,DTR!AD$4,FALSE)),0)</f>
        <v>0</v>
      </c>
      <c r="AE385" s="147">
        <f>IFERROR((HLOOKUP($AH385,Target_monthwise!$D$24:$O$40,DTR!AE$4,FALSE)),0)</f>
        <v>0</v>
      </c>
      <c r="AF385" s="147">
        <f>IFERROR((HLOOKUP($AH385,Target_monthwise!$D$24:$O$40,DTR!AF$4,FALSE)),0)</f>
        <v>0</v>
      </c>
      <c r="AG385" s="172">
        <f>IFERROR((HLOOKUP($AH385,Target_monthwise!$D$24:$O$40,DTR!AG$4,FALSE)),0)</f>
        <v>0</v>
      </c>
      <c r="AH385" s="253">
        <f t="shared" si="5"/>
        <v>202304</v>
      </c>
    </row>
    <row r="386" spans="3:34" ht="15.75" hidden="1">
      <c r="C386" s="237">
        <v>45029</v>
      </c>
      <c r="D386" s="238">
        <f>IFERROR((HLOOKUP($AH386,Target_monthwise!$D$4:$O$20,DTR!D$4,FALSE))*1000,0)</f>
        <v>0</v>
      </c>
      <c r="E386" s="238">
        <f>IFERROR((HLOOKUP($AH386,Target_monthwise!$D$4:$O$20,DTR!E$4,FALSE))*1000,0)</f>
        <v>0</v>
      </c>
      <c r="F386" s="238">
        <f>IFERROR((HLOOKUP($AH386,Target_monthwise!$D$4:$O$20,DTR!F$4,FALSE))*1000,0)</f>
        <v>0</v>
      </c>
      <c r="G386" s="238">
        <f>IFERROR((HLOOKUP($AH386,Target_monthwise!$D$4:$O$20,DTR!G$4,FALSE))*1000,0)</f>
        <v>0</v>
      </c>
      <c r="H386" s="238">
        <f>IFERROR((HLOOKUP($AH386,Target_monthwise!$D$4:$O$20,DTR!H$4,FALSE))*1000,0)</f>
        <v>0</v>
      </c>
      <c r="I386" s="238">
        <f>IFERROR((HLOOKUP($AH386,Target_monthwise!$D$4:$O$20,DTR!I$4,FALSE))*1000,0)</f>
        <v>0</v>
      </c>
      <c r="J386" s="238">
        <f>IFERROR((HLOOKUP($AH386,Target_monthwise!$D$4:$O$20,DTR!J$4,FALSE))*1000,0)</f>
        <v>0</v>
      </c>
      <c r="K386" s="238">
        <f>IFERROR((HLOOKUP($AH386,Target_monthwise!$D$4:$O$20,DTR!K$4,FALSE))*1000,0)</f>
        <v>0</v>
      </c>
      <c r="L386" s="238">
        <f>IFERROR((HLOOKUP($AH386,Target_monthwise!$D$4:$O$20,DTR!L$4,FALSE))*1000,0)</f>
        <v>0</v>
      </c>
      <c r="M386" s="238">
        <f>IFERROR((HLOOKUP($AH386,Target_monthwise!$D$4:$O$20,DTR!M$4,FALSE))*1000,0)</f>
        <v>0</v>
      </c>
      <c r="N386" s="238">
        <f>IFERROR((HLOOKUP($AH386,Target_monthwise!$D$4:$O$20,DTR!N$4,FALSE))*1000,0)</f>
        <v>0</v>
      </c>
      <c r="O386" s="238">
        <f>IFERROR((HLOOKUP($AH386,Target_monthwise!$D$4:$O$20,DTR!O$4,FALSE))*1000,0)</f>
        <v>0</v>
      </c>
      <c r="P386" s="238">
        <f>IFERROR((HLOOKUP($AH386,Target_monthwise!$D$4:$O$20,DTR!P$4,FALSE))*1000,0)</f>
        <v>0</v>
      </c>
      <c r="Q386" s="141">
        <f>IFERROR((HLOOKUP($AH386,Target_monthwise!$D$4:$O$20,DTR!Q$4,FALSE))*1000,0)</f>
        <v>0</v>
      </c>
      <c r="R386" s="167">
        <f>IFERROR((HLOOKUP($AH386,Target_monthwise!$D$4:$O$20,DTR!R$4,FALSE))*1000,0)</f>
        <v>0</v>
      </c>
      <c r="S386" s="239">
        <f>IFERROR((HLOOKUP($AH386,Target_monthwise!$D$24:$O$40,DTR!S$4,FALSE)),0)</f>
        <v>0</v>
      </c>
      <c r="T386" s="239">
        <f>IFERROR((HLOOKUP($AH386,Target_monthwise!$D$24:$O$40,DTR!T$4,FALSE)),0)</f>
        <v>0</v>
      </c>
      <c r="U386" s="239">
        <f>IFERROR((HLOOKUP($AH386,Target_monthwise!$D$24:$O$40,DTR!U$4,FALSE)),0)</f>
        <v>0</v>
      </c>
      <c r="V386" s="239">
        <f>IFERROR((HLOOKUP($AH386,Target_monthwise!$D$24:$O$40,DTR!V$4,FALSE)),0)</f>
        <v>0</v>
      </c>
      <c r="W386" s="239">
        <f>IFERROR((HLOOKUP($AH386,Target_monthwise!$D$24:$O$40,DTR!W$4,FALSE)),0)</f>
        <v>0</v>
      </c>
      <c r="X386" s="239">
        <f>IFERROR((HLOOKUP($AH386,Target_monthwise!$D$24:$O$40,DTR!X$4,FALSE)),0)</f>
        <v>0</v>
      </c>
      <c r="Y386" s="239">
        <f>IFERROR((HLOOKUP($AH386,Target_monthwise!$D$24:$O$40,DTR!Y$4,FALSE)),0)</f>
        <v>0</v>
      </c>
      <c r="Z386" s="147">
        <f>IFERROR((HLOOKUP($AH386,Target_monthwise!$D$24:$O$40,DTR!Z$4,FALSE)),0)</f>
        <v>0</v>
      </c>
      <c r="AA386" s="147">
        <f>IFERROR((HLOOKUP($AH386,Target_monthwise!$D$24:$O$40,DTR!AA$4,FALSE)),0)</f>
        <v>0</v>
      </c>
      <c r="AB386" s="147">
        <f>IFERROR((HLOOKUP($AH386,Target_monthwise!$D$24:$O$40,DTR!AB$4,FALSE)),0)</f>
        <v>0</v>
      </c>
      <c r="AC386" s="239">
        <f>IFERROR((HLOOKUP($AH386,Target_monthwise!$D$24:$O$40,DTR!AC$4,FALSE)),0)</f>
        <v>0</v>
      </c>
      <c r="AD386" s="239">
        <f>IFERROR((HLOOKUP($AH386,Target_monthwise!$D$24:$O$40,DTR!AD$4,FALSE)),0)</f>
        <v>0</v>
      </c>
      <c r="AE386" s="239">
        <f>IFERROR((HLOOKUP($AH386,Target_monthwise!$D$24:$O$40,DTR!AE$4,FALSE)),0)</f>
        <v>0</v>
      </c>
      <c r="AF386" s="239">
        <f>IFERROR((HLOOKUP($AH386,Target_monthwise!$D$24:$O$40,DTR!AF$4,FALSE)),0)</f>
        <v>0</v>
      </c>
      <c r="AG386" s="172">
        <f>IFERROR((HLOOKUP($AH386,Target_monthwise!$D$24:$O$40,DTR!AG$4,FALSE)),0)</f>
        <v>0</v>
      </c>
      <c r="AH386" s="253">
        <f t="shared" si="5"/>
        <v>202304</v>
      </c>
    </row>
    <row r="387" spans="3:34" ht="15.75" hidden="1">
      <c r="C387" s="235">
        <v>45030</v>
      </c>
      <c r="D387" s="141">
        <f>IFERROR((HLOOKUP($AH387,Target_monthwise!$D$4:$O$20,DTR!D$4,FALSE))*1000,0)</f>
        <v>0</v>
      </c>
      <c r="E387" s="141">
        <f>IFERROR((HLOOKUP($AH387,Target_monthwise!$D$4:$O$20,DTR!E$4,FALSE))*1000,0)</f>
        <v>0</v>
      </c>
      <c r="F387" s="141">
        <f>IFERROR((HLOOKUP($AH387,Target_monthwise!$D$4:$O$20,DTR!F$4,FALSE))*1000,0)</f>
        <v>0</v>
      </c>
      <c r="G387" s="141">
        <f>IFERROR((HLOOKUP($AH387,Target_monthwise!$D$4:$O$20,DTR!G$4,FALSE))*1000,0)</f>
        <v>0</v>
      </c>
      <c r="H387" s="141">
        <f>IFERROR((HLOOKUP($AH387,Target_monthwise!$D$4:$O$20,DTR!H$4,FALSE))*1000,0)</f>
        <v>0</v>
      </c>
      <c r="I387" s="141">
        <f>IFERROR((HLOOKUP($AH387,Target_monthwise!$D$4:$O$20,DTR!I$4,FALSE))*1000,0)</f>
        <v>0</v>
      </c>
      <c r="J387" s="141">
        <f>IFERROR((HLOOKUP($AH387,Target_monthwise!$D$4:$O$20,DTR!J$4,FALSE))*1000,0)</f>
        <v>0</v>
      </c>
      <c r="K387" s="141">
        <f>IFERROR((HLOOKUP($AH387,Target_monthwise!$D$4:$O$20,DTR!K$4,FALSE))*1000,0)</f>
        <v>0</v>
      </c>
      <c r="L387" s="141">
        <f>IFERROR((HLOOKUP($AH387,Target_monthwise!$D$4:$O$20,DTR!L$4,FALSE))*1000,0)</f>
        <v>0</v>
      </c>
      <c r="M387" s="141">
        <f>IFERROR((HLOOKUP($AH387,Target_monthwise!$D$4:$O$20,DTR!M$4,FALSE))*1000,0)</f>
        <v>0</v>
      </c>
      <c r="N387" s="141">
        <f>IFERROR((HLOOKUP($AH387,Target_monthwise!$D$4:$O$20,DTR!N$4,FALSE))*1000,0)</f>
        <v>0</v>
      </c>
      <c r="O387" s="141">
        <f>IFERROR((HLOOKUP($AH387,Target_monthwise!$D$4:$O$20,DTR!O$4,FALSE))*1000,0)</f>
        <v>0</v>
      </c>
      <c r="P387" s="141">
        <f>IFERROR((HLOOKUP($AH387,Target_monthwise!$D$4:$O$20,DTR!P$4,FALSE))*1000,0)</f>
        <v>0</v>
      </c>
      <c r="Q387" s="141">
        <f>IFERROR((HLOOKUP($AH387,Target_monthwise!$D$4:$O$20,DTR!Q$4,FALSE))*1000,0)</f>
        <v>0</v>
      </c>
      <c r="R387" s="167">
        <f>IFERROR((HLOOKUP($AH387,Target_monthwise!$D$4:$O$20,DTR!R$4,FALSE))*1000,0)</f>
        <v>0</v>
      </c>
      <c r="S387" s="147">
        <f>IFERROR((HLOOKUP($AH387,Target_monthwise!$D$24:$O$40,DTR!S$4,FALSE)),0)</f>
        <v>0</v>
      </c>
      <c r="T387" s="147">
        <f>IFERROR((HLOOKUP($AH387,Target_monthwise!$D$24:$O$40,DTR!T$4,FALSE)),0)</f>
        <v>0</v>
      </c>
      <c r="U387" s="147">
        <f>IFERROR((HLOOKUP($AH387,Target_monthwise!$D$24:$O$40,DTR!U$4,FALSE)),0)</f>
        <v>0</v>
      </c>
      <c r="V387" s="147">
        <f>IFERROR((HLOOKUP($AH387,Target_monthwise!$D$24:$O$40,DTR!V$4,FALSE)),0)</f>
        <v>0</v>
      </c>
      <c r="W387" s="147">
        <f>IFERROR((HLOOKUP($AH387,Target_monthwise!$D$24:$O$40,DTR!W$4,FALSE)),0)</f>
        <v>0</v>
      </c>
      <c r="X387" s="147">
        <f>IFERROR((HLOOKUP($AH387,Target_monthwise!$D$24:$O$40,DTR!X$4,FALSE)),0)</f>
        <v>0</v>
      </c>
      <c r="Y387" s="147">
        <f>IFERROR((HLOOKUP($AH387,Target_monthwise!$D$24:$O$40,DTR!Y$4,FALSE)),0)</f>
        <v>0</v>
      </c>
      <c r="Z387" s="147">
        <f>IFERROR((HLOOKUP($AH387,Target_monthwise!$D$24:$O$40,DTR!Z$4,FALSE)),0)</f>
        <v>0</v>
      </c>
      <c r="AA387" s="147">
        <f>IFERROR((HLOOKUP($AH387,Target_monthwise!$D$24:$O$40,DTR!AA$4,FALSE)),0)</f>
        <v>0</v>
      </c>
      <c r="AB387" s="147">
        <f>IFERROR((HLOOKUP($AH387,Target_monthwise!$D$24:$O$40,DTR!AB$4,FALSE)),0)</f>
        <v>0</v>
      </c>
      <c r="AC387" s="147">
        <f>IFERROR((HLOOKUP($AH387,Target_monthwise!$D$24:$O$40,DTR!AC$4,FALSE)),0)</f>
        <v>0</v>
      </c>
      <c r="AD387" s="147">
        <f>IFERROR((HLOOKUP($AH387,Target_monthwise!$D$24:$O$40,DTR!AD$4,FALSE)),0)</f>
        <v>0</v>
      </c>
      <c r="AE387" s="147">
        <f>IFERROR((HLOOKUP($AH387,Target_monthwise!$D$24:$O$40,DTR!AE$4,FALSE)),0)</f>
        <v>0</v>
      </c>
      <c r="AF387" s="147">
        <f>IFERROR((HLOOKUP($AH387,Target_monthwise!$D$24:$O$40,DTR!AF$4,FALSE)),0)</f>
        <v>0</v>
      </c>
      <c r="AG387" s="172">
        <f>IFERROR((HLOOKUP($AH387,Target_monthwise!$D$24:$O$40,DTR!AG$4,FALSE)),0)</f>
        <v>0</v>
      </c>
      <c r="AH387" s="253">
        <f t="shared" si="5"/>
        <v>202304</v>
      </c>
    </row>
    <row r="388" spans="3:34" ht="15.75" hidden="1">
      <c r="C388" s="237">
        <v>45031</v>
      </c>
      <c r="D388" s="238">
        <f>IFERROR((HLOOKUP($AH388,Target_monthwise!$D$4:$O$20,DTR!D$4,FALSE))*1000,0)</f>
        <v>0</v>
      </c>
      <c r="E388" s="238">
        <f>IFERROR((HLOOKUP($AH388,Target_monthwise!$D$4:$O$20,DTR!E$4,FALSE))*1000,0)</f>
        <v>0</v>
      </c>
      <c r="F388" s="238">
        <f>IFERROR((HLOOKUP($AH388,Target_monthwise!$D$4:$O$20,DTR!F$4,FALSE))*1000,0)</f>
        <v>0</v>
      </c>
      <c r="G388" s="238">
        <f>IFERROR((HLOOKUP($AH388,Target_monthwise!$D$4:$O$20,DTR!G$4,FALSE))*1000,0)</f>
        <v>0</v>
      </c>
      <c r="H388" s="238">
        <f>IFERROR((HLOOKUP($AH388,Target_monthwise!$D$4:$O$20,DTR!H$4,FALSE))*1000,0)</f>
        <v>0</v>
      </c>
      <c r="I388" s="238">
        <f>IFERROR((HLOOKUP($AH388,Target_monthwise!$D$4:$O$20,DTR!I$4,FALSE))*1000,0)</f>
        <v>0</v>
      </c>
      <c r="J388" s="238">
        <f>IFERROR((HLOOKUP($AH388,Target_monthwise!$D$4:$O$20,DTR!J$4,FALSE))*1000,0)</f>
        <v>0</v>
      </c>
      <c r="K388" s="238">
        <f>IFERROR((HLOOKUP($AH388,Target_monthwise!$D$4:$O$20,DTR!K$4,FALSE))*1000,0)</f>
        <v>0</v>
      </c>
      <c r="L388" s="238">
        <f>IFERROR((HLOOKUP($AH388,Target_monthwise!$D$4:$O$20,DTR!L$4,FALSE))*1000,0)</f>
        <v>0</v>
      </c>
      <c r="M388" s="238">
        <f>IFERROR((HLOOKUP($AH388,Target_monthwise!$D$4:$O$20,DTR!M$4,FALSE))*1000,0)</f>
        <v>0</v>
      </c>
      <c r="N388" s="238">
        <f>IFERROR((HLOOKUP($AH388,Target_monthwise!$D$4:$O$20,DTR!N$4,FALSE))*1000,0)</f>
        <v>0</v>
      </c>
      <c r="O388" s="238">
        <f>IFERROR((HLOOKUP($AH388,Target_monthwise!$D$4:$O$20,DTR!O$4,FALSE))*1000,0)</f>
        <v>0</v>
      </c>
      <c r="P388" s="238">
        <f>IFERROR((HLOOKUP($AH388,Target_monthwise!$D$4:$O$20,DTR!P$4,FALSE))*1000,0)</f>
        <v>0</v>
      </c>
      <c r="Q388" s="141">
        <f>IFERROR((HLOOKUP($AH388,Target_monthwise!$D$4:$O$20,DTR!Q$4,FALSE))*1000,0)</f>
        <v>0</v>
      </c>
      <c r="R388" s="167">
        <f>IFERROR((HLOOKUP($AH388,Target_monthwise!$D$4:$O$20,DTR!R$4,FALSE))*1000,0)</f>
        <v>0</v>
      </c>
      <c r="S388" s="239">
        <f>IFERROR((HLOOKUP($AH388,Target_monthwise!$D$24:$O$40,DTR!S$4,FALSE)),0)</f>
        <v>0</v>
      </c>
      <c r="T388" s="239">
        <f>IFERROR((HLOOKUP($AH388,Target_monthwise!$D$24:$O$40,DTR!T$4,FALSE)),0)</f>
        <v>0</v>
      </c>
      <c r="U388" s="239">
        <f>IFERROR((HLOOKUP($AH388,Target_monthwise!$D$24:$O$40,DTR!U$4,FALSE)),0)</f>
        <v>0</v>
      </c>
      <c r="V388" s="239">
        <f>IFERROR((HLOOKUP($AH388,Target_monthwise!$D$24:$O$40,DTR!V$4,FALSE)),0)</f>
        <v>0</v>
      </c>
      <c r="W388" s="239">
        <f>IFERROR((HLOOKUP($AH388,Target_monthwise!$D$24:$O$40,DTR!W$4,FALSE)),0)</f>
        <v>0</v>
      </c>
      <c r="X388" s="239">
        <f>IFERROR((HLOOKUP($AH388,Target_monthwise!$D$24:$O$40,DTR!X$4,FALSE)),0)</f>
        <v>0</v>
      </c>
      <c r="Y388" s="239">
        <f>IFERROR((HLOOKUP($AH388,Target_monthwise!$D$24:$O$40,DTR!Y$4,FALSE)),0)</f>
        <v>0</v>
      </c>
      <c r="Z388" s="147">
        <f>IFERROR((HLOOKUP($AH388,Target_monthwise!$D$24:$O$40,DTR!Z$4,FALSE)),0)</f>
        <v>0</v>
      </c>
      <c r="AA388" s="147">
        <f>IFERROR((HLOOKUP($AH388,Target_monthwise!$D$24:$O$40,DTR!AA$4,FALSE)),0)</f>
        <v>0</v>
      </c>
      <c r="AB388" s="147">
        <f>IFERROR((HLOOKUP($AH388,Target_monthwise!$D$24:$O$40,DTR!AB$4,FALSE)),0)</f>
        <v>0</v>
      </c>
      <c r="AC388" s="239">
        <f>IFERROR((HLOOKUP($AH388,Target_monthwise!$D$24:$O$40,DTR!AC$4,FALSE)),0)</f>
        <v>0</v>
      </c>
      <c r="AD388" s="239">
        <f>IFERROR((HLOOKUP($AH388,Target_monthwise!$D$24:$O$40,DTR!AD$4,FALSE)),0)</f>
        <v>0</v>
      </c>
      <c r="AE388" s="239">
        <f>IFERROR((HLOOKUP($AH388,Target_monthwise!$D$24:$O$40,DTR!AE$4,FALSE)),0)</f>
        <v>0</v>
      </c>
      <c r="AF388" s="239">
        <f>IFERROR((HLOOKUP($AH388,Target_monthwise!$D$24:$O$40,DTR!AF$4,FALSE)),0)</f>
        <v>0</v>
      </c>
      <c r="AG388" s="172">
        <f>IFERROR((HLOOKUP($AH388,Target_monthwise!$D$24:$O$40,DTR!AG$4,FALSE)),0)</f>
        <v>0</v>
      </c>
      <c r="AH388" s="253">
        <f t="shared" si="5"/>
        <v>202304</v>
      </c>
    </row>
    <row r="389" spans="3:34" ht="15.75" hidden="1">
      <c r="C389" s="235">
        <v>45032</v>
      </c>
      <c r="D389" s="141">
        <f>IFERROR((HLOOKUP($AH389,Target_monthwise!$D$4:$O$20,DTR!D$4,FALSE))*1000,0)</f>
        <v>0</v>
      </c>
      <c r="E389" s="141">
        <f>IFERROR((HLOOKUP($AH389,Target_monthwise!$D$4:$O$20,DTR!E$4,FALSE))*1000,0)</f>
        <v>0</v>
      </c>
      <c r="F389" s="141">
        <f>IFERROR((HLOOKUP($AH389,Target_monthwise!$D$4:$O$20,DTR!F$4,FALSE))*1000,0)</f>
        <v>0</v>
      </c>
      <c r="G389" s="141">
        <f>IFERROR((HLOOKUP($AH389,Target_monthwise!$D$4:$O$20,DTR!G$4,FALSE))*1000,0)</f>
        <v>0</v>
      </c>
      <c r="H389" s="141">
        <f>IFERROR((HLOOKUP($AH389,Target_monthwise!$D$4:$O$20,DTR!H$4,FALSE))*1000,0)</f>
        <v>0</v>
      </c>
      <c r="I389" s="141">
        <f>IFERROR((HLOOKUP($AH389,Target_monthwise!$D$4:$O$20,DTR!I$4,FALSE))*1000,0)</f>
        <v>0</v>
      </c>
      <c r="J389" s="141">
        <f>IFERROR((HLOOKUP($AH389,Target_monthwise!$D$4:$O$20,DTR!J$4,FALSE))*1000,0)</f>
        <v>0</v>
      </c>
      <c r="K389" s="141">
        <f>IFERROR((HLOOKUP($AH389,Target_monthwise!$D$4:$O$20,DTR!K$4,FALSE))*1000,0)</f>
        <v>0</v>
      </c>
      <c r="L389" s="141">
        <f>IFERROR((HLOOKUP($AH389,Target_monthwise!$D$4:$O$20,DTR!L$4,FALSE))*1000,0)</f>
        <v>0</v>
      </c>
      <c r="M389" s="141">
        <f>IFERROR((HLOOKUP($AH389,Target_monthwise!$D$4:$O$20,DTR!M$4,FALSE))*1000,0)</f>
        <v>0</v>
      </c>
      <c r="N389" s="141">
        <f>IFERROR((HLOOKUP($AH389,Target_monthwise!$D$4:$O$20,DTR!N$4,FALSE))*1000,0)</f>
        <v>0</v>
      </c>
      <c r="O389" s="141">
        <f>IFERROR((HLOOKUP($AH389,Target_monthwise!$D$4:$O$20,DTR!O$4,FALSE))*1000,0)</f>
        <v>0</v>
      </c>
      <c r="P389" s="141">
        <f>IFERROR((HLOOKUP($AH389,Target_monthwise!$D$4:$O$20,DTR!P$4,FALSE))*1000,0)</f>
        <v>0</v>
      </c>
      <c r="Q389" s="141">
        <f>IFERROR((HLOOKUP($AH389,Target_monthwise!$D$4:$O$20,DTR!Q$4,FALSE))*1000,0)</f>
        <v>0</v>
      </c>
      <c r="R389" s="167">
        <f>IFERROR((HLOOKUP($AH389,Target_monthwise!$D$4:$O$20,DTR!R$4,FALSE))*1000,0)</f>
        <v>0</v>
      </c>
      <c r="S389" s="147">
        <f>IFERROR((HLOOKUP($AH389,Target_monthwise!$D$24:$O$40,DTR!S$4,FALSE)),0)</f>
        <v>0</v>
      </c>
      <c r="T389" s="147">
        <f>IFERROR((HLOOKUP($AH389,Target_monthwise!$D$24:$O$40,DTR!T$4,FALSE)),0)</f>
        <v>0</v>
      </c>
      <c r="U389" s="147">
        <f>IFERROR((HLOOKUP($AH389,Target_monthwise!$D$24:$O$40,DTR!U$4,FALSE)),0)</f>
        <v>0</v>
      </c>
      <c r="V389" s="147">
        <f>IFERROR((HLOOKUP($AH389,Target_monthwise!$D$24:$O$40,DTR!V$4,FALSE)),0)</f>
        <v>0</v>
      </c>
      <c r="W389" s="147">
        <f>IFERROR((HLOOKUP($AH389,Target_monthwise!$D$24:$O$40,DTR!W$4,FALSE)),0)</f>
        <v>0</v>
      </c>
      <c r="X389" s="147">
        <f>IFERROR((HLOOKUP($AH389,Target_monthwise!$D$24:$O$40,DTR!X$4,FALSE)),0)</f>
        <v>0</v>
      </c>
      <c r="Y389" s="147">
        <f>IFERROR((HLOOKUP($AH389,Target_monthwise!$D$24:$O$40,DTR!Y$4,FALSE)),0)</f>
        <v>0</v>
      </c>
      <c r="Z389" s="147">
        <f>IFERROR((HLOOKUP($AH389,Target_monthwise!$D$24:$O$40,DTR!Z$4,FALSE)),0)</f>
        <v>0</v>
      </c>
      <c r="AA389" s="147">
        <f>IFERROR((HLOOKUP($AH389,Target_monthwise!$D$24:$O$40,DTR!AA$4,FALSE)),0)</f>
        <v>0</v>
      </c>
      <c r="AB389" s="147">
        <f>IFERROR((HLOOKUP($AH389,Target_monthwise!$D$24:$O$40,DTR!AB$4,FALSE)),0)</f>
        <v>0</v>
      </c>
      <c r="AC389" s="147">
        <f>IFERROR((HLOOKUP($AH389,Target_monthwise!$D$24:$O$40,DTR!AC$4,FALSE)),0)</f>
        <v>0</v>
      </c>
      <c r="AD389" s="147">
        <f>IFERROR((HLOOKUP($AH389,Target_monthwise!$D$24:$O$40,DTR!AD$4,FALSE)),0)</f>
        <v>0</v>
      </c>
      <c r="AE389" s="147">
        <f>IFERROR((HLOOKUP($AH389,Target_monthwise!$D$24:$O$40,DTR!AE$4,FALSE)),0)</f>
        <v>0</v>
      </c>
      <c r="AF389" s="147">
        <f>IFERROR((HLOOKUP($AH389,Target_monthwise!$D$24:$O$40,DTR!AF$4,FALSE)),0)</f>
        <v>0</v>
      </c>
      <c r="AG389" s="172">
        <f>IFERROR((HLOOKUP($AH389,Target_monthwise!$D$24:$O$40,DTR!AG$4,FALSE)),0)</f>
        <v>0</v>
      </c>
      <c r="AH389" s="253">
        <f t="shared" si="5"/>
        <v>202304</v>
      </c>
    </row>
    <row r="390" spans="3:34" ht="15.75" hidden="1">
      <c r="C390" s="237">
        <v>45033</v>
      </c>
      <c r="D390" s="238">
        <f>IFERROR((HLOOKUP($AH390,Target_monthwise!$D$4:$O$20,DTR!D$4,FALSE))*1000,0)</f>
        <v>0</v>
      </c>
      <c r="E390" s="238">
        <f>IFERROR((HLOOKUP($AH390,Target_monthwise!$D$4:$O$20,DTR!E$4,FALSE))*1000,0)</f>
        <v>0</v>
      </c>
      <c r="F390" s="238">
        <f>IFERROR((HLOOKUP($AH390,Target_monthwise!$D$4:$O$20,DTR!F$4,FALSE))*1000,0)</f>
        <v>0</v>
      </c>
      <c r="G390" s="238">
        <f>IFERROR((HLOOKUP($AH390,Target_monthwise!$D$4:$O$20,DTR!G$4,FALSE))*1000,0)</f>
        <v>0</v>
      </c>
      <c r="H390" s="238">
        <f>IFERROR((HLOOKUP($AH390,Target_monthwise!$D$4:$O$20,DTR!H$4,FALSE))*1000,0)</f>
        <v>0</v>
      </c>
      <c r="I390" s="238">
        <f>IFERROR((HLOOKUP($AH390,Target_monthwise!$D$4:$O$20,DTR!I$4,FALSE))*1000,0)</f>
        <v>0</v>
      </c>
      <c r="J390" s="238">
        <f>IFERROR((HLOOKUP($AH390,Target_monthwise!$D$4:$O$20,DTR!J$4,FALSE))*1000,0)</f>
        <v>0</v>
      </c>
      <c r="K390" s="238">
        <f>IFERROR((HLOOKUP($AH390,Target_monthwise!$D$4:$O$20,DTR!K$4,FALSE))*1000,0)</f>
        <v>0</v>
      </c>
      <c r="L390" s="238">
        <f>IFERROR((HLOOKUP($AH390,Target_monthwise!$D$4:$O$20,DTR!L$4,FALSE))*1000,0)</f>
        <v>0</v>
      </c>
      <c r="M390" s="238">
        <f>IFERROR((HLOOKUP($AH390,Target_monthwise!$D$4:$O$20,DTR!M$4,FALSE))*1000,0)</f>
        <v>0</v>
      </c>
      <c r="N390" s="238">
        <f>IFERROR((HLOOKUP($AH390,Target_monthwise!$D$4:$O$20,DTR!N$4,FALSE))*1000,0)</f>
        <v>0</v>
      </c>
      <c r="O390" s="238">
        <f>IFERROR((HLOOKUP($AH390,Target_monthwise!$D$4:$O$20,DTR!O$4,FALSE))*1000,0)</f>
        <v>0</v>
      </c>
      <c r="P390" s="238">
        <f>IFERROR((HLOOKUP($AH390,Target_monthwise!$D$4:$O$20,DTR!P$4,FALSE))*1000,0)</f>
        <v>0</v>
      </c>
      <c r="Q390" s="141">
        <f>IFERROR((HLOOKUP($AH390,Target_monthwise!$D$4:$O$20,DTR!Q$4,FALSE))*1000,0)</f>
        <v>0</v>
      </c>
      <c r="R390" s="167">
        <f>IFERROR((HLOOKUP($AH390,Target_monthwise!$D$4:$O$20,DTR!R$4,FALSE))*1000,0)</f>
        <v>0</v>
      </c>
      <c r="S390" s="239">
        <f>IFERROR((HLOOKUP($AH390,Target_monthwise!$D$24:$O$40,DTR!S$4,FALSE)),0)</f>
        <v>0</v>
      </c>
      <c r="T390" s="239">
        <f>IFERROR((HLOOKUP($AH390,Target_monthwise!$D$24:$O$40,DTR!T$4,FALSE)),0)</f>
        <v>0</v>
      </c>
      <c r="U390" s="239">
        <f>IFERROR((HLOOKUP($AH390,Target_monthwise!$D$24:$O$40,DTR!U$4,FALSE)),0)</f>
        <v>0</v>
      </c>
      <c r="V390" s="239">
        <f>IFERROR((HLOOKUP($AH390,Target_monthwise!$D$24:$O$40,DTR!V$4,FALSE)),0)</f>
        <v>0</v>
      </c>
      <c r="W390" s="239">
        <f>IFERROR((HLOOKUP($AH390,Target_monthwise!$D$24:$O$40,DTR!W$4,FALSE)),0)</f>
        <v>0</v>
      </c>
      <c r="X390" s="239">
        <f>IFERROR((HLOOKUP($AH390,Target_monthwise!$D$24:$O$40,DTR!X$4,FALSE)),0)</f>
        <v>0</v>
      </c>
      <c r="Y390" s="239">
        <f>IFERROR((HLOOKUP($AH390,Target_monthwise!$D$24:$O$40,DTR!Y$4,FALSE)),0)</f>
        <v>0</v>
      </c>
      <c r="Z390" s="147">
        <f>IFERROR((HLOOKUP($AH390,Target_monthwise!$D$24:$O$40,DTR!Z$4,FALSE)),0)</f>
        <v>0</v>
      </c>
      <c r="AA390" s="147">
        <f>IFERROR((HLOOKUP($AH390,Target_monthwise!$D$24:$O$40,DTR!AA$4,FALSE)),0)</f>
        <v>0</v>
      </c>
      <c r="AB390" s="147">
        <f>IFERROR((HLOOKUP($AH390,Target_monthwise!$D$24:$O$40,DTR!AB$4,FALSE)),0)</f>
        <v>0</v>
      </c>
      <c r="AC390" s="239">
        <f>IFERROR((HLOOKUP($AH390,Target_monthwise!$D$24:$O$40,DTR!AC$4,FALSE)),0)</f>
        <v>0</v>
      </c>
      <c r="AD390" s="239">
        <f>IFERROR((HLOOKUP($AH390,Target_monthwise!$D$24:$O$40,DTR!AD$4,FALSE)),0)</f>
        <v>0</v>
      </c>
      <c r="AE390" s="239">
        <f>IFERROR((HLOOKUP($AH390,Target_monthwise!$D$24:$O$40,DTR!AE$4,FALSE)),0)</f>
        <v>0</v>
      </c>
      <c r="AF390" s="239">
        <f>IFERROR((HLOOKUP($AH390,Target_monthwise!$D$24:$O$40,DTR!AF$4,FALSE)),0)</f>
        <v>0</v>
      </c>
      <c r="AG390" s="172">
        <f>IFERROR((HLOOKUP($AH390,Target_monthwise!$D$24:$O$40,DTR!AG$4,FALSE)),0)</f>
        <v>0</v>
      </c>
      <c r="AH390" s="253">
        <f t="shared" si="5"/>
        <v>202304</v>
      </c>
    </row>
    <row r="391" spans="3:34" ht="15.75" hidden="1">
      <c r="C391" s="235">
        <v>45034</v>
      </c>
      <c r="D391" s="141">
        <f>IFERROR((HLOOKUP($AH391,Target_monthwise!$D$4:$O$20,DTR!D$4,FALSE))*1000,0)</f>
        <v>0</v>
      </c>
      <c r="E391" s="141">
        <f>IFERROR((HLOOKUP($AH391,Target_monthwise!$D$4:$O$20,DTR!E$4,FALSE))*1000,0)</f>
        <v>0</v>
      </c>
      <c r="F391" s="141">
        <f>IFERROR((HLOOKUP($AH391,Target_monthwise!$D$4:$O$20,DTR!F$4,FALSE))*1000,0)</f>
        <v>0</v>
      </c>
      <c r="G391" s="141">
        <f>IFERROR((HLOOKUP($AH391,Target_monthwise!$D$4:$O$20,DTR!G$4,FALSE))*1000,0)</f>
        <v>0</v>
      </c>
      <c r="H391" s="141">
        <f>IFERROR((HLOOKUP($AH391,Target_monthwise!$D$4:$O$20,DTR!H$4,FALSE))*1000,0)</f>
        <v>0</v>
      </c>
      <c r="I391" s="141">
        <f>IFERROR((HLOOKUP($AH391,Target_monthwise!$D$4:$O$20,DTR!I$4,FALSE))*1000,0)</f>
        <v>0</v>
      </c>
      <c r="J391" s="141">
        <f>IFERROR((HLOOKUP($AH391,Target_monthwise!$D$4:$O$20,DTR!J$4,FALSE))*1000,0)</f>
        <v>0</v>
      </c>
      <c r="K391" s="141">
        <f>IFERROR((HLOOKUP($AH391,Target_monthwise!$D$4:$O$20,DTR!K$4,FALSE))*1000,0)</f>
        <v>0</v>
      </c>
      <c r="L391" s="141">
        <f>IFERROR((HLOOKUP($AH391,Target_monthwise!$D$4:$O$20,DTR!L$4,FALSE))*1000,0)</f>
        <v>0</v>
      </c>
      <c r="M391" s="141">
        <f>IFERROR((HLOOKUP($AH391,Target_monthwise!$D$4:$O$20,DTR!M$4,FALSE))*1000,0)</f>
        <v>0</v>
      </c>
      <c r="N391" s="141">
        <f>IFERROR((HLOOKUP($AH391,Target_monthwise!$D$4:$O$20,DTR!N$4,FALSE))*1000,0)</f>
        <v>0</v>
      </c>
      <c r="O391" s="141">
        <f>IFERROR((HLOOKUP($AH391,Target_monthwise!$D$4:$O$20,DTR!O$4,FALSE))*1000,0)</f>
        <v>0</v>
      </c>
      <c r="P391" s="141">
        <f>IFERROR((HLOOKUP($AH391,Target_monthwise!$D$4:$O$20,DTR!P$4,FALSE))*1000,0)</f>
        <v>0</v>
      </c>
      <c r="Q391" s="141">
        <f>IFERROR((HLOOKUP($AH391,Target_monthwise!$D$4:$O$20,DTR!Q$4,FALSE))*1000,0)</f>
        <v>0</v>
      </c>
      <c r="R391" s="167">
        <f>IFERROR((HLOOKUP($AH391,Target_monthwise!$D$4:$O$20,DTR!R$4,FALSE))*1000,0)</f>
        <v>0</v>
      </c>
      <c r="S391" s="147">
        <f>IFERROR((HLOOKUP($AH391,Target_monthwise!$D$24:$O$40,DTR!S$4,FALSE)),0)</f>
        <v>0</v>
      </c>
      <c r="T391" s="147">
        <f>IFERROR((HLOOKUP($AH391,Target_monthwise!$D$24:$O$40,DTR!T$4,FALSE)),0)</f>
        <v>0</v>
      </c>
      <c r="U391" s="147">
        <f>IFERROR((HLOOKUP($AH391,Target_monthwise!$D$24:$O$40,DTR!U$4,FALSE)),0)</f>
        <v>0</v>
      </c>
      <c r="V391" s="147">
        <f>IFERROR((HLOOKUP($AH391,Target_monthwise!$D$24:$O$40,DTR!V$4,FALSE)),0)</f>
        <v>0</v>
      </c>
      <c r="W391" s="147">
        <f>IFERROR((HLOOKUP($AH391,Target_monthwise!$D$24:$O$40,DTR!W$4,FALSE)),0)</f>
        <v>0</v>
      </c>
      <c r="X391" s="147">
        <f>IFERROR((HLOOKUP($AH391,Target_monthwise!$D$24:$O$40,DTR!X$4,FALSE)),0)</f>
        <v>0</v>
      </c>
      <c r="Y391" s="147">
        <f>IFERROR((HLOOKUP($AH391,Target_monthwise!$D$24:$O$40,DTR!Y$4,FALSE)),0)</f>
        <v>0</v>
      </c>
      <c r="Z391" s="147">
        <f>IFERROR((HLOOKUP($AH391,Target_monthwise!$D$24:$O$40,DTR!Z$4,FALSE)),0)</f>
        <v>0</v>
      </c>
      <c r="AA391" s="147">
        <f>IFERROR((HLOOKUP($AH391,Target_monthwise!$D$24:$O$40,DTR!AA$4,FALSE)),0)</f>
        <v>0</v>
      </c>
      <c r="AB391" s="147">
        <f>IFERROR((HLOOKUP($AH391,Target_monthwise!$D$24:$O$40,DTR!AB$4,FALSE)),0)</f>
        <v>0</v>
      </c>
      <c r="AC391" s="147">
        <f>IFERROR((HLOOKUP($AH391,Target_monthwise!$D$24:$O$40,DTR!AC$4,FALSE)),0)</f>
        <v>0</v>
      </c>
      <c r="AD391" s="147">
        <f>IFERROR((HLOOKUP($AH391,Target_monthwise!$D$24:$O$40,DTR!AD$4,FALSE)),0)</f>
        <v>0</v>
      </c>
      <c r="AE391" s="147">
        <f>IFERROR((HLOOKUP($AH391,Target_monthwise!$D$24:$O$40,DTR!AE$4,FALSE)),0)</f>
        <v>0</v>
      </c>
      <c r="AF391" s="147">
        <f>IFERROR((HLOOKUP($AH391,Target_monthwise!$D$24:$O$40,DTR!AF$4,FALSE)),0)</f>
        <v>0</v>
      </c>
      <c r="AG391" s="172">
        <f>IFERROR((HLOOKUP($AH391,Target_monthwise!$D$24:$O$40,DTR!AG$4,FALSE)),0)</f>
        <v>0</v>
      </c>
      <c r="AH391" s="253">
        <f t="shared" si="5"/>
        <v>202304</v>
      </c>
    </row>
    <row r="392" spans="3:34" ht="15.75" hidden="1">
      <c r="C392" s="237">
        <v>45035</v>
      </c>
      <c r="D392" s="238">
        <f>IFERROR((HLOOKUP($AH392,Target_monthwise!$D$4:$O$20,DTR!D$4,FALSE))*1000,0)</f>
        <v>0</v>
      </c>
      <c r="E392" s="238">
        <f>IFERROR((HLOOKUP($AH392,Target_monthwise!$D$4:$O$20,DTR!E$4,FALSE))*1000,0)</f>
        <v>0</v>
      </c>
      <c r="F392" s="238">
        <f>IFERROR((HLOOKUP($AH392,Target_monthwise!$D$4:$O$20,DTR!F$4,FALSE))*1000,0)</f>
        <v>0</v>
      </c>
      <c r="G392" s="238">
        <f>IFERROR((HLOOKUP($AH392,Target_monthwise!$D$4:$O$20,DTR!G$4,FALSE))*1000,0)</f>
        <v>0</v>
      </c>
      <c r="H392" s="238">
        <f>IFERROR((HLOOKUP($AH392,Target_monthwise!$D$4:$O$20,DTR!H$4,FALSE))*1000,0)</f>
        <v>0</v>
      </c>
      <c r="I392" s="238">
        <f>IFERROR((HLOOKUP($AH392,Target_monthwise!$D$4:$O$20,DTR!I$4,FALSE))*1000,0)</f>
        <v>0</v>
      </c>
      <c r="J392" s="238">
        <f>IFERROR((HLOOKUP($AH392,Target_monthwise!$D$4:$O$20,DTR!J$4,FALSE))*1000,0)</f>
        <v>0</v>
      </c>
      <c r="K392" s="238">
        <f>IFERROR((HLOOKUP($AH392,Target_monthwise!$D$4:$O$20,DTR!K$4,FALSE))*1000,0)</f>
        <v>0</v>
      </c>
      <c r="L392" s="238">
        <f>IFERROR((HLOOKUP($AH392,Target_monthwise!$D$4:$O$20,DTR!L$4,FALSE))*1000,0)</f>
        <v>0</v>
      </c>
      <c r="M392" s="238">
        <f>IFERROR((HLOOKUP($AH392,Target_monthwise!$D$4:$O$20,DTR!M$4,FALSE))*1000,0)</f>
        <v>0</v>
      </c>
      <c r="N392" s="238">
        <f>IFERROR((HLOOKUP($AH392,Target_monthwise!$D$4:$O$20,DTR!N$4,FALSE))*1000,0)</f>
        <v>0</v>
      </c>
      <c r="O392" s="238">
        <f>IFERROR((HLOOKUP($AH392,Target_monthwise!$D$4:$O$20,DTR!O$4,FALSE))*1000,0)</f>
        <v>0</v>
      </c>
      <c r="P392" s="238">
        <f>IFERROR((HLOOKUP($AH392,Target_monthwise!$D$4:$O$20,DTR!P$4,FALSE))*1000,0)</f>
        <v>0</v>
      </c>
      <c r="Q392" s="141">
        <f>IFERROR((HLOOKUP($AH392,Target_monthwise!$D$4:$O$20,DTR!Q$4,FALSE))*1000,0)</f>
        <v>0</v>
      </c>
      <c r="R392" s="167">
        <f>IFERROR((HLOOKUP($AH392,Target_monthwise!$D$4:$O$20,DTR!R$4,FALSE))*1000,0)</f>
        <v>0</v>
      </c>
      <c r="S392" s="239">
        <f>IFERROR((HLOOKUP($AH392,Target_monthwise!$D$24:$O$40,DTR!S$4,FALSE)),0)</f>
        <v>0</v>
      </c>
      <c r="T392" s="239">
        <f>IFERROR((HLOOKUP($AH392,Target_monthwise!$D$24:$O$40,DTR!T$4,FALSE)),0)</f>
        <v>0</v>
      </c>
      <c r="U392" s="239">
        <f>IFERROR((HLOOKUP($AH392,Target_monthwise!$D$24:$O$40,DTR!U$4,FALSE)),0)</f>
        <v>0</v>
      </c>
      <c r="V392" s="239">
        <f>IFERROR((HLOOKUP($AH392,Target_monthwise!$D$24:$O$40,DTR!V$4,FALSE)),0)</f>
        <v>0</v>
      </c>
      <c r="W392" s="239">
        <f>IFERROR((HLOOKUP($AH392,Target_monthwise!$D$24:$O$40,DTR!W$4,FALSE)),0)</f>
        <v>0</v>
      </c>
      <c r="X392" s="239">
        <f>IFERROR((HLOOKUP($AH392,Target_monthwise!$D$24:$O$40,DTR!X$4,FALSE)),0)</f>
        <v>0</v>
      </c>
      <c r="Y392" s="239">
        <f>IFERROR((HLOOKUP($AH392,Target_monthwise!$D$24:$O$40,DTR!Y$4,FALSE)),0)</f>
        <v>0</v>
      </c>
      <c r="Z392" s="147">
        <f>IFERROR((HLOOKUP($AH392,Target_monthwise!$D$24:$O$40,DTR!Z$4,FALSE)),0)</f>
        <v>0</v>
      </c>
      <c r="AA392" s="147">
        <f>IFERROR((HLOOKUP($AH392,Target_monthwise!$D$24:$O$40,DTR!AA$4,FALSE)),0)</f>
        <v>0</v>
      </c>
      <c r="AB392" s="147">
        <f>IFERROR((HLOOKUP($AH392,Target_monthwise!$D$24:$O$40,DTR!AB$4,FALSE)),0)</f>
        <v>0</v>
      </c>
      <c r="AC392" s="239">
        <f>IFERROR((HLOOKUP($AH392,Target_monthwise!$D$24:$O$40,DTR!AC$4,FALSE)),0)</f>
        <v>0</v>
      </c>
      <c r="AD392" s="239">
        <f>IFERROR((HLOOKUP($AH392,Target_monthwise!$D$24:$O$40,DTR!AD$4,FALSE)),0)</f>
        <v>0</v>
      </c>
      <c r="AE392" s="239">
        <f>IFERROR((HLOOKUP($AH392,Target_monthwise!$D$24:$O$40,DTR!AE$4,FALSE)),0)</f>
        <v>0</v>
      </c>
      <c r="AF392" s="239">
        <f>IFERROR((HLOOKUP($AH392,Target_monthwise!$D$24:$O$40,DTR!AF$4,FALSE)),0)</f>
        <v>0</v>
      </c>
      <c r="AG392" s="172">
        <f>IFERROR((HLOOKUP($AH392,Target_monthwise!$D$24:$O$40,DTR!AG$4,FALSE)),0)</f>
        <v>0</v>
      </c>
      <c r="AH392" s="253">
        <f t="shared" si="5"/>
        <v>202304</v>
      </c>
    </row>
    <row r="393" spans="3:34" ht="15.75" hidden="1">
      <c r="C393" s="235">
        <v>45036</v>
      </c>
      <c r="D393" s="141">
        <f>IFERROR((HLOOKUP($AH393,Target_monthwise!$D$4:$O$20,DTR!D$4,FALSE))*1000,0)</f>
        <v>0</v>
      </c>
      <c r="E393" s="141">
        <f>IFERROR((HLOOKUP($AH393,Target_monthwise!$D$4:$O$20,DTR!E$4,FALSE))*1000,0)</f>
        <v>0</v>
      </c>
      <c r="F393" s="141">
        <f>IFERROR((HLOOKUP($AH393,Target_monthwise!$D$4:$O$20,DTR!F$4,FALSE))*1000,0)</f>
        <v>0</v>
      </c>
      <c r="G393" s="141">
        <f>IFERROR((HLOOKUP($AH393,Target_monthwise!$D$4:$O$20,DTR!G$4,FALSE))*1000,0)</f>
        <v>0</v>
      </c>
      <c r="H393" s="141">
        <f>IFERROR((HLOOKUP($AH393,Target_monthwise!$D$4:$O$20,DTR!H$4,FALSE))*1000,0)</f>
        <v>0</v>
      </c>
      <c r="I393" s="141">
        <f>IFERROR((HLOOKUP($AH393,Target_monthwise!$D$4:$O$20,DTR!I$4,FALSE))*1000,0)</f>
        <v>0</v>
      </c>
      <c r="J393" s="141">
        <f>IFERROR((HLOOKUP($AH393,Target_monthwise!$D$4:$O$20,DTR!J$4,FALSE))*1000,0)</f>
        <v>0</v>
      </c>
      <c r="K393" s="141">
        <f>IFERROR((HLOOKUP($AH393,Target_monthwise!$D$4:$O$20,DTR!K$4,FALSE))*1000,0)</f>
        <v>0</v>
      </c>
      <c r="L393" s="141">
        <f>IFERROR((HLOOKUP($AH393,Target_monthwise!$D$4:$O$20,DTR!L$4,FALSE))*1000,0)</f>
        <v>0</v>
      </c>
      <c r="M393" s="141">
        <f>IFERROR((HLOOKUP($AH393,Target_monthwise!$D$4:$O$20,DTR!M$4,FALSE))*1000,0)</f>
        <v>0</v>
      </c>
      <c r="N393" s="141">
        <f>IFERROR((HLOOKUP($AH393,Target_monthwise!$D$4:$O$20,DTR!N$4,FALSE))*1000,0)</f>
        <v>0</v>
      </c>
      <c r="O393" s="141">
        <f>IFERROR((HLOOKUP($AH393,Target_monthwise!$D$4:$O$20,DTR!O$4,FALSE))*1000,0)</f>
        <v>0</v>
      </c>
      <c r="P393" s="141">
        <f>IFERROR((HLOOKUP($AH393,Target_monthwise!$D$4:$O$20,DTR!P$4,FALSE))*1000,0)</f>
        <v>0</v>
      </c>
      <c r="Q393" s="141">
        <f>IFERROR((HLOOKUP($AH393,Target_monthwise!$D$4:$O$20,DTR!Q$4,FALSE))*1000,0)</f>
        <v>0</v>
      </c>
      <c r="R393" s="167">
        <f>IFERROR((HLOOKUP($AH393,Target_monthwise!$D$4:$O$20,DTR!R$4,FALSE))*1000,0)</f>
        <v>0</v>
      </c>
      <c r="S393" s="147">
        <f>IFERROR((HLOOKUP($AH393,Target_monthwise!$D$24:$O$40,DTR!S$4,FALSE)),0)</f>
        <v>0</v>
      </c>
      <c r="T393" s="147">
        <f>IFERROR((HLOOKUP($AH393,Target_monthwise!$D$24:$O$40,DTR!T$4,FALSE)),0)</f>
        <v>0</v>
      </c>
      <c r="U393" s="147">
        <f>IFERROR((HLOOKUP($AH393,Target_monthwise!$D$24:$O$40,DTR!U$4,FALSE)),0)</f>
        <v>0</v>
      </c>
      <c r="V393" s="147">
        <f>IFERROR((HLOOKUP($AH393,Target_monthwise!$D$24:$O$40,DTR!V$4,FALSE)),0)</f>
        <v>0</v>
      </c>
      <c r="W393" s="147">
        <f>IFERROR((HLOOKUP($AH393,Target_monthwise!$D$24:$O$40,DTR!W$4,FALSE)),0)</f>
        <v>0</v>
      </c>
      <c r="X393" s="147">
        <f>IFERROR((HLOOKUP($AH393,Target_monthwise!$D$24:$O$40,DTR!X$4,FALSE)),0)</f>
        <v>0</v>
      </c>
      <c r="Y393" s="147">
        <f>IFERROR((HLOOKUP($AH393,Target_monthwise!$D$24:$O$40,DTR!Y$4,FALSE)),0)</f>
        <v>0</v>
      </c>
      <c r="Z393" s="147">
        <f>IFERROR((HLOOKUP($AH393,Target_monthwise!$D$24:$O$40,DTR!Z$4,FALSE)),0)</f>
        <v>0</v>
      </c>
      <c r="AA393" s="147">
        <f>IFERROR((HLOOKUP($AH393,Target_monthwise!$D$24:$O$40,DTR!AA$4,FALSE)),0)</f>
        <v>0</v>
      </c>
      <c r="AB393" s="147">
        <f>IFERROR((HLOOKUP($AH393,Target_monthwise!$D$24:$O$40,DTR!AB$4,FALSE)),0)</f>
        <v>0</v>
      </c>
      <c r="AC393" s="147">
        <f>IFERROR((HLOOKUP($AH393,Target_monthwise!$D$24:$O$40,DTR!AC$4,FALSE)),0)</f>
        <v>0</v>
      </c>
      <c r="AD393" s="147">
        <f>IFERROR((HLOOKUP($AH393,Target_monthwise!$D$24:$O$40,DTR!AD$4,FALSE)),0)</f>
        <v>0</v>
      </c>
      <c r="AE393" s="147">
        <f>IFERROR((HLOOKUP($AH393,Target_monthwise!$D$24:$O$40,DTR!AE$4,FALSE)),0)</f>
        <v>0</v>
      </c>
      <c r="AF393" s="147">
        <f>IFERROR((HLOOKUP($AH393,Target_monthwise!$D$24:$O$40,DTR!AF$4,FALSE)),0)</f>
        <v>0</v>
      </c>
      <c r="AG393" s="172">
        <f>IFERROR((HLOOKUP($AH393,Target_monthwise!$D$24:$O$40,DTR!AG$4,FALSE)),0)</f>
        <v>0</v>
      </c>
      <c r="AH393" s="253">
        <f t="shared" si="5"/>
        <v>202304</v>
      </c>
    </row>
    <row r="394" spans="3:34" ht="15.75" hidden="1">
      <c r="C394" s="237">
        <v>45037</v>
      </c>
      <c r="D394" s="238">
        <f>IFERROR((HLOOKUP($AH394,Target_monthwise!$D$4:$O$20,DTR!D$4,FALSE))*1000,0)</f>
        <v>0</v>
      </c>
      <c r="E394" s="238">
        <f>IFERROR((HLOOKUP($AH394,Target_monthwise!$D$4:$O$20,DTR!E$4,FALSE))*1000,0)</f>
        <v>0</v>
      </c>
      <c r="F394" s="238">
        <f>IFERROR((HLOOKUP($AH394,Target_monthwise!$D$4:$O$20,DTR!F$4,FALSE))*1000,0)</f>
        <v>0</v>
      </c>
      <c r="G394" s="238">
        <f>IFERROR((HLOOKUP($AH394,Target_monthwise!$D$4:$O$20,DTR!G$4,FALSE))*1000,0)</f>
        <v>0</v>
      </c>
      <c r="H394" s="238">
        <f>IFERROR((HLOOKUP($AH394,Target_monthwise!$D$4:$O$20,DTR!H$4,FALSE))*1000,0)</f>
        <v>0</v>
      </c>
      <c r="I394" s="238">
        <f>IFERROR((HLOOKUP($AH394,Target_monthwise!$D$4:$O$20,DTR!I$4,FALSE))*1000,0)</f>
        <v>0</v>
      </c>
      <c r="J394" s="238">
        <f>IFERROR((HLOOKUP($AH394,Target_monthwise!$D$4:$O$20,DTR!J$4,FALSE))*1000,0)</f>
        <v>0</v>
      </c>
      <c r="K394" s="238">
        <f>IFERROR((HLOOKUP($AH394,Target_monthwise!$D$4:$O$20,DTR!K$4,FALSE))*1000,0)</f>
        <v>0</v>
      </c>
      <c r="L394" s="238">
        <f>IFERROR((HLOOKUP($AH394,Target_monthwise!$D$4:$O$20,DTR!L$4,FALSE))*1000,0)</f>
        <v>0</v>
      </c>
      <c r="M394" s="238">
        <f>IFERROR((HLOOKUP($AH394,Target_monthwise!$D$4:$O$20,DTR!M$4,FALSE))*1000,0)</f>
        <v>0</v>
      </c>
      <c r="N394" s="238">
        <f>IFERROR((HLOOKUP($AH394,Target_monthwise!$D$4:$O$20,DTR!N$4,FALSE))*1000,0)</f>
        <v>0</v>
      </c>
      <c r="O394" s="238">
        <f>IFERROR((HLOOKUP($AH394,Target_monthwise!$D$4:$O$20,DTR!O$4,FALSE))*1000,0)</f>
        <v>0</v>
      </c>
      <c r="P394" s="238">
        <f>IFERROR((HLOOKUP($AH394,Target_monthwise!$D$4:$O$20,DTR!P$4,FALSE))*1000,0)</f>
        <v>0</v>
      </c>
      <c r="Q394" s="141">
        <f>IFERROR((HLOOKUP($AH394,Target_monthwise!$D$4:$O$20,DTR!Q$4,FALSE))*1000,0)</f>
        <v>0</v>
      </c>
      <c r="R394" s="167">
        <f>IFERROR((HLOOKUP($AH394,Target_monthwise!$D$4:$O$20,DTR!R$4,FALSE))*1000,0)</f>
        <v>0</v>
      </c>
      <c r="S394" s="239">
        <f>IFERROR((HLOOKUP($AH394,Target_monthwise!$D$24:$O$40,DTR!S$4,FALSE)),0)</f>
        <v>0</v>
      </c>
      <c r="T394" s="239">
        <f>IFERROR((HLOOKUP($AH394,Target_monthwise!$D$24:$O$40,DTR!T$4,FALSE)),0)</f>
        <v>0</v>
      </c>
      <c r="U394" s="239">
        <f>IFERROR((HLOOKUP($AH394,Target_monthwise!$D$24:$O$40,DTR!U$4,FALSE)),0)</f>
        <v>0</v>
      </c>
      <c r="V394" s="239">
        <f>IFERROR((HLOOKUP($AH394,Target_monthwise!$D$24:$O$40,DTR!V$4,FALSE)),0)</f>
        <v>0</v>
      </c>
      <c r="W394" s="239">
        <f>IFERROR((HLOOKUP($AH394,Target_monthwise!$D$24:$O$40,DTR!W$4,FALSE)),0)</f>
        <v>0</v>
      </c>
      <c r="X394" s="239">
        <f>IFERROR((HLOOKUP($AH394,Target_monthwise!$D$24:$O$40,DTR!X$4,FALSE)),0)</f>
        <v>0</v>
      </c>
      <c r="Y394" s="239">
        <f>IFERROR((HLOOKUP($AH394,Target_monthwise!$D$24:$O$40,DTR!Y$4,FALSE)),0)</f>
        <v>0</v>
      </c>
      <c r="Z394" s="147">
        <f>IFERROR((HLOOKUP($AH394,Target_monthwise!$D$24:$O$40,DTR!Z$4,FALSE)),0)</f>
        <v>0</v>
      </c>
      <c r="AA394" s="147">
        <f>IFERROR((HLOOKUP($AH394,Target_monthwise!$D$24:$O$40,DTR!AA$4,FALSE)),0)</f>
        <v>0</v>
      </c>
      <c r="AB394" s="147">
        <f>IFERROR((HLOOKUP($AH394,Target_monthwise!$D$24:$O$40,DTR!AB$4,FALSE)),0)</f>
        <v>0</v>
      </c>
      <c r="AC394" s="239">
        <f>IFERROR((HLOOKUP($AH394,Target_monthwise!$D$24:$O$40,DTR!AC$4,FALSE)),0)</f>
        <v>0</v>
      </c>
      <c r="AD394" s="239">
        <f>IFERROR((HLOOKUP($AH394,Target_monthwise!$D$24:$O$40,DTR!AD$4,FALSE)),0)</f>
        <v>0</v>
      </c>
      <c r="AE394" s="239">
        <f>IFERROR((HLOOKUP($AH394,Target_monthwise!$D$24:$O$40,DTR!AE$4,FALSE)),0)</f>
        <v>0</v>
      </c>
      <c r="AF394" s="239">
        <f>IFERROR((HLOOKUP($AH394,Target_monthwise!$D$24:$O$40,DTR!AF$4,FALSE)),0)</f>
        <v>0</v>
      </c>
      <c r="AG394" s="172">
        <f>IFERROR((HLOOKUP($AH394,Target_monthwise!$D$24:$O$40,DTR!AG$4,FALSE)),0)</f>
        <v>0</v>
      </c>
      <c r="AH394" s="253">
        <f t="shared" ref="AH394:AH457" si="6">YEAR(C394)*100+MONTH(C394)</f>
        <v>202304</v>
      </c>
    </row>
    <row r="395" spans="3:34" ht="15.75" hidden="1">
      <c r="C395" s="235">
        <v>45038</v>
      </c>
      <c r="D395" s="141">
        <f>IFERROR((HLOOKUP($AH395,Target_monthwise!$D$4:$O$20,DTR!D$4,FALSE))*1000,0)</f>
        <v>0</v>
      </c>
      <c r="E395" s="141">
        <f>IFERROR((HLOOKUP($AH395,Target_monthwise!$D$4:$O$20,DTR!E$4,FALSE))*1000,0)</f>
        <v>0</v>
      </c>
      <c r="F395" s="141">
        <f>IFERROR((HLOOKUP($AH395,Target_monthwise!$D$4:$O$20,DTR!F$4,FALSE))*1000,0)</f>
        <v>0</v>
      </c>
      <c r="G395" s="141">
        <f>IFERROR((HLOOKUP($AH395,Target_monthwise!$D$4:$O$20,DTR!G$4,FALSE))*1000,0)</f>
        <v>0</v>
      </c>
      <c r="H395" s="141">
        <f>IFERROR((HLOOKUP($AH395,Target_monthwise!$D$4:$O$20,DTR!H$4,FALSE))*1000,0)</f>
        <v>0</v>
      </c>
      <c r="I395" s="141">
        <f>IFERROR((HLOOKUP($AH395,Target_monthwise!$D$4:$O$20,DTR!I$4,FALSE))*1000,0)</f>
        <v>0</v>
      </c>
      <c r="J395" s="141">
        <f>IFERROR((HLOOKUP($AH395,Target_monthwise!$D$4:$O$20,DTR!J$4,FALSE))*1000,0)</f>
        <v>0</v>
      </c>
      <c r="K395" s="141">
        <f>IFERROR((HLOOKUP($AH395,Target_monthwise!$D$4:$O$20,DTR!K$4,FALSE))*1000,0)</f>
        <v>0</v>
      </c>
      <c r="L395" s="141">
        <f>IFERROR((HLOOKUP($AH395,Target_monthwise!$D$4:$O$20,DTR!L$4,FALSE))*1000,0)</f>
        <v>0</v>
      </c>
      <c r="M395" s="141">
        <f>IFERROR((HLOOKUP($AH395,Target_monthwise!$D$4:$O$20,DTR!M$4,FALSE))*1000,0)</f>
        <v>0</v>
      </c>
      <c r="N395" s="141">
        <f>IFERROR((HLOOKUP($AH395,Target_monthwise!$D$4:$O$20,DTR!N$4,FALSE))*1000,0)</f>
        <v>0</v>
      </c>
      <c r="O395" s="141">
        <f>IFERROR((HLOOKUP($AH395,Target_monthwise!$D$4:$O$20,DTR!O$4,FALSE))*1000,0)</f>
        <v>0</v>
      </c>
      <c r="P395" s="141">
        <f>IFERROR((HLOOKUP($AH395,Target_monthwise!$D$4:$O$20,DTR!P$4,FALSE))*1000,0)</f>
        <v>0</v>
      </c>
      <c r="Q395" s="141">
        <f>IFERROR((HLOOKUP($AH395,Target_monthwise!$D$4:$O$20,DTR!Q$4,FALSE))*1000,0)</f>
        <v>0</v>
      </c>
      <c r="R395" s="167">
        <f>IFERROR((HLOOKUP($AH395,Target_monthwise!$D$4:$O$20,DTR!R$4,FALSE))*1000,0)</f>
        <v>0</v>
      </c>
      <c r="S395" s="147">
        <f>IFERROR((HLOOKUP($AH395,Target_monthwise!$D$24:$O$40,DTR!S$4,FALSE)),0)</f>
        <v>0</v>
      </c>
      <c r="T395" s="147">
        <f>IFERROR((HLOOKUP($AH395,Target_monthwise!$D$24:$O$40,DTR!T$4,FALSE)),0)</f>
        <v>0</v>
      </c>
      <c r="U395" s="147">
        <f>IFERROR((HLOOKUP($AH395,Target_monthwise!$D$24:$O$40,DTR!U$4,FALSE)),0)</f>
        <v>0</v>
      </c>
      <c r="V395" s="147">
        <f>IFERROR((HLOOKUP($AH395,Target_monthwise!$D$24:$O$40,DTR!V$4,FALSE)),0)</f>
        <v>0</v>
      </c>
      <c r="W395" s="147">
        <f>IFERROR((HLOOKUP($AH395,Target_monthwise!$D$24:$O$40,DTR!W$4,FALSE)),0)</f>
        <v>0</v>
      </c>
      <c r="X395" s="147">
        <f>IFERROR((HLOOKUP($AH395,Target_monthwise!$D$24:$O$40,DTR!X$4,FALSE)),0)</f>
        <v>0</v>
      </c>
      <c r="Y395" s="147">
        <f>IFERROR((HLOOKUP($AH395,Target_monthwise!$D$24:$O$40,DTR!Y$4,FALSE)),0)</f>
        <v>0</v>
      </c>
      <c r="Z395" s="147">
        <f>IFERROR((HLOOKUP($AH395,Target_monthwise!$D$24:$O$40,DTR!Z$4,FALSE)),0)</f>
        <v>0</v>
      </c>
      <c r="AA395" s="147">
        <f>IFERROR((HLOOKUP($AH395,Target_monthwise!$D$24:$O$40,DTR!AA$4,FALSE)),0)</f>
        <v>0</v>
      </c>
      <c r="AB395" s="147">
        <f>IFERROR((HLOOKUP($AH395,Target_monthwise!$D$24:$O$40,DTR!AB$4,FALSE)),0)</f>
        <v>0</v>
      </c>
      <c r="AC395" s="147">
        <f>IFERROR((HLOOKUP($AH395,Target_monthwise!$D$24:$O$40,DTR!AC$4,FALSE)),0)</f>
        <v>0</v>
      </c>
      <c r="AD395" s="147">
        <f>IFERROR((HLOOKUP($AH395,Target_monthwise!$D$24:$O$40,DTR!AD$4,FALSE)),0)</f>
        <v>0</v>
      </c>
      <c r="AE395" s="147">
        <f>IFERROR((HLOOKUP($AH395,Target_monthwise!$D$24:$O$40,DTR!AE$4,FALSE)),0)</f>
        <v>0</v>
      </c>
      <c r="AF395" s="147">
        <f>IFERROR((HLOOKUP($AH395,Target_monthwise!$D$24:$O$40,DTR!AF$4,FALSE)),0)</f>
        <v>0</v>
      </c>
      <c r="AG395" s="172">
        <f>IFERROR((HLOOKUP($AH395,Target_monthwise!$D$24:$O$40,DTR!AG$4,FALSE)),0)</f>
        <v>0</v>
      </c>
      <c r="AH395" s="253">
        <f t="shared" si="6"/>
        <v>202304</v>
      </c>
    </row>
    <row r="396" spans="3:34" ht="15.75" hidden="1">
      <c r="C396" s="237">
        <v>45039</v>
      </c>
      <c r="D396" s="238">
        <f>IFERROR((HLOOKUP($AH396,Target_monthwise!$D$4:$O$20,DTR!D$4,FALSE))*1000,0)</f>
        <v>0</v>
      </c>
      <c r="E396" s="238">
        <f>IFERROR((HLOOKUP($AH396,Target_monthwise!$D$4:$O$20,DTR!E$4,FALSE))*1000,0)</f>
        <v>0</v>
      </c>
      <c r="F396" s="238">
        <f>IFERROR((HLOOKUP($AH396,Target_monthwise!$D$4:$O$20,DTR!F$4,FALSE))*1000,0)</f>
        <v>0</v>
      </c>
      <c r="G396" s="238">
        <f>IFERROR((HLOOKUP($AH396,Target_monthwise!$D$4:$O$20,DTR!G$4,FALSE))*1000,0)</f>
        <v>0</v>
      </c>
      <c r="H396" s="238">
        <f>IFERROR((HLOOKUP($AH396,Target_monthwise!$D$4:$O$20,DTR!H$4,FALSE))*1000,0)</f>
        <v>0</v>
      </c>
      <c r="I396" s="238">
        <f>IFERROR((HLOOKUP($AH396,Target_monthwise!$D$4:$O$20,DTR!I$4,FALSE))*1000,0)</f>
        <v>0</v>
      </c>
      <c r="J396" s="238">
        <f>IFERROR((HLOOKUP($AH396,Target_monthwise!$D$4:$O$20,DTR!J$4,FALSE))*1000,0)</f>
        <v>0</v>
      </c>
      <c r="K396" s="238">
        <f>IFERROR((HLOOKUP($AH396,Target_monthwise!$D$4:$O$20,DTR!K$4,FALSE))*1000,0)</f>
        <v>0</v>
      </c>
      <c r="L396" s="238">
        <f>IFERROR((HLOOKUP($AH396,Target_monthwise!$D$4:$O$20,DTR!L$4,FALSE))*1000,0)</f>
        <v>0</v>
      </c>
      <c r="M396" s="238">
        <f>IFERROR((HLOOKUP($AH396,Target_monthwise!$D$4:$O$20,DTR!M$4,FALSE))*1000,0)</f>
        <v>0</v>
      </c>
      <c r="N396" s="238">
        <f>IFERROR((HLOOKUP($AH396,Target_monthwise!$D$4:$O$20,DTR!N$4,FALSE))*1000,0)</f>
        <v>0</v>
      </c>
      <c r="O396" s="238">
        <f>IFERROR((HLOOKUP($AH396,Target_monthwise!$D$4:$O$20,DTR!O$4,FALSE))*1000,0)</f>
        <v>0</v>
      </c>
      <c r="P396" s="238">
        <f>IFERROR((HLOOKUP($AH396,Target_monthwise!$D$4:$O$20,DTR!P$4,FALSE))*1000,0)</f>
        <v>0</v>
      </c>
      <c r="Q396" s="141">
        <f>IFERROR((HLOOKUP($AH396,Target_monthwise!$D$4:$O$20,DTR!Q$4,FALSE))*1000,0)</f>
        <v>0</v>
      </c>
      <c r="R396" s="167">
        <f>IFERROR((HLOOKUP($AH396,Target_monthwise!$D$4:$O$20,DTR!R$4,FALSE))*1000,0)</f>
        <v>0</v>
      </c>
      <c r="S396" s="239">
        <f>IFERROR((HLOOKUP($AH396,Target_monthwise!$D$24:$O$40,DTR!S$4,FALSE)),0)</f>
        <v>0</v>
      </c>
      <c r="T396" s="239">
        <f>IFERROR((HLOOKUP($AH396,Target_monthwise!$D$24:$O$40,DTR!T$4,FALSE)),0)</f>
        <v>0</v>
      </c>
      <c r="U396" s="239">
        <f>IFERROR((HLOOKUP($AH396,Target_monthwise!$D$24:$O$40,DTR!U$4,FALSE)),0)</f>
        <v>0</v>
      </c>
      <c r="V396" s="239">
        <f>IFERROR((HLOOKUP($AH396,Target_monthwise!$D$24:$O$40,DTR!V$4,FALSE)),0)</f>
        <v>0</v>
      </c>
      <c r="W396" s="239">
        <f>IFERROR((HLOOKUP($AH396,Target_monthwise!$D$24:$O$40,DTR!W$4,FALSE)),0)</f>
        <v>0</v>
      </c>
      <c r="X396" s="239">
        <f>IFERROR((HLOOKUP($AH396,Target_monthwise!$D$24:$O$40,DTR!X$4,FALSE)),0)</f>
        <v>0</v>
      </c>
      <c r="Y396" s="239">
        <f>IFERROR((HLOOKUP($AH396,Target_monthwise!$D$24:$O$40,DTR!Y$4,FALSE)),0)</f>
        <v>0</v>
      </c>
      <c r="Z396" s="147">
        <f>IFERROR((HLOOKUP($AH396,Target_monthwise!$D$24:$O$40,DTR!Z$4,FALSE)),0)</f>
        <v>0</v>
      </c>
      <c r="AA396" s="147">
        <f>IFERROR((HLOOKUP($AH396,Target_monthwise!$D$24:$O$40,DTR!AA$4,FALSE)),0)</f>
        <v>0</v>
      </c>
      <c r="AB396" s="147">
        <f>IFERROR((HLOOKUP($AH396,Target_monthwise!$D$24:$O$40,DTR!AB$4,FALSE)),0)</f>
        <v>0</v>
      </c>
      <c r="AC396" s="239">
        <f>IFERROR((HLOOKUP($AH396,Target_monthwise!$D$24:$O$40,DTR!AC$4,FALSE)),0)</f>
        <v>0</v>
      </c>
      <c r="AD396" s="239">
        <f>IFERROR((HLOOKUP($AH396,Target_monthwise!$D$24:$O$40,DTR!AD$4,FALSE)),0)</f>
        <v>0</v>
      </c>
      <c r="AE396" s="239">
        <f>IFERROR((HLOOKUP($AH396,Target_monthwise!$D$24:$O$40,DTR!AE$4,FALSE)),0)</f>
        <v>0</v>
      </c>
      <c r="AF396" s="239">
        <f>IFERROR((HLOOKUP($AH396,Target_monthwise!$D$24:$O$40,DTR!AF$4,FALSE)),0)</f>
        <v>0</v>
      </c>
      <c r="AG396" s="172">
        <f>IFERROR((HLOOKUP($AH396,Target_monthwise!$D$24:$O$40,DTR!AG$4,FALSE)),0)</f>
        <v>0</v>
      </c>
      <c r="AH396" s="253">
        <f t="shared" si="6"/>
        <v>202304</v>
      </c>
    </row>
    <row r="397" spans="3:34" ht="15.75" hidden="1">
      <c r="C397" s="235">
        <v>45040</v>
      </c>
      <c r="D397" s="141">
        <f>IFERROR((HLOOKUP($AH397,Target_monthwise!$D$4:$O$20,DTR!D$4,FALSE))*1000,0)</f>
        <v>0</v>
      </c>
      <c r="E397" s="141">
        <f>IFERROR((HLOOKUP($AH397,Target_monthwise!$D$4:$O$20,DTR!E$4,FALSE))*1000,0)</f>
        <v>0</v>
      </c>
      <c r="F397" s="141">
        <f>IFERROR((HLOOKUP($AH397,Target_monthwise!$D$4:$O$20,DTR!F$4,FALSE))*1000,0)</f>
        <v>0</v>
      </c>
      <c r="G397" s="141">
        <f>IFERROR((HLOOKUP($AH397,Target_monthwise!$D$4:$O$20,DTR!G$4,FALSE))*1000,0)</f>
        <v>0</v>
      </c>
      <c r="H397" s="141">
        <f>IFERROR((HLOOKUP($AH397,Target_monthwise!$D$4:$O$20,DTR!H$4,FALSE))*1000,0)</f>
        <v>0</v>
      </c>
      <c r="I397" s="141">
        <f>IFERROR((HLOOKUP($AH397,Target_monthwise!$D$4:$O$20,DTR!I$4,FALSE))*1000,0)</f>
        <v>0</v>
      </c>
      <c r="J397" s="141">
        <f>IFERROR((HLOOKUP($AH397,Target_monthwise!$D$4:$O$20,DTR!J$4,FALSE))*1000,0)</f>
        <v>0</v>
      </c>
      <c r="K397" s="141">
        <f>IFERROR((HLOOKUP($AH397,Target_monthwise!$D$4:$O$20,DTR!K$4,FALSE))*1000,0)</f>
        <v>0</v>
      </c>
      <c r="L397" s="141">
        <f>IFERROR((HLOOKUP($AH397,Target_monthwise!$D$4:$O$20,DTR!L$4,FALSE))*1000,0)</f>
        <v>0</v>
      </c>
      <c r="M397" s="141">
        <f>IFERROR((HLOOKUP($AH397,Target_monthwise!$D$4:$O$20,DTR!M$4,FALSE))*1000,0)</f>
        <v>0</v>
      </c>
      <c r="N397" s="141">
        <f>IFERROR((HLOOKUP($AH397,Target_monthwise!$D$4:$O$20,DTR!N$4,FALSE))*1000,0)</f>
        <v>0</v>
      </c>
      <c r="O397" s="141">
        <f>IFERROR((HLOOKUP($AH397,Target_monthwise!$D$4:$O$20,DTR!O$4,FALSE))*1000,0)</f>
        <v>0</v>
      </c>
      <c r="P397" s="141">
        <f>IFERROR((HLOOKUP($AH397,Target_monthwise!$D$4:$O$20,DTR!P$4,FALSE))*1000,0)</f>
        <v>0</v>
      </c>
      <c r="Q397" s="141">
        <f>IFERROR((HLOOKUP($AH397,Target_monthwise!$D$4:$O$20,DTR!Q$4,FALSE))*1000,0)</f>
        <v>0</v>
      </c>
      <c r="R397" s="167">
        <f>IFERROR((HLOOKUP($AH397,Target_monthwise!$D$4:$O$20,DTR!R$4,FALSE))*1000,0)</f>
        <v>0</v>
      </c>
      <c r="S397" s="147">
        <f>IFERROR((HLOOKUP($AH397,Target_monthwise!$D$24:$O$40,DTR!S$4,FALSE)),0)</f>
        <v>0</v>
      </c>
      <c r="T397" s="147">
        <f>IFERROR((HLOOKUP($AH397,Target_monthwise!$D$24:$O$40,DTR!T$4,FALSE)),0)</f>
        <v>0</v>
      </c>
      <c r="U397" s="147">
        <f>IFERROR((HLOOKUP($AH397,Target_monthwise!$D$24:$O$40,DTR!U$4,FALSE)),0)</f>
        <v>0</v>
      </c>
      <c r="V397" s="147">
        <f>IFERROR((HLOOKUP($AH397,Target_monthwise!$D$24:$O$40,DTR!V$4,FALSE)),0)</f>
        <v>0</v>
      </c>
      <c r="W397" s="147">
        <f>IFERROR((HLOOKUP($AH397,Target_monthwise!$D$24:$O$40,DTR!W$4,FALSE)),0)</f>
        <v>0</v>
      </c>
      <c r="X397" s="147">
        <f>IFERROR((HLOOKUP($AH397,Target_monthwise!$D$24:$O$40,DTR!X$4,FALSE)),0)</f>
        <v>0</v>
      </c>
      <c r="Y397" s="147">
        <f>IFERROR((HLOOKUP($AH397,Target_monthwise!$D$24:$O$40,DTR!Y$4,FALSE)),0)</f>
        <v>0</v>
      </c>
      <c r="Z397" s="147">
        <f>IFERROR((HLOOKUP($AH397,Target_monthwise!$D$24:$O$40,DTR!Z$4,FALSE)),0)</f>
        <v>0</v>
      </c>
      <c r="AA397" s="147">
        <f>IFERROR((HLOOKUP($AH397,Target_monthwise!$D$24:$O$40,DTR!AA$4,FALSE)),0)</f>
        <v>0</v>
      </c>
      <c r="AB397" s="147">
        <f>IFERROR((HLOOKUP($AH397,Target_monthwise!$D$24:$O$40,DTR!AB$4,FALSE)),0)</f>
        <v>0</v>
      </c>
      <c r="AC397" s="147">
        <f>IFERROR((HLOOKUP($AH397,Target_monthwise!$D$24:$O$40,DTR!AC$4,FALSE)),0)</f>
        <v>0</v>
      </c>
      <c r="AD397" s="147">
        <f>IFERROR((HLOOKUP($AH397,Target_monthwise!$D$24:$O$40,DTR!AD$4,FALSE)),0)</f>
        <v>0</v>
      </c>
      <c r="AE397" s="147">
        <f>IFERROR((HLOOKUP($AH397,Target_monthwise!$D$24:$O$40,DTR!AE$4,FALSE)),0)</f>
        <v>0</v>
      </c>
      <c r="AF397" s="147">
        <f>IFERROR((HLOOKUP($AH397,Target_monthwise!$D$24:$O$40,DTR!AF$4,FALSE)),0)</f>
        <v>0</v>
      </c>
      <c r="AG397" s="172">
        <f>IFERROR((HLOOKUP($AH397,Target_monthwise!$D$24:$O$40,DTR!AG$4,FALSE)),0)</f>
        <v>0</v>
      </c>
      <c r="AH397" s="253">
        <f t="shared" si="6"/>
        <v>202304</v>
      </c>
    </row>
    <row r="398" spans="3:34" ht="15.75" hidden="1">
      <c r="C398" s="237">
        <v>45041</v>
      </c>
      <c r="D398" s="238">
        <f>IFERROR((HLOOKUP($AH398,Target_monthwise!$D$4:$O$20,DTR!D$4,FALSE))*1000,0)</f>
        <v>0</v>
      </c>
      <c r="E398" s="238">
        <f>IFERROR((HLOOKUP($AH398,Target_monthwise!$D$4:$O$20,DTR!E$4,FALSE))*1000,0)</f>
        <v>0</v>
      </c>
      <c r="F398" s="238">
        <f>IFERROR((HLOOKUP($AH398,Target_monthwise!$D$4:$O$20,DTR!F$4,FALSE))*1000,0)</f>
        <v>0</v>
      </c>
      <c r="G398" s="238">
        <f>IFERROR((HLOOKUP($AH398,Target_monthwise!$D$4:$O$20,DTR!G$4,FALSE))*1000,0)</f>
        <v>0</v>
      </c>
      <c r="H398" s="238">
        <f>IFERROR((HLOOKUP($AH398,Target_monthwise!$D$4:$O$20,DTR!H$4,FALSE))*1000,0)</f>
        <v>0</v>
      </c>
      <c r="I398" s="238">
        <f>IFERROR((HLOOKUP($AH398,Target_monthwise!$D$4:$O$20,DTR!I$4,FALSE))*1000,0)</f>
        <v>0</v>
      </c>
      <c r="J398" s="238">
        <f>IFERROR((HLOOKUP($AH398,Target_monthwise!$D$4:$O$20,DTR!J$4,FALSE))*1000,0)</f>
        <v>0</v>
      </c>
      <c r="K398" s="238">
        <f>IFERROR((HLOOKUP($AH398,Target_monthwise!$D$4:$O$20,DTR!K$4,FALSE))*1000,0)</f>
        <v>0</v>
      </c>
      <c r="L398" s="238">
        <f>IFERROR((HLOOKUP($AH398,Target_monthwise!$D$4:$O$20,DTR!L$4,FALSE))*1000,0)</f>
        <v>0</v>
      </c>
      <c r="M398" s="238">
        <f>IFERROR((HLOOKUP($AH398,Target_monthwise!$D$4:$O$20,DTR!M$4,FALSE))*1000,0)</f>
        <v>0</v>
      </c>
      <c r="N398" s="238">
        <f>IFERROR((HLOOKUP($AH398,Target_monthwise!$D$4:$O$20,DTR!N$4,FALSE))*1000,0)</f>
        <v>0</v>
      </c>
      <c r="O398" s="238">
        <f>IFERROR((HLOOKUP($AH398,Target_monthwise!$D$4:$O$20,DTR!O$4,FALSE))*1000,0)</f>
        <v>0</v>
      </c>
      <c r="P398" s="238">
        <f>IFERROR((HLOOKUP($AH398,Target_monthwise!$D$4:$O$20,DTR!P$4,FALSE))*1000,0)</f>
        <v>0</v>
      </c>
      <c r="Q398" s="141">
        <f>IFERROR((HLOOKUP($AH398,Target_monthwise!$D$4:$O$20,DTR!Q$4,FALSE))*1000,0)</f>
        <v>0</v>
      </c>
      <c r="R398" s="167">
        <f>IFERROR((HLOOKUP($AH398,Target_monthwise!$D$4:$O$20,DTR!R$4,FALSE))*1000,0)</f>
        <v>0</v>
      </c>
      <c r="S398" s="239">
        <f>IFERROR((HLOOKUP($AH398,Target_monthwise!$D$24:$O$40,DTR!S$4,FALSE)),0)</f>
        <v>0</v>
      </c>
      <c r="T398" s="239">
        <f>IFERROR((HLOOKUP($AH398,Target_monthwise!$D$24:$O$40,DTR!T$4,FALSE)),0)</f>
        <v>0</v>
      </c>
      <c r="U398" s="239">
        <f>IFERROR((HLOOKUP($AH398,Target_monthwise!$D$24:$O$40,DTR!U$4,FALSE)),0)</f>
        <v>0</v>
      </c>
      <c r="V398" s="239">
        <f>IFERROR((HLOOKUP($AH398,Target_monthwise!$D$24:$O$40,DTR!V$4,FALSE)),0)</f>
        <v>0</v>
      </c>
      <c r="W398" s="239">
        <f>IFERROR((HLOOKUP($AH398,Target_monthwise!$D$24:$O$40,DTR!W$4,FALSE)),0)</f>
        <v>0</v>
      </c>
      <c r="X398" s="239">
        <f>IFERROR((HLOOKUP($AH398,Target_monthwise!$D$24:$O$40,DTR!X$4,FALSE)),0)</f>
        <v>0</v>
      </c>
      <c r="Y398" s="239">
        <f>IFERROR((HLOOKUP($AH398,Target_monthwise!$D$24:$O$40,DTR!Y$4,FALSE)),0)</f>
        <v>0</v>
      </c>
      <c r="Z398" s="147">
        <f>IFERROR((HLOOKUP($AH398,Target_monthwise!$D$24:$O$40,DTR!Z$4,FALSE)),0)</f>
        <v>0</v>
      </c>
      <c r="AA398" s="147">
        <f>IFERROR((HLOOKUP($AH398,Target_monthwise!$D$24:$O$40,DTR!AA$4,FALSE)),0)</f>
        <v>0</v>
      </c>
      <c r="AB398" s="147">
        <f>IFERROR((HLOOKUP($AH398,Target_monthwise!$D$24:$O$40,DTR!AB$4,FALSE)),0)</f>
        <v>0</v>
      </c>
      <c r="AC398" s="239">
        <f>IFERROR((HLOOKUP($AH398,Target_monthwise!$D$24:$O$40,DTR!AC$4,FALSE)),0)</f>
        <v>0</v>
      </c>
      <c r="AD398" s="239">
        <f>IFERROR((HLOOKUP($AH398,Target_monthwise!$D$24:$O$40,DTR!AD$4,FALSE)),0)</f>
        <v>0</v>
      </c>
      <c r="AE398" s="239">
        <f>IFERROR((HLOOKUP($AH398,Target_monthwise!$D$24:$O$40,DTR!AE$4,FALSE)),0)</f>
        <v>0</v>
      </c>
      <c r="AF398" s="239">
        <f>IFERROR((HLOOKUP($AH398,Target_monthwise!$D$24:$O$40,DTR!AF$4,FALSE)),0)</f>
        <v>0</v>
      </c>
      <c r="AG398" s="172">
        <f>IFERROR((HLOOKUP($AH398,Target_monthwise!$D$24:$O$40,DTR!AG$4,FALSE)),0)</f>
        <v>0</v>
      </c>
      <c r="AH398" s="253">
        <f t="shared" si="6"/>
        <v>202304</v>
      </c>
    </row>
    <row r="399" spans="3:34" ht="15.75" hidden="1">
      <c r="C399" s="235">
        <v>45042</v>
      </c>
      <c r="D399" s="141">
        <f>IFERROR((HLOOKUP($AH399,Target_monthwise!$D$4:$O$20,DTR!D$4,FALSE))*1000,0)</f>
        <v>0</v>
      </c>
      <c r="E399" s="141">
        <f>IFERROR((HLOOKUP($AH399,Target_monthwise!$D$4:$O$20,DTR!E$4,FALSE))*1000,0)</f>
        <v>0</v>
      </c>
      <c r="F399" s="141">
        <f>IFERROR((HLOOKUP($AH399,Target_monthwise!$D$4:$O$20,DTR!F$4,FALSE))*1000,0)</f>
        <v>0</v>
      </c>
      <c r="G399" s="141">
        <f>IFERROR((HLOOKUP($AH399,Target_monthwise!$D$4:$O$20,DTR!G$4,FALSE))*1000,0)</f>
        <v>0</v>
      </c>
      <c r="H399" s="141">
        <f>IFERROR((HLOOKUP($AH399,Target_monthwise!$D$4:$O$20,DTR!H$4,FALSE))*1000,0)</f>
        <v>0</v>
      </c>
      <c r="I399" s="141">
        <f>IFERROR((HLOOKUP($AH399,Target_monthwise!$D$4:$O$20,DTR!I$4,FALSE))*1000,0)</f>
        <v>0</v>
      </c>
      <c r="J399" s="141">
        <f>IFERROR((HLOOKUP($AH399,Target_monthwise!$D$4:$O$20,DTR!J$4,FALSE))*1000,0)</f>
        <v>0</v>
      </c>
      <c r="K399" s="141">
        <f>IFERROR((HLOOKUP($AH399,Target_monthwise!$D$4:$O$20,DTR!K$4,FALSE))*1000,0)</f>
        <v>0</v>
      </c>
      <c r="L399" s="141">
        <f>IFERROR((HLOOKUP($AH399,Target_monthwise!$D$4:$O$20,DTR!L$4,FALSE))*1000,0)</f>
        <v>0</v>
      </c>
      <c r="M399" s="141">
        <f>IFERROR((HLOOKUP($AH399,Target_monthwise!$D$4:$O$20,DTR!M$4,FALSE))*1000,0)</f>
        <v>0</v>
      </c>
      <c r="N399" s="141">
        <f>IFERROR((HLOOKUP($AH399,Target_monthwise!$D$4:$O$20,DTR!N$4,FALSE))*1000,0)</f>
        <v>0</v>
      </c>
      <c r="O399" s="141">
        <f>IFERROR((HLOOKUP($AH399,Target_monthwise!$D$4:$O$20,DTR!O$4,FALSE))*1000,0)</f>
        <v>0</v>
      </c>
      <c r="P399" s="141">
        <f>IFERROR((HLOOKUP($AH399,Target_monthwise!$D$4:$O$20,DTR!P$4,FALSE))*1000,0)</f>
        <v>0</v>
      </c>
      <c r="Q399" s="141">
        <f>IFERROR((HLOOKUP($AH399,Target_monthwise!$D$4:$O$20,DTR!Q$4,FALSE))*1000,0)</f>
        <v>0</v>
      </c>
      <c r="R399" s="167">
        <f>IFERROR((HLOOKUP($AH399,Target_monthwise!$D$4:$O$20,DTR!R$4,FALSE))*1000,0)</f>
        <v>0</v>
      </c>
      <c r="S399" s="147">
        <f>IFERROR((HLOOKUP($AH399,Target_monthwise!$D$24:$O$40,DTR!S$4,FALSE)),0)</f>
        <v>0</v>
      </c>
      <c r="T399" s="147">
        <f>IFERROR((HLOOKUP($AH399,Target_monthwise!$D$24:$O$40,DTR!T$4,FALSE)),0)</f>
        <v>0</v>
      </c>
      <c r="U399" s="147">
        <f>IFERROR((HLOOKUP($AH399,Target_monthwise!$D$24:$O$40,DTR!U$4,FALSE)),0)</f>
        <v>0</v>
      </c>
      <c r="V399" s="147">
        <f>IFERROR((HLOOKUP($AH399,Target_monthwise!$D$24:$O$40,DTR!V$4,FALSE)),0)</f>
        <v>0</v>
      </c>
      <c r="W399" s="147">
        <f>IFERROR((HLOOKUP($AH399,Target_monthwise!$D$24:$O$40,DTR!W$4,FALSE)),0)</f>
        <v>0</v>
      </c>
      <c r="X399" s="147">
        <f>IFERROR((HLOOKUP($AH399,Target_monthwise!$D$24:$O$40,DTR!X$4,FALSE)),0)</f>
        <v>0</v>
      </c>
      <c r="Y399" s="147">
        <f>IFERROR((HLOOKUP($AH399,Target_monthwise!$D$24:$O$40,DTR!Y$4,FALSE)),0)</f>
        <v>0</v>
      </c>
      <c r="Z399" s="147">
        <f>IFERROR((HLOOKUP($AH399,Target_monthwise!$D$24:$O$40,DTR!Z$4,FALSE)),0)</f>
        <v>0</v>
      </c>
      <c r="AA399" s="147">
        <f>IFERROR((HLOOKUP($AH399,Target_monthwise!$D$24:$O$40,DTR!AA$4,FALSE)),0)</f>
        <v>0</v>
      </c>
      <c r="AB399" s="147">
        <f>IFERROR((HLOOKUP($AH399,Target_monthwise!$D$24:$O$40,DTR!AB$4,FALSE)),0)</f>
        <v>0</v>
      </c>
      <c r="AC399" s="147">
        <f>IFERROR((HLOOKUP($AH399,Target_monthwise!$D$24:$O$40,DTR!AC$4,FALSE)),0)</f>
        <v>0</v>
      </c>
      <c r="AD399" s="147">
        <f>IFERROR((HLOOKUP($AH399,Target_monthwise!$D$24:$O$40,DTR!AD$4,FALSE)),0)</f>
        <v>0</v>
      </c>
      <c r="AE399" s="147">
        <f>IFERROR((HLOOKUP($AH399,Target_monthwise!$D$24:$O$40,DTR!AE$4,FALSE)),0)</f>
        <v>0</v>
      </c>
      <c r="AF399" s="147">
        <f>IFERROR((HLOOKUP($AH399,Target_monthwise!$D$24:$O$40,DTR!AF$4,FALSE)),0)</f>
        <v>0</v>
      </c>
      <c r="AG399" s="172">
        <f>IFERROR((HLOOKUP($AH399,Target_monthwise!$D$24:$O$40,DTR!AG$4,FALSE)),0)</f>
        <v>0</v>
      </c>
      <c r="AH399" s="253">
        <f t="shared" si="6"/>
        <v>202304</v>
      </c>
    </row>
    <row r="400" spans="3:34" ht="15.75" hidden="1">
      <c r="C400" s="237">
        <v>45043</v>
      </c>
      <c r="D400" s="238">
        <f>IFERROR((HLOOKUP($AH400,Target_monthwise!$D$4:$O$20,DTR!D$4,FALSE))*1000,0)</f>
        <v>0</v>
      </c>
      <c r="E400" s="238">
        <f>IFERROR((HLOOKUP($AH400,Target_monthwise!$D$4:$O$20,DTR!E$4,FALSE))*1000,0)</f>
        <v>0</v>
      </c>
      <c r="F400" s="238">
        <f>IFERROR((HLOOKUP($AH400,Target_monthwise!$D$4:$O$20,DTR!F$4,FALSE))*1000,0)</f>
        <v>0</v>
      </c>
      <c r="G400" s="238">
        <f>IFERROR((HLOOKUP($AH400,Target_monthwise!$D$4:$O$20,DTR!G$4,FALSE))*1000,0)</f>
        <v>0</v>
      </c>
      <c r="H400" s="238">
        <f>IFERROR((HLOOKUP($AH400,Target_monthwise!$D$4:$O$20,DTR!H$4,FALSE))*1000,0)</f>
        <v>0</v>
      </c>
      <c r="I400" s="238">
        <f>IFERROR((HLOOKUP($AH400,Target_monthwise!$D$4:$O$20,DTR!I$4,FALSE))*1000,0)</f>
        <v>0</v>
      </c>
      <c r="J400" s="238">
        <f>IFERROR((HLOOKUP($AH400,Target_monthwise!$D$4:$O$20,DTR!J$4,FALSE))*1000,0)</f>
        <v>0</v>
      </c>
      <c r="K400" s="238">
        <f>IFERROR((HLOOKUP($AH400,Target_monthwise!$D$4:$O$20,DTR!K$4,FALSE))*1000,0)</f>
        <v>0</v>
      </c>
      <c r="L400" s="238">
        <f>IFERROR((HLOOKUP($AH400,Target_monthwise!$D$4:$O$20,DTR!L$4,FALSE))*1000,0)</f>
        <v>0</v>
      </c>
      <c r="M400" s="238">
        <f>IFERROR((HLOOKUP($AH400,Target_monthwise!$D$4:$O$20,DTR!M$4,FALSE))*1000,0)</f>
        <v>0</v>
      </c>
      <c r="N400" s="238">
        <f>IFERROR((HLOOKUP($AH400,Target_monthwise!$D$4:$O$20,DTR!N$4,FALSE))*1000,0)</f>
        <v>0</v>
      </c>
      <c r="O400" s="238">
        <f>IFERROR((HLOOKUP($AH400,Target_monthwise!$D$4:$O$20,DTR!O$4,FALSE))*1000,0)</f>
        <v>0</v>
      </c>
      <c r="P400" s="238">
        <f>IFERROR((HLOOKUP($AH400,Target_monthwise!$D$4:$O$20,DTR!P$4,FALSE))*1000,0)</f>
        <v>0</v>
      </c>
      <c r="Q400" s="141">
        <f>IFERROR((HLOOKUP($AH400,Target_monthwise!$D$4:$O$20,DTR!Q$4,FALSE))*1000,0)</f>
        <v>0</v>
      </c>
      <c r="R400" s="167">
        <f>IFERROR((HLOOKUP($AH400,Target_monthwise!$D$4:$O$20,DTR!R$4,FALSE))*1000,0)</f>
        <v>0</v>
      </c>
      <c r="S400" s="239">
        <f>IFERROR((HLOOKUP($AH400,Target_monthwise!$D$24:$O$40,DTR!S$4,FALSE)),0)</f>
        <v>0</v>
      </c>
      <c r="T400" s="239">
        <f>IFERROR((HLOOKUP($AH400,Target_monthwise!$D$24:$O$40,DTR!T$4,FALSE)),0)</f>
        <v>0</v>
      </c>
      <c r="U400" s="239">
        <f>IFERROR((HLOOKUP($AH400,Target_monthwise!$D$24:$O$40,DTR!U$4,FALSE)),0)</f>
        <v>0</v>
      </c>
      <c r="V400" s="239">
        <f>IFERROR((HLOOKUP($AH400,Target_monthwise!$D$24:$O$40,DTR!V$4,FALSE)),0)</f>
        <v>0</v>
      </c>
      <c r="W400" s="239">
        <f>IFERROR((HLOOKUP($AH400,Target_monthwise!$D$24:$O$40,DTR!W$4,FALSE)),0)</f>
        <v>0</v>
      </c>
      <c r="X400" s="239">
        <f>IFERROR((HLOOKUP($AH400,Target_monthwise!$D$24:$O$40,DTR!X$4,FALSE)),0)</f>
        <v>0</v>
      </c>
      <c r="Y400" s="239">
        <f>IFERROR((HLOOKUP($AH400,Target_monthwise!$D$24:$O$40,DTR!Y$4,FALSE)),0)</f>
        <v>0</v>
      </c>
      <c r="Z400" s="147">
        <f>IFERROR((HLOOKUP($AH400,Target_monthwise!$D$24:$O$40,DTR!Z$4,FALSE)),0)</f>
        <v>0</v>
      </c>
      <c r="AA400" s="147">
        <f>IFERROR((HLOOKUP($AH400,Target_monthwise!$D$24:$O$40,DTR!AA$4,FALSE)),0)</f>
        <v>0</v>
      </c>
      <c r="AB400" s="147">
        <f>IFERROR((HLOOKUP($AH400,Target_monthwise!$D$24:$O$40,DTR!AB$4,FALSE)),0)</f>
        <v>0</v>
      </c>
      <c r="AC400" s="239">
        <f>IFERROR((HLOOKUP($AH400,Target_monthwise!$D$24:$O$40,DTR!AC$4,FALSE)),0)</f>
        <v>0</v>
      </c>
      <c r="AD400" s="239">
        <f>IFERROR((HLOOKUP($AH400,Target_monthwise!$D$24:$O$40,DTR!AD$4,FALSE)),0)</f>
        <v>0</v>
      </c>
      <c r="AE400" s="239">
        <f>IFERROR((HLOOKUP($AH400,Target_monthwise!$D$24:$O$40,DTR!AE$4,FALSE)),0)</f>
        <v>0</v>
      </c>
      <c r="AF400" s="239">
        <f>IFERROR((HLOOKUP($AH400,Target_monthwise!$D$24:$O$40,DTR!AF$4,FALSE)),0)</f>
        <v>0</v>
      </c>
      <c r="AG400" s="172">
        <f>IFERROR((HLOOKUP($AH400,Target_monthwise!$D$24:$O$40,DTR!AG$4,FALSE)),0)</f>
        <v>0</v>
      </c>
      <c r="AH400" s="253">
        <f t="shared" si="6"/>
        <v>202304</v>
      </c>
    </row>
    <row r="401" spans="3:34" ht="15.75" hidden="1">
      <c r="C401" s="235">
        <v>45044</v>
      </c>
      <c r="D401" s="141">
        <f>IFERROR((HLOOKUP($AH401,Target_monthwise!$D$4:$O$20,DTR!D$4,FALSE))*1000,0)</f>
        <v>0</v>
      </c>
      <c r="E401" s="141">
        <f>IFERROR((HLOOKUP($AH401,Target_monthwise!$D$4:$O$20,DTR!E$4,FALSE))*1000,0)</f>
        <v>0</v>
      </c>
      <c r="F401" s="141">
        <f>IFERROR((HLOOKUP($AH401,Target_monthwise!$D$4:$O$20,DTR!F$4,FALSE))*1000,0)</f>
        <v>0</v>
      </c>
      <c r="G401" s="141">
        <f>IFERROR((HLOOKUP($AH401,Target_monthwise!$D$4:$O$20,DTR!G$4,FALSE))*1000,0)</f>
        <v>0</v>
      </c>
      <c r="H401" s="141">
        <f>IFERROR((HLOOKUP($AH401,Target_monthwise!$D$4:$O$20,DTR!H$4,FALSE))*1000,0)</f>
        <v>0</v>
      </c>
      <c r="I401" s="141">
        <f>IFERROR((HLOOKUP($AH401,Target_monthwise!$D$4:$O$20,DTR!I$4,FALSE))*1000,0)</f>
        <v>0</v>
      </c>
      <c r="J401" s="141">
        <f>IFERROR((HLOOKUP($AH401,Target_monthwise!$D$4:$O$20,DTR!J$4,FALSE))*1000,0)</f>
        <v>0</v>
      </c>
      <c r="K401" s="141">
        <f>IFERROR((HLOOKUP($AH401,Target_monthwise!$D$4:$O$20,DTR!K$4,FALSE))*1000,0)</f>
        <v>0</v>
      </c>
      <c r="L401" s="141">
        <f>IFERROR((HLOOKUP($AH401,Target_monthwise!$D$4:$O$20,DTR!L$4,FALSE))*1000,0)</f>
        <v>0</v>
      </c>
      <c r="M401" s="141">
        <f>IFERROR((HLOOKUP($AH401,Target_monthwise!$D$4:$O$20,DTR!M$4,FALSE))*1000,0)</f>
        <v>0</v>
      </c>
      <c r="N401" s="141">
        <f>IFERROR((HLOOKUP($AH401,Target_monthwise!$D$4:$O$20,DTR!N$4,FALSE))*1000,0)</f>
        <v>0</v>
      </c>
      <c r="O401" s="141">
        <f>IFERROR((HLOOKUP($AH401,Target_monthwise!$D$4:$O$20,DTR!O$4,FALSE))*1000,0)</f>
        <v>0</v>
      </c>
      <c r="P401" s="141">
        <f>IFERROR((HLOOKUP($AH401,Target_monthwise!$D$4:$O$20,DTR!P$4,FALSE))*1000,0)</f>
        <v>0</v>
      </c>
      <c r="Q401" s="141">
        <f>IFERROR((HLOOKUP($AH401,Target_monthwise!$D$4:$O$20,DTR!Q$4,FALSE))*1000,0)</f>
        <v>0</v>
      </c>
      <c r="R401" s="167">
        <f>IFERROR((HLOOKUP($AH401,Target_monthwise!$D$4:$O$20,DTR!R$4,FALSE))*1000,0)</f>
        <v>0</v>
      </c>
      <c r="S401" s="147">
        <f>IFERROR((HLOOKUP($AH401,Target_monthwise!$D$24:$O$40,DTR!S$4,FALSE)),0)</f>
        <v>0</v>
      </c>
      <c r="T401" s="147">
        <f>IFERROR((HLOOKUP($AH401,Target_monthwise!$D$24:$O$40,DTR!T$4,FALSE)),0)</f>
        <v>0</v>
      </c>
      <c r="U401" s="147">
        <f>IFERROR((HLOOKUP($AH401,Target_monthwise!$D$24:$O$40,DTR!U$4,FALSE)),0)</f>
        <v>0</v>
      </c>
      <c r="V401" s="147">
        <f>IFERROR((HLOOKUP($AH401,Target_monthwise!$D$24:$O$40,DTR!V$4,FALSE)),0)</f>
        <v>0</v>
      </c>
      <c r="W401" s="147">
        <f>IFERROR((HLOOKUP($AH401,Target_monthwise!$D$24:$O$40,DTR!W$4,FALSE)),0)</f>
        <v>0</v>
      </c>
      <c r="X401" s="147">
        <f>IFERROR((HLOOKUP($AH401,Target_monthwise!$D$24:$O$40,DTR!X$4,FALSE)),0)</f>
        <v>0</v>
      </c>
      <c r="Y401" s="147">
        <f>IFERROR((HLOOKUP($AH401,Target_monthwise!$D$24:$O$40,DTR!Y$4,FALSE)),0)</f>
        <v>0</v>
      </c>
      <c r="Z401" s="147">
        <f>IFERROR((HLOOKUP($AH401,Target_monthwise!$D$24:$O$40,DTR!Z$4,FALSE)),0)</f>
        <v>0</v>
      </c>
      <c r="AA401" s="147">
        <f>IFERROR((HLOOKUP($AH401,Target_monthwise!$D$24:$O$40,DTR!AA$4,FALSE)),0)</f>
        <v>0</v>
      </c>
      <c r="AB401" s="147">
        <f>IFERROR((HLOOKUP($AH401,Target_monthwise!$D$24:$O$40,DTR!AB$4,FALSE)),0)</f>
        <v>0</v>
      </c>
      <c r="AC401" s="147">
        <f>IFERROR((HLOOKUP($AH401,Target_monthwise!$D$24:$O$40,DTR!AC$4,FALSE)),0)</f>
        <v>0</v>
      </c>
      <c r="AD401" s="147">
        <f>IFERROR((HLOOKUP($AH401,Target_monthwise!$D$24:$O$40,DTR!AD$4,FALSE)),0)</f>
        <v>0</v>
      </c>
      <c r="AE401" s="147">
        <f>IFERROR((HLOOKUP($AH401,Target_monthwise!$D$24:$O$40,DTR!AE$4,FALSE)),0)</f>
        <v>0</v>
      </c>
      <c r="AF401" s="147">
        <f>IFERROR((HLOOKUP($AH401,Target_monthwise!$D$24:$O$40,DTR!AF$4,FALSE)),0)</f>
        <v>0</v>
      </c>
      <c r="AG401" s="172">
        <f>IFERROR((HLOOKUP($AH401,Target_monthwise!$D$24:$O$40,DTR!AG$4,FALSE)),0)</f>
        <v>0</v>
      </c>
      <c r="AH401" s="253">
        <f t="shared" si="6"/>
        <v>202304</v>
      </c>
    </row>
    <row r="402" spans="3:34" ht="15.75" hidden="1">
      <c r="C402" s="237">
        <v>45045</v>
      </c>
      <c r="D402" s="238">
        <f>IFERROR((HLOOKUP($AH402,Target_monthwise!$D$4:$O$20,DTR!D$4,FALSE))*1000,0)</f>
        <v>0</v>
      </c>
      <c r="E402" s="238">
        <f>IFERROR((HLOOKUP($AH402,Target_monthwise!$D$4:$O$20,DTR!E$4,FALSE))*1000,0)</f>
        <v>0</v>
      </c>
      <c r="F402" s="238">
        <f>IFERROR((HLOOKUP($AH402,Target_monthwise!$D$4:$O$20,DTR!F$4,FALSE))*1000,0)</f>
        <v>0</v>
      </c>
      <c r="G402" s="238">
        <f>IFERROR((HLOOKUP($AH402,Target_monthwise!$D$4:$O$20,DTR!G$4,FALSE))*1000,0)</f>
        <v>0</v>
      </c>
      <c r="H402" s="238">
        <f>IFERROR((HLOOKUP($AH402,Target_monthwise!$D$4:$O$20,DTR!H$4,FALSE))*1000,0)</f>
        <v>0</v>
      </c>
      <c r="I402" s="238">
        <f>IFERROR((HLOOKUP($AH402,Target_monthwise!$D$4:$O$20,DTR!I$4,FALSE))*1000,0)</f>
        <v>0</v>
      </c>
      <c r="J402" s="238">
        <f>IFERROR((HLOOKUP($AH402,Target_monthwise!$D$4:$O$20,DTR!J$4,FALSE))*1000,0)</f>
        <v>0</v>
      </c>
      <c r="K402" s="238">
        <f>IFERROR((HLOOKUP($AH402,Target_monthwise!$D$4:$O$20,DTR!K$4,FALSE))*1000,0)</f>
        <v>0</v>
      </c>
      <c r="L402" s="238">
        <f>IFERROR((HLOOKUP($AH402,Target_monthwise!$D$4:$O$20,DTR!L$4,FALSE))*1000,0)</f>
        <v>0</v>
      </c>
      <c r="M402" s="238">
        <f>IFERROR((HLOOKUP($AH402,Target_monthwise!$D$4:$O$20,DTR!M$4,FALSE))*1000,0)</f>
        <v>0</v>
      </c>
      <c r="N402" s="238">
        <f>IFERROR((HLOOKUP($AH402,Target_monthwise!$D$4:$O$20,DTR!N$4,FALSE))*1000,0)</f>
        <v>0</v>
      </c>
      <c r="O402" s="238">
        <f>IFERROR((HLOOKUP($AH402,Target_monthwise!$D$4:$O$20,DTR!O$4,FALSE))*1000,0)</f>
        <v>0</v>
      </c>
      <c r="P402" s="238">
        <f>IFERROR((HLOOKUP($AH402,Target_monthwise!$D$4:$O$20,DTR!P$4,FALSE))*1000,0)</f>
        <v>0</v>
      </c>
      <c r="Q402" s="141">
        <f>IFERROR((HLOOKUP($AH402,Target_monthwise!$D$4:$O$20,DTR!Q$4,FALSE))*1000,0)</f>
        <v>0</v>
      </c>
      <c r="R402" s="167">
        <f>IFERROR((HLOOKUP($AH402,Target_monthwise!$D$4:$O$20,DTR!R$4,FALSE))*1000,0)</f>
        <v>0</v>
      </c>
      <c r="S402" s="239">
        <f>IFERROR((HLOOKUP($AH402,Target_monthwise!$D$24:$O$40,DTR!S$4,FALSE)),0)</f>
        <v>0</v>
      </c>
      <c r="T402" s="239">
        <f>IFERROR((HLOOKUP($AH402,Target_monthwise!$D$24:$O$40,DTR!T$4,FALSE)),0)</f>
        <v>0</v>
      </c>
      <c r="U402" s="239">
        <f>IFERROR((HLOOKUP($AH402,Target_monthwise!$D$24:$O$40,DTR!U$4,FALSE)),0)</f>
        <v>0</v>
      </c>
      <c r="V402" s="239">
        <f>IFERROR((HLOOKUP($AH402,Target_monthwise!$D$24:$O$40,DTR!V$4,FALSE)),0)</f>
        <v>0</v>
      </c>
      <c r="W402" s="239">
        <f>IFERROR((HLOOKUP($AH402,Target_monthwise!$D$24:$O$40,DTR!W$4,FALSE)),0)</f>
        <v>0</v>
      </c>
      <c r="X402" s="239">
        <f>IFERROR((HLOOKUP($AH402,Target_monthwise!$D$24:$O$40,DTR!X$4,FALSE)),0)</f>
        <v>0</v>
      </c>
      <c r="Y402" s="239">
        <f>IFERROR((HLOOKUP($AH402,Target_monthwise!$D$24:$O$40,DTR!Y$4,FALSE)),0)</f>
        <v>0</v>
      </c>
      <c r="Z402" s="147">
        <f>IFERROR((HLOOKUP($AH402,Target_monthwise!$D$24:$O$40,DTR!Z$4,FALSE)),0)</f>
        <v>0</v>
      </c>
      <c r="AA402" s="147">
        <f>IFERROR((HLOOKUP($AH402,Target_monthwise!$D$24:$O$40,DTR!AA$4,FALSE)),0)</f>
        <v>0</v>
      </c>
      <c r="AB402" s="147">
        <f>IFERROR((HLOOKUP($AH402,Target_monthwise!$D$24:$O$40,DTR!AB$4,FALSE)),0)</f>
        <v>0</v>
      </c>
      <c r="AC402" s="239">
        <f>IFERROR((HLOOKUP($AH402,Target_monthwise!$D$24:$O$40,DTR!AC$4,FALSE)),0)</f>
        <v>0</v>
      </c>
      <c r="AD402" s="239">
        <f>IFERROR((HLOOKUP($AH402,Target_monthwise!$D$24:$O$40,DTR!AD$4,FALSE)),0)</f>
        <v>0</v>
      </c>
      <c r="AE402" s="239">
        <f>IFERROR((HLOOKUP($AH402,Target_monthwise!$D$24:$O$40,DTR!AE$4,FALSE)),0)</f>
        <v>0</v>
      </c>
      <c r="AF402" s="239">
        <f>IFERROR((HLOOKUP($AH402,Target_monthwise!$D$24:$O$40,DTR!AF$4,FALSE)),0)</f>
        <v>0</v>
      </c>
      <c r="AG402" s="172">
        <f>IFERROR((HLOOKUP($AH402,Target_monthwise!$D$24:$O$40,DTR!AG$4,FALSE)),0)</f>
        <v>0</v>
      </c>
      <c r="AH402" s="253">
        <f t="shared" si="6"/>
        <v>202304</v>
      </c>
    </row>
    <row r="403" spans="3:34" ht="15.75" hidden="1">
      <c r="C403" s="235">
        <v>45046</v>
      </c>
      <c r="D403" s="141">
        <f>IFERROR((HLOOKUP($AH403,Target_monthwise!$D$4:$O$20,DTR!D$4,FALSE))*1000,0)</f>
        <v>0</v>
      </c>
      <c r="E403" s="141">
        <f>IFERROR((HLOOKUP($AH403,Target_monthwise!$D$4:$O$20,DTR!E$4,FALSE))*1000,0)</f>
        <v>0</v>
      </c>
      <c r="F403" s="141">
        <f>IFERROR((HLOOKUP($AH403,Target_monthwise!$D$4:$O$20,DTR!F$4,FALSE))*1000,0)</f>
        <v>0</v>
      </c>
      <c r="G403" s="141">
        <f>IFERROR((HLOOKUP($AH403,Target_monthwise!$D$4:$O$20,DTR!G$4,FALSE))*1000,0)</f>
        <v>0</v>
      </c>
      <c r="H403" s="141">
        <f>IFERROR((HLOOKUP($AH403,Target_monthwise!$D$4:$O$20,DTR!H$4,FALSE))*1000,0)</f>
        <v>0</v>
      </c>
      <c r="I403" s="141">
        <f>IFERROR((HLOOKUP($AH403,Target_monthwise!$D$4:$O$20,DTR!I$4,FALSE))*1000,0)</f>
        <v>0</v>
      </c>
      <c r="J403" s="141">
        <f>IFERROR((HLOOKUP($AH403,Target_monthwise!$D$4:$O$20,DTR!J$4,FALSE))*1000,0)</f>
        <v>0</v>
      </c>
      <c r="K403" s="141">
        <f>IFERROR((HLOOKUP($AH403,Target_monthwise!$D$4:$O$20,DTR!K$4,FALSE))*1000,0)</f>
        <v>0</v>
      </c>
      <c r="L403" s="141">
        <f>IFERROR((HLOOKUP($AH403,Target_monthwise!$D$4:$O$20,DTR!L$4,FALSE))*1000,0)</f>
        <v>0</v>
      </c>
      <c r="M403" s="141">
        <f>IFERROR((HLOOKUP($AH403,Target_monthwise!$D$4:$O$20,DTR!M$4,FALSE))*1000,0)</f>
        <v>0</v>
      </c>
      <c r="N403" s="141">
        <f>IFERROR((HLOOKUP($AH403,Target_monthwise!$D$4:$O$20,DTR!N$4,FALSE))*1000,0)</f>
        <v>0</v>
      </c>
      <c r="O403" s="141">
        <f>IFERROR((HLOOKUP($AH403,Target_monthwise!$D$4:$O$20,DTR!O$4,FALSE))*1000,0)</f>
        <v>0</v>
      </c>
      <c r="P403" s="141">
        <f>IFERROR((HLOOKUP($AH403,Target_monthwise!$D$4:$O$20,DTR!P$4,FALSE))*1000,0)</f>
        <v>0</v>
      </c>
      <c r="Q403" s="141">
        <f>IFERROR((HLOOKUP($AH403,Target_monthwise!$D$4:$O$20,DTR!Q$4,FALSE))*1000,0)</f>
        <v>0</v>
      </c>
      <c r="R403" s="167">
        <f>IFERROR((HLOOKUP($AH403,Target_monthwise!$D$4:$O$20,DTR!R$4,FALSE))*1000,0)</f>
        <v>0</v>
      </c>
      <c r="S403" s="147">
        <f>IFERROR((HLOOKUP($AH403,Target_monthwise!$D$24:$O$40,DTR!S$4,FALSE)),0)</f>
        <v>0</v>
      </c>
      <c r="T403" s="147">
        <f>IFERROR((HLOOKUP($AH403,Target_monthwise!$D$24:$O$40,DTR!T$4,FALSE)),0)</f>
        <v>0</v>
      </c>
      <c r="U403" s="147">
        <f>IFERROR((HLOOKUP($AH403,Target_monthwise!$D$24:$O$40,DTR!U$4,FALSE)),0)</f>
        <v>0</v>
      </c>
      <c r="V403" s="147">
        <f>IFERROR((HLOOKUP($AH403,Target_monthwise!$D$24:$O$40,DTR!V$4,FALSE)),0)</f>
        <v>0</v>
      </c>
      <c r="W403" s="147">
        <f>IFERROR((HLOOKUP($AH403,Target_monthwise!$D$24:$O$40,DTR!W$4,FALSE)),0)</f>
        <v>0</v>
      </c>
      <c r="X403" s="147">
        <f>IFERROR((HLOOKUP($AH403,Target_monthwise!$D$24:$O$40,DTR!X$4,FALSE)),0)</f>
        <v>0</v>
      </c>
      <c r="Y403" s="147">
        <f>IFERROR((HLOOKUP($AH403,Target_monthwise!$D$24:$O$40,DTR!Y$4,FALSE)),0)</f>
        <v>0</v>
      </c>
      <c r="Z403" s="147">
        <f>IFERROR((HLOOKUP($AH403,Target_monthwise!$D$24:$O$40,DTR!Z$4,FALSE)),0)</f>
        <v>0</v>
      </c>
      <c r="AA403" s="147">
        <f>IFERROR((HLOOKUP($AH403,Target_monthwise!$D$24:$O$40,DTR!AA$4,FALSE)),0)</f>
        <v>0</v>
      </c>
      <c r="AB403" s="147">
        <f>IFERROR((HLOOKUP($AH403,Target_monthwise!$D$24:$O$40,DTR!AB$4,FALSE)),0)</f>
        <v>0</v>
      </c>
      <c r="AC403" s="147">
        <f>IFERROR((HLOOKUP($AH403,Target_monthwise!$D$24:$O$40,DTR!AC$4,FALSE)),0)</f>
        <v>0</v>
      </c>
      <c r="AD403" s="147">
        <f>IFERROR((HLOOKUP($AH403,Target_monthwise!$D$24:$O$40,DTR!AD$4,FALSE)),0)</f>
        <v>0</v>
      </c>
      <c r="AE403" s="147">
        <f>IFERROR((HLOOKUP($AH403,Target_monthwise!$D$24:$O$40,DTR!AE$4,FALSE)),0)</f>
        <v>0</v>
      </c>
      <c r="AF403" s="147">
        <f>IFERROR((HLOOKUP($AH403,Target_monthwise!$D$24:$O$40,DTR!AF$4,FALSE)),0)</f>
        <v>0</v>
      </c>
      <c r="AG403" s="172">
        <f>IFERROR((HLOOKUP($AH403,Target_monthwise!$D$24:$O$40,DTR!AG$4,FALSE)),0)</f>
        <v>0</v>
      </c>
      <c r="AH403" s="253">
        <f t="shared" si="6"/>
        <v>202304</v>
      </c>
    </row>
    <row r="404" spans="3:34" ht="15.75" hidden="1">
      <c r="C404" s="237">
        <v>45047</v>
      </c>
      <c r="D404" s="238">
        <f>IFERROR((HLOOKUP($AH404,Target_monthwise!$D$4:$O$20,DTR!D$4,FALSE))*1000,0)</f>
        <v>0</v>
      </c>
      <c r="E404" s="238">
        <f>IFERROR((HLOOKUP($AH404,Target_monthwise!$D$4:$O$20,DTR!E$4,FALSE))*1000,0)</f>
        <v>0</v>
      </c>
      <c r="F404" s="238">
        <f>IFERROR((HLOOKUP($AH404,Target_monthwise!$D$4:$O$20,DTR!F$4,FALSE))*1000,0)</f>
        <v>0</v>
      </c>
      <c r="G404" s="238">
        <f>IFERROR((HLOOKUP($AH404,Target_monthwise!$D$4:$O$20,DTR!G$4,FALSE))*1000,0)</f>
        <v>0</v>
      </c>
      <c r="H404" s="238">
        <f>IFERROR((HLOOKUP($AH404,Target_monthwise!$D$4:$O$20,DTR!H$4,FALSE))*1000,0)</f>
        <v>0</v>
      </c>
      <c r="I404" s="238">
        <f>IFERROR((HLOOKUP($AH404,Target_monthwise!$D$4:$O$20,DTR!I$4,FALSE))*1000,0)</f>
        <v>0</v>
      </c>
      <c r="J404" s="238">
        <f>IFERROR((HLOOKUP($AH404,Target_monthwise!$D$4:$O$20,DTR!J$4,FALSE))*1000,0)</f>
        <v>0</v>
      </c>
      <c r="K404" s="238">
        <f>IFERROR((HLOOKUP($AH404,Target_monthwise!$D$4:$O$20,DTR!K$4,FALSE))*1000,0)</f>
        <v>0</v>
      </c>
      <c r="L404" s="238">
        <f>IFERROR((HLOOKUP($AH404,Target_monthwise!$D$4:$O$20,DTR!L$4,FALSE))*1000,0)</f>
        <v>0</v>
      </c>
      <c r="M404" s="238">
        <f>IFERROR((HLOOKUP($AH404,Target_monthwise!$D$4:$O$20,DTR!M$4,FALSE))*1000,0)</f>
        <v>0</v>
      </c>
      <c r="N404" s="238">
        <f>IFERROR((HLOOKUP($AH404,Target_monthwise!$D$4:$O$20,DTR!N$4,FALSE))*1000,0)</f>
        <v>0</v>
      </c>
      <c r="O404" s="238">
        <f>IFERROR((HLOOKUP($AH404,Target_monthwise!$D$4:$O$20,DTR!O$4,FALSE))*1000,0)</f>
        <v>0</v>
      </c>
      <c r="P404" s="238">
        <f>IFERROR((HLOOKUP($AH404,Target_monthwise!$D$4:$O$20,DTR!P$4,FALSE))*1000,0)</f>
        <v>0</v>
      </c>
      <c r="Q404" s="141">
        <f>IFERROR((HLOOKUP($AH404,Target_monthwise!$D$4:$O$20,DTR!Q$4,FALSE))*1000,0)</f>
        <v>0</v>
      </c>
      <c r="R404" s="167">
        <f>IFERROR((HLOOKUP($AH404,Target_monthwise!$D$4:$O$20,DTR!R$4,FALSE))*1000,0)</f>
        <v>0</v>
      </c>
      <c r="S404" s="239">
        <f>IFERROR((HLOOKUP($AH404,Target_monthwise!$D$24:$O$40,DTR!S$4,FALSE)),0)</f>
        <v>0</v>
      </c>
      <c r="T404" s="239">
        <f>IFERROR((HLOOKUP($AH404,Target_monthwise!$D$24:$O$40,DTR!T$4,FALSE)),0)</f>
        <v>0</v>
      </c>
      <c r="U404" s="239">
        <f>IFERROR((HLOOKUP($AH404,Target_monthwise!$D$24:$O$40,DTR!U$4,FALSE)),0)</f>
        <v>0</v>
      </c>
      <c r="V404" s="239">
        <f>IFERROR((HLOOKUP($AH404,Target_monthwise!$D$24:$O$40,DTR!V$4,FALSE)),0)</f>
        <v>0</v>
      </c>
      <c r="W404" s="239">
        <f>IFERROR((HLOOKUP($AH404,Target_monthwise!$D$24:$O$40,DTR!W$4,FALSE)),0)</f>
        <v>0</v>
      </c>
      <c r="X404" s="239">
        <f>IFERROR((HLOOKUP($AH404,Target_monthwise!$D$24:$O$40,DTR!X$4,FALSE)),0)</f>
        <v>0</v>
      </c>
      <c r="Y404" s="239">
        <f>IFERROR((HLOOKUP($AH404,Target_monthwise!$D$24:$O$40,DTR!Y$4,FALSE)),0)</f>
        <v>0</v>
      </c>
      <c r="Z404" s="147">
        <f>IFERROR((HLOOKUP($AH404,Target_monthwise!$D$24:$O$40,DTR!Z$4,FALSE)),0)</f>
        <v>0</v>
      </c>
      <c r="AA404" s="147">
        <f>IFERROR((HLOOKUP($AH404,Target_monthwise!$D$24:$O$40,DTR!AA$4,FALSE)),0)</f>
        <v>0</v>
      </c>
      <c r="AB404" s="147">
        <f>IFERROR((HLOOKUP($AH404,Target_monthwise!$D$24:$O$40,DTR!AB$4,FALSE)),0)</f>
        <v>0</v>
      </c>
      <c r="AC404" s="239">
        <f>IFERROR((HLOOKUP($AH404,Target_monthwise!$D$24:$O$40,DTR!AC$4,FALSE)),0)</f>
        <v>0</v>
      </c>
      <c r="AD404" s="239">
        <f>IFERROR((HLOOKUP($AH404,Target_monthwise!$D$24:$O$40,DTR!AD$4,FALSE)),0)</f>
        <v>0</v>
      </c>
      <c r="AE404" s="239">
        <f>IFERROR((HLOOKUP($AH404,Target_monthwise!$D$24:$O$40,DTR!AE$4,FALSE)),0)</f>
        <v>0</v>
      </c>
      <c r="AF404" s="239">
        <f>IFERROR((HLOOKUP($AH404,Target_monthwise!$D$24:$O$40,DTR!AF$4,FALSE)),0)</f>
        <v>0</v>
      </c>
      <c r="AG404" s="172">
        <f>IFERROR((HLOOKUP($AH404,Target_monthwise!$D$24:$O$40,DTR!AG$4,FALSE)),0)</f>
        <v>0</v>
      </c>
      <c r="AH404" s="253">
        <f t="shared" si="6"/>
        <v>202305</v>
      </c>
    </row>
    <row r="405" spans="3:34" ht="15.75" hidden="1">
      <c r="C405" s="235">
        <v>45048</v>
      </c>
      <c r="D405" s="141">
        <f>IFERROR((HLOOKUP($AH405,Target_monthwise!$D$4:$O$20,DTR!D$4,FALSE))*1000,0)</f>
        <v>0</v>
      </c>
      <c r="E405" s="141">
        <f>IFERROR((HLOOKUP($AH405,Target_monthwise!$D$4:$O$20,DTR!E$4,FALSE))*1000,0)</f>
        <v>0</v>
      </c>
      <c r="F405" s="141">
        <f>IFERROR((HLOOKUP($AH405,Target_monthwise!$D$4:$O$20,DTR!F$4,FALSE))*1000,0)</f>
        <v>0</v>
      </c>
      <c r="G405" s="141">
        <f>IFERROR((HLOOKUP($AH405,Target_monthwise!$D$4:$O$20,DTR!G$4,FALSE))*1000,0)</f>
        <v>0</v>
      </c>
      <c r="H405" s="141">
        <f>IFERROR((HLOOKUP($AH405,Target_monthwise!$D$4:$O$20,DTR!H$4,FALSE))*1000,0)</f>
        <v>0</v>
      </c>
      <c r="I405" s="141">
        <f>IFERROR((HLOOKUP($AH405,Target_monthwise!$D$4:$O$20,DTR!I$4,FALSE))*1000,0)</f>
        <v>0</v>
      </c>
      <c r="J405" s="141">
        <f>IFERROR((HLOOKUP($AH405,Target_monthwise!$D$4:$O$20,DTR!J$4,FALSE))*1000,0)</f>
        <v>0</v>
      </c>
      <c r="K405" s="141">
        <f>IFERROR((HLOOKUP($AH405,Target_monthwise!$D$4:$O$20,DTR!K$4,FALSE))*1000,0)</f>
        <v>0</v>
      </c>
      <c r="L405" s="141">
        <f>IFERROR((HLOOKUP($AH405,Target_monthwise!$D$4:$O$20,DTR!L$4,FALSE))*1000,0)</f>
        <v>0</v>
      </c>
      <c r="M405" s="141">
        <f>IFERROR((HLOOKUP($AH405,Target_monthwise!$D$4:$O$20,DTR!M$4,FALSE))*1000,0)</f>
        <v>0</v>
      </c>
      <c r="N405" s="141">
        <f>IFERROR((HLOOKUP($AH405,Target_monthwise!$D$4:$O$20,DTR!N$4,FALSE))*1000,0)</f>
        <v>0</v>
      </c>
      <c r="O405" s="141">
        <f>IFERROR((HLOOKUP($AH405,Target_monthwise!$D$4:$O$20,DTR!O$4,FALSE))*1000,0)</f>
        <v>0</v>
      </c>
      <c r="P405" s="141">
        <f>IFERROR((HLOOKUP($AH405,Target_monthwise!$D$4:$O$20,DTR!P$4,FALSE))*1000,0)</f>
        <v>0</v>
      </c>
      <c r="Q405" s="141">
        <f>IFERROR((HLOOKUP($AH405,Target_monthwise!$D$4:$O$20,DTR!Q$4,FALSE))*1000,0)</f>
        <v>0</v>
      </c>
      <c r="R405" s="167">
        <f>IFERROR((HLOOKUP($AH405,Target_monthwise!$D$4:$O$20,DTR!R$4,FALSE))*1000,0)</f>
        <v>0</v>
      </c>
      <c r="S405" s="147">
        <f>IFERROR((HLOOKUP($AH405,Target_monthwise!$D$24:$O$40,DTR!S$4,FALSE)),0)</f>
        <v>0</v>
      </c>
      <c r="T405" s="147">
        <f>IFERROR((HLOOKUP($AH405,Target_monthwise!$D$24:$O$40,DTR!T$4,FALSE)),0)</f>
        <v>0</v>
      </c>
      <c r="U405" s="147">
        <f>IFERROR((HLOOKUP($AH405,Target_monthwise!$D$24:$O$40,DTR!U$4,FALSE)),0)</f>
        <v>0</v>
      </c>
      <c r="V405" s="147">
        <f>IFERROR((HLOOKUP($AH405,Target_monthwise!$D$24:$O$40,DTR!V$4,FALSE)),0)</f>
        <v>0</v>
      </c>
      <c r="W405" s="147">
        <f>IFERROR((HLOOKUP($AH405,Target_monthwise!$D$24:$O$40,DTR!W$4,FALSE)),0)</f>
        <v>0</v>
      </c>
      <c r="X405" s="147">
        <f>IFERROR((HLOOKUP($AH405,Target_monthwise!$D$24:$O$40,DTR!X$4,FALSE)),0)</f>
        <v>0</v>
      </c>
      <c r="Y405" s="147">
        <f>IFERROR((HLOOKUP($AH405,Target_monthwise!$D$24:$O$40,DTR!Y$4,FALSE)),0)</f>
        <v>0</v>
      </c>
      <c r="Z405" s="147">
        <f>IFERROR((HLOOKUP($AH405,Target_monthwise!$D$24:$O$40,DTR!Z$4,FALSE)),0)</f>
        <v>0</v>
      </c>
      <c r="AA405" s="147">
        <f>IFERROR((HLOOKUP($AH405,Target_monthwise!$D$24:$O$40,DTR!AA$4,FALSE)),0)</f>
        <v>0</v>
      </c>
      <c r="AB405" s="147">
        <f>IFERROR((HLOOKUP($AH405,Target_monthwise!$D$24:$O$40,DTR!AB$4,FALSE)),0)</f>
        <v>0</v>
      </c>
      <c r="AC405" s="147">
        <f>IFERROR((HLOOKUP($AH405,Target_monthwise!$D$24:$O$40,DTR!AC$4,FALSE)),0)</f>
        <v>0</v>
      </c>
      <c r="AD405" s="147">
        <f>IFERROR((HLOOKUP($AH405,Target_monthwise!$D$24:$O$40,DTR!AD$4,FALSE)),0)</f>
        <v>0</v>
      </c>
      <c r="AE405" s="147">
        <f>IFERROR((HLOOKUP($AH405,Target_monthwise!$D$24:$O$40,DTR!AE$4,FALSE)),0)</f>
        <v>0</v>
      </c>
      <c r="AF405" s="147">
        <f>IFERROR((HLOOKUP($AH405,Target_monthwise!$D$24:$O$40,DTR!AF$4,FALSE)),0)</f>
        <v>0</v>
      </c>
      <c r="AG405" s="172">
        <f>IFERROR((HLOOKUP($AH405,Target_monthwise!$D$24:$O$40,DTR!AG$4,FALSE)),0)</f>
        <v>0</v>
      </c>
      <c r="AH405" s="253">
        <f t="shared" si="6"/>
        <v>202305</v>
      </c>
    </row>
    <row r="406" spans="3:34" ht="15.75" hidden="1">
      <c r="C406" s="237">
        <v>45049</v>
      </c>
      <c r="D406" s="238">
        <f>IFERROR((HLOOKUP($AH406,Target_monthwise!$D$4:$O$20,DTR!D$4,FALSE))*1000,0)</f>
        <v>0</v>
      </c>
      <c r="E406" s="238">
        <f>IFERROR((HLOOKUP($AH406,Target_monthwise!$D$4:$O$20,DTR!E$4,FALSE))*1000,0)</f>
        <v>0</v>
      </c>
      <c r="F406" s="238">
        <f>IFERROR((HLOOKUP($AH406,Target_monthwise!$D$4:$O$20,DTR!F$4,FALSE))*1000,0)</f>
        <v>0</v>
      </c>
      <c r="G406" s="238">
        <f>IFERROR((HLOOKUP($AH406,Target_monthwise!$D$4:$O$20,DTR!G$4,FALSE))*1000,0)</f>
        <v>0</v>
      </c>
      <c r="H406" s="238">
        <f>IFERROR((HLOOKUP($AH406,Target_monthwise!$D$4:$O$20,DTR!H$4,FALSE))*1000,0)</f>
        <v>0</v>
      </c>
      <c r="I406" s="238">
        <f>IFERROR((HLOOKUP($AH406,Target_monthwise!$D$4:$O$20,DTR!I$4,FALSE))*1000,0)</f>
        <v>0</v>
      </c>
      <c r="J406" s="238">
        <f>IFERROR((HLOOKUP($AH406,Target_monthwise!$D$4:$O$20,DTR!J$4,FALSE))*1000,0)</f>
        <v>0</v>
      </c>
      <c r="K406" s="238">
        <f>IFERROR((HLOOKUP($AH406,Target_monthwise!$D$4:$O$20,DTR!K$4,FALSE))*1000,0)</f>
        <v>0</v>
      </c>
      <c r="L406" s="238">
        <f>IFERROR((HLOOKUP($AH406,Target_monthwise!$D$4:$O$20,DTR!L$4,FALSE))*1000,0)</f>
        <v>0</v>
      </c>
      <c r="M406" s="238">
        <f>IFERROR((HLOOKUP($AH406,Target_monthwise!$D$4:$O$20,DTR!M$4,FALSE))*1000,0)</f>
        <v>0</v>
      </c>
      <c r="N406" s="238">
        <f>IFERROR((HLOOKUP($AH406,Target_monthwise!$D$4:$O$20,DTR!N$4,FALSE))*1000,0)</f>
        <v>0</v>
      </c>
      <c r="O406" s="238">
        <f>IFERROR((HLOOKUP($AH406,Target_monthwise!$D$4:$O$20,DTR!O$4,FALSE))*1000,0)</f>
        <v>0</v>
      </c>
      <c r="P406" s="238">
        <f>IFERROR((HLOOKUP($AH406,Target_monthwise!$D$4:$O$20,DTR!P$4,FALSE))*1000,0)</f>
        <v>0</v>
      </c>
      <c r="Q406" s="141">
        <f>IFERROR((HLOOKUP($AH406,Target_monthwise!$D$4:$O$20,DTR!Q$4,FALSE))*1000,0)</f>
        <v>0</v>
      </c>
      <c r="R406" s="167">
        <f>IFERROR((HLOOKUP($AH406,Target_monthwise!$D$4:$O$20,DTR!R$4,FALSE))*1000,0)</f>
        <v>0</v>
      </c>
      <c r="S406" s="239">
        <f>IFERROR((HLOOKUP($AH406,Target_monthwise!$D$24:$O$40,DTR!S$4,FALSE)),0)</f>
        <v>0</v>
      </c>
      <c r="T406" s="239">
        <f>IFERROR((HLOOKUP($AH406,Target_monthwise!$D$24:$O$40,DTR!T$4,FALSE)),0)</f>
        <v>0</v>
      </c>
      <c r="U406" s="239">
        <f>IFERROR((HLOOKUP($AH406,Target_monthwise!$D$24:$O$40,DTR!U$4,FALSE)),0)</f>
        <v>0</v>
      </c>
      <c r="V406" s="239">
        <f>IFERROR((HLOOKUP($AH406,Target_monthwise!$D$24:$O$40,DTR!V$4,FALSE)),0)</f>
        <v>0</v>
      </c>
      <c r="W406" s="239">
        <f>IFERROR((HLOOKUP($AH406,Target_monthwise!$D$24:$O$40,DTR!W$4,FALSE)),0)</f>
        <v>0</v>
      </c>
      <c r="X406" s="239">
        <f>IFERROR((HLOOKUP($AH406,Target_monthwise!$D$24:$O$40,DTR!X$4,FALSE)),0)</f>
        <v>0</v>
      </c>
      <c r="Y406" s="239">
        <f>IFERROR((HLOOKUP($AH406,Target_monthwise!$D$24:$O$40,DTR!Y$4,FALSE)),0)</f>
        <v>0</v>
      </c>
      <c r="Z406" s="147">
        <f>IFERROR((HLOOKUP($AH406,Target_monthwise!$D$24:$O$40,DTR!Z$4,FALSE)),0)</f>
        <v>0</v>
      </c>
      <c r="AA406" s="147">
        <f>IFERROR((HLOOKUP($AH406,Target_monthwise!$D$24:$O$40,DTR!AA$4,FALSE)),0)</f>
        <v>0</v>
      </c>
      <c r="AB406" s="147">
        <f>IFERROR((HLOOKUP($AH406,Target_monthwise!$D$24:$O$40,DTR!AB$4,FALSE)),0)</f>
        <v>0</v>
      </c>
      <c r="AC406" s="239">
        <f>IFERROR((HLOOKUP($AH406,Target_monthwise!$D$24:$O$40,DTR!AC$4,FALSE)),0)</f>
        <v>0</v>
      </c>
      <c r="AD406" s="239">
        <f>IFERROR((HLOOKUP($AH406,Target_monthwise!$D$24:$O$40,DTR!AD$4,FALSE)),0)</f>
        <v>0</v>
      </c>
      <c r="AE406" s="239">
        <f>IFERROR((HLOOKUP($AH406,Target_monthwise!$D$24:$O$40,DTR!AE$4,FALSE)),0)</f>
        <v>0</v>
      </c>
      <c r="AF406" s="239">
        <f>IFERROR((HLOOKUP($AH406,Target_monthwise!$D$24:$O$40,DTR!AF$4,FALSE)),0)</f>
        <v>0</v>
      </c>
      <c r="AG406" s="172">
        <f>IFERROR((HLOOKUP($AH406,Target_monthwise!$D$24:$O$40,DTR!AG$4,FALSE)),0)</f>
        <v>0</v>
      </c>
      <c r="AH406" s="253">
        <f t="shared" si="6"/>
        <v>202305</v>
      </c>
    </row>
    <row r="407" spans="3:34" ht="15.75" hidden="1">
      <c r="C407" s="235">
        <v>45050</v>
      </c>
      <c r="D407" s="141">
        <f>IFERROR((HLOOKUP($AH407,Target_monthwise!$D$4:$O$20,DTR!D$4,FALSE))*1000,0)</f>
        <v>0</v>
      </c>
      <c r="E407" s="141">
        <f>IFERROR((HLOOKUP($AH407,Target_monthwise!$D$4:$O$20,DTR!E$4,FALSE))*1000,0)</f>
        <v>0</v>
      </c>
      <c r="F407" s="141">
        <f>IFERROR((HLOOKUP($AH407,Target_monthwise!$D$4:$O$20,DTR!F$4,FALSE))*1000,0)</f>
        <v>0</v>
      </c>
      <c r="G407" s="141">
        <f>IFERROR((HLOOKUP($AH407,Target_monthwise!$D$4:$O$20,DTR!G$4,FALSE))*1000,0)</f>
        <v>0</v>
      </c>
      <c r="H407" s="141">
        <f>IFERROR((HLOOKUP($AH407,Target_monthwise!$D$4:$O$20,DTR!H$4,FALSE))*1000,0)</f>
        <v>0</v>
      </c>
      <c r="I407" s="141">
        <f>IFERROR((HLOOKUP($AH407,Target_monthwise!$D$4:$O$20,DTR!I$4,FALSE))*1000,0)</f>
        <v>0</v>
      </c>
      <c r="J407" s="141">
        <f>IFERROR((HLOOKUP($AH407,Target_monthwise!$D$4:$O$20,DTR!J$4,FALSE))*1000,0)</f>
        <v>0</v>
      </c>
      <c r="K407" s="141">
        <f>IFERROR((HLOOKUP($AH407,Target_monthwise!$D$4:$O$20,DTR!K$4,FALSE))*1000,0)</f>
        <v>0</v>
      </c>
      <c r="L407" s="141">
        <f>IFERROR((HLOOKUP($AH407,Target_monthwise!$D$4:$O$20,DTR!L$4,FALSE))*1000,0)</f>
        <v>0</v>
      </c>
      <c r="M407" s="141">
        <f>IFERROR((HLOOKUP($AH407,Target_monthwise!$D$4:$O$20,DTR!M$4,FALSE))*1000,0)</f>
        <v>0</v>
      </c>
      <c r="N407" s="141">
        <f>IFERROR((HLOOKUP($AH407,Target_monthwise!$D$4:$O$20,DTR!N$4,FALSE))*1000,0)</f>
        <v>0</v>
      </c>
      <c r="O407" s="141">
        <f>IFERROR((HLOOKUP($AH407,Target_monthwise!$D$4:$O$20,DTR!O$4,FALSE))*1000,0)</f>
        <v>0</v>
      </c>
      <c r="P407" s="141">
        <f>IFERROR((HLOOKUP($AH407,Target_monthwise!$D$4:$O$20,DTR!P$4,FALSE))*1000,0)</f>
        <v>0</v>
      </c>
      <c r="Q407" s="141">
        <f>IFERROR((HLOOKUP($AH407,Target_monthwise!$D$4:$O$20,DTR!Q$4,FALSE))*1000,0)</f>
        <v>0</v>
      </c>
      <c r="R407" s="167">
        <f>IFERROR((HLOOKUP($AH407,Target_monthwise!$D$4:$O$20,DTR!R$4,FALSE))*1000,0)</f>
        <v>0</v>
      </c>
      <c r="S407" s="147">
        <f>IFERROR((HLOOKUP($AH407,Target_monthwise!$D$24:$O$40,DTR!S$4,FALSE)),0)</f>
        <v>0</v>
      </c>
      <c r="T407" s="147">
        <f>IFERROR((HLOOKUP($AH407,Target_monthwise!$D$24:$O$40,DTR!T$4,FALSE)),0)</f>
        <v>0</v>
      </c>
      <c r="U407" s="147">
        <f>IFERROR((HLOOKUP($AH407,Target_monthwise!$D$24:$O$40,DTR!U$4,FALSE)),0)</f>
        <v>0</v>
      </c>
      <c r="V407" s="147">
        <f>IFERROR((HLOOKUP($AH407,Target_monthwise!$D$24:$O$40,DTR!V$4,FALSE)),0)</f>
        <v>0</v>
      </c>
      <c r="W407" s="147">
        <f>IFERROR((HLOOKUP($AH407,Target_monthwise!$D$24:$O$40,DTR!W$4,FALSE)),0)</f>
        <v>0</v>
      </c>
      <c r="X407" s="147">
        <f>IFERROR((HLOOKUP($AH407,Target_monthwise!$D$24:$O$40,DTR!X$4,FALSE)),0)</f>
        <v>0</v>
      </c>
      <c r="Y407" s="147">
        <f>IFERROR((HLOOKUP($AH407,Target_monthwise!$D$24:$O$40,DTR!Y$4,FALSE)),0)</f>
        <v>0</v>
      </c>
      <c r="Z407" s="147">
        <f>IFERROR((HLOOKUP($AH407,Target_monthwise!$D$24:$O$40,DTR!Z$4,FALSE)),0)</f>
        <v>0</v>
      </c>
      <c r="AA407" s="147">
        <f>IFERROR((HLOOKUP($AH407,Target_monthwise!$D$24:$O$40,DTR!AA$4,FALSE)),0)</f>
        <v>0</v>
      </c>
      <c r="AB407" s="147">
        <f>IFERROR((HLOOKUP($AH407,Target_monthwise!$D$24:$O$40,DTR!AB$4,FALSE)),0)</f>
        <v>0</v>
      </c>
      <c r="AC407" s="147">
        <f>IFERROR((HLOOKUP($AH407,Target_monthwise!$D$24:$O$40,DTR!AC$4,FALSE)),0)</f>
        <v>0</v>
      </c>
      <c r="AD407" s="147">
        <f>IFERROR((HLOOKUP($AH407,Target_monthwise!$D$24:$O$40,DTR!AD$4,FALSE)),0)</f>
        <v>0</v>
      </c>
      <c r="AE407" s="147">
        <f>IFERROR((HLOOKUP($AH407,Target_monthwise!$D$24:$O$40,DTR!AE$4,FALSE)),0)</f>
        <v>0</v>
      </c>
      <c r="AF407" s="147">
        <f>IFERROR((HLOOKUP($AH407,Target_monthwise!$D$24:$O$40,DTR!AF$4,FALSE)),0)</f>
        <v>0</v>
      </c>
      <c r="AG407" s="172">
        <f>IFERROR((HLOOKUP($AH407,Target_monthwise!$D$24:$O$40,DTR!AG$4,FALSE)),0)</f>
        <v>0</v>
      </c>
      <c r="AH407" s="253">
        <f t="shared" si="6"/>
        <v>202305</v>
      </c>
    </row>
    <row r="408" spans="3:34" ht="15.75" hidden="1">
      <c r="C408" s="237">
        <v>45051</v>
      </c>
      <c r="D408" s="238">
        <f>IFERROR((HLOOKUP($AH408,Target_monthwise!$D$4:$O$20,DTR!D$4,FALSE))*1000,0)</f>
        <v>0</v>
      </c>
      <c r="E408" s="238">
        <f>IFERROR((HLOOKUP($AH408,Target_monthwise!$D$4:$O$20,DTR!E$4,FALSE))*1000,0)</f>
        <v>0</v>
      </c>
      <c r="F408" s="238">
        <f>IFERROR((HLOOKUP($AH408,Target_monthwise!$D$4:$O$20,DTR!F$4,FALSE))*1000,0)</f>
        <v>0</v>
      </c>
      <c r="G408" s="238">
        <f>IFERROR((HLOOKUP($AH408,Target_monthwise!$D$4:$O$20,DTR!G$4,FALSE))*1000,0)</f>
        <v>0</v>
      </c>
      <c r="H408" s="238">
        <f>IFERROR((HLOOKUP($AH408,Target_monthwise!$D$4:$O$20,DTR!H$4,FALSE))*1000,0)</f>
        <v>0</v>
      </c>
      <c r="I408" s="238">
        <f>IFERROR((HLOOKUP($AH408,Target_monthwise!$D$4:$O$20,DTR!I$4,FALSE))*1000,0)</f>
        <v>0</v>
      </c>
      <c r="J408" s="238">
        <f>IFERROR((HLOOKUP($AH408,Target_monthwise!$D$4:$O$20,DTR!J$4,FALSE))*1000,0)</f>
        <v>0</v>
      </c>
      <c r="K408" s="238">
        <f>IFERROR((HLOOKUP($AH408,Target_monthwise!$D$4:$O$20,DTR!K$4,FALSE))*1000,0)</f>
        <v>0</v>
      </c>
      <c r="L408" s="238">
        <f>IFERROR((HLOOKUP($AH408,Target_monthwise!$D$4:$O$20,DTR!L$4,FALSE))*1000,0)</f>
        <v>0</v>
      </c>
      <c r="M408" s="238">
        <f>IFERROR((HLOOKUP($AH408,Target_monthwise!$D$4:$O$20,DTR!M$4,FALSE))*1000,0)</f>
        <v>0</v>
      </c>
      <c r="N408" s="238">
        <f>IFERROR((HLOOKUP($AH408,Target_monthwise!$D$4:$O$20,DTR!N$4,FALSE))*1000,0)</f>
        <v>0</v>
      </c>
      <c r="O408" s="238">
        <f>IFERROR((HLOOKUP($AH408,Target_monthwise!$D$4:$O$20,DTR!O$4,FALSE))*1000,0)</f>
        <v>0</v>
      </c>
      <c r="P408" s="238">
        <f>IFERROR((HLOOKUP($AH408,Target_monthwise!$D$4:$O$20,DTR!P$4,FALSE))*1000,0)</f>
        <v>0</v>
      </c>
      <c r="Q408" s="141">
        <f>IFERROR((HLOOKUP($AH408,Target_monthwise!$D$4:$O$20,DTR!Q$4,FALSE))*1000,0)</f>
        <v>0</v>
      </c>
      <c r="R408" s="167">
        <f>IFERROR((HLOOKUP($AH408,Target_monthwise!$D$4:$O$20,DTR!R$4,FALSE))*1000,0)</f>
        <v>0</v>
      </c>
      <c r="S408" s="239">
        <f>IFERROR((HLOOKUP($AH408,Target_monthwise!$D$24:$O$40,DTR!S$4,FALSE)),0)</f>
        <v>0</v>
      </c>
      <c r="T408" s="239">
        <f>IFERROR((HLOOKUP($AH408,Target_monthwise!$D$24:$O$40,DTR!T$4,FALSE)),0)</f>
        <v>0</v>
      </c>
      <c r="U408" s="239">
        <f>IFERROR((HLOOKUP($AH408,Target_monthwise!$D$24:$O$40,DTR!U$4,FALSE)),0)</f>
        <v>0</v>
      </c>
      <c r="V408" s="239">
        <f>IFERROR((HLOOKUP($AH408,Target_monthwise!$D$24:$O$40,DTR!V$4,FALSE)),0)</f>
        <v>0</v>
      </c>
      <c r="W408" s="239">
        <f>IFERROR((HLOOKUP($AH408,Target_monthwise!$D$24:$O$40,DTR!W$4,FALSE)),0)</f>
        <v>0</v>
      </c>
      <c r="X408" s="239">
        <f>IFERROR((HLOOKUP($AH408,Target_monthwise!$D$24:$O$40,DTR!X$4,FALSE)),0)</f>
        <v>0</v>
      </c>
      <c r="Y408" s="239">
        <f>IFERROR((HLOOKUP($AH408,Target_monthwise!$D$24:$O$40,DTR!Y$4,FALSE)),0)</f>
        <v>0</v>
      </c>
      <c r="Z408" s="147">
        <f>IFERROR((HLOOKUP($AH408,Target_monthwise!$D$24:$O$40,DTR!Z$4,FALSE)),0)</f>
        <v>0</v>
      </c>
      <c r="AA408" s="147">
        <f>IFERROR((HLOOKUP($AH408,Target_monthwise!$D$24:$O$40,DTR!AA$4,FALSE)),0)</f>
        <v>0</v>
      </c>
      <c r="AB408" s="147">
        <f>IFERROR((HLOOKUP($AH408,Target_monthwise!$D$24:$O$40,DTR!AB$4,FALSE)),0)</f>
        <v>0</v>
      </c>
      <c r="AC408" s="239">
        <f>IFERROR((HLOOKUP($AH408,Target_monthwise!$D$24:$O$40,DTR!AC$4,FALSE)),0)</f>
        <v>0</v>
      </c>
      <c r="AD408" s="239">
        <f>IFERROR((HLOOKUP($AH408,Target_monthwise!$D$24:$O$40,DTR!AD$4,FALSE)),0)</f>
        <v>0</v>
      </c>
      <c r="AE408" s="239">
        <f>IFERROR((HLOOKUP($AH408,Target_monthwise!$D$24:$O$40,DTR!AE$4,FALSE)),0)</f>
        <v>0</v>
      </c>
      <c r="AF408" s="239">
        <f>IFERROR((HLOOKUP($AH408,Target_monthwise!$D$24:$O$40,DTR!AF$4,FALSE)),0)</f>
        <v>0</v>
      </c>
      <c r="AG408" s="172">
        <f>IFERROR((HLOOKUP($AH408,Target_monthwise!$D$24:$O$40,DTR!AG$4,FALSE)),0)</f>
        <v>0</v>
      </c>
      <c r="AH408" s="253">
        <f t="shared" si="6"/>
        <v>202305</v>
      </c>
    </row>
    <row r="409" spans="3:34" ht="15.75" hidden="1">
      <c r="C409" s="235">
        <v>45052</v>
      </c>
      <c r="D409" s="141">
        <f>IFERROR((HLOOKUP($AH409,Target_monthwise!$D$4:$O$20,DTR!D$4,FALSE))*1000,0)</f>
        <v>0</v>
      </c>
      <c r="E409" s="141">
        <f>IFERROR((HLOOKUP($AH409,Target_monthwise!$D$4:$O$20,DTR!E$4,FALSE))*1000,0)</f>
        <v>0</v>
      </c>
      <c r="F409" s="141">
        <f>IFERROR((HLOOKUP($AH409,Target_monthwise!$D$4:$O$20,DTR!F$4,FALSE))*1000,0)</f>
        <v>0</v>
      </c>
      <c r="G409" s="141">
        <f>IFERROR((HLOOKUP($AH409,Target_monthwise!$D$4:$O$20,DTR!G$4,FALSE))*1000,0)</f>
        <v>0</v>
      </c>
      <c r="H409" s="141">
        <f>IFERROR((HLOOKUP($AH409,Target_monthwise!$D$4:$O$20,DTR!H$4,FALSE))*1000,0)</f>
        <v>0</v>
      </c>
      <c r="I409" s="141">
        <f>IFERROR((HLOOKUP($AH409,Target_monthwise!$D$4:$O$20,DTR!I$4,FALSE))*1000,0)</f>
        <v>0</v>
      </c>
      <c r="J409" s="141">
        <f>IFERROR((HLOOKUP($AH409,Target_monthwise!$D$4:$O$20,DTR!J$4,FALSE))*1000,0)</f>
        <v>0</v>
      </c>
      <c r="K409" s="141">
        <f>IFERROR((HLOOKUP($AH409,Target_monthwise!$D$4:$O$20,DTR!K$4,FALSE))*1000,0)</f>
        <v>0</v>
      </c>
      <c r="L409" s="141">
        <f>IFERROR((HLOOKUP($AH409,Target_monthwise!$D$4:$O$20,DTR!L$4,FALSE))*1000,0)</f>
        <v>0</v>
      </c>
      <c r="M409" s="141">
        <f>IFERROR((HLOOKUP($AH409,Target_monthwise!$D$4:$O$20,DTR!M$4,FALSE))*1000,0)</f>
        <v>0</v>
      </c>
      <c r="N409" s="141">
        <f>IFERROR((HLOOKUP($AH409,Target_monthwise!$D$4:$O$20,DTR!N$4,FALSE))*1000,0)</f>
        <v>0</v>
      </c>
      <c r="O409" s="141">
        <f>IFERROR((HLOOKUP($AH409,Target_monthwise!$D$4:$O$20,DTR!O$4,FALSE))*1000,0)</f>
        <v>0</v>
      </c>
      <c r="P409" s="141">
        <f>IFERROR((HLOOKUP($AH409,Target_monthwise!$D$4:$O$20,DTR!P$4,FALSE))*1000,0)</f>
        <v>0</v>
      </c>
      <c r="Q409" s="141">
        <f>IFERROR((HLOOKUP($AH409,Target_monthwise!$D$4:$O$20,DTR!Q$4,FALSE))*1000,0)</f>
        <v>0</v>
      </c>
      <c r="R409" s="167">
        <f>IFERROR((HLOOKUP($AH409,Target_monthwise!$D$4:$O$20,DTR!R$4,FALSE))*1000,0)</f>
        <v>0</v>
      </c>
      <c r="S409" s="147">
        <f>IFERROR((HLOOKUP($AH409,Target_monthwise!$D$24:$O$40,DTR!S$4,FALSE)),0)</f>
        <v>0</v>
      </c>
      <c r="T409" s="147">
        <f>IFERROR((HLOOKUP($AH409,Target_monthwise!$D$24:$O$40,DTR!T$4,FALSE)),0)</f>
        <v>0</v>
      </c>
      <c r="U409" s="147">
        <f>IFERROR((HLOOKUP($AH409,Target_monthwise!$D$24:$O$40,DTR!U$4,FALSE)),0)</f>
        <v>0</v>
      </c>
      <c r="V409" s="147">
        <f>IFERROR((HLOOKUP($AH409,Target_monthwise!$D$24:$O$40,DTR!V$4,FALSE)),0)</f>
        <v>0</v>
      </c>
      <c r="W409" s="147">
        <f>IFERROR((HLOOKUP($AH409,Target_monthwise!$D$24:$O$40,DTR!W$4,FALSE)),0)</f>
        <v>0</v>
      </c>
      <c r="X409" s="147">
        <f>IFERROR((HLOOKUP($AH409,Target_monthwise!$D$24:$O$40,DTR!X$4,FALSE)),0)</f>
        <v>0</v>
      </c>
      <c r="Y409" s="147">
        <f>IFERROR((HLOOKUP($AH409,Target_monthwise!$D$24:$O$40,DTR!Y$4,FALSE)),0)</f>
        <v>0</v>
      </c>
      <c r="Z409" s="147">
        <f>IFERROR((HLOOKUP($AH409,Target_monthwise!$D$24:$O$40,DTR!Z$4,FALSE)),0)</f>
        <v>0</v>
      </c>
      <c r="AA409" s="147">
        <f>IFERROR((HLOOKUP($AH409,Target_monthwise!$D$24:$O$40,DTR!AA$4,FALSE)),0)</f>
        <v>0</v>
      </c>
      <c r="AB409" s="147">
        <f>IFERROR((HLOOKUP($AH409,Target_monthwise!$D$24:$O$40,DTR!AB$4,FALSE)),0)</f>
        <v>0</v>
      </c>
      <c r="AC409" s="147">
        <f>IFERROR((HLOOKUP($AH409,Target_monthwise!$D$24:$O$40,DTR!AC$4,FALSE)),0)</f>
        <v>0</v>
      </c>
      <c r="AD409" s="147">
        <f>IFERROR((HLOOKUP($AH409,Target_monthwise!$D$24:$O$40,DTR!AD$4,FALSE)),0)</f>
        <v>0</v>
      </c>
      <c r="AE409" s="147">
        <f>IFERROR((HLOOKUP($AH409,Target_monthwise!$D$24:$O$40,DTR!AE$4,FALSE)),0)</f>
        <v>0</v>
      </c>
      <c r="AF409" s="147">
        <f>IFERROR((HLOOKUP($AH409,Target_monthwise!$D$24:$O$40,DTR!AF$4,FALSE)),0)</f>
        <v>0</v>
      </c>
      <c r="AG409" s="172">
        <f>IFERROR((HLOOKUP($AH409,Target_monthwise!$D$24:$O$40,DTR!AG$4,FALSE)),0)</f>
        <v>0</v>
      </c>
      <c r="AH409" s="253">
        <f t="shared" si="6"/>
        <v>202305</v>
      </c>
    </row>
    <row r="410" spans="3:34" ht="15.75" hidden="1">
      <c r="C410" s="237">
        <v>45053</v>
      </c>
      <c r="D410" s="238">
        <f>IFERROR((HLOOKUP($AH410,Target_monthwise!$D$4:$O$20,DTR!D$4,FALSE))*1000,0)</f>
        <v>0</v>
      </c>
      <c r="E410" s="238">
        <f>IFERROR((HLOOKUP($AH410,Target_monthwise!$D$4:$O$20,DTR!E$4,FALSE))*1000,0)</f>
        <v>0</v>
      </c>
      <c r="F410" s="238">
        <f>IFERROR((HLOOKUP($AH410,Target_monthwise!$D$4:$O$20,DTR!F$4,FALSE))*1000,0)</f>
        <v>0</v>
      </c>
      <c r="G410" s="238">
        <f>IFERROR((HLOOKUP($AH410,Target_monthwise!$D$4:$O$20,DTR!G$4,FALSE))*1000,0)</f>
        <v>0</v>
      </c>
      <c r="H410" s="238">
        <f>IFERROR((HLOOKUP($AH410,Target_monthwise!$D$4:$O$20,DTR!H$4,FALSE))*1000,0)</f>
        <v>0</v>
      </c>
      <c r="I410" s="238">
        <f>IFERROR((HLOOKUP($AH410,Target_monthwise!$D$4:$O$20,DTR!I$4,FALSE))*1000,0)</f>
        <v>0</v>
      </c>
      <c r="J410" s="238">
        <f>IFERROR((HLOOKUP($AH410,Target_monthwise!$D$4:$O$20,DTR!J$4,FALSE))*1000,0)</f>
        <v>0</v>
      </c>
      <c r="K410" s="238">
        <f>IFERROR((HLOOKUP($AH410,Target_monthwise!$D$4:$O$20,DTR!K$4,FALSE))*1000,0)</f>
        <v>0</v>
      </c>
      <c r="L410" s="238">
        <f>IFERROR((HLOOKUP($AH410,Target_monthwise!$D$4:$O$20,DTR!L$4,FALSE))*1000,0)</f>
        <v>0</v>
      </c>
      <c r="M410" s="238">
        <f>IFERROR((HLOOKUP($AH410,Target_monthwise!$D$4:$O$20,DTR!M$4,FALSE))*1000,0)</f>
        <v>0</v>
      </c>
      <c r="N410" s="238">
        <f>IFERROR((HLOOKUP($AH410,Target_monthwise!$D$4:$O$20,DTR!N$4,FALSE))*1000,0)</f>
        <v>0</v>
      </c>
      <c r="O410" s="238">
        <f>IFERROR((HLOOKUP($AH410,Target_monthwise!$D$4:$O$20,DTR!O$4,FALSE))*1000,0)</f>
        <v>0</v>
      </c>
      <c r="P410" s="238">
        <f>IFERROR((HLOOKUP($AH410,Target_monthwise!$D$4:$O$20,DTR!P$4,FALSE))*1000,0)</f>
        <v>0</v>
      </c>
      <c r="Q410" s="141">
        <f>IFERROR((HLOOKUP($AH410,Target_monthwise!$D$4:$O$20,DTR!Q$4,FALSE))*1000,0)</f>
        <v>0</v>
      </c>
      <c r="R410" s="167">
        <f>IFERROR((HLOOKUP($AH410,Target_monthwise!$D$4:$O$20,DTR!R$4,FALSE))*1000,0)</f>
        <v>0</v>
      </c>
      <c r="S410" s="239">
        <f>IFERROR((HLOOKUP($AH410,Target_monthwise!$D$24:$O$40,DTR!S$4,FALSE)),0)</f>
        <v>0</v>
      </c>
      <c r="T410" s="239">
        <f>IFERROR((HLOOKUP($AH410,Target_monthwise!$D$24:$O$40,DTR!T$4,FALSE)),0)</f>
        <v>0</v>
      </c>
      <c r="U410" s="239">
        <f>IFERROR((HLOOKUP($AH410,Target_monthwise!$D$24:$O$40,DTR!U$4,FALSE)),0)</f>
        <v>0</v>
      </c>
      <c r="V410" s="239">
        <f>IFERROR((HLOOKUP($AH410,Target_monthwise!$D$24:$O$40,DTR!V$4,FALSE)),0)</f>
        <v>0</v>
      </c>
      <c r="W410" s="239">
        <f>IFERROR((HLOOKUP($AH410,Target_monthwise!$D$24:$O$40,DTR!W$4,FALSE)),0)</f>
        <v>0</v>
      </c>
      <c r="X410" s="239">
        <f>IFERROR((HLOOKUP($AH410,Target_monthwise!$D$24:$O$40,DTR!X$4,FALSE)),0)</f>
        <v>0</v>
      </c>
      <c r="Y410" s="239">
        <f>IFERROR((HLOOKUP($AH410,Target_monthwise!$D$24:$O$40,DTR!Y$4,FALSE)),0)</f>
        <v>0</v>
      </c>
      <c r="Z410" s="147">
        <f>IFERROR((HLOOKUP($AH410,Target_monthwise!$D$24:$O$40,DTR!Z$4,FALSE)),0)</f>
        <v>0</v>
      </c>
      <c r="AA410" s="147">
        <f>IFERROR((HLOOKUP($AH410,Target_monthwise!$D$24:$O$40,DTR!AA$4,FALSE)),0)</f>
        <v>0</v>
      </c>
      <c r="AB410" s="147">
        <f>IFERROR((HLOOKUP($AH410,Target_monthwise!$D$24:$O$40,DTR!AB$4,FALSE)),0)</f>
        <v>0</v>
      </c>
      <c r="AC410" s="239">
        <f>IFERROR((HLOOKUP($AH410,Target_monthwise!$D$24:$O$40,DTR!AC$4,FALSE)),0)</f>
        <v>0</v>
      </c>
      <c r="AD410" s="239">
        <f>IFERROR((HLOOKUP($AH410,Target_monthwise!$D$24:$O$40,DTR!AD$4,FALSE)),0)</f>
        <v>0</v>
      </c>
      <c r="AE410" s="239">
        <f>IFERROR((HLOOKUP($AH410,Target_monthwise!$D$24:$O$40,DTR!AE$4,FALSE)),0)</f>
        <v>0</v>
      </c>
      <c r="AF410" s="239">
        <f>IFERROR((HLOOKUP($AH410,Target_monthwise!$D$24:$O$40,DTR!AF$4,FALSE)),0)</f>
        <v>0</v>
      </c>
      <c r="AG410" s="172">
        <f>IFERROR((HLOOKUP($AH410,Target_monthwise!$D$24:$O$40,DTR!AG$4,FALSE)),0)</f>
        <v>0</v>
      </c>
      <c r="AH410" s="253">
        <f t="shared" si="6"/>
        <v>202305</v>
      </c>
    </row>
    <row r="411" spans="3:34" ht="15.75" hidden="1">
      <c r="C411" s="235">
        <v>45054</v>
      </c>
      <c r="D411" s="141">
        <f>IFERROR((HLOOKUP($AH411,Target_monthwise!$D$4:$O$20,DTR!D$4,FALSE))*1000,0)</f>
        <v>0</v>
      </c>
      <c r="E411" s="141">
        <f>IFERROR((HLOOKUP($AH411,Target_monthwise!$D$4:$O$20,DTR!E$4,FALSE))*1000,0)</f>
        <v>0</v>
      </c>
      <c r="F411" s="141">
        <f>IFERROR((HLOOKUP($AH411,Target_monthwise!$D$4:$O$20,DTR!F$4,FALSE))*1000,0)</f>
        <v>0</v>
      </c>
      <c r="G411" s="141">
        <f>IFERROR((HLOOKUP($AH411,Target_monthwise!$D$4:$O$20,DTR!G$4,FALSE))*1000,0)</f>
        <v>0</v>
      </c>
      <c r="H411" s="141">
        <f>IFERROR((HLOOKUP($AH411,Target_monthwise!$D$4:$O$20,DTR!H$4,FALSE))*1000,0)</f>
        <v>0</v>
      </c>
      <c r="I411" s="141">
        <f>IFERROR((HLOOKUP($AH411,Target_monthwise!$D$4:$O$20,DTR!I$4,FALSE))*1000,0)</f>
        <v>0</v>
      </c>
      <c r="J411" s="141">
        <f>IFERROR((HLOOKUP($AH411,Target_monthwise!$D$4:$O$20,DTR!J$4,FALSE))*1000,0)</f>
        <v>0</v>
      </c>
      <c r="K411" s="141">
        <f>IFERROR((HLOOKUP($AH411,Target_monthwise!$D$4:$O$20,DTR!K$4,FALSE))*1000,0)</f>
        <v>0</v>
      </c>
      <c r="L411" s="141">
        <f>IFERROR((HLOOKUP($AH411,Target_monthwise!$D$4:$O$20,DTR!L$4,FALSE))*1000,0)</f>
        <v>0</v>
      </c>
      <c r="M411" s="141">
        <f>IFERROR((HLOOKUP($AH411,Target_monthwise!$D$4:$O$20,DTR!M$4,FALSE))*1000,0)</f>
        <v>0</v>
      </c>
      <c r="N411" s="141">
        <f>IFERROR((HLOOKUP($AH411,Target_monthwise!$D$4:$O$20,DTR!N$4,FALSE))*1000,0)</f>
        <v>0</v>
      </c>
      <c r="O411" s="141">
        <f>IFERROR((HLOOKUP($AH411,Target_monthwise!$D$4:$O$20,DTR!O$4,FALSE))*1000,0)</f>
        <v>0</v>
      </c>
      <c r="P411" s="141">
        <f>IFERROR((HLOOKUP($AH411,Target_monthwise!$D$4:$O$20,DTR!P$4,FALSE))*1000,0)</f>
        <v>0</v>
      </c>
      <c r="Q411" s="141">
        <f>IFERROR((HLOOKUP($AH411,Target_monthwise!$D$4:$O$20,DTR!Q$4,FALSE))*1000,0)</f>
        <v>0</v>
      </c>
      <c r="R411" s="167">
        <f>IFERROR((HLOOKUP($AH411,Target_monthwise!$D$4:$O$20,DTR!R$4,FALSE))*1000,0)</f>
        <v>0</v>
      </c>
      <c r="S411" s="147">
        <f>IFERROR((HLOOKUP($AH411,Target_monthwise!$D$24:$O$40,DTR!S$4,FALSE)),0)</f>
        <v>0</v>
      </c>
      <c r="T411" s="147">
        <f>IFERROR((HLOOKUP($AH411,Target_monthwise!$D$24:$O$40,DTR!T$4,FALSE)),0)</f>
        <v>0</v>
      </c>
      <c r="U411" s="147">
        <f>IFERROR((HLOOKUP($AH411,Target_monthwise!$D$24:$O$40,DTR!U$4,FALSE)),0)</f>
        <v>0</v>
      </c>
      <c r="V411" s="147">
        <f>IFERROR((HLOOKUP($AH411,Target_monthwise!$D$24:$O$40,DTR!V$4,FALSE)),0)</f>
        <v>0</v>
      </c>
      <c r="W411" s="147">
        <f>IFERROR((HLOOKUP($AH411,Target_monthwise!$D$24:$O$40,DTR!W$4,FALSE)),0)</f>
        <v>0</v>
      </c>
      <c r="X411" s="147">
        <f>IFERROR((HLOOKUP($AH411,Target_monthwise!$D$24:$O$40,DTR!X$4,FALSE)),0)</f>
        <v>0</v>
      </c>
      <c r="Y411" s="147">
        <f>IFERROR((HLOOKUP($AH411,Target_monthwise!$D$24:$O$40,DTR!Y$4,FALSE)),0)</f>
        <v>0</v>
      </c>
      <c r="Z411" s="147">
        <f>IFERROR((HLOOKUP($AH411,Target_monthwise!$D$24:$O$40,DTR!Z$4,FALSE)),0)</f>
        <v>0</v>
      </c>
      <c r="AA411" s="147">
        <f>IFERROR((HLOOKUP($AH411,Target_monthwise!$D$24:$O$40,DTR!AA$4,FALSE)),0)</f>
        <v>0</v>
      </c>
      <c r="AB411" s="147">
        <f>IFERROR((HLOOKUP($AH411,Target_monthwise!$D$24:$O$40,DTR!AB$4,FALSE)),0)</f>
        <v>0</v>
      </c>
      <c r="AC411" s="147">
        <f>IFERROR((HLOOKUP($AH411,Target_monthwise!$D$24:$O$40,DTR!AC$4,FALSE)),0)</f>
        <v>0</v>
      </c>
      <c r="AD411" s="147">
        <f>IFERROR((HLOOKUP($AH411,Target_monthwise!$D$24:$O$40,DTR!AD$4,FALSE)),0)</f>
        <v>0</v>
      </c>
      <c r="AE411" s="147">
        <f>IFERROR((HLOOKUP($AH411,Target_monthwise!$D$24:$O$40,DTR!AE$4,FALSE)),0)</f>
        <v>0</v>
      </c>
      <c r="AF411" s="147">
        <f>IFERROR((HLOOKUP($AH411,Target_monthwise!$D$24:$O$40,DTR!AF$4,FALSE)),0)</f>
        <v>0</v>
      </c>
      <c r="AG411" s="172">
        <f>IFERROR((HLOOKUP($AH411,Target_monthwise!$D$24:$O$40,DTR!AG$4,FALSE)),0)</f>
        <v>0</v>
      </c>
      <c r="AH411" s="253">
        <f t="shared" si="6"/>
        <v>202305</v>
      </c>
    </row>
    <row r="412" spans="3:34" ht="15.75" hidden="1">
      <c r="C412" s="237">
        <v>45055</v>
      </c>
      <c r="D412" s="238">
        <f>IFERROR((HLOOKUP($AH412,Target_monthwise!$D$4:$O$20,DTR!D$4,FALSE))*1000,0)</f>
        <v>0</v>
      </c>
      <c r="E412" s="238">
        <f>IFERROR((HLOOKUP($AH412,Target_monthwise!$D$4:$O$20,DTR!E$4,FALSE))*1000,0)</f>
        <v>0</v>
      </c>
      <c r="F412" s="238">
        <f>IFERROR((HLOOKUP($AH412,Target_monthwise!$D$4:$O$20,DTR!F$4,FALSE))*1000,0)</f>
        <v>0</v>
      </c>
      <c r="G412" s="238">
        <f>IFERROR((HLOOKUP($AH412,Target_monthwise!$D$4:$O$20,DTR!G$4,FALSE))*1000,0)</f>
        <v>0</v>
      </c>
      <c r="H412" s="238">
        <f>IFERROR((HLOOKUP($AH412,Target_monthwise!$D$4:$O$20,DTR!H$4,FALSE))*1000,0)</f>
        <v>0</v>
      </c>
      <c r="I412" s="238">
        <f>IFERROR((HLOOKUP($AH412,Target_monthwise!$D$4:$O$20,DTR!I$4,FALSE))*1000,0)</f>
        <v>0</v>
      </c>
      <c r="J412" s="238">
        <f>IFERROR((HLOOKUP($AH412,Target_monthwise!$D$4:$O$20,DTR!J$4,FALSE))*1000,0)</f>
        <v>0</v>
      </c>
      <c r="K412" s="238">
        <f>IFERROR((HLOOKUP($AH412,Target_monthwise!$D$4:$O$20,DTR!K$4,FALSE))*1000,0)</f>
        <v>0</v>
      </c>
      <c r="L412" s="238">
        <f>IFERROR((HLOOKUP($AH412,Target_monthwise!$D$4:$O$20,DTR!L$4,FALSE))*1000,0)</f>
        <v>0</v>
      </c>
      <c r="M412" s="238">
        <f>IFERROR((HLOOKUP($AH412,Target_monthwise!$D$4:$O$20,DTR!M$4,FALSE))*1000,0)</f>
        <v>0</v>
      </c>
      <c r="N412" s="238">
        <f>IFERROR((HLOOKUP($AH412,Target_monthwise!$D$4:$O$20,DTR!N$4,FALSE))*1000,0)</f>
        <v>0</v>
      </c>
      <c r="O412" s="238">
        <f>IFERROR((HLOOKUP($AH412,Target_monthwise!$D$4:$O$20,DTR!O$4,FALSE))*1000,0)</f>
        <v>0</v>
      </c>
      <c r="P412" s="238">
        <f>IFERROR((HLOOKUP($AH412,Target_monthwise!$D$4:$O$20,DTR!P$4,FALSE))*1000,0)</f>
        <v>0</v>
      </c>
      <c r="Q412" s="141">
        <f>IFERROR((HLOOKUP($AH412,Target_monthwise!$D$4:$O$20,DTR!Q$4,FALSE))*1000,0)</f>
        <v>0</v>
      </c>
      <c r="R412" s="167">
        <f>IFERROR((HLOOKUP($AH412,Target_monthwise!$D$4:$O$20,DTR!R$4,FALSE))*1000,0)</f>
        <v>0</v>
      </c>
      <c r="S412" s="239">
        <f>IFERROR((HLOOKUP($AH412,Target_monthwise!$D$24:$O$40,DTR!S$4,FALSE)),0)</f>
        <v>0</v>
      </c>
      <c r="T412" s="239">
        <f>IFERROR((HLOOKUP($AH412,Target_monthwise!$D$24:$O$40,DTR!T$4,FALSE)),0)</f>
        <v>0</v>
      </c>
      <c r="U412" s="239">
        <f>IFERROR((HLOOKUP($AH412,Target_monthwise!$D$24:$O$40,DTR!U$4,FALSE)),0)</f>
        <v>0</v>
      </c>
      <c r="V412" s="239">
        <f>IFERROR((HLOOKUP($AH412,Target_monthwise!$D$24:$O$40,DTR!V$4,FALSE)),0)</f>
        <v>0</v>
      </c>
      <c r="W412" s="239">
        <f>IFERROR((HLOOKUP($AH412,Target_monthwise!$D$24:$O$40,DTR!W$4,FALSE)),0)</f>
        <v>0</v>
      </c>
      <c r="X412" s="239">
        <f>IFERROR((HLOOKUP($AH412,Target_monthwise!$D$24:$O$40,DTR!X$4,FALSE)),0)</f>
        <v>0</v>
      </c>
      <c r="Y412" s="239">
        <f>IFERROR((HLOOKUP($AH412,Target_monthwise!$D$24:$O$40,DTR!Y$4,FALSE)),0)</f>
        <v>0</v>
      </c>
      <c r="Z412" s="147">
        <f>IFERROR((HLOOKUP($AH412,Target_monthwise!$D$24:$O$40,DTR!Z$4,FALSE)),0)</f>
        <v>0</v>
      </c>
      <c r="AA412" s="147">
        <f>IFERROR((HLOOKUP($AH412,Target_monthwise!$D$24:$O$40,DTR!AA$4,FALSE)),0)</f>
        <v>0</v>
      </c>
      <c r="AB412" s="147">
        <f>IFERROR((HLOOKUP($AH412,Target_monthwise!$D$24:$O$40,DTR!AB$4,FALSE)),0)</f>
        <v>0</v>
      </c>
      <c r="AC412" s="239">
        <f>IFERROR((HLOOKUP($AH412,Target_monthwise!$D$24:$O$40,DTR!AC$4,FALSE)),0)</f>
        <v>0</v>
      </c>
      <c r="AD412" s="239">
        <f>IFERROR((HLOOKUP($AH412,Target_monthwise!$D$24:$O$40,DTR!AD$4,FALSE)),0)</f>
        <v>0</v>
      </c>
      <c r="AE412" s="239">
        <f>IFERROR((HLOOKUP($AH412,Target_monthwise!$D$24:$O$40,DTR!AE$4,FALSE)),0)</f>
        <v>0</v>
      </c>
      <c r="AF412" s="239">
        <f>IFERROR((HLOOKUP($AH412,Target_monthwise!$D$24:$O$40,DTR!AF$4,FALSE)),0)</f>
        <v>0</v>
      </c>
      <c r="AG412" s="172">
        <f>IFERROR((HLOOKUP($AH412,Target_monthwise!$D$24:$O$40,DTR!AG$4,FALSE)),0)</f>
        <v>0</v>
      </c>
      <c r="AH412" s="253">
        <f t="shared" si="6"/>
        <v>202305</v>
      </c>
    </row>
    <row r="413" spans="3:34" ht="15.75" hidden="1">
      <c r="C413" s="235">
        <v>45056</v>
      </c>
      <c r="D413" s="141">
        <f>IFERROR((HLOOKUP($AH413,Target_monthwise!$D$4:$O$20,DTR!D$4,FALSE))*1000,0)</f>
        <v>0</v>
      </c>
      <c r="E413" s="141">
        <f>IFERROR((HLOOKUP($AH413,Target_monthwise!$D$4:$O$20,DTR!E$4,FALSE))*1000,0)</f>
        <v>0</v>
      </c>
      <c r="F413" s="141">
        <f>IFERROR((HLOOKUP($AH413,Target_monthwise!$D$4:$O$20,DTR!F$4,FALSE))*1000,0)</f>
        <v>0</v>
      </c>
      <c r="G413" s="141">
        <f>IFERROR((HLOOKUP($AH413,Target_monthwise!$D$4:$O$20,DTR!G$4,FALSE))*1000,0)</f>
        <v>0</v>
      </c>
      <c r="H413" s="141">
        <f>IFERROR((HLOOKUP($AH413,Target_monthwise!$D$4:$O$20,DTR!H$4,FALSE))*1000,0)</f>
        <v>0</v>
      </c>
      <c r="I413" s="141">
        <f>IFERROR((HLOOKUP($AH413,Target_monthwise!$D$4:$O$20,DTR!I$4,FALSE))*1000,0)</f>
        <v>0</v>
      </c>
      <c r="J413" s="141">
        <f>IFERROR((HLOOKUP($AH413,Target_monthwise!$D$4:$O$20,DTR!J$4,FALSE))*1000,0)</f>
        <v>0</v>
      </c>
      <c r="K413" s="141">
        <f>IFERROR((HLOOKUP($AH413,Target_monthwise!$D$4:$O$20,DTR!K$4,FALSE))*1000,0)</f>
        <v>0</v>
      </c>
      <c r="L413" s="141">
        <f>IFERROR((HLOOKUP($AH413,Target_monthwise!$D$4:$O$20,DTR!L$4,FALSE))*1000,0)</f>
        <v>0</v>
      </c>
      <c r="M413" s="141">
        <f>IFERROR((HLOOKUP($AH413,Target_monthwise!$D$4:$O$20,DTR!M$4,FALSE))*1000,0)</f>
        <v>0</v>
      </c>
      <c r="N413" s="141">
        <f>IFERROR((HLOOKUP($AH413,Target_monthwise!$D$4:$O$20,DTR!N$4,FALSE))*1000,0)</f>
        <v>0</v>
      </c>
      <c r="O413" s="141">
        <f>IFERROR((HLOOKUP($AH413,Target_monthwise!$D$4:$O$20,DTR!O$4,FALSE))*1000,0)</f>
        <v>0</v>
      </c>
      <c r="P413" s="141">
        <f>IFERROR((HLOOKUP($AH413,Target_monthwise!$D$4:$O$20,DTR!P$4,FALSE))*1000,0)</f>
        <v>0</v>
      </c>
      <c r="Q413" s="141">
        <f>IFERROR((HLOOKUP($AH413,Target_monthwise!$D$4:$O$20,DTR!Q$4,FALSE))*1000,0)</f>
        <v>0</v>
      </c>
      <c r="R413" s="167">
        <f>IFERROR((HLOOKUP($AH413,Target_monthwise!$D$4:$O$20,DTR!R$4,FALSE))*1000,0)</f>
        <v>0</v>
      </c>
      <c r="S413" s="147">
        <f>IFERROR((HLOOKUP($AH413,Target_monthwise!$D$24:$O$40,DTR!S$4,FALSE)),0)</f>
        <v>0</v>
      </c>
      <c r="T413" s="147">
        <f>IFERROR((HLOOKUP($AH413,Target_monthwise!$D$24:$O$40,DTR!T$4,FALSE)),0)</f>
        <v>0</v>
      </c>
      <c r="U413" s="147">
        <f>IFERROR((HLOOKUP($AH413,Target_monthwise!$D$24:$O$40,DTR!U$4,FALSE)),0)</f>
        <v>0</v>
      </c>
      <c r="V413" s="147">
        <f>IFERROR((HLOOKUP($AH413,Target_monthwise!$D$24:$O$40,DTR!V$4,FALSE)),0)</f>
        <v>0</v>
      </c>
      <c r="W413" s="147">
        <f>IFERROR((HLOOKUP($AH413,Target_monthwise!$D$24:$O$40,DTR!W$4,FALSE)),0)</f>
        <v>0</v>
      </c>
      <c r="X413" s="147">
        <f>IFERROR((HLOOKUP($AH413,Target_monthwise!$D$24:$O$40,DTR!X$4,FALSE)),0)</f>
        <v>0</v>
      </c>
      <c r="Y413" s="147">
        <f>IFERROR((HLOOKUP($AH413,Target_monthwise!$D$24:$O$40,DTR!Y$4,FALSE)),0)</f>
        <v>0</v>
      </c>
      <c r="Z413" s="147">
        <f>IFERROR((HLOOKUP($AH413,Target_monthwise!$D$24:$O$40,DTR!Z$4,FALSE)),0)</f>
        <v>0</v>
      </c>
      <c r="AA413" s="147">
        <f>IFERROR((HLOOKUP($AH413,Target_monthwise!$D$24:$O$40,DTR!AA$4,FALSE)),0)</f>
        <v>0</v>
      </c>
      <c r="AB413" s="147">
        <f>IFERROR((HLOOKUP($AH413,Target_monthwise!$D$24:$O$40,DTR!AB$4,FALSE)),0)</f>
        <v>0</v>
      </c>
      <c r="AC413" s="147">
        <f>IFERROR((HLOOKUP($AH413,Target_monthwise!$D$24:$O$40,DTR!AC$4,FALSE)),0)</f>
        <v>0</v>
      </c>
      <c r="AD413" s="147">
        <f>IFERROR((HLOOKUP($AH413,Target_monthwise!$D$24:$O$40,DTR!AD$4,FALSE)),0)</f>
        <v>0</v>
      </c>
      <c r="AE413" s="147">
        <f>IFERROR((HLOOKUP($AH413,Target_monthwise!$D$24:$O$40,DTR!AE$4,FALSE)),0)</f>
        <v>0</v>
      </c>
      <c r="AF413" s="147">
        <f>IFERROR((HLOOKUP($AH413,Target_monthwise!$D$24:$O$40,DTR!AF$4,FALSE)),0)</f>
        <v>0</v>
      </c>
      <c r="AG413" s="172">
        <f>IFERROR((HLOOKUP($AH413,Target_monthwise!$D$24:$O$40,DTR!AG$4,FALSE)),0)</f>
        <v>0</v>
      </c>
      <c r="AH413" s="253">
        <f t="shared" si="6"/>
        <v>202305</v>
      </c>
    </row>
    <row r="414" spans="3:34" ht="15.75" hidden="1">
      <c r="C414" s="237">
        <v>45057</v>
      </c>
      <c r="D414" s="238">
        <f>IFERROR((HLOOKUP($AH414,Target_monthwise!$D$4:$O$20,DTR!D$4,FALSE))*1000,0)</f>
        <v>0</v>
      </c>
      <c r="E414" s="238">
        <f>IFERROR((HLOOKUP($AH414,Target_monthwise!$D$4:$O$20,DTR!E$4,FALSE))*1000,0)</f>
        <v>0</v>
      </c>
      <c r="F414" s="238">
        <f>IFERROR((HLOOKUP($AH414,Target_monthwise!$D$4:$O$20,DTR!F$4,FALSE))*1000,0)</f>
        <v>0</v>
      </c>
      <c r="G414" s="238">
        <f>IFERROR((HLOOKUP($AH414,Target_monthwise!$D$4:$O$20,DTR!G$4,FALSE))*1000,0)</f>
        <v>0</v>
      </c>
      <c r="H414" s="238">
        <f>IFERROR((HLOOKUP($AH414,Target_monthwise!$D$4:$O$20,DTR!H$4,FALSE))*1000,0)</f>
        <v>0</v>
      </c>
      <c r="I414" s="238">
        <f>IFERROR((HLOOKUP($AH414,Target_monthwise!$D$4:$O$20,DTR!I$4,FALSE))*1000,0)</f>
        <v>0</v>
      </c>
      <c r="J414" s="238">
        <f>IFERROR((HLOOKUP($AH414,Target_monthwise!$D$4:$O$20,DTR!J$4,FALSE))*1000,0)</f>
        <v>0</v>
      </c>
      <c r="K414" s="238">
        <f>IFERROR((HLOOKUP($AH414,Target_monthwise!$D$4:$O$20,DTR!K$4,FALSE))*1000,0)</f>
        <v>0</v>
      </c>
      <c r="L414" s="238">
        <f>IFERROR((HLOOKUP($AH414,Target_monthwise!$D$4:$O$20,DTR!L$4,FALSE))*1000,0)</f>
        <v>0</v>
      </c>
      <c r="M414" s="238">
        <f>IFERROR((HLOOKUP($AH414,Target_monthwise!$D$4:$O$20,DTR!M$4,FALSE))*1000,0)</f>
        <v>0</v>
      </c>
      <c r="N414" s="238">
        <f>IFERROR((HLOOKUP($AH414,Target_monthwise!$D$4:$O$20,DTR!N$4,FALSE))*1000,0)</f>
        <v>0</v>
      </c>
      <c r="O414" s="238">
        <f>IFERROR((HLOOKUP($AH414,Target_monthwise!$D$4:$O$20,DTR!O$4,FALSE))*1000,0)</f>
        <v>0</v>
      </c>
      <c r="P414" s="238">
        <f>IFERROR((HLOOKUP($AH414,Target_monthwise!$D$4:$O$20,DTR!P$4,FALSE))*1000,0)</f>
        <v>0</v>
      </c>
      <c r="Q414" s="141">
        <f>IFERROR((HLOOKUP($AH414,Target_monthwise!$D$4:$O$20,DTR!Q$4,FALSE))*1000,0)</f>
        <v>0</v>
      </c>
      <c r="R414" s="167">
        <f>IFERROR((HLOOKUP($AH414,Target_monthwise!$D$4:$O$20,DTR!R$4,FALSE))*1000,0)</f>
        <v>0</v>
      </c>
      <c r="S414" s="239">
        <f>IFERROR((HLOOKUP($AH414,Target_monthwise!$D$24:$O$40,DTR!S$4,FALSE)),0)</f>
        <v>0</v>
      </c>
      <c r="T414" s="239">
        <f>IFERROR((HLOOKUP($AH414,Target_monthwise!$D$24:$O$40,DTR!T$4,FALSE)),0)</f>
        <v>0</v>
      </c>
      <c r="U414" s="239">
        <f>IFERROR((HLOOKUP($AH414,Target_monthwise!$D$24:$O$40,DTR!U$4,FALSE)),0)</f>
        <v>0</v>
      </c>
      <c r="V414" s="239">
        <f>IFERROR((HLOOKUP($AH414,Target_monthwise!$D$24:$O$40,DTR!V$4,FALSE)),0)</f>
        <v>0</v>
      </c>
      <c r="W414" s="239">
        <f>IFERROR((HLOOKUP($AH414,Target_monthwise!$D$24:$O$40,DTR!W$4,FALSE)),0)</f>
        <v>0</v>
      </c>
      <c r="X414" s="239">
        <f>IFERROR((HLOOKUP($AH414,Target_monthwise!$D$24:$O$40,DTR!X$4,FALSE)),0)</f>
        <v>0</v>
      </c>
      <c r="Y414" s="239">
        <f>IFERROR((HLOOKUP($AH414,Target_monthwise!$D$24:$O$40,DTR!Y$4,FALSE)),0)</f>
        <v>0</v>
      </c>
      <c r="Z414" s="147">
        <f>IFERROR((HLOOKUP($AH414,Target_monthwise!$D$24:$O$40,DTR!Z$4,FALSE)),0)</f>
        <v>0</v>
      </c>
      <c r="AA414" s="147">
        <f>IFERROR((HLOOKUP($AH414,Target_monthwise!$D$24:$O$40,DTR!AA$4,FALSE)),0)</f>
        <v>0</v>
      </c>
      <c r="AB414" s="147">
        <f>IFERROR((HLOOKUP($AH414,Target_monthwise!$D$24:$O$40,DTR!AB$4,FALSE)),0)</f>
        <v>0</v>
      </c>
      <c r="AC414" s="239">
        <f>IFERROR((HLOOKUP($AH414,Target_monthwise!$D$24:$O$40,DTR!AC$4,FALSE)),0)</f>
        <v>0</v>
      </c>
      <c r="AD414" s="239">
        <f>IFERROR((HLOOKUP($AH414,Target_monthwise!$D$24:$O$40,DTR!AD$4,FALSE)),0)</f>
        <v>0</v>
      </c>
      <c r="AE414" s="239">
        <f>IFERROR((HLOOKUP($AH414,Target_monthwise!$D$24:$O$40,DTR!AE$4,FALSE)),0)</f>
        <v>0</v>
      </c>
      <c r="AF414" s="239">
        <f>IFERROR((HLOOKUP($AH414,Target_monthwise!$D$24:$O$40,DTR!AF$4,FALSE)),0)</f>
        <v>0</v>
      </c>
      <c r="AG414" s="172">
        <f>IFERROR((HLOOKUP($AH414,Target_monthwise!$D$24:$O$40,DTR!AG$4,FALSE)),0)</f>
        <v>0</v>
      </c>
      <c r="AH414" s="253">
        <f t="shared" si="6"/>
        <v>202305</v>
      </c>
    </row>
    <row r="415" spans="3:34" ht="15.75" hidden="1">
      <c r="C415" s="235">
        <v>45058</v>
      </c>
      <c r="D415" s="141">
        <f>IFERROR((HLOOKUP($AH415,Target_monthwise!$D$4:$O$20,DTR!D$4,FALSE))*1000,0)</f>
        <v>0</v>
      </c>
      <c r="E415" s="141">
        <f>IFERROR((HLOOKUP($AH415,Target_monthwise!$D$4:$O$20,DTR!E$4,FALSE))*1000,0)</f>
        <v>0</v>
      </c>
      <c r="F415" s="141">
        <f>IFERROR((HLOOKUP($AH415,Target_monthwise!$D$4:$O$20,DTR!F$4,FALSE))*1000,0)</f>
        <v>0</v>
      </c>
      <c r="G415" s="141">
        <f>IFERROR((HLOOKUP($AH415,Target_monthwise!$D$4:$O$20,DTR!G$4,FALSE))*1000,0)</f>
        <v>0</v>
      </c>
      <c r="H415" s="141">
        <f>IFERROR((HLOOKUP($AH415,Target_monthwise!$D$4:$O$20,DTR!H$4,FALSE))*1000,0)</f>
        <v>0</v>
      </c>
      <c r="I415" s="141">
        <f>IFERROR((HLOOKUP($AH415,Target_monthwise!$D$4:$O$20,DTR!I$4,FALSE))*1000,0)</f>
        <v>0</v>
      </c>
      <c r="J415" s="141">
        <f>IFERROR((HLOOKUP($AH415,Target_monthwise!$D$4:$O$20,DTR!J$4,FALSE))*1000,0)</f>
        <v>0</v>
      </c>
      <c r="K415" s="141">
        <f>IFERROR((HLOOKUP($AH415,Target_monthwise!$D$4:$O$20,DTR!K$4,FALSE))*1000,0)</f>
        <v>0</v>
      </c>
      <c r="L415" s="141">
        <f>IFERROR((HLOOKUP($AH415,Target_monthwise!$D$4:$O$20,DTR!L$4,FALSE))*1000,0)</f>
        <v>0</v>
      </c>
      <c r="M415" s="141">
        <f>IFERROR((HLOOKUP($AH415,Target_monthwise!$D$4:$O$20,DTR!M$4,FALSE))*1000,0)</f>
        <v>0</v>
      </c>
      <c r="N415" s="141">
        <f>IFERROR((HLOOKUP($AH415,Target_monthwise!$D$4:$O$20,DTR!N$4,FALSE))*1000,0)</f>
        <v>0</v>
      </c>
      <c r="O415" s="141">
        <f>IFERROR((HLOOKUP($AH415,Target_monthwise!$D$4:$O$20,DTR!O$4,FALSE))*1000,0)</f>
        <v>0</v>
      </c>
      <c r="P415" s="141">
        <f>IFERROR((HLOOKUP($AH415,Target_monthwise!$D$4:$O$20,DTR!P$4,FALSE))*1000,0)</f>
        <v>0</v>
      </c>
      <c r="Q415" s="141">
        <f>IFERROR((HLOOKUP($AH415,Target_monthwise!$D$4:$O$20,DTR!Q$4,FALSE))*1000,0)</f>
        <v>0</v>
      </c>
      <c r="R415" s="167">
        <f>IFERROR((HLOOKUP($AH415,Target_monthwise!$D$4:$O$20,DTR!R$4,FALSE))*1000,0)</f>
        <v>0</v>
      </c>
      <c r="S415" s="147">
        <f>IFERROR((HLOOKUP($AH415,Target_monthwise!$D$24:$O$40,DTR!S$4,FALSE)),0)</f>
        <v>0</v>
      </c>
      <c r="T415" s="147">
        <f>IFERROR((HLOOKUP($AH415,Target_monthwise!$D$24:$O$40,DTR!T$4,FALSE)),0)</f>
        <v>0</v>
      </c>
      <c r="U415" s="147">
        <f>IFERROR((HLOOKUP($AH415,Target_monthwise!$D$24:$O$40,DTR!U$4,FALSE)),0)</f>
        <v>0</v>
      </c>
      <c r="V415" s="147">
        <f>IFERROR((HLOOKUP($AH415,Target_monthwise!$D$24:$O$40,DTR!V$4,FALSE)),0)</f>
        <v>0</v>
      </c>
      <c r="W415" s="147">
        <f>IFERROR((HLOOKUP($AH415,Target_monthwise!$D$24:$O$40,DTR!W$4,FALSE)),0)</f>
        <v>0</v>
      </c>
      <c r="X415" s="147">
        <f>IFERROR((HLOOKUP($AH415,Target_monthwise!$D$24:$O$40,DTR!X$4,FALSE)),0)</f>
        <v>0</v>
      </c>
      <c r="Y415" s="147">
        <f>IFERROR((HLOOKUP($AH415,Target_monthwise!$D$24:$O$40,DTR!Y$4,FALSE)),0)</f>
        <v>0</v>
      </c>
      <c r="Z415" s="147">
        <f>IFERROR((HLOOKUP($AH415,Target_monthwise!$D$24:$O$40,DTR!Z$4,FALSE)),0)</f>
        <v>0</v>
      </c>
      <c r="AA415" s="147">
        <f>IFERROR((HLOOKUP($AH415,Target_monthwise!$D$24:$O$40,DTR!AA$4,FALSE)),0)</f>
        <v>0</v>
      </c>
      <c r="AB415" s="147">
        <f>IFERROR((HLOOKUP($AH415,Target_monthwise!$D$24:$O$40,DTR!AB$4,FALSE)),0)</f>
        <v>0</v>
      </c>
      <c r="AC415" s="147">
        <f>IFERROR((HLOOKUP($AH415,Target_monthwise!$D$24:$O$40,DTR!AC$4,FALSE)),0)</f>
        <v>0</v>
      </c>
      <c r="AD415" s="147">
        <f>IFERROR((HLOOKUP($AH415,Target_monthwise!$D$24:$O$40,DTR!AD$4,FALSE)),0)</f>
        <v>0</v>
      </c>
      <c r="AE415" s="147">
        <f>IFERROR((HLOOKUP($AH415,Target_monthwise!$D$24:$O$40,DTR!AE$4,FALSE)),0)</f>
        <v>0</v>
      </c>
      <c r="AF415" s="147">
        <f>IFERROR((HLOOKUP($AH415,Target_monthwise!$D$24:$O$40,DTR!AF$4,FALSE)),0)</f>
        <v>0</v>
      </c>
      <c r="AG415" s="172">
        <f>IFERROR((HLOOKUP($AH415,Target_monthwise!$D$24:$O$40,DTR!AG$4,FALSE)),0)</f>
        <v>0</v>
      </c>
      <c r="AH415" s="253">
        <f t="shared" si="6"/>
        <v>202305</v>
      </c>
    </row>
    <row r="416" spans="3:34" ht="15.75" hidden="1">
      <c r="C416" s="237">
        <v>45059</v>
      </c>
      <c r="D416" s="238">
        <f>IFERROR((HLOOKUP($AH416,Target_monthwise!$D$4:$O$20,DTR!D$4,FALSE))*1000,0)</f>
        <v>0</v>
      </c>
      <c r="E416" s="238">
        <f>IFERROR((HLOOKUP($AH416,Target_monthwise!$D$4:$O$20,DTR!E$4,FALSE))*1000,0)</f>
        <v>0</v>
      </c>
      <c r="F416" s="238">
        <f>IFERROR((HLOOKUP($AH416,Target_monthwise!$D$4:$O$20,DTR!F$4,FALSE))*1000,0)</f>
        <v>0</v>
      </c>
      <c r="G416" s="238">
        <f>IFERROR((HLOOKUP($AH416,Target_monthwise!$D$4:$O$20,DTR!G$4,FALSE))*1000,0)</f>
        <v>0</v>
      </c>
      <c r="H416" s="238">
        <f>IFERROR((HLOOKUP($AH416,Target_monthwise!$D$4:$O$20,DTR!H$4,FALSE))*1000,0)</f>
        <v>0</v>
      </c>
      <c r="I416" s="238">
        <f>IFERROR((HLOOKUP($AH416,Target_monthwise!$D$4:$O$20,DTR!I$4,FALSE))*1000,0)</f>
        <v>0</v>
      </c>
      <c r="J416" s="238">
        <f>IFERROR((HLOOKUP($AH416,Target_monthwise!$D$4:$O$20,DTR!J$4,FALSE))*1000,0)</f>
        <v>0</v>
      </c>
      <c r="K416" s="238">
        <f>IFERROR((HLOOKUP($AH416,Target_monthwise!$D$4:$O$20,DTR!K$4,FALSE))*1000,0)</f>
        <v>0</v>
      </c>
      <c r="L416" s="238">
        <f>IFERROR((HLOOKUP($AH416,Target_monthwise!$D$4:$O$20,DTR!L$4,FALSE))*1000,0)</f>
        <v>0</v>
      </c>
      <c r="M416" s="238">
        <f>IFERROR((HLOOKUP($AH416,Target_monthwise!$D$4:$O$20,DTR!M$4,FALSE))*1000,0)</f>
        <v>0</v>
      </c>
      <c r="N416" s="238">
        <f>IFERROR((HLOOKUP($AH416,Target_monthwise!$D$4:$O$20,DTR!N$4,FALSE))*1000,0)</f>
        <v>0</v>
      </c>
      <c r="O416" s="238">
        <f>IFERROR((HLOOKUP($AH416,Target_monthwise!$D$4:$O$20,DTR!O$4,FALSE))*1000,0)</f>
        <v>0</v>
      </c>
      <c r="P416" s="238">
        <f>IFERROR((HLOOKUP($AH416,Target_monthwise!$D$4:$O$20,DTR!P$4,FALSE))*1000,0)</f>
        <v>0</v>
      </c>
      <c r="Q416" s="141">
        <f>IFERROR((HLOOKUP($AH416,Target_monthwise!$D$4:$O$20,DTR!Q$4,FALSE))*1000,0)</f>
        <v>0</v>
      </c>
      <c r="R416" s="167">
        <f>IFERROR((HLOOKUP($AH416,Target_monthwise!$D$4:$O$20,DTR!R$4,FALSE))*1000,0)</f>
        <v>0</v>
      </c>
      <c r="S416" s="239">
        <f>IFERROR((HLOOKUP($AH416,Target_monthwise!$D$24:$O$40,DTR!S$4,FALSE)),0)</f>
        <v>0</v>
      </c>
      <c r="T416" s="239">
        <f>IFERROR((HLOOKUP($AH416,Target_monthwise!$D$24:$O$40,DTR!T$4,FALSE)),0)</f>
        <v>0</v>
      </c>
      <c r="U416" s="239">
        <f>IFERROR((HLOOKUP($AH416,Target_monthwise!$D$24:$O$40,DTR!U$4,FALSE)),0)</f>
        <v>0</v>
      </c>
      <c r="V416" s="239">
        <f>IFERROR((HLOOKUP($AH416,Target_monthwise!$D$24:$O$40,DTR!V$4,FALSE)),0)</f>
        <v>0</v>
      </c>
      <c r="W416" s="239">
        <f>IFERROR((HLOOKUP($AH416,Target_monthwise!$D$24:$O$40,DTR!W$4,FALSE)),0)</f>
        <v>0</v>
      </c>
      <c r="X416" s="239">
        <f>IFERROR((HLOOKUP($AH416,Target_monthwise!$D$24:$O$40,DTR!X$4,FALSE)),0)</f>
        <v>0</v>
      </c>
      <c r="Y416" s="239">
        <f>IFERROR((HLOOKUP($AH416,Target_monthwise!$D$24:$O$40,DTR!Y$4,FALSE)),0)</f>
        <v>0</v>
      </c>
      <c r="Z416" s="147">
        <f>IFERROR((HLOOKUP($AH416,Target_monthwise!$D$24:$O$40,DTR!Z$4,FALSE)),0)</f>
        <v>0</v>
      </c>
      <c r="AA416" s="147">
        <f>IFERROR((HLOOKUP($AH416,Target_monthwise!$D$24:$O$40,DTR!AA$4,FALSE)),0)</f>
        <v>0</v>
      </c>
      <c r="AB416" s="147">
        <f>IFERROR((HLOOKUP($AH416,Target_monthwise!$D$24:$O$40,DTR!AB$4,FALSE)),0)</f>
        <v>0</v>
      </c>
      <c r="AC416" s="239">
        <f>IFERROR((HLOOKUP($AH416,Target_monthwise!$D$24:$O$40,DTR!AC$4,FALSE)),0)</f>
        <v>0</v>
      </c>
      <c r="AD416" s="239">
        <f>IFERROR((HLOOKUP($AH416,Target_monthwise!$D$24:$O$40,DTR!AD$4,FALSE)),0)</f>
        <v>0</v>
      </c>
      <c r="AE416" s="239">
        <f>IFERROR((HLOOKUP($AH416,Target_monthwise!$D$24:$O$40,DTR!AE$4,FALSE)),0)</f>
        <v>0</v>
      </c>
      <c r="AF416" s="239">
        <f>IFERROR((HLOOKUP($AH416,Target_monthwise!$D$24:$O$40,DTR!AF$4,FALSE)),0)</f>
        <v>0</v>
      </c>
      <c r="AG416" s="172">
        <f>IFERROR((HLOOKUP($AH416,Target_monthwise!$D$24:$O$40,DTR!AG$4,FALSE)),0)</f>
        <v>0</v>
      </c>
      <c r="AH416" s="253">
        <f t="shared" si="6"/>
        <v>202305</v>
      </c>
    </row>
    <row r="417" spans="3:34" ht="15.75" hidden="1">
      <c r="C417" s="235">
        <v>45060</v>
      </c>
      <c r="D417" s="141">
        <f>IFERROR((HLOOKUP($AH417,Target_monthwise!$D$4:$O$20,DTR!D$4,FALSE))*1000,0)</f>
        <v>0</v>
      </c>
      <c r="E417" s="141">
        <f>IFERROR((HLOOKUP($AH417,Target_monthwise!$D$4:$O$20,DTR!E$4,FALSE))*1000,0)</f>
        <v>0</v>
      </c>
      <c r="F417" s="141">
        <f>IFERROR((HLOOKUP($AH417,Target_monthwise!$D$4:$O$20,DTR!F$4,FALSE))*1000,0)</f>
        <v>0</v>
      </c>
      <c r="G417" s="141">
        <f>IFERROR((HLOOKUP($AH417,Target_monthwise!$D$4:$O$20,DTR!G$4,FALSE))*1000,0)</f>
        <v>0</v>
      </c>
      <c r="H417" s="141">
        <f>IFERROR((HLOOKUP($AH417,Target_monthwise!$D$4:$O$20,DTR!H$4,FALSE))*1000,0)</f>
        <v>0</v>
      </c>
      <c r="I417" s="141">
        <f>IFERROR((HLOOKUP($AH417,Target_monthwise!$D$4:$O$20,DTR!I$4,FALSE))*1000,0)</f>
        <v>0</v>
      </c>
      <c r="J417" s="141">
        <f>IFERROR((HLOOKUP($AH417,Target_monthwise!$D$4:$O$20,DTR!J$4,FALSE))*1000,0)</f>
        <v>0</v>
      </c>
      <c r="K417" s="141">
        <f>IFERROR((HLOOKUP($AH417,Target_monthwise!$D$4:$O$20,DTR!K$4,FALSE))*1000,0)</f>
        <v>0</v>
      </c>
      <c r="L417" s="141">
        <f>IFERROR((HLOOKUP($AH417,Target_monthwise!$D$4:$O$20,DTR!L$4,FALSE))*1000,0)</f>
        <v>0</v>
      </c>
      <c r="M417" s="141">
        <f>IFERROR((HLOOKUP($AH417,Target_monthwise!$D$4:$O$20,DTR!M$4,FALSE))*1000,0)</f>
        <v>0</v>
      </c>
      <c r="N417" s="141">
        <f>IFERROR((HLOOKUP($AH417,Target_monthwise!$D$4:$O$20,DTR!N$4,FALSE))*1000,0)</f>
        <v>0</v>
      </c>
      <c r="O417" s="141">
        <f>IFERROR((HLOOKUP($AH417,Target_monthwise!$D$4:$O$20,DTR!O$4,FALSE))*1000,0)</f>
        <v>0</v>
      </c>
      <c r="P417" s="141">
        <f>IFERROR((HLOOKUP($AH417,Target_monthwise!$D$4:$O$20,DTR!P$4,FALSE))*1000,0)</f>
        <v>0</v>
      </c>
      <c r="Q417" s="141">
        <f>IFERROR((HLOOKUP($AH417,Target_monthwise!$D$4:$O$20,DTR!Q$4,FALSE))*1000,0)</f>
        <v>0</v>
      </c>
      <c r="R417" s="167">
        <f>IFERROR((HLOOKUP($AH417,Target_monthwise!$D$4:$O$20,DTR!R$4,FALSE))*1000,0)</f>
        <v>0</v>
      </c>
      <c r="S417" s="147">
        <f>IFERROR((HLOOKUP($AH417,Target_monthwise!$D$24:$O$40,DTR!S$4,FALSE)),0)</f>
        <v>0</v>
      </c>
      <c r="T417" s="147">
        <f>IFERROR((HLOOKUP($AH417,Target_monthwise!$D$24:$O$40,DTR!T$4,FALSE)),0)</f>
        <v>0</v>
      </c>
      <c r="U417" s="147">
        <f>IFERROR((HLOOKUP($AH417,Target_monthwise!$D$24:$O$40,DTR!U$4,FALSE)),0)</f>
        <v>0</v>
      </c>
      <c r="V417" s="147">
        <f>IFERROR((HLOOKUP($AH417,Target_monthwise!$D$24:$O$40,DTR!V$4,FALSE)),0)</f>
        <v>0</v>
      </c>
      <c r="W417" s="147">
        <f>IFERROR((HLOOKUP($AH417,Target_monthwise!$D$24:$O$40,DTR!W$4,FALSE)),0)</f>
        <v>0</v>
      </c>
      <c r="X417" s="147">
        <f>IFERROR((HLOOKUP($AH417,Target_monthwise!$D$24:$O$40,DTR!X$4,FALSE)),0)</f>
        <v>0</v>
      </c>
      <c r="Y417" s="147">
        <f>IFERROR((HLOOKUP($AH417,Target_monthwise!$D$24:$O$40,DTR!Y$4,FALSE)),0)</f>
        <v>0</v>
      </c>
      <c r="Z417" s="147">
        <f>IFERROR((HLOOKUP($AH417,Target_monthwise!$D$24:$O$40,DTR!Z$4,FALSE)),0)</f>
        <v>0</v>
      </c>
      <c r="AA417" s="147">
        <f>IFERROR((HLOOKUP($AH417,Target_monthwise!$D$24:$O$40,DTR!AA$4,FALSE)),0)</f>
        <v>0</v>
      </c>
      <c r="AB417" s="147">
        <f>IFERROR((HLOOKUP($AH417,Target_monthwise!$D$24:$O$40,DTR!AB$4,FALSE)),0)</f>
        <v>0</v>
      </c>
      <c r="AC417" s="147">
        <f>IFERROR((HLOOKUP($AH417,Target_monthwise!$D$24:$O$40,DTR!AC$4,FALSE)),0)</f>
        <v>0</v>
      </c>
      <c r="AD417" s="147">
        <f>IFERROR((HLOOKUP($AH417,Target_monthwise!$D$24:$O$40,DTR!AD$4,FALSE)),0)</f>
        <v>0</v>
      </c>
      <c r="AE417" s="147">
        <f>IFERROR((HLOOKUP($AH417,Target_monthwise!$D$24:$O$40,DTR!AE$4,FALSE)),0)</f>
        <v>0</v>
      </c>
      <c r="AF417" s="147">
        <f>IFERROR((HLOOKUP($AH417,Target_monthwise!$D$24:$O$40,DTR!AF$4,FALSE)),0)</f>
        <v>0</v>
      </c>
      <c r="AG417" s="172">
        <f>IFERROR((HLOOKUP($AH417,Target_monthwise!$D$24:$O$40,DTR!AG$4,FALSE)),0)</f>
        <v>0</v>
      </c>
      <c r="AH417" s="253">
        <f t="shared" si="6"/>
        <v>202305</v>
      </c>
    </row>
    <row r="418" spans="3:34" ht="15.75" hidden="1">
      <c r="C418" s="237">
        <v>45061</v>
      </c>
      <c r="D418" s="238">
        <f>IFERROR((HLOOKUP($AH418,Target_monthwise!$D$4:$O$20,DTR!D$4,FALSE))*1000,0)</f>
        <v>0</v>
      </c>
      <c r="E418" s="238">
        <f>IFERROR((HLOOKUP($AH418,Target_monthwise!$D$4:$O$20,DTR!E$4,FALSE))*1000,0)</f>
        <v>0</v>
      </c>
      <c r="F418" s="238">
        <f>IFERROR((HLOOKUP($AH418,Target_monthwise!$D$4:$O$20,DTR!F$4,FALSE))*1000,0)</f>
        <v>0</v>
      </c>
      <c r="G418" s="238">
        <f>IFERROR((HLOOKUP($AH418,Target_monthwise!$D$4:$O$20,DTR!G$4,FALSE))*1000,0)</f>
        <v>0</v>
      </c>
      <c r="H418" s="238">
        <f>IFERROR((HLOOKUP($AH418,Target_monthwise!$D$4:$O$20,DTR!H$4,FALSE))*1000,0)</f>
        <v>0</v>
      </c>
      <c r="I418" s="238">
        <f>IFERROR((HLOOKUP($AH418,Target_monthwise!$D$4:$O$20,DTR!I$4,FALSE))*1000,0)</f>
        <v>0</v>
      </c>
      <c r="J418" s="238">
        <f>IFERROR((HLOOKUP($AH418,Target_monthwise!$D$4:$O$20,DTR!J$4,FALSE))*1000,0)</f>
        <v>0</v>
      </c>
      <c r="K418" s="238">
        <f>IFERROR((HLOOKUP($AH418,Target_monthwise!$D$4:$O$20,DTR!K$4,FALSE))*1000,0)</f>
        <v>0</v>
      </c>
      <c r="L418" s="238">
        <f>IFERROR((HLOOKUP($AH418,Target_monthwise!$D$4:$O$20,DTR!L$4,FALSE))*1000,0)</f>
        <v>0</v>
      </c>
      <c r="M418" s="238">
        <f>IFERROR((HLOOKUP($AH418,Target_monthwise!$D$4:$O$20,DTR!M$4,FALSE))*1000,0)</f>
        <v>0</v>
      </c>
      <c r="N418" s="238">
        <f>IFERROR((HLOOKUP($AH418,Target_monthwise!$D$4:$O$20,DTR!N$4,FALSE))*1000,0)</f>
        <v>0</v>
      </c>
      <c r="O418" s="238">
        <f>IFERROR((HLOOKUP($AH418,Target_monthwise!$D$4:$O$20,DTR!O$4,FALSE))*1000,0)</f>
        <v>0</v>
      </c>
      <c r="P418" s="238">
        <f>IFERROR((HLOOKUP($AH418,Target_monthwise!$D$4:$O$20,DTR!P$4,FALSE))*1000,0)</f>
        <v>0</v>
      </c>
      <c r="Q418" s="141">
        <f>IFERROR((HLOOKUP($AH418,Target_monthwise!$D$4:$O$20,DTR!Q$4,FALSE))*1000,0)</f>
        <v>0</v>
      </c>
      <c r="R418" s="167">
        <f>IFERROR((HLOOKUP($AH418,Target_monthwise!$D$4:$O$20,DTR!R$4,FALSE))*1000,0)</f>
        <v>0</v>
      </c>
      <c r="S418" s="239">
        <f>IFERROR((HLOOKUP($AH418,Target_monthwise!$D$24:$O$40,DTR!S$4,FALSE)),0)</f>
        <v>0</v>
      </c>
      <c r="T418" s="239">
        <f>IFERROR((HLOOKUP($AH418,Target_monthwise!$D$24:$O$40,DTR!T$4,FALSE)),0)</f>
        <v>0</v>
      </c>
      <c r="U418" s="239">
        <f>IFERROR((HLOOKUP($AH418,Target_monthwise!$D$24:$O$40,DTR!U$4,FALSE)),0)</f>
        <v>0</v>
      </c>
      <c r="V418" s="239">
        <f>IFERROR((HLOOKUP($AH418,Target_monthwise!$D$24:$O$40,DTR!V$4,FALSE)),0)</f>
        <v>0</v>
      </c>
      <c r="W418" s="239">
        <f>IFERROR((HLOOKUP($AH418,Target_monthwise!$D$24:$O$40,DTR!W$4,FALSE)),0)</f>
        <v>0</v>
      </c>
      <c r="X418" s="239">
        <f>IFERROR((HLOOKUP($AH418,Target_monthwise!$D$24:$O$40,DTR!X$4,FALSE)),0)</f>
        <v>0</v>
      </c>
      <c r="Y418" s="239">
        <f>IFERROR((HLOOKUP($AH418,Target_monthwise!$D$24:$O$40,DTR!Y$4,FALSE)),0)</f>
        <v>0</v>
      </c>
      <c r="Z418" s="147">
        <f>IFERROR((HLOOKUP($AH418,Target_monthwise!$D$24:$O$40,DTR!Z$4,FALSE)),0)</f>
        <v>0</v>
      </c>
      <c r="AA418" s="147">
        <f>IFERROR((HLOOKUP($AH418,Target_monthwise!$D$24:$O$40,DTR!AA$4,FALSE)),0)</f>
        <v>0</v>
      </c>
      <c r="AB418" s="147">
        <f>IFERROR((HLOOKUP($AH418,Target_monthwise!$D$24:$O$40,DTR!AB$4,FALSE)),0)</f>
        <v>0</v>
      </c>
      <c r="AC418" s="239">
        <f>IFERROR((HLOOKUP($AH418,Target_monthwise!$D$24:$O$40,DTR!AC$4,FALSE)),0)</f>
        <v>0</v>
      </c>
      <c r="AD418" s="239">
        <f>IFERROR((HLOOKUP($AH418,Target_monthwise!$D$24:$O$40,DTR!AD$4,FALSE)),0)</f>
        <v>0</v>
      </c>
      <c r="AE418" s="239">
        <f>IFERROR((HLOOKUP($AH418,Target_monthwise!$D$24:$O$40,DTR!AE$4,FALSE)),0)</f>
        <v>0</v>
      </c>
      <c r="AF418" s="239">
        <f>IFERROR((HLOOKUP($AH418,Target_monthwise!$D$24:$O$40,DTR!AF$4,FALSE)),0)</f>
        <v>0</v>
      </c>
      <c r="AG418" s="172">
        <f>IFERROR((HLOOKUP($AH418,Target_monthwise!$D$24:$O$40,DTR!AG$4,FALSE)),0)</f>
        <v>0</v>
      </c>
      <c r="AH418" s="253">
        <f t="shared" si="6"/>
        <v>202305</v>
      </c>
    </row>
    <row r="419" spans="3:34" ht="15.75" hidden="1">
      <c r="C419" s="235">
        <v>45062</v>
      </c>
      <c r="D419" s="141">
        <f>IFERROR((HLOOKUP($AH419,Target_monthwise!$D$4:$O$20,DTR!D$4,FALSE))*1000,0)</f>
        <v>0</v>
      </c>
      <c r="E419" s="141">
        <f>IFERROR((HLOOKUP($AH419,Target_monthwise!$D$4:$O$20,DTR!E$4,FALSE))*1000,0)</f>
        <v>0</v>
      </c>
      <c r="F419" s="141">
        <f>IFERROR((HLOOKUP($AH419,Target_monthwise!$D$4:$O$20,DTR!F$4,FALSE))*1000,0)</f>
        <v>0</v>
      </c>
      <c r="G419" s="141">
        <f>IFERROR((HLOOKUP($AH419,Target_monthwise!$D$4:$O$20,DTR!G$4,FALSE))*1000,0)</f>
        <v>0</v>
      </c>
      <c r="H419" s="141">
        <f>IFERROR((HLOOKUP($AH419,Target_monthwise!$D$4:$O$20,DTR!H$4,FALSE))*1000,0)</f>
        <v>0</v>
      </c>
      <c r="I419" s="141">
        <f>IFERROR((HLOOKUP($AH419,Target_monthwise!$D$4:$O$20,DTR!I$4,FALSE))*1000,0)</f>
        <v>0</v>
      </c>
      <c r="J419" s="141">
        <f>IFERROR((HLOOKUP($AH419,Target_monthwise!$D$4:$O$20,DTR!J$4,FALSE))*1000,0)</f>
        <v>0</v>
      </c>
      <c r="K419" s="141">
        <f>IFERROR((HLOOKUP($AH419,Target_monthwise!$D$4:$O$20,DTR!K$4,FALSE))*1000,0)</f>
        <v>0</v>
      </c>
      <c r="L419" s="141">
        <f>IFERROR((HLOOKUP($AH419,Target_monthwise!$D$4:$O$20,DTR!L$4,FALSE))*1000,0)</f>
        <v>0</v>
      </c>
      <c r="M419" s="141">
        <f>IFERROR((HLOOKUP($AH419,Target_monthwise!$D$4:$O$20,DTR!M$4,FALSE))*1000,0)</f>
        <v>0</v>
      </c>
      <c r="N419" s="141">
        <f>IFERROR((HLOOKUP($AH419,Target_monthwise!$D$4:$O$20,DTR!N$4,FALSE))*1000,0)</f>
        <v>0</v>
      </c>
      <c r="O419" s="141">
        <f>IFERROR((HLOOKUP($AH419,Target_monthwise!$D$4:$O$20,DTR!O$4,FALSE))*1000,0)</f>
        <v>0</v>
      </c>
      <c r="P419" s="141">
        <f>IFERROR((HLOOKUP($AH419,Target_monthwise!$D$4:$O$20,DTR!P$4,FALSE))*1000,0)</f>
        <v>0</v>
      </c>
      <c r="Q419" s="141">
        <f>IFERROR((HLOOKUP($AH419,Target_monthwise!$D$4:$O$20,DTR!Q$4,FALSE))*1000,0)</f>
        <v>0</v>
      </c>
      <c r="R419" s="167">
        <f>IFERROR((HLOOKUP($AH419,Target_monthwise!$D$4:$O$20,DTR!R$4,FALSE))*1000,0)</f>
        <v>0</v>
      </c>
      <c r="S419" s="147">
        <f>IFERROR((HLOOKUP($AH419,Target_monthwise!$D$24:$O$40,DTR!S$4,FALSE)),0)</f>
        <v>0</v>
      </c>
      <c r="T419" s="147">
        <f>IFERROR((HLOOKUP($AH419,Target_monthwise!$D$24:$O$40,DTR!T$4,FALSE)),0)</f>
        <v>0</v>
      </c>
      <c r="U419" s="147">
        <f>IFERROR((HLOOKUP($AH419,Target_monthwise!$D$24:$O$40,DTR!U$4,FALSE)),0)</f>
        <v>0</v>
      </c>
      <c r="V419" s="147">
        <f>IFERROR((HLOOKUP($AH419,Target_monthwise!$D$24:$O$40,DTR!V$4,FALSE)),0)</f>
        <v>0</v>
      </c>
      <c r="W419" s="147">
        <f>IFERROR((HLOOKUP($AH419,Target_monthwise!$D$24:$O$40,DTR!W$4,FALSE)),0)</f>
        <v>0</v>
      </c>
      <c r="X419" s="147">
        <f>IFERROR((HLOOKUP($AH419,Target_monthwise!$D$24:$O$40,DTR!X$4,FALSE)),0)</f>
        <v>0</v>
      </c>
      <c r="Y419" s="147">
        <f>IFERROR((HLOOKUP($AH419,Target_monthwise!$D$24:$O$40,DTR!Y$4,FALSE)),0)</f>
        <v>0</v>
      </c>
      <c r="Z419" s="147">
        <f>IFERROR((HLOOKUP($AH419,Target_monthwise!$D$24:$O$40,DTR!Z$4,FALSE)),0)</f>
        <v>0</v>
      </c>
      <c r="AA419" s="147">
        <f>IFERROR((HLOOKUP($AH419,Target_monthwise!$D$24:$O$40,DTR!AA$4,FALSE)),0)</f>
        <v>0</v>
      </c>
      <c r="AB419" s="147">
        <f>IFERROR((HLOOKUP($AH419,Target_monthwise!$D$24:$O$40,DTR!AB$4,FALSE)),0)</f>
        <v>0</v>
      </c>
      <c r="AC419" s="147">
        <f>IFERROR((HLOOKUP($AH419,Target_monthwise!$D$24:$O$40,DTR!AC$4,FALSE)),0)</f>
        <v>0</v>
      </c>
      <c r="AD419" s="147">
        <f>IFERROR((HLOOKUP($AH419,Target_monthwise!$D$24:$O$40,DTR!AD$4,FALSE)),0)</f>
        <v>0</v>
      </c>
      <c r="AE419" s="147">
        <f>IFERROR((HLOOKUP($AH419,Target_monthwise!$D$24:$O$40,DTR!AE$4,FALSE)),0)</f>
        <v>0</v>
      </c>
      <c r="AF419" s="147">
        <f>IFERROR((HLOOKUP($AH419,Target_monthwise!$D$24:$O$40,DTR!AF$4,FALSE)),0)</f>
        <v>0</v>
      </c>
      <c r="AG419" s="172">
        <f>IFERROR((HLOOKUP($AH419,Target_monthwise!$D$24:$O$40,DTR!AG$4,FALSE)),0)</f>
        <v>0</v>
      </c>
      <c r="AH419" s="253">
        <f t="shared" si="6"/>
        <v>202305</v>
      </c>
    </row>
    <row r="420" spans="3:34" ht="15.75" hidden="1">
      <c r="C420" s="237">
        <v>45063</v>
      </c>
      <c r="D420" s="238">
        <f>IFERROR((HLOOKUP($AH420,Target_monthwise!$D$4:$O$20,DTR!D$4,FALSE))*1000,0)</f>
        <v>0</v>
      </c>
      <c r="E420" s="238">
        <f>IFERROR((HLOOKUP($AH420,Target_monthwise!$D$4:$O$20,DTR!E$4,FALSE))*1000,0)</f>
        <v>0</v>
      </c>
      <c r="F420" s="238">
        <f>IFERROR((HLOOKUP($AH420,Target_monthwise!$D$4:$O$20,DTR!F$4,FALSE))*1000,0)</f>
        <v>0</v>
      </c>
      <c r="G420" s="238">
        <f>IFERROR((HLOOKUP($AH420,Target_monthwise!$D$4:$O$20,DTR!G$4,FALSE))*1000,0)</f>
        <v>0</v>
      </c>
      <c r="H420" s="238">
        <f>IFERROR((HLOOKUP($AH420,Target_monthwise!$D$4:$O$20,DTR!H$4,FALSE))*1000,0)</f>
        <v>0</v>
      </c>
      <c r="I420" s="238">
        <f>IFERROR((HLOOKUP($AH420,Target_monthwise!$D$4:$O$20,DTR!I$4,FALSE))*1000,0)</f>
        <v>0</v>
      </c>
      <c r="J420" s="238">
        <f>IFERROR((HLOOKUP($AH420,Target_monthwise!$D$4:$O$20,DTR!J$4,FALSE))*1000,0)</f>
        <v>0</v>
      </c>
      <c r="K420" s="238">
        <f>IFERROR((HLOOKUP($AH420,Target_monthwise!$D$4:$O$20,DTR!K$4,FALSE))*1000,0)</f>
        <v>0</v>
      </c>
      <c r="L420" s="238">
        <f>IFERROR((HLOOKUP($AH420,Target_monthwise!$D$4:$O$20,DTR!L$4,FALSE))*1000,0)</f>
        <v>0</v>
      </c>
      <c r="M420" s="238">
        <f>IFERROR((HLOOKUP($AH420,Target_monthwise!$D$4:$O$20,DTR!M$4,FALSE))*1000,0)</f>
        <v>0</v>
      </c>
      <c r="N420" s="238">
        <f>IFERROR((HLOOKUP($AH420,Target_monthwise!$D$4:$O$20,DTR!N$4,FALSE))*1000,0)</f>
        <v>0</v>
      </c>
      <c r="O420" s="238">
        <f>IFERROR((HLOOKUP($AH420,Target_monthwise!$D$4:$O$20,DTR!O$4,FALSE))*1000,0)</f>
        <v>0</v>
      </c>
      <c r="P420" s="238">
        <f>IFERROR((HLOOKUP($AH420,Target_monthwise!$D$4:$O$20,DTR!P$4,FALSE))*1000,0)</f>
        <v>0</v>
      </c>
      <c r="Q420" s="141">
        <f>IFERROR((HLOOKUP($AH420,Target_monthwise!$D$4:$O$20,DTR!Q$4,FALSE))*1000,0)</f>
        <v>0</v>
      </c>
      <c r="R420" s="167">
        <f>IFERROR((HLOOKUP($AH420,Target_monthwise!$D$4:$O$20,DTR!R$4,FALSE))*1000,0)</f>
        <v>0</v>
      </c>
      <c r="S420" s="239">
        <f>IFERROR((HLOOKUP($AH420,Target_monthwise!$D$24:$O$40,DTR!S$4,FALSE)),0)</f>
        <v>0</v>
      </c>
      <c r="T420" s="239">
        <f>IFERROR((HLOOKUP($AH420,Target_monthwise!$D$24:$O$40,DTR!T$4,FALSE)),0)</f>
        <v>0</v>
      </c>
      <c r="U420" s="239">
        <f>IFERROR((HLOOKUP($AH420,Target_monthwise!$D$24:$O$40,DTR!U$4,FALSE)),0)</f>
        <v>0</v>
      </c>
      <c r="V420" s="239">
        <f>IFERROR((HLOOKUP($AH420,Target_monthwise!$D$24:$O$40,DTR!V$4,FALSE)),0)</f>
        <v>0</v>
      </c>
      <c r="W420" s="239">
        <f>IFERROR((HLOOKUP($AH420,Target_monthwise!$D$24:$O$40,DTR!W$4,FALSE)),0)</f>
        <v>0</v>
      </c>
      <c r="X420" s="239">
        <f>IFERROR((HLOOKUP($AH420,Target_monthwise!$D$24:$O$40,DTR!X$4,FALSE)),0)</f>
        <v>0</v>
      </c>
      <c r="Y420" s="239">
        <f>IFERROR((HLOOKUP($AH420,Target_monthwise!$D$24:$O$40,DTR!Y$4,FALSE)),0)</f>
        <v>0</v>
      </c>
      <c r="Z420" s="147">
        <f>IFERROR((HLOOKUP($AH420,Target_monthwise!$D$24:$O$40,DTR!Z$4,FALSE)),0)</f>
        <v>0</v>
      </c>
      <c r="AA420" s="147">
        <f>IFERROR((HLOOKUP($AH420,Target_monthwise!$D$24:$O$40,DTR!AA$4,FALSE)),0)</f>
        <v>0</v>
      </c>
      <c r="AB420" s="147">
        <f>IFERROR((HLOOKUP($AH420,Target_monthwise!$D$24:$O$40,DTR!AB$4,FALSE)),0)</f>
        <v>0</v>
      </c>
      <c r="AC420" s="239">
        <f>IFERROR((HLOOKUP($AH420,Target_monthwise!$D$24:$O$40,DTR!AC$4,FALSE)),0)</f>
        <v>0</v>
      </c>
      <c r="AD420" s="239">
        <f>IFERROR((HLOOKUP($AH420,Target_monthwise!$D$24:$O$40,DTR!AD$4,FALSE)),0)</f>
        <v>0</v>
      </c>
      <c r="AE420" s="239">
        <f>IFERROR((HLOOKUP($AH420,Target_monthwise!$D$24:$O$40,DTR!AE$4,FALSE)),0)</f>
        <v>0</v>
      </c>
      <c r="AF420" s="239">
        <f>IFERROR((HLOOKUP($AH420,Target_monthwise!$D$24:$O$40,DTR!AF$4,FALSE)),0)</f>
        <v>0</v>
      </c>
      <c r="AG420" s="172">
        <f>IFERROR((HLOOKUP($AH420,Target_monthwise!$D$24:$O$40,DTR!AG$4,FALSE)),0)</f>
        <v>0</v>
      </c>
      <c r="AH420" s="253">
        <f t="shared" si="6"/>
        <v>202305</v>
      </c>
    </row>
    <row r="421" spans="3:34" ht="15.75" hidden="1">
      <c r="C421" s="235">
        <v>45064</v>
      </c>
      <c r="D421" s="141">
        <f>IFERROR((HLOOKUP($AH421,Target_monthwise!$D$4:$O$20,DTR!D$4,FALSE))*1000,0)</f>
        <v>0</v>
      </c>
      <c r="E421" s="141">
        <f>IFERROR((HLOOKUP($AH421,Target_monthwise!$D$4:$O$20,DTR!E$4,FALSE))*1000,0)</f>
        <v>0</v>
      </c>
      <c r="F421" s="141">
        <f>IFERROR((HLOOKUP($AH421,Target_monthwise!$D$4:$O$20,DTR!F$4,FALSE))*1000,0)</f>
        <v>0</v>
      </c>
      <c r="G421" s="141">
        <f>IFERROR((HLOOKUP($AH421,Target_monthwise!$D$4:$O$20,DTR!G$4,FALSE))*1000,0)</f>
        <v>0</v>
      </c>
      <c r="H421" s="141">
        <f>IFERROR((HLOOKUP($AH421,Target_monthwise!$D$4:$O$20,DTR!H$4,FALSE))*1000,0)</f>
        <v>0</v>
      </c>
      <c r="I421" s="141">
        <f>IFERROR((HLOOKUP($AH421,Target_monthwise!$D$4:$O$20,DTR!I$4,FALSE))*1000,0)</f>
        <v>0</v>
      </c>
      <c r="J421" s="141">
        <f>IFERROR((HLOOKUP($AH421,Target_monthwise!$D$4:$O$20,DTR!J$4,FALSE))*1000,0)</f>
        <v>0</v>
      </c>
      <c r="K421" s="141">
        <f>IFERROR((HLOOKUP($AH421,Target_monthwise!$D$4:$O$20,DTR!K$4,FALSE))*1000,0)</f>
        <v>0</v>
      </c>
      <c r="L421" s="141">
        <f>IFERROR((HLOOKUP($AH421,Target_monthwise!$D$4:$O$20,DTR!L$4,FALSE))*1000,0)</f>
        <v>0</v>
      </c>
      <c r="M421" s="141">
        <f>IFERROR((HLOOKUP($AH421,Target_monthwise!$D$4:$O$20,DTR!M$4,FALSE))*1000,0)</f>
        <v>0</v>
      </c>
      <c r="N421" s="141">
        <f>IFERROR((HLOOKUP($AH421,Target_monthwise!$D$4:$O$20,DTR!N$4,FALSE))*1000,0)</f>
        <v>0</v>
      </c>
      <c r="O421" s="141">
        <f>IFERROR((HLOOKUP($AH421,Target_monthwise!$D$4:$O$20,DTR!O$4,FALSE))*1000,0)</f>
        <v>0</v>
      </c>
      <c r="P421" s="141">
        <f>IFERROR((HLOOKUP($AH421,Target_monthwise!$D$4:$O$20,DTR!P$4,FALSE))*1000,0)</f>
        <v>0</v>
      </c>
      <c r="Q421" s="141">
        <f>IFERROR((HLOOKUP($AH421,Target_monthwise!$D$4:$O$20,DTR!Q$4,FALSE))*1000,0)</f>
        <v>0</v>
      </c>
      <c r="R421" s="167">
        <f>IFERROR((HLOOKUP($AH421,Target_monthwise!$D$4:$O$20,DTR!R$4,FALSE))*1000,0)</f>
        <v>0</v>
      </c>
      <c r="S421" s="147">
        <f>IFERROR((HLOOKUP($AH421,Target_monthwise!$D$24:$O$40,DTR!S$4,FALSE)),0)</f>
        <v>0</v>
      </c>
      <c r="T421" s="147">
        <f>IFERROR((HLOOKUP($AH421,Target_monthwise!$D$24:$O$40,DTR!T$4,FALSE)),0)</f>
        <v>0</v>
      </c>
      <c r="U421" s="147">
        <f>IFERROR((HLOOKUP($AH421,Target_monthwise!$D$24:$O$40,DTR!U$4,FALSE)),0)</f>
        <v>0</v>
      </c>
      <c r="V421" s="147">
        <f>IFERROR((HLOOKUP($AH421,Target_monthwise!$D$24:$O$40,DTR!V$4,FALSE)),0)</f>
        <v>0</v>
      </c>
      <c r="W421" s="147">
        <f>IFERROR((HLOOKUP($AH421,Target_monthwise!$D$24:$O$40,DTR!W$4,FALSE)),0)</f>
        <v>0</v>
      </c>
      <c r="X421" s="147">
        <f>IFERROR((HLOOKUP($AH421,Target_monthwise!$D$24:$O$40,DTR!X$4,FALSE)),0)</f>
        <v>0</v>
      </c>
      <c r="Y421" s="147">
        <f>IFERROR((HLOOKUP($AH421,Target_monthwise!$D$24:$O$40,DTR!Y$4,FALSE)),0)</f>
        <v>0</v>
      </c>
      <c r="Z421" s="147">
        <f>IFERROR((HLOOKUP($AH421,Target_monthwise!$D$24:$O$40,DTR!Z$4,FALSE)),0)</f>
        <v>0</v>
      </c>
      <c r="AA421" s="147">
        <f>IFERROR((HLOOKUP($AH421,Target_monthwise!$D$24:$O$40,DTR!AA$4,FALSE)),0)</f>
        <v>0</v>
      </c>
      <c r="AB421" s="147">
        <f>IFERROR((HLOOKUP($AH421,Target_monthwise!$D$24:$O$40,DTR!AB$4,FALSE)),0)</f>
        <v>0</v>
      </c>
      <c r="AC421" s="147">
        <f>IFERROR((HLOOKUP($AH421,Target_monthwise!$D$24:$O$40,DTR!AC$4,FALSE)),0)</f>
        <v>0</v>
      </c>
      <c r="AD421" s="147">
        <f>IFERROR((HLOOKUP($AH421,Target_monthwise!$D$24:$O$40,DTR!AD$4,FALSE)),0)</f>
        <v>0</v>
      </c>
      <c r="AE421" s="147">
        <f>IFERROR((HLOOKUP($AH421,Target_monthwise!$D$24:$O$40,DTR!AE$4,FALSE)),0)</f>
        <v>0</v>
      </c>
      <c r="AF421" s="147">
        <f>IFERROR((HLOOKUP($AH421,Target_monthwise!$D$24:$O$40,DTR!AF$4,FALSE)),0)</f>
        <v>0</v>
      </c>
      <c r="AG421" s="172">
        <f>IFERROR((HLOOKUP($AH421,Target_monthwise!$D$24:$O$40,DTR!AG$4,FALSE)),0)</f>
        <v>0</v>
      </c>
      <c r="AH421" s="253">
        <f t="shared" si="6"/>
        <v>202305</v>
      </c>
    </row>
    <row r="422" spans="3:34" ht="15.75" hidden="1">
      <c r="C422" s="237">
        <v>45065</v>
      </c>
      <c r="D422" s="238">
        <f>IFERROR((HLOOKUP($AH422,Target_monthwise!$D$4:$O$20,DTR!D$4,FALSE))*1000,0)</f>
        <v>0</v>
      </c>
      <c r="E422" s="238">
        <f>IFERROR((HLOOKUP($AH422,Target_monthwise!$D$4:$O$20,DTR!E$4,FALSE))*1000,0)</f>
        <v>0</v>
      </c>
      <c r="F422" s="238">
        <f>IFERROR((HLOOKUP($AH422,Target_monthwise!$D$4:$O$20,DTR!F$4,FALSE))*1000,0)</f>
        <v>0</v>
      </c>
      <c r="G422" s="238">
        <f>IFERROR((HLOOKUP($AH422,Target_monthwise!$D$4:$O$20,DTR!G$4,FALSE))*1000,0)</f>
        <v>0</v>
      </c>
      <c r="H422" s="238">
        <f>IFERROR((HLOOKUP($AH422,Target_monthwise!$D$4:$O$20,DTR!H$4,FALSE))*1000,0)</f>
        <v>0</v>
      </c>
      <c r="I422" s="238">
        <f>IFERROR((HLOOKUP($AH422,Target_monthwise!$D$4:$O$20,DTR!I$4,FALSE))*1000,0)</f>
        <v>0</v>
      </c>
      <c r="J422" s="238">
        <f>IFERROR((HLOOKUP($AH422,Target_monthwise!$D$4:$O$20,DTR!J$4,FALSE))*1000,0)</f>
        <v>0</v>
      </c>
      <c r="K422" s="238">
        <f>IFERROR((HLOOKUP($AH422,Target_monthwise!$D$4:$O$20,DTR!K$4,FALSE))*1000,0)</f>
        <v>0</v>
      </c>
      <c r="L422" s="238">
        <f>IFERROR((HLOOKUP($AH422,Target_monthwise!$D$4:$O$20,DTR!L$4,FALSE))*1000,0)</f>
        <v>0</v>
      </c>
      <c r="M422" s="238">
        <f>IFERROR((HLOOKUP($AH422,Target_monthwise!$D$4:$O$20,DTR!M$4,FALSE))*1000,0)</f>
        <v>0</v>
      </c>
      <c r="N422" s="238">
        <f>IFERROR((HLOOKUP($AH422,Target_monthwise!$D$4:$O$20,DTR!N$4,FALSE))*1000,0)</f>
        <v>0</v>
      </c>
      <c r="O422" s="238">
        <f>IFERROR((HLOOKUP($AH422,Target_monthwise!$D$4:$O$20,DTR!O$4,FALSE))*1000,0)</f>
        <v>0</v>
      </c>
      <c r="P422" s="238">
        <f>IFERROR((HLOOKUP($AH422,Target_monthwise!$D$4:$O$20,DTR!P$4,FALSE))*1000,0)</f>
        <v>0</v>
      </c>
      <c r="Q422" s="141">
        <f>IFERROR((HLOOKUP($AH422,Target_monthwise!$D$4:$O$20,DTR!Q$4,FALSE))*1000,0)</f>
        <v>0</v>
      </c>
      <c r="R422" s="167">
        <f>IFERROR((HLOOKUP($AH422,Target_monthwise!$D$4:$O$20,DTR!R$4,FALSE))*1000,0)</f>
        <v>0</v>
      </c>
      <c r="S422" s="239">
        <f>IFERROR((HLOOKUP($AH422,Target_monthwise!$D$24:$O$40,DTR!S$4,FALSE)),0)</f>
        <v>0</v>
      </c>
      <c r="T422" s="239">
        <f>IFERROR((HLOOKUP($AH422,Target_monthwise!$D$24:$O$40,DTR!T$4,FALSE)),0)</f>
        <v>0</v>
      </c>
      <c r="U422" s="239">
        <f>IFERROR((HLOOKUP($AH422,Target_monthwise!$D$24:$O$40,DTR!U$4,FALSE)),0)</f>
        <v>0</v>
      </c>
      <c r="V422" s="239">
        <f>IFERROR((HLOOKUP($AH422,Target_monthwise!$D$24:$O$40,DTR!V$4,FALSE)),0)</f>
        <v>0</v>
      </c>
      <c r="W422" s="239">
        <f>IFERROR((HLOOKUP($AH422,Target_monthwise!$D$24:$O$40,DTR!W$4,FALSE)),0)</f>
        <v>0</v>
      </c>
      <c r="X422" s="239">
        <f>IFERROR((HLOOKUP($AH422,Target_monthwise!$D$24:$O$40,DTR!X$4,FALSE)),0)</f>
        <v>0</v>
      </c>
      <c r="Y422" s="239">
        <f>IFERROR((HLOOKUP($AH422,Target_monthwise!$D$24:$O$40,DTR!Y$4,FALSE)),0)</f>
        <v>0</v>
      </c>
      <c r="Z422" s="147">
        <f>IFERROR((HLOOKUP($AH422,Target_monthwise!$D$24:$O$40,DTR!Z$4,FALSE)),0)</f>
        <v>0</v>
      </c>
      <c r="AA422" s="147">
        <f>IFERROR((HLOOKUP($AH422,Target_monthwise!$D$24:$O$40,DTR!AA$4,FALSE)),0)</f>
        <v>0</v>
      </c>
      <c r="AB422" s="147">
        <f>IFERROR((HLOOKUP($AH422,Target_monthwise!$D$24:$O$40,DTR!AB$4,FALSE)),0)</f>
        <v>0</v>
      </c>
      <c r="AC422" s="239">
        <f>IFERROR((HLOOKUP($AH422,Target_monthwise!$D$24:$O$40,DTR!AC$4,FALSE)),0)</f>
        <v>0</v>
      </c>
      <c r="AD422" s="239">
        <f>IFERROR((HLOOKUP($AH422,Target_monthwise!$D$24:$O$40,DTR!AD$4,FALSE)),0)</f>
        <v>0</v>
      </c>
      <c r="AE422" s="239">
        <f>IFERROR((HLOOKUP($AH422,Target_monthwise!$D$24:$O$40,DTR!AE$4,FALSE)),0)</f>
        <v>0</v>
      </c>
      <c r="AF422" s="239">
        <f>IFERROR((HLOOKUP($AH422,Target_monthwise!$D$24:$O$40,DTR!AF$4,FALSE)),0)</f>
        <v>0</v>
      </c>
      <c r="AG422" s="172">
        <f>IFERROR((HLOOKUP($AH422,Target_monthwise!$D$24:$O$40,DTR!AG$4,FALSE)),0)</f>
        <v>0</v>
      </c>
      <c r="AH422" s="253">
        <f t="shared" si="6"/>
        <v>202305</v>
      </c>
    </row>
    <row r="423" spans="3:34" ht="15.75" hidden="1">
      <c r="C423" s="235">
        <v>45066</v>
      </c>
      <c r="D423" s="141">
        <f>IFERROR((HLOOKUP($AH423,Target_monthwise!$D$4:$O$20,DTR!D$4,FALSE))*1000,0)</f>
        <v>0</v>
      </c>
      <c r="E423" s="141">
        <f>IFERROR((HLOOKUP($AH423,Target_monthwise!$D$4:$O$20,DTR!E$4,FALSE))*1000,0)</f>
        <v>0</v>
      </c>
      <c r="F423" s="141">
        <f>IFERROR((HLOOKUP($AH423,Target_monthwise!$D$4:$O$20,DTR!F$4,FALSE))*1000,0)</f>
        <v>0</v>
      </c>
      <c r="G423" s="141">
        <f>IFERROR((HLOOKUP($AH423,Target_monthwise!$D$4:$O$20,DTR!G$4,FALSE))*1000,0)</f>
        <v>0</v>
      </c>
      <c r="H423" s="141">
        <f>IFERROR((HLOOKUP($AH423,Target_monthwise!$D$4:$O$20,DTR!H$4,FALSE))*1000,0)</f>
        <v>0</v>
      </c>
      <c r="I423" s="141">
        <f>IFERROR((HLOOKUP($AH423,Target_monthwise!$D$4:$O$20,DTR!I$4,FALSE))*1000,0)</f>
        <v>0</v>
      </c>
      <c r="J423" s="141">
        <f>IFERROR((HLOOKUP($AH423,Target_monthwise!$D$4:$O$20,DTR!J$4,FALSE))*1000,0)</f>
        <v>0</v>
      </c>
      <c r="K423" s="141">
        <f>IFERROR((HLOOKUP($AH423,Target_monthwise!$D$4:$O$20,DTR!K$4,FALSE))*1000,0)</f>
        <v>0</v>
      </c>
      <c r="L423" s="141">
        <f>IFERROR((HLOOKUP($AH423,Target_monthwise!$D$4:$O$20,DTR!L$4,FALSE))*1000,0)</f>
        <v>0</v>
      </c>
      <c r="M423" s="141">
        <f>IFERROR((HLOOKUP($AH423,Target_monthwise!$D$4:$O$20,DTR!M$4,FALSE))*1000,0)</f>
        <v>0</v>
      </c>
      <c r="N423" s="141">
        <f>IFERROR((HLOOKUP($AH423,Target_monthwise!$D$4:$O$20,DTR!N$4,FALSE))*1000,0)</f>
        <v>0</v>
      </c>
      <c r="O423" s="141">
        <f>IFERROR((HLOOKUP($AH423,Target_monthwise!$D$4:$O$20,DTR!O$4,FALSE))*1000,0)</f>
        <v>0</v>
      </c>
      <c r="P423" s="141">
        <f>IFERROR((HLOOKUP($AH423,Target_monthwise!$D$4:$O$20,DTR!P$4,FALSE))*1000,0)</f>
        <v>0</v>
      </c>
      <c r="Q423" s="141">
        <f>IFERROR((HLOOKUP($AH423,Target_monthwise!$D$4:$O$20,DTR!Q$4,FALSE))*1000,0)</f>
        <v>0</v>
      </c>
      <c r="R423" s="167">
        <f>IFERROR((HLOOKUP($AH423,Target_monthwise!$D$4:$O$20,DTR!R$4,FALSE))*1000,0)</f>
        <v>0</v>
      </c>
      <c r="S423" s="147">
        <f>IFERROR((HLOOKUP($AH423,Target_monthwise!$D$24:$O$40,DTR!S$4,FALSE)),0)</f>
        <v>0</v>
      </c>
      <c r="T423" s="147">
        <f>IFERROR((HLOOKUP($AH423,Target_monthwise!$D$24:$O$40,DTR!T$4,FALSE)),0)</f>
        <v>0</v>
      </c>
      <c r="U423" s="147">
        <f>IFERROR((HLOOKUP($AH423,Target_monthwise!$D$24:$O$40,DTR!U$4,FALSE)),0)</f>
        <v>0</v>
      </c>
      <c r="V423" s="147">
        <f>IFERROR((HLOOKUP($AH423,Target_monthwise!$D$24:$O$40,DTR!V$4,FALSE)),0)</f>
        <v>0</v>
      </c>
      <c r="W423" s="147">
        <f>IFERROR((HLOOKUP($AH423,Target_monthwise!$D$24:$O$40,DTR!W$4,FALSE)),0)</f>
        <v>0</v>
      </c>
      <c r="X423" s="147">
        <f>IFERROR((HLOOKUP($AH423,Target_monthwise!$D$24:$O$40,DTR!X$4,FALSE)),0)</f>
        <v>0</v>
      </c>
      <c r="Y423" s="147">
        <f>IFERROR((HLOOKUP($AH423,Target_monthwise!$D$24:$O$40,DTR!Y$4,FALSE)),0)</f>
        <v>0</v>
      </c>
      <c r="Z423" s="147">
        <f>IFERROR((HLOOKUP($AH423,Target_monthwise!$D$24:$O$40,DTR!Z$4,FALSE)),0)</f>
        <v>0</v>
      </c>
      <c r="AA423" s="147">
        <f>IFERROR((HLOOKUP($AH423,Target_monthwise!$D$24:$O$40,DTR!AA$4,FALSE)),0)</f>
        <v>0</v>
      </c>
      <c r="AB423" s="147">
        <f>IFERROR((HLOOKUP($AH423,Target_monthwise!$D$24:$O$40,DTR!AB$4,FALSE)),0)</f>
        <v>0</v>
      </c>
      <c r="AC423" s="147">
        <f>IFERROR((HLOOKUP($AH423,Target_monthwise!$D$24:$O$40,DTR!AC$4,FALSE)),0)</f>
        <v>0</v>
      </c>
      <c r="AD423" s="147">
        <f>IFERROR((HLOOKUP($AH423,Target_monthwise!$D$24:$O$40,DTR!AD$4,FALSE)),0)</f>
        <v>0</v>
      </c>
      <c r="AE423" s="147">
        <f>IFERROR((HLOOKUP($AH423,Target_monthwise!$D$24:$O$40,DTR!AE$4,FALSE)),0)</f>
        <v>0</v>
      </c>
      <c r="AF423" s="147">
        <f>IFERROR((HLOOKUP($AH423,Target_monthwise!$D$24:$O$40,DTR!AF$4,FALSE)),0)</f>
        <v>0</v>
      </c>
      <c r="AG423" s="172">
        <f>IFERROR((HLOOKUP($AH423,Target_monthwise!$D$24:$O$40,DTR!AG$4,FALSE)),0)</f>
        <v>0</v>
      </c>
      <c r="AH423" s="253">
        <f t="shared" si="6"/>
        <v>202305</v>
      </c>
    </row>
    <row r="424" spans="3:34" ht="15.75" hidden="1">
      <c r="C424" s="237">
        <v>45067</v>
      </c>
      <c r="D424" s="238">
        <f>IFERROR((HLOOKUP($AH424,Target_monthwise!$D$4:$O$20,DTR!D$4,FALSE))*1000,0)</f>
        <v>0</v>
      </c>
      <c r="E424" s="238">
        <f>IFERROR((HLOOKUP($AH424,Target_monthwise!$D$4:$O$20,DTR!E$4,FALSE))*1000,0)</f>
        <v>0</v>
      </c>
      <c r="F424" s="238">
        <f>IFERROR((HLOOKUP($AH424,Target_monthwise!$D$4:$O$20,DTR!F$4,FALSE))*1000,0)</f>
        <v>0</v>
      </c>
      <c r="G424" s="238">
        <f>IFERROR((HLOOKUP($AH424,Target_monthwise!$D$4:$O$20,DTR!G$4,FALSE))*1000,0)</f>
        <v>0</v>
      </c>
      <c r="H424" s="238">
        <f>IFERROR((HLOOKUP($AH424,Target_monthwise!$D$4:$O$20,DTR!H$4,FALSE))*1000,0)</f>
        <v>0</v>
      </c>
      <c r="I424" s="238">
        <f>IFERROR((HLOOKUP($AH424,Target_monthwise!$D$4:$O$20,DTR!I$4,FALSE))*1000,0)</f>
        <v>0</v>
      </c>
      <c r="J424" s="238">
        <f>IFERROR((HLOOKUP($AH424,Target_monthwise!$D$4:$O$20,DTR!J$4,FALSE))*1000,0)</f>
        <v>0</v>
      </c>
      <c r="K424" s="238">
        <f>IFERROR((HLOOKUP($AH424,Target_monthwise!$D$4:$O$20,DTR!K$4,FALSE))*1000,0)</f>
        <v>0</v>
      </c>
      <c r="L424" s="238">
        <f>IFERROR((HLOOKUP($AH424,Target_monthwise!$D$4:$O$20,DTR!L$4,FALSE))*1000,0)</f>
        <v>0</v>
      </c>
      <c r="M424" s="238">
        <f>IFERROR((HLOOKUP($AH424,Target_monthwise!$D$4:$O$20,DTR!M$4,FALSE))*1000,0)</f>
        <v>0</v>
      </c>
      <c r="N424" s="238">
        <f>IFERROR((HLOOKUP($AH424,Target_monthwise!$D$4:$O$20,DTR!N$4,FALSE))*1000,0)</f>
        <v>0</v>
      </c>
      <c r="O424" s="238">
        <f>IFERROR((HLOOKUP($AH424,Target_monthwise!$D$4:$O$20,DTR!O$4,FALSE))*1000,0)</f>
        <v>0</v>
      </c>
      <c r="P424" s="238">
        <f>IFERROR((HLOOKUP($AH424,Target_monthwise!$D$4:$O$20,DTR!P$4,FALSE))*1000,0)</f>
        <v>0</v>
      </c>
      <c r="Q424" s="141">
        <f>IFERROR((HLOOKUP($AH424,Target_monthwise!$D$4:$O$20,DTR!Q$4,FALSE))*1000,0)</f>
        <v>0</v>
      </c>
      <c r="R424" s="167">
        <f>IFERROR((HLOOKUP($AH424,Target_monthwise!$D$4:$O$20,DTR!R$4,FALSE))*1000,0)</f>
        <v>0</v>
      </c>
      <c r="S424" s="239">
        <f>IFERROR((HLOOKUP($AH424,Target_monthwise!$D$24:$O$40,DTR!S$4,FALSE)),0)</f>
        <v>0</v>
      </c>
      <c r="T424" s="239">
        <f>IFERROR((HLOOKUP($AH424,Target_monthwise!$D$24:$O$40,DTR!T$4,FALSE)),0)</f>
        <v>0</v>
      </c>
      <c r="U424" s="239">
        <f>IFERROR((HLOOKUP($AH424,Target_monthwise!$D$24:$O$40,DTR!U$4,FALSE)),0)</f>
        <v>0</v>
      </c>
      <c r="V424" s="239">
        <f>IFERROR((HLOOKUP($AH424,Target_monthwise!$D$24:$O$40,DTR!V$4,FALSE)),0)</f>
        <v>0</v>
      </c>
      <c r="W424" s="239">
        <f>IFERROR((HLOOKUP($AH424,Target_monthwise!$D$24:$O$40,DTR!W$4,FALSE)),0)</f>
        <v>0</v>
      </c>
      <c r="X424" s="239">
        <f>IFERROR((HLOOKUP($AH424,Target_monthwise!$D$24:$O$40,DTR!X$4,FALSE)),0)</f>
        <v>0</v>
      </c>
      <c r="Y424" s="239">
        <f>IFERROR((HLOOKUP($AH424,Target_monthwise!$D$24:$O$40,DTR!Y$4,FALSE)),0)</f>
        <v>0</v>
      </c>
      <c r="Z424" s="147">
        <f>IFERROR((HLOOKUP($AH424,Target_monthwise!$D$24:$O$40,DTR!Z$4,FALSE)),0)</f>
        <v>0</v>
      </c>
      <c r="AA424" s="147">
        <f>IFERROR((HLOOKUP($AH424,Target_monthwise!$D$24:$O$40,DTR!AA$4,FALSE)),0)</f>
        <v>0</v>
      </c>
      <c r="AB424" s="147">
        <f>IFERROR((HLOOKUP($AH424,Target_monthwise!$D$24:$O$40,DTR!AB$4,FALSE)),0)</f>
        <v>0</v>
      </c>
      <c r="AC424" s="239">
        <f>IFERROR((HLOOKUP($AH424,Target_monthwise!$D$24:$O$40,DTR!AC$4,FALSE)),0)</f>
        <v>0</v>
      </c>
      <c r="AD424" s="239">
        <f>IFERROR((HLOOKUP($AH424,Target_monthwise!$D$24:$O$40,DTR!AD$4,FALSE)),0)</f>
        <v>0</v>
      </c>
      <c r="AE424" s="239">
        <f>IFERROR((HLOOKUP($AH424,Target_monthwise!$D$24:$O$40,DTR!AE$4,FALSE)),0)</f>
        <v>0</v>
      </c>
      <c r="AF424" s="239">
        <f>IFERROR((HLOOKUP($AH424,Target_monthwise!$D$24:$O$40,DTR!AF$4,FALSE)),0)</f>
        <v>0</v>
      </c>
      <c r="AG424" s="172">
        <f>IFERROR((HLOOKUP($AH424,Target_monthwise!$D$24:$O$40,DTR!AG$4,FALSE)),0)</f>
        <v>0</v>
      </c>
      <c r="AH424" s="253">
        <f t="shared" si="6"/>
        <v>202305</v>
      </c>
    </row>
    <row r="425" spans="3:34" ht="15.75" hidden="1">
      <c r="C425" s="235">
        <v>45068</v>
      </c>
      <c r="D425" s="141">
        <f>IFERROR((HLOOKUP($AH425,Target_monthwise!$D$4:$O$20,DTR!D$4,FALSE))*1000,0)</f>
        <v>0</v>
      </c>
      <c r="E425" s="141">
        <f>IFERROR((HLOOKUP($AH425,Target_monthwise!$D$4:$O$20,DTR!E$4,FALSE))*1000,0)</f>
        <v>0</v>
      </c>
      <c r="F425" s="141">
        <f>IFERROR((HLOOKUP($AH425,Target_monthwise!$D$4:$O$20,DTR!F$4,FALSE))*1000,0)</f>
        <v>0</v>
      </c>
      <c r="G425" s="141">
        <f>IFERROR((HLOOKUP($AH425,Target_monthwise!$D$4:$O$20,DTR!G$4,FALSE))*1000,0)</f>
        <v>0</v>
      </c>
      <c r="H425" s="141">
        <f>IFERROR((HLOOKUP($AH425,Target_monthwise!$D$4:$O$20,DTR!H$4,FALSE))*1000,0)</f>
        <v>0</v>
      </c>
      <c r="I425" s="141">
        <f>IFERROR((HLOOKUP($AH425,Target_monthwise!$D$4:$O$20,DTR!I$4,FALSE))*1000,0)</f>
        <v>0</v>
      </c>
      <c r="J425" s="141">
        <f>IFERROR((HLOOKUP($AH425,Target_monthwise!$D$4:$O$20,DTR!J$4,FALSE))*1000,0)</f>
        <v>0</v>
      </c>
      <c r="K425" s="141">
        <f>IFERROR((HLOOKUP($AH425,Target_monthwise!$D$4:$O$20,DTR!K$4,FALSE))*1000,0)</f>
        <v>0</v>
      </c>
      <c r="L425" s="141">
        <f>IFERROR((HLOOKUP($AH425,Target_monthwise!$D$4:$O$20,DTR!L$4,FALSE))*1000,0)</f>
        <v>0</v>
      </c>
      <c r="M425" s="141">
        <f>IFERROR((HLOOKUP($AH425,Target_monthwise!$D$4:$O$20,DTR!M$4,FALSE))*1000,0)</f>
        <v>0</v>
      </c>
      <c r="N425" s="141">
        <f>IFERROR((HLOOKUP($AH425,Target_monthwise!$D$4:$O$20,DTR!N$4,FALSE))*1000,0)</f>
        <v>0</v>
      </c>
      <c r="O425" s="141">
        <f>IFERROR((HLOOKUP($AH425,Target_monthwise!$D$4:$O$20,DTR!O$4,FALSE))*1000,0)</f>
        <v>0</v>
      </c>
      <c r="P425" s="141">
        <f>IFERROR((HLOOKUP($AH425,Target_monthwise!$D$4:$O$20,DTR!P$4,FALSE))*1000,0)</f>
        <v>0</v>
      </c>
      <c r="Q425" s="141">
        <f>IFERROR((HLOOKUP($AH425,Target_monthwise!$D$4:$O$20,DTR!Q$4,FALSE))*1000,0)</f>
        <v>0</v>
      </c>
      <c r="R425" s="167">
        <f>IFERROR((HLOOKUP($AH425,Target_monthwise!$D$4:$O$20,DTR!R$4,FALSE))*1000,0)</f>
        <v>0</v>
      </c>
      <c r="S425" s="147">
        <f>IFERROR((HLOOKUP($AH425,Target_monthwise!$D$24:$O$40,DTR!S$4,FALSE)),0)</f>
        <v>0</v>
      </c>
      <c r="T425" s="147">
        <f>IFERROR((HLOOKUP($AH425,Target_monthwise!$D$24:$O$40,DTR!T$4,FALSE)),0)</f>
        <v>0</v>
      </c>
      <c r="U425" s="147">
        <f>IFERROR((HLOOKUP($AH425,Target_monthwise!$D$24:$O$40,DTR!U$4,FALSE)),0)</f>
        <v>0</v>
      </c>
      <c r="V425" s="147">
        <f>IFERROR((HLOOKUP($AH425,Target_monthwise!$D$24:$O$40,DTR!V$4,FALSE)),0)</f>
        <v>0</v>
      </c>
      <c r="W425" s="147">
        <f>IFERROR((HLOOKUP($AH425,Target_monthwise!$D$24:$O$40,DTR!W$4,FALSE)),0)</f>
        <v>0</v>
      </c>
      <c r="X425" s="147">
        <f>IFERROR((HLOOKUP($AH425,Target_monthwise!$D$24:$O$40,DTR!X$4,FALSE)),0)</f>
        <v>0</v>
      </c>
      <c r="Y425" s="147">
        <f>IFERROR((HLOOKUP($AH425,Target_monthwise!$D$24:$O$40,DTR!Y$4,FALSE)),0)</f>
        <v>0</v>
      </c>
      <c r="Z425" s="147">
        <f>IFERROR((HLOOKUP($AH425,Target_monthwise!$D$24:$O$40,DTR!Z$4,FALSE)),0)</f>
        <v>0</v>
      </c>
      <c r="AA425" s="147">
        <f>IFERROR((HLOOKUP($AH425,Target_monthwise!$D$24:$O$40,DTR!AA$4,FALSE)),0)</f>
        <v>0</v>
      </c>
      <c r="AB425" s="147">
        <f>IFERROR((HLOOKUP($AH425,Target_monthwise!$D$24:$O$40,DTR!AB$4,FALSE)),0)</f>
        <v>0</v>
      </c>
      <c r="AC425" s="147">
        <f>IFERROR((HLOOKUP($AH425,Target_monthwise!$D$24:$O$40,DTR!AC$4,FALSE)),0)</f>
        <v>0</v>
      </c>
      <c r="AD425" s="147">
        <f>IFERROR((HLOOKUP($AH425,Target_monthwise!$D$24:$O$40,DTR!AD$4,FALSE)),0)</f>
        <v>0</v>
      </c>
      <c r="AE425" s="147">
        <f>IFERROR((HLOOKUP($AH425,Target_monthwise!$D$24:$O$40,DTR!AE$4,FALSE)),0)</f>
        <v>0</v>
      </c>
      <c r="AF425" s="147">
        <f>IFERROR((HLOOKUP($AH425,Target_monthwise!$D$24:$O$40,DTR!AF$4,FALSE)),0)</f>
        <v>0</v>
      </c>
      <c r="AG425" s="172">
        <f>IFERROR((HLOOKUP($AH425,Target_monthwise!$D$24:$O$40,DTR!AG$4,FALSE)),0)</f>
        <v>0</v>
      </c>
      <c r="AH425" s="253">
        <f t="shared" si="6"/>
        <v>202305</v>
      </c>
    </row>
    <row r="426" spans="3:34" ht="15.75" hidden="1">
      <c r="C426" s="237">
        <v>45069</v>
      </c>
      <c r="D426" s="238">
        <f>IFERROR((HLOOKUP($AH426,Target_monthwise!$D$4:$O$20,DTR!D$4,FALSE))*1000,0)</f>
        <v>0</v>
      </c>
      <c r="E426" s="238">
        <f>IFERROR((HLOOKUP($AH426,Target_monthwise!$D$4:$O$20,DTR!E$4,FALSE))*1000,0)</f>
        <v>0</v>
      </c>
      <c r="F426" s="238">
        <f>IFERROR((HLOOKUP($AH426,Target_monthwise!$D$4:$O$20,DTR!F$4,FALSE))*1000,0)</f>
        <v>0</v>
      </c>
      <c r="G426" s="238">
        <f>IFERROR((HLOOKUP($AH426,Target_monthwise!$D$4:$O$20,DTR!G$4,FALSE))*1000,0)</f>
        <v>0</v>
      </c>
      <c r="H426" s="238">
        <f>IFERROR((HLOOKUP($AH426,Target_monthwise!$D$4:$O$20,DTR!H$4,FALSE))*1000,0)</f>
        <v>0</v>
      </c>
      <c r="I426" s="238">
        <f>IFERROR((HLOOKUP($AH426,Target_monthwise!$D$4:$O$20,DTR!I$4,FALSE))*1000,0)</f>
        <v>0</v>
      </c>
      <c r="J426" s="238">
        <f>IFERROR((HLOOKUP($AH426,Target_monthwise!$D$4:$O$20,DTR!J$4,FALSE))*1000,0)</f>
        <v>0</v>
      </c>
      <c r="K426" s="238">
        <f>IFERROR((HLOOKUP($AH426,Target_monthwise!$D$4:$O$20,DTR!K$4,FALSE))*1000,0)</f>
        <v>0</v>
      </c>
      <c r="L426" s="238">
        <f>IFERROR((HLOOKUP($AH426,Target_monthwise!$D$4:$O$20,DTR!L$4,FALSE))*1000,0)</f>
        <v>0</v>
      </c>
      <c r="M426" s="238">
        <f>IFERROR((HLOOKUP($AH426,Target_monthwise!$D$4:$O$20,DTR!M$4,FALSE))*1000,0)</f>
        <v>0</v>
      </c>
      <c r="N426" s="238">
        <f>IFERROR((HLOOKUP($AH426,Target_monthwise!$D$4:$O$20,DTR!N$4,FALSE))*1000,0)</f>
        <v>0</v>
      </c>
      <c r="O426" s="238">
        <f>IFERROR((HLOOKUP($AH426,Target_monthwise!$D$4:$O$20,DTR!O$4,FALSE))*1000,0)</f>
        <v>0</v>
      </c>
      <c r="P426" s="238">
        <f>IFERROR((HLOOKUP($AH426,Target_monthwise!$D$4:$O$20,DTR!P$4,FALSE))*1000,0)</f>
        <v>0</v>
      </c>
      <c r="Q426" s="141">
        <f>IFERROR((HLOOKUP($AH426,Target_monthwise!$D$4:$O$20,DTR!Q$4,FALSE))*1000,0)</f>
        <v>0</v>
      </c>
      <c r="R426" s="167">
        <f>IFERROR((HLOOKUP($AH426,Target_monthwise!$D$4:$O$20,DTR!R$4,FALSE))*1000,0)</f>
        <v>0</v>
      </c>
      <c r="S426" s="239">
        <f>IFERROR((HLOOKUP($AH426,Target_monthwise!$D$24:$O$40,DTR!S$4,FALSE)),0)</f>
        <v>0</v>
      </c>
      <c r="T426" s="239">
        <f>IFERROR((HLOOKUP($AH426,Target_monthwise!$D$24:$O$40,DTR!T$4,FALSE)),0)</f>
        <v>0</v>
      </c>
      <c r="U426" s="239">
        <f>IFERROR((HLOOKUP($AH426,Target_monthwise!$D$24:$O$40,DTR!U$4,FALSE)),0)</f>
        <v>0</v>
      </c>
      <c r="V426" s="239">
        <f>IFERROR((HLOOKUP($AH426,Target_monthwise!$D$24:$O$40,DTR!V$4,FALSE)),0)</f>
        <v>0</v>
      </c>
      <c r="W426" s="239">
        <f>IFERROR((HLOOKUP($AH426,Target_monthwise!$D$24:$O$40,DTR!W$4,FALSE)),0)</f>
        <v>0</v>
      </c>
      <c r="X426" s="239">
        <f>IFERROR((HLOOKUP($AH426,Target_monthwise!$D$24:$O$40,DTR!X$4,FALSE)),0)</f>
        <v>0</v>
      </c>
      <c r="Y426" s="239">
        <f>IFERROR((HLOOKUP($AH426,Target_monthwise!$D$24:$O$40,DTR!Y$4,FALSE)),0)</f>
        <v>0</v>
      </c>
      <c r="Z426" s="147">
        <f>IFERROR((HLOOKUP($AH426,Target_monthwise!$D$24:$O$40,DTR!Z$4,FALSE)),0)</f>
        <v>0</v>
      </c>
      <c r="AA426" s="147">
        <f>IFERROR((HLOOKUP($AH426,Target_monthwise!$D$24:$O$40,DTR!AA$4,FALSE)),0)</f>
        <v>0</v>
      </c>
      <c r="AB426" s="147">
        <f>IFERROR((HLOOKUP($AH426,Target_monthwise!$D$24:$O$40,DTR!AB$4,FALSE)),0)</f>
        <v>0</v>
      </c>
      <c r="AC426" s="239">
        <f>IFERROR((HLOOKUP($AH426,Target_monthwise!$D$24:$O$40,DTR!AC$4,FALSE)),0)</f>
        <v>0</v>
      </c>
      <c r="AD426" s="239">
        <f>IFERROR((HLOOKUP($AH426,Target_monthwise!$D$24:$O$40,DTR!AD$4,FALSE)),0)</f>
        <v>0</v>
      </c>
      <c r="AE426" s="239">
        <f>IFERROR((HLOOKUP($AH426,Target_monthwise!$D$24:$O$40,DTR!AE$4,FALSE)),0)</f>
        <v>0</v>
      </c>
      <c r="AF426" s="239">
        <f>IFERROR((HLOOKUP($AH426,Target_monthwise!$D$24:$O$40,DTR!AF$4,FALSE)),0)</f>
        <v>0</v>
      </c>
      <c r="AG426" s="172">
        <f>IFERROR((HLOOKUP($AH426,Target_monthwise!$D$24:$O$40,DTR!AG$4,FALSE)),0)</f>
        <v>0</v>
      </c>
      <c r="AH426" s="253">
        <f t="shared" si="6"/>
        <v>202305</v>
      </c>
    </row>
    <row r="427" spans="3:34" ht="15.75" hidden="1">
      <c r="C427" s="235">
        <v>45070</v>
      </c>
      <c r="D427" s="141">
        <f>IFERROR((HLOOKUP($AH427,Target_monthwise!$D$4:$O$20,DTR!D$4,FALSE))*1000,0)</f>
        <v>0</v>
      </c>
      <c r="E427" s="141">
        <f>IFERROR((HLOOKUP($AH427,Target_monthwise!$D$4:$O$20,DTR!E$4,FALSE))*1000,0)</f>
        <v>0</v>
      </c>
      <c r="F427" s="141">
        <f>IFERROR((HLOOKUP($AH427,Target_monthwise!$D$4:$O$20,DTR!F$4,FALSE))*1000,0)</f>
        <v>0</v>
      </c>
      <c r="G427" s="141">
        <f>IFERROR((HLOOKUP($AH427,Target_monthwise!$D$4:$O$20,DTR!G$4,FALSE))*1000,0)</f>
        <v>0</v>
      </c>
      <c r="H427" s="141">
        <f>IFERROR((HLOOKUP($AH427,Target_monthwise!$D$4:$O$20,DTR!H$4,FALSE))*1000,0)</f>
        <v>0</v>
      </c>
      <c r="I427" s="141">
        <f>IFERROR((HLOOKUP($AH427,Target_monthwise!$D$4:$O$20,DTR!I$4,FALSE))*1000,0)</f>
        <v>0</v>
      </c>
      <c r="J427" s="141">
        <f>IFERROR((HLOOKUP($AH427,Target_monthwise!$D$4:$O$20,DTR!J$4,FALSE))*1000,0)</f>
        <v>0</v>
      </c>
      <c r="K427" s="141">
        <f>IFERROR((HLOOKUP($AH427,Target_monthwise!$D$4:$O$20,DTR!K$4,FALSE))*1000,0)</f>
        <v>0</v>
      </c>
      <c r="L427" s="141">
        <f>IFERROR((HLOOKUP($AH427,Target_monthwise!$D$4:$O$20,DTR!L$4,FALSE))*1000,0)</f>
        <v>0</v>
      </c>
      <c r="M427" s="141">
        <f>IFERROR((HLOOKUP($AH427,Target_monthwise!$D$4:$O$20,DTR!M$4,FALSE))*1000,0)</f>
        <v>0</v>
      </c>
      <c r="N427" s="141">
        <f>IFERROR((HLOOKUP($AH427,Target_monthwise!$D$4:$O$20,DTR!N$4,FALSE))*1000,0)</f>
        <v>0</v>
      </c>
      <c r="O427" s="141">
        <f>IFERROR((HLOOKUP($AH427,Target_monthwise!$D$4:$O$20,DTR!O$4,FALSE))*1000,0)</f>
        <v>0</v>
      </c>
      <c r="P427" s="141">
        <f>IFERROR((HLOOKUP($AH427,Target_monthwise!$D$4:$O$20,DTR!P$4,FALSE))*1000,0)</f>
        <v>0</v>
      </c>
      <c r="Q427" s="141">
        <f>IFERROR((HLOOKUP($AH427,Target_monthwise!$D$4:$O$20,DTR!Q$4,FALSE))*1000,0)</f>
        <v>0</v>
      </c>
      <c r="R427" s="167">
        <f>IFERROR((HLOOKUP($AH427,Target_monthwise!$D$4:$O$20,DTR!R$4,FALSE))*1000,0)</f>
        <v>0</v>
      </c>
      <c r="S427" s="147">
        <f>IFERROR((HLOOKUP($AH427,Target_monthwise!$D$24:$O$40,DTR!S$4,FALSE)),0)</f>
        <v>0</v>
      </c>
      <c r="T427" s="147">
        <f>IFERROR((HLOOKUP($AH427,Target_monthwise!$D$24:$O$40,DTR!T$4,FALSE)),0)</f>
        <v>0</v>
      </c>
      <c r="U427" s="147">
        <f>IFERROR((HLOOKUP($AH427,Target_monthwise!$D$24:$O$40,DTR!U$4,FALSE)),0)</f>
        <v>0</v>
      </c>
      <c r="V427" s="147">
        <f>IFERROR((HLOOKUP($AH427,Target_monthwise!$D$24:$O$40,DTR!V$4,FALSE)),0)</f>
        <v>0</v>
      </c>
      <c r="W427" s="147">
        <f>IFERROR((HLOOKUP($AH427,Target_monthwise!$D$24:$O$40,DTR!W$4,FALSE)),0)</f>
        <v>0</v>
      </c>
      <c r="X427" s="147">
        <f>IFERROR((HLOOKUP($AH427,Target_monthwise!$D$24:$O$40,DTR!X$4,FALSE)),0)</f>
        <v>0</v>
      </c>
      <c r="Y427" s="147">
        <f>IFERROR((HLOOKUP($AH427,Target_monthwise!$D$24:$O$40,DTR!Y$4,FALSE)),0)</f>
        <v>0</v>
      </c>
      <c r="Z427" s="147">
        <f>IFERROR((HLOOKUP($AH427,Target_monthwise!$D$24:$O$40,DTR!Z$4,FALSE)),0)</f>
        <v>0</v>
      </c>
      <c r="AA427" s="147">
        <f>IFERROR((HLOOKUP($AH427,Target_monthwise!$D$24:$O$40,DTR!AA$4,FALSE)),0)</f>
        <v>0</v>
      </c>
      <c r="AB427" s="147">
        <f>IFERROR((HLOOKUP($AH427,Target_monthwise!$D$24:$O$40,DTR!AB$4,FALSE)),0)</f>
        <v>0</v>
      </c>
      <c r="AC427" s="147">
        <f>IFERROR((HLOOKUP($AH427,Target_monthwise!$D$24:$O$40,DTR!AC$4,FALSE)),0)</f>
        <v>0</v>
      </c>
      <c r="AD427" s="147">
        <f>IFERROR((HLOOKUP($AH427,Target_monthwise!$D$24:$O$40,DTR!AD$4,FALSE)),0)</f>
        <v>0</v>
      </c>
      <c r="AE427" s="147">
        <f>IFERROR((HLOOKUP($AH427,Target_monthwise!$D$24:$O$40,DTR!AE$4,FALSE)),0)</f>
        <v>0</v>
      </c>
      <c r="AF427" s="147">
        <f>IFERROR((HLOOKUP($AH427,Target_monthwise!$D$24:$O$40,DTR!AF$4,FALSE)),0)</f>
        <v>0</v>
      </c>
      <c r="AG427" s="172">
        <f>IFERROR((HLOOKUP($AH427,Target_monthwise!$D$24:$O$40,DTR!AG$4,FALSE)),0)</f>
        <v>0</v>
      </c>
      <c r="AH427" s="253">
        <f t="shared" si="6"/>
        <v>202305</v>
      </c>
    </row>
    <row r="428" spans="3:34" ht="15.75" hidden="1">
      <c r="C428" s="237">
        <v>45071</v>
      </c>
      <c r="D428" s="238">
        <f>IFERROR((HLOOKUP($AH428,Target_monthwise!$D$4:$O$20,DTR!D$4,FALSE))*1000,0)</f>
        <v>0</v>
      </c>
      <c r="E428" s="238">
        <f>IFERROR((HLOOKUP($AH428,Target_monthwise!$D$4:$O$20,DTR!E$4,FALSE))*1000,0)</f>
        <v>0</v>
      </c>
      <c r="F428" s="238">
        <f>IFERROR((HLOOKUP($AH428,Target_monthwise!$D$4:$O$20,DTR!F$4,FALSE))*1000,0)</f>
        <v>0</v>
      </c>
      <c r="G428" s="238">
        <f>IFERROR((HLOOKUP($AH428,Target_monthwise!$D$4:$O$20,DTR!G$4,FALSE))*1000,0)</f>
        <v>0</v>
      </c>
      <c r="H428" s="238">
        <f>IFERROR((HLOOKUP($AH428,Target_monthwise!$D$4:$O$20,DTR!H$4,FALSE))*1000,0)</f>
        <v>0</v>
      </c>
      <c r="I428" s="238">
        <f>IFERROR((HLOOKUP($AH428,Target_monthwise!$D$4:$O$20,DTR!I$4,FALSE))*1000,0)</f>
        <v>0</v>
      </c>
      <c r="J428" s="238">
        <f>IFERROR((HLOOKUP($AH428,Target_monthwise!$D$4:$O$20,DTR!J$4,FALSE))*1000,0)</f>
        <v>0</v>
      </c>
      <c r="K428" s="238">
        <f>IFERROR((HLOOKUP($AH428,Target_monthwise!$D$4:$O$20,DTR!K$4,FALSE))*1000,0)</f>
        <v>0</v>
      </c>
      <c r="L428" s="238">
        <f>IFERROR((HLOOKUP($AH428,Target_monthwise!$D$4:$O$20,DTR!L$4,FALSE))*1000,0)</f>
        <v>0</v>
      </c>
      <c r="M428" s="238">
        <f>IFERROR((HLOOKUP($AH428,Target_monthwise!$D$4:$O$20,DTR!M$4,FALSE))*1000,0)</f>
        <v>0</v>
      </c>
      <c r="N428" s="238">
        <f>IFERROR((HLOOKUP($AH428,Target_monthwise!$D$4:$O$20,DTR!N$4,FALSE))*1000,0)</f>
        <v>0</v>
      </c>
      <c r="O428" s="238">
        <f>IFERROR((HLOOKUP($AH428,Target_monthwise!$D$4:$O$20,DTR!O$4,FALSE))*1000,0)</f>
        <v>0</v>
      </c>
      <c r="P428" s="238">
        <f>IFERROR((HLOOKUP($AH428,Target_monthwise!$D$4:$O$20,DTR!P$4,FALSE))*1000,0)</f>
        <v>0</v>
      </c>
      <c r="Q428" s="141">
        <f>IFERROR((HLOOKUP($AH428,Target_monthwise!$D$4:$O$20,DTR!Q$4,FALSE))*1000,0)</f>
        <v>0</v>
      </c>
      <c r="R428" s="167">
        <f>IFERROR((HLOOKUP($AH428,Target_monthwise!$D$4:$O$20,DTR!R$4,FALSE))*1000,0)</f>
        <v>0</v>
      </c>
      <c r="S428" s="239">
        <f>IFERROR((HLOOKUP($AH428,Target_monthwise!$D$24:$O$40,DTR!S$4,FALSE)),0)</f>
        <v>0</v>
      </c>
      <c r="T428" s="239">
        <f>IFERROR((HLOOKUP($AH428,Target_monthwise!$D$24:$O$40,DTR!T$4,FALSE)),0)</f>
        <v>0</v>
      </c>
      <c r="U428" s="239">
        <f>IFERROR((HLOOKUP($AH428,Target_monthwise!$D$24:$O$40,DTR!U$4,FALSE)),0)</f>
        <v>0</v>
      </c>
      <c r="V428" s="239">
        <f>IFERROR((HLOOKUP($AH428,Target_monthwise!$D$24:$O$40,DTR!V$4,FALSE)),0)</f>
        <v>0</v>
      </c>
      <c r="W428" s="239">
        <f>IFERROR((HLOOKUP($AH428,Target_monthwise!$D$24:$O$40,DTR!W$4,FALSE)),0)</f>
        <v>0</v>
      </c>
      <c r="X428" s="239">
        <f>IFERROR((HLOOKUP($AH428,Target_monthwise!$D$24:$O$40,DTR!X$4,FALSE)),0)</f>
        <v>0</v>
      </c>
      <c r="Y428" s="239">
        <f>IFERROR((HLOOKUP($AH428,Target_monthwise!$D$24:$O$40,DTR!Y$4,FALSE)),0)</f>
        <v>0</v>
      </c>
      <c r="Z428" s="147">
        <f>IFERROR((HLOOKUP($AH428,Target_monthwise!$D$24:$O$40,DTR!Z$4,FALSE)),0)</f>
        <v>0</v>
      </c>
      <c r="AA428" s="147">
        <f>IFERROR((HLOOKUP($AH428,Target_monthwise!$D$24:$O$40,DTR!AA$4,FALSE)),0)</f>
        <v>0</v>
      </c>
      <c r="AB428" s="147">
        <f>IFERROR((HLOOKUP($AH428,Target_monthwise!$D$24:$O$40,DTR!AB$4,FALSE)),0)</f>
        <v>0</v>
      </c>
      <c r="AC428" s="239">
        <f>IFERROR((HLOOKUP($AH428,Target_monthwise!$D$24:$O$40,DTR!AC$4,FALSE)),0)</f>
        <v>0</v>
      </c>
      <c r="AD428" s="239">
        <f>IFERROR((HLOOKUP($AH428,Target_monthwise!$D$24:$O$40,DTR!AD$4,FALSE)),0)</f>
        <v>0</v>
      </c>
      <c r="AE428" s="239">
        <f>IFERROR((HLOOKUP($AH428,Target_monthwise!$D$24:$O$40,DTR!AE$4,FALSE)),0)</f>
        <v>0</v>
      </c>
      <c r="AF428" s="239">
        <f>IFERROR((HLOOKUP($AH428,Target_monthwise!$D$24:$O$40,DTR!AF$4,FALSE)),0)</f>
        <v>0</v>
      </c>
      <c r="AG428" s="172">
        <f>IFERROR((HLOOKUP($AH428,Target_monthwise!$D$24:$O$40,DTR!AG$4,FALSE)),0)</f>
        <v>0</v>
      </c>
      <c r="AH428" s="253">
        <f t="shared" si="6"/>
        <v>202305</v>
      </c>
    </row>
    <row r="429" spans="3:34" ht="15.75" hidden="1">
      <c r="C429" s="235">
        <v>45072</v>
      </c>
      <c r="D429" s="141">
        <f>IFERROR((HLOOKUP($AH429,Target_monthwise!$D$4:$O$20,DTR!D$4,FALSE))*1000,0)</f>
        <v>0</v>
      </c>
      <c r="E429" s="141">
        <f>IFERROR((HLOOKUP($AH429,Target_monthwise!$D$4:$O$20,DTR!E$4,FALSE))*1000,0)</f>
        <v>0</v>
      </c>
      <c r="F429" s="141">
        <f>IFERROR((HLOOKUP($AH429,Target_monthwise!$D$4:$O$20,DTR!F$4,FALSE))*1000,0)</f>
        <v>0</v>
      </c>
      <c r="G429" s="141">
        <f>IFERROR((HLOOKUP($AH429,Target_monthwise!$D$4:$O$20,DTR!G$4,FALSE))*1000,0)</f>
        <v>0</v>
      </c>
      <c r="H429" s="141">
        <f>IFERROR((HLOOKUP($AH429,Target_monthwise!$D$4:$O$20,DTR!H$4,FALSE))*1000,0)</f>
        <v>0</v>
      </c>
      <c r="I429" s="141">
        <f>IFERROR((HLOOKUP($AH429,Target_monthwise!$D$4:$O$20,DTR!I$4,FALSE))*1000,0)</f>
        <v>0</v>
      </c>
      <c r="J429" s="141">
        <f>IFERROR((HLOOKUP($AH429,Target_monthwise!$D$4:$O$20,DTR!J$4,FALSE))*1000,0)</f>
        <v>0</v>
      </c>
      <c r="K429" s="141">
        <f>IFERROR((HLOOKUP($AH429,Target_monthwise!$D$4:$O$20,DTR!K$4,FALSE))*1000,0)</f>
        <v>0</v>
      </c>
      <c r="L429" s="141">
        <f>IFERROR((HLOOKUP($AH429,Target_monthwise!$D$4:$O$20,DTR!L$4,FALSE))*1000,0)</f>
        <v>0</v>
      </c>
      <c r="M429" s="141">
        <f>IFERROR((HLOOKUP($AH429,Target_monthwise!$D$4:$O$20,DTR!M$4,FALSE))*1000,0)</f>
        <v>0</v>
      </c>
      <c r="N429" s="141">
        <f>IFERROR((HLOOKUP($AH429,Target_monthwise!$D$4:$O$20,DTR!N$4,FALSE))*1000,0)</f>
        <v>0</v>
      </c>
      <c r="O429" s="141">
        <f>IFERROR((HLOOKUP($AH429,Target_monthwise!$D$4:$O$20,DTR!O$4,FALSE))*1000,0)</f>
        <v>0</v>
      </c>
      <c r="P429" s="141">
        <f>IFERROR((HLOOKUP($AH429,Target_monthwise!$D$4:$O$20,DTR!P$4,FALSE))*1000,0)</f>
        <v>0</v>
      </c>
      <c r="Q429" s="141">
        <f>IFERROR((HLOOKUP($AH429,Target_monthwise!$D$4:$O$20,DTR!Q$4,FALSE))*1000,0)</f>
        <v>0</v>
      </c>
      <c r="R429" s="167">
        <f>IFERROR((HLOOKUP($AH429,Target_monthwise!$D$4:$O$20,DTR!R$4,FALSE))*1000,0)</f>
        <v>0</v>
      </c>
      <c r="S429" s="147">
        <f>IFERROR((HLOOKUP($AH429,Target_monthwise!$D$24:$O$40,DTR!S$4,FALSE)),0)</f>
        <v>0</v>
      </c>
      <c r="T429" s="147">
        <f>IFERROR((HLOOKUP($AH429,Target_monthwise!$D$24:$O$40,DTR!T$4,FALSE)),0)</f>
        <v>0</v>
      </c>
      <c r="U429" s="147">
        <f>IFERROR((HLOOKUP($AH429,Target_monthwise!$D$24:$O$40,DTR!U$4,FALSE)),0)</f>
        <v>0</v>
      </c>
      <c r="V429" s="147">
        <f>IFERROR((HLOOKUP($AH429,Target_monthwise!$D$24:$O$40,DTR!V$4,FALSE)),0)</f>
        <v>0</v>
      </c>
      <c r="W429" s="147">
        <f>IFERROR((HLOOKUP($AH429,Target_monthwise!$D$24:$O$40,DTR!W$4,FALSE)),0)</f>
        <v>0</v>
      </c>
      <c r="X429" s="147">
        <f>IFERROR((HLOOKUP($AH429,Target_monthwise!$D$24:$O$40,DTR!X$4,FALSE)),0)</f>
        <v>0</v>
      </c>
      <c r="Y429" s="147">
        <f>IFERROR((HLOOKUP($AH429,Target_monthwise!$D$24:$O$40,DTR!Y$4,FALSE)),0)</f>
        <v>0</v>
      </c>
      <c r="Z429" s="147">
        <f>IFERROR((HLOOKUP($AH429,Target_monthwise!$D$24:$O$40,DTR!Z$4,FALSE)),0)</f>
        <v>0</v>
      </c>
      <c r="AA429" s="147">
        <f>IFERROR((HLOOKUP($AH429,Target_monthwise!$D$24:$O$40,DTR!AA$4,FALSE)),0)</f>
        <v>0</v>
      </c>
      <c r="AB429" s="147">
        <f>IFERROR((HLOOKUP($AH429,Target_monthwise!$D$24:$O$40,DTR!AB$4,FALSE)),0)</f>
        <v>0</v>
      </c>
      <c r="AC429" s="147">
        <f>IFERROR((HLOOKUP($AH429,Target_monthwise!$D$24:$O$40,DTR!AC$4,FALSE)),0)</f>
        <v>0</v>
      </c>
      <c r="AD429" s="147">
        <f>IFERROR((HLOOKUP($AH429,Target_monthwise!$D$24:$O$40,DTR!AD$4,FALSE)),0)</f>
        <v>0</v>
      </c>
      <c r="AE429" s="147">
        <f>IFERROR((HLOOKUP($AH429,Target_monthwise!$D$24:$O$40,DTR!AE$4,FALSE)),0)</f>
        <v>0</v>
      </c>
      <c r="AF429" s="147">
        <f>IFERROR((HLOOKUP($AH429,Target_monthwise!$D$24:$O$40,DTR!AF$4,FALSE)),0)</f>
        <v>0</v>
      </c>
      <c r="AG429" s="172">
        <f>IFERROR((HLOOKUP($AH429,Target_monthwise!$D$24:$O$40,DTR!AG$4,FALSE)),0)</f>
        <v>0</v>
      </c>
      <c r="AH429" s="253">
        <f t="shared" si="6"/>
        <v>202305</v>
      </c>
    </row>
    <row r="430" spans="3:34" ht="15.75" hidden="1">
      <c r="C430" s="237">
        <v>45073</v>
      </c>
      <c r="D430" s="238">
        <f>IFERROR((HLOOKUP($AH430,Target_monthwise!$D$4:$O$20,DTR!D$4,FALSE))*1000,0)</f>
        <v>0</v>
      </c>
      <c r="E430" s="238">
        <f>IFERROR((HLOOKUP($AH430,Target_monthwise!$D$4:$O$20,DTR!E$4,FALSE))*1000,0)</f>
        <v>0</v>
      </c>
      <c r="F430" s="238">
        <f>IFERROR((HLOOKUP($AH430,Target_monthwise!$D$4:$O$20,DTR!F$4,FALSE))*1000,0)</f>
        <v>0</v>
      </c>
      <c r="G430" s="238">
        <f>IFERROR((HLOOKUP($AH430,Target_monthwise!$D$4:$O$20,DTR!G$4,FALSE))*1000,0)</f>
        <v>0</v>
      </c>
      <c r="H430" s="238">
        <f>IFERROR((HLOOKUP($AH430,Target_monthwise!$D$4:$O$20,DTR!H$4,FALSE))*1000,0)</f>
        <v>0</v>
      </c>
      <c r="I430" s="238">
        <f>IFERROR((HLOOKUP($AH430,Target_monthwise!$D$4:$O$20,DTR!I$4,FALSE))*1000,0)</f>
        <v>0</v>
      </c>
      <c r="J430" s="238">
        <f>IFERROR((HLOOKUP($AH430,Target_monthwise!$D$4:$O$20,DTR!J$4,FALSE))*1000,0)</f>
        <v>0</v>
      </c>
      <c r="K430" s="238">
        <f>IFERROR((HLOOKUP($AH430,Target_monthwise!$D$4:$O$20,DTR!K$4,FALSE))*1000,0)</f>
        <v>0</v>
      </c>
      <c r="L430" s="238">
        <f>IFERROR((HLOOKUP($AH430,Target_monthwise!$D$4:$O$20,DTR!L$4,FALSE))*1000,0)</f>
        <v>0</v>
      </c>
      <c r="M430" s="238">
        <f>IFERROR((HLOOKUP($AH430,Target_monthwise!$D$4:$O$20,DTR!M$4,FALSE))*1000,0)</f>
        <v>0</v>
      </c>
      <c r="N430" s="238">
        <f>IFERROR((HLOOKUP($AH430,Target_monthwise!$D$4:$O$20,DTR!N$4,FALSE))*1000,0)</f>
        <v>0</v>
      </c>
      <c r="O430" s="238">
        <f>IFERROR((HLOOKUP($AH430,Target_monthwise!$D$4:$O$20,DTR!O$4,FALSE))*1000,0)</f>
        <v>0</v>
      </c>
      <c r="P430" s="238">
        <f>IFERROR((HLOOKUP($AH430,Target_monthwise!$D$4:$O$20,DTR!P$4,FALSE))*1000,0)</f>
        <v>0</v>
      </c>
      <c r="Q430" s="141">
        <f>IFERROR((HLOOKUP($AH430,Target_monthwise!$D$4:$O$20,DTR!Q$4,FALSE))*1000,0)</f>
        <v>0</v>
      </c>
      <c r="R430" s="167">
        <f>IFERROR((HLOOKUP($AH430,Target_monthwise!$D$4:$O$20,DTR!R$4,FALSE))*1000,0)</f>
        <v>0</v>
      </c>
      <c r="S430" s="239">
        <f>IFERROR((HLOOKUP($AH430,Target_monthwise!$D$24:$O$40,DTR!S$4,FALSE)),0)</f>
        <v>0</v>
      </c>
      <c r="T430" s="239">
        <f>IFERROR((HLOOKUP($AH430,Target_monthwise!$D$24:$O$40,DTR!T$4,FALSE)),0)</f>
        <v>0</v>
      </c>
      <c r="U430" s="239">
        <f>IFERROR((HLOOKUP($AH430,Target_monthwise!$D$24:$O$40,DTR!U$4,FALSE)),0)</f>
        <v>0</v>
      </c>
      <c r="V430" s="239">
        <f>IFERROR((HLOOKUP($AH430,Target_monthwise!$D$24:$O$40,DTR!V$4,FALSE)),0)</f>
        <v>0</v>
      </c>
      <c r="W430" s="239">
        <f>IFERROR((HLOOKUP($AH430,Target_monthwise!$D$24:$O$40,DTR!W$4,FALSE)),0)</f>
        <v>0</v>
      </c>
      <c r="X430" s="239">
        <f>IFERROR((HLOOKUP($AH430,Target_monthwise!$D$24:$O$40,DTR!X$4,FALSE)),0)</f>
        <v>0</v>
      </c>
      <c r="Y430" s="239">
        <f>IFERROR((HLOOKUP($AH430,Target_monthwise!$D$24:$O$40,DTR!Y$4,FALSE)),0)</f>
        <v>0</v>
      </c>
      <c r="Z430" s="147">
        <f>IFERROR((HLOOKUP($AH430,Target_monthwise!$D$24:$O$40,DTR!Z$4,FALSE)),0)</f>
        <v>0</v>
      </c>
      <c r="AA430" s="147">
        <f>IFERROR((HLOOKUP($AH430,Target_monthwise!$D$24:$O$40,DTR!AA$4,FALSE)),0)</f>
        <v>0</v>
      </c>
      <c r="AB430" s="147">
        <f>IFERROR((HLOOKUP($AH430,Target_monthwise!$D$24:$O$40,DTR!AB$4,FALSE)),0)</f>
        <v>0</v>
      </c>
      <c r="AC430" s="239">
        <f>IFERROR((HLOOKUP($AH430,Target_monthwise!$D$24:$O$40,DTR!AC$4,FALSE)),0)</f>
        <v>0</v>
      </c>
      <c r="AD430" s="239">
        <f>IFERROR((HLOOKUP($AH430,Target_monthwise!$D$24:$O$40,DTR!AD$4,FALSE)),0)</f>
        <v>0</v>
      </c>
      <c r="AE430" s="239">
        <f>IFERROR((HLOOKUP($AH430,Target_monthwise!$D$24:$O$40,DTR!AE$4,FALSE)),0)</f>
        <v>0</v>
      </c>
      <c r="AF430" s="239">
        <f>IFERROR((HLOOKUP($AH430,Target_monthwise!$D$24:$O$40,DTR!AF$4,FALSE)),0)</f>
        <v>0</v>
      </c>
      <c r="AG430" s="172">
        <f>IFERROR((HLOOKUP($AH430,Target_monthwise!$D$24:$O$40,DTR!AG$4,FALSE)),0)</f>
        <v>0</v>
      </c>
      <c r="AH430" s="253">
        <f t="shared" si="6"/>
        <v>202305</v>
      </c>
    </row>
    <row r="431" spans="3:34" ht="15.75" hidden="1">
      <c r="C431" s="235">
        <v>45074</v>
      </c>
      <c r="D431" s="141">
        <f>IFERROR((HLOOKUP($AH431,Target_monthwise!$D$4:$O$20,DTR!D$4,FALSE))*1000,0)</f>
        <v>0</v>
      </c>
      <c r="E431" s="141">
        <f>IFERROR((HLOOKUP($AH431,Target_monthwise!$D$4:$O$20,DTR!E$4,FALSE))*1000,0)</f>
        <v>0</v>
      </c>
      <c r="F431" s="141">
        <f>IFERROR((HLOOKUP($AH431,Target_monthwise!$D$4:$O$20,DTR!F$4,FALSE))*1000,0)</f>
        <v>0</v>
      </c>
      <c r="G431" s="141">
        <f>IFERROR((HLOOKUP($AH431,Target_monthwise!$D$4:$O$20,DTR!G$4,FALSE))*1000,0)</f>
        <v>0</v>
      </c>
      <c r="H431" s="141">
        <f>IFERROR((HLOOKUP($AH431,Target_monthwise!$D$4:$O$20,DTR!H$4,FALSE))*1000,0)</f>
        <v>0</v>
      </c>
      <c r="I431" s="141">
        <f>IFERROR((HLOOKUP($AH431,Target_monthwise!$D$4:$O$20,DTR!I$4,FALSE))*1000,0)</f>
        <v>0</v>
      </c>
      <c r="J431" s="141">
        <f>IFERROR((HLOOKUP($AH431,Target_monthwise!$D$4:$O$20,DTR!J$4,FALSE))*1000,0)</f>
        <v>0</v>
      </c>
      <c r="K431" s="141">
        <f>IFERROR((HLOOKUP($AH431,Target_monthwise!$D$4:$O$20,DTR!K$4,FALSE))*1000,0)</f>
        <v>0</v>
      </c>
      <c r="L431" s="141">
        <f>IFERROR((HLOOKUP($AH431,Target_monthwise!$D$4:$O$20,DTR!L$4,FALSE))*1000,0)</f>
        <v>0</v>
      </c>
      <c r="M431" s="141">
        <f>IFERROR((HLOOKUP($AH431,Target_monthwise!$D$4:$O$20,DTR!M$4,FALSE))*1000,0)</f>
        <v>0</v>
      </c>
      <c r="N431" s="141">
        <f>IFERROR((HLOOKUP($AH431,Target_monthwise!$D$4:$O$20,DTR!N$4,FALSE))*1000,0)</f>
        <v>0</v>
      </c>
      <c r="O431" s="141">
        <f>IFERROR((HLOOKUP($AH431,Target_monthwise!$D$4:$O$20,DTR!O$4,FALSE))*1000,0)</f>
        <v>0</v>
      </c>
      <c r="P431" s="141">
        <f>IFERROR((HLOOKUP($AH431,Target_monthwise!$D$4:$O$20,DTR!P$4,FALSE))*1000,0)</f>
        <v>0</v>
      </c>
      <c r="Q431" s="141">
        <f>IFERROR((HLOOKUP($AH431,Target_monthwise!$D$4:$O$20,DTR!Q$4,FALSE))*1000,0)</f>
        <v>0</v>
      </c>
      <c r="R431" s="167">
        <f>IFERROR((HLOOKUP($AH431,Target_monthwise!$D$4:$O$20,DTR!R$4,FALSE))*1000,0)</f>
        <v>0</v>
      </c>
      <c r="S431" s="147">
        <f>IFERROR((HLOOKUP($AH431,Target_monthwise!$D$24:$O$40,DTR!S$4,FALSE)),0)</f>
        <v>0</v>
      </c>
      <c r="T431" s="147">
        <f>IFERROR((HLOOKUP($AH431,Target_monthwise!$D$24:$O$40,DTR!T$4,FALSE)),0)</f>
        <v>0</v>
      </c>
      <c r="U431" s="147">
        <f>IFERROR((HLOOKUP($AH431,Target_monthwise!$D$24:$O$40,DTR!U$4,FALSE)),0)</f>
        <v>0</v>
      </c>
      <c r="V431" s="147">
        <f>IFERROR((HLOOKUP($AH431,Target_monthwise!$D$24:$O$40,DTR!V$4,FALSE)),0)</f>
        <v>0</v>
      </c>
      <c r="W431" s="147">
        <f>IFERROR((HLOOKUP($AH431,Target_monthwise!$D$24:$O$40,DTR!W$4,FALSE)),0)</f>
        <v>0</v>
      </c>
      <c r="X431" s="147">
        <f>IFERROR((HLOOKUP($AH431,Target_monthwise!$D$24:$O$40,DTR!X$4,FALSE)),0)</f>
        <v>0</v>
      </c>
      <c r="Y431" s="147">
        <f>IFERROR((HLOOKUP($AH431,Target_monthwise!$D$24:$O$40,DTR!Y$4,FALSE)),0)</f>
        <v>0</v>
      </c>
      <c r="Z431" s="147">
        <f>IFERROR((HLOOKUP($AH431,Target_monthwise!$D$24:$O$40,DTR!Z$4,FALSE)),0)</f>
        <v>0</v>
      </c>
      <c r="AA431" s="147">
        <f>IFERROR((HLOOKUP($AH431,Target_monthwise!$D$24:$O$40,DTR!AA$4,FALSE)),0)</f>
        <v>0</v>
      </c>
      <c r="AB431" s="147">
        <f>IFERROR((HLOOKUP($AH431,Target_monthwise!$D$24:$O$40,DTR!AB$4,FALSE)),0)</f>
        <v>0</v>
      </c>
      <c r="AC431" s="147">
        <f>IFERROR((HLOOKUP($AH431,Target_monthwise!$D$24:$O$40,DTR!AC$4,FALSE)),0)</f>
        <v>0</v>
      </c>
      <c r="AD431" s="147">
        <f>IFERROR((HLOOKUP($AH431,Target_monthwise!$D$24:$O$40,DTR!AD$4,FALSE)),0)</f>
        <v>0</v>
      </c>
      <c r="AE431" s="147">
        <f>IFERROR((HLOOKUP($AH431,Target_monthwise!$D$24:$O$40,DTR!AE$4,FALSE)),0)</f>
        <v>0</v>
      </c>
      <c r="AF431" s="147">
        <f>IFERROR((HLOOKUP($AH431,Target_monthwise!$D$24:$O$40,DTR!AF$4,FALSE)),0)</f>
        <v>0</v>
      </c>
      <c r="AG431" s="172">
        <f>IFERROR((HLOOKUP($AH431,Target_monthwise!$D$24:$O$40,DTR!AG$4,FALSE)),0)</f>
        <v>0</v>
      </c>
      <c r="AH431" s="253">
        <f t="shared" si="6"/>
        <v>202305</v>
      </c>
    </row>
    <row r="432" spans="3:34" ht="15.75" hidden="1">
      <c r="C432" s="237">
        <v>45075</v>
      </c>
      <c r="D432" s="238">
        <f>IFERROR((HLOOKUP($AH432,Target_monthwise!$D$4:$O$20,DTR!D$4,FALSE))*1000,0)</f>
        <v>0</v>
      </c>
      <c r="E432" s="238">
        <f>IFERROR((HLOOKUP($AH432,Target_monthwise!$D$4:$O$20,DTR!E$4,FALSE))*1000,0)</f>
        <v>0</v>
      </c>
      <c r="F432" s="238">
        <f>IFERROR((HLOOKUP($AH432,Target_monthwise!$D$4:$O$20,DTR!F$4,FALSE))*1000,0)</f>
        <v>0</v>
      </c>
      <c r="G432" s="238">
        <f>IFERROR((HLOOKUP($AH432,Target_monthwise!$D$4:$O$20,DTR!G$4,FALSE))*1000,0)</f>
        <v>0</v>
      </c>
      <c r="H432" s="238">
        <f>IFERROR((HLOOKUP($AH432,Target_monthwise!$D$4:$O$20,DTR!H$4,FALSE))*1000,0)</f>
        <v>0</v>
      </c>
      <c r="I432" s="238">
        <f>IFERROR((HLOOKUP($AH432,Target_monthwise!$D$4:$O$20,DTR!I$4,FALSE))*1000,0)</f>
        <v>0</v>
      </c>
      <c r="J432" s="238">
        <f>IFERROR((HLOOKUP($AH432,Target_monthwise!$D$4:$O$20,DTR!J$4,FALSE))*1000,0)</f>
        <v>0</v>
      </c>
      <c r="K432" s="238">
        <f>IFERROR((HLOOKUP($AH432,Target_monthwise!$D$4:$O$20,DTR!K$4,FALSE))*1000,0)</f>
        <v>0</v>
      </c>
      <c r="L432" s="238">
        <f>IFERROR((HLOOKUP($AH432,Target_monthwise!$D$4:$O$20,DTR!L$4,FALSE))*1000,0)</f>
        <v>0</v>
      </c>
      <c r="M432" s="238">
        <f>IFERROR((HLOOKUP($AH432,Target_monthwise!$D$4:$O$20,DTR!M$4,FALSE))*1000,0)</f>
        <v>0</v>
      </c>
      <c r="N432" s="238">
        <f>IFERROR((HLOOKUP($AH432,Target_monthwise!$D$4:$O$20,DTR!N$4,FALSE))*1000,0)</f>
        <v>0</v>
      </c>
      <c r="O432" s="238">
        <f>IFERROR((HLOOKUP($AH432,Target_monthwise!$D$4:$O$20,DTR!O$4,FALSE))*1000,0)</f>
        <v>0</v>
      </c>
      <c r="P432" s="238">
        <f>IFERROR((HLOOKUP($AH432,Target_monthwise!$D$4:$O$20,DTR!P$4,FALSE))*1000,0)</f>
        <v>0</v>
      </c>
      <c r="Q432" s="141">
        <f>IFERROR((HLOOKUP($AH432,Target_monthwise!$D$4:$O$20,DTR!Q$4,FALSE))*1000,0)</f>
        <v>0</v>
      </c>
      <c r="R432" s="167">
        <f>IFERROR((HLOOKUP($AH432,Target_monthwise!$D$4:$O$20,DTR!R$4,FALSE))*1000,0)</f>
        <v>0</v>
      </c>
      <c r="S432" s="239">
        <f>IFERROR((HLOOKUP($AH432,Target_monthwise!$D$24:$O$40,DTR!S$4,FALSE)),0)</f>
        <v>0</v>
      </c>
      <c r="T432" s="239">
        <f>IFERROR((HLOOKUP($AH432,Target_monthwise!$D$24:$O$40,DTR!T$4,FALSE)),0)</f>
        <v>0</v>
      </c>
      <c r="U432" s="239">
        <f>IFERROR((HLOOKUP($AH432,Target_monthwise!$D$24:$O$40,DTR!U$4,FALSE)),0)</f>
        <v>0</v>
      </c>
      <c r="V432" s="239">
        <f>IFERROR((HLOOKUP($AH432,Target_monthwise!$D$24:$O$40,DTR!V$4,FALSE)),0)</f>
        <v>0</v>
      </c>
      <c r="W432" s="239">
        <f>IFERROR((HLOOKUP($AH432,Target_monthwise!$D$24:$O$40,DTR!W$4,FALSE)),0)</f>
        <v>0</v>
      </c>
      <c r="X432" s="239">
        <f>IFERROR((HLOOKUP($AH432,Target_monthwise!$D$24:$O$40,DTR!X$4,FALSE)),0)</f>
        <v>0</v>
      </c>
      <c r="Y432" s="239">
        <f>IFERROR((HLOOKUP($AH432,Target_monthwise!$D$24:$O$40,DTR!Y$4,FALSE)),0)</f>
        <v>0</v>
      </c>
      <c r="Z432" s="147">
        <f>IFERROR((HLOOKUP($AH432,Target_monthwise!$D$24:$O$40,DTR!Z$4,FALSE)),0)</f>
        <v>0</v>
      </c>
      <c r="AA432" s="147">
        <f>IFERROR((HLOOKUP($AH432,Target_monthwise!$D$24:$O$40,DTR!AA$4,FALSE)),0)</f>
        <v>0</v>
      </c>
      <c r="AB432" s="147">
        <f>IFERROR((HLOOKUP($AH432,Target_monthwise!$D$24:$O$40,DTR!AB$4,FALSE)),0)</f>
        <v>0</v>
      </c>
      <c r="AC432" s="239">
        <f>IFERROR((HLOOKUP($AH432,Target_monthwise!$D$24:$O$40,DTR!AC$4,FALSE)),0)</f>
        <v>0</v>
      </c>
      <c r="AD432" s="239">
        <f>IFERROR((HLOOKUP($AH432,Target_monthwise!$D$24:$O$40,DTR!AD$4,FALSE)),0)</f>
        <v>0</v>
      </c>
      <c r="AE432" s="239">
        <f>IFERROR((HLOOKUP($AH432,Target_monthwise!$D$24:$O$40,DTR!AE$4,FALSE)),0)</f>
        <v>0</v>
      </c>
      <c r="AF432" s="239">
        <f>IFERROR((HLOOKUP($AH432,Target_monthwise!$D$24:$O$40,DTR!AF$4,FALSE)),0)</f>
        <v>0</v>
      </c>
      <c r="AG432" s="172">
        <f>IFERROR((HLOOKUP($AH432,Target_monthwise!$D$24:$O$40,DTR!AG$4,FALSE)),0)</f>
        <v>0</v>
      </c>
      <c r="AH432" s="253">
        <f t="shared" si="6"/>
        <v>202305</v>
      </c>
    </row>
    <row r="433" spans="3:34" ht="15.75" hidden="1">
      <c r="C433" s="235">
        <v>45076</v>
      </c>
      <c r="D433" s="141">
        <f>IFERROR((HLOOKUP($AH433,Target_monthwise!$D$4:$O$20,DTR!D$4,FALSE))*1000,0)</f>
        <v>0</v>
      </c>
      <c r="E433" s="141">
        <f>IFERROR((HLOOKUP($AH433,Target_monthwise!$D$4:$O$20,DTR!E$4,FALSE))*1000,0)</f>
        <v>0</v>
      </c>
      <c r="F433" s="141">
        <f>IFERROR((HLOOKUP($AH433,Target_monthwise!$D$4:$O$20,DTR!F$4,FALSE))*1000,0)</f>
        <v>0</v>
      </c>
      <c r="G433" s="141">
        <f>IFERROR((HLOOKUP($AH433,Target_monthwise!$D$4:$O$20,DTR!G$4,FALSE))*1000,0)</f>
        <v>0</v>
      </c>
      <c r="H433" s="141">
        <f>IFERROR((HLOOKUP($AH433,Target_monthwise!$D$4:$O$20,DTR!H$4,FALSE))*1000,0)</f>
        <v>0</v>
      </c>
      <c r="I433" s="141">
        <f>IFERROR((HLOOKUP($AH433,Target_monthwise!$D$4:$O$20,DTR!I$4,FALSE))*1000,0)</f>
        <v>0</v>
      </c>
      <c r="J433" s="141">
        <f>IFERROR((HLOOKUP($AH433,Target_monthwise!$D$4:$O$20,DTR!J$4,FALSE))*1000,0)</f>
        <v>0</v>
      </c>
      <c r="K433" s="141">
        <f>IFERROR((HLOOKUP($AH433,Target_monthwise!$D$4:$O$20,DTR!K$4,FALSE))*1000,0)</f>
        <v>0</v>
      </c>
      <c r="L433" s="141">
        <f>IFERROR((HLOOKUP($AH433,Target_monthwise!$D$4:$O$20,DTR!L$4,FALSE))*1000,0)</f>
        <v>0</v>
      </c>
      <c r="M433" s="141">
        <f>IFERROR((HLOOKUP($AH433,Target_monthwise!$D$4:$O$20,DTR!M$4,FALSE))*1000,0)</f>
        <v>0</v>
      </c>
      <c r="N433" s="141">
        <f>IFERROR((HLOOKUP($AH433,Target_monthwise!$D$4:$O$20,DTR!N$4,FALSE))*1000,0)</f>
        <v>0</v>
      </c>
      <c r="O433" s="141">
        <f>IFERROR((HLOOKUP($AH433,Target_monthwise!$D$4:$O$20,DTR!O$4,FALSE))*1000,0)</f>
        <v>0</v>
      </c>
      <c r="P433" s="141">
        <f>IFERROR((HLOOKUP($AH433,Target_monthwise!$D$4:$O$20,DTR!P$4,FALSE))*1000,0)</f>
        <v>0</v>
      </c>
      <c r="Q433" s="141">
        <f>IFERROR((HLOOKUP($AH433,Target_monthwise!$D$4:$O$20,DTR!Q$4,FALSE))*1000,0)</f>
        <v>0</v>
      </c>
      <c r="R433" s="167">
        <f>IFERROR((HLOOKUP($AH433,Target_monthwise!$D$4:$O$20,DTR!R$4,FALSE))*1000,0)</f>
        <v>0</v>
      </c>
      <c r="S433" s="147">
        <f>IFERROR((HLOOKUP($AH433,Target_monthwise!$D$24:$O$40,DTR!S$4,FALSE)),0)</f>
        <v>0</v>
      </c>
      <c r="T433" s="147">
        <f>IFERROR((HLOOKUP($AH433,Target_monthwise!$D$24:$O$40,DTR!T$4,FALSE)),0)</f>
        <v>0</v>
      </c>
      <c r="U433" s="147">
        <f>IFERROR((HLOOKUP($AH433,Target_monthwise!$D$24:$O$40,DTR!U$4,FALSE)),0)</f>
        <v>0</v>
      </c>
      <c r="V433" s="147">
        <f>IFERROR((HLOOKUP($AH433,Target_monthwise!$D$24:$O$40,DTR!V$4,FALSE)),0)</f>
        <v>0</v>
      </c>
      <c r="W433" s="147">
        <f>IFERROR((HLOOKUP($AH433,Target_monthwise!$D$24:$O$40,DTR!W$4,FALSE)),0)</f>
        <v>0</v>
      </c>
      <c r="X433" s="147">
        <f>IFERROR((HLOOKUP($AH433,Target_monthwise!$D$24:$O$40,DTR!X$4,FALSE)),0)</f>
        <v>0</v>
      </c>
      <c r="Y433" s="147">
        <f>IFERROR((HLOOKUP($AH433,Target_monthwise!$D$24:$O$40,DTR!Y$4,FALSE)),0)</f>
        <v>0</v>
      </c>
      <c r="Z433" s="147">
        <f>IFERROR((HLOOKUP($AH433,Target_monthwise!$D$24:$O$40,DTR!Z$4,FALSE)),0)</f>
        <v>0</v>
      </c>
      <c r="AA433" s="147">
        <f>IFERROR((HLOOKUP($AH433,Target_monthwise!$D$24:$O$40,DTR!AA$4,FALSE)),0)</f>
        <v>0</v>
      </c>
      <c r="AB433" s="147">
        <f>IFERROR((HLOOKUP($AH433,Target_monthwise!$D$24:$O$40,DTR!AB$4,FALSE)),0)</f>
        <v>0</v>
      </c>
      <c r="AC433" s="147">
        <f>IFERROR((HLOOKUP($AH433,Target_monthwise!$D$24:$O$40,DTR!AC$4,FALSE)),0)</f>
        <v>0</v>
      </c>
      <c r="AD433" s="147">
        <f>IFERROR((HLOOKUP($AH433,Target_monthwise!$D$24:$O$40,DTR!AD$4,FALSE)),0)</f>
        <v>0</v>
      </c>
      <c r="AE433" s="147">
        <f>IFERROR((HLOOKUP($AH433,Target_monthwise!$D$24:$O$40,DTR!AE$4,FALSE)),0)</f>
        <v>0</v>
      </c>
      <c r="AF433" s="147">
        <f>IFERROR((HLOOKUP($AH433,Target_monthwise!$D$24:$O$40,DTR!AF$4,FALSE)),0)</f>
        <v>0</v>
      </c>
      <c r="AG433" s="172">
        <f>IFERROR((HLOOKUP($AH433,Target_monthwise!$D$24:$O$40,DTR!AG$4,FALSE)),0)</f>
        <v>0</v>
      </c>
      <c r="AH433" s="253">
        <f t="shared" si="6"/>
        <v>202305</v>
      </c>
    </row>
    <row r="434" spans="3:34" ht="15.75" hidden="1">
      <c r="C434" s="237">
        <v>45077</v>
      </c>
      <c r="D434" s="238">
        <f>IFERROR((HLOOKUP($AH434,Target_monthwise!$D$4:$O$20,DTR!D$4,FALSE))*1000,0)</f>
        <v>0</v>
      </c>
      <c r="E434" s="238">
        <f>IFERROR((HLOOKUP($AH434,Target_monthwise!$D$4:$O$20,DTR!E$4,FALSE))*1000,0)</f>
        <v>0</v>
      </c>
      <c r="F434" s="238">
        <f>IFERROR((HLOOKUP($AH434,Target_monthwise!$D$4:$O$20,DTR!F$4,FALSE))*1000,0)</f>
        <v>0</v>
      </c>
      <c r="G434" s="238">
        <f>IFERROR((HLOOKUP($AH434,Target_monthwise!$D$4:$O$20,DTR!G$4,FALSE))*1000,0)</f>
        <v>0</v>
      </c>
      <c r="H434" s="238">
        <f>IFERROR((HLOOKUP($AH434,Target_monthwise!$D$4:$O$20,DTR!H$4,FALSE))*1000,0)</f>
        <v>0</v>
      </c>
      <c r="I434" s="238">
        <f>IFERROR((HLOOKUP($AH434,Target_monthwise!$D$4:$O$20,DTR!I$4,FALSE))*1000,0)</f>
        <v>0</v>
      </c>
      <c r="J434" s="238">
        <f>IFERROR((HLOOKUP($AH434,Target_monthwise!$D$4:$O$20,DTR!J$4,FALSE))*1000,0)</f>
        <v>0</v>
      </c>
      <c r="K434" s="238">
        <f>IFERROR((HLOOKUP($AH434,Target_monthwise!$D$4:$O$20,DTR!K$4,FALSE))*1000,0)</f>
        <v>0</v>
      </c>
      <c r="L434" s="238">
        <f>IFERROR((HLOOKUP($AH434,Target_monthwise!$D$4:$O$20,DTR!L$4,FALSE))*1000,0)</f>
        <v>0</v>
      </c>
      <c r="M434" s="238">
        <f>IFERROR((HLOOKUP($AH434,Target_monthwise!$D$4:$O$20,DTR!M$4,FALSE))*1000,0)</f>
        <v>0</v>
      </c>
      <c r="N434" s="238">
        <f>IFERROR((HLOOKUP($AH434,Target_monthwise!$D$4:$O$20,DTR!N$4,FALSE))*1000,0)</f>
        <v>0</v>
      </c>
      <c r="O434" s="238">
        <f>IFERROR((HLOOKUP($AH434,Target_monthwise!$D$4:$O$20,DTR!O$4,FALSE))*1000,0)</f>
        <v>0</v>
      </c>
      <c r="P434" s="238">
        <f>IFERROR((HLOOKUP($AH434,Target_monthwise!$D$4:$O$20,DTR!P$4,FALSE))*1000,0)</f>
        <v>0</v>
      </c>
      <c r="Q434" s="141">
        <f>IFERROR((HLOOKUP($AH434,Target_monthwise!$D$4:$O$20,DTR!Q$4,FALSE))*1000,0)</f>
        <v>0</v>
      </c>
      <c r="R434" s="167">
        <f>IFERROR((HLOOKUP($AH434,Target_monthwise!$D$4:$O$20,DTR!R$4,FALSE))*1000,0)</f>
        <v>0</v>
      </c>
      <c r="S434" s="239">
        <f>IFERROR((HLOOKUP($AH434,Target_monthwise!$D$24:$O$40,DTR!S$4,FALSE)),0)</f>
        <v>0</v>
      </c>
      <c r="T434" s="239">
        <f>IFERROR((HLOOKUP($AH434,Target_monthwise!$D$24:$O$40,DTR!T$4,FALSE)),0)</f>
        <v>0</v>
      </c>
      <c r="U434" s="239">
        <f>IFERROR((HLOOKUP($AH434,Target_monthwise!$D$24:$O$40,DTR!U$4,FALSE)),0)</f>
        <v>0</v>
      </c>
      <c r="V434" s="239">
        <f>IFERROR((HLOOKUP($AH434,Target_monthwise!$D$24:$O$40,DTR!V$4,FALSE)),0)</f>
        <v>0</v>
      </c>
      <c r="W434" s="239">
        <f>IFERROR((HLOOKUP($AH434,Target_monthwise!$D$24:$O$40,DTR!W$4,FALSE)),0)</f>
        <v>0</v>
      </c>
      <c r="X434" s="239">
        <f>IFERROR((HLOOKUP($AH434,Target_monthwise!$D$24:$O$40,DTR!X$4,FALSE)),0)</f>
        <v>0</v>
      </c>
      <c r="Y434" s="239">
        <f>IFERROR((HLOOKUP($AH434,Target_monthwise!$D$24:$O$40,DTR!Y$4,FALSE)),0)</f>
        <v>0</v>
      </c>
      <c r="Z434" s="147">
        <f>IFERROR((HLOOKUP($AH434,Target_monthwise!$D$24:$O$40,DTR!Z$4,FALSE)),0)</f>
        <v>0</v>
      </c>
      <c r="AA434" s="147">
        <f>IFERROR((HLOOKUP($AH434,Target_monthwise!$D$24:$O$40,DTR!AA$4,FALSE)),0)</f>
        <v>0</v>
      </c>
      <c r="AB434" s="147">
        <f>IFERROR((HLOOKUP($AH434,Target_monthwise!$D$24:$O$40,DTR!AB$4,FALSE)),0)</f>
        <v>0</v>
      </c>
      <c r="AC434" s="239">
        <f>IFERROR((HLOOKUP($AH434,Target_monthwise!$D$24:$O$40,DTR!AC$4,FALSE)),0)</f>
        <v>0</v>
      </c>
      <c r="AD434" s="239">
        <f>IFERROR((HLOOKUP($AH434,Target_monthwise!$D$24:$O$40,DTR!AD$4,FALSE)),0)</f>
        <v>0</v>
      </c>
      <c r="AE434" s="239">
        <f>IFERROR((HLOOKUP($AH434,Target_monthwise!$D$24:$O$40,DTR!AE$4,FALSE)),0)</f>
        <v>0</v>
      </c>
      <c r="AF434" s="239">
        <f>IFERROR((HLOOKUP($AH434,Target_monthwise!$D$24:$O$40,DTR!AF$4,FALSE)),0)</f>
        <v>0</v>
      </c>
      <c r="AG434" s="172">
        <f>IFERROR((HLOOKUP($AH434,Target_monthwise!$D$24:$O$40,DTR!AG$4,FALSE)),0)</f>
        <v>0</v>
      </c>
      <c r="AH434" s="253">
        <f t="shared" si="6"/>
        <v>202305</v>
      </c>
    </row>
    <row r="435" spans="3:34" ht="15.75" hidden="1">
      <c r="C435" s="235">
        <v>45078</v>
      </c>
      <c r="D435" s="141">
        <f>IFERROR((HLOOKUP($AH435,Target_monthwise!$D$4:$O$20,DTR!D$4,FALSE))*1000,0)</f>
        <v>0</v>
      </c>
      <c r="E435" s="141">
        <f>IFERROR((HLOOKUP($AH435,Target_monthwise!$D$4:$O$20,DTR!E$4,FALSE))*1000,0)</f>
        <v>0</v>
      </c>
      <c r="F435" s="141">
        <f>IFERROR((HLOOKUP($AH435,Target_monthwise!$D$4:$O$20,DTR!F$4,FALSE))*1000,0)</f>
        <v>0</v>
      </c>
      <c r="G435" s="141">
        <f>IFERROR((HLOOKUP($AH435,Target_monthwise!$D$4:$O$20,DTR!G$4,FALSE))*1000,0)</f>
        <v>0</v>
      </c>
      <c r="H435" s="141">
        <f>IFERROR((HLOOKUP($AH435,Target_monthwise!$D$4:$O$20,DTR!H$4,FALSE))*1000,0)</f>
        <v>0</v>
      </c>
      <c r="I435" s="141">
        <f>IFERROR((HLOOKUP($AH435,Target_monthwise!$D$4:$O$20,DTR!I$4,FALSE))*1000,0)</f>
        <v>0</v>
      </c>
      <c r="J435" s="141">
        <f>IFERROR((HLOOKUP($AH435,Target_monthwise!$D$4:$O$20,DTR!J$4,FALSE))*1000,0)</f>
        <v>0</v>
      </c>
      <c r="K435" s="141">
        <f>IFERROR((HLOOKUP($AH435,Target_monthwise!$D$4:$O$20,DTR!K$4,FALSE))*1000,0)</f>
        <v>0</v>
      </c>
      <c r="L435" s="141">
        <f>IFERROR((HLOOKUP($AH435,Target_monthwise!$D$4:$O$20,DTR!L$4,FALSE))*1000,0)</f>
        <v>0</v>
      </c>
      <c r="M435" s="141">
        <f>IFERROR((HLOOKUP($AH435,Target_monthwise!$D$4:$O$20,DTR!M$4,FALSE))*1000,0)</f>
        <v>0</v>
      </c>
      <c r="N435" s="141">
        <f>IFERROR((HLOOKUP($AH435,Target_monthwise!$D$4:$O$20,DTR!N$4,FALSE))*1000,0)</f>
        <v>0</v>
      </c>
      <c r="O435" s="141">
        <f>IFERROR((HLOOKUP($AH435,Target_monthwise!$D$4:$O$20,DTR!O$4,FALSE))*1000,0)</f>
        <v>0</v>
      </c>
      <c r="P435" s="141">
        <f>IFERROR((HLOOKUP($AH435,Target_monthwise!$D$4:$O$20,DTR!P$4,FALSE))*1000,0)</f>
        <v>0</v>
      </c>
      <c r="Q435" s="141">
        <f>IFERROR((HLOOKUP($AH435,Target_monthwise!$D$4:$O$20,DTR!Q$4,FALSE))*1000,0)</f>
        <v>0</v>
      </c>
      <c r="R435" s="167">
        <f>IFERROR((HLOOKUP($AH435,Target_monthwise!$D$4:$O$20,DTR!R$4,FALSE))*1000,0)</f>
        <v>0</v>
      </c>
      <c r="S435" s="147">
        <f>IFERROR((HLOOKUP($AH435,Target_monthwise!$D$24:$O$40,DTR!S$4,FALSE)),0)</f>
        <v>0</v>
      </c>
      <c r="T435" s="147">
        <f>IFERROR((HLOOKUP($AH435,Target_monthwise!$D$24:$O$40,DTR!T$4,FALSE)),0)</f>
        <v>0</v>
      </c>
      <c r="U435" s="147">
        <f>IFERROR((HLOOKUP($AH435,Target_monthwise!$D$24:$O$40,DTR!U$4,FALSE)),0)</f>
        <v>0</v>
      </c>
      <c r="V435" s="147">
        <f>IFERROR((HLOOKUP($AH435,Target_monthwise!$D$24:$O$40,DTR!V$4,FALSE)),0)</f>
        <v>0</v>
      </c>
      <c r="W435" s="147">
        <f>IFERROR((HLOOKUP($AH435,Target_monthwise!$D$24:$O$40,DTR!W$4,FALSE)),0)</f>
        <v>0</v>
      </c>
      <c r="X435" s="147">
        <f>IFERROR((HLOOKUP($AH435,Target_monthwise!$D$24:$O$40,DTR!X$4,FALSE)),0)</f>
        <v>0</v>
      </c>
      <c r="Y435" s="147">
        <f>IFERROR((HLOOKUP($AH435,Target_monthwise!$D$24:$O$40,DTR!Y$4,FALSE)),0)</f>
        <v>0</v>
      </c>
      <c r="Z435" s="147">
        <f>IFERROR((HLOOKUP($AH435,Target_monthwise!$D$24:$O$40,DTR!Z$4,FALSE)),0)</f>
        <v>0</v>
      </c>
      <c r="AA435" s="147">
        <f>IFERROR((HLOOKUP($AH435,Target_monthwise!$D$24:$O$40,DTR!AA$4,FALSE)),0)</f>
        <v>0</v>
      </c>
      <c r="AB435" s="147">
        <f>IFERROR((HLOOKUP($AH435,Target_monthwise!$D$24:$O$40,DTR!AB$4,FALSE)),0)</f>
        <v>0</v>
      </c>
      <c r="AC435" s="147">
        <f>IFERROR((HLOOKUP($AH435,Target_monthwise!$D$24:$O$40,DTR!AC$4,FALSE)),0)</f>
        <v>0</v>
      </c>
      <c r="AD435" s="147">
        <f>IFERROR((HLOOKUP($AH435,Target_monthwise!$D$24:$O$40,DTR!AD$4,FALSE)),0)</f>
        <v>0</v>
      </c>
      <c r="AE435" s="147">
        <f>IFERROR((HLOOKUP($AH435,Target_monthwise!$D$24:$O$40,DTR!AE$4,FALSE)),0)</f>
        <v>0</v>
      </c>
      <c r="AF435" s="147">
        <f>IFERROR((HLOOKUP($AH435,Target_monthwise!$D$24:$O$40,DTR!AF$4,FALSE)),0)</f>
        <v>0</v>
      </c>
      <c r="AG435" s="172">
        <f>IFERROR((HLOOKUP($AH435,Target_monthwise!$D$24:$O$40,DTR!AG$4,FALSE)),0)</f>
        <v>0</v>
      </c>
      <c r="AH435" s="253">
        <f t="shared" si="6"/>
        <v>202306</v>
      </c>
    </row>
    <row r="436" spans="3:34" ht="15.75" hidden="1">
      <c r="C436" s="237">
        <v>45079</v>
      </c>
      <c r="D436" s="238">
        <f>IFERROR((HLOOKUP($AH436,Target_monthwise!$D$4:$O$20,DTR!D$4,FALSE))*1000,0)</f>
        <v>0</v>
      </c>
      <c r="E436" s="238">
        <f>IFERROR((HLOOKUP($AH436,Target_monthwise!$D$4:$O$20,DTR!E$4,FALSE))*1000,0)</f>
        <v>0</v>
      </c>
      <c r="F436" s="238">
        <f>IFERROR((HLOOKUP($AH436,Target_monthwise!$D$4:$O$20,DTR!F$4,FALSE))*1000,0)</f>
        <v>0</v>
      </c>
      <c r="G436" s="238">
        <f>IFERROR((HLOOKUP($AH436,Target_monthwise!$D$4:$O$20,DTR!G$4,FALSE))*1000,0)</f>
        <v>0</v>
      </c>
      <c r="H436" s="238">
        <f>IFERROR((HLOOKUP($AH436,Target_monthwise!$D$4:$O$20,DTR!H$4,FALSE))*1000,0)</f>
        <v>0</v>
      </c>
      <c r="I436" s="238">
        <f>IFERROR((HLOOKUP($AH436,Target_monthwise!$D$4:$O$20,DTR!I$4,FALSE))*1000,0)</f>
        <v>0</v>
      </c>
      <c r="J436" s="238">
        <f>IFERROR((HLOOKUP($AH436,Target_monthwise!$D$4:$O$20,DTR!J$4,FALSE))*1000,0)</f>
        <v>0</v>
      </c>
      <c r="K436" s="238">
        <f>IFERROR((HLOOKUP($AH436,Target_monthwise!$D$4:$O$20,DTR!K$4,FALSE))*1000,0)</f>
        <v>0</v>
      </c>
      <c r="L436" s="238">
        <f>IFERROR((HLOOKUP($AH436,Target_monthwise!$D$4:$O$20,DTR!L$4,FALSE))*1000,0)</f>
        <v>0</v>
      </c>
      <c r="M436" s="238">
        <f>IFERROR((HLOOKUP($AH436,Target_monthwise!$D$4:$O$20,DTR!M$4,FALSE))*1000,0)</f>
        <v>0</v>
      </c>
      <c r="N436" s="238">
        <f>IFERROR((HLOOKUP($AH436,Target_monthwise!$D$4:$O$20,DTR!N$4,FALSE))*1000,0)</f>
        <v>0</v>
      </c>
      <c r="O436" s="238">
        <f>IFERROR((HLOOKUP($AH436,Target_monthwise!$D$4:$O$20,DTR!O$4,FALSE))*1000,0)</f>
        <v>0</v>
      </c>
      <c r="P436" s="238">
        <f>IFERROR((HLOOKUP($AH436,Target_monthwise!$D$4:$O$20,DTR!P$4,FALSE))*1000,0)</f>
        <v>0</v>
      </c>
      <c r="Q436" s="141">
        <f>IFERROR((HLOOKUP($AH436,Target_monthwise!$D$4:$O$20,DTR!Q$4,FALSE))*1000,0)</f>
        <v>0</v>
      </c>
      <c r="R436" s="167">
        <f>IFERROR((HLOOKUP($AH436,Target_monthwise!$D$4:$O$20,DTR!R$4,FALSE))*1000,0)</f>
        <v>0</v>
      </c>
      <c r="S436" s="239">
        <f>IFERROR((HLOOKUP($AH436,Target_monthwise!$D$24:$O$40,DTR!S$4,FALSE)),0)</f>
        <v>0</v>
      </c>
      <c r="T436" s="239">
        <f>IFERROR((HLOOKUP($AH436,Target_monthwise!$D$24:$O$40,DTR!T$4,FALSE)),0)</f>
        <v>0</v>
      </c>
      <c r="U436" s="239">
        <f>IFERROR((HLOOKUP($AH436,Target_monthwise!$D$24:$O$40,DTR!U$4,FALSE)),0)</f>
        <v>0</v>
      </c>
      <c r="V436" s="239">
        <f>IFERROR((HLOOKUP($AH436,Target_monthwise!$D$24:$O$40,DTR!V$4,FALSE)),0)</f>
        <v>0</v>
      </c>
      <c r="W436" s="239">
        <f>IFERROR((HLOOKUP($AH436,Target_monthwise!$D$24:$O$40,DTR!W$4,FALSE)),0)</f>
        <v>0</v>
      </c>
      <c r="X436" s="239">
        <f>IFERROR((HLOOKUP($AH436,Target_monthwise!$D$24:$O$40,DTR!X$4,FALSE)),0)</f>
        <v>0</v>
      </c>
      <c r="Y436" s="239">
        <f>IFERROR((HLOOKUP($AH436,Target_monthwise!$D$24:$O$40,DTR!Y$4,FALSE)),0)</f>
        <v>0</v>
      </c>
      <c r="Z436" s="147">
        <f>IFERROR((HLOOKUP($AH436,Target_monthwise!$D$24:$O$40,DTR!Z$4,FALSE)),0)</f>
        <v>0</v>
      </c>
      <c r="AA436" s="147">
        <f>IFERROR((HLOOKUP($AH436,Target_monthwise!$D$24:$O$40,DTR!AA$4,FALSE)),0)</f>
        <v>0</v>
      </c>
      <c r="AB436" s="147">
        <f>IFERROR((HLOOKUP($AH436,Target_monthwise!$D$24:$O$40,DTR!AB$4,FALSE)),0)</f>
        <v>0</v>
      </c>
      <c r="AC436" s="239">
        <f>IFERROR((HLOOKUP($AH436,Target_monthwise!$D$24:$O$40,DTR!AC$4,FALSE)),0)</f>
        <v>0</v>
      </c>
      <c r="AD436" s="239">
        <f>IFERROR((HLOOKUP($AH436,Target_monthwise!$D$24:$O$40,DTR!AD$4,FALSE)),0)</f>
        <v>0</v>
      </c>
      <c r="AE436" s="239">
        <f>IFERROR((HLOOKUP($AH436,Target_monthwise!$D$24:$O$40,DTR!AE$4,FALSE)),0)</f>
        <v>0</v>
      </c>
      <c r="AF436" s="239">
        <f>IFERROR((HLOOKUP($AH436,Target_monthwise!$D$24:$O$40,DTR!AF$4,FALSE)),0)</f>
        <v>0</v>
      </c>
      <c r="AG436" s="172">
        <f>IFERROR((HLOOKUP($AH436,Target_monthwise!$D$24:$O$40,DTR!AG$4,FALSE)),0)</f>
        <v>0</v>
      </c>
      <c r="AH436" s="253">
        <f t="shared" si="6"/>
        <v>202306</v>
      </c>
    </row>
    <row r="437" spans="3:34" ht="15.75" hidden="1">
      <c r="C437" s="235">
        <v>45080</v>
      </c>
      <c r="D437" s="141">
        <f>IFERROR((HLOOKUP($AH437,Target_monthwise!$D$4:$O$20,DTR!D$4,FALSE))*1000,0)</f>
        <v>0</v>
      </c>
      <c r="E437" s="141">
        <f>IFERROR((HLOOKUP($AH437,Target_monthwise!$D$4:$O$20,DTR!E$4,FALSE))*1000,0)</f>
        <v>0</v>
      </c>
      <c r="F437" s="141">
        <f>IFERROR((HLOOKUP($AH437,Target_monthwise!$D$4:$O$20,DTR!F$4,FALSE))*1000,0)</f>
        <v>0</v>
      </c>
      <c r="G437" s="141">
        <f>IFERROR((HLOOKUP($AH437,Target_monthwise!$D$4:$O$20,DTR!G$4,FALSE))*1000,0)</f>
        <v>0</v>
      </c>
      <c r="H437" s="141">
        <f>IFERROR((HLOOKUP($AH437,Target_monthwise!$D$4:$O$20,DTR!H$4,FALSE))*1000,0)</f>
        <v>0</v>
      </c>
      <c r="I437" s="141">
        <f>IFERROR((HLOOKUP($AH437,Target_monthwise!$D$4:$O$20,DTR!I$4,FALSE))*1000,0)</f>
        <v>0</v>
      </c>
      <c r="J437" s="141">
        <f>IFERROR((HLOOKUP($AH437,Target_monthwise!$D$4:$O$20,DTR!J$4,FALSE))*1000,0)</f>
        <v>0</v>
      </c>
      <c r="K437" s="141">
        <f>IFERROR((HLOOKUP($AH437,Target_monthwise!$D$4:$O$20,DTR!K$4,FALSE))*1000,0)</f>
        <v>0</v>
      </c>
      <c r="L437" s="141">
        <f>IFERROR((HLOOKUP($AH437,Target_monthwise!$D$4:$O$20,DTR!L$4,FALSE))*1000,0)</f>
        <v>0</v>
      </c>
      <c r="M437" s="141">
        <f>IFERROR((HLOOKUP($AH437,Target_monthwise!$D$4:$O$20,DTR!M$4,FALSE))*1000,0)</f>
        <v>0</v>
      </c>
      <c r="N437" s="141">
        <f>IFERROR((HLOOKUP($AH437,Target_monthwise!$D$4:$O$20,DTR!N$4,FALSE))*1000,0)</f>
        <v>0</v>
      </c>
      <c r="O437" s="141">
        <f>IFERROR((HLOOKUP($AH437,Target_monthwise!$D$4:$O$20,DTR!O$4,FALSE))*1000,0)</f>
        <v>0</v>
      </c>
      <c r="P437" s="141">
        <f>IFERROR((HLOOKUP($AH437,Target_monthwise!$D$4:$O$20,DTR!P$4,FALSE))*1000,0)</f>
        <v>0</v>
      </c>
      <c r="Q437" s="141">
        <f>IFERROR((HLOOKUP($AH437,Target_monthwise!$D$4:$O$20,DTR!Q$4,FALSE))*1000,0)</f>
        <v>0</v>
      </c>
      <c r="R437" s="167">
        <f>IFERROR((HLOOKUP($AH437,Target_monthwise!$D$4:$O$20,DTR!R$4,FALSE))*1000,0)</f>
        <v>0</v>
      </c>
      <c r="S437" s="147">
        <f>IFERROR((HLOOKUP($AH437,Target_monthwise!$D$24:$O$40,DTR!S$4,FALSE)),0)</f>
        <v>0</v>
      </c>
      <c r="T437" s="147">
        <f>IFERROR((HLOOKUP($AH437,Target_monthwise!$D$24:$O$40,DTR!T$4,FALSE)),0)</f>
        <v>0</v>
      </c>
      <c r="U437" s="147">
        <f>IFERROR((HLOOKUP($AH437,Target_monthwise!$D$24:$O$40,DTR!U$4,FALSE)),0)</f>
        <v>0</v>
      </c>
      <c r="V437" s="147">
        <f>IFERROR((HLOOKUP($AH437,Target_monthwise!$D$24:$O$40,DTR!V$4,FALSE)),0)</f>
        <v>0</v>
      </c>
      <c r="W437" s="147">
        <f>IFERROR((HLOOKUP($AH437,Target_monthwise!$D$24:$O$40,DTR!W$4,FALSE)),0)</f>
        <v>0</v>
      </c>
      <c r="X437" s="147">
        <f>IFERROR((HLOOKUP($AH437,Target_monthwise!$D$24:$O$40,DTR!X$4,FALSE)),0)</f>
        <v>0</v>
      </c>
      <c r="Y437" s="147">
        <f>IFERROR((HLOOKUP($AH437,Target_monthwise!$D$24:$O$40,DTR!Y$4,FALSE)),0)</f>
        <v>0</v>
      </c>
      <c r="Z437" s="147">
        <f>IFERROR((HLOOKUP($AH437,Target_monthwise!$D$24:$O$40,DTR!Z$4,FALSE)),0)</f>
        <v>0</v>
      </c>
      <c r="AA437" s="147">
        <f>IFERROR((HLOOKUP($AH437,Target_monthwise!$D$24:$O$40,DTR!AA$4,FALSE)),0)</f>
        <v>0</v>
      </c>
      <c r="AB437" s="147">
        <f>IFERROR((HLOOKUP($AH437,Target_monthwise!$D$24:$O$40,DTR!AB$4,FALSE)),0)</f>
        <v>0</v>
      </c>
      <c r="AC437" s="147">
        <f>IFERROR((HLOOKUP($AH437,Target_monthwise!$D$24:$O$40,DTR!AC$4,FALSE)),0)</f>
        <v>0</v>
      </c>
      <c r="AD437" s="147">
        <f>IFERROR((HLOOKUP($AH437,Target_monthwise!$D$24:$O$40,DTR!AD$4,FALSE)),0)</f>
        <v>0</v>
      </c>
      <c r="AE437" s="147">
        <f>IFERROR((HLOOKUP($AH437,Target_monthwise!$D$24:$O$40,DTR!AE$4,FALSE)),0)</f>
        <v>0</v>
      </c>
      <c r="AF437" s="147">
        <f>IFERROR((HLOOKUP($AH437,Target_monthwise!$D$24:$O$40,DTR!AF$4,FALSE)),0)</f>
        <v>0</v>
      </c>
      <c r="AG437" s="172">
        <f>IFERROR((HLOOKUP($AH437,Target_monthwise!$D$24:$O$40,DTR!AG$4,FALSE)),0)</f>
        <v>0</v>
      </c>
      <c r="AH437" s="253">
        <f t="shared" si="6"/>
        <v>202306</v>
      </c>
    </row>
    <row r="438" spans="3:34" ht="15.75" hidden="1">
      <c r="C438" s="237">
        <v>45081</v>
      </c>
      <c r="D438" s="238">
        <f>IFERROR((HLOOKUP($AH438,Target_monthwise!$D$4:$O$20,DTR!D$4,FALSE))*1000,0)</f>
        <v>0</v>
      </c>
      <c r="E438" s="238">
        <f>IFERROR((HLOOKUP($AH438,Target_monthwise!$D$4:$O$20,DTR!E$4,FALSE))*1000,0)</f>
        <v>0</v>
      </c>
      <c r="F438" s="238">
        <f>IFERROR((HLOOKUP($AH438,Target_monthwise!$D$4:$O$20,DTR!F$4,FALSE))*1000,0)</f>
        <v>0</v>
      </c>
      <c r="G438" s="238">
        <f>IFERROR((HLOOKUP($AH438,Target_monthwise!$D$4:$O$20,DTR!G$4,FALSE))*1000,0)</f>
        <v>0</v>
      </c>
      <c r="H438" s="238">
        <f>IFERROR((HLOOKUP($AH438,Target_monthwise!$D$4:$O$20,DTR!H$4,FALSE))*1000,0)</f>
        <v>0</v>
      </c>
      <c r="I438" s="238">
        <f>IFERROR((HLOOKUP($AH438,Target_monthwise!$D$4:$O$20,DTR!I$4,FALSE))*1000,0)</f>
        <v>0</v>
      </c>
      <c r="J438" s="238">
        <f>IFERROR((HLOOKUP($AH438,Target_monthwise!$D$4:$O$20,DTR!J$4,FALSE))*1000,0)</f>
        <v>0</v>
      </c>
      <c r="K438" s="238">
        <f>IFERROR((HLOOKUP($AH438,Target_monthwise!$D$4:$O$20,DTR!K$4,FALSE))*1000,0)</f>
        <v>0</v>
      </c>
      <c r="L438" s="238">
        <f>IFERROR((HLOOKUP($AH438,Target_monthwise!$D$4:$O$20,DTR!L$4,FALSE))*1000,0)</f>
        <v>0</v>
      </c>
      <c r="M438" s="238">
        <f>IFERROR((HLOOKUP($AH438,Target_monthwise!$D$4:$O$20,DTR!M$4,FALSE))*1000,0)</f>
        <v>0</v>
      </c>
      <c r="N438" s="238">
        <f>IFERROR((HLOOKUP($AH438,Target_monthwise!$D$4:$O$20,DTR!N$4,FALSE))*1000,0)</f>
        <v>0</v>
      </c>
      <c r="O438" s="238">
        <f>IFERROR((HLOOKUP($AH438,Target_monthwise!$D$4:$O$20,DTR!O$4,FALSE))*1000,0)</f>
        <v>0</v>
      </c>
      <c r="P438" s="238">
        <f>IFERROR((HLOOKUP($AH438,Target_monthwise!$D$4:$O$20,DTR!P$4,FALSE))*1000,0)</f>
        <v>0</v>
      </c>
      <c r="Q438" s="141">
        <f>IFERROR((HLOOKUP($AH438,Target_monthwise!$D$4:$O$20,DTR!Q$4,FALSE))*1000,0)</f>
        <v>0</v>
      </c>
      <c r="R438" s="167">
        <f>IFERROR((HLOOKUP($AH438,Target_monthwise!$D$4:$O$20,DTR!R$4,FALSE))*1000,0)</f>
        <v>0</v>
      </c>
      <c r="S438" s="239">
        <f>IFERROR((HLOOKUP($AH438,Target_monthwise!$D$24:$O$40,DTR!S$4,FALSE)),0)</f>
        <v>0</v>
      </c>
      <c r="T438" s="239">
        <f>IFERROR((HLOOKUP($AH438,Target_monthwise!$D$24:$O$40,DTR!T$4,FALSE)),0)</f>
        <v>0</v>
      </c>
      <c r="U438" s="239">
        <f>IFERROR((HLOOKUP($AH438,Target_monthwise!$D$24:$O$40,DTR!U$4,FALSE)),0)</f>
        <v>0</v>
      </c>
      <c r="V438" s="239">
        <f>IFERROR((HLOOKUP($AH438,Target_monthwise!$D$24:$O$40,DTR!V$4,FALSE)),0)</f>
        <v>0</v>
      </c>
      <c r="W438" s="239">
        <f>IFERROR((HLOOKUP($AH438,Target_monthwise!$D$24:$O$40,DTR!W$4,FALSE)),0)</f>
        <v>0</v>
      </c>
      <c r="X438" s="239">
        <f>IFERROR((HLOOKUP($AH438,Target_monthwise!$D$24:$O$40,DTR!X$4,FALSE)),0)</f>
        <v>0</v>
      </c>
      <c r="Y438" s="239">
        <f>IFERROR((HLOOKUP($AH438,Target_monthwise!$D$24:$O$40,DTR!Y$4,FALSE)),0)</f>
        <v>0</v>
      </c>
      <c r="Z438" s="147">
        <f>IFERROR((HLOOKUP($AH438,Target_monthwise!$D$24:$O$40,DTR!Z$4,FALSE)),0)</f>
        <v>0</v>
      </c>
      <c r="AA438" s="147">
        <f>IFERROR((HLOOKUP($AH438,Target_monthwise!$D$24:$O$40,DTR!AA$4,FALSE)),0)</f>
        <v>0</v>
      </c>
      <c r="AB438" s="147">
        <f>IFERROR((HLOOKUP($AH438,Target_monthwise!$D$24:$O$40,DTR!AB$4,FALSE)),0)</f>
        <v>0</v>
      </c>
      <c r="AC438" s="239">
        <f>IFERROR((HLOOKUP($AH438,Target_monthwise!$D$24:$O$40,DTR!AC$4,FALSE)),0)</f>
        <v>0</v>
      </c>
      <c r="AD438" s="239">
        <f>IFERROR((HLOOKUP($AH438,Target_monthwise!$D$24:$O$40,DTR!AD$4,FALSE)),0)</f>
        <v>0</v>
      </c>
      <c r="AE438" s="239">
        <f>IFERROR((HLOOKUP($AH438,Target_monthwise!$D$24:$O$40,DTR!AE$4,FALSE)),0)</f>
        <v>0</v>
      </c>
      <c r="AF438" s="239">
        <f>IFERROR((HLOOKUP($AH438,Target_monthwise!$D$24:$O$40,DTR!AF$4,FALSE)),0)</f>
        <v>0</v>
      </c>
      <c r="AG438" s="172">
        <f>IFERROR((HLOOKUP($AH438,Target_monthwise!$D$24:$O$40,DTR!AG$4,FALSE)),0)</f>
        <v>0</v>
      </c>
      <c r="AH438" s="253">
        <f t="shared" si="6"/>
        <v>202306</v>
      </c>
    </row>
    <row r="439" spans="3:34" ht="15.75" hidden="1">
      <c r="C439" s="235">
        <v>45082</v>
      </c>
      <c r="D439" s="141">
        <f>IFERROR((HLOOKUP($AH439,Target_monthwise!$D$4:$O$20,DTR!D$4,FALSE))*1000,0)</f>
        <v>0</v>
      </c>
      <c r="E439" s="141">
        <f>IFERROR((HLOOKUP($AH439,Target_monthwise!$D$4:$O$20,DTR!E$4,FALSE))*1000,0)</f>
        <v>0</v>
      </c>
      <c r="F439" s="141">
        <f>IFERROR((HLOOKUP($AH439,Target_monthwise!$D$4:$O$20,DTR!F$4,FALSE))*1000,0)</f>
        <v>0</v>
      </c>
      <c r="G439" s="141">
        <f>IFERROR((HLOOKUP($AH439,Target_monthwise!$D$4:$O$20,DTR!G$4,FALSE))*1000,0)</f>
        <v>0</v>
      </c>
      <c r="H439" s="141">
        <f>IFERROR((HLOOKUP($AH439,Target_monthwise!$D$4:$O$20,DTR!H$4,FALSE))*1000,0)</f>
        <v>0</v>
      </c>
      <c r="I439" s="141">
        <f>IFERROR((HLOOKUP($AH439,Target_monthwise!$D$4:$O$20,DTR!I$4,FALSE))*1000,0)</f>
        <v>0</v>
      </c>
      <c r="J439" s="141">
        <f>IFERROR((HLOOKUP($AH439,Target_monthwise!$D$4:$O$20,DTR!J$4,FALSE))*1000,0)</f>
        <v>0</v>
      </c>
      <c r="K439" s="141">
        <f>IFERROR((HLOOKUP($AH439,Target_monthwise!$D$4:$O$20,DTR!K$4,FALSE))*1000,0)</f>
        <v>0</v>
      </c>
      <c r="L439" s="141">
        <f>IFERROR((HLOOKUP($AH439,Target_monthwise!$D$4:$O$20,DTR!L$4,FALSE))*1000,0)</f>
        <v>0</v>
      </c>
      <c r="M439" s="141">
        <f>IFERROR((HLOOKUP($AH439,Target_monthwise!$D$4:$O$20,DTR!M$4,FALSE))*1000,0)</f>
        <v>0</v>
      </c>
      <c r="N439" s="141">
        <f>IFERROR((HLOOKUP($AH439,Target_monthwise!$D$4:$O$20,DTR!N$4,FALSE))*1000,0)</f>
        <v>0</v>
      </c>
      <c r="O439" s="141">
        <f>IFERROR((HLOOKUP($AH439,Target_monthwise!$D$4:$O$20,DTR!O$4,FALSE))*1000,0)</f>
        <v>0</v>
      </c>
      <c r="P439" s="141">
        <f>IFERROR((HLOOKUP($AH439,Target_monthwise!$D$4:$O$20,DTR!P$4,FALSE))*1000,0)</f>
        <v>0</v>
      </c>
      <c r="Q439" s="141">
        <f>IFERROR((HLOOKUP($AH439,Target_monthwise!$D$4:$O$20,DTR!Q$4,FALSE))*1000,0)</f>
        <v>0</v>
      </c>
      <c r="R439" s="167">
        <f>IFERROR((HLOOKUP($AH439,Target_monthwise!$D$4:$O$20,DTR!R$4,FALSE))*1000,0)</f>
        <v>0</v>
      </c>
      <c r="S439" s="147">
        <f>IFERROR((HLOOKUP($AH439,Target_monthwise!$D$24:$O$40,DTR!S$4,FALSE)),0)</f>
        <v>0</v>
      </c>
      <c r="T439" s="147">
        <f>IFERROR((HLOOKUP($AH439,Target_monthwise!$D$24:$O$40,DTR!T$4,FALSE)),0)</f>
        <v>0</v>
      </c>
      <c r="U439" s="147">
        <f>IFERROR((HLOOKUP($AH439,Target_monthwise!$D$24:$O$40,DTR!U$4,FALSE)),0)</f>
        <v>0</v>
      </c>
      <c r="V439" s="147">
        <f>IFERROR((HLOOKUP($AH439,Target_monthwise!$D$24:$O$40,DTR!V$4,FALSE)),0)</f>
        <v>0</v>
      </c>
      <c r="W439" s="147">
        <f>IFERROR((HLOOKUP($AH439,Target_monthwise!$D$24:$O$40,DTR!W$4,FALSE)),0)</f>
        <v>0</v>
      </c>
      <c r="X439" s="147">
        <f>IFERROR((HLOOKUP($AH439,Target_monthwise!$D$24:$O$40,DTR!X$4,FALSE)),0)</f>
        <v>0</v>
      </c>
      <c r="Y439" s="147">
        <f>IFERROR((HLOOKUP($AH439,Target_monthwise!$D$24:$O$40,DTR!Y$4,FALSE)),0)</f>
        <v>0</v>
      </c>
      <c r="Z439" s="147">
        <f>IFERROR((HLOOKUP($AH439,Target_monthwise!$D$24:$O$40,DTR!Z$4,FALSE)),0)</f>
        <v>0</v>
      </c>
      <c r="AA439" s="147">
        <f>IFERROR((HLOOKUP($AH439,Target_monthwise!$D$24:$O$40,DTR!AA$4,FALSE)),0)</f>
        <v>0</v>
      </c>
      <c r="AB439" s="147">
        <f>IFERROR((HLOOKUP($AH439,Target_monthwise!$D$24:$O$40,DTR!AB$4,FALSE)),0)</f>
        <v>0</v>
      </c>
      <c r="AC439" s="147">
        <f>IFERROR((HLOOKUP($AH439,Target_monthwise!$D$24:$O$40,DTR!AC$4,FALSE)),0)</f>
        <v>0</v>
      </c>
      <c r="AD439" s="147">
        <f>IFERROR((HLOOKUP($AH439,Target_monthwise!$D$24:$O$40,DTR!AD$4,FALSE)),0)</f>
        <v>0</v>
      </c>
      <c r="AE439" s="147">
        <f>IFERROR((HLOOKUP($AH439,Target_monthwise!$D$24:$O$40,DTR!AE$4,FALSE)),0)</f>
        <v>0</v>
      </c>
      <c r="AF439" s="147">
        <f>IFERROR((HLOOKUP($AH439,Target_monthwise!$D$24:$O$40,DTR!AF$4,FALSE)),0)</f>
        <v>0</v>
      </c>
      <c r="AG439" s="172">
        <f>IFERROR((HLOOKUP($AH439,Target_monthwise!$D$24:$O$40,DTR!AG$4,FALSE)),0)</f>
        <v>0</v>
      </c>
      <c r="AH439" s="253">
        <f t="shared" si="6"/>
        <v>202306</v>
      </c>
    </row>
    <row r="440" spans="3:34" ht="15.75" hidden="1">
      <c r="C440" s="237">
        <v>45083</v>
      </c>
      <c r="D440" s="238">
        <f>IFERROR((HLOOKUP($AH440,Target_monthwise!$D$4:$O$20,DTR!D$4,FALSE))*1000,0)</f>
        <v>0</v>
      </c>
      <c r="E440" s="238">
        <f>IFERROR((HLOOKUP($AH440,Target_monthwise!$D$4:$O$20,DTR!E$4,FALSE))*1000,0)</f>
        <v>0</v>
      </c>
      <c r="F440" s="238">
        <f>IFERROR((HLOOKUP($AH440,Target_monthwise!$D$4:$O$20,DTR!F$4,FALSE))*1000,0)</f>
        <v>0</v>
      </c>
      <c r="G440" s="238">
        <f>IFERROR((HLOOKUP($AH440,Target_monthwise!$D$4:$O$20,DTR!G$4,FALSE))*1000,0)</f>
        <v>0</v>
      </c>
      <c r="H440" s="238">
        <f>IFERROR((HLOOKUP($AH440,Target_monthwise!$D$4:$O$20,DTR!H$4,FALSE))*1000,0)</f>
        <v>0</v>
      </c>
      <c r="I440" s="238">
        <f>IFERROR((HLOOKUP($AH440,Target_monthwise!$D$4:$O$20,DTR!I$4,FALSE))*1000,0)</f>
        <v>0</v>
      </c>
      <c r="J440" s="238">
        <f>IFERROR((HLOOKUP($AH440,Target_monthwise!$D$4:$O$20,DTR!J$4,FALSE))*1000,0)</f>
        <v>0</v>
      </c>
      <c r="K440" s="238">
        <f>IFERROR((HLOOKUP($AH440,Target_monthwise!$D$4:$O$20,DTR!K$4,FALSE))*1000,0)</f>
        <v>0</v>
      </c>
      <c r="L440" s="238">
        <f>IFERROR((HLOOKUP($AH440,Target_monthwise!$D$4:$O$20,DTR!L$4,FALSE))*1000,0)</f>
        <v>0</v>
      </c>
      <c r="M440" s="238">
        <f>IFERROR((HLOOKUP($AH440,Target_monthwise!$D$4:$O$20,DTR!M$4,FALSE))*1000,0)</f>
        <v>0</v>
      </c>
      <c r="N440" s="238">
        <f>IFERROR((HLOOKUP($AH440,Target_monthwise!$D$4:$O$20,DTR!N$4,FALSE))*1000,0)</f>
        <v>0</v>
      </c>
      <c r="O440" s="238">
        <f>IFERROR((HLOOKUP($AH440,Target_monthwise!$D$4:$O$20,DTR!O$4,FALSE))*1000,0)</f>
        <v>0</v>
      </c>
      <c r="P440" s="238">
        <f>IFERROR((HLOOKUP($AH440,Target_monthwise!$D$4:$O$20,DTR!P$4,FALSE))*1000,0)</f>
        <v>0</v>
      </c>
      <c r="Q440" s="141">
        <f>IFERROR((HLOOKUP($AH440,Target_monthwise!$D$4:$O$20,DTR!Q$4,FALSE))*1000,0)</f>
        <v>0</v>
      </c>
      <c r="R440" s="167">
        <f>IFERROR((HLOOKUP($AH440,Target_monthwise!$D$4:$O$20,DTR!R$4,FALSE))*1000,0)</f>
        <v>0</v>
      </c>
      <c r="S440" s="239">
        <f>IFERROR((HLOOKUP($AH440,Target_monthwise!$D$24:$O$40,DTR!S$4,FALSE)),0)</f>
        <v>0</v>
      </c>
      <c r="T440" s="239">
        <f>IFERROR((HLOOKUP($AH440,Target_monthwise!$D$24:$O$40,DTR!T$4,FALSE)),0)</f>
        <v>0</v>
      </c>
      <c r="U440" s="239">
        <f>IFERROR((HLOOKUP($AH440,Target_monthwise!$D$24:$O$40,DTR!U$4,FALSE)),0)</f>
        <v>0</v>
      </c>
      <c r="V440" s="239">
        <f>IFERROR((HLOOKUP($AH440,Target_monthwise!$D$24:$O$40,DTR!V$4,FALSE)),0)</f>
        <v>0</v>
      </c>
      <c r="W440" s="239">
        <f>IFERROR((HLOOKUP($AH440,Target_monthwise!$D$24:$O$40,DTR!W$4,FALSE)),0)</f>
        <v>0</v>
      </c>
      <c r="X440" s="239">
        <f>IFERROR((HLOOKUP($AH440,Target_monthwise!$D$24:$O$40,DTR!X$4,FALSE)),0)</f>
        <v>0</v>
      </c>
      <c r="Y440" s="239">
        <f>IFERROR((HLOOKUP($AH440,Target_monthwise!$D$24:$O$40,DTR!Y$4,FALSE)),0)</f>
        <v>0</v>
      </c>
      <c r="Z440" s="147">
        <f>IFERROR((HLOOKUP($AH440,Target_monthwise!$D$24:$O$40,DTR!Z$4,FALSE)),0)</f>
        <v>0</v>
      </c>
      <c r="AA440" s="147">
        <f>IFERROR((HLOOKUP($AH440,Target_monthwise!$D$24:$O$40,DTR!AA$4,FALSE)),0)</f>
        <v>0</v>
      </c>
      <c r="AB440" s="147">
        <f>IFERROR((HLOOKUP($AH440,Target_monthwise!$D$24:$O$40,DTR!AB$4,FALSE)),0)</f>
        <v>0</v>
      </c>
      <c r="AC440" s="239">
        <f>IFERROR((HLOOKUP($AH440,Target_monthwise!$D$24:$O$40,DTR!AC$4,FALSE)),0)</f>
        <v>0</v>
      </c>
      <c r="AD440" s="239">
        <f>IFERROR((HLOOKUP($AH440,Target_monthwise!$D$24:$O$40,DTR!AD$4,FALSE)),0)</f>
        <v>0</v>
      </c>
      <c r="AE440" s="239">
        <f>IFERROR((HLOOKUP($AH440,Target_monthwise!$D$24:$O$40,DTR!AE$4,FALSE)),0)</f>
        <v>0</v>
      </c>
      <c r="AF440" s="239">
        <f>IFERROR((HLOOKUP($AH440,Target_monthwise!$D$24:$O$40,DTR!AF$4,FALSE)),0)</f>
        <v>0</v>
      </c>
      <c r="AG440" s="172">
        <f>IFERROR((HLOOKUP($AH440,Target_monthwise!$D$24:$O$40,DTR!AG$4,FALSE)),0)</f>
        <v>0</v>
      </c>
      <c r="AH440" s="253">
        <f t="shared" si="6"/>
        <v>202306</v>
      </c>
    </row>
    <row r="441" spans="3:34" ht="15.75" hidden="1">
      <c r="C441" s="235">
        <v>45084</v>
      </c>
      <c r="D441" s="141">
        <f>IFERROR((HLOOKUP($AH441,Target_monthwise!$D$4:$O$20,DTR!D$4,FALSE))*1000,0)</f>
        <v>0</v>
      </c>
      <c r="E441" s="141">
        <f>IFERROR((HLOOKUP($AH441,Target_monthwise!$D$4:$O$20,DTR!E$4,FALSE))*1000,0)</f>
        <v>0</v>
      </c>
      <c r="F441" s="141">
        <f>IFERROR((HLOOKUP($AH441,Target_monthwise!$D$4:$O$20,DTR!F$4,FALSE))*1000,0)</f>
        <v>0</v>
      </c>
      <c r="G441" s="141">
        <f>IFERROR((HLOOKUP($AH441,Target_monthwise!$D$4:$O$20,DTR!G$4,FALSE))*1000,0)</f>
        <v>0</v>
      </c>
      <c r="H441" s="141">
        <f>IFERROR((HLOOKUP($AH441,Target_monthwise!$D$4:$O$20,DTR!H$4,FALSE))*1000,0)</f>
        <v>0</v>
      </c>
      <c r="I441" s="141">
        <f>IFERROR((HLOOKUP($AH441,Target_monthwise!$D$4:$O$20,DTR!I$4,FALSE))*1000,0)</f>
        <v>0</v>
      </c>
      <c r="J441" s="141">
        <f>IFERROR((HLOOKUP($AH441,Target_monthwise!$D$4:$O$20,DTR!J$4,FALSE))*1000,0)</f>
        <v>0</v>
      </c>
      <c r="K441" s="141">
        <f>IFERROR((HLOOKUP($AH441,Target_monthwise!$D$4:$O$20,DTR!K$4,FALSE))*1000,0)</f>
        <v>0</v>
      </c>
      <c r="L441" s="141">
        <f>IFERROR((HLOOKUP($AH441,Target_monthwise!$D$4:$O$20,DTR!L$4,FALSE))*1000,0)</f>
        <v>0</v>
      </c>
      <c r="M441" s="141">
        <f>IFERROR((HLOOKUP($AH441,Target_monthwise!$D$4:$O$20,DTR!M$4,FALSE))*1000,0)</f>
        <v>0</v>
      </c>
      <c r="N441" s="141">
        <f>IFERROR((HLOOKUP($AH441,Target_monthwise!$D$4:$O$20,DTR!N$4,FALSE))*1000,0)</f>
        <v>0</v>
      </c>
      <c r="O441" s="141">
        <f>IFERROR((HLOOKUP($AH441,Target_monthwise!$D$4:$O$20,DTR!O$4,FALSE))*1000,0)</f>
        <v>0</v>
      </c>
      <c r="P441" s="141">
        <f>IFERROR((HLOOKUP($AH441,Target_monthwise!$D$4:$O$20,DTR!P$4,FALSE))*1000,0)</f>
        <v>0</v>
      </c>
      <c r="Q441" s="141">
        <f>IFERROR((HLOOKUP($AH441,Target_monthwise!$D$4:$O$20,DTR!Q$4,FALSE))*1000,0)</f>
        <v>0</v>
      </c>
      <c r="R441" s="167">
        <f>IFERROR((HLOOKUP($AH441,Target_monthwise!$D$4:$O$20,DTR!R$4,FALSE))*1000,0)</f>
        <v>0</v>
      </c>
      <c r="S441" s="147">
        <f>IFERROR((HLOOKUP($AH441,Target_monthwise!$D$24:$O$40,DTR!S$4,FALSE)),0)</f>
        <v>0</v>
      </c>
      <c r="T441" s="147">
        <f>IFERROR((HLOOKUP($AH441,Target_monthwise!$D$24:$O$40,DTR!T$4,FALSE)),0)</f>
        <v>0</v>
      </c>
      <c r="U441" s="147">
        <f>IFERROR((HLOOKUP($AH441,Target_monthwise!$D$24:$O$40,DTR!U$4,FALSE)),0)</f>
        <v>0</v>
      </c>
      <c r="V441" s="147">
        <f>IFERROR((HLOOKUP($AH441,Target_monthwise!$D$24:$O$40,DTR!V$4,FALSE)),0)</f>
        <v>0</v>
      </c>
      <c r="W441" s="147">
        <f>IFERROR((HLOOKUP($AH441,Target_monthwise!$D$24:$O$40,DTR!W$4,FALSE)),0)</f>
        <v>0</v>
      </c>
      <c r="X441" s="147">
        <f>IFERROR((HLOOKUP($AH441,Target_monthwise!$D$24:$O$40,DTR!X$4,FALSE)),0)</f>
        <v>0</v>
      </c>
      <c r="Y441" s="147">
        <f>IFERROR((HLOOKUP($AH441,Target_monthwise!$D$24:$O$40,DTR!Y$4,FALSE)),0)</f>
        <v>0</v>
      </c>
      <c r="Z441" s="147">
        <f>IFERROR((HLOOKUP($AH441,Target_monthwise!$D$24:$O$40,DTR!Z$4,FALSE)),0)</f>
        <v>0</v>
      </c>
      <c r="AA441" s="147">
        <f>IFERROR((HLOOKUP($AH441,Target_monthwise!$D$24:$O$40,DTR!AA$4,FALSE)),0)</f>
        <v>0</v>
      </c>
      <c r="AB441" s="147">
        <f>IFERROR((HLOOKUP($AH441,Target_monthwise!$D$24:$O$40,DTR!AB$4,FALSE)),0)</f>
        <v>0</v>
      </c>
      <c r="AC441" s="147">
        <f>IFERROR((HLOOKUP($AH441,Target_monthwise!$D$24:$O$40,DTR!AC$4,FALSE)),0)</f>
        <v>0</v>
      </c>
      <c r="AD441" s="147">
        <f>IFERROR((HLOOKUP($AH441,Target_monthwise!$D$24:$O$40,DTR!AD$4,FALSE)),0)</f>
        <v>0</v>
      </c>
      <c r="AE441" s="147">
        <f>IFERROR((HLOOKUP($AH441,Target_monthwise!$D$24:$O$40,DTR!AE$4,FALSE)),0)</f>
        <v>0</v>
      </c>
      <c r="AF441" s="147">
        <f>IFERROR((HLOOKUP($AH441,Target_monthwise!$D$24:$O$40,DTR!AF$4,FALSE)),0)</f>
        <v>0</v>
      </c>
      <c r="AG441" s="172">
        <f>IFERROR((HLOOKUP($AH441,Target_monthwise!$D$24:$O$40,DTR!AG$4,FALSE)),0)</f>
        <v>0</v>
      </c>
      <c r="AH441" s="253">
        <f t="shared" si="6"/>
        <v>202306</v>
      </c>
    </row>
    <row r="442" spans="3:34" ht="15.75" hidden="1">
      <c r="C442" s="237">
        <v>45085</v>
      </c>
      <c r="D442" s="238">
        <f>IFERROR((HLOOKUP($AH442,Target_monthwise!$D$4:$O$20,DTR!D$4,FALSE))*1000,0)</f>
        <v>0</v>
      </c>
      <c r="E442" s="238">
        <f>IFERROR((HLOOKUP($AH442,Target_monthwise!$D$4:$O$20,DTR!E$4,FALSE))*1000,0)</f>
        <v>0</v>
      </c>
      <c r="F442" s="238">
        <f>IFERROR((HLOOKUP($AH442,Target_monthwise!$D$4:$O$20,DTR!F$4,FALSE))*1000,0)</f>
        <v>0</v>
      </c>
      <c r="G442" s="238">
        <f>IFERROR((HLOOKUP($AH442,Target_monthwise!$D$4:$O$20,DTR!G$4,FALSE))*1000,0)</f>
        <v>0</v>
      </c>
      <c r="H442" s="238">
        <f>IFERROR((HLOOKUP($AH442,Target_monthwise!$D$4:$O$20,DTR!H$4,FALSE))*1000,0)</f>
        <v>0</v>
      </c>
      <c r="I442" s="238">
        <f>IFERROR((HLOOKUP($AH442,Target_monthwise!$D$4:$O$20,DTR!I$4,FALSE))*1000,0)</f>
        <v>0</v>
      </c>
      <c r="J442" s="238">
        <f>IFERROR((HLOOKUP($AH442,Target_monthwise!$D$4:$O$20,DTR!J$4,FALSE))*1000,0)</f>
        <v>0</v>
      </c>
      <c r="K442" s="238">
        <f>IFERROR((HLOOKUP($AH442,Target_monthwise!$D$4:$O$20,DTR!K$4,FALSE))*1000,0)</f>
        <v>0</v>
      </c>
      <c r="L442" s="238">
        <f>IFERROR((HLOOKUP($AH442,Target_monthwise!$D$4:$O$20,DTR!L$4,FALSE))*1000,0)</f>
        <v>0</v>
      </c>
      <c r="M442" s="238">
        <f>IFERROR((HLOOKUP($AH442,Target_monthwise!$D$4:$O$20,DTR!M$4,FALSE))*1000,0)</f>
        <v>0</v>
      </c>
      <c r="N442" s="238">
        <f>IFERROR((HLOOKUP($AH442,Target_monthwise!$D$4:$O$20,DTR!N$4,FALSE))*1000,0)</f>
        <v>0</v>
      </c>
      <c r="O442" s="238">
        <f>IFERROR((HLOOKUP($AH442,Target_monthwise!$D$4:$O$20,DTR!O$4,FALSE))*1000,0)</f>
        <v>0</v>
      </c>
      <c r="P442" s="238">
        <f>IFERROR((HLOOKUP($AH442,Target_monthwise!$D$4:$O$20,DTR!P$4,FALSE))*1000,0)</f>
        <v>0</v>
      </c>
      <c r="Q442" s="141">
        <f>IFERROR((HLOOKUP($AH442,Target_monthwise!$D$4:$O$20,DTR!Q$4,FALSE))*1000,0)</f>
        <v>0</v>
      </c>
      <c r="R442" s="167">
        <f>IFERROR((HLOOKUP($AH442,Target_monthwise!$D$4:$O$20,DTR!R$4,FALSE))*1000,0)</f>
        <v>0</v>
      </c>
      <c r="S442" s="239">
        <f>IFERROR((HLOOKUP($AH442,Target_monthwise!$D$24:$O$40,DTR!S$4,FALSE)),0)</f>
        <v>0</v>
      </c>
      <c r="T442" s="239">
        <f>IFERROR((HLOOKUP($AH442,Target_monthwise!$D$24:$O$40,DTR!T$4,FALSE)),0)</f>
        <v>0</v>
      </c>
      <c r="U442" s="239">
        <f>IFERROR((HLOOKUP($AH442,Target_monthwise!$D$24:$O$40,DTR!U$4,FALSE)),0)</f>
        <v>0</v>
      </c>
      <c r="V442" s="239">
        <f>IFERROR((HLOOKUP($AH442,Target_monthwise!$D$24:$O$40,DTR!V$4,FALSE)),0)</f>
        <v>0</v>
      </c>
      <c r="W442" s="239">
        <f>IFERROR((HLOOKUP($AH442,Target_monthwise!$D$24:$O$40,DTR!W$4,FALSE)),0)</f>
        <v>0</v>
      </c>
      <c r="X442" s="239">
        <f>IFERROR((HLOOKUP($AH442,Target_monthwise!$D$24:$O$40,DTR!X$4,FALSE)),0)</f>
        <v>0</v>
      </c>
      <c r="Y442" s="239">
        <f>IFERROR((HLOOKUP($AH442,Target_monthwise!$D$24:$O$40,DTR!Y$4,FALSE)),0)</f>
        <v>0</v>
      </c>
      <c r="Z442" s="147">
        <f>IFERROR((HLOOKUP($AH442,Target_monthwise!$D$24:$O$40,DTR!Z$4,FALSE)),0)</f>
        <v>0</v>
      </c>
      <c r="AA442" s="147">
        <f>IFERROR((HLOOKUP($AH442,Target_monthwise!$D$24:$O$40,DTR!AA$4,FALSE)),0)</f>
        <v>0</v>
      </c>
      <c r="AB442" s="147">
        <f>IFERROR((HLOOKUP($AH442,Target_monthwise!$D$24:$O$40,DTR!AB$4,FALSE)),0)</f>
        <v>0</v>
      </c>
      <c r="AC442" s="239">
        <f>IFERROR((HLOOKUP($AH442,Target_monthwise!$D$24:$O$40,DTR!AC$4,FALSE)),0)</f>
        <v>0</v>
      </c>
      <c r="AD442" s="239">
        <f>IFERROR((HLOOKUP($AH442,Target_monthwise!$D$24:$O$40,DTR!AD$4,FALSE)),0)</f>
        <v>0</v>
      </c>
      <c r="AE442" s="239">
        <f>IFERROR((HLOOKUP($AH442,Target_monthwise!$D$24:$O$40,DTR!AE$4,FALSE)),0)</f>
        <v>0</v>
      </c>
      <c r="AF442" s="239">
        <f>IFERROR((HLOOKUP($AH442,Target_monthwise!$D$24:$O$40,DTR!AF$4,FALSE)),0)</f>
        <v>0</v>
      </c>
      <c r="AG442" s="172">
        <f>IFERROR((HLOOKUP($AH442,Target_monthwise!$D$24:$O$40,DTR!AG$4,FALSE)),0)</f>
        <v>0</v>
      </c>
      <c r="AH442" s="253">
        <f t="shared" si="6"/>
        <v>202306</v>
      </c>
    </row>
    <row r="443" spans="3:34" ht="15.75" hidden="1">
      <c r="C443" s="235">
        <v>45086</v>
      </c>
      <c r="D443" s="141">
        <f>IFERROR((HLOOKUP($AH443,Target_monthwise!$D$4:$O$20,DTR!D$4,FALSE))*1000,0)</f>
        <v>0</v>
      </c>
      <c r="E443" s="141">
        <f>IFERROR((HLOOKUP($AH443,Target_monthwise!$D$4:$O$20,DTR!E$4,FALSE))*1000,0)</f>
        <v>0</v>
      </c>
      <c r="F443" s="141">
        <f>IFERROR((HLOOKUP($AH443,Target_monthwise!$D$4:$O$20,DTR!F$4,FALSE))*1000,0)</f>
        <v>0</v>
      </c>
      <c r="G443" s="141">
        <f>IFERROR((HLOOKUP($AH443,Target_monthwise!$D$4:$O$20,DTR!G$4,FALSE))*1000,0)</f>
        <v>0</v>
      </c>
      <c r="H443" s="141">
        <f>IFERROR((HLOOKUP($AH443,Target_monthwise!$D$4:$O$20,DTR!H$4,FALSE))*1000,0)</f>
        <v>0</v>
      </c>
      <c r="I443" s="141">
        <f>IFERROR((HLOOKUP($AH443,Target_monthwise!$D$4:$O$20,DTR!I$4,FALSE))*1000,0)</f>
        <v>0</v>
      </c>
      <c r="J443" s="141">
        <f>IFERROR((HLOOKUP($AH443,Target_monthwise!$D$4:$O$20,DTR!J$4,FALSE))*1000,0)</f>
        <v>0</v>
      </c>
      <c r="K443" s="141">
        <f>IFERROR((HLOOKUP($AH443,Target_monthwise!$D$4:$O$20,DTR!K$4,FALSE))*1000,0)</f>
        <v>0</v>
      </c>
      <c r="L443" s="141">
        <f>IFERROR((HLOOKUP($AH443,Target_monthwise!$D$4:$O$20,DTR!L$4,FALSE))*1000,0)</f>
        <v>0</v>
      </c>
      <c r="M443" s="141">
        <f>IFERROR((HLOOKUP($AH443,Target_monthwise!$D$4:$O$20,DTR!M$4,FALSE))*1000,0)</f>
        <v>0</v>
      </c>
      <c r="N443" s="141">
        <f>IFERROR((HLOOKUP($AH443,Target_monthwise!$D$4:$O$20,DTR!N$4,FALSE))*1000,0)</f>
        <v>0</v>
      </c>
      <c r="O443" s="141">
        <f>IFERROR((HLOOKUP($AH443,Target_monthwise!$D$4:$O$20,DTR!O$4,FALSE))*1000,0)</f>
        <v>0</v>
      </c>
      <c r="P443" s="141">
        <f>IFERROR((HLOOKUP($AH443,Target_monthwise!$D$4:$O$20,DTR!P$4,FALSE))*1000,0)</f>
        <v>0</v>
      </c>
      <c r="Q443" s="141">
        <f>IFERROR((HLOOKUP($AH443,Target_monthwise!$D$4:$O$20,DTR!Q$4,FALSE))*1000,0)</f>
        <v>0</v>
      </c>
      <c r="R443" s="167">
        <f>IFERROR((HLOOKUP($AH443,Target_monthwise!$D$4:$O$20,DTR!R$4,FALSE))*1000,0)</f>
        <v>0</v>
      </c>
      <c r="S443" s="147">
        <f>IFERROR((HLOOKUP($AH443,Target_monthwise!$D$24:$O$40,DTR!S$4,FALSE)),0)</f>
        <v>0</v>
      </c>
      <c r="T443" s="147">
        <f>IFERROR((HLOOKUP($AH443,Target_monthwise!$D$24:$O$40,DTR!T$4,FALSE)),0)</f>
        <v>0</v>
      </c>
      <c r="U443" s="147">
        <f>IFERROR((HLOOKUP($AH443,Target_monthwise!$D$24:$O$40,DTR!U$4,FALSE)),0)</f>
        <v>0</v>
      </c>
      <c r="V443" s="147">
        <f>IFERROR((HLOOKUP($AH443,Target_monthwise!$D$24:$O$40,DTR!V$4,FALSE)),0)</f>
        <v>0</v>
      </c>
      <c r="W443" s="147">
        <f>IFERROR((HLOOKUP($AH443,Target_monthwise!$D$24:$O$40,DTR!W$4,FALSE)),0)</f>
        <v>0</v>
      </c>
      <c r="X443" s="147">
        <f>IFERROR((HLOOKUP($AH443,Target_monthwise!$D$24:$O$40,DTR!X$4,FALSE)),0)</f>
        <v>0</v>
      </c>
      <c r="Y443" s="147">
        <f>IFERROR((HLOOKUP($AH443,Target_monthwise!$D$24:$O$40,DTR!Y$4,FALSE)),0)</f>
        <v>0</v>
      </c>
      <c r="Z443" s="147">
        <f>IFERROR((HLOOKUP($AH443,Target_monthwise!$D$24:$O$40,DTR!Z$4,FALSE)),0)</f>
        <v>0</v>
      </c>
      <c r="AA443" s="147">
        <f>IFERROR((HLOOKUP($AH443,Target_monthwise!$D$24:$O$40,DTR!AA$4,FALSE)),0)</f>
        <v>0</v>
      </c>
      <c r="AB443" s="147">
        <f>IFERROR((HLOOKUP($AH443,Target_monthwise!$D$24:$O$40,DTR!AB$4,FALSE)),0)</f>
        <v>0</v>
      </c>
      <c r="AC443" s="147">
        <f>IFERROR((HLOOKUP($AH443,Target_monthwise!$D$24:$O$40,DTR!AC$4,FALSE)),0)</f>
        <v>0</v>
      </c>
      <c r="AD443" s="147">
        <f>IFERROR((HLOOKUP($AH443,Target_monthwise!$D$24:$O$40,DTR!AD$4,FALSE)),0)</f>
        <v>0</v>
      </c>
      <c r="AE443" s="147">
        <f>IFERROR((HLOOKUP($AH443,Target_monthwise!$D$24:$O$40,DTR!AE$4,FALSE)),0)</f>
        <v>0</v>
      </c>
      <c r="AF443" s="147">
        <f>IFERROR((HLOOKUP($AH443,Target_monthwise!$D$24:$O$40,DTR!AF$4,FALSE)),0)</f>
        <v>0</v>
      </c>
      <c r="AG443" s="172">
        <f>IFERROR((HLOOKUP($AH443,Target_monthwise!$D$24:$O$40,DTR!AG$4,FALSE)),0)</f>
        <v>0</v>
      </c>
      <c r="AH443" s="253">
        <f t="shared" si="6"/>
        <v>202306</v>
      </c>
    </row>
    <row r="444" spans="3:34" ht="15.75" hidden="1">
      <c r="C444" s="237">
        <v>45087</v>
      </c>
      <c r="D444" s="238">
        <f>IFERROR((HLOOKUP($AH444,Target_monthwise!$D$4:$O$20,DTR!D$4,FALSE))*1000,0)</f>
        <v>0</v>
      </c>
      <c r="E444" s="238">
        <f>IFERROR((HLOOKUP($AH444,Target_monthwise!$D$4:$O$20,DTR!E$4,FALSE))*1000,0)</f>
        <v>0</v>
      </c>
      <c r="F444" s="238">
        <f>IFERROR((HLOOKUP($AH444,Target_monthwise!$D$4:$O$20,DTR!F$4,FALSE))*1000,0)</f>
        <v>0</v>
      </c>
      <c r="G444" s="238">
        <f>IFERROR((HLOOKUP($AH444,Target_monthwise!$D$4:$O$20,DTR!G$4,FALSE))*1000,0)</f>
        <v>0</v>
      </c>
      <c r="H444" s="238">
        <f>IFERROR((HLOOKUP($AH444,Target_monthwise!$D$4:$O$20,DTR!H$4,FALSE))*1000,0)</f>
        <v>0</v>
      </c>
      <c r="I444" s="238">
        <f>IFERROR((HLOOKUP($AH444,Target_monthwise!$D$4:$O$20,DTR!I$4,FALSE))*1000,0)</f>
        <v>0</v>
      </c>
      <c r="J444" s="238">
        <f>IFERROR((HLOOKUP($AH444,Target_monthwise!$D$4:$O$20,DTR!J$4,FALSE))*1000,0)</f>
        <v>0</v>
      </c>
      <c r="K444" s="238">
        <f>IFERROR((HLOOKUP($AH444,Target_monthwise!$D$4:$O$20,DTR!K$4,FALSE))*1000,0)</f>
        <v>0</v>
      </c>
      <c r="L444" s="238">
        <f>IFERROR((HLOOKUP($AH444,Target_monthwise!$D$4:$O$20,DTR!L$4,FALSE))*1000,0)</f>
        <v>0</v>
      </c>
      <c r="M444" s="238">
        <f>IFERROR((HLOOKUP($AH444,Target_monthwise!$D$4:$O$20,DTR!M$4,FALSE))*1000,0)</f>
        <v>0</v>
      </c>
      <c r="N444" s="238">
        <f>IFERROR((HLOOKUP($AH444,Target_monthwise!$D$4:$O$20,DTR!N$4,FALSE))*1000,0)</f>
        <v>0</v>
      </c>
      <c r="O444" s="238">
        <f>IFERROR((HLOOKUP($AH444,Target_monthwise!$D$4:$O$20,DTR!O$4,FALSE))*1000,0)</f>
        <v>0</v>
      </c>
      <c r="P444" s="238">
        <f>IFERROR((HLOOKUP($AH444,Target_monthwise!$D$4:$O$20,DTR!P$4,FALSE))*1000,0)</f>
        <v>0</v>
      </c>
      <c r="Q444" s="141">
        <f>IFERROR((HLOOKUP($AH444,Target_monthwise!$D$4:$O$20,DTR!Q$4,FALSE))*1000,0)</f>
        <v>0</v>
      </c>
      <c r="R444" s="167">
        <f>IFERROR((HLOOKUP($AH444,Target_monthwise!$D$4:$O$20,DTR!R$4,FALSE))*1000,0)</f>
        <v>0</v>
      </c>
      <c r="S444" s="239">
        <f>IFERROR((HLOOKUP($AH444,Target_monthwise!$D$24:$O$40,DTR!S$4,FALSE)),0)</f>
        <v>0</v>
      </c>
      <c r="T444" s="239">
        <f>IFERROR((HLOOKUP($AH444,Target_monthwise!$D$24:$O$40,DTR!T$4,FALSE)),0)</f>
        <v>0</v>
      </c>
      <c r="U444" s="239">
        <f>IFERROR((HLOOKUP($AH444,Target_monthwise!$D$24:$O$40,DTR!U$4,FALSE)),0)</f>
        <v>0</v>
      </c>
      <c r="V444" s="239">
        <f>IFERROR((HLOOKUP($AH444,Target_monthwise!$D$24:$O$40,DTR!V$4,FALSE)),0)</f>
        <v>0</v>
      </c>
      <c r="W444" s="239">
        <f>IFERROR((HLOOKUP($AH444,Target_monthwise!$D$24:$O$40,DTR!W$4,FALSE)),0)</f>
        <v>0</v>
      </c>
      <c r="X444" s="239">
        <f>IFERROR((HLOOKUP($AH444,Target_monthwise!$D$24:$O$40,DTR!X$4,FALSE)),0)</f>
        <v>0</v>
      </c>
      <c r="Y444" s="239">
        <f>IFERROR((HLOOKUP($AH444,Target_monthwise!$D$24:$O$40,DTR!Y$4,FALSE)),0)</f>
        <v>0</v>
      </c>
      <c r="Z444" s="147">
        <f>IFERROR((HLOOKUP($AH444,Target_monthwise!$D$24:$O$40,DTR!Z$4,FALSE)),0)</f>
        <v>0</v>
      </c>
      <c r="AA444" s="147">
        <f>IFERROR((HLOOKUP($AH444,Target_monthwise!$D$24:$O$40,DTR!AA$4,FALSE)),0)</f>
        <v>0</v>
      </c>
      <c r="AB444" s="147">
        <f>IFERROR((HLOOKUP($AH444,Target_monthwise!$D$24:$O$40,DTR!AB$4,FALSE)),0)</f>
        <v>0</v>
      </c>
      <c r="AC444" s="239">
        <f>IFERROR((HLOOKUP($AH444,Target_monthwise!$D$24:$O$40,DTR!AC$4,FALSE)),0)</f>
        <v>0</v>
      </c>
      <c r="AD444" s="239">
        <f>IFERROR((HLOOKUP($AH444,Target_monthwise!$D$24:$O$40,DTR!AD$4,FALSE)),0)</f>
        <v>0</v>
      </c>
      <c r="AE444" s="239">
        <f>IFERROR((HLOOKUP($AH444,Target_monthwise!$D$24:$O$40,DTR!AE$4,FALSE)),0)</f>
        <v>0</v>
      </c>
      <c r="AF444" s="239">
        <f>IFERROR((HLOOKUP($AH444,Target_monthwise!$D$24:$O$40,DTR!AF$4,FALSE)),0)</f>
        <v>0</v>
      </c>
      <c r="AG444" s="172">
        <f>IFERROR((HLOOKUP($AH444,Target_monthwise!$D$24:$O$40,DTR!AG$4,FALSE)),0)</f>
        <v>0</v>
      </c>
      <c r="AH444" s="253">
        <f t="shared" si="6"/>
        <v>202306</v>
      </c>
    </row>
    <row r="445" spans="3:34" ht="15.75" hidden="1">
      <c r="C445" s="235">
        <v>45088</v>
      </c>
      <c r="D445" s="141">
        <f>IFERROR((HLOOKUP($AH445,Target_monthwise!$D$4:$O$20,DTR!D$4,FALSE))*1000,0)</f>
        <v>0</v>
      </c>
      <c r="E445" s="141">
        <f>IFERROR((HLOOKUP($AH445,Target_monthwise!$D$4:$O$20,DTR!E$4,FALSE))*1000,0)</f>
        <v>0</v>
      </c>
      <c r="F445" s="141">
        <f>IFERROR((HLOOKUP($AH445,Target_monthwise!$D$4:$O$20,DTR!F$4,FALSE))*1000,0)</f>
        <v>0</v>
      </c>
      <c r="G445" s="141">
        <f>IFERROR((HLOOKUP($AH445,Target_monthwise!$D$4:$O$20,DTR!G$4,FALSE))*1000,0)</f>
        <v>0</v>
      </c>
      <c r="H445" s="141">
        <f>IFERROR((HLOOKUP($AH445,Target_monthwise!$D$4:$O$20,DTR!H$4,FALSE))*1000,0)</f>
        <v>0</v>
      </c>
      <c r="I445" s="141">
        <f>IFERROR((HLOOKUP($AH445,Target_monthwise!$D$4:$O$20,DTR!I$4,FALSE))*1000,0)</f>
        <v>0</v>
      </c>
      <c r="J445" s="141">
        <f>IFERROR((HLOOKUP($AH445,Target_monthwise!$D$4:$O$20,DTR!J$4,FALSE))*1000,0)</f>
        <v>0</v>
      </c>
      <c r="K445" s="141">
        <f>IFERROR((HLOOKUP($AH445,Target_monthwise!$D$4:$O$20,DTR!K$4,FALSE))*1000,0)</f>
        <v>0</v>
      </c>
      <c r="L445" s="141">
        <f>IFERROR((HLOOKUP($AH445,Target_monthwise!$D$4:$O$20,DTR!L$4,FALSE))*1000,0)</f>
        <v>0</v>
      </c>
      <c r="M445" s="141">
        <f>IFERROR((HLOOKUP($AH445,Target_monthwise!$D$4:$O$20,DTR!M$4,FALSE))*1000,0)</f>
        <v>0</v>
      </c>
      <c r="N445" s="141">
        <f>IFERROR((HLOOKUP($AH445,Target_monthwise!$D$4:$O$20,DTR!N$4,FALSE))*1000,0)</f>
        <v>0</v>
      </c>
      <c r="O445" s="141">
        <f>IFERROR((HLOOKUP($AH445,Target_monthwise!$D$4:$O$20,DTR!O$4,FALSE))*1000,0)</f>
        <v>0</v>
      </c>
      <c r="P445" s="141">
        <f>IFERROR((HLOOKUP($AH445,Target_monthwise!$D$4:$O$20,DTR!P$4,FALSE))*1000,0)</f>
        <v>0</v>
      </c>
      <c r="Q445" s="141">
        <f>IFERROR((HLOOKUP($AH445,Target_monthwise!$D$4:$O$20,DTR!Q$4,FALSE))*1000,0)</f>
        <v>0</v>
      </c>
      <c r="R445" s="167">
        <f>IFERROR((HLOOKUP($AH445,Target_monthwise!$D$4:$O$20,DTR!R$4,FALSE))*1000,0)</f>
        <v>0</v>
      </c>
      <c r="S445" s="147">
        <f>IFERROR((HLOOKUP($AH445,Target_monthwise!$D$24:$O$40,DTR!S$4,FALSE)),0)</f>
        <v>0</v>
      </c>
      <c r="T445" s="147">
        <f>IFERROR((HLOOKUP($AH445,Target_monthwise!$D$24:$O$40,DTR!T$4,FALSE)),0)</f>
        <v>0</v>
      </c>
      <c r="U445" s="147">
        <f>IFERROR((HLOOKUP($AH445,Target_monthwise!$D$24:$O$40,DTR!U$4,FALSE)),0)</f>
        <v>0</v>
      </c>
      <c r="V445" s="147">
        <f>IFERROR((HLOOKUP($AH445,Target_monthwise!$D$24:$O$40,DTR!V$4,FALSE)),0)</f>
        <v>0</v>
      </c>
      <c r="W445" s="147">
        <f>IFERROR((HLOOKUP($AH445,Target_monthwise!$D$24:$O$40,DTR!W$4,FALSE)),0)</f>
        <v>0</v>
      </c>
      <c r="X445" s="147">
        <f>IFERROR((HLOOKUP($AH445,Target_monthwise!$D$24:$O$40,DTR!X$4,FALSE)),0)</f>
        <v>0</v>
      </c>
      <c r="Y445" s="147">
        <f>IFERROR((HLOOKUP($AH445,Target_monthwise!$D$24:$O$40,DTR!Y$4,FALSE)),0)</f>
        <v>0</v>
      </c>
      <c r="Z445" s="147">
        <f>IFERROR((HLOOKUP($AH445,Target_monthwise!$D$24:$O$40,DTR!Z$4,FALSE)),0)</f>
        <v>0</v>
      </c>
      <c r="AA445" s="147">
        <f>IFERROR((HLOOKUP($AH445,Target_monthwise!$D$24:$O$40,DTR!AA$4,FALSE)),0)</f>
        <v>0</v>
      </c>
      <c r="AB445" s="147">
        <f>IFERROR((HLOOKUP($AH445,Target_monthwise!$D$24:$O$40,DTR!AB$4,FALSE)),0)</f>
        <v>0</v>
      </c>
      <c r="AC445" s="147">
        <f>IFERROR((HLOOKUP($AH445,Target_monthwise!$D$24:$O$40,DTR!AC$4,FALSE)),0)</f>
        <v>0</v>
      </c>
      <c r="AD445" s="147">
        <f>IFERROR((HLOOKUP($AH445,Target_monthwise!$D$24:$O$40,DTR!AD$4,FALSE)),0)</f>
        <v>0</v>
      </c>
      <c r="AE445" s="147">
        <f>IFERROR((HLOOKUP($AH445,Target_monthwise!$D$24:$O$40,DTR!AE$4,FALSE)),0)</f>
        <v>0</v>
      </c>
      <c r="AF445" s="147">
        <f>IFERROR((HLOOKUP($AH445,Target_monthwise!$D$24:$O$40,DTR!AF$4,FALSE)),0)</f>
        <v>0</v>
      </c>
      <c r="AG445" s="172">
        <f>IFERROR((HLOOKUP($AH445,Target_monthwise!$D$24:$O$40,DTR!AG$4,FALSE)),0)</f>
        <v>0</v>
      </c>
      <c r="AH445" s="253">
        <f t="shared" si="6"/>
        <v>202306</v>
      </c>
    </row>
    <row r="446" spans="3:34" ht="15.75" hidden="1">
      <c r="C446" s="237">
        <v>45089</v>
      </c>
      <c r="D446" s="238">
        <f>IFERROR((HLOOKUP($AH446,Target_monthwise!$D$4:$O$20,DTR!D$4,FALSE))*1000,0)</f>
        <v>0</v>
      </c>
      <c r="E446" s="238">
        <f>IFERROR((HLOOKUP($AH446,Target_monthwise!$D$4:$O$20,DTR!E$4,FALSE))*1000,0)</f>
        <v>0</v>
      </c>
      <c r="F446" s="238">
        <f>IFERROR((HLOOKUP($AH446,Target_monthwise!$D$4:$O$20,DTR!F$4,FALSE))*1000,0)</f>
        <v>0</v>
      </c>
      <c r="G446" s="238">
        <f>IFERROR((HLOOKUP($AH446,Target_monthwise!$D$4:$O$20,DTR!G$4,FALSE))*1000,0)</f>
        <v>0</v>
      </c>
      <c r="H446" s="238">
        <f>IFERROR((HLOOKUP($AH446,Target_monthwise!$D$4:$O$20,DTR!H$4,FALSE))*1000,0)</f>
        <v>0</v>
      </c>
      <c r="I446" s="238">
        <f>IFERROR((HLOOKUP($AH446,Target_monthwise!$D$4:$O$20,DTR!I$4,FALSE))*1000,0)</f>
        <v>0</v>
      </c>
      <c r="J446" s="238">
        <f>IFERROR((HLOOKUP($AH446,Target_monthwise!$D$4:$O$20,DTR!J$4,FALSE))*1000,0)</f>
        <v>0</v>
      </c>
      <c r="K446" s="238">
        <f>IFERROR((HLOOKUP($AH446,Target_monthwise!$D$4:$O$20,DTR!K$4,FALSE))*1000,0)</f>
        <v>0</v>
      </c>
      <c r="L446" s="238">
        <f>IFERROR((HLOOKUP($AH446,Target_monthwise!$D$4:$O$20,DTR!L$4,FALSE))*1000,0)</f>
        <v>0</v>
      </c>
      <c r="M446" s="238">
        <f>IFERROR((HLOOKUP($AH446,Target_monthwise!$D$4:$O$20,DTR!M$4,FALSE))*1000,0)</f>
        <v>0</v>
      </c>
      <c r="N446" s="238">
        <f>IFERROR((HLOOKUP($AH446,Target_monthwise!$D$4:$O$20,DTR!N$4,FALSE))*1000,0)</f>
        <v>0</v>
      </c>
      <c r="O446" s="238">
        <f>IFERROR((HLOOKUP($AH446,Target_monthwise!$D$4:$O$20,DTR!O$4,FALSE))*1000,0)</f>
        <v>0</v>
      </c>
      <c r="P446" s="238">
        <f>IFERROR((HLOOKUP($AH446,Target_monthwise!$D$4:$O$20,DTR!P$4,FALSE))*1000,0)</f>
        <v>0</v>
      </c>
      <c r="Q446" s="141">
        <f>IFERROR((HLOOKUP($AH446,Target_monthwise!$D$4:$O$20,DTR!Q$4,FALSE))*1000,0)</f>
        <v>0</v>
      </c>
      <c r="R446" s="167">
        <f>IFERROR((HLOOKUP($AH446,Target_monthwise!$D$4:$O$20,DTR!R$4,FALSE))*1000,0)</f>
        <v>0</v>
      </c>
      <c r="S446" s="239">
        <f>IFERROR((HLOOKUP($AH446,Target_monthwise!$D$24:$O$40,DTR!S$4,FALSE)),0)</f>
        <v>0</v>
      </c>
      <c r="T446" s="239">
        <f>IFERROR((HLOOKUP($AH446,Target_monthwise!$D$24:$O$40,DTR!T$4,FALSE)),0)</f>
        <v>0</v>
      </c>
      <c r="U446" s="239">
        <f>IFERROR((HLOOKUP($AH446,Target_monthwise!$D$24:$O$40,DTR!U$4,FALSE)),0)</f>
        <v>0</v>
      </c>
      <c r="V446" s="239">
        <f>IFERROR((HLOOKUP($AH446,Target_monthwise!$D$24:$O$40,DTR!V$4,FALSE)),0)</f>
        <v>0</v>
      </c>
      <c r="W446" s="239">
        <f>IFERROR((HLOOKUP($AH446,Target_monthwise!$D$24:$O$40,DTR!W$4,FALSE)),0)</f>
        <v>0</v>
      </c>
      <c r="X446" s="239">
        <f>IFERROR((HLOOKUP($AH446,Target_monthwise!$D$24:$O$40,DTR!X$4,FALSE)),0)</f>
        <v>0</v>
      </c>
      <c r="Y446" s="239">
        <f>IFERROR((HLOOKUP($AH446,Target_monthwise!$D$24:$O$40,DTR!Y$4,FALSE)),0)</f>
        <v>0</v>
      </c>
      <c r="Z446" s="147">
        <f>IFERROR((HLOOKUP($AH446,Target_monthwise!$D$24:$O$40,DTR!Z$4,FALSE)),0)</f>
        <v>0</v>
      </c>
      <c r="AA446" s="147">
        <f>IFERROR((HLOOKUP($AH446,Target_monthwise!$D$24:$O$40,DTR!AA$4,FALSE)),0)</f>
        <v>0</v>
      </c>
      <c r="AB446" s="147">
        <f>IFERROR((HLOOKUP($AH446,Target_monthwise!$D$24:$O$40,DTR!AB$4,FALSE)),0)</f>
        <v>0</v>
      </c>
      <c r="AC446" s="239">
        <f>IFERROR((HLOOKUP($AH446,Target_monthwise!$D$24:$O$40,DTR!AC$4,FALSE)),0)</f>
        <v>0</v>
      </c>
      <c r="AD446" s="239">
        <f>IFERROR((HLOOKUP($AH446,Target_monthwise!$D$24:$O$40,DTR!AD$4,FALSE)),0)</f>
        <v>0</v>
      </c>
      <c r="AE446" s="239">
        <f>IFERROR((HLOOKUP($AH446,Target_monthwise!$D$24:$O$40,DTR!AE$4,FALSE)),0)</f>
        <v>0</v>
      </c>
      <c r="AF446" s="239">
        <f>IFERROR((HLOOKUP($AH446,Target_monthwise!$D$24:$O$40,DTR!AF$4,FALSE)),0)</f>
        <v>0</v>
      </c>
      <c r="AG446" s="172">
        <f>IFERROR((HLOOKUP($AH446,Target_monthwise!$D$24:$O$40,DTR!AG$4,FALSE)),0)</f>
        <v>0</v>
      </c>
      <c r="AH446" s="253">
        <f t="shared" si="6"/>
        <v>202306</v>
      </c>
    </row>
    <row r="447" spans="3:34" ht="15.75" hidden="1">
      <c r="C447" s="235">
        <v>45090</v>
      </c>
      <c r="D447" s="141">
        <f>IFERROR((HLOOKUP($AH447,Target_monthwise!$D$4:$O$20,DTR!D$4,FALSE))*1000,0)</f>
        <v>0</v>
      </c>
      <c r="E447" s="141">
        <f>IFERROR((HLOOKUP($AH447,Target_monthwise!$D$4:$O$20,DTR!E$4,FALSE))*1000,0)</f>
        <v>0</v>
      </c>
      <c r="F447" s="141">
        <f>IFERROR((HLOOKUP($AH447,Target_monthwise!$D$4:$O$20,DTR!F$4,FALSE))*1000,0)</f>
        <v>0</v>
      </c>
      <c r="G447" s="141">
        <f>IFERROR((HLOOKUP($AH447,Target_monthwise!$D$4:$O$20,DTR!G$4,FALSE))*1000,0)</f>
        <v>0</v>
      </c>
      <c r="H447" s="141">
        <f>IFERROR((HLOOKUP($AH447,Target_monthwise!$D$4:$O$20,DTR!H$4,FALSE))*1000,0)</f>
        <v>0</v>
      </c>
      <c r="I447" s="141">
        <f>IFERROR((HLOOKUP($AH447,Target_monthwise!$D$4:$O$20,DTR!I$4,FALSE))*1000,0)</f>
        <v>0</v>
      </c>
      <c r="J447" s="141">
        <f>IFERROR((HLOOKUP($AH447,Target_monthwise!$D$4:$O$20,DTR!J$4,FALSE))*1000,0)</f>
        <v>0</v>
      </c>
      <c r="K447" s="141">
        <f>IFERROR((HLOOKUP($AH447,Target_monthwise!$D$4:$O$20,DTR!K$4,FALSE))*1000,0)</f>
        <v>0</v>
      </c>
      <c r="L447" s="141">
        <f>IFERROR((HLOOKUP($AH447,Target_monthwise!$D$4:$O$20,DTR!L$4,FALSE))*1000,0)</f>
        <v>0</v>
      </c>
      <c r="M447" s="141">
        <f>IFERROR((HLOOKUP($AH447,Target_monthwise!$D$4:$O$20,DTR!M$4,FALSE))*1000,0)</f>
        <v>0</v>
      </c>
      <c r="N447" s="141">
        <f>IFERROR((HLOOKUP($AH447,Target_monthwise!$D$4:$O$20,DTR!N$4,FALSE))*1000,0)</f>
        <v>0</v>
      </c>
      <c r="O447" s="141">
        <f>IFERROR((HLOOKUP($AH447,Target_monthwise!$D$4:$O$20,DTR!O$4,FALSE))*1000,0)</f>
        <v>0</v>
      </c>
      <c r="P447" s="141">
        <f>IFERROR((HLOOKUP($AH447,Target_monthwise!$D$4:$O$20,DTR!P$4,FALSE))*1000,0)</f>
        <v>0</v>
      </c>
      <c r="Q447" s="141">
        <f>IFERROR((HLOOKUP($AH447,Target_monthwise!$D$4:$O$20,DTR!Q$4,FALSE))*1000,0)</f>
        <v>0</v>
      </c>
      <c r="R447" s="167">
        <f>IFERROR((HLOOKUP($AH447,Target_monthwise!$D$4:$O$20,DTR!R$4,FALSE))*1000,0)</f>
        <v>0</v>
      </c>
      <c r="S447" s="147">
        <f>IFERROR((HLOOKUP($AH447,Target_monthwise!$D$24:$O$40,DTR!S$4,FALSE)),0)</f>
        <v>0</v>
      </c>
      <c r="T447" s="147">
        <f>IFERROR((HLOOKUP($AH447,Target_monthwise!$D$24:$O$40,DTR!T$4,FALSE)),0)</f>
        <v>0</v>
      </c>
      <c r="U447" s="147">
        <f>IFERROR((HLOOKUP($AH447,Target_monthwise!$D$24:$O$40,DTR!U$4,FALSE)),0)</f>
        <v>0</v>
      </c>
      <c r="V447" s="147">
        <f>IFERROR((HLOOKUP($AH447,Target_monthwise!$D$24:$O$40,DTR!V$4,FALSE)),0)</f>
        <v>0</v>
      </c>
      <c r="W447" s="147">
        <f>IFERROR((HLOOKUP($AH447,Target_monthwise!$D$24:$O$40,DTR!W$4,FALSE)),0)</f>
        <v>0</v>
      </c>
      <c r="X447" s="147">
        <f>IFERROR((HLOOKUP($AH447,Target_monthwise!$D$24:$O$40,DTR!X$4,FALSE)),0)</f>
        <v>0</v>
      </c>
      <c r="Y447" s="147">
        <f>IFERROR((HLOOKUP($AH447,Target_monthwise!$D$24:$O$40,DTR!Y$4,FALSE)),0)</f>
        <v>0</v>
      </c>
      <c r="Z447" s="147">
        <f>IFERROR((HLOOKUP($AH447,Target_monthwise!$D$24:$O$40,DTR!Z$4,FALSE)),0)</f>
        <v>0</v>
      </c>
      <c r="AA447" s="147">
        <f>IFERROR((HLOOKUP($AH447,Target_monthwise!$D$24:$O$40,DTR!AA$4,FALSE)),0)</f>
        <v>0</v>
      </c>
      <c r="AB447" s="147">
        <f>IFERROR((HLOOKUP($AH447,Target_monthwise!$D$24:$O$40,DTR!AB$4,FALSE)),0)</f>
        <v>0</v>
      </c>
      <c r="AC447" s="147">
        <f>IFERROR((HLOOKUP($AH447,Target_monthwise!$D$24:$O$40,DTR!AC$4,FALSE)),0)</f>
        <v>0</v>
      </c>
      <c r="AD447" s="147">
        <f>IFERROR((HLOOKUP($AH447,Target_monthwise!$D$24:$O$40,DTR!AD$4,FALSE)),0)</f>
        <v>0</v>
      </c>
      <c r="AE447" s="147">
        <f>IFERROR((HLOOKUP($AH447,Target_monthwise!$D$24:$O$40,DTR!AE$4,FALSE)),0)</f>
        <v>0</v>
      </c>
      <c r="AF447" s="147">
        <f>IFERROR((HLOOKUP($AH447,Target_monthwise!$D$24:$O$40,DTR!AF$4,FALSE)),0)</f>
        <v>0</v>
      </c>
      <c r="AG447" s="172">
        <f>IFERROR((HLOOKUP($AH447,Target_monthwise!$D$24:$O$40,DTR!AG$4,FALSE)),0)</f>
        <v>0</v>
      </c>
      <c r="AH447" s="253">
        <f t="shared" si="6"/>
        <v>202306</v>
      </c>
    </row>
    <row r="448" spans="3:34" ht="15.75" hidden="1">
      <c r="C448" s="237">
        <v>45091</v>
      </c>
      <c r="D448" s="238">
        <f>IFERROR((HLOOKUP($AH448,Target_monthwise!$D$4:$O$20,DTR!D$4,FALSE))*1000,0)</f>
        <v>0</v>
      </c>
      <c r="E448" s="238">
        <f>IFERROR((HLOOKUP($AH448,Target_monthwise!$D$4:$O$20,DTR!E$4,FALSE))*1000,0)</f>
        <v>0</v>
      </c>
      <c r="F448" s="238">
        <f>IFERROR((HLOOKUP($AH448,Target_monthwise!$D$4:$O$20,DTR!F$4,FALSE))*1000,0)</f>
        <v>0</v>
      </c>
      <c r="G448" s="238">
        <f>IFERROR((HLOOKUP($AH448,Target_monthwise!$D$4:$O$20,DTR!G$4,FALSE))*1000,0)</f>
        <v>0</v>
      </c>
      <c r="H448" s="238">
        <f>IFERROR((HLOOKUP($AH448,Target_monthwise!$D$4:$O$20,DTR!H$4,FALSE))*1000,0)</f>
        <v>0</v>
      </c>
      <c r="I448" s="238">
        <f>IFERROR((HLOOKUP($AH448,Target_monthwise!$D$4:$O$20,DTR!I$4,FALSE))*1000,0)</f>
        <v>0</v>
      </c>
      <c r="J448" s="238">
        <f>IFERROR((HLOOKUP($AH448,Target_monthwise!$D$4:$O$20,DTR!J$4,FALSE))*1000,0)</f>
        <v>0</v>
      </c>
      <c r="K448" s="238">
        <f>IFERROR((HLOOKUP($AH448,Target_monthwise!$D$4:$O$20,DTR!K$4,FALSE))*1000,0)</f>
        <v>0</v>
      </c>
      <c r="L448" s="238">
        <f>IFERROR((HLOOKUP($AH448,Target_monthwise!$D$4:$O$20,DTR!L$4,FALSE))*1000,0)</f>
        <v>0</v>
      </c>
      <c r="M448" s="238">
        <f>IFERROR((HLOOKUP($AH448,Target_monthwise!$D$4:$O$20,DTR!M$4,FALSE))*1000,0)</f>
        <v>0</v>
      </c>
      <c r="N448" s="238">
        <f>IFERROR((HLOOKUP($AH448,Target_monthwise!$D$4:$O$20,DTR!N$4,FALSE))*1000,0)</f>
        <v>0</v>
      </c>
      <c r="O448" s="238">
        <f>IFERROR((HLOOKUP($AH448,Target_monthwise!$D$4:$O$20,DTR!O$4,FALSE))*1000,0)</f>
        <v>0</v>
      </c>
      <c r="P448" s="238">
        <f>IFERROR((HLOOKUP($AH448,Target_monthwise!$D$4:$O$20,DTR!P$4,FALSE))*1000,0)</f>
        <v>0</v>
      </c>
      <c r="Q448" s="141">
        <f>IFERROR((HLOOKUP($AH448,Target_monthwise!$D$4:$O$20,DTR!Q$4,FALSE))*1000,0)</f>
        <v>0</v>
      </c>
      <c r="R448" s="167">
        <f>IFERROR((HLOOKUP($AH448,Target_monthwise!$D$4:$O$20,DTR!R$4,FALSE))*1000,0)</f>
        <v>0</v>
      </c>
      <c r="S448" s="239">
        <f>IFERROR((HLOOKUP($AH448,Target_monthwise!$D$24:$O$40,DTR!S$4,FALSE)),0)</f>
        <v>0</v>
      </c>
      <c r="T448" s="239">
        <f>IFERROR((HLOOKUP($AH448,Target_monthwise!$D$24:$O$40,DTR!T$4,FALSE)),0)</f>
        <v>0</v>
      </c>
      <c r="U448" s="239">
        <f>IFERROR((HLOOKUP($AH448,Target_monthwise!$D$24:$O$40,DTR!U$4,FALSE)),0)</f>
        <v>0</v>
      </c>
      <c r="V448" s="239">
        <f>IFERROR((HLOOKUP($AH448,Target_monthwise!$D$24:$O$40,DTR!V$4,FALSE)),0)</f>
        <v>0</v>
      </c>
      <c r="W448" s="239">
        <f>IFERROR((HLOOKUP($AH448,Target_monthwise!$D$24:$O$40,DTR!W$4,FALSE)),0)</f>
        <v>0</v>
      </c>
      <c r="X448" s="239">
        <f>IFERROR((HLOOKUP($AH448,Target_monthwise!$D$24:$O$40,DTR!X$4,FALSE)),0)</f>
        <v>0</v>
      </c>
      <c r="Y448" s="239">
        <f>IFERROR((HLOOKUP($AH448,Target_monthwise!$D$24:$O$40,DTR!Y$4,FALSE)),0)</f>
        <v>0</v>
      </c>
      <c r="Z448" s="147">
        <f>IFERROR((HLOOKUP($AH448,Target_monthwise!$D$24:$O$40,DTR!Z$4,FALSE)),0)</f>
        <v>0</v>
      </c>
      <c r="AA448" s="147">
        <f>IFERROR((HLOOKUP($AH448,Target_monthwise!$D$24:$O$40,DTR!AA$4,FALSE)),0)</f>
        <v>0</v>
      </c>
      <c r="AB448" s="147">
        <f>IFERROR((HLOOKUP($AH448,Target_monthwise!$D$24:$O$40,DTR!AB$4,FALSE)),0)</f>
        <v>0</v>
      </c>
      <c r="AC448" s="239">
        <f>IFERROR((HLOOKUP($AH448,Target_monthwise!$D$24:$O$40,DTR!AC$4,FALSE)),0)</f>
        <v>0</v>
      </c>
      <c r="AD448" s="239">
        <f>IFERROR((HLOOKUP($AH448,Target_monthwise!$D$24:$O$40,DTR!AD$4,FALSE)),0)</f>
        <v>0</v>
      </c>
      <c r="AE448" s="239">
        <f>IFERROR((HLOOKUP($AH448,Target_monthwise!$D$24:$O$40,DTR!AE$4,FALSE)),0)</f>
        <v>0</v>
      </c>
      <c r="AF448" s="239">
        <f>IFERROR((HLOOKUP($AH448,Target_monthwise!$D$24:$O$40,DTR!AF$4,FALSE)),0)</f>
        <v>0</v>
      </c>
      <c r="AG448" s="172">
        <f>IFERROR((HLOOKUP($AH448,Target_monthwise!$D$24:$O$40,DTR!AG$4,FALSE)),0)</f>
        <v>0</v>
      </c>
      <c r="AH448" s="253">
        <f t="shared" si="6"/>
        <v>202306</v>
      </c>
    </row>
    <row r="449" spans="3:34" ht="15.75" hidden="1">
      <c r="C449" s="235">
        <v>45092</v>
      </c>
      <c r="D449" s="141">
        <f>IFERROR((HLOOKUP($AH449,Target_monthwise!$D$4:$O$20,DTR!D$4,FALSE))*1000,0)</f>
        <v>0</v>
      </c>
      <c r="E449" s="141">
        <f>IFERROR((HLOOKUP($AH449,Target_monthwise!$D$4:$O$20,DTR!E$4,FALSE))*1000,0)</f>
        <v>0</v>
      </c>
      <c r="F449" s="141">
        <f>IFERROR((HLOOKUP($AH449,Target_monthwise!$D$4:$O$20,DTR!F$4,FALSE))*1000,0)</f>
        <v>0</v>
      </c>
      <c r="G449" s="141">
        <f>IFERROR((HLOOKUP($AH449,Target_monthwise!$D$4:$O$20,DTR!G$4,FALSE))*1000,0)</f>
        <v>0</v>
      </c>
      <c r="H449" s="141">
        <f>IFERROR((HLOOKUP($AH449,Target_monthwise!$D$4:$O$20,DTR!H$4,FALSE))*1000,0)</f>
        <v>0</v>
      </c>
      <c r="I449" s="141">
        <f>IFERROR((HLOOKUP($AH449,Target_monthwise!$D$4:$O$20,DTR!I$4,FALSE))*1000,0)</f>
        <v>0</v>
      </c>
      <c r="J449" s="141">
        <f>IFERROR((HLOOKUP($AH449,Target_monthwise!$D$4:$O$20,DTR!J$4,FALSE))*1000,0)</f>
        <v>0</v>
      </c>
      <c r="K449" s="141">
        <f>IFERROR((HLOOKUP($AH449,Target_monthwise!$D$4:$O$20,DTR!K$4,FALSE))*1000,0)</f>
        <v>0</v>
      </c>
      <c r="L449" s="141">
        <f>IFERROR((HLOOKUP($AH449,Target_monthwise!$D$4:$O$20,DTR!L$4,FALSE))*1000,0)</f>
        <v>0</v>
      </c>
      <c r="M449" s="141">
        <f>IFERROR((HLOOKUP($AH449,Target_monthwise!$D$4:$O$20,DTR!M$4,FALSE))*1000,0)</f>
        <v>0</v>
      </c>
      <c r="N449" s="141">
        <f>IFERROR((HLOOKUP($AH449,Target_monthwise!$D$4:$O$20,DTR!N$4,FALSE))*1000,0)</f>
        <v>0</v>
      </c>
      <c r="O449" s="141">
        <f>IFERROR((HLOOKUP($AH449,Target_monthwise!$D$4:$O$20,DTR!O$4,FALSE))*1000,0)</f>
        <v>0</v>
      </c>
      <c r="P449" s="141">
        <f>IFERROR((HLOOKUP($AH449,Target_monthwise!$D$4:$O$20,DTR!P$4,FALSE))*1000,0)</f>
        <v>0</v>
      </c>
      <c r="Q449" s="141">
        <f>IFERROR((HLOOKUP($AH449,Target_monthwise!$D$4:$O$20,DTR!Q$4,FALSE))*1000,0)</f>
        <v>0</v>
      </c>
      <c r="R449" s="167">
        <f>IFERROR((HLOOKUP($AH449,Target_monthwise!$D$4:$O$20,DTR!R$4,FALSE))*1000,0)</f>
        <v>0</v>
      </c>
      <c r="S449" s="147">
        <f>IFERROR((HLOOKUP($AH449,Target_monthwise!$D$24:$O$40,DTR!S$4,FALSE)),0)</f>
        <v>0</v>
      </c>
      <c r="T449" s="147">
        <f>IFERROR((HLOOKUP($AH449,Target_monthwise!$D$24:$O$40,DTR!T$4,FALSE)),0)</f>
        <v>0</v>
      </c>
      <c r="U449" s="147">
        <f>IFERROR((HLOOKUP($AH449,Target_monthwise!$D$24:$O$40,DTR!U$4,FALSE)),0)</f>
        <v>0</v>
      </c>
      <c r="V449" s="147">
        <f>IFERROR((HLOOKUP($AH449,Target_monthwise!$D$24:$O$40,DTR!V$4,FALSE)),0)</f>
        <v>0</v>
      </c>
      <c r="W449" s="147">
        <f>IFERROR((HLOOKUP($AH449,Target_monthwise!$D$24:$O$40,DTR!W$4,FALSE)),0)</f>
        <v>0</v>
      </c>
      <c r="X449" s="147">
        <f>IFERROR((HLOOKUP($AH449,Target_monthwise!$D$24:$O$40,DTR!X$4,FALSE)),0)</f>
        <v>0</v>
      </c>
      <c r="Y449" s="147">
        <f>IFERROR((HLOOKUP($AH449,Target_monthwise!$D$24:$O$40,DTR!Y$4,FALSE)),0)</f>
        <v>0</v>
      </c>
      <c r="Z449" s="147">
        <f>IFERROR((HLOOKUP($AH449,Target_monthwise!$D$24:$O$40,DTR!Z$4,FALSE)),0)</f>
        <v>0</v>
      </c>
      <c r="AA449" s="147">
        <f>IFERROR((HLOOKUP($AH449,Target_monthwise!$D$24:$O$40,DTR!AA$4,FALSE)),0)</f>
        <v>0</v>
      </c>
      <c r="AB449" s="147">
        <f>IFERROR((HLOOKUP($AH449,Target_monthwise!$D$24:$O$40,DTR!AB$4,FALSE)),0)</f>
        <v>0</v>
      </c>
      <c r="AC449" s="147">
        <f>IFERROR((HLOOKUP($AH449,Target_monthwise!$D$24:$O$40,DTR!AC$4,FALSE)),0)</f>
        <v>0</v>
      </c>
      <c r="AD449" s="147">
        <f>IFERROR((HLOOKUP($AH449,Target_monthwise!$D$24:$O$40,DTR!AD$4,FALSE)),0)</f>
        <v>0</v>
      </c>
      <c r="AE449" s="147">
        <f>IFERROR((HLOOKUP($AH449,Target_monthwise!$D$24:$O$40,DTR!AE$4,FALSE)),0)</f>
        <v>0</v>
      </c>
      <c r="AF449" s="147">
        <f>IFERROR((HLOOKUP($AH449,Target_monthwise!$D$24:$O$40,DTR!AF$4,FALSE)),0)</f>
        <v>0</v>
      </c>
      <c r="AG449" s="172">
        <f>IFERROR((HLOOKUP($AH449,Target_monthwise!$D$24:$O$40,DTR!AG$4,FALSE)),0)</f>
        <v>0</v>
      </c>
      <c r="AH449" s="253">
        <f t="shared" si="6"/>
        <v>202306</v>
      </c>
    </row>
    <row r="450" spans="3:34" ht="15.75" hidden="1">
      <c r="C450" s="237">
        <v>45093</v>
      </c>
      <c r="D450" s="238">
        <f>IFERROR((HLOOKUP($AH450,Target_monthwise!$D$4:$O$20,DTR!D$4,FALSE))*1000,0)</f>
        <v>0</v>
      </c>
      <c r="E450" s="238">
        <f>IFERROR((HLOOKUP($AH450,Target_monthwise!$D$4:$O$20,DTR!E$4,FALSE))*1000,0)</f>
        <v>0</v>
      </c>
      <c r="F450" s="238">
        <f>IFERROR((HLOOKUP($AH450,Target_monthwise!$D$4:$O$20,DTR!F$4,FALSE))*1000,0)</f>
        <v>0</v>
      </c>
      <c r="G450" s="238">
        <f>IFERROR((HLOOKUP($AH450,Target_monthwise!$D$4:$O$20,DTR!G$4,FALSE))*1000,0)</f>
        <v>0</v>
      </c>
      <c r="H450" s="238">
        <f>IFERROR((HLOOKUP($AH450,Target_monthwise!$D$4:$O$20,DTR!H$4,FALSE))*1000,0)</f>
        <v>0</v>
      </c>
      <c r="I450" s="238">
        <f>IFERROR((HLOOKUP($AH450,Target_monthwise!$D$4:$O$20,DTR!I$4,FALSE))*1000,0)</f>
        <v>0</v>
      </c>
      <c r="J450" s="238">
        <f>IFERROR((HLOOKUP($AH450,Target_monthwise!$D$4:$O$20,DTR!J$4,FALSE))*1000,0)</f>
        <v>0</v>
      </c>
      <c r="K450" s="238">
        <f>IFERROR((HLOOKUP($AH450,Target_monthwise!$D$4:$O$20,DTR!K$4,FALSE))*1000,0)</f>
        <v>0</v>
      </c>
      <c r="L450" s="238">
        <f>IFERROR((HLOOKUP($AH450,Target_monthwise!$D$4:$O$20,DTR!L$4,FALSE))*1000,0)</f>
        <v>0</v>
      </c>
      <c r="M450" s="238">
        <f>IFERROR((HLOOKUP($AH450,Target_monthwise!$D$4:$O$20,DTR!M$4,FALSE))*1000,0)</f>
        <v>0</v>
      </c>
      <c r="N450" s="238">
        <f>IFERROR((HLOOKUP($AH450,Target_monthwise!$D$4:$O$20,DTR!N$4,FALSE))*1000,0)</f>
        <v>0</v>
      </c>
      <c r="O450" s="238">
        <f>IFERROR((HLOOKUP($AH450,Target_monthwise!$D$4:$O$20,DTR!O$4,FALSE))*1000,0)</f>
        <v>0</v>
      </c>
      <c r="P450" s="238">
        <f>IFERROR((HLOOKUP($AH450,Target_monthwise!$D$4:$O$20,DTR!P$4,FALSE))*1000,0)</f>
        <v>0</v>
      </c>
      <c r="Q450" s="141">
        <f>IFERROR((HLOOKUP($AH450,Target_monthwise!$D$4:$O$20,DTR!Q$4,FALSE))*1000,0)</f>
        <v>0</v>
      </c>
      <c r="R450" s="167">
        <f>IFERROR((HLOOKUP($AH450,Target_monthwise!$D$4:$O$20,DTR!R$4,FALSE))*1000,0)</f>
        <v>0</v>
      </c>
      <c r="S450" s="239">
        <f>IFERROR((HLOOKUP($AH450,Target_monthwise!$D$24:$O$40,DTR!S$4,FALSE)),0)</f>
        <v>0</v>
      </c>
      <c r="T450" s="239">
        <f>IFERROR((HLOOKUP($AH450,Target_monthwise!$D$24:$O$40,DTR!T$4,FALSE)),0)</f>
        <v>0</v>
      </c>
      <c r="U450" s="239">
        <f>IFERROR((HLOOKUP($AH450,Target_monthwise!$D$24:$O$40,DTR!U$4,FALSE)),0)</f>
        <v>0</v>
      </c>
      <c r="V450" s="239">
        <f>IFERROR((HLOOKUP($AH450,Target_monthwise!$D$24:$O$40,DTR!V$4,FALSE)),0)</f>
        <v>0</v>
      </c>
      <c r="W450" s="239">
        <f>IFERROR((HLOOKUP($AH450,Target_monthwise!$D$24:$O$40,DTR!W$4,FALSE)),0)</f>
        <v>0</v>
      </c>
      <c r="X450" s="239">
        <f>IFERROR((HLOOKUP($AH450,Target_monthwise!$D$24:$O$40,DTR!X$4,FALSE)),0)</f>
        <v>0</v>
      </c>
      <c r="Y450" s="239">
        <f>IFERROR((HLOOKUP($AH450,Target_monthwise!$D$24:$O$40,DTR!Y$4,FALSE)),0)</f>
        <v>0</v>
      </c>
      <c r="Z450" s="147">
        <f>IFERROR((HLOOKUP($AH450,Target_monthwise!$D$24:$O$40,DTR!Z$4,FALSE)),0)</f>
        <v>0</v>
      </c>
      <c r="AA450" s="147">
        <f>IFERROR((HLOOKUP($AH450,Target_monthwise!$D$24:$O$40,DTR!AA$4,FALSE)),0)</f>
        <v>0</v>
      </c>
      <c r="AB450" s="147">
        <f>IFERROR((HLOOKUP($AH450,Target_monthwise!$D$24:$O$40,DTR!AB$4,FALSE)),0)</f>
        <v>0</v>
      </c>
      <c r="AC450" s="239">
        <f>IFERROR((HLOOKUP($AH450,Target_monthwise!$D$24:$O$40,DTR!AC$4,FALSE)),0)</f>
        <v>0</v>
      </c>
      <c r="AD450" s="239">
        <f>IFERROR((HLOOKUP($AH450,Target_monthwise!$D$24:$O$40,DTR!AD$4,FALSE)),0)</f>
        <v>0</v>
      </c>
      <c r="AE450" s="239">
        <f>IFERROR((HLOOKUP($AH450,Target_monthwise!$D$24:$O$40,DTR!AE$4,FALSE)),0)</f>
        <v>0</v>
      </c>
      <c r="AF450" s="239">
        <f>IFERROR((HLOOKUP($AH450,Target_monthwise!$D$24:$O$40,DTR!AF$4,FALSE)),0)</f>
        <v>0</v>
      </c>
      <c r="AG450" s="172">
        <f>IFERROR((HLOOKUP($AH450,Target_monthwise!$D$24:$O$40,DTR!AG$4,FALSE)),0)</f>
        <v>0</v>
      </c>
      <c r="AH450" s="253">
        <f t="shared" si="6"/>
        <v>202306</v>
      </c>
    </row>
    <row r="451" spans="3:34" ht="15.75" hidden="1">
      <c r="C451" s="235">
        <v>45094</v>
      </c>
      <c r="D451" s="141">
        <f>IFERROR((HLOOKUP($AH451,Target_monthwise!$D$4:$O$20,DTR!D$4,FALSE))*1000,0)</f>
        <v>0</v>
      </c>
      <c r="E451" s="141">
        <f>IFERROR((HLOOKUP($AH451,Target_monthwise!$D$4:$O$20,DTR!E$4,FALSE))*1000,0)</f>
        <v>0</v>
      </c>
      <c r="F451" s="141">
        <f>IFERROR((HLOOKUP($AH451,Target_monthwise!$D$4:$O$20,DTR!F$4,FALSE))*1000,0)</f>
        <v>0</v>
      </c>
      <c r="G451" s="141">
        <f>IFERROR((HLOOKUP($AH451,Target_monthwise!$D$4:$O$20,DTR!G$4,FALSE))*1000,0)</f>
        <v>0</v>
      </c>
      <c r="H451" s="141">
        <f>IFERROR((HLOOKUP($AH451,Target_monthwise!$D$4:$O$20,DTR!H$4,FALSE))*1000,0)</f>
        <v>0</v>
      </c>
      <c r="I451" s="141">
        <f>IFERROR((HLOOKUP($AH451,Target_monthwise!$D$4:$O$20,DTR!I$4,FALSE))*1000,0)</f>
        <v>0</v>
      </c>
      <c r="J451" s="141">
        <f>IFERROR((HLOOKUP($AH451,Target_monthwise!$D$4:$O$20,DTR!J$4,FALSE))*1000,0)</f>
        <v>0</v>
      </c>
      <c r="K451" s="141">
        <f>IFERROR((HLOOKUP($AH451,Target_monthwise!$D$4:$O$20,DTR!K$4,FALSE))*1000,0)</f>
        <v>0</v>
      </c>
      <c r="L451" s="141">
        <f>IFERROR((HLOOKUP($AH451,Target_monthwise!$D$4:$O$20,DTR!L$4,FALSE))*1000,0)</f>
        <v>0</v>
      </c>
      <c r="M451" s="141">
        <f>IFERROR((HLOOKUP($AH451,Target_monthwise!$D$4:$O$20,DTR!M$4,FALSE))*1000,0)</f>
        <v>0</v>
      </c>
      <c r="N451" s="141">
        <f>IFERROR((HLOOKUP($AH451,Target_monthwise!$D$4:$O$20,DTR!N$4,FALSE))*1000,0)</f>
        <v>0</v>
      </c>
      <c r="O451" s="141">
        <f>IFERROR((HLOOKUP($AH451,Target_monthwise!$D$4:$O$20,DTR!O$4,FALSE))*1000,0)</f>
        <v>0</v>
      </c>
      <c r="P451" s="141">
        <f>IFERROR((HLOOKUP($AH451,Target_monthwise!$D$4:$O$20,DTR!P$4,FALSE))*1000,0)</f>
        <v>0</v>
      </c>
      <c r="Q451" s="141">
        <f>IFERROR((HLOOKUP($AH451,Target_monthwise!$D$4:$O$20,DTR!Q$4,FALSE))*1000,0)</f>
        <v>0</v>
      </c>
      <c r="R451" s="167">
        <f>IFERROR((HLOOKUP($AH451,Target_monthwise!$D$4:$O$20,DTR!R$4,FALSE))*1000,0)</f>
        <v>0</v>
      </c>
      <c r="S451" s="147">
        <f>IFERROR((HLOOKUP($AH451,Target_monthwise!$D$24:$O$40,DTR!S$4,FALSE)),0)</f>
        <v>0</v>
      </c>
      <c r="T451" s="147">
        <f>IFERROR((HLOOKUP($AH451,Target_monthwise!$D$24:$O$40,DTR!T$4,FALSE)),0)</f>
        <v>0</v>
      </c>
      <c r="U451" s="147">
        <f>IFERROR((HLOOKUP($AH451,Target_monthwise!$D$24:$O$40,DTR!U$4,FALSE)),0)</f>
        <v>0</v>
      </c>
      <c r="V451" s="147">
        <f>IFERROR((HLOOKUP($AH451,Target_monthwise!$D$24:$O$40,DTR!V$4,FALSE)),0)</f>
        <v>0</v>
      </c>
      <c r="W451" s="147">
        <f>IFERROR((HLOOKUP($AH451,Target_monthwise!$D$24:$O$40,DTR!W$4,FALSE)),0)</f>
        <v>0</v>
      </c>
      <c r="X451" s="147">
        <f>IFERROR((HLOOKUP($AH451,Target_monthwise!$D$24:$O$40,DTR!X$4,FALSE)),0)</f>
        <v>0</v>
      </c>
      <c r="Y451" s="147">
        <f>IFERROR((HLOOKUP($AH451,Target_monthwise!$D$24:$O$40,DTR!Y$4,FALSE)),0)</f>
        <v>0</v>
      </c>
      <c r="Z451" s="147">
        <f>IFERROR((HLOOKUP($AH451,Target_monthwise!$D$24:$O$40,DTR!Z$4,FALSE)),0)</f>
        <v>0</v>
      </c>
      <c r="AA451" s="147">
        <f>IFERROR((HLOOKUP($AH451,Target_monthwise!$D$24:$O$40,DTR!AA$4,FALSE)),0)</f>
        <v>0</v>
      </c>
      <c r="AB451" s="147">
        <f>IFERROR((HLOOKUP($AH451,Target_monthwise!$D$24:$O$40,DTR!AB$4,FALSE)),0)</f>
        <v>0</v>
      </c>
      <c r="AC451" s="147">
        <f>IFERROR((HLOOKUP($AH451,Target_monthwise!$D$24:$O$40,DTR!AC$4,FALSE)),0)</f>
        <v>0</v>
      </c>
      <c r="AD451" s="147">
        <f>IFERROR((HLOOKUP($AH451,Target_monthwise!$D$24:$O$40,DTR!AD$4,FALSE)),0)</f>
        <v>0</v>
      </c>
      <c r="AE451" s="147">
        <f>IFERROR((HLOOKUP($AH451,Target_monthwise!$D$24:$O$40,DTR!AE$4,FALSE)),0)</f>
        <v>0</v>
      </c>
      <c r="AF451" s="147">
        <f>IFERROR((HLOOKUP($AH451,Target_monthwise!$D$24:$O$40,DTR!AF$4,FALSE)),0)</f>
        <v>0</v>
      </c>
      <c r="AG451" s="172">
        <f>IFERROR((HLOOKUP($AH451,Target_monthwise!$D$24:$O$40,DTR!AG$4,FALSE)),0)</f>
        <v>0</v>
      </c>
      <c r="AH451" s="253">
        <f t="shared" si="6"/>
        <v>202306</v>
      </c>
    </row>
    <row r="452" spans="3:34" ht="15.75" hidden="1">
      <c r="C452" s="237">
        <v>45095</v>
      </c>
      <c r="D452" s="238">
        <f>IFERROR((HLOOKUP($AH452,Target_monthwise!$D$4:$O$20,DTR!D$4,FALSE))*1000,0)</f>
        <v>0</v>
      </c>
      <c r="E452" s="238">
        <f>IFERROR((HLOOKUP($AH452,Target_monthwise!$D$4:$O$20,DTR!E$4,FALSE))*1000,0)</f>
        <v>0</v>
      </c>
      <c r="F452" s="238">
        <f>IFERROR((HLOOKUP($AH452,Target_monthwise!$D$4:$O$20,DTR!F$4,FALSE))*1000,0)</f>
        <v>0</v>
      </c>
      <c r="G452" s="238">
        <f>IFERROR((HLOOKUP($AH452,Target_monthwise!$D$4:$O$20,DTR!G$4,FALSE))*1000,0)</f>
        <v>0</v>
      </c>
      <c r="H452" s="238">
        <f>IFERROR((HLOOKUP($AH452,Target_monthwise!$D$4:$O$20,DTR!H$4,FALSE))*1000,0)</f>
        <v>0</v>
      </c>
      <c r="I452" s="238">
        <f>IFERROR((HLOOKUP($AH452,Target_monthwise!$D$4:$O$20,DTR!I$4,FALSE))*1000,0)</f>
        <v>0</v>
      </c>
      <c r="J452" s="238">
        <f>IFERROR((HLOOKUP($AH452,Target_monthwise!$D$4:$O$20,DTR!J$4,FALSE))*1000,0)</f>
        <v>0</v>
      </c>
      <c r="K452" s="238">
        <f>IFERROR((HLOOKUP($AH452,Target_monthwise!$D$4:$O$20,DTR!K$4,FALSE))*1000,0)</f>
        <v>0</v>
      </c>
      <c r="L452" s="238">
        <f>IFERROR((HLOOKUP($AH452,Target_monthwise!$D$4:$O$20,DTR!L$4,FALSE))*1000,0)</f>
        <v>0</v>
      </c>
      <c r="M452" s="238">
        <f>IFERROR((HLOOKUP($AH452,Target_monthwise!$D$4:$O$20,DTR!M$4,FALSE))*1000,0)</f>
        <v>0</v>
      </c>
      <c r="N452" s="238">
        <f>IFERROR((HLOOKUP($AH452,Target_monthwise!$D$4:$O$20,DTR!N$4,FALSE))*1000,0)</f>
        <v>0</v>
      </c>
      <c r="O452" s="238">
        <f>IFERROR((HLOOKUP($AH452,Target_monthwise!$D$4:$O$20,DTR!O$4,FALSE))*1000,0)</f>
        <v>0</v>
      </c>
      <c r="P452" s="238">
        <f>IFERROR((HLOOKUP($AH452,Target_monthwise!$D$4:$O$20,DTR!P$4,FALSE))*1000,0)</f>
        <v>0</v>
      </c>
      <c r="Q452" s="141">
        <f>IFERROR((HLOOKUP($AH452,Target_monthwise!$D$4:$O$20,DTR!Q$4,FALSE))*1000,0)</f>
        <v>0</v>
      </c>
      <c r="R452" s="167">
        <f>IFERROR((HLOOKUP($AH452,Target_monthwise!$D$4:$O$20,DTR!R$4,FALSE))*1000,0)</f>
        <v>0</v>
      </c>
      <c r="S452" s="239">
        <f>IFERROR((HLOOKUP($AH452,Target_monthwise!$D$24:$O$40,DTR!S$4,FALSE)),0)</f>
        <v>0</v>
      </c>
      <c r="T452" s="239">
        <f>IFERROR((HLOOKUP($AH452,Target_monthwise!$D$24:$O$40,DTR!T$4,FALSE)),0)</f>
        <v>0</v>
      </c>
      <c r="U452" s="239">
        <f>IFERROR((HLOOKUP($AH452,Target_monthwise!$D$24:$O$40,DTR!U$4,FALSE)),0)</f>
        <v>0</v>
      </c>
      <c r="V452" s="239">
        <f>IFERROR((HLOOKUP($AH452,Target_monthwise!$D$24:$O$40,DTR!V$4,FALSE)),0)</f>
        <v>0</v>
      </c>
      <c r="W452" s="239">
        <f>IFERROR((HLOOKUP($AH452,Target_monthwise!$D$24:$O$40,DTR!W$4,FALSE)),0)</f>
        <v>0</v>
      </c>
      <c r="X452" s="239">
        <f>IFERROR((HLOOKUP($AH452,Target_monthwise!$D$24:$O$40,DTR!X$4,FALSE)),0)</f>
        <v>0</v>
      </c>
      <c r="Y452" s="239">
        <f>IFERROR((HLOOKUP($AH452,Target_monthwise!$D$24:$O$40,DTR!Y$4,FALSE)),0)</f>
        <v>0</v>
      </c>
      <c r="Z452" s="147">
        <f>IFERROR((HLOOKUP($AH452,Target_monthwise!$D$24:$O$40,DTR!Z$4,FALSE)),0)</f>
        <v>0</v>
      </c>
      <c r="AA452" s="147">
        <f>IFERROR((HLOOKUP($AH452,Target_monthwise!$D$24:$O$40,DTR!AA$4,FALSE)),0)</f>
        <v>0</v>
      </c>
      <c r="AB452" s="147">
        <f>IFERROR((HLOOKUP($AH452,Target_monthwise!$D$24:$O$40,DTR!AB$4,FALSE)),0)</f>
        <v>0</v>
      </c>
      <c r="AC452" s="239">
        <f>IFERROR((HLOOKUP($AH452,Target_monthwise!$D$24:$O$40,DTR!AC$4,FALSE)),0)</f>
        <v>0</v>
      </c>
      <c r="AD452" s="239">
        <f>IFERROR((HLOOKUP($AH452,Target_monthwise!$D$24:$O$40,DTR!AD$4,FALSE)),0)</f>
        <v>0</v>
      </c>
      <c r="AE452" s="239">
        <f>IFERROR((HLOOKUP($AH452,Target_monthwise!$D$24:$O$40,DTR!AE$4,FALSE)),0)</f>
        <v>0</v>
      </c>
      <c r="AF452" s="239">
        <f>IFERROR((HLOOKUP($AH452,Target_monthwise!$D$24:$O$40,DTR!AF$4,FALSE)),0)</f>
        <v>0</v>
      </c>
      <c r="AG452" s="172">
        <f>IFERROR((HLOOKUP($AH452,Target_monthwise!$D$24:$O$40,DTR!AG$4,FALSE)),0)</f>
        <v>0</v>
      </c>
      <c r="AH452" s="253">
        <f t="shared" si="6"/>
        <v>202306</v>
      </c>
    </row>
    <row r="453" spans="3:34" ht="15.75" hidden="1">
      <c r="C453" s="235">
        <v>45096</v>
      </c>
      <c r="D453" s="141">
        <f>IFERROR((HLOOKUP($AH453,Target_monthwise!$D$4:$O$20,DTR!D$4,FALSE))*1000,0)</f>
        <v>0</v>
      </c>
      <c r="E453" s="141">
        <f>IFERROR((HLOOKUP($AH453,Target_monthwise!$D$4:$O$20,DTR!E$4,FALSE))*1000,0)</f>
        <v>0</v>
      </c>
      <c r="F453" s="141">
        <f>IFERROR((HLOOKUP($AH453,Target_monthwise!$D$4:$O$20,DTR!F$4,FALSE))*1000,0)</f>
        <v>0</v>
      </c>
      <c r="G453" s="141">
        <f>IFERROR((HLOOKUP($AH453,Target_monthwise!$D$4:$O$20,DTR!G$4,FALSE))*1000,0)</f>
        <v>0</v>
      </c>
      <c r="H453" s="141">
        <f>IFERROR((HLOOKUP($AH453,Target_monthwise!$D$4:$O$20,DTR!H$4,FALSE))*1000,0)</f>
        <v>0</v>
      </c>
      <c r="I453" s="141">
        <f>IFERROR((HLOOKUP($AH453,Target_monthwise!$D$4:$O$20,DTR!I$4,FALSE))*1000,0)</f>
        <v>0</v>
      </c>
      <c r="J453" s="141">
        <f>IFERROR((HLOOKUP($AH453,Target_monthwise!$D$4:$O$20,DTR!J$4,FALSE))*1000,0)</f>
        <v>0</v>
      </c>
      <c r="K453" s="141">
        <f>IFERROR((HLOOKUP($AH453,Target_monthwise!$D$4:$O$20,DTR!K$4,FALSE))*1000,0)</f>
        <v>0</v>
      </c>
      <c r="L453" s="141">
        <f>IFERROR((HLOOKUP($AH453,Target_monthwise!$D$4:$O$20,DTR!L$4,FALSE))*1000,0)</f>
        <v>0</v>
      </c>
      <c r="M453" s="141">
        <f>IFERROR((HLOOKUP($AH453,Target_monthwise!$D$4:$O$20,DTR!M$4,FALSE))*1000,0)</f>
        <v>0</v>
      </c>
      <c r="N453" s="141">
        <f>IFERROR((HLOOKUP($AH453,Target_monthwise!$D$4:$O$20,DTR!N$4,FALSE))*1000,0)</f>
        <v>0</v>
      </c>
      <c r="O453" s="141">
        <f>IFERROR((HLOOKUP($AH453,Target_monthwise!$D$4:$O$20,DTR!O$4,FALSE))*1000,0)</f>
        <v>0</v>
      </c>
      <c r="P453" s="141">
        <f>IFERROR((HLOOKUP($AH453,Target_monthwise!$D$4:$O$20,DTR!P$4,FALSE))*1000,0)</f>
        <v>0</v>
      </c>
      <c r="Q453" s="141">
        <f>IFERROR((HLOOKUP($AH453,Target_monthwise!$D$4:$O$20,DTR!Q$4,FALSE))*1000,0)</f>
        <v>0</v>
      </c>
      <c r="R453" s="167">
        <f>IFERROR((HLOOKUP($AH453,Target_monthwise!$D$4:$O$20,DTR!R$4,FALSE))*1000,0)</f>
        <v>0</v>
      </c>
      <c r="S453" s="147">
        <f>IFERROR((HLOOKUP($AH453,Target_monthwise!$D$24:$O$40,DTR!S$4,FALSE)),0)</f>
        <v>0</v>
      </c>
      <c r="T453" s="147">
        <f>IFERROR((HLOOKUP($AH453,Target_monthwise!$D$24:$O$40,DTR!T$4,FALSE)),0)</f>
        <v>0</v>
      </c>
      <c r="U453" s="147">
        <f>IFERROR((HLOOKUP($AH453,Target_monthwise!$D$24:$O$40,DTR!U$4,FALSE)),0)</f>
        <v>0</v>
      </c>
      <c r="V453" s="147">
        <f>IFERROR((HLOOKUP($AH453,Target_monthwise!$D$24:$O$40,DTR!V$4,FALSE)),0)</f>
        <v>0</v>
      </c>
      <c r="W453" s="147">
        <f>IFERROR((HLOOKUP($AH453,Target_monthwise!$D$24:$O$40,DTR!W$4,FALSE)),0)</f>
        <v>0</v>
      </c>
      <c r="X453" s="147">
        <f>IFERROR((HLOOKUP($AH453,Target_monthwise!$D$24:$O$40,DTR!X$4,FALSE)),0)</f>
        <v>0</v>
      </c>
      <c r="Y453" s="147">
        <f>IFERROR((HLOOKUP($AH453,Target_monthwise!$D$24:$O$40,DTR!Y$4,FALSE)),0)</f>
        <v>0</v>
      </c>
      <c r="Z453" s="147">
        <f>IFERROR((HLOOKUP($AH453,Target_monthwise!$D$24:$O$40,DTR!Z$4,FALSE)),0)</f>
        <v>0</v>
      </c>
      <c r="AA453" s="147">
        <f>IFERROR((HLOOKUP($AH453,Target_monthwise!$D$24:$O$40,DTR!AA$4,FALSE)),0)</f>
        <v>0</v>
      </c>
      <c r="AB453" s="147">
        <f>IFERROR((HLOOKUP($AH453,Target_monthwise!$D$24:$O$40,DTR!AB$4,FALSE)),0)</f>
        <v>0</v>
      </c>
      <c r="AC453" s="147">
        <f>IFERROR((HLOOKUP($AH453,Target_monthwise!$D$24:$O$40,DTR!AC$4,FALSE)),0)</f>
        <v>0</v>
      </c>
      <c r="AD453" s="147">
        <f>IFERROR((HLOOKUP($AH453,Target_monthwise!$D$24:$O$40,DTR!AD$4,FALSE)),0)</f>
        <v>0</v>
      </c>
      <c r="AE453" s="147">
        <f>IFERROR((HLOOKUP($AH453,Target_monthwise!$D$24:$O$40,DTR!AE$4,FALSE)),0)</f>
        <v>0</v>
      </c>
      <c r="AF453" s="147">
        <f>IFERROR((HLOOKUP($AH453,Target_monthwise!$D$24:$O$40,DTR!AF$4,FALSE)),0)</f>
        <v>0</v>
      </c>
      <c r="AG453" s="172">
        <f>IFERROR((HLOOKUP($AH453,Target_monthwise!$D$24:$O$40,DTR!AG$4,FALSE)),0)</f>
        <v>0</v>
      </c>
      <c r="AH453" s="253">
        <f t="shared" si="6"/>
        <v>202306</v>
      </c>
    </row>
    <row r="454" spans="3:34" ht="15.75" hidden="1">
      <c r="C454" s="237">
        <v>45097</v>
      </c>
      <c r="D454" s="238">
        <f>IFERROR((HLOOKUP($AH454,Target_monthwise!$D$4:$O$20,DTR!D$4,FALSE))*1000,0)</f>
        <v>0</v>
      </c>
      <c r="E454" s="238">
        <f>IFERROR((HLOOKUP($AH454,Target_monthwise!$D$4:$O$20,DTR!E$4,FALSE))*1000,0)</f>
        <v>0</v>
      </c>
      <c r="F454" s="238">
        <f>IFERROR((HLOOKUP($AH454,Target_monthwise!$D$4:$O$20,DTR!F$4,FALSE))*1000,0)</f>
        <v>0</v>
      </c>
      <c r="G454" s="238">
        <f>IFERROR((HLOOKUP($AH454,Target_monthwise!$D$4:$O$20,DTR!G$4,FALSE))*1000,0)</f>
        <v>0</v>
      </c>
      <c r="H454" s="238">
        <f>IFERROR((HLOOKUP($AH454,Target_monthwise!$D$4:$O$20,DTR!H$4,FALSE))*1000,0)</f>
        <v>0</v>
      </c>
      <c r="I454" s="238">
        <f>IFERROR((HLOOKUP($AH454,Target_monthwise!$D$4:$O$20,DTR!I$4,FALSE))*1000,0)</f>
        <v>0</v>
      </c>
      <c r="J454" s="238">
        <f>IFERROR((HLOOKUP($AH454,Target_monthwise!$D$4:$O$20,DTR!J$4,FALSE))*1000,0)</f>
        <v>0</v>
      </c>
      <c r="K454" s="238">
        <f>IFERROR((HLOOKUP($AH454,Target_monthwise!$D$4:$O$20,DTR!K$4,FALSE))*1000,0)</f>
        <v>0</v>
      </c>
      <c r="L454" s="238">
        <f>IFERROR((HLOOKUP($AH454,Target_monthwise!$D$4:$O$20,DTR!L$4,FALSE))*1000,0)</f>
        <v>0</v>
      </c>
      <c r="M454" s="238">
        <f>IFERROR((HLOOKUP($AH454,Target_monthwise!$D$4:$O$20,DTR!M$4,FALSE))*1000,0)</f>
        <v>0</v>
      </c>
      <c r="N454" s="238">
        <f>IFERROR((HLOOKUP($AH454,Target_monthwise!$D$4:$O$20,DTR!N$4,FALSE))*1000,0)</f>
        <v>0</v>
      </c>
      <c r="O454" s="238">
        <f>IFERROR((HLOOKUP($AH454,Target_monthwise!$D$4:$O$20,DTR!O$4,FALSE))*1000,0)</f>
        <v>0</v>
      </c>
      <c r="P454" s="238">
        <f>IFERROR((HLOOKUP($AH454,Target_monthwise!$D$4:$O$20,DTR!P$4,FALSE))*1000,0)</f>
        <v>0</v>
      </c>
      <c r="Q454" s="141">
        <f>IFERROR((HLOOKUP($AH454,Target_monthwise!$D$4:$O$20,DTR!Q$4,FALSE))*1000,0)</f>
        <v>0</v>
      </c>
      <c r="R454" s="167">
        <f>IFERROR((HLOOKUP($AH454,Target_monthwise!$D$4:$O$20,DTR!R$4,FALSE))*1000,0)</f>
        <v>0</v>
      </c>
      <c r="S454" s="239">
        <f>IFERROR((HLOOKUP($AH454,Target_monthwise!$D$24:$O$40,DTR!S$4,FALSE)),0)</f>
        <v>0</v>
      </c>
      <c r="T454" s="239">
        <f>IFERROR((HLOOKUP($AH454,Target_monthwise!$D$24:$O$40,DTR!T$4,FALSE)),0)</f>
        <v>0</v>
      </c>
      <c r="U454" s="239">
        <f>IFERROR((HLOOKUP($AH454,Target_monthwise!$D$24:$O$40,DTR!U$4,FALSE)),0)</f>
        <v>0</v>
      </c>
      <c r="V454" s="239">
        <f>IFERROR((HLOOKUP($AH454,Target_monthwise!$D$24:$O$40,DTR!V$4,FALSE)),0)</f>
        <v>0</v>
      </c>
      <c r="W454" s="239">
        <f>IFERROR((HLOOKUP($AH454,Target_monthwise!$D$24:$O$40,DTR!W$4,FALSE)),0)</f>
        <v>0</v>
      </c>
      <c r="X454" s="239">
        <f>IFERROR((HLOOKUP($AH454,Target_monthwise!$D$24:$O$40,DTR!X$4,FALSE)),0)</f>
        <v>0</v>
      </c>
      <c r="Y454" s="239">
        <f>IFERROR((HLOOKUP($AH454,Target_monthwise!$D$24:$O$40,DTR!Y$4,FALSE)),0)</f>
        <v>0</v>
      </c>
      <c r="Z454" s="147">
        <f>IFERROR((HLOOKUP($AH454,Target_monthwise!$D$24:$O$40,DTR!Z$4,FALSE)),0)</f>
        <v>0</v>
      </c>
      <c r="AA454" s="147">
        <f>IFERROR((HLOOKUP($AH454,Target_monthwise!$D$24:$O$40,DTR!AA$4,FALSE)),0)</f>
        <v>0</v>
      </c>
      <c r="AB454" s="147">
        <f>IFERROR((HLOOKUP($AH454,Target_monthwise!$D$24:$O$40,DTR!AB$4,FALSE)),0)</f>
        <v>0</v>
      </c>
      <c r="AC454" s="239">
        <f>IFERROR((HLOOKUP($AH454,Target_monthwise!$D$24:$O$40,DTR!AC$4,FALSE)),0)</f>
        <v>0</v>
      </c>
      <c r="AD454" s="239">
        <f>IFERROR((HLOOKUP($AH454,Target_monthwise!$D$24:$O$40,DTR!AD$4,FALSE)),0)</f>
        <v>0</v>
      </c>
      <c r="AE454" s="239">
        <f>IFERROR((HLOOKUP($AH454,Target_monthwise!$D$24:$O$40,DTR!AE$4,FALSE)),0)</f>
        <v>0</v>
      </c>
      <c r="AF454" s="239">
        <f>IFERROR((HLOOKUP($AH454,Target_monthwise!$D$24:$O$40,DTR!AF$4,FALSE)),0)</f>
        <v>0</v>
      </c>
      <c r="AG454" s="172">
        <f>IFERROR((HLOOKUP($AH454,Target_monthwise!$D$24:$O$40,DTR!AG$4,FALSE)),0)</f>
        <v>0</v>
      </c>
      <c r="AH454" s="253">
        <f t="shared" si="6"/>
        <v>202306</v>
      </c>
    </row>
    <row r="455" spans="3:34" ht="15.75" hidden="1">
      <c r="C455" s="235">
        <v>45098</v>
      </c>
      <c r="D455" s="141">
        <f>IFERROR((HLOOKUP($AH455,Target_monthwise!$D$4:$O$20,DTR!D$4,FALSE))*1000,0)</f>
        <v>0</v>
      </c>
      <c r="E455" s="141">
        <f>IFERROR((HLOOKUP($AH455,Target_monthwise!$D$4:$O$20,DTR!E$4,FALSE))*1000,0)</f>
        <v>0</v>
      </c>
      <c r="F455" s="141">
        <f>IFERROR((HLOOKUP($AH455,Target_monthwise!$D$4:$O$20,DTR!F$4,FALSE))*1000,0)</f>
        <v>0</v>
      </c>
      <c r="G455" s="141">
        <f>IFERROR((HLOOKUP($AH455,Target_monthwise!$D$4:$O$20,DTR!G$4,FALSE))*1000,0)</f>
        <v>0</v>
      </c>
      <c r="H455" s="141">
        <f>IFERROR((HLOOKUP($AH455,Target_monthwise!$D$4:$O$20,DTR!H$4,FALSE))*1000,0)</f>
        <v>0</v>
      </c>
      <c r="I455" s="141">
        <f>IFERROR((HLOOKUP($AH455,Target_monthwise!$D$4:$O$20,DTR!I$4,FALSE))*1000,0)</f>
        <v>0</v>
      </c>
      <c r="J455" s="141">
        <f>IFERROR((HLOOKUP($AH455,Target_monthwise!$D$4:$O$20,DTR!J$4,FALSE))*1000,0)</f>
        <v>0</v>
      </c>
      <c r="K455" s="141">
        <f>IFERROR((HLOOKUP($AH455,Target_monthwise!$D$4:$O$20,DTR!K$4,FALSE))*1000,0)</f>
        <v>0</v>
      </c>
      <c r="L455" s="141">
        <f>IFERROR((HLOOKUP($AH455,Target_monthwise!$D$4:$O$20,DTR!L$4,FALSE))*1000,0)</f>
        <v>0</v>
      </c>
      <c r="M455" s="141">
        <f>IFERROR((HLOOKUP($AH455,Target_monthwise!$D$4:$O$20,DTR!M$4,FALSE))*1000,0)</f>
        <v>0</v>
      </c>
      <c r="N455" s="141">
        <f>IFERROR((HLOOKUP($AH455,Target_monthwise!$D$4:$O$20,DTR!N$4,FALSE))*1000,0)</f>
        <v>0</v>
      </c>
      <c r="O455" s="141">
        <f>IFERROR((HLOOKUP($AH455,Target_monthwise!$D$4:$O$20,DTR!O$4,FALSE))*1000,0)</f>
        <v>0</v>
      </c>
      <c r="P455" s="141">
        <f>IFERROR((HLOOKUP($AH455,Target_monthwise!$D$4:$O$20,DTR!P$4,FALSE))*1000,0)</f>
        <v>0</v>
      </c>
      <c r="Q455" s="141">
        <f>IFERROR((HLOOKUP($AH455,Target_monthwise!$D$4:$O$20,DTR!Q$4,FALSE))*1000,0)</f>
        <v>0</v>
      </c>
      <c r="R455" s="167">
        <f>IFERROR((HLOOKUP($AH455,Target_monthwise!$D$4:$O$20,DTR!R$4,FALSE))*1000,0)</f>
        <v>0</v>
      </c>
      <c r="S455" s="147">
        <f>IFERROR((HLOOKUP($AH455,Target_monthwise!$D$24:$O$40,DTR!S$4,FALSE)),0)</f>
        <v>0</v>
      </c>
      <c r="T455" s="147">
        <f>IFERROR((HLOOKUP($AH455,Target_monthwise!$D$24:$O$40,DTR!T$4,FALSE)),0)</f>
        <v>0</v>
      </c>
      <c r="U455" s="147">
        <f>IFERROR((HLOOKUP($AH455,Target_monthwise!$D$24:$O$40,DTR!U$4,FALSE)),0)</f>
        <v>0</v>
      </c>
      <c r="V455" s="147">
        <f>IFERROR((HLOOKUP($AH455,Target_monthwise!$D$24:$O$40,DTR!V$4,FALSE)),0)</f>
        <v>0</v>
      </c>
      <c r="W455" s="147">
        <f>IFERROR((HLOOKUP($AH455,Target_monthwise!$D$24:$O$40,DTR!W$4,FALSE)),0)</f>
        <v>0</v>
      </c>
      <c r="X455" s="147">
        <f>IFERROR((HLOOKUP($AH455,Target_monthwise!$D$24:$O$40,DTR!X$4,FALSE)),0)</f>
        <v>0</v>
      </c>
      <c r="Y455" s="147">
        <f>IFERROR((HLOOKUP($AH455,Target_monthwise!$D$24:$O$40,DTR!Y$4,FALSE)),0)</f>
        <v>0</v>
      </c>
      <c r="Z455" s="147">
        <f>IFERROR((HLOOKUP($AH455,Target_monthwise!$D$24:$O$40,DTR!Z$4,FALSE)),0)</f>
        <v>0</v>
      </c>
      <c r="AA455" s="147">
        <f>IFERROR((HLOOKUP($AH455,Target_monthwise!$D$24:$O$40,DTR!AA$4,FALSE)),0)</f>
        <v>0</v>
      </c>
      <c r="AB455" s="147">
        <f>IFERROR((HLOOKUP($AH455,Target_monthwise!$D$24:$O$40,DTR!AB$4,FALSE)),0)</f>
        <v>0</v>
      </c>
      <c r="AC455" s="147">
        <f>IFERROR((HLOOKUP($AH455,Target_monthwise!$D$24:$O$40,DTR!AC$4,FALSE)),0)</f>
        <v>0</v>
      </c>
      <c r="AD455" s="147">
        <f>IFERROR((HLOOKUP($AH455,Target_monthwise!$D$24:$O$40,DTR!AD$4,FALSE)),0)</f>
        <v>0</v>
      </c>
      <c r="AE455" s="147">
        <f>IFERROR((HLOOKUP($AH455,Target_monthwise!$D$24:$O$40,DTR!AE$4,FALSE)),0)</f>
        <v>0</v>
      </c>
      <c r="AF455" s="147">
        <f>IFERROR((HLOOKUP($AH455,Target_monthwise!$D$24:$O$40,DTR!AF$4,FALSE)),0)</f>
        <v>0</v>
      </c>
      <c r="AG455" s="172">
        <f>IFERROR((HLOOKUP($AH455,Target_monthwise!$D$24:$O$40,DTR!AG$4,FALSE)),0)</f>
        <v>0</v>
      </c>
      <c r="AH455" s="253">
        <f t="shared" si="6"/>
        <v>202306</v>
      </c>
    </row>
    <row r="456" spans="3:34" ht="15.75" hidden="1">
      <c r="C456" s="237">
        <v>45099</v>
      </c>
      <c r="D456" s="238">
        <f>IFERROR((HLOOKUP($AH456,Target_monthwise!$D$4:$O$20,DTR!D$4,FALSE))*1000,0)</f>
        <v>0</v>
      </c>
      <c r="E456" s="238">
        <f>IFERROR((HLOOKUP($AH456,Target_monthwise!$D$4:$O$20,DTR!E$4,FALSE))*1000,0)</f>
        <v>0</v>
      </c>
      <c r="F456" s="238">
        <f>IFERROR((HLOOKUP($AH456,Target_monthwise!$D$4:$O$20,DTR!F$4,FALSE))*1000,0)</f>
        <v>0</v>
      </c>
      <c r="G456" s="238">
        <f>IFERROR((HLOOKUP($AH456,Target_monthwise!$D$4:$O$20,DTR!G$4,FALSE))*1000,0)</f>
        <v>0</v>
      </c>
      <c r="H456" s="238">
        <f>IFERROR((HLOOKUP($AH456,Target_monthwise!$D$4:$O$20,DTR!H$4,FALSE))*1000,0)</f>
        <v>0</v>
      </c>
      <c r="I456" s="238">
        <f>IFERROR((HLOOKUP($AH456,Target_monthwise!$D$4:$O$20,DTR!I$4,FALSE))*1000,0)</f>
        <v>0</v>
      </c>
      <c r="J456" s="238">
        <f>IFERROR((HLOOKUP($AH456,Target_monthwise!$D$4:$O$20,DTR!J$4,FALSE))*1000,0)</f>
        <v>0</v>
      </c>
      <c r="K456" s="238">
        <f>IFERROR((HLOOKUP($AH456,Target_monthwise!$D$4:$O$20,DTR!K$4,FALSE))*1000,0)</f>
        <v>0</v>
      </c>
      <c r="L456" s="238">
        <f>IFERROR((HLOOKUP($AH456,Target_monthwise!$D$4:$O$20,DTR!L$4,FALSE))*1000,0)</f>
        <v>0</v>
      </c>
      <c r="M456" s="238">
        <f>IFERROR((HLOOKUP($AH456,Target_monthwise!$D$4:$O$20,DTR!M$4,FALSE))*1000,0)</f>
        <v>0</v>
      </c>
      <c r="N456" s="238">
        <f>IFERROR((HLOOKUP($AH456,Target_monthwise!$D$4:$O$20,DTR!N$4,FALSE))*1000,0)</f>
        <v>0</v>
      </c>
      <c r="O456" s="238">
        <f>IFERROR((HLOOKUP($AH456,Target_monthwise!$D$4:$O$20,DTR!O$4,FALSE))*1000,0)</f>
        <v>0</v>
      </c>
      <c r="P456" s="238">
        <f>IFERROR((HLOOKUP($AH456,Target_monthwise!$D$4:$O$20,DTR!P$4,FALSE))*1000,0)</f>
        <v>0</v>
      </c>
      <c r="Q456" s="141">
        <f>IFERROR((HLOOKUP($AH456,Target_monthwise!$D$4:$O$20,DTR!Q$4,FALSE))*1000,0)</f>
        <v>0</v>
      </c>
      <c r="R456" s="167">
        <f>IFERROR((HLOOKUP($AH456,Target_monthwise!$D$4:$O$20,DTR!R$4,FALSE))*1000,0)</f>
        <v>0</v>
      </c>
      <c r="S456" s="239">
        <f>IFERROR((HLOOKUP($AH456,Target_monthwise!$D$24:$O$40,DTR!S$4,FALSE)),0)</f>
        <v>0</v>
      </c>
      <c r="T456" s="239">
        <f>IFERROR((HLOOKUP($AH456,Target_monthwise!$D$24:$O$40,DTR!T$4,FALSE)),0)</f>
        <v>0</v>
      </c>
      <c r="U456" s="239">
        <f>IFERROR((HLOOKUP($AH456,Target_monthwise!$D$24:$O$40,DTR!U$4,FALSE)),0)</f>
        <v>0</v>
      </c>
      <c r="V456" s="239">
        <f>IFERROR((HLOOKUP($AH456,Target_monthwise!$D$24:$O$40,DTR!V$4,FALSE)),0)</f>
        <v>0</v>
      </c>
      <c r="W456" s="239">
        <f>IFERROR((HLOOKUP($AH456,Target_monthwise!$D$24:$O$40,DTR!W$4,FALSE)),0)</f>
        <v>0</v>
      </c>
      <c r="X456" s="239">
        <f>IFERROR((HLOOKUP($AH456,Target_monthwise!$D$24:$O$40,DTR!X$4,FALSE)),0)</f>
        <v>0</v>
      </c>
      <c r="Y456" s="239">
        <f>IFERROR((HLOOKUP($AH456,Target_monthwise!$D$24:$O$40,DTR!Y$4,FALSE)),0)</f>
        <v>0</v>
      </c>
      <c r="Z456" s="147">
        <f>IFERROR((HLOOKUP($AH456,Target_monthwise!$D$24:$O$40,DTR!Z$4,FALSE)),0)</f>
        <v>0</v>
      </c>
      <c r="AA456" s="147">
        <f>IFERROR((HLOOKUP($AH456,Target_monthwise!$D$24:$O$40,DTR!AA$4,FALSE)),0)</f>
        <v>0</v>
      </c>
      <c r="AB456" s="147">
        <f>IFERROR((HLOOKUP($AH456,Target_monthwise!$D$24:$O$40,DTR!AB$4,FALSE)),0)</f>
        <v>0</v>
      </c>
      <c r="AC456" s="239">
        <f>IFERROR((HLOOKUP($AH456,Target_monthwise!$D$24:$O$40,DTR!AC$4,FALSE)),0)</f>
        <v>0</v>
      </c>
      <c r="AD456" s="239">
        <f>IFERROR((HLOOKUP($AH456,Target_monthwise!$D$24:$O$40,DTR!AD$4,FALSE)),0)</f>
        <v>0</v>
      </c>
      <c r="AE456" s="239">
        <f>IFERROR((HLOOKUP($AH456,Target_monthwise!$D$24:$O$40,DTR!AE$4,FALSE)),0)</f>
        <v>0</v>
      </c>
      <c r="AF456" s="239">
        <f>IFERROR((HLOOKUP($AH456,Target_monthwise!$D$24:$O$40,DTR!AF$4,FALSE)),0)</f>
        <v>0</v>
      </c>
      <c r="AG456" s="172">
        <f>IFERROR((HLOOKUP($AH456,Target_monthwise!$D$24:$O$40,DTR!AG$4,FALSE)),0)</f>
        <v>0</v>
      </c>
      <c r="AH456" s="253">
        <f t="shared" si="6"/>
        <v>202306</v>
      </c>
    </row>
    <row r="457" spans="3:34" ht="15.75" hidden="1">
      <c r="C457" s="235">
        <v>45100</v>
      </c>
      <c r="D457" s="141">
        <f>IFERROR((HLOOKUP($AH457,Target_monthwise!$D$4:$O$20,DTR!D$4,FALSE))*1000,0)</f>
        <v>0</v>
      </c>
      <c r="E457" s="141">
        <f>IFERROR((HLOOKUP($AH457,Target_monthwise!$D$4:$O$20,DTR!E$4,FALSE))*1000,0)</f>
        <v>0</v>
      </c>
      <c r="F457" s="141">
        <f>IFERROR((HLOOKUP($AH457,Target_monthwise!$D$4:$O$20,DTR!F$4,FALSE))*1000,0)</f>
        <v>0</v>
      </c>
      <c r="G457" s="141">
        <f>IFERROR((HLOOKUP($AH457,Target_monthwise!$D$4:$O$20,DTR!G$4,FALSE))*1000,0)</f>
        <v>0</v>
      </c>
      <c r="H457" s="141">
        <f>IFERROR((HLOOKUP($AH457,Target_monthwise!$D$4:$O$20,DTR!H$4,FALSE))*1000,0)</f>
        <v>0</v>
      </c>
      <c r="I457" s="141">
        <f>IFERROR((HLOOKUP($AH457,Target_monthwise!$D$4:$O$20,DTR!I$4,FALSE))*1000,0)</f>
        <v>0</v>
      </c>
      <c r="J457" s="141">
        <f>IFERROR((HLOOKUP($AH457,Target_monthwise!$D$4:$O$20,DTR!J$4,FALSE))*1000,0)</f>
        <v>0</v>
      </c>
      <c r="K457" s="141">
        <f>IFERROR((HLOOKUP($AH457,Target_monthwise!$D$4:$O$20,DTR!K$4,FALSE))*1000,0)</f>
        <v>0</v>
      </c>
      <c r="L457" s="141">
        <f>IFERROR((HLOOKUP($AH457,Target_monthwise!$D$4:$O$20,DTR!L$4,FALSE))*1000,0)</f>
        <v>0</v>
      </c>
      <c r="M457" s="141">
        <f>IFERROR((HLOOKUP($AH457,Target_monthwise!$D$4:$O$20,DTR!M$4,FALSE))*1000,0)</f>
        <v>0</v>
      </c>
      <c r="N457" s="141">
        <f>IFERROR((HLOOKUP($AH457,Target_monthwise!$D$4:$O$20,DTR!N$4,FALSE))*1000,0)</f>
        <v>0</v>
      </c>
      <c r="O457" s="141">
        <f>IFERROR((HLOOKUP($AH457,Target_monthwise!$D$4:$O$20,DTR!O$4,FALSE))*1000,0)</f>
        <v>0</v>
      </c>
      <c r="P457" s="141">
        <f>IFERROR((HLOOKUP($AH457,Target_monthwise!$D$4:$O$20,DTR!P$4,FALSE))*1000,0)</f>
        <v>0</v>
      </c>
      <c r="Q457" s="141">
        <f>IFERROR((HLOOKUP($AH457,Target_monthwise!$D$4:$O$20,DTR!Q$4,FALSE))*1000,0)</f>
        <v>0</v>
      </c>
      <c r="R457" s="167">
        <f>IFERROR((HLOOKUP($AH457,Target_monthwise!$D$4:$O$20,DTR!R$4,FALSE))*1000,0)</f>
        <v>0</v>
      </c>
      <c r="S457" s="147">
        <f>IFERROR((HLOOKUP($AH457,Target_monthwise!$D$24:$O$40,DTR!S$4,FALSE)),0)</f>
        <v>0</v>
      </c>
      <c r="T457" s="147">
        <f>IFERROR((HLOOKUP($AH457,Target_monthwise!$D$24:$O$40,DTR!T$4,FALSE)),0)</f>
        <v>0</v>
      </c>
      <c r="U457" s="147">
        <f>IFERROR((HLOOKUP($AH457,Target_monthwise!$D$24:$O$40,DTR!U$4,FALSE)),0)</f>
        <v>0</v>
      </c>
      <c r="V457" s="147">
        <f>IFERROR((HLOOKUP($AH457,Target_monthwise!$D$24:$O$40,DTR!V$4,FALSE)),0)</f>
        <v>0</v>
      </c>
      <c r="W457" s="147">
        <f>IFERROR((HLOOKUP($AH457,Target_monthwise!$D$24:$O$40,DTR!W$4,FALSE)),0)</f>
        <v>0</v>
      </c>
      <c r="X457" s="147">
        <f>IFERROR((HLOOKUP($AH457,Target_monthwise!$D$24:$O$40,DTR!X$4,FALSE)),0)</f>
        <v>0</v>
      </c>
      <c r="Y457" s="147">
        <f>IFERROR((HLOOKUP($AH457,Target_monthwise!$D$24:$O$40,DTR!Y$4,FALSE)),0)</f>
        <v>0</v>
      </c>
      <c r="Z457" s="147">
        <f>IFERROR((HLOOKUP($AH457,Target_monthwise!$D$24:$O$40,DTR!Z$4,FALSE)),0)</f>
        <v>0</v>
      </c>
      <c r="AA457" s="147">
        <f>IFERROR((HLOOKUP($AH457,Target_monthwise!$D$24:$O$40,DTR!AA$4,FALSE)),0)</f>
        <v>0</v>
      </c>
      <c r="AB457" s="147">
        <f>IFERROR((HLOOKUP($AH457,Target_monthwise!$D$24:$O$40,DTR!AB$4,FALSE)),0)</f>
        <v>0</v>
      </c>
      <c r="AC457" s="147">
        <f>IFERROR((HLOOKUP($AH457,Target_monthwise!$D$24:$O$40,DTR!AC$4,FALSE)),0)</f>
        <v>0</v>
      </c>
      <c r="AD457" s="147">
        <f>IFERROR((HLOOKUP($AH457,Target_monthwise!$D$24:$O$40,DTR!AD$4,FALSE)),0)</f>
        <v>0</v>
      </c>
      <c r="AE457" s="147">
        <f>IFERROR((HLOOKUP($AH457,Target_monthwise!$D$24:$O$40,DTR!AE$4,FALSE)),0)</f>
        <v>0</v>
      </c>
      <c r="AF457" s="147">
        <f>IFERROR((HLOOKUP($AH457,Target_monthwise!$D$24:$O$40,DTR!AF$4,FALSE)),0)</f>
        <v>0</v>
      </c>
      <c r="AG457" s="172">
        <f>IFERROR((HLOOKUP($AH457,Target_monthwise!$D$24:$O$40,DTR!AG$4,FALSE)),0)</f>
        <v>0</v>
      </c>
      <c r="AH457" s="253">
        <f t="shared" si="6"/>
        <v>202306</v>
      </c>
    </row>
    <row r="458" spans="3:34" ht="15.75" hidden="1">
      <c r="C458" s="237">
        <v>45101</v>
      </c>
      <c r="D458" s="238">
        <f>IFERROR((HLOOKUP($AH458,Target_monthwise!$D$4:$O$20,DTR!D$4,FALSE))*1000,0)</f>
        <v>0</v>
      </c>
      <c r="E458" s="238">
        <f>IFERROR((HLOOKUP($AH458,Target_monthwise!$D$4:$O$20,DTR!E$4,FALSE))*1000,0)</f>
        <v>0</v>
      </c>
      <c r="F458" s="238">
        <f>IFERROR((HLOOKUP($AH458,Target_monthwise!$D$4:$O$20,DTR!F$4,FALSE))*1000,0)</f>
        <v>0</v>
      </c>
      <c r="G458" s="238">
        <f>IFERROR((HLOOKUP($AH458,Target_monthwise!$D$4:$O$20,DTR!G$4,FALSE))*1000,0)</f>
        <v>0</v>
      </c>
      <c r="H458" s="238">
        <f>IFERROR((HLOOKUP($AH458,Target_monthwise!$D$4:$O$20,DTR!H$4,FALSE))*1000,0)</f>
        <v>0</v>
      </c>
      <c r="I458" s="238">
        <f>IFERROR((HLOOKUP($AH458,Target_monthwise!$D$4:$O$20,DTR!I$4,FALSE))*1000,0)</f>
        <v>0</v>
      </c>
      <c r="J458" s="238">
        <f>IFERROR((HLOOKUP($AH458,Target_monthwise!$D$4:$O$20,DTR!J$4,FALSE))*1000,0)</f>
        <v>0</v>
      </c>
      <c r="K458" s="238">
        <f>IFERROR((HLOOKUP($AH458,Target_monthwise!$D$4:$O$20,DTR!K$4,FALSE))*1000,0)</f>
        <v>0</v>
      </c>
      <c r="L458" s="238">
        <f>IFERROR((HLOOKUP($AH458,Target_monthwise!$D$4:$O$20,DTR!L$4,FALSE))*1000,0)</f>
        <v>0</v>
      </c>
      <c r="M458" s="238">
        <f>IFERROR((HLOOKUP($AH458,Target_monthwise!$D$4:$O$20,DTR!M$4,FALSE))*1000,0)</f>
        <v>0</v>
      </c>
      <c r="N458" s="238">
        <f>IFERROR((HLOOKUP($AH458,Target_monthwise!$D$4:$O$20,DTR!N$4,FALSE))*1000,0)</f>
        <v>0</v>
      </c>
      <c r="O458" s="238">
        <f>IFERROR((HLOOKUP($AH458,Target_monthwise!$D$4:$O$20,DTR!O$4,FALSE))*1000,0)</f>
        <v>0</v>
      </c>
      <c r="P458" s="238">
        <f>IFERROR((HLOOKUP($AH458,Target_monthwise!$D$4:$O$20,DTR!P$4,FALSE))*1000,0)</f>
        <v>0</v>
      </c>
      <c r="Q458" s="141">
        <f>IFERROR((HLOOKUP($AH458,Target_monthwise!$D$4:$O$20,DTR!Q$4,FALSE))*1000,0)</f>
        <v>0</v>
      </c>
      <c r="R458" s="167">
        <f>IFERROR((HLOOKUP($AH458,Target_monthwise!$D$4:$O$20,DTR!R$4,FALSE))*1000,0)</f>
        <v>0</v>
      </c>
      <c r="S458" s="239">
        <f>IFERROR((HLOOKUP($AH458,Target_monthwise!$D$24:$O$40,DTR!S$4,FALSE)),0)</f>
        <v>0</v>
      </c>
      <c r="T458" s="239">
        <f>IFERROR((HLOOKUP($AH458,Target_monthwise!$D$24:$O$40,DTR!T$4,FALSE)),0)</f>
        <v>0</v>
      </c>
      <c r="U458" s="239">
        <f>IFERROR((HLOOKUP($AH458,Target_monthwise!$D$24:$O$40,DTR!U$4,FALSE)),0)</f>
        <v>0</v>
      </c>
      <c r="V458" s="239">
        <f>IFERROR((HLOOKUP($AH458,Target_monthwise!$D$24:$O$40,DTR!V$4,FALSE)),0)</f>
        <v>0</v>
      </c>
      <c r="W458" s="239">
        <f>IFERROR((HLOOKUP($AH458,Target_monthwise!$D$24:$O$40,DTR!W$4,FALSE)),0)</f>
        <v>0</v>
      </c>
      <c r="X458" s="239">
        <f>IFERROR((HLOOKUP($AH458,Target_monthwise!$D$24:$O$40,DTR!X$4,FALSE)),0)</f>
        <v>0</v>
      </c>
      <c r="Y458" s="239">
        <f>IFERROR((HLOOKUP($AH458,Target_monthwise!$D$24:$O$40,DTR!Y$4,FALSE)),0)</f>
        <v>0</v>
      </c>
      <c r="Z458" s="147">
        <f>IFERROR((HLOOKUP($AH458,Target_monthwise!$D$24:$O$40,DTR!Z$4,FALSE)),0)</f>
        <v>0</v>
      </c>
      <c r="AA458" s="147">
        <f>IFERROR((HLOOKUP($AH458,Target_monthwise!$D$24:$O$40,DTR!AA$4,FALSE)),0)</f>
        <v>0</v>
      </c>
      <c r="AB458" s="147">
        <f>IFERROR((HLOOKUP($AH458,Target_monthwise!$D$24:$O$40,DTR!AB$4,FALSE)),0)</f>
        <v>0</v>
      </c>
      <c r="AC458" s="239">
        <f>IFERROR((HLOOKUP($AH458,Target_monthwise!$D$24:$O$40,DTR!AC$4,FALSE)),0)</f>
        <v>0</v>
      </c>
      <c r="AD458" s="239">
        <f>IFERROR((HLOOKUP($AH458,Target_monthwise!$D$24:$O$40,DTR!AD$4,FALSE)),0)</f>
        <v>0</v>
      </c>
      <c r="AE458" s="239">
        <f>IFERROR((HLOOKUP($AH458,Target_monthwise!$D$24:$O$40,DTR!AE$4,FALSE)),0)</f>
        <v>0</v>
      </c>
      <c r="AF458" s="239">
        <f>IFERROR((HLOOKUP($AH458,Target_monthwise!$D$24:$O$40,DTR!AF$4,FALSE)),0)</f>
        <v>0</v>
      </c>
      <c r="AG458" s="172">
        <f>IFERROR((HLOOKUP($AH458,Target_monthwise!$D$24:$O$40,DTR!AG$4,FALSE)),0)</f>
        <v>0</v>
      </c>
      <c r="AH458" s="253">
        <f t="shared" ref="AH458:AH521" si="7">YEAR(C458)*100+MONTH(C458)</f>
        <v>202306</v>
      </c>
    </row>
    <row r="459" spans="3:34" ht="15.75" hidden="1">
      <c r="C459" s="235">
        <v>45102</v>
      </c>
      <c r="D459" s="141">
        <f>IFERROR((HLOOKUP($AH459,Target_monthwise!$D$4:$O$20,DTR!D$4,FALSE))*1000,0)</f>
        <v>0</v>
      </c>
      <c r="E459" s="141">
        <f>IFERROR((HLOOKUP($AH459,Target_monthwise!$D$4:$O$20,DTR!E$4,FALSE))*1000,0)</f>
        <v>0</v>
      </c>
      <c r="F459" s="141">
        <f>IFERROR((HLOOKUP($AH459,Target_monthwise!$D$4:$O$20,DTR!F$4,FALSE))*1000,0)</f>
        <v>0</v>
      </c>
      <c r="G459" s="141">
        <f>IFERROR((HLOOKUP($AH459,Target_monthwise!$D$4:$O$20,DTR!G$4,FALSE))*1000,0)</f>
        <v>0</v>
      </c>
      <c r="H459" s="141">
        <f>IFERROR((HLOOKUP($AH459,Target_monthwise!$D$4:$O$20,DTR!H$4,FALSE))*1000,0)</f>
        <v>0</v>
      </c>
      <c r="I459" s="141">
        <f>IFERROR((HLOOKUP($AH459,Target_monthwise!$D$4:$O$20,DTR!I$4,FALSE))*1000,0)</f>
        <v>0</v>
      </c>
      <c r="J459" s="141">
        <f>IFERROR((HLOOKUP($AH459,Target_monthwise!$D$4:$O$20,DTR!J$4,FALSE))*1000,0)</f>
        <v>0</v>
      </c>
      <c r="K459" s="141">
        <f>IFERROR((HLOOKUP($AH459,Target_monthwise!$D$4:$O$20,DTR!K$4,FALSE))*1000,0)</f>
        <v>0</v>
      </c>
      <c r="L459" s="141">
        <f>IFERROR((HLOOKUP($AH459,Target_monthwise!$D$4:$O$20,DTR!L$4,FALSE))*1000,0)</f>
        <v>0</v>
      </c>
      <c r="M459" s="141">
        <f>IFERROR((HLOOKUP($AH459,Target_monthwise!$D$4:$O$20,DTR!M$4,FALSE))*1000,0)</f>
        <v>0</v>
      </c>
      <c r="N459" s="141">
        <f>IFERROR((HLOOKUP($AH459,Target_monthwise!$D$4:$O$20,DTR!N$4,FALSE))*1000,0)</f>
        <v>0</v>
      </c>
      <c r="O459" s="141">
        <f>IFERROR((HLOOKUP($AH459,Target_monthwise!$D$4:$O$20,DTR!O$4,FALSE))*1000,0)</f>
        <v>0</v>
      </c>
      <c r="P459" s="141">
        <f>IFERROR((HLOOKUP($AH459,Target_monthwise!$D$4:$O$20,DTR!P$4,FALSE))*1000,0)</f>
        <v>0</v>
      </c>
      <c r="Q459" s="141">
        <f>IFERROR((HLOOKUP($AH459,Target_monthwise!$D$4:$O$20,DTR!Q$4,FALSE))*1000,0)</f>
        <v>0</v>
      </c>
      <c r="R459" s="167">
        <f>IFERROR((HLOOKUP($AH459,Target_monthwise!$D$4:$O$20,DTR!R$4,FALSE))*1000,0)</f>
        <v>0</v>
      </c>
      <c r="S459" s="147">
        <f>IFERROR((HLOOKUP($AH459,Target_monthwise!$D$24:$O$40,DTR!S$4,FALSE)),0)</f>
        <v>0</v>
      </c>
      <c r="T459" s="147">
        <f>IFERROR((HLOOKUP($AH459,Target_monthwise!$D$24:$O$40,DTR!T$4,FALSE)),0)</f>
        <v>0</v>
      </c>
      <c r="U459" s="147">
        <f>IFERROR((HLOOKUP($AH459,Target_monthwise!$D$24:$O$40,DTR!U$4,FALSE)),0)</f>
        <v>0</v>
      </c>
      <c r="V459" s="147">
        <f>IFERROR((HLOOKUP($AH459,Target_monthwise!$D$24:$O$40,DTR!V$4,FALSE)),0)</f>
        <v>0</v>
      </c>
      <c r="W459" s="147">
        <f>IFERROR((HLOOKUP($AH459,Target_monthwise!$D$24:$O$40,DTR!W$4,FALSE)),0)</f>
        <v>0</v>
      </c>
      <c r="X459" s="147">
        <f>IFERROR((HLOOKUP($AH459,Target_monthwise!$D$24:$O$40,DTR!X$4,FALSE)),0)</f>
        <v>0</v>
      </c>
      <c r="Y459" s="147">
        <f>IFERROR((HLOOKUP($AH459,Target_monthwise!$D$24:$O$40,DTR!Y$4,FALSE)),0)</f>
        <v>0</v>
      </c>
      <c r="Z459" s="147">
        <f>IFERROR((HLOOKUP($AH459,Target_monthwise!$D$24:$O$40,DTR!Z$4,FALSE)),0)</f>
        <v>0</v>
      </c>
      <c r="AA459" s="147">
        <f>IFERROR((HLOOKUP($AH459,Target_monthwise!$D$24:$O$40,DTR!AA$4,FALSE)),0)</f>
        <v>0</v>
      </c>
      <c r="AB459" s="147">
        <f>IFERROR((HLOOKUP($AH459,Target_monthwise!$D$24:$O$40,DTR!AB$4,FALSE)),0)</f>
        <v>0</v>
      </c>
      <c r="AC459" s="147">
        <f>IFERROR((HLOOKUP($AH459,Target_monthwise!$D$24:$O$40,DTR!AC$4,FALSE)),0)</f>
        <v>0</v>
      </c>
      <c r="AD459" s="147">
        <f>IFERROR((HLOOKUP($AH459,Target_monthwise!$D$24:$O$40,DTR!AD$4,FALSE)),0)</f>
        <v>0</v>
      </c>
      <c r="AE459" s="147">
        <f>IFERROR((HLOOKUP($AH459,Target_monthwise!$D$24:$O$40,DTR!AE$4,FALSE)),0)</f>
        <v>0</v>
      </c>
      <c r="AF459" s="147">
        <f>IFERROR((HLOOKUP($AH459,Target_monthwise!$D$24:$O$40,DTR!AF$4,FALSE)),0)</f>
        <v>0</v>
      </c>
      <c r="AG459" s="172">
        <f>IFERROR((HLOOKUP($AH459,Target_monthwise!$D$24:$O$40,DTR!AG$4,FALSE)),0)</f>
        <v>0</v>
      </c>
      <c r="AH459" s="253">
        <f t="shared" si="7"/>
        <v>202306</v>
      </c>
    </row>
    <row r="460" spans="3:34" ht="15.75" hidden="1">
      <c r="C460" s="237">
        <v>45103</v>
      </c>
      <c r="D460" s="238">
        <f>IFERROR((HLOOKUP($AH460,Target_monthwise!$D$4:$O$20,DTR!D$4,FALSE))*1000,0)</f>
        <v>0</v>
      </c>
      <c r="E460" s="238">
        <f>IFERROR((HLOOKUP($AH460,Target_monthwise!$D$4:$O$20,DTR!E$4,FALSE))*1000,0)</f>
        <v>0</v>
      </c>
      <c r="F460" s="238">
        <f>IFERROR((HLOOKUP($AH460,Target_monthwise!$D$4:$O$20,DTR!F$4,FALSE))*1000,0)</f>
        <v>0</v>
      </c>
      <c r="G460" s="238">
        <f>IFERROR((HLOOKUP($AH460,Target_monthwise!$D$4:$O$20,DTR!G$4,FALSE))*1000,0)</f>
        <v>0</v>
      </c>
      <c r="H460" s="238">
        <f>IFERROR((HLOOKUP($AH460,Target_monthwise!$D$4:$O$20,DTR!H$4,FALSE))*1000,0)</f>
        <v>0</v>
      </c>
      <c r="I460" s="238">
        <f>IFERROR((HLOOKUP($AH460,Target_monthwise!$D$4:$O$20,DTR!I$4,FALSE))*1000,0)</f>
        <v>0</v>
      </c>
      <c r="J460" s="238">
        <f>IFERROR((HLOOKUP($AH460,Target_monthwise!$D$4:$O$20,DTR!J$4,FALSE))*1000,0)</f>
        <v>0</v>
      </c>
      <c r="K460" s="238">
        <f>IFERROR((HLOOKUP($AH460,Target_monthwise!$D$4:$O$20,DTR!K$4,FALSE))*1000,0)</f>
        <v>0</v>
      </c>
      <c r="L460" s="238">
        <f>IFERROR((HLOOKUP($AH460,Target_monthwise!$D$4:$O$20,DTR!L$4,FALSE))*1000,0)</f>
        <v>0</v>
      </c>
      <c r="M460" s="238">
        <f>IFERROR((HLOOKUP($AH460,Target_monthwise!$D$4:$O$20,DTR!M$4,FALSE))*1000,0)</f>
        <v>0</v>
      </c>
      <c r="N460" s="238">
        <f>IFERROR((HLOOKUP($AH460,Target_monthwise!$D$4:$O$20,DTR!N$4,FALSE))*1000,0)</f>
        <v>0</v>
      </c>
      <c r="O460" s="238">
        <f>IFERROR((HLOOKUP($AH460,Target_monthwise!$D$4:$O$20,DTR!O$4,FALSE))*1000,0)</f>
        <v>0</v>
      </c>
      <c r="P460" s="238">
        <f>IFERROR((HLOOKUP($AH460,Target_monthwise!$D$4:$O$20,DTR!P$4,FALSE))*1000,0)</f>
        <v>0</v>
      </c>
      <c r="Q460" s="141">
        <f>IFERROR((HLOOKUP($AH460,Target_monthwise!$D$4:$O$20,DTR!Q$4,FALSE))*1000,0)</f>
        <v>0</v>
      </c>
      <c r="R460" s="167">
        <f>IFERROR((HLOOKUP($AH460,Target_monthwise!$D$4:$O$20,DTR!R$4,FALSE))*1000,0)</f>
        <v>0</v>
      </c>
      <c r="S460" s="239">
        <f>IFERROR((HLOOKUP($AH460,Target_monthwise!$D$24:$O$40,DTR!S$4,FALSE)),0)</f>
        <v>0</v>
      </c>
      <c r="T460" s="239">
        <f>IFERROR((HLOOKUP($AH460,Target_monthwise!$D$24:$O$40,DTR!T$4,FALSE)),0)</f>
        <v>0</v>
      </c>
      <c r="U460" s="239">
        <f>IFERROR((HLOOKUP($AH460,Target_monthwise!$D$24:$O$40,DTR!U$4,FALSE)),0)</f>
        <v>0</v>
      </c>
      <c r="V460" s="239">
        <f>IFERROR((HLOOKUP($AH460,Target_monthwise!$D$24:$O$40,DTR!V$4,FALSE)),0)</f>
        <v>0</v>
      </c>
      <c r="W460" s="239">
        <f>IFERROR((HLOOKUP($AH460,Target_monthwise!$D$24:$O$40,DTR!W$4,FALSE)),0)</f>
        <v>0</v>
      </c>
      <c r="X460" s="239">
        <f>IFERROR((HLOOKUP($AH460,Target_monthwise!$D$24:$O$40,DTR!X$4,FALSE)),0)</f>
        <v>0</v>
      </c>
      <c r="Y460" s="239">
        <f>IFERROR((HLOOKUP($AH460,Target_monthwise!$D$24:$O$40,DTR!Y$4,FALSE)),0)</f>
        <v>0</v>
      </c>
      <c r="Z460" s="147">
        <f>IFERROR((HLOOKUP($AH460,Target_monthwise!$D$24:$O$40,DTR!Z$4,FALSE)),0)</f>
        <v>0</v>
      </c>
      <c r="AA460" s="147">
        <f>IFERROR((HLOOKUP($AH460,Target_monthwise!$D$24:$O$40,DTR!AA$4,FALSE)),0)</f>
        <v>0</v>
      </c>
      <c r="AB460" s="147">
        <f>IFERROR((HLOOKUP($AH460,Target_monthwise!$D$24:$O$40,DTR!AB$4,FALSE)),0)</f>
        <v>0</v>
      </c>
      <c r="AC460" s="239">
        <f>IFERROR((HLOOKUP($AH460,Target_monthwise!$D$24:$O$40,DTR!AC$4,FALSE)),0)</f>
        <v>0</v>
      </c>
      <c r="AD460" s="239">
        <f>IFERROR((HLOOKUP($AH460,Target_monthwise!$D$24:$O$40,DTR!AD$4,FALSE)),0)</f>
        <v>0</v>
      </c>
      <c r="AE460" s="239">
        <f>IFERROR((HLOOKUP($AH460,Target_monthwise!$D$24:$O$40,DTR!AE$4,FALSE)),0)</f>
        <v>0</v>
      </c>
      <c r="AF460" s="239">
        <f>IFERROR((HLOOKUP($AH460,Target_monthwise!$D$24:$O$40,DTR!AF$4,FALSE)),0)</f>
        <v>0</v>
      </c>
      <c r="AG460" s="172">
        <f>IFERROR((HLOOKUP($AH460,Target_monthwise!$D$24:$O$40,DTR!AG$4,FALSE)),0)</f>
        <v>0</v>
      </c>
      <c r="AH460" s="253">
        <f t="shared" si="7"/>
        <v>202306</v>
      </c>
    </row>
    <row r="461" spans="3:34" ht="15.75" hidden="1">
      <c r="C461" s="235">
        <v>45104</v>
      </c>
      <c r="D461" s="141">
        <f>IFERROR((HLOOKUP($AH461,Target_monthwise!$D$4:$O$20,DTR!D$4,FALSE))*1000,0)</f>
        <v>0</v>
      </c>
      <c r="E461" s="141">
        <f>IFERROR((HLOOKUP($AH461,Target_monthwise!$D$4:$O$20,DTR!E$4,FALSE))*1000,0)</f>
        <v>0</v>
      </c>
      <c r="F461" s="141">
        <f>IFERROR((HLOOKUP($AH461,Target_monthwise!$D$4:$O$20,DTR!F$4,FALSE))*1000,0)</f>
        <v>0</v>
      </c>
      <c r="G461" s="141">
        <f>IFERROR((HLOOKUP($AH461,Target_monthwise!$D$4:$O$20,DTR!G$4,FALSE))*1000,0)</f>
        <v>0</v>
      </c>
      <c r="H461" s="141">
        <f>IFERROR((HLOOKUP($AH461,Target_monthwise!$D$4:$O$20,DTR!H$4,FALSE))*1000,0)</f>
        <v>0</v>
      </c>
      <c r="I461" s="141">
        <f>IFERROR((HLOOKUP($AH461,Target_monthwise!$D$4:$O$20,DTR!I$4,FALSE))*1000,0)</f>
        <v>0</v>
      </c>
      <c r="J461" s="141">
        <f>IFERROR((HLOOKUP($AH461,Target_monthwise!$D$4:$O$20,DTR!J$4,FALSE))*1000,0)</f>
        <v>0</v>
      </c>
      <c r="K461" s="141">
        <f>IFERROR((HLOOKUP($AH461,Target_monthwise!$D$4:$O$20,DTR!K$4,FALSE))*1000,0)</f>
        <v>0</v>
      </c>
      <c r="L461" s="141">
        <f>IFERROR((HLOOKUP($AH461,Target_monthwise!$D$4:$O$20,DTR!L$4,FALSE))*1000,0)</f>
        <v>0</v>
      </c>
      <c r="M461" s="141">
        <f>IFERROR((HLOOKUP($AH461,Target_monthwise!$D$4:$O$20,DTR!M$4,FALSE))*1000,0)</f>
        <v>0</v>
      </c>
      <c r="N461" s="141">
        <f>IFERROR((HLOOKUP($AH461,Target_monthwise!$D$4:$O$20,DTR!N$4,FALSE))*1000,0)</f>
        <v>0</v>
      </c>
      <c r="O461" s="141">
        <f>IFERROR((HLOOKUP($AH461,Target_monthwise!$D$4:$O$20,DTR!O$4,FALSE))*1000,0)</f>
        <v>0</v>
      </c>
      <c r="P461" s="141">
        <f>IFERROR((HLOOKUP($AH461,Target_monthwise!$D$4:$O$20,DTR!P$4,FALSE))*1000,0)</f>
        <v>0</v>
      </c>
      <c r="Q461" s="141">
        <f>IFERROR((HLOOKUP($AH461,Target_monthwise!$D$4:$O$20,DTR!Q$4,FALSE))*1000,0)</f>
        <v>0</v>
      </c>
      <c r="R461" s="167">
        <f>IFERROR((HLOOKUP($AH461,Target_monthwise!$D$4:$O$20,DTR!R$4,FALSE))*1000,0)</f>
        <v>0</v>
      </c>
      <c r="S461" s="147">
        <f>IFERROR((HLOOKUP($AH461,Target_monthwise!$D$24:$O$40,DTR!S$4,FALSE)),0)</f>
        <v>0</v>
      </c>
      <c r="T461" s="147">
        <f>IFERROR((HLOOKUP($AH461,Target_monthwise!$D$24:$O$40,DTR!T$4,FALSE)),0)</f>
        <v>0</v>
      </c>
      <c r="U461" s="147">
        <f>IFERROR((HLOOKUP($AH461,Target_monthwise!$D$24:$O$40,DTR!U$4,FALSE)),0)</f>
        <v>0</v>
      </c>
      <c r="V461" s="147">
        <f>IFERROR((HLOOKUP($AH461,Target_monthwise!$D$24:$O$40,DTR!V$4,FALSE)),0)</f>
        <v>0</v>
      </c>
      <c r="W461" s="147">
        <f>IFERROR((HLOOKUP($AH461,Target_monthwise!$D$24:$O$40,DTR!W$4,FALSE)),0)</f>
        <v>0</v>
      </c>
      <c r="X461" s="147">
        <f>IFERROR((HLOOKUP($AH461,Target_monthwise!$D$24:$O$40,DTR!X$4,FALSE)),0)</f>
        <v>0</v>
      </c>
      <c r="Y461" s="147">
        <f>IFERROR((HLOOKUP($AH461,Target_monthwise!$D$24:$O$40,DTR!Y$4,FALSE)),0)</f>
        <v>0</v>
      </c>
      <c r="Z461" s="147">
        <f>IFERROR((HLOOKUP($AH461,Target_monthwise!$D$24:$O$40,DTR!Z$4,FALSE)),0)</f>
        <v>0</v>
      </c>
      <c r="AA461" s="147">
        <f>IFERROR((HLOOKUP($AH461,Target_monthwise!$D$24:$O$40,DTR!AA$4,FALSE)),0)</f>
        <v>0</v>
      </c>
      <c r="AB461" s="147">
        <f>IFERROR((HLOOKUP($AH461,Target_monthwise!$D$24:$O$40,DTR!AB$4,FALSE)),0)</f>
        <v>0</v>
      </c>
      <c r="AC461" s="147">
        <f>IFERROR((HLOOKUP($AH461,Target_monthwise!$D$24:$O$40,DTR!AC$4,FALSE)),0)</f>
        <v>0</v>
      </c>
      <c r="AD461" s="147">
        <f>IFERROR((HLOOKUP($AH461,Target_monthwise!$D$24:$O$40,DTR!AD$4,FALSE)),0)</f>
        <v>0</v>
      </c>
      <c r="AE461" s="147">
        <f>IFERROR((HLOOKUP($AH461,Target_monthwise!$D$24:$O$40,DTR!AE$4,FALSE)),0)</f>
        <v>0</v>
      </c>
      <c r="AF461" s="147">
        <f>IFERROR((HLOOKUP($AH461,Target_monthwise!$D$24:$O$40,DTR!AF$4,FALSE)),0)</f>
        <v>0</v>
      </c>
      <c r="AG461" s="172">
        <f>IFERROR((HLOOKUP($AH461,Target_monthwise!$D$24:$O$40,DTR!AG$4,FALSE)),0)</f>
        <v>0</v>
      </c>
      <c r="AH461" s="253">
        <f t="shared" si="7"/>
        <v>202306</v>
      </c>
    </row>
    <row r="462" spans="3:34" ht="15.75" hidden="1">
      <c r="C462" s="237">
        <v>45105</v>
      </c>
      <c r="D462" s="238">
        <f>IFERROR((HLOOKUP($AH462,Target_monthwise!$D$4:$O$20,DTR!D$4,FALSE))*1000,0)</f>
        <v>0</v>
      </c>
      <c r="E462" s="238">
        <f>IFERROR((HLOOKUP($AH462,Target_monthwise!$D$4:$O$20,DTR!E$4,FALSE))*1000,0)</f>
        <v>0</v>
      </c>
      <c r="F462" s="238">
        <f>IFERROR((HLOOKUP($AH462,Target_monthwise!$D$4:$O$20,DTR!F$4,FALSE))*1000,0)</f>
        <v>0</v>
      </c>
      <c r="G462" s="238">
        <f>IFERROR((HLOOKUP($AH462,Target_monthwise!$D$4:$O$20,DTR!G$4,FALSE))*1000,0)</f>
        <v>0</v>
      </c>
      <c r="H462" s="238">
        <f>IFERROR((HLOOKUP($AH462,Target_monthwise!$D$4:$O$20,DTR!H$4,FALSE))*1000,0)</f>
        <v>0</v>
      </c>
      <c r="I462" s="238">
        <f>IFERROR((HLOOKUP($AH462,Target_monthwise!$D$4:$O$20,DTR!I$4,FALSE))*1000,0)</f>
        <v>0</v>
      </c>
      <c r="J462" s="238">
        <f>IFERROR((HLOOKUP($AH462,Target_monthwise!$D$4:$O$20,DTR!J$4,FALSE))*1000,0)</f>
        <v>0</v>
      </c>
      <c r="K462" s="238">
        <f>IFERROR((HLOOKUP($AH462,Target_monthwise!$D$4:$O$20,DTR!K$4,FALSE))*1000,0)</f>
        <v>0</v>
      </c>
      <c r="L462" s="238">
        <f>IFERROR((HLOOKUP($AH462,Target_monthwise!$D$4:$O$20,DTR!L$4,FALSE))*1000,0)</f>
        <v>0</v>
      </c>
      <c r="M462" s="238">
        <f>IFERROR((HLOOKUP($AH462,Target_monthwise!$D$4:$O$20,DTR!M$4,FALSE))*1000,0)</f>
        <v>0</v>
      </c>
      <c r="N462" s="238">
        <f>IFERROR((HLOOKUP($AH462,Target_monthwise!$D$4:$O$20,DTR!N$4,FALSE))*1000,0)</f>
        <v>0</v>
      </c>
      <c r="O462" s="238">
        <f>IFERROR((HLOOKUP($AH462,Target_monthwise!$D$4:$O$20,DTR!O$4,FALSE))*1000,0)</f>
        <v>0</v>
      </c>
      <c r="P462" s="238">
        <f>IFERROR((HLOOKUP($AH462,Target_monthwise!$D$4:$O$20,DTR!P$4,FALSE))*1000,0)</f>
        <v>0</v>
      </c>
      <c r="Q462" s="141">
        <f>IFERROR((HLOOKUP($AH462,Target_monthwise!$D$4:$O$20,DTR!Q$4,FALSE))*1000,0)</f>
        <v>0</v>
      </c>
      <c r="R462" s="167">
        <f>IFERROR((HLOOKUP($AH462,Target_monthwise!$D$4:$O$20,DTR!R$4,FALSE))*1000,0)</f>
        <v>0</v>
      </c>
      <c r="S462" s="239">
        <f>IFERROR((HLOOKUP($AH462,Target_monthwise!$D$24:$O$40,DTR!S$4,FALSE)),0)</f>
        <v>0</v>
      </c>
      <c r="T462" s="239">
        <f>IFERROR((HLOOKUP($AH462,Target_monthwise!$D$24:$O$40,DTR!T$4,FALSE)),0)</f>
        <v>0</v>
      </c>
      <c r="U462" s="239">
        <f>IFERROR((HLOOKUP($AH462,Target_monthwise!$D$24:$O$40,DTR!U$4,FALSE)),0)</f>
        <v>0</v>
      </c>
      <c r="V462" s="239">
        <f>IFERROR((HLOOKUP($AH462,Target_monthwise!$D$24:$O$40,DTR!V$4,FALSE)),0)</f>
        <v>0</v>
      </c>
      <c r="W462" s="239">
        <f>IFERROR((HLOOKUP($AH462,Target_monthwise!$D$24:$O$40,DTR!W$4,FALSE)),0)</f>
        <v>0</v>
      </c>
      <c r="X462" s="239">
        <f>IFERROR((HLOOKUP($AH462,Target_monthwise!$D$24:$O$40,DTR!X$4,FALSE)),0)</f>
        <v>0</v>
      </c>
      <c r="Y462" s="239">
        <f>IFERROR((HLOOKUP($AH462,Target_monthwise!$D$24:$O$40,DTR!Y$4,FALSE)),0)</f>
        <v>0</v>
      </c>
      <c r="Z462" s="147">
        <f>IFERROR((HLOOKUP($AH462,Target_monthwise!$D$24:$O$40,DTR!Z$4,FALSE)),0)</f>
        <v>0</v>
      </c>
      <c r="AA462" s="147">
        <f>IFERROR((HLOOKUP($AH462,Target_monthwise!$D$24:$O$40,DTR!AA$4,FALSE)),0)</f>
        <v>0</v>
      </c>
      <c r="AB462" s="147">
        <f>IFERROR((HLOOKUP($AH462,Target_monthwise!$D$24:$O$40,DTR!AB$4,FALSE)),0)</f>
        <v>0</v>
      </c>
      <c r="AC462" s="239">
        <f>IFERROR((HLOOKUP($AH462,Target_monthwise!$D$24:$O$40,DTR!AC$4,FALSE)),0)</f>
        <v>0</v>
      </c>
      <c r="AD462" s="239">
        <f>IFERROR((HLOOKUP($AH462,Target_monthwise!$D$24:$O$40,DTR!AD$4,FALSE)),0)</f>
        <v>0</v>
      </c>
      <c r="AE462" s="239">
        <f>IFERROR((HLOOKUP($AH462,Target_monthwise!$D$24:$O$40,DTR!AE$4,FALSE)),0)</f>
        <v>0</v>
      </c>
      <c r="AF462" s="239">
        <f>IFERROR((HLOOKUP($AH462,Target_monthwise!$D$24:$O$40,DTR!AF$4,FALSE)),0)</f>
        <v>0</v>
      </c>
      <c r="AG462" s="172">
        <f>IFERROR((HLOOKUP($AH462,Target_monthwise!$D$24:$O$40,DTR!AG$4,FALSE)),0)</f>
        <v>0</v>
      </c>
      <c r="AH462" s="253">
        <f t="shared" si="7"/>
        <v>202306</v>
      </c>
    </row>
    <row r="463" spans="3:34" ht="15.75" hidden="1">
      <c r="C463" s="235">
        <v>45106</v>
      </c>
      <c r="D463" s="141">
        <f>IFERROR((HLOOKUP($AH463,Target_monthwise!$D$4:$O$20,DTR!D$4,FALSE))*1000,0)</f>
        <v>0</v>
      </c>
      <c r="E463" s="141">
        <f>IFERROR((HLOOKUP($AH463,Target_monthwise!$D$4:$O$20,DTR!E$4,FALSE))*1000,0)</f>
        <v>0</v>
      </c>
      <c r="F463" s="141">
        <f>IFERROR((HLOOKUP($AH463,Target_monthwise!$D$4:$O$20,DTR!F$4,FALSE))*1000,0)</f>
        <v>0</v>
      </c>
      <c r="G463" s="141">
        <f>IFERROR((HLOOKUP($AH463,Target_monthwise!$D$4:$O$20,DTR!G$4,FALSE))*1000,0)</f>
        <v>0</v>
      </c>
      <c r="H463" s="141">
        <f>IFERROR((HLOOKUP($AH463,Target_monthwise!$D$4:$O$20,DTR!H$4,FALSE))*1000,0)</f>
        <v>0</v>
      </c>
      <c r="I463" s="141">
        <f>IFERROR((HLOOKUP($AH463,Target_monthwise!$D$4:$O$20,DTR!I$4,FALSE))*1000,0)</f>
        <v>0</v>
      </c>
      <c r="J463" s="141">
        <f>IFERROR((HLOOKUP($AH463,Target_monthwise!$D$4:$O$20,DTR!J$4,FALSE))*1000,0)</f>
        <v>0</v>
      </c>
      <c r="K463" s="141">
        <f>IFERROR((HLOOKUP($AH463,Target_monthwise!$D$4:$O$20,DTR!K$4,FALSE))*1000,0)</f>
        <v>0</v>
      </c>
      <c r="L463" s="141">
        <f>IFERROR((HLOOKUP($AH463,Target_monthwise!$D$4:$O$20,DTR!L$4,FALSE))*1000,0)</f>
        <v>0</v>
      </c>
      <c r="M463" s="141">
        <f>IFERROR((HLOOKUP($AH463,Target_monthwise!$D$4:$O$20,DTR!M$4,FALSE))*1000,0)</f>
        <v>0</v>
      </c>
      <c r="N463" s="141">
        <f>IFERROR((HLOOKUP($AH463,Target_monthwise!$D$4:$O$20,DTR!N$4,FALSE))*1000,0)</f>
        <v>0</v>
      </c>
      <c r="O463" s="141">
        <f>IFERROR((HLOOKUP($AH463,Target_monthwise!$D$4:$O$20,DTR!O$4,FALSE))*1000,0)</f>
        <v>0</v>
      </c>
      <c r="P463" s="141">
        <f>IFERROR((HLOOKUP($AH463,Target_monthwise!$D$4:$O$20,DTR!P$4,FALSE))*1000,0)</f>
        <v>0</v>
      </c>
      <c r="Q463" s="141">
        <f>IFERROR((HLOOKUP($AH463,Target_monthwise!$D$4:$O$20,DTR!Q$4,FALSE))*1000,0)</f>
        <v>0</v>
      </c>
      <c r="R463" s="167">
        <f>IFERROR((HLOOKUP($AH463,Target_monthwise!$D$4:$O$20,DTR!R$4,FALSE))*1000,0)</f>
        <v>0</v>
      </c>
      <c r="S463" s="147">
        <f>IFERROR((HLOOKUP($AH463,Target_monthwise!$D$24:$O$40,DTR!S$4,FALSE)),0)</f>
        <v>0</v>
      </c>
      <c r="T463" s="147">
        <f>IFERROR((HLOOKUP($AH463,Target_monthwise!$D$24:$O$40,DTR!T$4,FALSE)),0)</f>
        <v>0</v>
      </c>
      <c r="U463" s="147">
        <f>IFERROR((HLOOKUP($AH463,Target_monthwise!$D$24:$O$40,DTR!U$4,FALSE)),0)</f>
        <v>0</v>
      </c>
      <c r="V463" s="147">
        <f>IFERROR((HLOOKUP($AH463,Target_monthwise!$D$24:$O$40,DTR!V$4,FALSE)),0)</f>
        <v>0</v>
      </c>
      <c r="W463" s="147">
        <f>IFERROR((HLOOKUP($AH463,Target_monthwise!$D$24:$O$40,DTR!W$4,FALSE)),0)</f>
        <v>0</v>
      </c>
      <c r="X463" s="147">
        <f>IFERROR((HLOOKUP($AH463,Target_monthwise!$D$24:$O$40,DTR!X$4,FALSE)),0)</f>
        <v>0</v>
      </c>
      <c r="Y463" s="147">
        <f>IFERROR((HLOOKUP($AH463,Target_monthwise!$D$24:$O$40,DTR!Y$4,FALSE)),0)</f>
        <v>0</v>
      </c>
      <c r="Z463" s="147">
        <f>IFERROR((HLOOKUP($AH463,Target_monthwise!$D$24:$O$40,DTR!Z$4,FALSE)),0)</f>
        <v>0</v>
      </c>
      <c r="AA463" s="147">
        <f>IFERROR((HLOOKUP($AH463,Target_monthwise!$D$24:$O$40,DTR!AA$4,FALSE)),0)</f>
        <v>0</v>
      </c>
      <c r="AB463" s="147">
        <f>IFERROR((HLOOKUP($AH463,Target_monthwise!$D$24:$O$40,DTR!AB$4,FALSE)),0)</f>
        <v>0</v>
      </c>
      <c r="AC463" s="147">
        <f>IFERROR((HLOOKUP($AH463,Target_monthwise!$D$24:$O$40,DTR!AC$4,FALSE)),0)</f>
        <v>0</v>
      </c>
      <c r="AD463" s="147">
        <f>IFERROR((HLOOKUP($AH463,Target_monthwise!$D$24:$O$40,DTR!AD$4,FALSE)),0)</f>
        <v>0</v>
      </c>
      <c r="AE463" s="147">
        <f>IFERROR((HLOOKUP($AH463,Target_monthwise!$D$24:$O$40,DTR!AE$4,FALSE)),0)</f>
        <v>0</v>
      </c>
      <c r="AF463" s="147">
        <f>IFERROR((HLOOKUP($AH463,Target_monthwise!$D$24:$O$40,DTR!AF$4,FALSE)),0)</f>
        <v>0</v>
      </c>
      <c r="AG463" s="172">
        <f>IFERROR((HLOOKUP($AH463,Target_monthwise!$D$24:$O$40,DTR!AG$4,FALSE)),0)</f>
        <v>0</v>
      </c>
      <c r="AH463" s="253">
        <f t="shared" si="7"/>
        <v>202306</v>
      </c>
    </row>
    <row r="464" spans="3:34" ht="15.75" hidden="1">
      <c r="C464" s="237">
        <v>45107</v>
      </c>
      <c r="D464" s="238">
        <f>IFERROR((HLOOKUP($AH464,Target_monthwise!$D$4:$O$20,DTR!D$4,FALSE))*1000,0)</f>
        <v>0</v>
      </c>
      <c r="E464" s="238">
        <f>IFERROR((HLOOKUP($AH464,Target_monthwise!$D$4:$O$20,DTR!E$4,FALSE))*1000,0)</f>
        <v>0</v>
      </c>
      <c r="F464" s="238">
        <f>IFERROR((HLOOKUP($AH464,Target_monthwise!$D$4:$O$20,DTR!F$4,FALSE))*1000,0)</f>
        <v>0</v>
      </c>
      <c r="G464" s="238">
        <f>IFERROR((HLOOKUP($AH464,Target_monthwise!$D$4:$O$20,DTR!G$4,FALSE))*1000,0)</f>
        <v>0</v>
      </c>
      <c r="H464" s="238">
        <f>IFERROR((HLOOKUP($AH464,Target_monthwise!$D$4:$O$20,DTR!H$4,FALSE))*1000,0)</f>
        <v>0</v>
      </c>
      <c r="I464" s="238">
        <f>IFERROR((HLOOKUP($AH464,Target_monthwise!$D$4:$O$20,DTR!I$4,FALSE))*1000,0)</f>
        <v>0</v>
      </c>
      <c r="J464" s="238">
        <f>IFERROR((HLOOKUP($AH464,Target_monthwise!$D$4:$O$20,DTR!J$4,FALSE))*1000,0)</f>
        <v>0</v>
      </c>
      <c r="K464" s="238">
        <f>IFERROR((HLOOKUP($AH464,Target_monthwise!$D$4:$O$20,DTR!K$4,FALSE))*1000,0)</f>
        <v>0</v>
      </c>
      <c r="L464" s="238">
        <f>IFERROR((HLOOKUP($AH464,Target_monthwise!$D$4:$O$20,DTR!L$4,FALSE))*1000,0)</f>
        <v>0</v>
      </c>
      <c r="M464" s="238">
        <f>IFERROR((HLOOKUP($AH464,Target_monthwise!$D$4:$O$20,DTR!M$4,FALSE))*1000,0)</f>
        <v>0</v>
      </c>
      <c r="N464" s="238">
        <f>IFERROR((HLOOKUP($AH464,Target_monthwise!$D$4:$O$20,DTR!N$4,FALSE))*1000,0)</f>
        <v>0</v>
      </c>
      <c r="O464" s="238">
        <f>IFERROR((HLOOKUP($AH464,Target_monthwise!$D$4:$O$20,DTR!O$4,FALSE))*1000,0)</f>
        <v>0</v>
      </c>
      <c r="P464" s="238">
        <f>IFERROR((HLOOKUP($AH464,Target_monthwise!$D$4:$O$20,DTR!P$4,FALSE))*1000,0)</f>
        <v>0</v>
      </c>
      <c r="Q464" s="141">
        <f>IFERROR((HLOOKUP($AH464,Target_monthwise!$D$4:$O$20,DTR!Q$4,FALSE))*1000,0)</f>
        <v>0</v>
      </c>
      <c r="R464" s="167">
        <f>IFERROR((HLOOKUP($AH464,Target_monthwise!$D$4:$O$20,DTR!R$4,FALSE))*1000,0)</f>
        <v>0</v>
      </c>
      <c r="S464" s="239">
        <f>IFERROR((HLOOKUP($AH464,Target_monthwise!$D$24:$O$40,DTR!S$4,FALSE)),0)</f>
        <v>0</v>
      </c>
      <c r="T464" s="239">
        <f>IFERROR((HLOOKUP($AH464,Target_monthwise!$D$24:$O$40,DTR!T$4,FALSE)),0)</f>
        <v>0</v>
      </c>
      <c r="U464" s="239">
        <f>IFERROR((HLOOKUP($AH464,Target_monthwise!$D$24:$O$40,DTR!U$4,FALSE)),0)</f>
        <v>0</v>
      </c>
      <c r="V464" s="239">
        <f>IFERROR((HLOOKUP($AH464,Target_monthwise!$D$24:$O$40,DTR!V$4,FALSE)),0)</f>
        <v>0</v>
      </c>
      <c r="W464" s="239">
        <f>IFERROR((HLOOKUP($AH464,Target_monthwise!$D$24:$O$40,DTR!W$4,FALSE)),0)</f>
        <v>0</v>
      </c>
      <c r="X464" s="239">
        <f>IFERROR((HLOOKUP($AH464,Target_monthwise!$D$24:$O$40,DTR!X$4,FALSE)),0)</f>
        <v>0</v>
      </c>
      <c r="Y464" s="239">
        <f>IFERROR((HLOOKUP($AH464,Target_monthwise!$D$24:$O$40,DTR!Y$4,FALSE)),0)</f>
        <v>0</v>
      </c>
      <c r="Z464" s="147">
        <f>IFERROR((HLOOKUP($AH464,Target_monthwise!$D$24:$O$40,DTR!Z$4,FALSE)),0)</f>
        <v>0</v>
      </c>
      <c r="AA464" s="147">
        <f>IFERROR((HLOOKUP($AH464,Target_monthwise!$D$24:$O$40,DTR!AA$4,FALSE)),0)</f>
        <v>0</v>
      </c>
      <c r="AB464" s="147">
        <f>IFERROR((HLOOKUP($AH464,Target_monthwise!$D$24:$O$40,DTR!AB$4,FALSE)),0)</f>
        <v>0</v>
      </c>
      <c r="AC464" s="239">
        <f>IFERROR((HLOOKUP($AH464,Target_monthwise!$D$24:$O$40,DTR!AC$4,FALSE)),0)</f>
        <v>0</v>
      </c>
      <c r="AD464" s="239">
        <f>IFERROR((HLOOKUP($AH464,Target_monthwise!$D$24:$O$40,DTR!AD$4,FALSE)),0)</f>
        <v>0</v>
      </c>
      <c r="AE464" s="239">
        <f>IFERROR((HLOOKUP($AH464,Target_monthwise!$D$24:$O$40,DTR!AE$4,FALSE)),0)</f>
        <v>0</v>
      </c>
      <c r="AF464" s="239">
        <f>IFERROR((HLOOKUP($AH464,Target_monthwise!$D$24:$O$40,DTR!AF$4,FALSE)),0)</f>
        <v>0</v>
      </c>
      <c r="AG464" s="172">
        <f>IFERROR((HLOOKUP($AH464,Target_monthwise!$D$24:$O$40,DTR!AG$4,FALSE)),0)</f>
        <v>0</v>
      </c>
      <c r="AH464" s="253">
        <f t="shared" si="7"/>
        <v>202306</v>
      </c>
    </row>
    <row r="465" spans="3:34" ht="15.75" hidden="1">
      <c r="C465" s="235">
        <v>45108</v>
      </c>
      <c r="D465" s="141">
        <f>IFERROR((HLOOKUP($AH465,Target_monthwise!$D$4:$O$20,DTR!D$4,FALSE))*1000,0)</f>
        <v>0</v>
      </c>
      <c r="E465" s="141">
        <f>IFERROR((HLOOKUP($AH465,Target_monthwise!$D$4:$O$20,DTR!E$4,FALSE))*1000,0)</f>
        <v>0</v>
      </c>
      <c r="F465" s="141">
        <f>IFERROR((HLOOKUP($AH465,Target_monthwise!$D$4:$O$20,DTR!F$4,FALSE))*1000,0)</f>
        <v>0</v>
      </c>
      <c r="G465" s="141">
        <f>IFERROR((HLOOKUP($AH465,Target_monthwise!$D$4:$O$20,DTR!G$4,FALSE))*1000,0)</f>
        <v>0</v>
      </c>
      <c r="H465" s="141">
        <f>IFERROR((HLOOKUP($AH465,Target_monthwise!$D$4:$O$20,DTR!H$4,FALSE))*1000,0)</f>
        <v>0</v>
      </c>
      <c r="I465" s="141">
        <f>IFERROR((HLOOKUP($AH465,Target_monthwise!$D$4:$O$20,DTR!I$4,FALSE))*1000,0)</f>
        <v>0</v>
      </c>
      <c r="J465" s="141">
        <f>IFERROR((HLOOKUP($AH465,Target_monthwise!$D$4:$O$20,DTR!J$4,FALSE))*1000,0)</f>
        <v>0</v>
      </c>
      <c r="K465" s="141">
        <f>IFERROR((HLOOKUP($AH465,Target_monthwise!$D$4:$O$20,DTR!K$4,FALSE))*1000,0)</f>
        <v>0</v>
      </c>
      <c r="L465" s="141">
        <f>IFERROR((HLOOKUP($AH465,Target_monthwise!$D$4:$O$20,DTR!L$4,FALSE))*1000,0)</f>
        <v>0</v>
      </c>
      <c r="M465" s="141">
        <f>IFERROR((HLOOKUP($AH465,Target_monthwise!$D$4:$O$20,DTR!M$4,FALSE))*1000,0)</f>
        <v>0</v>
      </c>
      <c r="N465" s="141">
        <f>IFERROR((HLOOKUP($AH465,Target_monthwise!$D$4:$O$20,DTR!N$4,FALSE))*1000,0)</f>
        <v>0</v>
      </c>
      <c r="O465" s="141">
        <f>IFERROR((HLOOKUP($AH465,Target_monthwise!$D$4:$O$20,DTR!O$4,FALSE))*1000,0)</f>
        <v>0</v>
      </c>
      <c r="P465" s="141">
        <f>IFERROR((HLOOKUP($AH465,Target_monthwise!$D$4:$O$20,DTR!P$4,FALSE))*1000,0)</f>
        <v>0</v>
      </c>
      <c r="Q465" s="141">
        <f>IFERROR((HLOOKUP($AH465,Target_monthwise!$D$4:$O$20,DTR!Q$4,FALSE))*1000,0)</f>
        <v>0</v>
      </c>
      <c r="R465" s="167">
        <f>IFERROR((HLOOKUP($AH465,Target_monthwise!$D$4:$O$20,DTR!R$4,FALSE))*1000,0)</f>
        <v>0</v>
      </c>
      <c r="S465" s="147">
        <f>IFERROR((HLOOKUP($AH465,Target_monthwise!$D$24:$O$40,DTR!S$4,FALSE)),0)</f>
        <v>0</v>
      </c>
      <c r="T465" s="147">
        <f>IFERROR((HLOOKUP($AH465,Target_monthwise!$D$24:$O$40,DTR!T$4,FALSE)),0)</f>
        <v>0</v>
      </c>
      <c r="U465" s="147">
        <f>IFERROR((HLOOKUP($AH465,Target_monthwise!$D$24:$O$40,DTR!U$4,FALSE)),0)</f>
        <v>0</v>
      </c>
      <c r="V465" s="147">
        <f>IFERROR((HLOOKUP($AH465,Target_monthwise!$D$24:$O$40,DTR!V$4,FALSE)),0)</f>
        <v>0</v>
      </c>
      <c r="W465" s="147">
        <f>IFERROR((HLOOKUP($AH465,Target_monthwise!$D$24:$O$40,DTR!W$4,FALSE)),0)</f>
        <v>0</v>
      </c>
      <c r="X465" s="147">
        <f>IFERROR((HLOOKUP($AH465,Target_monthwise!$D$24:$O$40,DTR!X$4,FALSE)),0)</f>
        <v>0</v>
      </c>
      <c r="Y465" s="147">
        <f>IFERROR((HLOOKUP($AH465,Target_monthwise!$D$24:$O$40,DTR!Y$4,FALSE)),0)</f>
        <v>0</v>
      </c>
      <c r="Z465" s="147">
        <f>IFERROR((HLOOKUP($AH465,Target_monthwise!$D$24:$O$40,DTR!Z$4,FALSE)),0)</f>
        <v>0</v>
      </c>
      <c r="AA465" s="147">
        <f>IFERROR((HLOOKUP($AH465,Target_monthwise!$D$24:$O$40,DTR!AA$4,FALSE)),0)</f>
        <v>0</v>
      </c>
      <c r="AB465" s="147">
        <f>IFERROR((HLOOKUP($AH465,Target_monthwise!$D$24:$O$40,DTR!AB$4,FALSE)),0)</f>
        <v>0</v>
      </c>
      <c r="AC465" s="147">
        <f>IFERROR((HLOOKUP($AH465,Target_monthwise!$D$24:$O$40,DTR!AC$4,FALSE)),0)</f>
        <v>0</v>
      </c>
      <c r="AD465" s="147">
        <f>IFERROR((HLOOKUP($AH465,Target_monthwise!$D$24:$O$40,DTR!AD$4,FALSE)),0)</f>
        <v>0</v>
      </c>
      <c r="AE465" s="147">
        <f>IFERROR((HLOOKUP($AH465,Target_monthwise!$D$24:$O$40,DTR!AE$4,FALSE)),0)</f>
        <v>0</v>
      </c>
      <c r="AF465" s="147">
        <f>IFERROR((HLOOKUP($AH465,Target_monthwise!$D$24:$O$40,DTR!AF$4,FALSE)),0)</f>
        <v>0</v>
      </c>
      <c r="AG465" s="172">
        <f>IFERROR((HLOOKUP($AH465,Target_monthwise!$D$24:$O$40,DTR!AG$4,FALSE)),0)</f>
        <v>0</v>
      </c>
      <c r="AH465" s="253">
        <f t="shared" si="7"/>
        <v>202307</v>
      </c>
    </row>
    <row r="466" spans="3:34" ht="15.75" hidden="1">
      <c r="C466" s="237">
        <v>45109</v>
      </c>
      <c r="D466" s="238">
        <f>IFERROR((HLOOKUP($AH466,Target_monthwise!$D$4:$O$20,DTR!D$4,FALSE))*1000,0)</f>
        <v>0</v>
      </c>
      <c r="E466" s="238">
        <f>IFERROR((HLOOKUP($AH466,Target_monthwise!$D$4:$O$20,DTR!E$4,FALSE))*1000,0)</f>
        <v>0</v>
      </c>
      <c r="F466" s="238">
        <f>IFERROR((HLOOKUP($AH466,Target_monthwise!$D$4:$O$20,DTR!F$4,FALSE))*1000,0)</f>
        <v>0</v>
      </c>
      <c r="G466" s="238">
        <f>IFERROR((HLOOKUP($AH466,Target_monthwise!$D$4:$O$20,DTR!G$4,FALSE))*1000,0)</f>
        <v>0</v>
      </c>
      <c r="H466" s="238">
        <f>IFERROR((HLOOKUP($AH466,Target_monthwise!$D$4:$O$20,DTR!H$4,FALSE))*1000,0)</f>
        <v>0</v>
      </c>
      <c r="I466" s="238">
        <f>IFERROR((HLOOKUP($AH466,Target_monthwise!$D$4:$O$20,DTR!I$4,FALSE))*1000,0)</f>
        <v>0</v>
      </c>
      <c r="J466" s="238">
        <f>IFERROR((HLOOKUP($AH466,Target_monthwise!$D$4:$O$20,DTR!J$4,FALSE))*1000,0)</f>
        <v>0</v>
      </c>
      <c r="K466" s="238">
        <f>IFERROR((HLOOKUP($AH466,Target_monthwise!$D$4:$O$20,DTR!K$4,FALSE))*1000,0)</f>
        <v>0</v>
      </c>
      <c r="L466" s="238">
        <f>IFERROR((HLOOKUP($AH466,Target_monthwise!$D$4:$O$20,DTR!L$4,FALSE))*1000,0)</f>
        <v>0</v>
      </c>
      <c r="M466" s="238">
        <f>IFERROR((HLOOKUP($AH466,Target_monthwise!$D$4:$O$20,DTR!M$4,FALSE))*1000,0)</f>
        <v>0</v>
      </c>
      <c r="N466" s="238">
        <f>IFERROR((HLOOKUP($AH466,Target_monthwise!$D$4:$O$20,DTR!N$4,FALSE))*1000,0)</f>
        <v>0</v>
      </c>
      <c r="O466" s="238">
        <f>IFERROR((HLOOKUP($AH466,Target_monthwise!$D$4:$O$20,DTR!O$4,FALSE))*1000,0)</f>
        <v>0</v>
      </c>
      <c r="P466" s="238">
        <f>IFERROR((HLOOKUP($AH466,Target_monthwise!$D$4:$O$20,DTR!P$4,FALSE))*1000,0)</f>
        <v>0</v>
      </c>
      <c r="Q466" s="141">
        <f>IFERROR((HLOOKUP($AH466,Target_monthwise!$D$4:$O$20,DTR!Q$4,FALSE))*1000,0)</f>
        <v>0</v>
      </c>
      <c r="R466" s="167">
        <f>IFERROR((HLOOKUP($AH466,Target_monthwise!$D$4:$O$20,DTR!R$4,FALSE))*1000,0)</f>
        <v>0</v>
      </c>
      <c r="S466" s="239">
        <f>IFERROR((HLOOKUP($AH466,Target_monthwise!$D$24:$O$40,DTR!S$4,FALSE)),0)</f>
        <v>0</v>
      </c>
      <c r="T466" s="239">
        <f>IFERROR((HLOOKUP($AH466,Target_monthwise!$D$24:$O$40,DTR!T$4,FALSE)),0)</f>
        <v>0</v>
      </c>
      <c r="U466" s="239">
        <f>IFERROR((HLOOKUP($AH466,Target_monthwise!$D$24:$O$40,DTR!U$4,FALSE)),0)</f>
        <v>0</v>
      </c>
      <c r="V466" s="239">
        <f>IFERROR((HLOOKUP($AH466,Target_monthwise!$D$24:$O$40,DTR!V$4,FALSE)),0)</f>
        <v>0</v>
      </c>
      <c r="W466" s="239">
        <f>IFERROR((HLOOKUP($AH466,Target_monthwise!$D$24:$O$40,DTR!W$4,FALSE)),0)</f>
        <v>0</v>
      </c>
      <c r="X466" s="239">
        <f>IFERROR((HLOOKUP($AH466,Target_monthwise!$D$24:$O$40,DTR!X$4,FALSE)),0)</f>
        <v>0</v>
      </c>
      <c r="Y466" s="239">
        <f>IFERROR((HLOOKUP($AH466,Target_monthwise!$D$24:$O$40,DTR!Y$4,FALSE)),0)</f>
        <v>0</v>
      </c>
      <c r="Z466" s="147">
        <f>IFERROR((HLOOKUP($AH466,Target_monthwise!$D$24:$O$40,DTR!Z$4,FALSE)),0)</f>
        <v>0</v>
      </c>
      <c r="AA466" s="147">
        <f>IFERROR((HLOOKUP($AH466,Target_monthwise!$D$24:$O$40,DTR!AA$4,FALSE)),0)</f>
        <v>0</v>
      </c>
      <c r="AB466" s="147">
        <f>IFERROR((HLOOKUP($AH466,Target_monthwise!$D$24:$O$40,DTR!AB$4,FALSE)),0)</f>
        <v>0</v>
      </c>
      <c r="AC466" s="239">
        <f>IFERROR((HLOOKUP($AH466,Target_monthwise!$D$24:$O$40,DTR!AC$4,FALSE)),0)</f>
        <v>0</v>
      </c>
      <c r="AD466" s="239">
        <f>IFERROR((HLOOKUP($AH466,Target_monthwise!$D$24:$O$40,DTR!AD$4,FALSE)),0)</f>
        <v>0</v>
      </c>
      <c r="AE466" s="239">
        <f>IFERROR((HLOOKUP($AH466,Target_monthwise!$D$24:$O$40,DTR!AE$4,FALSE)),0)</f>
        <v>0</v>
      </c>
      <c r="AF466" s="239">
        <f>IFERROR((HLOOKUP($AH466,Target_monthwise!$D$24:$O$40,DTR!AF$4,FALSE)),0)</f>
        <v>0</v>
      </c>
      <c r="AG466" s="172">
        <f>IFERROR((HLOOKUP($AH466,Target_monthwise!$D$24:$O$40,DTR!AG$4,FALSE)),0)</f>
        <v>0</v>
      </c>
      <c r="AH466" s="253">
        <f t="shared" si="7"/>
        <v>202307</v>
      </c>
    </row>
    <row r="467" spans="3:34" ht="15.75" hidden="1">
      <c r="C467" s="235">
        <v>45110</v>
      </c>
      <c r="D467" s="141">
        <f>IFERROR((HLOOKUP($AH467,Target_monthwise!$D$4:$O$20,DTR!D$4,FALSE))*1000,0)</f>
        <v>0</v>
      </c>
      <c r="E467" s="141">
        <f>IFERROR((HLOOKUP($AH467,Target_monthwise!$D$4:$O$20,DTR!E$4,FALSE))*1000,0)</f>
        <v>0</v>
      </c>
      <c r="F467" s="141">
        <f>IFERROR((HLOOKUP($AH467,Target_monthwise!$D$4:$O$20,DTR!F$4,FALSE))*1000,0)</f>
        <v>0</v>
      </c>
      <c r="G467" s="141">
        <f>IFERROR((HLOOKUP($AH467,Target_monthwise!$D$4:$O$20,DTR!G$4,FALSE))*1000,0)</f>
        <v>0</v>
      </c>
      <c r="H467" s="141">
        <f>IFERROR((HLOOKUP($AH467,Target_monthwise!$D$4:$O$20,DTR!H$4,FALSE))*1000,0)</f>
        <v>0</v>
      </c>
      <c r="I467" s="141">
        <f>IFERROR((HLOOKUP($AH467,Target_monthwise!$D$4:$O$20,DTR!I$4,FALSE))*1000,0)</f>
        <v>0</v>
      </c>
      <c r="J467" s="141">
        <f>IFERROR((HLOOKUP($AH467,Target_monthwise!$D$4:$O$20,DTR!J$4,FALSE))*1000,0)</f>
        <v>0</v>
      </c>
      <c r="K467" s="141">
        <f>IFERROR((HLOOKUP($AH467,Target_monthwise!$D$4:$O$20,DTR!K$4,FALSE))*1000,0)</f>
        <v>0</v>
      </c>
      <c r="L467" s="141">
        <f>IFERROR((HLOOKUP($AH467,Target_monthwise!$D$4:$O$20,DTR!L$4,FALSE))*1000,0)</f>
        <v>0</v>
      </c>
      <c r="M467" s="141">
        <f>IFERROR((HLOOKUP($AH467,Target_monthwise!$D$4:$O$20,DTR!M$4,FALSE))*1000,0)</f>
        <v>0</v>
      </c>
      <c r="N467" s="141">
        <f>IFERROR((HLOOKUP($AH467,Target_monthwise!$D$4:$O$20,DTR!N$4,FALSE))*1000,0)</f>
        <v>0</v>
      </c>
      <c r="O467" s="141">
        <f>IFERROR((HLOOKUP($AH467,Target_monthwise!$D$4:$O$20,DTR!O$4,FALSE))*1000,0)</f>
        <v>0</v>
      </c>
      <c r="P467" s="141">
        <f>IFERROR((HLOOKUP($AH467,Target_monthwise!$D$4:$O$20,DTR!P$4,FALSE))*1000,0)</f>
        <v>0</v>
      </c>
      <c r="Q467" s="141">
        <f>IFERROR((HLOOKUP($AH467,Target_monthwise!$D$4:$O$20,DTR!Q$4,FALSE))*1000,0)</f>
        <v>0</v>
      </c>
      <c r="R467" s="167">
        <f>IFERROR((HLOOKUP($AH467,Target_monthwise!$D$4:$O$20,DTR!R$4,FALSE))*1000,0)</f>
        <v>0</v>
      </c>
      <c r="S467" s="147">
        <f>IFERROR((HLOOKUP($AH467,Target_monthwise!$D$24:$O$40,DTR!S$4,FALSE)),0)</f>
        <v>0</v>
      </c>
      <c r="T467" s="147">
        <f>IFERROR((HLOOKUP($AH467,Target_monthwise!$D$24:$O$40,DTR!T$4,FALSE)),0)</f>
        <v>0</v>
      </c>
      <c r="U467" s="147">
        <f>IFERROR((HLOOKUP($AH467,Target_monthwise!$D$24:$O$40,DTR!U$4,FALSE)),0)</f>
        <v>0</v>
      </c>
      <c r="V467" s="147">
        <f>IFERROR((HLOOKUP($AH467,Target_monthwise!$D$24:$O$40,DTR!V$4,FALSE)),0)</f>
        <v>0</v>
      </c>
      <c r="W467" s="147">
        <f>IFERROR((HLOOKUP($AH467,Target_monthwise!$D$24:$O$40,DTR!W$4,FALSE)),0)</f>
        <v>0</v>
      </c>
      <c r="X467" s="147">
        <f>IFERROR((HLOOKUP($AH467,Target_monthwise!$D$24:$O$40,DTR!X$4,FALSE)),0)</f>
        <v>0</v>
      </c>
      <c r="Y467" s="147">
        <f>IFERROR((HLOOKUP($AH467,Target_monthwise!$D$24:$O$40,DTR!Y$4,FALSE)),0)</f>
        <v>0</v>
      </c>
      <c r="Z467" s="147">
        <f>IFERROR((HLOOKUP($AH467,Target_monthwise!$D$24:$O$40,DTR!Z$4,FALSE)),0)</f>
        <v>0</v>
      </c>
      <c r="AA467" s="147">
        <f>IFERROR((HLOOKUP($AH467,Target_monthwise!$D$24:$O$40,DTR!AA$4,FALSE)),0)</f>
        <v>0</v>
      </c>
      <c r="AB467" s="147">
        <f>IFERROR((HLOOKUP($AH467,Target_monthwise!$D$24:$O$40,DTR!AB$4,FALSE)),0)</f>
        <v>0</v>
      </c>
      <c r="AC467" s="147">
        <f>IFERROR((HLOOKUP($AH467,Target_monthwise!$D$24:$O$40,DTR!AC$4,FALSE)),0)</f>
        <v>0</v>
      </c>
      <c r="AD467" s="147">
        <f>IFERROR((HLOOKUP($AH467,Target_monthwise!$D$24:$O$40,DTR!AD$4,FALSE)),0)</f>
        <v>0</v>
      </c>
      <c r="AE467" s="147">
        <f>IFERROR((HLOOKUP($AH467,Target_monthwise!$D$24:$O$40,DTR!AE$4,FALSE)),0)</f>
        <v>0</v>
      </c>
      <c r="AF467" s="147">
        <f>IFERROR((HLOOKUP($AH467,Target_monthwise!$D$24:$O$40,DTR!AF$4,FALSE)),0)</f>
        <v>0</v>
      </c>
      <c r="AG467" s="172">
        <f>IFERROR((HLOOKUP($AH467,Target_monthwise!$D$24:$O$40,DTR!AG$4,FALSE)),0)</f>
        <v>0</v>
      </c>
      <c r="AH467" s="253">
        <f t="shared" si="7"/>
        <v>202307</v>
      </c>
    </row>
    <row r="468" spans="3:34" ht="15.75" hidden="1">
      <c r="C468" s="237">
        <v>45111</v>
      </c>
      <c r="D468" s="238">
        <f>IFERROR((HLOOKUP($AH468,Target_monthwise!$D$4:$O$20,DTR!D$4,FALSE))*1000,0)</f>
        <v>0</v>
      </c>
      <c r="E468" s="238">
        <f>IFERROR((HLOOKUP($AH468,Target_monthwise!$D$4:$O$20,DTR!E$4,FALSE))*1000,0)</f>
        <v>0</v>
      </c>
      <c r="F468" s="238">
        <f>IFERROR((HLOOKUP($AH468,Target_monthwise!$D$4:$O$20,DTR!F$4,FALSE))*1000,0)</f>
        <v>0</v>
      </c>
      <c r="G468" s="238">
        <f>IFERROR((HLOOKUP($AH468,Target_monthwise!$D$4:$O$20,DTR!G$4,FALSE))*1000,0)</f>
        <v>0</v>
      </c>
      <c r="H468" s="238">
        <f>IFERROR((HLOOKUP($AH468,Target_monthwise!$D$4:$O$20,DTR!H$4,FALSE))*1000,0)</f>
        <v>0</v>
      </c>
      <c r="I468" s="238">
        <f>IFERROR((HLOOKUP($AH468,Target_monthwise!$D$4:$O$20,DTR!I$4,FALSE))*1000,0)</f>
        <v>0</v>
      </c>
      <c r="J468" s="238">
        <f>IFERROR((HLOOKUP($AH468,Target_monthwise!$D$4:$O$20,DTR!J$4,FALSE))*1000,0)</f>
        <v>0</v>
      </c>
      <c r="K468" s="238">
        <f>IFERROR((HLOOKUP($AH468,Target_monthwise!$D$4:$O$20,DTR!K$4,FALSE))*1000,0)</f>
        <v>0</v>
      </c>
      <c r="L468" s="238">
        <f>IFERROR((HLOOKUP($AH468,Target_monthwise!$D$4:$O$20,DTR!L$4,FALSE))*1000,0)</f>
        <v>0</v>
      </c>
      <c r="M468" s="238">
        <f>IFERROR((HLOOKUP($AH468,Target_monthwise!$D$4:$O$20,DTR!M$4,FALSE))*1000,0)</f>
        <v>0</v>
      </c>
      <c r="N468" s="238">
        <f>IFERROR((HLOOKUP($AH468,Target_monthwise!$D$4:$O$20,DTR!N$4,FALSE))*1000,0)</f>
        <v>0</v>
      </c>
      <c r="O468" s="238">
        <f>IFERROR((HLOOKUP($AH468,Target_monthwise!$D$4:$O$20,DTR!O$4,FALSE))*1000,0)</f>
        <v>0</v>
      </c>
      <c r="P468" s="238">
        <f>IFERROR((HLOOKUP($AH468,Target_monthwise!$D$4:$O$20,DTR!P$4,FALSE))*1000,0)</f>
        <v>0</v>
      </c>
      <c r="Q468" s="141">
        <f>IFERROR((HLOOKUP($AH468,Target_monthwise!$D$4:$O$20,DTR!Q$4,FALSE))*1000,0)</f>
        <v>0</v>
      </c>
      <c r="R468" s="167">
        <f>IFERROR((HLOOKUP($AH468,Target_monthwise!$D$4:$O$20,DTR!R$4,FALSE))*1000,0)</f>
        <v>0</v>
      </c>
      <c r="S468" s="239">
        <f>IFERROR((HLOOKUP($AH468,Target_monthwise!$D$24:$O$40,DTR!S$4,FALSE)),0)</f>
        <v>0</v>
      </c>
      <c r="T468" s="239">
        <f>IFERROR((HLOOKUP($AH468,Target_monthwise!$D$24:$O$40,DTR!T$4,FALSE)),0)</f>
        <v>0</v>
      </c>
      <c r="U468" s="239">
        <f>IFERROR((HLOOKUP($AH468,Target_monthwise!$D$24:$O$40,DTR!U$4,FALSE)),0)</f>
        <v>0</v>
      </c>
      <c r="V468" s="239">
        <f>IFERROR((HLOOKUP($AH468,Target_monthwise!$D$24:$O$40,DTR!V$4,FALSE)),0)</f>
        <v>0</v>
      </c>
      <c r="W468" s="239">
        <f>IFERROR((HLOOKUP($AH468,Target_monthwise!$D$24:$O$40,DTR!W$4,FALSE)),0)</f>
        <v>0</v>
      </c>
      <c r="X468" s="239">
        <f>IFERROR((HLOOKUP($AH468,Target_monthwise!$D$24:$O$40,DTR!X$4,FALSE)),0)</f>
        <v>0</v>
      </c>
      <c r="Y468" s="239">
        <f>IFERROR((HLOOKUP($AH468,Target_monthwise!$D$24:$O$40,DTR!Y$4,FALSE)),0)</f>
        <v>0</v>
      </c>
      <c r="Z468" s="147">
        <f>IFERROR((HLOOKUP($AH468,Target_monthwise!$D$24:$O$40,DTR!Z$4,FALSE)),0)</f>
        <v>0</v>
      </c>
      <c r="AA468" s="147">
        <f>IFERROR((HLOOKUP($AH468,Target_monthwise!$D$24:$O$40,DTR!AA$4,FALSE)),0)</f>
        <v>0</v>
      </c>
      <c r="AB468" s="147">
        <f>IFERROR((HLOOKUP($AH468,Target_monthwise!$D$24:$O$40,DTR!AB$4,FALSE)),0)</f>
        <v>0</v>
      </c>
      <c r="AC468" s="239">
        <f>IFERROR((HLOOKUP($AH468,Target_monthwise!$D$24:$O$40,DTR!AC$4,FALSE)),0)</f>
        <v>0</v>
      </c>
      <c r="AD468" s="239">
        <f>IFERROR((HLOOKUP($AH468,Target_monthwise!$D$24:$O$40,DTR!AD$4,FALSE)),0)</f>
        <v>0</v>
      </c>
      <c r="AE468" s="239">
        <f>IFERROR((HLOOKUP($AH468,Target_monthwise!$D$24:$O$40,DTR!AE$4,FALSE)),0)</f>
        <v>0</v>
      </c>
      <c r="AF468" s="239">
        <f>IFERROR((HLOOKUP($AH468,Target_monthwise!$D$24:$O$40,DTR!AF$4,FALSE)),0)</f>
        <v>0</v>
      </c>
      <c r="AG468" s="172">
        <f>IFERROR((HLOOKUP($AH468,Target_monthwise!$D$24:$O$40,DTR!AG$4,FALSE)),0)</f>
        <v>0</v>
      </c>
      <c r="AH468" s="253">
        <f t="shared" si="7"/>
        <v>202307</v>
      </c>
    </row>
    <row r="469" spans="3:34" ht="15.75" hidden="1">
      <c r="C469" s="235">
        <v>45112</v>
      </c>
      <c r="D469" s="141">
        <f>IFERROR((HLOOKUP($AH469,Target_monthwise!$D$4:$O$20,DTR!D$4,FALSE))*1000,0)</f>
        <v>0</v>
      </c>
      <c r="E469" s="141">
        <f>IFERROR((HLOOKUP($AH469,Target_monthwise!$D$4:$O$20,DTR!E$4,FALSE))*1000,0)</f>
        <v>0</v>
      </c>
      <c r="F469" s="141">
        <f>IFERROR((HLOOKUP($AH469,Target_monthwise!$D$4:$O$20,DTR!F$4,FALSE))*1000,0)</f>
        <v>0</v>
      </c>
      <c r="G469" s="141">
        <f>IFERROR((HLOOKUP($AH469,Target_monthwise!$D$4:$O$20,DTR!G$4,FALSE))*1000,0)</f>
        <v>0</v>
      </c>
      <c r="H469" s="141">
        <f>IFERROR((HLOOKUP($AH469,Target_monthwise!$D$4:$O$20,DTR!H$4,FALSE))*1000,0)</f>
        <v>0</v>
      </c>
      <c r="I469" s="141">
        <f>IFERROR((HLOOKUP($AH469,Target_monthwise!$D$4:$O$20,DTR!I$4,FALSE))*1000,0)</f>
        <v>0</v>
      </c>
      <c r="J469" s="141">
        <f>IFERROR((HLOOKUP($AH469,Target_monthwise!$D$4:$O$20,DTR!J$4,FALSE))*1000,0)</f>
        <v>0</v>
      </c>
      <c r="K469" s="141">
        <f>IFERROR((HLOOKUP($AH469,Target_monthwise!$D$4:$O$20,DTR!K$4,FALSE))*1000,0)</f>
        <v>0</v>
      </c>
      <c r="L469" s="141">
        <f>IFERROR((HLOOKUP($AH469,Target_monthwise!$D$4:$O$20,DTR!L$4,FALSE))*1000,0)</f>
        <v>0</v>
      </c>
      <c r="M469" s="141">
        <f>IFERROR((HLOOKUP($AH469,Target_monthwise!$D$4:$O$20,DTR!M$4,FALSE))*1000,0)</f>
        <v>0</v>
      </c>
      <c r="N469" s="141">
        <f>IFERROR((HLOOKUP($AH469,Target_monthwise!$D$4:$O$20,DTR!N$4,FALSE))*1000,0)</f>
        <v>0</v>
      </c>
      <c r="O469" s="141">
        <f>IFERROR((HLOOKUP($AH469,Target_monthwise!$D$4:$O$20,DTR!O$4,FALSE))*1000,0)</f>
        <v>0</v>
      </c>
      <c r="P469" s="141">
        <f>IFERROR((HLOOKUP($AH469,Target_monthwise!$D$4:$O$20,DTR!P$4,FALSE))*1000,0)</f>
        <v>0</v>
      </c>
      <c r="Q469" s="141">
        <f>IFERROR((HLOOKUP($AH469,Target_monthwise!$D$4:$O$20,DTR!Q$4,FALSE))*1000,0)</f>
        <v>0</v>
      </c>
      <c r="R469" s="167">
        <f>IFERROR((HLOOKUP($AH469,Target_monthwise!$D$4:$O$20,DTR!R$4,FALSE))*1000,0)</f>
        <v>0</v>
      </c>
      <c r="S469" s="147">
        <f>IFERROR((HLOOKUP($AH469,Target_monthwise!$D$24:$O$40,DTR!S$4,FALSE)),0)</f>
        <v>0</v>
      </c>
      <c r="T469" s="147">
        <f>IFERROR((HLOOKUP($AH469,Target_monthwise!$D$24:$O$40,DTR!T$4,FALSE)),0)</f>
        <v>0</v>
      </c>
      <c r="U469" s="147">
        <f>IFERROR((HLOOKUP($AH469,Target_monthwise!$D$24:$O$40,DTR!U$4,FALSE)),0)</f>
        <v>0</v>
      </c>
      <c r="V469" s="147">
        <f>IFERROR((HLOOKUP($AH469,Target_monthwise!$D$24:$O$40,DTR!V$4,FALSE)),0)</f>
        <v>0</v>
      </c>
      <c r="W469" s="147">
        <f>IFERROR((HLOOKUP($AH469,Target_monthwise!$D$24:$O$40,DTR!W$4,FALSE)),0)</f>
        <v>0</v>
      </c>
      <c r="X469" s="147">
        <f>IFERROR((HLOOKUP($AH469,Target_monthwise!$D$24:$O$40,DTR!X$4,FALSE)),0)</f>
        <v>0</v>
      </c>
      <c r="Y469" s="147">
        <f>IFERROR((HLOOKUP($AH469,Target_monthwise!$D$24:$O$40,DTR!Y$4,FALSE)),0)</f>
        <v>0</v>
      </c>
      <c r="Z469" s="147">
        <f>IFERROR((HLOOKUP($AH469,Target_monthwise!$D$24:$O$40,DTR!Z$4,FALSE)),0)</f>
        <v>0</v>
      </c>
      <c r="AA469" s="147">
        <f>IFERROR((HLOOKUP($AH469,Target_monthwise!$D$24:$O$40,DTR!AA$4,FALSE)),0)</f>
        <v>0</v>
      </c>
      <c r="AB469" s="147">
        <f>IFERROR((HLOOKUP($AH469,Target_monthwise!$D$24:$O$40,DTR!AB$4,FALSE)),0)</f>
        <v>0</v>
      </c>
      <c r="AC469" s="147">
        <f>IFERROR((HLOOKUP($AH469,Target_monthwise!$D$24:$O$40,DTR!AC$4,FALSE)),0)</f>
        <v>0</v>
      </c>
      <c r="AD469" s="147">
        <f>IFERROR((HLOOKUP($AH469,Target_monthwise!$D$24:$O$40,DTR!AD$4,FALSE)),0)</f>
        <v>0</v>
      </c>
      <c r="AE469" s="147">
        <f>IFERROR((HLOOKUP($AH469,Target_monthwise!$D$24:$O$40,DTR!AE$4,FALSE)),0)</f>
        <v>0</v>
      </c>
      <c r="AF469" s="147">
        <f>IFERROR((HLOOKUP($AH469,Target_monthwise!$D$24:$O$40,DTR!AF$4,FALSE)),0)</f>
        <v>0</v>
      </c>
      <c r="AG469" s="172">
        <f>IFERROR((HLOOKUP($AH469,Target_monthwise!$D$24:$O$40,DTR!AG$4,FALSE)),0)</f>
        <v>0</v>
      </c>
      <c r="AH469" s="253">
        <f t="shared" si="7"/>
        <v>202307</v>
      </c>
    </row>
    <row r="470" spans="3:34" ht="15.75" hidden="1">
      <c r="C470" s="237">
        <v>45113</v>
      </c>
      <c r="D470" s="238">
        <f>IFERROR((HLOOKUP($AH470,Target_monthwise!$D$4:$O$20,DTR!D$4,FALSE))*1000,0)</f>
        <v>0</v>
      </c>
      <c r="E470" s="238">
        <f>IFERROR((HLOOKUP($AH470,Target_monthwise!$D$4:$O$20,DTR!E$4,FALSE))*1000,0)</f>
        <v>0</v>
      </c>
      <c r="F470" s="238">
        <f>IFERROR((HLOOKUP($AH470,Target_monthwise!$D$4:$O$20,DTR!F$4,FALSE))*1000,0)</f>
        <v>0</v>
      </c>
      <c r="G470" s="238">
        <f>IFERROR((HLOOKUP($AH470,Target_monthwise!$D$4:$O$20,DTR!G$4,FALSE))*1000,0)</f>
        <v>0</v>
      </c>
      <c r="H470" s="238">
        <f>IFERROR((HLOOKUP($AH470,Target_monthwise!$D$4:$O$20,DTR!H$4,FALSE))*1000,0)</f>
        <v>0</v>
      </c>
      <c r="I470" s="238">
        <f>IFERROR((HLOOKUP($AH470,Target_monthwise!$D$4:$O$20,DTR!I$4,FALSE))*1000,0)</f>
        <v>0</v>
      </c>
      <c r="J470" s="238">
        <f>IFERROR((HLOOKUP($AH470,Target_monthwise!$D$4:$O$20,DTR!J$4,FALSE))*1000,0)</f>
        <v>0</v>
      </c>
      <c r="K470" s="238">
        <f>IFERROR((HLOOKUP($AH470,Target_monthwise!$D$4:$O$20,DTR!K$4,FALSE))*1000,0)</f>
        <v>0</v>
      </c>
      <c r="L470" s="238">
        <f>IFERROR((HLOOKUP($AH470,Target_monthwise!$D$4:$O$20,DTR!L$4,FALSE))*1000,0)</f>
        <v>0</v>
      </c>
      <c r="M470" s="238">
        <f>IFERROR((HLOOKUP($AH470,Target_monthwise!$D$4:$O$20,DTR!M$4,FALSE))*1000,0)</f>
        <v>0</v>
      </c>
      <c r="N470" s="238">
        <f>IFERROR((HLOOKUP($AH470,Target_monthwise!$D$4:$O$20,DTR!N$4,FALSE))*1000,0)</f>
        <v>0</v>
      </c>
      <c r="O470" s="238">
        <f>IFERROR((HLOOKUP($AH470,Target_monthwise!$D$4:$O$20,DTR!O$4,FALSE))*1000,0)</f>
        <v>0</v>
      </c>
      <c r="P470" s="238">
        <f>IFERROR((HLOOKUP($AH470,Target_monthwise!$D$4:$O$20,DTR!P$4,FALSE))*1000,0)</f>
        <v>0</v>
      </c>
      <c r="Q470" s="141">
        <f>IFERROR((HLOOKUP($AH470,Target_monthwise!$D$4:$O$20,DTR!Q$4,FALSE))*1000,0)</f>
        <v>0</v>
      </c>
      <c r="R470" s="167">
        <f>IFERROR((HLOOKUP($AH470,Target_monthwise!$D$4:$O$20,DTR!R$4,FALSE))*1000,0)</f>
        <v>0</v>
      </c>
      <c r="S470" s="239">
        <f>IFERROR((HLOOKUP($AH470,Target_monthwise!$D$24:$O$40,DTR!S$4,FALSE)),0)</f>
        <v>0</v>
      </c>
      <c r="T470" s="239">
        <f>IFERROR((HLOOKUP($AH470,Target_monthwise!$D$24:$O$40,DTR!T$4,FALSE)),0)</f>
        <v>0</v>
      </c>
      <c r="U470" s="239">
        <f>IFERROR((HLOOKUP($AH470,Target_monthwise!$D$24:$O$40,DTR!U$4,FALSE)),0)</f>
        <v>0</v>
      </c>
      <c r="V470" s="239">
        <f>IFERROR((HLOOKUP($AH470,Target_monthwise!$D$24:$O$40,DTR!V$4,FALSE)),0)</f>
        <v>0</v>
      </c>
      <c r="W470" s="239">
        <f>IFERROR((HLOOKUP($AH470,Target_monthwise!$D$24:$O$40,DTR!W$4,FALSE)),0)</f>
        <v>0</v>
      </c>
      <c r="X470" s="239">
        <f>IFERROR((HLOOKUP($AH470,Target_monthwise!$D$24:$O$40,DTR!X$4,FALSE)),0)</f>
        <v>0</v>
      </c>
      <c r="Y470" s="239">
        <f>IFERROR((HLOOKUP($AH470,Target_monthwise!$D$24:$O$40,DTR!Y$4,FALSE)),0)</f>
        <v>0</v>
      </c>
      <c r="Z470" s="147">
        <f>IFERROR((HLOOKUP($AH470,Target_monthwise!$D$24:$O$40,DTR!Z$4,FALSE)),0)</f>
        <v>0</v>
      </c>
      <c r="AA470" s="147">
        <f>IFERROR((HLOOKUP($AH470,Target_monthwise!$D$24:$O$40,DTR!AA$4,FALSE)),0)</f>
        <v>0</v>
      </c>
      <c r="AB470" s="147">
        <f>IFERROR((HLOOKUP($AH470,Target_monthwise!$D$24:$O$40,DTR!AB$4,FALSE)),0)</f>
        <v>0</v>
      </c>
      <c r="AC470" s="239">
        <f>IFERROR((HLOOKUP($AH470,Target_monthwise!$D$24:$O$40,DTR!AC$4,FALSE)),0)</f>
        <v>0</v>
      </c>
      <c r="AD470" s="239">
        <f>IFERROR((HLOOKUP($AH470,Target_monthwise!$D$24:$O$40,DTR!AD$4,FALSE)),0)</f>
        <v>0</v>
      </c>
      <c r="AE470" s="239">
        <f>IFERROR((HLOOKUP($AH470,Target_monthwise!$D$24:$O$40,DTR!AE$4,FALSE)),0)</f>
        <v>0</v>
      </c>
      <c r="AF470" s="239">
        <f>IFERROR((HLOOKUP($AH470,Target_monthwise!$D$24:$O$40,DTR!AF$4,FALSE)),0)</f>
        <v>0</v>
      </c>
      <c r="AG470" s="172">
        <f>IFERROR((HLOOKUP($AH470,Target_monthwise!$D$24:$O$40,DTR!AG$4,FALSE)),0)</f>
        <v>0</v>
      </c>
      <c r="AH470" s="253">
        <f t="shared" si="7"/>
        <v>202307</v>
      </c>
    </row>
    <row r="471" spans="3:34" ht="15.75" hidden="1">
      <c r="C471" s="235">
        <v>45114</v>
      </c>
      <c r="D471" s="141">
        <f>IFERROR((HLOOKUP($AH471,Target_monthwise!$D$4:$O$20,DTR!D$4,FALSE))*1000,0)</f>
        <v>0</v>
      </c>
      <c r="E471" s="141">
        <f>IFERROR((HLOOKUP($AH471,Target_monthwise!$D$4:$O$20,DTR!E$4,FALSE))*1000,0)</f>
        <v>0</v>
      </c>
      <c r="F471" s="141">
        <f>IFERROR((HLOOKUP($AH471,Target_monthwise!$D$4:$O$20,DTR!F$4,FALSE))*1000,0)</f>
        <v>0</v>
      </c>
      <c r="G471" s="141">
        <f>IFERROR((HLOOKUP($AH471,Target_monthwise!$D$4:$O$20,DTR!G$4,FALSE))*1000,0)</f>
        <v>0</v>
      </c>
      <c r="H471" s="141">
        <f>IFERROR((HLOOKUP($AH471,Target_monthwise!$D$4:$O$20,DTR!H$4,FALSE))*1000,0)</f>
        <v>0</v>
      </c>
      <c r="I471" s="141">
        <f>IFERROR((HLOOKUP($AH471,Target_monthwise!$D$4:$O$20,DTR!I$4,FALSE))*1000,0)</f>
        <v>0</v>
      </c>
      <c r="J471" s="141">
        <f>IFERROR((HLOOKUP($AH471,Target_monthwise!$D$4:$O$20,DTR!J$4,FALSE))*1000,0)</f>
        <v>0</v>
      </c>
      <c r="K471" s="141">
        <f>IFERROR((HLOOKUP($AH471,Target_monthwise!$D$4:$O$20,DTR!K$4,FALSE))*1000,0)</f>
        <v>0</v>
      </c>
      <c r="L471" s="141">
        <f>IFERROR((HLOOKUP($AH471,Target_monthwise!$D$4:$O$20,DTR!L$4,FALSE))*1000,0)</f>
        <v>0</v>
      </c>
      <c r="M471" s="141">
        <f>IFERROR((HLOOKUP($AH471,Target_monthwise!$D$4:$O$20,DTR!M$4,FALSE))*1000,0)</f>
        <v>0</v>
      </c>
      <c r="N471" s="141">
        <f>IFERROR((HLOOKUP($AH471,Target_monthwise!$D$4:$O$20,DTR!N$4,FALSE))*1000,0)</f>
        <v>0</v>
      </c>
      <c r="O471" s="141">
        <f>IFERROR((HLOOKUP($AH471,Target_monthwise!$D$4:$O$20,DTR!O$4,FALSE))*1000,0)</f>
        <v>0</v>
      </c>
      <c r="P471" s="141">
        <f>IFERROR((HLOOKUP($AH471,Target_monthwise!$D$4:$O$20,DTR!P$4,FALSE))*1000,0)</f>
        <v>0</v>
      </c>
      <c r="Q471" s="141">
        <f>IFERROR((HLOOKUP($AH471,Target_monthwise!$D$4:$O$20,DTR!Q$4,FALSE))*1000,0)</f>
        <v>0</v>
      </c>
      <c r="R471" s="167">
        <f>IFERROR((HLOOKUP($AH471,Target_monthwise!$D$4:$O$20,DTR!R$4,FALSE))*1000,0)</f>
        <v>0</v>
      </c>
      <c r="S471" s="147">
        <f>IFERROR((HLOOKUP($AH471,Target_monthwise!$D$24:$O$40,DTR!S$4,FALSE)),0)</f>
        <v>0</v>
      </c>
      <c r="T471" s="147">
        <f>IFERROR((HLOOKUP($AH471,Target_monthwise!$D$24:$O$40,DTR!T$4,FALSE)),0)</f>
        <v>0</v>
      </c>
      <c r="U471" s="147">
        <f>IFERROR((HLOOKUP($AH471,Target_monthwise!$D$24:$O$40,DTR!U$4,FALSE)),0)</f>
        <v>0</v>
      </c>
      <c r="V471" s="147">
        <f>IFERROR((HLOOKUP($AH471,Target_monthwise!$D$24:$O$40,DTR!V$4,FALSE)),0)</f>
        <v>0</v>
      </c>
      <c r="W471" s="147">
        <f>IFERROR((HLOOKUP($AH471,Target_monthwise!$D$24:$O$40,DTR!W$4,FALSE)),0)</f>
        <v>0</v>
      </c>
      <c r="X471" s="147">
        <f>IFERROR((HLOOKUP($AH471,Target_monthwise!$D$24:$O$40,DTR!X$4,FALSE)),0)</f>
        <v>0</v>
      </c>
      <c r="Y471" s="147">
        <f>IFERROR((HLOOKUP($AH471,Target_monthwise!$D$24:$O$40,DTR!Y$4,FALSE)),0)</f>
        <v>0</v>
      </c>
      <c r="Z471" s="147">
        <f>IFERROR((HLOOKUP($AH471,Target_monthwise!$D$24:$O$40,DTR!Z$4,FALSE)),0)</f>
        <v>0</v>
      </c>
      <c r="AA471" s="147">
        <f>IFERROR((HLOOKUP($AH471,Target_monthwise!$D$24:$O$40,DTR!AA$4,FALSE)),0)</f>
        <v>0</v>
      </c>
      <c r="AB471" s="147">
        <f>IFERROR((HLOOKUP($AH471,Target_monthwise!$D$24:$O$40,DTR!AB$4,FALSE)),0)</f>
        <v>0</v>
      </c>
      <c r="AC471" s="147">
        <f>IFERROR((HLOOKUP($AH471,Target_monthwise!$D$24:$O$40,DTR!AC$4,FALSE)),0)</f>
        <v>0</v>
      </c>
      <c r="AD471" s="147">
        <f>IFERROR((HLOOKUP($AH471,Target_monthwise!$D$24:$O$40,DTR!AD$4,FALSE)),0)</f>
        <v>0</v>
      </c>
      <c r="AE471" s="147">
        <f>IFERROR((HLOOKUP($AH471,Target_monthwise!$D$24:$O$40,DTR!AE$4,FALSE)),0)</f>
        <v>0</v>
      </c>
      <c r="AF471" s="147">
        <f>IFERROR((HLOOKUP($AH471,Target_monthwise!$D$24:$O$40,DTR!AF$4,FALSE)),0)</f>
        <v>0</v>
      </c>
      <c r="AG471" s="172">
        <f>IFERROR((HLOOKUP($AH471,Target_monthwise!$D$24:$O$40,DTR!AG$4,FALSE)),0)</f>
        <v>0</v>
      </c>
      <c r="AH471" s="253">
        <f t="shared" si="7"/>
        <v>202307</v>
      </c>
    </row>
    <row r="472" spans="3:34" ht="15.75" hidden="1">
      <c r="C472" s="237">
        <v>45115</v>
      </c>
      <c r="D472" s="238">
        <f>IFERROR((HLOOKUP($AH472,Target_monthwise!$D$4:$O$20,DTR!D$4,FALSE))*1000,0)</f>
        <v>0</v>
      </c>
      <c r="E472" s="238">
        <f>IFERROR((HLOOKUP($AH472,Target_monthwise!$D$4:$O$20,DTR!E$4,FALSE))*1000,0)</f>
        <v>0</v>
      </c>
      <c r="F472" s="238">
        <f>IFERROR((HLOOKUP($AH472,Target_monthwise!$D$4:$O$20,DTR!F$4,FALSE))*1000,0)</f>
        <v>0</v>
      </c>
      <c r="G472" s="238">
        <f>IFERROR((HLOOKUP($AH472,Target_monthwise!$D$4:$O$20,DTR!G$4,FALSE))*1000,0)</f>
        <v>0</v>
      </c>
      <c r="H472" s="238">
        <f>IFERROR((HLOOKUP($AH472,Target_monthwise!$D$4:$O$20,DTR!H$4,FALSE))*1000,0)</f>
        <v>0</v>
      </c>
      <c r="I472" s="238">
        <f>IFERROR((HLOOKUP($AH472,Target_monthwise!$D$4:$O$20,DTR!I$4,FALSE))*1000,0)</f>
        <v>0</v>
      </c>
      <c r="J472" s="238">
        <f>IFERROR((HLOOKUP($AH472,Target_monthwise!$D$4:$O$20,DTR!J$4,FALSE))*1000,0)</f>
        <v>0</v>
      </c>
      <c r="K472" s="238">
        <f>IFERROR((HLOOKUP($AH472,Target_monthwise!$D$4:$O$20,DTR!K$4,FALSE))*1000,0)</f>
        <v>0</v>
      </c>
      <c r="L472" s="238">
        <f>IFERROR((HLOOKUP($AH472,Target_monthwise!$D$4:$O$20,DTR!L$4,FALSE))*1000,0)</f>
        <v>0</v>
      </c>
      <c r="M472" s="238">
        <f>IFERROR((HLOOKUP($AH472,Target_monthwise!$D$4:$O$20,DTR!M$4,FALSE))*1000,0)</f>
        <v>0</v>
      </c>
      <c r="N472" s="238">
        <f>IFERROR((HLOOKUP($AH472,Target_monthwise!$D$4:$O$20,DTR!N$4,FALSE))*1000,0)</f>
        <v>0</v>
      </c>
      <c r="O472" s="238">
        <f>IFERROR((HLOOKUP($AH472,Target_monthwise!$D$4:$O$20,DTR!O$4,FALSE))*1000,0)</f>
        <v>0</v>
      </c>
      <c r="P472" s="238">
        <f>IFERROR((HLOOKUP($AH472,Target_monthwise!$D$4:$O$20,DTR!P$4,FALSE))*1000,0)</f>
        <v>0</v>
      </c>
      <c r="Q472" s="141">
        <f>IFERROR((HLOOKUP($AH472,Target_monthwise!$D$4:$O$20,DTR!Q$4,FALSE))*1000,0)</f>
        <v>0</v>
      </c>
      <c r="R472" s="167">
        <f>IFERROR((HLOOKUP($AH472,Target_monthwise!$D$4:$O$20,DTR!R$4,FALSE))*1000,0)</f>
        <v>0</v>
      </c>
      <c r="S472" s="239">
        <f>IFERROR((HLOOKUP($AH472,Target_monthwise!$D$24:$O$40,DTR!S$4,FALSE)),0)</f>
        <v>0</v>
      </c>
      <c r="T472" s="239">
        <f>IFERROR((HLOOKUP($AH472,Target_monthwise!$D$24:$O$40,DTR!T$4,FALSE)),0)</f>
        <v>0</v>
      </c>
      <c r="U472" s="239">
        <f>IFERROR((HLOOKUP($AH472,Target_monthwise!$D$24:$O$40,DTR!U$4,FALSE)),0)</f>
        <v>0</v>
      </c>
      <c r="V472" s="239">
        <f>IFERROR((HLOOKUP($AH472,Target_monthwise!$D$24:$O$40,DTR!V$4,FALSE)),0)</f>
        <v>0</v>
      </c>
      <c r="W472" s="239">
        <f>IFERROR((HLOOKUP($AH472,Target_monthwise!$D$24:$O$40,DTR!W$4,FALSE)),0)</f>
        <v>0</v>
      </c>
      <c r="X472" s="239">
        <f>IFERROR((HLOOKUP($AH472,Target_monthwise!$D$24:$O$40,DTR!X$4,FALSE)),0)</f>
        <v>0</v>
      </c>
      <c r="Y472" s="239">
        <f>IFERROR((HLOOKUP($AH472,Target_monthwise!$D$24:$O$40,DTR!Y$4,FALSE)),0)</f>
        <v>0</v>
      </c>
      <c r="Z472" s="147">
        <f>IFERROR((HLOOKUP($AH472,Target_monthwise!$D$24:$O$40,DTR!Z$4,FALSE)),0)</f>
        <v>0</v>
      </c>
      <c r="AA472" s="147">
        <f>IFERROR((HLOOKUP($AH472,Target_monthwise!$D$24:$O$40,DTR!AA$4,FALSE)),0)</f>
        <v>0</v>
      </c>
      <c r="AB472" s="147">
        <f>IFERROR((HLOOKUP($AH472,Target_monthwise!$D$24:$O$40,DTR!AB$4,FALSE)),0)</f>
        <v>0</v>
      </c>
      <c r="AC472" s="239">
        <f>IFERROR((HLOOKUP($AH472,Target_monthwise!$D$24:$O$40,DTR!AC$4,FALSE)),0)</f>
        <v>0</v>
      </c>
      <c r="AD472" s="239">
        <f>IFERROR((HLOOKUP($AH472,Target_monthwise!$D$24:$O$40,DTR!AD$4,FALSE)),0)</f>
        <v>0</v>
      </c>
      <c r="AE472" s="239">
        <f>IFERROR((HLOOKUP($AH472,Target_monthwise!$D$24:$O$40,DTR!AE$4,FALSE)),0)</f>
        <v>0</v>
      </c>
      <c r="AF472" s="239">
        <f>IFERROR((HLOOKUP($AH472,Target_monthwise!$D$24:$O$40,DTR!AF$4,FALSE)),0)</f>
        <v>0</v>
      </c>
      <c r="AG472" s="172">
        <f>IFERROR((HLOOKUP($AH472,Target_monthwise!$D$24:$O$40,DTR!AG$4,FALSE)),0)</f>
        <v>0</v>
      </c>
      <c r="AH472" s="253">
        <f t="shared" si="7"/>
        <v>202307</v>
      </c>
    </row>
    <row r="473" spans="3:34" ht="15.75" hidden="1">
      <c r="C473" s="235">
        <v>45116</v>
      </c>
      <c r="D473" s="141">
        <f>IFERROR((HLOOKUP($AH473,Target_monthwise!$D$4:$O$20,DTR!D$4,FALSE))*1000,0)</f>
        <v>0</v>
      </c>
      <c r="E473" s="141">
        <f>IFERROR((HLOOKUP($AH473,Target_monthwise!$D$4:$O$20,DTR!E$4,FALSE))*1000,0)</f>
        <v>0</v>
      </c>
      <c r="F473" s="141">
        <f>IFERROR((HLOOKUP($AH473,Target_monthwise!$D$4:$O$20,DTR!F$4,FALSE))*1000,0)</f>
        <v>0</v>
      </c>
      <c r="G473" s="141">
        <f>IFERROR((HLOOKUP($AH473,Target_monthwise!$D$4:$O$20,DTR!G$4,FALSE))*1000,0)</f>
        <v>0</v>
      </c>
      <c r="H473" s="141">
        <f>IFERROR((HLOOKUP($AH473,Target_monthwise!$D$4:$O$20,DTR!H$4,FALSE))*1000,0)</f>
        <v>0</v>
      </c>
      <c r="I473" s="141">
        <f>IFERROR((HLOOKUP($AH473,Target_monthwise!$D$4:$O$20,DTR!I$4,FALSE))*1000,0)</f>
        <v>0</v>
      </c>
      <c r="J473" s="141">
        <f>IFERROR((HLOOKUP($AH473,Target_monthwise!$D$4:$O$20,DTR!J$4,FALSE))*1000,0)</f>
        <v>0</v>
      </c>
      <c r="K473" s="141">
        <f>IFERROR((HLOOKUP($AH473,Target_monthwise!$D$4:$O$20,DTR!K$4,FALSE))*1000,0)</f>
        <v>0</v>
      </c>
      <c r="L473" s="141">
        <f>IFERROR((HLOOKUP($AH473,Target_monthwise!$D$4:$O$20,DTR!L$4,FALSE))*1000,0)</f>
        <v>0</v>
      </c>
      <c r="M473" s="141">
        <f>IFERROR((HLOOKUP($AH473,Target_monthwise!$D$4:$O$20,DTR!M$4,FALSE))*1000,0)</f>
        <v>0</v>
      </c>
      <c r="N473" s="141">
        <f>IFERROR((HLOOKUP($AH473,Target_monthwise!$D$4:$O$20,DTR!N$4,FALSE))*1000,0)</f>
        <v>0</v>
      </c>
      <c r="O473" s="141">
        <f>IFERROR((HLOOKUP($AH473,Target_monthwise!$D$4:$O$20,DTR!O$4,FALSE))*1000,0)</f>
        <v>0</v>
      </c>
      <c r="P473" s="141">
        <f>IFERROR((HLOOKUP($AH473,Target_monthwise!$D$4:$O$20,DTR!P$4,FALSE))*1000,0)</f>
        <v>0</v>
      </c>
      <c r="Q473" s="141">
        <f>IFERROR((HLOOKUP($AH473,Target_monthwise!$D$4:$O$20,DTR!Q$4,FALSE))*1000,0)</f>
        <v>0</v>
      </c>
      <c r="R473" s="167">
        <f>IFERROR((HLOOKUP($AH473,Target_monthwise!$D$4:$O$20,DTR!R$4,FALSE))*1000,0)</f>
        <v>0</v>
      </c>
      <c r="S473" s="147">
        <f>IFERROR((HLOOKUP($AH473,Target_monthwise!$D$24:$O$40,DTR!S$4,FALSE)),0)</f>
        <v>0</v>
      </c>
      <c r="T473" s="147">
        <f>IFERROR((HLOOKUP($AH473,Target_monthwise!$D$24:$O$40,DTR!T$4,FALSE)),0)</f>
        <v>0</v>
      </c>
      <c r="U473" s="147">
        <f>IFERROR((HLOOKUP($AH473,Target_monthwise!$D$24:$O$40,DTR!U$4,FALSE)),0)</f>
        <v>0</v>
      </c>
      <c r="V473" s="147">
        <f>IFERROR((HLOOKUP($AH473,Target_monthwise!$D$24:$O$40,DTR!V$4,FALSE)),0)</f>
        <v>0</v>
      </c>
      <c r="W473" s="147">
        <f>IFERROR((HLOOKUP($AH473,Target_monthwise!$D$24:$O$40,DTR!W$4,FALSE)),0)</f>
        <v>0</v>
      </c>
      <c r="X473" s="147">
        <f>IFERROR((HLOOKUP($AH473,Target_monthwise!$D$24:$O$40,DTR!X$4,FALSE)),0)</f>
        <v>0</v>
      </c>
      <c r="Y473" s="147">
        <f>IFERROR((HLOOKUP($AH473,Target_monthwise!$D$24:$O$40,DTR!Y$4,FALSE)),0)</f>
        <v>0</v>
      </c>
      <c r="Z473" s="147">
        <f>IFERROR((HLOOKUP($AH473,Target_monthwise!$D$24:$O$40,DTR!Z$4,FALSE)),0)</f>
        <v>0</v>
      </c>
      <c r="AA473" s="147">
        <f>IFERROR((HLOOKUP($AH473,Target_monthwise!$D$24:$O$40,DTR!AA$4,FALSE)),0)</f>
        <v>0</v>
      </c>
      <c r="AB473" s="147">
        <f>IFERROR((HLOOKUP($AH473,Target_monthwise!$D$24:$O$40,DTR!AB$4,FALSE)),0)</f>
        <v>0</v>
      </c>
      <c r="AC473" s="147">
        <f>IFERROR((HLOOKUP($AH473,Target_monthwise!$D$24:$O$40,DTR!AC$4,FALSE)),0)</f>
        <v>0</v>
      </c>
      <c r="AD473" s="147">
        <f>IFERROR((HLOOKUP($AH473,Target_monthwise!$D$24:$O$40,DTR!AD$4,FALSE)),0)</f>
        <v>0</v>
      </c>
      <c r="AE473" s="147">
        <f>IFERROR((HLOOKUP($AH473,Target_monthwise!$D$24:$O$40,DTR!AE$4,FALSE)),0)</f>
        <v>0</v>
      </c>
      <c r="AF473" s="147">
        <f>IFERROR((HLOOKUP($AH473,Target_monthwise!$D$24:$O$40,DTR!AF$4,FALSE)),0)</f>
        <v>0</v>
      </c>
      <c r="AG473" s="172">
        <f>IFERROR((HLOOKUP($AH473,Target_monthwise!$D$24:$O$40,DTR!AG$4,FALSE)),0)</f>
        <v>0</v>
      </c>
      <c r="AH473" s="253">
        <f t="shared" si="7"/>
        <v>202307</v>
      </c>
    </row>
    <row r="474" spans="3:34" ht="15.75" hidden="1">
      <c r="C474" s="237">
        <v>45117</v>
      </c>
      <c r="D474" s="238">
        <f>IFERROR((HLOOKUP($AH474,Target_monthwise!$D$4:$O$20,DTR!D$4,FALSE))*1000,0)</f>
        <v>0</v>
      </c>
      <c r="E474" s="238">
        <f>IFERROR((HLOOKUP($AH474,Target_monthwise!$D$4:$O$20,DTR!E$4,FALSE))*1000,0)</f>
        <v>0</v>
      </c>
      <c r="F474" s="238">
        <f>IFERROR((HLOOKUP($AH474,Target_monthwise!$D$4:$O$20,DTR!F$4,FALSE))*1000,0)</f>
        <v>0</v>
      </c>
      <c r="G474" s="238">
        <f>IFERROR((HLOOKUP($AH474,Target_monthwise!$D$4:$O$20,DTR!G$4,FALSE))*1000,0)</f>
        <v>0</v>
      </c>
      <c r="H474" s="238">
        <f>IFERROR((HLOOKUP($AH474,Target_monthwise!$D$4:$O$20,DTR!H$4,FALSE))*1000,0)</f>
        <v>0</v>
      </c>
      <c r="I474" s="238">
        <f>IFERROR((HLOOKUP($AH474,Target_monthwise!$D$4:$O$20,DTR!I$4,FALSE))*1000,0)</f>
        <v>0</v>
      </c>
      <c r="J474" s="238">
        <f>IFERROR((HLOOKUP($AH474,Target_monthwise!$D$4:$O$20,DTR!J$4,FALSE))*1000,0)</f>
        <v>0</v>
      </c>
      <c r="K474" s="238">
        <f>IFERROR((HLOOKUP($AH474,Target_monthwise!$D$4:$O$20,DTR!K$4,FALSE))*1000,0)</f>
        <v>0</v>
      </c>
      <c r="L474" s="238">
        <f>IFERROR((HLOOKUP($AH474,Target_monthwise!$D$4:$O$20,DTR!L$4,FALSE))*1000,0)</f>
        <v>0</v>
      </c>
      <c r="M474" s="238">
        <f>IFERROR((HLOOKUP($AH474,Target_monthwise!$D$4:$O$20,DTR!M$4,FALSE))*1000,0)</f>
        <v>0</v>
      </c>
      <c r="N474" s="238">
        <f>IFERROR((HLOOKUP($AH474,Target_monthwise!$D$4:$O$20,DTR!N$4,FALSE))*1000,0)</f>
        <v>0</v>
      </c>
      <c r="O474" s="238">
        <f>IFERROR((HLOOKUP($AH474,Target_monthwise!$D$4:$O$20,DTR!O$4,FALSE))*1000,0)</f>
        <v>0</v>
      </c>
      <c r="P474" s="238">
        <f>IFERROR((HLOOKUP($AH474,Target_monthwise!$D$4:$O$20,DTR!P$4,FALSE))*1000,0)</f>
        <v>0</v>
      </c>
      <c r="Q474" s="141">
        <f>IFERROR((HLOOKUP($AH474,Target_monthwise!$D$4:$O$20,DTR!Q$4,FALSE))*1000,0)</f>
        <v>0</v>
      </c>
      <c r="R474" s="167">
        <f>IFERROR((HLOOKUP($AH474,Target_monthwise!$D$4:$O$20,DTR!R$4,FALSE))*1000,0)</f>
        <v>0</v>
      </c>
      <c r="S474" s="239">
        <f>IFERROR((HLOOKUP($AH474,Target_monthwise!$D$24:$O$40,DTR!S$4,FALSE)),0)</f>
        <v>0</v>
      </c>
      <c r="T474" s="239">
        <f>IFERROR((HLOOKUP($AH474,Target_monthwise!$D$24:$O$40,DTR!T$4,FALSE)),0)</f>
        <v>0</v>
      </c>
      <c r="U474" s="239">
        <f>IFERROR((HLOOKUP($AH474,Target_monthwise!$D$24:$O$40,DTR!U$4,FALSE)),0)</f>
        <v>0</v>
      </c>
      <c r="V474" s="239">
        <f>IFERROR((HLOOKUP($AH474,Target_monthwise!$D$24:$O$40,DTR!V$4,FALSE)),0)</f>
        <v>0</v>
      </c>
      <c r="W474" s="239">
        <f>IFERROR((HLOOKUP($AH474,Target_monthwise!$D$24:$O$40,DTR!W$4,FALSE)),0)</f>
        <v>0</v>
      </c>
      <c r="X474" s="239">
        <f>IFERROR((HLOOKUP($AH474,Target_monthwise!$D$24:$O$40,DTR!X$4,FALSE)),0)</f>
        <v>0</v>
      </c>
      <c r="Y474" s="239">
        <f>IFERROR((HLOOKUP($AH474,Target_monthwise!$D$24:$O$40,DTR!Y$4,FALSE)),0)</f>
        <v>0</v>
      </c>
      <c r="Z474" s="147">
        <f>IFERROR((HLOOKUP($AH474,Target_monthwise!$D$24:$O$40,DTR!Z$4,FALSE)),0)</f>
        <v>0</v>
      </c>
      <c r="AA474" s="147">
        <f>IFERROR((HLOOKUP($AH474,Target_monthwise!$D$24:$O$40,DTR!AA$4,FALSE)),0)</f>
        <v>0</v>
      </c>
      <c r="AB474" s="147">
        <f>IFERROR((HLOOKUP($AH474,Target_monthwise!$D$24:$O$40,DTR!AB$4,FALSE)),0)</f>
        <v>0</v>
      </c>
      <c r="AC474" s="239">
        <f>IFERROR((HLOOKUP($AH474,Target_monthwise!$D$24:$O$40,DTR!AC$4,FALSE)),0)</f>
        <v>0</v>
      </c>
      <c r="AD474" s="239">
        <f>IFERROR((HLOOKUP($AH474,Target_monthwise!$D$24:$O$40,DTR!AD$4,FALSE)),0)</f>
        <v>0</v>
      </c>
      <c r="AE474" s="239">
        <f>IFERROR((HLOOKUP($AH474,Target_monthwise!$D$24:$O$40,DTR!AE$4,FALSE)),0)</f>
        <v>0</v>
      </c>
      <c r="AF474" s="239">
        <f>IFERROR((HLOOKUP($AH474,Target_monthwise!$D$24:$O$40,DTR!AF$4,FALSE)),0)</f>
        <v>0</v>
      </c>
      <c r="AG474" s="172">
        <f>IFERROR((HLOOKUP($AH474,Target_monthwise!$D$24:$O$40,DTR!AG$4,FALSE)),0)</f>
        <v>0</v>
      </c>
      <c r="AH474" s="253">
        <f t="shared" si="7"/>
        <v>202307</v>
      </c>
    </row>
    <row r="475" spans="3:34" ht="15.75" hidden="1">
      <c r="C475" s="235">
        <v>45118</v>
      </c>
      <c r="D475" s="141">
        <f>IFERROR((HLOOKUP($AH475,Target_monthwise!$D$4:$O$20,DTR!D$4,FALSE))*1000,0)</f>
        <v>0</v>
      </c>
      <c r="E475" s="141">
        <f>IFERROR((HLOOKUP($AH475,Target_monthwise!$D$4:$O$20,DTR!E$4,FALSE))*1000,0)</f>
        <v>0</v>
      </c>
      <c r="F475" s="141">
        <f>IFERROR((HLOOKUP($AH475,Target_monthwise!$D$4:$O$20,DTR!F$4,FALSE))*1000,0)</f>
        <v>0</v>
      </c>
      <c r="G475" s="141">
        <f>IFERROR((HLOOKUP($AH475,Target_monthwise!$D$4:$O$20,DTR!G$4,FALSE))*1000,0)</f>
        <v>0</v>
      </c>
      <c r="H475" s="141">
        <f>IFERROR((HLOOKUP($AH475,Target_monthwise!$D$4:$O$20,DTR!H$4,FALSE))*1000,0)</f>
        <v>0</v>
      </c>
      <c r="I475" s="141">
        <f>IFERROR((HLOOKUP($AH475,Target_monthwise!$D$4:$O$20,DTR!I$4,FALSE))*1000,0)</f>
        <v>0</v>
      </c>
      <c r="J475" s="141">
        <f>IFERROR((HLOOKUP($AH475,Target_monthwise!$D$4:$O$20,DTR!J$4,FALSE))*1000,0)</f>
        <v>0</v>
      </c>
      <c r="K475" s="141">
        <f>IFERROR((HLOOKUP($AH475,Target_monthwise!$D$4:$O$20,DTR!K$4,FALSE))*1000,0)</f>
        <v>0</v>
      </c>
      <c r="L475" s="141">
        <f>IFERROR((HLOOKUP($AH475,Target_monthwise!$D$4:$O$20,DTR!L$4,FALSE))*1000,0)</f>
        <v>0</v>
      </c>
      <c r="M475" s="141">
        <f>IFERROR((HLOOKUP($AH475,Target_monthwise!$D$4:$O$20,DTR!M$4,FALSE))*1000,0)</f>
        <v>0</v>
      </c>
      <c r="N475" s="141">
        <f>IFERROR((HLOOKUP($AH475,Target_monthwise!$D$4:$O$20,DTR!N$4,FALSE))*1000,0)</f>
        <v>0</v>
      </c>
      <c r="O475" s="141">
        <f>IFERROR((HLOOKUP($AH475,Target_monthwise!$D$4:$O$20,DTR!O$4,FALSE))*1000,0)</f>
        <v>0</v>
      </c>
      <c r="P475" s="141">
        <f>IFERROR((HLOOKUP($AH475,Target_monthwise!$D$4:$O$20,DTR!P$4,FALSE))*1000,0)</f>
        <v>0</v>
      </c>
      <c r="Q475" s="141">
        <f>IFERROR((HLOOKUP($AH475,Target_monthwise!$D$4:$O$20,DTR!Q$4,FALSE))*1000,0)</f>
        <v>0</v>
      </c>
      <c r="R475" s="167">
        <f>IFERROR((HLOOKUP($AH475,Target_monthwise!$D$4:$O$20,DTR!R$4,FALSE))*1000,0)</f>
        <v>0</v>
      </c>
      <c r="S475" s="147">
        <f>IFERROR((HLOOKUP($AH475,Target_monthwise!$D$24:$O$40,DTR!S$4,FALSE)),0)</f>
        <v>0</v>
      </c>
      <c r="T475" s="147">
        <f>IFERROR((HLOOKUP($AH475,Target_monthwise!$D$24:$O$40,DTR!T$4,FALSE)),0)</f>
        <v>0</v>
      </c>
      <c r="U475" s="147">
        <f>IFERROR((HLOOKUP($AH475,Target_monthwise!$D$24:$O$40,DTR!U$4,FALSE)),0)</f>
        <v>0</v>
      </c>
      <c r="V475" s="147">
        <f>IFERROR((HLOOKUP($AH475,Target_monthwise!$D$24:$O$40,DTR!V$4,FALSE)),0)</f>
        <v>0</v>
      </c>
      <c r="W475" s="147">
        <f>IFERROR((HLOOKUP($AH475,Target_monthwise!$D$24:$O$40,DTR!W$4,FALSE)),0)</f>
        <v>0</v>
      </c>
      <c r="X475" s="147">
        <f>IFERROR((HLOOKUP($AH475,Target_monthwise!$D$24:$O$40,DTR!X$4,FALSE)),0)</f>
        <v>0</v>
      </c>
      <c r="Y475" s="147">
        <f>IFERROR((HLOOKUP($AH475,Target_monthwise!$D$24:$O$40,DTR!Y$4,FALSE)),0)</f>
        <v>0</v>
      </c>
      <c r="Z475" s="147">
        <f>IFERROR((HLOOKUP($AH475,Target_monthwise!$D$24:$O$40,DTR!Z$4,FALSE)),0)</f>
        <v>0</v>
      </c>
      <c r="AA475" s="147">
        <f>IFERROR((HLOOKUP($AH475,Target_monthwise!$D$24:$O$40,DTR!AA$4,FALSE)),0)</f>
        <v>0</v>
      </c>
      <c r="AB475" s="147">
        <f>IFERROR((HLOOKUP($AH475,Target_monthwise!$D$24:$O$40,DTR!AB$4,FALSE)),0)</f>
        <v>0</v>
      </c>
      <c r="AC475" s="147">
        <f>IFERROR((HLOOKUP($AH475,Target_monthwise!$D$24:$O$40,DTR!AC$4,FALSE)),0)</f>
        <v>0</v>
      </c>
      <c r="AD475" s="147">
        <f>IFERROR((HLOOKUP($AH475,Target_monthwise!$D$24:$O$40,DTR!AD$4,FALSE)),0)</f>
        <v>0</v>
      </c>
      <c r="AE475" s="147">
        <f>IFERROR((HLOOKUP($AH475,Target_monthwise!$D$24:$O$40,DTR!AE$4,FALSE)),0)</f>
        <v>0</v>
      </c>
      <c r="AF475" s="147">
        <f>IFERROR((HLOOKUP($AH475,Target_monthwise!$D$24:$O$40,DTR!AF$4,FALSE)),0)</f>
        <v>0</v>
      </c>
      <c r="AG475" s="172">
        <f>IFERROR((HLOOKUP($AH475,Target_monthwise!$D$24:$O$40,DTR!AG$4,FALSE)),0)</f>
        <v>0</v>
      </c>
      <c r="AH475" s="253">
        <f t="shared" si="7"/>
        <v>202307</v>
      </c>
    </row>
    <row r="476" spans="3:34" ht="15.75" hidden="1">
      <c r="C476" s="237">
        <v>45119</v>
      </c>
      <c r="D476" s="238">
        <f>IFERROR((HLOOKUP($AH476,Target_monthwise!$D$4:$O$20,DTR!D$4,FALSE))*1000,0)</f>
        <v>0</v>
      </c>
      <c r="E476" s="238">
        <f>IFERROR((HLOOKUP($AH476,Target_monthwise!$D$4:$O$20,DTR!E$4,FALSE))*1000,0)</f>
        <v>0</v>
      </c>
      <c r="F476" s="238">
        <f>IFERROR((HLOOKUP($AH476,Target_monthwise!$D$4:$O$20,DTR!F$4,FALSE))*1000,0)</f>
        <v>0</v>
      </c>
      <c r="G476" s="238">
        <f>IFERROR((HLOOKUP($AH476,Target_monthwise!$D$4:$O$20,DTR!G$4,FALSE))*1000,0)</f>
        <v>0</v>
      </c>
      <c r="H476" s="238">
        <f>IFERROR((HLOOKUP($AH476,Target_monthwise!$D$4:$O$20,DTR!H$4,FALSE))*1000,0)</f>
        <v>0</v>
      </c>
      <c r="I476" s="238">
        <f>IFERROR((HLOOKUP($AH476,Target_monthwise!$D$4:$O$20,DTR!I$4,FALSE))*1000,0)</f>
        <v>0</v>
      </c>
      <c r="J476" s="238">
        <f>IFERROR((HLOOKUP($AH476,Target_monthwise!$D$4:$O$20,DTR!J$4,FALSE))*1000,0)</f>
        <v>0</v>
      </c>
      <c r="K476" s="238">
        <f>IFERROR((HLOOKUP($AH476,Target_monthwise!$D$4:$O$20,DTR!K$4,FALSE))*1000,0)</f>
        <v>0</v>
      </c>
      <c r="L476" s="238">
        <f>IFERROR((HLOOKUP($AH476,Target_monthwise!$D$4:$O$20,DTR!L$4,FALSE))*1000,0)</f>
        <v>0</v>
      </c>
      <c r="M476" s="238">
        <f>IFERROR((HLOOKUP($AH476,Target_monthwise!$D$4:$O$20,DTR!M$4,FALSE))*1000,0)</f>
        <v>0</v>
      </c>
      <c r="N476" s="238">
        <f>IFERROR((HLOOKUP($AH476,Target_monthwise!$D$4:$O$20,DTR!N$4,FALSE))*1000,0)</f>
        <v>0</v>
      </c>
      <c r="O476" s="238">
        <f>IFERROR((HLOOKUP($AH476,Target_monthwise!$D$4:$O$20,DTR!O$4,FALSE))*1000,0)</f>
        <v>0</v>
      </c>
      <c r="P476" s="238">
        <f>IFERROR((HLOOKUP($AH476,Target_monthwise!$D$4:$O$20,DTR!P$4,FALSE))*1000,0)</f>
        <v>0</v>
      </c>
      <c r="Q476" s="141">
        <f>IFERROR((HLOOKUP($AH476,Target_monthwise!$D$4:$O$20,DTR!Q$4,FALSE))*1000,0)</f>
        <v>0</v>
      </c>
      <c r="R476" s="167">
        <f>IFERROR((HLOOKUP($AH476,Target_monthwise!$D$4:$O$20,DTR!R$4,FALSE))*1000,0)</f>
        <v>0</v>
      </c>
      <c r="S476" s="239">
        <f>IFERROR((HLOOKUP($AH476,Target_monthwise!$D$24:$O$40,DTR!S$4,FALSE)),0)</f>
        <v>0</v>
      </c>
      <c r="T476" s="239">
        <f>IFERROR((HLOOKUP($AH476,Target_monthwise!$D$24:$O$40,DTR!T$4,FALSE)),0)</f>
        <v>0</v>
      </c>
      <c r="U476" s="239">
        <f>IFERROR((HLOOKUP($AH476,Target_monthwise!$D$24:$O$40,DTR!U$4,FALSE)),0)</f>
        <v>0</v>
      </c>
      <c r="V476" s="239">
        <f>IFERROR((HLOOKUP($AH476,Target_monthwise!$D$24:$O$40,DTR!V$4,FALSE)),0)</f>
        <v>0</v>
      </c>
      <c r="W476" s="239">
        <f>IFERROR((HLOOKUP($AH476,Target_monthwise!$D$24:$O$40,DTR!W$4,FALSE)),0)</f>
        <v>0</v>
      </c>
      <c r="X476" s="239">
        <f>IFERROR((HLOOKUP($AH476,Target_monthwise!$D$24:$O$40,DTR!X$4,FALSE)),0)</f>
        <v>0</v>
      </c>
      <c r="Y476" s="239">
        <f>IFERROR((HLOOKUP($AH476,Target_monthwise!$D$24:$O$40,DTR!Y$4,FALSE)),0)</f>
        <v>0</v>
      </c>
      <c r="Z476" s="147">
        <f>IFERROR((HLOOKUP($AH476,Target_monthwise!$D$24:$O$40,DTR!Z$4,FALSE)),0)</f>
        <v>0</v>
      </c>
      <c r="AA476" s="147">
        <f>IFERROR((HLOOKUP($AH476,Target_monthwise!$D$24:$O$40,DTR!AA$4,FALSE)),0)</f>
        <v>0</v>
      </c>
      <c r="AB476" s="147">
        <f>IFERROR((HLOOKUP($AH476,Target_monthwise!$D$24:$O$40,DTR!AB$4,FALSE)),0)</f>
        <v>0</v>
      </c>
      <c r="AC476" s="239">
        <f>IFERROR((HLOOKUP($AH476,Target_monthwise!$D$24:$O$40,DTR!AC$4,FALSE)),0)</f>
        <v>0</v>
      </c>
      <c r="AD476" s="239">
        <f>IFERROR((HLOOKUP($AH476,Target_monthwise!$D$24:$O$40,DTR!AD$4,FALSE)),0)</f>
        <v>0</v>
      </c>
      <c r="AE476" s="239">
        <f>IFERROR((HLOOKUP($AH476,Target_monthwise!$D$24:$O$40,DTR!AE$4,FALSE)),0)</f>
        <v>0</v>
      </c>
      <c r="AF476" s="239">
        <f>IFERROR((HLOOKUP($AH476,Target_monthwise!$D$24:$O$40,DTR!AF$4,FALSE)),0)</f>
        <v>0</v>
      </c>
      <c r="AG476" s="172">
        <f>IFERROR((HLOOKUP($AH476,Target_monthwise!$D$24:$O$40,DTR!AG$4,FALSE)),0)</f>
        <v>0</v>
      </c>
      <c r="AH476" s="253">
        <f t="shared" si="7"/>
        <v>202307</v>
      </c>
    </row>
    <row r="477" spans="3:34" ht="15.75" hidden="1">
      <c r="C477" s="235">
        <v>45120</v>
      </c>
      <c r="D477" s="141">
        <f>IFERROR((HLOOKUP($AH477,Target_monthwise!$D$4:$O$20,DTR!D$4,FALSE))*1000,0)</f>
        <v>0</v>
      </c>
      <c r="E477" s="141">
        <f>IFERROR((HLOOKUP($AH477,Target_monthwise!$D$4:$O$20,DTR!E$4,FALSE))*1000,0)</f>
        <v>0</v>
      </c>
      <c r="F477" s="141">
        <f>IFERROR((HLOOKUP($AH477,Target_monthwise!$D$4:$O$20,DTR!F$4,FALSE))*1000,0)</f>
        <v>0</v>
      </c>
      <c r="G477" s="141">
        <f>IFERROR((HLOOKUP($AH477,Target_monthwise!$D$4:$O$20,DTR!G$4,FALSE))*1000,0)</f>
        <v>0</v>
      </c>
      <c r="H477" s="141">
        <f>IFERROR((HLOOKUP($AH477,Target_monthwise!$D$4:$O$20,DTR!H$4,FALSE))*1000,0)</f>
        <v>0</v>
      </c>
      <c r="I477" s="141">
        <f>IFERROR((HLOOKUP($AH477,Target_monthwise!$D$4:$O$20,DTR!I$4,FALSE))*1000,0)</f>
        <v>0</v>
      </c>
      <c r="J477" s="141">
        <f>IFERROR((HLOOKUP($AH477,Target_monthwise!$D$4:$O$20,DTR!J$4,FALSE))*1000,0)</f>
        <v>0</v>
      </c>
      <c r="K477" s="141">
        <f>IFERROR((HLOOKUP($AH477,Target_monthwise!$D$4:$O$20,DTR!K$4,FALSE))*1000,0)</f>
        <v>0</v>
      </c>
      <c r="L477" s="141">
        <f>IFERROR((HLOOKUP($AH477,Target_monthwise!$D$4:$O$20,DTR!L$4,FALSE))*1000,0)</f>
        <v>0</v>
      </c>
      <c r="M477" s="141">
        <f>IFERROR((HLOOKUP($AH477,Target_monthwise!$D$4:$O$20,DTR!M$4,FALSE))*1000,0)</f>
        <v>0</v>
      </c>
      <c r="N477" s="141">
        <f>IFERROR((HLOOKUP($AH477,Target_monthwise!$D$4:$O$20,DTR!N$4,FALSE))*1000,0)</f>
        <v>0</v>
      </c>
      <c r="O477" s="141">
        <f>IFERROR((HLOOKUP($AH477,Target_monthwise!$D$4:$O$20,DTR!O$4,FALSE))*1000,0)</f>
        <v>0</v>
      </c>
      <c r="P477" s="141">
        <f>IFERROR((HLOOKUP($AH477,Target_monthwise!$D$4:$O$20,DTR!P$4,FALSE))*1000,0)</f>
        <v>0</v>
      </c>
      <c r="Q477" s="141">
        <f>IFERROR((HLOOKUP($AH477,Target_monthwise!$D$4:$O$20,DTR!Q$4,FALSE))*1000,0)</f>
        <v>0</v>
      </c>
      <c r="R477" s="167">
        <f>IFERROR((HLOOKUP($AH477,Target_monthwise!$D$4:$O$20,DTR!R$4,FALSE))*1000,0)</f>
        <v>0</v>
      </c>
      <c r="S477" s="147">
        <f>IFERROR((HLOOKUP($AH477,Target_monthwise!$D$24:$O$40,DTR!S$4,FALSE)),0)</f>
        <v>0</v>
      </c>
      <c r="T477" s="147">
        <f>IFERROR((HLOOKUP($AH477,Target_monthwise!$D$24:$O$40,DTR!T$4,FALSE)),0)</f>
        <v>0</v>
      </c>
      <c r="U477" s="147">
        <f>IFERROR((HLOOKUP($AH477,Target_monthwise!$D$24:$O$40,DTR!U$4,FALSE)),0)</f>
        <v>0</v>
      </c>
      <c r="V477" s="147">
        <f>IFERROR((HLOOKUP($AH477,Target_monthwise!$D$24:$O$40,DTR!V$4,FALSE)),0)</f>
        <v>0</v>
      </c>
      <c r="W477" s="147">
        <f>IFERROR((HLOOKUP($AH477,Target_monthwise!$D$24:$O$40,DTR!W$4,FALSE)),0)</f>
        <v>0</v>
      </c>
      <c r="X477" s="147">
        <f>IFERROR((HLOOKUP($AH477,Target_monthwise!$D$24:$O$40,DTR!X$4,FALSE)),0)</f>
        <v>0</v>
      </c>
      <c r="Y477" s="147">
        <f>IFERROR((HLOOKUP($AH477,Target_monthwise!$D$24:$O$40,DTR!Y$4,FALSE)),0)</f>
        <v>0</v>
      </c>
      <c r="Z477" s="147">
        <f>IFERROR((HLOOKUP($AH477,Target_monthwise!$D$24:$O$40,DTR!Z$4,FALSE)),0)</f>
        <v>0</v>
      </c>
      <c r="AA477" s="147">
        <f>IFERROR((HLOOKUP($AH477,Target_monthwise!$D$24:$O$40,DTR!AA$4,FALSE)),0)</f>
        <v>0</v>
      </c>
      <c r="AB477" s="147">
        <f>IFERROR((HLOOKUP($AH477,Target_monthwise!$D$24:$O$40,DTR!AB$4,FALSE)),0)</f>
        <v>0</v>
      </c>
      <c r="AC477" s="147">
        <f>IFERROR((HLOOKUP($AH477,Target_monthwise!$D$24:$O$40,DTR!AC$4,FALSE)),0)</f>
        <v>0</v>
      </c>
      <c r="AD477" s="147">
        <f>IFERROR((HLOOKUP($AH477,Target_monthwise!$D$24:$O$40,DTR!AD$4,FALSE)),0)</f>
        <v>0</v>
      </c>
      <c r="AE477" s="147">
        <f>IFERROR((HLOOKUP($AH477,Target_monthwise!$D$24:$O$40,DTR!AE$4,FALSE)),0)</f>
        <v>0</v>
      </c>
      <c r="AF477" s="147">
        <f>IFERROR((HLOOKUP($AH477,Target_monthwise!$D$24:$O$40,DTR!AF$4,FALSE)),0)</f>
        <v>0</v>
      </c>
      <c r="AG477" s="172">
        <f>IFERROR((HLOOKUP($AH477,Target_monthwise!$D$24:$O$40,DTR!AG$4,FALSE)),0)</f>
        <v>0</v>
      </c>
      <c r="AH477" s="253">
        <f t="shared" si="7"/>
        <v>202307</v>
      </c>
    </row>
    <row r="478" spans="3:34" ht="15.75" hidden="1">
      <c r="C478" s="237">
        <v>45121</v>
      </c>
      <c r="D478" s="238">
        <f>IFERROR((HLOOKUP($AH478,Target_monthwise!$D$4:$O$20,DTR!D$4,FALSE))*1000,0)</f>
        <v>0</v>
      </c>
      <c r="E478" s="238">
        <f>IFERROR((HLOOKUP($AH478,Target_monthwise!$D$4:$O$20,DTR!E$4,FALSE))*1000,0)</f>
        <v>0</v>
      </c>
      <c r="F478" s="238">
        <f>IFERROR((HLOOKUP($AH478,Target_monthwise!$D$4:$O$20,DTR!F$4,FALSE))*1000,0)</f>
        <v>0</v>
      </c>
      <c r="G478" s="238">
        <f>IFERROR((HLOOKUP($AH478,Target_monthwise!$D$4:$O$20,DTR!G$4,FALSE))*1000,0)</f>
        <v>0</v>
      </c>
      <c r="H478" s="238">
        <f>IFERROR((HLOOKUP($AH478,Target_monthwise!$D$4:$O$20,DTR!H$4,FALSE))*1000,0)</f>
        <v>0</v>
      </c>
      <c r="I478" s="238">
        <f>IFERROR((HLOOKUP($AH478,Target_monthwise!$D$4:$O$20,DTR!I$4,FALSE))*1000,0)</f>
        <v>0</v>
      </c>
      <c r="J478" s="238">
        <f>IFERROR((HLOOKUP($AH478,Target_monthwise!$D$4:$O$20,DTR!J$4,FALSE))*1000,0)</f>
        <v>0</v>
      </c>
      <c r="K478" s="238">
        <f>IFERROR((HLOOKUP($AH478,Target_monthwise!$D$4:$O$20,DTR!K$4,FALSE))*1000,0)</f>
        <v>0</v>
      </c>
      <c r="L478" s="238">
        <f>IFERROR((HLOOKUP($AH478,Target_monthwise!$D$4:$O$20,DTR!L$4,FALSE))*1000,0)</f>
        <v>0</v>
      </c>
      <c r="M478" s="238">
        <f>IFERROR((HLOOKUP($AH478,Target_monthwise!$D$4:$O$20,DTR!M$4,FALSE))*1000,0)</f>
        <v>0</v>
      </c>
      <c r="N478" s="238">
        <f>IFERROR((HLOOKUP($AH478,Target_monthwise!$D$4:$O$20,DTR!N$4,FALSE))*1000,0)</f>
        <v>0</v>
      </c>
      <c r="O478" s="238">
        <f>IFERROR((HLOOKUP($AH478,Target_monthwise!$D$4:$O$20,DTR!O$4,FALSE))*1000,0)</f>
        <v>0</v>
      </c>
      <c r="P478" s="238">
        <f>IFERROR((HLOOKUP($AH478,Target_monthwise!$D$4:$O$20,DTR!P$4,FALSE))*1000,0)</f>
        <v>0</v>
      </c>
      <c r="Q478" s="141">
        <f>IFERROR((HLOOKUP($AH478,Target_monthwise!$D$4:$O$20,DTR!Q$4,FALSE))*1000,0)</f>
        <v>0</v>
      </c>
      <c r="R478" s="167">
        <f>IFERROR((HLOOKUP($AH478,Target_monthwise!$D$4:$O$20,DTR!R$4,FALSE))*1000,0)</f>
        <v>0</v>
      </c>
      <c r="S478" s="239">
        <f>IFERROR((HLOOKUP($AH478,Target_monthwise!$D$24:$O$40,DTR!S$4,FALSE)),0)</f>
        <v>0</v>
      </c>
      <c r="T478" s="239">
        <f>IFERROR((HLOOKUP($AH478,Target_monthwise!$D$24:$O$40,DTR!T$4,FALSE)),0)</f>
        <v>0</v>
      </c>
      <c r="U478" s="239">
        <f>IFERROR((HLOOKUP($AH478,Target_monthwise!$D$24:$O$40,DTR!U$4,FALSE)),0)</f>
        <v>0</v>
      </c>
      <c r="V478" s="239">
        <f>IFERROR((HLOOKUP($AH478,Target_monthwise!$D$24:$O$40,DTR!V$4,FALSE)),0)</f>
        <v>0</v>
      </c>
      <c r="W478" s="239">
        <f>IFERROR((HLOOKUP($AH478,Target_monthwise!$D$24:$O$40,DTR!W$4,FALSE)),0)</f>
        <v>0</v>
      </c>
      <c r="X478" s="239">
        <f>IFERROR((HLOOKUP($AH478,Target_monthwise!$D$24:$O$40,DTR!X$4,FALSE)),0)</f>
        <v>0</v>
      </c>
      <c r="Y478" s="239">
        <f>IFERROR((HLOOKUP($AH478,Target_monthwise!$D$24:$O$40,DTR!Y$4,FALSE)),0)</f>
        <v>0</v>
      </c>
      <c r="Z478" s="147">
        <f>IFERROR((HLOOKUP($AH478,Target_monthwise!$D$24:$O$40,DTR!Z$4,FALSE)),0)</f>
        <v>0</v>
      </c>
      <c r="AA478" s="147">
        <f>IFERROR((HLOOKUP($AH478,Target_monthwise!$D$24:$O$40,DTR!AA$4,FALSE)),0)</f>
        <v>0</v>
      </c>
      <c r="AB478" s="147">
        <f>IFERROR((HLOOKUP($AH478,Target_monthwise!$D$24:$O$40,DTR!AB$4,FALSE)),0)</f>
        <v>0</v>
      </c>
      <c r="AC478" s="239">
        <f>IFERROR((HLOOKUP($AH478,Target_monthwise!$D$24:$O$40,DTR!AC$4,FALSE)),0)</f>
        <v>0</v>
      </c>
      <c r="AD478" s="239">
        <f>IFERROR((HLOOKUP($AH478,Target_monthwise!$D$24:$O$40,DTR!AD$4,FALSE)),0)</f>
        <v>0</v>
      </c>
      <c r="AE478" s="239">
        <f>IFERROR((HLOOKUP($AH478,Target_monthwise!$D$24:$O$40,DTR!AE$4,FALSE)),0)</f>
        <v>0</v>
      </c>
      <c r="AF478" s="239">
        <f>IFERROR((HLOOKUP($AH478,Target_monthwise!$D$24:$O$40,DTR!AF$4,FALSE)),0)</f>
        <v>0</v>
      </c>
      <c r="AG478" s="172">
        <f>IFERROR((HLOOKUP($AH478,Target_monthwise!$D$24:$O$40,DTR!AG$4,FALSE)),0)</f>
        <v>0</v>
      </c>
      <c r="AH478" s="253">
        <f t="shared" si="7"/>
        <v>202307</v>
      </c>
    </row>
    <row r="479" spans="3:34" ht="15.75" hidden="1">
      <c r="C479" s="235">
        <v>45122</v>
      </c>
      <c r="D479" s="141">
        <f>IFERROR((HLOOKUP($AH479,Target_monthwise!$D$4:$O$20,DTR!D$4,FALSE))*1000,0)</f>
        <v>0</v>
      </c>
      <c r="E479" s="141">
        <f>IFERROR((HLOOKUP($AH479,Target_monthwise!$D$4:$O$20,DTR!E$4,FALSE))*1000,0)</f>
        <v>0</v>
      </c>
      <c r="F479" s="141">
        <f>IFERROR((HLOOKUP($AH479,Target_monthwise!$D$4:$O$20,DTR!F$4,FALSE))*1000,0)</f>
        <v>0</v>
      </c>
      <c r="G479" s="141">
        <f>IFERROR((HLOOKUP($AH479,Target_monthwise!$D$4:$O$20,DTR!G$4,FALSE))*1000,0)</f>
        <v>0</v>
      </c>
      <c r="H479" s="141">
        <f>IFERROR((HLOOKUP($AH479,Target_monthwise!$D$4:$O$20,DTR!H$4,FALSE))*1000,0)</f>
        <v>0</v>
      </c>
      <c r="I479" s="141">
        <f>IFERROR((HLOOKUP($AH479,Target_monthwise!$D$4:$O$20,DTR!I$4,FALSE))*1000,0)</f>
        <v>0</v>
      </c>
      <c r="J479" s="141">
        <f>IFERROR((HLOOKUP($AH479,Target_monthwise!$D$4:$O$20,DTR!J$4,FALSE))*1000,0)</f>
        <v>0</v>
      </c>
      <c r="K479" s="141">
        <f>IFERROR((HLOOKUP($AH479,Target_monthwise!$D$4:$O$20,DTR!K$4,FALSE))*1000,0)</f>
        <v>0</v>
      </c>
      <c r="L479" s="141">
        <f>IFERROR((HLOOKUP($AH479,Target_monthwise!$D$4:$O$20,DTR!L$4,FALSE))*1000,0)</f>
        <v>0</v>
      </c>
      <c r="M479" s="141">
        <f>IFERROR((HLOOKUP($AH479,Target_monthwise!$D$4:$O$20,DTR!M$4,FALSE))*1000,0)</f>
        <v>0</v>
      </c>
      <c r="N479" s="141">
        <f>IFERROR((HLOOKUP($AH479,Target_monthwise!$D$4:$O$20,DTR!N$4,FALSE))*1000,0)</f>
        <v>0</v>
      </c>
      <c r="O479" s="141">
        <f>IFERROR((HLOOKUP($AH479,Target_monthwise!$D$4:$O$20,DTR!O$4,FALSE))*1000,0)</f>
        <v>0</v>
      </c>
      <c r="P479" s="141">
        <f>IFERROR((HLOOKUP($AH479,Target_monthwise!$D$4:$O$20,DTR!P$4,FALSE))*1000,0)</f>
        <v>0</v>
      </c>
      <c r="Q479" s="141">
        <f>IFERROR((HLOOKUP($AH479,Target_monthwise!$D$4:$O$20,DTR!Q$4,FALSE))*1000,0)</f>
        <v>0</v>
      </c>
      <c r="R479" s="167">
        <f>IFERROR((HLOOKUP($AH479,Target_monthwise!$D$4:$O$20,DTR!R$4,FALSE))*1000,0)</f>
        <v>0</v>
      </c>
      <c r="S479" s="147">
        <f>IFERROR((HLOOKUP($AH479,Target_monthwise!$D$24:$O$40,DTR!S$4,FALSE)),0)</f>
        <v>0</v>
      </c>
      <c r="T479" s="147">
        <f>IFERROR((HLOOKUP($AH479,Target_monthwise!$D$24:$O$40,DTR!T$4,FALSE)),0)</f>
        <v>0</v>
      </c>
      <c r="U479" s="147">
        <f>IFERROR((HLOOKUP($AH479,Target_monthwise!$D$24:$O$40,DTR!U$4,FALSE)),0)</f>
        <v>0</v>
      </c>
      <c r="V479" s="147">
        <f>IFERROR((HLOOKUP($AH479,Target_monthwise!$D$24:$O$40,DTR!V$4,FALSE)),0)</f>
        <v>0</v>
      </c>
      <c r="W479" s="147">
        <f>IFERROR((HLOOKUP($AH479,Target_monthwise!$D$24:$O$40,DTR!W$4,FALSE)),0)</f>
        <v>0</v>
      </c>
      <c r="X479" s="147">
        <f>IFERROR((HLOOKUP($AH479,Target_monthwise!$D$24:$O$40,DTR!X$4,FALSE)),0)</f>
        <v>0</v>
      </c>
      <c r="Y479" s="147">
        <f>IFERROR((HLOOKUP($AH479,Target_monthwise!$D$24:$O$40,DTR!Y$4,FALSE)),0)</f>
        <v>0</v>
      </c>
      <c r="Z479" s="147">
        <f>IFERROR((HLOOKUP($AH479,Target_monthwise!$D$24:$O$40,DTR!Z$4,FALSE)),0)</f>
        <v>0</v>
      </c>
      <c r="AA479" s="147">
        <f>IFERROR((HLOOKUP($AH479,Target_monthwise!$D$24:$O$40,DTR!AA$4,FALSE)),0)</f>
        <v>0</v>
      </c>
      <c r="AB479" s="147">
        <f>IFERROR((HLOOKUP($AH479,Target_monthwise!$D$24:$O$40,DTR!AB$4,FALSE)),0)</f>
        <v>0</v>
      </c>
      <c r="AC479" s="147">
        <f>IFERROR((HLOOKUP($AH479,Target_monthwise!$D$24:$O$40,DTR!AC$4,FALSE)),0)</f>
        <v>0</v>
      </c>
      <c r="AD479" s="147">
        <f>IFERROR((HLOOKUP($AH479,Target_monthwise!$D$24:$O$40,DTR!AD$4,FALSE)),0)</f>
        <v>0</v>
      </c>
      <c r="AE479" s="147">
        <f>IFERROR((HLOOKUP($AH479,Target_monthwise!$D$24:$O$40,DTR!AE$4,FALSE)),0)</f>
        <v>0</v>
      </c>
      <c r="AF479" s="147">
        <f>IFERROR((HLOOKUP($AH479,Target_monthwise!$D$24:$O$40,DTR!AF$4,FALSE)),0)</f>
        <v>0</v>
      </c>
      <c r="AG479" s="172">
        <f>IFERROR((HLOOKUP($AH479,Target_monthwise!$D$24:$O$40,DTR!AG$4,FALSE)),0)</f>
        <v>0</v>
      </c>
      <c r="AH479" s="253">
        <f t="shared" si="7"/>
        <v>202307</v>
      </c>
    </row>
    <row r="480" spans="3:34" ht="15.75" hidden="1">
      <c r="C480" s="237">
        <v>45123</v>
      </c>
      <c r="D480" s="238">
        <f>IFERROR((HLOOKUP($AH480,Target_monthwise!$D$4:$O$20,DTR!D$4,FALSE))*1000,0)</f>
        <v>0</v>
      </c>
      <c r="E480" s="238">
        <f>IFERROR((HLOOKUP($AH480,Target_monthwise!$D$4:$O$20,DTR!E$4,FALSE))*1000,0)</f>
        <v>0</v>
      </c>
      <c r="F480" s="238">
        <f>IFERROR((HLOOKUP($AH480,Target_monthwise!$D$4:$O$20,DTR!F$4,FALSE))*1000,0)</f>
        <v>0</v>
      </c>
      <c r="G480" s="238">
        <f>IFERROR((HLOOKUP($AH480,Target_monthwise!$D$4:$O$20,DTR!G$4,FALSE))*1000,0)</f>
        <v>0</v>
      </c>
      <c r="H480" s="238">
        <f>IFERROR((HLOOKUP($AH480,Target_monthwise!$D$4:$O$20,DTR!H$4,FALSE))*1000,0)</f>
        <v>0</v>
      </c>
      <c r="I480" s="238">
        <f>IFERROR((HLOOKUP($AH480,Target_monthwise!$D$4:$O$20,DTR!I$4,FALSE))*1000,0)</f>
        <v>0</v>
      </c>
      <c r="J480" s="238">
        <f>IFERROR((HLOOKUP($AH480,Target_monthwise!$D$4:$O$20,DTR!J$4,FALSE))*1000,0)</f>
        <v>0</v>
      </c>
      <c r="K480" s="238">
        <f>IFERROR((HLOOKUP($AH480,Target_monthwise!$D$4:$O$20,DTR!K$4,FALSE))*1000,0)</f>
        <v>0</v>
      </c>
      <c r="L480" s="238">
        <f>IFERROR((HLOOKUP($AH480,Target_monthwise!$D$4:$O$20,DTR!L$4,FALSE))*1000,0)</f>
        <v>0</v>
      </c>
      <c r="M480" s="238">
        <f>IFERROR((HLOOKUP($AH480,Target_monthwise!$D$4:$O$20,DTR!M$4,FALSE))*1000,0)</f>
        <v>0</v>
      </c>
      <c r="N480" s="238">
        <f>IFERROR((HLOOKUP($AH480,Target_monthwise!$D$4:$O$20,DTR!N$4,FALSE))*1000,0)</f>
        <v>0</v>
      </c>
      <c r="O480" s="238">
        <f>IFERROR((HLOOKUP($AH480,Target_monthwise!$D$4:$O$20,DTR!O$4,FALSE))*1000,0)</f>
        <v>0</v>
      </c>
      <c r="P480" s="238">
        <f>IFERROR((HLOOKUP($AH480,Target_monthwise!$D$4:$O$20,DTR!P$4,FALSE))*1000,0)</f>
        <v>0</v>
      </c>
      <c r="Q480" s="141">
        <f>IFERROR((HLOOKUP($AH480,Target_monthwise!$D$4:$O$20,DTR!Q$4,FALSE))*1000,0)</f>
        <v>0</v>
      </c>
      <c r="R480" s="167">
        <f>IFERROR((HLOOKUP($AH480,Target_monthwise!$D$4:$O$20,DTR!R$4,FALSE))*1000,0)</f>
        <v>0</v>
      </c>
      <c r="S480" s="239">
        <f>IFERROR((HLOOKUP($AH480,Target_monthwise!$D$24:$O$40,DTR!S$4,FALSE)),0)</f>
        <v>0</v>
      </c>
      <c r="T480" s="239">
        <f>IFERROR((HLOOKUP($AH480,Target_monthwise!$D$24:$O$40,DTR!T$4,FALSE)),0)</f>
        <v>0</v>
      </c>
      <c r="U480" s="239">
        <f>IFERROR((HLOOKUP($AH480,Target_monthwise!$D$24:$O$40,DTR!U$4,FALSE)),0)</f>
        <v>0</v>
      </c>
      <c r="V480" s="239">
        <f>IFERROR((HLOOKUP($AH480,Target_monthwise!$D$24:$O$40,DTR!V$4,FALSE)),0)</f>
        <v>0</v>
      </c>
      <c r="W480" s="239">
        <f>IFERROR((HLOOKUP($AH480,Target_monthwise!$D$24:$O$40,DTR!W$4,FALSE)),0)</f>
        <v>0</v>
      </c>
      <c r="X480" s="239">
        <f>IFERROR((HLOOKUP($AH480,Target_monthwise!$D$24:$O$40,DTR!X$4,FALSE)),0)</f>
        <v>0</v>
      </c>
      <c r="Y480" s="239">
        <f>IFERROR((HLOOKUP($AH480,Target_monthwise!$D$24:$O$40,DTR!Y$4,FALSE)),0)</f>
        <v>0</v>
      </c>
      <c r="Z480" s="147">
        <f>IFERROR((HLOOKUP($AH480,Target_monthwise!$D$24:$O$40,DTR!Z$4,FALSE)),0)</f>
        <v>0</v>
      </c>
      <c r="AA480" s="147">
        <f>IFERROR((HLOOKUP($AH480,Target_monthwise!$D$24:$O$40,DTR!AA$4,FALSE)),0)</f>
        <v>0</v>
      </c>
      <c r="AB480" s="147">
        <f>IFERROR((HLOOKUP($AH480,Target_monthwise!$D$24:$O$40,DTR!AB$4,FALSE)),0)</f>
        <v>0</v>
      </c>
      <c r="AC480" s="239">
        <f>IFERROR((HLOOKUP($AH480,Target_monthwise!$D$24:$O$40,DTR!AC$4,FALSE)),0)</f>
        <v>0</v>
      </c>
      <c r="AD480" s="239">
        <f>IFERROR((HLOOKUP($AH480,Target_monthwise!$D$24:$O$40,DTR!AD$4,FALSE)),0)</f>
        <v>0</v>
      </c>
      <c r="AE480" s="239">
        <f>IFERROR((HLOOKUP($AH480,Target_monthwise!$D$24:$O$40,DTR!AE$4,FALSE)),0)</f>
        <v>0</v>
      </c>
      <c r="AF480" s="239">
        <f>IFERROR((HLOOKUP($AH480,Target_monthwise!$D$24:$O$40,DTR!AF$4,FALSE)),0)</f>
        <v>0</v>
      </c>
      <c r="AG480" s="172">
        <f>IFERROR((HLOOKUP($AH480,Target_monthwise!$D$24:$O$40,DTR!AG$4,FALSE)),0)</f>
        <v>0</v>
      </c>
      <c r="AH480" s="253">
        <f t="shared" si="7"/>
        <v>202307</v>
      </c>
    </row>
    <row r="481" spans="3:34" ht="15.75" hidden="1">
      <c r="C481" s="235">
        <v>45124</v>
      </c>
      <c r="D481" s="141">
        <f>IFERROR((HLOOKUP($AH481,Target_monthwise!$D$4:$O$20,DTR!D$4,FALSE))*1000,0)</f>
        <v>0</v>
      </c>
      <c r="E481" s="141">
        <f>IFERROR((HLOOKUP($AH481,Target_monthwise!$D$4:$O$20,DTR!E$4,FALSE))*1000,0)</f>
        <v>0</v>
      </c>
      <c r="F481" s="141">
        <f>IFERROR((HLOOKUP($AH481,Target_monthwise!$D$4:$O$20,DTR!F$4,FALSE))*1000,0)</f>
        <v>0</v>
      </c>
      <c r="G481" s="141">
        <f>IFERROR((HLOOKUP($AH481,Target_monthwise!$D$4:$O$20,DTR!G$4,FALSE))*1000,0)</f>
        <v>0</v>
      </c>
      <c r="H481" s="141">
        <f>IFERROR((HLOOKUP($AH481,Target_monthwise!$D$4:$O$20,DTR!H$4,FALSE))*1000,0)</f>
        <v>0</v>
      </c>
      <c r="I481" s="141">
        <f>IFERROR((HLOOKUP($AH481,Target_monthwise!$D$4:$O$20,DTR!I$4,FALSE))*1000,0)</f>
        <v>0</v>
      </c>
      <c r="J481" s="141">
        <f>IFERROR((HLOOKUP($AH481,Target_monthwise!$D$4:$O$20,DTR!J$4,FALSE))*1000,0)</f>
        <v>0</v>
      </c>
      <c r="K481" s="141">
        <f>IFERROR((HLOOKUP($AH481,Target_monthwise!$D$4:$O$20,DTR!K$4,FALSE))*1000,0)</f>
        <v>0</v>
      </c>
      <c r="L481" s="141">
        <f>IFERROR((HLOOKUP($AH481,Target_monthwise!$D$4:$O$20,DTR!L$4,FALSE))*1000,0)</f>
        <v>0</v>
      </c>
      <c r="M481" s="141">
        <f>IFERROR((HLOOKUP($AH481,Target_monthwise!$D$4:$O$20,DTR!M$4,FALSE))*1000,0)</f>
        <v>0</v>
      </c>
      <c r="N481" s="141">
        <f>IFERROR((HLOOKUP($AH481,Target_monthwise!$D$4:$O$20,DTR!N$4,FALSE))*1000,0)</f>
        <v>0</v>
      </c>
      <c r="O481" s="141">
        <f>IFERROR((HLOOKUP($AH481,Target_monthwise!$D$4:$O$20,DTR!O$4,FALSE))*1000,0)</f>
        <v>0</v>
      </c>
      <c r="P481" s="141">
        <f>IFERROR((HLOOKUP($AH481,Target_monthwise!$D$4:$O$20,DTR!P$4,FALSE))*1000,0)</f>
        <v>0</v>
      </c>
      <c r="Q481" s="141">
        <f>IFERROR((HLOOKUP($AH481,Target_monthwise!$D$4:$O$20,DTR!Q$4,FALSE))*1000,0)</f>
        <v>0</v>
      </c>
      <c r="R481" s="167">
        <f>IFERROR((HLOOKUP($AH481,Target_monthwise!$D$4:$O$20,DTR!R$4,FALSE))*1000,0)</f>
        <v>0</v>
      </c>
      <c r="S481" s="147">
        <f>IFERROR((HLOOKUP($AH481,Target_monthwise!$D$24:$O$40,DTR!S$4,FALSE)),0)</f>
        <v>0</v>
      </c>
      <c r="T481" s="147">
        <f>IFERROR((HLOOKUP($AH481,Target_monthwise!$D$24:$O$40,DTR!T$4,FALSE)),0)</f>
        <v>0</v>
      </c>
      <c r="U481" s="147">
        <f>IFERROR((HLOOKUP($AH481,Target_monthwise!$D$24:$O$40,DTR!U$4,FALSE)),0)</f>
        <v>0</v>
      </c>
      <c r="V481" s="147">
        <f>IFERROR((HLOOKUP($AH481,Target_monthwise!$D$24:$O$40,DTR!V$4,FALSE)),0)</f>
        <v>0</v>
      </c>
      <c r="W481" s="147">
        <f>IFERROR((HLOOKUP($AH481,Target_monthwise!$D$24:$O$40,DTR!W$4,FALSE)),0)</f>
        <v>0</v>
      </c>
      <c r="X481" s="147">
        <f>IFERROR((HLOOKUP($AH481,Target_monthwise!$D$24:$O$40,DTR!X$4,FALSE)),0)</f>
        <v>0</v>
      </c>
      <c r="Y481" s="147">
        <f>IFERROR((HLOOKUP($AH481,Target_monthwise!$D$24:$O$40,DTR!Y$4,FALSE)),0)</f>
        <v>0</v>
      </c>
      <c r="Z481" s="147">
        <f>IFERROR((HLOOKUP($AH481,Target_monthwise!$D$24:$O$40,DTR!Z$4,FALSE)),0)</f>
        <v>0</v>
      </c>
      <c r="AA481" s="147">
        <f>IFERROR((HLOOKUP($AH481,Target_monthwise!$D$24:$O$40,DTR!AA$4,FALSE)),0)</f>
        <v>0</v>
      </c>
      <c r="AB481" s="147">
        <f>IFERROR((HLOOKUP($AH481,Target_monthwise!$D$24:$O$40,DTR!AB$4,FALSE)),0)</f>
        <v>0</v>
      </c>
      <c r="AC481" s="147">
        <f>IFERROR((HLOOKUP($AH481,Target_monthwise!$D$24:$O$40,DTR!AC$4,FALSE)),0)</f>
        <v>0</v>
      </c>
      <c r="AD481" s="147">
        <f>IFERROR((HLOOKUP($AH481,Target_monthwise!$D$24:$O$40,DTR!AD$4,FALSE)),0)</f>
        <v>0</v>
      </c>
      <c r="AE481" s="147">
        <f>IFERROR((HLOOKUP($AH481,Target_monthwise!$D$24:$O$40,DTR!AE$4,FALSE)),0)</f>
        <v>0</v>
      </c>
      <c r="AF481" s="147">
        <f>IFERROR((HLOOKUP($AH481,Target_monthwise!$D$24:$O$40,DTR!AF$4,FALSE)),0)</f>
        <v>0</v>
      </c>
      <c r="AG481" s="172">
        <f>IFERROR((HLOOKUP($AH481,Target_monthwise!$D$24:$O$40,DTR!AG$4,FALSE)),0)</f>
        <v>0</v>
      </c>
      <c r="AH481" s="253">
        <f t="shared" si="7"/>
        <v>202307</v>
      </c>
    </row>
    <row r="482" spans="3:34" ht="15.75" hidden="1">
      <c r="C482" s="237">
        <v>45125</v>
      </c>
      <c r="D482" s="238">
        <f>IFERROR((HLOOKUP($AH482,Target_monthwise!$D$4:$O$20,DTR!D$4,FALSE))*1000,0)</f>
        <v>0</v>
      </c>
      <c r="E482" s="238">
        <f>IFERROR((HLOOKUP($AH482,Target_monthwise!$D$4:$O$20,DTR!E$4,FALSE))*1000,0)</f>
        <v>0</v>
      </c>
      <c r="F482" s="238">
        <f>IFERROR((HLOOKUP($AH482,Target_monthwise!$D$4:$O$20,DTR!F$4,FALSE))*1000,0)</f>
        <v>0</v>
      </c>
      <c r="G482" s="238">
        <f>IFERROR((HLOOKUP($AH482,Target_monthwise!$D$4:$O$20,DTR!G$4,FALSE))*1000,0)</f>
        <v>0</v>
      </c>
      <c r="H482" s="238">
        <f>IFERROR((HLOOKUP($AH482,Target_monthwise!$D$4:$O$20,DTR!H$4,FALSE))*1000,0)</f>
        <v>0</v>
      </c>
      <c r="I482" s="238">
        <f>IFERROR((HLOOKUP($AH482,Target_monthwise!$D$4:$O$20,DTR!I$4,FALSE))*1000,0)</f>
        <v>0</v>
      </c>
      <c r="J482" s="238">
        <f>IFERROR((HLOOKUP($AH482,Target_monthwise!$D$4:$O$20,DTR!J$4,FALSE))*1000,0)</f>
        <v>0</v>
      </c>
      <c r="K482" s="238">
        <f>IFERROR((HLOOKUP($AH482,Target_monthwise!$D$4:$O$20,DTR!K$4,FALSE))*1000,0)</f>
        <v>0</v>
      </c>
      <c r="L482" s="238">
        <f>IFERROR((HLOOKUP($AH482,Target_monthwise!$D$4:$O$20,DTR!L$4,FALSE))*1000,0)</f>
        <v>0</v>
      </c>
      <c r="M482" s="238">
        <f>IFERROR((HLOOKUP($AH482,Target_monthwise!$D$4:$O$20,DTR!M$4,FALSE))*1000,0)</f>
        <v>0</v>
      </c>
      <c r="N482" s="238">
        <f>IFERROR((HLOOKUP($AH482,Target_monthwise!$D$4:$O$20,DTR!N$4,FALSE))*1000,0)</f>
        <v>0</v>
      </c>
      <c r="O482" s="238">
        <f>IFERROR((HLOOKUP($AH482,Target_monthwise!$D$4:$O$20,DTR!O$4,FALSE))*1000,0)</f>
        <v>0</v>
      </c>
      <c r="P482" s="238">
        <f>IFERROR((HLOOKUP($AH482,Target_monthwise!$D$4:$O$20,DTR!P$4,FALSE))*1000,0)</f>
        <v>0</v>
      </c>
      <c r="Q482" s="141">
        <f>IFERROR((HLOOKUP($AH482,Target_monthwise!$D$4:$O$20,DTR!Q$4,FALSE))*1000,0)</f>
        <v>0</v>
      </c>
      <c r="R482" s="167">
        <f>IFERROR((HLOOKUP($AH482,Target_monthwise!$D$4:$O$20,DTR!R$4,FALSE))*1000,0)</f>
        <v>0</v>
      </c>
      <c r="S482" s="239">
        <f>IFERROR((HLOOKUP($AH482,Target_monthwise!$D$24:$O$40,DTR!S$4,FALSE)),0)</f>
        <v>0</v>
      </c>
      <c r="T482" s="239">
        <f>IFERROR((HLOOKUP($AH482,Target_monthwise!$D$24:$O$40,DTR!T$4,FALSE)),0)</f>
        <v>0</v>
      </c>
      <c r="U482" s="239">
        <f>IFERROR((HLOOKUP($AH482,Target_monthwise!$D$24:$O$40,DTR!U$4,FALSE)),0)</f>
        <v>0</v>
      </c>
      <c r="V482" s="239">
        <f>IFERROR((HLOOKUP($AH482,Target_monthwise!$D$24:$O$40,DTR!V$4,FALSE)),0)</f>
        <v>0</v>
      </c>
      <c r="W482" s="239">
        <f>IFERROR((HLOOKUP($AH482,Target_monthwise!$D$24:$O$40,DTR!W$4,FALSE)),0)</f>
        <v>0</v>
      </c>
      <c r="X482" s="239">
        <f>IFERROR((HLOOKUP($AH482,Target_monthwise!$D$24:$O$40,DTR!X$4,FALSE)),0)</f>
        <v>0</v>
      </c>
      <c r="Y482" s="239">
        <f>IFERROR((HLOOKUP($AH482,Target_monthwise!$D$24:$O$40,DTR!Y$4,FALSE)),0)</f>
        <v>0</v>
      </c>
      <c r="Z482" s="147">
        <f>IFERROR((HLOOKUP($AH482,Target_monthwise!$D$24:$O$40,DTR!Z$4,FALSE)),0)</f>
        <v>0</v>
      </c>
      <c r="AA482" s="147">
        <f>IFERROR((HLOOKUP($AH482,Target_monthwise!$D$24:$O$40,DTR!AA$4,FALSE)),0)</f>
        <v>0</v>
      </c>
      <c r="AB482" s="147">
        <f>IFERROR((HLOOKUP($AH482,Target_monthwise!$D$24:$O$40,DTR!AB$4,FALSE)),0)</f>
        <v>0</v>
      </c>
      <c r="AC482" s="239">
        <f>IFERROR((HLOOKUP($AH482,Target_monthwise!$D$24:$O$40,DTR!AC$4,FALSE)),0)</f>
        <v>0</v>
      </c>
      <c r="AD482" s="239">
        <f>IFERROR((HLOOKUP($AH482,Target_monthwise!$D$24:$O$40,DTR!AD$4,FALSE)),0)</f>
        <v>0</v>
      </c>
      <c r="AE482" s="239">
        <f>IFERROR((HLOOKUP($AH482,Target_monthwise!$D$24:$O$40,DTR!AE$4,FALSE)),0)</f>
        <v>0</v>
      </c>
      <c r="AF482" s="239">
        <f>IFERROR((HLOOKUP($AH482,Target_monthwise!$D$24:$O$40,DTR!AF$4,FALSE)),0)</f>
        <v>0</v>
      </c>
      <c r="AG482" s="172">
        <f>IFERROR((HLOOKUP($AH482,Target_monthwise!$D$24:$O$40,DTR!AG$4,FALSE)),0)</f>
        <v>0</v>
      </c>
      <c r="AH482" s="253">
        <f t="shared" si="7"/>
        <v>202307</v>
      </c>
    </row>
    <row r="483" spans="3:34" ht="15.75" hidden="1">
      <c r="C483" s="235">
        <v>45126</v>
      </c>
      <c r="D483" s="141">
        <f>IFERROR((HLOOKUP($AH483,Target_monthwise!$D$4:$O$20,DTR!D$4,FALSE))*1000,0)</f>
        <v>0</v>
      </c>
      <c r="E483" s="141">
        <f>IFERROR((HLOOKUP($AH483,Target_monthwise!$D$4:$O$20,DTR!E$4,FALSE))*1000,0)</f>
        <v>0</v>
      </c>
      <c r="F483" s="141">
        <f>IFERROR((HLOOKUP($AH483,Target_monthwise!$D$4:$O$20,DTR!F$4,FALSE))*1000,0)</f>
        <v>0</v>
      </c>
      <c r="G483" s="141">
        <f>IFERROR((HLOOKUP($AH483,Target_monthwise!$D$4:$O$20,DTR!G$4,FALSE))*1000,0)</f>
        <v>0</v>
      </c>
      <c r="H483" s="141">
        <f>IFERROR((HLOOKUP($AH483,Target_monthwise!$D$4:$O$20,DTR!H$4,FALSE))*1000,0)</f>
        <v>0</v>
      </c>
      <c r="I483" s="141">
        <f>IFERROR((HLOOKUP($AH483,Target_monthwise!$D$4:$O$20,DTR!I$4,FALSE))*1000,0)</f>
        <v>0</v>
      </c>
      <c r="J483" s="141">
        <f>IFERROR((HLOOKUP($AH483,Target_monthwise!$D$4:$O$20,DTR!J$4,FALSE))*1000,0)</f>
        <v>0</v>
      </c>
      <c r="K483" s="141">
        <f>IFERROR((HLOOKUP($AH483,Target_monthwise!$D$4:$O$20,DTR!K$4,FALSE))*1000,0)</f>
        <v>0</v>
      </c>
      <c r="L483" s="141">
        <f>IFERROR((HLOOKUP($AH483,Target_monthwise!$D$4:$O$20,DTR!L$4,FALSE))*1000,0)</f>
        <v>0</v>
      </c>
      <c r="M483" s="141">
        <f>IFERROR((HLOOKUP($AH483,Target_monthwise!$D$4:$O$20,DTR!M$4,FALSE))*1000,0)</f>
        <v>0</v>
      </c>
      <c r="N483" s="141">
        <f>IFERROR((HLOOKUP($AH483,Target_monthwise!$D$4:$O$20,DTR!N$4,FALSE))*1000,0)</f>
        <v>0</v>
      </c>
      <c r="O483" s="141">
        <f>IFERROR((HLOOKUP($AH483,Target_monthwise!$D$4:$O$20,DTR!O$4,FALSE))*1000,0)</f>
        <v>0</v>
      </c>
      <c r="P483" s="141">
        <f>IFERROR((HLOOKUP($AH483,Target_monthwise!$D$4:$O$20,DTR!P$4,FALSE))*1000,0)</f>
        <v>0</v>
      </c>
      <c r="Q483" s="141">
        <f>IFERROR((HLOOKUP($AH483,Target_monthwise!$D$4:$O$20,DTR!Q$4,FALSE))*1000,0)</f>
        <v>0</v>
      </c>
      <c r="R483" s="167">
        <f>IFERROR((HLOOKUP($AH483,Target_monthwise!$D$4:$O$20,DTR!R$4,FALSE))*1000,0)</f>
        <v>0</v>
      </c>
      <c r="S483" s="147">
        <f>IFERROR((HLOOKUP($AH483,Target_monthwise!$D$24:$O$40,DTR!S$4,FALSE)),0)</f>
        <v>0</v>
      </c>
      <c r="T483" s="147">
        <f>IFERROR((HLOOKUP($AH483,Target_monthwise!$D$24:$O$40,DTR!T$4,FALSE)),0)</f>
        <v>0</v>
      </c>
      <c r="U483" s="147">
        <f>IFERROR((HLOOKUP($AH483,Target_monthwise!$D$24:$O$40,DTR!U$4,FALSE)),0)</f>
        <v>0</v>
      </c>
      <c r="V483" s="147">
        <f>IFERROR((HLOOKUP($AH483,Target_monthwise!$D$24:$O$40,DTR!V$4,FALSE)),0)</f>
        <v>0</v>
      </c>
      <c r="W483" s="147">
        <f>IFERROR((HLOOKUP($AH483,Target_monthwise!$D$24:$O$40,DTR!W$4,FALSE)),0)</f>
        <v>0</v>
      </c>
      <c r="X483" s="147">
        <f>IFERROR((HLOOKUP($AH483,Target_monthwise!$D$24:$O$40,DTR!X$4,FALSE)),0)</f>
        <v>0</v>
      </c>
      <c r="Y483" s="147">
        <f>IFERROR((HLOOKUP($AH483,Target_monthwise!$D$24:$O$40,DTR!Y$4,FALSE)),0)</f>
        <v>0</v>
      </c>
      <c r="Z483" s="147">
        <f>IFERROR((HLOOKUP($AH483,Target_monthwise!$D$24:$O$40,DTR!Z$4,FALSE)),0)</f>
        <v>0</v>
      </c>
      <c r="AA483" s="147">
        <f>IFERROR((HLOOKUP($AH483,Target_monthwise!$D$24:$O$40,DTR!AA$4,FALSE)),0)</f>
        <v>0</v>
      </c>
      <c r="AB483" s="147">
        <f>IFERROR((HLOOKUP($AH483,Target_monthwise!$D$24:$O$40,DTR!AB$4,FALSE)),0)</f>
        <v>0</v>
      </c>
      <c r="AC483" s="147">
        <f>IFERROR((HLOOKUP($AH483,Target_monthwise!$D$24:$O$40,DTR!AC$4,FALSE)),0)</f>
        <v>0</v>
      </c>
      <c r="AD483" s="147">
        <f>IFERROR((HLOOKUP($AH483,Target_monthwise!$D$24:$O$40,DTR!AD$4,FALSE)),0)</f>
        <v>0</v>
      </c>
      <c r="AE483" s="147">
        <f>IFERROR((HLOOKUP($AH483,Target_monthwise!$D$24:$O$40,DTR!AE$4,FALSE)),0)</f>
        <v>0</v>
      </c>
      <c r="AF483" s="147">
        <f>IFERROR((HLOOKUP($AH483,Target_monthwise!$D$24:$O$40,DTR!AF$4,FALSE)),0)</f>
        <v>0</v>
      </c>
      <c r="AG483" s="172">
        <f>IFERROR((HLOOKUP($AH483,Target_monthwise!$D$24:$O$40,DTR!AG$4,FALSE)),0)</f>
        <v>0</v>
      </c>
      <c r="AH483" s="253">
        <f t="shared" si="7"/>
        <v>202307</v>
      </c>
    </row>
    <row r="484" spans="3:34" ht="15.75" hidden="1">
      <c r="C484" s="237">
        <v>45127</v>
      </c>
      <c r="D484" s="238">
        <f>IFERROR((HLOOKUP($AH484,Target_monthwise!$D$4:$O$20,DTR!D$4,FALSE))*1000,0)</f>
        <v>0</v>
      </c>
      <c r="E484" s="238">
        <f>IFERROR((HLOOKUP($AH484,Target_monthwise!$D$4:$O$20,DTR!E$4,FALSE))*1000,0)</f>
        <v>0</v>
      </c>
      <c r="F484" s="238">
        <f>IFERROR((HLOOKUP($AH484,Target_monthwise!$D$4:$O$20,DTR!F$4,FALSE))*1000,0)</f>
        <v>0</v>
      </c>
      <c r="G484" s="238">
        <f>IFERROR((HLOOKUP($AH484,Target_monthwise!$D$4:$O$20,DTR!G$4,FALSE))*1000,0)</f>
        <v>0</v>
      </c>
      <c r="H484" s="238">
        <f>IFERROR((HLOOKUP($AH484,Target_monthwise!$D$4:$O$20,DTR!H$4,FALSE))*1000,0)</f>
        <v>0</v>
      </c>
      <c r="I484" s="238">
        <f>IFERROR((HLOOKUP($AH484,Target_monthwise!$D$4:$O$20,DTR!I$4,FALSE))*1000,0)</f>
        <v>0</v>
      </c>
      <c r="J484" s="238">
        <f>IFERROR((HLOOKUP($AH484,Target_monthwise!$D$4:$O$20,DTR!J$4,FALSE))*1000,0)</f>
        <v>0</v>
      </c>
      <c r="K484" s="238">
        <f>IFERROR((HLOOKUP($AH484,Target_monthwise!$D$4:$O$20,DTR!K$4,FALSE))*1000,0)</f>
        <v>0</v>
      </c>
      <c r="L484" s="238">
        <f>IFERROR((HLOOKUP($AH484,Target_monthwise!$D$4:$O$20,DTR!L$4,FALSE))*1000,0)</f>
        <v>0</v>
      </c>
      <c r="M484" s="238">
        <f>IFERROR((HLOOKUP($AH484,Target_monthwise!$D$4:$O$20,DTR!M$4,FALSE))*1000,0)</f>
        <v>0</v>
      </c>
      <c r="N484" s="238">
        <f>IFERROR((HLOOKUP($AH484,Target_monthwise!$D$4:$O$20,DTR!N$4,FALSE))*1000,0)</f>
        <v>0</v>
      </c>
      <c r="O484" s="238">
        <f>IFERROR((HLOOKUP($AH484,Target_monthwise!$D$4:$O$20,DTR!O$4,FALSE))*1000,0)</f>
        <v>0</v>
      </c>
      <c r="P484" s="238">
        <f>IFERROR((HLOOKUP($AH484,Target_monthwise!$D$4:$O$20,DTR!P$4,FALSE))*1000,0)</f>
        <v>0</v>
      </c>
      <c r="Q484" s="141">
        <f>IFERROR((HLOOKUP($AH484,Target_monthwise!$D$4:$O$20,DTR!Q$4,FALSE))*1000,0)</f>
        <v>0</v>
      </c>
      <c r="R484" s="167">
        <f>IFERROR((HLOOKUP($AH484,Target_monthwise!$D$4:$O$20,DTR!R$4,FALSE))*1000,0)</f>
        <v>0</v>
      </c>
      <c r="S484" s="239">
        <f>IFERROR((HLOOKUP($AH484,Target_monthwise!$D$24:$O$40,DTR!S$4,FALSE)),0)</f>
        <v>0</v>
      </c>
      <c r="T484" s="239">
        <f>IFERROR((HLOOKUP($AH484,Target_monthwise!$D$24:$O$40,DTR!T$4,FALSE)),0)</f>
        <v>0</v>
      </c>
      <c r="U484" s="239">
        <f>IFERROR((HLOOKUP($AH484,Target_monthwise!$D$24:$O$40,DTR!U$4,FALSE)),0)</f>
        <v>0</v>
      </c>
      <c r="V484" s="239">
        <f>IFERROR((HLOOKUP($AH484,Target_monthwise!$D$24:$O$40,DTR!V$4,FALSE)),0)</f>
        <v>0</v>
      </c>
      <c r="W484" s="239">
        <f>IFERROR((HLOOKUP($AH484,Target_monthwise!$D$24:$O$40,DTR!W$4,FALSE)),0)</f>
        <v>0</v>
      </c>
      <c r="X484" s="239">
        <f>IFERROR((HLOOKUP($AH484,Target_monthwise!$D$24:$O$40,DTR!X$4,FALSE)),0)</f>
        <v>0</v>
      </c>
      <c r="Y484" s="239">
        <f>IFERROR((HLOOKUP($AH484,Target_monthwise!$D$24:$O$40,DTR!Y$4,FALSE)),0)</f>
        <v>0</v>
      </c>
      <c r="Z484" s="147">
        <f>IFERROR((HLOOKUP($AH484,Target_monthwise!$D$24:$O$40,DTR!Z$4,FALSE)),0)</f>
        <v>0</v>
      </c>
      <c r="AA484" s="147">
        <f>IFERROR((HLOOKUP($AH484,Target_monthwise!$D$24:$O$40,DTR!AA$4,FALSE)),0)</f>
        <v>0</v>
      </c>
      <c r="AB484" s="147">
        <f>IFERROR((HLOOKUP($AH484,Target_monthwise!$D$24:$O$40,DTR!AB$4,FALSE)),0)</f>
        <v>0</v>
      </c>
      <c r="AC484" s="239">
        <f>IFERROR((HLOOKUP($AH484,Target_monthwise!$D$24:$O$40,DTR!AC$4,FALSE)),0)</f>
        <v>0</v>
      </c>
      <c r="AD484" s="239">
        <f>IFERROR((HLOOKUP($AH484,Target_monthwise!$D$24:$O$40,DTR!AD$4,FALSE)),0)</f>
        <v>0</v>
      </c>
      <c r="AE484" s="239">
        <f>IFERROR((HLOOKUP($AH484,Target_monthwise!$D$24:$O$40,DTR!AE$4,FALSE)),0)</f>
        <v>0</v>
      </c>
      <c r="AF484" s="239">
        <f>IFERROR((HLOOKUP($AH484,Target_monthwise!$D$24:$O$40,DTR!AF$4,FALSE)),0)</f>
        <v>0</v>
      </c>
      <c r="AG484" s="172">
        <f>IFERROR((HLOOKUP($AH484,Target_monthwise!$D$24:$O$40,DTR!AG$4,FALSE)),0)</f>
        <v>0</v>
      </c>
      <c r="AH484" s="253">
        <f t="shared" si="7"/>
        <v>202307</v>
      </c>
    </row>
    <row r="485" spans="3:34" ht="15.75" hidden="1">
      <c r="C485" s="235">
        <v>45128</v>
      </c>
      <c r="D485" s="141">
        <f>IFERROR((HLOOKUP($AH485,Target_monthwise!$D$4:$O$20,DTR!D$4,FALSE))*1000,0)</f>
        <v>0</v>
      </c>
      <c r="E485" s="141">
        <f>IFERROR((HLOOKUP($AH485,Target_monthwise!$D$4:$O$20,DTR!E$4,FALSE))*1000,0)</f>
        <v>0</v>
      </c>
      <c r="F485" s="141">
        <f>IFERROR((HLOOKUP($AH485,Target_monthwise!$D$4:$O$20,DTR!F$4,FALSE))*1000,0)</f>
        <v>0</v>
      </c>
      <c r="G485" s="141">
        <f>IFERROR((HLOOKUP($AH485,Target_monthwise!$D$4:$O$20,DTR!G$4,FALSE))*1000,0)</f>
        <v>0</v>
      </c>
      <c r="H485" s="141">
        <f>IFERROR((HLOOKUP($AH485,Target_monthwise!$D$4:$O$20,DTR!H$4,FALSE))*1000,0)</f>
        <v>0</v>
      </c>
      <c r="I485" s="141">
        <f>IFERROR((HLOOKUP($AH485,Target_monthwise!$D$4:$O$20,DTR!I$4,FALSE))*1000,0)</f>
        <v>0</v>
      </c>
      <c r="J485" s="141">
        <f>IFERROR((HLOOKUP($AH485,Target_monthwise!$D$4:$O$20,DTR!J$4,FALSE))*1000,0)</f>
        <v>0</v>
      </c>
      <c r="K485" s="141">
        <f>IFERROR((HLOOKUP($AH485,Target_monthwise!$D$4:$O$20,DTR!K$4,FALSE))*1000,0)</f>
        <v>0</v>
      </c>
      <c r="L485" s="141">
        <f>IFERROR((HLOOKUP($AH485,Target_monthwise!$D$4:$O$20,DTR!L$4,FALSE))*1000,0)</f>
        <v>0</v>
      </c>
      <c r="M485" s="141">
        <f>IFERROR((HLOOKUP($AH485,Target_monthwise!$D$4:$O$20,DTR!M$4,FALSE))*1000,0)</f>
        <v>0</v>
      </c>
      <c r="N485" s="141">
        <f>IFERROR((HLOOKUP($AH485,Target_monthwise!$D$4:$O$20,DTR!N$4,FALSE))*1000,0)</f>
        <v>0</v>
      </c>
      <c r="O485" s="141">
        <f>IFERROR((HLOOKUP($AH485,Target_monthwise!$D$4:$O$20,DTR!O$4,FALSE))*1000,0)</f>
        <v>0</v>
      </c>
      <c r="P485" s="141">
        <f>IFERROR((HLOOKUP($AH485,Target_monthwise!$D$4:$O$20,DTR!P$4,FALSE))*1000,0)</f>
        <v>0</v>
      </c>
      <c r="Q485" s="141">
        <f>IFERROR((HLOOKUP($AH485,Target_monthwise!$D$4:$O$20,DTR!Q$4,FALSE))*1000,0)</f>
        <v>0</v>
      </c>
      <c r="R485" s="167">
        <f>IFERROR((HLOOKUP($AH485,Target_monthwise!$D$4:$O$20,DTR!R$4,FALSE))*1000,0)</f>
        <v>0</v>
      </c>
      <c r="S485" s="147">
        <f>IFERROR((HLOOKUP($AH485,Target_monthwise!$D$24:$O$40,DTR!S$4,FALSE)),0)</f>
        <v>0</v>
      </c>
      <c r="T485" s="147">
        <f>IFERROR((HLOOKUP($AH485,Target_monthwise!$D$24:$O$40,DTR!T$4,FALSE)),0)</f>
        <v>0</v>
      </c>
      <c r="U485" s="147">
        <f>IFERROR((HLOOKUP($AH485,Target_monthwise!$D$24:$O$40,DTR!U$4,FALSE)),0)</f>
        <v>0</v>
      </c>
      <c r="V485" s="147">
        <f>IFERROR((HLOOKUP($AH485,Target_monthwise!$D$24:$O$40,DTR!V$4,FALSE)),0)</f>
        <v>0</v>
      </c>
      <c r="W485" s="147">
        <f>IFERROR((HLOOKUP($AH485,Target_monthwise!$D$24:$O$40,DTR!W$4,FALSE)),0)</f>
        <v>0</v>
      </c>
      <c r="X485" s="147">
        <f>IFERROR((HLOOKUP($AH485,Target_monthwise!$D$24:$O$40,DTR!X$4,FALSE)),0)</f>
        <v>0</v>
      </c>
      <c r="Y485" s="147">
        <f>IFERROR((HLOOKUP($AH485,Target_monthwise!$D$24:$O$40,DTR!Y$4,FALSE)),0)</f>
        <v>0</v>
      </c>
      <c r="Z485" s="147">
        <f>IFERROR((HLOOKUP($AH485,Target_monthwise!$D$24:$O$40,DTR!Z$4,FALSE)),0)</f>
        <v>0</v>
      </c>
      <c r="AA485" s="147">
        <f>IFERROR((HLOOKUP($AH485,Target_monthwise!$D$24:$O$40,DTR!AA$4,FALSE)),0)</f>
        <v>0</v>
      </c>
      <c r="AB485" s="147">
        <f>IFERROR((HLOOKUP($AH485,Target_monthwise!$D$24:$O$40,DTR!AB$4,FALSE)),0)</f>
        <v>0</v>
      </c>
      <c r="AC485" s="147">
        <f>IFERROR((HLOOKUP($AH485,Target_monthwise!$D$24:$O$40,DTR!AC$4,FALSE)),0)</f>
        <v>0</v>
      </c>
      <c r="AD485" s="147">
        <f>IFERROR((HLOOKUP($AH485,Target_monthwise!$D$24:$O$40,DTR!AD$4,FALSE)),0)</f>
        <v>0</v>
      </c>
      <c r="AE485" s="147">
        <f>IFERROR((HLOOKUP($AH485,Target_monthwise!$D$24:$O$40,DTR!AE$4,FALSE)),0)</f>
        <v>0</v>
      </c>
      <c r="AF485" s="147">
        <f>IFERROR((HLOOKUP($AH485,Target_monthwise!$D$24:$O$40,DTR!AF$4,FALSE)),0)</f>
        <v>0</v>
      </c>
      <c r="AG485" s="172">
        <f>IFERROR((HLOOKUP($AH485,Target_monthwise!$D$24:$O$40,DTR!AG$4,FALSE)),0)</f>
        <v>0</v>
      </c>
      <c r="AH485" s="253">
        <f t="shared" si="7"/>
        <v>202307</v>
      </c>
    </row>
    <row r="486" spans="3:34" ht="15.75" hidden="1">
      <c r="C486" s="237">
        <v>45129</v>
      </c>
      <c r="D486" s="238">
        <f>IFERROR((HLOOKUP($AH486,Target_monthwise!$D$4:$O$20,DTR!D$4,FALSE))*1000,0)</f>
        <v>0</v>
      </c>
      <c r="E486" s="238">
        <f>IFERROR((HLOOKUP($AH486,Target_monthwise!$D$4:$O$20,DTR!E$4,FALSE))*1000,0)</f>
        <v>0</v>
      </c>
      <c r="F486" s="238">
        <f>IFERROR((HLOOKUP($AH486,Target_monthwise!$D$4:$O$20,DTR!F$4,FALSE))*1000,0)</f>
        <v>0</v>
      </c>
      <c r="G486" s="238">
        <f>IFERROR((HLOOKUP($AH486,Target_monthwise!$D$4:$O$20,DTR!G$4,FALSE))*1000,0)</f>
        <v>0</v>
      </c>
      <c r="H486" s="238">
        <f>IFERROR((HLOOKUP($AH486,Target_monthwise!$D$4:$O$20,DTR!H$4,FALSE))*1000,0)</f>
        <v>0</v>
      </c>
      <c r="I486" s="238">
        <f>IFERROR((HLOOKUP($AH486,Target_monthwise!$D$4:$O$20,DTR!I$4,FALSE))*1000,0)</f>
        <v>0</v>
      </c>
      <c r="J486" s="238">
        <f>IFERROR((HLOOKUP($AH486,Target_monthwise!$D$4:$O$20,DTR!J$4,FALSE))*1000,0)</f>
        <v>0</v>
      </c>
      <c r="K486" s="238">
        <f>IFERROR((HLOOKUP($AH486,Target_monthwise!$D$4:$O$20,DTR!K$4,FALSE))*1000,0)</f>
        <v>0</v>
      </c>
      <c r="L486" s="238">
        <f>IFERROR((HLOOKUP($AH486,Target_monthwise!$D$4:$O$20,DTR!L$4,FALSE))*1000,0)</f>
        <v>0</v>
      </c>
      <c r="M486" s="238">
        <f>IFERROR((HLOOKUP($AH486,Target_monthwise!$D$4:$O$20,DTR!M$4,FALSE))*1000,0)</f>
        <v>0</v>
      </c>
      <c r="N486" s="238">
        <f>IFERROR((HLOOKUP($AH486,Target_monthwise!$D$4:$O$20,DTR!N$4,FALSE))*1000,0)</f>
        <v>0</v>
      </c>
      <c r="O486" s="238">
        <f>IFERROR((HLOOKUP($AH486,Target_monthwise!$D$4:$O$20,DTR!O$4,FALSE))*1000,0)</f>
        <v>0</v>
      </c>
      <c r="P486" s="238">
        <f>IFERROR((HLOOKUP($AH486,Target_monthwise!$D$4:$O$20,DTR!P$4,FALSE))*1000,0)</f>
        <v>0</v>
      </c>
      <c r="Q486" s="141">
        <f>IFERROR((HLOOKUP($AH486,Target_monthwise!$D$4:$O$20,DTR!Q$4,FALSE))*1000,0)</f>
        <v>0</v>
      </c>
      <c r="R486" s="167">
        <f>IFERROR((HLOOKUP($AH486,Target_monthwise!$D$4:$O$20,DTR!R$4,FALSE))*1000,0)</f>
        <v>0</v>
      </c>
      <c r="S486" s="239">
        <f>IFERROR((HLOOKUP($AH486,Target_monthwise!$D$24:$O$40,DTR!S$4,FALSE)),0)</f>
        <v>0</v>
      </c>
      <c r="T486" s="239">
        <f>IFERROR((HLOOKUP($AH486,Target_monthwise!$D$24:$O$40,DTR!T$4,FALSE)),0)</f>
        <v>0</v>
      </c>
      <c r="U486" s="239">
        <f>IFERROR((HLOOKUP($AH486,Target_monthwise!$D$24:$O$40,DTR!U$4,FALSE)),0)</f>
        <v>0</v>
      </c>
      <c r="V486" s="239">
        <f>IFERROR((HLOOKUP($AH486,Target_monthwise!$D$24:$O$40,DTR!V$4,FALSE)),0)</f>
        <v>0</v>
      </c>
      <c r="W486" s="239">
        <f>IFERROR((HLOOKUP($AH486,Target_monthwise!$D$24:$O$40,DTR!W$4,FALSE)),0)</f>
        <v>0</v>
      </c>
      <c r="X486" s="239">
        <f>IFERROR((HLOOKUP($AH486,Target_monthwise!$D$24:$O$40,DTR!X$4,FALSE)),0)</f>
        <v>0</v>
      </c>
      <c r="Y486" s="239">
        <f>IFERROR((HLOOKUP($AH486,Target_monthwise!$D$24:$O$40,DTR!Y$4,FALSE)),0)</f>
        <v>0</v>
      </c>
      <c r="Z486" s="147">
        <f>IFERROR((HLOOKUP($AH486,Target_monthwise!$D$24:$O$40,DTR!Z$4,FALSE)),0)</f>
        <v>0</v>
      </c>
      <c r="AA486" s="147">
        <f>IFERROR((HLOOKUP($AH486,Target_monthwise!$D$24:$O$40,DTR!AA$4,FALSE)),0)</f>
        <v>0</v>
      </c>
      <c r="AB486" s="147">
        <f>IFERROR((HLOOKUP($AH486,Target_monthwise!$D$24:$O$40,DTR!AB$4,FALSE)),0)</f>
        <v>0</v>
      </c>
      <c r="AC486" s="239">
        <f>IFERROR((HLOOKUP($AH486,Target_monthwise!$D$24:$O$40,DTR!AC$4,FALSE)),0)</f>
        <v>0</v>
      </c>
      <c r="AD486" s="239">
        <f>IFERROR((HLOOKUP($AH486,Target_monthwise!$D$24:$O$40,DTR!AD$4,FALSE)),0)</f>
        <v>0</v>
      </c>
      <c r="AE486" s="239">
        <f>IFERROR((HLOOKUP($AH486,Target_monthwise!$D$24:$O$40,DTR!AE$4,FALSE)),0)</f>
        <v>0</v>
      </c>
      <c r="AF486" s="239">
        <f>IFERROR((HLOOKUP($AH486,Target_monthwise!$D$24:$O$40,DTR!AF$4,FALSE)),0)</f>
        <v>0</v>
      </c>
      <c r="AG486" s="172">
        <f>IFERROR((HLOOKUP($AH486,Target_monthwise!$D$24:$O$40,DTR!AG$4,FALSE)),0)</f>
        <v>0</v>
      </c>
      <c r="AH486" s="253">
        <f t="shared" si="7"/>
        <v>202307</v>
      </c>
    </row>
    <row r="487" spans="3:34" ht="15.75" hidden="1">
      <c r="C487" s="235">
        <v>45130</v>
      </c>
      <c r="D487" s="141">
        <f>IFERROR((HLOOKUP($AH487,Target_monthwise!$D$4:$O$20,DTR!D$4,FALSE))*1000,0)</f>
        <v>0</v>
      </c>
      <c r="E487" s="141">
        <f>IFERROR((HLOOKUP($AH487,Target_monthwise!$D$4:$O$20,DTR!E$4,FALSE))*1000,0)</f>
        <v>0</v>
      </c>
      <c r="F487" s="141">
        <f>IFERROR((HLOOKUP($AH487,Target_monthwise!$D$4:$O$20,DTR!F$4,FALSE))*1000,0)</f>
        <v>0</v>
      </c>
      <c r="G487" s="141">
        <f>IFERROR((HLOOKUP($AH487,Target_monthwise!$D$4:$O$20,DTR!G$4,FALSE))*1000,0)</f>
        <v>0</v>
      </c>
      <c r="H487" s="141">
        <f>IFERROR((HLOOKUP($AH487,Target_monthwise!$D$4:$O$20,DTR!H$4,FALSE))*1000,0)</f>
        <v>0</v>
      </c>
      <c r="I487" s="141">
        <f>IFERROR((HLOOKUP($AH487,Target_monthwise!$D$4:$O$20,DTR!I$4,FALSE))*1000,0)</f>
        <v>0</v>
      </c>
      <c r="J487" s="141">
        <f>IFERROR((HLOOKUP($AH487,Target_monthwise!$D$4:$O$20,DTR!J$4,FALSE))*1000,0)</f>
        <v>0</v>
      </c>
      <c r="K487" s="141">
        <f>IFERROR((HLOOKUP($AH487,Target_monthwise!$D$4:$O$20,DTR!K$4,FALSE))*1000,0)</f>
        <v>0</v>
      </c>
      <c r="L487" s="141">
        <f>IFERROR((HLOOKUP($AH487,Target_monthwise!$D$4:$O$20,DTR!L$4,FALSE))*1000,0)</f>
        <v>0</v>
      </c>
      <c r="M487" s="141">
        <f>IFERROR((HLOOKUP($AH487,Target_monthwise!$D$4:$O$20,DTR!M$4,FALSE))*1000,0)</f>
        <v>0</v>
      </c>
      <c r="N487" s="141">
        <f>IFERROR((HLOOKUP($AH487,Target_monthwise!$D$4:$O$20,DTR!N$4,FALSE))*1000,0)</f>
        <v>0</v>
      </c>
      <c r="O487" s="141">
        <f>IFERROR((HLOOKUP($AH487,Target_monthwise!$D$4:$O$20,DTR!O$4,FALSE))*1000,0)</f>
        <v>0</v>
      </c>
      <c r="P487" s="141">
        <f>IFERROR((HLOOKUP($AH487,Target_monthwise!$D$4:$O$20,DTR!P$4,FALSE))*1000,0)</f>
        <v>0</v>
      </c>
      <c r="Q487" s="141">
        <f>IFERROR((HLOOKUP($AH487,Target_monthwise!$D$4:$O$20,DTR!Q$4,FALSE))*1000,0)</f>
        <v>0</v>
      </c>
      <c r="R487" s="167">
        <f>IFERROR((HLOOKUP($AH487,Target_monthwise!$D$4:$O$20,DTR!R$4,FALSE))*1000,0)</f>
        <v>0</v>
      </c>
      <c r="S487" s="147">
        <f>IFERROR((HLOOKUP($AH487,Target_monthwise!$D$24:$O$40,DTR!S$4,FALSE)),0)</f>
        <v>0</v>
      </c>
      <c r="T487" s="147">
        <f>IFERROR((HLOOKUP($AH487,Target_monthwise!$D$24:$O$40,DTR!T$4,FALSE)),0)</f>
        <v>0</v>
      </c>
      <c r="U487" s="147">
        <f>IFERROR((HLOOKUP($AH487,Target_monthwise!$D$24:$O$40,DTR!U$4,FALSE)),0)</f>
        <v>0</v>
      </c>
      <c r="V487" s="147">
        <f>IFERROR((HLOOKUP($AH487,Target_monthwise!$D$24:$O$40,DTR!V$4,FALSE)),0)</f>
        <v>0</v>
      </c>
      <c r="W487" s="147">
        <f>IFERROR((HLOOKUP($AH487,Target_monthwise!$D$24:$O$40,DTR!W$4,FALSE)),0)</f>
        <v>0</v>
      </c>
      <c r="X487" s="147">
        <f>IFERROR((HLOOKUP($AH487,Target_monthwise!$D$24:$O$40,DTR!X$4,FALSE)),0)</f>
        <v>0</v>
      </c>
      <c r="Y487" s="147">
        <f>IFERROR((HLOOKUP($AH487,Target_monthwise!$D$24:$O$40,DTR!Y$4,FALSE)),0)</f>
        <v>0</v>
      </c>
      <c r="Z487" s="147">
        <f>IFERROR((HLOOKUP($AH487,Target_monthwise!$D$24:$O$40,DTR!Z$4,FALSE)),0)</f>
        <v>0</v>
      </c>
      <c r="AA487" s="147">
        <f>IFERROR((HLOOKUP($AH487,Target_monthwise!$D$24:$O$40,DTR!AA$4,FALSE)),0)</f>
        <v>0</v>
      </c>
      <c r="AB487" s="147">
        <f>IFERROR((HLOOKUP($AH487,Target_monthwise!$D$24:$O$40,DTR!AB$4,FALSE)),0)</f>
        <v>0</v>
      </c>
      <c r="AC487" s="147">
        <f>IFERROR((HLOOKUP($AH487,Target_monthwise!$D$24:$O$40,DTR!AC$4,FALSE)),0)</f>
        <v>0</v>
      </c>
      <c r="AD487" s="147">
        <f>IFERROR((HLOOKUP($AH487,Target_monthwise!$D$24:$O$40,DTR!AD$4,FALSE)),0)</f>
        <v>0</v>
      </c>
      <c r="AE487" s="147">
        <f>IFERROR((HLOOKUP($AH487,Target_monthwise!$D$24:$O$40,DTR!AE$4,FALSE)),0)</f>
        <v>0</v>
      </c>
      <c r="AF487" s="147">
        <f>IFERROR((HLOOKUP($AH487,Target_monthwise!$D$24:$O$40,DTR!AF$4,FALSE)),0)</f>
        <v>0</v>
      </c>
      <c r="AG487" s="172">
        <f>IFERROR((HLOOKUP($AH487,Target_monthwise!$D$24:$O$40,DTR!AG$4,FALSE)),0)</f>
        <v>0</v>
      </c>
      <c r="AH487" s="253">
        <f t="shared" si="7"/>
        <v>202307</v>
      </c>
    </row>
    <row r="488" spans="3:34" ht="15.75" hidden="1">
      <c r="C488" s="237">
        <v>45131</v>
      </c>
      <c r="D488" s="238">
        <f>IFERROR((HLOOKUP($AH488,Target_monthwise!$D$4:$O$20,DTR!D$4,FALSE))*1000,0)</f>
        <v>0</v>
      </c>
      <c r="E488" s="238">
        <f>IFERROR((HLOOKUP($AH488,Target_monthwise!$D$4:$O$20,DTR!E$4,FALSE))*1000,0)</f>
        <v>0</v>
      </c>
      <c r="F488" s="238">
        <f>IFERROR((HLOOKUP($AH488,Target_monthwise!$D$4:$O$20,DTR!F$4,FALSE))*1000,0)</f>
        <v>0</v>
      </c>
      <c r="G488" s="238">
        <f>IFERROR((HLOOKUP($AH488,Target_monthwise!$D$4:$O$20,DTR!G$4,FALSE))*1000,0)</f>
        <v>0</v>
      </c>
      <c r="H488" s="238">
        <f>IFERROR((HLOOKUP($AH488,Target_monthwise!$D$4:$O$20,DTR!H$4,FALSE))*1000,0)</f>
        <v>0</v>
      </c>
      <c r="I488" s="238">
        <f>IFERROR((HLOOKUP($AH488,Target_monthwise!$D$4:$O$20,DTR!I$4,FALSE))*1000,0)</f>
        <v>0</v>
      </c>
      <c r="J488" s="238">
        <f>IFERROR((HLOOKUP($AH488,Target_monthwise!$D$4:$O$20,DTR!J$4,FALSE))*1000,0)</f>
        <v>0</v>
      </c>
      <c r="K488" s="238">
        <f>IFERROR((HLOOKUP($AH488,Target_monthwise!$D$4:$O$20,DTR!K$4,FALSE))*1000,0)</f>
        <v>0</v>
      </c>
      <c r="L488" s="238">
        <f>IFERROR((HLOOKUP($AH488,Target_monthwise!$D$4:$O$20,DTR!L$4,FALSE))*1000,0)</f>
        <v>0</v>
      </c>
      <c r="M488" s="238">
        <f>IFERROR((HLOOKUP($AH488,Target_monthwise!$D$4:$O$20,DTR!M$4,FALSE))*1000,0)</f>
        <v>0</v>
      </c>
      <c r="N488" s="238">
        <f>IFERROR((HLOOKUP($AH488,Target_monthwise!$D$4:$O$20,DTR!N$4,FALSE))*1000,0)</f>
        <v>0</v>
      </c>
      <c r="O488" s="238">
        <f>IFERROR((HLOOKUP($AH488,Target_monthwise!$D$4:$O$20,DTR!O$4,FALSE))*1000,0)</f>
        <v>0</v>
      </c>
      <c r="P488" s="238">
        <f>IFERROR((HLOOKUP($AH488,Target_monthwise!$D$4:$O$20,DTR!P$4,FALSE))*1000,0)</f>
        <v>0</v>
      </c>
      <c r="Q488" s="141">
        <f>IFERROR((HLOOKUP($AH488,Target_monthwise!$D$4:$O$20,DTR!Q$4,FALSE))*1000,0)</f>
        <v>0</v>
      </c>
      <c r="R488" s="167">
        <f>IFERROR((HLOOKUP($AH488,Target_monthwise!$D$4:$O$20,DTR!R$4,FALSE))*1000,0)</f>
        <v>0</v>
      </c>
      <c r="S488" s="239">
        <f>IFERROR((HLOOKUP($AH488,Target_monthwise!$D$24:$O$40,DTR!S$4,FALSE)),0)</f>
        <v>0</v>
      </c>
      <c r="T488" s="239">
        <f>IFERROR((HLOOKUP($AH488,Target_monthwise!$D$24:$O$40,DTR!T$4,FALSE)),0)</f>
        <v>0</v>
      </c>
      <c r="U488" s="239">
        <f>IFERROR((HLOOKUP($AH488,Target_monthwise!$D$24:$O$40,DTR!U$4,FALSE)),0)</f>
        <v>0</v>
      </c>
      <c r="V488" s="239">
        <f>IFERROR((HLOOKUP($AH488,Target_monthwise!$D$24:$O$40,DTR!V$4,FALSE)),0)</f>
        <v>0</v>
      </c>
      <c r="W488" s="239">
        <f>IFERROR((HLOOKUP($AH488,Target_monthwise!$D$24:$O$40,DTR!W$4,FALSE)),0)</f>
        <v>0</v>
      </c>
      <c r="X488" s="239">
        <f>IFERROR((HLOOKUP($AH488,Target_monthwise!$D$24:$O$40,DTR!X$4,FALSE)),0)</f>
        <v>0</v>
      </c>
      <c r="Y488" s="239">
        <f>IFERROR((HLOOKUP($AH488,Target_monthwise!$D$24:$O$40,DTR!Y$4,FALSE)),0)</f>
        <v>0</v>
      </c>
      <c r="Z488" s="147">
        <f>IFERROR((HLOOKUP($AH488,Target_monthwise!$D$24:$O$40,DTR!Z$4,FALSE)),0)</f>
        <v>0</v>
      </c>
      <c r="AA488" s="147">
        <f>IFERROR((HLOOKUP($AH488,Target_monthwise!$D$24:$O$40,DTR!AA$4,FALSE)),0)</f>
        <v>0</v>
      </c>
      <c r="AB488" s="147">
        <f>IFERROR((HLOOKUP($AH488,Target_monthwise!$D$24:$O$40,DTR!AB$4,FALSE)),0)</f>
        <v>0</v>
      </c>
      <c r="AC488" s="239">
        <f>IFERROR((HLOOKUP($AH488,Target_monthwise!$D$24:$O$40,DTR!AC$4,FALSE)),0)</f>
        <v>0</v>
      </c>
      <c r="AD488" s="239">
        <f>IFERROR((HLOOKUP($AH488,Target_monthwise!$D$24:$O$40,DTR!AD$4,FALSE)),0)</f>
        <v>0</v>
      </c>
      <c r="AE488" s="239">
        <f>IFERROR((HLOOKUP($AH488,Target_monthwise!$D$24:$O$40,DTR!AE$4,FALSE)),0)</f>
        <v>0</v>
      </c>
      <c r="AF488" s="239">
        <f>IFERROR((HLOOKUP($AH488,Target_monthwise!$D$24:$O$40,DTR!AF$4,FALSE)),0)</f>
        <v>0</v>
      </c>
      <c r="AG488" s="172">
        <f>IFERROR((HLOOKUP($AH488,Target_monthwise!$D$24:$O$40,DTR!AG$4,FALSE)),0)</f>
        <v>0</v>
      </c>
      <c r="AH488" s="253">
        <f t="shared" si="7"/>
        <v>202307</v>
      </c>
    </row>
    <row r="489" spans="3:34" ht="15.75" hidden="1">
      <c r="C489" s="235">
        <v>45132</v>
      </c>
      <c r="D489" s="141">
        <f>IFERROR((HLOOKUP($AH489,Target_monthwise!$D$4:$O$20,DTR!D$4,FALSE))*1000,0)</f>
        <v>0</v>
      </c>
      <c r="E489" s="141">
        <f>IFERROR((HLOOKUP($AH489,Target_monthwise!$D$4:$O$20,DTR!E$4,FALSE))*1000,0)</f>
        <v>0</v>
      </c>
      <c r="F489" s="141">
        <f>IFERROR((HLOOKUP($AH489,Target_monthwise!$D$4:$O$20,DTR!F$4,FALSE))*1000,0)</f>
        <v>0</v>
      </c>
      <c r="G489" s="141">
        <f>IFERROR((HLOOKUP($AH489,Target_monthwise!$D$4:$O$20,DTR!G$4,FALSE))*1000,0)</f>
        <v>0</v>
      </c>
      <c r="H489" s="141">
        <f>IFERROR((HLOOKUP($AH489,Target_monthwise!$D$4:$O$20,DTR!H$4,FALSE))*1000,0)</f>
        <v>0</v>
      </c>
      <c r="I489" s="141">
        <f>IFERROR((HLOOKUP($AH489,Target_monthwise!$D$4:$O$20,DTR!I$4,FALSE))*1000,0)</f>
        <v>0</v>
      </c>
      <c r="J489" s="141">
        <f>IFERROR((HLOOKUP($AH489,Target_monthwise!$D$4:$O$20,DTR!J$4,FALSE))*1000,0)</f>
        <v>0</v>
      </c>
      <c r="K489" s="141">
        <f>IFERROR((HLOOKUP($AH489,Target_monthwise!$D$4:$O$20,DTR!K$4,FALSE))*1000,0)</f>
        <v>0</v>
      </c>
      <c r="L489" s="141">
        <f>IFERROR((HLOOKUP($AH489,Target_monthwise!$D$4:$O$20,DTR!L$4,FALSE))*1000,0)</f>
        <v>0</v>
      </c>
      <c r="M489" s="141">
        <f>IFERROR((HLOOKUP($AH489,Target_monthwise!$D$4:$O$20,DTR!M$4,FALSE))*1000,0)</f>
        <v>0</v>
      </c>
      <c r="N489" s="141">
        <f>IFERROR((HLOOKUP($AH489,Target_monthwise!$D$4:$O$20,DTR!N$4,FALSE))*1000,0)</f>
        <v>0</v>
      </c>
      <c r="O489" s="141">
        <f>IFERROR((HLOOKUP($AH489,Target_monthwise!$D$4:$O$20,DTR!O$4,FALSE))*1000,0)</f>
        <v>0</v>
      </c>
      <c r="P489" s="141">
        <f>IFERROR((HLOOKUP($AH489,Target_monthwise!$D$4:$O$20,DTR!P$4,FALSE))*1000,0)</f>
        <v>0</v>
      </c>
      <c r="Q489" s="141">
        <f>IFERROR((HLOOKUP($AH489,Target_monthwise!$D$4:$O$20,DTR!Q$4,FALSE))*1000,0)</f>
        <v>0</v>
      </c>
      <c r="R489" s="167">
        <f>IFERROR((HLOOKUP($AH489,Target_monthwise!$D$4:$O$20,DTR!R$4,FALSE))*1000,0)</f>
        <v>0</v>
      </c>
      <c r="S489" s="147">
        <f>IFERROR((HLOOKUP($AH489,Target_monthwise!$D$24:$O$40,DTR!S$4,FALSE)),0)</f>
        <v>0</v>
      </c>
      <c r="T489" s="147">
        <f>IFERROR((HLOOKUP($AH489,Target_monthwise!$D$24:$O$40,DTR!T$4,FALSE)),0)</f>
        <v>0</v>
      </c>
      <c r="U489" s="147">
        <f>IFERROR((HLOOKUP($AH489,Target_monthwise!$D$24:$O$40,DTR!U$4,FALSE)),0)</f>
        <v>0</v>
      </c>
      <c r="V489" s="147">
        <f>IFERROR((HLOOKUP($AH489,Target_monthwise!$D$24:$O$40,DTR!V$4,FALSE)),0)</f>
        <v>0</v>
      </c>
      <c r="W489" s="147">
        <f>IFERROR((HLOOKUP($AH489,Target_monthwise!$D$24:$O$40,DTR!W$4,FALSE)),0)</f>
        <v>0</v>
      </c>
      <c r="X489" s="147">
        <f>IFERROR((HLOOKUP($AH489,Target_monthwise!$D$24:$O$40,DTR!X$4,FALSE)),0)</f>
        <v>0</v>
      </c>
      <c r="Y489" s="147">
        <f>IFERROR((HLOOKUP($AH489,Target_monthwise!$D$24:$O$40,DTR!Y$4,FALSE)),0)</f>
        <v>0</v>
      </c>
      <c r="Z489" s="147">
        <f>IFERROR((HLOOKUP($AH489,Target_monthwise!$D$24:$O$40,DTR!Z$4,FALSE)),0)</f>
        <v>0</v>
      </c>
      <c r="AA489" s="147">
        <f>IFERROR((HLOOKUP($AH489,Target_monthwise!$D$24:$O$40,DTR!AA$4,FALSE)),0)</f>
        <v>0</v>
      </c>
      <c r="AB489" s="147">
        <f>IFERROR((HLOOKUP($AH489,Target_monthwise!$D$24:$O$40,DTR!AB$4,FALSE)),0)</f>
        <v>0</v>
      </c>
      <c r="AC489" s="147">
        <f>IFERROR((HLOOKUP($AH489,Target_monthwise!$D$24:$O$40,DTR!AC$4,FALSE)),0)</f>
        <v>0</v>
      </c>
      <c r="AD489" s="147">
        <f>IFERROR((HLOOKUP($AH489,Target_monthwise!$D$24:$O$40,DTR!AD$4,FALSE)),0)</f>
        <v>0</v>
      </c>
      <c r="AE489" s="147">
        <f>IFERROR((HLOOKUP($AH489,Target_monthwise!$D$24:$O$40,DTR!AE$4,FALSE)),0)</f>
        <v>0</v>
      </c>
      <c r="AF489" s="147">
        <f>IFERROR((HLOOKUP($AH489,Target_monthwise!$D$24:$O$40,DTR!AF$4,FALSE)),0)</f>
        <v>0</v>
      </c>
      <c r="AG489" s="172">
        <f>IFERROR((HLOOKUP($AH489,Target_monthwise!$D$24:$O$40,DTR!AG$4,FALSE)),0)</f>
        <v>0</v>
      </c>
      <c r="AH489" s="253">
        <f t="shared" si="7"/>
        <v>202307</v>
      </c>
    </row>
    <row r="490" spans="3:34" ht="15.75" hidden="1">
      <c r="C490" s="237">
        <v>45133</v>
      </c>
      <c r="D490" s="238">
        <f>IFERROR((HLOOKUP($AH490,Target_monthwise!$D$4:$O$20,DTR!D$4,FALSE))*1000,0)</f>
        <v>0</v>
      </c>
      <c r="E490" s="238">
        <f>IFERROR((HLOOKUP($AH490,Target_monthwise!$D$4:$O$20,DTR!E$4,FALSE))*1000,0)</f>
        <v>0</v>
      </c>
      <c r="F490" s="238">
        <f>IFERROR((HLOOKUP($AH490,Target_monthwise!$D$4:$O$20,DTR!F$4,FALSE))*1000,0)</f>
        <v>0</v>
      </c>
      <c r="G490" s="238">
        <f>IFERROR((HLOOKUP($AH490,Target_monthwise!$D$4:$O$20,DTR!G$4,FALSE))*1000,0)</f>
        <v>0</v>
      </c>
      <c r="H490" s="238">
        <f>IFERROR((HLOOKUP($AH490,Target_monthwise!$D$4:$O$20,DTR!H$4,FALSE))*1000,0)</f>
        <v>0</v>
      </c>
      <c r="I490" s="238">
        <f>IFERROR((HLOOKUP($AH490,Target_monthwise!$D$4:$O$20,DTR!I$4,FALSE))*1000,0)</f>
        <v>0</v>
      </c>
      <c r="J490" s="238">
        <f>IFERROR((HLOOKUP($AH490,Target_monthwise!$D$4:$O$20,DTR!J$4,FALSE))*1000,0)</f>
        <v>0</v>
      </c>
      <c r="K490" s="238">
        <f>IFERROR((HLOOKUP($AH490,Target_monthwise!$D$4:$O$20,DTR!K$4,FALSE))*1000,0)</f>
        <v>0</v>
      </c>
      <c r="L490" s="238">
        <f>IFERROR((HLOOKUP($AH490,Target_monthwise!$D$4:$O$20,DTR!L$4,FALSE))*1000,0)</f>
        <v>0</v>
      </c>
      <c r="M490" s="238">
        <f>IFERROR((HLOOKUP($AH490,Target_monthwise!$D$4:$O$20,DTR!M$4,FALSE))*1000,0)</f>
        <v>0</v>
      </c>
      <c r="N490" s="238">
        <f>IFERROR((HLOOKUP($AH490,Target_monthwise!$D$4:$O$20,DTR!N$4,FALSE))*1000,0)</f>
        <v>0</v>
      </c>
      <c r="O490" s="238">
        <f>IFERROR((HLOOKUP($AH490,Target_monthwise!$D$4:$O$20,DTR!O$4,FALSE))*1000,0)</f>
        <v>0</v>
      </c>
      <c r="P490" s="238">
        <f>IFERROR((HLOOKUP($AH490,Target_monthwise!$D$4:$O$20,DTR!P$4,FALSE))*1000,0)</f>
        <v>0</v>
      </c>
      <c r="Q490" s="141">
        <f>IFERROR((HLOOKUP($AH490,Target_monthwise!$D$4:$O$20,DTR!Q$4,FALSE))*1000,0)</f>
        <v>0</v>
      </c>
      <c r="R490" s="167">
        <f>IFERROR((HLOOKUP($AH490,Target_monthwise!$D$4:$O$20,DTR!R$4,FALSE))*1000,0)</f>
        <v>0</v>
      </c>
      <c r="S490" s="239">
        <f>IFERROR((HLOOKUP($AH490,Target_monthwise!$D$24:$O$40,DTR!S$4,FALSE)),0)</f>
        <v>0</v>
      </c>
      <c r="T490" s="239">
        <f>IFERROR((HLOOKUP($AH490,Target_monthwise!$D$24:$O$40,DTR!T$4,FALSE)),0)</f>
        <v>0</v>
      </c>
      <c r="U490" s="239">
        <f>IFERROR((HLOOKUP($AH490,Target_monthwise!$D$24:$O$40,DTR!U$4,FALSE)),0)</f>
        <v>0</v>
      </c>
      <c r="V490" s="239">
        <f>IFERROR((HLOOKUP($AH490,Target_monthwise!$D$24:$O$40,DTR!V$4,FALSE)),0)</f>
        <v>0</v>
      </c>
      <c r="W490" s="239">
        <f>IFERROR((HLOOKUP($AH490,Target_monthwise!$D$24:$O$40,DTR!W$4,FALSE)),0)</f>
        <v>0</v>
      </c>
      <c r="X490" s="239">
        <f>IFERROR((HLOOKUP($AH490,Target_monthwise!$D$24:$O$40,DTR!X$4,FALSE)),0)</f>
        <v>0</v>
      </c>
      <c r="Y490" s="239">
        <f>IFERROR((HLOOKUP($AH490,Target_monthwise!$D$24:$O$40,DTR!Y$4,FALSE)),0)</f>
        <v>0</v>
      </c>
      <c r="Z490" s="147">
        <f>IFERROR((HLOOKUP($AH490,Target_monthwise!$D$24:$O$40,DTR!Z$4,FALSE)),0)</f>
        <v>0</v>
      </c>
      <c r="AA490" s="147">
        <f>IFERROR((HLOOKUP($AH490,Target_monthwise!$D$24:$O$40,DTR!AA$4,FALSE)),0)</f>
        <v>0</v>
      </c>
      <c r="AB490" s="147">
        <f>IFERROR((HLOOKUP($AH490,Target_monthwise!$D$24:$O$40,DTR!AB$4,FALSE)),0)</f>
        <v>0</v>
      </c>
      <c r="AC490" s="239">
        <f>IFERROR((HLOOKUP($AH490,Target_monthwise!$D$24:$O$40,DTR!AC$4,FALSE)),0)</f>
        <v>0</v>
      </c>
      <c r="AD490" s="239">
        <f>IFERROR((HLOOKUP($AH490,Target_monthwise!$D$24:$O$40,DTR!AD$4,FALSE)),0)</f>
        <v>0</v>
      </c>
      <c r="AE490" s="239">
        <f>IFERROR((HLOOKUP($AH490,Target_monthwise!$D$24:$O$40,DTR!AE$4,FALSE)),0)</f>
        <v>0</v>
      </c>
      <c r="AF490" s="239">
        <f>IFERROR((HLOOKUP($AH490,Target_monthwise!$D$24:$O$40,DTR!AF$4,FALSE)),0)</f>
        <v>0</v>
      </c>
      <c r="AG490" s="172">
        <f>IFERROR((HLOOKUP($AH490,Target_monthwise!$D$24:$O$40,DTR!AG$4,FALSE)),0)</f>
        <v>0</v>
      </c>
      <c r="AH490" s="253">
        <f t="shared" si="7"/>
        <v>202307</v>
      </c>
    </row>
    <row r="491" spans="3:34" ht="15.75" hidden="1">
      <c r="C491" s="235">
        <v>45134</v>
      </c>
      <c r="D491" s="141">
        <f>IFERROR((HLOOKUP($AH491,Target_monthwise!$D$4:$O$20,DTR!D$4,FALSE))*1000,0)</f>
        <v>0</v>
      </c>
      <c r="E491" s="141">
        <f>IFERROR((HLOOKUP($AH491,Target_monthwise!$D$4:$O$20,DTR!E$4,FALSE))*1000,0)</f>
        <v>0</v>
      </c>
      <c r="F491" s="141">
        <f>IFERROR((HLOOKUP($AH491,Target_monthwise!$D$4:$O$20,DTR!F$4,FALSE))*1000,0)</f>
        <v>0</v>
      </c>
      <c r="G491" s="141">
        <f>IFERROR((HLOOKUP($AH491,Target_monthwise!$D$4:$O$20,DTR!G$4,FALSE))*1000,0)</f>
        <v>0</v>
      </c>
      <c r="H491" s="141">
        <f>IFERROR((HLOOKUP($AH491,Target_monthwise!$D$4:$O$20,DTR!H$4,FALSE))*1000,0)</f>
        <v>0</v>
      </c>
      <c r="I491" s="141">
        <f>IFERROR((HLOOKUP($AH491,Target_monthwise!$D$4:$O$20,DTR!I$4,FALSE))*1000,0)</f>
        <v>0</v>
      </c>
      <c r="J491" s="141">
        <f>IFERROR((HLOOKUP($AH491,Target_monthwise!$D$4:$O$20,DTR!J$4,FALSE))*1000,0)</f>
        <v>0</v>
      </c>
      <c r="K491" s="141">
        <f>IFERROR((HLOOKUP($AH491,Target_monthwise!$D$4:$O$20,DTR!K$4,FALSE))*1000,0)</f>
        <v>0</v>
      </c>
      <c r="L491" s="141">
        <f>IFERROR((HLOOKUP($AH491,Target_monthwise!$D$4:$O$20,DTR!L$4,FALSE))*1000,0)</f>
        <v>0</v>
      </c>
      <c r="M491" s="141">
        <f>IFERROR((HLOOKUP($AH491,Target_monthwise!$D$4:$O$20,DTR!M$4,FALSE))*1000,0)</f>
        <v>0</v>
      </c>
      <c r="N491" s="141">
        <f>IFERROR((HLOOKUP($AH491,Target_monthwise!$D$4:$O$20,DTR!N$4,FALSE))*1000,0)</f>
        <v>0</v>
      </c>
      <c r="O491" s="141">
        <f>IFERROR((HLOOKUP($AH491,Target_monthwise!$D$4:$O$20,DTR!O$4,FALSE))*1000,0)</f>
        <v>0</v>
      </c>
      <c r="P491" s="141">
        <f>IFERROR((HLOOKUP($AH491,Target_monthwise!$D$4:$O$20,DTR!P$4,FALSE))*1000,0)</f>
        <v>0</v>
      </c>
      <c r="Q491" s="141">
        <f>IFERROR((HLOOKUP($AH491,Target_monthwise!$D$4:$O$20,DTR!Q$4,FALSE))*1000,0)</f>
        <v>0</v>
      </c>
      <c r="R491" s="167">
        <f>IFERROR((HLOOKUP($AH491,Target_monthwise!$D$4:$O$20,DTR!R$4,FALSE))*1000,0)</f>
        <v>0</v>
      </c>
      <c r="S491" s="147">
        <f>IFERROR((HLOOKUP($AH491,Target_monthwise!$D$24:$O$40,DTR!S$4,FALSE)),0)</f>
        <v>0</v>
      </c>
      <c r="T491" s="147">
        <f>IFERROR((HLOOKUP($AH491,Target_monthwise!$D$24:$O$40,DTR!T$4,FALSE)),0)</f>
        <v>0</v>
      </c>
      <c r="U491" s="147">
        <f>IFERROR((HLOOKUP($AH491,Target_monthwise!$D$24:$O$40,DTR!U$4,FALSE)),0)</f>
        <v>0</v>
      </c>
      <c r="V491" s="147">
        <f>IFERROR((HLOOKUP($AH491,Target_monthwise!$D$24:$O$40,DTR!V$4,FALSE)),0)</f>
        <v>0</v>
      </c>
      <c r="W491" s="147">
        <f>IFERROR((HLOOKUP($AH491,Target_monthwise!$D$24:$O$40,DTR!W$4,FALSE)),0)</f>
        <v>0</v>
      </c>
      <c r="X491" s="147">
        <f>IFERROR((HLOOKUP($AH491,Target_monthwise!$D$24:$O$40,DTR!X$4,FALSE)),0)</f>
        <v>0</v>
      </c>
      <c r="Y491" s="147">
        <f>IFERROR((HLOOKUP($AH491,Target_monthwise!$D$24:$O$40,DTR!Y$4,FALSE)),0)</f>
        <v>0</v>
      </c>
      <c r="Z491" s="147">
        <f>IFERROR((HLOOKUP($AH491,Target_monthwise!$D$24:$O$40,DTR!Z$4,FALSE)),0)</f>
        <v>0</v>
      </c>
      <c r="AA491" s="147">
        <f>IFERROR((HLOOKUP($AH491,Target_monthwise!$D$24:$O$40,DTR!AA$4,FALSE)),0)</f>
        <v>0</v>
      </c>
      <c r="AB491" s="147">
        <f>IFERROR((HLOOKUP($AH491,Target_monthwise!$D$24:$O$40,DTR!AB$4,FALSE)),0)</f>
        <v>0</v>
      </c>
      <c r="AC491" s="147">
        <f>IFERROR((HLOOKUP($AH491,Target_monthwise!$D$24:$O$40,DTR!AC$4,FALSE)),0)</f>
        <v>0</v>
      </c>
      <c r="AD491" s="147">
        <f>IFERROR((HLOOKUP($AH491,Target_monthwise!$D$24:$O$40,DTR!AD$4,FALSE)),0)</f>
        <v>0</v>
      </c>
      <c r="AE491" s="147">
        <f>IFERROR((HLOOKUP($AH491,Target_monthwise!$D$24:$O$40,DTR!AE$4,FALSE)),0)</f>
        <v>0</v>
      </c>
      <c r="AF491" s="147">
        <f>IFERROR((HLOOKUP($AH491,Target_monthwise!$D$24:$O$40,DTR!AF$4,FALSE)),0)</f>
        <v>0</v>
      </c>
      <c r="AG491" s="172">
        <f>IFERROR((HLOOKUP($AH491,Target_monthwise!$D$24:$O$40,DTR!AG$4,FALSE)),0)</f>
        <v>0</v>
      </c>
      <c r="AH491" s="253">
        <f t="shared" si="7"/>
        <v>202307</v>
      </c>
    </row>
    <row r="492" spans="3:34" ht="15.75" hidden="1">
      <c r="C492" s="237">
        <v>45135</v>
      </c>
      <c r="D492" s="238">
        <f>IFERROR((HLOOKUP($AH492,Target_monthwise!$D$4:$O$20,DTR!D$4,FALSE))*1000,0)</f>
        <v>0</v>
      </c>
      <c r="E492" s="238">
        <f>IFERROR((HLOOKUP($AH492,Target_monthwise!$D$4:$O$20,DTR!E$4,FALSE))*1000,0)</f>
        <v>0</v>
      </c>
      <c r="F492" s="238">
        <f>IFERROR((HLOOKUP($AH492,Target_monthwise!$D$4:$O$20,DTR!F$4,FALSE))*1000,0)</f>
        <v>0</v>
      </c>
      <c r="G492" s="238">
        <f>IFERROR((HLOOKUP($AH492,Target_monthwise!$D$4:$O$20,DTR!G$4,FALSE))*1000,0)</f>
        <v>0</v>
      </c>
      <c r="H492" s="238">
        <f>IFERROR((HLOOKUP($AH492,Target_monthwise!$D$4:$O$20,DTR!H$4,FALSE))*1000,0)</f>
        <v>0</v>
      </c>
      <c r="I492" s="238">
        <f>IFERROR((HLOOKUP($AH492,Target_monthwise!$D$4:$O$20,DTR!I$4,FALSE))*1000,0)</f>
        <v>0</v>
      </c>
      <c r="J492" s="238">
        <f>IFERROR((HLOOKUP($AH492,Target_monthwise!$D$4:$O$20,DTR!J$4,FALSE))*1000,0)</f>
        <v>0</v>
      </c>
      <c r="K492" s="238">
        <f>IFERROR((HLOOKUP($AH492,Target_monthwise!$D$4:$O$20,DTR!K$4,FALSE))*1000,0)</f>
        <v>0</v>
      </c>
      <c r="L492" s="238">
        <f>IFERROR((HLOOKUP($AH492,Target_monthwise!$D$4:$O$20,DTR!L$4,FALSE))*1000,0)</f>
        <v>0</v>
      </c>
      <c r="M492" s="238">
        <f>IFERROR((HLOOKUP($AH492,Target_monthwise!$D$4:$O$20,DTR!M$4,FALSE))*1000,0)</f>
        <v>0</v>
      </c>
      <c r="N492" s="238">
        <f>IFERROR((HLOOKUP($AH492,Target_monthwise!$D$4:$O$20,DTR!N$4,FALSE))*1000,0)</f>
        <v>0</v>
      </c>
      <c r="O492" s="238">
        <f>IFERROR((HLOOKUP($AH492,Target_monthwise!$D$4:$O$20,DTR!O$4,FALSE))*1000,0)</f>
        <v>0</v>
      </c>
      <c r="P492" s="238">
        <f>IFERROR((HLOOKUP($AH492,Target_monthwise!$D$4:$O$20,DTR!P$4,FALSE))*1000,0)</f>
        <v>0</v>
      </c>
      <c r="Q492" s="141">
        <f>IFERROR((HLOOKUP($AH492,Target_monthwise!$D$4:$O$20,DTR!Q$4,FALSE))*1000,0)</f>
        <v>0</v>
      </c>
      <c r="R492" s="167">
        <f>IFERROR((HLOOKUP($AH492,Target_monthwise!$D$4:$O$20,DTR!R$4,FALSE))*1000,0)</f>
        <v>0</v>
      </c>
      <c r="S492" s="239">
        <f>IFERROR((HLOOKUP($AH492,Target_monthwise!$D$24:$O$40,DTR!S$4,FALSE)),0)</f>
        <v>0</v>
      </c>
      <c r="T492" s="239">
        <f>IFERROR((HLOOKUP($AH492,Target_monthwise!$D$24:$O$40,DTR!T$4,FALSE)),0)</f>
        <v>0</v>
      </c>
      <c r="U492" s="239">
        <f>IFERROR((HLOOKUP($AH492,Target_monthwise!$D$24:$O$40,DTR!U$4,FALSE)),0)</f>
        <v>0</v>
      </c>
      <c r="V492" s="239">
        <f>IFERROR((HLOOKUP($AH492,Target_monthwise!$D$24:$O$40,DTR!V$4,FALSE)),0)</f>
        <v>0</v>
      </c>
      <c r="W492" s="239">
        <f>IFERROR((HLOOKUP($AH492,Target_monthwise!$D$24:$O$40,DTR!W$4,FALSE)),0)</f>
        <v>0</v>
      </c>
      <c r="X492" s="239">
        <f>IFERROR((HLOOKUP($AH492,Target_monthwise!$D$24:$O$40,DTR!X$4,FALSE)),0)</f>
        <v>0</v>
      </c>
      <c r="Y492" s="239">
        <f>IFERROR((HLOOKUP($AH492,Target_monthwise!$D$24:$O$40,DTR!Y$4,FALSE)),0)</f>
        <v>0</v>
      </c>
      <c r="Z492" s="147">
        <f>IFERROR((HLOOKUP($AH492,Target_monthwise!$D$24:$O$40,DTR!Z$4,FALSE)),0)</f>
        <v>0</v>
      </c>
      <c r="AA492" s="147">
        <f>IFERROR((HLOOKUP($AH492,Target_monthwise!$D$24:$O$40,DTR!AA$4,FALSE)),0)</f>
        <v>0</v>
      </c>
      <c r="AB492" s="147">
        <f>IFERROR((HLOOKUP($AH492,Target_monthwise!$D$24:$O$40,DTR!AB$4,FALSE)),0)</f>
        <v>0</v>
      </c>
      <c r="AC492" s="239">
        <f>IFERROR((HLOOKUP($AH492,Target_monthwise!$D$24:$O$40,DTR!AC$4,FALSE)),0)</f>
        <v>0</v>
      </c>
      <c r="AD492" s="239">
        <f>IFERROR((HLOOKUP($AH492,Target_monthwise!$D$24:$O$40,DTR!AD$4,FALSE)),0)</f>
        <v>0</v>
      </c>
      <c r="AE492" s="239">
        <f>IFERROR((HLOOKUP($AH492,Target_monthwise!$D$24:$O$40,DTR!AE$4,FALSE)),0)</f>
        <v>0</v>
      </c>
      <c r="AF492" s="239">
        <f>IFERROR((HLOOKUP($AH492,Target_monthwise!$D$24:$O$40,DTR!AF$4,FALSE)),0)</f>
        <v>0</v>
      </c>
      <c r="AG492" s="172">
        <f>IFERROR((HLOOKUP($AH492,Target_monthwise!$D$24:$O$40,DTR!AG$4,FALSE)),0)</f>
        <v>0</v>
      </c>
      <c r="AH492" s="253">
        <f t="shared" si="7"/>
        <v>202307</v>
      </c>
    </row>
    <row r="493" spans="3:34" ht="15.75" hidden="1">
      <c r="C493" s="235">
        <v>45136</v>
      </c>
      <c r="D493" s="141">
        <f>IFERROR((HLOOKUP($AH493,Target_monthwise!$D$4:$O$20,DTR!D$4,FALSE))*1000,0)</f>
        <v>0</v>
      </c>
      <c r="E493" s="141">
        <f>IFERROR((HLOOKUP($AH493,Target_monthwise!$D$4:$O$20,DTR!E$4,FALSE))*1000,0)</f>
        <v>0</v>
      </c>
      <c r="F493" s="141">
        <f>IFERROR((HLOOKUP($AH493,Target_monthwise!$D$4:$O$20,DTR!F$4,FALSE))*1000,0)</f>
        <v>0</v>
      </c>
      <c r="G493" s="141">
        <f>IFERROR((HLOOKUP($AH493,Target_monthwise!$D$4:$O$20,DTR!G$4,FALSE))*1000,0)</f>
        <v>0</v>
      </c>
      <c r="H493" s="141">
        <f>IFERROR((HLOOKUP($AH493,Target_monthwise!$D$4:$O$20,DTR!H$4,FALSE))*1000,0)</f>
        <v>0</v>
      </c>
      <c r="I493" s="141">
        <f>IFERROR((HLOOKUP($AH493,Target_monthwise!$D$4:$O$20,DTR!I$4,FALSE))*1000,0)</f>
        <v>0</v>
      </c>
      <c r="J493" s="141">
        <f>IFERROR((HLOOKUP($AH493,Target_monthwise!$D$4:$O$20,DTR!J$4,FALSE))*1000,0)</f>
        <v>0</v>
      </c>
      <c r="K493" s="141">
        <f>IFERROR((HLOOKUP($AH493,Target_monthwise!$D$4:$O$20,DTR!K$4,FALSE))*1000,0)</f>
        <v>0</v>
      </c>
      <c r="L493" s="141">
        <f>IFERROR((HLOOKUP($AH493,Target_monthwise!$D$4:$O$20,DTR!L$4,FALSE))*1000,0)</f>
        <v>0</v>
      </c>
      <c r="M493" s="141">
        <f>IFERROR((HLOOKUP($AH493,Target_monthwise!$D$4:$O$20,DTR!M$4,FALSE))*1000,0)</f>
        <v>0</v>
      </c>
      <c r="N493" s="141">
        <f>IFERROR((HLOOKUP($AH493,Target_monthwise!$D$4:$O$20,DTR!N$4,FALSE))*1000,0)</f>
        <v>0</v>
      </c>
      <c r="O493" s="141">
        <f>IFERROR((HLOOKUP($AH493,Target_monthwise!$D$4:$O$20,DTR!O$4,FALSE))*1000,0)</f>
        <v>0</v>
      </c>
      <c r="P493" s="141">
        <f>IFERROR((HLOOKUP($AH493,Target_monthwise!$D$4:$O$20,DTR!P$4,FALSE))*1000,0)</f>
        <v>0</v>
      </c>
      <c r="Q493" s="141">
        <f>IFERROR((HLOOKUP($AH493,Target_monthwise!$D$4:$O$20,DTR!Q$4,FALSE))*1000,0)</f>
        <v>0</v>
      </c>
      <c r="R493" s="167">
        <f>IFERROR((HLOOKUP($AH493,Target_monthwise!$D$4:$O$20,DTR!R$4,FALSE))*1000,0)</f>
        <v>0</v>
      </c>
      <c r="S493" s="147">
        <f>IFERROR((HLOOKUP($AH493,Target_monthwise!$D$24:$O$40,DTR!S$4,FALSE)),0)</f>
        <v>0</v>
      </c>
      <c r="T493" s="147">
        <f>IFERROR((HLOOKUP($AH493,Target_monthwise!$D$24:$O$40,DTR!T$4,FALSE)),0)</f>
        <v>0</v>
      </c>
      <c r="U493" s="147">
        <f>IFERROR((HLOOKUP($AH493,Target_monthwise!$D$24:$O$40,DTR!U$4,FALSE)),0)</f>
        <v>0</v>
      </c>
      <c r="V493" s="147">
        <f>IFERROR((HLOOKUP($AH493,Target_monthwise!$D$24:$O$40,DTR!V$4,FALSE)),0)</f>
        <v>0</v>
      </c>
      <c r="W493" s="147">
        <f>IFERROR((HLOOKUP($AH493,Target_monthwise!$D$24:$O$40,DTR!W$4,FALSE)),0)</f>
        <v>0</v>
      </c>
      <c r="X493" s="147">
        <f>IFERROR((HLOOKUP($AH493,Target_monthwise!$D$24:$O$40,DTR!X$4,FALSE)),0)</f>
        <v>0</v>
      </c>
      <c r="Y493" s="147">
        <f>IFERROR((HLOOKUP($AH493,Target_monthwise!$D$24:$O$40,DTR!Y$4,FALSE)),0)</f>
        <v>0</v>
      </c>
      <c r="Z493" s="147">
        <f>IFERROR((HLOOKUP($AH493,Target_monthwise!$D$24:$O$40,DTR!Z$4,FALSE)),0)</f>
        <v>0</v>
      </c>
      <c r="AA493" s="147">
        <f>IFERROR((HLOOKUP($AH493,Target_monthwise!$D$24:$O$40,DTR!AA$4,FALSE)),0)</f>
        <v>0</v>
      </c>
      <c r="AB493" s="147">
        <f>IFERROR((HLOOKUP($AH493,Target_monthwise!$D$24:$O$40,DTR!AB$4,FALSE)),0)</f>
        <v>0</v>
      </c>
      <c r="AC493" s="147">
        <f>IFERROR((HLOOKUP($AH493,Target_monthwise!$D$24:$O$40,DTR!AC$4,FALSE)),0)</f>
        <v>0</v>
      </c>
      <c r="AD493" s="147">
        <f>IFERROR((HLOOKUP($AH493,Target_monthwise!$D$24:$O$40,DTR!AD$4,FALSE)),0)</f>
        <v>0</v>
      </c>
      <c r="AE493" s="147">
        <f>IFERROR((HLOOKUP($AH493,Target_monthwise!$D$24:$O$40,DTR!AE$4,FALSE)),0)</f>
        <v>0</v>
      </c>
      <c r="AF493" s="147">
        <f>IFERROR((HLOOKUP($AH493,Target_monthwise!$D$24:$O$40,DTR!AF$4,FALSE)),0)</f>
        <v>0</v>
      </c>
      <c r="AG493" s="172">
        <f>IFERROR((HLOOKUP($AH493,Target_monthwise!$D$24:$O$40,DTR!AG$4,FALSE)),0)</f>
        <v>0</v>
      </c>
      <c r="AH493" s="253">
        <f t="shared" si="7"/>
        <v>202307</v>
      </c>
    </row>
    <row r="494" spans="3:34" ht="15.75" hidden="1">
      <c r="C494" s="237">
        <v>45137</v>
      </c>
      <c r="D494" s="238">
        <f>IFERROR((HLOOKUP($AH494,Target_monthwise!$D$4:$O$20,DTR!D$4,FALSE))*1000,0)</f>
        <v>0</v>
      </c>
      <c r="E494" s="238">
        <f>IFERROR((HLOOKUP($AH494,Target_monthwise!$D$4:$O$20,DTR!E$4,FALSE))*1000,0)</f>
        <v>0</v>
      </c>
      <c r="F494" s="238">
        <f>IFERROR((HLOOKUP($AH494,Target_monthwise!$D$4:$O$20,DTR!F$4,FALSE))*1000,0)</f>
        <v>0</v>
      </c>
      <c r="G494" s="238">
        <f>IFERROR((HLOOKUP($AH494,Target_monthwise!$D$4:$O$20,DTR!G$4,FALSE))*1000,0)</f>
        <v>0</v>
      </c>
      <c r="H494" s="238">
        <f>IFERROR((HLOOKUP($AH494,Target_monthwise!$D$4:$O$20,DTR!H$4,FALSE))*1000,0)</f>
        <v>0</v>
      </c>
      <c r="I494" s="238">
        <f>IFERROR((HLOOKUP($AH494,Target_monthwise!$D$4:$O$20,DTR!I$4,FALSE))*1000,0)</f>
        <v>0</v>
      </c>
      <c r="J494" s="238">
        <f>IFERROR((HLOOKUP($AH494,Target_monthwise!$D$4:$O$20,DTR!J$4,FALSE))*1000,0)</f>
        <v>0</v>
      </c>
      <c r="K494" s="238">
        <f>IFERROR((HLOOKUP($AH494,Target_monthwise!$D$4:$O$20,DTR!K$4,FALSE))*1000,0)</f>
        <v>0</v>
      </c>
      <c r="L494" s="238">
        <f>IFERROR((HLOOKUP($AH494,Target_monthwise!$D$4:$O$20,DTR!L$4,FALSE))*1000,0)</f>
        <v>0</v>
      </c>
      <c r="M494" s="238">
        <f>IFERROR((HLOOKUP($AH494,Target_monthwise!$D$4:$O$20,DTR!M$4,FALSE))*1000,0)</f>
        <v>0</v>
      </c>
      <c r="N494" s="238">
        <f>IFERROR((HLOOKUP($AH494,Target_monthwise!$D$4:$O$20,DTR!N$4,FALSE))*1000,0)</f>
        <v>0</v>
      </c>
      <c r="O494" s="238">
        <f>IFERROR((HLOOKUP($AH494,Target_monthwise!$D$4:$O$20,DTR!O$4,FALSE))*1000,0)</f>
        <v>0</v>
      </c>
      <c r="P494" s="238">
        <f>IFERROR((HLOOKUP($AH494,Target_monthwise!$D$4:$O$20,DTR!P$4,FALSE))*1000,0)</f>
        <v>0</v>
      </c>
      <c r="Q494" s="141">
        <f>IFERROR((HLOOKUP($AH494,Target_monthwise!$D$4:$O$20,DTR!Q$4,FALSE))*1000,0)</f>
        <v>0</v>
      </c>
      <c r="R494" s="167">
        <f>IFERROR((HLOOKUP($AH494,Target_monthwise!$D$4:$O$20,DTR!R$4,FALSE))*1000,0)</f>
        <v>0</v>
      </c>
      <c r="S494" s="239">
        <f>IFERROR((HLOOKUP($AH494,Target_monthwise!$D$24:$O$40,DTR!S$4,FALSE)),0)</f>
        <v>0</v>
      </c>
      <c r="T494" s="239">
        <f>IFERROR((HLOOKUP($AH494,Target_monthwise!$D$24:$O$40,DTR!T$4,FALSE)),0)</f>
        <v>0</v>
      </c>
      <c r="U494" s="239">
        <f>IFERROR((HLOOKUP($AH494,Target_monthwise!$D$24:$O$40,DTR!U$4,FALSE)),0)</f>
        <v>0</v>
      </c>
      <c r="V494" s="239">
        <f>IFERROR((HLOOKUP($AH494,Target_monthwise!$D$24:$O$40,DTR!V$4,FALSE)),0)</f>
        <v>0</v>
      </c>
      <c r="W494" s="239">
        <f>IFERROR((HLOOKUP($AH494,Target_monthwise!$D$24:$O$40,DTR!W$4,FALSE)),0)</f>
        <v>0</v>
      </c>
      <c r="X494" s="239">
        <f>IFERROR((HLOOKUP($AH494,Target_monthwise!$D$24:$O$40,DTR!X$4,FALSE)),0)</f>
        <v>0</v>
      </c>
      <c r="Y494" s="239">
        <f>IFERROR((HLOOKUP($AH494,Target_monthwise!$D$24:$O$40,DTR!Y$4,FALSE)),0)</f>
        <v>0</v>
      </c>
      <c r="Z494" s="147">
        <f>IFERROR((HLOOKUP($AH494,Target_monthwise!$D$24:$O$40,DTR!Z$4,FALSE)),0)</f>
        <v>0</v>
      </c>
      <c r="AA494" s="147">
        <f>IFERROR((HLOOKUP($AH494,Target_monthwise!$D$24:$O$40,DTR!AA$4,FALSE)),0)</f>
        <v>0</v>
      </c>
      <c r="AB494" s="147">
        <f>IFERROR((HLOOKUP($AH494,Target_monthwise!$D$24:$O$40,DTR!AB$4,FALSE)),0)</f>
        <v>0</v>
      </c>
      <c r="AC494" s="239">
        <f>IFERROR((HLOOKUP($AH494,Target_monthwise!$D$24:$O$40,DTR!AC$4,FALSE)),0)</f>
        <v>0</v>
      </c>
      <c r="AD494" s="239">
        <f>IFERROR((HLOOKUP($AH494,Target_monthwise!$D$24:$O$40,DTR!AD$4,FALSE)),0)</f>
        <v>0</v>
      </c>
      <c r="AE494" s="239">
        <f>IFERROR((HLOOKUP($AH494,Target_monthwise!$D$24:$O$40,DTR!AE$4,FALSE)),0)</f>
        <v>0</v>
      </c>
      <c r="AF494" s="239">
        <f>IFERROR((HLOOKUP($AH494,Target_monthwise!$D$24:$O$40,DTR!AF$4,FALSE)),0)</f>
        <v>0</v>
      </c>
      <c r="AG494" s="172">
        <f>IFERROR((HLOOKUP($AH494,Target_monthwise!$D$24:$O$40,DTR!AG$4,FALSE)),0)</f>
        <v>0</v>
      </c>
      <c r="AH494" s="253">
        <f t="shared" si="7"/>
        <v>202307</v>
      </c>
    </row>
    <row r="495" spans="3:34" ht="15.75" hidden="1">
      <c r="C495" s="235">
        <v>45138</v>
      </c>
      <c r="D495" s="141">
        <f>IFERROR((HLOOKUP($AH495,Target_monthwise!$D$4:$O$20,DTR!D$4,FALSE))*1000,0)</f>
        <v>0</v>
      </c>
      <c r="E495" s="141">
        <f>IFERROR((HLOOKUP($AH495,Target_monthwise!$D$4:$O$20,DTR!E$4,FALSE))*1000,0)</f>
        <v>0</v>
      </c>
      <c r="F495" s="141">
        <f>IFERROR((HLOOKUP($AH495,Target_monthwise!$D$4:$O$20,DTR!F$4,FALSE))*1000,0)</f>
        <v>0</v>
      </c>
      <c r="G495" s="141">
        <f>IFERROR((HLOOKUP($AH495,Target_monthwise!$D$4:$O$20,DTR!G$4,FALSE))*1000,0)</f>
        <v>0</v>
      </c>
      <c r="H495" s="141">
        <f>IFERROR((HLOOKUP($AH495,Target_monthwise!$D$4:$O$20,DTR!H$4,FALSE))*1000,0)</f>
        <v>0</v>
      </c>
      <c r="I495" s="141">
        <f>IFERROR((HLOOKUP($AH495,Target_monthwise!$D$4:$O$20,DTR!I$4,FALSE))*1000,0)</f>
        <v>0</v>
      </c>
      <c r="J495" s="141">
        <f>IFERROR((HLOOKUP($AH495,Target_monthwise!$D$4:$O$20,DTR!J$4,FALSE))*1000,0)</f>
        <v>0</v>
      </c>
      <c r="K495" s="141">
        <f>IFERROR((HLOOKUP($AH495,Target_monthwise!$D$4:$O$20,DTR!K$4,FALSE))*1000,0)</f>
        <v>0</v>
      </c>
      <c r="L495" s="141">
        <f>IFERROR((HLOOKUP($AH495,Target_monthwise!$D$4:$O$20,DTR!L$4,FALSE))*1000,0)</f>
        <v>0</v>
      </c>
      <c r="M495" s="141">
        <f>IFERROR((HLOOKUP($AH495,Target_monthwise!$D$4:$O$20,DTR!M$4,FALSE))*1000,0)</f>
        <v>0</v>
      </c>
      <c r="N495" s="141">
        <f>IFERROR((HLOOKUP($AH495,Target_monthwise!$D$4:$O$20,DTR!N$4,FALSE))*1000,0)</f>
        <v>0</v>
      </c>
      <c r="O495" s="141">
        <f>IFERROR((HLOOKUP($AH495,Target_monthwise!$D$4:$O$20,DTR!O$4,FALSE))*1000,0)</f>
        <v>0</v>
      </c>
      <c r="P495" s="141">
        <f>IFERROR((HLOOKUP($AH495,Target_monthwise!$D$4:$O$20,DTR!P$4,FALSE))*1000,0)</f>
        <v>0</v>
      </c>
      <c r="Q495" s="141">
        <f>IFERROR((HLOOKUP($AH495,Target_monthwise!$D$4:$O$20,DTR!Q$4,FALSE))*1000,0)</f>
        <v>0</v>
      </c>
      <c r="R495" s="167">
        <f>IFERROR((HLOOKUP($AH495,Target_monthwise!$D$4:$O$20,DTR!R$4,FALSE))*1000,0)</f>
        <v>0</v>
      </c>
      <c r="S495" s="147">
        <f>IFERROR((HLOOKUP($AH495,Target_monthwise!$D$24:$O$40,DTR!S$4,FALSE)),0)</f>
        <v>0</v>
      </c>
      <c r="T495" s="147">
        <f>IFERROR((HLOOKUP($AH495,Target_monthwise!$D$24:$O$40,DTR!T$4,FALSE)),0)</f>
        <v>0</v>
      </c>
      <c r="U495" s="147">
        <f>IFERROR((HLOOKUP($AH495,Target_monthwise!$D$24:$O$40,DTR!U$4,FALSE)),0)</f>
        <v>0</v>
      </c>
      <c r="V495" s="147">
        <f>IFERROR((HLOOKUP($AH495,Target_monthwise!$D$24:$O$40,DTR!V$4,FALSE)),0)</f>
        <v>0</v>
      </c>
      <c r="W495" s="147">
        <f>IFERROR((HLOOKUP($AH495,Target_monthwise!$D$24:$O$40,DTR!W$4,FALSE)),0)</f>
        <v>0</v>
      </c>
      <c r="X495" s="147">
        <f>IFERROR((HLOOKUP($AH495,Target_monthwise!$D$24:$O$40,DTR!X$4,FALSE)),0)</f>
        <v>0</v>
      </c>
      <c r="Y495" s="147">
        <f>IFERROR((HLOOKUP($AH495,Target_monthwise!$D$24:$O$40,DTR!Y$4,FALSE)),0)</f>
        <v>0</v>
      </c>
      <c r="Z495" s="147">
        <f>IFERROR((HLOOKUP($AH495,Target_monthwise!$D$24:$O$40,DTR!Z$4,FALSE)),0)</f>
        <v>0</v>
      </c>
      <c r="AA495" s="147">
        <f>IFERROR((HLOOKUP($AH495,Target_monthwise!$D$24:$O$40,DTR!AA$4,FALSE)),0)</f>
        <v>0</v>
      </c>
      <c r="AB495" s="147">
        <f>IFERROR((HLOOKUP($AH495,Target_monthwise!$D$24:$O$40,DTR!AB$4,FALSE)),0)</f>
        <v>0</v>
      </c>
      <c r="AC495" s="147">
        <f>IFERROR((HLOOKUP($AH495,Target_monthwise!$D$24:$O$40,DTR!AC$4,FALSE)),0)</f>
        <v>0</v>
      </c>
      <c r="AD495" s="147">
        <f>IFERROR((HLOOKUP($AH495,Target_monthwise!$D$24:$O$40,DTR!AD$4,FALSE)),0)</f>
        <v>0</v>
      </c>
      <c r="AE495" s="147">
        <f>IFERROR((HLOOKUP($AH495,Target_monthwise!$D$24:$O$40,DTR!AE$4,FALSE)),0)</f>
        <v>0</v>
      </c>
      <c r="AF495" s="147">
        <f>IFERROR((HLOOKUP($AH495,Target_monthwise!$D$24:$O$40,DTR!AF$4,FALSE)),0)</f>
        <v>0</v>
      </c>
      <c r="AG495" s="172">
        <f>IFERROR((HLOOKUP($AH495,Target_monthwise!$D$24:$O$40,DTR!AG$4,FALSE)),0)</f>
        <v>0</v>
      </c>
      <c r="AH495" s="253">
        <f t="shared" si="7"/>
        <v>202307</v>
      </c>
    </row>
    <row r="496" spans="3:34" ht="15.75" hidden="1">
      <c r="C496" s="237">
        <v>45139</v>
      </c>
      <c r="D496" s="238">
        <f>IFERROR((HLOOKUP($AH496,Target_monthwise!$D$4:$O$20,DTR!D$4,FALSE))*1000,0)</f>
        <v>0</v>
      </c>
      <c r="E496" s="238">
        <f>IFERROR((HLOOKUP($AH496,Target_monthwise!$D$4:$O$20,DTR!E$4,FALSE))*1000,0)</f>
        <v>0</v>
      </c>
      <c r="F496" s="238">
        <f>IFERROR((HLOOKUP($AH496,Target_monthwise!$D$4:$O$20,DTR!F$4,FALSE))*1000,0)</f>
        <v>0</v>
      </c>
      <c r="G496" s="238">
        <f>IFERROR((HLOOKUP($AH496,Target_monthwise!$D$4:$O$20,DTR!G$4,FALSE))*1000,0)</f>
        <v>0</v>
      </c>
      <c r="H496" s="238">
        <f>IFERROR((HLOOKUP($AH496,Target_monthwise!$D$4:$O$20,DTR!H$4,FALSE))*1000,0)</f>
        <v>0</v>
      </c>
      <c r="I496" s="238">
        <f>IFERROR((HLOOKUP($AH496,Target_monthwise!$D$4:$O$20,DTR!I$4,FALSE))*1000,0)</f>
        <v>0</v>
      </c>
      <c r="J496" s="238">
        <f>IFERROR((HLOOKUP($AH496,Target_monthwise!$D$4:$O$20,DTR!J$4,FALSE))*1000,0)</f>
        <v>0</v>
      </c>
      <c r="K496" s="238">
        <f>IFERROR((HLOOKUP($AH496,Target_monthwise!$D$4:$O$20,DTR!K$4,FALSE))*1000,0)</f>
        <v>0</v>
      </c>
      <c r="L496" s="238">
        <f>IFERROR((HLOOKUP($AH496,Target_monthwise!$D$4:$O$20,DTR!L$4,FALSE))*1000,0)</f>
        <v>0</v>
      </c>
      <c r="M496" s="238">
        <f>IFERROR((HLOOKUP($AH496,Target_monthwise!$D$4:$O$20,DTR!M$4,FALSE))*1000,0)</f>
        <v>0</v>
      </c>
      <c r="N496" s="238">
        <f>IFERROR((HLOOKUP($AH496,Target_monthwise!$D$4:$O$20,DTR!N$4,FALSE))*1000,0)</f>
        <v>0</v>
      </c>
      <c r="O496" s="238">
        <f>IFERROR((HLOOKUP($AH496,Target_monthwise!$D$4:$O$20,DTR!O$4,FALSE))*1000,0)</f>
        <v>0</v>
      </c>
      <c r="P496" s="238">
        <f>IFERROR((HLOOKUP($AH496,Target_monthwise!$D$4:$O$20,DTR!P$4,FALSE))*1000,0)</f>
        <v>0</v>
      </c>
      <c r="Q496" s="141">
        <f>IFERROR((HLOOKUP($AH496,Target_monthwise!$D$4:$O$20,DTR!Q$4,FALSE))*1000,0)</f>
        <v>0</v>
      </c>
      <c r="R496" s="167">
        <f>IFERROR((HLOOKUP($AH496,Target_monthwise!$D$4:$O$20,DTR!R$4,FALSE))*1000,0)</f>
        <v>0</v>
      </c>
      <c r="S496" s="239">
        <f>IFERROR((HLOOKUP($AH496,Target_monthwise!$D$24:$O$40,DTR!S$4,FALSE)),0)</f>
        <v>0</v>
      </c>
      <c r="T496" s="239">
        <f>IFERROR((HLOOKUP($AH496,Target_monthwise!$D$24:$O$40,DTR!T$4,FALSE)),0)</f>
        <v>0</v>
      </c>
      <c r="U496" s="239">
        <f>IFERROR((HLOOKUP($AH496,Target_monthwise!$D$24:$O$40,DTR!U$4,FALSE)),0)</f>
        <v>0</v>
      </c>
      <c r="V496" s="239">
        <f>IFERROR((HLOOKUP($AH496,Target_monthwise!$D$24:$O$40,DTR!V$4,FALSE)),0)</f>
        <v>0</v>
      </c>
      <c r="W496" s="239">
        <f>IFERROR((HLOOKUP($AH496,Target_monthwise!$D$24:$O$40,DTR!W$4,FALSE)),0)</f>
        <v>0</v>
      </c>
      <c r="X496" s="239">
        <f>IFERROR((HLOOKUP($AH496,Target_monthwise!$D$24:$O$40,DTR!X$4,FALSE)),0)</f>
        <v>0</v>
      </c>
      <c r="Y496" s="239">
        <f>IFERROR((HLOOKUP($AH496,Target_monthwise!$D$24:$O$40,DTR!Y$4,FALSE)),0)</f>
        <v>0</v>
      </c>
      <c r="Z496" s="147">
        <f>IFERROR((HLOOKUP($AH496,Target_monthwise!$D$24:$O$40,DTR!Z$4,FALSE)),0)</f>
        <v>0</v>
      </c>
      <c r="AA496" s="147">
        <f>IFERROR((HLOOKUP($AH496,Target_monthwise!$D$24:$O$40,DTR!AA$4,FALSE)),0)</f>
        <v>0</v>
      </c>
      <c r="AB496" s="147">
        <f>IFERROR((HLOOKUP($AH496,Target_monthwise!$D$24:$O$40,DTR!AB$4,FALSE)),0)</f>
        <v>0</v>
      </c>
      <c r="AC496" s="239">
        <f>IFERROR((HLOOKUP($AH496,Target_monthwise!$D$24:$O$40,DTR!AC$4,FALSE)),0)</f>
        <v>0</v>
      </c>
      <c r="AD496" s="239">
        <f>IFERROR((HLOOKUP($AH496,Target_monthwise!$D$24:$O$40,DTR!AD$4,FALSE)),0)</f>
        <v>0</v>
      </c>
      <c r="AE496" s="239">
        <f>IFERROR((HLOOKUP($AH496,Target_monthwise!$D$24:$O$40,DTR!AE$4,FALSE)),0)</f>
        <v>0</v>
      </c>
      <c r="AF496" s="239">
        <f>IFERROR((HLOOKUP($AH496,Target_monthwise!$D$24:$O$40,DTR!AF$4,FALSE)),0)</f>
        <v>0</v>
      </c>
      <c r="AG496" s="172">
        <f>IFERROR((HLOOKUP($AH496,Target_monthwise!$D$24:$O$40,DTR!AG$4,FALSE)),0)</f>
        <v>0</v>
      </c>
      <c r="AH496" s="253">
        <f t="shared" si="7"/>
        <v>202308</v>
      </c>
    </row>
    <row r="497" spans="3:34" ht="15.75" hidden="1">
      <c r="C497" s="235">
        <v>45140</v>
      </c>
      <c r="D497" s="141">
        <f>IFERROR((HLOOKUP($AH497,Target_monthwise!$D$4:$O$20,DTR!D$4,FALSE))*1000,0)</f>
        <v>0</v>
      </c>
      <c r="E497" s="141">
        <f>IFERROR((HLOOKUP($AH497,Target_monthwise!$D$4:$O$20,DTR!E$4,FALSE))*1000,0)</f>
        <v>0</v>
      </c>
      <c r="F497" s="141">
        <f>IFERROR((HLOOKUP($AH497,Target_monthwise!$D$4:$O$20,DTR!F$4,FALSE))*1000,0)</f>
        <v>0</v>
      </c>
      <c r="G497" s="141">
        <f>IFERROR((HLOOKUP($AH497,Target_monthwise!$D$4:$O$20,DTR!G$4,FALSE))*1000,0)</f>
        <v>0</v>
      </c>
      <c r="H497" s="141">
        <f>IFERROR((HLOOKUP($AH497,Target_monthwise!$D$4:$O$20,DTR!H$4,FALSE))*1000,0)</f>
        <v>0</v>
      </c>
      <c r="I497" s="141">
        <f>IFERROR((HLOOKUP($AH497,Target_monthwise!$D$4:$O$20,DTR!I$4,FALSE))*1000,0)</f>
        <v>0</v>
      </c>
      <c r="J497" s="141">
        <f>IFERROR((HLOOKUP($AH497,Target_monthwise!$D$4:$O$20,DTR!J$4,FALSE))*1000,0)</f>
        <v>0</v>
      </c>
      <c r="K497" s="141">
        <f>IFERROR((HLOOKUP($AH497,Target_monthwise!$D$4:$O$20,DTR!K$4,FALSE))*1000,0)</f>
        <v>0</v>
      </c>
      <c r="L497" s="141">
        <f>IFERROR((HLOOKUP($AH497,Target_monthwise!$D$4:$O$20,DTR!L$4,FALSE))*1000,0)</f>
        <v>0</v>
      </c>
      <c r="M497" s="141">
        <f>IFERROR((HLOOKUP($AH497,Target_monthwise!$D$4:$O$20,DTR!M$4,FALSE))*1000,0)</f>
        <v>0</v>
      </c>
      <c r="N497" s="141">
        <f>IFERROR((HLOOKUP($AH497,Target_monthwise!$D$4:$O$20,DTR!N$4,FALSE))*1000,0)</f>
        <v>0</v>
      </c>
      <c r="O497" s="141">
        <f>IFERROR((HLOOKUP($AH497,Target_monthwise!$D$4:$O$20,DTR!O$4,FALSE))*1000,0)</f>
        <v>0</v>
      </c>
      <c r="P497" s="141">
        <f>IFERROR((HLOOKUP($AH497,Target_monthwise!$D$4:$O$20,DTR!P$4,FALSE))*1000,0)</f>
        <v>0</v>
      </c>
      <c r="Q497" s="141">
        <f>IFERROR((HLOOKUP($AH497,Target_monthwise!$D$4:$O$20,DTR!Q$4,FALSE))*1000,0)</f>
        <v>0</v>
      </c>
      <c r="R497" s="167">
        <f>IFERROR((HLOOKUP($AH497,Target_monthwise!$D$4:$O$20,DTR!R$4,FALSE))*1000,0)</f>
        <v>0</v>
      </c>
      <c r="S497" s="147">
        <f>IFERROR((HLOOKUP($AH497,Target_monthwise!$D$24:$O$40,DTR!S$4,FALSE)),0)</f>
        <v>0</v>
      </c>
      <c r="T497" s="147">
        <f>IFERROR((HLOOKUP($AH497,Target_monthwise!$D$24:$O$40,DTR!T$4,FALSE)),0)</f>
        <v>0</v>
      </c>
      <c r="U497" s="147">
        <f>IFERROR((HLOOKUP($AH497,Target_monthwise!$D$24:$O$40,DTR!U$4,FALSE)),0)</f>
        <v>0</v>
      </c>
      <c r="V497" s="147">
        <f>IFERROR((HLOOKUP($AH497,Target_monthwise!$D$24:$O$40,DTR!V$4,FALSE)),0)</f>
        <v>0</v>
      </c>
      <c r="W497" s="147">
        <f>IFERROR((HLOOKUP($AH497,Target_monthwise!$D$24:$O$40,DTR!W$4,FALSE)),0)</f>
        <v>0</v>
      </c>
      <c r="X497" s="147">
        <f>IFERROR((HLOOKUP($AH497,Target_monthwise!$D$24:$O$40,DTR!X$4,FALSE)),0)</f>
        <v>0</v>
      </c>
      <c r="Y497" s="147">
        <f>IFERROR((HLOOKUP($AH497,Target_monthwise!$D$24:$O$40,DTR!Y$4,FALSE)),0)</f>
        <v>0</v>
      </c>
      <c r="Z497" s="147">
        <f>IFERROR((HLOOKUP($AH497,Target_monthwise!$D$24:$O$40,DTR!Z$4,FALSE)),0)</f>
        <v>0</v>
      </c>
      <c r="AA497" s="147">
        <f>IFERROR((HLOOKUP($AH497,Target_monthwise!$D$24:$O$40,DTR!AA$4,FALSE)),0)</f>
        <v>0</v>
      </c>
      <c r="AB497" s="147">
        <f>IFERROR((HLOOKUP($AH497,Target_monthwise!$D$24:$O$40,DTR!AB$4,FALSE)),0)</f>
        <v>0</v>
      </c>
      <c r="AC497" s="147">
        <f>IFERROR((HLOOKUP($AH497,Target_monthwise!$D$24:$O$40,DTR!AC$4,FALSE)),0)</f>
        <v>0</v>
      </c>
      <c r="AD497" s="147">
        <f>IFERROR((HLOOKUP($AH497,Target_monthwise!$D$24:$O$40,DTR!AD$4,FALSE)),0)</f>
        <v>0</v>
      </c>
      <c r="AE497" s="147">
        <f>IFERROR((HLOOKUP($AH497,Target_monthwise!$D$24:$O$40,DTR!AE$4,FALSE)),0)</f>
        <v>0</v>
      </c>
      <c r="AF497" s="147">
        <f>IFERROR((HLOOKUP($AH497,Target_monthwise!$D$24:$O$40,DTR!AF$4,FALSE)),0)</f>
        <v>0</v>
      </c>
      <c r="AG497" s="172">
        <f>IFERROR((HLOOKUP($AH497,Target_monthwise!$D$24:$O$40,DTR!AG$4,FALSE)),0)</f>
        <v>0</v>
      </c>
      <c r="AH497" s="253">
        <f t="shared" si="7"/>
        <v>202308</v>
      </c>
    </row>
    <row r="498" spans="3:34" ht="15.75" hidden="1">
      <c r="C498" s="237">
        <v>45141</v>
      </c>
      <c r="D498" s="238">
        <f>IFERROR((HLOOKUP($AH498,Target_monthwise!$D$4:$O$20,DTR!D$4,FALSE))*1000,0)</f>
        <v>0</v>
      </c>
      <c r="E498" s="238">
        <f>IFERROR((HLOOKUP($AH498,Target_monthwise!$D$4:$O$20,DTR!E$4,FALSE))*1000,0)</f>
        <v>0</v>
      </c>
      <c r="F498" s="238">
        <f>IFERROR((HLOOKUP($AH498,Target_monthwise!$D$4:$O$20,DTR!F$4,FALSE))*1000,0)</f>
        <v>0</v>
      </c>
      <c r="G498" s="238">
        <f>IFERROR((HLOOKUP($AH498,Target_monthwise!$D$4:$O$20,DTR!G$4,FALSE))*1000,0)</f>
        <v>0</v>
      </c>
      <c r="H498" s="238">
        <f>IFERROR((HLOOKUP($AH498,Target_monthwise!$D$4:$O$20,DTR!H$4,FALSE))*1000,0)</f>
        <v>0</v>
      </c>
      <c r="I498" s="238">
        <f>IFERROR((HLOOKUP($AH498,Target_monthwise!$D$4:$O$20,DTR!I$4,FALSE))*1000,0)</f>
        <v>0</v>
      </c>
      <c r="J498" s="238">
        <f>IFERROR((HLOOKUP($AH498,Target_monthwise!$D$4:$O$20,DTR!J$4,FALSE))*1000,0)</f>
        <v>0</v>
      </c>
      <c r="K498" s="238">
        <f>IFERROR((HLOOKUP($AH498,Target_monthwise!$D$4:$O$20,DTR!K$4,FALSE))*1000,0)</f>
        <v>0</v>
      </c>
      <c r="L498" s="238">
        <f>IFERROR((HLOOKUP($AH498,Target_monthwise!$D$4:$O$20,DTR!L$4,FALSE))*1000,0)</f>
        <v>0</v>
      </c>
      <c r="M498" s="238">
        <f>IFERROR((HLOOKUP($AH498,Target_monthwise!$D$4:$O$20,DTR!M$4,FALSE))*1000,0)</f>
        <v>0</v>
      </c>
      <c r="N498" s="238">
        <f>IFERROR((HLOOKUP($AH498,Target_monthwise!$D$4:$O$20,DTR!N$4,FALSE))*1000,0)</f>
        <v>0</v>
      </c>
      <c r="O498" s="238">
        <f>IFERROR((HLOOKUP($AH498,Target_monthwise!$D$4:$O$20,DTR!O$4,FALSE))*1000,0)</f>
        <v>0</v>
      </c>
      <c r="P498" s="238">
        <f>IFERROR((HLOOKUP($AH498,Target_monthwise!$D$4:$O$20,DTR!P$4,FALSE))*1000,0)</f>
        <v>0</v>
      </c>
      <c r="Q498" s="141">
        <f>IFERROR((HLOOKUP($AH498,Target_monthwise!$D$4:$O$20,DTR!Q$4,FALSE))*1000,0)</f>
        <v>0</v>
      </c>
      <c r="R498" s="167">
        <f>IFERROR((HLOOKUP($AH498,Target_monthwise!$D$4:$O$20,DTR!R$4,FALSE))*1000,0)</f>
        <v>0</v>
      </c>
      <c r="S498" s="239">
        <f>IFERROR((HLOOKUP($AH498,Target_monthwise!$D$24:$O$40,DTR!S$4,FALSE)),0)</f>
        <v>0</v>
      </c>
      <c r="T498" s="239">
        <f>IFERROR((HLOOKUP($AH498,Target_monthwise!$D$24:$O$40,DTR!T$4,FALSE)),0)</f>
        <v>0</v>
      </c>
      <c r="U498" s="239">
        <f>IFERROR((HLOOKUP($AH498,Target_monthwise!$D$24:$O$40,DTR!U$4,FALSE)),0)</f>
        <v>0</v>
      </c>
      <c r="V498" s="239">
        <f>IFERROR((HLOOKUP($AH498,Target_monthwise!$D$24:$O$40,DTR!V$4,FALSE)),0)</f>
        <v>0</v>
      </c>
      <c r="W498" s="239">
        <f>IFERROR((HLOOKUP($AH498,Target_monthwise!$D$24:$O$40,DTR!W$4,FALSE)),0)</f>
        <v>0</v>
      </c>
      <c r="X498" s="239">
        <f>IFERROR((HLOOKUP($AH498,Target_monthwise!$D$24:$O$40,DTR!X$4,FALSE)),0)</f>
        <v>0</v>
      </c>
      <c r="Y498" s="239">
        <f>IFERROR((HLOOKUP($AH498,Target_monthwise!$D$24:$O$40,DTR!Y$4,FALSE)),0)</f>
        <v>0</v>
      </c>
      <c r="Z498" s="147">
        <f>IFERROR((HLOOKUP($AH498,Target_monthwise!$D$24:$O$40,DTR!Z$4,FALSE)),0)</f>
        <v>0</v>
      </c>
      <c r="AA498" s="147">
        <f>IFERROR((HLOOKUP($AH498,Target_monthwise!$D$24:$O$40,DTR!AA$4,FALSE)),0)</f>
        <v>0</v>
      </c>
      <c r="AB498" s="147">
        <f>IFERROR((HLOOKUP($AH498,Target_monthwise!$D$24:$O$40,DTR!AB$4,FALSE)),0)</f>
        <v>0</v>
      </c>
      <c r="AC498" s="239">
        <f>IFERROR((HLOOKUP($AH498,Target_monthwise!$D$24:$O$40,DTR!AC$4,FALSE)),0)</f>
        <v>0</v>
      </c>
      <c r="AD498" s="239">
        <f>IFERROR((HLOOKUP($AH498,Target_monthwise!$D$24:$O$40,DTR!AD$4,FALSE)),0)</f>
        <v>0</v>
      </c>
      <c r="AE498" s="239">
        <f>IFERROR((HLOOKUP($AH498,Target_monthwise!$D$24:$O$40,DTR!AE$4,FALSE)),0)</f>
        <v>0</v>
      </c>
      <c r="AF498" s="239">
        <f>IFERROR((HLOOKUP($AH498,Target_monthwise!$D$24:$O$40,DTR!AF$4,FALSE)),0)</f>
        <v>0</v>
      </c>
      <c r="AG498" s="172">
        <f>IFERROR((HLOOKUP($AH498,Target_monthwise!$D$24:$O$40,DTR!AG$4,FALSE)),0)</f>
        <v>0</v>
      </c>
      <c r="AH498" s="253">
        <f t="shared" si="7"/>
        <v>202308</v>
      </c>
    </row>
    <row r="499" spans="3:34" ht="15.75" hidden="1">
      <c r="C499" s="235">
        <v>45142</v>
      </c>
      <c r="D499" s="141">
        <f>IFERROR((HLOOKUP($AH499,Target_monthwise!$D$4:$O$20,DTR!D$4,FALSE))*1000,0)</f>
        <v>0</v>
      </c>
      <c r="E499" s="141">
        <f>IFERROR((HLOOKUP($AH499,Target_monthwise!$D$4:$O$20,DTR!E$4,FALSE))*1000,0)</f>
        <v>0</v>
      </c>
      <c r="F499" s="141">
        <f>IFERROR((HLOOKUP($AH499,Target_monthwise!$D$4:$O$20,DTR!F$4,FALSE))*1000,0)</f>
        <v>0</v>
      </c>
      <c r="G499" s="141">
        <f>IFERROR((HLOOKUP($AH499,Target_monthwise!$D$4:$O$20,DTR!G$4,FALSE))*1000,0)</f>
        <v>0</v>
      </c>
      <c r="H499" s="141">
        <f>IFERROR((HLOOKUP($AH499,Target_monthwise!$D$4:$O$20,DTR!H$4,FALSE))*1000,0)</f>
        <v>0</v>
      </c>
      <c r="I499" s="141">
        <f>IFERROR((HLOOKUP($AH499,Target_monthwise!$D$4:$O$20,DTR!I$4,FALSE))*1000,0)</f>
        <v>0</v>
      </c>
      <c r="J499" s="141">
        <f>IFERROR((HLOOKUP($AH499,Target_monthwise!$D$4:$O$20,DTR!J$4,FALSE))*1000,0)</f>
        <v>0</v>
      </c>
      <c r="K499" s="141">
        <f>IFERROR((HLOOKUP($AH499,Target_monthwise!$D$4:$O$20,DTR!K$4,FALSE))*1000,0)</f>
        <v>0</v>
      </c>
      <c r="L499" s="141">
        <f>IFERROR((HLOOKUP($AH499,Target_monthwise!$D$4:$O$20,DTR!L$4,FALSE))*1000,0)</f>
        <v>0</v>
      </c>
      <c r="M499" s="141">
        <f>IFERROR((HLOOKUP($AH499,Target_monthwise!$D$4:$O$20,DTR!M$4,FALSE))*1000,0)</f>
        <v>0</v>
      </c>
      <c r="N499" s="141">
        <f>IFERROR((HLOOKUP($AH499,Target_monthwise!$D$4:$O$20,DTR!N$4,FALSE))*1000,0)</f>
        <v>0</v>
      </c>
      <c r="O499" s="141">
        <f>IFERROR((HLOOKUP($AH499,Target_monthwise!$D$4:$O$20,DTR!O$4,FALSE))*1000,0)</f>
        <v>0</v>
      </c>
      <c r="P499" s="141">
        <f>IFERROR((HLOOKUP($AH499,Target_monthwise!$D$4:$O$20,DTR!P$4,FALSE))*1000,0)</f>
        <v>0</v>
      </c>
      <c r="Q499" s="141">
        <f>IFERROR((HLOOKUP($AH499,Target_monthwise!$D$4:$O$20,DTR!Q$4,FALSE))*1000,0)</f>
        <v>0</v>
      </c>
      <c r="R499" s="167">
        <f>IFERROR((HLOOKUP($AH499,Target_monthwise!$D$4:$O$20,DTR!R$4,FALSE))*1000,0)</f>
        <v>0</v>
      </c>
      <c r="S499" s="147">
        <f>IFERROR((HLOOKUP($AH499,Target_monthwise!$D$24:$O$40,DTR!S$4,FALSE)),0)</f>
        <v>0</v>
      </c>
      <c r="T499" s="147">
        <f>IFERROR((HLOOKUP($AH499,Target_monthwise!$D$24:$O$40,DTR!T$4,FALSE)),0)</f>
        <v>0</v>
      </c>
      <c r="U499" s="147">
        <f>IFERROR((HLOOKUP($AH499,Target_monthwise!$D$24:$O$40,DTR!U$4,FALSE)),0)</f>
        <v>0</v>
      </c>
      <c r="V499" s="147">
        <f>IFERROR((HLOOKUP($AH499,Target_monthwise!$D$24:$O$40,DTR!V$4,FALSE)),0)</f>
        <v>0</v>
      </c>
      <c r="W499" s="147">
        <f>IFERROR((HLOOKUP($AH499,Target_monthwise!$D$24:$O$40,DTR!W$4,FALSE)),0)</f>
        <v>0</v>
      </c>
      <c r="X499" s="147">
        <f>IFERROR((HLOOKUP($AH499,Target_monthwise!$D$24:$O$40,DTR!X$4,FALSE)),0)</f>
        <v>0</v>
      </c>
      <c r="Y499" s="147">
        <f>IFERROR((HLOOKUP($AH499,Target_monthwise!$D$24:$O$40,DTR!Y$4,FALSE)),0)</f>
        <v>0</v>
      </c>
      <c r="Z499" s="147">
        <f>IFERROR((HLOOKUP($AH499,Target_monthwise!$D$24:$O$40,DTR!Z$4,FALSE)),0)</f>
        <v>0</v>
      </c>
      <c r="AA499" s="147">
        <f>IFERROR((HLOOKUP($AH499,Target_monthwise!$D$24:$O$40,DTR!AA$4,FALSE)),0)</f>
        <v>0</v>
      </c>
      <c r="AB499" s="147">
        <f>IFERROR((HLOOKUP($AH499,Target_monthwise!$D$24:$O$40,DTR!AB$4,FALSE)),0)</f>
        <v>0</v>
      </c>
      <c r="AC499" s="147">
        <f>IFERROR((HLOOKUP($AH499,Target_monthwise!$D$24:$O$40,DTR!AC$4,FALSE)),0)</f>
        <v>0</v>
      </c>
      <c r="AD499" s="147">
        <f>IFERROR((HLOOKUP($AH499,Target_monthwise!$D$24:$O$40,DTR!AD$4,FALSE)),0)</f>
        <v>0</v>
      </c>
      <c r="AE499" s="147">
        <f>IFERROR((HLOOKUP($AH499,Target_monthwise!$D$24:$O$40,DTR!AE$4,FALSE)),0)</f>
        <v>0</v>
      </c>
      <c r="AF499" s="147">
        <f>IFERROR((HLOOKUP($AH499,Target_monthwise!$D$24:$O$40,DTR!AF$4,FALSE)),0)</f>
        <v>0</v>
      </c>
      <c r="AG499" s="172">
        <f>IFERROR((HLOOKUP($AH499,Target_monthwise!$D$24:$O$40,DTR!AG$4,FALSE)),0)</f>
        <v>0</v>
      </c>
      <c r="AH499" s="253">
        <f t="shared" si="7"/>
        <v>202308</v>
      </c>
    </row>
    <row r="500" spans="3:34" ht="15.75" hidden="1">
      <c r="C500" s="237">
        <v>45143</v>
      </c>
      <c r="D500" s="238">
        <f>IFERROR((HLOOKUP($AH500,Target_monthwise!$D$4:$O$20,DTR!D$4,FALSE))*1000,0)</f>
        <v>0</v>
      </c>
      <c r="E500" s="238">
        <f>IFERROR((HLOOKUP($AH500,Target_monthwise!$D$4:$O$20,DTR!E$4,FALSE))*1000,0)</f>
        <v>0</v>
      </c>
      <c r="F500" s="238">
        <f>IFERROR((HLOOKUP($AH500,Target_monthwise!$D$4:$O$20,DTR!F$4,FALSE))*1000,0)</f>
        <v>0</v>
      </c>
      <c r="G500" s="238">
        <f>IFERROR((HLOOKUP($AH500,Target_monthwise!$D$4:$O$20,DTR!G$4,FALSE))*1000,0)</f>
        <v>0</v>
      </c>
      <c r="H500" s="238">
        <f>IFERROR((HLOOKUP($AH500,Target_monthwise!$D$4:$O$20,DTR!H$4,FALSE))*1000,0)</f>
        <v>0</v>
      </c>
      <c r="I500" s="238">
        <f>IFERROR((HLOOKUP($AH500,Target_monthwise!$D$4:$O$20,DTR!I$4,FALSE))*1000,0)</f>
        <v>0</v>
      </c>
      <c r="J500" s="238">
        <f>IFERROR((HLOOKUP($AH500,Target_monthwise!$D$4:$O$20,DTR!J$4,FALSE))*1000,0)</f>
        <v>0</v>
      </c>
      <c r="K500" s="238">
        <f>IFERROR((HLOOKUP($AH500,Target_monthwise!$D$4:$O$20,DTR!K$4,FALSE))*1000,0)</f>
        <v>0</v>
      </c>
      <c r="L500" s="238">
        <f>IFERROR((HLOOKUP($AH500,Target_monthwise!$D$4:$O$20,DTR!L$4,FALSE))*1000,0)</f>
        <v>0</v>
      </c>
      <c r="M500" s="238">
        <f>IFERROR((HLOOKUP($AH500,Target_monthwise!$D$4:$O$20,DTR!M$4,FALSE))*1000,0)</f>
        <v>0</v>
      </c>
      <c r="N500" s="238">
        <f>IFERROR((HLOOKUP($AH500,Target_monthwise!$D$4:$O$20,DTR!N$4,FALSE))*1000,0)</f>
        <v>0</v>
      </c>
      <c r="O500" s="238">
        <f>IFERROR((HLOOKUP($AH500,Target_monthwise!$D$4:$O$20,DTR!O$4,FALSE))*1000,0)</f>
        <v>0</v>
      </c>
      <c r="P500" s="238">
        <f>IFERROR((HLOOKUP($AH500,Target_monthwise!$D$4:$O$20,DTR!P$4,FALSE))*1000,0)</f>
        <v>0</v>
      </c>
      <c r="Q500" s="141">
        <f>IFERROR((HLOOKUP($AH500,Target_monthwise!$D$4:$O$20,DTR!Q$4,FALSE))*1000,0)</f>
        <v>0</v>
      </c>
      <c r="R500" s="167">
        <f>IFERROR((HLOOKUP($AH500,Target_monthwise!$D$4:$O$20,DTR!R$4,FALSE))*1000,0)</f>
        <v>0</v>
      </c>
      <c r="S500" s="239">
        <f>IFERROR((HLOOKUP($AH500,Target_monthwise!$D$24:$O$40,DTR!S$4,FALSE)),0)</f>
        <v>0</v>
      </c>
      <c r="T500" s="239">
        <f>IFERROR((HLOOKUP($AH500,Target_monthwise!$D$24:$O$40,DTR!T$4,FALSE)),0)</f>
        <v>0</v>
      </c>
      <c r="U500" s="239">
        <f>IFERROR((HLOOKUP($AH500,Target_monthwise!$D$24:$O$40,DTR!U$4,FALSE)),0)</f>
        <v>0</v>
      </c>
      <c r="V500" s="239">
        <f>IFERROR((HLOOKUP($AH500,Target_monthwise!$D$24:$O$40,DTR!V$4,FALSE)),0)</f>
        <v>0</v>
      </c>
      <c r="W500" s="239">
        <f>IFERROR((HLOOKUP($AH500,Target_monthwise!$D$24:$O$40,DTR!W$4,FALSE)),0)</f>
        <v>0</v>
      </c>
      <c r="X500" s="239">
        <f>IFERROR((HLOOKUP($AH500,Target_monthwise!$D$24:$O$40,DTR!X$4,FALSE)),0)</f>
        <v>0</v>
      </c>
      <c r="Y500" s="239">
        <f>IFERROR((HLOOKUP($AH500,Target_monthwise!$D$24:$O$40,DTR!Y$4,FALSE)),0)</f>
        <v>0</v>
      </c>
      <c r="Z500" s="147">
        <f>IFERROR((HLOOKUP($AH500,Target_monthwise!$D$24:$O$40,DTR!Z$4,FALSE)),0)</f>
        <v>0</v>
      </c>
      <c r="AA500" s="147">
        <f>IFERROR((HLOOKUP($AH500,Target_monthwise!$D$24:$O$40,DTR!AA$4,FALSE)),0)</f>
        <v>0</v>
      </c>
      <c r="AB500" s="147">
        <f>IFERROR((HLOOKUP($AH500,Target_monthwise!$D$24:$O$40,DTR!AB$4,FALSE)),0)</f>
        <v>0</v>
      </c>
      <c r="AC500" s="239">
        <f>IFERROR((HLOOKUP($AH500,Target_monthwise!$D$24:$O$40,DTR!AC$4,FALSE)),0)</f>
        <v>0</v>
      </c>
      <c r="AD500" s="239">
        <f>IFERROR((HLOOKUP($AH500,Target_monthwise!$D$24:$O$40,DTR!AD$4,FALSE)),0)</f>
        <v>0</v>
      </c>
      <c r="AE500" s="239">
        <f>IFERROR((HLOOKUP($AH500,Target_monthwise!$D$24:$O$40,DTR!AE$4,FALSE)),0)</f>
        <v>0</v>
      </c>
      <c r="AF500" s="239">
        <f>IFERROR((HLOOKUP($AH500,Target_monthwise!$D$24:$O$40,DTR!AF$4,FALSE)),0)</f>
        <v>0</v>
      </c>
      <c r="AG500" s="172">
        <f>IFERROR((HLOOKUP($AH500,Target_monthwise!$D$24:$O$40,DTR!AG$4,FALSE)),0)</f>
        <v>0</v>
      </c>
      <c r="AH500" s="253">
        <f t="shared" si="7"/>
        <v>202308</v>
      </c>
    </row>
    <row r="501" spans="3:34" ht="15.75" hidden="1">
      <c r="C501" s="235">
        <v>45144</v>
      </c>
      <c r="D501" s="141">
        <f>IFERROR((HLOOKUP($AH501,Target_monthwise!$D$4:$O$20,DTR!D$4,FALSE))*1000,0)</f>
        <v>0</v>
      </c>
      <c r="E501" s="141">
        <f>IFERROR((HLOOKUP($AH501,Target_monthwise!$D$4:$O$20,DTR!E$4,FALSE))*1000,0)</f>
        <v>0</v>
      </c>
      <c r="F501" s="141">
        <f>IFERROR((HLOOKUP($AH501,Target_monthwise!$D$4:$O$20,DTR!F$4,FALSE))*1000,0)</f>
        <v>0</v>
      </c>
      <c r="G501" s="141">
        <f>IFERROR((HLOOKUP($AH501,Target_monthwise!$D$4:$O$20,DTR!G$4,FALSE))*1000,0)</f>
        <v>0</v>
      </c>
      <c r="H501" s="141">
        <f>IFERROR((HLOOKUP($AH501,Target_monthwise!$D$4:$O$20,DTR!H$4,FALSE))*1000,0)</f>
        <v>0</v>
      </c>
      <c r="I501" s="141">
        <f>IFERROR((HLOOKUP($AH501,Target_monthwise!$D$4:$O$20,DTR!I$4,FALSE))*1000,0)</f>
        <v>0</v>
      </c>
      <c r="J501" s="141">
        <f>IFERROR((HLOOKUP($AH501,Target_monthwise!$D$4:$O$20,DTR!J$4,FALSE))*1000,0)</f>
        <v>0</v>
      </c>
      <c r="K501" s="141">
        <f>IFERROR((HLOOKUP($AH501,Target_monthwise!$D$4:$O$20,DTR!K$4,FALSE))*1000,0)</f>
        <v>0</v>
      </c>
      <c r="L501" s="141">
        <f>IFERROR((HLOOKUP($AH501,Target_monthwise!$D$4:$O$20,DTR!L$4,FALSE))*1000,0)</f>
        <v>0</v>
      </c>
      <c r="M501" s="141">
        <f>IFERROR((HLOOKUP($AH501,Target_monthwise!$D$4:$O$20,DTR!M$4,FALSE))*1000,0)</f>
        <v>0</v>
      </c>
      <c r="N501" s="141">
        <f>IFERROR((HLOOKUP($AH501,Target_monthwise!$D$4:$O$20,DTR!N$4,FALSE))*1000,0)</f>
        <v>0</v>
      </c>
      <c r="O501" s="141">
        <f>IFERROR((HLOOKUP($AH501,Target_monthwise!$D$4:$O$20,DTR!O$4,FALSE))*1000,0)</f>
        <v>0</v>
      </c>
      <c r="P501" s="141">
        <f>IFERROR((HLOOKUP($AH501,Target_monthwise!$D$4:$O$20,DTR!P$4,FALSE))*1000,0)</f>
        <v>0</v>
      </c>
      <c r="Q501" s="141">
        <f>IFERROR((HLOOKUP($AH501,Target_monthwise!$D$4:$O$20,DTR!Q$4,FALSE))*1000,0)</f>
        <v>0</v>
      </c>
      <c r="R501" s="167">
        <f>IFERROR((HLOOKUP($AH501,Target_monthwise!$D$4:$O$20,DTR!R$4,FALSE))*1000,0)</f>
        <v>0</v>
      </c>
      <c r="S501" s="147">
        <f>IFERROR((HLOOKUP($AH501,Target_monthwise!$D$24:$O$40,DTR!S$4,FALSE)),0)</f>
        <v>0</v>
      </c>
      <c r="T501" s="147">
        <f>IFERROR((HLOOKUP($AH501,Target_monthwise!$D$24:$O$40,DTR!T$4,FALSE)),0)</f>
        <v>0</v>
      </c>
      <c r="U501" s="147">
        <f>IFERROR((HLOOKUP($AH501,Target_monthwise!$D$24:$O$40,DTR!U$4,FALSE)),0)</f>
        <v>0</v>
      </c>
      <c r="V501" s="147">
        <f>IFERROR((HLOOKUP($AH501,Target_monthwise!$D$24:$O$40,DTR!V$4,FALSE)),0)</f>
        <v>0</v>
      </c>
      <c r="W501" s="147">
        <f>IFERROR((HLOOKUP($AH501,Target_monthwise!$D$24:$O$40,DTR!W$4,FALSE)),0)</f>
        <v>0</v>
      </c>
      <c r="X501" s="147">
        <f>IFERROR((HLOOKUP($AH501,Target_monthwise!$D$24:$O$40,DTR!X$4,FALSE)),0)</f>
        <v>0</v>
      </c>
      <c r="Y501" s="147">
        <f>IFERROR((HLOOKUP($AH501,Target_monthwise!$D$24:$O$40,DTR!Y$4,FALSE)),0)</f>
        <v>0</v>
      </c>
      <c r="Z501" s="147">
        <f>IFERROR((HLOOKUP($AH501,Target_monthwise!$D$24:$O$40,DTR!Z$4,FALSE)),0)</f>
        <v>0</v>
      </c>
      <c r="AA501" s="147">
        <f>IFERROR((HLOOKUP($AH501,Target_monthwise!$D$24:$O$40,DTR!AA$4,FALSE)),0)</f>
        <v>0</v>
      </c>
      <c r="AB501" s="147">
        <f>IFERROR((HLOOKUP($AH501,Target_monthwise!$D$24:$O$40,DTR!AB$4,FALSE)),0)</f>
        <v>0</v>
      </c>
      <c r="AC501" s="147">
        <f>IFERROR((HLOOKUP($AH501,Target_monthwise!$D$24:$O$40,DTR!AC$4,FALSE)),0)</f>
        <v>0</v>
      </c>
      <c r="AD501" s="147">
        <f>IFERROR((HLOOKUP($AH501,Target_monthwise!$D$24:$O$40,DTR!AD$4,FALSE)),0)</f>
        <v>0</v>
      </c>
      <c r="AE501" s="147">
        <f>IFERROR((HLOOKUP($AH501,Target_monthwise!$D$24:$O$40,DTR!AE$4,FALSE)),0)</f>
        <v>0</v>
      </c>
      <c r="AF501" s="147">
        <f>IFERROR((HLOOKUP($AH501,Target_monthwise!$D$24:$O$40,DTR!AF$4,FALSE)),0)</f>
        <v>0</v>
      </c>
      <c r="AG501" s="172">
        <f>IFERROR((HLOOKUP($AH501,Target_monthwise!$D$24:$O$40,DTR!AG$4,FALSE)),0)</f>
        <v>0</v>
      </c>
      <c r="AH501" s="253">
        <f t="shared" si="7"/>
        <v>202308</v>
      </c>
    </row>
    <row r="502" spans="3:34" ht="15.75" hidden="1">
      <c r="C502" s="237">
        <v>45145</v>
      </c>
      <c r="D502" s="238">
        <f>IFERROR((HLOOKUP($AH502,Target_monthwise!$D$4:$O$20,DTR!D$4,FALSE))*1000,0)</f>
        <v>0</v>
      </c>
      <c r="E502" s="238">
        <f>IFERROR((HLOOKUP($AH502,Target_monthwise!$D$4:$O$20,DTR!E$4,FALSE))*1000,0)</f>
        <v>0</v>
      </c>
      <c r="F502" s="238">
        <f>IFERROR((HLOOKUP($AH502,Target_monthwise!$D$4:$O$20,DTR!F$4,FALSE))*1000,0)</f>
        <v>0</v>
      </c>
      <c r="G502" s="238">
        <f>IFERROR((HLOOKUP($AH502,Target_monthwise!$D$4:$O$20,DTR!G$4,FALSE))*1000,0)</f>
        <v>0</v>
      </c>
      <c r="H502" s="238">
        <f>IFERROR((HLOOKUP($AH502,Target_monthwise!$D$4:$O$20,DTR!H$4,FALSE))*1000,0)</f>
        <v>0</v>
      </c>
      <c r="I502" s="238">
        <f>IFERROR((HLOOKUP($AH502,Target_monthwise!$D$4:$O$20,DTR!I$4,FALSE))*1000,0)</f>
        <v>0</v>
      </c>
      <c r="J502" s="238">
        <f>IFERROR((HLOOKUP($AH502,Target_monthwise!$D$4:$O$20,DTR!J$4,FALSE))*1000,0)</f>
        <v>0</v>
      </c>
      <c r="K502" s="238">
        <f>IFERROR((HLOOKUP($AH502,Target_monthwise!$D$4:$O$20,DTR!K$4,FALSE))*1000,0)</f>
        <v>0</v>
      </c>
      <c r="L502" s="238">
        <f>IFERROR((HLOOKUP($AH502,Target_monthwise!$D$4:$O$20,DTR!L$4,FALSE))*1000,0)</f>
        <v>0</v>
      </c>
      <c r="M502" s="238">
        <f>IFERROR((HLOOKUP($AH502,Target_monthwise!$D$4:$O$20,DTR!M$4,FALSE))*1000,0)</f>
        <v>0</v>
      </c>
      <c r="N502" s="238">
        <f>IFERROR((HLOOKUP($AH502,Target_monthwise!$D$4:$O$20,DTR!N$4,FALSE))*1000,0)</f>
        <v>0</v>
      </c>
      <c r="O502" s="238">
        <f>IFERROR((HLOOKUP($AH502,Target_monthwise!$D$4:$O$20,DTR!O$4,FALSE))*1000,0)</f>
        <v>0</v>
      </c>
      <c r="P502" s="238">
        <f>IFERROR((HLOOKUP($AH502,Target_monthwise!$D$4:$O$20,DTR!P$4,FALSE))*1000,0)</f>
        <v>0</v>
      </c>
      <c r="Q502" s="141">
        <f>IFERROR((HLOOKUP($AH502,Target_monthwise!$D$4:$O$20,DTR!Q$4,FALSE))*1000,0)</f>
        <v>0</v>
      </c>
      <c r="R502" s="167">
        <f>IFERROR((HLOOKUP($AH502,Target_monthwise!$D$4:$O$20,DTR!R$4,FALSE))*1000,0)</f>
        <v>0</v>
      </c>
      <c r="S502" s="239">
        <f>IFERROR((HLOOKUP($AH502,Target_monthwise!$D$24:$O$40,DTR!S$4,FALSE)),0)</f>
        <v>0</v>
      </c>
      <c r="T502" s="239">
        <f>IFERROR((HLOOKUP($AH502,Target_monthwise!$D$24:$O$40,DTR!T$4,FALSE)),0)</f>
        <v>0</v>
      </c>
      <c r="U502" s="239">
        <f>IFERROR((HLOOKUP($AH502,Target_monthwise!$D$24:$O$40,DTR!U$4,FALSE)),0)</f>
        <v>0</v>
      </c>
      <c r="V502" s="239">
        <f>IFERROR((HLOOKUP($AH502,Target_monthwise!$D$24:$O$40,DTR!V$4,FALSE)),0)</f>
        <v>0</v>
      </c>
      <c r="W502" s="239">
        <f>IFERROR((HLOOKUP($AH502,Target_monthwise!$D$24:$O$40,DTR!W$4,FALSE)),0)</f>
        <v>0</v>
      </c>
      <c r="X502" s="239">
        <f>IFERROR((HLOOKUP($AH502,Target_monthwise!$D$24:$O$40,DTR!X$4,FALSE)),0)</f>
        <v>0</v>
      </c>
      <c r="Y502" s="239">
        <f>IFERROR((HLOOKUP($AH502,Target_monthwise!$D$24:$O$40,DTR!Y$4,FALSE)),0)</f>
        <v>0</v>
      </c>
      <c r="Z502" s="147">
        <f>IFERROR((HLOOKUP($AH502,Target_monthwise!$D$24:$O$40,DTR!Z$4,FALSE)),0)</f>
        <v>0</v>
      </c>
      <c r="AA502" s="147">
        <f>IFERROR((HLOOKUP($AH502,Target_monthwise!$D$24:$O$40,DTR!AA$4,FALSE)),0)</f>
        <v>0</v>
      </c>
      <c r="AB502" s="147">
        <f>IFERROR((HLOOKUP($AH502,Target_monthwise!$D$24:$O$40,DTR!AB$4,FALSE)),0)</f>
        <v>0</v>
      </c>
      <c r="AC502" s="239">
        <f>IFERROR((HLOOKUP($AH502,Target_monthwise!$D$24:$O$40,DTR!AC$4,FALSE)),0)</f>
        <v>0</v>
      </c>
      <c r="AD502" s="239">
        <f>IFERROR((HLOOKUP($AH502,Target_monthwise!$D$24:$O$40,DTR!AD$4,FALSE)),0)</f>
        <v>0</v>
      </c>
      <c r="AE502" s="239">
        <f>IFERROR((HLOOKUP($AH502,Target_monthwise!$D$24:$O$40,DTR!AE$4,FALSE)),0)</f>
        <v>0</v>
      </c>
      <c r="AF502" s="239">
        <f>IFERROR((HLOOKUP($AH502,Target_monthwise!$D$24:$O$40,DTR!AF$4,FALSE)),0)</f>
        <v>0</v>
      </c>
      <c r="AG502" s="172">
        <f>IFERROR((HLOOKUP($AH502,Target_monthwise!$D$24:$O$40,DTR!AG$4,FALSE)),0)</f>
        <v>0</v>
      </c>
      <c r="AH502" s="253">
        <f t="shared" si="7"/>
        <v>202308</v>
      </c>
    </row>
    <row r="503" spans="3:34" ht="15.75" hidden="1">
      <c r="C503" s="235">
        <v>45146</v>
      </c>
      <c r="D503" s="141">
        <f>IFERROR((HLOOKUP($AH503,Target_monthwise!$D$4:$O$20,DTR!D$4,FALSE))*1000,0)</f>
        <v>0</v>
      </c>
      <c r="E503" s="141">
        <f>IFERROR((HLOOKUP($AH503,Target_monthwise!$D$4:$O$20,DTR!E$4,FALSE))*1000,0)</f>
        <v>0</v>
      </c>
      <c r="F503" s="141">
        <f>IFERROR((HLOOKUP($AH503,Target_monthwise!$D$4:$O$20,DTR!F$4,FALSE))*1000,0)</f>
        <v>0</v>
      </c>
      <c r="G503" s="141">
        <f>IFERROR((HLOOKUP($AH503,Target_monthwise!$D$4:$O$20,DTR!G$4,FALSE))*1000,0)</f>
        <v>0</v>
      </c>
      <c r="H503" s="141">
        <f>IFERROR((HLOOKUP($AH503,Target_monthwise!$D$4:$O$20,DTR!H$4,FALSE))*1000,0)</f>
        <v>0</v>
      </c>
      <c r="I503" s="141">
        <f>IFERROR((HLOOKUP($AH503,Target_monthwise!$D$4:$O$20,DTR!I$4,FALSE))*1000,0)</f>
        <v>0</v>
      </c>
      <c r="J503" s="141">
        <f>IFERROR((HLOOKUP($AH503,Target_monthwise!$D$4:$O$20,DTR!J$4,FALSE))*1000,0)</f>
        <v>0</v>
      </c>
      <c r="K503" s="141">
        <f>IFERROR((HLOOKUP($AH503,Target_monthwise!$D$4:$O$20,DTR!K$4,FALSE))*1000,0)</f>
        <v>0</v>
      </c>
      <c r="L503" s="141">
        <f>IFERROR((HLOOKUP($AH503,Target_monthwise!$D$4:$O$20,DTR!L$4,FALSE))*1000,0)</f>
        <v>0</v>
      </c>
      <c r="M503" s="141">
        <f>IFERROR((HLOOKUP($AH503,Target_monthwise!$D$4:$O$20,DTR!M$4,FALSE))*1000,0)</f>
        <v>0</v>
      </c>
      <c r="N503" s="141">
        <f>IFERROR((HLOOKUP($AH503,Target_monthwise!$D$4:$O$20,DTR!N$4,FALSE))*1000,0)</f>
        <v>0</v>
      </c>
      <c r="O503" s="141">
        <f>IFERROR((HLOOKUP($AH503,Target_monthwise!$D$4:$O$20,DTR!O$4,FALSE))*1000,0)</f>
        <v>0</v>
      </c>
      <c r="P503" s="141">
        <f>IFERROR((HLOOKUP($AH503,Target_monthwise!$D$4:$O$20,DTR!P$4,FALSE))*1000,0)</f>
        <v>0</v>
      </c>
      <c r="Q503" s="141">
        <f>IFERROR((HLOOKUP($AH503,Target_monthwise!$D$4:$O$20,DTR!Q$4,FALSE))*1000,0)</f>
        <v>0</v>
      </c>
      <c r="R503" s="167">
        <f>IFERROR((HLOOKUP($AH503,Target_monthwise!$D$4:$O$20,DTR!R$4,FALSE))*1000,0)</f>
        <v>0</v>
      </c>
      <c r="S503" s="147">
        <f>IFERROR((HLOOKUP($AH503,Target_monthwise!$D$24:$O$40,DTR!S$4,FALSE)),0)</f>
        <v>0</v>
      </c>
      <c r="T503" s="147">
        <f>IFERROR((HLOOKUP($AH503,Target_monthwise!$D$24:$O$40,DTR!T$4,FALSE)),0)</f>
        <v>0</v>
      </c>
      <c r="U503" s="147">
        <f>IFERROR((HLOOKUP($AH503,Target_monthwise!$D$24:$O$40,DTR!U$4,FALSE)),0)</f>
        <v>0</v>
      </c>
      <c r="V503" s="147">
        <f>IFERROR((HLOOKUP($AH503,Target_monthwise!$D$24:$O$40,DTR!V$4,FALSE)),0)</f>
        <v>0</v>
      </c>
      <c r="W503" s="147">
        <f>IFERROR((HLOOKUP($AH503,Target_monthwise!$D$24:$O$40,DTR!W$4,FALSE)),0)</f>
        <v>0</v>
      </c>
      <c r="X503" s="147">
        <f>IFERROR((HLOOKUP($AH503,Target_monthwise!$D$24:$O$40,DTR!X$4,FALSE)),0)</f>
        <v>0</v>
      </c>
      <c r="Y503" s="147">
        <f>IFERROR((HLOOKUP($AH503,Target_monthwise!$D$24:$O$40,DTR!Y$4,FALSE)),0)</f>
        <v>0</v>
      </c>
      <c r="Z503" s="147">
        <f>IFERROR((HLOOKUP($AH503,Target_monthwise!$D$24:$O$40,DTR!Z$4,FALSE)),0)</f>
        <v>0</v>
      </c>
      <c r="AA503" s="147">
        <f>IFERROR((HLOOKUP($AH503,Target_monthwise!$D$24:$O$40,DTR!AA$4,FALSE)),0)</f>
        <v>0</v>
      </c>
      <c r="AB503" s="147">
        <f>IFERROR((HLOOKUP($AH503,Target_monthwise!$D$24:$O$40,DTR!AB$4,FALSE)),0)</f>
        <v>0</v>
      </c>
      <c r="AC503" s="147">
        <f>IFERROR((HLOOKUP($AH503,Target_monthwise!$D$24:$O$40,DTR!AC$4,FALSE)),0)</f>
        <v>0</v>
      </c>
      <c r="AD503" s="147">
        <f>IFERROR((HLOOKUP($AH503,Target_monthwise!$D$24:$O$40,DTR!AD$4,FALSE)),0)</f>
        <v>0</v>
      </c>
      <c r="AE503" s="147">
        <f>IFERROR((HLOOKUP($AH503,Target_monthwise!$D$24:$O$40,DTR!AE$4,FALSE)),0)</f>
        <v>0</v>
      </c>
      <c r="AF503" s="147">
        <f>IFERROR((HLOOKUP($AH503,Target_monthwise!$D$24:$O$40,DTR!AF$4,FALSE)),0)</f>
        <v>0</v>
      </c>
      <c r="AG503" s="172">
        <f>IFERROR((HLOOKUP($AH503,Target_monthwise!$D$24:$O$40,DTR!AG$4,FALSE)),0)</f>
        <v>0</v>
      </c>
      <c r="AH503" s="253">
        <f t="shared" si="7"/>
        <v>202308</v>
      </c>
    </row>
    <row r="504" spans="3:34" ht="15.75" hidden="1">
      <c r="C504" s="237">
        <v>45147</v>
      </c>
      <c r="D504" s="238">
        <f>IFERROR((HLOOKUP($AH504,Target_monthwise!$D$4:$O$20,DTR!D$4,FALSE))*1000,0)</f>
        <v>0</v>
      </c>
      <c r="E504" s="238">
        <f>IFERROR((HLOOKUP($AH504,Target_monthwise!$D$4:$O$20,DTR!E$4,FALSE))*1000,0)</f>
        <v>0</v>
      </c>
      <c r="F504" s="238">
        <f>IFERROR((HLOOKUP($AH504,Target_monthwise!$D$4:$O$20,DTR!F$4,FALSE))*1000,0)</f>
        <v>0</v>
      </c>
      <c r="G504" s="238">
        <f>IFERROR((HLOOKUP($AH504,Target_monthwise!$D$4:$O$20,DTR!G$4,FALSE))*1000,0)</f>
        <v>0</v>
      </c>
      <c r="H504" s="238">
        <f>IFERROR((HLOOKUP($AH504,Target_monthwise!$D$4:$O$20,DTR!H$4,FALSE))*1000,0)</f>
        <v>0</v>
      </c>
      <c r="I504" s="238">
        <f>IFERROR((HLOOKUP($AH504,Target_monthwise!$D$4:$O$20,DTR!I$4,FALSE))*1000,0)</f>
        <v>0</v>
      </c>
      <c r="J504" s="238">
        <f>IFERROR((HLOOKUP($AH504,Target_monthwise!$D$4:$O$20,DTR!J$4,FALSE))*1000,0)</f>
        <v>0</v>
      </c>
      <c r="K504" s="238">
        <f>IFERROR((HLOOKUP($AH504,Target_monthwise!$D$4:$O$20,DTR!K$4,FALSE))*1000,0)</f>
        <v>0</v>
      </c>
      <c r="L504" s="238">
        <f>IFERROR((HLOOKUP($AH504,Target_monthwise!$D$4:$O$20,DTR!L$4,FALSE))*1000,0)</f>
        <v>0</v>
      </c>
      <c r="M504" s="238">
        <f>IFERROR((HLOOKUP($AH504,Target_monthwise!$D$4:$O$20,DTR!M$4,FALSE))*1000,0)</f>
        <v>0</v>
      </c>
      <c r="N504" s="238">
        <f>IFERROR((HLOOKUP($AH504,Target_monthwise!$D$4:$O$20,DTR!N$4,FALSE))*1000,0)</f>
        <v>0</v>
      </c>
      <c r="O504" s="238">
        <f>IFERROR((HLOOKUP($AH504,Target_monthwise!$D$4:$O$20,DTR!O$4,FALSE))*1000,0)</f>
        <v>0</v>
      </c>
      <c r="P504" s="238">
        <f>IFERROR((HLOOKUP($AH504,Target_monthwise!$D$4:$O$20,DTR!P$4,FALSE))*1000,0)</f>
        <v>0</v>
      </c>
      <c r="Q504" s="141">
        <f>IFERROR((HLOOKUP($AH504,Target_monthwise!$D$4:$O$20,DTR!Q$4,FALSE))*1000,0)</f>
        <v>0</v>
      </c>
      <c r="R504" s="167">
        <f>IFERROR((HLOOKUP($AH504,Target_monthwise!$D$4:$O$20,DTR!R$4,FALSE))*1000,0)</f>
        <v>0</v>
      </c>
      <c r="S504" s="239">
        <f>IFERROR((HLOOKUP($AH504,Target_monthwise!$D$24:$O$40,DTR!S$4,FALSE)),0)</f>
        <v>0</v>
      </c>
      <c r="T504" s="239">
        <f>IFERROR((HLOOKUP($AH504,Target_monthwise!$D$24:$O$40,DTR!T$4,FALSE)),0)</f>
        <v>0</v>
      </c>
      <c r="U504" s="239">
        <f>IFERROR((HLOOKUP($AH504,Target_monthwise!$D$24:$O$40,DTR!U$4,FALSE)),0)</f>
        <v>0</v>
      </c>
      <c r="V504" s="239">
        <f>IFERROR((HLOOKUP($AH504,Target_monthwise!$D$24:$O$40,DTR!V$4,FALSE)),0)</f>
        <v>0</v>
      </c>
      <c r="W504" s="239">
        <f>IFERROR((HLOOKUP($AH504,Target_monthwise!$D$24:$O$40,DTR!W$4,FALSE)),0)</f>
        <v>0</v>
      </c>
      <c r="X504" s="239">
        <f>IFERROR((HLOOKUP($AH504,Target_monthwise!$D$24:$O$40,DTR!X$4,FALSE)),0)</f>
        <v>0</v>
      </c>
      <c r="Y504" s="239">
        <f>IFERROR((HLOOKUP($AH504,Target_monthwise!$D$24:$O$40,DTR!Y$4,FALSE)),0)</f>
        <v>0</v>
      </c>
      <c r="Z504" s="147">
        <f>IFERROR((HLOOKUP($AH504,Target_monthwise!$D$24:$O$40,DTR!Z$4,FALSE)),0)</f>
        <v>0</v>
      </c>
      <c r="AA504" s="147">
        <f>IFERROR((HLOOKUP($AH504,Target_monthwise!$D$24:$O$40,DTR!AA$4,FALSE)),0)</f>
        <v>0</v>
      </c>
      <c r="AB504" s="147">
        <f>IFERROR((HLOOKUP($AH504,Target_monthwise!$D$24:$O$40,DTR!AB$4,FALSE)),0)</f>
        <v>0</v>
      </c>
      <c r="AC504" s="239">
        <f>IFERROR((HLOOKUP($AH504,Target_monthwise!$D$24:$O$40,DTR!AC$4,FALSE)),0)</f>
        <v>0</v>
      </c>
      <c r="AD504" s="239">
        <f>IFERROR((HLOOKUP($AH504,Target_monthwise!$D$24:$O$40,DTR!AD$4,FALSE)),0)</f>
        <v>0</v>
      </c>
      <c r="AE504" s="239">
        <f>IFERROR((HLOOKUP($AH504,Target_monthwise!$D$24:$O$40,DTR!AE$4,FALSE)),0)</f>
        <v>0</v>
      </c>
      <c r="AF504" s="239">
        <f>IFERROR((HLOOKUP($AH504,Target_monthwise!$D$24:$O$40,DTR!AF$4,FALSE)),0)</f>
        <v>0</v>
      </c>
      <c r="AG504" s="172">
        <f>IFERROR((HLOOKUP($AH504,Target_monthwise!$D$24:$O$40,DTR!AG$4,FALSE)),0)</f>
        <v>0</v>
      </c>
      <c r="AH504" s="253">
        <f t="shared" si="7"/>
        <v>202308</v>
      </c>
    </row>
    <row r="505" spans="3:34" ht="15.75" hidden="1">
      <c r="C505" s="235">
        <v>45148</v>
      </c>
      <c r="D505" s="141">
        <f>IFERROR((HLOOKUP($AH505,Target_monthwise!$D$4:$O$20,DTR!D$4,FALSE))*1000,0)</f>
        <v>0</v>
      </c>
      <c r="E505" s="141">
        <f>IFERROR((HLOOKUP($AH505,Target_monthwise!$D$4:$O$20,DTR!E$4,FALSE))*1000,0)</f>
        <v>0</v>
      </c>
      <c r="F505" s="141">
        <f>IFERROR((HLOOKUP($AH505,Target_monthwise!$D$4:$O$20,DTR!F$4,FALSE))*1000,0)</f>
        <v>0</v>
      </c>
      <c r="G505" s="141">
        <f>IFERROR((HLOOKUP($AH505,Target_monthwise!$D$4:$O$20,DTR!G$4,FALSE))*1000,0)</f>
        <v>0</v>
      </c>
      <c r="H505" s="141">
        <f>IFERROR((HLOOKUP($AH505,Target_monthwise!$D$4:$O$20,DTR!H$4,FALSE))*1000,0)</f>
        <v>0</v>
      </c>
      <c r="I505" s="141">
        <f>IFERROR((HLOOKUP($AH505,Target_monthwise!$D$4:$O$20,DTR!I$4,FALSE))*1000,0)</f>
        <v>0</v>
      </c>
      <c r="J505" s="141">
        <f>IFERROR((HLOOKUP($AH505,Target_monthwise!$D$4:$O$20,DTR!J$4,FALSE))*1000,0)</f>
        <v>0</v>
      </c>
      <c r="K505" s="141">
        <f>IFERROR((HLOOKUP($AH505,Target_monthwise!$D$4:$O$20,DTR!K$4,FALSE))*1000,0)</f>
        <v>0</v>
      </c>
      <c r="L505" s="141">
        <f>IFERROR((HLOOKUP($AH505,Target_monthwise!$D$4:$O$20,DTR!L$4,FALSE))*1000,0)</f>
        <v>0</v>
      </c>
      <c r="M505" s="141">
        <f>IFERROR((HLOOKUP($AH505,Target_monthwise!$D$4:$O$20,DTR!M$4,FALSE))*1000,0)</f>
        <v>0</v>
      </c>
      <c r="N505" s="141">
        <f>IFERROR((HLOOKUP($AH505,Target_monthwise!$D$4:$O$20,DTR!N$4,FALSE))*1000,0)</f>
        <v>0</v>
      </c>
      <c r="O505" s="141">
        <f>IFERROR((HLOOKUP($AH505,Target_monthwise!$D$4:$O$20,DTR!O$4,FALSE))*1000,0)</f>
        <v>0</v>
      </c>
      <c r="P505" s="141">
        <f>IFERROR((HLOOKUP($AH505,Target_monthwise!$D$4:$O$20,DTR!P$4,FALSE))*1000,0)</f>
        <v>0</v>
      </c>
      <c r="Q505" s="141">
        <f>IFERROR((HLOOKUP($AH505,Target_monthwise!$D$4:$O$20,DTR!Q$4,FALSE))*1000,0)</f>
        <v>0</v>
      </c>
      <c r="R505" s="167">
        <f>IFERROR((HLOOKUP($AH505,Target_monthwise!$D$4:$O$20,DTR!R$4,FALSE))*1000,0)</f>
        <v>0</v>
      </c>
      <c r="S505" s="147">
        <f>IFERROR((HLOOKUP($AH505,Target_monthwise!$D$24:$O$40,DTR!S$4,FALSE)),0)</f>
        <v>0</v>
      </c>
      <c r="T505" s="147">
        <f>IFERROR((HLOOKUP($AH505,Target_monthwise!$D$24:$O$40,DTR!T$4,FALSE)),0)</f>
        <v>0</v>
      </c>
      <c r="U505" s="147">
        <f>IFERROR((HLOOKUP($AH505,Target_monthwise!$D$24:$O$40,DTR!U$4,FALSE)),0)</f>
        <v>0</v>
      </c>
      <c r="V505" s="147">
        <f>IFERROR((HLOOKUP($AH505,Target_monthwise!$D$24:$O$40,DTR!V$4,FALSE)),0)</f>
        <v>0</v>
      </c>
      <c r="W505" s="147">
        <f>IFERROR((HLOOKUP($AH505,Target_monthwise!$D$24:$O$40,DTR!W$4,FALSE)),0)</f>
        <v>0</v>
      </c>
      <c r="X505" s="147">
        <f>IFERROR((HLOOKUP($AH505,Target_monthwise!$D$24:$O$40,DTR!X$4,FALSE)),0)</f>
        <v>0</v>
      </c>
      <c r="Y505" s="147">
        <f>IFERROR((HLOOKUP($AH505,Target_monthwise!$D$24:$O$40,DTR!Y$4,FALSE)),0)</f>
        <v>0</v>
      </c>
      <c r="Z505" s="147">
        <f>IFERROR((HLOOKUP($AH505,Target_monthwise!$D$24:$O$40,DTR!Z$4,FALSE)),0)</f>
        <v>0</v>
      </c>
      <c r="AA505" s="147">
        <f>IFERROR((HLOOKUP($AH505,Target_monthwise!$D$24:$O$40,DTR!AA$4,FALSE)),0)</f>
        <v>0</v>
      </c>
      <c r="AB505" s="147">
        <f>IFERROR((HLOOKUP($AH505,Target_monthwise!$D$24:$O$40,DTR!AB$4,FALSE)),0)</f>
        <v>0</v>
      </c>
      <c r="AC505" s="147">
        <f>IFERROR((HLOOKUP($AH505,Target_monthwise!$D$24:$O$40,DTR!AC$4,FALSE)),0)</f>
        <v>0</v>
      </c>
      <c r="AD505" s="147">
        <f>IFERROR((HLOOKUP($AH505,Target_monthwise!$D$24:$O$40,DTR!AD$4,FALSE)),0)</f>
        <v>0</v>
      </c>
      <c r="AE505" s="147">
        <f>IFERROR((HLOOKUP($AH505,Target_monthwise!$D$24:$O$40,DTR!AE$4,FALSE)),0)</f>
        <v>0</v>
      </c>
      <c r="AF505" s="147">
        <f>IFERROR((HLOOKUP($AH505,Target_monthwise!$D$24:$O$40,DTR!AF$4,FALSE)),0)</f>
        <v>0</v>
      </c>
      <c r="AG505" s="172">
        <f>IFERROR((HLOOKUP($AH505,Target_monthwise!$D$24:$O$40,DTR!AG$4,FALSE)),0)</f>
        <v>0</v>
      </c>
      <c r="AH505" s="253">
        <f t="shared" si="7"/>
        <v>202308</v>
      </c>
    </row>
    <row r="506" spans="3:34" ht="15.75" hidden="1">
      <c r="C506" s="237">
        <v>45149</v>
      </c>
      <c r="D506" s="238">
        <f>IFERROR((HLOOKUP($AH506,Target_monthwise!$D$4:$O$20,DTR!D$4,FALSE))*1000,0)</f>
        <v>0</v>
      </c>
      <c r="E506" s="238">
        <f>IFERROR((HLOOKUP($AH506,Target_monthwise!$D$4:$O$20,DTR!E$4,FALSE))*1000,0)</f>
        <v>0</v>
      </c>
      <c r="F506" s="238">
        <f>IFERROR((HLOOKUP($AH506,Target_monthwise!$D$4:$O$20,DTR!F$4,FALSE))*1000,0)</f>
        <v>0</v>
      </c>
      <c r="G506" s="238">
        <f>IFERROR((HLOOKUP($AH506,Target_monthwise!$D$4:$O$20,DTR!G$4,FALSE))*1000,0)</f>
        <v>0</v>
      </c>
      <c r="H506" s="238">
        <f>IFERROR((HLOOKUP($AH506,Target_monthwise!$D$4:$O$20,DTR!H$4,FALSE))*1000,0)</f>
        <v>0</v>
      </c>
      <c r="I506" s="238">
        <f>IFERROR((HLOOKUP($AH506,Target_monthwise!$D$4:$O$20,DTR!I$4,FALSE))*1000,0)</f>
        <v>0</v>
      </c>
      <c r="J506" s="238">
        <f>IFERROR((HLOOKUP($AH506,Target_monthwise!$D$4:$O$20,DTR!J$4,FALSE))*1000,0)</f>
        <v>0</v>
      </c>
      <c r="K506" s="238">
        <f>IFERROR((HLOOKUP($AH506,Target_monthwise!$D$4:$O$20,DTR!K$4,FALSE))*1000,0)</f>
        <v>0</v>
      </c>
      <c r="L506" s="238">
        <f>IFERROR((HLOOKUP($AH506,Target_monthwise!$D$4:$O$20,DTR!L$4,FALSE))*1000,0)</f>
        <v>0</v>
      </c>
      <c r="M506" s="238">
        <f>IFERROR((HLOOKUP($AH506,Target_monthwise!$D$4:$O$20,DTR!M$4,FALSE))*1000,0)</f>
        <v>0</v>
      </c>
      <c r="N506" s="238">
        <f>IFERROR((HLOOKUP($AH506,Target_monthwise!$D$4:$O$20,DTR!N$4,FALSE))*1000,0)</f>
        <v>0</v>
      </c>
      <c r="O506" s="238">
        <f>IFERROR((HLOOKUP($AH506,Target_monthwise!$D$4:$O$20,DTR!O$4,FALSE))*1000,0)</f>
        <v>0</v>
      </c>
      <c r="P506" s="238">
        <f>IFERROR((HLOOKUP($AH506,Target_monthwise!$D$4:$O$20,DTR!P$4,FALSE))*1000,0)</f>
        <v>0</v>
      </c>
      <c r="Q506" s="141">
        <f>IFERROR((HLOOKUP($AH506,Target_monthwise!$D$4:$O$20,DTR!Q$4,FALSE))*1000,0)</f>
        <v>0</v>
      </c>
      <c r="R506" s="167">
        <f>IFERROR((HLOOKUP($AH506,Target_monthwise!$D$4:$O$20,DTR!R$4,FALSE))*1000,0)</f>
        <v>0</v>
      </c>
      <c r="S506" s="239">
        <f>IFERROR((HLOOKUP($AH506,Target_monthwise!$D$24:$O$40,DTR!S$4,FALSE)),0)</f>
        <v>0</v>
      </c>
      <c r="T506" s="239">
        <f>IFERROR((HLOOKUP($AH506,Target_monthwise!$D$24:$O$40,DTR!T$4,FALSE)),0)</f>
        <v>0</v>
      </c>
      <c r="U506" s="239">
        <f>IFERROR((HLOOKUP($AH506,Target_monthwise!$D$24:$O$40,DTR!U$4,FALSE)),0)</f>
        <v>0</v>
      </c>
      <c r="V506" s="239">
        <f>IFERROR((HLOOKUP($AH506,Target_monthwise!$D$24:$O$40,DTR!V$4,FALSE)),0)</f>
        <v>0</v>
      </c>
      <c r="W506" s="239">
        <f>IFERROR((HLOOKUP($AH506,Target_monthwise!$D$24:$O$40,DTR!W$4,FALSE)),0)</f>
        <v>0</v>
      </c>
      <c r="X506" s="239">
        <f>IFERROR((HLOOKUP($AH506,Target_monthwise!$D$24:$O$40,DTR!X$4,FALSE)),0)</f>
        <v>0</v>
      </c>
      <c r="Y506" s="239">
        <f>IFERROR((HLOOKUP($AH506,Target_monthwise!$D$24:$O$40,DTR!Y$4,FALSE)),0)</f>
        <v>0</v>
      </c>
      <c r="Z506" s="147">
        <f>IFERROR((HLOOKUP($AH506,Target_monthwise!$D$24:$O$40,DTR!Z$4,FALSE)),0)</f>
        <v>0</v>
      </c>
      <c r="AA506" s="147">
        <f>IFERROR((HLOOKUP($AH506,Target_monthwise!$D$24:$O$40,DTR!AA$4,FALSE)),0)</f>
        <v>0</v>
      </c>
      <c r="AB506" s="147">
        <f>IFERROR((HLOOKUP($AH506,Target_monthwise!$D$24:$O$40,DTR!AB$4,FALSE)),0)</f>
        <v>0</v>
      </c>
      <c r="AC506" s="239">
        <f>IFERROR((HLOOKUP($AH506,Target_monthwise!$D$24:$O$40,DTR!AC$4,FALSE)),0)</f>
        <v>0</v>
      </c>
      <c r="AD506" s="239">
        <f>IFERROR((HLOOKUP($AH506,Target_monthwise!$D$24:$O$40,DTR!AD$4,FALSE)),0)</f>
        <v>0</v>
      </c>
      <c r="AE506" s="239">
        <f>IFERROR((HLOOKUP($AH506,Target_monthwise!$D$24:$O$40,DTR!AE$4,FALSE)),0)</f>
        <v>0</v>
      </c>
      <c r="AF506" s="239">
        <f>IFERROR((HLOOKUP($AH506,Target_monthwise!$D$24:$O$40,DTR!AF$4,FALSE)),0)</f>
        <v>0</v>
      </c>
      <c r="AG506" s="172">
        <f>IFERROR((HLOOKUP($AH506,Target_monthwise!$D$24:$O$40,DTR!AG$4,FALSE)),0)</f>
        <v>0</v>
      </c>
      <c r="AH506" s="253">
        <f t="shared" si="7"/>
        <v>202308</v>
      </c>
    </row>
    <row r="507" spans="3:34" ht="15.75" hidden="1">
      <c r="C507" s="235">
        <v>45150</v>
      </c>
      <c r="D507" s="141">
        <f>IFERROR((HLOOKUP($AH507,Target_monthwise!$D$4:$O$20,DTR!D$4,FALSE))*1000,0)</f>
        <v>0</v>
      </c>
      <c r="E507" s="141">
        <f>IFERROR((HLOOKUP($AH507,Target_monthwise!$D$4:$O$20,DTR!E$4,FALSE))*1000,0)</f>
        <v>0</v>
      </c>
      <c r="F507" s="141">
        <f>IFERROR((HLOOKUP($AH507,Target_monthwise!$D$4:$O$20,DTR!F$4,FALSE))*1000,0)</f>
        <v>0</v>
      </c>
      <c r="G507" s="141">
        <f>IFERROR((HLOOKUP($AH507,Target_monthwise!$D$4:$O$20,DTR!G$4,FALSE))*1000,0)</f>
        <v>0</v>
      </c>
      <c r="H507" s="141">
        <f>IFERROR((HLOOKUP($AH507,Target_monthwise!$D$4:$O$20,DTR!H$4,FALSE))*1000,0)</f>
        <v>0</v>
      </c>
      <c r="I507" s="141">
        <f>IFERROR((HLOOKUP($AH507,Target_monthwise!$D$4:$O$20,DTR!I$4,FALSE))*1000,0)</f>
        <v>0</v>
      </c>
      <c r="J507" s="141">
        <f>IFERROR((HLOOKUP($AH507,Target_monthwise!$D$4:$O$20,DTR!J$4,FALSE))*1000,0)</f>
        <v>0</v>
      </c>
      <c r="K507" s="141">
        <f>IFERROR((HLOOKUP($AH507,Target_monthwise!$D$4:$O$20,DTR!K$4,FALSE))*1000,0)</f>
        <v>0</v>
      </c>
      <c r="L507" s="141">
        <f>IFERROR((HLOOKUP($AH507,Target_monthwise!$D$4:$O$20,DTR!L$4,FALSE))*1000,0)</f>
        <v>0</v>
      </c>
      <c r="M507" s="141">
        <f>IFERROR((HLOOKUP($AH507,Target_monthwise!$D$4:$O$20,DTR!M$4,FALSE))*1000,0)</f>
        <v>0</v>
      </c>
      <c r="N507" s="141">
        <f>IFERROR((HLOOKUP($AH507,Target_monthwise!$D$4:$O$20,DTR!N$4,FALSE))*1000,0)</f>
        <v>0</v>
      </c>
      <c r="O507" s="141">
        <f>IFERROR((HLOOKUP($AH507,Target_monthwise!$D$4:$O$20,DTR!O$4,FALSE))*1000,0)</f>
        <v>0</v>
      </c>
      <c r="P507" s="141">
        <f>IFERROR((HLOOKUP($AH507,Target_monthwise!$D$4:$O$20,DTR!P$4,FALSE))*1000,0)</f>
        <v>0</v>
      </c>
      <c r="Q507" s="141">
        <f>IFERROR((HLOOKUP($AH507,Target_monthwise!$D$4:$O$20,DTR!Q$4,FALSE))*1000,0)</f>
        <v>0</v>
      </c>
      <c r="R507" s="167">
        <f>IFERROR((HLOOKUP($AH507,Target_monthwise!$D$4:$O$20,DTR!R$4,FALSE))*1000,0)</f>
        <v>0</v>
      </c>
      <c r="S507" s="147">
        <f>IFERROR((HLOOKUP($AH507,Target_monthwise!$D$24:$O$40,DTR!S$4,FALSE)),0)</f>
        <v>0</v>
      </c>
      <c r="T507" s="147">
        <f>IFERROR((HLOOKUP($AH507,Target_monthwise!$D$24:$O$40,DTR!T$4,FALSE)),0)</f>
        <v>0</v>
      </c>
      <c r="U507" s="147">
        <f>IFERROR((HLOOKUP($AH507,Target_monthwise!$D$24:$O$40,DTR!U$4,FALSE)),0)</f>
        <v>0</v>
      </c>
      <c r="V507" s="147">
        <f>IFERROR((HLOOKUP($AH507,Target_monthwise!$D$24:$O$40,DTR!V$4,FALSE)),0)</f>
        <v>0</v>
      </c>
      <c r="W507" s="147">
        <f>IFERROR((HLOOKUP($AH507,Target_monthwise!$D$24:$O$40,DTR!W$4,FALSE)),0)</f>
        <v>0</v>
      </c>
      <c r="X507" s="147">
        <f>IFERROR((HLOOKUP($AH507,Target_monthwise!$D$24:$O$40,DTR!X$4,FALSE)),0)</f>
        <v>0</v>
      </c>
      <c r="Y507" s="147">
        <f>IFERROR((HLOOKUP($AH507,Target_monthwise!$D$24:$O$40,DTR!Y$4,FALSE)),0)</f>
        <v>0</v>
      </c>
      <c r="Z507" s="147">
        <f>IFERROR((HLOOKUP($AH507,Target_monthwise!$D$24:$O$40,DTR!Z$4,FALSE)),0)</f>
        <v>0</v>
      </c>
      <c r="AA507" s="147">
        <f>IFERROR((HLOOKUP($AH507,Target_monthwise!$D$24:$O$40,DTR!AA$4,FALSE)),0)</f>
        <v>0</v>
      </c>
      <c r="AB507" s="147">
        <f>IFERROR((HLOOKUP($AH507,Target_monthwise!$D$24:$O$40,DTR!AB$4,FALSE)),0)</f>
        <v>0</v>
      </c>
      <c r="AC507" s="147">
        <f>IFERROR((HLOOKUP($AH507,Target_monthwise!$D$24:$O$40,DTR!AC$4,FALSE)),0)</f>
        <v>0</v>
      </c>
      <c r="AD507" s="147">
        <f>IFERROR((HLOOKUP($AH507,Target_monthwise!$D$24:$O$40,DTR!AD$4,FALSE)),0)</f>
        <v>0</v>
      </c>
      <c r="AE507" s="147">
        <f>IFERROR((HLOOKUP($AH507,Target_monthwise!$D$24:$O$40,DTR!AE$4,FALSE)),0)</f>
        <v>0</v>
      </c>
      <c r="AF507" s="147">
        <f>IFERROR((HLOOKUP($AH507,Target_monthwise!$D$24:$O$40,DTR!AF$4,FALSE)),0)</f>
        <v>0</v>
      </c>
      <c r="AG507" s="172">
        <f>IFERROR((HLOOKUP($AH507,Target_monthwise!$D$24:$O$40,DTR!AG$4,FALSE)),0)</f>
        <v>0</v>
      </c>
      <c r="AH507" s="253">
        <f t="shared" si="7"/>
        <v>202308</v>
      </c>
    </row>
    <row r="508" spans="3:34" ht="15.75" hidden="1">
      <c r="C508" s="237">
        <v>45151</v>
      </c>
      <c r="D508" s="238">
        <f>IFERROR((HLOOKUP($AH508,Target_monthwise!$D$4:$O$20,DTR!D$4,FALSE))*1000,0)</f>
        <v>0</v>
      </c>
      <c r="E508" s="238">
        <f>IFERROR((HLOOKUP($AH508,Target_monthwise!$D$4:$O$20,DTR!E$4,FALSE))*1000,0)</f>
        <v>0</v>
      </c>
      <c r="F508" s="238">
        <f>IFERROR((HLOOKUP($AH508,Target_monthwise!$D$4:$O$20,DTR!F$4,FALSE))*1000,0)</f>
        <v>0</v>
      </c>
      <c r="G508" s="238">
        <f>IFERROR((HLOOKUP($AH508,Target_monthwise!$D$4:$O$20,DTR!G$4,FALSE))*1000,0)</f>
        <v>0</v>
      </c>
      <c r="H508" s="238">
        <f>IFERROR((HLOOKUP($AH508,Target_monthwise!$D$4:$O$20,DTR!H$4,FALSE))*1000,0)</f>
        <v>0</v>
      </c>
      <c r="I508" s="238">
        <f>IFERROR((HLOOKUP($AH508,Target_monthwise!$D$4:$O$20,DTR!I$4,FALSE))*1000,0)</f>
        <v>0</v>
      </c>
      <c r="J508" s="238">
        <f>IFERROR((HLOOKUP($AH508,Target_monthwise!$D$4:$O$20,DTR!J$4,FALSE))*1000,0)</f>
        <v>0</v>
      </c>
      <c r="K508" s="238">
        <f>IFERROR((HLOOKUP($AH508,Target_monthwise!$D$4:$O$20,DTR!K$4,FALSE))*1000,0)</f>
        <v>0</v>
      </c>
      <c r="L508" s="238">
        <f>IFERROR((HLOOKUP($AH508,Target_monthwise!$D$4:$O$20,DTR!L$4,FALSE))*1000,0)</f>
        <v>0</v>
      </c>
      <c r="M508" s="238">
        <f>IFERROR((HLOOKUP($AH508,Target_monthwise!$D$4:$O$20,DTR!M$4,FALSE))*1000,0)</f>
        <v>0</v>
      </c>
      <c r="N508" s="238">
        <f>IFERROR((HLOOKUP($AH508,Target_monthwise!$D$4:$O$20,DTR!N$4,FALSE))*1000,0)</f>
        <v>0</v>
      </c>
      <c r="O508" s="238">
        <f>IFERROR((HLOOKUP($AH508,Target_monthwise!$D$4:$O$20,DTR!O$4,FALSE))*1000,0)</f>
        <v>0</v>
      </c>
      <c r="P508" s="238">
        <f>IFERROR((HLOOKUP($AH508,Target_monthwise!$D$4:$O$20,DTR!P$4,FALSE))*1000,0)</f>
        <v>0</v>
      </c>
      <c r="Q508" s="141">
        <f>IFERROR((HLOOKUP($AH508,Target_monthwise!$D$4:$O$20,DTR!Q$4,FALSE))*1000,0)</f>
        <v>0</v>
      </c>
      <c r="R508" s="167">
        <f>IFERROR((HLOOKUP($AH508,Target_monthwise!$D$4:$O$20,DTR!R$4,FALSE))*1000,0)</f>
        <v>0</v>
      </c>
      <c r="S508" s="239">
        <f>IFERROR((HLOOKUP($AH508,Target_monthwise!$D$24:$O$40,DTR!S$4,FALSE)),0)</f>
        <v>0</v>
      </c>
      <c r="T508" s="239">
        <f>IFERROR((HLOOKUP($AH508,Target_monthwise!$D$24:$O$40,DTR!T$4,FALSE)),0)</f>
        <v>0</v>
      </c>
      <c r="U508" s="239">
        <f>IFERROR((HLOOKUP($AH508,Target_monthwise!$D$24:$O$40,DTR!U$4,FALSE)),0)</f>
        <v>0</v>
      </c>
      <c r="V508" s="239">
        <f>IFERROR((HLOOKUP($AH508,Target_monthwise!$D$24:$O$40,DTR!V$4,FALSE)),0)</f>
        <v>0</v>
      </c>
      <c r="W508" s="239">
        <f>IFERROR((HLOOKUP($AH508,Target_monthwise!$D$24:$O$40,DTR!W$4,FALSE)),0)</f>
        <v>0</v>
      </c>
      <c r="X508" s="239">
        <f>IFERROR((HLOOKUP($AH508,Target_monthwise!$D$24:$O$40,DTR!X$4,FALSE)),0)</f>
        <v>0</v>
      </c>
      <c r="Y508" s="239">
        <f>IFERROR((HLOOKUP($AH508,Target_monthwise!$D$24:$O$40,DTR!Y$4,FALSE)),0)</f>
        <v>0</v>
      </c>
      <c r="Z508" s="147">
        <f>IFERROR((HLOOKUP($AH508,Target_monthwise!$D$24:$O$40,DTR!Z$4,FALSE)),0)</f>
        <v>0</v>
      </c>
      <c r="AA508" s="147">
        <f>IFERROR((HLOOKUP($AH508,Target_monthwise!$D$24:$O$40,DTR!AA$4,FALSE)),0)</f>
        <v>0</v>
      </c>
      <c r="AB508" s="147">
        <f>IFERROR((HLOOKUP($AH508,Target_monthwise!$D$24:$O$40,DTR!AB$4,FALSE)),0)</f>
        <v>0</v>
      </c>
      <c r="AC508" s="239">
        <f>IFERROR((HLOOKUP($AH508,Target_monthwise!$D$24:$O$40,DTR!AC$4,FALSE)),0)</f>
        <v>0</v>
      </c>
      <c r="AD508" s="239">
        <f>IFERROR((HLOOKUP($AH508,Target_monthwise!$D$24:$O$40,DTR!AD$4,FALSE)),0)</f>
        <v>0</v>
      </c>
      <c r="AE508" s="239">
        <f>IFERROR((HLOOKUP($AH508,Target_monthwise!$D$24:$O$40,DTR!AE$4,FALSE)),0)</f>
        <v>0</v>
      </c>
      <c r="AF508" s="239">
        <f>IFERROR((HLOOKUP($AH508,Target_monthwise!$D$24:$O$40,DTR!AF$4,FALSE)),0)</f>
        <v>0</v>
      </c>
      <c r="AG508" s="172">
        <f>IFERROR((HLOOKUP($AH508,Target_monthwise!$D$24:$O$40,DTR!AG$4,FALSE)),0)</f>
        <v>0</v>
      </c>
      <c r="AH508" s="253">
        <f t="shared" si="7"/>
        <v>202308</v>
      </c>
    </row>
    <row r="509" spans="3:34" ht="15.75" hidden="1">
      <c r="C509" s="235">
        <v>45152</v>
      </c>
      <c r="D509" s="141">
        <f>IFERROR((HLOOKUP($AH509,Target_monthwise!$D$4:$O$20,DTR!D$4,FALSE))*1000,0)</f>
        <v>0</v>
      </c>
      <c r="E509" s="141">
        <f>IFERROR((HLOOKUP($AH509,Target_monthwise!$D$4:$O$20,DTR!E$4,FALSE))*1000,0)</f>
        <v>0</v>
      </c>
      <c r="F509" s="141">
        <f>IFERROR((HLOOKUP($AH509,Target_monthwise!$D$4:$O$20,DTR!F$4,FALSE))*1000,0)</f>
        <v>0</v>
      </c>
      <c r="G509" s="141">
        <f>IFERROR((HLOOKUP($AH509,Target_monthwise!$D$4:$O$20,DTR!G$4,FALSE))*1000,0)</f>
        <v>0</v>
      </c>
      <c r="H509" s="141">
        <f>IFERROR((HLOOKUP($AH509,Target_monthwise!$D$4:$O$20,DTR!H$4,FALSE))*1000,0)</f>
        <v>0</v>
      </c>
      <c r="I509" s="141">
        <f>IFERROR((HLOOKUP($AH509,Target_monthwise!$D$4:$O$20,DTR!I$4,FALSE))*1000,0)</f>
        <v>0</v>
      </c>
      <c r="J509" s="141">
        <f>IFERROR((HLOOKUP($AH509,Target_monthwise!$D$4:$O$20,DTR!J$4,FALSE))*1000,0)</f>
        <v>0</v>
      </c>
      <c r="K509" s="141">
        <f>IFERROR((HLOOKUP($AH509,Target_monthwise!$D$4:$O$20,DTR!K$4,FALSE))*1000,0)</f>
        <v>0</v>
      </c>
      <c r="L509" s="141">
        <f>IFERROR((HLOOKUP($AH509,Target_monthwise!$D$4:$O$20,DTR!L$4,FALSE))*1000,0)</f>
        <v>0</v>
      </c>
      <c r="M509" s="141">
        <f>IFERROR((HLOOKUP($AH509,Target_monthwise!$D$4:$O$20,DTR!M$4,FALSE))*1000,0)</f>
        <v>0</v>
      </c>
      <c r="N509" s="141">
        <f>IFERROR((HLOOKUP($AH509,Target_monthwise!$D$4:$O$20,DTR!N$4,FALSE))*1000,0)</f>
        <v>0</v>
      </c>
      <c r="O509" s="141">
        <f>IFERROR((HLOOKUP($AH509,Target_monthwise!$D$4:$O$20,DTR!O$4,FALSE))*1000,0)</f>
        <v>0</v>
      </c>
      <c r="P509" s="141">
        <f>IFERROR((HLOOKUP($AH509,Target_monthwise!$D$4:$O$20,DTR!P$4,FALSE))*1000,0)</f>
        <v>0</v>
      </c>
      <c r="Q509" s="141">
        <f>IFERROR((HLOOKUP($AH509,Target_monthwise!$D$4:$O$20,DTR!Q$4,FALSE))*1000,0)</f>
        <v>0</v>
      </c>
      <c r="R509" s="167">
        <f>IFERROR((HLOOKUP($AH509,Target_monthwise!$D$4:$O$20,DTR!R$4,FALSE))*1000,0)</f>
        <v>0</v>
      </c>
      <c r="S509" s="147">
        <f>IFERROR((HLOOKUP($AH509,Target_monthwise!$D$24:$O$40,DTR!S$4,FALSE)),0)</f>
        <v>0</v>
      </c>
      <c r="T509" s="147">
        <f>IFERROR((HLOOKUP($AH509,Target_monthwise!$D$24:$O$40,DTR!T$4,FALSE)),0)</f>
        <v>0</v>
      </c>
      <c r="U509" s="147">
        <f>IFERROR((HLOOKUP($AH509,Target_monthwise!$D$24:$O$40,DTR!U$4,FALSE)),0)</f>
        <v>0</v>
      </c>
      <c r="V509" s="147">
        <f>IFERROR((HLOOKUP($AH509,Target_monthwise!$D$24:$O$40,DTR!V$4,FALSE)),0)</f>
        <v>0</v>
      </c>
      <c r="W509" s="147">
        <f>IFERROR((HLOOKUP($AH509,Target_monthwise!$D$24:$O$40,DTR!W$4,FALSE)),0)</f>
        <v>0</v>
      </c>
      <c r="X509" s="147">
        <f>IFERROR((HLOOKUP($AH509,Target_monthwise!$D$24:$O$40,DTR!X$4,FALSE)),0)</f>
        <v>0</v>
      </c>
      <c r="Y509" s="147">
        <f>IFERROR((HLOOKUP($AH509,Target_monthwise!$D$24:$O$40,DTR!Y$4,FALSE)),0)</f>
        <v>0</v>
      </c>
      <c r="Z509" s="147">
        <f>IFERROR((HLOOKUP($AH509,Target_monthwise!$D$24:$O$40,DTR!Z$4,FALSE)),0)</f>
        <v>0</v>
      </c>
      <c r="AA509" s="147">
        <f>IFERROR((HLOOKUP($AH509,Target_monthwise!$D$24:$O$40,DTR!AA$4,FALSE)),0)</f>
        <v>0</v>
      </c>
      <c r="AB509" s="147">
        <f>IFERROR((HLOOKUP($AH509,Target_monthwise!$D$24:$O$40,DTR!AB$4,FALSE)),0)</f>
        <v>0</v>
      </c>
      <c r="AC509" s="147">
        <f>IFERROR((HLOOKUP($AH509,Target_monthwise!$D$24:$O$40,DTR!AC$4,FALSE)),0)</f>
        <v>0</v>
      </c>
      <c r="AD509" s="147">
        <f>IFERROR((HLOOKUP($AH509,Target_monthwise!$D$24:$O$40,DTR!AD$4,FALSE)),0)</f>
        <v>0</v>
      </c>
      <c r="AE509" s="147">
        <f>IFERROR((HLOOKUP($AH509,Target_monthwise!$D$24:$O$40,DTR!AE$4,FALSE)),0)</f>
        <v>0</v>
      </c>
      <c r="AF509" s="147">
        <f>IFERROR((HLOOKUP($AH509,Target_monthwise!$D$24:$O$40,DTR!AF$4,FALSE)),0)</f>
        <v>0</v>
      </c>
      <c r="AG509" s="172">
        <f>IFERROR((HLOOKUP($AH509,Target_monthwise!$D$24:$O$40,DTR!AG$4,FALSE)),0)</f>
        <v>0</v>
      </c>
      <c r="AH509" s="253">
        <f t="shared" si="7"/>
        <v>202308</v>
      </c>
    </row>
    <row r="510" spans="3:34" ht="15.75" hidden="1">
      <c r="C510" s="237">
        <v>45153</v>
      </c>
      <c r="D510" s="238">
        <f>IFERROR((HLOOKUP($AH510,Target_monthwise!$D$4:$O$20,DTR!D$4,FALSE))*1000,0)</f>
        <v>0</v>
      </c>
      <c r="E510" s="238">
        <f>IFERROR((HLOOKUP($AH510,Target_monthwise!$D$4:$O$20,DTR!E$4,FALSE))*1000,0)</f>
        <v>0</v>
      </c>
      <c r="F510" s="238">
        <f>IFERROR((HLOOKUP($AH510,Target_monthwise!$D$4:$O$20,DTR!F$4,FALSE))*1000,0)</f>
        <v>0</v>
      </c>
      <c r="G510" s="238">
        <f>IFERROR((HLOOKUP($AH510,Target_monthwise!$D$4:$O$20,DTR!G$4,FALSE))*1000,0)</f>
        <v>0</v>
      </c>
      <c r="H510" s="238">
        <f>IFERROR((HLOOKUP($AH510,Target_monthwise!$D$4:$O$20,DTR!H$4,FALSE))*1000,0)</f>
        <v>0</v>
      </c>
      <c r="I510" s="238">
        <f>IFERROR((HLOOKUP($AH510,Target_monthwise!$D$4:$O$20,DTR!I$4,FALSE))*1000,0)</f>
        <v>0</v>
      </c>
      <c r="J510" s="238">
        <f>IFERROR((HLOOKUP($AH510,Target_monthwise!$D$4:$O$20,DTR!J$4,FALSE))*1000,0)</f>
        <v>0</v>
      </c>
      <c r="K510" s="238">
        <f>IFERROR((HLOOKUP($AH510,Target_monthwise!$D$4:$O$20,DTR!K$4,FALSE))*1000,0)</f>
        <v>0</v>
      </c>
      <c r="L510" s="238">
        <f>IFERROR((HLOOKUP($AH510,Target_monthwise!$D$4:$O$20,DTR!L$4,FALSE))*1000,0)</f>
        <v>0</v>
      </c>
      <c r="M510" s="238">
        <f>IFERROR((HLOOKUP($AH510,Target_monthwise!$D$4:$O$20,DTR!M$4,FALSE))*1000,0)</f>
        <v>0</v>
      </c>
      <c r="N510" s="238">
        <f>IFERROR((HLOOKUP($AH510,Target_monthwise!$D$4:$O$20,DTR!N$4,FALSE))*1000,0)</f>
        <v>0</v>
      </c>
      <c r="O510" s="238">
        <f>IFERROR((HLOOKUP($AH510,Target_monthwise!$D$4:$O$20,DTR!O$4,FALSE))*1000,0)</f>
        <v>0</v>
      </c>
      <c r="P510" s="238">
        <f>IFERROR((HLOOKUP($AH510,Target_monthwise!$D$4:$O$20,DTR!P$4,FALSE))*1000,0)</f>
        <v>0</v>
      </c>
      <c r="Q510" s="141">
        <f>IFERROR((HLOOKUP($AH510,Target_monthwise!$D$4:$O$20,DTR!Q$4,FALSE))*1000,0)</f>
        <v>0</v>
      </c>
      <c r="R510" s="167">
        <f>IFERROR((HLOOKUP($AH510,Target_monthwise!$D$4:$O$20,DTR!R$4,FALSE))*1000,0)</f>
        <v>0</v>
      </c>
      <c r="S510" s="239">
        <f>IFERROR((HLOOKUP($AH510,Target_monthwise!$D$24:$O$40,DTR!S$4,FALSE)),0)</f>
        <v>0</v>
      </c>
      <c r="T510" s="239">
        <f>IFERROR((HLOOKUP($AH510,Target_monthwise!$D$24:$O$40,DTR!T$4,FALSE)),0)</f>
        <v>0</v>
      </c>
      <c r="U510" s="239">
        <f>IFERROR((HLOOKUP($AH510,Target_monthwise!$D$24:$O$40,DTR!U$4,FALSE)),0)</f>
        <v>0</v>
      </c>
      <c r="V510" s="239">
        <f>IFERROR((HLOOKUP($AH510,Target_monthwise!$D$24:$O$40,DTR!V$4,FALSE)),0)</f>
        <v>0</v>
      </c>
      <c r="W510" s="239">
        <f>IFERROR((HLOOKUP($AH510,Target_monthwise!$D$24:$O$40,DTR!W$4,FALSE)),0)</f>
        <v>0</v>
      </c>
      <c r="X510" s="239">
        <f>IFERROR((HLOOKUP($AH510,Target_monthwise!$D$24:$O$40,DTR!X$4,FALSE)),0)</f>
        <v>0</v>
      </c>
      <c r="Y510" s="239">
        <f>IFERROR((HLOOKUP($AH510,Target_monthwise!$D$24:$O$40,DTR!Y$4,FALSE)),0)</f>
        <v>0</v>
      </c>
      <c r="Z510" s="147">
        <f>IFERROR((HLOOKUP($AH510,Target_monthwise!$D$24:$O$40,DTR!Z$4,FALSE)),0)</f>
        <v>0</v>
      </c>
      <c r="AA510" s="147">
        <f>IFERROR((HLOOKUP($AH510,Target_monthwise!$D$24:$O$40,DTR!AA$4,FALSE)),0)</f>
        <v>0</v>
      </c>
      <c r="AB510" s="147">
        <f>IFERROR((HLOOKUP($AH510,Target_monthwise!$D$24:$O$40,DTR!AB$4,FALSE)),0)</f>
        <v>0</v>
      </c>
      <c r="AC510" s="239">
        <f>IFERROR((HLOOKUP($AH510,Target_monthwise!$D$24:$O$40,DTR!AC$4,FALSE)),0)</f>
        <v>0</v>
      </c>
      <c r="AD510" s="239">
        <f>IFERROR((HLOOKUP($AH510,Target_monthwise!$D$24:$O$40,DTR!AD$4,FALSE)),0)</f>
        <v>0</v>
      </c>
      <c r="AE510" s="239">
        <f>IFERROR((HLOOKUP($AH510,Target_monthwise!$D$24:$O$40,DTR!AE$4,FALSE)),0)</f>
        <v>0</v>
      </c>
      <c r="AF510" s="239">
        <f>IFERROR((HLOOKUP($AH510,Target_monthwise!$D$24:$O$40,DTR!AF$4,FALSE)),0)</f>
        <v>0</v>
      </c>
      <c r="AG510" s="172">
        <f>IFERROR((HLOOKUP($AH510,Target_monthwise!$D$24:$O$40,DTR!AG$4,FALSE)),0)</f>
        <v>0</v>
      </c>
      <c r="AH510" s="253">
        <f t="shared" si="7"/>
        <v>202308</v>
      </c>
    </row>
    <row r="511" spans="3:34" ht="15.75" hidden="1">
      <c r="C511" s="235">
        <v>45154</v>
      </c>
      <c r="D511" s="141">
        <f>IFERROR((HLOOKUP($AH511,Target_monthwise!$D$4:$O$20,DTR!D$4,FALSE))*1000,0)</f>
        <v>0</v>
      </c>
      <c r="E511" s="141">
        <f>IFERROR((HLOOKUP($AH511,Target_monthwise!$D$4:$O$20,DTR!E$4,FALSE))*1000,0)</f>
        <v>0</v>
      </c>
      <c r="F511" s="141">
        <f>IFERROR((HLOOKUP($AH511,Target_monthwise!$D$4:$O$20,DTR!F$4,FALSE))*1000,0)</f>
        <v>0</v>
      </c>
      <c r="G511" s="141">
        <f>IFERROR((HLOOKUP($AH511,Target_monthwise!$D$4:$O$20,DTR!G$4,FALSE))*1000,0)</f>
        <v>0</v>
      </c>
      <c r="H511" s="141">
        <f>IFERROR((HLOOKUP($AH511,Target_monthwise!$D$4:$O$20,DTR!H$4,FALSE))*1000,0)</f>
        <v>0</v>
      </c>
      <c r="I511" s="141">
        <f>IFERROR((HLOOKUP($AH511,Target_monthwise!$D$4:$O$20,DTR!I$4,FALSE))*1000,0)</f>
        <v>0</v>
      </c>
      <c r="J511" s="141">
        <f>IFERROR((HLOOKUP($AH511,Target_monthwise!$D$4:$O$20,DTR!J$4,FALSE))*1000,0)</f>
        <v>0</v>
      </c>
      <c r="K511" s="141">
        <f>IFERROR((HLOOKUP($AH511,Target_monthwise!$D$4:$O$20,DTR!K$4,FALSE))*1000,0)</f>
        <v>0</v>
      </c>
      <c r="L511" s="141">
        <f>IFERROR((HLOOKUP($AH511,Target_monthwise!$D$4:$O$20,DTR!L$4,FALSE))*1000,0)</f>
        <v>0</v>
      </c>
      <c r="M511" s="141">
        <f>IFERROR((HLOOKUP($AH511,Target_monthwise!$D$4:$O$20,DTR!M$4,FALSE))*1000,0)</f>
        <v>0</v>
      </c>
      <c r="N511" s="141">
        <f>IFERROR((HLOOKUP($AH511,Target_monthwise!$D$4:$O$20,DTR!N$4,FALSE))*1000,0)</f>
        <v>0</v>
      </c>
      <c r="O511" s="141">
        <f>IFERROR((HLOOKUP($AH511,Target_monthwise!$D$4:$O$20,DTR!O$4,FALSE))*1000,0)</f>
        <v>0</v>
      </c>
      <c r="P511" s="141">
        <f>IFERROR((HLOOKUP($AH511,Target_monthwise!$D$4:$O$20,DTR!P$4,FALSE))*1000,0)</f>
        <v>0</v>
      </c>
      <c r="Q511" s="141">
        <f>IFERROR((HLOOKUP($AH511,Target_monthwise!$D$4:$O$20,DTR!Q$4,FALSE))*1000,0)</f>
        <v>0</v>
      </c>
      <c r="R511" s="167">
        <f>IFERROR((HLOOKUP($AH511,Target_monthwise!$D$4:$O$20,DTR!R$4,FALSE))*1000,0)</f>
        <v>0</v>
      </c>
      <c r="S511" s="147">
        <f>IFERROR((HLOOKUP($AH511,Target_monthwise!$D$24:$O$40,DTR!S$4,FALSE)),0)</f>
        <v>0</v>
      </c>
      <c r="T511" s="147">
        <f>IFERROR((HLOOKUP($AH511,Target_monthwise!$D$24:$O$40,DTR!T$4,FALSE)),0)</f>
        <v>0</v>
      </c>
      <c r="U511" s="147">
        <f>IFERROR((HLOOKUP($AH511,Target_monthwise!$D$24:$O$40,DTR!U$4,FALSE)),0)</f>
        <v>0</v>
      </c>
      <c r="V511" s="147">
        <f>IFERROR((HLOOKUP($AH511,Target_monthwise!$D$24:$O$40,DTR!V$4,FALSE)),0)</f>
        <v>0</v>
      </c>
      <c r="W511" s="147">
        <f>IFERROR((HLOOKUP($AH511,Target_monthwise!$D$24:$O$40,DTR!W$4,FALSE)),0)</f>
        <v>0</v>
      </c>
      <c r="X511" s="147">
        <f>IFERROR((HLOOKUP($AH511,Target_monthwise!$D$24:$O$40,DTR!X$4,FALSE)),0)</f>
        <v>0</v>
      </c>
      <c r="Y511" s="147">
        <f>IFERROR((HLOOKUP($AH511,Target_monthwise!$D$24:$O$40,DTR!Y$4,FALSE)),0)</f>
        <v>0</v>
      </c>
      <c r="Z511" s="147">
        <f>IFERROR((HLOOKUP($AH511,Target_monthwise!$D$24:$O$40,DTR!Z$4,FALSE)),0)</f>
        <v>0</v>
      </c>
      <c r="AA511" s="147">
        <f>IFERROR((HLOOKUP($AH511,Target_monthwise!$D$24:$O$40,DTR!AA$4,FALSE)),0)</f>
        <v>0</v>
      </c>
      <c r="AB511" s="147">
        <f>IFERROR((HLOOKUP($AH511,Target_monthwise!$D$24:$O$40,DTR!AB$4,FALSE)),0)</f>
        <v>0</v>
      </c>
      <c r="AC511" s="147">
        <f>IFERROR((HLOOKUP($AH511,Target_monthwise!$D$24:$O$40,DTR!AC$4,FALSE)),0)</f>
        <v>0</v>
      </c>
      <c r="AD511" s="147">
        <f>IFERROR((HLOOKUP($AH511,Target_monthwise!$D$24:$O$40,DTR!AD$4,FALSE)),0)</f>
        <v>0</v>
      </c>
      <c r="AE511" s="147">
        <f>IFERROR((HLOOKUP($AH511,Target_monthwise!$D$24:$O$40,DTR!AE$4,FALSE)),0)</f>
        <v>0</v>
      </c>
      <c r="AF511" s="147">
        <f>IFERROR((HLOOKUP($AH511,Target_monthwise!$D$24:$O$40,DTR!AF$4,FALSE)),0)</f>
        <v>0</v>
      </c>
      <c r="AG511" s="172">
        <f>IFERROR((HLOOKUP($AH511,Target_monthwise!$D$24:$O$40,DTR!AG$4,FALSE)),0)</f>
        <v>0</v>
      </c>
      <c r="AH511" s="253">
        <f t="shared" si="7"/>
        <v>202308</v>
      </c>
    </row>
    <row r="512" spans="3:34" ht="15.75" hidden="1">
      <c r="C512" s="237">
        <v>45155</v>
      </c>
      <c r="D512" s="238">
        <f>IFERROR((HLOOKUP($AH512,Target_monthwise!$D$4:$O$20,DTR!D$4,FALSE))*1000,0)</f>
        <v>0</v>
      </c>
      <c r="E512" s="238">
        <f>IFERROR((HLOOKUP($AH512,Target_monthwise!$D$4:$O$20,DTR!E$4,FALSE))*1000,0)</f>
        <v>0</v>
      </c>
      <c r="F512" s="238">
        <f>IFERROR((HLOOKUP($AH512,Target_monthwise!$D$4:$O$20,DTR!F$4,FALSE))*1000,0)</f>
        <v>0</v>
      </c>
      <c r="G512" s="238">
        <f>IFERROR((HLOOKUP($AH512,Target_monthwise!$D$4:$O$20,DTR!G$4,FALSE))*1000,0)</f>
        <v>0</v>
      </c>
      <c r="H512" s="238">
        <f>IFERROR((HLOOKUP($AH512,Target_monthwise!$D$4:$O$20,DTR!H$4,FALSE))*1000,0)</f>
        <v>0</v>
      </c>
      <c r="I512" s="238">
        <f>IFERROR((HLOOKUP($AH512,Target_monthwise!$D$4:$O$20,DTR!I$4,FALSE))*1000,0)</f>
        <v>0</v>
      </c>
      <c r="J512" s="238">
        <f>IFERROR((HLOOKUP($AH512,Target_monthwise!$D$4:$O$20,DTR!J$4,FALSE))*1000,0)</f>
        <v>0</v>
      </c>
      <c r="K512" s="238">
        <f>IFERROR((HLOOKUP($AH512,Target_monthwise!$D$4:$O$20,DTR!K$4,FALSE))*1000,0)</f>
        <v>0</v>
      </c>
      <c r="L512" s="238">
        <f>IFERROR((HLOOKUP($AH512,Target_monthwise!$D$4:$O$20,DTR!L$4,FALSE))*1000,0)</f>
        <v>0</v>
      </c>
      <c r="M512" s="238">
        <f>IFERROR((HLOOKUP($AH512,Target_monthwise!$D$4:$O$20,DTR!M$4,FALSE))*1000,0)</f>
        <v>0</v>
      </c>
      <c r="N512" s="238">
        <f>IFERROR((HLOOKUP($AH512,Target_monthwise!$D$4:$O$20,DTR!N$4,FALSE))*1000,0)</f>
        <v>0</v>
      </c>
      <c r="O512" s="238">
        <f>IFERROR((HLOOKUP($AH512,Target_monthwise!$D$4:$O$20,DTR!O$4,FALSE))*1000,0)</f>
        <v>0</v>
      </c>
      <c r="P512" s="238">
        <f>IFERROR((HLOOKUP($AH512,Target_monthwise!$D$4:$O$20,DTR!P$4,FALSE))*1000,0)</f>
        <v>0</v>
      </c>
      <c r="Q512" s="141">
        <f>IFERROR((HLOOKUP($AH512,Target_monthwise!$D$4:$O$20,DTR!Q$4,FALSE))*1000,0)</f>
        <v>0</v>
      </c>
      <c r="R512" s="167">
        <f>IFERROR((HLOOKUP($AH512,Target_monthwise!$D$4:$O$20,DTR!R$4,FALSE))*1000,0)</f>
        <v>0</v>
      </c>
      <c r="S512" s="239">
        <f>IFERROR((HLOOKUP($AH512,Target_monthwise!$D$24:$O$40,DTR!S$4,FALSE)),0)</f>
        <v>0</v>
      </c>
      <c r="T512" s="239">
        <f>IFERROR((HLOOKUP($AH512,Target_monthwise!$D$24:$O$40,DTR!T$4,FALSE)),0)</f>
        <v>0</v>
      </c>
      <c r="U512" s="239">
        <f>IFERROR((HLOOKUP($AH512,Target_monthwise!$D$24:$O$40,DTR!U$4,FALSE)),0)</f>
        <v>0</v>
      </c>
      <c r="V512" s="239">
        <f>IFERROR((HLOOKUP($AH512,Target_monthwise!$D$24:$O$40,DTR!V$4,FALSE)),0)</f>
        <v>0</v>
      </c>
      <c r="W512" s="239">
        <f>IFERROR((HLOOKUP($AH512,Target_monthwise!$D$24:$O$40,DTR!W$4,FALSE)),0)</f>
        <v>0</v>
      </c>
      <c r="X512" s="239">
        <f>IFERROR((HLOOKUP($AH512,Target_monthwise!$D$24:$O$40,DTR!X$4,FALSE)),0)</f>
        <v>0</v>
      </c>
      <c r="Y512" s="239">
        <f>IFERROR((HLOOKUP($AH512,Target_monthwise!$D$24:$O$40,DTR!Y$4,FALSE)),0)</f>
        <v>0</v>
      </c>
      <c r="Z512" s="147">
        <f>IFERROR((HLOOKUP($AH512,Target_monthwise!$D$24:$O$40,DTR!Z$4,FALSE)),0)</f>
        <v>0</v>
      </c>
      <c r="AA512" s="147">
        <f>IFERROR((HLOOKUP($AH512,Target_monthwise!$D$24:$O$40,DTR!AA$4,FALSE)),0)</f>
        <v>0</v>
      </c>
      <c r="AB512" s="147">
        <f>IFERROR((HLOOKUP($AH512,Target_monthwise!$D$24:$O$40,DTR!AB$4,FALSE)),0)</f>
        <v>0</v>
      </c>
      <c r="AC512" s="239">
        <f>IFERROR((HLOOKUP($AH512,Target_monthwise!$D$24:$O$40,DTR!AC$4,FALSE)),0)</f>
        <v>0</v>
      </c>
      <c r="AD512" s="239">
        <f>IFERROR((HLOOKUP($AH512,Target_monthwise!$D$24:$O$40,DTR!AD$4,FALSE)),0)</f>
        <v>0</v>
      </c>
      <c r="AE512" s="239">
        <f>IFERROR((HLOOKUP($AH512,Target_monthwise!$D$24:$O$40,DTR!AE$4,FALSE)),0)</f>
        <v>0</v>
      </c>
      <c r="AF512" s="239">
        <f>IFERROR((HLOOKUP($AH512,Target_monthwise!$D$24:$O$40,DTR!AF$4,FALSE)),0)</f>
        <v>0</v>
      </c>
      <c r="AG512" s="172">
        <f>IFERROR((HLOOKUP($AH512,Target_monthwise!$D$24:$O$40,DTR!AG$4,FALSE)),0)</f>
        <v>0</v>
      </c>
      <c r="AH512" s="253">
        <f t="shared" si="7"/>
        <v>202308</v>
      </c>
    </row>
    <row r="513" spans="3:34" ht="15.75" hidden="1">
      <c r="C513" s="235">
        <v>45156</v>
      </c>
      <c r="D513" s="141">
        <f>IFERROR((HLOOKUP($AH513,Target_monthwise!$D$4:$O$20,DTR!D$4,FALSE))*1000,0)</f>
        <v>0</v>
      </c>
      <c r="E513" s="141">
        <f>IFERROR((HLOOKUP($AH513,Target_monthwise!$D$4:$O$20,DTR!E$4,FALSE))*1000,0)</f>
        <v>0</v>
      </c>
      <c r="F513" s="141">
        <f>IFERROR((HLOOKUP($AH513,Target_monthwise!$D$4:$O$20,DTR!F$4,FALSE))*1000,0)</f>
        <v>0</v>
      </c>
      <c r="G513" s="141">
        <f>IFERROR((HLOOKUP($AH513,Target_monthwise!$D$4:$O$20,DTR!G$4,FALSE))*1000,0)</f>
        <v>0</v>
      </c>
      <c r="H513" s="141">
        <f>IFERROR((HLOOKUP($AH513,Target_monthwise!$D$4:$O$20,DTR!H$4,FALSE))*1000,0)</f>
        <v>0</v>
      </c>
      <c r="I513" s="141">
        <f>IFERROR((HLOOKUP($AH513,Target_monthwise!$D$4:$O$20,DTR!I$4,FALSE))*1000,0)</f>
        <v>0</v>
      </c>
      <c r="J513" s="141">
        <f>IFERROR((HLOOKUP($AH513,Target_monthwise!$D$4:$O$20,DTR!J$4,FALSE))*1000,0)</f>
        <v>0</v>
      </c>
      <c r="K513" s="141">
        <f>IFERROR((HLOOKUP($AH513,Target_monthwise!$D$4:$O$20,DTR!K$4,FALSE))*1000,0)</f>
        <v>0</v>
      </c>
      <c r="L513" s="141">
        <f>IFERROR((HLOOKUP($AH513,Target_monthwise!$D$4:$O$20,DTR!L$4,FALSE))*1000,0)</f>
        <v>0</v>
      </c>
      <c r="M513" s="141">
        <f>IFERROR((HLOOKUP($AH513,Target_monthwise!$D$4:$O$20,DTR!M$4,FALSE))*1000,0)</f>
        <v>0</v>
      </c>
      <c r="N513" s="141">
        <f>IFERROR((HLOOKUP($AH513,Target_monthwise!$D$4:$O$20,DTR!N$4,FALSE))*1000,0)</f>
        <v>0</v>
      </c>
      <c r="O513" s="141">
        <f>IFERROR((HLOOKUP($AH513,Target_monthwise!$D$4:$O$20,DTR!O$4,FALSE))*1000,0)</f>
        <v>0</v>
      </c>
      <c r="P513" s="141">
        <f>IFERROR((HLOOKUP($AH513,Target_monthwise!$D$4:$O$20,DTR!P$4,FALSE))*1000,0)</f>
        <v>0</v>
      </c>
      <c r="Q513" s="141">
        <f>IFERROR((HLOOKUP($AH513,Target_monthwise!$D$4:$O$20,DTR!Q$4,FALSE))*1000,0)</f>
        <v>0</v>
      </c>
      <c r="R513" s="167">
        <f>IFERROR((HLOOKUP($AH513,Target_monthwise!$D$4:$O$20,DTR!R$4,FALSE))*1000,0)</f>
        <v>0</v>
      </c>
      <c r="S513" s="147">
        <f>IFERROR((HLOOKUP($AH513,Target_monthwise!$D$24:$O$40,DTR!S$4,FALSE)),0)</f>
        <v>0</v>
      </c>
      <c r="T513" s="147">
        <f>IFERROR((HLOOKUP($AH513,Target_monthwise!$D$24:$O$40,DTR!T$4,FALSE)),0)</f>
        <v>0</v>
      </c>
      <c r="U513" s="147">
        <f>IFERROR((HLOOKUP($AH513,Target_monthwise!$D$24:$O$40,DTR!U$4,FALSE)),0)</f>
        <v>0</v>
      </c>
      <c r="V513" s="147">
        <f>IFERROR((HLOOKUP($AH513,Target_monthwise!$D$24:$O$40,DTR!V$4,FALSE)),0)</f>
        <v>0</v>
      </c>
      <c r="W513" s="147">
        <f>IFERROR((HLOOKUP($AH513,Target_monthwise!$D$24:$O$40,DTR!W$4,FALSE)),0)</f>
        <v>0</v>
      </c>
      <c r="X513" s="147">
        <f>IFERROR((HLOOKUP($AH513,Target_monthwise!$D$24:$O$40,DTR!X$4,FALSE)),0)</f>
        <v>0</v>
      </c>
      <c r="Y513" s="147">
        <f>IFERROR((HLOOKUP($AH513,Target_monthwise!$D$24:$O$40,DTR!Y$4,FALSE)),0)</f>
        <v>0</v>
      </c>
      <c r="Z513" s="147">
        <f>IFERROR((HLOOKUP($AH513,Target_monthwise!$D$24:$O$40,DTR!Z$4,FALSE)),0)</f>
        <v>0</v>
      </c>
      <c r="AA513" s="147">
        <f>IFERROR((HLOOKUP($AH513,Target_monthwise!$D$24:$O$40,DTR!AA$4,FALSE)),0)</f>
        <v>0</v>
      </c>
      <c r="AB513" s="147">
        <f>IFERROR((HLOOKUP($AH513,Target_monthwise!$D$24:$O$40,DTR!AB$4,FALSE)),0)</f>
        <v>0</v>
      </c>
      <c r="AC513" s="147">
        <f>IFERROR((HLOOKUP($AH513,Target_monthwise!$D$24:$O$40,DTR!AC$4,FALSE)),0)</f>
        <v>0</v>
      </c>
      <c r="AD513" s="147">
        <f>IFERROR((HLOOKUP($AH513,Target_monthwise!$D$24:$O$40,DTR!AD$4,FALSE)),0)</f>
        <v>0</v>
      </c>
      <c r="AE513" s="147">
        <f>IFERROR((HLOOKUP($AH513,Target_monthwise!$D$24:$O$40,DTR!AE$4,FALSE)),0)</f>
        <v>0</v>
      </c>
      <c r="AF513" s="147">
        <f>IFERROR((HLOOKUP($AH513,Target_monthwise!$D$24:$O$40,DTR!AF$4,FALSE)),0)</f>
        <v>0</v>
      </c>
      <c r="AG513" s="172">
        <f>IFERROR((HLOOKUP($AH513,Target_monthwise!$D$24:$O$40,DTR!AG$4,FALSE)),0)</f>
        <v>0</v>
      </c>
      <c r="AH513" s="253">
        <f t="shared" si="7"/>
        <v>202308</v>
      </c>
    </row>
    <row r="514" spans="3:34" ht="15.75" hidden="1">
      <c r="C514" s="237">
        <v>45157</v>
      </c>
      <c r="D514" s="238">
        <f>IFERROR((HLOOKUP($AH514,Target_monthwise!$D$4:$O$20,DTR!D$4,FALSE))*1000,0)</f>
        <v>0</v>
      </c>
      <c r="E514" s="238">
        <f>IFERROR((HLOOKUP($AH514,Target_monthwise!$D$4:$O$20,DTR!E$4,FALSE))*1000,0)</f>
        <v>0</v>
      </c>
      <c r="F514" s="238">
        <f>IFERROR((HLOOKUP($AH514,Target_monthwise!$D$4:$O$20,DTR!F$4,FALSE))*1000,0)</f>
        <v>0</v>
      </c>
      <c r="G514" s="238">
        <f>IFERROR((HLOOKUP($AH514,Target_monthwise!$D$4:$O$20,DTR!G$4,FALSE))*1000,0)</f>
        <v>0</v>
      </c>
      <c r="H514" s="238">
        <f>IFERROR((HLOOKUP($AH514,Target_monthwise!$D$4:$O$20,DTR!H$4,FALSE))*1000,0)</f>
        <v>0</v>
      </c>
      <c r="I514" s="238">
        <f>IFERROR((HLOOKUP($AH514,Target_monthwise!$D$4:$O$20,DTR!I$4,FALSE))*1000,0)</f>
        <v>0</v>
      </c>
      <c r="J514" s="238">
        <f>IFERROR((HLOOKUP($AH514,Target_monthwise!$D$4:$O$20,DTR!J$4,FALSE))*1000,0)</f>
        <v>0</v>
      </c>
      <c r="K514" s="238">
        <f>IFERROR((HLOOKUP($AH514,Target_monthwise!$D$4:$O$20,DTR!K$4,FALSE))*1000,0)</f>
        <v>0</v>
      </c>
      <c r="L514" s="238">
        <f>IFERROR((HLOOKUP($AH514,Target_monthwise!$D$4:$O$20,DTR!L$4,FALSE))*1000,0)</f>
        <v>0</v>
      </c>
      <c r="M514" s="238">
        <f>IFERROR((HLOOKUP($AH514,Target_monthwise!$D$4:$O$20,DTR!M$4,FALSE))*1000,0)</f>
        <v>0</v>
      </c>
      <c r="N514" s="238">
        <f>IFERROR((HLOOKUP($AH514,Target_monthwise!$D$4:$O$20,DTR!N$4,FALSE))*1000,0)</f>
        <v>0</v>
      </c>
      <c r="O514" s="238">
        <f>IFERROR((HLOOKUP($AH514,Target_monthwise!$D$4:$O$20,DTR!O$4,FALSE))*1000,0)</f>
        <v>0</v>
      </c>
      <c r="P514" s="238">
        <f>IFERROR((HLOOKUP($AH514,Target_monthwise!$D$4:$O$20,DTR!P$4,FALSE))*1000,0)</f>
        <v>0</v>
      </c>
      <c r="Q514" s="141">
        <f>IFERROR((HLOOKUP($AH514,Target_monthwise!$D$4:$O$20,DTR!Q$4,FALSE))*1000,0)</f>
        <v>0</v>
      </c>
      <c r="R514" s="167">
        <f>IFERROR((HLOOKUP($AH514,Target_monthwise!$D$4:$O$20,DTR!R$4,FALSE))*1000,0)</f>
        <v>0</v>
      </c>
      <c r="S514" s="239">
        <f>IFERROR((HLOOKUP($AH514,Target_monthwise!$D$24:$O$40,DTR!S$4,FALSE)),0)</f>
        <v>0</v>
      </c>
      <c r="T514" s="239">
        <f>IFERROR((HLOOKUP($AH514,Target_monthwise!$D$24:$O$40,DTR!T$4,FALSE)),0)</f>
        <v>0</v>
      </c>
      <c r="U514" s="239">
        <f>IFERROR((HLOOKUP($AH514,Target_monthwise!$D$24:$O$40,DTR!U$4,FALSE)),0)</f>
        <v>0</v>
      </c>
      <c r="V514" s="239">
        <f>IFERROR((HLOOKUP($AH514,Target_monthwise!$D$24:$O$40,DTR!V$4,FALSE)),0)</f>
        <v>0</v>
      </c>
      <c r="W514" s="239">
        <f>IFERROR((HLOOKUP($AH514,Target_monthwise!$D$24:$O$40,DTR!W$4,FALSE)),0)</f>
        <v>0</v>
      </c>
      <c r="X514" s="239">
        <f>IFERROR((HLOOKUP($AH514,Target_monthwise!$D$24:$O$40,DTR!X$4,FALSE)),0)</f>
        <v>0</v>
      </c>
      <c r="Y514" s="239">
        <f>IFERROR((HLOOKUP($AH514,Target_monthwise!$D$24:$O$40,DTR!Y$4,FALSE)),0)</f>
        <v>0</v>
      </c>
      <c r="Z514" s="147">
        <f>IFERROR((HLOOKUP($AH514,Target_monthwise!$D$24:$O$40,DTR!Z$4,FALSE)),0)</f>
        <v>0</v>
      </c>
      <c r="AA514" s="147">
        <f>IFERROR((HLOOKUP($AH514,Target_monthwise!$D$24:$O$40,DTR!AA$4,FALSE)),0)</f>
        <v>0</v>
      </c>
      <c r="AB514" s="147">
        <f>IFERROR((HLOOKUP($AH514,Target_monthwise!$D$24:$O$40,DTR!AB$4,FALSE)),0)</f>
        <v>0</v>
      </c>
      <c r="AC514" s="239">
        <f>IFERROR((HLOOKUP($AH514,Target_monthwise!$D$24:$O$40,DTR!AC$4,FALSE)),0)</f>
        <v>0</v>
      </c>
      <c r="AD514" s="239">
        <f>IFERROR((HLOOKUP($AH514,Target_monthwise!$D$24:$O$40,DTR!AD$4,FALSE)),0)</f>
        <v>0</v>
      </c>
      <c r="AE514" s="239">
        <f>IFERROR((HLOOKUP($AH514,Target_monthwise!$D$24:$O$40,DTR!AE$4,FALSE)),0)</f>
        <v>0</v>
      </c>
      <c r="AF514" s="239">
        <f>IFERROR((HLOOKUP($AH514,Target_monthwise!$D$24:$O$40,DTR!AF$4,FALSE)),0)</f>
        <v>0</v>
      </c>
      <c r="AG514" s="172">
        <f>IFERROR((HLOOKUP($AH514,Target_monthwise!$D$24:$O$40,DTR!AG$4,FALSE)),0)</f>
        <v>0</v>
      </c>
      <c r="AH514" s="253">
        <f t="shared" si="7"/>
        <v>202308</v>
      </c>
    </row>
    <row r="515" spans="3:34" ht="15.75" hidden="1">
      <c r="C515" s="235">
        <v>45158</v>
      </c>
      <c r="D515" s="141">
        <f>IFERROR((HLOOKUP($AH515,Target_monthwise!$D$4:$O$20,DTR!D$4,FALSE))*1000,0)</f>
        <v>0</v>
      </c>
      <c r="E515" s="141">
        <f>IFERROR((HLOOKUP($AH515,Target_monthwise!$D$4:$O$20,DTR!E$4,FALSE))*1000,0)</f>
        <v>0</v>
      </c>
      <c r="F515" s="141">
        <f>IFERROR((HLOOKUP($AH515,Target_monthwise!$D$4:$O$20,DTR!F$4,FALSE))*1000,0)</f>
        <v>0</v>
      </c>
      <c r="G515" s="141">
        <f>IFERROR((HLOOKUP($AH515,Target_monthwise!$D$4:$O$20,DTR!G$4,FALSE))*1000,0)</f>
        <v>0</v>
      </c>
      <c r="H515" s="141">
        <f>IFERROR((HLOOKUP($AH515,Target_monthwise!$D$4:$O$20,DTR!H$4,FALSE))*1000,0)</f>
        <v>0</v>
      </c>
      <c r="I515" s="141">
        <f>IFERROR((HLOOKUP($AH515,Target_monthwise!$D$4:$O$20,DTR!I$4,FALSE))*1000,0)</f>
        <v>0</v>
      </c>
      <c r="J515" s="141">
        <f>IFERROR((HLOOKUP($AH515,Target_monthwise!$D$4:$O$20,DTR!J$4,FALSE))*1000,0)</f>
        <v>0</v>
      </c>
      <c r="K515" s="141">
        <f>IFERROR((HLOOKUP($AH515,Target_monthwise!$D$4:$O$20,DTR!K$4,FALSE))*1000,0)</f>
        <v>0</v>
      </c>
      <c r="L515" s="141">
        <f>IFERROR((HLOOKUP($AH515,Target_monthwise!$D$4:$O$20,DTR!L$4,FALSE))*1000,0)</f>
        <v>0</v>
      </c>
      <c r="M515" s="141">
        <f>IFERROR((HLOOKUP($AH515,Target_monthwise!$D$4:$O$20,DTR!M$4,FALSE))*1000,0)</f>
        <v>0</v>
      </c>
      <c r="N515" s="141">
        <f>IFERROR((HLOOKUP($AH515,Target_monthwise!$D$4:$O$20,DTR!N$4,FALSE))*1000,0)</f>
        <v>0</v>
      </c>
      <c r="O515" s="141">
        <f>IFERROR((HLOOKUP($AH515,Target_monthwise!$D$4:$O$20,DTR!O$4,FALSE))*1000,0)</f>
        <v>0</v>
      </c>
      <c r="P515" s="141">
        <f>IFERROR((HLOOKUP($AH515,Target_monthwise!$D$4:$O$20,DTR!P$4,FALSE))*1000,0)</f>
        <v>0</v>
      </c>
      <c r="Q515" s="141">
        <f>IFERROR((HLOOKUP($AH515,Target_monthwise!$D$4:$O$20,DTR!Q$4,FALSE))*1000,0)</f>
        <v>0</v>
      </c>
      <c r="R515" s="167">
        <f>IFERROR((HLOOKUP($AH515,Target_monthwise!$D$4:$O$20,DTR!R$4,FALSE))*1000,0)</f>
        <v>0</v>
      </c>
      <c r="S515" s="147">
        <f>IFERROR((HLOOKUP($AH515,Target_monthwise!$D$24:$O$40,DTR!S$4,FALSE)),0)</f>
        <v>0</v>
      </c>
      <c r="T515" s="147">
        <f>IFERROR((HLOOKUP($AH515,Target_monthwise!$D$24:$O$40,DTR!T$4,FALSE)),0)</f>
        <v>0</v>
      </c>
      <c r="U515" s="147">
        <f>IFERROR((HLOOKUP($AH515,Target_monthwise!$D$24:$O$40,DTR!U$4,FALSE)),0)</f>
        <v>0</v>
      </c>
      <c r="V515" s="147">
        <f>IFERROR((HLOOKUP($AH515,Target_monthwise!$D$24:$O$40,DTR!V$4,FALSE)),0)</f>
        <v>0</v>
      </c>
      <c r="W515" s="147">
        <f>IFERROR((HLOOKUP($AH515,Target_monthwise!$D$24:$O$40,DTR!W$4,FALSE)),0)</f>
        <v>0</v>
      </c>
      <c r="X515" s="147">
        <f>IFERROR((HLOOKUP($AH515,Target_monthwise!$D$24:$O$40,DTR!X$4,FALSE)),0)</f>
        <v>0</v>
      </c>
      <c r="Y515" s="147">
        <f>IFERROR((HLOOKUP($AH515,Target_monthwise!$D$24:$O$40,DTR!Y$4,FALSE)),0)</f>
        <v>0</v>
      </c>
      <c r="Z515" s="147">
        <f>IFERROR((HLOOKUP($AH515,Target_monthwise!$D$24:$O$40,DTR!Z$4,FALSE)),0)</f>
        <v>0</v>
      </c>
      <c r="AA515" s="147">
        <f>IFERROR((HLOOKUP($AH515,Target_monthwise!$D$24:$O$40,DTR!AA$4,FALSE)),0)</f>
        <v>0</v>
      </c>
      <c r="AB515" s="147">
        <f>IFERROR((HLOOKUP($AH515,Target_monthwise!$D$24:$O$40,DTR!AB$4,FALSE)),0)</f>
        <v>0</v>
      </c>
      <c r="AC515" s="147">
        <f>IFERROR((HLOOKUP($AH515,Target_monthwise!$D$24:$O$40,DTR!AC$4,FALSE)),0)</f>
        <v>0</v>
      </c>
      <c r="AD515" s="147">
        <f>IFERROR((HLOOKUP($AH515,Target_monthwise!$D$24:$O$40,DTR!AD$4,FALSE)),0)</f>
        <v>0</v>
      </c>
      <c r="AE515" s="147">
        <f>IFERROR((HLOOKUP($AH515,Target_monthwise!$D$24:$O$40,DTR!AE$4,FALSE)),0)</f>
        <v>0</v>
      </c>
      <c r="AF515" s="147">
        <f>IFERROR((HLOOKUP($AH515,Target_monthwise!$D$24:$O$40,DTR!AF$4,FALSE)),0)</f>
        <v>0</v>
      </c>
      <c r="AG515" s="172">
        <f>IFERROR((HLOOKUP($AH515,Target_monthwise!$D$24:$O$40,DTR!AG$4,FALSE)),0)</f>
        <v>0</v>
      </c>
      <c r="AH515" s="253">
        <f t="shared" si="7"/>
        <v>202308</v>
      </c>
    </row>
    <row r="516" spans="3:34" ht="15.75" hidden="1">
      <c r="C516" s="237">
        <v>45159</v>
      </c>
      <c r="D516" s="238">
        <f>IFERROR((HLOOKUP($AH516,Target_monthwise!$D$4:$O$20,DTR!D$4,FALSE))*1000,0)</f>
        <v>0</v>
      </c>
      <c r="E516" s="238">
        <f>IFERROR((HLOOKUP($AH516,Target_monthwise!$D$4:$O$20,DTR!E$4,FALSE))*1000,0)</f>
        <v>0</v>
      </c>
      <c r="F516" s="238">
        <f>IFERROR((HLOOKUP($AH516,Target_monthwise!$D$4:$O$20,DTR!F$4,FALSE))*1000,0)</f>
        <v>0</v>
      </c>
      <c r="G516" s="238">
        <f>IFERROR((HLOOKUP($AH516,Target_monthwise!$D$4:$O$20,DTR!G$4,FALSE))*1000,0)</f>
        <v>0</v>
      </c>
      <c r="H516" s="238">
        <f>IFERROR((HLOOKUP($AH516,Target_monthwise!$D$4:$O$20,DTR!H$4,FALSE))*1000,0)</f>
        <v>0</v>
      </c>
      <c r="I516" s="238">
        <f>IFERROR((HLOOKUP($AH516,Target_monthwise!$D$4:$O$20,DTR!I$4,FALSE))*1000,0)</f>
        <v>0</v>
      </c>
      <c r="J516" s="238">
        <f>IFERROR((HLOOKUP($AH516,Target_monthwise!$D$4:$O$20,DTR!J$4,FALSE))*1000,0)</f>
        <v>0</v>
      </c>
      <c r="K516" s="238">
        <f>IFERROR((HLOOKUP($AH516,Target_monthwise!$D$4:$O$20,DTR!K$4,FALSE))*1000,0)</f>
        <v>0</v>
      </c>
      <c r="L516" s="238">
        <f>IFERROR((HLOOKUP($AH516,Target_monthwise!$D$4:$O$20,DTR!L$4,FALSE))*1000,0)</f>
        <v>0</v>
      </c>
      <c r="M516" s="238">
        <f>IFERROR((HLOOKUP($AH516,Target_monthwise!$D$4:$O$20,DTR!M$4,FALSE))*1000,0)</f>
        <v>0</v>
      </c>
      <c r="N516" s="238">
        <f>IFERROR((HLOOKUP($AH516,Target_monthwise!$D$4:$O$20,DTR!N$4,FALSE))*1000,0)</f>
        <v>0</v>
      </c>
      <c r="O516" s="238">
        <f>IFERROR((HLOOKUP($AH516,Target_monthwise!$D$4:$O$20,DTR!O$4,FALSE))*1000,0)</f>
        <v>0</v>
      </c>
      <c r="P516" s="238">
        <f>IFERROR((HLOOKUP($AH516,Target_monthwise!$D$4:$O$20,DTR!P$4,FALSE))*1000,0)</f>
        <v>0</v>
      </c>
      <c r="Q516" s="141">
        <f>IFERROR((HLOOKUP($AH516,Target_monthwise!$D$4:$O$20,DTR!Q$4,FALSE))*1000,0)</f>
        <v>0</v>
      </c>
      <c r="R516" s="167">
        <f>IFERROR((HLOOKUP($AH516,Target_monthwise!$D$4:$O$20,DTR!R$4,FALSE))*1000,0)</f>
        <v>0</v>
      </c>
      <c r="S516" s="239">
        <f>IFERROR((HLOOKUP($AH516,Target_monthwise!$D$24:$O$40,DTR!S$4,FALSE)),0)</f>
        <v>0</v>
      </c>
      <c r="T516" s="239">
        <f>IFERROR((HLOOKUP($AH516,Target_monthwise!$D$24:$O$40,DTR!T$4,FALSE)),0)</f>
        <v>0</v>
      </c>
      <c r="U516" s="239">
        <f>IFERROR((HLOOKUP($AH516,Target_monthwise!$D$24:$O$40,DTR!U$4,FALSE)),0)</f>
        <v>0</v>
      </c>
      <c r="V516" s="239">
        <f>IFERROR((HLOOKUP($AH516,Target_monthwise!$D$24:$O$40,DTR!V$4,FALSE)),0)</f>
        <v>0</v>
      </c>
      <c r="W516" s="239">
        <f>IFERROR((HLOOKUP($AH516,Target_monthwise!$D$24:$O$40,DTR!W$4,FALSE)),0)</f>
        <v>0</v>
      </c>
      <c r="X516" s="239">
        <f>IFERROR((HLOOKUP($AH516,Target_monthwise!$D$24:$O$40,DTR!X$4,FALSE)),0)</f>
        <v>0</v>
      </c>
      <c r="Y516" s="239">
        <f>IFERROR((HLOOKUP($AH516,Target_monthwise!$D$24:$O$40,DTR!Y$4,FALSE)),0)</f>
        <v>0</v>
      </c>
      <c r="Z516" s="147">
        <f>IFERROR((HLOOKUP($AH516,Target_monthwise!$D$24:$O$40,DTR!Z$4,FALSE)),0)</f>
        <v>0</v>
      </c>
      <c r="AA516" s="147">
        <f>IFERROR((HLOOKUP($AH516,Target_monthwise!$D$24:$O$40,DTR!AA$4,FALSE)),0)</f>
        <v>0</v>
      </c>
      <c r="AB516" s="147">
        <f>IFERROR((HLOOKUP($AH516,Target_monthwise!$D$24:$O$40,DTR!AB$4,FALSE)),0)</f>
        <v>0</v>
      </c>
      <c r="AC516" s="239">
        <f>IFERROR((HLOOKUP($AH516,Target_monthwise!$D$24:$O$40,DTR!AC$4,FALSE)),0)</f>
        <v>0</v>
      </c>
      <c r="AD516" s="239">
        <f>IFERROR((HLOOKUP($AH516,Target_monthwise!$D$24:$O$40,DTR!AD$4,FALSE)),0)</f>
        <v>0</v>
      </c>
      <c r="AE516" s="239">
        <f>IFERROR((HLOOKUP($AH516,Target_monthwise!$D$24:$O$40,DTR!AE$4,FALSE)),0)</f>
        <v>0</v>
      </c>
      <c r="AF516" s="239">
        <f>IFERROR((HLOOKUP($AH516,Target_monthwise!$D$24:$O$40,DTR!AF$4,FALSE)),0)</f>
        <v>0</v>
      </c>
      <c r="AG516" s="172">
        <f>IFERROR((HLOOKUP($AH516,Target_monthwise!$D$24:$O$40,DTR!AG$4,FALSE)),0)</f>
        <v>0</v>
      </c>
      <c r="AH516" s="253">
        <f t="shared" si="7"/>
        <v>202308</v>
      </c>
    </row>
    <row r="517" spans="3:34" ht="15.75" hidden="1">
      <c r="C517" s="235">
        <v>45160</v>
      </c>
      <c r="D517" s="141">
        <f>IFERROR((HLOOKUP($AH517,Target_monthwise!$D$4:$O$20,DTR!D$4,FALSE))*1000,0)</f>
        <v>0</v>
      </c>
      <c r="E517" s="141">
        <f>IFERROR((HLOOKUP($AH517,Target_monthwise!$D$4:$O$20,DTR!E$4,FALSE))*1000,0)</f>
        <v>0</v>
      </c>
      <c r="F517" s="141">
        <f>IFERROR((HLOOKUP($AH517,Target_monthwise!$D$4:$O$20,DTR!F$4,FALSE))*1000,0)</f>
        <v>0</v>
      </c>
      <c r="G517" s="141">
        <f>IFERROR((HLOOKUP($AH517,Target_monthwise!$D$4:$O$20,DTR!G$4,FALSE))*1000,0)</f>
        <v>0</v>
      </c>
      <c r="H517" s="141">
        <f>IFERROR((HLOOKUP($AH517,Target_monthwise!$D$4:$O$20,DTR!H$4,FALSE))*1000,0)</f>
        <v>0</v>
      </c>
      <c r="I517" s="141">
        <f>IFERROR((HLOOKUP($AH517,Target_monthwise!$D$4:$O$20,DTR!I$4,FALSE))*1000,0)</f>
        <v>0</v>
      </c>
      <c r="J517" s="141">
        <f>IFERROR((HLOOKUP($AH517,Target_monthwise!$D$4:$O$20,DTR!J$4,FALSE))*1000,0)</f>
        <v>0</v>
      </c>
      <c r="K517" s="141">
        <f>IFERROR((HLOOKUP($AH517,Target_monthwise!$D$4:$O$20,DTR!K$4,FALSE))*1000,0)</f>
        <v>0</v>
      </c>
      <c r="L517" s="141">
        <f>IFERROR((HLOOKUP($AH517,Target_monthwise!$D$4:$O$20,DTR!L$4,FALSE))*1000,0)</f>
        <v>0</v>
      </c>
      <c r="M517" s="141">
        <f>IFERROR((HLOOKUP($AH517,Target_monthwise!$D$4:$O$20,DTR!M$4,FALSE))*1000,0)</f>
        <v>0</v>
      </c>
      <c r="N517" s="141">
        <f>IFERROR((HLOOKUP($AH517,Target_monthwise!$D$4:$O$20,DTR!N$4,FALSE))*1000,0)</f>
        <v>0</v>
      </c>
      <c r="O517" s="141">
        <f>IFERROR((HLOOKUP($AH517,Target_monthwise!$D$4:$O$20,DTR!O$4,FALSE))*1000,0)</f>
        <v>0</v>
      </c>
      <c r="P517" s="141">
        <f>IFERROR((HLOOKUP($AH517,Target_monthwise!$D$4:$O$20,DTR!P$4,FALSE))*1000,0)</f>
        <v>0</v>
      </c>
      <c r="Q517" s="141">
        <f>IFERROR((HLOOKUP($AH517,Target_monthwise!$D$4:$O$20,DTR!Q$4,FALSE))*1000,0)</f>
        <v>0</v>
      </c>
      <c r="R517" s="167">
        <f>IFERROR((HLOOKUP($AH517,Target_monthwise!$D$4:$O$20,DTR!R$4,FALSE))*1000,0)</f>
        <v>0</v>
      </c>
      <c r="S517" s="147">
        <f>IFERROR((HLOOKUP($AH517,Target_monthwise!$D$24:$O$40,DTR!S$4,FALSE)),0)</f>
        <v>0</v>
      </c>
      <c r="T517" s="147">
        <f>IFERROR((HLOOKUP($AH517,Target_monthwise!$D$24:$O$40,DTR!T$4,FALSE)),0)</f>
        <v>0</v>
      </c>
      <c r="U517" s="147">
        <f>IFERROR((HLOOKUP($AH517,Target_monthwise!$D$24:$O$40,DTR!U$4,FALSE)),0)</f>
        <v>0</v>
      </c>
      <c r="V517" s="147">
        <f>IFERROR((HLOOKUP($AH517,Target_monthwise!$D$24:$O$40,DTR!V$4,FALSE)),0)</f>
        <v>0</v>
      </c>
      <c r="W517" s="147">
        <f>IFERROR((HLOOKUP($AH517,Target_monthwise!$D$24:$O$40,DTR!W$4,FALSE)),0)</f>
        <v>0</v>
      </c>
      <c r="X517" s="147">
        <f>IFERROR((HLOOKUP($AH517,Target_monthwise!$D$24:$O$40,DTR!X$4,FALSE)),0)</f>
        <v>0</v>
      </c>
      <c r="Y517" s="147">
        <f>IFERROR((HLOOKUP($AH517,Target_monthwise!$D$24:$O$40,DTR!Y$4,FALSE)),0)</f>
        <v>0</v>
      </c>
      <c r="Z517" s="147">
        <f>IFERROR((HLOOKUP($AH517,Target_monthwise!$D$24:$O$40,DTR!Z$4,FALSE)),0)</f>
        <v>0</v>
      </c>
      <c r="AA517" s="147">
        <f>IFERROR((HLOOKUP($AH517,Target_monthwise!$D$24:$O$40,DTR!AA$4,FALSE)),0)</f>
        <v>0</v>
      </c>
      <c r="AB517" s="147">
        <f>IFERROR((HLOOKUP($AH517,Target_monthwise!$D$24:$O$40,DTR!AB$4,FALSE)),0)</f>
        <v>0</v>
      </c>
      <c r="AC517" s="147">
        <f>IFERROR((HLOOKUP($AH517,Target_monthwise!$D$24:$O$40,DTR!AC$4,FALSE)),0)</f>
        <v>0</v>
      </c>
      <c r="AD517" s="147">
        <f>IFERROR((HLOOKUP($AH517,Target_monthwise!$D$24:$O$40,DTR!AD$4,FALSE)),0)</f>
        <v>0</v>
      </c>
      <c r="AE517" s="147">
        <f>IFERROR((HLOOKUP($AH517,Target_monthwise!$D$24:$O$40,DTR!AE$4,FALSE)),0)</f>
        <v>0</v>
      </c>
      <c r="AF517" s="147">
        <f>IFERROR((HLOOKUP($AH517,Target_monthwise!$D$24:$O$40,DTR!AF$4,FALSE)),0)</f>
        <v>0</v>
      </c>
      <c r="AG517" s="172">
        <f>IFERROR((HLOOKUP($AH517,Target_monthwise!$D$24:$O$40,DTR!AG$4,FALSE)),0)</f>
        <v>0</v>
      </c>
      <c r="AH517" s="253">
        <f t="shared" si="7"/>
        <v>202308</v>
      </c>
    </row>
    <row r="518" spans="3:34" ht="15.75" hidden="1">
      <c r="C518" s="237">
        <v>45161</v>
      </c>
      <c r="D518" s="238">
        <f>IFERROR((HLOOKUP($AH518,Target_monthwise!$D$4:$O$20,DTR!D$4,FALSE))*1000,0)</f>
        <v>0</v>
      </c>
      <c r="E518" s="238">
        <f>IFERROR((HLOOKUP($AH518,Target_monthwise!$D$4:$O$20,DTR!E$4,FALSE))*1000,0)</f>
        <v>0</v>
      </c>
      <c r="F518" s="238">
        <f>IFERROR((HLOOKUP($AH518,Target_monthwise!$D$4:$O$20,DTR!F$4,FALSE))*1000,0)</f>
        <v>0</v>
      </c>
      <c r="G518" s="238">
        <f>IFERROR((HLOOKUP($AH518,Target_monthwise!$D$4:$O$20,DTR!G$4,FALSE))*1000,0)</f>
        <v>0</v>
      </c>
      <c r="H518" s="238">
        <f>IFERROR((HLOOKUP($AH518,Target_monthwise!$D$4:$O$20,DTR!H$4,FALSE))*1000,0)</f>
        <v>0</v>
      </c>
      <c r="I518" s="238">
        <f>IFERROR((HLOOKUP($AH518,Target_monthwise!$D$4:$O$20,DTR!I$4,FALSE))*1000,0)</f>
        <v>0</v>
      </c>
      <c r="J518" s="238">
        <f>IFERROR((HLOOKUP($AH518,Target_monthwise!$D$4:$O$20,DTR!J$4,FALSE))*1000,0)</f>
        <v>0</v>
      </c>
      <c r="K518" s="238">
        <f>IFERROR((HLOOKUP($AH518,Target_monthwise!$D$4:$O$20,DTR!K$4,FALSE))*1000,0)</f>
        <v>0</v>
      </c>
      <c r="L518" s="238">
        <f>IFERROR((HLOOKUP($AH518,Target_monthwise!$D$4:$O$20,DTR!L$4,FALSE))*1000,0)</f>
        <v>0</v>
      </c>
      <c r="M518" s="238">
        <f>IFERROR((HLOOKUP($AH518,Target_monthwise!$D$4:$O$20,DTR!M$4,FALSE))*1000,0)</f>
        <v>0</v>
      </c>
      <c r="N518" s="238">
        <f>IFERROR((HLOOKUP($AH518,Target_monthwise!$D$4:$O$20,DTR!N$4,FALSE))*1000,0)</f>
        <v>0</v>
      </c>
      <c r="O518" s="238">
        <f>IFERROR((HLOOKUP($AH518,Target_monthwise!$D$4:$O$20,DTR!O$4,FALSE))*1000,0)</f>
        <v>0</v>
      </c>
      <c r="P518" s="238">
        <f>IFERROR((HLOOKUP($AH518,Target_monthwise!$D$4:$O$20,DTR!P$4,FALSE))*1000,0)</f>
        <v>0</v>
      </c>
      <c r="Q518" s="141">
        <f>IFERROR((HLOOKUP($AH518,Target_monthwise!$D$4:$O$20,DTR!Q$4,FALSE))*1000,0)</f>
        <v>0</v>
      </c>
      <c r="R518" s="167">
        <f>IFERROR((HLOOKUP($AH518,Target_monthwise!$D$4:$O$20,DTR!R$4,FALSE))*1000,0)</f>
        <v>0</v>
      </c>
      <c r="S518" s="239">
        <f>IFERROR((HLOOKUP($AH518,Target_monthwise!$D$24:$O$40,DTR!S$4,FALSE)),0)</f>
        <v>0</v>
      </c>
      <c r="T518" s="239">
        <f>IFERROR((HLOOKUP($AH518,Target_monthwise!$D$24:$O$40,DTR!T$4,FALSE)),0)</f>
        <v>0</v>
      </c>
      <c r="U518" s="239">
        <f>IFERROR((HLOOKUP($AH518,Target_monthwise!$D$24:$O$40,DTR!U$4,FALSE)),0)</f>
        <v>0</v>
      </c>
      <c r="V518" s="239">
        <f>IFERROR((HLOOKUP($AH518,Target_monthwise!$D$24:$O$40,DTR!V$4,FALSE)),0)</f>
        <v>0</v>
      </c>
      <c r="W518" s="239">
        <f>IFERROR((HLOOKUP($AH518,Target_monthwise!$D$24:$O$40,DTR!W$4,FALSE)),0)</f>
        <v>0</v>
      </c>
      <c r="X518" s="239">
        <f>IFERROR((HLOOKUP($AH518,Target_monthwise!$D$24:$O$40,DTR!X$4,FALSE)),0)</f>
        <v>0</v>
      </c>
      <c r="Y518" s="239">
        <f>IFERROR((HLOOKUP($AH518,Target_monthwise!$D$24:$O$40,DTR!Y$4,FALSE)),0)</f>
        <v>0</v>
      </c>
      <c r="Z518" s="147">
        <f>IFERROR((HLOOKUP($AH518,Target_monthwise!$D$24:$O$40,DTR!Z$4,FALSE)),0)</f>
        <v>0</v>
      </c>
      <c r="AA518" s="147">
        <f>IFERROR((HLOOKUP($AH518,Target_monthwise!$D$24:$O$40,DTR!AA$4,FALSE)),0)</f>
        <v>0</v>
      </c>
      <c r="AB518" s="147">
        <f>IFERROR((HLOOKUP($AH518,Target_monthwise!$D$24:$O$40,DTR!AB$4,FALSE)),0)</f>
        <v>0</v>
      </c>
      <c r="AC518" s="239">
        <f>IFERROR((HLOOKUP($AH518,Target_monthwise!$D$24:$O$40,DTR!AC$4,FALSE)),0)</f>
        <v>0</v>
      </c>
      <c r="AD518" s="239">
        <f>IFERROR((HLOOKUP($AH518,Target_monthwise!$D$24:$O$40,DTR!AD$4,FALSE)),0)</f>
        <v>0</v>
      </c>
      <c r="AE518" s="239">
        <f>IFERROR((HLOOKUP($AH518,Target_monthwise!$D$24:$O$40,DTR!AE$4,FALSE)),0)</f>
        <v>0</v>
      </c>
      <c r="AF518" s="239">
        <f>IFERROR((HLOOKUP($AH518,Target_monthwise!$D$24:$O$40,DTR!AF$4,FALSE)),0)</f>
        <v>0</v>
      </c>
      <c r="AG518" s="172">
        <f>IFERROR((HLOOKUP($AH518,Target_monthwise!$D$24:$O$40,DTR!AG$4,FALSE)),0)</f>
        <v>0</v>
      </c>
      <c r="AH518" s="253">
        <f t="shared" si="7"/>
        <v>202308</v>
      </c>
    </row>
    <row r="519" spans="3:34" ht="15.75" hidden="1">
      <c r="C519" s="235">
        <v>45162</v>
      </c>
      <c r="D519" s="141">
        <f>IFERROR((HLOOKUP($AH519,Target_monthwise!$D$4:$O$20,DTR!D$4,FALSE))*1000,0)</f>
        <v>0</v>
      </c>
      <c r="E519" s="141">
        <f>IFERROR((HLOOKUP($AH519,Target_monthwise!$D$4:$O$20,DTR!E$4,FALSE))*1000,0)</f>
        <v>0</v>
      </c>
      <c r="F519" s="141">
        <f>IFERROR((HLOOKUP($AH519,Target_monthwise!$D$4:$O$20,DTR!F$4,FALSE))*1000,0)</f>
        <v>0</v>
      </c>
      <c r="G519" s="141">
        <f>IFERROR((HLOOKUP($AH519,Target_monthwise!$D$4:$O$20,DTR!G$4,FALSE))*1000,0)</f>
        <v>0</v>
      </c>
      <c r="H519" s="141">
        <f>IFERROR((HLOOKUP($AH519,Target_monthwise!$D$4:$O$20,DTR!H$4,FALSE))*1000,0)</f>
        <v>0</v>
      </c>
      <c r="I519" s="141">
        <f>IFERROR((HLOOKUP($AH519,Target_monthwise!$D$4:$O$20,DTR!I$4,FALSE))*1000,0)</f>
        <v>0</v>
      </c>
      <c r="J519" s="141">
        <f>IFERROR((HLOOKUP($AH519,Target_monthwise!$D$4:$O$20,DTR!J$4,FALSE))*1000,0)</f>
        <v>0</v>
      </c>
      <c r="K519" s="141">
        <f>IFERROR((HLOOKUP($AH519,Target_monthwise!$D$4:$O$20,DTR!K$4,FALSE))*1000,0)</f>
        <v>0</v>
      </c>
      <c r="L519" s="141">
        <f>IFERROR((HLOOKUP($AH519,Target_monthwise!$D$4:$O$20,DTR!L$4,FALSE))*1000,0)</f>
        <v>0</v>
      </c>
      <c r="M519" s="141">
        <f>IFERROR((HLOOKUP($AH519,Target_monthwise!$D$4:$O$20,DTR!M$4,FALSE))*1000,0)</f>
        <v>0</v>
      </c>
      <c r="N519" s="141">
        <f>IFERROR((HLOOKUP($AH519,Target_monthwise!$D$4:$O$20,DTR!N$4,FALSE))*1000,0)</f>
        <v>0</v>
      </c>
      <c r="O519" s="141">
        <f>IFERROR((HLOOKUP($AH519,Target_monthwise!$D$4:$O$20,DTR!O$4,FALSE))*1000,0)</f>
        <v>0</v>
      </c>
      <c r="P519" s="141">
        <f>IFERROR((HLOOKUP($AH519,Target_monthwise!$D$4:$O$20,DTR!P$4,FALSE))*1000,0)</f>
        <v>0</v>
      </c>
      <c r="Q519" s="141">
        <f>IFERROR((HLOOKUP($AH519,Target_monthwise!$D$4:$O$20,DTR!Q$4,FALSE))*1000,0)</f>
        <v>0</v>
      </c>
      <c r="R519" s="167">
        <f>IFERROR((HLOOKUP($AH519,Target_monthwise!$D$4:$O$20,DTR!R$4,FALSE))*1000,0)</f>
        <v>0</v>
      </c>
      <c r="S519" s="147">
        <f>IFERROR((HLOOKUP($AH519,Target_monthwise!$D$24:$O$40,DTR!S$4,FALSE)),0)</f>
        <v>0</v>
      </c>
      <c r="T519" s="147">
        <f>IFERROR((HLOOKUP($AH519,Target_monthwise!$D$24:$O$40,DTR!T$4,FALSE)),0)</f>
        <v>0</v>
      </c>
      <c r="U519" s="147">
        <f>IFERROR((HLOOKUP($AH519,Target_monthwise!$D$24:$O$40,DTR!U$4,FALSE)),0)</f>
        <v>0</v>
      </c>
      <c r="V519" s="147">
        <f>IFERROR((HLOOKUP($AH519,Target_monthwise!$D$24:$O$40,DTR!V$4,FALSE)),0)</f>
        <v>0</v>
      </c>
      <c r="W519" s="147">
        <f>IFERROR((HLOOKUP($AH519,Target_monthwise!$D$24:$O$40,DTR!W$4,FALSE)),0)</f>
        <v>0</v>
      </c>
      <c r="X519" s="147">
        <f>IFERROR((HLOOKUP($AH519,Target_monthwise!$D$24:$O$40,DTR!X$4,FALSE)),0)</f>
        <v>0</v>
      </c>
      <c r="Y519" s="147">
        <f>IFERROR((HLOOKUP($AH519,Target_monthwise!$D$24:$O$40,DTR!Y$4,FALSE)),0)</f>
        <v>0</v>
      </c>
      <c r="Z519" s="147">
        <f>IFERROR((HLOOKUP($AH519,Target_monthwise!$D$24:$O$40,DTR!Z$4,FALSE)),0)</f>
        <v>0</v>
      </c>
      <c r="AA519" s="147">
        <f>IFERROR((HLOOKUP($AH519,Target_monthwise!$D$24:$O$40,DTR!AA$4,FALSE)),0)</f>
        <v>0</v>
      </c>
      <c r="AB519" s="147">
        <f>IFERROR((HLOOKUP($AH519,Target_monthwise!$D$24:$O$40,DTR!AB$4,FALSE)),0)</f>
        <v>0</v>
      </c>
      <c r="AC519" s="147">
        <f>IFERROR((HLOOKUP($AH519,Target_monthwise!$D$24:$O$40,DTR!AC$4,FALSE)),0)</f>
        <v>0</v>
      </c>
      <c r="AD519" s="147">
        <f>IFERROR((HLOOKUP($AH519,Target_monthwise!$D$24:$O$40,DTR!AD$4,FALSE)),0)</f>
        <v>0</v>
      </c>
      <c r="AE519" s="147">
        <f>IFERROR((HLOOKUP($AH519,Target_monthwise!$D$24:$O$40,DTR!AE$4,FALSE)),0)</f>
        <v>0</v>
      </c>
      <c r="AF519" s="147">
        <f>IFERROR((HLOOKUP($AH519,Target_monthwise!$D$24:$O$40,DTR!AF$4,FALSE)),0)</f>
        <v>0</v>
      </c>
      <c r="AG519" s="172">
        <f>IFERROR((HLOOKUP($AH519,Target_monthwise!$D$24:$O$40,DTR!AG$4,FALSE)),0)</f>
        <v>0</v>
      </c>
      <c r="AH519" s="253">
        <f t="shared" si="7"/>
        <v>202308</v>
      </c>
    </row>
    <row r="520" spans="3:34" ht="15.75" hidden="1">
      <c r="C520" s="237">
        <v>45163</v>
      </c>
      <c r="D520" s="238">
        <f>IFERROR((HLOOKUP($AH520,Target_monthwise!$D$4:$O$20,DTR!D$4,FALSE))*1000,0)</f>
        <v>0</v>
      </c>
      <c r="E520" s="238">
        <f>IFERROR((HLOOKUP($AH520,Target_monthwise!$D$4:$O$20,DTR!E$4,FALSE))*1000,0)</f>
        <v>0</v>
      </c>
      <c r="F520" s="238">
        <f>IFERROR((HLOOKUP($AH520,Target_monthwise!$D$4:$O$20,DTR!F$4,FALSE))*1000,0)</f>
        <v>0</v>
      </c>
      <c r="G520" s="238">
        <f>IFERROR((HLOOKUP($AH520,Target_monthwise!$D$4:$O$20,DTR!G$4,FALSE))*1000,0)</f>
        <v>0</v>
      </c>
      <c r="H520" s="238">
        <f>IFERROR((HLOOKUP($AH520,Target_monthwise!$D$4:$O$20,DTR!H$4,FALSE))*1000,0)</f>
        <v>0</v>
      </c>
      <c r="I520" s="238">
        <f>IFERROR((HLOOKUP($AH520,Target_monthwise!$D$4:$O$20,DTR!I$4,FALSE))*1000,0)</f>
        <v>0</v>
      </c>
      <c r="J520" s="238">
        <f>IFERROR((HLOOKUP($AH520,Target_monthwise!$D$4:$O$20,DTR!J$4,FALSE))*1000,0)</f>
        <v>0</v>
      </c>
      <c r="K520" s="238">
        <f>IFERROR((HLOOKUP($AH520,Target_monthwise!$D$4:$O$20,DTR!K$4,FALSE))*1000,0)</f>
        <v>0</v>
      </c>
      <c r="L520" s="238">
        <f>IFERROR((HLOOKUP($AH520,Target_monthwise!$D$4:$O$20,DTR!L$4,FALSE))*1000,0)</f>
        <v>0</v>
      </c>
      <c r="M520" s="238">
        <f>IFERROR((HLOOKUP($AH520,Target_monthwise!$D$4:$O$20,DTR!M$4,FALSE))*1000,0)</f>
        <v>0</v>
      </c>
      <c r="N520" s="238">
        <f>IFERROR((HLOOKUP($AH520,Target_monthwise!$D$4:$O$20,DTR!N$4,FALSE))*1000,0)</f>
        <v>0</v>
      </c>
      <c r="O520" s="238">
        <f>IFERROR((HLOOKUP($AH520,Target_monthwise!$D$4:$O$20,DTR!O$4,FALSE))*1000,0)</f>
        <v>0</v>
      </c>
      <c r="P520" s="238">
        <f>IFERROR((HLOOKUP($AH520,Target_monthwise!$D$4:$O$20,DTR!P$4,FALSE))*1000,0)</f>
        <v>0</v>
      </c>
      <c r="Q520" s="141">
        <f>IFERROR((HLOOKUP($AH520,Target_monthwise!$D$4:$O$20,DTR!Q$4,FALSE))*1000,0)</f>
        <v>0</v>
      </c>
      <c r="R520" s="167">
        <f>IFERROR((HLOOKUP($AH520,Target_monthwise!$D$4:$O$20,DTR!R$4,FALSE))*1000,0)</f>
        <v>0</v>
      </c>
      <c r="S520" s="239">
        <f>IFERROR((HLOOKUP($AH520,Target_monthwise!$D$24:$O$40,DTR!S$4,FALSE)),0)</f>
        <v>0</v>
      </c>
      <c r="T520" s="239">
        <f>IFERROR((HLOOKUP($AH520,Target_monthwise!$D$24:$O$40,DTR!T$4,FALSE)),0)</f>
        <v>0</v>
      </c>
      <c r="U520" s="239">
        <f>IFERROR((HLOOKUP($AH520,Target_monthwise!$D$24:$O$40,DTR!U$4,FALSE)),0)</f>
        <v>0</v>
      </c>
      <c r="V520" s="239">
        <f>IFERROR((HLOOKUP($AH520,Target_monthwise!$D$24:$O$40,DTR!V$4,FALSE)),0)</f>
        <v>0</v>
      </c>
      <c r="W520" s="239">
        <f>IFERROR((HLOOKUP($AH520,Target_monthwise!$D$24:$O$40,DTR!W$4,FALSE)),0)</f>
        <v>0</v>
      </c>
      <c r="X520" s="239">
        <f>IFERROR((HLOOKUP($AH520,Target_monthwise!$D$24:$O$40,DTR!X$4,FALSE)),0)</f>
        <v>0</v>
      </c>
      <c r="Y520" s="239">
        <f>IFERROR((HLOOKUP($AH520,Target_monthwise!$D$24:$O$40,DTR!Y$4,FALSE)),0)</f>
        <v>0</v>
      </c>
      <c r="Z520" s="147">
        <f>IFERROR((HLOOKUP($AH520,Target_monthwise!$D$24:$O$40,DTR!Z$4,FALSE)),0)</f>
        <v>0</v>
      </c>
      <c r="AA520" s="147">
        <f>IFERROR((HLOOKUP($AH520,Target_monthwise!$D$24:$O$40,DTR!AA$4,FALSE)),0)</f>
        <v>0</v>
      </c>
      <c r="AB520" s="147">
        <f>IFERROR((HLOOKUP($AH520,Target_monthwise!$D$24:$O$40,DTR!AB$4,FALSE)),0)</f>
        <v>0</v>
      </c>
      <c r="AC520" s="239">
        <f>IFERROR((HLOOKUP($AH520,Target_monthwise!$D$24:$O$40,DTR!AC$4,FALSE)),0)</f>
        <v>0</v>
      </c>
      <c r="AD520" s="239">
        <f>IFERROR((HLOOKUP($AH520,Target_monthwise!$D$24:$O$40,DTR!AD$4,FALSE)),0)</f>
        <v>0</v>
      </c>
      <c r="AE520" s="239">
        <f>IFERROR((HLOOKUP($AH520,Target_monthwise!$D$24:$O$40,DTR!AE$4,FALSE)),0)</f>
        <v>0</v>
      </c>
      <c r="AF520" s="239">
        <f>IFERROR((HLOOKUP($AH520,Target_monthwise!$D$24:$O$40,DTR!AF$4,FALSE)),0)</f>
        <v>0</v>
      </c>
      <c r="AG520" s="172">
        <f>IFERROR((HLOOKUP($AH520,Target_monthwise!$D$24:$O$40,DTR!AG$4,FALSE)),0)</f>
        <v>0</v>
      </c>
      <c r="AH520" s="253">
        <f t="shared" si="7"/>
        <v>202308</v>
      </c>
    </row>
    <row r="521" spans="3:34" ht="15.75" hidden="1">
      <c r="C521" s="235">
        <v>45164</v>
      </c>
      <c r="D521" s="141">
        <f>IFERROR((HLOOKUP($AH521,Target_monthwise!$D$4:$O$20,DTR!D$4,FALSE))*1000,0)</f>
        <v>0</v>
      </c>
      <c r="E521" s="141">
        <f>IFERROR((HLOOKUP($AH521,Target_monthwise!$D$4:$O$20,DTR!E$4,FALSE))*1000,0)</f>
        <v>0</v>
      </c>
      <c r="F521" s="141">
        <f>IFERROR((HLOOKUP($AH521,Target_monthwise!$D$4:$O$20,DTR!F$4,FALSE))*1000,0)</f>
        <v>0</v>
      </c>
      <c r="G521" s="141">
        <f>IFERROR((HLOOKUP($AH521,Target_monthwise!$D$4:$O$20,DTR!G$4,FALSE))*1000,0)</f>
        <v>0</v>
      </c>
      <c r="H521" s="141">
        <f>IFERROR((HLOOKUP($AH521,Target_monthwise!$D$4:$O$20,DTR!H$4,FALSE))*1000,0)</f>
        <v>0</v>
      </c>
      <c r="I521" s="141">
        <f>IFERROR((HLOOKUP($AH521,Target_monthwise!$D$4:$O$20,DTR!I$4,FALSE))*1000,0)</f>
        <v>0</v>
      </c>
      <c r="J521" s="141">
        <f>IFERROR((HLOOKUP($AH521,Target_monthwise!$D$4:$O$20,DTR!J$4,FALSE))*1000,0)</f>
        <v>0</v>
      </c>
      <c r="K521" s="141">
        <f>IFERROR((HLOOKUP($AH521,Target_monthwise!$D$4:$O$20,DTR!K$4,FALSE))*1000,0)</f>
        <v>0</v>
      </c>
      <c r="L521" s="141">
        <f>IFERROR((HLOOKUP($AH521,Target_monthwise!$D$4:$O$20,DTR!L$4,FALSE))*1000,0)</f>
        <v>0</v>
      </c>
      <c r="M521" s="141">
        <f>IFERROR((HLOOKUP($AH521,Target_monthwise!$D$4:$O$20,DTR!M$4,FALSE))*1000,0)</f>
        <v>0</v>
      </c>
      <c r="N521" s="141">
        <f>IFERROR((HLOOKUP($AH521,Target_monthwise!$D$4:$O$20,DTR!N$4,FALSE))*1000,0)</f>
        <v>0</v>
      </c>
      <c r="O521" s="141">
        <f>IFERROR((HLOOKUP($AH521,Target_monthwise!$D$4:$O$20,DTR!O$4,FALSE))*1000,0)</f>
        <v>0</v>
      </c>
      <c r="P521" s="141">
        <f>IFERROR((HLOOKUP($AH521,Target_monthwise!$D$4:$O$20,DTR!P$4,FALSE))*1000,0)</f>
        <v>0</v>
      </c>
      <c r="Q521" s="141">
        <f>IFERROR((HLOOKUP($AH521,Target_monthwise!$D$4:$O$20,DTR!Q$4,FALSE))*1000,0)</f>
        <v>0</v>
      </c>
      <c r="R521" s="167">
        <f>IFERROR((HLOOKUP($AH521,Target_monthwise!$D$4:$O$20,DTR!R$4,FALSE))*1000,0)</f>
        <v>0</v>
      </c>
      <c r="S521" s="147">
        <f>IFERROR((HLOOKUP($AH521,Target_monthwise!$D$24:$O$40,DTR!S$4,FALSE)),0)</f>
        <v>0</v>
      </c>
      <c r="T521" s="147">
        <f>IFERROR((HLOOKUP($AH521,Target_monthwise!$D$24:$O$40,DTR!T$4,FALSE)),0)</f>
        <v>0</v>
      </c>
      <c r="U521" s="147">
        <f>IFERROR((HLOOKUP($AH521,Target_monthwise!$D$24:$O$40,DTR!U$4,FALSE)),0)</f>
        <v>0</v>
      </c>
      <c r="V521" s="147">
        <f>IFERROR((HLOOKUP($AH521,Target_monthwise!$D$24:$O$40,DTR!V$4,FALSE)),0)</f>
        <v>0</v>
      </c>
      <c r="W521" s="147">
        <f>IFERROR((HLOOKUP($AH521,Target_monthwise!$D$24:$O$40,DTR!W$4,FALSE)),0)</f>
        <v>0</v>
      </c>
      <c r="X521" s="147">
        <f>IFERROR((HLOOKUP($AH521,Target_monthwise!$D$24:$O$40,DTR!X$4,FALSE)),0)</f>
        <v>0</v>
      </c>
      <c r="Y521" s="147">
        <f>IFERROR((HLOOKUP($AH521,Target_monthwise!$D$24:$O$40,DTR!Y$4,FALSE)),0)</f>
        <v>0</v>
      </c>
      <c r="Z521" s="147">
        <f>IFERROR((HLOOKUP($AH521,Target_monthwise!$D$24:$O$40,DTR!Z$4,FALSE)),0)</f>
        <v>0</v>
      </c>
      <c r="AA521" s="147">
        <f>IFERROR((HLOOKUP($AH521,Target_monthwise!$D$24:$O$40,DTR!AA$4,FALSE)),0)</f>
        <v>0</v>
      </c>
      <c r="AB521" s="147">
        <f>IFERROR((HLOOKUP($AH521,Target_monthwise!$D$24:$O$40,DTR!AB$4,FALSE)),0)</f>
        <v>0</v>
      </c>
      <c r="AC521" s="147">
        <f>IFERROR((HLOOKUP($AH521,Target_monthwise!$D$24:$O$40,DTR!AC$4,FALSE)),0)</f>
        <v>0</v>
      </c>
      <c r="AD521" s="147">
        <f>IFERROR((HLOOKUP($AH521,Target_monthwise!$D$24:$O$40,DTR!AD$4,FALSE)),0)</f>
        <v>0</v>
      </c>
      <c r="AE521" s="147">
        <f>IFERROR((HLOOKUP($AH521,Target_monthwise!$D$24:$O$40,DTR!AE$4,FALSE)),0)</f>
        <v>0</v>
      </c>
      <c r="AF521" s="147">
        <f>IFERROR((HLOOKUP($AH521,Target_monthwise!$D$24:$O$40,DTR!AF$4,FALSE)),0)</f>
        <v>0</v>
      </c>
      <c r="AG521" s="172">
        <f>IFERROR((HLOOKUP($AH521,Target_monthwise!$D$24:$O$40,DTR!AG$4,FALSE)),0)</f>
        <v>0</v>
      </c>
      <c r="AH521" s="253">
        <f t="shared" si="7"/>
        <v>202308</v>
      </c>
    </row>
    <row r="522" spans="3:34" ht="15.75" hidden="1">
      <c r="C522" s="237">
        <v>45165</v>
      </c>
      <c r="D522" s="238">
        <f>IFERROR((HLOOKUP($AH522,Target_monthwise!$D$4:$O$20,DTR!D$4,FALSE))*1000,0)</f>
        <v>0</v>
      </c>
      <c r="E522" s="238">
        <f>IFERROR((HLOOKUP($AH522,Target_monthwise!$D$4:$O$20,DTR!E$4,FALSE))*1000,0)</f>
        <v>0</v>
      </c>
      <c r="F522" s="238">
        <f>IFERROR((HLOOKUP($AH522,Target_monthwise!$D$4:$O$20,DTR!F$4,FALSE))*1000,0)</f>
        <v>0</v>
      </c>
      <c r="G522" s="238">
        <f>IFERROR((HLOOKUP($AH522,Target_monthwise!$D$4:$O$20,DTR!G$4,FALSE))*1000,0)</f>
        <v>0</v>
      </c>
      <c r="H522" s="238">
        <f>IFERROR((HLOOKUP($AH522,Target_monthwise!$D$4:$O$20,DTR!H$4,FALSE))*1000,0)</f>
        <v>0</v>
      </c>
      <c r="I522" s="238">
        <f>IFERROR((HLOOKUP($AH522,Target_monthwise!$D$4:$O$20,DTR!I$4,FALSE))*1000,0)</f>
        <v>0</v>
      </c>
      <c r="J522" s="238">
        <f>IFERROR((HLOOKUP($AH522,Target_monthwise!$D$4:$O$20,DTR!J$4,FALSE))*1000,0)</f>
        <v>0</v>
      </c>
      <c r="K522" s="238">
        <f>IFERROR((HLOOKUP($AH522,Target_monthwise!$D$4:$O$20,DTR!K$4,FALSE))*1000,0)</f>
        <v>0</v>
      </c>
      <c r="L522" s="238">
        <f>IFERROR((HLOOKUP($AH522,Target_monthwise!$D$4:$O$20,DTR!L$4,FALSE))*1000,0)</f>
        <v>0</v>
      </c>
      <c r="M522" s="238">
        <f>IFERROR((HLOOKUP($AH522,Target_monthwise!$D$4:$O$20,DTR!M$4,FALSE))*1000,0)</f>
        <v>0</v>
      </c>
      <c r="N522" s="238">
        <f>IFERROR((HLOOKUP($AH522,Target_monthwise!$D$4:$O$20,DTR!N$4,FALSE))*1000,0)</f>
        <v>0</v>
      </c>
      <c r="O522" s="238">
        <f>IFERROR((HLOOKUP($AH522,Target_monthwise!$D$4:$O$20,DTR!O$4,FALSE))*1000,0)</f>
        <v>0</v>
      </c>
      <c r="P522" s="238">
        <f>IFERROR((HLOOKUP($AH522,Target_monthwise!$D$4:$O$20,DTR!P$4,FALSE))*1000,0)</f>
        <v>0</v>
      </c>
      <c r="Q522" s="141">
        <f>IFERROR((HLOOKUP($AH522,Target_monthwise!$D$4:$O$20,DTR!Q$4,FALSE))*1000,0)</f>
        <v>0</v>
      </c>
      <c r="R522" s="167">
        <f>IFERROR((HLOOKUP($AH522,Target_monthwise!$D$4:$O$20,DTR!R$4,FALSE))*1000,0)</f>
        <v>0</v>
      </c>
      <c r="S522" s="239">
        <f>IFERROR((HLOOKUP($AH522,Target_monthwise!$D$24:$O$40,DTR!S$4,FALSE)),0)</f>
        <v>0</v>
      </c>
      <c r="T522" s="239">
        <f>IFERROR((HLOOKUP($AH522,Target_monthwise!$D$24:$O$40,DTR!T$4,FALSE)),0)</f>
        <v>0</v>
      </c>
      <c r="U522" s="239">
        <f>IFERROR((HLOOKUP($AH522,Target_monthwise!$D$24:$O$40,DTR!U$4,FALSE)),0)</f>
        <v>0</v>
      </c>
      <c r="V522" s="239">
        <f>IFERROR((HLOOKUP($AH522,Target_monthwise!$D$24:$O$40,DTR!V$4,FALSE)),0)</f>
        <v>0</v>
      </c>
      <c r="W522" s="239">
        <f>IFERROR((HLOOKUP($AH522,Target_monthwise!$D$24:$O$40,DTR!W$4,FALSE)),0)</f>
        <v>0</v>
      </c>
      <c r="X522" s="239">
        <f>IFERROR((HLOOKUP($AH522,Target_monthwise!$D$24:$O$40,DTR!X$4,FALSE)),0)</f>
        <v>0</v>
      </c>
      <c r="Y522" s="239">
        <f>IFERROR((HLOOKUP($AH522,Target_monthwise!$D$24:$O$40,DTR!Y$4,FALSE)),0)</f>
        <v>0</v>
      </c>
      <c r="Z522" s="147">
        <f>IFERROR((HLOOKUP($AH522,Target_monthwise!$D$24:$O$40,DTR!Z$4,FALSE)),0)</f>
        <v>0</v>
      </c>
      <c r="AA522" s="147">
        <f>IFERROR((HLOOKUP($AH522,Target_monthwise!$D$24:$O$40,DTR!AA$4,FALSE)),0)</f>
        <v>0</v>
      </c>
      <c r="AB522" s="147">
        <f>IFERROR((HLOOKUP($AH522,Target_monthwise!$D$24:$O$40,DTR!AB$4,FALSE)),0)</f>
        <v>0</v>
      </c>
      <c r="AC522" s="239">
        <f>IFERROR((HLOOKUP($AH522,Target_monthwise!$D$24:$O$40,DTR!AC$4,FALSE)),0)</f>
        <v>0</v>
      </c>
      <c r="AD522" s="239">
        <f>IFERROR((HLOOKUP($AH522,Target_monthwise!$D$24:$O$40,DTR!AD$4,FALSE)),0)</f>
        <v>0</v>
      </c>
      <c r="AE522" s="239">
        <f>IFERROR((HLOOKUP($AH522,Target_monthwise!$D$24:$O$40,DTR!AE$4,FALSE)),0)</f>
        <v>0</v>
      </c>
      <c r="AF522" s="239">
        <f>IFERROR((HLOOKUP($AH522,Target_monthwise!$D$24:$O$40,DTR!AF$4,FALSE)),0)</f>
        <v>0</v>
      </c>
      <c r="AG522" s="172">
        <f>IFERROR((HLOOKUP($AH522,Target_monthwise!$D$24:$O$40,DTR!AG$4,FALSE)),0)</f>
        <v>0</v>
      </c>
      <c r="AH522" s="253">
        <f t="shared" ref="AH522:AH527" si="8">YEAR(C522)*100+MONTH(C522)</f>
        <v>202308</v>
      </c>
    </row>
    <row r="523" spans="3:34" ht="15.75" hidden="1">
      <c r="C523" s="235">
        <v>45166</v>
      </c>
      <c r="D523" s="141">
        <f>IFERROR((HLOOKUP($AH523,Target_monthwise!$D$4:$O$20,DTR!D$4,FALSE))*1000,0)</f>
        <v>0</v>
      </c>
      <c r="E523" s="141">
        <f>IFERROR((HLOOKUP($AH523,Target_monthwise!$D$4:$O$20,DTR!E$4,FALSE))*1000,0)</f>
        <v>0</v>
      </c>
      <c r="F523" s="141">
        <f>IFERROR((HLOOKUP($AH523,Target_monthwise!$D$4:$O$20,DTR!F$4,FALSE))*1000,0)</f>
        <v>0</v>
      </c>
      <c r="G523" s="141">
        <f>IFERROR((HLOOKUP($AH523,Target_monthwise!$D$4:$O$20,DTR!G$4,FALSE))*1000,0)</f>
        <v>0</v>
      </c>
      <c r="H523" s="141">
        <f>IFERROR((HLOOKUP($AH523,Target_monthwise!$D$4:$O$20,DTR!H$4,FALSE))*1000,0)</f>
        <v>0</v>
      </c>
      <c r="I523" s="141">
        <f>IFERROR((HLOOKUP($AH523,Target_monthwise!$D$4:$O$20,DTR!I$4,FALSE))*1000,0)</f>
        <v>0</v>
      </c>
      <c r="J523" s="141">
        <f>IFERROR((HLOOKUP($AH523,Target_monthwise!$D$4:$O$20,DTR!J$4,FALSE))*1000,0)</f>
        <v>0</v>
      </c>
      <c r="K523" s="141">
        <f>IFERROR((HLOOKUP($AH523,Target_monthwise!$D$4:$O$20,DTR!K$4,FALSE))*1000,0)</f>
        <v>0</v>
      </c>
      <c r="L523" s="141">
        <f>IFERROR((HLOOKUP($AH523,Target_monthwise!$D$4:$O$20,DTR!L$4,FALSE))*1000,0)</f>
        <v>0</v>
      </c>
      <c r="M523" s="141">
        <f>IFERROR((HLOOKUP($AH523,Target_monthwise!$D$4:$O$20,DTR!M$4,FALSE))*1000,0)</f>
        <v>0</v>
      </c>
      <c r="N523" s="141">
        <f>IFERROR((HLOOKUP($AH523,Target_monthwise!$D$4:$O$20,DTR!N$4,FALSE))*1000,0)</f>
        <v>0</v>
      </c>
      <c r="O523" s="141">
        <f>IFERROR((HLOOKUP($AH523,Target_monthwise!$D$4:$O$20,DTR!O$4,FALSE))*1000,0)</f>
        <v>0</v>
      </c>
      <c r="P523" s="141">
        <f>IFERROR((HLOOKUP($AH523,Target_monthwise!$D$4:$O$20,DTR!P$4,FALSE))*1000,0)</f>
        <v>0</v>
      </c>
      <c r="Q523" s="141">
        <f>IFERROR((HLOOKUP($AH523,Target_monthwise!$D$4:$O$20,DTR!Q$4,FALSE))*1000,0)</f>
        <v>0</v>
      </c>
      <c r="R523" s="167">
        <f>IFERROR((HLOOKUP($AH523,Target_monthwise!$D$4:$O$20,DTR!R$4,FALSE))*1000,0)</f>
        <v>0</v>
      </c>
      <c r="S523" s="147">
        <f>IFERROR((HLOOKUP($AH523,Target_monthwise!$D$24:$O$40,DTR!S$4,FALSE)),0)</f>
        <v>0</v>
      </c>
      <c r="T523" s="147">
        <f>IFERROR((HLOOKUP($AH523,Target_monthwise!$D$24:$O$40,DTR!T$4,FALSE)),0)</f>
        <v>0</v>
      </c>
      <c r="U523" s="147">
        <f>IFERROR((HLOOKUP($AH523,Target_monthwise!$D$24:$O$40,DTR!U$4,FALSE)),0)</f>
        <v>0</v>
      </c>
      <c r="V523" s="147">
        <f>IFERROR((HLOOKUP($AH523,Target_monthwise!$D$24:$O$40,DTR!V$4,FALSE)),0)</f>
        <v>0</v>
      </c>
      <c r="W523" s="147">
        <f>IFERROR((HLOOKUP($AH523,Target_monthwise!$D$24:$O$40,DTR!W$4,FALSE)),0)</f>
        <v>0</v>
      </c>
      <c r="X523" s="147">
        <f>IFERROR((HLOOKUP($AH523,Target_monthwise!$D$24:$O$40,DTR!X$4,FALSE)),0)</f>
        <v>0</v>
      </c>
      <c r="Y523" s="147">
        <f>IFERROR((HLOOKUP($AH523,Target_monthwise!$D$24:$O$40,DTR!Y$4,FALSE)),0)</f>
        <v>0</v>
      </c>
      <c r="Z523" s="147">
        <f>IFERROR((HLOOKUP($AH523,Target_monthwise!$D$24:$O$40,DTR!Z$4,FALSE)),0)</f>
        <v>0</v>
      </c>
      <c r="AA523" s="147">
        <f>IFERROR((HLOOKUP($AH523,Target_monthwise!$D$24:$O$40,DTR!AA$4,FALSE)),0)</f>
        <v>0</v>
      </c>
      <c r="AB523" s="147">
        <f>IFERROR((HLOOKUP($AH523,Target_monthwise!$D$24:$O$40,DTR!AB$4,FALSE)),0)</f>
        <v>0</v>
      </c>
      <c r="AC523" s="147">
        <f>IFERROR((HLOOKUP($AH523,Target_monthwise!$D$24:$O$40,DTR!AC$4,FALSE)),0)</f>
        <v>0</v>
      </c>
      <c r="AD523" s="147">
        <f>IFERROR((HLOOKUP($AH523,Target_monthwise!$D$24:$O$40,DTR!AD$4,FALSE)),0)</f>
        <v>0</v>
      </c>
      <c r="AE523" s="147">
        <f>IFERROR((HLOOKUP($AH523,Target_monthwise!$D$24:$O$40,DTR!AE$4,FALSE)),0)</f>
        <v>0</v>
      </c>
      <c r="AF523" s="147">
        <f>IFERROR((HLOOKUP($AH523,Target_monthwise!$D$24:$O$40,DTR!AF$4,FALSE)),0)</f>
        <v>0</v>
      </c>
      <c r="AG523" s="172">
        <f>IFERROR((HLOOKUP($AH523,Target_monthwise!$D$24:$O$40,DTR!AG$4,FALSE)),0)</f>
        <v>0</v>
      </c>
      <c r="AH523" s="253">
        <f t="shared" si="8"/>
        <v>202308</v>
      </c>
    </row>
    <row r="524" spans="3:34" ht="15.75" hidden="1">
      <c r="C524" s="237">
        <v>45167</v>
      </c>
      <c r="D524" s="238">
        <f>IFERROR((HLOOKUP($AH524,Target_monthwise!$D$4:$O$20,DTR!D$4,FALSE))*1000,0)</f>
        <v>0</v>
      </c>
      <c r="E524" s="238">
        <f>IFERROR((HLOOKUP($AH524,Target_monthwise!$D$4:$O$20,DTR!E$4,FALSE))*1000,0)</f>
        <v>0</v>
      </c>
      <c r="F524" s="238">
        <f>IFERROR((HLOOKUP($AH524,Target_monthwise!$D$4:$O$20,DTR!F$4,FALSE))*1000,0)</f>
        <v>0</v>
      </c>
      <c r="G524" s="238">
        <f>IFERROR((HLOOKUP($AH524,Target_monthwise!$D$4:$O$20,DTR!G$4,FALSE))*1000,0)</f>
        <v>0</v>
      </c>
      <c r="H524" s="238">
        <f>IFERROR((HLOOKUP($AH524,Target_monthwise!$D$4:$O$20,DTR!H$4,FALSE))*1000,0)</f>
        <v>0</v>
      </c>
      <c r="I524" s="238">
        <f>IFERROR((HLOOKUP($AH524,Target_monthwise!$D$4:$O$20,DTR!I$4,FALSE))*1000,0)</f>
        <v>0</v>
      </c>
      <c r="J524" s="238">
        <f>IFERROR((HLOOKUP($AH524,Target_monthwise!$D$4:$O$20,DTR!J$4,FALSE))*1000,0)</f>
        <v>0</v>
      </c>
      <c r="K524" s="238">
        <f>IFERROR((HLOOKUP($AH524,Target_monthwise!$D$4:$O$20,DTR!K$4,FALSE))*1000,0)</f>
        <v>0</v>
      </c>
      <c r="L524" s="238">
        <f>IFERROR((HLOOKUP($AH524,Target_monthwise!$D$4:$O$20,DTR!L$4,FALSE))*1000,0)</f>
        <v>0</v>
      </c>
      <c r="M524" s="238">
        <f>IFERROR((HLOOKUP($AH524,Target_monthwise!$D$4:$O$20,DTR!M$4,FALSE))*1000,0)</f>
        <v>0</v>
      </c>
      <c r="N524" s="238">
        <f>IFERROR((HLOOKUP($AH524,Target_monthwise!$D$4:$O$20,DTR!N$4,FALSE))*1000,0)</f>
        <v>0</v>
      </c>
      <c r="O524" s="238">
        <f>IFERROR((HLOOKUP($AH524,Target_monthwise!$D$4:$O$20,DTR!O$4,FALSE))*1000,0)</f>
        <v>0</v>
      </c>
      <c r="P524" s="238">
        <f>IFERROR((HLOOKUP($AH524,Target_monthwise!$D$4:$O$20,DTR!P$4,FALSE))*1000,0)</f>
        <v>0</v>
      </c>
      <c r="Q524" s="141">
        <f>IFERROR((HLOOKUP($AH524,Target_monthwise!$D$4:$O$20,DTR!Q$4,FALSE))*1000,0)</f>
        <v>0</v>
      </c>
      <c r="R524" s="167">
        <f>IFERROR((HLOOKUP($AH524,Target_monthwise!$D$4:$O$20,DTR!R$4,FALSE))*1000,0)</f>
        <v>0</v>
      </c>
      <c r="S524" s="239">
        <f>IFERROR((HLOOKUP($AH524,Target_monthwise!$D$24:$O$40,DTR!S$4,FALSE)),0)</f>
        <v>0</v>
      </c>
      <c r="T524" s="239">
        <f>IFERROR((HLOOKUP($AH524,Target_monthwise!$D$24:$O$40,DTR!T$4,FALSE)),0)</f>
        <v>0</v>
      </c>
      <c r="U524" s="239">
        <f>IFERROR((HLOOKUP($AH524,Target_monthwise!$D$24:$O$40,DTR!U$4,FALSE)),0)</f>
        <v>0</v>
      </c>
      <c r="V524" s="239">
        <f>IFERROR((HLOOKUP($AH524,Target_monthwise!$D$24:$O$40,DTR!V$4,FALSE)),0)</f>
        <v>0</v>
      </c>
      <c r="W524" s="239">
        <f>IFERROR((HLOOKUP($AH524,Target_monthwise!$D$24:$O$40,DTR!W$4,FALSE)),0)</f>
        <v>0</v>
      </c>
      <c r="X524" s="239">
        <f>IFERROR((HLOOKUP($AH524,Target_monthwise!$D$24:$O$40,DTR!X$4,FALSE)),0)</f>
        <v>0</v>
      </c>
      <c r="Y524" s="239">
        <f>IFERROR((HLOOKUP($AH524,Target_monthwise!$D$24:$O$40,DTR!Y$4,FALSE)),0)</f>
        <v>0</v>
      </c>
      <c r="Z524" s="147">
        <f>IFERROR((HLOOKUP($AH524,Target_monthwise!$D$24:$O$40,DTR!Z$4,FALSE)),0)</f>
        <v>0</v>
      </c>
      <c r="AA524" s="147">
        <f>IFERROR((HLOOKUP($AH524,Target_monthwise!$D$24:$O$40,DTR!AA$4,FALSE)),0)</f>
        <v>0</v>
      </c>
      <c r="AB524" s="147">
        <f>IFERROR((HLOOKUP($AH524,Target_monthwise!$D$24:$O$40,DTR!AB$4,FALSE)),0)</f>
        <v>0</v>
      </c>
      <c r="AC524" s="239">
        <f>IFERROR((HLOOKUP($AH524,Target_monthwise!$D$24:$O$40,DTR!AC$4,FALSE)),0)</f>
        <v>0</v>
      </c>
      <c r="AD524" s="239">
        <f>IFERROR((HLOOKUP($AH524,Target_monthwise!$D$24:$O$40,DTR!AD$4,FALSE)),0)</f>
        <v>0</v>
      </c>
      <c r="AE524" s="239">
        <f>IFERROR((HLOOKUP($AH524,Target_monthwise!$D$24:$O$40,DTR!AE$4,FALSE)),0)</f>
        <v>0</v>
      </c>
      <c r="AF524" s="239">
        <f>IFERROR((HLOOKUP($AH524,Target_monthwise!$D$24:$O$40,DTR!AF$4,FALSE)),0)</f>
        <v>0</v>
      </c>
      <c r="AG524" s="172">
        <f>IFERROR((HLOOKUP($AH524,Target_monthwise!$D$24:$O$40,DTR!AG$4,FALSE)),0)</f>
        <v>0</v>
      </c>
      <c r="AH524" s="253">
        <f t="shared" si="8"/>
        <v>202308</v>
      </c>
    </row>
    <row r="525" spans="3:34" ht="15.75" hidden="1">
      <c r="C525" s="235">
        <v>45168</v>
      </c>
      <c r="D525" s="141">
        <f>IFERROR((HLOOKUP($AH525,Target_monthwise!$D$4:$O$20,DTR!D$4,FALSE))*1000,0)</f>
        <v>0</v>
      </c>
      <c r="E525" s="141">
        <f>IFERROR((HLOOKUP($AH525,Target_monthwise!$D$4:$O$20,DTR!E$4,FALSE))*1000,0)</f>
        <v>0</v>
      </c>
      <c r="F525" s="141">
        <f>IFERROR((HLOOKUP($AH525,Target_monthwise!$D$4:$O$20,DTR!F$4,FALSE))*1000,0)</f>
        <v>0</v>
      </c>
      <c r="G525" s="141">
        <f>IFERROR((HLOOKUP($AH525,Target_monthwise!$D$4:$O$20,DTR!G$4,FALSE))*1000,0)</f>
        <v>0</v>
      </c>
      <c r="H525" s="141">
        <f>IFERROR((HLOOKUP($AH525,Target_monthwise!$D$4:$O$20,DTR!H$4,FALSE))*1000,0)</f>
        <v>0</v>
      </c>
      <c r="I525" s="141">
        <f>IFERROR((HLOOKUP($AH525,Target_monthwise!$D$4:$O$20,DTR!I$4,FALSE))*1000,0)</f>
        <v>0</v>
      </c>
      <c r="J525" s="141">
        <f>IFERROR((HLOOKUP($AH525,Target_monthwise!$D$4:$O$20,DTR!J$4,FALSE))*1000,0)</f>
        <v>0</v>
      </c>
      <c r="K525" s="141">
        <f>IFERROR((HLOOKUP($AH525,Target_monthwise!$D$4:$O$20,DTR!K$4,FALSE))*1000,0)</f>
        <v>0</v>
      </c>
      <c r="L525" s="141">
        <f>IFERROR((HLOOKUP($AH525,Target_monthwise!$D$4:$O$20,DTR!L$4,FALSE))*1000,0)</f>
        <v>0</v>
      </c>
      <c r="M525" s="141">
        <f>IFERROR((HLOOKUP($AH525,Target_monthwise!$D$4:$O$20,DTR!M$4,FALSE))*1000,0)</f>
        <v>0</v>
      </c>
      <c r="N525" s="141">
        <f>IFERROR((HLOOKUP($AH525,Target_monthwise!$D$4:$O$20,DTR!N$4,FALSE))*1000,0)</f>
        <v>0</v>
      </c>
      <c r="O525" s="141">
        <f>IFERROR((HLOOKUP($AH525,Target_monthwise!$D$4:$O$20,DTR!O$4,FALSE))*1000,0)</f>
        <v>0</v>
      </c>
      <c r="P525" s="141">
        <f>IFERROR((HLOOKUP($AH525,Target_monthwise!$D$4:$O$20,DTR!P$4,FALSE))*1000,0)</f>
        <v>0</v>
      </c>
      <c r="Q525" s="141">
        <f>IFERROR((HLOOKUP($AH525,Target_monthwise!$D$4:$O$20,DTR!Q$4,FALSE))*1000,0)</f>
        <v>0</v>
      </c>
      <c r="R525" s="167">
        <f>IFERROR((HLOOKUP($AH525,Target_monthwise!$D$4:$O$20,DTR!R$4,FALSE))*1000,0)</f>
        <v>0</v>
      </c>
      <c r="S525" s="147">
        <f>IFERROR((HLOOKUP($AH525,Target_monthwise!$D$24:$O$40,DTR!S$4,FALSE)),0)</f>
        <v>0</v>
      </c>
      <c r="T525" s="147">
        <f>IFERROR((HLOOKUP($AH525,Target_monthwise!$D$24:$O$40,DTR!T$4,FALSE)),0)</f>
        <v>0</v>
      </c>
      <c r="U525" s="147">
        <f>IFERROR((HLOOKUP($AH525,Target_monthwise!$D$24:$O$40,DTR!U$4,FALSE)),0)</f>
        <v>0</v>
      </c>
      <c r="V525" s="147">
        <f>IFERROR((HLOOKUP($AH525,Target_monthwise!$D$24:$O$40,DTR!V$4,FALSE)),0)</f>
        <v>0</v>
      </c>
      <c r="W525" s="147">
        <f>IFERROR((HLOOKUP($AH525,Target_monthwise!$D$24:$O$40,DTR!W$4,FALSE)),0)</f>
        <v>0</v>
      </c>
      <c r="X525" s="147">
        <f>IFERROR((HLOOKUP($AH525,Target_monthwise!$D$24:$O$40,DTR!X$4,FALSE)),0)</f>
        <v>0</v>
      </c>
      <c r="Y525" s="147">
        <f>IFERROR((HLOOKUP($AH525,Target_monthwise!$D$24:$O$40,DTR!Y$4,FALSE)),0)</f>
        <v>0</v>
      </c>
      <c r="Z525" s="147">
        <f>IFERROR((HLOOKUP($AH525,Target_monthwise!$D$24:$O$40,DTR!Z$4,FALSE)),0)</f>
        <v>0</v>
      </c>
      <c r="AA525" s="147">
        <f>IFERROR((HLOOKUP($AH525,Target_monthwise!$D$24:$O$40,DTR!AA$4,FALSE)),0)</f>
        <v>0</v>
      </c>
      <c r="AB525" s="147">
        <f>IFERROR((HLOOKUP($AH525,Target_monthwise!$D$24:$O$40,DTR!AB$4,FALSE)),0)</f>
        <v>0</v>
      </c>
      <c r="AC525" s="147">
        <f>IFERROR((HLOOKUP($AH525,Target_monthwise!$D$24:$O$40,DTR!AC$4,FALSE)),0)</f>
        <v>0</v>
      </c>
      <c r="AD525" s="147">
        <f>IFERROR((HLOOKUP($AH525,Target_monthwise!$D$24:$O$40,DTR!AD$4,FALSE)),0)</f>
        <v>0</v>
      </c>
      <c r="AE525" s="147">
        <f>IFERROR((HLOOKUP($AH525,Target_monthwise!$D$24:$O$40,DTR!AE$4,FALSE)),0)</f>
        <v>0</v>
      </c>
      <c r="AF525" s="147">
        <f>IFERROR((HLOOKUP($AH525,Target_monthwise!$D$24:$O$40,DTR!AF$4,FALSE)),0)</f>
        <v>0</v>
      </c>
      <c r="AG525" s="172">
        <f>IFERROR((HLOOKUP($AH525,Target_monthwise!$D$24:$O$40,DTR!AG$4,FALSE)),0)</f>
        <v>0</v>
      </c>
      <c r="AH525" s="253">
        <f t="shared" si="8"/>
        <v>202308</v>
      </c>
    </row>
    <row r="526" spans="3:34" ht="15.75" hidden="1">
      <c r="C526" s="237">
        <v>45169</v>
      </c>
      <c r="D526" s="238">
        <f>IFERROR((HLOOKUP($AH526,Target_monthwise!$D$4:$O$20,DTR!D$4,FALSE))*1000,0)</f>
        <v>0</v>
      </c>
      <c r="E526" s="238">
        <f>IFERROR((HLOOKUP($AH526,Target_monthwise!$D$4:$O$20,DTR!E$4,FALSE))*1000,0)</f>
        <v>0</v>
      </c>
      <c r="F526" s="238">
        <f>IFERROR((HLOOKUP($AH526,Target_monthwise!$D$4:$O$20,DTR!F$4,FALSE))*1000,0)</f>
        <v>0</v>
      </c>
      <c r="G526" s="238">
        <f>IFERROR((HLOOKUP($AH526,Target_monthwise!$D$4:$O$20,DTR!G$4,FALSE))*1000,0)</f>
        <v>0</v>
      </c>
      <c r="H526" s="238">
        <f>IFERROR((HLOOKUP($AH526,Target_monthwise!$D$4:$O$20,DTR!H$4,FALSE))*1000,0)</f>
        <v>0</v>
      </c>
      <c r="I526" s="238">
        <f>IFERROR((HLOOKUP($AH526,Target_monthwise!$D$4:$O$20,DTR!I$4,FALSE))*1000,0)</f>
        <v>0</v>
      </c>
      <c r="J526" s="238">
        <f>IFERROR((HLOOKUP($AH526,Target_monthwise!$D$4:$O$20,DTR!J$4,FALSE))*1000,0)</f>
        <v>0</v>
      </c>
      <c r="K526" s="238">
        <f>IFERROR((HLOOKUP($AH526,Target_monthwise!$D$4:$O$20,DTR!K$4,FALSE))*1000,0)</f>
        <v>0</v>
      </c>
      <c r="L526" s="238">
        <f>IFERROR((HLOOKUP($AH526,Target_monthwise!$D$4:$O$20,DTR!L$4,FALSE))*1000,0)</f>
        <v>0</v>
      </c>
      <c r="M526" s="238">
        <f>IFERROR((HLOOKUP($AH526,Target_monthwise!$D$4:$O$20,DTR!M$4,FALSE))*1000,0)</f>
        <v>0</v>
      </c>
      <c r="N526" s="238">
        <f>IFERROR((HLOOKUP($AH526,Target_monthwise!$D$4:$O$20,DTR!N$4,FALSE))*1000,0)</f>
        <v>0</v>
      </c>
      <c r="O526" s="238">
        <f>IFERROR((HLOOKUP($AH526,Target_monthwise!$D$4:$O$20,DTR!O$4,FALSE))*1000,0)</f>
        <v>0</v>
      </c>
      <c r="P526" s="238">
        <f>IFERROR((HLOOKUP($AH526,Target_monthwise!$D$4:$O$20,DTR!P$4,FALSE))*1000,0)</f>
        <v>0</v>
      </c>
      <c r="Q526" s="141">
        <f>IFERROR((HLOOKUP($AH526,Target_monthwise!$D$4:$O$20,DTR!Q$4,FALSE))*1000,0)</f>
        <v>0</v>
      </c>
      <c r="R526" s="167">
        <f>IFERROR((HLOOKUP($AH526,Target_monthwise!$D$4:$O$20,DTR!R$4,FALSE))*1000,0)</f>
        <v>0</v>
      </c>
      <c r="S526" s="239">
        <f>IFERROR((HLOOKUP($AH526,Target_monthwise!$D$24:$O$40,DTR!S$4,FALSE)),0)</f>
        <v>0</v>
      </c>
      <c r="T526" s="239">
        <f>IFERROR((HLOOKUP($AH526,Target_monthwise!$D$24:$O$40,DTR!T$4,FALSE)),0)</f>
        <v>0</v>
      </c>
      <c r="U526" s="239">
        <f>IFERROR((HLOOKUP($AH526,Target_monthwise!$D$24:$O$40,DTR!U$4,FALSE)),0)</f>
        <v>0</v>
      </c>
      <c r="V526" s="239">
        <f>IFERROR((HLOOKUP($AH526,Target_monthwise!$D$24:$O$40,DTR!V$4,FALSE)),0)</f>
        <v>0</v>
      </c>
      <c r="W526" s="239">
        <f>IFERROR((HLOOKUP($AH526,Target_monthwise!$D$24:$O$40,DTR!W$4,FALSE)),0)</f>
        <v>0</v>
      </c>
      <c r="X526" s="239">
        <f>IFERROR((HLOOKUP($AH526,Target_monthwise!$D$24:$O$40,DTR!X$4,FALSE)),0)</f>
        <v>0</v>
      </c>
      <c r="Y526" s="239">
        <f>IFERROR((HLOOKUP($AH526,Target_monthwise!$D$24:$O$40,DTR!Y$4,FALSE)),0)</f>
        <v>0</v>
      </c>
      <c r="Z526" s="147">
        <f>IFERROR((HLOOKUP($AH526,Target_monthwise!$D$24:$O$40,DTR!Z$4,FALSE)),0)</f>
        <v>0</v>
      </c>
      <c r="AA526" s="147">
        <f>IFERROR((HLOOKUP($AH526,Target_monthwise!$D$24:$O$40,DTR!AA$4,FALSE)),0)</f>
        <v>0</v>
      </c>
      <c r="AB526" s="147">
        <f>IFERROR((HLOOKUP($AH526,Target_monthwise!$D$24:$O$40,DTR!AB$4,FALSE)),0)</f>
        <v>0</v>
      </c>
      <c r="AC526" s="239">
        <f>IFERROR((HLOOKUP($AH526,Target_monthwise!$D$24:$O$40,DTR!AC$4,FALSE)),0)</f>
        <v>0</v>
      </c>
      <c r="AD526" s="239">
        <f>IFERROR((HLOOKUP($AH526,Target_monthwise!$D$24:$O$40,DTR!AD$4,FALSE)),0)</f>
        <v>0</v>
      </c>
      <c r="AE526" s="239">
        <f>IFERROR((HLOOKUP($AH526,Target_monthwise!$D$24:$O$40,DTR!AE$4,FALSE)),0)</f>
        <v>0</v>
      </c>
      <c r="AF526" s="239">
        <f>IFERROR((HLOOKUP($AH526,Target_monthwise!$D$24:$O$40,DTR!AF$4,FALSE)),0)</f>
        <v>0</v>
      </c>
      <c r="AG526" s="172">
        <f>IFERROR((HLOOKUP($AH526,Target_monthwise!$D$24:$O$40,DTR!AG$4,FALSE)),0)</f>
        <v>0</v>
      </c>
      <c r="AH526" s="253">
        <f t="shared" si="8"/>
        <v>202308</v>
      </c>
    </row>
    <row r="527" spans="3:34" ht="15.75" hidden="1">
      <c r="C527" s="235">
        <v>45170</v>
      </c>
      <c r="D527" s="141">
        <f>IFERROR((HLOOKUP($AH527,Target_monthwise!$D$4:$O$20,DTR!D$4,FALSE))*1000,0)</f>
        <v>0</v>
      </c>
      <c r="E527" s="141">
        <f>IFERROR((HLOOKUP($AH527,Target_monthwise!$D$4:$O$20,DTR!E$4,FALSE))*1000,0)</f>
        <v>0</v>
      </c>
      <c r="F527" s="141">
        <f>IFERROR((HLOOKUP($AH527,Target_monthwise!$D$4:$O$20,DTR!F$4,FALSE))*1000,0)</f>
        <v>0</v>
      </c>
      <c r="G527" s="141">
        <f>IFERROR((HLOOKUP($AH527,Target_monthwise!$D$4:$O$20,DTR!G$4,FALSE))*1000,0)</f>
        <v>0</v>
      </c>
      <c r="H527" s="141">
        <f>IFERROR((HLOOKUP($AH527,Target_monthwise!$D$4:$O$20,DTR!H$4,FALSE))*1000,0)</f>
        <v>0</v>
      </c>
      <c r="I527" s="141">
        <f>IFERROR((HLOOKUP($AH527,Target_monthwise!$D$4:$O$20,DTR!I$4,FALSE))*1000,0)</f>
        <v>0</v>
      </c>
      <c r="J527" s="141">
        <f>IFERROR((HLOOKUP($AH527,Target_monthwise!$D$4:$O$20,DTR!J$4,FALSE))*1000,0)</f>
        <v>0</v>
      </c>
      <c r="K527" s="141">
        <f>IFERROR((HLOOKUP($AH527,Target_monthwise!$D$4:$O$20,DTR!K$4,FALSE))*1000,0)</f>
        <v>0</v>
      </c>
      <c r="L527" s="141">
        <f>IFERROR((HLOOKUP($AH527,Target_monthwise!$D$4:$O$20,DTR!L$4,FALSE))*1000,0)</f>
        <v>0</v>
      </c>
      <c r="M527" s="141">
        <f>IFERROR((HLOOKUP($AH527,Target_monthwise!$D$4:$O$20,DTR!M$4,FALSE))*1000,0)</f>
        <v>0</v>
      </c>
      <c r="N527" s="141">
        <f>IFERROR((HLOOKUP($AH527,Target_monthwise!$D$4:$O$20,DTR!N$4,FALSE))*1000,0)</f>
        <v>0</v>
      </c>
      <c r="O527" s="141">
        <f>IFERROR((HLOOKUP($AH527,Target_monthwise!$D$4:$O$20,DTR!O$4,FALSE))*1000,0)</f>
        <v>0</v>
      </c>
      <c r="P527" s="141">
        <f>IFERROR((HLOOKUP($AH527,Target_monthwise!$D$4:$O$20,DTR!P$4,FALSE))*1000,0)</f>
        <v>0</v>
      </c>
      <c r="Q527" s="141">
        <f>IFERROR((HLOOKUP($AH527,Target_monthwise!$D$4:$O$20,DTR!Q$4,FALSE))*1000,0)</f>
        <v>0</v>
      </c>
      <c r="R527" s="167">
        <f>IFERROR((HLOOKUP($AH527,Target_monthwise!$D$4:$O$20,DTR!R$4,FALSE))*1000,0)</f>
        <v>0</v>
      </c>
      <c r="S527" s="147">
        <f>IFERROR((HLOOKUP($AH527,Target_monthwise!$D$24:$O$40,DTR!S$4,FALSE)),0)</f>
        <v>0</v>
      </c>
      <c r="T527" s="147">
        <f>IFERROR((HLOOKUP($AH527,Target_monthwise!$D$24:$O$40,DTR!T$4,FALSE)),0)</f>
        <v>0</v>
      </c>
      <c r="U527" s="147">
        <f>IFERROR((HLOOKUP($AH527,Target_monthwise!$D$24:$O$40,DTR!U$4,FALSE)),0)</f>
        <v>0</v>
      </c>
      <c r="V527" s="147">
        <f>IFERROR((HLOOKUP($AH527,Target_monthwise!$D$24:$O$40,DTR!V$4,FALSE)),0)</f>
        <v>0</v>
      </c>
      <c r="W527" s="147">
        <f>IFERROR((HLOOKUP($AH527,Target_monthwise!$D$24:$O$40,DTR!W$4,FALSE)),0)</f>
        <v>0</v>
      </c>
      <c r="X527" s="147">
        <f>IFERROR((HLOOKUP($AH527,Target_monthwise!$D$24:$O$40,DTR!X$4,FALSE)),0)</f>
        <v>0</v>
      </c>
      <c r="Y527" s="147">
        <f>IFERROR((HLOOKUP($AH527,Target_monthwise!$D$24:$O$40,DTR!Y$4,FALSE)),0)</f>
        <v>0</v>
      </c>
      <c r="Z527" s="147">
        <f>IFERROR((HLOOKUP($AH527,Target_monthwise!$D$24:$O$40,DTR!Z$4,FALSE)),0)</f>
        <v>0</v>
      </c>
      <c r="AA527" s="147">
        <f>IFERROR((HLOOKUP($AH527,Target_monthwise!$D$24:$O$40,DTR!AA$4,FALSE)),0)</f>
        <v>0</v>
      </c>
      <c r="AB527" s="147">
        <f>IFERROR((HLOOKUP($AH527,Target_monthwise!$D$24:$O$40,DTR!AB$4,FALSE)),0)</f>
        <v>0</v>
      </c>
      <c r="AC527" s="147">
        <f>IFERROR((HLOOKUP($AH527,Target_monthwise!$D$24:$O$40,DTR!AC$4,FALSE)),0)</f>
        <v>0</v>
      </c>
      <c r="AD527" s="147">
        <f>IFERROR((HLOOKUP($AH527,Target_monthwise!$D$24:$O$40,DTR!AD$4,FALSE)),0)</f>
        <v>0</v>
      </c>
      <c r="AE527" s="147">
        <f>IFERROR((HLOOKUP($AH527,Target_monthwise!$D$24:$O$40,DTR!AE$4,FALSE)),0)</f>
        <v>0</v>
      </c>
      <c r="AF527" s="147">
        <f>IFERROR((HLOOKUP($AH527,Target_monthwise!$D$24:$O$40,DTR!AF$4,FALSE)),0)</f>
        <v>0</v>
      </c>
      <c r="AG527" s="172">
        <f>IFERROR((HLOOKUP($AH527,Target_monthwise!$D$24:$O$40,DTR!AG$4,FALSE)),0)</f>
        <v>0</v>
      </c>
      <c r="AH527" s="253">
        <f t="shared" si="8"/>
        <v>202309</v>
      </c>
    </row>
    <row r="528" spans="3:34" ht="15.75" hidden="1">
      <c r="C528" s="237">
        <v>45171</v>
      </c>
      <c r="D528" s="238">
        <f>IFERROR((HLOOKUP($AH528,Target_monthwise!$D$4:$O$20,DTR!D$4,FALSE))*1000,0)</f>
        <v>0</v>
      </c>
      <c r="E528" s="238">
        <f>IFERROR((HLOOKUP($AH528,Target_monthwise!$D$4:$O$20,DTR!E$4,FALSE))*1000,0)</f>
        <v>0</v>
      </c>
      <c r="F528" s="238">
        <f>IFERROR((HLOOKUP($AH528,Target_monthwise!$D$4:$O$20,DTR!F$4,FALSE))*1000,0)</f>
        <v>0</v>
      </c>
      <c r="G528" s="238">
        <f>IFERROR((HLOOKUP($AH528,Target_monthwise!$D$4:$O$20,DTR!G$4,FALSE))*1000,0)</f>
        <v>0</v>
      </c>
      <c r="H528" s="238">
        <f>IFERROR((HLOOKUP($AH528,Target_monthwise!$D$4:$O$20,DTR!H$4,FALSE))*1000,0)</f>
        <v>0</v>
      </c>
      <c r="I528" s="238">
        <f>IFERROR((HLOOKUP($AH528,Target_monthwise!$D$4:$O$20,DTR!I$4,FALSE))*1000,0)</f>
        <v>0</v>
      </c>
      <c r="J528" s="238">
        <f>IFERROR((HLOOKUP($AH528,Target_monthwise!$D$4:$O$20,DTR!J$4,FALSE))*1000,0)</f>
        <v>0</v>
      </c>
      <c r="K528" s="238">
        <f>IFERROR((HLOOKUP($AH528,Target_monthwise!$D$4:$O$20,DTR!K$4,FALSE))*1000,0)</f>
        <v>0</v>
      </c>
      <c r="L528" s="238">
        <f>IFERROR((HLOOKUP($AH528,Target_monthwise!$D$4:$O$20,DTR!L$4,FALSE))*1000,0)</f>
        <v>0</v>
      </c>
      <c r="M528" s="238">
        <f>IFERROR((HLOOKUP($AH528,Target_monthwise!$D$4:$O$20,DTR!M$4,FALSE))*1000,0)</f>
        <v>0</v>
      </c>
      <c r="N528" s="238">
        <f>IFERROR((HLOOKUP($AH528,Target_monthwise!$D$4:$O$20,DTR!N$4,FALSE))*1000,0)</f>
        <v>0</v>
      </c>
      <c r="O528" s="238">
        <f>IFERROR((HLOOKUP($AH528,Target_monthwise!$D$4:$O$20,DTR!O$4,FALSE))*1000,0)</f>
        <v>0</v>
      </c>
      <c r="P528" s="238">
        <f>IFERROR((HLOOKUP($AH528,Target_monthwise!$D$4:$O$20,DTR!P$4,FALSE))*1000,0)</f>
        <v>0</v>
      </c>
      <c r="Q528" s="141">
        <f>IFERROR((HLOOKUP($AH528,Target_monthwise!$D$4:$O$20,DTR!Q$4,FALSE))*1000,0)</f>
        <v>0</v>
      </c>
      <c r="R528" s="167">
        <f>IFERROR((HLOOKUP($AH528,Target_monthwise!$D$4:$O$20,DTR!R$4,FALSE))*1000,0)</f>
        <v>0</v>
      </c>
      <c r="S528" s="239">
        <f>IFERROR((HLOOKUP($AH528,Target_monthwise!$D$24:$O$40,DTR!S$4,FALSE)),0)</f>
        <v>0</v>
      </c>
      <c r="T528" s="239">
        <f>IFERROR((HLOOKUP($AH528,Target_monthwise!$D$24:$O$40,DTR!T$4,FALSE)),0)</f>
        <v>0</v>
      </c>
      <c r="U528" s="239">
        <f>IFERROR((HLOOKUP($AH528,Target_monthwise!$D$24:$O$40,DTR!U$4,FALSE)),0)</f>
        <v>0</v>
      </c>
      <c r="V528" s="239">
        <f>IFERROR((HLOOKUP($AH528,Target_monthwise!$D$24:$O$40,DTR!V$4,FALSE)),0)</f>
        <v>0</v>
      </c>
      <c r="W528" s="239">
        <f>IFERROR((HLOOKUP($AH528,Target_monthwise!$D$24:$O$40,DTR!W$4,FALSE)),0)</f>
        <v>0</v>
      </c>
      <c r="X528" s="239">
        <f>IFERROR((HLOOKUP($AH528,Target_monthwise!$D$24:$O$40,DTR!X$4,FALSE)),0)</f>
        <v>0</v>
      </c>
      <c r="Y528" s="239">
        <f>IFERROR((HLOOKUP($AH528,Target_monthwise!$D$24:$O$40,DTR!Y$4,FALSE)),0)</f>
        <v>0</v>
      </c>
      <c r="Z528" s="147">
        <f>IFERROR((HLOOKUP($AH528,Target_monthwise!$D$24:$O$40,DTR!Z$4,FALSE)),0)</f>
        <v>0</v>
      </c>
      <c r="AA528" s="147">
        <f>IFERROR((HLOOKUP($AH528,Target_monthwise!$D$24:$O$40,DTR!AA$4,FALSE)),0)</f>
        <v>0</v>
      </c>
      <c r="AB528" s="147">
        <f>IFERROR((HLOOKUP($AH528,Target_monthwise!$D$24:$O$40,DTR!AB$4,FALSE)),0)</f>
        <v>0</v>
      </c>
      <c r="AC528" s="239">
        <f>IFERROR((HLOOKUP($AH528,Target_monthwise!$D$24:$O$40,DTR!AC$4,FALSE)),0)</f>
        <v>0</v>
      </c>
      <c r="AD528" s="239">
        <f>IFERROR((HLOOKUP($AH528,Target_monthwise!$D$24:$O$40,DTR!AD$4,FALSE)),0)</f>
        <v>0</v>
      </c>
      <c r="AE528" s="239">
        <f>IFERROR((HLOOKUP($AH528,Target_monthwise!$D$24:$O$40,DTR!AE$4,FALSE)),0)</f>
        <v>0</v>
      </c>
      <c r="AF528" s="239">
        <f>IFERROR((HLOOKUP($AH528,Target_monthwise!$D$24:$O$40,DTR!AF$4,FALSE)),0)</f>
        <v>0</v>
      </c>
      <c r="AG528" s="172">
        <f>IFERROR((HLOOKUP($AH528,Target_monthwise!$D$24:$O$40,DTR!AG$4,FALSE)),0)</f>
        <v>0</v>
      </c>
      <c r="AH528" s="253">
        <f t="shared" ref="AH528:AH544" si="9">YEAR(C528)*100+MONTH(C528)</f>
        <v>202309</v>
      </c>
    </row>
    <row r="529" spans="3:34" ht="15.75" hidden="1">
      <c r="C529" s="235">
        <v>45172</v>
      </c>
      <c r="D529" s="141">
        <f>IFERROR((HLOOKUP($AH529,Target_monthwise!$D$4:$O$20,DTR!D$4,FALSE))*1000,0)</f>
        <v>0</v>
      </c>
      <c r="E529" s="141">
        <f>IFERROR((HLOOKUP($AH529,Target_monthwise!$D$4:$O$20,DTR!E$4,FALSE))*1000,0)</f>
        <v>0</v>
      </c>
      <c r="F529" s="141">
        <f>IFERROR((HLOOKUP($AH529,Target_monthwise!$D$4:$O$20,DTR!F$4,FALSE))*1000,0)</f>
        <v>0</v>
      </c>
      <c r="G529" s="141">
        <f>IFERROR((HLOOKUP($AH529,Target_monthwise!$D$4:$O$20,DTR!G$4,FALSE))*1000,0)</f>
        <v>0</v>
      </c>
      <c r="H529" s="141">
        <f>IFERROR((HLOOKUP($AH529,Target_monthwise!$D$4:$O$20,DTR!H$4,FALSE))*1000,0)</f>
        <v>0</v>
      </c>
      <c r="I529" s="141">
        <f>IFERROR((HLOOKUP($AH529,Target_monthwise!$D$4:$O$20,DTR!I$4,FALSE))*1000,0)</f>
        <v>0</v>
      </c>
      <c r="J529" s="141">
        <f>IFERROR((HLOOKUP($AH529,Target_monthwise!$D$4:$O$20,DTR!J$4,FALSE))*1000,0)</f>
        <v>0</v>
      </c>
      <c r="K529" s="141">
        <f>IFERROR((HLOOKUP($AH529,Target_monthwise!$D$4:$O$20,DTR!K$4,FALSE))*1000,0)</f>
        <v>0</v>
      </c>
      <c r="L529" s="141">
        <f>IFERROR((HLOOKUP($AH529,Target_monthwise!$D$4:$O$20,DTR!L$4,FALSE))*1000,0)</f>
        <v>0</v>
      </c>
      <c r="M529" s="141">
        <f>IFERROR((HLOOKUP($AH529,Target_monthwise!$D$4:$O$20,DTR!M$4,FALSE))*1000,0)</f>
        <v>0</v>
      </c>
      <c r="N529" s="141">
        <f>IFERROR((HLOOKUP($AH529,Target_monthwise!$D$4:$O$20,DTR!N$4,FALSE))*1000,0)</f>
        <v>0</v>
      </c>
      <c r="O529" s="141">
        <f>IFERROR((HLOOKUP($AH529,Target_monthwise!$D$4:$O$20,DTR!O$4,FALSE))*1000,0)</f>
        <v>0</v>
      </c>
      <c r="P529" s="141">
        <f>IFERROR((HLOOKUP($AH529,Target_monthwise!$D$4:$O$20,DTR!P$4,FALSE))*1000,0)</f>
        <v>0</v>
      </c>
      <c r="Q529" s="141">
        <f>IFERROR((HLOOKUP($AH529,Target_monthwise!$D$4:$O$20,DTR!Q$4,FALSE))*1000,0)</f>
        <v>0</v>
      </c>
      <c r="R529" s="167">
        <f>IFERROR((HLOOKUP($AH529,Target_monthwise!$D$4:$O$20,DTR!R$4,FALSE))*1000,0)</f>
        <v>0</v>
      </c>
      <c r="S529" s="147">
        <f>IFERROR((HLOOKUP($AH529,Target_monthwise!$D$24:$O$40,DTR!S$4,FALSE)),0)</f>
        <v>0</v>
      </c>
      <c r="T529" s="147">
        <f>IFERROR((HLOOKUP($AH529,Target_monthwise!$D$24:$O$40,DTR!T$4,FALSE)),0)</f>
        <v>0</v>
      </c>
      <c r="U529" s="147">
        <f>IFERROR((HLOOKUP($AH529,Target_monthwise!$D$24:$O$40,DTR!U$4,FALSE)),0)</f>
        <v>0</v>
      </c>
      <c r="V529" s="147">
        <f>IFERROR((HLOOKUP($AH529,Target_monthwise!$D$24:$O$40,DTR!V$4,FALSE)),0)</f>
        <v>0</v>
      </c>
      <c r="W529" s="147">
        <f>IFERROR((HLOOKUP($AH529,Target_monthwise!$D$24:$O$40,DTR!W$4,FALSE)),0)</f>
        <v>0</v>
      </c>
      <c r="X529" s="147">
        <f>IFERROR((HLOOKUP($AH529,Target_monthwise!$D$24:$O$40,DTR!X$4,FALSE)),0)</f>
        <v>0</v>
      </c>
      <c r="Y529" s="147">
        <f>IFERROR((HLOOKUP($AH529,Target_monthwise!$D$24:$O$40,DTR!Y$4,FALSE)),0)</f>
        <v>0</v>
      </c>
      <c r="Z529" s="147">
        <f>IFERROR((HLOOKUP($AH529,Target_monthwise!$D$24:$O$40,DTR!Z$4,FALSE)),0)</f>
        <v>0</v>
      </c>
      <c r="AA529" s="147">
        <f>IFERROR((HLOOKUP($AH529,Target_monthwise!$D$24:$O$40,DTR!AA$4,FALSE)),0)</f>
        <v>0</v>
      </c>
      <c r="AB529" s="147">
        <f>IFERROR((HLOOKUP($AH529,Target_monthwise!$D$24:$O$40,DTR!AB$4,FALSE)),0)</f>
        <v>0</v>
      </c>
      <c r="AC529" s="147">
        <f>IFERROR((HLOOKUP($AH529,Target_monthwise!$D$24:$O$40,DTR!AC$4,FALSE)),0)</f>
        <v>0</v>
      </c>
      <c r="AD529" s="147">
        <f>IFERROR((HLOOKUP($AH529,Target_monthwise!$D$24:$O$40,DTR!AD$4,FALSE)),0)</f>
        <v>0</v>
      </c>
      <c r="AE529" s="147">
        <f>IFERROR((HLOOKUP($AH529,Target_monthwise!$D$24:$O$40,DTR!AE$4,FALSE)),0)</f>
        <v>0</v>
      </c>
      <c r="AF529" s="147">
        <f>IFERROR((HLOOKUP($AH529,Target_monthwise!$D$24:$O$40,DTR!AF$4,FALSE)),0)</f>
        <v>0</v>
      </c>
      <c r="AG529" s="172">
        <f>IFERROR((HLOOKUP($AH529,Target_monthwise!$D$24:$O$40,DTR!AG$4,FALSE)),0)</f>
        <v>0</v>
      </c>
      <c r="AH529" s="253">
        <f t="shared" si="9"/>
        <v>202309</v>
      </c>
    </row>
    <row r="530" spans="3:34" ht="15.75" hidden="1">
      <c r="C530" s="237">
        <v>45173</v>
      </c>
      <c r="D530" s="238">
        <f>IFERROR((HLOOKUP($AH530,Target_monthwise!$D$4:$O$20,DTR!D$4,FALSE))*1000,0)</f>
        <v>0</v>
      </c>
      <c r="E530" s="238">
        <f>IFERROR((HLOOKUP($AH530,Target_monthwise!$D$4:$O$20,DTR!E$4,FALSE))*1000,0)</f>
        <v>0</v>
      </c>
      <c r="F530" s="238">
        <f>IFERROR((HLOOKUP($AH530,Target_monthwise!$D$4:$O$20,DTR!F$4,FALSE))*1000,0)</f>
        <v>0</v>
      </c>
      <c r="G530" s="238">
        <f>IFERROR((HLOOKUP($AH530,Target_monthwise!$D$4:$O$20,DTR!G$4,FALSE))*1000,0)</f>
        <v>0</v>
      </c>
      <c r="H530" s="238">
        <f>IFERROR((HLOOKUP($AH530,Target_monthwise!$D$4:$O$20,DTR!H$4,FALSE))*1000,0)</f>
        <v>0</v>
      </c>
      <c r="I530" s="238">
        <f>IFERROR((HLOOKUP($AH530,Target_monthwise!$D$4:$O$20,DTR!I$4,FALSE))*1000,0)</f>
        <v>0</v>
      </c>
      <c r="J530" s="238">
        <f>IFERROR((HLOOKUP($AH530,Target_monthwise!$D$4:$O$20,DTR!J$4,FALSE))*1000,0)</f>
        <v>0</v>
      </c>
      <c r="K530" s="238">
        <f>IFERROR((HLOOKUP($AH530,Target_monthwise!$D$4:$O$20,DTR!K$4,FALSE))*1000,0)</f>
        <v>0</v>
      </c>
      <c r="L530" s="238">
        <f>IFERROR((HLOOKUP($AH530,Target_monthwise!$D$4:$O$20,DTR!L$4,FALSE))*1000,0)</f>
        <v>0</v>
      </c>
      <c r="M530" s="238">
        <f>IFERROR((HLOOKUP($AH530,Target_monthwise!$D$4:$O$20,DTR!M$4,FALSE))*1000,0)</f>
        <v>0</v>
      </c>
      <c r="N530" s="238">
        <f>IFERROR((HLOOKUP($AH530,Target_monthwise!$D$4:$O$20,DTR!N$4,FALSE))*1000,0)</f>
        <v>0</v>
      </c>
      <c r="O530" s="238">
        <f>IFERROR((HLOOKUP($AH530,Target_monthwise!$D$4:$O$20,DTR!O$4,FALSE))*1000,0)</f>
        <v>0</v>
      </c>
      <c r="P530" s="238">
        <f>IFERROR((HLOOKUP($AH530,Target_monthwise!$D$4:$O$20,DTR!P$4,FALSE))*1000,0)</f>
        <v>0</v>
      </c>
      <c r="Q530" s="141">
        <f>IFERROR((HLOOKUP($AH530,Target_monthwise!$D$4:$O$20,DTR!Q$4,FALSE))*1000,0)</f>
        <v>0</v>
      </c>
      <c r="R530" s="167">
        <f>IFERROR((HLOOKUP($AH530,Target_monthwise!$D$4:$O$20,DTR!R$4,FALSE))*1000,0)</f>
        <v>0</v>
      </c>
      <c r="S530" s="239">
        <f>IFERROR((HLOOKUP($AH530,Target_monthwise!$D$24:$O$40,DTR!S$4,FALSE)),0)</f>
        <v>0</v>
      </c>
      <c r="T530" s="239">
        <f>IFERROR((HLOOKUP($AH530,Target_monthwise!$D$24:$O$40,DTR!T$4,FALSE)),0)</f>
        <v>0</v>
      </c>
      <c r="U530" s="239">
        <f>IFERROR((HLOOKUP($AH530,Target_monthwise!$D$24:$O$40,DTR!U$4,FALSE)),0)</f>
        <v>0</v>
      </c>
      <c r="V530" s="239">
        <f>IFERROR((HLOOKUP($AH530,Target_monthwise!$D$24:$O$40,DTR!V$4,FALSE)),0)</f>
        <v>0</v>
      </c>
      <c r="W530" s="239">
        <f>IFERROR((HLOOKUP($AH530,Target_monthwise!$D$24:$O$40,DTR!W$4,FALSE)),0)</f>
        <v>0</v>
      </c>
      <c r="X530" s="239">
        <f>IFERROR((HLOOKUP($AH530,Target_monthwise!$D$24:$O$40,DTR!X$4,FALSE)),0)</f>
        <v>0</v>
      </c>
      <c r="Y530" s="239">
        <f>IFERROR((HLOOKUP($AH530,Target_monthwise!$D$24:$O$40,DTR!Y$4,FALSE)),0)</f>
        <v>0</v>
      </c>
      <c r="Z530" s="147">
        <f>IFERROR((HLOOKUP($AH530,Target_monthwise!$D$24:$O$40,DTR!Z$4,FALSE)),0)</f>
        <v>0</v>
      </c>
      <c r="AA530" s="147">
        <f>IFERROR((HLOOKUP($AH530,Target_monthwise!$D$24:$O$40,DTR!AA$4,FALSE)),0)</f>
        <v>0</v>
      </c>
      <c r="AB530" s="147">
        <f>IFERROR((HLOOKUP($AH530,Target_monthwise!$D$24:$O$40,DTR!AB$4,FALSE)),0)</f>
        <v>0</v>
      </c>
      <c r="AC530" s="239">
        <f>IFERROR((HLOOKUP($AH530,Target_monthwise!$D$24:$O$40,DTR!AC$4,FALSE)),0)</f>
        <v>0</v>
      </c>
      <c r="AD530" s="239">
        <f>IFERROR((HLOOKUP($AH530,Target_monthwise!$D$24:$O$40,DTR!AD$4,FALSE)),0)</f>
        <v>0</v>
      </c>
      <c r="AE530" s="239">
        <f>IFERROR((HLOOKUP($AH530,Target_monthwise!$D$24:$O$40,DTR!AE$4,FALSE)),0)</f>
        <v>0</v>
      </c>
      <c r="AF530" s="239">
        <f>IFERROR((HLOOKUP($AH530,Target_monthwise!$D$24:$O$40,DTR!AF$4,FALSE)),0)</f>
        <v>0</v>
      </c>
      <c r="AG530" s="172">
        <f>IFERROR((HLOOKUP($AH530,Target_monthwise!$D$24:$O$40,DTR!AG$4,FALSE)),0)</f>
        <v>0</v>
      </c>
      <c r="AH530" s="253">
        <f t="shared" si="9"/>
        <v>202309</v>
      </c>
    </row>
    <row r="531" spans="3:34" ht="15.75" hidden="1">
      <c r="C531" s="235">
        <v>45174</v>
      </c>
      <c r="D531" s="141">
        <f>IFERROR((HLOOKUP($AH531,Target_monthwise!$D$4:$O$20,DTR!D$4,FALSE))*1000,0)</f>
        <v>0</v>
      </c>
      <c r="E531" s="141">
        <f>IFERROR((HLOOKUP($AH531,Target_monthwise!$D$4:$O$20,DTR!E$4,FALSE))*1000,0)</f>
        <v>0</v>
      </c>
      <c r="F531" s="141">
        <f>IFERROR((HLOOKUP($AH531,Target_monthwise!$D$4:$O$20,DTR!F$4,FALSE))*1000,0)</f>
        <v>0</v>
      </c>
      <c r="G531" s="141">
        <f>IFERROR((HLOOKUP($AH531,Target_monthwise!$D$4:$O$20,DTR!G$4,FALSE))*1000,0)</f>
        <v>0</v>
      </c>
      <c r="H531" s="141">
        <f>IFERROR((HLOOKUP($AH531,Target_monthwise!$D$4:$O$20,DTR!H$4,FALSE))*1000,0)</f>
        <v>0</v>
      </c>
      <c r="I531" s="141">
        <f>IFERROR((HLOOKUP($AH531,Target_monthwise!$D$4:$O$20,DTR!I$4,FALSE))*1000,0)</f>
        <v>0</v>
      </c>
      <c r="J531" s="141">
        <f>IFERROR((HLOOKUP($AH531,Target_monthwise!$D$4:$O$20,DTR!J$4,FALSE))*1000,0)</f>
        <v>0</v>
      </c>
      <c r="K531" s="141">
        <f>IFERROR((HLOOKUP($AH531,Target_monthwise!$D$4:$O$20,DTR!K$4,FALSE))*1000,0)</f>
        <v>0</v>
      </c>
      <c r="L531" s="141">
        <f>IFERROR((HLOOKUP($AH531,Target_monthwise!$D$4:$O$20,DTR!L$4,FALSE))*1000,0)</f>
        <v>0</v>
      </c>
      <c r="M531" s="141">
        <f>IFERROR((HLOOKUP($AH531,Target_monthwise!$D$4:$O$20,DTR!M$4,FALSE))*1000,0)</f>
        <v>0</v>
      </c>
      <c r="N531" s="141">
        <f>IFERROR((HLOOKUP($AH531,Target_monthwise!$D$4:$O$20,DTR!N$4,FALSE))*1000,0)</f>
        <v>0</v>
      </c>
      <c r="O531" s="141">
        <f>IFERROR((HLOOKUP($AH531,Target_monthwise!$D$4:$O$20,DTR!O$4,FALSE))*1000,0)</f>
        <v>0</v>
      </c>
      <c r="P531" s="141">
        <f>IFERROR((HLOOKUP($AH531,Target_monthwise!$D$4:$O$20,DTR!P$4,FALSE))*1000,0)</f>
        <v>0</v>
      </c>
      <c r="Q531" s="141">
        <f>IFERROR((HLOOKUP($AH531,Target_monthwise!$D$4:$O$20,DTR!Q$4,FALSE))*1000,0)</f>
        <v>0</v>
      </c>
      <c r="R531" s="167">
        <f>IFERROR((HLOOKUP($AH531,Target_monthwise!$D$4:$O$20,DTR!R$4,FALSE))*1000,0)</f>
        <v>0</v>
      </c>
      <c r="S531" s="147">
        <f>IFERROR((HLOOKUP($AH531,Target_monthwise!$D$24:$O$40,DTR!S$4,FALSE)),0)</f>
        <v>0</v>
      </c>
      <c r="T531" s="147">
        <f>IFERROR((HLOOKUP($AH531,Target_monthwise!$D$24:$O$40,DTR!T$4,FALSE)),0)</f>
        <v>0</v>
      </c>
      <c r="U531" s="147">
        <f>IFERROR((HLOOKUP($AH531,Target_monthwise!$D$24:$O$40,DTR!U$4,FALSE)),0)</f>
        <v>0</v>
      </c>
      <c r="V531" s="147">
        <f>IFERROR((HLOOKUP($AH531,Target_monthwise!$D$24:$O$40,DTR!V$4,FALSE)),0)</f>
        <v>0</v>
      </c>
      <c r="W531" s="147">
        <f>IFERROR((HLOOKUP($AH531,Target_monthwise!$D$24:$O$40,DTR!W$4,FALSE)),0)</f>
        <v>0</v>
      </c>
      <c r="X531" s="147">
        <f>IFERROR((HLOOKUP($AH531,Target_monthwise!$D$24:$O$40,DTR!X$4,FALSE)),0)</f>
        <v>0</v>
      </c>
      <c r="Y531" s="147">
        <f>IFERROR((HLOOKUP($AH531,Target_monthwise!$D$24:$O$40,DTR!Y$4,FALSE)),0)</f>
        <v>0</v>
      </c>
      <c r="Z531" s="147">
        <f>IFERROR((HLOOKUP($AH531,Target_monthwise!$D$24:$O$40,DTR!Z$4,FALSE)),0)</f>
        <v>0</v>
      </c>
      <c r="AA531" s="147">
        <f>IFERROR((HLOOKUP($AH531,Target_monthwise!$D$24:$O$40,DTR!AA$4,FALSE)),0)</f>
        <v>0</v>
      </c>
      <c r="AB531" s="147">
        <f>IFERROR((HLOOKUP($AH531,Target_monthwise!$D$24:$O$40,DTR!AB$4,FALSE)),0)</f>
        <v>0</v>
      </c>
      <c r="AC531" s="147">
        <f>IFERROR((HLOOKUP($AH531,Target_monthwise!$D$24:$O$40,DTR!AC$4,FALSE)),0)</f>
        <v>0</v>
      </c>
      <c r="AD531" s="147">
        <f>IFERROR((HLOOKUP($AH531,Target_monthwise!$D$24:$O$40,DTR!AD$4,FALSE)),0)</f>
        <v>0</v>
      </c>
      <c r="AE531" s="147">
        <f>IFERROR((HLOOKUP($AH531,Target_monthwise!$D$24:$O$40,DTR!AE$4,FALSE)),0)</f>
        <v>0</v>
      </c>
      <c r="AF531" s="147">
        <f>IFERROR((HLOOKUP($AH531,Target_monthwise!$D$24:$O$40,DTR!AF$4,FALSE)),0)</f>
        <v>0</v>
      </c>
      <c r="AG531" s="172">
        <f>IFERROR((HLOOKUP($AH531,Target_monthwise!$D$24:$O$40,DTR!AG$4,FALSE)),0)</f>
        <v>0</v>
      </c>
      <c r="AH531" s="253">
        <f t="shared" si="9"/>
        <v>202309</v>
      </c>
    </row>
    <row r="532" spans="3:34" ht="15.75" hidden="1">
      <c r="C532" s="237">
        <v>45175</v>
      </c>
      <c r="D532" s="238">
        <f>IFERROR((HLOOKUP($AH532,Target_monthwise!$D$4:$O$20,DTR!D$4,FALSE))*1000,0)</f>
        <v>0</v>
      </c>
      <c r="E532" s="238">
        <f>IFERROR((HLOOKUP($AH532,Target_monthwise!$D$4:$O$20,DTR!E$4,FALSE))*1000,0)</f>
        <v>0</v>
      </c>
      <c r="F532" s="238">
        <f>IFERROR((HLOOKUP($AH532,Target_monthwise!$D$4:$O$20,DTR!F$4,FALSE))*1000,0)</f>
        <v>0</v>
      </c>
      <c r="G532" s="238">
        <f>IFERROR((HLOOKUP($AH532,Target_monthwise!$D$4:$O$20,DTR!G$4,FALSE))*1000,0)</f>
        <v>0</v>
      </c>
      <c r="H532" s="238">
        <f>IFERROR((HLOOKUP($AH532,Target_monthwise!$D$4:$O$20,DTR!H$4,FALSE))*1000,0)</f>
        <v>0</v>
      </c>
      <c r="I532" s="238">
        <f>IFERROR((HLOOKUP($AH532,Target_monthwise!$D$4:$O$20,DTR!I$4,FALSE))*1000,0)</f>
        <v>0</v>
      </c>
      <c r="J532" s="238">
        <f>IFERROR((HLOOKUP($AH532,Target_monthwise!$D$4:$O$20,DTR!J$4,FALSE))*1000,0)</f>
        <v>0</v>
      </c>
      <c r="K532" s="238">
        <f>IFERROR((HLOOKUP($AH532,Target_monthwise!$D$4:$O$20,DTR!K$4,FALSE))*1000,0)</f>
        <v>0</v>
      </c>
      <c r="L532" s="238">
        <f>IFERROR((HLOOKUP($AH532,Target_monthwise!$D$4:$O$20,DTR!L$4,FALSE))*1000,0)</f>
        <v>0</v>
      </c>
      <c r="M532" s="238">
        <f>IFERROR((HLOOKUP($AH532,Target_monthwise!$D$4:$O$20,DTR!M$4,FALSE))*1000,0)</f>
        <v>0</v>
      </c>
      <c r="N532" s="238">
        <f>IFERROR((HLOOKUP($AH532,Target_monthwise!$D$4:$O$20,DTR!N$4,FALSE))*1000,0)</f>
        <v>0</v>
      </c>
      <c r="O532" s="238">
        <f>IFERROR((HLOOKUP($AH532,Target_monthwise!$D$4:$O$20,DTR!O$4,FALSE))*1000,0)</f>
        <v>0</v>
      </c>
      <c r="P532" s="238">
        <f>IFERROR((HLOOKUP($AH532,Target_monthwise!$D$4:$O$20,DTR!P$4,FALSE))*1000,0)</f>
        <v>0</v>
      </c>
      <c r="Q532" s="141">
        <f>IFERROR((HLOOKUP($AH532,Target_monthwise!$D$4:$O$20,DTR!Q$4,FALSE))*1000,0)</f>
        <v>0</v>
      </c>
      <c r="R532" s="167">
        <f>IFERROR((HLOOKUP($AH532,Target_monthwise!$D$4:$O$20,DTR!R$4,FALSE))*1000,0)</f>
        <v>0</v>
      </c>
      <c r="S532" s="239">
        <f>IFERROR((HLOOKUP($AH532,Target_monthwise!$D$24:$O$40,DTR!S$4,FALSE)),0)</f>
        <v>0</v>
      </c>
      <c r="T532" s="239">
        <f>IFERROR((HLOOKUP($AH532,Target_monthwise!$D$24:$O$40,DTR!T$4,FALSE)),0)</f>
        <v>0</v>
      </c>
      <c r="U532" s="239">
        <f>IFERROR((HLOOKUP($AH532,Target_monthwise!$D$24:$O$40,DTR!U$4,FALSE)),0)</f>
        <v>0</v>
      </c>
      <c r="V532" s="239">
        <f>IFERROR((HLOOKUP($AH532,Target_monthwise!$D$24:$O$40,DTR!V$4,FALSE)),0)</f>
        <v>0</v>
      </c>
      <c r="W532" s="239">
        <f>IFERROR((HLOOKUP($AH532,Target_monthwise!$D$24:$O$40,DTR!W$4,FALSE)),0)</f>
        <v>0</v>
      </c>
      <c r="X532" s="239">
        <f>IFERROR((HLOOKUP($AH532,Target_monthwise!$D$24:$O$40,DTR!X$4,FALSE)),0)</f>
        <v>0</v>
      </c>
      <c r="Y532" s="239">
        <f>IFERROR((HLOOKUP($AH532,Target_monthwise!$D$24:$O$40,DTR!Y$4,FALSE)),0)</f>
        <v>0</v>
      </c>
      <c r="Z532" s="147">
        <f>IFERROR((HLOOKUP($AH532,Target_monthwise!$D$24:$O$40,DTR!Z$4,FALSE)),0)</f>
        <v>0</v>
      </c>
      <c r="AA532" s="147">
        <f>IFERROR((HLOOKUP($AH532,Target_monthwise!$D$24:$O$40,DTR!AA$4,FALSE)),0)</f>
        <v>0</v>
      </c>
      <c r="AB532" s="147">
        <f>IFERROR((HLOOKUP($AH532,Target_monthwise!$D$24:$O$40,DTR!AB$4,FALSE)),0)</f>
        <v>0</v>
      </c>
      <c r="AC532" s="239">
        <f>IFERROR((HLOOKUP($AH532,Target_monthwise!$D$24:$O$40,DTR!AC$4,FALSE)),0)</f>
        <v>0</v>
      </c>
      <c r="AD532" s="239">
        <f>IFERROR((HLOOKUP($AH532,Target_monthwise!$D$24:$O$40,DTR!AD$4,FALSE)),0)</f>
        <v>0</v>
      </c>
      <c r="AE532" s="239">
        <f>IFERROR((HLOOKUP($AH532,Target_monthwise!$D$24:$O$40,DTR!AE$4,FALSE)),0)</f>
        <v>0</v>
      </c>
      <c r="AF532" s="239">
        <f>IFERROR((HLOOKUP($AH532,Target_monthwise!$D$24:$O$40,DTR!AF$4,FALSE)),0)</f>
        <v>0</v>
      </c>
      <c r="AG532" s="172">
        <f>IFERROR((HLOOKUP($AH532,Target_monthwise!$D$24:$O$40,DTR!AG$4,FALSE)),0)</f>
        <v>0</v>
      </c>
      <c r="AH532" s="253">
        <f t="shared" si="9"/>
        <v>202309</v>
      </c>
    </row>
    <row r="533" spans="3:34" ht="15.75" hidden="1">
      <c r="C533" s="235">
        <v>45176</v>
      </c>
      <c r="D533" s="141">
        <f>IFERROR((HLOOKUP($AH533,Target_monthwise!$D$4:$O$20,DTR!D$4,FALSE))*1000,0)</f>
        <v>0</v>
      </c>
      <c r="E533" s="141">
        <f>IFERROR((HLOOKUP($AH533,Target_monthwise!$D$4:$O$20,DTR!E$4,FALSE))*1000,0)</f>
        <v>0</v>
      </c>
      <c r="F533" s="141">
        <f>IFERROR((HLOOKUP($AH533,Target_monthwise!$D$4:$O$20,DTR!F$4,FALSE))*1000,0)</f>
        <v>0</v>
      </c>
      <c r="G533" s="141">
        <f>IFERROR((HLOOKUP($AH533,Target_monthwise!$D$4:$O$20,DTR!G$4,FALSE))*1000,0)</f>
        <v>0</v>
      </c>
      <c r="H533" s="141">
        <f>IFERROR((HLOOKUP($AH533,Target_monthwise!$D$4:$O$20,DTR!H$4,FALSE))*1000,0)</f>
        <v>0</v>
      </c>
      <c r="I533" s="141">
        <f>IFERROR((HLOOKUP($AH533,Target_monthwise!$D$4:$O$20,DTR!I$4,FALSE))*1000,0)</f>
        <v>0</v>
      </c>
      <c r="J533" s="141">
        <f>IFERROR((HLOOKUP($AH533,Target_monthwise!$D$4:$O$20,DTR!J$4,FALSE))*1000,0)</f>
        <v>0</v>
      </c>
      <c r="K533" s="141">
        <f>IFERROR((HLOOKUP($AH533,Target_monthwise!$D$4:$O$20,DTR!K$4,FALSE))*1000,0)</f>
        <v>0</v>
      </c>
      <c r="L533" s="141">
        <f>IFERROR((HLOOKUP($AH533,Target_monthwise!$D$4:$O$20,DTR!L$4,FALSE))*1000,0)</f>
        <v>0</v>
      </c>
      <c r="M533" s="141">
        <f>IFERROR((HLOOKUP($AH533,Target_monthwise!$D$4:$O$20,DTR!M$4,FALSE))*1000,0)</f>
        <v>0</v>
      </c>
      <c r="N533" s="141">
        <f>IFERROR((HLOOKUP($AH533,Target_monthwise!$D$4:$O$20,DTR!N$4,FALSE))*1000,0)</f>
        <v>0</v>
      </c>
      <c r="O533" s="141">
        <f>IFERROR((HLOOKUP($AH533,Target_monthwise!$D$4:$O$20,DTR!O$4,FALSE))*1000,0)</f>
        <v>0</v>
      </c>
      <c r="P533" s="141">
        <f>IFERROR((HLOOKUP($AH533,Target_monthwise!$D$4:$O$20,DTR!P$4,FALSE))*1000,0)</f>
        <v>0</v>
      </c>
      <c r="Q533" s="141">
        <f>IFERROR((HLOOKUP($AH533,Target_monthwise!$D$4:$O$20,DTR!Q$4,FALSE))*1000,0)</f>
        <v>0</v>
      </c>
      <c r="R533" s="167">
        <f>IFERROR((HLOOKUP($AH533,Target_monthwise!$D$4:$O$20,DTR!R$4,FALSE))*1000,0)</f>
        <v>0</v>
      </c>
      <c r="S533" s="147">
        <f>IFERROR((HLOOKUP($AH533,Target_monthwise!$D$24:$O$40,DTR!S$4,FALSE)),0)</f>
        <v>0</v>
      </c>
      <c r="T533" s="147">
        <f>IFERROR((HLOOKUP($AH533,Target_monthwise!$D$24:$O$40,DTR!T$4,FALSE)),0)</f>
        <v>0</v>
      </c>
      <c r="U533" s="147">
        <f>IFERROR((HLOOKUP($AH533,Target_monthwise!$D$24:$O$40,DTR!U$4,FALSE)),0)</f>
        <v>0</v>
      </c>
      <c r="V533" s="147">
        <f>IFERROR((HLOOKUP($AH533,Target_monthwise!$D$24:$O$40,DTR!V$4,FALSE)),0)</f>
        <v>0</v>
      </c>
      <c r="W533" s="147">
        <f>IFERROR((HLOOKUP($AH533,Target_monthwise!$D$24:$O$40,DTR!W$4,FALSE)),0)</f>
        <v>0</v>
      </c>
      <c r="X533" s="147">
        <f>IFERROR((HLOOKUP($AH533,Target_monthwise!$D$24:$O$40,DTR!X$4,FALSE)),0)</f>
        <v>0</v>
      </c>
      <c r="Y533" s="147">
        <f>IFERROR((HLOOKUP($AH533,Target_monthwise!$D$24:$O$40,DTR!Y$4,FALSE)),0)</f>
        <v>0</v>
      </c>
      <c r="Z533" s="147">
        <f>IFERROR((HLOOKUP($AH533,Target_monthwise!$D$24:$O$40,DTR!Z$4,FALSE)),0)</f>
        <v>0</v>
      </c>
      <c r="AA533" s="147">
        <f>IFERROR((HLOOKUP($AH533,Target_monthwise!$D$24:$O$40,DTR!AA$4,FALSE)),0)</f>
        <v>0</v>
      </c>
      <c r="AB533" s="147">
        <f>IFERROR((HLOOKUP($AH533,Target_monthwise!$D$24:$O$40,DTR!AB$4,FALSE)),0)</f>
        <v>0</v>
      </c>
      <c r="AC533" s="147">
        <f>IFERROR((HLOOKUP($AH533,Target_monthwise!$D$24:$O$40,DTR!AC$4,FALSE)),0)</f>
        <v>0</v>
      </c>
      <c r="AD533" s="147">
        <f>IFERROR((HLOOKUP($AH533,Target_monthwise!$D$24:$O$40,DTR!AD$4,FALSE)),0)</f>
        <v>0</v>
      </c>
      <c r="AE533" s="147">
        <f>IFERROR((HLOOKUP($AH533,Target_monthwise!$D$24:$O$40,DTR!AE$4,FALSE)),0)</f>
        <v>0</v>
      </c>
      <c r="AF533" s="147">
        <f>IFERROR((HLOOKUP($AH533,Target_monthwise!$D$24:$O$40,DTR!AF$4,FALSE)),0)</f>
        <v>0</v>
      </c>
      <c r="AG533" s="172">
        <f>IFERROR((HLOOKUP($AH533,Target_monthwise!$D$24:$O$40,DTR!AG$4,FALSE)),0)</f>
        <v>0</v>
      </c>
      <c r="AH533" s="253">
        <f t="shared" si="9"/>
        <v>202309</v>
      </c>
    </row>
    <row r="534" spans="3:34" ht="15.75" hidden="1">
      <c r="C534" s="237">
        <v>45177</v>
      </c>
      <c r="D534" s="238">
        <f>IFERROR((HLOOKUP($AH534,Target_monthwise!$D$4:$O$20,DTR!D$4,FALSE))*1000,0)</f>
        <v>0</v>
      </c>
      <c r="E534" s="238">
        <f>IFERROR((HLOOKUP($AH534,Target_monthwise!$D$4:$O$20,DTR!E$4,FALSE))*1000,0)</f>
        <v>0</v>
      </c>
      <c r="F534" s="238">
        <f>IFERROR((HLOOKUP($AH534,Target_monthwise!$D$4:$O$20,DTR!F$4,FALSE))*1000,0)</f>
        <v>0</v>
      </c>
      <c r="G534" s="238">
        <f>IFERROR((HLOOKUP($AH534,Target_monthwise!$D$4:$O$20,DTR!G$4,FALSE))*1000,0)</f>
        <v>0</v>
      </c>
      <c r="H534" s="238">
        <f>IFERROR((HLOOKUP($AH534,Target_monthwise!$D$4:$O$20,DTR!H$4,FALSE))*1000,0)</f>
        <v>0</v>
      </c>
      <c r="I534" s="238">
        <f>IFERROR((HLOOKUP($AH534,Target_monthwise!$D$4:$O$20,DTR!I$4,FALSE))*1000,0)</f>
        <v>0</v>
      </c>
      <c r="J534" s="238">
        <f>IFERROR((HLOOKUP($AH534,Target_monthwise!$D$4:$O$20,DTR!J$4,FALSE))*1000,0)</f>
        <v>0</v>
      </c>
      <c r="K534" s="238">
        <f>IFERROR((HLOOKUP($AH534,Target_monthwise!$D$4:$O$20,DTR!K$4,FALSE))*1000,0)</f>
        <v>0</v>
      </c>
      <c r="L534" s="238">
        <f>IFERROR((HLOOKUP($AH534,Target_monthwise!$D$4:$O$20,DTR!L$4,FALSE))*1000,0)</f>
        <v>0</v>
      </c>
      <c r="M534" s="238">
        <f>IFERROR((HLOOKUP($AH534,Target_monthwise!$D$4:$O$20,DTR!M$4,FALSE))*1000,0)</f>
        <v>0</v>
      </c>
      <c r="N534" s="238">
        <f>IFERROR((HLOOKUP($AH534,Target_monthwise!$D$4:$O$20,DTR!N$4,FALSE))*1000,0)</f>
        <v>0</v>
      </c>
      <c r="O534" s="238">
        <f>IFERROR((HLOOKUP($AH534,Target_monthwise!$D$4:$O$20,DTR!O$4,FALSE))*1000,0)</f>
        <v>0</v>
      </c>
      <c r="P534" s="238">
        <f>IFERROR((HLOOKUP($AH534,Target_monthwise!$D$4:$O$20,DTR!P$4,FALSE))*1000,0)</f>
        <v>0</v>
      </c>
      <c r="Q534" s="141">
        <f>IFERROR((HLOOKUP($AH534,Target_monthwise!$D$4:$O$20,DTR!Q$4,FALSE))*1000,0)</f>
        <v>0</v>
      </c>
      <c r="R534" s="167">
        <f>IFERROR((HLOOKUP($AH534,Target_monthwise!$D$4:$O$20,DTR!R$4,FALSE))*1000,0)</f>
        <v>0</v>
      </c>
      <c r="S534" s="239">
        <f>IFERROR((HLOOKUP($AH534,Target_monthwise!$D$24:$O$40,DTR!S$4,FALSE)),0)</f>
        <v>0</v>
      </c>
      <c r="T534" s="239">
        <f>IFERROR((HLOOKUP($AH534,Target_monthwise!$D$24:$O$40,DTR!T$4,FALSE)),0)</f>
        <v>0</v>
      </c>
      <c r="U534" s="239">
        <f>IFERROR((HLOOKUP($AH534,Target_monthwise!$D$24:$O$40,DTR!U$4,FALSE)),0)</f>
        <v>0</v>
      </c>
      <c r="V534" s="239">
        <f>IFERROR((HLOOKUP($AH534,Target_monthwise!$D$24:$O$40,DTR!V$4,FALSE)),0)</f>
        <v>0</v>
      </c>
      <c r="W534" s="239">
        <f>IFERROR((HLOOKUP($AH534,Target_monthwise!$D$24:$O$40,DTR!W$4,FALSE)),0)</f>
        <v>0</v>
      </c>
      <c r="X534" s="239">
        <f>IFERROR((HLOOKUP($AH534,Target_monthwise!$D$24:$O$40,DTR!X$4,FALSE)),0)</f>
        <v>0</v>
      </c>
      <c r="Y534" s="239">
        <f>IFERROR((HLOOKUP($AH534,Target_monthwise!$D$24:$O$40,DTR!Y$4,FALSE)),0)</f>
        <v>0</v>
      </c>
      <c r="Z534" s="147">
        <f>IFERROR((HLOOKUP($AH534,Target_monthwise!$D$24:$O$40,DTR!Z$4,FALSE)),0)</f>
        <v>0</v>
      </c>
      <c r="AA534" s="147">
        <f>IFERROR((HLOOKUP($AH534,Target_monthwise!$D$24:$O$40,DTR!AA$4,FALSE)),0)</f>
        <v>0</v>
      </c>
      <c r="AB534" s="147">
        <f>IFERROR((HLOOKUP($AH534,Target_monthwise!$D$24:$O$40,DTR!AB$4,FALSE)),0)</f>
        <v>0</v>
      </c>
      <c r="AC534" s="239">
        <f>IFERROR((HLOOKUP($AH534,Target_monthwise!$D$24:$O$40,DTR!AC$4,FALSE)),0)</f>
        <v>0</v>
      </c>
      <c r="AD534" s="239">
        <f>IFERROR((HLOOKUP($AH534,Target_monthwise!$D$24:$O$40,DTR!AD$4,FALSE)),0)</f>
        <v>0</v>
      </c>
      <c r="AE534" s="239">
        <f>IFERROR((HLOOKUP($AH534,Target_monthwise!$D$24:$O$40,DTR!AE$4,FALSE)),0)</f>
        <v>0</v>
      </c>
      <c r="AF534" s="239">
        <f>IFERROR((HLOOKUP($AH534,Target_monthwise!$D$24:$O$40,DTR!AF$4,FALSE)),0)</f>
        <v>0</v>
      </c>
      <c r="AG534" s="172">
        <f>IFERROR((HLOOKUP($AH534,Target_monthwise!$D$24:$O$40,DTR!AG$4,FALSE)),0)</f>
        <v>0</v>
      </c>
      <c r="AH534" s="253">
        <f t="shared" si="9"/>
        <v>202309</v>
      </c>
    </row>
    <row r="535" spans="3:34" ht="15.75" hidden="1">
      <c r="C535" s="235">
        <v>45178</v>
      </c>
      <c r="D535" s="141">
        <f>IFERROR((HLOOKUP($AH535,Target_monthwise!$D$4:$O$20,DTR!D$4,FALSE))*1000,0)</f>
        <v>0</v>
      </c>
      <c r="E535" s="141">
        <f>IFERROR((HLOOKUP($AH535,Target_monthwise!$D$4:$O$20,DTR!E$4,FALSE))*1000,0)</f>
        <v>0</v>
      </c>
      <c r="F535" s="141">
        <f>IFERROR((HLOOKUP($AH535,Target_monthwise!$D$4:$O$20,DTR!F$4,FALSE))*1000,0)</f>
        <v>0</v>
      </c>
      <c r="G535" s="141">
        <f>IFERROR((HLOOKUP($AH535,Target_monthwise!$D$4:$O$20,DTR!G$4,FALSE))*1000,0)</f>
        <v>0</v>
      </c>
      <c r="H535" s="141">
        <f>IFERROR((HLOOKUP($AH535,Target_monthwise!$D$4:$O$20,DTR!H$4,FALSE))*1000,0)</f>
        <v>0</v>
      </c>
      <c r="I535" s="141">
        <f>IFERROR((HLOOKUP($AH535,Target_monthwise!$D$4:$O$20,DTR!I$4,FALSE))*1000,0)</f>
        <v>0</v>
      </c>
      <c r="J535" s="141">
        <f>IFERROR((HLOOKUP($AH535,Target_monthwise!$D$4:$O$20,DTR!J$4,FALSE))*1000,0)</f>
        <v>0</v>
      </c>
      <c r="K535" s="141">
        <f>IFERROR((HLOOKUP($AH535,Target_monthwise!$D$4:$O$20,DTR!K$4,FALSE))*1000,0)</f>
        <v>0</v>
      </c>
      <c r="L535" s="141">
        <f>IFERROR((HLOOKUP($AH535,Target_monthwise!$D$4:$O$20,DTR!L$4,FALSE))*1000,0)</f>
        <v>0</v>
      </c>
      <c r="M535" s="141">
        <f>IFERROR((HLOOKUP($AH535,Target_monthwise!$D$4:$O$20,DTR!M$4,FALSE))*1000,0)</f>
        <v>0</v>
      </c>
      <c r="N535" s="141">
        <f>IFERROR((HLOOKUP($AH535,Target_monthwise!$D$4:$O$20,DTR!N$4,FALSE))*1000,0)</f>
        <v>0</v>
      </c>
      <c r="O535" s="141">
        <f>IFERROR((HLOOKUP($AH535,Target_monthwise!$D$4:$O$20,DTR!O$4,FALSE))*1000,0)</f>
        <v>0</v>
      </c>
      <c r="P535" s="141">
        <f>IFERROR((HLOOKUP($AH535,Target_monthwise!$D$4:$O$20,DTR!P$4,FALSE))*1000,0)</f>
        <v>0</v>
      </c>
      <c r="Q535" s="141">
        <f>IFERROR((HLOOKUP($AH535,Target_monthwise!$D$4:$O$20,DTR!Q$4,FALSE))*1000,0)</f>
        <v>0</v>
      </c>
      <c r="R535" s="167">
        <f>IFERROR((HLOOKUP($AH535,Target_monthwise!$D$4:$O$20,DTR!R$4,FALSE))*1000,0)</f>
        <v>0</v>
      </c>
      <c r="S535" s="147">
        <f>IFERROR((HLOOKUP($AH535,Target_monthwise!$D$24:$O$40,DTR!S$4,FALSE)),0)</f>
        <v>0</v>
      </c>
      <c r="T535" s="147">
        <f>IFERROR((HLOOKUP($AH535,Target_monthwise!$D$24:$O$40,DTR!T$4,FALSE)),0)</f>
        <v>0</v>
      </c>
      <c r="U535" s="147">
        <f>IFERROR((HLOOKUP($AH535,Target_monthwise!$D$24:$O$40,DTR!U$4,FALSE)),0)</f>
        <v>0</v>
      </c>
      <c r="V535" s="147">
        <f>IFERROR((HLOOKUP($AH535,Target_monthwise!$D$24:$O$40,DTR!V$4,FALSE)),0)</f>
        <v>0</v>
      </c>
      <c r="W535" s="147">
        <f>IFERROR((HLOOKUP($AH535,Target_monthwise!$D$24:$O$40,DTR!W$4,FALSE)),0)</f>
        <v>0</v>
      </c>
      <c r="X535" s="147">
        <f>IFERROR((HLOOKUP($AH535,Target_monthwise!$D$24:$O$40,DTR!X$4,FALSE)),0)</f>
        <v>0</v>
      </c>
      <c r="Y535" s="147">
        <f>IFERROR((HLOOKUP($AH535,Target_monthwise!$D$24:$O$40,DTR!Y$4,FALSE)),0)</f>
        <v>0</v>
      </c>
      <c r="Z535" s="147">
        <f>IFERROR((HLOOKUP($AH535,Target_monthwise!$D$24:$O$40,DTR!Z$4,FALSE)),0)</f>
        <v>0</v>
      </c>
      <c r="AA535" s="147">
        <f>IFERROR((HLOOKUP($AH535,Target_monthwise!$D$24:$O$40,DTR!AA$4,FALSE)),0)</f>
        <v>0</v>
      </c>
      <c r="AB535" s="147">
        <f>IFERROR((HLOOKUP($AH535,Target_monthwise!$D$24:$O$40,DTR!AB$4,FALSE)),0)</f>
        <v>0</v>
      </c>
      <c r="AC535" s="147">
        <f>IFERROR((HLOOKUP($AH535,Target_monthwise!$D$24:$O$40,DTR!AC$4,FALSE)),0)</f>
        <v>0</v>
      </c>
      <c r="AD535" s="147">
        <f>IFERROR((HLOOKUP($AH535,Target_monthwise!$D$24:$O$40,DTR!AD$4,FALSE)),0)</f>
        <v>0</v>
      </c>
      <c r="AE535" s="147">
        <f>IFERROR((HLOOKUP($AH535,Target_monthwise!$D$24:$O$40,DTR!AE$4,FALSE)),0)</f>
        <v>0</v>
      </c>
      <c r="AF535" s="147">
        <f>IFERROR((HLOOKUP($AH535,Target_monthwise!$D$24:$O$40,DTR!AF$4,FALSE)),0)</f>
        <v>0</v>
      </c>
      <c r="AG535" s="172">
        <f>IFERROR((HLOOKUP($AH535,Target_monthwise!$D$24:$O$40,DTR!AG$4,FALSE)),0)</f>
        <v>0</v>
      </c>
      <c r="AH535" s="253">
        <f t="shared" si="9"/>
        <v>202309</v>
      </c>
    </row>
    <row r="536" spans="3:34" ht="15.75" hidden="1">
      <c r="C536" s="237">
        <v>45179</v>
      </c>
      <c r="D536" s="238">
        <f>IFERROR((HLOOKUP($AH536,Target_monthwise!$D$4:$O$20,DTR!D$4,FALSE))*1000,0)</f>
        <v>0</v>
      </c>
      <c r="E536" s="238">
        <f>IFERROR((HLOOKUP($AH536,Target_monthwise!$D$4:$O$20,DTR!E$4,FALSE))*1000,0)</f>
        <v>0</v>
      </c>
      <c r="F536" s="238">
        <f>IFERROR((HLOOKUP($AH536,Target_monthwise!$D$4:$O$20,DTR!F$4,FALSE))*1000,0)</f>
        <v>0</v>
      </c>
      <c r="G536" s="238">
        <f>IFERROR((HLOOKUP($AH536,Target_monthwise!$D$4:$O$20,DTR!G$4,FALSE))*1000,0)</f>
        <v>0</v>
      </c>
      <c r="H536" s="238">
        <f>IFERROR((HLOOKUP($AH536,Target_monthwise!$D$4:$O$20,DTR!H$4,FALSE))*1000,0)</f>
        <v>0</v>
      </c>
      <c r="I536" s="238">
        <f>IFERROR((HLOOKUP($AH536,Target_monthwise!$D$4:$O$20,DTR!I$4,FALSE))*1000,0)</f>
        <v>0</v>
      </c>
      <c r="J536" s="238">
        <f>IFERROR((HLOOKUP($AH536,Target_monthwise!$D$4:$O$20,DTR!J$4,FALSE))*1000,0)</f>
        <v>0</v>
      </c>
      <c r="K536" s="238">
        <f>IFERROR((HLOOKUP($AH536,Target_monthwise!$D$4:$O$20,DTR!K$4,FALSE))*1000,0)</f>
        <v>0</v>
      </c>
      <c r="L536" s="238">
        <f>IFERROR((HLOOKUP($AH536,Target_monthwise!$D$4:$O$20,DTR!L$4,FALSE))*1000,0)</f>
        <v>0</v>
      </c>
      <c r="M536" s="238">
        <f>IFERROR((HLOOKUP($AH536,Target_monthwise!$D$4:$O$20,DTR!M$4,FALSE))*1000,0)</f>
        <v>0</v>
      </c>
      <c r="N536" s="238">
        <f>IFERROR((HLOOKUP($AH536,Target_monthwise!$D$4:$O$20,DTR!N$4,FALSE))*1000,0)</f>
        <v>0</v>
      </c>
      <c r="O536" s="238">
        <f>IFERROR((HLOOKUP($AH536,Target_monthwise!$D$4:$O$20,DTR!O$4,FALSE))*1000,0)</f>
        <v>0</v>
      </c>
      <c r="P536" s="238">
        <f>IFERROR((HLOOKUP($AH536,Target_monthwise!$D$4:$O$20,DTR!P$4,FALSE))*1000,0)</f>
        <v>0</v>
      </c>
      <c r="Q536" s="141">
        <f>IFERROR((HLOOKUP($AH536,Target_monthwise!$D$4:$O$20,DTR!Q$4,FALSE))*1000,0)</f>
        <v>0</v>
      </c>
      <c r="R536" s="167">
        <f>IFERROR((HLOOKUP($AH536,Target_monthwise!$D$4:$O$20,DTR!R$4,FALSE))*1000,0)</f>
        <v>0</v>
      </c>
      <c r="S536" s="239">
        <f>IFERROR((HLOOKUP($AH536,Target_monthwise!$D$24:$O$40,DTR!S$4,FALSE)),0)</f>
        <v>0</v>
      </c>
      <c r="T536" s="239">
        <f>IFERROR((HLOOKUP($AH536,Target_monthwise!$D$24:$O$40,DTR!T$4,FALSE)),0)</f>
        <v>0</v>
      </c>
      <c r="U536" s="239">
        <f>IFERROR((HLOOKUP($AH536,Target_monthwise!$D$24:$O$40,DTR!U$4,FALSE)),0)</f>
        <v>0</v>
      </c>
      <c r="V536" s="239">
        <f>IFERROR((HLOOKUP($AH536,Target_monthwise!$D$24:$O$40,DTR!V$4,FALSE)),0)</f>
        <v>0</v>
      </c>
      <c r="W536" s="239">
        <f>IFERROR((HLOOKUP($AH536,Target_monthwise!$D$24:$O$40,DTR!W$4,FALSE)),0)</f>
        <v>0</v>
      </c>
      <c r="X536" s="239">
        <f>IFERROR((HLOOKUP($AH536,Target_monthwise!$D$24:$O$40,DTR!X$4,FALSE)),0)</f>
        <v>0</v>
      </c>
      <c r="Y536" s="239">
        <f>IFERROR((HLOOKUP($AH536,Target_monthwise!$D$24:$O$40,DTR!Y$4,FALSE)),0)</f>
        <v>0</v>
      </c>
      <c r="Z536" s="147">
        <f>IFERROR((HLOOKUP($AH536,Target_monthwise!$D$24:$O$40,DTR!Z$4,FALSE)),0)</f>
        <v>0</v>
      </c>
      <c r="AA536" s="147">
        <f>IFERROR((HLOOKUP($AH536,Target_monthwise!$D$24:$O$40,DTR!AA$4,FALSE)),0)</f>
        <v>0</v>
      </c>
      <c r="AB536" s="147">
        <f>IFERROR((HLOOKUP($AH536,Target_monthwise!$D$24:$O$40,DTR!AB$4,FALSE)),0)</f>
        <v>0</v>
      </c>
      <c r="AC536" s="239">
        <f>IFERROR((HLOOKUP($AH536,Target_monthwise!$D$24:$O$40,DTR!AC$4,FALSE)),0)</f>
        <v>0</v>
      </c>
      <c r="AD536" s="239">
        <f>IFERROR((HLOOKUP($AH536,Target_monthwise!$D$24:$O$40,DTR!AD$4,FALSE)),0)</f>
        <v>0</v>
      </c>
      <c r="AE536" s="239">
        <f>IFERROR((HLOOKUP($AH536,Target_monthwise!$D$24:$O$40,DTR!AE$4,FALSE)),0)</f>
        <v>0</v>
      </c>
      <c r="AF536" s="239">
        <f>IFERROR((HLOOKUP($AH536,Target_monthwise!$D$24:$O$40,DTR!AF$4,FALSE)),0)</f>
        <v>0</v>
      </c>
      <c r="AG536" s="172">
        <f>IFERROR((HLOOKUP($AH536,Target_monthwise!$D$24:$O$40,DTR!AG$4,FALSE)),0)</f>
        <v>0</v>
      </c>
      <c r="AH536" s="253">
        <f t="shared" si="9"/>
        <v>202309</v>
      </c>
    </row>
    <row r="537" spans="3:34" ht="15.75" hidden="1">
      <c r="C537" s="235">
        <v>45180</v>
      </c>
      <c r="D537" s="141">
        <f>IFERROR((HLOOKUP($AH537,Target_monthwise!$D$4:$O$20,DTR!D$4,FALSE))*1000,0)</f>
        <v>0</v>
      </c>
      <c r="E537" s="141">
        <f>IFERROR((HLOOKUP($AH537,Target_monthwise!$D$4:$O$20,DTR!E$4,FALSE))*1000,0)</f>
        <v>0</v>
      </c>
      <c r="F537" s="141">
        <f>IFERROR((HLOOKUP($AH537,Target_monthwise!$D$4:$O$20,DTR!F$4,FALSE))*1000,0)</f>
        <v>0</v>
      </c>
      <c r="G537" s="141">
        <f>IFERROR((HLOOKUP($AH537,Target_monthwise!$D$4:$O$20,DTR!G$4,FALSE))*1000,0)</f>
        <v>0</v>
      </c>
      <c r="H537" s="141">
        <f>IFERROR((HLOOKUP($AH537,Target_monthwise!$D$4:$O$20,DTR!H$4,FALSE))*1000,0)</f>
        <v>0</v>
      </c>
      <c r="I537" s="141">
        <f>IFERROR((HLOOKUP($AH537,Target_monthwise!$D$4:$O$20,DTR!I$4,FALSE))*1000,0)</f>
        <v>0</v>
      </c>
      <c r="J537" s="141">
        <f>IFERROR((HLOOKUP($AH537,Target_monthwise!$D$4:$O$20,DTR!J$4,FALSE))*1000,0)</f>
        <v>0</v>
      </c>
      <c r="K537" s="141">
        <f>IFERROR((HLOOKUP($AH537,Target_monthwise!$D$4:$O$20,DTR!K$4,FALSE))*1000,0)</f>
        <v>0</v>
      </c>
      <c r="L537" s="141">
        <f>IFERROR((HLOOKUP($AH537,Target_monthwise!$D$4:$O$20,DTR!L$4,FALSE))*1000,0)</f>
        <v>0</v>
      </c>
      <c r="M537" s="141">
        <f>IFERROR((HLOOKUP($AH537,Target_monthwise!$D$4:$O$20,DTR!M$4,FALSE))*1000,0)</f>
        <v>0</v>
      </c>
      <c r="N537" s="141">
        <f>IFERROR((HLOOKUP($AH537,Target_monthwise!$D$4:$O$20,DTR!N$4,FALSE))*1000,0)</f>
        <v>0</v>
      </c>
      <c r="O537" s="141">
        <f>IFERROR((HLOOKUP($AH537,Target_monthwise!$D$4:$O$20,DTR!O$4,FALSE))*1000,0)</f>
        <v>0</v>
      </c>
      <c r="P537" s="141">
        <f>IFERROR((HLOOKUP($AH537,Target_monthwise!$D$4:$O$20,DTR!P$4,FALSE))*1000,0)</f>
        <v>0</v>
      </c>
      <c r="Q537" s="141">
        <f>IFERROR((HLOOKUP($AH537,Target_monthwise!$D$4:$O$20,DTR!Q$4,FALSE))*1000,0)</f>
        <v>0</v>
      </c>
      <c r="R537" s="167">
        <f>IFERROR((HLOOKUP($AH537,Target_monthwise!$D$4:$O$20,DTR!R$4,FALSE))*1000,0)</f>
        <v>0</v>
      </c>
      <c r="S537" s="147">
        <f>IFERROR((HLOOKUP($AH537,Target_monthwise!$D$24:$O$40,DTR!S$4,FALSE)),0)</f>
        <v>0</v>
      </c>
      <c r="T537" s="147">
        <f>IFERROR((HLOOKUP($AH537,Target_monthwise!$D$24:$O$40,DTR!T$4,FALSE)),0)</f>
        <v>0</v>
      </c>
      <c r="U537" s="147">
        <f>IFERROR((HLOOKUP($AH537,Target_monthwise!$D$24:$O$40,DTR!U$4,FALSE)),0)</f>
        <v>0</v>
      </c>
      <c r="V537" s="147">
        <f>IFERROR((HLOOKUP($AH537,Target_monthwise!$D$24:$O$40,DTR!V$4,FALSE)),0)</f>
        <v>0</v>
      </c>
      <c r="W537" s="147">
        <f>IFERROR((HLOOKUP($AH537,Target_monthwise!$D$24:$O$40,DTR!W$4,FALSE)),0)</f>
        <v>0</v>
      </c>
      <c r="X537" s="147">
        <f>IFERROR((HLOOKUP($AH537,Target_monthwise!$D$24:$O$40,DTR!X$4,FALSE)),0)</f>
        <v>0</v>
      </c>
      <c r="Y537" s="147">
        <f>IFERROR((HLOOKUP($AH537,Target_monthwise!$D$24:$O$40,DTR!Y$4,FALSE)),0)</f>
        <v>0</v>
      </c>
      <c r="Z537" s="147">
        <f>IFERROR((HLOOKUP($AH537,Target_monthwise!$D$24:$O$40,DTR!Z$4,FALSE)),0)</f>
        <v>0</v>
      </c>
      <c r="AA537" s="147">
        <f>IFERROR((HLOOKUP($AH537,Target_monthwise!$D$24:$O$40,DTR!AA$4,FALSE)),0)</f>
        <v>0</v>
      </c>
      <c r="AB537" s="147">
        <f>IFERROR((HLOOKUP($AH537,Target_monthwise!$D$24:$O$40,DTR!AB$4,FALSE)),0)</f>
        <v>0</v>
      </c>
      <c r="AC537" s="147">
        <f>IFERROR((HLOOKUP($AH537,Target_monthwise!$D$24:$O$40,DTR!AC$4,FALSE)),0)</f>
        <v>0</v>
      </c>
      <c r="AD537" s="147">
        <f>IFERROR((HLOOKUP($AH537,Target_monthwise!$D$24:$O$40,DTR!AD$4,FALSE)),0)</f>
        <v>0</v>
      </c>
      <c r="AE537" s="147">
        <f>IFERROR((HLOOKUP($AH537,Target_monthwise!$D$24:$O$40,DTR!AE$4,FALSE)),0)</f>
        <v>0</v>
      </c>
      <c r="AF537" s="147">
        <f>IFERROR((HLOOKUP($AH537,Target_monthwise!$D$24:$O$40,DTR!AF$4,FALSE)),0)</f>
        <v>0</v>
      </c>
      <c r="AG537" s="172">
        <f>IFERROR((HLOOKUP($AH537,Target_monthwise!$D$24:$O$40,DTR!AG$4,FALSE)),0)</f>
        <v>0</v>
      </c>
      <c r="AH537" s="253">
        <f t="shared" si="9"/>
        <v>202309</v>
      </c>
    </row>
    <row r="538" spans="3:34" ht="15.75" hidden="1">
      <c r="C538" s="237">
        <v>45181</v>
      </c>
      <c r="D538" s="238">
        <f>IFERROR((HLOOKUP($AH538,Target_monthwise!$D$4:$O$20,DTR!D$4,FALSE))*1000,0)</f>
        <v>0</v>
      </c>
      <c r="E538" s="238">
        <f>IFERROR((HLOOKUP($AH538,Target_monthwise!$D$4:$O$20,DTR!E$4,FALSE))*1000,0)</f>
        <v>0</v>
      </c>
      <c r="F538" s="238">
        <f>IFERROR((HLOOKUP($AH538,Target_monthwise!$D$4:$O$20,DTR!F$4,FALSE))*1000,0)</f>
        <v>0</v>
      </c>
      <c r="G538" s="238">
        <f>IFERROR((HLOOKUP($AH538,Target_monthwise!$D$4:$O$20,DTR!G$4,FALSE))*1000,0)</f>
        <v>0</v>
      </c>
      <c r="H538" s="238">
        <f>IFERROR((HLOOKUP($AH538,Target_monthwise!$D$4:$O$20,DTR!H$4,FALSE))*1000,0)</f>
        <v>0</v>
      </c>
      <c r="I538" s="238">
        <f>IFERROR((HLOOKUP($AH538,Target_monthwise!$D$4:$O$20,DTR!I$4,FALSE))*1000,0)</f>
        <v>0</v>
      </c>
      <c r="J538" s="238">
        <f>IFERROR((HLOOKUP($AH538,Target_monthwise!$D$4:$O$20,DTR!J$4,FALSE))*1000,0)</f>
        <v>0</v>
      </c>
      <c r="K538" s="238">
        <f>IFERROR((HLOOKUP($AH538,Target_monthwise!$D$4:$O$20,DTR!K$4,FALSE))*1000,0)</f>
        <v>0</v>
      </c>
      <c r="L538" s="238">
        <f>IFERROR((HLOOKUP($AH538,Target_monthwise!$D$4:$O$20,DTR!L$4,FALSE))*1000,0)</f>
        <v>0</v>
      </c>
      <c r="M538" s="238">
        <f>IFERROR((HLOOKUP($AH538,Target_monthwise!$D$4:$O$20,DTR!M$4,FALSE))*1000,0)</f>
        <v>0</v>
      </c>
      <c r="N538" s="238">
        <f>IFERROR((HLOOKUP($AH538,Target_monthwise!$D$4:$O$20,DTR!N$4,FALSE))*1000,0)</f>
        <v>0</v>
      </c>
      <c r="O538" s="238">
        <f>IFERROR((HLOOKUP($AH538,Target_monthwise!$D$4:$O$20,DTR!O$4,FALSE))*1000,0)</f>
        <v>0</v>
      </c>
      <c r="P538" s="238">
        <f>IFERROR((HLOOKUP($AH538,Target_monthwise!$D$4:$O$20,DTR!P$4,FALSE))*1000,0)</f>
        <v>0</v>
      </c>
      <c r="Q538" s="141">
        <f>IFERROR((HLOOKUP($AH538,Target_monthwise!$D$4:$O$20,DTR!Q$4,FALSE))*1000,0)</f>
        <v>0</v>
      </c>
      <c r="R538" s="167">
        <f>IFERROR((HLOOKUP($AH538,Target_monthwise!$D$4:$O$20,DTR!R$4,FALSE))*1000,0)</f>
        <v>0</v>
      </c>
      <c r="S538" s="239">
        <f>IFERROR((HLOOKUP($AH538,Target_monthwise!$D$24:$O$40,DTR!S$4,FALSE)),0)</f>
        <v>0</v>
      </c>
      <c r="T538" s="239">
        <f>IFERROR((HLOOKUP($AH538,Target_monthwise!$D$24:$O$40,DTR!T$4,FALSE)),0)</f>
        <v>0</v>
      </c>
      <c r="U538" s="239">
        <f>IFERROR((HLOOKUP($AH538,Target_monthwise!$D$24:$O$40,DTR!U$4,FALSE)),0)</f>
        <v>0</v>
      </c>
      <c r="V538" s="239">
        <f>IFERROR((HLOOKUP($AH538,Target_monthwise!$D$24:$O$40,DTR!V$4,FALSE)),0)</f>
        <v>0</v>
      </c>
      <c r="W538" s="239">
        <f>IFERROR((HLOOKUP($AH538,Target_monthwise!$D$24:$O$40,DTR!W$4,FALSE)),0)</f>
        <v>0</v>
      </c>
      <c r="X538" s="239">
        <f>IFERROR((HLOOKUP($AH538,Target_monthwise!$D$24:$O$40,DTR!X$4,FALSE)),0)</f>
        <v>0</v>
      </c>
      <c r="Y538" s="239">
        <f>IFERROR((HLOOKUP($AH538,Target_monthwise!$D$24:$O$40,DTR!Y$4,FALSE)),0)</f>
        <v>0</v>
      </c>
      <c r="Z538" s="147">
        <f>IFERROR((HLOOKUP($AH538,Target_monthwise!$D$24:$O$40,DTR!Z$4,FALSE)),0)</f>
        <v>0</v>
      </c>
      <c r="AA538" s="147">
        <f>IFERROR((HLOOKUP($AH538,Target_monthwise!$D$24:$O$40,DTR!AA$4,FALSE)),0)</f>
        <v>0</v>
      </c>
      <c r="AB538" s="147">
        <f>IFERROR((HLOOKUP($AH538,Target_monthwise!$D$24:$O$40,DTR!AB$4,FALSE)),0)</f>
        <v>0</v>
      </c>
      <c r="AC538" s="239">
        <f>IFERROR((HLOOKUP($AH538,Target_monthwise!$D$24:$O$40,DTR!AC$4,FALSE)),0)</f>
        <v>0</v>
      </c>
      <c r="AD538" s="239">
        <f>IFERROR((HLOOKUP($AH538,Target_monthwise!$D$24:$O$40,DTR!AD$4,FALSE)),0)</f>
        <v>0</v>
      </c>
      <c r="AE538" s="239">
        <f>IFERROR((HLOOKUP($AH538,Target_monthwise!$D$24:$O$40,DTR!AE$4,FALSE)),0)</f>
        <v>0</v>
      </c>
      <c r="AF538" s="239">
        <f>IFERROR((HLOOKUP($AH538,Target_monthwise!$D$24:$O$40,DTR!AF$4,FALSE)),0)</f>
        <v>0</v>
      </c>
      <c r="AG538" s="172">
        <f>IFERROR((HLOOKUP($AH538,Target_monthwise!$D$24:$O$40,DTR!AG$4,FALSE)),0)</f>
        <v>0</v>
      </c>
      <c r="AH538" s="253">
        <f t="shared" si="9"/>
        <v>202309</v>
      </c>
    </row>
    <row r="539" spans="3:34" ht="15.75" hidden="1">
      <c r="C539" s="235">
        <v>45182</v>
      </c>
      <c r="D539" s="141">
        <f>IFERROR((HLOOKUP($AH539,Target_monthwise!$D$4:$O$20,DTR!D$4,FALSE))*1000,0)</f>
        <v>0</v>
      </c>
      <c r="E539" s="141">
        <f>IFERROR((HLOOKUP($AH539,Target_monthwise!$D$4:$O$20,DTR!E$4,FALSE))*1000,0)</f>
        <v>0</v>
      </c>
      <c r="F539" s="141">
        <f>IFERROR((HLOOKUP($AH539,Target_monthwise!$D$4:$O$20,DTR!F$4,FALSE))*1000,0)</f>
        <v>0</v>
      </c>
      <c r="G539" s="141">
        <f>IFERROR((HLOOKUP($AH539,Target_monthwise!$D$4:$O$20,DTR!G$4,FALSE))*1000,0)</f>
        <v>0</v>
      </c>
      <c r="H539" s="141">
        <f>IFERROR((HLOOKUP($AH539,Target_monthwise!$D$4:$O$20,DTR!H$4,FALSE))*1000,0)</f>
        <v>0</v>
      </c>
      <c r="I539" s="141">
        <f>IFERROR((HLOOKUP($AH539,Target_monthwise!$D$4:$O$20,DTR!I$4,FALSE))*1000,0)</f>
        <v>0</v>
      </c>
      <c r="J539" s="141">
        <f>IFERROR((HLOOKUP($AH539,Target_monthwise!$D$4:$O$20,DTR!J$4,FALSE))*1000,0)</f>
        <v>0</v>
      </c>
      <c r="K539" s="141">
        <f>IFERROR((HLOOKUP($AH539,Target_monthwise!$D$4:$O$20,DTR!K$4,FALSE))*1000,0)</f>
        <v>0</v>
      </c>
      <c r="L539" s="141">
        <f>IFERROR((HLOOKUP($AH539,Target_monthwise!$D$4:$O$20,DTR!L$4,FALSE))*1000,0)</f>
        <v>0</v>
      </c>
      <c r="M539" s="141">
        <f>IFERROR((HLOOKUP($AH539,Target_monthwise!$D$4:$O$20,DTR!M$4,FALSE))*1000,0)</f>
        <v>0</v>
      </c>
      <c r="N539" s="141">
        <f>IFERROR((HLOOKUP($AH539,Target_monthwise!$D$4:$O$20,DTR!N$4,FALSE))*1000,0)</f>
        <v>0</v>
      </c>
      <c r="O539" s="141">
        <f>IFERROR((HLOOKUP($AH539,Target_monthwise!$D$4:$O$20,DTR!O$4,FALSE))*1000,0)</f>
        <v>0</v>
      </c>
      <c r="P539" s="141">
        <f>IFERROR((HLOOKUP($AH539,Target_monthwise!$D$4:$O$20,DTR!P$4,FALSE))*1000,0)</f>
        <v>0</v>
      </c>
      <c r="Q539" s="141">
        <f>IFERROR((HLOOKUP($AH539,Target_monthwise!$D$4:$O$20,DTR!Q$4,FALSE))*1000,0)</f>
        <v>0</v>
      </c>
      <c r="R539" s="167">
        <f>IFERROR((HLOOKUP($AH539,Target_monthwise!$D$4:$O$20,DTR!R$4,FALSE))*1000,0)</f>
        <v>0</v>
      </c>
      <c r="S539" s="147">
        <f>IFERROR((HLOOKUP($AH539,Target_monthwise!$D$24:$O$40,DTR!S$4,FALSE)),0)</f>
        <v>0</v>
      </c>
      <c r="T539" s="147">
        <f>IFERROR((HLOOKUP($AH539,Target_monthwise!$D$24:$O$40,DTR!T$4,FALSE)),0)</f>
        <v>0</v>
      </c>
      <c r="U539" s="147">
        <f>IFERROR((HLOOKUP($AH539,Target_monthwise!$D$24:$O$40,DTR!U$4,FALSE)),0)</f>
        <v>0</v>
      </c>
      <c r="V539" s="147">
        <f>IFERROR((HLOOKUP($AH539,Target_monthwise!$D$24:$O$40,DTR!V$4,FALSE)),0)</f>
        <v>0</v>
      </c>
      <c r="W539" s="147">
        <f>IFERROR((HLOOKUP($AH539,Target_monthwise!$D$24:$O$40,DTR!W$4,FALSE)),0)</f>
        <v>0</v>
      </c>
      <c r="X539" s="147">
        <f>IFERROR((HLOOKUP($AH539,Target_monthwise!$D$24:$O$40,DTR!X$4,FALSE)),0)</f>
        <v>0</v>
      </c>
      <c r="Y539" s="147">
        <f>IFERROR((HLOOKUP($AH539,Target_monthwise!$D$24:$O$40,DTR!Y$4,FALSE)),0)</f>
        <v>0</v>
      </c>
      <c r="Z539" s="147">
        <f>IFERROR((HLOOKUP($AH539,Target_monthwise!$D$24:$O$40,DTR!Z$4,FALSE)),0)</f>
        <v>0</v>
      </c>
      <c r="AA539" s="147">
        <f>IFERROR((HLOOKUP($AH539,Target_monthwise!$D$24:$O$40,DTR!AA$4,FALSE)),0)</f>
        <v>0</v>
      </c>
      <c r="AB539" s="147">
        <f>IFERROR((HLOOKUP($AH539,Target_monthwise!$D$24:$O$40,DTR!AB$4,FALSE)),0)</f>
        <v>0</v>
      </c>
      <c r="AC539" s="147">
        <f>IFERROR((HLOOKUP($AH539,Target_monthwise!$D$24:$O$40,DTR!AC$4,FALSE)),0)</f>
        <v>0</v>
      </c>
      <c r="AD539" s="147">
        <f>IFERROR((HLOOKUP($AH539,Target_monthwise!$D$24:$O$40,DTR!AD$4,FALSE)),0)</f>
        <v>0</v>
      </c>
      <c r="AE539" s="147">
        <f>IFERROR((HLOOKUP($AH539,Target_monthwise!$D$24:$O$40,DTR!AE$4,FALSE)),0)</f>
        <v>0</v>
      </c>
      <c r="AF539" s="147">
        <f>IFERROR((HLOOKUP($AH539,Target_monthwise!$D$24:$O$40,DTR!AF$4,FALSE)),0)</f>
        <v>0</v>
      </c>
      <c r="AG539" s="172">
        <f>IFERROR((HLOOKUP($AH539,Target_monthwise!$D$24:$O$40,DTR!AG$4,FALSE)),0)</f>
        <v>0</v>
      </c>
      <c r="AH539" s="253">
        <f t="shared" si="9"/>
        <v>202309</v>
      </c>
    </row>
    <row r="540" spans="3:34" ht="15.75" hidden="1">
      <c r="C540" s="237">
        <v>45183</v>
      </c>
      <c r="D540" s="238">
        <f>IFERROR((HLOOKUP($AH540,Target_monthwise!$D$4:$O$20,DTR!D$4,FALSE))*1000,0)</f>
        <v>0</v>
      </c>
      <c r="E540" s="238">
        <f>IFERROR((HLOOKUP($AH540,Target_monthwise!$D$4:$O$20,DTR!E$4,FALSE))*1000,0)</f>
        <v>0</v>
      </c>
      <c r="F540" s="238">
        <f>IFERROR((HLOOKUP($AH540,Target_monthwise!$D$4:$O$20,DTR!F$4,FALSE))*1000,0)</f>
        <v>0</v>
      </c>
      <c r="G540" s="238">
        <f>IFERROR((HLOOKUP($AH540,Target_monthwise!$D$4:$O$20,DTR!G$4,FALSE))*1000,0)</f>
        <v>0</v>
      </c>
      <c r="H540" s="238">
        <f>IFERROR((HLOOKUP($AH540,Target_monthwise!$D$4:$O$20,DTR!H$4,FALSE))*1000,0)</f>
        <v>0</v>
      </c>
      <c r="I540" s="238">
        <f>IFERROR((HLOOKUP($AH540,Target_monthwise!$D$4:$O$20,DTR!I$4,FALSE))*1000,0)</f>
        <v>0</v>
      </c>
      <c r="J540" s="238">
        <f>IFERROR((HLOOKUP($AH540,Target_monthwise!$D$4:$O$20,DTR!J$4,FALSE))*1000,0)</f>
        <v>0</v>
      </c>
      <c r="K540" s="238">
        <f>IFERROR((HLOOKUP($AH540,Target_monthwise!$D$4:$O$20,DTR!K$4,FALSE))*1000,0)</f>
        <v>0</v>
      </c>
      <c r="L540" s="238">
        <f>IFERROR((HLOOKUP($AH540,Target_monthwise!$D$4:$O$20,DTR!L$4,FALSE))*1000,0)</f>
        <v>0</v>
      </c>
      <c r="M540" s="238">
        <f>IFERROR((HLOOKUP($AH540,Target_monthwise!$D$4:$O$20,DTR!M$4,FALSE))*1000,0)</f>
        <v>0</v>
      </c>
      <c r="N540" s="238">
        <f>IFERROR((HLOOKUP($AH540,Target_monthwise!$D$4:$O$20,DTR!N$4,FALSE))*1000,0)</f>
        <v>0</v>
      </c>
      <c r="O540" s="238">
        <f>IFERROR((HLOOKUP($AH540,Target_monthwise!$D$4:$O$20,DTR!O$4,FALSE))*1000,0)</f>
        <v>0</v>
      </c>
      <c r="P540" s="238">
        <f>IFERROR((HLOOKUP($AH540,Target_monthwise!$D$4:$O$20,DTR!P$4,FALSE))*1000,0)</f>
        <v>0</v>
      </c>
      <c r="Q540" s="141">
        <f>IFERROR((HLOOKUP($AH540,Target_monthwise!$D$4:$O$20,DTR!Q$4,FALSE))*1000,0)</f>
        <v>0</v>
      </c>
      <c r="R540" s="167">
        <f>IFERROR((HLOOKUP($AH540,Target_monthwise!$D$4:$O$20,DTR!R$4,FALSE))*1000,0)</f>
        <v>0</v>
      </c>
      <c r="S540" s="239">
        <f>IFERROR((HLOOKUP($AH540,Target_monthwise!$D$24:$O$40,DTR!S$4,FALSE)),0)</f>
        <v>0</v>
      </c>
      <c r="T540" s="239">
        <f>IFERROR((HLOOKUP($AH540,Target_monthwise!$D$24:$O$40,DTR!T$4,FALSE)),0)</f>
        <v>0</v>
      </c>
      <c r="U540" s="239">
        <f>IFERROR((HLOOKUP($AH540,Target_monthwise!$D$24:$O$40,DTR!U$4,FALSE)),0)</f>
        <v>0</v>
      </c>
      <c r="V540" s="239">
        <f>IFERROR((HLOOKUP($AH540,Target_monthwise!$D$24:$O$40,DTR!V$4,FALSE)),0)</f>
        <v>0</v>
      </c>
      <c r="W540" s="239">
        <f>IFERROR((HLOOKUP($AH540,Target_monthwise!$D$24:$O$40,DTR!W$4,FALSE)),0)</f>
        <v>0</v>
      </c>
      <c r="X540" s="239">
        <f>IFERROR((HLOOKUP($AH540,Target_monthwise!$D$24:$O$40,DTR!X$4,FALSE)),0)</f>
        <v>0</v>
      </c>
      <c r="Y540" s="239">
        <f>IFERROR((HLOOKUP($AH540,Target_monthwise!$D$24:$O$40,DTR!Y$4,FALSE)),0)</f>
        <v>0</v>
      </c>
      <c r="Z540" s="147">
        <f>IFERROR((HLOOKUP($AH540,Target_monthwise!$D$24:$O$40,DTR!Z$4,FALSE)),0)</f>
        <v>0</v>
      </c>
      <c r="AA540" s="147">
        <f>IFERROR((HLOOKUP($AH540,Target_monthwise!$D$24:$O$40,DTR!AA$4,FALSE)),0)</f>
        <v>0</v>
      </c>
      <c r="AB540" s="147">
        <f>IFERROR((HLOOKUP($AH540,Target_monthwise!$D$24:$O$40,DTR!AB$4,FALSE)),0)</f>
        <v>0</v>
      </c>
      <c r="AC540" s="239">
        <f>IFERROR((HLOOKUP($AH540,Target_monthwise!$D$24:$O$40,DTR!AC$4,FALSE)),0)</f>
        <v>0</v>
      </c>
      <c r="AD540" s="239">
        <f>IFERROR((HLOOKUP($AH540,Target_monthwise!$D$24:$O$40,DTR!AD$4,FALSE)),0)</f>
        <v>0</v>
      </c>
      <c r="AE540" s="239">
        <f>IFERROR((HLOOKUP($AH540,Target_monthwise!$D$24:$O$40,DTR!AE$4,FALSE)),0)</f>
        <v>0</v>
      </c>
      <c r="AF540" s="239">
        <f>IFERROR((HLOOKUP($AH540,Target_monthwise!$D$24:$O$40,DTR!AF$4,FALSE)),0)</f>
        <v>0</v>
      </c>
      <c r="AG540" s="172">
        <f>IFERROR((HLOOKUP($AH540,Target_monthwise!$D$24:$O$40,DTR!AG$4,FALSE)),0)</f>
        <v>0</v>
      </c>
      <c r="AH540" s="253">
        <f t="shared" si="9"/>
        <v>202309</v>
      </c>
    </row>
    <row r="541" spans="3:34" ht="15.75" hidden="1">
      <c r="C541" s="235">
        <v>45184</v>
      </c>
      <c r="D541" s="141">
        <f>IFERROR((HLOOKUP($AH541,Target_monthwise!$D$4:$O$20,DTR!D$4,FALSE))*1000,0)</f>
        <v>0</v>
      </c>
      <c r="E541" s="141">
        <f>IFERROR((HLOOKUP($AH541,Target_monthwise!$D$4:$O$20,DTR!E$4,FALSE))*1000,0)</f>
        <v>0</v>
      </c>
      <c r="F541" s="141">
        <f>IFERROR((HLOOKUP($AH541,Target_monthwise!$D$4:$O$20,DTR!F$4,FALSE))*1000,0)</f>
        <v>0</v>
      </c>
      <c r="G541" s="141">
        <f>IFERROR((HLOOKUP($AH541,Target_monthwise!$D$4:$O$20,DTR!G$4,FALSE))*1000,0)</f>
        <v>0</v>
      </c>
      <c r="H541" s="141">
        <f>IFERROR((HLOOKUP($AH541,Target_monthwise!$D$4:$O$20,DTR!H$4,FALSE))*1000,0)</f>
        <v>0</v>
      </c>
      <c r="I541" s="141">
        <f>IFERROR((HLOOKUP($AH541,Target_monthwise!$D$4:$O$20,DTR!I$4,FALSE))*1000,0)</f>
        <v>0</v>
      </c>
      <c r="J541" s="141">
        <f>IFERROR((HLOOKUP($AH541,Target_monthwise!$D$4:$O$20,DTR!J$4,FALSE))*1000,0)</f>
        <v>0</v>
      </c>
      <c r="K541" s="141">
        <f>IFERROR((HLOOKUP($AH541,Target_monthwise!$D$4:$O$20,DTR!K$4,FALSE))*1000,0)</f>
        <v>0</v>
      </c>
      <c r="L541" s="141">
        <f>IFERROR((HLOOKUP($AH541,Target_monthwise!$D$4:$O$20,DTR!L$4,FALSE))*1000,0)</f>
        <v>0</v>
      </c>
      <c r="M541" s="141">
        <f>IFERROR((HLOOKUP($AH541,Target_monthwise!$D$4:$O$20,DTR!M$4,FALSE))*1000,0)</f>
        <v>0</v>
      </c>
      <c r="N541" s="141">
        <f>IFERROR((HLOOKUP($AH541,Target_monthwise!$D$4:$O$20,DTR!N$4,FALSE))*1000,0)</f>
        <v>0</v>
      </c>
      <c r="O541" s="141">
        <f>IFERROR((HLOOKUP($AH541,Target_monthwise!$D$4:$O$20,DTR!O$4,FALSE))*1000,0)</f>
        <v>0</v>
      </c>
      <c r="P541" s="141">
        <f>IFERROR((HLOOKUP($AH541,Target_monthwise!$D$4:$O$20,DTR!P$4,FALSE))*1000,0)</f>
        <v>0</v>
      </c>
      <c r="Q541" s="141">
        <f>IFERROR((HLOOKUP($AH541,Target_monthwise!$D$4:$O$20,DTR!Q$4,FALSE))*1000,0)</f>
        <v>0</v>
      </c>
      <c r="R541" s="167">
        <f>IFERROR((HLOOKUP($AH541,Target_monthwise!$D$4:$O$20,DTR!R$4,FALSE))*1000,0)</f>
        <v>0</v>
      </c>
      <c r="S541" s="147">
        <f>IFERROR((HLOOKUP($AH541,Target_monthwise!$D$24:$O$40,DTR!S$4,FALSE)),0)</f>
        <v>0</v>
      </c>
      <c r="T541" s="147">
        <f>IFERROR((HLOOKUP($AH541,Target_monthwise!$D$24:$O$40,DTR!T$4,FALSE)),0)</f>
        <v>0</v>
      </c>
      <c r="U541" s="147">
        <f>IFERROR((HLOOKUP($AH541,Target_monthwise!$D$24:$O$40,DTR!U$4,FALSE)),0)</f>
        <v>0</v>
      </c>
      <c r="V541" s="147">
        <f>IFERROR((HLOOKUP($AH541,Target_monthwise!$D$24:$O$40,DTR!V$4,FALSE)),0)</f>
        <v>0</v>
      </c>
      <c r="W541" s="147">
        <f>IFERROR((HLOOKUP($AH541,Target_monthwise!$D$24:$O$40,DTR!W$4,FALSE)),0)</f>
        <v>0</v>
      </c>
      <c r="X541" s="147">
        <f>IFERROR((HLOOKUP($AH541,Target_monthwise!$D$24:$O$40,DTR!X$4,FALSE)),0)</f>
        <v>0</v>
      </c>
      <c r="Y541" s="147">
        <f>IFERROR((HLOOKUP($AH541,Target_monthwise!$D$24:$O$40,DTR!Y$4,FALSE)),0)</f>
        <v>0</v>
      </c>
      <c r="Z541" s="147">
        <f>IFERROR((HLOOKUP($AH541,Target_monthwise!$D$24:$O$40,DTR!Z$4,FALSE)),0)</f>
        <v>0</v>
      </c>
      <c r="AA541" s="147">
        <f>IFERROR((HLOOKUP($AH541,Target_monthwise!$D$24:$O$40,DTR!AA$4,FALSE)),0)</f>
        <v>0</v>
      </c>
      <c r="AB541" s="147">
        <f>IFERROR((HLOOKUP($AH541,Target_monthwise!$D$24:$O$40,DTR!AB$4,FALSE)),0)</f>
        <v>0</v>
      </c>
      <c r="AC541" s="147">
        <f>IFERROR((HLOOKUP($AH541,Target_monthwise!$D$24:$O$40,DTR!AC$4,FALSE)),0)</f>
        <v>0</v>
      </c>
      <c r="AD541" s="147">
        <f>IFERROR((HLOOKUP($AH541,Target_monthwise!$D$24:$O$40,DTR!AD$4,FALSE)),0)</f>
        <v>0</v>
      </c>
      <c r="AE541" s="147">
        <f>IFERROR((HLOOKUP($AH541,Target_monthwise!$D$24:$O$40,DTR!AE$4,FALSE)),0)</f>
        <v>0</v>
      </c>
      <c r="AF541" s="147">
        <f>IFERROR((HLOOKUP($AH541,Target_monthwise!$D$24:$O$40,DTR!AF$4,FALSE)),0)</f>
        <v>0</v>
      </c>
      <c r="AG541" s="172">
        <f>IFERROR((HLOOKUP($AH541,Target_monthwise!$D$24:$O$40,DTR!AG$4,FALSE)),0)</f>
        <v>0</v>
      </c>
      <c r="AH541" s="253">
        <f t="shared" si="9"/>
        <v>202309</v>
      </c>
    </row>
    <row r="542" spans="3:34" ht="15.75" hidden="1">
      <c r="C542" s="237">
        <v>45185</v>
      </c>
      <c r="D542" s="238">
        <f>IFERROR((HLOOKUP($AH542,Target_monthwise!$D$4:$O$20,DTR!D$4,FALSE))*1000,0)</f>
        <v>0</v>
      </c>
      <c r="E542" s="238">
        <f>IFERROR((HLOOKUP($AH542,Target_monthwise!$D$4:$O$20,DTR!E$4,FALSE))*1000,0)</f>
        <v>0</v>
      </c>
      <c r="F542" s="238">
        <f>IFERROR((HLOOKUP($AH542,Target_monthwise!$D$4:$O$20,DTR!F$4,FALSE))*1000,0)</f>
        <v>0</v>
      </c>
      <c r="G542" s="238">
        <f>IFERROR((HLOOKUP($AH542,Target_monthwise!$D$4:$O$20,DTR!G$4,FALSE))*1000,0)</f>
        <v>0</v>
      </c>
      <c r="H542" s="238">
        <f>IFERROR((HLOOKUP($AH542,Target_monthwise!$D$4:$O$20,DTR!H$4,FALSE))*1000,0)</f>
        <v>0</v>
      </c>
      <c r="I542" s="238">
        <f>IFERROR((HLOOKUP($AH542,Target_monthwise!$D$4:$O$20,DTR!I$4,FALSE))*1000,0)</f>
        <v>0</v>
      </c>
      <c r="J542" s="238">
        <f>IFERROR((HLOOKUP($AH542,Target_monthwise!$D$4:$O$20,DTR!J$4,FALSE))*1000,0)</f>
        <v>0</v>
      </c>
      <c r="K542" s="238">
        <f>IFERROR((HLOOKUP($AH542,Target_monthwise!$D$4:$O$20,DTR!K$4,FALSE))*1000,0)</f>
        <v>0</v>
      </c>
      <c r="L542" s="238">
        <f>IFERROR((HLOOKUP($AH542,Target_monthwise!$D$4:$O$20,DTR!L$4,FALSE))*1000,0)</f>
        <v>0</v>
      </c>
      <c r="M542" s="238">
        <f>IFERROR((HLOOKUP($AH542,Target_monthwise!$D$4:$O$20,DTR!M$4,FALSE))*1000,0)</f>
        <v>0</v>
      </c>
      <c r="N542" s="238">
        <f>IFERROR((HLOOKUP($AH542,Target_monthwise!$D$4:$O$20,DTR!N$4,FALSE))*1000,0)</f>
        <v>0</v>
      </c>
      <c r="O542" s="238">
        <f>IFERROR((HLOOKUP($AH542,Target_monthwise!$D$4:$O$20,DTR!O$4,FALSE))*1000,0)</f>
        <v>0</v>
      </c>
      <c r="P542" s="238">
        <f>IFERROR((HLOOKUP($AH542,Target_monthwise!$D$4:$O$20,DTR!P$4,FALSE))*1000,0)</f>
        <v>0</v>
      </c>
      <c r="Q542" s="141">
        <f>IFERROR((HLOOKUP($AH542,Target_monthwise!$D$4:$O$20,DTR!Q$4,FALSE))*1000,0)</f>
        <v>0</v>
      </c>
      <c r="R542" s="167">
        <f>IFERROR((HLOOKUP($AH542,Target_monthwise!$D$4:$O$20,DTR!R$4,FALSE))*1000,0)</f>
        <v>0</v>
      </c>
      <c r="S542" s="239">
        <f>IFERROR((HLOOKUP($AH542,Target_monthwise!$D$24:$O$40,DTR!S$4,FALSE)),0)</f>
        <v>0</v>
      </c>
      <c r="T542" s="239">
        <f>IFERROR((HLOOKUP($AH542,Target_monthwise!$D$24:$O$40,DTR!T$4,FALSE)),0)</f>
        <v>0</v>
      </c>
      <c r="U542" s="239">
        <f>IFERROR((HLOOKUP($AH542,Target_monthwise!$D$24:$O$40,DTR!U$4,FALSE)),0)</f>
        <v>0</v>
      </c>
      <c r="V542" s="239">
        <f>IFERROR((HLOOKUP($AH542,Target_monthwise!$D$24:$O$40,DTR!V$4,FALSE)),0)</f>
        <v>0</v>
      </c>
      <c r="W542" s="239">
        <f>IFERROR((HLOOKUP($AH542,Target_monthwise!$D$24:$O$40,DTR!W$4,FALSE)),0)</f>
        <v>0</v>
      </c>
      <c r="X542" s="239">
        <f>IFERROR((HLOOKUP($AH542,Target_monthwise!$D$24:$O$40,DTR!X$4,FALSE)),0)</f>
        <v>0</v>
      </c>
      <c r="Y542" s="239">
        <f>IFERROR((HLOOKUP($AH542,Target_monthwise!$D$24:$O$40,DTR!Y$4,FALSE)),0)</f>
        <v>0</v>
      </c>
      <c r="Z542" s="147">
        <f>IFERROR((HLOOKUP($AH542,Target_monthwise!$D$24:$O$40,DTR!Z$4,FALSE)),0)</f>
        <v>0</v>
      </c>
      <c r="AA542" s="147">
        <f>IFERROR((HLOOKUP($AH542,Target_monthwise!$D$24:$O$40,DTR!AA$4,FALSE)),0)</f>
        <v>0</v>
      </c>
      <c r="AB542" s="147">
        <f>IFERROR((HLOOKUP($AH542,Target_monthwise!$D$24:$O$40,DTR!AB$4,FALSE)),0)</f>
        <v>0</v>
      </c>
      <c r="AC542" s="239">
        <f>IFERROR((HLOOKUP($AH542,Target_monthwise!$D$24:$O$40,DTR!AC$4,FALSE)),0)</f>
        <v>0</v>
      </c>
      <c r="AD542" s="239">
        <f>IFERROR((HLOOKUP($AH542,Target_monthwise!$D$24:$O$40,DTR!AD$4,FALSE)),0)</f>
        <v>0</v>
      </c>
      <c r="AE542" s="239">
        <f>IFERROR((HLOOKUP($AH542,Target_monthwise!$D$24:$O$40,DTR!AE$4,FALSE)),0)</f>
        <v>0</v>
      </c>
      <c r="AF542" s="239">
        <f>IFERROR((HLOOKUP($AH542,Target_monthwise!$D$24:$O$40,DTR!AF$4,FALSE)),0)</f>
        <v>0</v>
      </c>
      <c r="AG542" s="172">
        <f>IFERROR((HLOOKUP($AH542,Target_monthwise!$D$24:$O$40,DTR!AG$4,FALSE)),0)</f>
        <v>0</v>
      </c>
      <c r="AH542" s="253">
        <f t="shared" si="9"/>
        <v>202309</v>
      </c>
    </row>
    <row r="543" spans="3:34" ht="15.75" hidden="1">
      <c r="C543" s="235">
        <v>45186</v>
      </c>
      <c r="D543" s="141">
        <f>IFERROR((HLOOKUP($AH543,Target_monthwise!$D$4:$O$20,DTR!D$4,FALSE))*1000,0)</f>
        <v>0</v>
      </c>
      <c r="E543" s="141">
        <f>IFERROR((HLOOKUP($AH543,Target_monthwise!$D$4:$O$20,DTR!E$4,FALSE))*1000,0)</f>
        <v>0</v>
      </c>
      <c r="F543" s="141">
        <f>IFERROR((HLOOKUP($AH543,Target_monthwise!$D$4:$O$20,DTR!F$4,FALSE))*1000,0)</f>
        <v>0</v>
      </c>
      <c r="G543" s="141">
        <f>IFERROR((HLOOKUP($AH543,Target_monthwise!$D$4:$O$20,DTR!G$4,FALSE))*1000,0)</f>
        <v>0</v>
      </c>
      <c r="H543" s="141">
        <f>IFERROR((HLOOKUP($AH543,Target_monthwise!$D$4:$O$20,DTR!H$4,FALSE))*1000,0)</f>
        <v>0</v>
      </c>
      <c r="I543" s="141">
        <f>IFERROR((HLOOKUP($AH543,Target_monthwise!$D$4:$O$20,DTR!I$4,FALSE))*1000,0)</f>
        <v>0</v>
      </c>
      <c r="J543" s="141">
        <f>IFERROR((HLOOKUP($AH543,Target_monthwise!$D$4:$O$20,DTR!J$4,FALSE))*1000,0)</f>
        <v>0</v>
      </c>
      <c r="K543" s="141">
        <f>IFERROR((HLOOKUP($AH543,Target_monthwise!$D$4:$O$20,DTR!K$4,FALSE))*1000,0)</f>
        <v>0</v>
      </c>
      <c r="L543" s="141">
        <f>IFERROR((HLOOKUP($AH543,Target_monthwise!$D$4:$O$20,DTR!L$4,FALSE))*1000,0)</f>
        <v>0</v>
      </c>
      <c r="M543" s="141">
        <f>IFERROR((HLOOKUP($AH543,Target_monthwise!$D$4:$O$20,DTR!M$4,FALSE))*1000,0)</f>
        <v>0</v>
      </c>
      <c r="N543" s="141">
        <f>IFERROR((HLOOKUP($AH543,Target_monthwise!$D$4:$O$20,DTR!N$4,FALSE))*1000,0)</f>
        <v>0</v>
      </c>
      <c r="O543" s="141">
        <f>IFERROR((HLOOKUP($AH543,Target_monthwise!$D$4:$O$20,DTR!O$4,FALSE))*1000,0)</f>
        <v>0</v>
      </c>
      <c r="P543" s="141">
        <f>IFERROR((HLOOKUP($AH543,Target_monthwise!$D$4:$O$20,DTR!P$4,FALSE))*1000,0)</f>
        <v>0</v>
      </c>
      <c r="Q543" s="141">
        <f>IFERROR((HLOOKUP($AH543,Target_monthwise!$D$4:$O$20,DTR!Q$4,FALSE))*1000,0)</f>
        <v>0</v>
      </c>
      <c r="R543" s="167">
        <f>IFERROR((HLOOKUP($AH543,Target_monthwise!$D$4:$O$20,DTR!R$4,FALSE))*1000,0)</f>
        <v>0</v>
      </c>
      <c r="S543" s="147">
        <f>IFERROR((HLOOKUP($AH543,Target_monthwise!$D$24:$O$40,DTR!S$4,FALSE)),0)</f>
        <v>0</v>
      </c>
      <c r="T543" s="147">
        <f>IFERROR((HLOOKUP($AH543,Target_monthwise!$D$24:$O$40,DTR!T$4,FALSE)),0)</f>
        <v>0</v>
      </c>
      <c r="U543" s="147">
        <f>IFERROR((HLOOKUP($AH543,Target_monthwise!$D$24:$O$40,DTR!U$4,FALSE)),0)</f>
        <v>0</v>
      </c>
      <c r="V543" s="147">
        <f>IFERROR((HLOOKUP($AH543,Target_monthwise!$D$24:$O$40,DTR!V$4,FALSE)),0)</f>
        <v>0</v>
      </c>
      <c r="W543" s="147">
        <f>IFERROR((HLOOKUP($AH543,Target_monthwise!$D$24:$O$40,DTR!W$4,FALSE)),0)</f>
        <v>0</v>
      </c>
      <c r="X543" s="147">
        <f>IFERROR((HLOOKUP($AH543,Target_monthwise!$D$24:$O$40,DTR!X$4,FALSE)),0)</f>
        <v>0</v>
      </c>
      <c r="Y543" s="147">
        <f>IFERROR((HLOOKUP($AH543,Target_monthwise!$D$24:$O$40,DTR!Y$4,FALSE)),0)</f>
        <v>0</v>
      </c>
      <c r="Z543" s="147">
        <f>IFERROR((HLOOKUP($AH543,Target_monthwise!$D$24:$O$40,DTR!Z$4,FALSE)),0)</f>
        <v>0</v>
      </c>
      <c r="AA543" s="147">
        <f>IFERROR((HLOOKUP($AH543,Target_monthwise!$D$24:$O$40,DTR!AA$4,FALSE)),0)</f>
        <v>0</v>
      </c>
      <c r="AB543" s="147">
        <f>IFERROR((HLOOKUP($AH543,Target_monthwise!$D$24:$O$40,DTR!AB$4,FALSE)),0)</f>
        <v>0</v>
      </c>
      <c r="AC543" s="147">
        <f>IFERROR((HLOOKUP($AH543,Target_monthwise!$D$24:$O$40,DTR!AC$4,FALSE)),0)</f>
        <v>0</v>
      </c>
      <c r="AD543" s="147">
        <f>IFERROR((HLOOKUP($AH543,Target_monthwise!$D$24:$O$40,DTR!AD$4,FALSE)),0)</f>
        <v>0</v>
      </c>
      <c r="AE543" s="147">
        <f>IFERROR((HLOOKUP($AH543,Target_monthwise!$D$24:$O$40,DTR!AE$4,FALSE)),0)</f>
        <v>0</v>
      </c>
      <c r="AF543" s="147">
        <f>IFERROR((HLOOKUP($AH543,Target_monthwise!$D$24:$O$40,DTR!AF$4,FALSE)),0)</f>
        <v>0</v>
      </c>
      <c r="AG543" s="172">
        <f>IFERROR((HLOOKUP($AH543,Target_monthwise!$D$24:$O$40,DTR!AG$4,FALSE)),0)</f>
        <v>0</v>
      </c>
      <c r="AH543" s="253">
        <f t="shared" si="9"/>
        <v>202309</v>
      </c>
    </row>
    <row r="544" spans="3:34" ht="15.75" hidden="1">
      <c r="C544" s="237">
        <v>45187</v>
      </c>
      <c r="D544" s="238">
        <f>IFERROR((HLOOKUP($AH544,Target_monthwise!$D$4:$O$20,DTR!D$4,FALSE))*1000,0)</f>
        <v>0</v>
      </c>
      <c r="E544" s="238">
        <f>IFERROR((HLOOKUP($AH544,Target_monthwise!$D$4:$O$20,DTR!E$4,FALSE))*1000,0)</f>
        <v>0</v>
      </c>
      <c r="F544" s="238">
        <f>IFERROR((HLOOKUP($AH544,Target_monthwise!$D$4:$O$20,DTR!F$4,FALSE))*1000,0)</f>
        <v>0</v>
      </c>
      <c r="G544" s="238">
        <f>IFERROR((HLOOKUP($AH544,Target_monthwise!$D$4:$O$20,DTR!G$4,FALSE))*1000,0)</f>
        <v>0</v>
      </c>
      <c r="H544" s="238">
        <f>IFERROR((HLOOKUP($AH544,Target_monthwise!$D$4:$O$20,DTR!H$4,FALSE))*1000,0)</f>
        <v>0</v>
      </c>
      <c r="I544" s="238">
        <f>IFERROR((HLOOKUP($AH544,Target_monthwise!$D$4:$O$20,DTR!I$4,FALSE))*1000,0)</f>
        <v>0</v>
      </c>
      <c r="J544" s="238">
        <f>IFERROR((HLOOKUP($AH544,Target_monthwise!$D$4:$O$20,DTR!J$4,FALSE))*1000,0)</f>
        <v>0</v>
      </c>
      <c r="K544" s="238">
        <f>IFERROR((HLOOKUP($AH544,Target_monthwise!$D$4:$O$20,DTR!K$4,FALSE))*1000,0)</f>
        <v>0</v>
      </c>
      <c r="L544" s="238">
        <f>IFERROR((HLOOKUP($AH544,Target_monthwise!$D$4:$O$20,DTR!L$4,FALSE))*1000,0)</f>
        <v>0</v>
      </c>
      <c r="M544" s="238">
        <f>IFERROR((HLOOKUP($AH544,Target_monthwise!$D$4:$O$20,DTR!M$4,FALSE))*1000,0)</f>
        <v>0</v>
      </c>
      <c r="N544" s="238">
        <f>IFERROR((HLOOKUP($AH544,Target_monthwise!$D$4:$O$20,DTR!N$4,FALSE))*1000,0)</f>
        <v>0</v>
      </c>
      <c r="O544" s="238">
        <f>IFERROR((HLOOKUP($AH544,Target_monthwise!$D$4:$O$20,DTR!O$4,FALSE))*1000,0)</f>
        <v>0</v>
      </c>
      <c r="P544" s="238">
        <f>IFERROR((HLOOKUP($AH544,Target_monthwise!$D$4:$O$20,DTR!P$4,FALSE))*1000,0)</f>
        <v>0</v>
      </c>
      <c r="Q544" s="141">
        <f>IFERROR((HLOOKUP($AH544,Target_monthwise!$D$4:$O$20,DTR!Q$4,FALSE))*1000,0)</f>
        <v>0</v>
      </c>
      <c r="R544" s="167">
        <f>IFERROR((HLOOKUP($AH544,Target_monthwise!$D$4:$O$20,DTR!R$4,FALSE))*1000,0)</f>
        <v>0</v>
      </c>
      <c r="S544" s="239">
        <f>IFERROR((HLOOKUP($AH544,Target_monthwise!$D$24:$O$40,DTR!S$4,FALSE)),0)</f>
        <v>0</v>
      </c>
      <c r="T544" s="239">
        <f>IFERROR((HLOOKUP($AH544,Target_monthwise!$D$24:$O$40,DTR!T$4,FALSE)),0)</f>
        <v>0</v>
      </c>
      <c r="U544" s="239">
        <f>IFERROR((HLOOKUP($AH544,Target_monthwise!$D$24:$O$40,DTR!U$4,FALSE)),0)</f>
        <v>0</v>
      </c>
      <c r="V544" s="239">
        <f>IFERROR((HLOOKUP($AH544,Target_monthwise!$D$24:$O$40,DTR!V$4,FALSE)),0)</f>
        <v>0</v>
      </c>
      <c r="W544" s="239">
        <f>IFERROR((HLOOKUP($AH544,Target_monthwise!$D$24:$O$40,DTR!W$4,FALSE)),0)</f>
        <v>0</v>
      </c>
      <c r="X544" s="239">
        <f>IFERROR((HLOOKUP($AH544,Target_monthwise!$D$24:$O$40,DTR!X$4,FALSE)),0)</f>
        <v>0</v>
      </c>
      <c r="Y544" s="239">
        <f>IFERROR((HLOOKUP($AH544,Target_monthwise!$D$24:$O$40,DTR!Y$4,FALSE)),0)</f>
        <v>0</v>
      </c>
      <c r="Z544" s="147">
        <f>IFERROR((HLOOKUP($AH544,Target_monthwise!$D$24:$O$40,DTR!Z$4,FALSE)),0)</f>
        <v>0</v>
      </c>
      <c r="AA544" s="147">
        <f>IFERROR((HLOOKUP($AH544,Target_monthwise!$D$24:$O$40,DTR!AA$4,FALSE)),0)</f>
        <v>0</v>
      </c>
      <c r="AB544" s="147">
        <f>IFERROR((HLOOKUP($AH544,Target_monthwise!$D$24:$O$40,DTR!AB$4,FALSE)),0)</f>
        <v>0</v>
      </c>
      <c r="AC544" s="239">
        <f>IFERROR((HLOOKUP($AH544,Target_monthwise!$D$24:$O$40,DTR!AC$4,FALSE)),0)</f>
        <v>0</v>
      </c>
      <c r="AD544" s="239">
        <f>IFERROR((HLOOKUP($AH544,Target_monthwise!$D$24:$O$40,DTR!AD$4,FALSE)),0)</f>
        <v>0</v>
      </c>
      <c r="AE544" s="239">
        <f>IFERROR((HLOOKUP($AH544,Target_monthwise!$D$24:$O$40,DTR!AE$4,FALSE)),0)</f>
        <v>0</v>
      </c>
      <c r="AF544" s="239">
        <f>IFERROR((HLOOKUP($AH544,Target_monthwise!$D$24:$O$40,DTR!AF$4,FALSE)),0)</f>
        <v>0</v>
      </c>
      <c r="AG544" s="172">
        <f>IFERROR((HLOOKUP($AH544,Target_monthwise!$D$24:$O$40,DTR!AG$4,FALSE)),0)</f>
        <v>0</v>
      </c>
      <c r="AH544" s="253">
        <f t="shared" si="9"/>
        <v>202309</v>
      </c>
    </row>
    <row r="545" spans="3:34" ht="15.75" hidden="1">
      <c r="C545" s="235">
        <v>45188</v>
      </c>
      <c r="D545" s="141">
        <f>IFERROR((HLOOKUP($AH545,Target_monthwise!$D$4:$O$20,DTR!D$4,FALSE))*1000,0)</f>
        <v>0</v>
      </c>
      <c r="E545" s="141">
        <f>IFERROR((HLOOKUP($AH545,Target_monthwise!$D$4:$O$20,DTR!E$4,FALSE))*1000,0)</f>
        <v>0</v>
      </c>
      <c r="F545" s="141">
        <f>IFERROR((HLOOKUP($AH545,Target_monthwise!$D$4:$O$20,DTR!F$4,FALSE))*1000,0)</f>
        <v>0</v>
      </c>
      <c r="G545" s="141">
        <f>IFERROR((HLOOKUP($AH545,Target_monthwise!$D$4:$O$20,DTR!G$4,FALSE))*1000,0)</f>
        <v>0</v>
      </c>
      <c r="H545" s="141">
        <f>IFERROR((HLOOKUP($AH545,Target_monthwise!$D$4:$O$20,DTR!H$4,FALSE))*1000,0)</f>
        <v>0</v>
      </c>
      <c r="I545" s="141">
        <f>IFERROR((HLOOKUP($AH545,Target_monthwise!$D$4:$O$20,DTR!I$4,FALSE))*1000,0)</f>
        <v>0</v>
      </c>
      <c r="J545" s="141">
        <f>IFERROR((HLOOKUP($AH545,Target_monthwise!$D$4:$O$20,DTR!J$4,FALSE))*1000,0)</f>
        <v>0</v>
      </c>
      <c r="K545" s="141">
        <f>IFERROR((HLOOKUP($AH545,Target_monthwise!$D$4:$O$20,DTR!K$4,FALSE))*1000,0)</f>
        <v>0</v>
      </c>
      <c r="L545" s="141">
        <f>IFERROR((HLOOKUP($AH545,Target_monthwise!$D$4:$O$20,DTR!L$4,FALSE))*1000,0)</f>
        <v>0</v>
      </c>
      <c r="M545" s="141">
        <f>IFERROR((HLOOKUP($AH545,Target_monthwise!$D$4:$O$20,DTR!M$4,FALSE))*1000,0)</f>
        <v>0</v>
      </c>
      <c r="N545" s="141">
        <f>IFERROR((HLOOKUP($AH545,Target_monthwise!$D$4:$O$20,DTR!N$4,FALSE))*1000,0)</f>
        <v>0</v>
      </c>
      <c r="O545" s="141">
        <f>IFERROR((HLOOKUP($AH545,Target_monthwise!$D$4:$O$20,DTR!O$4,FALSE))*1000,0)</f>
        <v>0</v>
      </c>
      <c r="P545" s="141">
        <f>IFERROR((HLOOKUP($AH545,Target_monthwise!$D$4:$O$20,DTR!P$4,FALSE))*1000,0)</f>
        <v>0</v>
      </c>
      <c r="Q545" s="141">
        <f>IFERROR((HLOOKUP($AH545,Target_monthwise!$D$4:$O$20,DTR!Q$4,FALSE))*1000,0)</f>
        <v>0</v>
      </c>
      <c r="R545" s="167">
        <f>IFERROR((HLOOKUP($AH545,Target_monthwise!$D$4:$O$20,DTR!R$4,FALSE))*1000,0)</f>
        <v>0</v>
      </c>
      <c r="S545" s="147">
        <f>IFERROR((HLOOKUP($AH545,Target_monthwise!$D$24:$O$40,DTR!S$4,FALSE)),0)</f>
        <v>0</v>
      </c>
      <c r="T545" s="147">
        <f>IFERROR((HLOOKUP($AH545,Target_monthwise!$D$24:$O$40,DTR!T$4,FALSE)),0)</f>
        <v>0</v>
      </c>
      <c r="U545" s="147">
        <f>IFERROR((HLOOKUP($AH545,Target_monthwise!$D$24:$O$40,DTR!U$4,FALSE)),0)</f>
        <v>0</v>
      </c>
      <c r="V545" s="147">
        <f>IFERROR((HLOOKUP($AH545,Target_monthwise!$D$24:$O$40,DTR!V$4,FALSE)),0)</f>
        <v>0</v>
      </c>
      <c r="W545" s="147">
        <f>IFERROR((HLOOKUP($AH545,Target_monthwise!$D$24:$O$40,DTR!W$4,FALSE)),0)</f>
        <v>0</v>
      </c>
      <c r="X545" s="147">
        <f>IFERROR((HLOOKUP($AH545,Target_monthwise!$D$24:$O$40,DTR!X$4,FALSE)),0)</f>
        <v>0</v>
      </c>
      <c r="Y545" s="147">
        <f>IFERROR((HLOOKUP($AH545,Target_monthwise!$D$24:$O$40,DTR!Y$4,FALSE)),0)</f>
        <v>0</v>
      </c>
      <c r="Z545" s="147">
        <f>IFERROR((HLOOKUP($AH545,Target_monthwise!$D$24:$O$40,DTR!Z$4,FALSE)),0)</f>
        <v>0</v>
      </c>
      <c r="AA545" s="147">
        <f>IFERROR((HLOOKUP($AH545,Target_monthwise!$D$24:$O$40,DTR!AA$4,FALSE)),0)</f>
        <v>0</v>
      </c>
      <c r="AB545" s="147">
        <f>IFERROR((HLOOKUP($AH545,Target_monthwise!$D$24:$O$40,DTR!AB$4,FALSE)),0)</f>
        <v>0</v>
      </c>
      <c r="AC545" s="147">
        <f>IFERROR((HLOOKUP($AH545,Target_monthwise!$D$24:$O$40,DTR!AC$4,FALSE)),0)</f>
        <v>0</v>
      </c>
      <c r="AD545" s="147">
        <f>IFERROR((HLOOKUP($AH545,Target_monthwise!$D$24:$O$40,DTR!AD$4,FALSE)),0)</f>
        <v>0</v>
      </c>
      <c r="AE545" s="147">
        <f>IFERROR((HLOOKUP($AH545,Target_monthwise!$D$24:$O$40,DTR!AE$4,FALSE)),0)</f>
        <v>0</v>
      </c>
      <c r="AF545" s="147">
        <f>IFERROR((HLOOKUP($AH545,Target_monthwise!$D$24:$O$40,DTR!AF$4,FALSE)),0)</f>
        <v>0</v>
      </c>
      <c r="AG545" s="172">
        <f>IFERROR((HLOOKUP($AH545,Target_monthwise!$D$24:$O$40,DTR!AG$4,FALSE)),0)</f>
        <v>0</v>
      </c>
      <c r="AH545" s="253">
        <f>YEAR(C545)*100+MONTH(C545)</f>
        <v>202309</v>
      </c>
    </row>
    <row r="546" spans="3:34" ht="15.75" hidden="1">
      <c r="C546" s="237">
        <v>45189</v>
      </c>
      <c r="D546" s="238">
        <f>IFERROR((HLOOKUP($AH546,Target_monthwise!$D$4:$O$20,DTR!D$4,FALSE))*1000,0)</f>
        <v>0</v>
      </c>
      <c r="E546" s="238">
        <f>IFERROR((HLOOKUP($AH546,Target_monthwise!$D$4:$O$20,DTR!E$4,FALSE))*1000,0)</f>
        <v>0</v>
      </c>
      <c r="F546" s="238">
        <f>IFERROR((HLOOKUP($AH546,Target_monthwise!$D$4:$O$20,DTR!F$4,FALSE))*1000,0)</f>
        <v>0</v>
      </c>
      <c r="G546" s="238">
        <f>IFERROR((HLOOKUP($AH546,Target_monthwise!$D$4:$O$20,DTR!G$4,FALSE))*1000,0)</f>
        <v>0</v>
      </c>
      <c r="H546" s="238">
        <f>IFERROR((HLOOKUP($AH546,Target_monthwise!$D$4:$O$20,DTR!H$4,FALSE))*1000,0)</f>
        <v>0</v>
      </c>
      <c r="I546" s="238">
        <f>IFERROR((HLOOKUP($AH546,Target_monthwise!$D$4:$O$20,DTR!I$4,FALSE))*1000,0)</f>
        <v>0</v>
      </c>
      <c r="J546" s="238">
        <f>IFERROR((HLOOKUP($AH546,Target_monthwise!$D$4:$O$20,DTR!J$4,FALSE))*1000,0)</f>
        <v>0</v>
      </c>
      <c r="K546" s="238">
        <f>IFERROR((HLOOKUP($AH546,Target_monthwise!$D$4:$O$20,DTR!K$4,FALSE))*1000,0)</f>
        <v>0</v>
      </c>
      <c r="L546" s="238">
        <f>IFERROR((HLOOKUP($AH546,Target_monthwise!$D$4:$O$20,DTR!L$4,FALSE))*1000,0)</f>
        <v>0</v>
      </c>
      <c r="M546" s="238">
        <f>IFERROR((HLOOKUP($AH546,Target_monthwise!$D$4:$O$20,DTR!M$4,FALSE))*1000,0)</f>
        <v>0</v>
      </c>
      <c r="N546" s="238">
        <f>IFERROR((HLOOKUP($AH546,Target_monthwise!$D$4:$O$20,DTR!N$4,FALSE))*1000,0)</f>
        <v>0</v>
      </c>
      <c r="O546" s="238">
        <f>IFERROR((HLOOKUP($AH546,Target_monthwise!$D$4:$O$20,DTR!O$4,FALSE))*1000,0)</f>
        <v>0</v>
      </c>
      <c r="P546" s="238">
        <f>IFERROR((HLOOKUP($AH546,Target_monthwise!$D$4:$O$20,DTR!P$4,FALSE))*1000,0)</f>
        <v>0</v>
      </c>
      <c r="Q546" s="141">
        <f>IFERROR((HLOOKUP($AH546,Target_monthwise!$D$4:$O$20,DTR!Q$4,FALSE))*1000,0)</f>
        <v>0</v>
      </c>
      <c r="R546" s="167">
        <f>IFERROR((HLOOKUP($AH546,Target_monthwise!$D$4:$O$20,DTR!R$4,FALSE))*1000,0)</f>
        <v>0</v>
      </c>
      <c r="S546" s="239">
        <f>IFERROR((HLOOKUP($AH546,Target_monthwise!$D$24:$O$40,DTR!S$4,FALSE)),0)</f>
        <v>0</v>
      </c>
      <c r="T546" s="239">
        <f>IFERROR((HLOOKUP($AH546,Target_monthwise!$D$24:$O$40,DTR!T$4,FALSE)),0)</f>
        <v>0</v>
      </c>
      <c r="U546" s="239">
        <f>IFERROR((HLOOKUP($AH546,Target_monthwise!$D$24:$O$40,DTR!U$4,FALSE)),0)</f>
        <v>0</v>
      </c>
      <c r="V546" s="239">
        <f>IFERROR((HLOOKUP($AH546,Target_monthwise!$D$24:$O$40,DTR!V$4,FALSE)),0)</f>
        <v>0</v>
      </c>
      <c r="W546" s="239">
        <f>IFERROR((HLOOKUP($AH546,Target_monthwise!$D$24:$O$40,DTR!W$4,FALSE)),0)</f>
        <v>0</v>
      </c>
      <c r="X546" s="239">
        <f>IFERROR((HLOOKUP($AH546,Target_monthwise!$D$24:$O$40,DTR!X$4,FALSE)),0)</f>
        <v>0</v>
      </c>
      <c r="Y546" s="239">
        <f>IFERROR((HLOOKUP($AH546,Target_monthwise!$D$24:$O$40,DTR!Y$4,FALSE)),0)</f>
        <v>0</v>
      </c>
      <c r="Z546" s="147">
        <f>IFERROR((HLOOKUP($AH546,Target_monthwise!$D$24:$O$40,DTR!Z$4,FALSE)),0)</f>
        <v>0</v>
      </c>
      <c r="AA546" s="147">
        <f>IFERROR((HLOOKUP($AH546,Target_monthwise!$D$24:$O$40,DTR!AA$4,FALSE)),0)</f>
        <v>0</v>
      </c>
      <c r="AB546" s="147">
        <f>IFERROR((HLOOKUP($AH546,Target_monthwise!$D$24:$O$40,DTR!AB$4,FALSE)),0)</f>
        <v>0</v>
      </c>
      <c r="AC546" s="239">
        <f>IFERROR((HLOOKUP($AH546,Target_monthwise!$D$24:$O$40,DTR!AC$4,FALSE)),0)</f>
        <v>0</v>
      </c>
      <c r="AD546" s="239">
        <f>IFERROR((HLOOKUP($AH546,Target_monthwise!$D$24:$O$40,DTR!AD$4,FALSE)),0)</f>
        <v>0</v>
      </c>
      <c r="AE546" s="239">
        <f>IFERROR((HLOOKUP($AH546,Target_monthwise!$D$24:$O$40,DTR!AE$4,FALSE)),0)</f>
        <v>0</v>
      </c>
      <c r="AF546" s="239">
        <f>IFERROR((HLOOKUP($AH546,Target_monthwise!$D$24:$O$40,DTR!AF$4,FALSE)),0)</f>
        <v>0</v>
      </c>
      <c r="AG546" s="172">
        <f>IFERROR((HLOOKUP($AH546,Target_monthwise!$D$24:$O$40,DTR!AG$4,FALSE)),0)</f>
        <v>0</v>
      </c>
      <c r="AH546" s="253">
        <f t="shared" ref="AH546:AH561" si="10">YEAR(C546)*100+MONTH(C546)</f>
        <v>202309</v>
      </c>
    </row>
    <row r="547" spans="3:34" ht="15.75" hidden="1">
      <c r="C547" s="235">
        <v>45190</v>
      </c>
      <c r="D547" s="141">
        <f>IFERROR((HLOOKUP($AH547,Target_monthwise!$D$4:$O$20,DTR!D$4,FALSE))*1000,0)</f>
        <v>0</v>
      </c>
      <c r="E547" s="141">
        <f>IFERROR((HLOOKUP($AH547,Target_monthwise!$D$4:$O$20,DTR!E$4,FALSE))*1000,0)</f>
        <v>0</v>
      </c>
      <c r="F547" s="141">
        <f>IFERROR((HLOOKUP($AH547,Target_monthwise!$D$4:$O$20,DTR!F$4,FALSE))*1000,0)</f>
        <v>0</v>
      </c>
      <c r="G547" s="141">
        <f>IFERROR((HLOOKUP($AH547,Target_monthwise!$D$4:$O$20,DTR!G$4,FALSE))*1000,0)</f>
        <v>0</v>
      </c>
      <c r="H547" s="141">
        <f>IFERROR((HLOOKUP($AH547,Target_monthwise!$D$4:$O$20,DTR!H$4,FALSE))*1000,0)</f>
        <v>0</v>
      </c>
      <c r="I547" s="141">
        <f>IFERROR((HLOOKUP($AH547,Target_monthwise!$D$4:$O$20,DTR!I$4,FALSE))*1000,0)</f>
        <v>0</v>
      </c>
      <c r="J547" s="141">
        <f>IFERROR((HLOOKUP($AH547,Target_monthwise!$D$4:$O$20,DTR!J$4,FALSE))*1000,0)</f>
        <v>0</v>
      </c>
      <c r="K547" s="141">
        <f>IFERROR((HLOOKUP($AH547,Target_monthwise!$D$4:$O$20,DTR!K$4,FALSE))*1000,0)</f>
        <v>0</v>
      </c>
      <c r="L547" s="141">
        <f>IFERROR((HLOOKUP($AH547,Target_monthwise!$D$4:$O$20,DTR!L$4,FALSE))*1000,0)</f>
        <v>0</v>
      </c>
      <c r="M547" s="141">
        <f>IFERROR((HLOOKUP($AH547,Target_monthwise!$D$4:$O$20,DTR!M$4,FALSE))*1000,0)</f>
        <v>0</v>
      </c>
      <c r="N547" s="141">
        <f>IFERROR((HLOOKUP($AH547,Target_monthwise!$D$4:$O$20,DTR!N$4,FALSE))*1000,0)</f>
        <v>0</v>
      </c>
      <c r="O547" s="141">
        <f>IFERROR((HLOOKUP($AH547,Target_monthwise!$D$4:$O$20,DTR!O$4,FALSE))*1000,0)</f>
        <v>0</v>
      </c>
      <c r="P547" s="141">
        <f>IFERROR((HLOOKUP($AH547,Target_monthwise!$D$4:$O$20,DTR!P$4,FALSE))*1000,0)</f>
        <v>0</v>
      </c>
      <c r="Q547" s="141">
        <f>IFERROR((HLOOKUP($AH547,Target_monthwise!$D$4:$O$20,DTR!Q$4,FALSE))*1000,0)</f>
        <v>0</v>
      </c>
      <c r="R547" s="167">
        <f>IFERROR((HLOOKUP($AH547,Target_monthwise!$D$4:$O$20,DTR!R$4,FALSE))*1000,0)</f>
        <v>0</v>
      </c>
      <c r="S547" s="147">
        <f>IFERROR((HLOOKUP($AH547,Target_monthwise!$D$24:$O$40,DTR!S$4,FALSE)),0)</f>
        <v>0</v>
      </c>
      <c r="T547" s="147">
        <f>IFERROR((HLOOKUP($AH547,Target_monthwise!$D$24:$O$40,DTR!T$4,FALSE)),0)</f>
        <v>0</v>
      </c>
      <c r="U547" s="147">
        <f>IFERROR((HLOOKUP($AH547,Target_monthwise!$D$24:$O$40,DTR!U$4,FALSE)),0)</f>
        <v>0</v>
      </c>
      <c r="V547" s="147">
        <f>IFERROR((HLOOKUP($AH547,Target_monthwise!$D$24:$O$40,DTR!V$4,FALSE)),0)</f>
        <v>0</v>
      </c>
      <c r="W547" s="147">
        <f>IFERROR((HLOOKUP($AH547,Target_monthwise!$D$24:$O$40,DTR!W$4,FALSE)),0)</f>
        <v>0</v>
      </c>
      <c r="X547" s="147">
        <f>IFERROR((HLOOKUP($AH547,Target_monthwise!$D$24:$O$40,DTR!X$4,FALSE)),0)</f>
        <v>0</v>
      </c>
      <c r="Y547" s="147">
        <f>IFERROR((HLOOKUP($AH547,Target_monthwise!$D$24:$O$40,DTR!Y$4,FALSE)),0)</f>
        <v>0</v>
      </c>
      <c r="Z547" s="147">
        <f>IFERROR((HLOOKUP($AH547,Target_monthwise!$D$24:$O$40,DTR!Z$4,FALSE)),0)</f>
        <v>0</v>
      </c>
      <c r="AA547" s="147">
        <f>IFERROR((HLOOKUP($AH547,Target_monthwise!$D$24:$O$40,DTR!AA$4,FALSE)),0)</f>
        <v>0</v>
      </c>
      <c r="AB547" s="147">
        <f>IFERROR((HLOOKUP($AH547,Target_monthwise!$D$24:$O$40,DTR!AB$4,FALSE)),0)</f>
        <v>0</v>
      </c>
      <c r="AC547" s="147">
        <f>IFERROR((HLOOKUP($AH547,Target_monthwise!$D$24:$O$40,DTR!AC$4,FALSE)),0)</f>
        <v>0</v>
      </c>
      <c r="AD547" s="147">
        <f>IFERROR((HLOOKUP($AH547,Target_monthwise!$D$24:$O$40,DTR!AD$4,FALSE)),0)</f>
        <v>0</v>
      </c>
      <c r="AE547" s="147">
        <f>IFERROR((HLOOKUP($AH547,Target_monthwise!$D$24:$O$40,DTR!AE$4,FALSE)),0)</f>
        <v>0</v>
      </c>
      <c r="AF547" s="147">
        <f>IFERROR((HLOOKUP($AH547,Target_monthwise!$D$24:$O$40,DTR!AF$4,FALSE)),0)</f>
        <v>0</v>
      </c>
      <c r="AG547" s="172">
        <f>IFERROR((HLOOKUP($AH547,Target_monthwise!$D$24:$O$40,DTR!AG$4,FALSE)),0)</f>
        <v>0</v>
      </c>
      <c r="AH547" s="253">
        <f t="shared" si="10"/>
        <v>202309</v>
      </c>
    </row>
    <row r="548" spans="3:34" ht="15.75" hidden="1">
      <c r="C548" s="237">
        <v>45191</v>
      </c>
      <c r="D548" s="238">
        <f>IFERROR((HLOOKUP($AH548,Target_monthwise!$D$4:$O$20,DTR!D$4,FALSE))*1000,0)</f>
        <v>0</v>
      </c>
      <c r="E548" s="238">
        <f>IFERROR((HLOOKUP($AH548,Target_monthwise!$D$4:$O$20,DTR!E$4,FALSE))*1000,0)</f>
        <v>0</v>
      </c>
      <c r="F548" s="238">
        <f>IFERROR((HLOOKUP($AH548,Target_monthwise!$D$4:$O$20,DTR!F$4,FALSE))*1000,0)</f>
        <v>0</v>
      </c>
      <c r="G548" s="238">
        <f>IFERROR((HLOOKUP($AH548,Target_monthwise!$D$4:$O$20,DTR!G$4,FALSE))*1000,0)</f>
        <v>0</v>
      </c>
      <c r="H548" s="238">
        <f>IFERROR((HLOOKUP($AH548,Target_monthwise!$D$4:$O$20,DTR!H$4,FALSE))*1000,0)</f>
        <v>0</v>
      </c>
      <c r="I548" s="238">
        <f>IFERROR((HLOOKUP($AH548,Target_monthwise!$D$4:$O$20,DTR!I$4,FALSE))*1000,0)</f>
        <v>0</v>
      </c>
      <c r="J548" s="238">
        <f>IFERROR((HLOOKUP($AH548,Target_monthwise!$D$4:$O$20,DTR!J$4,FALSE))*1000,0)</f>
        <v>0</v>
      </c>
      <c r="K548" s="238">
        <f>IFERROR((HLOOKUP($AH548,Target_monthwise!$D$4:$O$20,DTR!K$4,FALSE))*1000,0)</f>
        <v>0</v>
      </c>
      <c r="L548" s="238">
        <f>IFERROR((HLOOKUP($AH548,Target_monthwise!$D$4:$O$20,DTR!L$4,FALSE))*1000,0)</f>
        <v>0</v>
      </c>
      <c r="M548" s="238">
        <f>IFERROR((HLOOKUP($AH548,Target_monthwise!$D$4:$O$20,DTR!M$4,FALSE))*1000,0)</f>
        <v>0</v>
      </c>
      <c r="N548" s="238">
        <f>IFERROR((HLOOKUP($AH548,Target_monthwise!$D$4:$O$20,DTR!N$4,FALSE))*1000,0)</f>
        <v>0</v>
      </c>
      <c r="O548" s="238">
        <f>IFERROR((HLOOKUP($AH548,Target_monthwise!$D$4:$O$20,DTR!O$4,FALSE))*1000,0)</f>
        <v>0</v>
      </c>
      <c r="P548" s="238">
        <f>IFERROR((HLOOKUP($AH548,Target_monthwise!$D$4:$O$20,DTR!P$4,FALSE))*1000,0)</f>
        <v>0</v>
      </c>
      <c r="Q548" s="141">
        <f>IFERROR((HLOOKUP($AH548,Target_monthwise!$D$4:$O$20,DTR!Q$4,FALSE))*1000,0)</f>
        <v>0</v>
      </c>
      <c r="R548" s="167">
        <f>IFERROR((HLOOKUP($AH548,Target_monthwise!$D$4:$O$20,DTR!R$4,FALSE))*1000,0)</f>
        <v>0</v>
      </c>
      <c r="S548" s="239">
        <f>IFERROR((HLOOKUP($AH548,Target_monthwise!$D$24:$O$40,DTR!S$4,FALSE)),0)</f>
        <v>0</v>
      </c>
      <c r="T548" s="239">
        <f>IFERROR((HLOOKUP($AH548,Target_monthwise!$D$24:$O$40,DTR!T$4,FALSE)),0)</f>
        <v>0</v>
      </c>
      <c r="U548" s="239">
        <f>IFERROR((HLOOKUP($AH548,Target_monthwise!$D$24:$O$40,DTR!U$4,FALSE)),0)</f>
        <v>0</v>
      </c>
      <c r="V548" s="239">
        <f>IFERROR((HLOOKUP($AH548,Target_monthwise!$D$24:$O$40,DTR!V$4,FALSE)),0)</f>
        <v>0</v>
      </c>
      <c r="W548" s="239">
        <f>IFERROR((HLOOKUP($AH548,Target_monthwise!$D$24:$O$40,DTR!W$4,FALSE)),0)</f>
        <v>0</v>
      </c>
      <c r="X548" s="239">
        <f>IFERROR((HLOOKUP($AH548,Target_monthwise!$D$24:$O$40,DTR!X$4,FALSE)),0)</f>
        <v>0</v>
      </c>
      <c r="Y548" s="239">
        <f>IFERROR((HLOOKUP($AH548,Target_monthwise!$D$24:$O$40,DTR!Y$4,FALSE)),0)</f>
        <v>0</v>
      </c>
      <c r="Z548" s="147">
        <f>IFERROR((HLOOKUP($AH548,Target_monthwise!$D$24:$O$40,DTR!Z$4,FALSE)),0)</f>
        <v>0</v>
      </c>
      <c r="AA548" s="147">
        <f>IFERROR((HLOOKUP($AH548,Target_monthwise!$D$24:$O$40,DTR!AA$4,FALSE)),0)</f>
        <v>0</v>
      </c>
      <c r="AB548" s="147">
        <f>IFERROR((HLOOKUP($AH548,Target_monthwise!$D$24:$O$40,DTR!AB$4,FALSE)),0)</f>
        <v>0</v>
      </c>
      <c r="AC548" s="239">
        <f>IFERROR((HLOOKUP($AH548,Target_monthwise!$D$24:$O$40,DTR!AC$4,FALSE)),0)</f>
        <v>0</v>
      </c>
      <c r="AD548" s="239">
        <f>IFERROR((HLOOKUP($AH548,Target_monthwise!$D$24:$O$40,DTR!AD$4,FALSE)),0)</f>
        <v>0</v>
      </c>
      <c r="AE548" s="239">
        <f>IFERROR((HLOOKUP($AH548,Target_monthwise!$D$24:$O$40,DTR!AE$4,FALSE)),0)</f>
        <v>0</v>
      </c>
      <c r="AF548" s="239">
        <f>IFERROR((HLOOKUP($AH548,Target_monthwise!$D$24:$O$40,DTR!AF$4,FALSE)),0)</f>
        <v>0</v>
      </c>
      <c r="AG548" s="172">
        <f>IFERROR((HLOOKUP($AH548,Target_monthwise!$D$24:$O$40,DTR!AG$4,FALSE)),0)</f>
        <v>0</v>
      </c>
      <c r="AH548" s="253">
        <f t="shared" si="10"/>
        <v>202309</v>
      </c>
    </row>
    <row r="549" spans="3:34" ht="15.75" hidden="1">
      <c r="C549" s="235">
        <v>45192</v>
      </c>
      <c r="D549" s="141">
        <f>IFERROR((HLOOKUP($AH549,Target_monthwise!$D$4:$O$20,DTR!D$4,FALSE))*1000,0)</f>
        <v>0</v>
      </c>
      <c r="E549" s="141">
        <f>IFERROR((HLOOKUP($AH549,Target_monthwise!$D$4:$O$20,DTR!E$4,FALSE))*1000,0)</f>
        <v>0</v>
      </c>
      <c r="F549" s="141">
        <f>IFERROR((HLOOKUP($AH549,Target_monthwise!$D$4:$O$20,DTR!F$4,FALSE))*1000,0)</f>
        <v>0</v>
      </c>
      <c r="G549" s="141">
        <f>IFERROR((HLOOKUP($AH549,Target_monthwise!$D$4:$O$20,DTR!G$4,FALSE))*1000,0)</f>
        <v>0</v>
      </c>
      <c r="H549" s="141">
        <f>IFERROR((HLOOKUP($AH549,Target_monthwise!$D$4:$O$20,DTR!H$4,FALSE))*1000,0)</f>
        <v>0</v>
      </c>
      <c r="I549" s="141">
        <f>IFERROR((HLOOKUP($AH549,Target_monthwise!$D$4:$O$20,DTR!I$4,FALSE))*1000,0)</f>
        <v>0</v>
      </c>
      <c r="J549" s="141">
        <f>IFERROR((HLOOKUP($AH549,Target_monthwise!$D$4:$O$20,DTR!J$4,FALSE))*1000,0)</f>
        <v>0</v>
      </c>
      <c r="K549" s="141">
        <f>IFERROR((HLOOKUP($AH549,Target_monthwise!$D$4:$O$20,DTR!K$4,FALSE))*1000,0)</f>
        <v>0</v>
      </c>
      <c r="L549" s="141">
        <f>IFERROR((HLOOKUP($AH549,Target_monthwise!$D$4:$O$20,DTR!L$4,FALSE))*1000,0)</f>
        <v>0</v>
      </c>
      <c r="M549" s="141">
        <f>IFERROR((HLOOKUP($AH549,Target_monthwise!$D$4:$O$20,DTR!M$4,FALSE))*1000,0)</f>
        <v>0</v>
      </c>
      <c r="N549" s="141">
        <f>IFERROR((HLOOKUP($AH549,Target_monthwise!$D$4:$O$20,DTR!N$4,FALSE))*1000,0)</f>
        <v>0</v>
      </c>
      <c r="O549" s="141">
        <f>IFERROR((HLOOKUP($AH549,Target_monthwise!$D$4:$O$20,DTR!O$4,FALSE))*1000,0)</f>
        <v>0</v>
      </c>
      <c r="P549" s="141">
        <f>IFERROR((HLOOKUP($AH549,Target_monthwise!$D$4:$O$20,DTR!P$4,FALSE))*1000,0)</f>
        <v>0</v>
      </c>
      <c r="Q549" s="141">
        <f>IFERROR((HLOOKUP($AH549,Target_monthwise!$D$4:$O$20,DTR!Q$4,FALSE))*1000,0)</f>
        <v>0</v>
      </c>
      <c r="R549" s="167">
        <f>IFERROR((HLOOKUP($AH549,Target_monthwise!$D$4:$O$20,DTR!R$4,FALSE))*1000,0)</f>
        <v>0</v>
      </c>
      <c r="S549" s="147">
        <f>IFERROR((HLOOKUP($AH549,Target_monthwise!$D$24:$O$40,DTR!S$4,FALSE)),0)</f>
        <v>0</v>
      </c>
      <c r="T549" s="147">
        <f>IFERROR((HLOOKUP($AH549,Target_monthwise!$D$24:$O$40,DTR!T$4,FALSE)),0)</f>
        <v>0</v>
      </c>
      <c r="U549" s="147">
        <f>IFERROR((HLOOKUP($AH549,Target_monthwise!$D$24:$O$40,DTR!U$4,FALSE)),0)</f>
        <v>0</v>
      </c>
      <c r="V549" s="147">
        <f>IFERROR((HLOOKUP($AH549,Target_monthwise!$D$24:$O$40,DTR!V$4,FALSE)),0)</f>
        <v>0</v>
      </c>
      <c r="W549" s="147">
        <f>IFERROR((HLOOKUP($AH549,Target_monthwise!$D$24:$O$40,DTR!W$4,FALSE)),0)</f>
        <v>0</v>
      </c>
      <c r="X549" s="147">
        <f>IFERROR((HLOOKUP($AH549,Target_monthwise!$D$24:$O$40,DTR!X$4,FALSE)),0)</f>
        <v>0</v>
      </c>
      <c r="Y549" s="147">
        <f>IFERROR((HLOOKUP($AH549,Target_monthwise!$D$24:$O$40,DTR!Y$4,FALSE)),0)</f>
        <v>0</v>
      </c>
      <c r="Z549" s="147">
        <f>IFERROR((HLOOKUP($AH549,Target_monthwise!$D$24:$O$40,DTR!Z$4,FALSE)),0)</f>
        <v>0</v>
      </c>
      <c r="AA549" s="147">
        <f>IFERROR((HLOOKUP($AH549,Target_monthwise!$D$24:$O$40,DTR!AA$4,FALSE)),0)</f>
        <v>0</v>
      </c>
      <c r="AB549" s="147">
        <f>IFERROR((HLOOKUP($AH549,Target_monthwise!$D$24:$O$40,DTR!AB$4,FALSE)),0)</f>
        <v>0</v>
      </c>
      <c r="AC549" s="147">
        <f>IFERROR((HLOOKUP($AH549,Target_monthwise!$D$24:$O$40,DTR!AC$4,FALSE)),0)</f>
        <v>0</v>
      </c>
      <c r="AD549" s="147">
        <f>IFERROR((HLOOKUP($AH549,Target_monthwise!$D$24:$O$40,DTR!AD$4,FALSE)),0)</f>
        <v>0</v>
      </c>
      <c r="AE549" s="147">
        <f>IFERROR((HLOOKUP($AH549,Target_monthwise!$D$24:$O$40,DTR!AE$4,FALSE)),0)</f>
        <v>0</v>
      </c>
      <c r="AF549" s="147">
        <f>IFERROR((HLOOKUP($AH549,Target_monthwise!$D$24:$O$40,DTR!AF$4,FALSE)),0)</f>
        <v>0</v>
      </c>
      <c r="AG549" s="172">
        <f>IFERROR((HLOOKUP($AH549,Target_monthwise!$D$24:$O$40,DTR!AG$4,FALSE)),0)</f>
        <v>0</v>
      </c>
      <c r="AH549" s="253">
        <f t="shared" si="10"/>
        <v>202309</v>
      </c>
    </row>
    <row r="550" spans="3:34" ht="15.75" hidden="1">
      <c r="C550" s="237">
        <v>45193</v>
      </c>
      <c r="D550" s="238">
        <f>IFERROR((HLOOKUP($AH550,Target_monthwise!$D$4:$O$20,DTR!D$4,FALSE))*1000,0)</f>
        <v>0</v>
      </c>
      <c r="E550" s="238">
        <f>IFERROR((HLOOKUP($AH550,Target_monthwise!$D$4:$O$20,DTR!E$4,FALSE))*1000,0)</f>
        <v>0</v>
      </c>
      <c r="F550" s="238">
        <f>IFERROR((HLOOKUP($AH550,Target_monthwise!$D$4:$O$20,DTR!F$4,FALSE))*1000,0)</f>
        <v>0</v>
      </c>
      <c r="G550" s="238">
        <f>IFERROR((HLOOKUP($AH550,Target_monthwise!$D$4:$O$20,DTR!G$4,FALSE))*1000,0)</f>
        <v>0</v>
      </c>
      <c r="H550" s="238">
        <f>IFERROR((HLOOKUP($AH550,Target_monthwise!$D$4:$O$20,DTR!H$4,FALSE))*1000,0)</f>
        <v>0</v>
      </c>
      <c r="I550" s="238">
        <f>IFERROR((HLOOKUP($AH550,Target_monthwise!$D$4:$O$20,DTR!I$4,FALSE))*1000,0)</f>
        <v>0</v>
      </c>
      <c r="J550" s="238">
        <f>IFERROR((HLOOKUP($AH550,Target_monthwise!$D$4:$O$20,DTR!J$4,FALSE))*1000,0)</f>
        <v>0</v>
      </c>
      <c r="K550" s="238">
        <f>IFERROR((HLOOKUP($AH550,Target_monthwise!$D$4:$O$20,DTR!K$4,FALSE))*1000,0)</f>
        <v>0</v>
      </c>
      <c r="L550" s="238">
        <f>IFERROR((HLOOKUP($AH550,Target_monthwise!$D$4:$O$20,DTR!L$4,FALSE))*1000,0)</f>
        <v>0</v>
      </c>
      <c r="M550" s="238">
        <f>IFERROR((HLOOKUP($AH550,Target_monthwise!$D$4:$O$20,DTR!M$4,FALSE))*1000,0)</f>
        <v>0</v>
      </c>
      <c r="N550" s="238">
        <f>IFERROR((HLOOKUP($AH550,Target_monthwise!$D$4:$O$20,DTR!N$4,FALSE))*1000,0)</f>
        <v>0</v>
      </c>
      <c r="O550" s="238">
        <f>IFERROR((HLOOKUP($AH550,Target_monthwise!$D$4:$O$20,DTR!O$4,FALSE))*1000,0)</f>
        <v>0</v>
      </c>
      <c r="P550" s="238">
        <f>IFERROR((HLOOKUP($AH550,Target_monthwise!$D$4:$O$20,DTR!P$4,FALSE))*1000,0)</f>
        <v>0</v>
      </c>
      <c r="Q550" s="141">
        <f>IFERROR((HLOOKUP($AH550,Target_monthwise!$D$4:$O$20,DTR!Q$4,FALSE))*1000,0)</f>
        <v>0</v>
      </c>
      <c r="R550" s="167">
        <f>IFERROR((HLOOKUP($AH550,Target_monthwise!$D$4:$O$20,DTR!R$4,FALSE))*1000,0)</f>
        <v>0</v>
      </c>
      <c r="S550" s="239">
        <f>IFERROR((HLOOKUP($AH550,Target_monthwise!$D$24:$O$40,DTR!S$4,FALSE)),0)</f>
        <v>0</v>
      </c>
      <c r="T550" s="239">
        <f>IFERROR((HLOOKUP($AH550,Target_monthwise!$D$24:$O$40,DTR!T$4,FALSE)),0)</f>
        <v>0</v>
      </c>
      <c r="U550" s="239">
        <f>IFERROR((HLOOKUP($AH550,Target_monthwise!$D$24:$O$40,DTR!U$4,FALSE)),0)</f>
        <v>0</v>
      </c>
      <c r="V550" s="239">
        <f>IFERROR((HLOOKUP($AH550,Target_monthwise!$D$24:$O$40,DTR!V$4,FALSE)),0)</f>
        <v>0</v>
      </c>
      <c r="W550" s="239">
        <f>IFERROR((HLOOKUP($AH550,Target_monthwise!$D$24:$O$40,DTR!W$4,FALSE)),0)</f>
        <v>0</v>
      </c>
      <c r="X550" s="239">
        <f>IFERROR((HLOOKUP($AH550,Target_monthwise!$D$24:$O$40,DTR!X$4,FALSE)),0)</f>
        <v>0</v>
      </c>
      <c r="Y550" s="239">
        <f>IFERROR((HLOOKUP($AH550,Target_monthwise!$D$24:$O$40,DTR!Y$4,FALSE)),0)</f>
        <v>0</v>
      </c>
      <c r="Z550" s="147">
        <f>IFERROR((HLOOKUP($AH550,Target_monthwise!$D$24:$O$40,DTR!Z$4,FALSE)),0)</f>
        <v>0</v>
      </c>
      <c r="AA550" s="147">
        <f>IFERROR((HLOOKUP($AH550,Target_monthwise!$D$24:$O$40,DTR!AA$4,FALSE)),0)</f>
        <v>0</v>
      </c>
      <c r="AB550" s="147">
        <f>IFERROR((HLOOKUP($AH550,Target_monthwise!$D$24:$O$40,DTR!AB$4,FALSE)),0)</f>
        <v>0</v>
      </c>
      <c r="AC550" s="239">
        <f>IFERROR((HLOOKUP($AH550,Target_monthwise!$D$24:$O$40,DTR!AC$4,FALSE)),0)</f>
        <v>0</v>
      </c>
      <c r="AD550" s="239">
        <f>IFERROR((HLOOKUP($AH550,Target_monthwise!$D$24:$O$40,DTR!AD$4,FALSE)),0)</f>
        <v>0</v>
      </c>
      <c r="AE550" s="239">
        <f>IFERROR((HLOOKUP($AH550,Target_monthwise!$D$24:$O$40,DTR!AE$4,FALSE)),0)</f>
        <v>0</v>
      </c>
      <c r="AF550" s="239">
        <f>IFERROR((HLOOKUP($AH550,Target_monthwise!$D$24:$O$40,DTR!AF$4,FALSE)),0)</f>
        <v>0</v>
      </c>
      <c r="AG550" s="172">
        <f>IFERROR((HLOOKUP($AH550,Target_monthwise!$D$24:$O$40,DTR!AG$4,FALSE)),0)</f>
        <v>0</v>
      </c>
      <c r="AH550" s="253">
        <f t="shared" si="10"/>
        <v>202309</v>
      </c>
    </row>
    <row r="551" spans="3:34" ht="15.75" hidden="1">
      <c r="C551" s="235">
        <v>45194</v>
      </c>
      <c r="D551" s="141">
        <f>IFERROR((HLOOKUP($AH551,Target_monthwise!$D$4:$O$20,DTR!D$4,FALSE))*1000,0)</f>
        <v>0</v>
      </c>
      <c r="E551" s="141">
        <f>IFERROR((HLOOKUP($AH551,Target_monthwise!$D$4:$O$20,DTR!E$4,FALSE))*1000,0)</f>
        <v>0</v>
      </c>
      <c r="F551" s="141">
        <f>IFERROR((HLOOKUP($AH551,Target_monthwise!$D$4:$O$20,DTR!F$4,FALSE))*1000,0)</f>
        <v>0</v>
      </c>
      <c r="G551" s="141">
        <f>IFERROR((HLOOKUP($AH551,Target_monthwise!$D$4:$O$20,DTR!G$4,FALSE))*1000,0)</f>
        <v>0</v>
      </c>
      <c r="H551" s="141">
        <f>IFERROR((HLOOKUP($AH551,Target_monthwise!$D$4:$O$20,DTR!H$4,FALSE))*1000,0)</f>
        <v>0</v>
      </c>
      <c r="I551" s="141">
        <f>IFERROR((HLOOKUP($AH551,Target_monthwise!$D$4:$O$20,DTR!I$4,FALSE))*1000,0)</f>
        <v>0</v>
      </c>
      <c r="J551" s="141">
        <f>IFERROR((HLOOKUP($AH551,Target_monthwise!$D$4:$O$20,DTR!J$4,FALSE))*1000,0)</f>
        <v>0</v>
      </c>
      <c r="K551" s="141">
        <f>IFERROR((HLOOKUP($AH551,Target_monthwise!$D$4:$O$20,DTR!K$4,FALSE))*1000,0)</f>
        <v>0</v>
      </c>
      <c r="L551" s="141">
        <f>IFERROR((HLOOKUP($AH551,Target_monthwise!$D$4:$O$20,DTR!L$4,FALSE))*1000,0)</f>
        <v>0</v>
      </c>
      <c r="M551" s="141">
        <f>IFERROR((HLOOKUP($AH551,Target_monthwise!$D$4:$O$20,DTR!M$4,FALSE))*1000,0)</f>
        <v>0</v>
      </c>
      <c r="N551" s="141">
        <f>IFERROR((HLOOKUP($AH551,Target_monthwise!$D$4:$O$20,DTR!N$4,FALSE))*1000,0)</f>
        <v>0</v>
      </c>
      <c r="O551" s="141">
        <f>IFERROR((HLOOKUP($AH551,Target_monthwise!$D$4:$O$20,DTR!O$4,FALSE))*1000,0)</f>
        <v>0</v>
      </c>
      <c r="P551" s="141">
        <f>IFERROR((HLOOKUP($AH551,Target_monthwise!$D$4:$O$20,DTR!P$4,FALSE))*1000,0)</f>
        <v>0</v>
      </c>
      <c r="Q551" s="141">
        <f>IFERROR((HLOOKUP($AH551,Target_monthwise!$D$4:$O$20,DTR!Q$4,FALSE))*1000,0)</f>
        <v>0</v>
      </c>
      <c r="R551" s="167">
        <f>IFERROR((HLOOKUP($AH551,Target_monthwise!$D$4:$O$20,DTR!R$4,FALSE))*1000,0)</f>
        <v>0</v>
      </c>
      <c r="S551" s="147">
        <f>IFERROR((HLOOKUP($AH551,Target_monthwise!$D$24:$O$40,DTR!S$4,FALSE)),0)</f>
        <v>0</v>
      </c>
      <c r="T551" s="147">
        <f>IFERROR((HLOOKUP($AH551,Target_monthwise!$D$24:$O$40,DTR!T$4,FALSE)),0)</f>
        <v>0</v>
      </c>
      <c r="U551" s="147">
        <f>IFERROR((HLOOKUP($AH551,Target_monthwise!$D$24:$O$40,DTR!U$4,FALSE)),0)</f>
        <v>0</v>
      </c>
      <c r="V551" s="147">
        <f>IFERROR((HLOOKUP($AH551,Target_monthwise!$D$24:$O$40,DTR!V$4,FALSE)),0)</f>
        <v>0</v>
      </c>
      <c r="W551" s="147">
        <f>IFERROR((HLOOKUP($AH551,Target_monthwise!$D$24:$O$40,DTR!W$4,FALSE)),0)</f>
        <v>0</v>
      </c>
      <c r="X551" s="147">
        <f>IFERROR((HLOOKUP($AH551,Target_monthwise!$D$24:$O$40,DTR!X$4,FALSE)),0)</f>
        <v>0</v>
      </c>
      <c r="Y551" s="147">
        <f>IFERROR((HLOOKUP($AH551,Target_monthwise!$D$24:$O$40,DTR!Y$4,FALSE)),0)</f>
        <v>0</v>
      </c>
      <c r="Z551" s="147">
        <f>IFERROR((HLOOKUP($AH551,Target_monthwise!$D$24:$O$40,DTR!Z$4,FALSE)),0)</f>
        <v>0</v>
      </c>
      <c r="AA551" s="147">
        <f>IFERROR((HLOOKUP($AH551,Target_monthwise!$D$24:$O$40,DTR!AA$4,FALSE)),0)</f>
        <v>0</v>
      </c>
      <c r="AB551" s="147">
        <f>IFERROR((HLOOKUP($AH551,Target_monthwise!$D$24:$O$40,DTR!AB$4,FALSE)),0)</f>
        <v>0</v>
      </c>
      <c r="AC551" s="147">
        <f>IFERROR((HLOOKUP($AH551,Target_monthwise!$D$24:$O$40,DTR!AC$4,FALSE)),0)</f>
        <v>0</v>
      </c>
      <c r="AD551" s="147">
        <f>IFERROR((HLOOKUP($AH551,Target_monthwise!$D$24:$O$40,DTR!AD$4,FALSE)),0)</f>
        <v>0</v>
      </c>
      <c r="AE551" s="147">
        <f>IFERROR((HLOOKUP($AH551,Target_monthwise!$D$24:$O$40,DTR!AE$4,FALSE)),0)</f>
        <v>0</v>
      </c>
      <c r="AF551" s="147">
        <f>IFERROR((HLOOKUP($AH551,Target_monthwise!$D$24:$O$40,DTR!AF$4,FALSE)),0)</f>
        <v>0</v>
      </c>
      <c r="AG551" s="172">
        <f>IFERROR((HLOOKUP($AH551,Target_monthwise!$D$24:$O$40,DTR!AG$4,FALSE)),0)</f>
        <v>0</v>
      </c>
      <c r="AH551" s="253">
        <f t="shared" si="10"/>
        <v>202309</v>
      </c>
    </row>
    <row r="552" spans="3:34" ht="15.75" hidden="1">
      <c r="C552" s="237">
        <v>45195</v>
      </c>
      <c r="D552" s="238">
        <f>IFERROR((HLOOKUP($AH552,Target_monthwise!$D$4:$O$20,DTR!D$4,FALSE))*1000,0)</f>
        <v>0</v>
      </c>
      <c r="E552" s="238">
        <f>IFERROR((HLOOKUP($AH552,Target_monthwise!$D$4:$O$20,DTR!E$4,FALSE))*1000,0)</f>
        <v>0</v>
      </c>
      <c r="F552" s="238">
        <f>IFERROR((HLOOKUP($AH552,Target_monthwise!$D$4:$O$20,DTR!F$4,FALSE))*1000,0)</f>
        <v>0</v>
      </c>
      <c r="G552" s="238">
        <f>IFERROR((HLOOKUP($AH552,Target_monthwise!$D$4:$O$20,DTR!G$4,FALSE))*1000,0)</f>
        <v>0</v>
      </c>
      <c r="H552" s="238">
        <f>IFERROR((HLOOKUP($AH552,Target_monthwise!$D$4:$O$20,DTR!H$4,FALSE))*1000,0)</f>
        <v>0</v>
      </c>
      <c r="I552" s="238">
        <f>IFERROR((HLOOKUP($AH552,Target_monthwise!$D$4:$O$20,DTR!I$4,FALSE))*1000,0)</f>
        <v>0</v>
      </c>
      <c r="J552" s="238">
        <f>IFERROR((HLOOKUP($AH552,Target_monthwise!$D$4:$O$20,DTR!J$4,FALSE))*1000,0)</f>
        <v>0</v>
      </c>
      <c r="K552" s="238">
        <f>IFERROR((HLOOKUP($AH552,Target_monthwise!$D$4:$O$20,DTR!K$4,FALSE))*1000,0)</f>
        <v>0</v>
      </c>
      <c r="L552" s="238">
        <f>IFERROR((HLOOKUP($AH552,Target_monthwise!$D$4:$O$20,DTR!L$4,FALSE))*1000,0)</f>
        <v>0</v>
      </c>
      <c r="M552" s="238">
        <f>IFERROR((HLOOKUP($AH552,Target_monthwise!$D$4:$O$20,DTR!M$4,FALSE))*1000,0)</f>
        <v>0</v>
      </c>
      <c r="N552" s="238">
        <f>IFERROR((HLOOKUP($AH552,Target_monthwise!$D$4:$O$20,DTR!N$4,FALSE))*1000,0)</f>
        <v>0</v>
      </c>
      <c r="O552" s="238">
        <f>IFERROR((HLOOKUP($AH552,Target_monthwise!$D$4:$O$20,DTR!O$4,FALSE))*1000,0)</f>
        <v>0</v>
      </c>
      <c r="P552" s="238">
        <f>IFERROR((HLOOKUP($AH552,Target_monthwise!$D$4:$O$20,DTR!P$4,FALSE))*1000,0)</f>
        <v>0</v>
      </c>
      <c r="Q552" s="141">
        <f>IFERROR((HLOOKUP($AH552,Target_monthwise!$D$4:$O$20,DTR!Q$4,FALSE))*1000,0)</f>
        <v>0</v>
      </c>
      <c r="R552" s="167">
        <f>IFERROR((HLOOKUP($AH552,Target_monthwise!$D$4:$O$20,DTR!R$4,FALSE))*1000,0)</f>
        <v>0</v>
      </c>
      <c r="S552" s="239">
        <f>IFERROR((HLOOKUP($AH552,Target_monthwise!$D$24:$O$40,DTR!S$4,FALSE)),0)</f>
        <v>0</v>
      </c>
      <c r="T552" s="239">
        <f>IFERROR((HLOOKUP($AH552,Target_monthwise!$D$24:$O$40,DTR!T$4,FALSE)),0)</f>
        <v>0</v>
      </c>
      <c r="U552" s="239">
        <f>IFERROR((HLOOKUP($AH552,Target_monthwise!$D$24:$O$40,DTR!U$4,FALSE)),0)</f>
        <v>0</v>
      </c>
      <c r="V552" s="239">
        <f>IFERROR((HLOOKUP($AH552,Target_monthwise!$D$24:$O$40,DTR!V$4,FALSE)),0)</f>
        <v>0</v>
      </c>
      <c r="W552" s="239">
        <f>IFERROR((HLOOKUP($AH552,Target_monthwise!$D$24:$O$40,DTR!W$4,FALSE)),0)</f>
        <v>0</v>
      </c>
      <c r="X552" s="239">
        <f>IFERROR((HLOOKUP($AH552,Target_monthwise!$D$24:$O$40,DTR!X$4,FALSE)),0)</f>
        <v>0</v>
      </c>
      <c r="Y552" s="239">
        <f>IFERROR((HLOOKUP($AH552,Target_monthwise!$D$24:$O$40,DTR!Y$4,FALSE)),0)</f>
        <v>0</v>
      </c>
      <c r="Z552" s="147">
        <f>IFERROR((HLOOKUP($AH552,Target_monthwise!$D$24:$O$40,DTR!Z$4,FALSE)),0)</f>
        <v>0</v>
      </c>
      <c r="AA552" s="147">
        <f>IFERROR((HLOOKUP($AH552,Target_monthwise!$D$24:$O$40,DTR!AA$4,FALSE)),0)</f>
        <v>0</v>
      </c>
      <c r="AB552" s="147">
        <f>IFERROR((HLOOKUP($AH552,Target_monthwise!$D$24:$O$40,DTR!AB$4,FALSE)),0)</f>
        <v>0</v>
      </c>
      <c r="AC552" s="239">
        <f>IFERROR((HLOOKUP($AH552,Target_monthwise!$D$24:$O$40,DTR!AC$4,FALSE)),0)</f>
        <v>0</v>
      </c>
      <c r="AD552" s="239">
        <f>IFERROR((HLOOKUP($AH552,Target_monthwise!$D$24:$O$40,DTR!AD$4,FALSE)),0)</f>
        <v>0</v>
      </c>
      <c r="AE552" s="239">
        <f>IFERROR((HLOOKUP($AH552,Target_monthwise!$D$24:$O$40,DTR!AE$4,FALSE)),0)</f>
        <v>0</v>
      </c>
      <c r="AF552" s="239">
        <f>IFERROR((HLOOKUP($AH552,Target_monthwise!$D$24:$O$40,DTR!AF$4,FALSE)),0)</f>
        <v>0</v>
      </c>
      <c r="AG552" s="172">
        <f>IFERROR((HLOOKUP($AH552,Target_monthwise!$D$24:$O$40,DTR!AG$4,FALSE)),0)</f>
        <v>0</v>
      </c>
      <c r="AH552" s="253">
        <f t="shared" si="10"/>
        <v>202309</v>
      </c>
    </row>
    <row r="553" spans="3:34" ht="15.75" hidden="1">
      <c r="C553" s="235">
        <v>45196</v>
      </c>
      <c r="D553" s="141">
        <f>IFERROR((HLOOKUP($AH553,Target_monthwise!$D$4:$O$20,DTR!D$4,FALSE))*1000,0)</f>
        <v>0</v>
      </c>
      <c r="E553" s="141">
        <f>IFERROR((HLOOKUP($AH553,Target_monthwise!$D$4:$O$20,DTR!E$4,FALSE))*1000,0)</f>
        <v>0</v>
      </c>
      <c r="F553" s="141">
        <f>IFERROR((HLOOKUP($AH553,Target_monthwise!$D$4:$O$20,DTR!F$4,FALSE))*1000,0)</f>
        <v>0</v>
      </c>
      <c r="G553" s="141">
        <f>IFERROR((HLOOKUP($AH553,Target_monthwise!$D$4:$O$20,DTR!G$4,FALSE))*1000,0)</f>
        <v>0</v>
      </c>
      <c r="H553" s="141">
        <f>IFERROR((HLOOKUP($AH553,Target_monthwise!$D$4:$O$20,DTR!H$4,FALSE))*1000,0)</f>
        <v>0</v>
      </c>
      <c r="I553" s="141">
        <f>IFERROR((HLOOKUP($AH553,Target_monthwise!$D$4:$O$20,DTR!I$4,FALSE))*1000,0)</f>
        <v>0</v>
      </c>
      <c r="J553" s="141">
        <f>IFERROR((HLOOKUP($AH553,Target_monthwise!$D$4:$O$20,DTR!J$4,FALSE))*1000,0)</f>
        <v>0</v>
      </c>
      <c r="K553" s="141">
        <f>IFERROR((HLOOKUP($AH553,Target_monthwise!$D$4:$O$20,DTR!K$4,FALSE))*1000,0)</f>
        <v>0</v>
      </c>
      <c r="L553" s="141">
        <f>IFERROR((HLOOKUP($AH553,Target_monthwise!$D$4:$O$20,DTR!L$4,FALSE))*1000,0)</f>
        <v>0</v>
      </c>
      <c r="M553" s="141">
        <f>IFERROR((HLOOKUP($AH553,Target_monthwise!$D$4:$O$20,DTR!M$4,FALSE))*1000,0)</f>
        <v>0</v>
      </c>
      <c r="N553" s="141">
        <f>IFERROR((HLOOKUP($AH553,Target_monthwise!$D$4:$O$20,DTR!N$4,FALSE))*1000,0)</f>
        <v>0</v>
      </c>
      <c r="O553" s="141">
        <f>IFERROR((HLOOKUP($AH553,Target_monthwise!$D$4:$O$20,DTR!O$4,FALSE))*1000,0)</f>
        <v>0</v>
      </c>
      <c r="P553" s="141">
        <f>IFERROR((HLOOKUP($AH553,Target_monthwise!$D$4:$O$20,DTR!P$4,FALSE))*1000,0)</f>
        <v>0</v>
      </c>
      <c r="Q553" s="141">
        <f>IFERROR((HLOOKUP($AH553,Target_monthwise!$D$4:$O$20,DTR!Q$4,FALSE))*1000,0)</f>
        <v>0</v>
      </c>
      <c r="R553" s="167">
        <f>IFERROR((HLOOKUP($AH553,Target_monthwise!$D$4:$O$20,DTR!R$4,FALSE))*1000,0)</f>
        <v>0</v>
      </c>
      <c r="S553" s="147">
        <f>IFERROR((HLOOKUP($AH553,Target_monthwise!$D$24:$O$40,DTR!S$4,FALSE)),0)</f>
        <v>0</v>
      </c>
      <c r="T553" s="147">
        <f>IFERROR((HLOOKUP($AH553,Target_monthwise!$D$24:$O$40,DTR!T$4,FALSE)),0)</f>
        <v>0</v>
      </c>
      <c r="U553" s="147">
        <f>IFERROR((HLOOKUP($AH553,Target_monthwise!$D$24:$O$40,DTR!U$4,FALSE)),0)</f>
        <v>0</v>
      </c>
      <c r="V553" s="147">
        <f>IFERROR((HLOOKUP($AH553,Target_monthwise!$D$24:$O$40,DTR!V$4,FALSE)),0)</f>
        <v>0</v>
      </c>
      <c r="W553" s="147">
        <f>IFERROR((HLOOKUP($AH553,Target_monthwise!$D$24:$O$40,DTR!W$4,FALSE)),0)</f>
        <v>0</v>
      </c>
      <c r="X553" s="147">
        <f>IFERROR((HLOOKUP($AH553,Target_monthwise!$D$24:$O$40,DTR!X$4,FALSE)),0)</f>
        <v>0</v>
      </c>
      <c r="Y553" s="147">
        <f>IFERROR((HLOOKUP($AH553,Target_monthwise!$D$24:$O$40,DTR!Y$4,FALSE)),0)</f>
        <v>0</v>
      </c>
      <c r="Z553" s="147">
        <f>IFERROR((HLOOKUP($AH553,Target_monthwise!$D$24:$O$40,DTR!Z$4,FALSE)),0)</f>
        <v>0</v>
      </c>
      <c r="AA553" s="147">
        <f>IFERROR((HLOOKUP($AH553,Target_monthwise!$D$24:$O$40,DTR!AA$4,FALSE)),0)</f>
        <v>0</v>
      </c>
      <c r="AB553" s="147">
        <f>IFERROR((HLOOKUP($AH553,Target_monthwise!$D$24:$O$40,DTR!AB$4,FALSE)),0)</f>
        <v>0</v>
      </c>
      <c r="AC553" s="147">
        <f>IFERROR((HLOOKUP($AH553,Target_monthwise!$D$24:$O$40,DTR!AC$4,FALSE)),0)</f>
        <v>0</v>
      </c>
      <c r="AD553" s="147">
        <f>IFERROR((HLOOKUP($AH553,Target_monthwise!$D$24:$O$40,DTR!AD$4,FALSE)),0)</f>
        <v>0</v>
      </c>
      <c r="AE553" s="147">
        <f>IFERROR((HLOOKUP($AH553,Target_monthwise!$D$24:$O$40,DTR!AE$4,FALSE)),0)</f>
        <v>0</v>
      </c>
      <c r="AF553" s="147">
        <f>IFERROR((HLOOKUP($AH553,Target_monthwise!$D$24:$O$40,DTR!AF$4,FALSE)),0)</f>
        <v>0</v>
      </c>
      <c r="AG553" s="172">
        <f>IFERROR((HLOOKUP($AH553,Target_monthwise!$D$24:$O$40,DTR!AG$4,FALSE)),0)</f>
        <v>0</v>
      </c>
      <c r="AH553" s="253">
        <f t="shared" si="10"/>
        <v>202309</v>
      </c>
    </row>
    <row r="554" spans="3:34" ht="15.75" hidden="1">
      <c r="C554" s="237">
        <v>45197</v>
      </c>
      <c r="D554" s="238">
        <f>IFERROR((HLOOKUP($AH554,Target_monthwise!$D$4:$O$20,DTR!D$4,FALSE))*1000,0)</f>
        <v>0</v>
      </c>
      <c r="E554" s="238">
        <f>IFERROR((HLOOKUP($AH554,Target_monthwise!$D$4:$O$20,DTR!E$4,FALSE))*1000,0)</f>
        <v>0</v>
      </c>
      <c r="F554" s="238">
        <f>IFERROR((HLOOKUP($AH554,Target_monthwise!$D$4:$O$20,DTR!F$4,FALSE))*1000,0)</f>
        <v>0</v>
      </c>
      <c r="G554" s="238">
        <f>IFERROR((HLOOKUP($AH554,Target_monthwise!$D$4:$O$20,DTR!G$4,FALSE))*1000,0)</f>
        <v>0</v>
      </c>
      <c r="H554" s="238">
        <f>IFERROR((HLOOKUP($AH554,Target_monthwise!$D$4:$O$20,DTR!H$4,FALSE))*1000,0)</f>
        <v>0</v>
      </c>
      <c r="I554" s="238">
        <f>IFERROR((HLOOKUP($AH554,Target_monthwise!$D$4:$O$20,DTR!I$4,FALSE))*1000,0)</f>
        <v>0</v>
      </c>
      <c r="J554" s="238">
        <f>IFERROR((HLOOKUP($AH554,Target_monthwise!$D$4:$O$20,DTR!J$4,FALSE))*1000,0)</f>
        <v>0</v>
      </c>
      <c r="K554" s="238">
        <f>IFERROR((HLOOKUP($AH554,Target_monthwise!$D$4:$O$20,DTR!K$4,FALSE))*1000,0)</f>
        <v>0</v>
      </c>
      <c r="L554" s="238">
        <f>IFERROR((HLOOKUP($AH554,Target_monthwise!$D$4:$O$20,DTR!L$4,FALSE))*1000,0)</f>
        <v>0</v>
      </c>
      <c r="M554" s="238">
        <f>IFERROR((HLOOKUP($AH554,Target_monthwise!$D$4:$O$20,DTR!M$4,FALSE))*1000,0)</f>
        <v>0</v>
      </c>
      <c r="N554" s="238">
        <f>IFERROR((HLOOKUP($AH554,Target_monthwise!$D$4:$O$20,DTR!N$4,FALSE))*1000,0)</f>
        <v>0</v>
      </c>
      <c r="O554" s="238">
        <f>IFERROR((HLOOKUP($AH554,Target_monthwise!$D$4:$O$20,DTR!O$4,FALSE))*1000,0)</f>
        <v>0</v>
      </c>
      <c r="P554" s="238">
        <f>IFERROR((HLOOKUP($AH554,Target_monthwise!$D$4:$O$20,DTR!P$4,FALSE))*1000,0)</f>
        <v>0</v>
      </c>
      <c r="Q554" s="141">
        <f>IFERROR((HLOOKUP($AH554,Target_monthwise!$D$4:$O$20,DTR!Q$4,FALSE))*1000,0)</f>
        <v>0</v>
      </c>
      <c r="R554" s="167">
        <f>IFERROR((HLOOKUP($AH554,Target_monthwise!$D$4:$O$20,DTR!R$4,FALSE))*1000,0)</f>
        <v>0</v>
      </c>
      <c r="S554" s="239">
        <f>IFERROR((HLOOKUP($AH554,Target_monthwise!$D$24:$O$40,DTR!S$4,FALSE)),0)</f>
        <v>0</v>
      </c>
      <c r="T554" s="239">
        <f>IFERROR((HLOOKUP($AH554,Target_monthwise!$D$24:$O$40,DTR!T$4,FALSE)),0)</f>
        <v>0</v>
      </c>
      <c r="U554" s="239">
        <f>IFERROR((HLOOKUP($AH554,Target_monthwise!$D$24:$O$40,DTR!U$4,FALSE)),0)</f>
        <v>0</v>
      </c>
      <c r="V554" s="239">
        <f>IFERROR((HLOOKUP($AH554,Target_monthwise!$D$24:$O$40,DTR!V$4,FALSE)),0)</f>
        <v>0</v>
      </c>
      <c r="W554" s="239">
        <f>IFERROR((HLOOKUP($AH554,Target_monthwise!$D$24:$O$40,DTR!W$4,FALSE)),0)</f>
        <v>0</v>
      </c>
      <c r="X554" s="239">
        <f>IFERROR((HLOOKUP($AH554,Target_monthwise!$D$24:$O$40,DTR!X$4,FALSE)),0)</f>
        <v>0</v>
      </c>
      <c r="Y554" s="239">
        <f>IFERROR((HLOOKUP($AH554,Target_monthwise!$D$24:$O$40,DTR!Y$4,FALSE)),0)</f>
        <v>0</v>
      </c>
      <c r="Z554" s="147">
        <f>IFERROR((HLOOKUP($AH554,Target_monthwise!$D$24:$O$40,DTR!Z$4,FALSE)),0)</f>
        <v>0</v>
      </c>
      <c r="AA554" s="147">
        <f>IFERROR((HLOOKUP($AH554,Target_monthwise!$D$24:$O$40,DTR!AA$4,FALSE)),0)</f>
        <v>0</v>
      </c>
      <c r="AB554" s="147">
        <f>IFERROR((HLOOKUP($AH554,Target_monthwise!$D$24:$O$40,DTR!AB$4,FALSE)),0)</f>
        <v>0</v>
      </c>
      <c r="AC554" s="239">
        <f>IFERROR((HLOOKUP($AH554,Target_monthwise!$D$24:$O$40,DTR!AC$4,FALSE)),0)</f>
        <v>0</v>
      </c>
      <c r="AD554" s="239">
        <f>IFERROR((HLOOKUP($AH554,Target_monthwise!$D$24:$O$40,DTR!AD$4,FALSE)),0)</f>
        <v>0</v>
      </c>
      <c r="AE554" s="239">
        <f>IFERROR((HLOOKUP($AH554,Target_monthwise!$D$24:$O$40,DTR!AE$4,FALSE)),0)</f>
        <v>0</v>
      </c>
      <c r="AF554" s="239">
        <f>IFERROR((HLOOKUP($AH554,Target_monthwise!$D$24:$O$40,DTR!AF$4,FALSE)),0)</f>
        <v>0</v>
      </c>
      <c r="AG554" s="172">
        <f>IFERROR((HLOOKUP($AH554,Target_monthwise!$D$24:$O$40,DTR!AG$4,FALSE)),0)</f>
        <v>0</v>
      </c>
      <c r="AH554" s="253">
        <f t="shared" si="10"/>
        <v>202309</v>
      </c>
    </row>
    <row r="555" spans="3:34" ht="15.75" hidden="1">
      <c r="C555" s="235">
        <v>45198</v>
      </c>
      <c r="D555" s="141">
        <f>IFERROR((HLOOKUP($AH555,Target_monthwise!$D$4:$O$20,DTR!D$4,FALSE))*1000,0)</f>
        <v>0</v>
      </c>
      <c r="E555" s="141">
        <f>IFERROR((HLOOKUP($AH555,Target_monthwise!$D$4:$O$20,DTR!E$4,FALSE))*1000,0)</f>
        <v>0</v>
      </c>
      <c r="F555" s="141">
        <f>IFERROR((HLOOKUP($AH555,Target_monthwise!$D$4:$O$20,DTR!F$4,FALSE))*1000,0)</f>
        <v>0</v>
      </c>
      <c r="G555" s="141">
        <f>IFERROR((HLOOKUP($AH555,Target_monthwise!$D$4:$O$20,DTR!G$4,FALSE))*1000,0)</f>
        <v>0</v>
      </c>
      <c r="H555" s="141">
        <f>IFERROR((HLOOKUP($AH555,Target_monthwise!$D$4:$O$20,DTR!H$4,FALSE))*1000,0)</f>
        <v>0</v>
      </c>
      <c r="I555" s="141">
        <f>IFERROR((HLOOKUP($AH555,Target_monthwise!$D$4:$O$20,DTR!I$4,FALSE))*1000,0)</f>
        <v>0</v>
      </c>
      <c r="J555" s="141">
        <f>IFERROR((HLOOKUP($AH555,Target_monthwise!$D$4:$O$20,DTR!J$4,FALSE))*1000,0)</f>
        <v>0</v>
      </c>
      <c r="K555" s="141">
        <f>IFERROR((HLOOKUP($AH555,Target_monthwise!$D$4:$O$20,DTR!K$4,FALSE))*1000,0)</f>
        <v>0</v>
      </c>
      <c r="L555" s="141">
        <f>IFERROR((HLOOKUP($AH555,Target_monthwise!$D$4:$O$20,DTR!L$4,FALSE))*1000,0)</f>
        <v>0</v>
      </c>
      <c r="M555" s="141">
        <f>IFERROR((HLOOKUP($AH555,Target_monthwise!$D$4:$O$20,DTR!M$4,FALSE))*1000,0)</f>
        <v>0</v>
      </c>
      <c r="N555" s="141">
        <f>IFERROR((HLOOKUP($AH555,Target_monthwise!$D$4:$O$20,DTR!N$4,FALSE))*1000,0)</f>
        <v>0</v>
      </c>
      <c r="O555" s="141">
        <f>IFERROR((HLOOKUP($AH555,Target_monthwise!$D$4:$O$20,DTR!O$4,FALSE))*1000,0)</f>
        <v>0</v>
      </c>
      <c r="P555" s="141">
        <f>IFERROR((HLOOKUP($AH555,Target_monthwise!$D$4:$O$20,DTR!P$4,FALSE))*1000,0)</f>
        <v>0</v>
      </c>
      <c r="Q555" s="141">
        <f>IFERROR((HLOOKUP($AH555,Target_monthwise!$D$4:$O$20,DTR!Q$4,FALSE))*1000,0)</f>
        <v>0</v>
      </c>
      <c r="R555" s="167">
        <f>IFERROR((HLOOKUP($AH555,Target_monthwise!$D$4:$O$20,DTR!R$4,FALSE))*1000,0)</f>
        <v>0</v>
      </c>
      <c r="S555" s="147">
        <f>IFERROR((HLOOKUP($AH555,Target_monthwise!$D$24:$O$40,DTR!S$4,FALSE)),0)</f>
        <v>0</v>
      </c>
      <c r="T555" s="147">
        <f>IFERROR((HLOOKUP($AH555,Target_monthwise!$D$24:$O$40,DTR!T$4,FALSE)),0)</f>
        <v>0</v>
      </c>
      <c r="U555" s="147">
        <f>IFERROR((HLOOKUP($AH555,Target_monthwise!$D$24:$O$40,DTR!U$4,FALSE)),0)</f>
        <v>0</v>
      </c>
      <c r="V555" s="147">
        <f>IFERROR((HLOOKUP($AH555,Target_monthwise!$D$24:$O$40,DTR!V$4,FALSE)),0)</f>
        <v>0</v>
      </c>
      <c r="W555" s="147">
        <f>IFERROR((HLOOKUP($AH555,Target_monthwise!$D$24:$O$40,DTR!W$4,FALSE)),0)</f>
        <v>0</v>
      </c>
      <c r="X555" s="147">
        <f>IFERROR((HLOOKUP($AH555,Target_monthwise!$D$24:$O$40,DTR!X$4,FALSE)),0)</f>
        <v>0</v>
      </c>
      <c r="Y555" s="147">
        <f>IFERROR((HLOOKUP($AH555,Target_monthwise!$D$24:$O$40,DTR!Y$4,FALSE)),0)</f>
        <v>0</v>
      </c>
      <c r="Z555" s="147">
        <f>IFERROR((HLOOKUP($AH555,Target_monthwise!$D$24:$O$40,DTR!Z$4,FALSE)),0)</f>
        <v>0</v>
      </c>
      <c r="AA555" s="147">
        <f>IFERROR((HLOOKUP($AH555,Target_monthwise!$D$24:$O$40,DTR!AA$4,FALSE)),0)</f>
        <v>0</v>
      </c>
      <c r="AB555" s="147">
        <f>IFERROR((HLOOKUP($AH555,Target_monthwise!$D$24:$O$40,DTR!AB$4,FALSE)),0)</f>
        <v>0</v>
      </c>
      <c r="AC555" s="147">
        <f>IFERROR((HLOOKUP($AH555,Target_monthwise!$D$24:$O$40,DTR!AC$4,FALSE)),0)</f>
        <v>0</v>
      </c>
      <c r="AD555" s="147">
        <f>IFERROR((HLOOKUP($AH555,Target_monthwise!$D$24:$O$40,DTR!AD$4,FALSE)),0)</f>
        <v>0</v>
      </c>
      <c r="AE555" s="147">
        <f>IFERROR((HLOOKUP($AH555,Target_monthwise!$D$24:$O$40,DTR!AE$4,FALSE)),0)</f>
        <v>0</v>
      </c>
      <c r="AF555" s="147">
        <f>IFERROR((HLOOKUP($AH555,Target_monthwise!$D$24:$O$40,DTR!AF$4,FALSE)),0)</f>
        <v>0</v>
      </c>
      <c r="AG555" s="172">
        <f>IFERROR((HLOOKUP($AH555,Target_monthwise!$D$24:$O$40,DTR!AG$4,FALSE)),0)</f>
        <v>0</v>
      </c>
      <c r="AH555" s="253">
        <f t="shared" si="10"/>
        <v>202309</v>
      </c>
    </row>
    <row r="556" spans="3:34" ht="15.75" hidden="1">
      <c r="C556" s="237">
        <v>45199</v>
      </c>
      <c r="D556" s="238">
        <f>IFERROR((HLOOKUP($AH556,Target_monthwise!$D$4:$O$20,DTR!D$4,FALSE))*1000,0)</f>
        <v>0</v>
      </c>
      <c r="E556" s="238">
        <f>IFERROR((HLOOKUP($AH556,Target_monthwise!$D$4:$O$20,DTR!E$4,FALSE))*1000,0)</f>
        <v>0</v>
      </c>
      <c r="F556" s="238">
        <f>IFERROR((HLOOKUP($AH556,Target_monthwise!$D$4:$O$20,DTR!F$4,FALSE))*1000,0)</f>
        <v>0</v>
      </c>
      <c r="G556" s="238">
        <f>IFERROR((HLOOKUP($AH556,Target_monthwise!$D$4:$O$20,DTR!G$4,FALSE))*1000,0)</f>
        <v>0</v>
      </c>
      <c r="H556" s="238">
        <f>IFERROR((HLOOKUP($AH556,Target_monthwise!$D$4:$O$20,DTR!H$4,FALSE))*1000,0)</f>
        <v>0</v>
      </c>
      <c r="I556" s="238">
        <f>IFERROR((HLOOKUP($AH556,Target_monthwise!$D$4:$O$20,DTR!I$4,FALSE))*1000,0)</f>
        <v>0</v>
      </c>
      <c r="J556" s="238">
        <f>IFERROR((HLOOKUP($AH556,Target_monthwise!$D$4:$O$20,DTR!J$4,FALSE))*1000,0)</f>
        <v>0</v>
      </c>
      <c r="K556" s="238">
        <f>IFERROR((HLOOKUP($AH556,Target_monthwise!$D$4:$O$20,DTR!K$4,FALSE))*1000,0)</f>
        <v>0</v>
      </c>
      <c r="L556" s="238">
        <f>IFERROR((HLOOKUP($AH556,Target_monthwise!$D$4:$O$20,DTR!L$4,FALSE))*1000,0)</f>
        <v>0</v>
      </c>
      <c r="M556" s="238">
        <f>IFERROR((HLOOKUP($AH556,Target_monthwise!$D$4:$O$20,DTR!M$4,FALSE))*1000,0)</f>
        <v>0</v>
      </c>
      <c r="N556" s="238">
        <f>IFERROR((HLOOKUP($AH556,Target_monthwise!$D$4:$O$20,DTR!N$4,FALSE))*1000,0)</f>
        <v>0</v>
      </c>
      <c r="O556" s="238">
        <f>IFERROR((HLOOKUP($AH556,Target_monthwise!$D$4:$O$20,DTR!O$4,FALSE))*1000,0)</f>
        <v>0</v>
      </c>
      <c r="P556" s="238">
        <f>IFERROR((HLOOKUP($AH556,Target_monthwise!$D$4:$O$20,DTR!P$4,FALSE))*1000,0)</f>
        <v>0</v>
      </c>
      <c r="Q556" s="141">
        <f>IFERROR((HLOOKUP($AH556,Target_monthwise!$D$4:$O$20,DTR!Q$4,FALSE))*1000,0)</f>
        <v>0</v>
      </c>
      <c r="R556" s="167">
        <f>IFERROR((HLOOKUP($AH556,Target_monthwise!$D$4:$O$20,DTR!R$4,FALSE))*1000,0)</f>
        <v>0</v>
      </c>
      <c r="S556" s="239">
        <f>IFERROR((HLOOKUP($AH556,Target_monthwise!$D$24:$O$40,DTR!S$4,FALSE)),0)</f>
        <v>0</v>
      </c>
      <c r="T556" s="239">
        <f>IFERROR((HLOOKUP($AH556,Target_monthwise!$D$24:$O$40,DTR!T$4,FALSE)),0)</f>
        <v>0</v>
      </c>
      <c r="U556" s="239">
        <f>IFERROR((HLOOKUP($AH556,Target_monthwise!$D$24:$O$40,DTR!U$4,FALSE)),0)</f>
        <v>0</v>
      </c>
      <c r="V556" s="239">
        <f>IFERROR((HLOOKUP($AH556,Target_monthwise!$D$24:$O$40,DTR!V$4,FALSE)),0)</f>
        <v>0</v>
      </c>
      <c r="W556" s="239">
        <f>IFERROR((HLOOKUP($AH556,Target_monthwise!$D$24:$O$40,DTR!W$4,FALSE)),0)</f>
        <v>0</v>
      </c>
      <c r="X556" s="239">
        <f>IFERROR((HLOOKUP($AH556,Target_monthwise!$D$24:$O$40,DTR!X$4,FALSE)),0)</f>
        <v>0</v>
      </c>
      <c r="Y556" s="239">
        <f>IFERROR((HLOOKUP($AH556,Target_monthwise!$D$24:$O$40,DTR!Y$4,FALSE)),0)</f>
        <v>0</v>
      </c>
      <c r="Z556" s="147">
        <f>IFERROR((HLOOKUP($AH556,Target_monthwise!$D$24:$O$40,DTR!Z$4,FALSE)),0)</f>
        <v>0</v>
      </c>
      <c r="AA556" s="147">
        <f>IFERROR((HLOOKUP($AH556,Target_monthwise!$D$24:$O$40,DTR!AA$4,FALSE)),0)</f>
        <v>0</v>
      </c>
      <c r="AB556" s="147">
        <f>IFERROR((HLOOKUP($AH556,Target_monthwise!$D$24:$O$40,DTR!AB$4,FALSE)),0)</f>
        <v>0</v>
      </c>
      <c r="AC556" s="239">
        <f>IFERROR((HLOOKUP($AH556,Target_monthwise!$D$24:$O$40,DTR!AC$4,FALSE)),0)</f>
        <v>0</v>
      </c>
      <c r="AD556" s="239">
        <f>IFERROR((HLOOKUP($AH556,Target_monthwise!$D$24:$O$40,DTR!AD$4,FALSE)),0)</f>
        <v>0</v>
      </c>
      <c r="AE556" s="239">
        <f>IFERROR((HLOOKUP($AH556,Target_monthwise!$D$24:$O$40,DTR!AE$4,FALSE)),0)</f>
        <v>0</v>
      </c>
      <c r="AF556" s="239">
        <f>IFERROR((HLOOKUP($AH556,Target_monthwise!$D$24:$O$40,DTR!AF$4,FALSE)),0)</f>
        <v>0</v>
      </c>
      <c r="AG556" s="172">
        <f>IFERROR((HLOOKUP($AH556,Target_monthwise!$D$24:$O$40,DTR!AG$4,FALSE)),0)</f>
        <v>0</v>
      </c>
      <c r="AH556" s="253">
        <f t="shared" si="10"/>
        <v>202309</v>
      </c>
    </row>
    <row r="557" spans="3:34" ht="15.75" hidden="1">
      <c r="C557" s="235">
        <v>45200</v>
      </c>
      <c r="D557" s="141">
        <f>IFERROR((HLOOKUP($AH557,Target_monthwise!$D$4:$O$20,DTR!D$4,FALSE))*1000,0)</f>
        <v>0</v>
      </c>
      <c r="E557" s="141">
        <f>IFERROR((HLOOKUP($AH557,Target_monthwise!$D$4:$O$20,DTR!E$4,FALSE))*1000,0)</f>
        <v>0</v>
      </c>
      <c r="F557" s="141">
        <f>IFERROR((HLOOKUP($AH557,Target_monthwise!$D$4:$O$20,DTR!F$4,FALSE))*1000,0)</f>
        <v>0</v>
      </c>
      <c r="G557" s="141">
        <f>IFERROR((HLOOKUP($AH557,Target_monthwise!$D$4:$O$20,DTR!G$4,FALSE))*1000,0)</f>
        <v>0</v>
      </c>
      <c r="H557" s="141">
        <f>IFERROR((HLOOKUP($AH557,Target_monthwise!$D$4:$O$20,DTR!H$4,FALSE))*1000,0)</f>
        <v>0</v>
      </c>
      <c r="I557" s="141">
        <f>IFERROR((HLOOKUP($AH557,Target_monthwise!$D$4:$O$20,DTR!I$4,FALSE))*1000,0)</f>
        <v>0</v>
      </c>
      <c r="J557" s="141">
        <f>IFERROR((HLOOKUP($AH557,Target_monthwise!$D$4:$O$20,DTR!J$4,FALSE))*1000,0)</f>
        <v>0</v>
      </c>
      <c r="K557" s="141">
        <f>IFERROR((HLOOKUP($AH557,Target_monthwise!$D$4:$O$20,DTR!K$4,FALSE))*1000,0)</f>
        <v>0</v>
      </c>
      <c r="L557" s="141">
        <f>IFERROR((HLOOKUP($AH557,Target_monthwise!$D$4:$O$20,DTR!L$4,FALSE))*1000,0)</f>
        <v>0</v>
      </c>
      <c r="M557" s="141">
        <f>IFERROR((HLOOKUP($AH557,Target_monthwise!$D$4:$O$20,DTR!M$4,FALSE))*1000,0)</f>
        <v>0</v>
      </c>
      <c r="N557" s="141">
        <f>IFERROR((HLOOKUP($AH557,Target_monthwise!$D$4:$O$20,DTR!N$4,FALSE))*1000,0)</f>
        <v>0</v>
      </c>
      <c r="O557" s="141">
        <f>IFERROR((HLOOKUP($AH557,Target_monthwise!$D$4:$O$20,DTR!O$4,FALSE))*1000,0)</f>
        <v>0</v>
      </c>
      <c r="P557" s="141">
        <f>IFERROR((HLOOKUP($AH557,Target_monthwise!$D$4:$O$20,DTR!P$4,FALSE))*1000,0)</f>
        <v>0</v>
      </c>
      <c r="Q557" s="141">
        <f>IFERROR((HLOOKUP($AH557,Target_monthwise!$D$4:$O$20,DTR!Q$4,FALSE))*1000,0)</f>
        <v>0</v>
      </c>
      <c r="R557" s="167">
        <f>IFERROR((HLOOKUP($AH557,Target_monthwise!$D$4:$O$20,DTR!R$4,FALSE))*1000,0)</f>
        <v>0</v>
      </c>
      <c r="S557" s="147">
        <f>IFERROR((HLOOKUP($AH557,Target_monthwise!$D$24:$O$40,DTR!S$4,FALSE)),0)</f>
        <v>0</v>
      </c>
      <c r="T557" s="147">
        <f>IFERROR((HLOOKUP($AH557,Target_monthwise!$D$24:$O$40,DTR!T$4,FALSE)),0)</f>
        <v>0</v>
      </c>
      <c r="U557" s="147">
        <f>IFERROR((HLOOKUP($AH557,Target_monthwise!$D$24:$O$40,DTR!U$4,FALSE)),0)</f>
        <v>0</v>
      </c>
      <c r="V557" s="147">
        <f>IFERROR((HLOOKUP($AH557,Target_monthwise!$D$24:$O$40,DTR!V$4,FALSE)),0)</f>
        <v>0</v>
      </c>
      <c r="W557" s="147">
        <f>IFERROR((HLOOKUP($AH557,Target_monthwise!$D$24:$O$40,DTR!W$4,FALSE)),0)</f>
        <v>0</v>
      </c>
      <c r="X557" s="147">
        <f>IFERROR((HLOOKUP($AH557,Target_monthwise!$D$24:$O$40,DTR!X$4,FALSE)),0)</f>
        <v>0</v>
      </c>
      <c r="Y557" s="147">
        <f>IFERROR((HLOOKUP($AH557,Target_monthwise!$D$24:$O$40,DTR!Y$4,FALSE)),0)</f>
        <v>0</v>
      </c>
      <c r="Z557" s="147">
        <f>IFERROR((HLOOKUP($AH557,Target_monthwise!$D$24:$O$40,DTR!Z$4,FALSE)),0)</f>
        <v>0</v>
      </c>
      <c r="AA557" s="147">
        <f>IFERROR((HLOOKUP($AH557,Target_monthwise!$D$24:$O$40,DTR!AA$4,FALSE)),0)</f>
        <v>0</v>
      </c>
      <c r="AB557" s="147">
        <f>IFERROR((HLOOKUP($AH557,Target_monthwise!$D$24:$O$40,DTR!AB$4,FALSE)),0)</f>
        <v>0</v>
      </c>
      <c r="AC557" s="147">
        <f>IFERROR((HLOOKUP($AH557,Target_monthwise!$D$24:$O$40,DTR!AC$4,FALSE)),0)</f>
        <v>0</v>
      </c>
      <c r="AD557" s="147">
        <f>IFERROR((HLOOKUP($AH557,Target_monthwise!$D$24:$O$40,DTR!AD$4,FALSE)),0)</f>
        <v>0</v>
      </c>
      <c r="AE557" s="147">
        <f>IFERROR((HLOOKUP($AH557,Target_monthwise!$D$24:$O$40,DTR!AE$4,FALSE)),0)</f>
        <v>0</v>
      </c>
      <c r="AF557" s="147">
        <f>IFERROR((HLOOKUP($AH557,Target_monthwise!$D$24:$O$40,DTR!AF$4,FALSE)),0)</f>
        <v>0</v>
      </c>
      <c r="AG557" s="172">
        <f>IFERROR((HLOOKUP($AH557,Target_monthwise!$D$24:$O$40,DTR!AG$4,FALSE)),0)</f>
        <v>0</v>
      </c>
      <c r="AH557" s="253">
        <f t="shared" si="10"/>
        <v>202310</v>
      </c>
    </row>
    <row r="558" spans="3:34" ht="15.75" hidden="1">
      <c r="C558" s="237">
        <v>45201</v>
      </c>
      <c r="D558" s="238">
        <f>IFERROR((HLOOKUP($AH558,Target_monthwise!$D$4:$O$20,DTR!D$4,FALSE))*1000,0)</f>
        <v>0</v>
      </c>
      <c r="E558" s="238">
        <f>IFERROR((HLOOKUP($AH558,Target_monthwise!$D$4:$O$20,DTR!E$4,FALSE))*1000,0)</f>
        <v>0</v>
      </c>
      <c r="F558" s="238">
        <f>IFERROR((HLOOKUP($AH558,Target_monthwise!$D$4:$O$20,DTR!F$4,FALSE))*1000,0)</f>
        <v>0</v>
      </c>
      <c r="G558" s="238">
        <f>IFERROR((HLOOKUP($AH558,Target_monthwise!$D$4:$O$20,DTR!G$4,FALSE))*1000,0)</f>
        <v>0</v>
      </c>
      <c r="H558" s="238">
        <f>IFERROR((HLOOKUP($AH558,Target_monthwise!$D$4:$O$20,DTR!H$4,FALSE))*1000,0)</f>
        <v>0</v>
      </c>
      <c r="I558" s="238">
        <f>IFERROR((HLOOKUP($AH558,Target_monthwise!$D$4:$O$20,DTR!I$4,FALSE))*1000,0)</f>
        <v>0</v>
      </c>
      <c r="J558" s="238">
        <f>IFERROR((HLOOKUP($AH558,Target_monthwise!$D$4:$O$20,DTR!J$4,FALSE))*1000,0)</f>
        <v>0</v>
      </c>
      <c r="K558" s="238">
        <f>IFERROR((HLOOKUP($AH558,Target_monthwise!$D$4:$O$20,DTR!K$4,FALSE))*1000,0)</f>
        <v>0</v>
      </c>
      <c r="L558" s="238">
        <f>IFERROR((HLOOKUP($AH558,Target_monthwise!$D$4:$O$20,DTR!L$4,FALSE))*1000,0)</f>
        <v>0</v>
      </c>
      <c r="M558" s="238">
        <f>IFERROR((HLOOKUP($AH558,Target_monthwise!$D$4:$O$20,DTR!M$4,FALSE))*1000,0)</f>
        <v>0</v>
      </c>
      <c r="N558" s="238">
        <f>IFERROR((HLOOKUP($AH558,Target_monthwise!$D$4:$O$20,DTR!N$4,FALSE))*1000,0)</f>
        <v>0</v>
      </c>
      <c r="O558" s="238">
        <f>IFERROR((HLOOKUP($AH558,Target_monthwise!$D$4:$O$20,DTR!O$4,FALSE))*1000,0)</f>
        <v>0</v>
      </c>
      <c r="P558" s="238">
        <f>IFERROR((HLOOKUP($AH558,Target_monthwise!$D$4:$O$20,DTR!P$4,FALSE))*1000,0)</f>
        <v>0</v>
      </c>
      <c r="Q558" s="141">
        <f>IFERROR((HLOOKUP($AH558,Target_monthwise!$D$4:$O$20,DTR!Q$4,FALSE))*1000,0)</f>
        <v>0</v>
      </c>
      <c r="R558" s="167">
        <f>IFERROR((HLOOKUP($AH558,Target_monthwise!$D$4:$O$20,DTR!R$4,FALSE))*1000,0)</f>
        <v>0</v>
      </c>
      <c r="S558" s="239">
        <f>IFERROR((HLOOKUP($AH558,Target_monthwise!$D$24:$O$40,DTR!S$4,FALSE)),0)</f>
        <v>0</v>
      </c>
      <c r="T558" s="239">
        <f>IFERROR((HLOOKUP($AH558,Target_monthwise!$D$24:$O$40,DTR!T$4,FALSE)),0)</f>
        <v>0</v>
      </c>
      <c r="U558" s="239">
        <f>IFERROR((HLOOKUP($AH558,Target_monthwise!$D$24:$O$40,DTR!U$4,FALSE)),0)</f>
        <v>0</v>
      </c>
      <c r="V558" s="239">
        <f>IFERROR((HLOOKUP($AH558,Target_monthwise!$D$24:$O$40,DTR!V$4,FALSE)),0)</f>
        <v>0</v>
      </c>
      <c r="W558" s="239">
        <f>IFERROR((HLOOKUP($AH558,Target_monthwise!$D$24:$O$40,DTR!W$4,FALSE)),0)</f>
        <v>0</v>
      </c>
      <c r="X558" s="239">
        <f>IFERROR((HLOOKUP($AH558,Target_monthwise!$D$24:$O$40,DTR!X$4,FALSE)),0)</f>
        <v>0</v>
      </c>
      <c r="Y558" s="239">
        <f>IFERROR((HLOOKUP($AH558,Target_monthwise!$D$24:$O$40,DTR!Y$4,FALSE)),0)</f>
        <v>0</v>
      </c>
      <c r="Z558" s="147">
        <f>IFERROR((HLOOKUP($AH558,Target_monthwise!$D$24:$O$40,DTR!Z$4,FALSE)),0)</f>
        <v>0</v>
      </c>
      <c r="AA558" s="147">
        <f>IFERROR((HLOOKUP($AH558,Target_monthwise!$D$24:$O$40,DTR!AA$4,FALSE)),0)</f>
        <v>0</v>
      </c>
      <c r="AB558" s="147">
        <f>IFERROR((HLOOKUP($AH558,Target_monthwise!$D$24:$O$40,DTR!AB$4,FALSE)),0)</f>
        <v>0</v>
      </c>
      <c r="AC558" s="239">
        <f>IFERROR((HLOOKUP($AH558,Target_monthwise!$D$24:$O$40,DTR!AC$4,FALSE)),0)</f>
        <v>0</v>
      </c>
      <c r="AD558" s="239">
        <f>IFERROR((HLOOKUP($AH558,Target_monthwise!$D$24:$O$40,DTR!AD$4,FALSE)),0)</f>
        <v>0</v>
      </c>
      <c r="AE558" s="239">
        <f>IFERROR((HLOOKUP($AH558,Target_monthwise!$D$24:$O$40,DTR!AE$4,FALSE)),0)</f>
        <v>0</v>
      </c>
      <c r="AF558" s="239">
        <f>IFERROR((HLOOKUP($AH558,Target_monthwise!$D$24:$O$40,DTR!AF$4,FALSE)),0)</f>
        <v>0</v>
      </c>
      <c r="AG558" s="172">
        <f>IFERROR((HLOOKUP($AH558,Target_monthwise!$D$24:$O$40,DTR!AG$4,FALSE)),0)</f>
        <v>0</v>
      </c>
      <c r="AH558" s="253">
        <f t="shared" si="10"/>
        <v>202310</v>
      </c>
    </row>
    <row r="559" spans="3:34" ht="15.75" hidden="1">
      <c r="C559" s="235">
        <v>45202</v>
      </c>
      <c r="D559" s="141">
        <f>IFERROR((HLOOKUP($AH559,Target_monthwise!$D$4:$O$20,DTR!D$4,FALSE))*1000,0)</f>
        <v>0</v>
      </c>
      <c r="E559" s="141">
        <f>IFERROR((HLOOKUP($AH559,Target_monthwise!$D$4:$O$20,DTR!E$4,FALSE))*1000,0)</f>
        <v>0</v>
      </c>
      <c r="F559" s="141">
        <f>IFERROR((HLOOKUP($AH559,Target_monthwise!$D$4:$O$20,DTR!F$4,FALSE))*1000,0)</f>
        <v>0</v>
      </c>
      <c r="G559" s="141">
        <f>IFERROR((HLOOKUP($AH559,Target_monthwise!$D$4:$O$20,DTR!G$4,FALSE))*1000,0)</f>
        <v>0</v>
      </c>
      <c r="H559" s="141">
        <f>IFERROR((HLOOKUP($AH559,Target_monthwise!$D$4:$O$20,DTR!H$4,FALSE))*1000,0)</f>
        <v>0</v>
      </c>
      <c r="I559" s="141">
        <f>IFERROR((HLOOKUP($AH559,Target_monthwise!$D$4:$O$20,DTR!I$4,FALSE))*1000,0)</f>
        <v>0</v>
      </c>
      <c r="J559" s="141">
        <f>IFERROR((HLOOKUP($AH559,Target_monthwise!$D$4:$O$20,DTR!J$4,FALSE))*1000,0)</f>
        <v>0</v>
      </c>
      <c r="K559" s="141">
        <f>IFERROR((HLOOKUP($AH559,Target_monthwise!$D$4:$O$20,DTR!K$4,FALSE))*1000,0)</f>
        <v>0</v>
      </c>
      <c r="L559" s="141">
        <f>IFERROR((HLOOKUP($AH559,Target_monthwise!$D$4:$O$20,DTR!L$4,FALSE))*1000,0)</f>
        <v>0</v>
      </c>
      <c r="M559" s="141">
        <f>IFERROR((HLOOKUP($AH559,Target_monthwise!$D$4:$O$20,DTR!M$4,FALSE))*1000,0)</f>
        <v>0</v>
      </c>
      <c r="N559" s="141">
        <f>IFERROR((HLOOKUP($AH559,Target_monthwise!$D$4:$O$20,DTR!N$4,FALSE))*1000,0)</f>
        <v>0</v>
      </c>
      <c r="O559" s="141">
        <f>IFERROR((HLOOKUP($AH559,Target_monthwise!$D$4:$O$20,DTR!O$4,FALSE))*1000,0)</f>
        <v>0</v>
      </c>
      <c r="P559" s="141">
        <f>IFERROR((HLOOKUP($AH559,Target_monthwise!$D$4:$O$20,DTR!P$4,FALSE))*1000,0)</f>
        <v>0</v>
      </c>
      <c r="Q559" s="141">
        <f>IFERROR((HLOOKUP($AH559,Target_monthwise!$D$4:$O$20,DTR!Q$4,FALSE))*1000,0)</f>
        <v>0</v>
      </c>
      <c r="R559" s="167">
        <f>IFERROR((HLOOKUP($AH559,Target_monthwise!$D$4:$O$20,DTR!R$4,FALSE))*1000,0)</f>
        <v>0</v>
      </c>
      <c r="S559" s="147">
        <f>IFERROR((HLOOKUP($AH559,Target_monthwise!$D$24:$O$40,DTR!S$4,FALSE)),0)</f>
        <v>0</v>
      </c>
      <c r="T559" s="147">
        <f>IFERROR((HLOOKUP($AH559,Target_monthwise!$D$24:$O$40,DTR!T$4,FALSE)),0)</f>
        <v>0</v>
      </c>
      <c r="U559" s="147">
        <f>IFERROR((HLOOKUP($AH559,Target_monthwise!$D$24:$O$40,DTR!U$4,FALSE)),0)</f>
        <v>0</v>
      </c>
      <c r="V559" s="147">
        <f>IFERROR((HLOOKUP($AH559,Target_monthwise!$D$24:$O$40,DTR!V$4,FALSE)),0)</f>
        <v>0</v>
      </c>
      <c r="W559" s="147">
        <f>IFERROR((HLOOKUP($AH559,Target_monthwise!$D$24:$O$40,DTR!W$4,FALSE)),0)</f>
        <v>0</v>
      </c>
      <c r="X559" s="147">
        <f>IFERROR((HLOOKUP($AH559,Target_monthwise!$D$24:$O$40,DTR!X$4,FALSE)),0)</f>
        <v>0</v>
      </c>
      <c r="Y559" s="147">
        <f>IFERROR((HLOOKUP($AH559,Target_monthwise!$D$24:$O$40,DTR!Y$4,FALSE)),0)</f>
        <v>0</v>
      </c>
      <c r="Z559" s="147">
        <f>IFERROR((HLOOKUP($AH559,Target_monthwise!$D$24:$O$40,DTR!Z$4,FALSE)),0)</f>
        <v>0</v>
      </c>
      <c r="AA559" s="147">
        <f>IFERROR((HLOOKUP($AH559,Target_monthwise!$D$24:$O$40,DTR!AA$4,FALSE)),0)</f>
        <v>0</v>
      </c>
      <c r="AB559" s="147">
        <f>IFERROR((HLOOKUP($AH559,Target_monthwise!$D$24:$O$40,DTR!AB$4,FALSE)),0)</f>
        <v>0</v>
      </c>
      <c r="AC559" s="147">
        <f>IFERROR((HLOOKUP($AH559,Target_monthwise!$D$24:$O$40,DTR!AC$4,FALSE)),0)</f>
        <v>0</v>
      </c>
      <c r="AD559" s="147">
        <f>IFERROR((HLOOKUP($AH559,Target_monthwise!$D$24:$O$40,DTR!AD$4,FALSE)),0)</f>
        <v>0</v>
      </c>
      <c r="AE559" s="147">
        <f>IFERROR((HLOOKUP($AH559,Target_monthwise!$D$24:$O$40,DTR!AE$4,FALSE)),0)</f>
        <v>0</v>
      </c>
      <c r="AF559" s="147">
        <f>IFERROR((HLOOKUP($AH559,Target_monthwise!$D$24:$O$40,DTR!AF$4,FALSE)),0)</f>
        <v>0</v>
      </c>
      <c r="AG559" s="172">
        <f>IFERROR((HLOOKUP($AH559,Target_monthwise!$D$24:$O$40,DTR!AG$4,FALSE)),0)</f>
        <v>0</v>
      </c>
      <c r="AH559" s="253">
        <f t="shared" si="10"/>
        <v>202310</v>
      </c>
    </row>
    <row r="560" spans="3:34" ht="15.75" hidden="1">
      <c r="C560" s="237">
        <v>45203</v>
      </c>
      <c r="D560" s="238">
        <f>IFERROR((HLOOKUP($AH560,Target_monthwise!$D$4:$O$20,DTR!D$4,FALSE))*1000,0)</f>
        <v>0</v>
      </c>
      <c r="E560" s="238">
        <f>IFERROR((HLOOKUP($AH560,Target_monthwise!$D$4:$O$20,DTR!E$4,FALSE))*1000,0)</f>
        <v>0</v>
      </c>
      <c r="F560" s="238">
        <f>IFERROR((HLOOKUP($AH560,Target_monthwise!$D$4:$O$20,DTR!F$4,FALSE))*1000,0)</f>
        <v>0</v>
      </c>
      <c r="G560" s="238">
        <f>IFERROR((HLOOKUP($AH560,Target_monthwise!$D$4:$O$20,DTR!G$4,FALSE))*1000,0)</f>
        <v>0</v>
      </c>
      <c r="H560" s="238">
        <f>IFERROR((HLOOKUP($AH560,Target_monthwise!$D$4:$O$20,DTR!H$4,FALSE))*1000,0)</f>
        <v>0</v>
      </c>
      <c r="I560" s="238">
        <f>IFERROR((HLOOKUP($AH560,Target_monthwise!$D$4:$O$20,DTR!I$4,FALSE))*1000,0)</f>
        <v>0</v>
      </c>
      <c r="J560" s="238">
        <f>IFERROR((HLOOKUP($AH560,Target_monthwise!$D$4:$O$20,DTR!J$4,FALSE))*1000,0)</f>
        <v>0</v>
      </c>
      <c r="K560" s="238">
        <f>IFERROR((HLOOKUP($AH560,Target_monthwise!$D$4:$O$20,DTR!K$4,FALSE))*1000,0)</f>
        <v>0</v>
      </c>
      <c r="L560" s="238">
        <f>IFERROR((HLOOKUP($AH560,Target_monthwise!$D$4:$O$20,DTR!L$4,FALSE))*1000,0)</f>
        <v>0</v>
      </c>
      <c r="M560" s="238">
        <f>IFERROR((HLOOKUP($AH560,Target_monthwise!$D$4:$O$20,DTR!M$4,FALSE))*1000,0)</f>
        <v>0</v>
      </c>
      <c r="N560" s="238">
        <f>IFERROR((HLOOKUP($AH560,Target_monthwise!$D$4:$O$20,DTR!N$4,FALSE))*1000,0)</f>
        <v>0</v>
      </c>
      <c r="O560" s="238">
        <f>IFERROR((HLOOKUP($AH560,Target_monthwise!$D$4:$O$20,DTR!O$4,FALSE))*1000,0)</f>
        <v>0</v>
      </c>
      <c r="P560" s="238">
        <f>IFERROR((HLOOKUP($AH560,Target_monthwise!$D$4:$O$20,DTR!P$4,FALSE))*1000,0)</f>
        <v>0</v>
      </c>
      <c r="Q560" s="141">
        <f>IFERROR((HLOOKUP($AH560,Target_monthwise!$D$4:$O$20,DTR!Q$4,FALSE))*1000,0)</f>
        <v>0</v>
      </c>
      <c r="R560" s="167">
        <f>IFERROR((HLOOKUP($AH560,Target_monthwise!$D$4:$O$20,DTR!R$4,FALSE))*1000,0)</f>
        <v>0</v>
      </c>
      <c r="S560" s="239">
        <f>IFERROR((HLOOKUP($AH560,Target_monthwise!$D$24:$O$40,DTR!S$4,FALSE)),0)</f>
        <v>0</v>
      </c>
      <c r="T560" s="239">
        <f>IFERROR((HLOOKUP($AH560,Target_monthwise!$D$24:$O$40,DTR!T$4,FALSE)),0)</f>
        <v>0</v>
      </c>
      <c r="U560" s="239">
        <f>IFERROR((HLOOKUP($AH560,Target_monthwise!$D$24:$O$40,DTR!U$4,FALSE)),0)</f>
        <v>0</v>
      </c>
      <c r="V560" s="239">
        <f>IFERROR((HLOOKUP($AH560,Target_monthwise!$D$24:$O$40,DTR!V$4,FALSE)),0)</f>
        <v>0</v>
      </c>
      <c r="W560" s="239">
        <f>IFERROR((HLOOKUP($AH560,Target_monthwise!$D$24:$O$40,DTR!W$4,FALSE)),0)</f>
        <v>0</v>
      </c>
      <c r="X560" s="239">
        <f>IFERROR((HLOOKUP($AH560,Target_monthwise!$D$24:$O$40,DTR!X$4,FALSE)),0)</f>
        <v>0</v>
      </c>
      <c r="Y560" s="239">
        <f>IFERROR((HLOOKUP($AH560,Target_monthwise!$D$24:$O$40,DTR!Y$4,FALSE)),0)</f>
        <v>0</v>
      </c>
      <c r="Z560" s="147">
        <f>IFERROR((HLOOKUP($AH560,Target_monthwise!$D$24:$O$40,DTR!Z$4,FALSE)),0)</f>
        <v>0</v>
      </c>
      <c r="AA560" s="147">
        <f>IFERROR((HLOOKUP($AH560,Target_monthwise!$D$24:$O$40,DTR!AA$4,FALSE)),0)</f>
        <v>0</v>
      </c>
      <c r="AB560" s="147">
        <f>IFERROR((HLOOKUP($AH560,Target_monthwise!$D$24:$O$40,DTR!AB$4,FALSE)),0)</f>
        <v>0</v>
      </c>
      <c r="AC560" s="239">
        <f>IFERROR((HLOOKUP($AH560,Target_monthwise!$D$24:$O$40,DTR!AC$4,FALSE)),0)</f>
        <v>0</v>
      </c>
      <c r="AD560" s="239">
        <f>IFERROR((HLOOKUP($AH560,Target_monthwise!$D$24:$O$40,DTR!AD$4,FALSE)),0)</f>
        <v>0</v>
      </c>
      <c r="AE560" s="239">
        <f>IFERROR((HLOOKUP($AH560,Target_monthwise!$D$24:$O$40,DTR!AE$4,FALSE)),0)</f>
        <v>0</v>
      </c>
      <c r="AF560" s="239">
        <f>IFERROR((HLOOKUP($AH560,Target_monthwise!$D$24:$O$40,DTR!AF$4,FALSE)),0)</f>
        <v>0</v>
      </c>
      <c r="AG560" s="172">
        <f>IFERROR((HLOOKUP($AH560,Target_monthwise!$D$24:$O$40,DTR!AG$4,FALSE)),0)</f>
        <v>0</v>
      </c>
      <c r="AH560" s="253">
        <f t="shared" si="10"/>
        <v>202310</v>
      </c>
    </row>
    <row r="561" spans="3:34" ht="15.75" hidden="1">
      <c r="C561" s="235">
        <v>45204</v>
      </c>
      <c r="D561" s="141">
        <f>IFERROR((HLOOKUP($AH561,Target_monthwise!$D$4:$O$20,DTR!D$4,FALSE))*1000,0)</f>
        <v>0</v>
      </c>
      <c r="E561" s="141">
        <f>IFERROR((HLOOKUP($AH561,Target_monthwise!$D$4:$O$20,DTR!E$4,FALSE))*1000,0)</f>
        <v>0</v>
      </c>
      <c r="F561" s="141">
        <f>IFERROR((HLOOKUP($AH561,Target_monthwise!$D$4:$O$20,DTR!F$4,FALSE))*1000,0)</f>
        <v>0</v>
      </c>
      <c r="G561" s="141">
        <f>IFERROR((HLOOKUP($AH561,Target_monthwise!$D$4:$O$20,DTR!G$4,FALSE))*1000,0)</f>
        <v>0</v>
      </c>
      <c r="H561" s="141">
        <f>IFERROR((HLOOKUP($AH561,Target_monthwise!$D$4:$O$20,DTR!H$4,FALSE))*1000,0)</f>
        <v>0</v>
      </c>
      <c r="I561" s="141">
        <f>IFERROR((HLOOKUP($AH561,Target_monthwise!$D$4:$O$20,DTR!I$4,FALSE))*1000,0)</f>
        <v>0</v>
      </c>
      <c r="J561" s="141">
        <f>IFERROR((HLOOKUP($AH561,Target_monthwise!$D$4:$O$20,DTR!J$4,FALSE))*1000,0)</f>
        <v>0</v>
      </c>
      <c r="K561" s="141">
        <f>IFERROR((HLOOKUP($AH561,Target_monthwise!$D$4:$O$20,DTR!K$4,FALSE))*1000,0)</f>
        <v>0</v>
      </c>
      <c r="L561" s="141">
        <f>IFERROR((HLOOKUP($AH561,Target_monthwise!$D$4:$O$20,DTR!L$4,FALSE))*1000,0)</f>
        <v>0</v>
      </c>
      <c r="M561" s="141">
        <f>IFERROR((HLOOKUP($AH561,Target_monthwise!$D$4:$O$20,DTR!M$4,FALSE))*1000,0)</f>
        <v>0</v>
      </c>
      <c r="N561" s="141">
        <f>IFERROR((HLOOKUP($AH561,Target_monthwise!$D$4:$O$20,DTR!N$4,FALSE))*1000,0)</f>
        <v>0</v>
      </c>
      <c r="O561" s="141">
        <f>IFERROR((HLOOKUP($AH561,Target_monthwise!$D$4:$O$20,DTR!O$4,FALSE))*1000,0)</f>
        <v>0</v>
      </c>
      <c r="P561" s="141">
        <f>IFERROR((HLOOKUP($AH561,Target_monthwise!$D$4:$O$20,DTR!P$4,FALSE))*1000,0)</f>
        <v>0</v>
      </c>
      <c r="Q561" s="141">
        <f>IFERROR((HLOOKUP($AH561,Target_monthwise!$D$4:$O$20,DTR!Q$4,FALSE))*1000,0)</f>
        <v>0</v>
      </c>
      <c r="R561" s="167">
        <f>IFERROR((HLOOKUP($AH561,Target_monthwise!$D$4:$O$20,DTR!R$4,FALSE))*1000,0)</f>
        <v>0</v>
      </c>
      <c r="S561" s="147">
        <f>IFERROR((HLOOKUP($AH561,Target_monthwise!$D$24:$O$40,DTR!S$4,FALSE)),0)</f>
        <v>0</v>
      </c>
      <c r="T561" s="147">
        <f>IFERROR((HLOOKUP($AH561,Target_monthwise!$D$24:$O$40,DTR!T$4,FALSE)),0)</f>
        <v>0</v>
      </c>
      <c r="U561" s="147">
        <f>IFERROR((HLOOKUP($AH561,Target_monthwise!$D$24:$O$40,DTR!U$4,FALSE)),0)</f>
        <v>0</v>
      </c>
      <c r="V561" s="147">
        <f>IFERROR((HLOOKUP($AH561,Target_monthwise!$D$24:$O$40,DTR!V$4,FALSE)),0)</f>
        <v>0</v>
      </c>
      <c r="W561" s="147">
        <f>IFERROR((HLOOKUP($AH561,Target_monthwise!$D$24:$O$40,DTR!W$4,FALSE)),0)</f>
        <v>0</v>
      </c>
      <c r="X561" s="147">
        <f>IFERROR((HLOOKUP($AH561,Target_monthwise!$D$24:$O$40,DTR!X$4,FALSE)),0)</f>
        <v>0</v>
      </c>
      <c r="Y561" s="147">
        <f>IFERROR((HLOOKUP($AH561,Target_monthwise!$D$24:$O$40,DTR!Y$4,FALSE)),0)</f>
        <v>0</v>
      </c>
      <c r="Z561" s="147">
        <f>IFERROR((HLOOKUP($AH561,Target_monthwise!$D$24:$O$40,DTR!Z$4,FALSE)),0)</f>
        <v>0</v>
      </c>
      <c r="AA561" s="147">
        <f>IFERROR((HLOOKUP($AH561,Target_monthwise!$D$24:$O$40,DTR!AA$4,FALSE)),0)</f>
        <v>0</v>
      </c>
      <c r="AB561" s="147">
        <f>IFERROR((HLOOKUP($AH561,Target_monthwise!$D$24:$O$40,DTR!AB$4,FALSE)),0)</f>
        <v>0</v>
      </c>
      <c r="AC561" s="147">
        <f>IFERROR((HLOOKUP($AH561,Target_monthwise!$D$24:$O$40,DTR!AC$4,FALSE)),0)</f>
        <v>0</v>
      </c>
      <c r="AD561" s="147">
        <f>IFERROR((HLOOKUP($AH561,Target_monthwise!$D$24:$O$40,DTR!AD$4,FALSE)),0)</f>
        <v>0</v>
      </c>
      <c r="AE561" s="147">
        <f>IFERROR((HLOOKUP($AH561,Target_monthwise!$D$24:$O$40,DTR!AE$4,FALSE)),0)</f>
        <v>0</v>
      </c>
      <c r="AF561" s="147">
        <f>IFERROR((HLOOKUP($AH561,Target_monthwise!$D$24:$O$40,DTR!AF$4,FALSE)),0)</f>
        <v>0</v>
      </c>
      <c r="AG561" s="172">
        <f>IFERROR((HLOOKUP($AH561,Target_monthwise!$D$24:$O$40,DTR!AG$4,FALSE)),0)</f>
        <v>0</v>
      </c>
      <c r="AH561" s="253">
        <f t="shared" si="10"/>
        <v>202310</v>
      </c>
    </row>
    <row r="562" spans="3:34" ht="15.75" hidden="1">
      <c r="C562" s="237">
        <v>45205</v>
      </c>
      <c r="D562" s="238">
        <f>IFERROR((HLOOKUP($AH562,Target_monthwise!$D$4:$O$20,DTR!D$4,FALSE))*1000,0)</f>
        <v>0</v>
      </c>
      <c r="E562" s="238">
        <f>IFERROR((HLOOKUP($AH562,Target_monthwise!$D$4:$O$20,DTR!E$4,FALSE))*1000,0)</f>
        <v>0</v>
      </c>
      <c r="F562" s="238">
        <f>IFERROR((HLOOKUP($AH562,Target_monthwise!$D$4:$O$20,DTR!F$4,FALSE))*1000,0)</f>
        <v>0</v>
      </c>
      <c r="G562" s="238">
        <f>IFERROR((HLOOKUP($AH562,Target_monthwise!$D$4:$O$20,DTR!G$4,FALSE))*1000,0)</f>
        <v>0</v>
      </c>
      <c r="H562" s="238">
        <f>IFERROR((HLOOKUP($AH562,Target_monthwise!$D$4:$O$20,DTR!H$4,FALSE))*1000,0)</f>
        <v>0</v>
      </c>
      <c r="I562" s="238">
        <f>IFERROR((HLOOKUP($AH562,Target_monthwise!$D$4:$O$20,DTR!I$4,FALSE))*1000,0)</f>
        <v>0</v>
      </c>
      <c r="J562" s="238">
        <f>IFERROR((HLOOKUP($AH562,Target_monthwise!$D$4:$O$20,DTR!J$4,FALSE))*1000,0)</f>
        <v>0</v>
      </c>
      <c r="K562" s="238">
        <f>IFERROR((HLOOKUP($AH562,Target_monthwise!$D$4:$O$20,DTR!K$4,FALSE))*1000,0)</f>
        <v>0</v>
      </c>
      <c r="L562" s="238">
        <f>IFERROR((HLOOKUP($AH562,Target_monthwise!$D$4:$O$20,DTR!L$4,FALSE))*1000,0)</f>
        <v>0</v>
      </c>
      <c r="M562" s="238">
        <f>IFERROR((HLOOKUP($AH562,Target_monthwise!$D$4:$O$20,DTR!M$4,FALSE))*1000,0)</f>
        <v>0</v>
      </c>
      <c r="N562" s="238">
        <f>IFERROR((HLOOKUP($AH562,Target_monthwise!$D$4:$O$20,DTR!N$4,FALSE))*1000,0)</f>
        <v>0</v>
      </c>
      <c r="O562" s="238">
        <f>IFERROR((HLOOKUP($AH562,Target_monthwise!$D$4:$O$20,DTR!O$4,FALSE))*1000,0)</f>
        <v>0</v>
      </c>
      <c r="P562" s="238">
        <f>IFERROR((HLOOKUP($AH562,Target_monthwise!$D$4:$O$20,DTR!P$4,FALSE))*1000,0)</f>
        <v>0</v>
      </c>
      <c r="Q562" s="141">
        <f>IFERROR((HLOOKUP($AH562,Target_monthwise!$D$4:$O$20,DTR!Q$4,FALSE))*1000,0)</f>
        <v>0</v>
      </c>
      <c r="R562" s="167">
        <f>IFERROR((HLOOKUP($AH562,Target_monthwise!$D$4:$O$20,DTR!R$4,FALSE))*1000,0)</f>
        <v>0</v>
      </c>
      <c r="S562" s="239">
        <f>IFERROR((HLOOKUP($AH562,Target_monthwise!$D$24:$O$40,DTR!S$4,FALSE)),0)</f>
        <v>0</v>
      </c>
      <c r="T562" s="239">
        <f>IFERROR((HLOOKUP($AH562,Target_monthwise!$D$24:$O$40,DTR!T$4,FALSE)),0)</f>
        <v>0</v>
      </c>
      <c r="U562" s="239">
        <f>IFERROR((HLOOKUP($AH562,Target_monthwise!$D$24:$O$40,DTR!U$4,FALSE)),0)</f>
        <v>0</v>
      </c>
      <c r="V562" s="239">
        <f>IFERROR((HLOOKUP($AH562,Target_monthwise!$D$24:$O$40,DTR!V$4,FALSE)),0)</f>
        <v>0</v>
      </c>
      <c r="W562" s="239">
        <f>IFERROR((HLOOKUP($AH562,Target_monthwise!$D$24:$O$40,DTR!W$4,FALSE)),0)</f>
        <v>0</v>
      </c>
      <c r="X562" s="239">
        <f>IFERROR((HLOOKUP($AH562,Target_monthwise!$D$24:$O$40,DTR!X$4,FALSE)),0)</f>
        <v>0</v>
      </c>
      <c r="Y562" s="239">
        <f>IFERROR((HLOOKUP($AH562,Target_monthwise!$D$24:$O$40,DTR!Y$4,FALSE)),0)</f>
        <v>0</v>
      </c>
      <c r="Z562" s="147">
        <f>IFERROR((HLOOKUP($AH562,Target_monthwise!$D$24:$O$40,DTR!Z$4,FALSE)),0)</f>
        <v>0</v>
      </c>
      <c r="AA562" s="147">
        <f>IFERROR((HLOOKUP($AH562,Target_monthwise!$D$24:$O$40,DTR!AA$4,FALSE)),0)</f>
        <v>0</v>
      </c>
      <c r="AB562" s="147">
        <f>IFERROR((HLOOKUP($AH562,Target_monthwise!$D$24:$O$40,DTR!AB$4,FALSE)),0)</f>
        <v>0</v>
      </c>
      <c r="AC562" s="239">
        <f>IFERROR((HLOOKUP($AH562,Target_monthwise!$D$24:$O$40,DTR!AC$4,FALSE)),0)</f>
        <v>0</v>
      </c>
      <c r="AD562" s="239">
        <f>IFERROR((HLOOKUP($AH562,Target_monthwise!$D$24:$O$40,DTR!AD$4,FALSE)),0)</f>
        <v>0</v>
      </c>
      <c r="AE562" s="239">
        <f>IFERROR((HLOOKUP($AH562,Target_monthwise!$D$24:$O$40,DTR!AE$4,FALSE)),0)</f>
        <v>0</v>
      </c>
      <c r="AF562" s="239">
        <f>IFERROR((HLOOKUP($AH562,Target_monthwise!$D$24:$O$40,DTR!AF$4,FALSE)),0)</f>
        <v>0</v>
      </c>
      <c r="AG562" s="172">
        <f>IFERROR((HLOOKUP($AH562,Target_monthwise!$D$24:$O$40,DTR!AG$4,FALSE)),0)</f>
        <v>0</v>
      </c>
      <c r="AH562" s="253">
        <f>YEAR(C562)*100+MONTH(C562)</f>
        <v>202310</v>
      </c>
    </row>
    <row r="563" spans="3:34" ht="15.75" hidden="1">
      <c r="C563" s="235">
        <v>45206</v>
      </c>
      <c r="D563" s="141">
        <f>IFERROR((HLOOKUP($AH563,Target_monthwise!$D$4:$O$20,DTR!D$4,FALSE))*1000,0)</f>
        <v>0</v>
      </c>
      <c r="E563" s="141">
        <f>IFERROR((HLOOKUP($AH563,Target_monthwise!$D$4:$O$20,DTR!E$4,FALSE))*1000,0)</f>
        <v>0</v>
      </c>
      <c r="F563" s="141">
        <f>IFERROR((HLOOKUP($AH563,Target_monthwise!$D$4:$O$20,DTR!F$4,FALSE))*1000,0)</f>
        <v>0</v>
      </c>
      <c r="G563" s="141">
        <f>IFERROR((HLOOKUP($AH563,Target_monthwise!$D$4:$O$20,DTR!G$4,FALSE))*1000,0)</f>
        <v>0</v>
      </c>
      <c r="H563" s="141">
        <f>IFERROR((HLOOKUP($AH563,Target_monthwise!$D$4:$O$20,DTR!H$4,FALSE))*1000,0)</f>
        <v>0</v>
      </c>
      <c r="I563" s="141">
        <f>IFERROR((HLOOKUP($AH563,Target_monthwise!$D$4:$O$20,DTR!I$4,FALSE))*1000,0)</f>
        <v>0</v>
      </c>
      <c r="J563" s="141">
        <f>IFERROR((HLOOKUP($AH563,Target_monthwise!$D$4:$O$20,DTR!J$4,FALSE))*1000,0)</f>
        <v>0</v>
      </c>
      <c r="K563" s="141">
        <f>IFERROR((HLOOKUP($AH563,Target_monthwise!$D$4:$O$20,DTR!K$4,FALSE))*1000,0)</f>
        <v>0</v>
      </c>
      <c r="L563" s="141">
        <f>IFERROR((HLOOKUP($AH563,Target_monthwise!$D$4:$O$20,DTR!L$4,FALSE))*1000,0)</f>
        <v>0</v>
      </c>
      <c r="M563" s="141">
        <f>IFERROR((HLOOKUP($AH563,Target_monthwise!$D$4:$O$20,DTR!M$4,FALSE))*1000,0)</f>
        <v>0</v>
      </c>
      <c r="N563" s="141">
        <f>IFERROR((HLOOKUP($AH563,Target_monthwise!$D$4:$O$20,DTR!N$4,FALSE))*1000,0)</f>
        <v>0</v>
      </c>
      <c r="O563" s="141">
        <f>IFERROR((HLOOKUP($AH563,Target_monthwise!$D$4:$O$20,DTR!O$4,FALSE))*1000,0)</f>
        <v>0</v>
      </c>
      <c r="P563" s="141">
        <f>IFERROR((HLOOKUP($AH563,Target_monthwise!$D$4:$O$20,DTR!P$4,FALSE))*1000,0)</f>
        <v>0</v>
      </c>
      <c r="Q563" s="141">
        <f>IFERROR((HLOOKUP($AH563,Target_monthwise!$D$4:$O$20,DTR!Q$4,FALSE))*1000,0)</f>
        <v>0</v>
      </c>
      <c r="R563" s="167">
        <f>IFERROR((HLOOKUP($AH563,Target_monthwise!$D$4:$O$20,DTR!R$4,FALSE))*1000,0)</f>
        <v>0</v>
      </c>
      <c r="S563" s="147">
        <f>IFERROR((HLOOKUP($AH563,Target_monthwise!$D$24:$O$40,DTR!S$4,FALSE)),0)</f>
        <v>0</v>
      </c>
      <c r="T563" s="147">
        <f>IFERROR((HLOOKUP($AH563,Target_monthwise!$D$24:$O$40,DTR!T$4,FALSE)),0)</f>
        <v>0</v>
      </c>
      <c r="U563" s="147">
        <f>IFERROR((HLOOKUP($AH563,Target_monthwise!$D$24:$O$40,DTR!U$4,FALSE)),0)</f>
        <v>0</v>
      </c>
      <c r="V563" s="147">
        <f>IFERROR((HLOOKUP($AH563,Target_monthwise!$D$24:$O$40,DTR!V$4,FALSE)),0)</f>
        <v>0</v>
      </c>
      <c r="W563" s="147">
        <f>IFERROR((HLOOKUP($AH563,Target_monthwise!$D$24:$O$40,DTR!W$4,FALSE)),0)</f>
        <v>0</v>
      </c>
      <c r="X563" s="147">
        <f>IFERROR((HLOOKUP($AH563,Target_monthwise!$D$24:$O$40,DTR!X$4,FALSE)),0)</f>
        <v>0</v>
      </c>
      <c r="Y563" s="147">
        <f>IFERROR((HLOOKUP($AH563,Target_monthwise!$D$24:$O$40,DTR!Y$4,FALSE)),0)</f>
        <v>0</v>
      </c>
      <c r="Z563" s="147">
        <f>IFERROR((HLOOKUP($AH563,Target_monthwise!$D$24:$O$40,DTR!Z$4,FALSE)),0)</f>
        <v>0</v>
      </c>
      <c r="AA563" s="147">
        <f>IFERROR((HLOOKUP($AH563,Target_monthwise!$D$24:$O$40,DTR!AA$4,FALSE)),0)</f>
        <v>0</v>
      </c>
      <c r="AB563" s="147">
        <f>IFERROR((HLOOKUP($AH563,Target_monthwise!$D$24:$O$40,DTR!AB$4,FALSE)),0)</f>
        <v>0</v>
      </c>
      <c r="AC563" s="147">
        <f>IFERROR((HLOOKUP($AH563,Target_monthwise!$D$24:$O$40,DTR!AC$4,FALSE)),0)</f>
        <v>0</v>
      </c>
      <c r="AD563" s="147">
        <f>IFERROR((HLOOKUP($AH563,Target_monthwise!$D$24:$O$40,DTR!AD$4,FALSE)),0)</f>
        <v>0</v>
      </c>
      <c r="AE563" s="147">
        <f>IFERROR((HLOOKUP($AH563,Target_monthwise!$D$24:$O$40,DTR!AE$4,FALSE)),0)</f>
        <v>0</v>
      </c>
      <c r="AF563" s="147">
        <f>IFERROR((HLOOKUP($AH563,Target_monthwise!$D$24:$O$40,DTR!AF$4,FALSE)),0)</f>
        <v>0</v>
      </c>
      <c r="AG563" s="172">
        <f>IFERROR((HLOOKUP($AH563,Target_monthwise!$D$24:$O$40,DTR!AG$4,FALSE)),0)</f>
        <v>0</v>
      </c>
      <c r="AH563" s="253">
        <f t="shared" ref="AH563:AH626" si="11">YEAR(C563)*100+MONTH(C563)</f>
        <v>202310</v>
      </c>
    </row>
    <row r="564" spans="3:34" ht="15.75" hidden="1">
      <c r="C564" s="237">
        <v>45207</v>
      </c>
      <c r="D564" s="238">
        <f>IFERROR((HLOOKUP($AH564,Target_monthwise!$D$4:$O$20,DTR!D$4,FALSE))*1000,0)</f>
        <v>0</v>
      </c>
      <c r="E564" s="238">
        <f>IFERROR((HLOOKUP($AH564,Target_monthwise!$D$4:$O$20,DTR!E$4,FALSE))*1000,0)</f>
        <v>0</v>
      </c>
      <c r="F564" s="238">
        <f>IFERROR((HLOOKUP($AH564,Target_monthwise!$D$4:$O$20,DTR!F$4,FALSE))*1000,0)</f>
        <v>0</v>
      </c>
      <c r="G564" s="238">
        <f>IFERROR((HLOOKUP($AH564,Target_monthwise!$D$4:$O$20,DTR!G$4,FALSE))*1000,0)</f>
        <v>0</v>
      </c>
      <c r="H564" s="238">
        <f>IFERROR((HLOOKUP($AH564,Target_monthwise!$D$4:$O$20,DTR!H$4,FALSE))*1000,0)</f>
        <v>0</v>
      </c>
      <c r="I564" s="238">
        <f>IFERROR((HLOOKUP($AH564,Target_monthwise!$D$4:$O$20,DTR!I$4,FALSE))*1000,0)</f>
        <v>0</v>
      </c>
      <c r="J564" s="238">
        <f>IFERROR((HLOOKUP($AH564,Target_monthwise!$D$4:$O$20,DTR!J$4,FALSE))*1000,0)</f>
        <v>0</v>
      </c>
      <c r="K564" s="238">
        <f>IFERROR((HLOOKUP($AH564,Target_monthwise!$D$4:$O$20,DTR!K$4,FALSE))*1000,0)</f>
        <v>0</v>
      </c>
      <c r="L564" s="238">
        <f>IFERROR((HLOOKUP($AH564,Target_monthwise!$D$4:$O$20,DTR!L$4,FALSE))*1000,0)</f>
        <v>0</v>
      </c>
      <c r="M564" s="238">
        <f>IFERROR((HLOOKUP($AH564,Target_monthwise!$D$4:$O$20,DTR!M$4,FALSE))*1000,0)</f>
        <v>0</v>
      </c>
      <c r="N564" s="238">
        <f>IFERROR((HLOOKUP($AH564,Target_monthwise!$D$4:$O$20,DTR!N$4,FALSE))*1000,0)</f>
        <v>0</v>
      </c>
      <c r="O564" s="238">
        <f>IFERROR((HLOOKUP($AH564,Target_monthwise!$D$4:$O$20,DTR!O$4,FALSE))*1000,0)</f>
        <v>0</v>
      </c>
      <c r="P564" s="238">
        <f>IFERROR((HLOOKUP($AH564,Target_monthwise!$D$4:$O$20,DTR!P$4,FALSE))*1000,0)</f>
        <v>0</v>
      </c>
      <c r="Q564" s="141">
        <f>IFERROR((HLOOKUP($AH564,Target_monthwise!$D$4:$O$20,DTR!Q$4,FALSE))*1000,0)</f>
        <v>0</v>
      </c>
      <c r="R564" s="167">
        <f>IFERROR((HLOOKUP($AH564,Target_monthwise!$D$4:$O$20,DTR!R$4,FALSE))*1000,0)</f>
        <v>0</v>
      </c>
      <c r="S564" s="239">
        <f>IFERROR((HLOOKUP($AH564,Target_monthwise!$D$24:$O$40,DTR!S$4,FALSE)),0)</f>
        <v>0</v>
      </c>
      <c r="T564" s="239">
        <f>IFERROR((HLOOKUP($AH564,Target_monthwise!$D$24:$O$40,DTR!T$4,FALSE)),0)</f>
        <v>0</v>
      </c>
      <c r="U564" s="239">
        <f>IFERROR((HLOOKUP($AH564,Target_monthwise!$D$24:$O$40,DTR!U$4,FALSE)),0)</f>
        <v>0</v>
      </c>
      <c r="V564" s="239">
        <f>IFERROR((HLOOKUP($AH564,Target_monthwise!$D$24:$O$40,DTR!V$4,FALSE)),0)</f>
        <v>0</v>
      </c>
      <c r="W564" s="239">
        <f>IFERROR((HLOOKUP($AH564,Target_monthwise!$D$24:$O$40,DTR!W$4,FALSE)),0)</f>
        <v>0</v>
      </c>
      <c r="X564" s="239">
        <f>IFERROR((HLOOKUP($AH564,Target_monthwise!$D$24:$O$40,DTR!X$4,FALSE)),0)</f>
        <v>0</v>
      </c>
      <c r="Y564" s="239">
        <f>IFERROR((HLOOKUP($AH564,Target_monthwise!$D$24:$O$40,DTR!Y$4,FALSE)),0)</f>
        <v>0</v>
      </c>
      <c r="Z564" s="147">
        <f>IFERROR((HLOOKUP($AH564,Target_monthwise!$D$24:$O$40,DTR!Z$4,FALSE)),0)</f>
        <v>0</v>
      </c>
      <c r="AA564" s="147">
        <f>IFERROR((HLOOKUP($AH564,Target_monthwise!$D$24:$O$40,DTR!AA$4,FALSE)),0)</f>
        <v>0</v>
      </c>
      <c r="AB564" s="147">
        <f>IFERROR((HLOOKUP($AH564,Target_monthwise!$D$24:$O$40,DTR!AB$4,FALSE)),0)</f>
        <v>0</v>
      </c>
      <c r="AC564" s="239">
        <f>IFERROR((HLOOKUP($AH564,Target_monthwise!$D$24:$O$40,DTR!AC$4,FALSE)),0)</f>
        <v>0</v>
      </c>
      <c r="AD564" s="239">
        <f>IFERROR((HLOOKUP($AH564,Target_monthwise!$D$24:$O$40,DTR!AD$4,FALSE)),0)</f>
        <v>0</v>
      </c>
      <c r="AE564" s="239">
        <f>IFERROR((HLOOKUP($AH564,Target_monthwise!$D$24:$O$40,DTR!AE$4,FALSE)),0)</f>
        <v>0</v>
      </c>
      <c r="AF564" s="239">
        <f>IFERROR((HLOOKUP($AH564,Target_monthwise!$D$24:$O$40,DTR!AF$4,FALSE)),0)</f>
        <v>0</v>
      </c>
      <c r="AG564" s="172">
        <f>IFERROR((HLOOKUP($AH564,Target_monthwise!$D$24:$O$40,DTR!AG$4,FALSE)),0)</f>
        <v>0</v>
      </c>
      <c r="AH564" s="253">
        <f t="shared" si="11"/>
        <v>202310</v>
      </c>
    </row>
    <row r="565" spans="3:34" ht="15.75" hidden="1">
      <c r="C565" s="235">
        <v>45208</v>
      </c>
      <c r="D565" s="141">
        <f>IFERROR((HLOOKUP($AH565,Target_monthwise!$D$4:$O$20,DTR!D$4,FALSE))*1000,0)</f>
        <v>0</v>
      </c>
      <c r="E565" s="141">
        <f>IFERROR((HLOOKUP($AH565,Target_monthwise!$D$4:$O$20,DTR!E$4,FALSE))*1000,0)</f>
        <v>0</v>
      </c>
      <c r="F565" s="141">
        <f>IFERROR((HLOOKUP($AH565,Target_monthwise!$D$4:$O$20,DTR!F$4,FALSE))*1000,0)</f>
        <v>0</v>
      </c>
      <c r="G565" s="141">
        <f>IFERROR((HLOOKUP($AH565,Target_monthwise!$D$4:$O$20,DTR!G$4,FALSE))*1000,0)</f>
        <v>0</v>
      </c>
      <c r="H565" s="141">
        <f>IFERROR((HLOOKUP($AH565,Target_monthwise!$D$4:$O$20,DTR!H$4,FALSE))*1000,0)</f>
        <v>0</v>
      </c>
      <c r="I565" s="141">
        <f>IFERROR((HLOOKUP($AH565,Target_monthwise!$D$4:$O$20,DTR!I$4,FALSE))*1000,0)</f>
        <v>0</v>
      </c>
      <c r="J565" s="141">
        <f>IFERROR((HLOOKUP($AH565,Target_monthwise!$D$4:$O$20,DTR!J$4,FALSE))*1000,0)</f>
        <v>0</v>
      </c>
      <c r="K565" s="141">
        <f>IFERROR((HLOOKUP($AH565,Target_monthwise!$D$4:$O$20,DTR!K$4,FALSE))*1000,0)</f>
        <v>0</v>
      </c>
      <c r="L565" s="141">
        <f>IFERROR((HLOOKUP($AH565,Target_monthwise!$D$4:$O$20,DTR!L$4,FALSE))*1000,0)</f>
        <v>0</v>
      </c>
      <c r="M565" s="141">
        <f>IFERROR((HLOOKUP($AH565,Target_monthwise!$D$4:$O$20,DTR!M$4,FALSE))*1000,0)</f>
        <v>0</v>
      </c>
      <c r="N565" s="141">
        <f>IFERROR((HLOOKUP($AH565,Target_monthwise!$D$4:$O$20,DTR!N$4,FALSE))*1000,0)</f>
        <v>0</v>
      </c>
      <c r="O565" s="141">
        <f>IFERROR((HLOOKUP($AH565,Target_monthwise!$D$4:$O$20,DTR!O$4,FALSE))*1000,0)</f>
        <v>0</v>
      </c>
      <c r="P565" s="141">
        <f>IFERROR((HLOOKUP($AH565,Target_monthwise!$D$4:$O$20,DTR!P$4,FALSE))*1000,0)</f>
        <v>0</v>
      </c>
      <c r="Q565" s="141">
        <f>IFERROR((HLOOKUP($AH565,Target_monthwise!$D$4:$O$20,DTR!Q$4,FALSE))*1000,0)</f>
        <v>0</v>
      </c>
      <c r="R565" s="167">
        <f>IFERROR((HLOOKUP($AH565,Target_monthwise!$D$4:$O$20,DTR!R$4,FALSE))*1000,0)</f>
        <v>0</v>
      </c>
      <c r="S565" s="147">
        <f>IFERROR((HLOOKUP($AH565,Target_monthwise!$D$24:$O$40,DTR!S$4,FALSE)),0)</f>
        <v>0</v>
      </c>
      <c r="T565" s="147">
        <f>IFERROR((HLOOKUP($AH565,Target_monthwise!$D$24:$O$40,DTR!T$4,FALSE)),0)</f>
        <v>0</v>
      </c>
      <c r="U565" s="147">
        <f>IFERROR((HLOOKUP($AH565,Target_monthwise!$D$24:$O$40,DTR!U$4,FALSE)),0)</f>
        <v>0</v>
      </c>
      <c r="V565" s="147">
        <f>IFERROR((HLOOKUP($AH565,Target_monthwise!$D$24:$O$40,DTR!V$4,FALSE)),0)</f>
        <v>0</v>
      </c>
      <c r="W565" s="147">
        <f>IFERROR((HLOOKUP($AH565,Target_monthwise!$D$24:$O$40,DTR!W$4,FALSE)),0)</f>
        <v>0</v>
      </c>
      <c r="X565" s="147">
        <f>IFERROR((HLOOKUP($AH565,Target_monthwise!$D$24:$O$40,DTR!X$4,FALSE)),0)</f>
        <v>0</v>
      </c>
      <c r="Y565" s="147">
        <f>IFERROR((HLOOKUP($AH565,Target_monthwise!$D$24:$O$40,DTR!Y$4,FALSE)),0)</f>
        <v>0</v>
      </c>
      <c r="Z565" s="147">
        <f>IFERROR((HLOOKUP($AH565,Target_monthwise!$D$24:$O$40,DTR!Z$4,FALSE)),0)</f>
        <v>0</v>
      </c>
      <c r="AA565" s="147">
        <f>IFERROR((HLOOKUP($AH565,Target_monthwise!$D$24:$O$40,DTR!AA$4,FALSE)),0)</f>
        <v>0</v>
      </c>
      <c r="AB565" s="147">
        <f>IFERROR((HLOOKUP($AH565,Target_monthwise!$D$24:$O$40,DTR!AB$4,FALSE)),0)</f>
        <v>0</v>
      </c>
      <c r="AC565" s="147">
        <f>IFERROR((HLOOKUP($AH565,Target_monthwise!$D$24:$O$40,DTR!AC$4,FALSE)),0)</f>
        <v>0</v>
      </c>
      <c r="AD565" s="147">
        <f>IFERROR((HLOOKUP($AH565,Target_monthwise!$D$24:$O$40,DTR!AD$4,FALSE)),0)</f>
        <v>0</v>
      </c>
      <c r="AE565" s="147">
        <f>IFERROR((HLOOKUP($AH565,Target_monthwise!$D$24:$O$40,DTR!AE$4,FALSE)),0)</f>
        <v>0</v>
      </c>
      <c r="AF565" s="147">
        <f>IFERROR((HLOOKUP($AH565,Target_monthwise!$D$24:$O$40,DTR!AF$4,FALSE)),0)</f>
        <v>0</v>
      </c>
      <c r="AG565" s="172">
        <f>IFERROR((HLOOKUP($AH565,Target_monthwise!$D$24:$O$40,DTR!AG$4,FALSE)),0)</f>
        <v>0</v>
      </c>
      <c r="AH565" s="253">
        <f t="shared" si="11"/>
        <v>202310</v>
      </c>
    </row>
    <row r="566" spans="3:34" ht="15.75" hidden="1">
      <c r="C566" s="237">
        <v>45209</v>
      </c>
      <c r="D566" s="238">
        <f>IFERROR((HLOOKUP($AH566,Target_monthwise!$D$4:$O$20,DTR!D$4,FALSE))*1000,0)</f>
        <v>0</v>
      </c>
      <c r="E566" s="238">
        <f>IFERROR((HLOOKUP($AH566,Target_monthwise!$D$4:$O$20,DTR!E$4,FALSE))*1000,0)</f>
        <v>0</v>
      </c>
      <c r="F566" s="238">
        <f>IFERROR((HLOOKUP($AH566,Target_monthwise!$D$4:$O$20,DTR!F$4,FALSE))*1000,0)</f>
        <v>0</v>
      </c>
      <c r="G566" s="238">
        <f>IFERROR((HLOOKUP($AH566,Target_monthwise!$D$4:$O$20,DTR!G$4,FALSE))*1000,0)</f>
        <v>0</v>
      </c>
      <c r="H566" s="238">
        <f>IFERROR((HLOOKUP($AH566,Target_monthwise!$D$4:$O$20,DTR!H$4,FALSE))*1000,0)</f>
        <v>0</v>
      </c>
      <c r="I566" s="238">
        <f>IFERROR((HLOOKUP($AH566,Target_monthwise!$D$4:$O$20,DTR!I$4,FALSE))*1000,0)</f>
        <v>0</v>
      </c>
      <c r="J566" s="238">
        <f>IFERROR((HLOOKUP($AH566,Target_monthwise!$D$4:$O$20,DTR!J$4,FALSE))*1000,0)</f>
        <v>0</v>
      </c>
      <c r="K566" s="238">
        <f>IFERROR((HLOOKUP($AH566,Target_monthwise!$D$4:$O$20,DTR!K$4,FALSE))*1000,0)</f>
        <v>0</v>
      </c>
      <c r="L566" s="238">
        <f>IFERROR((HLOOKUP($AH566,Target_monthwise!$D$4:$O$20,DTR!L$4,FALSE))*1000,0)</f>
        <v>0</v>
      </c>
      <c r="M566" s="238">
        <f>IFERROR((HLOOKUP($AH566,Target_monthwise!$D$4:$O$20,DTR!M$4,FALSE))*1000,0)</f>
        <v>0</v>
      </c>
      <c r="N566" s="238">
        <f>IFERROR((HLOOKUP($AH566,Target_monthwise!$D$4:$O$20,DTR!N$4,FALSE))*1000,0)</f>
        <v>0</v>
      </c>
      <c r="O566" s="238">
        <f>IFERROR((HLOOKUP($AH566,Target_monthwise!$D$4:$O$20,DTR!O$4,FALSE))*1000,0)</f>
        <v>0</v>
      </c>
      <c r="P566" s="238">
        <f>IFERROR((HLOOKUP($AH566,Target_monthwise!$D$4:$O$20,DTR!P$4,FALSE))*1000,0)</f>
        <v>0</v>
      </c>
      <c r="Q566" s="141">
        <f>IFERROR((HLOOKUP($AH566,Target_monthwise!$D$4:$O$20,DTR!Q$4,FALSE))*1000,0)</f>
        <v>0</v>
      </c>
      <c r="R566" s="167">
        <f>IFERROR((HLOOKUP($AH566,Target_monthwise!$D$4:$O$20,DTR!R$4,FALSE))*1000,0)</f>
        <v>0</v>
      </c>
      <c r="S566" s="239">
        <f>IFERROR((HLOOKUP($AH566,Target_monthwise!$D$24:$O$40,DTR!S$4,FALSE)),0)</f>
        <v>0</v>
      </c>
      <c r="T566" s="239">
        <f>IFERROR((HLOOKUP($AH566,Target_monthwise!$D$24:$O$40,DTR!T$4,FALSE)),0)</f>
        <v>0</v>
      </c>
      <c r="U566" s="239">
        <f>IFERROR((HLOOKUP($AH566,Target_monthwise!$D$24:$O$40,DTR!U$4,FALSE)),0)</f>
        <v>0</v>
      </c>
      <c r="V566" s="239">
        <f>IFERROR((HLOOKUP($AH566,Target_monthwise!$D$24:$O$40,DTR!V$4,FALSE)),0)</f>
        <v>0</v>
      </c>
      <c r="W566" s="239">
        <f>IFERROR((HLOOKUP($AH566,Target_monthwise!$D$24:$O$40,DTR!W$4,FALSE)),0)</f>
        <v>0</v>
      </c>
      <c r="X566" s="239">
        <f>IFERROR((HLOOKUP($AH566,Target_monthwise!$D$24:$O$40,DTR!X$4,FALSE)),0)</f>
        <v>0</v>
      </c>
      <c r="Y566" s="239">
        <f>IFERROR((HLOOKUP($AH566,Target_monthwise!$D$24:$O$40,DTR!Y$4,FALSE)),0)</f>
        <v>0</v>
      </c>
      <c r="Z566" s="147">
        <f>IFERROR((HLOOKUP($AH566,Target_monthwise!$D$24:$O$40,DTR!Z$4,FALSE)),0)</f>
        <v>0</v>
      </c>
      <c r="AA566" s="147">
        <f>IFERROR((HLOOKUP($AH566,Target_monthwise!$D$24:$O$40,DTR!AA$4,FALSE)),0)</f>
        <v>0</v>
      </c>
      <c r="AB566" s="147">
        <f>IFERROR((HLOOKUP($AH566,Target_monthwise!$D$24:$O$40,DTR!AB$4,FALSE)),0)</f>
        <v>0</v>
      </c>
      <c r="AC566" s="239">
        <f>IFERROR((HLOOKUP($AH566,Target_monthwise!$D$24:$O$40,DTR!AC$4,FALSE)),0)</f>
        <v>0</v>
      </c>
      <c r="AD566" s="239">
        <f>IFERROR((HLOOKUP($AH566,Target_monthwise!$D$24:$O$40,DTR!AD$4,FALSE)),0)</f>
        <v>0</v>
      </c>
      <c r="AE566" s="239">
        <f>IFERROR((HLOOKUP($AH566,Target_monthwise!$D$24:$O$40,DTR!AE$4,FALSE)),0)</f>
        <v>0</v>
      </c>
      <c r="AF566" s="239">
        <f>IFERROR((HLOOKUP($AH566,Target_monthwise!$D$24:$O$40,DTR!AF$4,FALSE)),0)</f>
        <v>0</v>
      </c>
      <c r="AG566" s="172">
        <f>IFERROR((HLOOKUP($AH566,Target_monthwise!$D$24:$O$40,DTR!AG$4,FALSE)),0)</f>
        <v>0</v>
      </c>
      <c r="AH566" s="253">
        <f t="shared" si="11"/>
        <v>202310</v>
      </c>
    </row>
    <row r="567" spans="3:34" ht="15.75" hidden="1">
      <c r="C567" s="235">
        <v>45210</v>
      </c>
      <c r="D567" s="141">
        <f>IFERROR((HLOOKUP($AH567,Target_monthwise!$D$4:$O$20,DTR!D$4,FALSE))*1000,0)</f>
        <v>0</v>
      </c>
      <c r="E567" s="141">
        <f>IFERROR((HLOOKUP($AH567,Target_monthwise!$D$4:$O$20,DTR!E$4,FALSE))*1000,0)</f>
        <v>0</v>
      </c>
      <c r="F567" s="141">
        <f>IFERROR((HLOOKUP($AH567,Target_monthwise!$D$4:$O$20,DTR!F$4,FALSE))*1000,0)</f>
        <v>0</v>
      </c>
      <c r="G567" s="141">
        <f>IFERROR((HLOOKUP($AH567,Target_monthwise!$D$4:$O$20,DTR!G$4,FALSE))*1000,0)</f>
        <v>0</v>
      </c>
      <c r="H567" s="141">
        <f>IFERROR((HLOOKUP($AH567,Target_monthwise!$D$4:$O$20,DTR!H$4,FALSE))*1000,0)</f>
        <v>0</v>
      </c>
      <c r="I567" s="141">
        <f>IFERROR((HLOOKUP($AH567,Target_monthwise!$D$4:$O$20,DTR!I$4,FALSE))*1000,0)</f>
        <v>0</v>
      </c>
      <c r="J567" s="141">
        <f>IFERROR((HLOOKUP($AH567,Target_monthwise!$D$4:$O$20,DTR!J$4,FALSE))*1000,0)</f>
        <v>0</v>
      </c>
      <c r="K567" s="141">
        <f>IFERROR((HLOOKUP($AH567,Target_monthwise!$D$4:$O$20,DTR!K$4,FALSE))*1000,0)</f>
        <v>0</v>
      </c>
      <c r="L567" s="141">
        <f>IFERROR((HLOOKUP($AH567,Target_monthwise!$D$4:$O$20,DTR!L$4,FALSE))*1000,0)</f>
        <v>0</v>
      </c>
      <c r="M567" s="141">
        <f>IFERROR((HLOOKUP($AH567,Target_monthwise!$D$4:$O$20,DTR!M$4,FALSE))*1000,0)</f>
        <v>0</v>
      </c>
      <c r="N567" s="141">
        <f>IFERROR((HLOOKUP($AH567,Target_monthwise!$D$4:$O$20,DTR!N$4,FALSE))*1000,0)</f>
        <v>0</v>
      </c>
      <c r="O567" s="141">
        <f>IFERROR((HLOOKUP($AH567,Target_monthwise!$D$4:$O$20,DTR!O$4,FALSE))*1000,0)</f>
        <v>0</v>
      </c>
      <c r="P567" s="141">
        <f>IFERROR((HLOOKUP($AH567,Target_monthwise!$D$4:$O$20,DTR!P$4,FALSE))*1000,0)</f>
        <v>0</v>
      </c>
      <c r="Q567" s="141">
        <f>IFERROR((HLOOKUP($AH567,Target_monthwise!$D$4:$O$20,DTR!Q$4,FALSE))*1000,0)</f>
        <v>0</v>
      </c>
      <c r="R567" s="167">
        <f>IFERROR((HLOOKUP($AH567,Target_monthwise!$D$4:$O$20,DTR!R$4,FALSE))*1000,0)</f>
        <v>0</v>
      </c>
      <c r="S567" s="147">
        <f>IFERROR((HLOOKUP($AH567,Target_monthwise!$D$24:$O$40,DTR!S$4,FALSE)),0)</f>
        <v>0</v>
      </c>
      <c r="T567" s="147">
        <f>IFERROR((HLOOKUP($AH567,Target_monthwise!$D$24:$O$40,DTR!T$4,FALSE)),0)</f>
        <v>0</v>
      </c>
      <c r="U567" s="147">
        <f>IFERROR((HLOOKUP($AH567,Target_monthwise!$D$24:$O$40,DTR!U$4,FALSE)),0)</f>
        <v>0</v>
      </c>
      <c r="V567" s="147">
        <f>IFERROR((HLOOKUP($AH567,Target_monthwise!$D$24:$O$40,DTR!V$4,FALSE)),0)</f>
        <v>0</v>
      </c>
      <c r="W567" s="147">
        <f>IFERROR((HLOOKUP($AH567,Target_monthwise!$D$24:$O$40,DTR!W$4,FALSE)),0)</f>
        <v>0</v>
      </c>
      <c r="X567" s="147">
        <f>IFERROR((HLOOKUP($AH567,Target_monthwise!$D$24:$O$40,DTR!X$4,FALSE)),0)</f>
        <v>0</v>
      </c>
      <c r="Y567" s="147">
        <f>IFERROR((HLOOKUP($AH567,Target_monthwise!$D$24:$O$40,DTR!Y$4,FALSE)),0)</f>
        <v>0</v>
      </c>
      <c r="Z567" s="147">
        <f>IFERROR((HLOOKUP($AH567,Target_monthwise!$D$24:$O$40,DTR!Z$4,FALSE)),0)</f>
        <v>0</v>
      </c>
      <c r="AA567" s="147">
        <f>IFERROR((HLOOKUP($AH567,Target_monthwise!$D$24:$O$40,DTR!AA$4,FALSE)),0)</f>
        <v>0</v>
      </c>
      <c r="AB567" s="147">
        <f>IFERROR((HLOOKUP($AH567,Target_monthwise!$D$24:$O$40,DTR!AB$4,FALSE)),0)</f>
        <v>0</v>
      </c>
      <c r="AC567" s="147">
        <f>IFERROR((HLOOKUP($AH567,Target_monthwise!$D$24:$O$40,DTR!AC$4,FALSE)),0)</f>
        <v>0</v>
      </c>
      <c r="AD567" s="147">
        <f>IFERROR((HLOOKUP($AH567,Target_monthwise!$D$24:$O$40,DTR!AD$4,FALSE)),0)</f>
        <v>0</v>
      </c>
      <c r="AE567" s="147">
        <f>IFERROR((HLOOKUP($AH567,Target_monthwise!$D$24:$O$40,DTR!AE$4,FALSE)),0)</f>
        <v>0</v>
      </c>
      <c r="AF567" s="147">
        <f>IFERROR((HLOOKUP($AH567,Target_monthwise!$D$24:$O$40,DTR!AF$4,FALSE)),0)</f>
        <v>0</v>
      </c>
      <c r="AG567" s="172">
        <f>IFERROR((HLOOKUP($AH567,Target_monthwise!$D$24:$O$40,DTR!AG$4,FALSE)),0)</f>
        <v>0</v>
      </c>
      <c r="AH567" s="253">
        <f t="shared" si="11"/>
        <v>202310</v>
      </c>
    </row>
    <row r="568" spans="3:34" ht="15.75" hidden="1">
      <c r="C568" s="237">
        <v>45211</v>
      </c>
      <c r="D568" s="238">
        <f>IFERROR((HLOOKUP($AH568,Target_monthwise!$D$4:$O$20,DTR!D$4,FALSE))*1000,0)</f>
        <v>0</v>
      </c>
      <c r="E568" s="238">
        <f>IFERROR((HLOOKUP($AH568,Target_monthwise!$D$4:$O$20,DTR!E$4,FALSE))*1000,0)</f>
        <v>0</v>
      </c>
      <c r="F568" s="238">
        <f>IFERROR((HLOOKUP($AH568,Target_monthwise!$D$4:$O$20,DTR!F$4,FALSE))*1000,0)</f>
        <v>0</v>
      </c>
      <c r="G568" s="238">
        <f>IFERROR((HLOOKUP($AH568,Target_monthwise!$D$4:$O$20,DTR!G$4,FALSE))*1000,0)</f>
        <v>0</v>
      </c>
      <c r="H568" s="238">
        <f>IFERROR((HLOOKUP($AH568,Target_monthwise!$D$4:$O$20,DTR!H$4,FALSE))*1000,0)</f>
        <v>0</v>
      </c>
      <c r="I568" s="238">
        <f>IFERROR((HLOOKUP($AH568,Target_monthwise!$D$4:$O$20,DTR!I$4,FALSE))*1000,0)</f>
        <v>0</v>
      </c>
      <c r="J568" s="238">
        <f>IFERROR((HLOOKUP($AH568,Target_monthwise!$D$4:$O$20,DTR!J$4,FALSE))*1000,0)</f>
        <v>0</v>
      </c>
      <c r="K568" s="238">
        <f>IFERROR((HLOOKUP($AH568,Target_monthwise!$D$4:$O$20,DTR!K$4,FALSE))*1000,0)</f>
        <v>0</v>
      </c>
      <c r="L568" s="238">
        <f>IFERROR((HLOOKUP($AH568,Target_monthwise!$D$4:$O$20,DTR!L$4,FALSE))*1000,0)</f>
        <v>0</v>
      </c>
      <c r="M568" s="238">
        <f>IFERROR((HLOOKUP($AH568,Target_monthwise!$D$4:$O$20,DTR!M$4,FALSE))*1000,0)</f>
        <v>0</v>
      </c>
      <c r="N568" s="238">
        <f>IFERROR((HLOOKUP($AH568,Target_monthwise!$D$4:$O$20,DTR!N$4,FALSE))*1000,0)</f>
        <v>0</v>
      </c>
      <c r="O568" s="238">
        <f>IFERROR((HLOOKUP($AH568,Target_monthwise!$D$4:$O$20,DTR!O$4,FALSE))*1000,0)</f>
        <v>0</v>
      </c>
      <c r="P568" s="238">
        <f>IFERROR((HLOOKUP($AH568,Target_monthwise!$D$4:$O$20,DTR!P$4,FALSE))*1000,0)</f>
        <v>0</v>
      </c>
      <c r="Q568" s="141">
        <f>IFERROR((HLOOKUP($AH568,Target_monthwise!$D$4:$O$20,DTR!Q$4,FALSE))*1000,0)</f>
        <v>0</v>
      </c>
      <c r="R568" s="167">
        <f>IFERROR((HLOOKUP($AH568,Target_monthwise!$D$4:$O$20,DTR!R$4,FALSE))*1000,0)</f>
        <v>0</v>
      </c>
      <c r="S568" s="239">
        <f>IFERROR((HLOOKUP($AH568,Target_monthwise!$D$24:$O$40,DTR!S$4,FALSE)),0)</f>
        <v>0</v>
      </c>
      <c r="T568" s="239">
        <f>IFERROR((HLOOKUP($AH568,Target_monthwise!$D$24:$O$40,DTR!T$4,FALSE)),0)</f>
        <v>0</v>
      </c>
      <c r="U568" s="239">
        <f>IFERROR((HLOOKUP($AH568,Target_monthwise!$D$24:$O$40,DTR!U$4,FALSE)),0)</f>
        <v>0</v>
      </c>
      <c r="V568" s="239">
        <f>IFERROR((HLOOKUP($AH568,Target_monthwise!$D$24:$O$40,DTR!V$4,FALSE)),0)</f>
        <v>0</v>
      </c>
      <c r="W568" s="239">
        <f>IFERROR((HLOOKUP($AH568,Target_monthwise!$D$24:$O$40,DTR!W$4,FALSE)),0)</f>
        <v>0</v>
      </c>
      <c r="X568" s="239">
        <f>IFERROR((HLOOKUP($AH568,Target_monthwise!$D$24:$O$40,DTR!X$4,FALSE)),0)</f>
        <v>0</v>
      </c>
      <c r="Y568" s="239">
        <f>IFERROR((HLOOKUP($AH568,Target_monthwise!$D$24:$O$40,DTR!Y$4,FALSE)),0)</f>
        <v>0</v>
      </c>
      <c r="Z568" s="147">
        <f>IFERROR((HLOOKUP($AH568,Target_monthwise!$D$24:$O$40,DTR!Z$4,FALSE)),0)</f>
        <v>0</v>
      </c>
      <c r="AA568" s="147">
        <f>IFERROR((HLOOKUP($AH568,Target_monthwise!$D$24:$O$40,DTR!AA$4,FALSE)),0)</f>
        <v>0</v>
      </c>
      <c r="AB568" s="147">
        <f>IFERROR((HLOOKUP($AH568,Target_monthwise!$D$24:$O$40,DTR!AB$4,FALSE)),0)</f>
        <v>0</v>
      </c>
      <c r="AC568" s="239">
        <f>IFERROR((HLOOKUP($AH568,Target_monthwise!$D$24:$O$40,DTR!AC$4,FALSE)),0)</f>
        <v>0</v>
      </c>
      <c r="AD568" s="239">
        <f>IFERROR((HLOOKUP($AH568,Target_monthwise!$D$24:$O$40,DTR!AD$4,FALSE)),0)</f>
        <v>0</v>
      </c>
      <c r="AE568" s="239">
        <f>IFERROR((HLOOKUP($AH568,Target_monthwise!$D$24:$O$40,DTR!AE$4,FALSE)),0)</f>
        <v>0</v>
      </c>
      <c r="AF568" s="239">
        <f>IFERROR((HLOOKUP($AH568,Target_monthwise!$D$24:$O$40,DTR!AF$4,FALSE)),0)</f>
        <v>0</v>
      </c>
      <c r="AG568" s="172">
        <f>IFERROR((HLOOKUP($AH568,Target_monthwise!$D$24:$O$40,DTR!AG$4,FALSE)),0)</f>
        <v>0</v>
      </c>
      <c r="AH568" s="253">
        <f t="shared" si="11"/>
        <v>202310</v>
      </c>
    </row>
    <row r="569" spans="3:34" ht="15.75" hidden="1">
      <c r="C569" s="235">
        <v>45212</v>
      </c>
      <c r="D569" s="141">
        <f>IFERROR((HLOOKUP($AH569,Target_monthwise!$D$4:$O$20,DTR!D$4,FALSE))*1000,0)</f>
        <v>0</v>
      </c>
      <c r="E569" s="141">
        <f>IFERROR((HLOOKUP($AH569,Target_monthwise!$D$4:$O$20,DTR!E$4,FALSE))*1000,0)</f>
        <v>0</v>
      </c>
      <c r="F569" s="141">
        <f>IFERROR((HLOOKUP($AH569,Target_monthwise!$D$4:$O$20,DTR!F$4,FALSE))*1000,0)</f>
        <v>0</v>
      </c>
      <c r="G569" s="141">
        <f>IFERROR((HLOOKUP($AH569,Target_monthwise!$D$4:$O$20,DTR!G$4,FALSE))*1000,0)</f>
        <v>0</v>
      </c>
      <c r="H569" s="141">
        <f>IFERROR((HLOOKUP($AH569,Target_monthwise!$D$4:$O$20,DTR!H$4,FALSE))*1000,0)</f>
        <v>0</v>
      </c>
      <c r="I569" s="141">
        <f>IFERROR((HLOOKUP($AH569,Target_monthwise!$D$4:$O$20,DTR!I$4,FALSE))*1000,0)</f>
        <v>0</v>
      </c>
      <c r="J569" s="141">
        <f>IFERROR((HLOOKUP($AH569,Target_monthwise!$D$4:$O$20,DTR!J$4,FALSE))*1000,0)</f>
        <v>0</v>
      </c>
      <c r="K569" s="141">
        <f>IFERROR((HLOOKUP($AH569,Target_monthwise!$D$4:$O$20,DTR!K$4,FALSE))*1000,0)</f>
        <v>0</v>
      </c>
      <c r="L569" s="141">
        <f>IFERROR((HLOOKUP($AH569,Target_monthwise!$D$4:$O$20,DTR!L$4,FALSE))*1000,0)</f>
        <v>0</v>
      </c>
      <c r="M569" s="141">
        <f>IFERROR((HLOOKUP($AH569,Target_monthwise!$D$4:$O$20,DTR!M$4,FALSE))*1000,0)</f>
        <v>0</v>
      </c>
      <c r="N569" s="141">
        <f>IFERROR((HLOOKUP($AH569,Target_monthwise!$D$4:$O$20,DTR!N$4,FALSE))*1000,0)</f>
        <v>0</v>
      </c>
      <c r="O569" s="141">
        <f>IFERROR((HLOOKUP($AH569,Target_monthwise!$D$4:$O$20,DTR!O$4,FALSE))*1000,0)</f>
        <v>0</v>
      </c>
      <c r="P569" s="141">
        <f>IFERROR((HLOOKUP($AH569,Target_monthwise!$D$4:$O$20,DTR!P$4,FALSE))*1000,0)</f>
        <v>0</v>
      </c>
      <c r="Q569" s="141">
        <f>IFERROR((HLOOKUP($AH569,Target_monthwise!$D$4:$O$20,DTR!Q$4,FALSE))*1000,0)</f>
        <v>0</v>
      </c>
      <c r="R569" s="167">
        <f>IFERROR((HLOOKUP($AH569,Target_monthwise!$D$4:$O$20,DTR!R$4,FALSE))*1000,0)</f>
        <v>0</v>
      </c>
      <c r="S569" s="147">
        <f>IFERROR((HLOOKUP($AH569,Target_monthwise!$D$24:$O$40,DTR!S$4,FALSE)),0)</f>
        <v>0</v>
      </c>
      <c r="T569" s="147">
        <f>IFERROR((HLOOKUP($AH569,Target_monthwise!$D$24:$O$40,DTR!T$4,FALSE)),0)</f>
        <v>0</v>
      </c>
      <c r="U569" s="147">
        <f>IFERROR((HLOOKUP($AH569,Target_monthwise!$D$24:$O$40,DTR!U$4,FALSE)),0)</f>
        <v>0</v>
      </c>
      <c r="V569" s="147">
        <f>IFERROR((HLOOKUP($AH569,Target_monthwise!$D$24:$O$40,DTR!V$4,FALSE)),0)</f>
        <v>0</v>
      </c>
      <c r="W569" s="147">
        <f>IFERROR((HLOOKUP($AH569,Target_monthwise!$D$24:$O$40,DTR!W$4,FALSE)),0)</f>
        <v>0</v>
      </c>
      <c r="X569" s="147">
        <f>IFERROR((HLOOKUP($AH569,Target_monthwise!$D$24:$O$40,DTR!X$4,FALSE)),0)</f>
        <v>0</v>
      </c>
      <c r="Y569" s="147">
        <f>IFERROR((HLOOKUP($AH569,Target_monthwise!$D$24:$O$40,DTR!Y$4,FALSE)),0)</f>
        <v>0</v>
      </c>
      <c r="Z569" s="147">
        <f>IFERROR((HLOOKUP($AH569,Target_monthwise!$D$24:$O$40,DTR!Z$4,FALSE)),0)</f>
        <v>0</v>
      </c>
      <c r="AA569" s="147">
        <f>IFERROR((HLOOKUP($AH569,Target_monthwise!$D$24:$O$40,DTR!AA$4,FALSE)),0)</f>
        <v>0</v>
      </c>
      <c r="AB569" s="147">
        <f>IFERROR((HLOOKUP($AH569,Target_monthwise!$D$24:$O$40,DTR!AB$4,FALSE)),0)</f>
        <v>0</v>
      </c>
      <c r="AC569" s="147">
        <f>IFERROR((HLOOKUP($AH569,Target_monthwise!$D$24:$O$40,DTR!AC$4,FALSE)),0)</f>
        <v>0</v>
      </c>
      <c r="AD569" s="147">
        <f>IFERROR((HLOOKUP($AH569,Target_monthwise!$D$24:$O$40,DTR!AD$4,FALSE)),0)</f>
        <v>0</v>
      </c>
      <c r="AE569" s="147">
        <f>IFERROR((HLOOKUP($AH569,Target_monthwise!$D$24:$O$40,DTR!AE$4,FALSE)),0)</f>
        <v>0</v>
      </c>
      <c r="AF569" s="147">
        <f>IFERROR((HLOOKUP($AH569,Target_monthwise!$D$24:$O$40,DTR!AF$4,FALSE)),0)</f>
        <v>0</v>
      </c>
      <c r="AG569" s="172">
        <f>IFERROR((HLOOKUP($AH569,Target_monthwise!$D$24:$O$40,DTR!AG$4,FALSE)),0)</f>
        <v>0</v>
      </c>
      <c r="AH569" s="253">
        <f t="shared" si="11"/>
        <v>202310</v>
      </c>
    </row>
    <row r="570" spans="3:34" ht="15.75" hidden="1">
      <c r="C570" s="237">
        <v>45213</v>
      </c>
      <c r="D570" s="238">
        <f>IFERROR((HLOOKUP($AH570,Target_monthwise!$D$4:$O$20,DTR!D$4,FALSE))*1000,0)</f>
        <v>0</v>
      </c>
      <c r="E570" s="238">
        <f>IFERROR((HLOOKUP($AH570,Target_monthwise!$D$4:$O$20,DTR!E$4,FALSE))*1000,0)</f>
        <v>0</v>
      </c>
      <c r="F570" s="238">
        <f>IFERROR((HLOOKUP($AH570,Target_monthwise!$D$4:$O$20,DTR!F$4,FALSE))*1000,0)</f>
        <v>0</v>
      </c>
      <c r="G570" s="238">
        <f>IFERROR((HLOOKUP($AH570,Target_monthwise!$D$4:$O$20,DTR!G$4,FALSE))*1000,0)</f>
        <v>0</v>
      </c>
      <c r="H570" s="238">
        <f>IFERROR((HLOOKUP($AH570,Target_monthwise!$D$4:$O$20,DTR!H$4,FALSE))*1000,0)</f>
        <v>0</v>
      </c>
      <c r="I570" s="238">
        <f>IFERROR((HLOOKUP($AH570,Target_monthwise!$D$4:$O$20,DTR!I$4,FALSE))*1000,0)</f>
        <v>0</v>
      </c>
      <c r="J570" s="238">
        <f>IFERROR((HLOOKUP($AH570,Target_monthwise!$D$4:$O$20,DTR!J$4,FALSE))*1000,0)</f>
        <v>0</v>
      </c>
      <c r="K570" s="238">
        <f>IFERROR((HLOOKUP($AH570,Target_monthwise!$D$4:$O$20,DTR!K$4,FALSE))*1000,0)</f>
        <v>0</v>
      </c>
      <c r="L570" s="238">
        <f>IFERROR((HLOOKUP($AH570,Target_monthwise!$D$4:$O$20,DTR!L$4,FALSE))*1000,0)</f>
        <v>0</v>
      </c>
      <c r="M570" s="238">
        <f>IFERROR((HLOOKUP($AH570,Target_monthwise!$D$4:$O$20,DTR!M$4,FALSE))*1000,0)</f>
        <v>0</v>
      </c>
      <c r="N570" s="238">
        <f>IFERROR((HLOOKUP($AH570,Target_monthwise!$D$4:$O$20,DTR!N$4,FALSE))*1000,0)</f>
        <v>0</v>
      </c>
      <c r="O570" s="238">
        <f>IFERROR((HLOOKUP($AH570,Target_monthwise!$D$4:$O$20,DTR!O$4,FALSE))*1000,0)</f>
        <v>0</v>
      </c>
      <c r="P570" s="238">
        <f>IFERROR((HLOOKUP($AH570,Target_monthwise!$D$4:$O$20,DTR!P$4,FALSE))*1000,0)</f>
        <v>0</v>
      </c>
      <c r="Q570" s="141">
        <f>IFERROR((HLOOKUP($AH570,Target_monthwise!$D$4:$O$20,DTR!Q$4,FALSE))*1000,0)</f>
        <v>0</v>
      </c>
      <c r="R570" s="167">
        <f>IFERROR((HLOOKUP($AH570,Target_monthwise!$D$4:$O$20,DTR!R$4,FALSE))*1000,0)</f>
        <v>0</v>
      </c>
      <c r="S570" s="239">
        <f>IFERROR((HLOOKUP($AH570,Target_monthwise!$D$24:$O$40,DTR!S$4,FALSE)),0)</f>
        <v>0</v>
      </c>
      <c r="T570" s="239">
        <f>IFERROR((HLOOKUP($AH570,Target_monthwise!$D$24:$O$40,DTR!T$4,FALSE)),0)</f>
        <v>0</v>
      </c>
      <c r="U570" s="239">
        <f>IFERROR((HLOOKUP($AH570,Target_monthwise!$D$24:$O$40,DTR!U$4,FALSE)),0)</f>
        <v>0</v>
      </c>
      <c r="V570" s="239">
        <f>IFERROR((HLOOKUP($AH570,Target_monthwise!$D$24:$O$40,DTR!V$4,FALSE)),0)</f>
        <v>0</v>
      </c>
      <c r="W570" s="239">
        <f>IFERROR((HLOOKUP($AH570,Target_monthwise!$D$24:$O$40,DTR!W$4,FALSE)),0)</f>
        <v>0</v>
      </c>
      <c r="X570" s="239">
        <f>IFERROR((HLOOKUP($AH570,Target_monthwise!$D$24:$O$40,DTR!X$4,FALSE)),0)</f>
        <v>0</v>
      </c>
      <c r="Y570" s="239">
        <f>IFERROR((HLOOKUP($AH570,Target_monthwise!$D$24:$O$40,DTR!Y$4,FALSE)),0)</f>
        <v>0</v>
      </c>
      <c r="Z570" s="147">
        <f>IFERROR((HLOOKUP($AH570,Target_monthwise!$D$24:$O$40,DTR!Z$4,FALSE)),0)</f>
        <v>0</v>
      </c>
      <c r="AA570" s="147">
        <f>IFERROR((HLOOKUP($AH570,Target_monthwise!$D$24:$O$40,DTR!AA$4,FALSE)),0)</f>
        <v>0</v>
      </c>
      <c r="AB570" s="147">
        <f>IFERROR((HLOOKUP($AH570,Target_monthwise!$D$24:$O$40,DTR!AB$4,FALSE)),0)</f>
        <v>0</v>
      </c>
      <c r="AC570" s="239">
        <f>IFERROR((HLOOKUP($AH570,Target_monthwise!$D$24:$O$40,DTR!AC$4,FALSE)),0)</f>
        <v>0</v>
      </c>
      <c r="AD570" s="239">
        <f>IFERROR((HLOOKUP($AH570,Target_monthwise!$D$24:$O$40,DTR!AD$4,FALSE)),0)</f>
        <v>0</v>
      </c>
      <c r="AE570" s="239">
        <f>IFERROR((HLOOKUP($AH570,Target_monthwise!$D$24:$O$40,DTR!AE$4,FALSE)),0)</f>
        <v>0</v>
      </c>
      <c r="AF570" s="239">
        <f>IFERROR((HLOOKUP($AH570,Target_monthwise!$D$24:$O$40,DTR!AF$4,FALSE)),0)</f>
        <v>0</v>
      </c>
      <c r="AG570" s="172">
        <f>IFERROR((HLOOKUP($AH570,Target_monthwise!$D$24:$O$40,DTR!AG$4,FALSE)),0)</f>
        <v>0</v>
      </c>
      <c r="AH570" s="253">
        <f t="shared" si="11"/>
        <v>202310</v>
      </c>
    </row>
    <row r="571" spans="3:34" ht="15.75" hidden="1">
      <c r="C571" s="235">
        <v>45214</v>
      </c>
      <c r="D571" s="141">
        <f>IFERROR((HLOOKUP($AH571,Target_monthwise!$D$4:$O$20,DTR!D$4,FALSE))*1000,0)</f>
        <v>0</v>
      </c>
      <c r="E571" s="141">
        <f>IFERROR((HLOOKUP($AH571,Target_monthwise!$D$4:$O$20,DTR!E$4,FALSE))*1000,0)</f>
        <v>0</v>
      </c>
      <c r="F571" s="141">
        <f>IFERROR((HLOOKUP($AH571,Target_monthwise!$D$4:$O$20,DTR!F$4,FALSE))*1000,0)</f>
        <v>0</v>
      </c>
      <c r="G571" s="141">
        <f>IFERROR((HLOOKUP($AH571,Target_monthwise!$D$4:$O$20,DTR!G$4,FALSE))*1000,0)</f>
        <v>0</v>
      </c>
      <c r="H571" s="141">
        <f>IFERROR((HLOOKUP($AH571,Target_monthwise!$D$4:$O$20,DTR!H$4,FALSE))*1000,0)</f>
        <v>0</v>
      </c>
      <c r="I571" s="141">
        <f>IFERROR((HLOOKUP($AH571,Target_monthwise!$D$4:$O$20,DTR!I$4,FALSE))*1000,0)</f>
        <v>0</v>
      </c>
      <c r="J571" s="141">
        <f>IFERROR((HLOOKUP($AH571,Target_monthwise!$D$4:$O$20,DTR!J$4,FALSE))*1000,0)</f>
        <v>0</v>
      </c>
      <c r="K571" s="141">
        <f>IFERROR((HLOOKUP($AH571,Target_monthwise!$D$4:$O$20,DTR!K$4,FALSE))*1000,0)</f>
        <v>0</v>
      </c>
      <c r="L571" s="141">
        <f>IFERROR((HLOOKUP($AH571,Target_monthwise!$D$4:$O$20,DTR!L$4,FALSE))*1000,0)</f>
        <v>0</v>
      </c>
      <c r="M571" s="141">
        <f>IFERROR((HLOOKUP($AH571,Target_monthwise!$D$4:$O$20,DTR!M$4,FALSE))*1000,0)</f>
        <v>0</v>
      </c>
      <c r="N571" s="141">
        <f>IFERROR((HLOOKUP($AH571,Target_monthwise!$D$4:$O$20,DTR!N$4,FALSE))*1000,0)</f>
        <v>0</v>
      </c>
      <c r="O571" s="141">
        <f>IFERROR((HLOOKUP($AH571,Target_monthwise!$D$4:$O$20,DTR!O$4,FALSE))*1000,0)</f>
        <v>0</v>
      </c>
      <c r="P571" s="141">
        <f>IFERROR((HLOOKUP($AH571,Target_monthwise!$D$4:$O$20,DTR!P$4,FALSE))*1000,0)</f>
        <v>0</v>
      </c>
      <c r="Q571" s="141">
        <f>IFERROR((HLOOKUP($AH571,Target_monthwise!$D$4:$O$20,DTR!Q$4,FALSE))*1000,0)</f>
        <v>0</v>
      </c>
      <c r="R571" s="167">
        <f>IFERROR((HLOOKUP($AH571,Target_monthwise!$D$4:$O$20,DTR!R$4,FALSE))*1000,0)</f>
        <v>0</v>
      </c>
      <c r="S571" s="147">
        <f>IFERROR((HLOOKUP($AH571,Target_monthwise!$D$24:$O$40,DTR!S$4,FALSE)),0)</f>
        <v>0</v>
      </c>
      <c r="T571" s="147">
        <f>IFERROR((HLOOKUP($AH571,Target_monthwise!$D$24:$O$40,DTR!T$4,FALSE)),0)</f>
        <v>0</v>
      </c>
      <c r="U571" s="147">
        <f>IFERROR((HLOOKUP($AH571,Target_monthwise!$D$24:$O$40,DTR!U$4,FALSE)),0)</f>
        <v>0</v>
      </c>
      <c r="V571" s="147">
        <f>IFERROR((HLOOKUP($AH571,Target_monthwise!$D$24:$O$40,DTR!V$4,FALSE)),0)</f>
        <v>0</v>
      </c>
      <c r="W571" s="147">
        <f>IFERROR((HLOOKUP($AH571,Target_monthwise!$D$24:$O$40,DTR!W$4,FALSE)),0)</f>
        <v>0</v>
      </c>
      <c r="X571" s="147">
        <f>IFERROR((HLOOKUP($AH571,Target_monthwise!$D$24:$O$40,DTR!X$4,FALSE)),0)</f>
        <v>0</v>
      </c>
      <c r="Y571" s="147">
        <f>IFERROR((HLOOKUP($AH571,Target_monthwise!$D$24:$O$40,DTR!Y$4,FALSE)),0)</f>
        <v>0</v>
      </c>
      <c r="Z571" s="147">
        <f>IFERROR((HLOOKUP($AH571,Target_monthwise!$D$24:$O$40,DTR!Z$4,FALSE)),0)</f>
        <v>0</v>
      </c>
      <c r="AA571" s="147">
        <f>IFERROR((HLOOKUP($AH571,Target_monthwise!$D$24:$O$40,DTR!AA$4,FALSE)),0)</f>
        <v>0</v>
      </c>
      <c r="AB571" s="147">
        <f>IFERROR((HLOOKUP($AH571,Target_monthwise!$D$24:$O$40,DTR!AB$4,FALSE)),0)</f>
        <v>0</v>
      </c>
      <c r="AC571" s="147">
        <f>IFERROR((HLOOKUP($AH571,Target_monthwise!$D$24:$O$40,DTR!AC$4,FALSE)),0)</f>
        <v>0</v>
      </c>
      <c r="AD571" s="147">
        <f>IFERROR((HLOOKUP($AH571,Target_monthwise!$D$24:$O$40,DTR!AD$4,FALSE)),0)</f>
        <v>0</v>
      </c>
      <c r="AE571" s="147">
        <f>IFERROR((HLOOKUP($AH571,Target_monthwise!$D$24:$O$40,DTR!AE$4,FALSE)),0)</f>
        <v>0</v>
      </c>
      <c r="AF571" s="147">
        <f>IFERROR((HLOOKUP($AH571,Target_monthwise!$D$24:$O$40,DTR!AF$4,FALSE)),0)</f>
        <v>0</v>
      </c>
      <c r="AG571" s="172">
        <f>IFERROR((HLOOKUP($AH571,Target_monthwise!$D$24:$O$40,DTR!AG$4,FALSE)),0)</f>
        <v>0</v>
      </c>
      <c r="AH571" s="253">
        <f t="shared" si="11"/>
        <v>202310</v>
      </c>
    </row>
    <row r="572" spans="3:34" ht="15.75" hidden="1">
      <c r="C572" s="237">
        <v>45215</v>
      </c>
      <c r="D572" s="238">
        <f>IFERROR((HLOOKUP($AH572,Target_monthwise!$D$4:$O$20,DTR!D$4,FALSE))*1000,0)</f>
        <v>0</v>
      </c>
      <c r="E572" s="238">
        <f>IFERROR((HLOOKUP($AH572,Target_monthwise!$D$4:$O$20,DTR!E$4,FALSE))*1000,0)</f>
        <v>0</v>
      </c>
      <c r="F572" s="238">
        <f>IFERROR((HLOOKUP($AH572,Target_monthwise!$D$4:$O$20,DTR!F$4,FALSE))*1000,0)</f>
        <v>0</v>
      </c>
      <c r="G572" s="238">
        <f>IFERROR((HLOOKUP($AH572,Target_monthwise!$D$4:$O$20,DTR!G$4,FALSE))*1000,0)</f>
        <v>0</v>
      </c>
      <c r="H572" s="238">
        <f>IFERROR((HLOOKUP($AH572,Target_monthwise!$D$4:$O$20,DTR!H$4,FALSE))*1000,0)</f>
        <v>0</v>
      </c>
      <c r="I572" s="238">
        <f>IFERROR((HLOOKUP($AH572,Target_monthwise!$D$4:$O$20,DTR!I$4,FALSE))*1000,0)</f>
        <v>0</v>
      </c>
      <c r="J572" s="238">
        <f>IFERROR((HLOOKUP($AH572,Target_monthwise!$D$4:$O$20,DTR!J$4,FALSE))*1000,0)</f>
        <v>0</v>
      </c>
      <c r="K572" s="238">
        <f>IFERROR((HLOOKUP($AH572,Target_monthwise!$D$4:$O$20,DTR!K$4,FALSE))*1000,0)</f>
        <v>0</v>
      </c>
      <c r="L572" s="238">
        <f>IFERROR((HLOOKUP($AH572,Target_monthwise!$D$4:$O$20,DTR!L$4,FALSE))*1000,0)</f>
        <v>0</v>
      </c>
      <c r="M572" s="238">
        <f>IFERROR((HLOOKUP($AH572,Target_monthwise!$D$4:$O$20,DTR!M$4,FALSE))*1000,0)</f>
        <v>0</v>
      </c>
      <c r="N572" s="238">
        <f>IFERROR((HLOOKUP($AH572,Target_monthwise!$D$4:$O$20,DTR!N$4,FALSE))*1000,0)</f>
        <v>0</v>
      </c>
      <c r="O572" s="238">
        <f>IFERROR((HLOOKUP($AH572,Target_monthwise!$D$4:$O$20,DTR!O$4,FALSE))*1000,0)</f>
        <v>0</v>
      </c>
      <c r="P572" s="238">
        <f>IFERROR((HLOOKUP($AH572,Target_monthwise!$D$4:$O$20,DTR!P$4,FALSE))*1000,0)</f>
        <v>0</v>
      </c>
      <c r="Q572" s="141">
        <f>IFERROR((HLOOKUP($AH572,Target_monthwise!$D$4:$O$20,DTR!Q$4,FALSE))*1000,0)</f>
        <v>0</v>
      </c>
      <c r="R572" s="167">
        <f>IFERROR((HLOOKUP($AH572,Target_monthwise!$D$4:$O$20,DTR!R$4,FALSE))*1000,0)</f>
        <v>0</v>
      </c>
      <c r="S572" s="239">
        <f>IFERROR((HLOOKUP($AH572,Target_monthwise!$D$24:$O$40,DTR!S$4,FALSE)),0)</f>
        <v>0</v>
      </c>
      <c r="T572" s="239">
        <f>IFERROR((HLOOKUP($AH572,Target_monthwise!$D$24:$O$40,DTR!T$4,FALSE)),0)</f>
        <v>0</v>
      </c>
      <c r="U572" s="239">
        <f>IFERROR((HLOOKUP($AH572,Target_monthwise!$D$24:$O$40,DTR!U$4,FALSE)),0)</f>
        <v>0</v>
      </c>
      <c r="V572" s="239">
        <f>IFERROR((HLOOKUP($AH572,Target_monthwise!$D$24:$O$40,DTR!V$4,FALSE)),0)</f>
        <v>0</v>
      </c>
      <c r="W572" s="239">
        <f>IFERROR((HLOOKUP($AH572,Target_monthwise!$D$24:$O$40,DTR!W$4,FALSE)),0)</f>
        <v>0</v>
      </c>
      <c r="X572" s="239">
        <f>IFERROR((HLOOKUP($AH572,Target_monthwise!$D$24:$O$40,DTR!X$4,FALSE)),0)</f>
        <v>0</v>
      </c>
      <c r="Y572" s="239">
        <f>IFERROR((HLOOKUP($AH572,Target_monthwise!$D$24:$O$40,DTR!Y$4,FALSE)),0)</f>
        <v>0</v>
      </c>
      <c r="Z572" s="147">
        <f>IFERROR((HLOOKUP($AH572,Target_monthwise!$D$24:$O$40,DTR!Z$4,FALSE)),0)</f>
        <v>0</v>
      </c>
      <c r="AA572" s="147">
        <f>IFERROR((HLOOKUP($AH572,Target_monthwise!$D$24:$O$40,DTR!AA$4,FALSE)),0)</f>
        <v>0</v>
      </c>
      <c r="AB572" s="147">
        <f>IFERROR((HLOOKUP($AH572,Target_monthwise!$D$24:$O$40,DTR!AB$4,FALSE)),0)</f>
        <v>0</v>
      </c>
      <c r="AC572" s="239">
        <f>IFERROR((HLOOKUP($AH572,Target_monthwise!$D$24:$O$40,DTR!AC$4,FALSE)),0)</f>
        <v>0</v>
      </c>
      <c r="AD572" s="239">
        <f>IFERROR((HLOOKUP($AH572,Target_monthwise!$D$24:$O$40,DTR!AD$4,FALSE)),0)</f>
        <v>0</v>
      </c>
      <c r="AE572" s="239">
        <f>IFERROR((HLOOKUP($AH572,Target_monthwise!$D$24:$O$40,DTR!AE$4,FALSE)),0)</f>
        <v>0</v>
      </c>
      <c r="AF572" s="239">
        <f>IFERROR((HLOOKUP($AH572,Target_monthwise!$D$24:$O$40,DTR!AF$4,FALSE)),0)</f>
        <v>0</v>
      </c>
      <c r="AG572" s="172">
        <f>IFERROR((HLOOKUP($AH572,Target_monthwise!$D$24:$O$40,DTR!AG$4,FALSE)),0)</f>
        <v>0</v>
      </c>
      <c r="AH572" s="253">
        <f t="shared" si="11"/>
        <v>202310</v>
      </c>
    </row>
    <row r="573" spans="3:34" ht="15.75" hidden="1">
      <c r="C573" s="235">
        <v>45216</v>
      </c>
      <c r="D573" s="141">
        <f>IFERROR((HLOOKUP($AH573,Target_monthwise!$D$4:$O$20,DTR!D$4,FALSE))*1000,0)</f>
        <v>0</v>
      </c>
      <c r="E573" s="141">
        <f>IFERROR((HLOOKUP($AH573,Target_monthwise!$D$4:$O$20,DTR!E$4,FALSE))*1000,0)</f>
        <v>0</v>
      </c>
      <c r="F573" s="141">
        <f>IFERROR((HLOOKUP($AH573,Target_monthwise!$D$4:$O$20,DTR!F$4,FALSE))*1000,0)</f>
        <v>0</v>
      </c>
      <c r="G573" s="141">
        <f>IFERROR((HLOOKUP($AH573,Target_monthwise!$D$4:$O$20,DTR!G$4,FALSE))*1000,0)</f>
        <v>0</v>
      </c>
      <c r="H573" s="141">
        <f>IFERROR((HLOOKUP($AH573,Target_monthwise!$D$4:$O$20,DTR!H$4,FALSE))*1000,0)</f>
        <v>0</v>
      </c>
      <c r="I573" s="141">
        <f>IFERROR((HLOOKUP($AH573,Target_monthwise!$D$4:$O$20,DTR!I$4,FALSE))*1000,0)</f>
        <v>0</v>
      </c>
      <c r="J573" s="141">
        <f>IFERROR((HLOOKUP($AH573,Target_monthwise!$D$4:$O$20,DTR!J$4,FALSE))*1000,0)</f>
        <v>0</v>
      </c>
      <c r="K573" s="141">
        <f>IFERROR((HLOOKUP($AH573,Target_monthwise!$D$4:$O$20,DTR!K$4,FALSE))*1000,0)</f>
        <v>0</v>
      </c>
      <c r="L573" s="141">
        <f>IFERROR((HLOOKUP($AH573,Target_monthwise!$D$4:$O$20,DTR!L$4,FALSE))*1000,0)</f>
        <v>0</v>
      </c>
      <c r="M573" s="141">
        <f>IFERROR((HLOOKUP($AH573,Target_monthwise!$D$4:$O$20,DTR!M$4,FALSE))*1000,0)</f>
        <v>0</v>
      </c>
      <c r="N573" s="141">
        <f>IFERROR((HLOOKUP($AH573,Target_monthwise!$D$4:$O$20,DTR!N$4,FALSE))*1000,0)</f>
        <v>0</v>
      </c>
      <c r="O573" s="141">
        <f>IFERROR((HLOOKUP($AH573,Target_monthwise!$D$4:$O$20,DTR!O$4,FALSE))*1000,0)</f>
        <v>0</v>
      </c>
      <c r="P573" s="141">
        <f>IFERROR((HLOOKUP($AH573,Target_monthwise!$D$4:$O$20,DTR!P$4,FALSE))*1000,0)</f>
        <v>0</v>
      </c>
      <c r="Q573" s="141">
        <f>IFERROR((HLOOKUP($AH573,Target_monthwise!$D$4:$O$20,DTR!Q$4,FALSE))*1000,0)</f>
        <v>0</v>
      </c>
      <c r="R573" s="167">
        <f>IFERROR((HLOOKUP($AH573,Target_monthwise!$D$4:$O$20,DTR!R$4,FALSE))*1000,0)</f>
        <v>0</v>
      </c>
      <c r="S573" s="147">
        <f>IFERROR((HLOOKUP($AH573,Target_monthwise!$D$24:$O$40,DTR!S$4,FALSE)),0)</f>
        <v>0</v>
      </c>
      <c r="T573" s="147">
        <f>IFERROR((HLOOKUP($AH573,Target_monthwise!$D$24:$O$40,DTR!T$4,FALSE)),0)</f>
        <v>0</v>
      </c>
      <c r="U573" s="147">
        <f>IFERROR((HLOOKUP($AH573,Target_monthwise!$D$24:$O$40,DTR!U$4,FALSE)),0)</f>
        <v>0</v>
      </c>
      <c r="V573" s="147">
        <f>IFERROR((HLOOKUP($AH573,Target_monthwise!$D$24:$O$40,DTR!V$4,FALSE)),0)</f>
        <v>0</v>
      </c>
      <c r="W573" s="147">
        <f>IFERROR((HLOOKUP($AH573,Target_monthwise!$D$24:$O$40,DTR!W$4,FALSE)),0)</f>
        <v>0</v>
      </c>
      <c r="X573" s="147">
        <f>IFERROR((HLOOKUP($AH573,Target_monthwise!$D$24:$O$40,DTR!X$4,FALSE)),0)</f>
        <v>0</v>
      </c>
      <c r="Y573" s="147">
        <f>IFERROR((HLOOKUP($AH573,Target_monthwise!$D$24:$O$40,DTR!Y$4,FALSE)),0)</f>
        <v>0</v>
      </c>
      <c r="Z573" s="147">
        <f>IFERROR((HLOOKUP($AH573,Target_monthwise!$D$24:$O$40,DTR!Z$4,FALSE)),0)</f>
        <v>0</v>
      </c>
      <c r="AA573" s="147">
        <f>IFERROR((HLOOKUP($AH573,Target_monthwise!$D$24:$O$40,DTR!AA$4,FALSE)),0)</f>
        <v>0</v>
      </c>
      <c r="AB573" s="147">
        <f>IFERROR((HLOOKUP($AH573,Target_monthwise!$D$24:$O$40,DTR!AB$4,FALSE)),0)</f>
        <v>0</v>
      </c>
      <c r="AC573" s="147">
        <f>IFERROR((HLOOKUP($AH573,Target_monthwise!$D$24:$O$40,DTR!AC$4,FALSE)),0)</f>
        <v>0</v>
      </c>
      <c r="AD573" s="147">
        <f>IFERROR((HLOOKUP($AH573,Target_monthwise!$D$24:$O$40,DTR!AD$4,FALSE)),0)</f>
        <v>0</v>
      </c>
      <c r="AE573" s="147">
        <f>IFERROR((HLOOKUP($AH573,Target_monthwise!$D$24:$O$40,DTR!AE$4,FALSE)),0)</f>
        <v>0</v>
      </c>
      <c r="AF573" s="147">
        <f>IFERROR((HLOOKUP($AH573,Target_monthwise!$D$24:$O$40,DTR!AF$4,FALSE)),0)</f>
        <v>0</v>
      </c>
      <c r="AG573" s="172">
        <f>IFERROR((HLOOKUP($AH573,Target_monthwise!$D$24:$O$40,DTR!AG$4,FALSE)),0)</f>
        <v>0</v>
      </c>
      <c r="AH573" s="253">
        <f t="shared" si="11"/>
        <v>202310</v>
      </c>
    </row>
    <row r="574" spans="3:34" ht="15.75" hidden="1">
      <c r="C574" s="237">
        <v>45217</v>
      </c>
      <c r="D574" s="238">
        <f>IFERROR((HLOOKUP($AH574,Target_monthwise!$D$4:$O$20,DTR!D$4,FALSE))*1000,0)</f>
        <v>0</v>
      </c>
      <c r="E574" s="238">
        <f>IFERROR((HLOOKUP($AH574,Target_monthwise!$D$4:$O$20,DTR!E$4,FALSE))*1000,0)</f>
        <v>0</v>
      </c>
      <c r="F574" s="238">
        <f>IFERROR((HLOOKUP($AH574,Target_monthwise!$D$4:$O$20,DTR!F$4,FALSE))*1000,0)</f>
        <v>0</v>
      </c>
      <c r="G574" s="238">
        <f>IFERROR((HLOOKUP($AH574,Target_monthwise!$D$4:$O$20,DTR!G$4,FALSE))*1000,0)</f>
        <v>0</v>
      </c>
      <c r="H574" s="238">
        <f>IFERROR((HLOOKUP($AH574,Target_monthwise!$D$4:$O$20,DTR!H$4,FALSE))*1000,0)</f>
        <v>0</v>
      </c>
      <c r="I574" s="238">
        <f>IFERROR((HLOOKUP($AH574,Target_monthwise!$D$4:$O$20,DTR!I$4,FALSE))*1000,0)</f>
        <v>0</v>
      </c>
      <c r="J574" s="238">
        <f>IFERROR((HLOOKUP($AH574,Target_monthwise!$D$4:$O$20,DTR!J$4,FALSE))*1000,0)</f>
        <v>0</v>
      </c>
      <c r="K574" s="238">
        <f>IFERROR((HLOOKUP($AH574,Target_monthwise!$D$4:$O$20,DTR!K$4,FALSE))*1000,0)</f>
        <v>0</v>
      </c>
      <c r="L574" s="238">
        <f>IFERROR((HLOOKUP($AH574,Target_monthwise!$D$4:$O$20,DTR!L$4,FALSE))*1000,0)</f>
        <v>0</v>
      </c>
      <c r="M574" s="238">
        <f>IFERROR((HLOOKUP($AH574,Target_monthwise!$D$4:$O$20,DTR!M$4,FALSE))*1000,0)</f>
        <v>0</v>
      </c>
      <c r="N574" s="238">
        <f>IFERROR((HLOOKUP($AH574,Target_monthwise!$D$4:$O$20,DTR!N$4,FALSE))*1000,0)</f>
        <v>0</v>
      </c>
      <c r="O574" s="238">
        <f>IFERROR((HLOOKUP($AH574,Target_monthwise!$D$4:$O$20,DTR!O$4,FALSE))*1000,0)</f>
        <v>0</v>
      </c>
      <c r="P574" s="238">
        <f>IFERROR((HLOOKUP($AH574,Target_monthwise!$D$4:$O$20,DTR!P$4,FALSE))*1000,0)</f>
        <v>0</v>
      </c>
      <c r="Q574" s="141">
        <f>IFERROR((HLOOKUP($AH574,Target_monthwise!$D$4:$O$20,DTR!Q$4,FALSE))*1000,0)</f>
        <v>0</v>
      </c>
      <c r="R574" s="167">
        <f>IFERROR((HLOOKUP($AH574,Target_monthwise!$D$4:$O$20,DTR!R$4,FALSE))*1000,0)</f>
        <v>0</v>
      </c>
      <c r="S574" s="239">
        <f>IFERROR((HLOOKUP($AH574,Target_monthwise!$D$24:$O$40,DTR!S$4,FALSE)),0)</f>
        <v>0</v>
      </c>
      <c r="T574" s="239">
        <f>IFERROR((HLOOKUP($AH574,Target_monthwise!$D$24:$O$40,DTR!T$4,FALSE)),0)</f>
        <v>0</v>
      </c>
      <c r="U574" s="239">
        <f>IFERROR((HLOOKUP($AH574,Target_monthwise!$D$24:$O$40,DTR!U$4,FALSE)),0)</f>
        <v>0</v>
      </c>
      <c r="V574" s="239">
        <f>IFERROR((HLOOKUP($AH574,Target_monthwise!$D$24:$O$40,DTR!V$4,FALSE)),0)</f>
        <v>0</v>
      </c>
      <c r="W574" s="239">
        <f>IFERROR((HLOOKUP($AH574,Target_monthwise!$D$24:$O$40,DTR!W$4,FALSE)),0)</f>
        <v>0</v>
      </c>
      <c r="X574" s="239">
        <f>IFERROR((HLOOKUP($AH574,Target_monthwise!$D$24:$O$40,DTR!X$4,FALSE)),0)</f>
        <v>0</v>
      </c>
      <c r="Y574" s="239">
        <f>IFERROR((HLOOKUP($AH574,Target_monthwise!$D$24:$O$40,DTR!Y$4,FALSE)),0)</f>
        <v>0</v>
      </c>
      <c r="Z574" s="147">
        <f>IFERROR((HLOOKUP($AH574,Target_monthwise!$D$24:$O$40,DTR!Z$4,FALSE)),0)</f>
        <v>0</v>
      </c>
      <c r="AA574" s="147">
        <f>IFERROR((HLOOKUP($AH574,Target_monthwise!$D$24:$O$40,DTR!AA$4,FALSE)),0)</f>
        <v>0</v>
      </c>
      <c r="AB574" s="147">
        <f>IFERROR((HLOOKUP($AH574,Target_monthwise!$D$24:$O$40,DTR!AB$4,FALSE)),0)</f>
        <v>0</v>
      </c>
      <c r="AC574" s="239">
        <f>IFERROR((HLOOKUP($AH574,Target_monthwise!$D$24:$O$40,DTR!AC$4,FALSE)),0)</f>
        <v>0</v>
      </c>
      <c r="AD574" s="239">
        <f>IFERROR((HLOOKUP($AH574,Target_monthwise!$D$24:$O$40,DTR!AD$4,FALSE)),0)</f>
        <v>0</v>
      </c>
      <c r="AE574" s="239">
        <f>IFERROR((HLOOKUP($AH574,Target_monthwise!$D$24:$O$40,DTR!AE$4,FALSE)),0)</f>
        <v>0</v>
      </c>
      <c r="AF574" s="239">
        <f>IFERROR((HLOOKUP($AH574,Target_monthwise!$D$24:$O$40,DTR!AF$4,FALSE)),0)</f>
        <v>0</v>
      </c>
      <c r="AG574" s="172">
        <f>IFERROR((HLOOKUP($AH574,Target_monthwise!$D$24:$O$40,DTR!AG$4,FALSE)),0)</f>
        <v>0</v>
      </c>
      <c r="AH574" s="253">
        <f t="shared" si="11"/>
        <v>202310</v>
      </c>
    </row>
    <row r="575" spans="3:34" ht="15.75" hidden="1">
      <c r="C575" s="235">
        <v>45218</v>
      </c>
      <c r="D575" s="141">
        <f>IFERROR((HLOOKUP($AH575,Target_monthwise!$D$4:$O$20,DTR!D$4,FALSE))*1000,0)</f>
        <v>0</v>
      </c>
      <c r="E575" s="141">
        <f>IFERROR((HLOOKUP($AH575,Target_monthwise!$D$4:$O$20,DTR!E$4,FALSE))*1000,0)</f>
        <v>0</v>
      </c>
      <c r="F575" s="141">
        <f>IFERROR((HLOOKUP($AH575,Target_monthwise!$D$4:$O$20,DTR!F$4,FALSE))*1000,0)</f>
        <v>0</v>
      </c>
      <c r="G575" s="141">
        <f>IFERROR((HLOOKUP($AH575,Target_monthwise!$D$4:$O$20,DTR!G$4,FALSE))*1000,0)</f>
        <v>0</v>
      </c>
      <c r="H575" s="141">
        <f>IFERROR((HLOOKUP($AH575,Target_monthwise!$D$4:$O$20,DTR!H$4,FALSE))*1000,0)</f>
        <v>0</v>
      </c>
      <c r="I575" s="141">
        <f>IFERROR((HLOOKUP($AH575,Target_monthwise!$D$4:$O$20,DTR!I$4,FALSE))*1000,0)</f>
        <v>0</v>
      </c>
      <c r="J575" s="141">
        <f>IFERROR((HLOOKUP($AH575,Target_monthwise!$D$4:$O$20,DTR!J$4,FALSE))*1000,0)</f>
        <v>0</v>
      </c>
      <c r="K575" s="141">
        <f>IFERROR((HLOOKUP($AH575,Target_monthwise!$D$4:$O$20,DTR!K$4,FALSE))*1000,0)</f>
        <v>0</v>
      </c>
      <c r="L575" s="141">
        <f>IFERROR((HLOOKUP($AH575,Target_monthwise!$D$4:$O$20,DTR!L$4,FALSE))*1000,0)</f>
        <v>0</v>
      </c>
      <c r="M575" s="141">
        <f>IFERROR((HLOOKUP($AH575,Target_monthwise!$D$4:$O$20,DTR!M$4,FALSE))*1000,0)</f>
        <v>0</v>
      </c>
      <c r="N575" s="141">
        <f>IFERROR((HLOOKUP($AH575,Target_monthwise!$D$4:$O$20,DTR!N$4,FALSE))*1000,0)</f>
        <v>0</v>
      </c>
      <c r="O575" s="141">
        <f>IFERROR((HLOOKUP($AH575,Target_monthwise!$D$4:$O$20,DTR!O$4,FALSE))*1000,0)</f>
        <v>0</v>
      </c>
      <c r="P575" s="141">
        <f>IFERROR((HLOOKUP($AH575,Target_monthwise!$D$4:$O$20,DTR!P$4,FALSE))*1000,0)</f>
        <v>0</v>
      </c>
      <c r="Q575" s="141">
        <f>IFERROR((HLOOKUP($AH575,Target_monthwise!$D$4:$O$20,DTR!Q$4,FALSE))*1000,0)</f>
        <v>0</v>
      </c>
      <c r="R575" s="167">
        <f>IFERROR((HLOOKUP($AH575,Target_monthwise!$D$4:$O$20,DTR!R$4,FALSE))*1000,0)</f>
        <v>0</v>
      </c>
      <c r="S575" s="147">
        <f>IFERROR((HLOOKUP($AH575,Target_monthwise!$D$24:$O$40,DTR!S$4,FALSE)),0)</f>
        <v>0</v>
      </c>
      <c r="T575" s="147">
        <f>IFERROR((HLOOKUP($AH575,Target_monthwise!$D$24:$O$40,DTR!T$4,FALSE)),0)</f>
        <v>0</v>
      </c>
      <c r="U575" s="147">
        <f>IFERROR((HLOOKUP($AH575,Target_monthwise!$D$24:$O$40,DTR!U$4,FALSE)),0)</f>
        <v>0</v>
      </c>
      <c r="V575" s="147">
        <f>IFERROR((HLOOKUP($AH575,Target_monthwise!$D$24:$O$40,DTR!V$4,FALSE)),0)</f>
        <v>0</v>
      </c>
      <c r="W575" s="147">
        <f>IFERROR((HLOOKUP($AH575,Target_monthwise!$D$24:$O$40,DTR!W$4,FALSE)),0)</f>
        <v>0</v>
      </c>
      <c r="X575" s="147">
        <f>IFERROR((HLOOKUP($AH575,Target_monthwise!$D$24:$O$40,DTR!X$4,FALSE)),0)</f>
        <v>0</v>
      </c>
      <c r="Y575" s="147">
        <f>IFERROR((HLOOKUP($AH575,Target_monthwise!$D$24:$O$40,DTR!Y$4,FALSE)),0)</f>
        <v>0</v>
      </c>
      <c r="Z575" s="147">
        <f>IFERROR((HLOOKUP($AH575,Target_monthwise!$D$24:$O$40,DTR!Z$4,FALSE)),0)</f>
        <v>0</v>
      </c>
      <c r="AA575" s="147">
        <f>IFERROR((HLOOKUP($AH575,Target_monthwise!$D$24:$O$40,DTR!AA$4,FALSE)),0)</f>
        <v>0</v>
      </c>
      <c r="AB575" s="147">
        <f>IFERROR((HLOOKUP($AH575,Target_monthwise!$D$24:$O$40,DTR!AB$4,FALSE)),0)</f>
        <v>0</v>
      </c>
      <c r="AC575" s="147">
        <f>IFERROR((HLOOKUP($AH575,Target_monthwise!$D$24:$O$40,DTR!AC$4,FALSE)),0)</f>
        <v>0</v>
      </c>
      <c r="AD575" s="147">
        <f>IFERROR((HLOOKUP($AH575,Target_monthwise!$D$24:$O$40,DTR!AD$4,FALSE)),0)</f>
        <v>0</v>
      </c>
      <c r="AE575" s="147">
        <f>IFERROR((HLOOKUP($AH575,Target_monthwise!$D$24:$O$40,DTR!AE$4,FALSE)),0)</f>
        <v>0</v>
      </c>
      <c r="AF575" s="147">
        <f>IFERROR((HLOOKUP($AH575,Target_monthwise!$D$24:$O$40,DTR!AF$4,FALSE)),0)</f>
        <v>0</v>
      </c>
      <c r="AG575" s="172">
        <f>IFERROR((HLOOKUP($AH575,Target_monthwise!$D$24:$O$40,DTR!AG$4,FALSE)),0)</f>
        <v>0</v>
      </c>
      <c r="AH575" s="253">
        <f t="shared" si="11"/>
        <v>202310</v>
      </c>
    </row>
    <row r="576" spans="3:34" ht="15.75" hidden="1">
      <c r="C576" s="237">
        <v>45219</v>
      </c>
      <c r="D576" s="238">
        <f>IFERROR((HLOOKUP($AH576,Target_monthwise!$D$4:$O$20,DTR!D$4,FALSE))*1000,0)</f>
        <v>0</v>
      </c>
      <c r="E576" s="238">
        <f>IFERROR((HLOOKUP($AH576,Target_monthwise!$D$4:$O$20,DTR!E$4,FALSE))*1000,0)</f>
        <v>0</v>
      </c>
      <c r="F576" s="238">
        <f>IFERROR((HLOOKUP($AH576,Target_monthwise!$D$4:$O$20,DTR!F$4,FALSE))*1000,0)</f>
        <v>0</v>
      </c>
      <c r="G576" s="238">
        <f>IFERROR((HLOOKUP($AH576,Target_monthwise!$D$4:$O$20,DTR!G$4,FALSE))*1000,0)</f>
        <v>0</v>
      </c>
      <c r="H576" s="238">
        <f>IFERROR((HLOOKUP($AH576,Target_monthwise!$D$4:$O$20,DTR!H$4,FALSE))*1000,0)</f>
        <v>0</v>
      </c>
      <c r="I576" s="238">
        <f>IFERROR((HLOOKUP($AH576,Target_monthwise!$D$4:$O$20,DTR!I$4,FALSE))*1000,0)</f>
        <v>0</v>
      </c>
      <c r="J576" s="238">
        <f>IFERROR((HLOOKUP($AH576,Target_monthwise!$D$4:$O$20,DTR!J$4,FALSE))*1000,0)</f>
        <v>0</v>
      </c>
      <c r="K576" s="238">
        <f>IFERROR((HLOOKUP($AH576,Target_monthwise!$D$4:$O$20,DTR!K$4,FALSE))*1000,0)</f>
        <v>0</v>
      </c>
      <c r="L576" s="238">
        <f>IFERROR((HLOOKUP($AH576,Target_monthwise!$D$4:$O$20,DTR!L$4,FALSE))*1000,0)</f>
        <v>0</v>
      </c>
      <c r="M576" s="238">
        <f>IFERROR((HLOOKUP($AH576,Target_monthwise!$D$4:$O$20,DTR!M$4,FALSE))*1000,0)</f>
        <v>0</v>
      </c>
      <c r="N576" s="238">
        <f>IFERROR((HLOOKUP($AH576,Target_monthwise!$D$4:$O$20,DTR!N$4,FALSE))*1000,0)</f>
        <v>0</v>
      </c>
      <c r="O576" s="238">
        <f>IFERROR((HLOOKUP($AH576,Target_monthwise!$D$4:$O$20,DTR!O$4,FALSE))*1000,0)</f>
        <v>0</v>
      </c>
      <c r="P576" s="238">
        <f>IFERROR((HLOOKUP($AH576,Target_monthwise!$D$4:$O$20,DTR!P$4,FALSE))*1000,0)</f>
        <v>0</v>
      </c>
      <c r="Q576" s="141">
        <f>IFERROR((HLOOKUP($AH576,Target_monthwise!$D$4:$O$20,DTR!Q$4,FALSE))*1000,0)</f>
        <v>0</v>
      </c>
      <c r="R576" s="167">
        <f>IFERROR((HLOOKUP($AH576,Target_monthwise!$D$4:$O$20,DTR!R$4,FALSE))*1000,0)</f>
        <v>0</v>
      </c>
      <c r="S576" s="239">
        <f>IFERROR((HLOOKUP($AH576,Target_monthwise!$D$24:$O$40,DTR!S$4,FALSE)),0)</f>
        <v>0</v>
      </c>
      <c r="T576" s="239">
        <f>IFERROR((HLOOKUP($AH576,Target_monthwise!$D$24:$O$40,DTR!T$4,FALSE)),0)</f>
        <v>0</v>
      </c>
      <c r="U576" s="239">
        <f>IFERROR((HLOOKUP($AH576,Target_monthwise!$D$24:$O$40,DTR!U$4,FALSE)),0)</f>
        <v>0</v>
      </c>
      <c r="V576" s="239">
        <f>IFERROR((HLOOKUP($AH576,Target_monthwise!$D$24:$O$40,DTR!V$4,FALSE)),0)</f>
        <v>0</v>
      </c>
      <c r="W576" s="239">
        <f>IFERROR((HLOOKUP($AH576,Target_monthwise!$D$24:$O$40,DTR!W$4,FALSE)),0)</f>
        <v>0</v>
      </c>
      <c r="X576" s="239">
        <f>IFERROR((HLOOKUP($AH576,Target_monthwise!$D$24:$O$40,DTR!X$4,FALSE)),0)</f>
        <v>0</v>
      </c>
      <c r="Y576" s="239">
        <f>IFERROR((HLOOKUP($AH576,Target_monthwise!$D$24:$O$40,DTR!Y$4,FALSE)),0)</f>
        <v>0</v>
      </c>
      <c r="Z576" s="147">
        <f>IFERROR((HLOOKUP($AH576,Target_monthwise!$D$24:$O$40,DTR!Z$4,FALSE)),0)</f>
        <v>0</v>
      </c>
      <c r="AA576" s="147">
        <f>IFERROR((HLOOKUP($AH576,Target_monthwise!$D$24:$O$40,DTR!AA$4,FALSE)),0)</f>
        <v>0</v>
      </c>
      <c r="AB576" s="147">
        <f>IFERROR((HLOOKUP($AH576,Target_monthwise!$D$24:$O$40,DTR!AB$4,FALSE)),0)</f>
        <v>0</v>
      </c>
      <c r="AC576" s="239">
        <f>IFERROR((HLOOKUP($AH576,Target_monthwise!$D$24:$O$40,DTR!AC$4,FALSE)),0)</f>
        <v>0</v>
      </c>
      <c r="AD576" s="239">
        <f>IFERROR((HLOOKUP($AH576,Target_monthwise!$D$24:$O$40,DTR!AD$4,FALSE)),0)</f>
        <v>0</v>
      </c>
      <c r="AE576" s="239">
        <f>IFERROR((HLOOKUP($AH576,Target_monthwise!$D$24:$O$40,DTR!AE$4,FALSE)),0)</f>
        <v>0</v>
      </c>
      <c r="AF576" s="239">
        <f>IFERROR((HLOOKUP($AH576,Target_monthwise!$D$24:$O$40,DTR!AF$4,FALSE)),0)</f>
        <v>0</v>
      </c>
      <c r="AG576" s="172">
        <f>IFERROR((HLOOKUP($AH576,Target_monthwise!$D$24:$O$40,DTR!AG$4,FALSE)),0)</f>
        <v>0</v>
      </c>
      <c r="AH576" s="253">
        <f t="shared" si="11"/>
        <v>202310</v>
      </c>
    </row>
    <row r="577" spans="3:34" ht="15.75" hidden="1">
      <c r="C577" s="235">
        <v>45220</v>
      </c>
      <c r="D577" s="141">
        <f>IFERROR((HLOOKUP($AH577,Target_monthwise!$D$4:$O$20,DTR!D$4,FALSE))*1000,0)</f>
        <v>0</v>
      </c>
      <c r="E577" s="141">
        <f>IFERROR((HLOOKUP($AH577,Target_monthwise!$D$4:$O$20,DTR!E$4,FALSE))*1000,0)</f>
        <v>0</v>
      </c>
      <c r="F577" s="141">
        <f>IFERROR((HLOOKUP($AH577,Target_monthwise!$D$4:$O$20,DTR!F$4,FALSE))*1000,0)</f>
        <v>0</v>
      </c>
      <c r="G577" s="141">
        <f>IFERROR((HLOOKUP($AH577,Target_monthwise!$D$4:$O$20,DTR!G$4,FALSE))*1000,0)</f>
        <v>0</v>
      </c>
      <c r="H577" s="141">
        <f>IFERROR((HLOOKUP($AH577,Target_monthwise!$D$4:$O$20,DTR!H$4,FALSE))*1000,0)</f>
        <v>0</v>
      </c>
      <c r="I577" s="141">
        <f>IFERROR((HLOOKUP($AH577,Target_monthwise!$D$4:$O$20,DTR!I$4,FALSE))*1000,0)</f>
        <v>0</v>
      </c>
      <c r="J577" s="141">
        <f>IFERROR((HLOOKUP($AH577,Target_monthwise!$D$4:$O$20,DTR!J$4,FALSE))*1000,0)</f>
        <v>0</v>
      </c>
      <c r="K577" s="141">
        <f>IFERROR((HLOOKUP($AH577,Target_monthwise!$D$4:$O$20,DTR!K$4,FALSE))*1000,0)</f>
        <v>0</v>
      </c>
      <c r="L577" s="141">
        <f>IFERROR((HLOOKUP($AH577,Target_monthwise!$D$4:$O$20,DTR!L$4,FALSE))*1000,0)</f>
        <v>0</v>
      </c>
      <c r="M577" s="141">
        <f>IFERROR((HLOOKUP($AH577,Target_monthwise!$D$4:$O$20,DTR!M$4,FALSE))*1000,0)</f>
        <v>0</v>
      </c>
      <c r="N577" s="141">
        <f>IFERROR((HLOOKUP($AH577,Target_monthwise!$D$4:$O$20,DTR!N$4,FALSE))*1000,0)</f>
        <v>0</v>
      </c>
      <c r="O577" s="141">
        <f>IFERROR((HLOOKUP($AH577,Target_monthwise!$D$4:$O$20,DTR!O$4,FALSE))*1000,0)</f>
        <v>0</v>
      </c>
      <c r="P577" s="141">
        <f>IFERROR((HLOOKUP($AH577,Target_monthwise!$D$4:$O$20,DTR!P$4,FALSE))*1000,0)</f>
        <v>0</v>
      </c>
      <c r="Q577" s="141">
        <f>IFERROR((HLOOKUP($AH577,Target_monthwise!$D$4:$O$20,DTR!Q$4,FALSE))*1000,0)</f>
        <v>0</v>
      </c>
      <c r="R577" s="167">
        <f>IFERROR((HLOOKUP($AH577,Target_monthwise!$D$4:$O$20,DTR!R$4,FALSE))*1000,0)</f>
        <v>0</v>
      </c>
      <c r="S577" s="147">
        <f>IFERROR((HLOOKUP($AH577,Target_monthwise!$D$24:$O$40,DTR!S$4,FALSE)),0)</f>
        <v>0</v>
      </c>
      <c r="T577" s="147">
        <f>IFERROR((HLOOKUP($AH577,Target_monthwise!$D$24:$O$40,DTR!T$4,FALSE)),0)</f>
        <v>0</v>
      </c>
      <c r="U577" s="147">
        <f>IFERROR((HLOOKUP($AH577,Target_monthwise!$D$24:$O$40,DTR!U$4,FALSE)),0)</f>
        <v>0</v>
      </c>
      <c r="V577" s="147">
        <f>IFERROR((HLOOKUP($AH577,Target_monthwise!$D$24:$O$40,DTR!V$4,FALSE)),0)</f>
        <v>0</v>
      </c>
      <c r="W577" s="147">
        <f>IFERROR((HLOOKUP($AH577,Target_monthwise!$D$24:$O$40,DTR!W$4,FALSE)),0)</f>
        <v>0</v>
      </c>
      <c r="X577" s="147">
        <f>IFERROR((HLOOKUP($AH577,Target_monthwise!$D$24:$O$40,DTR!X$4,FALSE)),0)</f>
        <v>0</v>
      </c>
      <c r="Y577" s="147">
        <f>IFERROR((HLOOKUP($AH577,Target_monthwise!$D$24:$O$40,DTR!Y$4,FALSE)),0)</f>
        <v>0</v>
      </c>
      <c r="Z577" s="147">
        <f>IFERROR((HLOOKUP($AH577,Target_monthwise!$D$24:$O$40,DTR!Z$4,FALSE)),0)</f>
        <v>0</v>
      </c>
      <c r="AA577" s="147">
        <f>IFERROR((HLOOKUP($AH577,Target_monthwise!$D$24:$O$40,DTR!AA$4,FALSE)),0)</f>
        <v>0</v>
      </c>
      <c r="AB577" s="147">
        <f>IFERROR((HLOOKUP($AH577,Target_monthwise!$D$24:$O$40,DTR!AB$4,FALSE)),0)</f>
        <v>0</v>
      </c>
      <c r="AC577" s="147">
        <f>IFERROR((HLOOKUP($AH577,Target_monthwise!$D$24:$O$40,DTR!AC$4,FALSE)),0)</f>
        <v>0</v>
      </c>
      <c r="AD577" s="147">
        <f>IFERROR((HLOOKUP($AH577,Target_monthwise!$D$24:$O$40,DTR!AD$4,FALSE)),0)</f>
        <v>0</v>
      </c>
      <c r="AE577" s="147">
        <f>IFERROR((HLOOKUP($AH577,Target_monthwise!$D$24:$O$40,DTR!AE$4,FALSE)),0)</f>
        <v>0</v>
      </c>
      <c r="AF577" s="147">
        <f>IFERROR((HLOOKUP($AH577,Target_monthwise!$D$24:$O$40,DTR!AF$4,FALSE)),0)</f>
        <v>0</v>
      </c>
      <c r="AG577" s="172">
        <f>IFERROR((HLOOKUP($AH577,Target_monthwise!$D$24:$O$40,DTR!AG$4,FALSE)),0)</f>
        <v>0</v>
      </c>
      <c r="AH577" s="253">
        <f t="shared" si="11"/>
        <v>202310</v>
      </c>
    </row>
    <row r="578" spans="3:34" ht="15.75" hidden="1">
      <c r="C578" s="237">
        <v>45221</v>
      </c>
      <c r="D578" s="238">
        <f>IFERROR((HLOOKUP($AH578,Target_monthwise!$D$4:$O$20,DTR!D$4,FALSE))*1000,0)</f>
        <v>0</v>
      </c>
      <c r="E578" s="238">
        <f>IFERROR((HLOOKUP($AH578,Target_monthwise!$D$4:$O$20,DTR!E$4,FALSE))*1000,0)</f>
        <v>0</v>
      </c>
      <c r="F578" s="238">
        <f>IFERROR((HLOOKUP($AH578,Target_monthwise!$D$4:$O$20,DTR!F$4,FALSE))*1000,0)</f>
        <v>0</v>
      </c>
      <c r="G578" s="238">
        <f>IFERROR((HLOOKUP($AH578,Target_monthwise!$D$4:$O$20,DTR!G$4,FALSE))*1000,0)</f>
        <v>0</v>
      </c>
      <c r="H578" s="238">
        <f>IFERROR((HLOOKUP($AH578,Target_monthwise!$D$4:$O$20,DTR!H$4,FALSE))*1000,0)</f>
        <v>0</v>
      </c>
      <c r="I578" s="238">
        <f>IFERROR((HLOOKUP($AH578,Target_monthwise!$D$4:$O$20,DTR!I$4,FALSE))*1000,0)</f>
        <v>0</v>
      </c>
      <c r="J578" s="238">
        <f>IFERROR((HLOOKUP($AH578,Target_monthwise!$D$4:$O$20,DTR!J$4,FALSE))*1000,0)</f>
        <v>0</v>
      </c>
      <c r="K578" s="238">
        <f>IFERROR((HLOOKUP($AH578,Target_monthwise!$D$4:$O$20,DTR!K$4,FALSE))*1000,0)</f>
        <v>0</v>
      </c>
      <c r="L578" s="238">
        <f>IFERROR((HLOOKUP($AH578,Target_monthwise!$D$4:$O$20,DTR!L$4,FALSE))*1000,0)</f>
        <v>0</v>
      </c>
      <c r="M578" s="238">
        <f>IFERROR((HLOOKUP($AH578,Target_monthwise!$D$4:$O$20,DTR!M$4,FALSE))*1000,0)</f>
        <v>0</v>
      </c>
      <c r="N578" s="238">
        <f>IFERROR((HLOOKUP($AH578,Target_monthwise!$D$4:$O$20,DTR!N$4,FALSE))*1000,0)</f>
        <v>0</v>
      </c>
      <c r="O578" s="238">
        <f>IFERROR((HLOOKUP($AH578,Target_monthwise!$D$4:$O$20,DTR!O$4,FALSE))*1000,0)</f>
        <v>0</v>
      </c>
      <c r="P578" s="238">
        <f>IFERROR((HLOOKUP($AH578,Target_monthwise!$D$4:$O$20,DTR!P$4,FALSE))*1000,0)</f>
        <v>0</v>
      </c>
      <c r="Q578" s="141">
        <f>IFERROR((HLOOKUP($AH578,Target_monthwise!$D$4:$O$20,DTR!Q$4,FALSE))*1000,0)</f>
        <v>0</v>
      </c>
      <c r="R578" s="167">
        <f>IFERROR((HLOOKUP($AH578,Target_monthwise!$D$4:$O$20,DTR!R$4,FALSE))*1000,0)</f>
        <v>0</v>
      </c>
      <c r="S578" s="239">
        <f>IFERROR((HLOOKUP($AH578,Target_monthwise!$D$24:$O$40,DTR!S$4,FALSE)),0)</f>
        <v>0</v>
      </c>
      <c r="T578" s="239">
        <f>IFERROR((HLOOKUP($AH578,Target_monthwise!$D$24:$O$40,DTR!T$4,FALSE)),0)</f>
        <v>0</v>
      </c>
      <c r="U578" s="239">
        <f>IFERROR((HLOOKUP($AH578,Target_monthwise!$D$24:$O$40,DTR!U$4,FALSE)),0)</f>
        <v>0</v>
      </c>
      <c r="V578" s="239">
        <f>IFERROR((HLOOKUP($AH578,Target_monthwise!$D$24:$O$40,DTR!V$4,FALSE)),0)</f>
        <v>0</v>
      </c>
      <c r="W578" s="239">
        <f>IFERROR((HLOOKUP($AH578,Target_monthwise!$D$24:$O$40,DTR!W$4,FALSE)),0)</f>
        <v>0</v>
      </c>
      <c r="X578" s="239">
        <f>IFERROR((HLOOKUP($AH578,Target_monthwise!$D$24:$O$40,DTR!X$4,FALSE)),0)</f>
        <v>0</v>
      </c>
      <c r="Y578" s="239">
        <f>IFERROR((HLOOKUP($AH578,Target_monthwise!$D$24:$O$40,DTR!Y$4,FALSE)),0)</f>
        <v>0</v>
      </c>
      <c r="Z578" s="147">
        <f>IFERROR((HLOOKUP($AH578,Target_monthwise!$D$24:$O$40,DTR!Z$4,FALSE)),0)</f>
        <v>0</v>
      </c>
      <c r="AA578" s="147">
        <f>IFERROR((HLOOKUP($AH578,Target_monthwise!$D$24:$O$40,DTR!AA$4,FALSE)),0)</f>
        <v>0</v>
      </c>
      <c r="AB578" s="147">
        <f>IFERROR((HLOOKUP($AH578,Target_monthwise!$D$24:$O$40,DTR!AB$4,FALSE)),0)</f>
        <v>0</v>
      </c>
      <c r="AC578" s="239">
        <f>IFERROR((HLOOKUP($AH578,Target_monthwise!$D$24:$O$40,DTR!AC$4,FALSE)),0)</f>
        <v>0</v>
      </c>
      <c r="AD578" s="239">
        <f>IFERROR((HLOOKUP($AH578,Target_monthwise!$D$24:$O$40,DTR!AD$4,FALSE)),0)</f>
        <v>0</v>
      </c>
      <c r="AE578" s="239">
        <f>IFERROR((HLOOKUP($AH578,Target_monthwise!$D$24:$O$40,DTR!AE$4,FALSE)),0)</f>
        <v>0</v>
      </c>
      <c r="AF578" s="239">
        <f>IFERROR((HLOOKUP($AH578,Target_monthwise!$D$24:$O$40,DTR!AF$4,FALSE)),0)</f>
        <v>0</v>
      </c>
      <c r="AG578" s="172">
        <f>IFERROR((HLOOKUP($AH578,Target_monthwise!$D$24:$O$40,DTR!AG$4,FALSE)),0)</f>
        <v>0</v>
      </c>
      <c r="AH578" s="253">
        <f t="shared" si="11"/>
        <v>202310</v>
      </c>
    </row>
    <row r="579" spans="3:34" ht="15.75" hidden="1">
      <c r="C579" s="235">
        <v>45222</v>
      </c>
      <c r="D579" s="141">
        <f>IFERROR((HLOOKUP($AH579,Target_monthwise!$D$4:$O$20,DTR!D$4,FALSE))*1000,0)</f>
        <v>0</v>
      </c>
      <c r="E579" s="141">
        <f>IFERROR((HLOOKUP($AH579,Target_monthwise!$D$4:$O$20,DTR!E$4,FALSE))*1000,0)</f>
        <v>0</v>
      </c>
      <c r="F579" s="141">
        <f>IFERROR((HLOOKUP($AH579,Target_monthwise!$D$4:$O$20,DTR!F$4,FALSE))*1000,0)</f>
        <v>0</v>
      </c>
      <c r="G579" s="141">
        <f>IFERROR((HLOOKUP($AH579,Target_monthwise!$D$4:$O$20,DTR!G$4,FALSE))*1000,0)</f>
        <v>0</v>
      </c>
      <c r="H579" s="141">
        <f>IFERROR((HLOOKUP($AH579,Target_monthwise!$D$4:$O$20,DTR!H$4,FALSE))*1000,0)</f>
        <v>0</v>
      </c>
      <c r="I579" s="141">
        <f>IFERROR((HLOOKUP($AH579,Target_monthwise!$D$4:$O$20,DTR!I$4,FALSE))*1000,0)</f>
        <v>0</v>
      </c>
      <c r="J579" s="141">
        <f>IFERROR((HLOOKUP($AH579,Target_monthwise!$D$4:$O$20,DTR!J$4,FALSE))*1000,0)</f>
        <v>0</v>
      </c>
      <c r="K579" s="141">
        <f>IFERROR((HLOOKUP($AH579,Target_monthwise!$D$4:$O$20,DTR!K$4,FALSE))*1000,0)</f>
        <v>0</v>
      </c>
      <c r="L579" s="141">
        <f>IFERROR((HLOOKUP($AH579,Target_monthwise!$D$4:$O$20,DTR!L$4,FALSE))*1000,0)</f>
        <v>0</v>
      </c>
      <c r="M579" s="141">
        <f>IFERROR((HLOOKUP($AH579,Target_monthwise!$D$4:$O$20,DTR!M$4,FALSE))*1000,0)</f>
        <v>0</v>
      </c>
      <c r="N579" s="141">
        <f>IFERROR((HLOOKUP($AH579,Target_monthwise!$D$4:$O$20,DTR!N$4,FALSE))*1000,0)</f>
        <v>0</v>
      </c>
      <c r="O579" s="141">
        <f>IFERROR((HLOOKUP($AH579,Target_monthwise!$D$4:$O$20,DTR!O$4,FALSE))*1000,0)</f>
        <v>0</v>
      </c>
      <c r="P579" s="141">
        <f>IFERROR((HLOOKUP($AH579,Target_monthwise!$D$4:$O$20,DTR!P$4,FALSE))*1000,0)</f>
        <v>0</v>
      </c>
      <c r="Q579" s="141">
        <f>IFERROR((HLOOKUP($AH579,Target_monthwise!$D$4:$O$20,DTR!Q$4,FALSE))*1000,0)</f>
        <v>0</v>
      </c>
      <c r="R579" s="167">
        <f>IFERROR((HLOOKUP($AH579,Target_monthwise!$D$4:$O$20,DTR!R$4,FALSE))*1000,0)</f>
        <v>0</v>
      </c>
      <c r="S579" s="147">
        <f>IFERROR((HLOOKUP($AH579,Target_monthwise!$D$24:$O$40,DTR!S$4,FALSE)),0)</f>
        <v>0</v>
      </c>
      <c r="T579" s="147">
        <f>IFERROR((HLOOKUP($AH579,Target_monthwise!$D$24:$O$40,DTR!T$4,FALSE)),0)</f>
        <v>0</v>
      </c>
      <c r="U579" s="147">
        <f>IFERROR((HLOOKUP($AH579,Target_monthwise!$D$24:$O$40,DTR!U$4,FALSE)),0)</f>
        <v>0</v>
      </c>
      <c r="V579" s="147">
        <f>IFERROR((HLOOKUP($AH579,Target_monthwise!$D$24:$O$40,DTR!V$4,FALSE)),0)</f>
        <v>0</v>
      </c>
      <c r="W579" s="147">
        <f>IFERROR((HLOOKUP($AH579,Target_monthwise!$D$24:$O$40,DTR!W$4,FALSE)),0)</f>
        <v>0</v>
      </c>
      <c r="X579" s="147">
        <f>IFERROR((HLOOKUP($AH579,Target_monthwise!$D$24:$O$40,DTR!X$4,FALSE)),0)</f>
        <v>0</v>
      </c>
      <c r="Y579" s="147">
        <f>IFERROR((HLOOKUP($AH579,Target_monthwise!$D$24:$O$40,DTR!Y$4,FALSE)),0)</f>
        <v>0</v>
      </c>
      <c r="Z579" s="147">
        <f>IFERROR((HLOOKUP($AH579,Target_monthwise!$D$24:$O$40,DTR!Z$4,FALSE)),0)</f>
        <v>0</v>
      </c>
      <c r="AA579" s="147">
        <f>IFERROR((HLOOKUP($AH579,Target_monthwise!$D$24:$O$40,DTR!AA$4,FALSE)),0)</f>
        <v>0</v>
      </c>
      <c r="AB579" s="147">
        <f>IFERROR((HLOOKUP($AH579,Target_monthwise!$D$24:$O$40,DTR!AB$4,FALSE)),0)</f>
        <v>0</v>
      </c>
      <c r="AC579" s="147">
        <f>IFERROR((HLOOKUP($AH579,Target_monthwise!$D$24:$O$40,DTR!AC$4,FALSE)),0)</f>
        <v>0</v>
      </c>
      <c r="AD579" s="147">
        <f>IFERROR((HLOOKUP($AH579,Target_monthwise!$D$24:$O$40,DTR!AD$4,FALSE)),0)</f>
        <v>0</v>
      </c>
      <c r="AE579" s="147">
        <f>IFERROR((HLOOKUP($AH579,Target_monthwise!$D$24:$O$40,DTR!AE$4,FALSE)),0)</f>
        <v>0</v>
      </c>
      <c r="AF579" s="147">
        <f>IFERROR((HLOOKUP($AH579,Target_monthwise!$D$24:$O$40,DTR!AF$4,FALSE)),0)</f>
        <v>0</v>
      </c>
      <c r="AG579" s="172">
        <f>IFERROR((HLOOKUP($AH579,Target_monthwise!$D$24:$O$40,DTR!AG$4,FALSE)),0)</f>
        <v>0</v>
      </c>
      <c r="AH579" s="253">
        <f t="shared" si="11"/>
        <v>202310</v>
      </c>
    </row>
    <row r="580" spans="3:34" ht="15.75" hidden="1">
      <c r="C580" s="237">
        <v>45223</v>
      </c>
      <c r="D580" s="238">
        <f>IFERROR((HLOOKUP($AH580,Target_monthwise!$D$4:$O$20,DTR!D$4,FALSE))*1000,0)</f>
        <v>0</v>
      </c>
      <c r="E580" s="238">
        <f>IFERROR((HLOOKUP($AH580,Target_monthwise!$D$4:$O$20,DTR!E$4,FALSE))*1000,0)</f>
        <v>0</v>
      </c>
      <c r="F580" s="238">
        <f>IFERROR((HLOOKUP($AH580,Target_monthwise!$D$4:$O$20,DTR!F$4,FALSE))*1000,0)</f>
        <v>0</v>
      </c>
      <c r="G580" s="238">
        <f>IFERROR((HLOOKUP($AH580,Target_monthwise!$D$4:$O$20,DTR!G$4,FALSE))*1000,0)</f>
        <v>0</v>
      </c>
      <c r="H580" s="238">
        <f>IFERROR((HLOOKUP($AH580,Target_monthwise!$D$4:$O$20,DTR!H$4,FALSE))*1000,0)</f>
        <v>0</v>
      </c>
      <c r="I580" s="238">
        <f>IFERROR((HLOOKUP($AH580,Target_monthwise!$D$4:$O$20,DTR!I$4,FALSE))*1000,0)</f>
        <v>0</v>
      </c>
      <c r="J580" s="238">
        <f>IFERROR((HLOOKUP($AH580,Target_monthwise!$D$4:$O$20,DTR!J$4,FALSE))*1000,0)</f>
        <v>0</v>
      </c>
      <c r="K580" s="238">
        <f>IFERROR((HLOOKUP($AH580,Target_monthwise!$D$4:$O$20,DTR!K$4,FALSE))*1000,0)</f>
        <v>0</v>
      </c>
      <c r="L580" s="238">
        <f>IFERROR((HLOOKUP($AH580,Target_monthwise!$D$4:$O$20,DTR!L$4,FALSE))*1000,0)</f>
        <v>0</v>
      </c>
      <c r="M580" s="238">
        <f>IFERROR((HLOOKUP($AH580,Target_monthwise!$D$4:$O$20,DTR!M$4,FALSE))*1000,0)</f>
        <v>0</v>
      </c>
      <c r="N580" s="238">
        <f>IFERROR((HLOOKUP($AH580,Target_monthwise!$D$4:$O$20,DTR!N$4,FALSE))*1000,0)</f>
        <v>0</v>
      </c>
      <c r="O580" s="238">
        <f>IFERROR((HLOOKUP($AH580,Target_monthwise!$D$4:$O$20,DTR!O$4,FALSE))*1000,0)</f>
        <v>0</v>
      </c>
      <c r="P580" s="238">
        <f>IFERROR((HLOOKUP($AH580,Target_monthwise!$D$4:$O$20,DTR!P$4,FALSE))*1000,0)</f>
        <v>0</v>
      </c>
      <c r="Q580" s="141">
        <f>IFERROR((HLOOKUP($AH580,Target_monthwise!$D$4:$O$20,DTR!Q$4,FALSE))*1000,0)</f>
        <v>0</v>
      </c>
      <c r="R580" s="167">
        <f>IFERROR((HLOOKUP($AH580,Target_monthwise!$D$4:$O$20,DTR!R$4,FALSE))*1000,0)</f>
        <v>0</v>
      </c>
      <c r="S580" s="239">
        <f>IFERROR((HLOOKUP($AH580,Target_monthwise!$D$24:$O$40,DTR!S$4,FALSE)),0)</f>
        <v>0</v>
      </c>
      <c r="T580" s="239">
        <f>IFERROR((HLOOKUP($AH580,Target_monthwise!$D$24:$O$40,DTR!T$4,FALSE)),0)</f>
        <v>0</v>
      </c>
      <c r="U580" s="239">
        <f>IFERROR((HLOOKUP($AH580,Target_monthwise!$D$24:$O$40,DTR!U$4,FALSE)),0)</f>
        <v>0</v>
      </c>
      <c r="V580" s="239">
        <f>IFERROR((HLOOKUP($AH580,Target_monthwise!$D$24:$O$40,DTR!V$4,FALSE)),0)</f>
        <v>0</v>
      </c>
      <c r="W580" s="239">
        <f>IFERROR((HLOOKUP($AH580,Target_monthwise!$D$24:$O$40,DTR!W$4,FALSE)),0)</f>
        <v>0</v>
      </c>
      <c r="X580" s="239">
        <f>IFERROR((HLOOKUP($AH580,Target_monthwise!$D$24:$O$40,DTR!X$4,FALSE)),0)</f>
        <v>0</v>
      </c>
      <c r="Y580" s="239">
        <f>IFERROR((HLOOKUP($AH580,Target_monthwise!$D$24:$O$40,DTR!Y$4,FALSE)),0)</f>
        <v>0</v>
      </c>
      <c r="Z580" s="147">
        <f>IFERROR((HLOOKUP($AH580,Target_monthwise!$D$24:$O$40,DTR!Z$4,FALSE)),0)</f>
        <v>0</v>
      </c>
      <c r="AA580" s="147">
        <f>IFERROR((HLOOKUP($AH580,Target_monthwise!$D$24:$O$40,DTR!AA$4,FALSE)),0)</f>
        <v>0</v>
      </c>
      <c r="AB580" s="147">
        <f>IFERROR((HLOOKUP($AH580,Target_monthwise!$D$24:$O$40,DTR!AB$4,FALSE)),0)</f>
        <v>0</v>
      </c>
      <c r="AC580" s="239">
        <f>IFERROR((HLOOKUP($AH580,Target_monthwise!$D$24:$O$40,DTR!AC$4,FALSE)),0)</f>
        <v>0</v>
      </c>
      <c r="AD580" s="239">
        <f>IFERROR((HLOOKUP($AH580,Target_monthwise!$D$24:$O$40,DTR!AD$4,FALSE)),0)</f>
        <v>0</v>
      </c>
      <c r="AE580" s="239">
        <f>IFERROR((HLOOKUP($AH580,Target_monthwise!$D$24:$O$40,DTR!AE$4,FALSE)),0)</f>
        <v>0</v>
      </c>
      <c r="AF580" s="239">
        <f>IFERROR((HLOOKUP($AH580,Target_monthwise!$D$24:$O$40,DTR!AF$4,FALSE)),0)</f>
        <v>0</v>
      </c>
      <c r="AG580" s="172">
        <f>IFERROR((HLOOKUP($AH580,Target_monthwise!$D$24:$O$40,DTR!AG$4,FALSE)),0)</f>
        <v>0</v>
      </c>
      <c r="AH580" s="253">
        <f t="shared" si="11"/>
        <v>202310</v>
      </c>
    </row>
    <row r="581" spans="3:34" ht="15.75" hidden="1">
      <c r="C581" s="235">
        <v>45224</v>
      </c>
      <c r="D581" s="141">
        <f>IFERROR((HLOOKUP($AH581,Target_monthwise!$D$4:$O$20,DTR!D$4,FALSE))*1000,0)</f>
        <v>0</v>
      </c>
      <c r="E581" s="141">
        <f>IFERROR((HLOOKUP($AH581,Target_monthwise!$D$4:$O$20,DTR!E$4,FALSE))*1000,0)</f>
        <v>0</v>
      </c>
      <c r="F581" s="141">
        <f>IFERROR((HLOOKUP($AH581,Target_monthwise!$D$4:$O$20,DTR!F$4,FALSE))*1000,0)</f>
        <v>0</v>
      </c>
      <c r="G581" s="141">
        <f>IFERROR((HLOOKUP($AH581,Target_monthwise!$D$4:$O$20,DTR!G$4,FALSE))*1000,0)</f>
        <v>0</v>
      </c>
      <c r="H581" s="141">
        <f>IFERROR((HLOOKUP($AH581,Target_monthwise!$D$4:$O$20,DTR!H$4,FALSE))*1000,0)</f>
        <v>0</v>
      </c>
      <c r="I581" s="141">
        <f>IFERROR((HLOOKUP($AH581,Target_monthwise!$D$4:$O$20,DTR!I$4,FALSE))*1000,0)</f>
        <v>0</v>
      </c>
      <c r="J581" s="141">
        <f>IFERROR((HLOOKUP($AH581,Target_monthwise!$D$4:$O$20,DTR!J$4,FALSE))*1000,0)</f>
        <v>0</v>
      </c>
      <c r="K581" s="141">
        <f>IFERROR((HLOOKUP($AH581,Target_monthwise!$D$4:$O$20,DTR!K$4,FALSE))*1000,0)</f>
        <v>0</v>
      </c>
      <c r="L581" s="141">
        <f>IFERROR((HLOOKUP($AH581,Target_monthwise!$D$4:$O$20,DTR!L$4,FALSE))*1000,0)</f>
        <v>0</v>
      </c>
      <c r="M581" s="141">
        <f>IFERROR((HLOOKUP($AH581,Target_monthwise!$D$4:$O$20,DTR!M$4,FALSE))*1000,0)</f>
        <v>0</v>
      </c>
      <c r="N581" s="141">
        <f>IFERROR((HLOOKUP($AH581,Target_monthwise!$D$4:$O$20,DTR!N$4,FALSE))*1000,0)</f>
        <v>0</v>
      </c>
      <c r="O581" s="141">
        <f>IFERROR((HLOOKUP($AH581,Target_monthwise!$D$4:$O$20,DTR!O$4,FALSE))*1000,0)</f>
        <v>0</v>
      </c>
      <c r="P581" s="141">
        <f>IFERROR((HLOOKUP($AH581,Target_monthwise!$D$4:$O$20,DTR!P$4,FALSE))*1000,0)</f>
        <v>0</v>
      </c>
      <c r="Q581" s="141">
        <f>IFERROR((HLOOKUP($AH581,Target_monthwise!$D$4:$O$20,DTR!Q$4,FALSE))*1000,0)</f>
        <v>0</v>
      </c>
      <c r="R581" s="167">
        <f>IFERROR((HLOOKUP($AH581,Target_monthwise!$D$4:$O$20,DTR!R$4,FALSE))*1000,0)</f>
        <v>0</v>
      </c>
      <c r="S581" s="147">
        <f>IFERROR((HLOOKUP($AH581,Target_monthwise!$D$24:$O$40,DTR!S$4,FALSE)),0)</f>
        <v>0</v>
      </c>
      <c r="T581" s="147">
        <f>IFERROR((HLOOKUP($AH581,Target_monthwise!$D$24:$O$40,DTR!T$4,FALSE)),0)</f>
        <v>0</v>
      </c>
      <c r="U581" s="147">
        <f>IFERROR((HLOOKUP($AH581,Target_monthwise!$D$24:$O$40,DTR!U$4,FALSE)),0)</f>
        <v>0</v>
      </c>
      <c r="V581" s="147">
        <f>IFERROR((HLOOKUP($AH581,Target_monthwise!$D$24:$O$40,DTR!V$4,FALSE)),0)</f>
        <v>0</v>
      </c>
      <c r="W581" s="147">
        <f>IFERROR((HLOOKUP($AH581,Target_monthwise!$D$24:$O$40,DTR!W$4,FALSE)),0)</f>
        <v>0</v>
      </c>
      <c r="X581" s="147">
        <f>IFERROR((HLOOKUP($AH581,Target_monthwise!$D$24:$O$40,DTR!X$4,FALSE)),0)</f>
        <v>0</v>
      </c>
      <c r="Y581" s="147">
        <f>IFERROR((HLOOKUP($AH581,Target_monthwise!$D$24:$O$40,DTR!Y$4,FALSE)),0)</f>
        <v>0</v>
      </c>
      <c r="Z581" s="147">
        <f>IFERROR((HLOOKUP($AH581,Target_monthwise!$D$24:$O$40,DTR!Z$4,FALSE)),0)</f>
        <v>0</v>
      </c>
      <c r="AA581" s="147">
        <f>IFERROR((HLOOKUP($AH581,Target_monthwise!$D$24:$O$40,DTR!AA$4,FALSE)),0)</f>
        <v>0</v>
      </c>
      <c r="AB581" s="147">
        <f>IFERROR((HLOOKUP($AH581,Target_monthwise!$D$24:$O$40,DTR!AB$4,FALSE)),0)</f>
        <v>0</v>
      </c>
      <c r="AC581" s="147">
        <f>IFERROR((HLOOKUP($AH581,Target_monthwise!$D$24:$O$40,DTR!AC$4,FALSE)),0)</f>
        <v>0</v>
      </c>
      <c r="AD581" s="147">
        <f>IFERROR((HLOOKUP($AH581,Target_monthwise!$D$24:$O$40,DTR!AD$4,FALSE)),0)</f>
        <v>0</v>
      </c>
      <c r="AE581" s="147">
        <f>IFERROR((HLOOKUP($AH581,Target_monthwise!$D$24:$O$40,DTR!AE$4,FALSE)),0)</f>
        <v>0</v>
      </c>
      <c r="AF581" s="147">
        <f>IFERROR((HLOOKUP($AH581,Target_monthwise!$D$24:$O$40,DTR!AF$4,FALSE)),0)</f>
        <v>0</v>
      </c>
      <c r="AG581" s="172">
        <f>IFERROR((HLOOKUP($AH581,Target_monthwise!$D$24:$O$40,DTR!AG$4,FALSE)),0)</f>
        <v>0</v>
      </c>
      <c r="AH581" s="253">
        <f t="shared" si="11"/>
        <v>202310</v>
      </c>
    </row>
    <row r="582" spans="3:34" ht="15.75" hidden="1">
      <c r="C582" s="237">
        <v>45225</v>
      </c>
      <c r="D582" s="238">
        <f>IFERROR((HLOOKUP($AH582,Target_monthwise!$D$4:$O$20,DTR!D$4,FALSE))*1000,0)</f>
        <v>0</v>
      </c>
      <c r="E582" s="238">
        <f>IFERROR((HLOOKUP($AH582,Target_monthwise!$D$4:$O$20,DTR!E$4,FALSE))*1000,0)</f>
        <v>0</v>
      </c>
      <c r="F582" s="238">
        <f>IFERROR((HLOOKUP($AH582,Target_monthwise!$D$4:$O$20,DTR!F$4,FALSE))*1000,0)</f>
        <v>0</v>
      </c>
      <c r="G582" s="238">
        <f>IFERROR((HLOOKUP($AH582,Target_monthwise!$D$4:$O$20,DTR!G$4,FALSE))*1000,0)</f>
        <v>0</v>
      </c>
      <c r="H582" s="238">
        <f>IFERROR((HLOOKUP($AH582,Target_monthwise!$D$4:$O$20,DTR!H$4,FALSE))*1000,0)</f>
        <v>0</v>
      </c>
      <c r="I582" s="238">
        <f>IFERROR((HLOOKUP($AH582,Target_monthwise!$D$4:$O$20,DTR!I$4,FALSE))*1000,0)</f>
        <v>0</v>
      </c>
      <c r="J582" s="238">
        <f>IFERROR((HLOOKUP($AH582,Target_monthwise!$D$4:$O$20,DTR!J$4,FALSE))*1000,0)</f>
        <v>0</v>
      </c>
      <c r="K582" s="238">
        <f>IFERROR((HLOOKUP($AH582,Target_monthwise!$D$4:$O$20,DTR!K$4,FALSE))*1000,0)</f>
        <v>0</v>
      </c>
      <c r="L582" s="238">
        <f>IFERROR((HLOOKUP($AH582,Target_monthwise!$D$4:$O$20,DTR!L$4,FALSE))*1000,0)</f>
        <v>0</v>
      </c>
      <c r="M582" s="238">
        <f>IFERROR((HLOOKUP($AH582,Target_monthwise!$D$4:$O$20,DTR!M$4,FALSE))*1000,0)</f>
        <v>0</v>
      </c>
      <c r="N582" s="238">
        <f>IFERROR((HLOOKUP($AH582,Target_monthwise!$D$4:$O$20,DTR!N$4,FALSE))*1000,0)</f>
        <v>0</v>
      </c>
      <c r="O582" s="238">
        <f>IFERROR((HLOOKUP($AH582,Target_monthwise!$D$4:$O$20,DTR!O$4,FALSE))*1000,0)</f>
        <v>0</v>
      </c>
      <c r="P582" s="238">
        <f>IFERROR((HLOOKUP($AH582,Target_monthwise!$D$4:$O$20,DTR!P$4,FALSE))*1000,0)</f>
        <v>0</v>
      </c>
      <c r="Q582" s="141">
        <f>IFERROR((HLOOKUP($AH582,Target_monthwise!$D$4:$O$20,DTR!Q$4,FALSE))*1000,0)</f>
        <v>0</v>
      </c>
      <c r="R582" s="167">
        <f>IFERROR((HLOOKUP($AH582,Target_monthwise!$D$4:$O$20,DTR!R$4,FALSE))*1000,0)</f>
        <v>0</v>
      </c>
      <c r="S582" s="239">
        <f>IFERROR((HLOOKUP($AH582,Target_monthwise!$D$24:$O$40,DTR!S$4,FALSE)),0)</f>
        <v>0</v>
      </c>
      <c r="T582" s="239">
        <f>IFERROR((HLOOKUP($AH582,Target_monthwise!$D$24:$O$40,DTR!T$4,FALSE)),0)</f>
        <v>0</v>
      </c>
      <c r="U582" s="239">
        <f>IFERROR((HLOOKUP($AH582,Target_monthwise!$D$24:$O$40,DTR!U$4,FALSE)),0)</f>
        <v>0</v>
      </c>
      <c r="V582" s="239">
        <f>IFERROR((HLOOKUP($AH582,Target_monthwise!$D$24:$O$40,DTR!V$4,FALSE)),0)</f>
        <v>0</v>
      </c>
      <c r="W582" s="239">
        <f>IFERROR((HLOOKUP($AH582,Target_monthwise!$D$24:$O$40,DTR!W$4,FALSE)),0)</f>
        <v>0</v>
      </c>
      <c r="X582" s="239">
        <f>IFERROR((HLOOKUP($AH582,Target_monthwise!$D$24:$O$40,DTR!X$4,FALSE)),0)</f>
        <v>0</v>
      </c>
      <c r="Y582" s="239">
        <f>IFERROR((HLOOKUP($AH582,Target_monthwise!$D$24:$O$40,DTR!Y$4,FALSE)),0)</f>
        <v>0</v>
      </c>
      <c r="Z582" s="147">
        <f>IFERROR((HLOOKUP($AH582,Target_monthwise!$D$24:$O$40,DTR!Z$4,FALSE)),0)</f>
        <v>0</v>
      </c>
      <c r="AA582" s="147">
        <f>IFERROR((HLOOKUP($AH582,Target_monthwise!$D$24:$O$40,DTR!AA$4,FALSE)),0)</f>
        <v>0</v>
      </c>
      <c r="AB582" s="147">
        <f>IFERROR((HLOOKUP($AH582,Target_monthwise!$D$24:$O$40,DTR!AB$4,FALSE)),0)</f>
        <v>0</v>
      </c>
      <c r="AC582" s="239">
        <f>IFERROR((HLOOKUP($AH582,Target_monthwise!$D$24:$O$40,DTR!AC$4,FALSE)),0)</f>
        <v>0</v>
      </c>
      <c r="AD582" s="239">
        <f>IFERROR((HLOOKUP($AH582,Target_monthwise!$D$24:$O$40,DTR!AD$4,FALSE)),0)</f>
        <v>0</v>
      </c>
      <c r="AE582" s="239">
        <f>IFERROR((HLOOKUP($AH582,Target_monthwise!$D$24:$O$40,DTR!AE$4,FALSE)),0)</f>
        <v>0</v>
      </c>
      <c r="AF582" s="239">
        <f>IFERROR((HLOOKUP($AH582,Target_monthwise!$D$24:$O$40,DTR!AF$4,FALSE)),0)</f>
        <v>0</v>
      </c>
      <c r="AG582" s="172">
        <f>IFERROR((HLOOKUP($AH582,Target_monthwise!$D$24:$O$40,DTR!AG$4,FALSE)),0)</f>
        <v>0</v>
      </c>
      <c r="AH582" s="253">
        <f t="shared" si="11"/>
        <v>202310</v>
      </c>
    </row>
    <row r="583" spans="3:34" ht="15.75" hidden="1">
      <c r="C583" s="235">
        <v>45226</v>
      </c>
      <c r="D583" s="141">
        <f>IFERROR((HLOOKUP($AH583,Target_monthwise!$D$4:$O$20,DTR!D$4,FALSE))*1000,0)</f>
        <v>0</v>
      </c>
      <c r="E583" s="141">
        <f>IFERROR((HLOOKUP($AH583,Target_monthwise!$D$4:$O$20,DTR!E$4,FALSE))*1000,0)</f>
        <v>0</v>
      </c>
      <c r="F583" s="141">
        <f>IFERROR((HLOOKUP($AH583,Target_monthwise!$D$4:$O$20,DTR!F$4,FALSE))*1000,0)</f>
        <v>0</v>
      </c>
      <c r="G583" s="141">
        <f>IFERROR((HLOOKUP($AH583,Target_monthwise!$D$4:$O$20,DTR!G$4,FALSE))*1000,0)</f>
        <v>0</v>
      </c>
      <c r="H583" s="141">
        <f>IFERROR((HLOOKUP($AH583,Target_monthwise!$D$4:$O$20,DTR!H$4,FALSE))*1000,0)</f>
        <v>0</v>
      </c>
      <c r="I583" s="141">
        <f>IFERROR((HLOOKUP($AH583,Target_monthwise!$D$4:$O$20,DTR!I$4,FALSE))*1000,0)</f>
        <v>0</v>
      </c>
      <c r="J583" s="141">
        <f>IFERROR((HLOOKUP($AH583,Target_monthwise!$D$4:$O$20,DTR!J$4,FALSE))*1000,0)</f>
        <v>0</v>
      </c>
      <c r="K583" s="141">
        <f>IFERROR((HLOOKUP($AH583,Target_monthwise!$D$4:$O$20,DTR!K$4,FALSE))*1000,0)</f>
        <v>0</v>
      </c>
      <c r="L583" s="141">
        <f>IFERROR((HLOOKUP($AH583,Target_monthwise!$D$4:$O$20,DTR!L$4,FALSE))*1000,0)</f>
        <v>0</v>
      </c>
      <c r="M583" s="141">
        <f>IFERROR((HLOOKUP($AH583,Target_monthwise!$D$4:$O$20,DTR!M$4,FALSE))*1000,0)</f>
        <v>0</v>
      </c>
      <c r="N583" s="141">
        <f>IFERROR((HLOOKUP($AH583,Target_monthwise!$D$4:$O$20,DTR!N$4,FALSE))*1000,0)</f>
        <v>0</v>
      </c>
      <c r="O583" s="141">
        <f>IFERROR((HLOOKUP($AH583,Target_monthwise!$D$4:$O$20,DTR!O$4,FALSE))*1000,0)</f>
        <v>0</v>
      </c>
      <c r="P583" s="141">
        <f>IFERROR((HLOOKUP($AH583,Target_monthwise!$D$4:$O$20,DTR!P$4,FALSE))*1000,0)</f>
        <v>0</v>
      </c>
      <c r="Q583" s="141">
        <f>IFERROR((HLOOKUP($AH583,Target_monthwise!$D$4:$O$20,DTR!Q$4,FALSE))*1000,0)</f>
        <v>0</v>
      </c>
      <c r="R583" s="167">
        <f>IFERROR((HLOOKUP($AH583,Target_monthwise!$D$4:$O$20,DTR!R$4,FALSE))*1000,0)</f>
        <v>0</v>
      </c>
      <c r="S583" s="147">
        <f>IFERROR((HLOOKUP($AH583,Target_monthwise!$D$24:$O$40,DTR!S$4,FALSE)),0)</f>
        <v>0</v>
      </c>
      <c r="T583" s="147">
        <f>IFERROR((HLOOKUP($AH583,Target_monthwise!$D$24:$O$40,DTR!T$4,FALSE)),0)</f>
        <v>0</v>
      </c>
      <c r="U583" s="147">
        <f>IFERROR((HLOOKUP($AH583,Target_monthwise!$D$24:$O$40,DTR!U$4,FALSE)),0)</f>
        <v>0</v>
      </c>
      <c r="V583" s="147">
        <f>IFERROR((HLOOKUP($AH583,Target_monthwise!$D$24:$O$40,DTR!V$4,FALSE)),0)</f>
        <v>0</v>
      </c>
      <c r="W583" s="147">
        <f>IFERROR((HLOOKUP($AH583,Target_monthwise!$D$24:$O$40,DTR!W$4,FALSE)),0)</f>
        <v>0</v>
      </c>
      <c r="X583" s="147">
        <f>IFERROR((HLOOKUP($AH583,Target_monthwise!$D$24:$O$40,DTR!X$4,FALSE)),0)</f>
        <v>0</v>
      </c>
      <c r="Y583" s="147">
        <f>IFERROR((HLOOKUP($AH583,Target_monthwise!$D$24:$O$40,DTR!Y$4,FALSE)),0)</f>
        <v>0</v>
      </c>
      <c r="Z583" s="147">
        <f>IFERROR((HLOOKUP($AH583,Target_monthwise!$D$24:$O$40,DTR!Z$4,FALSE)),0)</f>
        <v>0</v>
      </c>
      <c r="AA583" s="147">
        <f>IFERROR((HLOOKUP($AH583,Target_monthwise!$D$24:$O$40,DTR!AA$4,FALSE)),0)</f>
        <v>0</v>
      </c>
      <c r="AB583" s="147">
        <f>IFERROR((HLOOKUP($AH583,Target_monthwise!$D$24:$O$40,DTR!AB$4,FALSE)),0)</f>
        <v>0</v>
      </c>
      <c r="AC583" s="147">
        <f>IFERROR((HLOOKUP($AH583,Target_monthwise!$D$24:$O$40,DTR!AC$4,FALSE)),0)</f>
        <v>0</v>
      </c>
      <c r="AD583" s="147">
        <f>IFERROR((HLOOKUP($AH583,Target_monthwise!$D$24:$O$40,DTR!AD$4,FALSE)),0)</f>
        <v>0</v>
      </c>
      <c r="AE583" s="147">
        <f>IFERROR((HLOOKUP($AH583,Target_monthwise!$D$24:$O$40,DTR!AE$4,FALSE)),0)</f>
        <v>0</v>
      </c>
      <c r="AF583" s="147">
        <f>IFERROR((HLOOKUP($AH583,Target_monthwise!$D$24:$O$40,DTR!AF$4,FALSE)),0)</f>
        <v>0</v>
      </c>
      <c r="AG583" s="172">
        <f>IFERROR((HLOOKUP($AH583,Target_monthwise!$D$24:$O$40,DTR!AG$4,FALSE)),0)</f>
        <v>0</v>
      </c>
      <c r="AH583" s="253">
        <f t="shared" si="11"/>
        <v>202310</v>
      </c>
    </row>
    <row r="584" spans="3:34" ht="15.75" hidden="1">
      <c r="C584" s="237">
        <v>45227</v>
      </c>
      <c r="D584" s="238">
        <f>IFERROR((HLOOKUP($AH584,Target_monthwise!$D$4:$O$20,DTR!D$4,FALSE))*1000,0)</f>
        <v>0</v>
      </c>
      <c r="E584" s="238">
        <f>IFERROR((HLOOKUP($AH584,Target_monthwise!$D$4:$O$20,DTR!E$4,FALSE))*1000,0)</f>
        <v>0</v>
      </c>
      <c r="F584" s="238">
        <f>IFERROR((HLOOKUP($AH584,Target_monthwise!$D$4:$O$20,DTR!F$4,FALSE))*1000,0)</f>
        <v>0</v>
      </c>
      <c r="G584" s="238">
        <f>IFERROR((HLOOKUP($AH584,Target_monthwise!$D$4:$O$20,DTR!G$4,FALSE))*1000,0)</f>
        <v>0</v>
      </c>
      <c r="H584" s="238">
        <f>IFERROR((HLOOKUP($AH584,Target_monthwise!$D$4:$O$20,DTR!H$4,FALSE))*1000,0)</f>
        <v>0</v>
      </c>
      <c r="I584" s="238">
        <f>IFERROR((HLOOKUP($AH584,Target_monthwise!$D$4:$O$20,DTR!I$4,FALSE))*1000,0)</f>
        <v>0</v>
      </c>
      <c r="J584" s="238">
        <f>IFERROR((HLOOKUP($AH584,Target_monthwise!$D$4:$O$20,DTR!J$4,FALSE))*1000,0)</f>
        <v>0</v>
      </c>
      <c r="K584" s="238">
        <f>IFERROR((HLOOKUP($AH584,Target_monthwise!$D$4:$O$20,DTR!K$4,FALSE))*1000,0)</f>
        <v>0</v>
      </c>
      <c r="L584" s="238">
        <f>IFERROR((HLOOKUP($AH584,Target_monthwise!$D$4:$O$20,DTR!L$4,FALSE))*1000,0)</f>
        <v>0</v>
      </c>
      <c r="M584" s="238">
        <f>IFERROR((HLOOKUP($AH584,Target_monthwise!$D$4:$O$20,DTR!M$4,FALSE))*1000,0)</f>
        <v>0</v>
      </c>
      <c r="N584" s="238">
        <f>IFERROR((HLOOKUP($AH584,Target_monthwise!$D$4:$O$20,DTR!N$4,FALSE))*1000,0)</f>
        <v>0</v>
      </c>
      <c r="O584" s="238">
        <f>IFERROR((HLOOKUP($AH584,Target_monthwise!$D$4:$O$20,DTR!O$4,FALSE))*1000,0)</f>
        <v>0</v>
      </c>
      <c r="P584" s="238">
        <f>IFERROR((HLOOKUP($AH584,Target_monthwise!$D$4:$O$20,DTR!P$4,FALSE))*1000,0)</f>
        <v>0</v>
      </c>
      <c r="Q584" s="141">
        <f>IFERROR((HLOOKUP($AH584,Target_monthwise!$D$4:$O$20,DTR!Q$4,FALSE))*1000,0)</f>
        <v>0</v>
      </c>
      <c r="R584" s="167">
        <f>IFERROR((HLOOKUP($AH584,Target_monthwise!$D$4:$O$20,DTR!R$4,FALSE))*1000,0)</f>
        <v>0</v>
      </c>
      <c r="S584" s="239">
        <f>IFERROR((HLOOKUP($AH584,Target_monthwise!$D$24:$O$40,DTR!S$4,FALSE)),0)</f>
        <v>0</v>
      </c>
      <c r="T584" s="239">
        <f>IFERROR((HLOOKUP($AH584,Target_monthwise!$D$24:$O$40,DTR!T$4,FALSE)),0)</f>
        <v>0</v>
      </c>
      <c r="U584" s="239">
        <f>IFERROR((HLOOKUP($AH584,Target_monthwise!$D$24:$O$40,DTR!U$4,FALSE)),0)</f>
        <v>0</v>
      </c>
      <c r="V584" s="239">
        <f>IFERROR((HLOOKUP($AH584,Target_monthwise!$D$24:$O$40,DTR!V$4,FALSE)),0)</f>
        <v>0</v>
      </c>
      <c r="W584" s="239">
        <f>IFERROR((HLOOKUP($AH584,Target_monthwise!$D$24:$O$40,DTR!W$4,FALSE)),0)</f>
        <v>0</v>
      </c>
      <c r="X584" s="239">
        <f>IFERROR((HLOOKUP($AH584,Target_monthwise!$D$24:$O$40,DTR!X$4,FALSE)),0)</f>
        <v>0</v>
      </c>
      <c r="Y584" s="239">
        <f>IFERROR((HLOOKUP($AH584,Target_monthwise!$D$24:$O$40,DTR!Y$4,FALSE)),0)</f>
        <v>0</v>
      </c>
      <c r="Z584" s="147">
        <f>IFERROR((HLOOKUP($AH584,Target_monthwise!$D$24:$O$40,DTR!Z$4,FALSE)),0)</f>
        <v>0</v>
      </c>
      <c r="AA584" s="147">
        <f>IFERROR((HLOOKUP($AH584,Target_monthwise!$D$24:$O$40,DTR!AA$4,FALSE)),0)</f>
        <v>0</v>
      </c>
      <c r="AB584" s="147">
        <f>IFERROR((HLOOKUP($AH584,Target_monthwise!$D$24:$O$40,DTR!AB$4,FALSE)),0)</f>
        <v>0</v>
      </c>
      <c r="AC584" s="239">
        <f>IFERROR((HLOOKUP($AH584,Target_monthwise!$D$24:$O$40,DTR!AC$4,FALSE)),0)</f>
        <v>0</v>
      </c>
      <c r="AD584" s="239">
        <f>IFERROR((HLOOKUP($AH584,Target_monthwise!$D$24:$O$40,DTR!AD$4,FALSE)),0)</f>
        <v>0</v>
      </c>
      <c r="AE584" s="239">
        <f>IFERROR((HLOOKUP($AH584,Target_monthwise!$D$24:$O$40,DTR!AE$4,FALSE)),0)</f>
        <v>0</v>
      </c>
      <c r="AF584" s="239">
        <f>IFERROR((HLOOKUP($AH584,Target_monthwise!$D$24:$O$40,DTR!AF$4,FALSE)),0)</f>
        <v>0</v>
      </c>
      <c r="AG584" s="172">
        <f>IFERROR((HLOOKUP($AH584,Target_monthwise!$D$24:$O$40,DTR!AG$4,FALSE)),0)</f>
        <v>0</v>
      </c>
      <c r="AH584" s="253">
        <f t="shared" si="11"/>
        <v>202310</v>
      </c>
    </row>
    <row r="585" spans="3:34" ht="15.75" hidden="1">
      <c r="C585" s="235">
        <v>45228</v>
      </c>
      <c r="D585" s="141">
        <f>IFERROR((HLOOKUP($AH585,Target_monthwise!$D$4:$O$20,DTR!D$4,FALSE))*1000,0)</f>
        <v>0</v>
      </c>
      <c r="E585" s="141">
        <f>IFERROR((HLOOKUP($AH585,Target_monthwise!$D$4:$O$20,DTR!E$4,FALSE))*1000,0)</f>
        <v>0</v>
      </c>
      <c r="F585" s="141">
        <f>IFERROR((HLOOKUP($AH585,Target_monthwise!$D$4:$O$20,DTR!F$4,FALSE))*1000,0)</f>
        <v>0</v>
      </c>
      <c r="G585" s="141">
        <f>IFERROR((HLOOKUP($AH585,Target_monthwise!$D$4:$O$20,DTR!G$4,FALSE))*1000,0)</f>
        <v>0</v>
      </c>
      <c r="H585" s="141">
        <f>IFERROR((HLOOKUP($AH585,Target_monthwise!$D$4:$O$20,DTR!H$4,FALSE))*1000,0)</f>
        <v>0</v>
      </c>
      <c r="I585" s="141">
        <f>IFERROR((HLOOKUP($AH585,Target_monthwise!$D$4:$O$20,DTR!I$4,FALSE))*1000,0)</f>
        <v>0</v>
      </c>
      <c r="J585" s="141">
        <f>IFERROR((HLOOKUP($AH585,Target_monthwise!$D$4:$O$20,DTR!J$4,FALSE))*1000,0)</f>
        <v>0</v>
      </c>
      <c r="K585" s="141">
        <f>IFERROR((HLOOKUP($AH585,Target_monthwise!$D$4:$O$20,DTR!K$4,FALSE))*1000,0)</f>
        <v>0</v>
      </c>
      <c r="L585" s="141">
        <f>IFERROR((HLOOKUP($AH585,Target_monthwise!$D$4:$O$20,DTR!L$4,FALSE))*1000,0)</f>
        <v>0</v>
      </c>
      <c r="M585" s="141">
        <f>IFERROR((HLOOKUP($AH585,Target_monthwise!$D$4:$O$20,DTR!M$4,FALSE))*1000,0)</f>
        <v>0</v>
      </c>
      <c r="N585" s="141">
        <f>IFERROR((HLOOKUP($AH585,Target_monthwise!$D$4:$O$20,DTR!N$4,FALSE))*1000,0)</f>
        <v>0</v>
      </c>
      <c r="O585" s="141">
        <f>IFERROR((HLOOKUP($AH585,Target_monthwise!$D$4:$O$20,DTR!O$4,FALSE))*1000,0)</f>
        <v>0</v>
      </c>
      <c r="P585" s="141">
        <f>IFERROR((HLOOKUP($AH585,Target_monthwise!$D$4:$O$20,DTR!P$4,FALSE))*1000,0)</f>
        <v>0</v>
      </c>
      <c r="Q585" s="141">
        <f>IFERROR((HLOOKUP($AH585,Target_monthwise!$D$4:$O$20,DTR!Q$4,FALSE))*1000,0)</f>
        <v>0</v>
      </c>
      <c r="R585" s="167">
        <f>IFERROR((HLOOKUP($AH585,Target_monthwise!$D$4:$O$20,DTR!R$4,FALSE))*1000,0)</f>
        <v>0</v>
      </c>
      <c r="S585" s="147">
        <f>IFERROR((HLOOKUP($AH585,Target_monthwise!$D$24:$O$40,DTR!S$4,FALSE)),0)</f>
        <v>0</v>
      </c>
      <c r="T585" s="147">
        <f>IFERROR((HLOOKUP($AH585,Target_monthwise!$D$24:$O$40,DTR!T$4,FALSE)),0)</f>
        <v>0</v>
      </c>
      <c r="U585" s="147">
        <f>IFERROR((HLOOKUP($AH585,Target_monthwise!$D$24:$O$40,DTR!U$4,FALSE)),0)</f>
        <v>0</v>
      </c>
      <c r="V585" s="147">
        <f>IFERROR((HLOOKUP($AH585,Target_monthwise!$D$24:$O$40,DTR!V$4,FALSE)),0)</f>
        <v>0</v>
      </c>
      <c r="W585" s="147">
        <f>IFERROR((HLOOKUP($AH585,Target_monthwise!$D$24:$O$40,DTR!W$4,FALSE)),0)</f>
        <v>0</v>
      </c>
      <c r="X585" s="147">
        <f>IFERROR((HLOOKUP($AH585,Target_monthwise!$D$24:$O$40,DTR!X$4,FALSE)),0)</f>
        <v>0</v>
      </c>
      <c r="Y585" s="147">
        <f>IFERROR((HLOOKUP($AH585,Target_monthwise!$D$24:$O$40,DTR!Y$4,FALSE)),0)</f>
        <v>0</v>
      </c>
      <c r="Z585" s="147">
        <f>IFERROR((HLOOKUP($AH585,Target_monthwise!$D$24:$O$40,DTR!Z$4,FALSE)),0)</f>
        <v>0</v>
      </c>
      <c r="AA585" s="147">
        <f>IFERROR((HLOOKUP($AH585,Target_monthwise!$D$24:$O$40,DTR!AA$4,FALSE)),0)</f>
        <v>0</v>
      </c>
      <c r="AB585" s="147">
        <f>IFERROR((HLOOKUP($AH585,Target_monthwise!$D$24:$O$40,DTR!AB$4,FALSE)),0)</f>
        <v>0</v>
      </c>
      <c r="AC585" s="147">
        <f>IFERROR((HLOOKUP($AH585,Target_monthwise!$D$24:$O$40,DTR!AC$4,FALSE)),0)</f>
        <v>0</v>
      </c>
      <c r="AD585" s="147">
        <f>IFERROR((HLOOKUP($AH585,Target_monthwise!$D$24:$O$40,DTR!AD$4,FALSE)),0)</f>
        <v>0</v>
      </c>
      <c r="AE585" s="147">
        <f>IFERROR((HLOOKUP($AH585,Target_monthwise!$D$24:$O$40,DTR!AE$4,FALSE)),0)</f>
        <v>0</v>
      </c>
      <c r="AF585" s="147">
        <f>IFERROR((HLOOKUP($AH585,Target_monthwise!$D$24:$O$40,DTR!AF$4,FALSE)),0)</f>
        <v>0</v>
      </c>
      <c r="AG585" s="172">
        <f>IFERROR((HLOOKUP($AH585,Target_monthwise!$D$24:$O$40,DTR!AG$4,FALSE)),0)</f>
        <v>0</v>
      </c>
      <c r="AH585" s="253">
        <f t="shared" si="11"/>
        <v>202310</v>
      </c>
    </row>
    <row r="586" spans="3:34" ht="15.75" hidden="1">
      <c r="C586" s="237">
        <v>45229</v>
      </c>
      <c r="D586" s="238">
        <f>IFERROR((HLOOKUP($AH586,Target_monthwise!$D$4:$O$20,DTR!D$4,FALSE))*1000,0)</f>
        <v>0</v>
      </c>
      <c r="E586" s="238">
        <f>IFERROR((HLOOKUP($AH586,Target_monthwise!$D$4:$O$20,DTR!E$4,FALSE))*1000,0)</f>
        <v>0</v>
      </c>
      <c r="F586" s="238">
        <f>IFERROR((HLOOKUP($AH586,Target_monthwise!$D$4:$O$20,DTR!F$4,FALSE))*1000,0)</f>
        <v>0</v>
      </c>
      <c r="G586" s="238">
        <f>IFERROR((HLOOKUP($AH586,Target_monthwise!$D$4:$O$20,DTR!G$4,FALSE))*1000,0)</f>
        <v>0</v>
      </c>
      <c r="H586" s="238">
        <f>IFERROR((HLOOKUP($AH586,Target_monthwise!$D$4:$O$20,DTR!H$4,FALSE))*1000,0)</f>
        <v>0</v>
      </c>
      <c r="I586" s="238">
        <f>IFERROR((HLOOKUP($AH586,Target_monthwise!$D$4:$O$20,DTR!I$4,FALSE))*1000,0)</f>
        <v>0</v>
      </c>
      <c r="J586" s="238">
        <f>IFERROR((HLOOKUP($AH586,Target_monthwise!$D$4:$O$20,DTR!J$4,FALSE))*1000,0)</f>
        <v>0</v>
      </c>
      <c r="K586" s="238">
        <f>IFERROR((HLOOKUP($AH586,Target_monthwise!$D$4:$O$20,DTR!K$4,FALSE))*1000,0)</f>
        <v>0</v>
      </c>
      <c r="L586" s="238">
        <f>IFERROR((HLOOKUP($AH586,Target_monthwise!$D$4:$O$20,DTR!L$4,FALSE))*1000,0)</f>
        <v>0</v>
      </c>
      <c r="M586" s="238">
        <f>IFERROR((HLOOKUP($AH586,Target_monthwise!$D$4:$O$20,DTR!M$4,FALSE))*1000,0)</f>
        <v>0</v>
      </c>
      <c r="N586" s="238">
        <f>IFERROR((HLOOKUP($AH586,Target_monthwise!$D$4:$O$20,DTR!N$4,FALSE))*1000,0)</f>
        <v>0</v>
      </c>
      <c r="O586" s="238">
        <f>IFERROR((HLOOKUP($AH586,Target_monthwise!$D$4:$O$20,DTR!O$4,FALSE))*1000,0)</f>
        <v>0</v>
      </c>
      <c r="P586" s="238">
        <f>IFERROR((HLOOKUP($AH586,Target_monthwise!$D$4:$O$20,DTR!P$4,FALSE))*1000,0)</f>
        <v>0</v>
      </c>
      <c r="Q586" s="141">
        <f>IFERROR((HLOOKUP($AH586,Target_monthwise!$D$4:$O$20,DTR!Q$4,FALSE))*1000,0)</f>
        <v>0</v>
      </c>
      <c r="R586" s="167">
        <f>IFERROR((HLOOKUP($AH586,Target_monthwise!$D$4:$O$20,DTR!R$4,FALSE))*1000,0)</f>
        <v>0</v>
      </c>
      <c r="S586" s="239">
        <f>IFERROR((HLOOKUP($AH586,Target_monthwise!$D$24:$O$40,DTR!S$4,FALSE)),0)</f>
        <v>0</v>
      </c>
      <c r="T586" s="239">
        <f>IFERROR((HLOOKUP($AH586,Target_monthwise!$D$24:$O$40,DTR!T$4,FALSE)),0)</f>
        <v>0</v>
      </c>
      <c r="U586" s="239">
        <f>IFERROR((HLOOKUP($AH586,Target_monthwise!$D$24:$O$40,DTR!U$4,FALSE)),0)</f>
        <v>0</v>
      </c>
      <c r="V586" s="239">
        <f>IFERROR((HLOOKUP($AH586,Target_monthwise!$D$24:$O$40,DTR!V$4,FALSE)),0)</f>
        <v>0</v>
      </c>
      <c r="W586" s="239">
        <f>IFERROR((HLOOKUP($AH586,Target_monthwise!$D$24:$O$40,DTR!W$4,FALSE)),0)</f>
        <v>0</v>
      </c>
      <c r="X586" s="239">
        <f>IFERROR((HLOOKUP($AH586,Target_monthwise!$D$24:$O$40,DTR!X$4,FALSE)),0)</f>
        <v>0</v>
      </c>
      <c r="Y586" s="239">
        <f>IFERROR((HLOOKUP($AH586,Target_monthwise!$D$24:$O$40,DTR!Y$4,FALSE)),0)</f>
        <v>0</v>
      </c>
      <c r="Z586" s="147">
        <f>IFERROR((HLOOKUP($AH586,Target_monthwise!$D$24:$O$40,DTR!Z$4,FALSE)),0)</f>
        <v>0</v>
      </c>
      <c r="AA586" s="147">
        <f>IFERROR((HLOOKUP($AH586,Target_monthwise!$D$24:$O$40,DTR!AA$4,FALSE)),0)</f>
        <v>0</v>
      </c>
      <c r="AB586" s="147">
        <f>IFERROR((HLOOKUP($AH586,Target_monthwise!$D$24:$O$40,DTR!AB$4,FALSE)),0)</f>
        <v>0</v>
      </c>
      <c r="AC586" s="239">
        <f>IFERROR((HLOOKUP($AH586,Target_monthwise!$D$24:$O$40,DTR!AC$4,FALSE)),0)</f>
        <v>0</v>
      </c>
      <c r="AD586" s="239">
        <f>IFERROR((HLOOKUP($AH586,Target_monthwise!$D$24:$O$40,DTR!AD$4,FALSE)),0)</f>
        <v>0</v>
      </c>
      <c r="AE586" s="239">
        <f>IFERROR((HLOOKUP($AH586,Target_monthwise!$D$24:$O$40,DTR!AE$4,FALSE)),0)</f>
        <v>0</v>
      </c>
      <c r="AF586" s="239">
        <f>IFERROR((HLOOKUP($AH586,Target_monthwise!$D$24:$O$40,DTR!AF$4,FALSE)),0)</f>
        <v>0</v>
      </c>
      <c r="AG586" s="172">
        <f>IFERROR((HLOOKUP($AH586,Target_monthwise!$D$24:$O$40,DTR!AG$4,FALSE)),0)</f>
        <v>0</v>
      </c>
      <c r="AH586" s="253">
        <f t="shared" si="11"/>
        <v>202310</v>
      </c>
    </row>
    <row r="587" spans="3:34" ht="15.75" hidden="1">
      <c r="C587" s="235">
        <v>45230</v>
      </c>
      <c r="D587" s="141">
        <f>IFERROR((HLOOKUP($AH587,Target_monthwise!$D$4:$O$20,DTR!D$4,FALSE))*1000,0)</f>
        <v>0</v>
      </c>
      <c r="E587" s="141">
        <f>IFERROR((HLOOKUP($AH587,Target_monthwise!$D$4:$O$20,DTR!E$4,FALSE))*1000,0)</f>
        <v>0</v>
      </c>
      <c r="F587" s="141">
        <f>IFERROR((HLOOKUP($AH587,Target_monthwise!$D$4:$O$20,DTR!F$4,FALSE))*1000,0)</f>
        <v>0</v>
      </c>
      <c r="G587" s="141">
        <f>IFERROR((HLOOKUP($AH587,Target_monthwise!$D$4:$O$20,DTR!G$4,FALSE))*1000,0)</f>
        <v>0</v>
      </c>
      <c r="H587" s="141">
        <f>IFERROR((HLOOKUP($AH587,Target_monthwise!$D$4:$O$20,DTR!H$4,FALSE))*1000,0)</f>
        <v>0</v>
      </c>
      <c r="I587" s="141">
        <f>IFERROR((HLOOKUP($AH587,Target_monthwise!$D$4:$O$20,DTR!I$4,FALSE))*1000,0)</f>
        <v>0</v>
      </c>
      <c r="J587" s="141">
        <f>IFERROR((HLOOKUP($AH587,Target_monthwise!$D$4:$O$20,DTR!J$4,FALSE))*1000,0)</f>
        <v>0</v>
      </c>
      <c r="K587" s="141">
        <f>IFERROR((HLOOKUP($AH587,Target_monthwise!$D$4:$O$20,DTR!K$4,FALSE))*1000,0)</f>
        <v>0</v>
      </c>
      <c r="L587" s="141">
        <f>IFERROR((HLOOKUP($AH587,Target_monthwise!$D$4:$O$20,DTR!L$4,FALSE))*1000,0)</f>
        <v>0</v>
      </c>
      <c r="M587" s="141">
        <f>IFERROR((HLOOKUP($AH587,Target_monthwise!$D$4:$O$20,DTR!M$4,FALSE))*1000,0)</f>
        <v>0</v>
      </c>
      <c r="N587" s="141">
        <f>IFERROR((HLOOKUP($AH587,Target_monthwise!$D$4:$O$20,DTR!N$4,FALSE))*1000,0)</f>
        <v>0</v>
      </c>
      <c r="O587" s="141">
        <f>IFERROR((HLOOKUP($AH587,Target_monthwise!$D$4:$O$20,DTR!O$4,FALSE))*1000,0)</f>
        <v>0</v>
      </c>
      <c r="P587" s="141">
        <f>IFERROR((HLOOKUP($AH587,Target_monthwise!$D$4:$O$20,DTR!P$4,FALSE))*1000,0)</f>
        <v>0</v>
      </c>
      <c r="Q587" s="141">
        <f>IFERROR((HLOOKUP($AH587,Target_monthwise!$D$4:$O$20,DTR!Q$4,FALSE))*1000,0)</f>
        <v>0</v>
      </c>
      <c r="R587" s="167">
        <f>IFERROR((HLOOKUP($AH587,Target_monthwise!$D$4:$O$20,DTR!R$4,FALSE))*1000,0)</f>
        <v>0</v>
      </c>
      <c r="S587" s="147">
        <f>IFERROR((HLOOKUP($AH587,Target_monthwise!$D$24:$O$40,DTR!S$4,FALSE)),0)</f>
        <v>0</v>
      </c>
      <c r="T587" s="147">
        <f>IFERROR((HLOOKUP($AH587,Target_monthwise!$D$24:$O$40,DTR!T$4,FALSE)),0)</f>
        <v>0</v>
      </c>
      <c r="U587" s="147">
        <f>IFERROR((HLOOKUP($AH587,Target_monthwise!$D$24:$O$40,DTR!U$4,FALSE)),0)</f>
        <v>0</v>
      </c>
      <c r="V587" s="147">
        <f>IFERROR((HLOOKUP($AH587,Target_monthwise!$D$24:$O$40,DTR!V$4,FALSE)),0)</f>
        <v>0</v>
      </c>
      <c r="W587" s="147">
        <f>IFERROR((HLOOKUP($AH587,Target_monthwise!$D$24:$O$40,DTR!W$4,FALSE)),0)</f>
        <v>0</v>
      </c>
      <c r="X587" s="147">
        <f>IFERROR((HLOOKUP($AH587,Target_monthwise!$D$24:$O$40,DTR!X$4,FALSE)),0)</f>
        <v>0</v>
      </c>
      <c r="Y587" s="147">
        <f>IFERROR((HLOOKUP($AH587,Target_monthwise!$D$24:$O$40,DTR!Y$4,FALSE)),0)</f>
        <v>0</v>
      </c>
      <c r="Z587" s="147">
        <f>IFERROR((HLOOKUP($AH587,Target_monthwise!$D$24:$O$40,DTR!Z$4,FALSE)),0)</f>
        <v>0</v>
      </c>
      <c r="AA587" s="147">
        <f>IFERROR((HLOOKUP($AH587,Target_monthwise!$D$24:$O$40,DTR!AA$4,FALSE)),0)</f>
        <v>0</v>
      </c>
      <c r="AB587" s="147">
        <f>IFERROR((HLOOKUP($AH587,Target_monthwise!$D$24:$O$40,DTR!AB$4,FALSE)),0)</f>
        <v>0</v>
      </c>
      <c r="AC587" s="147">
        <f>IFERROR((HLOOKUP($AH587,Target_monthwise!$D$24:$O$40,DTR!AC$4,FALSE)),0)</f>
        <v>0</v>
      </c>
      <c r="AD587" s="147">
        <f>IFERROR((HLOOKUP($AH587,Target_monthwise!$D$24:$O$40,DTR!AD$4,FALSE)),0)</f>
        <v>0</v>
      </c>
      <c r="AE587" s="147">
        <f>IFERROR((HLOOKUP($AH587,Target_monthwise!$D$24:$O$40,DTR!AE$4,FALSE)),0)</f>
        <v>0</v>
      </c>
      <c r="AF587" s="147">
        <f>IFERROR((HLOOKUP($AH587,Target_monthwise!$D$24:$O$40,DTR!AF$4,FALSE)),0)</f>
        <v>0</v>
      </c>
      <c r="AG587" s="172">
        <f>IFERROR((HLOOKUP($AH587,Target_monthwise!$D$24:$O$40,DTR!AG$4,FALSE)),0)</f>
        <v>0</v>
      </c>
      <c r="AH587" s="253">
        <f t="shared" si="11"/>
        <v>202310</v>
      </c>
    </row>
    <row r="588" spans="3:34" ht="15.75" hidden="1">
      <c r="C588" s="237">
        <v>45231</v>
      </c>
      <c r="D588" s="238">
        <f>IFERROR((HLOOKUP($AH588,Target_monthwise!$D$4:$O$20,DTR!D$4,FALSE))*1000,0)</f>
        <v>0</v>
      </c>
      <c r="E588" s="238">
        <f>IFERROR((HLOOKUP($AH588,Target_monthwise!$D$4:$O$20,DTR!E$4,FALSE))*1000,0)</f>
        <v>0</v>
      </c>
      <c r="F588" s="238">
        <f>IFERROR((HLOOKUP($AH588,Target_monthwise!$D$4:$O$20,DTR!F$4,FALSE))*1000,0)</f>
        <v>0</v>
      </c>
      <c r="G588" s="238">
        <f>IFERROR((HLOOKUP($AH588,Target_monthwise!$D$4:$O$20,DTR!G$4,FALSE))*1000,0)</f>
        <v>0</v>
      </c>
      <c r="H588" s="238">
        <f>IFERROR((HLOOKUP($AH588,Target_monthwise!$D$4:$O$20,DTR!H$4,FALSE))*1000,0)</f>
        <v>0</v>
      </c>
      <c r="I588" s="238">
        <f>IFERROR((HLOOKUP($AH588,Target_monthwise!$D$4:$O$20,DTR!I$4,FALSE))*1000,0)</f>
        <v>0</v>
      </c>
      <c r="J588" s="238">
        <f>IFERROR((HLOOKUP($AH588,Target_monthwise!$D$4:$O$20,DTR!J$4,FALSE))*1000,0)</f>
        <v>0</v>
      </c>
      <c r="K588" s="238">
        <f>IFERROR((HLOOKUP($AH588,Target_monthwise!$D$4:$O$20,DTR!K$4,FALSE))*1000,0)</f>
        <v>0</v>
      </c>
      <c r="L588" s="238">
        <f>IFERROR((HLOOKUP($AH588,Target_monthwise!$D$4:$O$20,DTR!L$4,FALSE))*1000,0)</f>
        <v>0</v>
      </c>
      <c r="M588" s="238">
        <f>IFERROR((HLOOKUP($AH588,Target_monthwise!$D$4:$O$20,DTR!M$4,FALSE))*1000,0)</f>
        <v>0</v>
      </c>
      <c r="N588" s="238">
        <f>IFERROR((HLOOKUP($AH588,Target_monthwise!$D$4:$O$20,DTR!N$4,FALSE))*1000,0)</f>
        <v>0</v>
      </c>
      <c r="O588" s="238">
        <f>IFERROR((HLOOKUP($AH588,Target_monthwise!$D$4:$O$20,DTR!O$4,FALSE))*1000,0)</f>
        <v>0</v>
      </c>
      <c r="P588" s="238">
        <f>IFERROR((HLOOKUP($AH588,Target_monthwise!$D$4:$O$20,DTR!P$4,FALSE))*1000,0)</f>
        <v>0</v>
      </c>
      <c r="Q588" s="141">
        <f>IFERROR((HLOOKUP($AH588,Target_monthwise!$D$4:$O$20,DTR!Q$4,FALSE))*1000,0)</f>
        <v>0</v>
      </c>
      <c r="R588" s="167">
        <f>IFERROR((HLOOKUP($AH588,Target_monthwise!$D$4:$O$20,DTR!R$4,FALSE))*1000,0)</f>
        <v>0</v>
      </c>
      <c r="S588" s="239">
        <f>IFERROR((HLOOKUP($AH588,Target_monthwise!$D$24:$O$40,DTR!S$4,FALSE)),0)</f>
        <v>0</v>
      </c>
      <c r="T588" s="239">
        <f>IFERROR((HLOOKUP($AH588,Target_monthwise!$D$24:$O$40,DTR!T$4,FALSE)),0)</f>
        <v>0</v>
      </c>
      <c r="U588" s="239">
        <f>IFERROR((HLOOKUP($AH588,Target_monthwise!$D$24:$O$40,DTR!U$4,FALSE)),0)</f>
        <v>0</v>
      </c>
      <c r="V588" s="239">
        <f>IFERROR((HLOOKUP($AH588,Target_monthwise!$D$24:$O$40,DTR!V$4,FALSE)),0)</f>
        <v>0</v>
      </c>
      <c r="W588" s="239">
        <f>IFERROR((HLOOKUP($AH588,Target_monthwise!$D$24:$O$40,DTR!W$4,FALSE)),0)</f>
        <v>0</v>
      </c>
      <c r="X588" s="239">
        <f>IFERROR((HLOOKUP($AH588,Target_monthwise!$D$24:$O$40,DTR!X$4,FALSE)),0)</f>
        <v>0</v>
      </c>
      <c r="Y588" s="239">
        <f>IFERROR((HLOOKUP($AH588,Target_monthwise!$D$24:$O$40,DTR!Y$4,FALSE)),0)</f>
        <v>0</v>
      </c>
      <c r="Z588" s="147">
        <f>IFERROR((HLOOKUP($AH588,Target_monthwise!$D$24:$O$40,DTR!Z$4,FALSE)),0)</f>
        <v>0</v>
      </c>
      <c r="AA588" s="147">
        <f>IFERROR((HLOOKUP($AH588,Target_monthwise!$D$24:$O$40,DTR!AA$4,FALSE)),0)</f>
        <v>0</v>
      </c>
      <c r="AB588" s="147">
        <f>IFERROR((HLOOKUP($AH588,Target_monthwise!$D$24:$O$40,DTR!AB$4,FALSE)),0)</f>
        <v>0</v>
      </c>
      <c r="AC588" s="239">
        <f>IFERROR((HLOOKUP($AH588,Target_monthwise!$D$24:$O$40,DTR!AC$4,FALSE)),0)</f>
        <v>0</v>
      </c>
      <c r="AD588" s="239">
        <f>IFERROR((HLOOKUP($AH588,Target_monthwise!$D$24:$O$40,DTR!AD$4,FALSE)),0)</f>
        <v>0</v>
      </c>
      <c r="AE588" s="239">
        <f>IFERROR((HLOOKUP($AH588,Target_monthwise!$D$24:$O$40,DTR!AE$4,FALSE)),0)</f>
        <v>0</v>
      </c>
      <c r="AF588" s="239">
        <f>IFERROR((HLOOKUP($AH588,Target_monthwise!$D$24:$O$40,DTR!AF$4,FALSE)),0)</f>
        <v>0</v>
      </c>
      <c r="AG588" s="172">
        <f>IFERROR((HLOOKUP($AH588,Target_monthwise!$D$24:$O$40,DTR!AG$4,FALSE)),0)</f>
        <v>0</v>
      </c>
      <c r="AH588" s="253">
        <f t="shared" si="11"/>
        <v>202311</v>
      </c>
    </row>
    <row r="589" spans="3:34" ht="15.75" hidden="1">
      <c r="C589" s="235">
        <v>45232</v>
      </c>
      <c r="D589" s="141">
        <f>IFERROR((HLOOKUP($AH589,Target_monthwise!$D$4:$O$20,DTR!D$4,FALSE))*1000,0)</f>
        <v>0</v>
      </c>
      <c r="E589" s="141">
        <f>IFERROR((HLOOKUP($AH589,Target_monthwise!$D$4:$O$20,DTR!E$4,FALSE))*1000,0)</f>
        <v>0</v>
      </c>
      <c r="F589" s="141">
        <f>IFERROR((HLOOKUP($AH589,Target_monthwise!$D$4:$O$20,DTR!F$4,FALSE))*1000,0)</f>
        <v>0</v>
      </c>
      <c r="G589" s="141">
        <f>IFERROR((HLOOKUP($AH589,Target_monthwise!$D$4:$O$20,DTR!G$4,FALSE))*1000,0)</f>
        <v>0</v>
      </c>
      <c r="H589" s="141">
        <f>IFERROR((HLOOKUP($AH589,Target_monthwise!$D$4:$O$20,DTR!H$4,FALSE))*1000,0)</f>
        <v>0</v>
      </c>
      <c r="I589" s="141">
        <f>IFERROR((HLOOKUP($AH589,Target_monthwise!$D$4:$O$20,DTR!I$4,FALSE))*1000,0)</f>
        <v>0</v>
      </c>
      <c r="J589" s="141">
        <f>IFERROR((HLOOKUP($AH589,Target_monthwise!$D$4:$O$20,DTR!J$4,FALSE))*1000,0)</f>
        <v>0</v>
      </c>
      <c r="K589" s="141">
        <f>IFERROR((HLOOKUP($AH589,Target_monthwise!$D$4:$O$20,DTR!K$4,FALSE))*1000,0)</f>
        <v>0</v>
      </c>
      <c r="L589" s="141">
        <f>IFERROR((HLOOKUP($AH589,Target_monthwise!$D$4:$O$20,DTR!L$4,FALSE))*1000,0)</f>
        <v>0</v>
      </c>
      <c r="M589" s="141">
        <f>IFERROR((HLOOKUP($AH589,Target_monthwise!$D$4:$O$20,DTR!M$4,FALSE))*1000,0)</f>
        <v>0</v>
      </c>
      <c r="N589" s="141">
        <f>IFERROR((HLOOKUP($AH589,Target_monthwise!$D$4:$O$20,DTR!N$4,FALSE))*1000,0)</f>
        <v>0</v>
      </c>
      <c r="O589" s="141">
        <f>IFERROR((HLOOKUP($AH589,Target_monthwise!$D$4:$O$20,DTR!O$4,FALSE))*1000,0)</f>
        <v>0</v>
      </c>
      <c r="P589" s="141">
        <f>IFERROR((HLOOKUP($AH589,Target_monthwise!$D$4:$O$20,DTR!P$4,FALSE))*1000,0)</f>
        <v>0</v>
      </c>
      <c r="Q589" s="141">
        <f>IFERROR((HLOOKUP($AH589,Target_monthwise!$D$4:$O$20,DTR!Q$4,FALSE))*1000,0)</f>
        <v>0</v>
      </c>
      <c r="R589" s="167">
        <f>IFERROR((HLOOKUP($AH589,Target_monthwise!$D$4:$O$20,DTR!R$4,FALSE))*1000,0)</f>
        <v>0</v>
      </c>
      <c r="S589" s="147">
        <f>IFERROR((HLOOKUP($AH589,Target_monthwise!$D$24:$O$40,DTR!S$4,FALSE)),0)</f>
        <v>0</v>
      </c>
      <c r="T589" s="147">
        <f>IFERROR((HLOOKUP($AH589,Target_monthwise!$D$24:$O$40,DTR!T$4,FALSE)),0)</f>
        <v>0</v>
      </c>
      <c r="U589" s="147">
        <f>IFERROR((HLOOKUP($AH589,Target_monthwise!$D$24:$O$40,DTR!U$4,FALSE)),0)</f>
        <v>0</v>
      </c>
      <c r="V589" s="147">
        <f>IFERROR((HLOOKUP($AH589,Target_monthwise!$D$24:$O$40,DTR!V$4,FALSE)),0)</f>
        <v>0</v>
      </c>
      <c r="W589" s="147">
        <f>IFERROR((HLOOKUP($AH589,Target_monthwise!$D$24:$O$40,DTR!W$4,FALSE)),0)</f>
        <v>0</v>
      </c>
      <c r="X589" s="147">
        <f>IFERROR((HLOOKUP($AH589,Target_monthwise!$D$24:$O$40,DTR!X$4,FALSE)),0)</f>
        <v>0</v>
      </c>
      <c r="Y589" s="147">
        <f>IFERROR((HLOOKUP($AH589,Target_monthwise!$D$24:$O$40,DTR!Y$4,FALSE)),0)</f>
        <v>0</v>
      </c>
      <c r="Z589" s="147">
        <f>IFERROR((HLOOKUP($AH589,Target_monthwise!$D$24:$O$40,DTR!Z$4,FALSE)),0)</f>
        <v>0</v>
      </c>
      <c r="AA589" s="147">
        <f>IFERROR((HLOOKUP($AH589,Target_monthwise!$D$24:$O$40,DTR!AA$4,FALSE)),0)</f>
        <v>0</v>
      </c>
      <c r="AB589" s="147">
        <f>IFERROR((HLOOKUP($AH589,Target_monthwise!$D$24:$O$40,DTR!AB$4,FALSE)),0)</f>
        <v>0</v>
      </c>
      <c r="AC589" s="147">
        <f>IFERROR((HLOOKUP($AH589,Target_monthwise!$D$24:$O$40,DTR!AC$4,FALSE)),0)</f>
        <v>0</v>
      </c>
      <c r="AD589" s="147">
        <f>IFERROR((HLOOKUP($AH589,Target_monthwise!$D$24:$O$40,DTR!AD$4,FALSE)),0)</f>
        <v>0</v>
      </c>
      <c r="AE589" s="147">
        <f>IFERROR((HLOOKUP($AH589,Target_monthwise!$D$24:$O$40,DTR!AE$4,FALSE)),0)</f>
        <v>0</v>
      </c>
      <c r="AF589" s="147">
        <f>IFERROR((HLOOKUP($AH589,Target_monthwise!$D$24:$O$40,DTR!AF$4,FALSE)),0)</f>
        <v>0</v>
      </c>
      <c r="AG589" s="172">
        <f>IFERROR((HLOOKUP($AH589,Target_monthwise!$D$24:$O$40,DTR!AG$4,FALSE)),0)</f>
        <v>0</v>
      </c>
      <c r="AH589" s="253">
        <f t="shared" si="11"/>
        <v>202311</v>
      </c>
    </row>
    <row r="590" spans="3:34" ht="15.75" hidden="1">
      <c r="C590" s="237">
        <v>45233</v>
      </c>
      <c r="D590" s="238">
        <f>IFERROR((HLOOKUP($AH590,Target_monthwise!$D$4:$O$20,DTR!D$4,FALSE))*1000,0)</f>
        <v>0</v>
      </c>
      <c r="E590" s="238">
        <f>IFERROR((HLOOKUP($AH590,Target_monthwise!$D$4:$O$20,DTR!E$4,FALSE))*1000,0)</f>
        <v>0</v>
      </c>
      <c r="F590" s="238">
        <f>IFERROR((HLOOKUP($AH590,Target_monthwise!$D$4:$O$20,DTR!F$4,FALSE))*1000,0)</f>
        <v>0</v>
      </c>
      <c r="G590" s="238">
        <f>IFERROR((HLOOKUP($AH590,Target_monthwise!$D$4:$O$20,DTR!G$4,FALSE))*1000,0)</f>
        <v>0</v>
      </c>
      <c r="H590" s="238">
        <f>IFERROR((HLOOKUP($AH590,Target_monthwise!$D$4:$O$20,DTR!H$4,FALSE))*1000,0)</f>
        <v>0</v>
      </c>
      <c r="I590" s="238">
        <f>IFERROR((HLOOKUP($AH590,Target_monthwise!$D$4:$O$20,DTR!I$4,FALSE))*1000,0)</f>
        <v>0</v>
      </c>
      <c r="J590" s="238">
        <f>IFERROR((HLOOKUP($AH590,Target_monthwise!$D$4:$O$20,DTR!J$4,FALSE))*1000,0)</f>
        <v>0</v>
      </c>
      <c r="K590" s="238">
        <f>IFERROR((HLOOKUP($AH590,Target_monthwise!$D$4:$O$20,DTR!K$4,FALSE))*1000,0)</f>
        <v>0</v>
      </c>
      <c r="L590" s="238">
        <f>IFERROR((HLOOKUP($AH590,Target_monthwise!$D$4:$O$20,DTR!L$4,FALSE))*1000,0)</f>
        <v>0</v>
      </c>
      <c r="M590" s="238">
        <f>IFERROR((HLOOKUP($AH590,Target_monthwise!$D$4:$O$20,DTR!M$4,FALSE))*1000,0)</f>
        <v>0</v>
      </c>
      <c r="N590" s="238">
        <f>IFERROR((HLOOKUP($AH590,Target_monthwise!$D$4:$O$20,DTR!N$4,FALSE))*1000,0)</f>
        <v>0</v>
      </c>
      <c r="O590" s="238">
        <f>IFERROR((HLOOKUP($AH590,Target_monthwise!$D$4:$O$20,DTR!O$4,FALSE))*1000,0)</f>
        <v>0</v>
      </c>
      <c r="P590" s="238">
        <f>IFERROR((HLOOKUP($AH590,Target_monthwise!$D$4:$O$20,DTR!P$4,FALSE))*1000,0)</f>
        <v>0</v>
      </c>
      <c r="Q590" s="141">
        <f>IFERROR((HLOOKUP($AH590,Target_monthwise!$D$4:$O$20,DTR!Q$4,FALSE))*1000,0)</f>
        <v>0</v>
      </c>
      <c r="R590" s="167">
        <f>IFERROR((HLOOKUP($AH590,Target_monthwise!$D$4:$O$20,DTR!R$4,FALSE))*1000,0)</f>
        <v>0</v>
      </c>
      <c r="S590" s="239">
        <f>IFERROR((HLOOKUP($AH590,Target_monthwise!$D$24:$O$40,DTR!S$4,FALSE)),0)</f>
        <v>0</v>
      </c>
      <c r="T590" s="239">
        <f>IFERROR((HLOOKUP($AH590,Target_monthwise!$D$24:$O$40,DTR!T$4,FALSE)),0)</f>
        <v>0</v>
      </c>
      <c r="U590" s="239">
        <f>IFERROR((HLOOKUP($AH590,Target_monthwise!$D$24:$O$40,DTR!U$4,FALSE)),0)</f>
        <v>0</v>
      </c>
      <c r="V590" s="239">
        <f>IFERROR((HLOOKUP($AH590,Target_monthwise!$D$24:$O$40,DTR!V$4,FALSE)),0)</f>
        <v>0</v>
      </c>
      <c r="W590" s="239">
        <f>IFERROR((HLOOKUP($AH590,Target_monthwise!$D$24:$O$40,DTR!W$4,FALSE)),0)</f>
        <v>0</v>
      </c>
      <c r="X590" s="239">
        <f>IFERROR((HLOOKUP($AH590,Target_monthwise!$D$24:$O$40,DTR!X$4,FALSE)),0)</f>
        <v>0</v>
      </c>
      <c r="Y590" s="239">
        <f>IFERROR((HLOOKUP($AH590,Target_monthwise!$D$24:$O$40,DTR!Y$4,FALSE)),0)</f>
        <v>0</v>
      </c>
      <c r="Z590" s="147">
        <f>IFERROR((HLOOKUP($AH590,Target_monthwise!$D$24:$O$40,DTR!Z$4,FALSE)),0)</f>
        <v>0</v>
      </c>
      <c r="AA590" s="147">
        <f>IFERROR((HLOOKUP($AH590,Target_monthwise!$D$24:$O$40,DTR!AA$4,FALSE)),0)</f>
        <v>0</v>
      </c>
      <c r="AB590" s="147">
        <f>IFERROR((HLOOKUP($AH590,Target_monthwise!$D$24:$O$40,DTR!AB$4,FALSE)),0)</f>
        <v>0</v>
      </c>
      <c r="AC590" s="239">
        <f>IFERROR((HLOOKUP($AH590,Target_monthwise!$D$24:$O$40,DTR!AC$4,FALSE)),0)</f>
        <v>0</v>
      </c>
      <c r="AD590" s="239">
        <f>IFERROR((HLOOKUP($AH590,Target_monthwise!$D$24:$O$40,DTR!AD$4,FALSE)),0)</f>
        <v>0</v>
      </c>
      <c r="AE590" s="239">
        <f>IFERROR((HLOOKUP($AH590,Target_monthwise!$D$24:$O$40,DTR!AE$4,FALSE)),0)</f>
        <v>0</v>
      </c>
      <c r="AF590" s="239">
        <f>IFERROR((HLOOKUP($AH590,Target_monthwise!$D$24:$O$40,DTR!AF$4,FALSE)),0)</f>
        <v>0</v>
      </c>
      <c r="AG590" s="172">
        <f>IFERROR((HLOOKUP($AH590,Target_monthwise!$D$24:$O$40,DTR!AG$4,FALSE)),0)</f>
        <v>0</v>
      </c>
      <c r="AH590" s="253">
        <f t="shared" si="11"/>
        <v>202311</v>
      </c>
    </row>
    <row r="591" spans="3:34" ht="15.75" hidden="1">
      <c r="C591" s="235">
        <v>45234</v>
      </c>
      <c r="D591" s="141">
        <f>IFERROR((HLOOKUP($AH591,Target_monthwise!$D$4:$O$20,DTR!D$4,FALSE))*1000,0)</f>
        <v>0</v>
      </c>
      <c r="E591" s="141">
        <f>IFERROR((HLOOKUP($AH591,Target_monthwise!$D$4:$O$20,DTR!E$4,FALSE))*1000,0)</f>
        <v>0</v>
      </c>
      <c r="F591" s="141">
        <f>IFERROR((HLOOKUP($AH591,Target_monthwise!$D$4:$O$20,DTR!F$4,FALSE))*1000,0)</f>
        <v>0</v>
      </c>
      <c r="G591" s="141">
        <f>IFERROR((HLOOKUP($AH591,Target_monthwise!$D$4:$O$20,DTR!G$4,FALSE))*1000,0)</f>
        <v>0</v>
      </c>
      <c r="H591" s="141">
        <f>IFERROR((HLOOKUP($AH591,Target_monthwise!$D$4:$O$20,DTR!H$4,FALSE))*1000,0)</f>
        <v>0</v>
      </c>
      <c r="I591" s="141">
        <f>IFERROR((HLOOKUP($AH591,Target_monthwise!$D$4:$O$20,DTR!I$4,FALSE))*1000,0)</f>
        <v>0</v>
      </c>
      <c r="J591" s="141">
        <f>IFERROR((HLOOKUP($AH591,Target_monthwise!$D$4:$O$20,DTR!J$4,FALSE))*1000,0)</f>
        <v>0</v>
      </c>
      <c r="K591" s="141">
        <f>IFERROR((HLOOKUP($AH591,Target_monthwise!$D$4:$O$20,DTR!K$4,FALSE))*1000,0)</f>
        <v>0</v>
      </c>
      <c r="L591" s="141">
        <f>IFERROR((HLOOKUP($AH591,Target_monthwise!$D$4:$O$20,DTR!L$4,FALSE))*1000,0)</f>
        <v>0</v>
      </c>
      <c r="M591" s="141">
        <f>IFERROR((HLOOKUP($AH591,Target_monthwise!$D$4:$O$20,DTR!M$4,FALSE))*1000,0)</f>
        <v>0</v>
      </c>
      <c r="N591" s="141">
        <f>IFERROR((HLOOKUP($AH591,Target_monthwise!$D$4:$O$20,DTR!N$4,FALSE))*1000,0)</f>
        <v>0</v>
      </c>
      <c r="O591" s="141">
        <f>IFERROR((HLOOKUP($AH591,Target_monthwise!$D$4:$O$20,DTR!O$4,FALSE))*1000,0)</f>
        <v>0</v>
      </c>
      <c r="P591" s="141">
        <f>IFERROR((HLOOKUP($AH591,Target_monthwise!$D$4:$O$20,DTR!P$4,FALSE))*1000,0)</f>
        <v>0</v>
      </c>
      <c r="Q591" s="141">
        <f>IFERROR((HLOOKUP($AH591,Target_monthwise!$D$4:$O$20,DTR!Q$4,FALSE))*1000,0)</f>
        <v>0</v>
      </c>
      <c r="R591" s="167">
        <f>IFERROR((HLOOKUP($AH591,Target_monthwise!$D$4:$O$20,DTR!R$4,FALSE))*1000,0)</f>
        <v>0</v>
      </c>
      <c r="S591" s="147">
        <f>IFERROR((HLOOKUP($AH591,Target_monthwise!$D$24:$O$40,DTR!S$4,FALSE)),0)</f>
        <v>0</v>
      </c>
      <c r="T591" s="147">
        <f>IFERROR((HLOOKUP($AH591,Target_monthwise!$D$24:$O$40,DTR!T$4,FALSE)),0)</f>
        <v>0</v>
      </c>
      <c r="U591" s="147">
        <f>IFERROR((HLOOKUP($AH591,Target_monthwise!$D$24:$O$40,DTR!U$4,FALSE)),0)</f>
        <v>0</v>
      </c>
      <c r="V591" s="147">
        <f>IFERROR((HLOOKUP($AH591,Target_monthwise!$D$24:$O$40,DTR!V$4,FALSE)),0)</f>
        <v>0</v>
      </c>
      <c r="W591" s="147">
        <f>IFERROR((HLOOKUP($AH591,Target_monthwise!$D$24:$O$40,DTR!W$4,FALSE)),0)</f>
        <v>0</v>
      </c>
      <c r="X591" s="147">
        <f>IFERROR((HLOOKUP($AH591,Target_monthwise!$D$24:$O$40,DTR!X$4,FALSE)),0)</f>
        <v>0</v>
      </c>
      <c r="Y591" s="147">
        <f>IFERROR((HLOOKUP($AH591,Target_monthwise!$D$24:$O$40,DTR!Y$4,FALSE)),0)</f>
        <v>0</v>
      </c>
      <c r="Z591" s="147">
        <f>IFERROR((HLOOKUP($AH591,Target_monthwise!$D$24:$O$40,DTR!Z$4,FALSE)),0)</f>
        <v>0</v>
      </c>
      <c r="AA591" s="147">
        <f>IFERROR((HLOOKUP($AH591,Target_monthwise!$D$24:$O$40,DTR!AA$4,FALSE)),0)</f>
        <v>0</v>
      </c>
      <c r="AB591" s="147">
        <f>IFERROR((HLOOKUP($AH591,Target_monthwise!$D$24:$O$40,DTR!AB$4,FALSE)),0)</f>
        <v>0</v>
      </c>
      <c r="AC591" s="147">
        <f>IFERROR((HLOOKUP($AH591,Target_monthwise!$D$24:$O$40,DTR!AC$4,FALSE)),0)</f>
        <v>0</v>
      </c>
      <c r="AD591" s="147">
        <f>IFERROR((HLOOKUP($AH591,Target_monthwise!$D$24:$O$40,DTR!AD$4,FALSE)),0)</f>
        <v>0</v>
      </c>
      <c r="AE591" s="147">
        <f>IFERROR((HLOOKUP($AH591,Target_monthwise!$D$24:$O$40,DTR!AE$4,FALSE)),0)</f>
        <v>0</v>
      </c>
      <c r="AF591" s="147">
        <f>IFERROR((HLOOKUP($AH591,Target_monthwise!$D$24:$O$40,DTR!AF$4,FALSE)),0)</f>
        <v>0</v>
      </c>
      <c r="AG591" s="172">
        <f>IFERROR((HLOOKUP($AH591,Target_monthwise!$D$24:$O$40,DTR!AG$4,FALSE)),0)</f>
        <v>0</v>
      </c>
      <c r="AH591" s="253">
        <f t="shared" si="11"/>
        <v>202311</v>
      </c>
    </row>
    <row r="592" spans="3:34" ht="15.75" hidden="1">
      <c r="C592" s="237">
        <v>45235</v>
      </c>
      <c r="D592" s="238">
        <f>IFERROR((HLOOKUP($AH592,Target_monthwise!$D$4:$O$20,DTR!D$4,FALSE))*1000,0)</f>
        <v>0</v>
      </c>
      <c r="E592" s="238">
        <f>IFERROR((HLOOKUP($AH592,Target_monthwise!$D$4:$O$20,DTR!E$4,FALSE))*1000,0)</f>
        <v>0</v>
      </c>
      <c r="F592" s="238">
        <f>IFERROR((HLOOKUP($AH592,Target_monthwise!$D$4:$O$20,DTR!F$4,FALSE))*1000,0)</f>
        <v>0</v>
      </c>
      <c r="G592" s="238">
        <f>IFERROR((HLOOKUP($AH592,Target_monthwise!$D$4:$O$20,DTR!G$4,FALSE))*1000,0)</f>
        <v>0</v>
      </c>
      <c r="H592" s="238">
        <f>IFERROR((HLOOKUP($AH592,Target_monthwise!$D$4:$O$20,DTR!H$4,FALSE))*1000,0)</f>
        <v>0</v>
      </c>
      <c r="I592" s="238">
        <f>IFERROR((HLOOKUP($AH592,Target_monthwise!$D$4:$O$20,DTR!I$4,FALSE))*1000,0)</f>
        <v>0</v>
      </c>
      <c r="J592" s="238">
        <f>IFERROR((HLOOKUP($AH592,Target_monthwise!$D$4:$O$20,DTR!J$4,FALSE))*1000,0)</f>
        <v>0</v>
      </c>
      <c r="K592" s="238">
        <f>IFERROR((HLOOKUP($AH592,Target_monthwise!$D$4:$O$20,DTR!K$4,FALSE))*1000,0)</f>
        <v>0</v>
      </c>
      <c r="L592" s="238">
        <f>IFERROR((HLOOKUP($AH592,Target_monthwise!$D$4:$O$20,DTR!L$4,FALSE))*1000,0)</f>
        <v>0</v>
      </c>
      <c r="M592" s="238">
        <f>IFERROR((HLOOKUP($AH592,Target_monthwise!$D$4:$O$20,DTR!M$4,FALSE))*1000,0)</f>
        <v>0</v>
      </c>
      <c r="N592" s="238">
        <f>IFERROR((HLOOKUP($AH592,Target_monthwise!$D$4:$O$20,DTR!N$4,FALSE))*1000,0)</f>
        <v>0</v>
      </c>
      <c r="O592" s="238">
        <f>IFERROR((HLOOKUP($AH592,Target_monthwise!$D$4:$O$20,DTR!O$4,FALSE))*1000,0)</f>
        <v>0</v>
      </c>
      <c r="P592" s="238">
        <f>IFERROR((HLOOKUP($AH592,Target_monthwise!$D$4:$O$20,DTR!P$4,FALSE))*1000,0)</f>
        <v>0</v>
      </c>
      <c r="Q592" s="141">
        <f>IFERROR((HLOOKUP($AH592,Target_monthwise!$D$4:$O$20,DTR!Q$4,FALSE))*1000,0)</f>
        <v>0</v>
      </c>
      <c r="R592" s="167">
        <f>IFERROR((HLOOKUP($AH592,Target_monthwise!$D$4:$O$20,DTR!R$4,FALSE))*1000,0)</f>
        <v>0</v>
      </c>
      <c r="S592" s="239">
        <f>IFERROR((HLOOKUP($AH592,Target_monthwise!$D$24:$O$40,DTR!S$4,FALSE)),0)</f>
        <v>0</v>
      </c>
      <c r="T592" s="239">
        <f>IFERROR((HLOOKUP($AH592,Target_monthwise!$D$24:$O$40,DTR!T$4,FALSE)),0)</f>
        <v>0</v>
      </c>
      <c r="U592" s="239">
        <f>IFERROR((HLOOKUP($AH592,Target_monthwise!$D$24:$O$40,DTR!U$4,FALSE)),0)</f>
        <v>0</v>
      </c>
      <c r="V592" s="239">
        <f>IFERROR((HLOOKUP($AH592,Target_monthwise!$D$24:$O$40,DTR!V$4,FALSE)),0)</f>
        <v>0</v>
      </c>
      <c r="W592" s="239">
        <f>IFERROR((HLOOKUP($AH592,Target_monthwise!$D$24:$O$40,DTR!W$4,FALSE)),0)</f>
        <v>0</v>
      </c>
      <c r="X592" s="239">
        <f>IFERROR((HLOOKUP($AH592,Target_monthwise!$D$24:$O$40,DTR!X$4,FALSE)),0)</f>
        <v>0</v>
      </c>
      <c r="Y592" s="239">
        <f>IFERROR((HLOOKUP($AH592,Target_monthwise!$D$24:$O$40,DTR!Y$4,FALSE)),0)</f>
        <v>0</v>
      </c>
      <c r="Z592" s="147">
        <f>IFERROR((HLOOKUP($AH592,Target_monthwise!$D$24:$O$40,DTR!Z$4,FALSE)),0)</f>
        <v>0</v>
      </c>
      <c r="AA592" s="147">
        <f>IFERROR((HLOOKUP($AH592,Target_monthwise!$D$24:$O$40,DTR!AA$4,FALSE)),0)</f>
        <v>0</v>
      </c>
      <c r="AB592" s="147">
        <f>IFERROR((HLOOKUP($AH592,Target_monthwise!$D$24:$O$40,DTR!AB$4,FALSE)),0)</f>
        <v>0</v>
      </c>
      <c r="AC592" s="239">
        <f>IFERROR((HLOOKUP($AH592,Target_monthwise!$D$24:$O$40,DTR!AC$4,FALSE)),0)</f>
        <v>0</v>
      </c>
      <c r="AD592" s="239">
        <f>IFERROR((HLOOKUP($AH592,Target_monthwise!$D$24:$O$40,DTR!AD$4,FALSE)),0)</f>
        <v>0</v>
      </c>
      <c r="AE592" s="239">
        <f>IFERROR((HLOOKUP($AH592,Target_monthwise!$D$24:$O$40,DTR!AE$4,FALSE)),0)</f>
        <v>0</v>
      </c>
      <c r="AF592" s="239">
        <f>IFERROR((HLOOKUP($AH592,Target_monthwise!$D$24:$O$40,DTR!AF$4,FALSE)),0)</f>
        <v>0</v>
      </c>
      <c r="AG592" s="172">
        <f>IFERROR((HLOOKUP($AH592,Target_monthwise!$D$24:$O$40,DTR!AG$4,FALSE)),0)</f>
        <v>0</v>
      </c>
      <c r="AH592" s="253">
        <f t="shared" si="11"/>
        <v>202311</v>
      </c>
    </row>
    <row r="593" spans="3:34" ht="15.75" hidden="1">
      <c r="C593" s="235">
        <v>45236</v>
      </c>
      <c r="D593" s="141">
        <f>IFERROR((HLOOKUP($AH593,Target_monthwise!$D$4:$O$20,DTR!D$4,FALSE))*1000,0)</f>
        <v>0</v>
      </c>
      <c r="E593" s="141">
        <f>IFERROR((HLOOKUP($AH593,Target_monthwise!$D$4:$O$20,DTR!E$4,FALSE))*1000,0)</f>
        <v>0</v>
      </c>
      <c r="F593" s="141">
        <f>IFERROR((HLOOKUP($AH593,Target_monthwise!$D$4:$O$20,DTR!F$4,FALSE))*1000,0)</f>
        <v>0</v>
      </c>
      <c r="G593" s="141">
        <f>IFERROR((HLOOKUP($AH593,Target_monthwise!$D$4:$O$20,DTR!G$4,FALSE))*1000,0)</f>
        <v>0</v>
      </c>
      <c r="H593" s="141">
        <f>IFERROR((HLOOKUP($AH593,Target_monthwise!$D$4:$O$20,DTR!H$4,FALSE))*1000,0)</f>
        <v>0</v>
      </c>
      <c r="I593" s="141">
        <f>IFERROR((HLOOKUP($AH593,Target_monthwise!$D$4:$O$20,DTR!I$4,FALSE))*1000,0)</f>
        <v>0</v>
      </c>
      <c r="J593" s="141">
        <f>IFERROR((HLOOKUP($AH593,Target_monthwise!$D$4:$O$20,DTR!J$4,FALSE))*1000,0)</f>
        <v>0</v>
      </c>
      <c r="K593" s="141">
        <f>IFERROR((HLOOKUP($AH593,Target_monthwise!$D$4:$O$20,DTR!K$4,FALSE))*1000,0)</f>
        <v>0</v>
      </c>
      <c r="L593" s="141">
        <f>IFERROR((HLOOKUP($AH593,Target_monthwise!$D$4:$O$20,DTR!L$4,FALSE))*1000,0)</f>
        <v>0</v>
      </c>
      <c r="M593" s="141">
        <f>IFERROR((HLOOKUP($AH593,Target_monthwise!$D$4:$O$20,DTR!M$4,FALSE))*1000,0)</f>
        <v>0</v>
      </c>
      <c r="N593" s="141">
        <f>IFERROR((HLOOKUP($AH593,Target_monthwise!$D$4:$O$20,DTR!N$4,FALSE))*1000,0)</f>
        <v>0</v>
      </c>
      <c r="O593" s="141">
        <f>IFERROR((HLOOKUP($AH593,Target_monthwise!$D$4:$O$20,DTR!O$4,FALSE))*1000,0)</f>
        <v>0</v>
      </c>
      <c r="P593" s="141">
        <f>IFERROR((HLOOKUP($AH593,Target_monthwise!$D$4:$O$20,DTR!P$4,FALSE))*1000,0)</f>
        <v>0</v>
      </c>
      <c r="Q593" s="141">
        <f>IFERROR((HLOOKUP($AH593,Target_monthwise!$D$4:$O$20,DTR!Q$4,FALSE))*1000,0)</f>
        <v>0</v>
      </c>
      <c r="R593" s="167">
        <f>IFERROR((HLOOKUP($AH593,Target_monthwise!$D$4:$O$20,DTR!R$4,FALSE))*1000,0)</f>
        <v>0</v>
      </c>
      <c r="S593" s="147">
        <f>IFERROR((HLOOKUP($AH593,Target_monthwise!$D$24:$O$40,DTR!S$4,FALSE)),0)</f>
        <v>0</v>
      </c>
      <c r="T593" s="147">
        <f>IFERROR((HLOOKUP($AH593,Target_monthwise!$D$24:$O$40,DTR!T$4,FALSE)),0)</f>
        <v>0</v>
      </c>
      <c r="U593" s="147">
        <f>IFERROR((HLOOKUP($AH593,Target_monthwise!$D$24:$O$40,DTR!U$4,FALSE)),0)</f>
        <v>0</v>
      </c>
      <c r="V593" s="147">
        <f>IFERROR((HLOOKUP($AH593,Target_monthwise!$D$24:$O$40,DTR!V$4,FALSE)),0)</f>
        <v>0</v>
      </c>
      <c r="W593" s="147">
        <f>IFERROR((HLOOKUP($AH593,Target_monthwise!$D$24:$O$40,DTR!W$4,FALSE)),0)</f>
        <v>0</v>
      </c>
      <c r="X593" s="147">
        <f>IFERROR((HLOOKUP($AH593,Target_monthwise!$D$24:$O$40,DTR!X$4,FALSE)),0)</f>
        <v>0</v>
      </c>
      <c r="Y593" s="147">
        <f>IFERROR((HLOOKUP($AH593,Target_monthwise!$D$24:$O$40,DTR!Y$4,FALSE)),0)</f>
        <v>0</v>
      </c>
      <c r="Z593" s="147">
        <f>IFERROR((HLOOKUP($AH593,Target_monthwise!$D$24:$O$40,DTR!Z$4,FALSE)),0)</f>
        <v>0</v>
      </c>
      <c r="AA593" s="147">
        <f>IFERROR((HLOOKUP($AH593,Target_monthwise!$D$24:$O$40,DTR!AA$4,FALSE)),0)</f>
        <v>0</v>
      </c>
      <c r="AB593" s="147">
        <f>IFERROR((HLOOKUP($AH593,Target_monthwise!$D$24:$O$40,DTR!AB$4,FALSE)),0)</f>
        <v>0</v>
      </c>
      <c r="AC593" s="147">
        <f>IFERROR((HLOOKUP($AH593,Target_monthwise!$D$24:$O$40,DTR!AC$4,FALSE)),0)</f>
        <v>0</v>
      </c>
      <c r="AD593" s="147">
        <f>IFERROR((HLOOKUP($AH593,Target_monthwise!$D$24:$O$40,DTR!AD$4,FALSE)),0)</f>
        <v>0</v>
      </c>
      <c r="AE593" s="147">
        <f>IFERROR((HLOOKUP($AH593,Target_monthwise!$D$24:$O$40,DTR!AE$4,FALSE)),0)</f>
        <v>0</v>
      </c>
      <c r="AF593" s="147">
        <f>IFERROR((HLOOKUP($AH593,Target_monthwise!$D$24:$O$40,DTR!AF$4,FALSE)),0)</f>
        <v>0</v>
      </c>
      <c r="AG593" s="172">
        <f>IFERROR((HLOOKUP($AH593,Target_monthwise!$D$24:$O$40,DTR!AG$4,FALSE)),0)</f>
        <v>0</v>
      </c>
      <c r="AH593" s="253">
        <f t="shared" si="11"/>
        <v>202311</v>
      </c>
    </row>
    <row r="594" spans="3:34" ht="15.75" hidden="1">
      <c r="C594" s="237">
        <v>45237</v>
      </c>
      <c r="D594" s="238">
        <f>IFERROR((HLOOKUP($AH594,Target_monthwise!$D$4:$O$20,DTR!D$4,FALSE))*1000,0)</f>
        <v>0</v>
      </c>
      <c r="E594" s="238">
        <f>IFERROR((HLOOKUP($AH594,Target_monthwise!$D$4:$O$20,DTR!E$4,FALSE))*1000,0)</f>
        <v>0</v>
      </c>
      <c r="F594" s="238">
        <f>IFERROR((HLOOKUP($AH594,Target_monthwise!$D$4:$O$20,DTR!F$4,FALSE))*1000,0)</f>
        <v>0</v>
      </c>
      <c r="G594" s="238">
        <f>IFERROR((HLOOKUP($AH594,Target_monthwise!$D$4:$O$20,DTR!G$4,FALSE))*1000,0)</f>
        <v>0</v>
      </c>
      <c r="H594" s="238">
        <f>IFERROR((HLOOKUP($AH594,Target_monthwise!$D$4:$O$20,DTR!H$4,FALSE))*1000,0)</f>
        <v>0</v>
      </c>
      <c r="I594" s="238">
        <f>IFERROR((HLOOKUP($AH594,Target_monthwise!$D$4:$O$20,DTR!I$4,FALSE))*1000,0)</f>
        <v>0</v>
      </c>
      <c r="J594" s="238">
        <f>IFERROR((HLOOKUP($AH594,Target_monthwise!$D$4:$O$20,DTR!J$4,FALSE))*1000,0)</f>
        <v>0</v>
      </c>
      <c r="K594" s="238">
        <f>IFERROR((HLOOKUP($AH594,Target_monthwise!$D$4:$O$20,DTR!K$4,FALSE))*1000,0)</f>
        <v>0</v>
      </c>
      <c r="L594" s="238">
        <f>IFERROR((HLOOKUP($AH594,Target_monthwise!$D$4:$O$20,DTR!L$4,FALSE))*1000,0)</f>
        <v>0</v>
      </c>
      <c r="M594" s="238">
        <f>IFERROR((HLOOKUP($AH594,Target_monthwise!$D$4:$O$20,DTR!M$4,FALSE))*1000,0)</f>
        <v>0</v>
      </c>
      <c r="N594" s="238">
        <f>IFERROR((HLOOKUP($AH594,Target_monthwise!$D$4:$O$20,DTR!N$4,FALSE))*1000,0)</f>
        <v>0</v>
      </c>
      <c r="O594" s="238">
        <f>IFERROR((HLOOKUP($AH594,Target_monthwise!$D$4:$O$20,DTR!O$4,FALSE))*1000,0)</f>
        <v>0</v>
      </c>
      <c r="P594" s="238">
        <f>IFERROR((HLOOKUP($AH594,Target_monthwise!$D$4:$O$20,DTR!P$4,FALSE))*1000,0)</f>
        <v>0</v>
      </c>
      <c r="Q594" s="141">
        <f>IFERROR((HLOOKUP($AH594,Target_monthwise!$D$4:$O$20,DTR!Q$4,FALSE))*1000,0)</f>
        <v>0</v>
      </c>
      <c r="R594" s="167">
        <f>IFERROR((HLOOKUP($AH594,Target_monthwise!$D$4:$O$20,DTR!R$4,FALSE))*1000,0)</f>
        <v>0</v>
      </c>
      <c r="S594" s="239">
        <f>IFERROR((HLOOKUP($AH594,Target_monthwise!$D$24:$O$40,DTR!S$4,FALSE)),0)</f>
        <v>0</v>
      </c>
      <c r="T594" s="239">
        <f>IFERROR((HLOOKUP($AH594,Target_monthwise!$D$24:$O$40,DTR!T$4,FALSE)),0)</f>
        <v>0</v>
      </c>
      <c r="U594" s="239">
        <f>IFERROR((HLOOKUP($AH594,Target_monthwise!$D$24:$O$40,DTR!U$4,FALSE)),0)</f>
        <v>0</v>
      </c>
      <c r="V594" s="239">
        <f>IFERROR((HLOOKUP($AH594,Target_monthwise!$D$24:$O$40,DTR!V$4,FALSE)),0)</f>
        <v>0</v>
      </c>
      <c r="W594" s="239">
        <f>IFERROR((HLOOKUP($AH594,Target_monthwise!$D$24:$O$40,DTR!W$4,FALSE)),0)</f>
        <v>0</v>
      </c>
      <c r="X594" s="239">
        <f>IFERROR((HLOOKUP($AH594,Target_monthwise!$D$24:$O$40,DTR!X$4,FALSE)),0)</f>
        <v>0</v>
      </c>
      <c r="Y594" s="239">
        <f>IFERROR((HLOOKUP($AH594,Target_monthwise!$D$24:$O$40,DTR!Y$4,FALSE)),0)</f>
        <v>0</v>
      </c>
      <c r="Z594" s="147">
        <f>IFERROR((HLOOKUP($AH594,Target_monthwise!$D$24:$O$40,DTR!Z$4,FALSE)),0)</f>
        <v>0</v>
      </c>
      <c r="AA594" s="147">
        <f>IFERROR((HLOOKUP($AH594,Target_monthwise!$D$24:$O$40,DTR!AA$4,FALSE)),0)</f>
        <v>0</v>
      </c>
      <c r="AB594" s="147">
        <f>IFERROR((HLOOKUP($AH594,Target_monthwise!$D$24:$O$40,DTR!AB$4,FALSE)),0)</f>
        <v>0</v>
      </c>
      <c r="AC594" s="239">
        <f>IFERROR((HLOOKUP($AH594,Target_monthwise!$D$24:$O$40,DTR!AC$4,FALSE)),0)</f>
        <v>0</v>
      </c>
      <c r="AD594" s="239">
        <f>IFERROR((HLOOKUP($AH594,Target_monthwise!$D$24:$O$40,DTR!AD$4,FALSE)),0)</f>
        <v>0</v>
      </c>
      <c r="AE594" s="239">
        <f>IFERROR((HLOOKUP($AH594,Target_monthwise!$D$24:$O$40,DTR!AE$4,FALSE)),0)</f>
        <v>0</v>
      </c>
      <c r="AF594" s="239">
        <f>IFERROR((HLOOKUP($AH594,Target_monthwise!$D$24:$O$40,DTR!AF$4,FALSE)),0)</f>
        <v>0</v>
      </c>
      <c r="AG594" s="172">
        <f>IFERROR((HLOOKUP($AH594,Target_monthwise!$D$24:$O$40,DTR!AG$4,FALSE)),0)</f>
        <v>0</v>
      </c>
      <c r="AH594" s="253">
        <f t="shared" si="11"/>
        <v>202311</v>
      </c>
    </row>
    <row r="595" spans="3:34" ht="15.75" hidden="1">
      <c r="C595" s="235">
        <v>45238</v>
      </c>
      <c r="D595" s="141">
        <f>IFERROR((HLOOKUP($AH595,Target_monthwise!$D$4:$O$20,DTR!D$4,FALSE))*1000,0)</f>
        <v>0</v>
      </c>
      <c r="E595" s="141">
        <f>IFERROR((HLOOKUP($AH595,Target_monthwise!$D$4:$O$20,DTR!E$4,FALSE))*1000,0)</f>
        <v>0</v>
      </c>
      <c r="F595" s="141">
        <f>IFERROR((HLOOKUP($AH595,Target_monthwise!$D$4:$O$20,DTR!F$4,FALSE))*1000,0)</f>
        <v>0</v>
      </c>
      <c r="G595" s="141">
        <f>IFERROR((HLOOKUP($AH595,Target_monthwise!$D$4:$O$20,DTR!G$4,FALSE))*1000,0)</f>
        <v>0</v>
      </c>
      <c r="H595" s="141">
        <f>IFERROR((HLOOKUP($AH595,Target_monthwise!$D$4:$O$20,DTR!H$4,FALSE))*1000,0)</f>
        <v>0</v>
      </c>
      <c r="I595" s="141">
        <f>IFERROR((HLOOKUP($AH595,Target_monthwise!$D$4:$O$20,DTR!I$4,FALSE))*1000,0)</f>
        <v>0</v>
      </c>
      <c r="J595" s="141">
        <f>IFERROR((HLOOKUP($AH595,Target_monthwise!$D$4:$O$20,DTR!J$4,FALSE))*1000,0)</f>
        <v>0</v>
      </c>
      <c r="K595" s="141">
        <f>IFERROR((HLOOKUP($AH595,Target_monthwise!$D$4:$O$20,DTR!K$4,FALSE))*1000,0)</f>
        <v>0</v>
      </c>
      <c r="L595" s="141">
        <f>IFERROR((HLOOKUP($AH595,Target_monthwise!$D$4:$O$20,DTR!L$4,FALSE))*1000,0)</f>
        <v>0</v>
      </c>
      <c r="M595" s="141">
        <f>IFERROR((HLOOKUP($AH595,Target_monthwise!$D$4:$O$20,DTR!M$4,FALSE))*1000,0)</f>
        <v>0</v>
      </c>
      <c r="N595" s="141">
        <f>IFERROR((HLOOKUP($AH595,Target_monthwise!$D$4:$O$20,DTR!N$4,FALSE))*1000,0)</f>
        <v>0</v>
      </c>
      <c r="O595" s="141">
        <f>IFERROR((HLOOKUP($AH595,Target_monthwise!$D$4:$O$20,DTR!O$4,FALSE))*1000,0)</f>
        <v>0</v>
      </c>
      <c r="P595" s="141">
        <f>IFERROR((HLOOKUP($AH595,Target_monthwise!$D$4:$O$20,DTR!P$4,FALSE))*1000,0)</f>
        <v>0</v>
      </c>
      <c r="Q595" s="141">
        <f>IFERROR((HLOOKUP($AH595,Target_monthwise!$D$4:$O$20,DTR!Q$4,FALSE))*1000,0)</f>
        <v>0</v>
      </c>
      <c r="R595" s="167">
        <f>IFERROR((HLOOKUP($AH595,Target_monthwise!$D$4:$O$20,DTR!R$4,FALSE))*1000,0)</f>
        <v>0</v>
      </c>
      <c r="S595" s="147">
        <f>IFERROR((HLOOKUP($AH595,Target_monthwise!$D$24:$O$40,DTR!S$4,FALSE)),0)</f>
        <v>0</v>
      </c>
      <c r="T595" s="147">
        <f>IFERROR((HLOOKUP($AH595,Target_monthwise!$D$24:$O$40,DTR!T$4,FALSE)),0)</f>
        <v>0</v>
      </c>
      <c r="U595" s="147">
        <f>IFERROR((HLOOKUP($AH595,Target_monthwise!$D$24:$O$40,DTR!U$4,FALSE)),0)</f>
        <v>0</v>
      </c>
      <c r="V595" s="147">
        <f>IFERROR((HLOOKUP($AH595,Target_monthwise!$D$24:$O$40,DTR!V$4,FALSE)),0)</f>
        <v>0</v>
      </c>
      <c r="W595" s="147">
        <f>IFERROR((HLOOKUP($AH595,Target_monthwise!$D$24:$O$40,DTR!W$4,FALSE)),0)</f>
        <v>0</v>
      </c>
      <c r="X595" s="147">
        <f>IFERROR((HLOOKUP($AH595,Target_monthwise!$D$24:$O$40,DTR!X$4,FALSE)),0)</f>
        <v>0</v>
      </c>
      <c r="Y595" s="147">
        <f>IFERROR((HLOOKUP($AH595,Target_monthwise!$D$24:$O$40,DTR!Y$4,FALSE)),0)</f>
        <v>0</v>
      </c>
      <c r="Z595" s="147">
        <f>IFERROR((HLOOKUP($AH595,Target_monthwise!$D$24:$O$40,DTR!Z$4,FALSE)),0)</f>
        <v>0</v>
      </c>
      <c r="AA595" s="147">
        <f>IFERROR((HLOOKUP($AH595,Target_monthwise!$D$24:$O$40,DTR!AA$4,FALSE)),0)</f>
        <v>0</v>
      </c>
      <c r="AB595" s="147">
        <f>IFERROR((HLOOKUP($AH595,Target_monthwise!$D$24:$O$40,DTR!AB$4,FALSE)),0)</f>
        <v>0</v>
      </c>
      <c r="AC595" s="147">
        <f>IFERROR((HLOOKUP($AH595,Target_monthwise!$D$24:$O$40,DTR!AC$4,FALSE)),0)</f>
        <v>0</v>
      </c>
      <c r="AD595" s="147">
        <f>IFERROR((HLOOKUP($AH595,Target_monthwise!$D$24:$O$40,DTR!AD$4,FALSE)),0)</f>
        <v>0</v>
      </c>
      <c r="AE595" s="147">
        <f>IFERROR((HLOOKUP($AH595,Target_monthwise!$D$24:$O$40,DTR!AE$4,FALSE)),0)</f>
        <v>0</v>
      </c>
      <c r="AF595" s="147">
        <f>IFERROR((HLOOKUP($AH595,Target_monthwise!$D$24:$O$40,DTR!AF$4,FALSE)),0)</f>
        <v>0</v>
      </c>
      <c r="AG595" s="172">
        <f>IFERROR((HLOOKUP($AH595,Target_monthwise!$D$24:$O$40,DTR!AG$4,FALSE)),0)</f>
        <v>0</v>
      </c>
      <c r="AH595" s="253">
        <f t="shared" si="11"/>
        <v>202311</v>
      </c>
    </row>
    <row r="596" spans="3:34" ht="15.75" hidden="1">
      <c r="C596" s="237">
        <v>45239</v>
      </c>
      <c r="D596" s="238">
        <f>IFERROR((HLOOKUP($AH596,Target_monthwise!$D$4:$O$20,DTR!D$4,FALSE))*1000,0)</f>
        <v>0</v>
      </c>
      <c r="E596" s="238">
        <f>IFERROR((HLOOKUP($AH596,Target_monthwise!$D$4:$O$20,DTR!E$4,FALSE))*1000,0)</f>
        <v>0</v>
      </c>
      <c r="F596" s="238">
        <f>IFERROR((HLOOKUP($AH596,Target_monthwise!$D$4:$O$20,DTR!F$4,FALSE))*1000,0)</f>
        <v>0</v>
      </c>
      <c r="G596" s="238">
        <f>IFERROR((HLOOKUP($AH596,Target_monthwise!$D$4:$O$20,DTR!G$4,FALSE))*1000,0)</f>
        <v>0</v>
      </c>
      <c r="H596" s="238">
        <f>IFERROR((HLOOKUP($AH596,Target_monthwise!$D$4:$O$20,DTR!H$4,FALSE))*1000,0)</f>
        <v>0</v>
      </c>
      <c r="I596" s="238">
        <f>IFERROR((HLOOKUP($AH596,Target_monthwise!$D$4:$O$20,DTR!I$4,FALSE))*1000,0)</f>
        <v>0</v>
      </c>
      <c r="J596" s="238">
        <f>IFERROR((HLOOKUP($AH596,Target_monthwise!$D$4:$O$20,DTR!J$4,FALSE))*1000,0)</f>
        <v>0</v>
      </c>
      <c r="K596" s="238">
        <f>IFERROR((HLOOKUP($AH596,Target_monthwise!$D$4:$O$20,DTR!K$4,FALSE))*1000,0)</f>
        <v>0</v>
      </c>
      <c r="L596" s="238">
        <f>IFERROR((HLOOKUP($AH596,Target_monthwise!$D$4:$O$20,DTR!L$4,FALSE))*1000,0)</f>
        <v>0</v>
      </c>
      <c r="M596" s="238">
        <f>IFERROR((HLOOKUP($AH596,Target_monthwise!$D$4:$O$20,DTR!M$4,FALSE))*1000,0)</f>
        <v>0</v>
      </c>
      <c r="N596" s="238">
        <f>IFERROR((HLOOKUP($AH596,Target_monthwise!$D$4:$O$20,DTR!N$4,FALSE))*1000,0)</f>
        <v>0</v>
      </c>
      <c r="O596" s="238">
        <f>IFERROR((HLOOKUP($AH596,Target_monthwise!$D$4:$O$20,DTR!O$4,FALSE))*1000,0)</f>
        <v>0</v>
      </c>
      <c r="P596" s="238">
        <f>IFERROR((HLOOKUP($AH596,Target_monthwise!$D$4:$O$20,DTR!P$4,FALSE))*1000,0)</f>
        <v>0</v>
      </c>
      <c r="Q596" s="141">
        <f>IFERROR((HLOOKUP($AH596,Target_monthwise!$D$4:$O$20,DTR!Q$4,FALSE))*1000,0)</f>
        <v>0</v>
      </c>
      <c r="R596" s="167">
        <f>IFERROR((HLOOKUP($AH596,Target_monthwise!$D$4:$O$20,DTR!R$4,FALSE))*1000,0)</f>
        <v>0</v>
      </c>
      <c r="S596" s="239">
        <f>IFERROR((HLOOKUP($AH596,Target_monthwise!$D$24:$O$40,DTR!S$4,FALSE)),0)</f>
        <v>0</v>
      </c>
      <c r="T596" s="239">
        <f>IFERROR((HLOOKUP($AH596,Target_monthwise!$D$24:$O$40,DTR!T$4,FALSE)),0)</f>
        <v>0</v>
      </c>
      <c r="U596" s="239">
        <f>IFERROR((HLOOKUP($AH596,Target_monthwise!$D$24:$O$40,DTR!U$4,FALSE)),0)</f>
        <v>0</v>
      </c>
      <c r="V596" s="239">
        <f>IFERROR((HLOOKUP($AH596,Target_monthwise!$D$24:$O$40,DTR!V$4,FALSE)),0)</f>
        <v>0</v>
      </c>
      <c r="W596" s="239">
        <f>IFERROR((HLOOKUP($AH596,Target_monthwise!$D$24:$O$40,DTR!W$4,FALSE)),0)</f>
        <v>0</v>
      </c>
      <c r="X596" s="239">
        <f>IFERROR((HLOOKUP($AH596,Target_monthwise!$D$24:$O$40,DTR!X$4,FALSE)),0)</f>
        <v>0</v>
      </c>
      <c r="Y596" s="239">
        <f>IFERROR((HLOOKUP($AH596,Target_monthwise!$D$24:$O$40,DTR!Y$4,FALSE)),0)</f>
        <v>0</v>
      </c>
      <c r="Z596" s="147">
        <f>IFERROR((HLOOKUP($AH596,Target_monthwise!$D$24:$O$40,DTR!Z$4,FALSE)),0)</f>
        <v>0</v>
      </c>
      <c r="AA596" s="147">
        <f>IFERROR((HLOOKUP($AH596,Target_monthwise!$D$24:$O$40,DTR!AA$4,FALSE)),0)</f>
        <v>0</v>
      </c>
      <c r="AB596" s="147">
        <f>IFERROR((HLOOKUP($AH596,Target_monthwise!$D$24:$O$40,DTR!AB$4,FALSE)),0)</f>
        <v>0</v>
      </c>
      <c r="AC596" s="239">
        <f>IFERROR((HLOOKUP($AH596,Target_monthwise!$D$24:$O$40,DTR!AC$4,FALSE)),0)</f>
        <v>0</v>
      </c>
      <c r="AD596" s="239">
        <f>IFERROR((HLOOKUP($AH596,Target_monthwise!$D$24:$O$40,DTR!AD$4,FALSE)),0)</f>
        <v>0</v>
      </c>
      <c r="AE596" s="239">
        <f>IFERROR((HLOOKUP($AH596,Target_monthwise!$D$24:$O$40,DTR!AE$4,FALSE)),0)</f>
        <v>0</v>
      </c>
      <c r="AF596" s="239">
        <f>IFERROR((HLOOKUP($AH596,Target_monthwise!$D$24:$O$40,DTR!AF$4,FALSE)),0)</f>
        <v>0</v>
      </c>
      <c r="AG596" s="172">
        <f>IFERROR((HLOOKUP($AH596,Target_monthwise!$D$24:$O$40,DTR!AG$4,FALSE)),0)</f>
        <v>0</v>
      </c>
      <c r="AH596" s="253">
        <f t="shared" si="11"/>
        <v>202311</v>
      </c>
    </row>
    <row r="597" spans="3:34" ht="15.75" hidden="1">
      <c r="C597" s="235">
        <v>45240</v>
      </c>
      <c r="D597" s="141">
        <f>IFERROR((HLOOKUP($AH597,Target_monthwise!$D$4:$O$20,DTR!D$4,FALSE))*1000,0)</f>
        <v>0</v>
      </c>
      <c r="E597" s="141">
        <f>IFERROR((HLOOKUP($AH597,Target_monthwise!$D$4:$O$20,DTR!E$4,FALSE))*1000,0)</f>
        <v>0</v>
      </c>
      <c r="F597" s="141">
        <f>IFERROR((HLOOKUP($AH597,Target_monthwise!$D$4:$O$20,DTR!F$4,FALSE))*1000,0)</f>
        <v>0</v>
      </c>
      <c r="G597" s="141">
        <f>IFERROR((HLOOKUP($AH597,Target_monthwise!$D$4:$O$20,DTR!G$4,FALSE))*1000,0)</f>
        <v>0</v>
      </c>
      <c r="H597" s="141">
        <f>IFERROR((HLOOKUP($AH597,Target_monthwise!$D$4:$O$20,DTR!H$4,FALSE))*1000,0)</f>
        <v>0</v>
      </c>
      <c r="I597" s="141">
        <f>IFERROR((HLOOKUP($AH597,Target_monthwise!$D$4:$O$20,DTR!I$4,FALSE))*1000,0)</f>
        <v>0</v>
      </c>
      <c r="J597" s="141">
        <f>IFERROR((HLOOKUP($AH597,Target_monthwise!$D$4:$O$20,DTR!J$4,FALSE))*1000,0)</f>
        <v>0</v>
      </c>
      <c r="K597" s="141">
        <f>IFERROR((HLOOKUP($AH597,Target_monthwise!$D$4:$O$20,DTR!K$4,FALSE))*1000,0)</f>
        <v>0</v>
      </c>
      <c r="L597" s="141">
        <f>IFERROR((HLOOKUP($AH597,Target_monthwise!$D$4:$O$20,DTR!L$4,FALSE))*1000,0)</f>
        <v>0</v>
      </c>
      <c r="M597" s="141">
        <f>IFERROR((HLOOKUP($AH597,Target_monthwise!$D$4:$O$20,DTR!M$4,FALSE))*1000,0)</f>
        <v>0</v>
      </c>
      <c r="N597" s="141">
        <f>IFERROR((HLOOKUP($AH597,Target_monthwise!$D$4:$O$20,DTR!N$4,FALSE))*1000,0)</f>
        <v>0</v>
      </c>
      <c r="O597" s="141">
        <f>IFERROR((HLOOKUP($AH597,Target_monthwise!$D$4:$O$20,DTR!O$4,FALSE))*1000,0)</f>
        <v>0</v>
      </c>
      <c r="P597" s="141">
        <f>IFERROR((HLOOKUP($AH597,Target_monthwise!$D$4:$O$20,DTR!P$4,FALSE))*1000,0)</f>
        <v>0</v>
      </c>
      <c r="Q597" s="141">
        <f>IFERROR((HLOOKUP($AH597,Target_monthwise!$D$4:$O$20,DTR!Q$4,FALSE))*1000,0)</f>
        <v>0</v>
      </c>
      <c r="R597" s="167">
        <f>IFERROR((HLOOKUP($AH597,Target_monthwise!$D$4:$O$20,DTR!R$4,FALSE))*1000,0)</f>
        <v>0</v>
      </c>
      <c r="S597" s="147">
        <f>IFERROR((HLOOKUP($AH597,Target_monthwise!$D$24:$O$40,DTR!S$4,FALSE)),0)</f>
        <v>0</v>
      </c>
      <c r="T597" s="147">
        <f>IFERROR((HLOOKUP($AH597,Target_monthwise!$D$24:$O$40,DTR!T$4,FALSE)),0)</f>
        <v>0</v>
      </c>
      <c r="U597" s="147">
        <f>IFERROR((HLOOKUP($AH597,Target_monthwise!$D$24:$O$40,DTR!U$4,FALSE)),0)</f>
        <v>0</v>
      </c>
      <c r="V597" s="147">
        <f>IFERROR((HLOOKUP($AH597,Target_monthwise!$D$24:$O$40,DTR!V$4,FALSE)),0)</f>
        <v>0</v>
      </c>
      <c r="W597" s="147">
        <f>IFERROR((HLOOKUP($AH597,Target_monthwise!$D$24:$O$40,DTR!W$4,FALSE)),0)</f>
        <v>0</v>
      </c>
      <c r="X597" s="147">
        <f>IFERROR((HLOOKUP($AH597,Target_monthwise!$D$24:$O$40,DTR!X$4,FALSE)),0)</f>
        <v>0</v>
      </c>
      <c r="Y597" s="147">
        <f>IFERROR((HLOOKUP($AH597,Target_monthwise!$D$24:$O$40,DTR!Y$4,FALSE)),0)</f>
        <v>0</v>
      </c>
      <c r="Z597" s="147">
        <f>IFERROR((HLOOKUP($AH597,Target_monthwise!$D$24:$O$40,DTR!Z$4,FALSE)),0)</f>
        <v>0</v>
      </c>
      <c r="AA597" s="147">
        <f>IFERROR((HLOOKUP($AH597,Target_monthwise!$D$24:$O$40,DTR!AA$4,FALSE)),0)</f>
        <v>0</v>
      </c>
      <c r="AB597" s="147">
        <f>IFERROR((HLOOKUP($AH597,Target_monthwise!$D$24:$O$40,DTR!AB$4,FALSE)),0)</f>
        <v>0</v>
      </c>
      <c r="AC597" s="147">
        <f>IFERROR((HLOOKUP($AH597,Target_monthwise!$D$24:$O$40,DTR!AC$4,FALSE)),0)</f>
        <v>0</v>
      </c>
      <c r="AD597" s="147">
        <f>IFERROR((HLOOKUP($AH597,Target_monthwise!$D$24:$O$40,DTR!AD$4,FALSE)),0)</f>
        <v>0</v>
      </c>
      <c r="AE597" s="147">
        <f>IFERROR((HLOOKUP($AH597,Target_monthwise!$D$24:$O$40,DTR!AE$4,FALSE)),0)</f>
        <v>0</v>
      </c>
      <c r="AF597" s="147">
        <f>IFERROR((HLOOKUP($AH597,Target_monthwise!$D$24:$O$40,DTR!AF$4,FALSE)),0)</f>
        <v>0</v>
      </c>
      <c r="AG597" s="172">
        <f>IFERROR((HLOOKUP($AH597,Target_monthwise!$D$24:$O$40,DTR!AG$4,FALSE)),0)</f>
        <v>0</v>
      </c>
      <c r="AH597" s="253">
        <f t="shared" si="11"/>
        <v>202311</v>
      </c>
    </row>
    <row r="598" spans="3:34" ht="15.75" hidden="1">
      <c r="C598" s="237">
        <v>45241</v>
      </c>
      <c r="D598" s="238">
        <f>IFERROR((HLOOKUP($AH598,Target_monthwise!$D$4:$O$20,DTR!D$4,FALSE))*1000,0)</f>
        <v>0</v>
      </c>
      <c r="E598" s="238">
        <f>IFERROR((HLOOKUP($AH598,Target_monthwise!$D$4:$O$20,DTR!E$4,FALSE))*1000,0)</f>
        <v>0</v>
      </c>
      <c r="F598" s="238">
        <f>IFERROR((HLOOKUP($AH598,Target_monthwise!$D$4:$O$20,DTR!F$4,FALSE))*1000,0)</f>
        <v>0</v>
      </c>
      <c r="G598" s="238">
        <f>IFERROR((HLOOKUP($AH598,Target_monthwise!$D$4:$O$20,DTR!G$4,FALSE))*1000,0)</f>
        <v>0</v>
      </c>
      <c r="H598" s="238">
        <f>IFERROR((HLOOKUP($AH598,Target_monthwise!$D$4:$O$20,DTR!H$4,FALSE))*1000,0)</f>
        <v>0</v>
      </c>
      <c r="I598" s="238">
        <f>IFERROR((HLOOKUP($AH598,Target_monthwise!$D$4:$O$20,DTR!I$4,FALSE))*1000,0)</f>
        <v>0</v>
      </c>
      <c r="J598" s="238">
        <f>IFERROR((HLOOKUP($AH598,Target_monthwise!$D$4:$O$20,DTR!J$4,FALSE))*1000,0)</f>
        <v>0</v>
      </c>
      <c r="K598" s="238">
        <f>IFERROR((HLOOKUP($AH598,Target_monthwise!$D$4:$O$20,DTR!K$4,FALSE))*1000,0)</f>
        <v>0</v>
      </c>
      <c r="L598" s="238">
        <f>IFERROR((HLOOKUP($AH598,Target_monthwise!$D$4:$O$20,DTR!L$4,FALSE))*1000,0)</f>
        <v>0</v>
      </c>
      <c r="M598" s="238">
        <f>IFERROR((HLOOKUP($AH598,Target_monthwise!$D$4:$O$20,DTR!M$4,FALSE))*1000,0)</f>
        <v>0</v>
      </c>
      <c r="N598" s="238">
        <f>IFERROR((HLOOKUP($AH598,Target_monthwise!$D$4:$O$20,DTR!N$4,FALSE))*1000,0)</f>
        <v>0</v>
      </c>
      <c r="O598" s="238">
        <f>IFERROR((HLOOKUP($AH598,Target_monthwise!$D$4:$O$20,DTR!O$4,FALSE))*1000,0)</f>
        <v>0</v>
      </c>
      <c r="P598" s="238">
        <f>IFERROR((HLOOKUP($AH598,Target_monthwise!$D$4:$O$20,DTR!P$4,FALSE))*1000,0)</f>
        <v>0</v>
      </c>
      <c r="Q598" s="141">
        <f>IFERROR((HLOOKUP($AH598,Target_monthwise!$D$4:$O$20,DTR!Q$4,FALSE))*1000,0)</f>
        <v>0</v>
      </c>
      <c r="R598" s="167">
        <f>IFERROR((HLOOKUP($AH598,Target_monthwise!$D$4:$O$20,DTR!R$4,FALSE))*1000,0)</f>
        <v>0</v>
      </c>
      <c r="S598" s="239">
        <f>IFERROR((HLOOKUP($AH598,Target_monthwise!$D$24:$O$40,DTR!S$4,FALSE)),0)</f>
        <v>0</v>
      </c>
      <c r="T598" s="239">
        <f>IFERROR((HLOOKUP($AH598,Target_monthwise!$D$24:$O$40,DTR!T$4,FALSE)),0)</f>
        <v>0</v>
      </c>
      <c r="U598" s="239">
        <f>IFERROR((HLOOKUP($AH598,Target_monthwise!$D$24:$O$40,DTR!U$4,FALSE)),0)</f>
        <v>0</v>
      </c>
      <c r="V598" s="239">
        <f>IFERROR((HLOOKUP($AH598,Target_monthwise!$D$24:$O$40,DTR!V$4,FALSE)),0)</f>
        <v>0</v>
      </c>
      <c r="W598" s="239">
        <f>IFERROR((HLOOKUP($AH598,Target_monthwise!$D$24:$O$40,DTR!W$4,FALSE)),0)</f>
        <v>0</v>
      </c>
      <c r="X598" s="239">
        <f>IFERROR((HLOOKUP($AH598,Target_monthwise!$D$24:$O$40,DTR!X$4,FALSE)),0)</f>
        <v>0</v>
      </c>
      <c r="Y598" s="239">
        <f>IFERROR((HLOOKUP($AH598,Target_monthwise!$D$24:$O$40,DTR!Y$4,FALSE)),0)</f>
        <v>0</v>
      </c>
      <c r="Z598" s="147">
        <f>IFERROR((HLOOKUP($AH598,Target_monthwise!$D$24:$O$40,DTR!Z$4,FALSE)),0)</f>
        <v>0</v>
      </c>
      <c r="AA598" s="147">
        <f>IFERROR((HLOOKUP($AH598,Target_monthwise!$D$24:$O$40,DTR!AA$4,FALSE)),0)</f>
        <v>0</v>
      </c>
      <c r="AB598" s="147">
        <f>IFERROR((HLOOKUP($AH598,Target_monthwise!$D$24:$O$40,DTR!AB$4,FALSE)),0)</f>
        <v>0</v>
      </c>
      <c r="AC598" s="239">
        <f>IFERROR((HLOOKUP($AH598,Target_monthwise!$D$24:$O$40,DTR!AC$4,FALSE)),0)</f>
        <v>0</v>
      </c>
      <c r="AD598" s="239">
        <f>IFERROR((HLOOKUP($AH598,Target_monthwise!$D$24:$O$40,DTR!AD$4,FALSE)),0)</f>
        <v>0</v>
      </c>
      <c r="AE598" s="239">
        <f>IFERROR((HLOOKUP($AH598,Target_monthwise!$D$24:$O$40,DTR!AE$4,FALSE)),0)</f>
        <v>0</v>
      </c>
      <c r="AF598" s="239">
        <f>IFERROR((HLOOKUP($AH598,Target_monthwise!$D$24:$O$40,DTR!AF$4,FALSE)),0)</f>
        <v>0</v>
      </c>
      <c r="AG598" s="172">
        <f>IFERROR((HLOOKUP($AH598,Target_monthwise!$D$24:$O$40,DTR!AG$4,FALSE)),0)</f>
        <v>0</v>
      </c>
      <c r="AH598" s="253">
        <f t="shared" si="11"/>
        <v>202311</v>
      </c>
    </row>
    <row r="599" spans="3:34" ht="15.75" hidden="1">
      <c r="C599" s="235">
        <v>45242</v>
      </c>
      <c r="D599" s="141">
        <f>IFERROR((HLOOKUP($AH599,Target_monthwise!$D$4:$O$20,DTR!D$4,FALSE))*1000,0)</f>
        <v>0</v>
      </c>
      <c r="E599" s="141">
        <f>IFERROR((HLOOKUP($AH599,Target_monthwise!$D$4:$O$20,DTR!E$4,FALSE))*1000,0)</f>
        <v>0</v>
      </c>
      <c r="F599" s="141">
        <f>IFERROR((HLOOKUP($AH599,Target_monthwise!$D$4:$O$20,DTR!F$4,FALSE))*1000,0)</f>
        <v>0</v>
      </c>
      <c r="G599" s="141">
        <f>IFERROR((HLOOKUP($AH599,Target_monthwise!$D$4:$O$20,DTR!G$4,FALSE))*1000,0)</f>
        <v>0</v>
      </c>
      <c r="H599" s="141">
        <f>IFERROR((HLOOKUP($AH599,Target_monthwise!$D$4:$O$20,DTR!H$4,FALSE))*1000,0)</f>
        <v>0</v>
      </c>
      <c r="I599" s="141">
        <f>IFERROR((HLOOKUP($AH599,Target_monthwise!$D$4:$O$20,DTR!I$4,FALSE))*1000,0)</f>
        <v>0</v>
      </c>
      <c r="J599" s="141">
        <f>IFERROR((HLOOKUP($AH599,Target_monthwise!$D$4:$O$20,DTR!J$4,FALSE))*1000,0)</f>
        <v>0</v>
      </c>
      <c r="K599" s="141">
        <f>IFERROR((HLOOKUP($AH599,Target_monthwise!$D$4:$O$20,DTR!K$4,FALSE))*1000,0)</f>
        <v>0</v>
      </c>
      <c r="L599" s="141">
        <f>IFERROR((HLOOKUP($AH599,Target_monthwise!$D$4:$O$20,DTR!L$4,FALSE))*1000,0)</f>
        <v>0</v>
      </c>
      <c r="M599" s="141">
        <f>IFERROR((HLOOKUP($AH599,Target_monthwise!$D$4:$O$20,DTR!M$4,FALSE))*1000,0)</f>
        <v>0</v>
      </c>
      <c r="N599" s="141">
        <f>IFERROR((HLOOKUP($AH599,Target_monthwise!$D$4:$O$20,DTR!N$4,FALSE))*1000,0)</f>
        <v>0</v>
      </c>
      <c r="O599" s="141">
        <f>IFERROR((HLOOKUP($AH599,Target_monthwise!$D$4:$O$20,DTR!O$4,FALSE))*1000,0)</f>
        <v>0</v>
      </c>
      <c r="P599" s="141">
        <f>IFERROR((HLOOKUP($AH599,Target_monthwise!$D$4:$O$20,DTR!P$4,FALSE))*1000,0)</f>
        <v>0</v>
      </c>
      <c r="Q599" s="141">
        <f>IFERROR((HLOOKUP($AH599,Target_monthwise!$D$4:$O$20,DTR!Q$4,FALSE))*1000,0)</f>
        <v>0</v>
      </c>
      <c r="R599" s="167">
        <f>IFERROR((HLOOKUP($AH599,Target_monthwise!$D$4:$O$20,DTR!R$4,FALSE))*1000,0)</f>
        <v>0</v>
      </c>
      <c r="S599" s="147">
        <f>IFERROR((HLOOKUP($AH599,Target_monthwise!$D$24:$O$40,DTR!S$4,FALSE)),0)</f>
        <v>0</v>
      </c>
      <c r="T599" s="147">
        <f>IFERROR((HLOOKUP($AH599,Target_monthwise!$D$24:$O$40,DTR!T$4,FALSE)),0)</f>
        <v>0</v>
      </c>
      <c r="U599" s="147">
        <f>IFERROR((HLOOKUP($AH599,Target_monthwise!$D$24:$O$40,DTR!U$4,FALSE)),0)</f>
        <v>0</v>
      </c>
      <c r="V599" s="147">
        <f>IFERROR((HLOOKUP($AH599,Target_monthwise!$D$24:$O$40,DTR!V$4,FALSE)),0)</f>
        <v>0</v>
      </c>
      <c r="W599" s="147">
        <f>IFERROR((HLOOKUP($AH599,Target_monthwise!$D$24:$O$40,DTR!W$4,FALSE)),0)</f>
        <v>0</v>
      </c>
      <c r="X599" s="147">
        <f>IFERROR((HLOOKUP($AH599,Target_monthwise!$D$24:$O$40,DTR!X$4,FALSE)),0)</f>
        <v>0</v>
      </c>
      <c r="Y599" s="147">
        <f>IFERROR((HLOOKUP($AH599,Target_monthwise!$D$24:$O$40,DTR!Y$4,FALSE)),0)</f>
        <v>0</v>
      </c>
      <c r="Z599" s="147">
        <f>IFERROR((HLOOKUP($AH599,Target_monthwise!$D$24:$O$40,DTR!Z$4,FALSE)),0)</f>
        <v>0</v>
      </c>
      <c r="AA599" s="147">
        <f>IFERROR((HLOOKUP($AH599,Target_monthwise!$D$24:$O$40,DTR!AA$4,FALSE)),0)</f>
        <v>0</v>
      </c>
      <c r="AB599" s="147">
        <f>IFERROR((HLOOKUP($AH599,Target_monthwise!$D$24:$O$40,DTR!AB$4,FALSE)),0)</f>
        <v>0</v>
      </c>
      <c r="AC599" s="147">
        <f>IFERROR((HLOOKUP($AH599,Target_monthwise!$D$24:$O$40,DTR!AC$4,FALSE)),0)</f>
        <v>0</v>
      </c>
      <c r="AD599" s="147">
        <f>IFERROR((HLOOKUP($AH599,Target_monthwise!$D$24:$O$40,DTR!AD$4,FALSE)),0)</f>
        <v>0</v>
      </c>
      <c r="AE599" s="147">
        <f>IFERROR((HLOOKUP($AH599,Target_monthwise!$D$24:$O$40,DTR!AE$4,FALSE)),0)</f>
        <v>0</v>
      </c>
      <c r="AF599" s="147">
        <f>IFERROR((HLOOKUP($AH599,Target_monthwise!$D$24:$O$40,DTR!AF$4,FALSE)),0)</f>
        <v>0</v>
      </c>
      <c r="AG599" s="172">
        <f>IFERROR((HLOOKUP($AH599,Target_monthwise!$D$24:$O$40,DTR!AG$4,FALSE)),0)</f>
        <v>0</v>
      </c>
      <c r="AH599" s="253">
        <f t="shared" si="11"/>
        <v>202311</v>
      </c>
    </row>
    <row r="600" spans="3:34" ht="15.75" hidden="1">
      <c r="C600" s="237">
        <v>45243</v>
      </c>
      <c r="D600" s="238">
        <f>IFERROR((HLOOKUP($AH600,Target_monthwise!$D$4:$O$20,DTR!D$4,FALSE))*1000,0)</f>
        <v>0</v>
      </c>
      <c r="E600" s="238">
        <f>IFERROR((HLOOKUP($AH600,Target_monthwise!$D$4:$O$20,DTR!E$4,FALSE))*1000,0)</f>
        <v>0</v>
      </c>
      <c r="F600" s="238">
        <f>IFERROR((HLOOKUP($AH600,Target_monthwise!$D$4:$O$20,DTR!F$4,FALSE))*1000,0)</f>
        <v>0</v>
      </c>
      <c r="G600" s="238">
        <f>IFERROR((HLOOKUP($AH600,Target_monthwise!$D$4:$O$20,DTR!G$4,FALSE))*1000,0)</f>
        <v>0</v>
      </c>
      <c r="H600" s="238">
        <f>IFERROR((HLOOKUP($AH600,Target_monthwise!$D$4:$O$20,DTR!H$4,FALSE))*1000,0)</f>
        <v>0</v>
      </c>
      <c r="I600" s="238">
        <f>IFERROR((HLOOKUP($AH600,Target_monthwise!$D$4:$O$20,DTR!I$4,FALSE))*1000,0)</f>
        <v>0</v>
      </c>
      <c r="J600" s="238">
        <f>IFERROR((HLOOKUP($AH600,Target_monthwise!$D$4:$O$20,DTR!J$4,FALSE))*1000,0)</f>
        <v>0</v>
      </c>
      <c r="K600" s="238">
        <f>IFERROR((HLOOKUP($AH600,Target_monthwise!$D$4:$O$20,DTR!K$4,FALSE))*1000,0)</f>
        <v>0</v>
      </c>
      <c r="L600" s="238">
        <f>IFERROR((HLOOKUP($AH600,Target_monthwise!$D$4:$O$20,DTR!L$4,FALSE))*1000,0)</f>
        <v>0</v>
      </c>
      <c r="M600" s="238">
        <f>IFERROR((HLOOKUP($AH600,Target_monthwise!$D$4:$O$20,DTR!M$4,FALSE))*1000,0)</f>
        <v>0</v>
      </c>
      <c r="N600" s="238">
        <f>IFERROR((HLOOKUP($AH600,Target_monthwise!$D$4:$O$20,DTR!N$4,FALSE))*1000,0)</f>
        <v>0</v>
      </c>
      <c r="O600" s="238">
        <f>IFERROR((HLOOKUP($AH600,Target_monthwise!$D$4:$O$20,DTR!O$4,FALSE))*1000,0)</f>
        <v>0</v>
      </c>
      <c r="P600" s="238">
        <f>IFERROR((HLOOKUP($AH600,Target_monthwise!$D$4:$O$20,DTR!P$4,FALSE))*1000,0)</f>
        <v>0</v>
      </c>
      <c r="Q600" s="141">
        <f>IFERROR((HLOOKUP($AH600,Target_monthwise!$D$4:$O$20,DTR!Q$4,FALSE))*1000,0)</f>
        <v>0</v>
      </c>
      <c r="R600" s="167">
        <f>IFERROR((HLOOKUP($AH600,Target_monthwise!$D$4:$O$20,DTR!R$4,FALSE))*1000,0)</f>
        <v>0</v>
      </c>
      <c r="S600" s="239">
        <f>IFERROR((HLOOKUP($AH600,Target_monthwise!$D$24:$O$40,DTR!S$4,FALSE)),0)</f>
        <v>0</v>
      </c>
      <c r="T600" s="239">
        <f>IFERROR((HLOOKUP($AH600,Target_monthwise!$D$24:$O$40,DTR!T$4,FALSE)),0)</f>
        <v>0</v>
      </c>
      <c r="U600" s="239">
        <f>IFERROR((HLOOKUP($AH600,Target_monthwise!$D$24:$O$40,DTR!U$4,FALSE)),0)</f>
        <v>0</v>
      </c>
      <c r="V600" s="239">
        <f>IFERROR((HLOOKUP($AH600,Target_monthwise!$D$24:$O$40,DTR!V$4,FALSE)),0)</f>
        <v>0</v>
      </c>
      <c r="W600" s="239">
        <f>IFERROR((HLOOKUP($AH600,Target_monthwise!$D$24:$O$40,DTR!W$4,FALSE)),0)</f>
        <v>0</v>
      </c>
      <c r="X600" s="239">
        <f>IFERROR((HLOOKUP($AH600,Target_monthwise!$D$24:$O$40,DTR!X$4,FALSE)),0)</f>
        <v>0</v>
      </c>
      <c r="Y600" s="239">
        <f>IFERROR((HLOOKUP($AH600,Target_monthwise!$D$24:$O$40,DTR!Y$4,FALSE)),0)</f>
        <v>0</v>
      </c>
      <c r="Z600" s="147">
        <f>IFERROR((HLOOKUP($AH600,Target_monthwise!$D$24:$O$40,DTR!Z$4,FALSE)),0)</f>
        <v>0</v>
      </c>
      <c r="AA600" s="147">
        <f>IFERROR((HLOOKUP($AH600,Target_monthwise!$D$24:$O$40,DTR!AA$4,FALSE)),0)</f>
        <v>0</v>
      </c>
      <c r="AB600" s="147">
        <f>IFERROR((HLOOKUP($AH600,Target_monthwise!$D$24:$O$40,DTR!AB$4,FALSE)),0)</f>
        <v>0</v>
      </c>
      <c r="AC600" s="239">
        <f>IFERROR((HLOOKUP($AH600,Target_monthwise!$D$24:$O$40,DTR!AC$4,FALSE)),0)</f>
        <v>0</v>
      </c>
      <c r="AD600" s="239">
        <f>IFERROR((HLOOKUP($AH600,Target_monthwise!$D$24:$O$40,DTR!AD$4,FALSE)),0)</f>
        <v>0</v>
      </c>
      <c r="AE600" s="239">
        <f>IFERROR((HLOOKUP($AH600,Target_monthwise!$D$24:$O$40,DTR!AE$4,FALSE)),0)</f>
        <v>0</v>
      </c>
      <c r="AF600" s="239">
        <f>IFERROR((HLOOKUP($AH600,Target_monthwise!$D$24:$O$40,DTR!AF$4,FALSE)),0)</f>
        <v>0</v>
      </c>
      <c r="AG600" s="172">
        <f>IFERROR((HLOOKUP($AH600,Target_monthwise!$D$24:$O$40,DTR!AG$4,FALSE)),0)</f>
        <v>0</v>
      </c>
      <c r="AH600" s="253">
        <f t="shared" si="11"/>
        <v>202311</v>
      </c>
    </row>
    <row r="601" spans="3:34" ht="15.75" hidden="1">
      <c r="C601" s="235">
        <v>45244</v>
      </c>
      <c r="D601" s="141">
        <f>IFERROR((HLOOKUP($AH601,Target_monthwise!$D$4:$O$20,DTR!D$4,FALSE))*1000,0)</f>
        <v>0</v>
      </c>
      <c r="E601" s="141">
        <f>IFERROR((HLOOKUP($AH601,Target_monthwise!$D$4:$O$20,DTR!E$4,FALSE))*1000,0)</f>
        <v>0</v>
      </c>
      <c r="F601" s="141">
        <f>IFERROR((HLOOKUP($AH601,Target_monthwise!$D$4:$O$20,DTR!F$4,FALSE))*1000,0)</f>
        <v>0</v>
      </c>
      <c r="G601" s="141">
        <f>IFERROR((HLOOKUP($AH601,Target_monthwise!$D$4:$O$20,DTR!G$4,FALSE))*1000,0)</f>
        <v>0</v>
      </c>
      <c r="H601" s="141">
        <f>IFERROR((HLOOKUP($AH601,Target_monthwise!$D$4:$O$20,DTR!H$4,FALSE))*1000,0)</f>
        <v>0</v>
      </c>
      <c r="I601" s="141">
        <f>IFERROR((HLOOKUP($AH601,Target_monthwise!$D$4:$O$20,DTR!I$4,FALSE))*1000,0)</f>
        <v>0</v>
      </c>
      <c r="J601" s="141">
        <f>IFERROR((HLOOKUP($AH601,Target_monthwise!$D$4:$O$20,DTR!J$4,FALSE))*1000,0)</f>
        <v>0</v>
      </c>
      <c r="K601" s="141">
        <f>IFERROR((HLOOKUP($AH601,Target_monthwise!$D$4:$O$20,DTR!K$4,FALSE))*1000,0)</f>
        <v>0</v>
      </c>
      <c r="L601" s="141">
        <f>IFERROR((HLOOKUP($AH601,Target_monthwise!$D$4:$O$20,DTR!L$4,FALSE))*1000,0)</f>
        <v>0</v>
      </c>
      <c r="M601" s="141">
        <f>IFERROR((HLOOKUP($AH601,Target_monthwise!$D$4:$O$20,DTR!M$4,FALSE))*1000,0)</f>
        <v>0</v>
      </c>
      <c r="N601" s="141">
        <f>IFERROR((HLOOKUP($AH601,Target_monthwise!$D$4:$O$20,DTR!N$4,FALSE))*1000,0)</f>
        <v>0</v>
      </c>
      <c r="O601" s="141">
        <f>IFERROR((HLOOKUP($AH601,Target_monthwise!$D$4:$O$20,DTR!O$4,FALSE))*1000,0)</f>
        <v>0</v>
      </c>
      <c r="P601" s="141">
        <f>IFERROR((HLOOKUP($AH601,Target_monthwise!$D$4:$O$20,DTR!P$4,FALSE))*1000,0)</f>
        <v>0</v>
      </c>
      <c r="Q601" s="141">
        <f>IFERROR((HLOOKUP($AH601,Target_monthwise!$D$4:$O$20,DTR!Q$4,FALSE))*1000,0)</f>
        <v>0</v>
      </c>
      <c r="R601" s="167">
        <f>IFERROR((HLOOKUP($AH601,Target_monthwise!$D$4:$O$20,DTR!R$4,FALSE))*1000,0)</f>
        <v>0</v>
      </c>
      <c r="S601" s="147">
        <f>IFERROR((HLOOKUP($AH601,Target_monthwise!$D$24:$O$40,DTR!S$4,FALSE)),0)</f>
        <v>0</v>
      </c>
      <c r="T601" s="147">
        <f>IFERROR((HLOOKUP($AH601,Target_monthwise!$D$24:$O$40,DTR!T$4,FALSE)),0)</f>
        <v>0</v>
      </c>
      <c r="U601" s="147">
        <f>IFERROR((HLOOKUP($AH601,Target_monthwise!$D$24:$O$40,DTR!U$4,FALSE)),0)</f>
        <v>0</v>
      </c>
      <c r="V601" s="147">
        <f>IFERROR((HLOOKUP($AH601,Target_monthwise!$D$24:$O$40,DTR!V$4,FALSE)),0)</f>
        <v>0</v>
      </c>
      <c r="W601" s="147">
        <f>IFERROR((HLOOKUP($AH601,Target_monthwise!$D$24:$O$40,DTR!W$4,FALSE)),0)</f>
        <v>0</v>
      </c>
      <c r="X601" s="147">
        <f>IFERROR((HLOOKUP($AH601,Target_monthwise!$D$24:$O$40,DTR!X$4,FALSE)),0)</f>
        <v>0</v>
      </c>
      <c r="Y601" s="147">
        <f>IFERROR((HLOOKUP($AH601,Target_monthwise!$D$24:$O$40,DTR!Y$4,FALSE)),0)</f>
        <v>0</v>
      </c>
      <c r="Z601" s="147">
        <f>IFERROR((HLOOKUP($AH601,Target_monthwise!$D$24:$O$40,DTR!Z$4,FALSE)),0)</f>
        <v>0</v>
      </c>
      <c r="AA601" s="147">
        <f>IFERROR((HLOOKUP($AH601,Target_monthwise!$D$24:$O$40,DTR!AA$4,FALSE)),0)</f>
        <v>0</v>
      </c>
      <c r="AB601" s="147">
        <f>IFERROR((HLOOKUP($AH601,Target_monthwise!$D$24:$O$40,DTR!AB$4,FALSE)),0)</f>
        <v>0</v>
      </c>
      <c r="AC601" s="147">
        <f>IFERROR((HLOOKUP($AH601,Target_monthwise!$D$24:$O$40,DTR!AC$4,FALSE)),0)</f>
        <v>0</v>
      </c>
      <c r="AD601" s="147">
        <f>IFERROR((HLOOKUP($AH601,Target_monthwise!$D$24:$O$40,DTR!AD$4,FALSE)),0)</f>
        <v>0</v>
      </c>
      <c r="AE601" s="147">
        <f>IFERROR((HLOOKUP($AH601,Target_monthwise!$D$24:$O$40,DTR!AE$4,FALSE)),0)</f>
        <v>0</v>
      </c>
      <c r="AF601" s="147">
        <f>IFERROR((HLOOKUP($AH601,Target_monthwise!$D$24:$O$40,DTR!AF$4,FALSE)),0)</f>
        <v>0</v>
      </c>
      <c r="AG601" s="172">
        <f>IFERROR((HLOOKUP($AH601,Target_monthwise!$D$24:$O$40,DTR!AG$4,FALSE)),0)</f>
        <v>0</v>
      </c>
      <c r="AH601" s="253">
        <f t="shared" si="11"/>
        <v>202311</v>
      </c>
    </row>
    <row r="602" spans="3:34" ht="15.75" hidden="1">
      <c r="C602" s="237">
        <v>45245</v>
      </c>
      <c r="D602" s="238">
        <f>IFERROR((HLOOKUP($AH602,Target_monthwise!$D$4:$O$20,DTR!D$4,FALSE))*1000,0)</f>
        <v>0</v>
      </c>
      <c r="E602" s="238">
        <f>IFERROR((HLOOKUP($AH602,Target_monthwise!$D$4:$O$20,DTR!E$4,FALSE))*1000,0)</f>
        <v>0</v>
      </c>
      <c r="F602" s="238">
        <f>IFERROR((HLOOKUP($AH602,Target_monthwise!$D$4:$O$20,DTR!F$4,FALSE))*1000,0)</f>
        <v>0</v>
      </c>
      <c r="G602" s="238">
        <f>IFERROR((HLOOKUP($AH602,Target_monthwise!$D$4:$O$20,DTR!G$4,FALSE))*1000,0)</f>
        <v>0</v>
      </c>
      <c r="H602" s="238">
        <f>IFERROR((HLOOKUP($AH602,Target_monthwise!$D$4:$O$20,DTR!H$4,FALSE))*1000,0)</f>
        <v>0</v>
      </c>
      <c r="I602" s="238">
        <f>IFERROR((HLOOKUP($AH602,Target_monthwise!$D$4:$O$20,DTR!I$4,FALSE))*1000,0)</f>
        <v>0</v>
      </c>
      <c r="J602" s="238">
        <f>IFERROR((HLOOKUP($AH602,Target_monthwise!$D$4:$O$20,DTR!J$4,FALSE))*1000,0)</f>
        <v>0</v>
      </c>
      <c r="K602" s="238">
        <f>IFERROR((HLOOKUP($AH602,Target_monthwise!$D$4:$O$20,DTR!K$4,FALSE))*1000,0)</f>
        <v>0</v>
      </c>
      <c r="L602" s="238">
        <f>IFERROR((HLOOKUP($AH602,Target_monthwise!$D$4:$O$20,DTR!L$4,FALSE))*1000,0)</f>
        <v>0</v>
      </c>
      <c r="M602" s="238">
        <f>IFERROR((HLOOKUP($AH602,Target_monthwise!$D$4:$O$20,DTR!M$4,FALSE))*1000,0)</f>
        <v>0</v>
      </c>
      <c r="N602" s="238">
        <f>IFERROR((HLOOKUP($AH602,Target_monthwise!$D$4:$O$20,DTR!N$4,FALSE))*1000,0)</f>
        <v>0</v>
      </c>
      <c r="O602" s="238">
        <f>IFERROR((HLOOKUP($AH602,Target_monthwise!$D$4:$O$20,DTR!O$4,FALSE))*1000,0)</f>
        <v>0</v>
      </c>
      <c r="P602" s="238">
        <f>IFERROR((HLOOKUP($AH602,Target_monthwise!$D$4:$O$20,DTR!P$4,FALSE))*1000,0)</f>
        <v>0</v>
      </c>
      <c r="Q602" s="141">
        <f>IFERROR((HLOOKUP($AH602,Target_monthwise!$D$4:$O$20,DTR!Q$4,FALSE))*1000,0)</f>
        <v>0</v>
      </c>
      <c r="R602" s="167">
        <f>IFERROR((HLOOKUP($AH602,Target_monthwise!$D$4:$O$20,DTR!R$4,FALSE))*1000,0)</f>
        <v>0</v>
      </c>
      <c r="S602" s="239">
        <f>IFERROR((HLOOKUP($AH602,Target_monthwise!$D$24:$O$40,DTR!S$4,FALSE)),0)</f>
        <v>0</v>
      </c>
      <c r="T602" s="239">
        <f>IFERROR((HLOOKUP($AH602,Target_monthwise!$D$24:$O$40,DTR!T$4,FALSE)),0)</f>
        <v>0</v>
      </c>
      <c r="U602" s="239">
        <f>IFERROR((HLOOKUP($AH602,Target_monthwise!$D$24:$O$40,DTR!U$4,FALSE)),0)</f>
        <v>0</v>
      </c>
      <c r="V602" s="239">
        <f>IFERROR((HLOOKUP($AH602,Target_monthwise!$D$24:$O$40,DTR!V$4,FALSE)),0)</f>
        <v>0</v>
      </c>
      <c r="W602" s="239">
        <f>IFERROR((HLOOKUP($AH602,Target_monthwise!$D$24:$O$40,DTR!W$4,FALSE)),0)</f>
        <v>0</v>
      </c>
      <c r="X602" s="239">
        <f>IFERROR((HLOOKUP($AH602,Target_monthwise!$D$24:$O$40,DTR!X$4,FALSE)),0)</f>
        <v>0</v>
      </c>
      <c r="Y602" s="239">
        <f>IFERROR((HLOOKUP($AH602,Target_monthwise!$D$24:$O$40,DTR!Y$4,FALSE)),0)</f>
        <v>0</v>
      </c>
      <c r="Z602" s="147">
        <f>IFERROR((HLOOKUP($AH602,Target_monthwise!$D$24:$O$40,DTR!Z$4,FALSE)),0)</f>
        <v>0</v>
      </c>
      <c r="AA602" s="147">
        <f>IFERROR((HLOOKUP($AH602,Target_monthwise!$D$24:$O$40,DTR!AA$4,FALSE)),0)</f>
        <v>0</v>
      </c>
      <c r="AB602" s="147">
        <f>IFERROR((HLOOKUP($AH602,Target_monthwise!$D$24:$O$40,DTR!AB$4,FALSE)),0)</f>
        <v>0</v>
      </c>
      <c r="AC602" s="239">
        <f>IFERROR((HLOOKUP($AH602,Target_monthwise!$D$24:$O$40,DTR!AC$4,FALSE)),0)</f>
        <v>0</v>
      </c>
      <c r="AD602" s="239">
        <f>IFERROR((HLOOKUP($AH602,Target_monthwise!$D$24:$O$40,DTR!AD$4,FALSE)),0)</f>
        <v>0</v>
      </c>
      <c r="AE602" s="239">
        <f>IFERROR((HLOOKUP($AH602,Target_monthwise!$D$24:$O$40,DTR!AE$4,FALSE)),0)</f>
        <v>0</v>
      </c>
      <c r="AF602" s="239">
        <f>IFERROR((HLOOKUP($AH602,Target_monthwise!$D$24:$O$40,DTR!AF$4,FALSE)),0)</f>
        <v>0</v>
      </c>
      <c r="AG602" s="172">
        <f>IFERROR((HLOOKUP($AH602,Target_monthwise!$D$24:$O$40,DTR!AG$4,FALSE)),0)</f>
        <v>0</v>
      </c>
      <c r="AH602" s="253">
        <f t="shared" si="11"/>
        <v>202311</v>
      </c>
    </row>
    <row r="603" spans="3:34" ht="15.75" hidden="1">
      <c r="C603" s="235">
        <v>45246</v>
      </c>
      <c r="D603" s="141">
        <f>IFERROR((HLOOKUP($AH603,Target_monthwise!$D$4:$O$20,DTR!D$4,FALSE))*1000,0)</f>
        <v>0</v>
      </c>
      <c r="E603" s="141">
        <f>IFERROR((HLOOKUP($AH603,Target_monthwise!$D$4:$O$20,DTR!E$4,FALSE))*1000,0)</f>
        <v>0</v>
      </c>
      <c r="F603" s="141">
        <f>IFERROR((HLOOKUP($AH603,Target_monthwise!$D$4:$O$20,DTR!F$4,FALSE))*1000,0)</f>
        <v>0</v>
      </c>
      <c r="G603" s="141">
        <f>IFERROR((HLOOKUP($AH603,Target_monthwise!$D$4:$O$20,DTR!G$4,FALSE))*1000,0)</f>
        <v>0</v>
      </c>
      <c r="H603" s="141">
        <f>IFERROR((HLOOKUP($AH603,Target_monthwise!$D$4:$O$20,DTR!H$4,FALSE))*1000,0)</f>
        <v>0</v>
      </c>
      <c r="I603" s="141">
        <f>IFERROR((HLOOKUP($AH603,Target_monthwise!$D$4:$O$20,DTR!I$4,FALSE))*1000,0)</f>
        <v>0</v>
      </c>
      <c r="J603" s="141">
        <f>IFERROR((HLOOKUP($AH603,Target_monthwise!$D$4:$O$20,DTR!J$4,FALSE))*1000,0)</f>
        <v>0</v>
      </c>
      <c r="K603" s="141">
        <f>IFERROR((HLOOKUP($AH603,Target_monthwise!$D$4:$O$20,DTR!K$4,FALSE))*1000,0)</f>
        <v>0</v>
      </c>
      <c r="L603" s="141">
        <f>IFERROR((HLOOKUP($AH603,Target_monthwise!$D$4:$O$20,DTR!L$4,FALSE))*1000,0)</f>
        <v>0</v>
      </c>
      <c r="M603" s="141">
        <f>IFERROR((HLOOKUP($AH603,Target_monthwise!$D$4:$O$20,DTR!M$4,FALSE))*1000,0)</f>
        <v>0</v>
      </c>
      <c r="N603" s="141">
        <f>IFERROR((HLOOKUP($AH603,Target_monthwise!$D$4:$O$20,DTR!N$4,FALSE))*1000,0)</f>
        <v>0</v>
      </c>
      <c r="O603" s="141">
        <f>IFERROR((HLOOKUP($AH603,Target_monthwise!$D$4:$O$20,DTR!O$4,FALSE))*1000,0)</f>
        <v>0</v>
      </c>
      <c r="P603" s="141">
        <f>IFERROR((HLOOKUP($AH603,Target_monthwise!$D$4:$O$20,DTR!P$4,FALSE))*1000,0)</f>
        <v>0</v>
      </c>
      <c r="Q603" s="141">
        <f>IFERROR((HLOOKUP($AH603,Target_monthwise!$D$4:$O$20,DTR!Q$4,FALSE))*1000,0)</f>
        <v>0</v>
      </c>
      <c r="R603" s="167">
        <f>IFERROR((HLOOKUP($AH603,Target_monthwise!$D$4:$O$20,DTR!R$4,FALSE))*1000,0)</f>
        <v>0</v>
      </c>
      <c r="S603" s="147">
        <f>IFERROR((HLOOKUP($AH603,Target_monthwise!$D$24:$O$40,DTR!S$4,FALSE)),0)</f>
        <v>0</v>
      </c>
      <c r="T603" s="147">
        <f>IFERROR((HLOOKUP($AH603,Target_monthwise!$D$24:$O$40,DTR!T$4,FALSE)),0)</f>
        <v>0</v>
      </c>
      <c r="U603" s="147">
        <f>IFERROR((HLOOKUP($AH603,Target_monthwise!$D$24:$O$40,DTR!U$4,FALSE)),0)</f>
        <v>0</v>
      </c>
      <c r="V603" s="147">
        <f>IFERROR((HLOOKUP($AH603,Target_monthwise!$D$24:$O$40,DTR!V$4,FALSE)),0)</f>
        <v>0</v>
      </c>
      <c r="W603" s="147">
        <f>IFERROR((HLOOKUP($AH603,Target_monthwise!$D$24:$O$40,DTR!W$4,FALSE)),0)</f>
        <v>0</v>
      </c>
      <c r="X603" s="147">
        <f>IFERROR((HLOOKUP($AH603,Target_monthwise!$D$24:$O$40,DTR!X$4,FALSE)),0)</f>
        <v>0</v>
      </c>
      <c r="Y603" s="147">
        <f>IFERROR((HLOOKUP($AH603,Target_monthwise!$D$24:$O$40,DTR!Y$4,FALSE)),0)</f>
        <v>0</v>
      </c>
      <c r="Z603" s="147">
        <f>IFERROR((HLOOKUP($AH603,Target_monthwise!$D$24:$O$40,DTR!Z$4,FALSE)),0)</f>
        <v>0</v>
      </c>
      <c r="AA603" s="147">
        <f>IFERROR((HLOOKUP($AH603,Target_monthwise!$D$24:$O$40,DTR!AA$4,FALSE)),0)</f>
        <v>0</v>
      </c>
      <c r="AB603" s="147">
        <f>IFERROR((HLOOKUP($AH603,Target_monthwise!$D$24:$O$40,DTR!AB$4,FALSE)),0)</f>
        <v>0</v>
      </c>
      <c r="AC603" s="147">
        <f>IFERROR((HLOOKUP($AH603,Target_monthwise!$D$24:$O$40,DTR!AC$4,FALSE)),0)</f>
        <v>0</v>
      </c>
      <c r="AD603" s="147">
        <f>IFERROR((HLOOKUP($AH603,Target_monthwise!$D$24:$O$40,DTR!AD$4,FALSE)),0)</f>
        <v>0</v>
      </c>
      <c r="AE603" s="147">
        <f>IFERROR((HLOOKUP($AH603,Target_monthwise!$D$24:$O$40,DTR!AE$4,FALSE)),0)</f>
        <v>0</v>
      </c>
      <c r="AF603" s="147">
        <f>IFERROR((HLOOKUP($AH603,Target_monthwise!$D$24:$O$40,DTR!AF$4,FALSE)),0)</f>
        <v>0</v>
      </c>
      <c r="AG603" s="172">
        <f>IFERROR((HLOOKUP($AH603,Target_monthwise!$D$24:$O$40,DTR!AG$4,FALSE)),0)</f>
        <v>0</v>
      </c>
      <c r="AH603" s="253">
        <f t="shared" si="11"/>
        <v>202311</v>
      </c>
    </row>
    <row r="604" spans="3:34" ht="15.75" hidden="1">
      <c r="C604" s="237">
        <v>45247</v>
      </c>
      <c r="D604" s="238">
        <f>IFERROR((HLOOKUP($AH604,Target_monthwise!$D$4:$O$20,DTR!D$4,FALSE))*1000,0)</f>
        <v>0</v>
      </c>
      <c r="E604" s="238">
        <f>IFERROR((HLOOKUP($AH604,Target_monthwise!$D$4:$O$20,DTR!E$4,FALSE))*1000,0)</f>
        <v>0</v>
      </c>
      <c r="F604" s="238">
        <f>IFERROR((HLOOKUP($AH604,Target_monthwise!$D$4:$O$20,DTR!F$4,FALSE))*1000,0)</f>
        <v>0</v>
      </c>
      <c r="G604" s="238">
        <f>IFERROR((HLOOKUP($AH604,Target_monthwise!$D$4:$O$20,DTR!G$4,FALSE))*1000,0)</f>
        <v>0</v>
      </c>
      <c r="H604" s="238">
        <f>IFERROR((HLOOKUP($AH604,Target_monthwise!$D$4:$O$20,DTR!H$4,FALSE))*1000,0)</f>
        <v>0</v>
      </c>
      <c r="I604" s="238">
        <f>IFERROR((HLOOKUP($AH604,Target_monthwise!$D$4:$O$20,DTR!I$4,FALSE))*1000,0)</f>
        <v>0</v>
      </c>
      <c r="J604" s="238">
        <f>IFERROR((HLOOKUP($AH604,Target_monthwise!$D$4:$O$20,DTR!J$4,FALSE))*1000,0)</f>
        <v>0</v>
      </c>
      <c r="K604" s="238">
        <f>IFERROR((HLOOKUP($AH604,Target_monthwise!$D$4:$O$20,DTR!K$4,FALSE))*1000,0)</f>
        <v>0</v>
      </c>
      <c r="L604" s="238">
        <f>IFERROR((HLOOKUP($AH604,Target_monthwise!$D$4:$O$20,DTR!L$4,FALSE))*1000,0)</f>
        <v>0</v>
      </c>
      <c r="M604" s="238">
        <f>IFERROR((HLOOKUP($AH604,Target_monthwise!$D$4:$O$20,DTR!M$4,FALSE))*1000,0)</f>
        <v>0</v>
      </c>
      <c r="N604" s="238">
        <f>IFERROR((HLOOKUP($AH604,Target_monthwise!$D$4:$O$20,DTR!N$4,FALSE))*1000,0)</f>
        <v>0</v>
      </c>
      <c r="O604" s="238">
        <f>IFERROR((HLOOKUP($AH604,Target_monthwise!$D$4:$O$20,DTR!O$4,FALSE))*1000,0)</f>
        <v>0</v>
      </c>
      <c r="P604" s="238">
        <f>IFERROR((HLOOKUP($AH604,Target_monthwise!$D$4:$O$20,DTR!P$4,FALSE))*1000,0)</f>
        <v>0</v>
      </c>
      <c r="Q604" s="141">
        <f>IFERROR((HLOOKUP($AH604,Target_monthwise!$D$4:$O$20,DTR!Q$4,FALSE))*1000,0)</f>
        <v>0</v>
      </c>
      <c r="R604" s="167">
        <f>IFERROR((HLOOKUP($AH604,Target_monthwise!$D$4:$O$20,DTR!R$4,FALSE))*1000,0)</f>
        <v>0</v>
      </c>
      <c r="S604" s="239">
        <f>IFERROR((HLOOKUP($AH604,Target_monthwise!$D$24:$O$40,DTR!S$4,FALSE)),0)</f>
        <v>0</v>
      </c>
      <c r="T604" s="239">
        <f>IFERROR((HLOOKUP($AH604,Target_monthwise!$D$24:$O$40,DTR!T$4,FALSE)),0)</f>
        <v>0</v>
      </c>
      <c r="U604" s="239">
        <f>IFERROR((HLOOKUP($AH604,Target_monthwise!$D$24:$O$40,DTR!U$4,FALSE)),0)</f>
        <v>0</v>
      </c>
      <c r="V604" s="239">
        <f>IFERROR((HLOOKUP($AH604,Target_monthwise!$D$24:$O$40,DTR!V$4,FALSE)),0)</f>
        <v>0</v>
      </c>
      <c r="W604" s="239">
        <f>IFERROR((HLOOKUP($AH604,Target_monthwise!$D$24:$O$40,DTR!W$4,FALSE)),0)</f>
        <v>0</v>
      </c>
      <c r="X604" s="239">
        <f>IFERROR((HLOOKUP($AH604,Target_monthwise!$D$24:$O$40,DTR!X$4,FALSE)),0)</f>
        <v>0</v>
      </c>
      <c r="Y604" s="239">
        <f>IFERROR((HLOOKUP($AH604,Target_monthwise!$D$24:$O$40,DTR!Y$4,FALSE)),0)</f>
        <v>0</v>
      </c>
      <c r="Z604" s="147">
        <f>IFERROR((HLOOKUP($AH604,Target_monthwise!$D$24:$O$40,DTR!Z$4,FALSE)),0)</f>
        <v>0</v>
      </c>
      <c r="AA604" s="147">
        <f>IFERROR((HLOOKUP($AH604,Target_monthwise!$D$24:$O$40,DTR!AA$4,FALSE)),0)</f>
        <v>0</v>
      </c>
      <c r="AB604" s="147">
        <f>IFERROR((HLOOKUP($AH604,Target_monthwise!$D$24:$O$40,DTR!AB$4,FALSE)),0)</f>
        <v>0</v>
      </c>
      <c r="AC604" s="239">
        <f>IFERROR((HLOOKUP($AH604,Target_monthwise!$D$24:$O$40,DTR!AC$4,FALSE)),0)</f>
        <v>0</v>
      </c>
      <c r="AD604" s="239">
        <f>IFERROR((HLOOKUP($AH604,Target_monthwise!$D$24:$O$40,DTR!AD$4,FALSE)),0)</f>
        <v>0</v>
      </c>
      <c r="AE604" s="239">
        <f>IFERROR((HLOOKUP($AH604,Target_monthwise!$D$24:$O$40,DTR!AE$4,FALSE)),0)</f>
        <v>0</v>
      </c>
      <c r="AF604" s="239">
        <f>IFERROR((HLOOKUP($AH604,Target_monthwise!$D$24:$O$40,DTR!AF$4,FALSE)),0)</f>
        <v>0</v>
      </c>
      <c r="AG604" s="172">
        <f>IFERROR((HLOOKUP($AH604,Target_monthwise!$D$24:$O$40,DTR!AG$4,FALSE)),0)</f>
        <v>0</v>
      </c>
      <c r="AH604" s="253">
        <f t="shared" si="11"/>
        <v>202311</v>
      </c>
    </row>
    <row r="605" spans="3:34" ht="15.75" hidden="1">
      <c r="C605" s="235">
        <v>45248</v>
      </c>
      <c r="D605" s="141">
        <f>IFERROR((HLOOKUP($AH605,Target_monthwise!$D$4:$O$20,DTR!D$4,FALSE))*1000,0)</f>
        <v>0</v>
      </c>
      <c r="E605" s="141">
        <f>IFERROR((HLOOKUP($AH605,Target_monthwise!$D$4:$O$20,DTR!E$4,FALSE))*1000,0)</f>
        <v>0</v>
      </c>
      <c r="F605" s="141">
        <f>IFERROR((HLOOKUP($AH605,Target_monthwise!$D$4:$O$20,DTR!F$4,FALSE))*1000,0)</f>
        <v>0</v>
      </c>
      <c r="G605" s="141">
        <f>IFERROR((HLOOKUP($AH605,Target_monthwise!$D$4:$O$20,DTR!G$4,FALSE))*1000,0)</f>
        <v>0</v>
      </c>
      <c r="H605" s="141">
        <f>IFERROR((HLOOKUP($AH605,Target_monthwise!$D$4:$O$20,DTR!H$4,FALSE))*1000,0)</f>
        <v>0</v>
      </c>
      <c r="I605" s="141">
        <f>IFERROR((HLOOKUP($AH605,Target_monthwise!$D$4:$O$20,DTR!I$4,FALSE))*1000,0)</f>
        <v>0</v>
      </c>
      <c r="J605" s="141">
        <f>IFERROR((HLOOKUP($AH605,Target_monthwise!$D$4:$O$20,DTR!J$4,FALSE))*1000,0)</f>
        <v>0</v>
      </c>
      <c r="K605" s="141">
        <f>IFERROR((HLOOKUP($AH605,Target_monthwise!$D$4:$O$20,DTR!K$4,FALSE))*1000,0)</f>
        <v>0</v>
      </c>
      <c r="L605" s="141">
        <f>IFERROR((HLOOKUP($AH605,Target_monthwise!$D$4:$O$20,DTR!L$4,FALSE))*1000,0)</f>
        <v>0</v>
      </c>
      <c r="M605" s="141">
        <f>IFERROR((HLOOKUP($AH605,Target_monthwise!$D$4:$O$20,DTR!M$4,FALSE))*1000,0)</f>
        <v>0</v>
      </c>
      <c r="N605" s="141">
        <f>IFERROR((HLOOKUP($AH605,Target_monthwise!$D$4:$O$20,DTR!N$4,FALSE))*1000,0)</f>
        <v>0</v>
      </c>
      <c r="O605" s="141">
        <f>IFERROR((HLOOKUP($AH605,Target_monthwise!$D$4:$O$20,DTR!O$4,FALSE))*1000,0)</f>
        <v>0</v>
      </c>
      <c r="P605" s="141">
        <f>IFERROR((HLOOKUP($AH605,Target_monthwise!$D$4:$O$20,DTR!P$4,FALSE))*1000,0)</f>
        <v>0</v>
      </c>
      <c r="Q605" s="141">
        <f>IFERROR((HLOOKUP($AH605,Target_monthwise!$D$4:$O$20,DTR!Q$4,FALSE))*1000,0)</f>
        <v>0</v>
      </c>
      <c r="R605" s="167">
        <f>IFERROR((HLOOKUP($AH605,Target_monthwise!$D$4:$O$20,DTR!R$4,FALSE))*1000,0)</f>
        <v>0</v>
      </c>
      <c r="S605" s="147">
        <f>IFERROR((HLOOKUP($AH605,Target_monthwise!$D$24:$O$40,DTR!S$4,FALSE)),0)</f>
        <v>0</v>
      </c>
      <c r="T605" s="147">
        <f>IFERROR((HLOOKUP($AH605,Target_monthwise!$D$24:$O$40,DTR!T$4,FALSE)),0)</f>
        <v>0</v>
      </c>
      <c r="U605" s="147">
        <f>IFERROR((HLOOKUP($AH605,Target_monthwise!$D$24:$O$40,DTR!U$4,FALSE)),0)</f>
        <v>0</v>
      </c>
      <c r="V605" s="147">
        <f>IFERROR((HLOOKUP($AH605,Target_monthwise!$D$24:$O$40,DTR!V$4,FALSE)),0)</f>
        <v>0</v>
      </c>
      <c r="W605" s="147">
        <f>IFERROR((HLOOKUP($AH605,Target_monthwise!$D$24:$O$40,DTR!W$4,FALSE)),0)</f>
        <v>0</v>
      </c>
      <c r="X605" s="147">
        <f>IFERROR((HLOOKUP($AH605,Target_monthwise!$D$24:$O$40,DTR!X$4,FALSE)),0)</f>
        <v>0</v>
      </c>
      <c r="Y605" s="147">
        <f>IFERROR((HLOOKUP($AH605,Target_monthwise!$D$24:$O$40,DTR!Y$4,FALSE)),0)</f>
        <v>0</v>
      </c>
      <c r="Z605" s="147">
        <f>IFERROR((HLOOKUP($AH605,Target_monthwise!$D$24:$O$40,DTR!Z$4,FALSE)),0)</f>
        <v>0</v>
      </c>
      <c r="AA605" s="147">
        <f>IFERROR((HLOOKUP($AH605,Target_monthwise!$D$24:$O$40,DTR!AA$4,FALSE)),0)</f>
        <v>0</v>
      </c>
      <c r="AB605" s="147">
        <f>IFERROR((HLOOKUP($AH605,Target_monthwise!$D$24:$O$40,DTR!AB$4,FALSE)),0)</f>
        <v>0</v>
      </c>
      <c r="AC605" s="147">
        <f>IFERROR((HLOOKUP($AH605,Target_monthwise!$D$24:$O$40,DTR!AC$4,FALSE)),0)</f>
        <v>0</v>
      </c>
      <c r="AD605" s="147">
        <f>IFERROR((HLOOKUP($AH605,Target_monthwise!$D$24:$O$40,DTR!AD$4,FALSE)),0)</f>
        <v>0</v>
      </c>
      <c r="AE605" s="147">
        <f>IFERROR((HLOOKUP($AH605,Target_monthwise!$D$24:$O$40,DTR!AE$4,FALSE)),0)</f>
        <v>0</v>
      </c>
      <c r="AF605" s="147">
        <f>IFERROR((HLOOKUP($AH605,Target_monthwise!$D$24:$O$40,DTR!AF$4,FALSE)),0)</f>
        <v>0</v>
      </c>
      <c r="AG605" s="172">
        <f>IFERROR((HLOOKUP($AH605,Target_monthwise!$D$24:$O$40,DTR!AG$4,FALSE)),0)</f>
        <v>0</v>
      </c>
      <c r="AH605" s="253">
        <f t="shared" si="11"/>
        <v>202311</v>
      </c>
    </row>
    <row r="606" spans="3:34" ht="15.75" hidden="1">
      <c r="C606" s="237">
        <v>45249</v>
      </c>
      <c r="D606" s="238">
        <f>IFERROR((HLOOKUP($AH606,Target_monthwise!$D$4:$O$20,DTR!D$4,FALSE))*1000,0)</f>
        <v>0</v>
      </c>
      <c r="E606" s="238">
        <f>IFERROR((HLOOKUP($AH606,Target_monthwise!$D$4:$O$20,DTR!E$4,FALSE))*1000,0)</f>
        <v>0</v>
      </c>
      <c r="F606" s="238">
        <f>IFERROR((HLOOKUP($AH606,Target_monthwise!$D$4:$O$20,DTR!F$4,FALSE))*1000,0)</f>
        <v>0</v>
      </c>
      <c r="G606" s="238">
        <f>IFERROR((HLOOKUP($AH606,Target_monthwise!$D$4:$O$20,DTR!G$4,FALSE))*1000,0)</f>
        <v>0</v>
      </c>
      <c r="H606" s="238">
        <f>IFERROR((HLOOKUP($AH606,Target_monthwise!$D$4:$O$20,DTR!H$4,FALSE))*1000,0)</f>
        <v>0</v>
      </c>
      <c r="I606" s="238">
        <f>IFERROR((HLOOKUP($AH606,Target_monthwise!$D$4:$O$20,DTR!I$4,FALSE))*1000,0)</f>
        <v>0</v>
      </c>
      <c r="J606" s="238">
        <f>IFERROR((HLOOKUP($AH606,Target_monthwise!$D$4:$O$20,DTR!J$4,FALSE))*1000,0)</f>
        <v>0</v>
      </c>
      <c r="K606" s="238">
        <f>IFERROR((HLOOKUP($AH606,Target_monthwise!$D$4:$O$20,DTR!K$4,FALSE))*1000,0)</f>
        <v>0</v>
      </c>
      <c r="L606" s="238">
        <f>IFERROR((HLOOKUP($AH606,Target_monthwise!$D$4:$O$20,DTR!L$4,FALSE))*1000,0)</f>
        <v>0</v>
      </c>
      <c r="M606" s="238">
        <f>IFERROR((HLOOKUP($AH606,Target_monthwise!$D$4:$O$20,DTR!M$4,FALSE))*1000,0)</f>
        <v>0</v>
      </c>
      <c r="N606" s="238">
        <f>IFERROR((HLOOKUP($AH606,Target_monthwise!$D$4:$O$20,DTR!N$4,FALSE))*1000,0)</f>
        <v>0</v>
      </c>
      <c r="O606" s="238">
        <f>IFERROR((HLOOKUP($AH606,Target_monthwise!$D$4:$O$20,DTR!O$4,FALSE))*1000,0)</f>
        <v>0</v>
      </c>
      <c r="P606" s="238">
        <f>IFERROR((HLOOKUP($AH606,Target_monthwise!$D$4:$O$20,DTR!P$4,FALSE))*1000,0)</f>
        <v>0</v>
      </c>
      <c r="Q606" s="141">
        <f>IFERROR((HLOOKUP($AH606,Target_monthwise!$D$4:$O$20,DTR!Q$4,FALSE))*1000,0)</f>
        <v>0</v>
      </c>
      <c r="R606" s="167">
        <f>IFERROR((HLOOKUP($AH606,Target_monthwise!$D$4:$O$20,DTR!R$4,FALSE))*1000,0)</f>
        <v>0</v>
      </c>
      <c r="S606" s="239">
        <f>IFERROR((HLOOKUP($AH606,Target_monthwise!$D$24:$O$40,DTR!S$4,FALSE)),0)</f>
        <v>0</v>
      </c>
      <c r="T606" s="239">
        <f>IFERROR((HLOOKUP($AH606,Target_monthwise!$D$24:$O$40,DTR!T$4,FALSE)),0)</f>
        <v>0</v>
      </c>
      <c r="U606" s="239">
        <f>IFERROR((HLOOKUP($AH606,Target_monthwise!$D$24:$O$40,DTR!U$4,FALSE)),0)</f>
        <v>0</v>
      </c>
      <c r="V606" s="239">
        <f>IFERROR((HLOOKUP($AH606,Target_monthwise!$D$24:$O$40,DTR!V$4,FALSE)),0)</f>
        <v>0</v>
      </c>
      <c r="W606" s="239">
        <f>IFERROR((HLOOKUP($AH606,Target_monthwise!$D$24:$O$40,DTR!W$4,FALSE)),0)</f>
        <v>0</v>
      </c>
      <c r="X606" s="239">
        <f>IFERROR((HLOOKUP($AH606,Target_monthwise!$D$24:$O$40,DTR!X$4,FALSE)),0)</f>
        <v>0</v>
      </c>
      <c r="Y606" s="239">
        <f>IFERROR((HLOOKUP($AH606,Target_monthwise!$D$24:$O$40,DTR!Y$4,FALSE)),0)</f>
        <v>0</v>
      </c>
      <c r="Z606" s="147">
        <f>IFERROR((HLOOKUP($AH606,Target_monthwise!$D$24:$O$40,DTR!Z$4,FALSE)),0)</f>
        <v>0</v>
      </c>
      <c r="AA606" s="147">
        <f>IFERROR((HLOOKUP($AH606,Target_monthwise!$D$24:$O$40,DTR!AA$4,FALSE)),0)</f>
        <v>0</v>
      </c>
      <c r="AB606" s="147">
        <f>IFERROR((HLOOKUP($AH606,Target_monthwise!$D$24:$O$40,DTR!AB$4,FALSE)),0)</f>
        <v>0</v>
      </c>
      <c r="AC606" s="239">
        <f>IFERROR((HLOOKUP($AH606,Target_monthwise!$D$24:$O$40,DTR!AC$4,FALSE)),0)</f>
        <v>0</v>
      </c>
      <c r="AD606" s="239">
        <f>IFERROR((HLOOKUP($AH606,Target_monthwise!$D$24:$O$40,DTR!AD$4,FALSE)),0)</f>
        <v>0</v>
      </c>
      <c r="AE606" s="239">
        <f>IFERROR((HLOOKUP($AH606,Target_monthwise!$D$24:$O$40,DTR!AE$4,FALSE)),0)</f>
        <v>0</v>
      </c>
      <c r="AF606" s="239">
        <f>IFERROR((HLOOKUP($AH606,Target_monthwise!$D$24:$O$40,DTR!AF$4,FALSE)),0)</f>
        <v>0</v>
      </c>
      <c r="AG606" s="172">
        <f>IFERROR((HLOOKUP($AH606,Target_monthwise!$D$24:$O$40,DTR!AG$4,FALSE)),0)</f>
        <v>0</v>
      </c>
      <c r="AH606" s="253">
        <f t="shared" si="11"/>
        <v>202311</v>
      </c>
    </row>
    <row r="607" spans="3:34" ht="15.75" hidden="1">
      <c r="C607" s="235">
        <v>45250</v>
      </c>
      <c r="D607" s="141">
        <f>IFERROR((HLOOKUP($AH607,Target_monthwise!$D$4:$O$20,DTR!D$4,FALSE))*1000,0)</f>
        <v>0</v>
      </c>
      <c r="E607" s="141">
        <f>IFERROR((HLOOKUP($AH607,Target_monthwise!$D$4:$O$20,DTR!E$4,FALSE))*1000,0)</f>
        <v>0</v>
      </c>
      <c r="F607" s="141">
        <f>IFERROR((HLOOKUP($AH607,Target_monthwise!$D$4:$O$20,DTR!F$4,FALSE))*1000,0)</f>
        <v>0</v>
      </c>
      <c r="G607" s="141">
        <f>IFERROR((HLOOKUP($AH607,Target_monthwise!$D$4:$O$20,DTR!G$4,FALSE))*1000,0)</f>
        <v>0</v>
      </c>
      <c r="H607" s="141">
        <f>IFERROR((HLOOKUP($AH607,Target_monthwise!$D$4:$O$20,DTR!H$4,FALSE))*1000,0)</f>
        <v>0</v>
      </c>
      <c r="I607" s="141">
        <f>IFERROR((HLOOKUP($AH607,Target_monthwise!$D$4:$O$20,DTR!I$4,FALSE))*1000,0)</f>
        <v>0</v>
      </c>
      <c r="J607" s="141">
        <f>IFERROR((HLOOKUP($AH607,Target_monthwise!$D$4:$O$20,DTR!J$4,FALSE))*1000,0)</f>
        <v>0</v>
      </c>
      <c r="K607" s="141">
        <f>IFERROR((HLOOKUP($AH607,Target_monthwise!$D$4:$O$20,DTR!K$4,FALSE))*1000,0)</f>
        <v>0</v>
      </c>
      <c r="L607" s="141">
        <f>IFERROR((HLOOKUP($AH607,Target_monthwise!$D$4:$O$20,DTR!L$4,FALSE))*1000,0)</f>
        <v>0</v>
      </c>
      <c r="M607" s="141">
        <f>IFERROR((HLOOKUP($AH607,Target_monthwise!$D$4:$O$20,DTR!M$4,FALSE))*1000,0)</f>
        <v>0</v>
      </c>
      <c r="N607" s="141">
        <f>IFERROR((HLOOKUP($AH607,Target_monthwise!$D$4:$O$20,DTR!N$4,FALSE))*1000,0)</f>
        <v>0</v>
      </c>
      <c r="O607" s="141">
        <f>IFERROR((HLOOKUP($AH607,Target_monthwise!$D$4:$O$20,DTR!O$4,FALSE))*1000,0)</f>
        <v>0</v>
      </c>
      <c r="P607" s="141">
        <f>IFERROR((HLOOKUP($AH607,Target_monthwise!$D$4:$O$20,DTR!P$4,FALSE))*1000,0)</f>
        <v>0</v>
      </c>
      <c r="Q607" s="141">
        <f>IFERROR((HLOOKUP($AH607,Target_monthwise!$D$4:$O$20,DTR!Q$4,FALSE))*1000,0)</f>
        <v>0</v>
      </c>
      <c r="R607" s="167">
        <f>IFERROR((HLOOKUP($AH607,Target_monthwise!$D$4:$O$20,DTR!R$4,FALSE))*1000,0)</f>
        <v>0</v>
      </c>
      <c r="S607" s="147">
        <f>IFERROR((HLOOKUP($AH607,Target_monthwise!$D$24:$O$40,DTR!S$4,FALSE)),0)</f>
        <v>0</v>
      </c>
      <c r="T607" s="147">
        <f>IFERROR((HLOOKUP($AH607,Target_monthwise!$D$24:$O$40,DTR!T$4,FALSE)),0)</f>
        <v>0</v>
      </c>
      <c r="U607" s="147">
        <f>IFERROR((HLOOKUP($AH607,Target_monthwise!$D$24:$O$40,DTR!U$4,FALSE)),0)</f>
        <v>0</v>
      </c>
      <c r="V607" s="147">
        <f>IFERROR((HLOOKUP($AH607,Target_monthwise!$D$24:$O$40,DTR!V$4,FALSE)),0)</f>
        <v>0</v>
      </c>
      <c r="W607" s="147">
        <f>IFERROR((HLOOKUP($AH607,Target_monthwise!$D$24:$O$40,DTR!W$4,FALSE)),0)</f>
        <v>0</v>
      </c>
      <c r="X607" s="147">
        <f>IFERROR((HLOOKUP($AH607,Target_monthwise!$D$24:$O$40,DTR!X$4,FALSE)),0)</f>
        <v>0</v>
      </c>
      <c r="Y607" s="147">
        <f>IFERROR((HLOOKUP($AH607,Target_monthwise!$D$24:$O$40,DTR!Y$4,FALSE)),0)</f>
        <v>0</v>
      </c>
      <c r="Z607" s="147">
        <f>IFERROR((HLOOKUP($AH607,Target_monthwise!$D$24:$O$40,DTR!Z$4,FALSE)),0)</f>
        <v>0</v>
      </c>
      <c r="AA607" s="147">
        <f>IFERROR((HLOOKUP($AH607,Target_monthwise!$D$24:$O$40,DTR!AA$4,FALSE)),0)</f>
        <v>0</v>
      </c>
      <c r="AB607" s="147">
        <f>IFERROR((HLOOKUP($AH607,Target_monthwise!$D$24:$O$40,DTR!AB$4,FALSE)),0)</f>
        <v>0</v>
      </c>
      <c r="AC607" s="147">
        <f>IFERROR((HLOOKUP($AH607,Target_monthwise!$D$24:$O$40,DTR!AC$4,FALSE)),0)</f>
        <v>0</v>
      </c>
      <c r="AD607" s="147">
        <f>IFERROR((HLOOKUP($AH607,Target_monthwise!$D$24:$O$40,DTR!AD$4,FALSE)),0)</f>
        <v>0</v>
      </c>
      <c r="AE607" s="147">
        <f>IFERROR((HLOOKUP($AH607,Target_monthwise!$D$24:$O$40,DTR!AE$4,FALSE)),0)</f>
        <v>0</v>
      </c>
      <c r="AF607" s="147">
        <f>IFERROR((HLOOKUP($AH607,Target_monthwise!$D$24:$O$40,DTR!AF$4,FALSE)),0)</f>
        <v>0</v>
      </c>
      <c r="AG607" s="172">
        <f>IFERROR((HLOOKUP($AH607,Target_monthwise!$D$24:$O$40,DTR!AG$4,FALSE)),0)</f>
        <v>0</v>
      </c>
      <c r="AH607" s="253">
        <f t="shared" si="11"/>
        <v>202311</v>
      </c>
    </row>
    <row r="608" spans="3:34" ht="15.75" hidden="1">
      <c r="C608" s="237">
        <v>45251</v>
      </c>
      <c r="D608" s="238">
        <f>IFERROR((HLOOKUP($AH608,Target_monthwise!$D$4:$O$20,DTR!D$4,FALSE))*1000,0)</f>
        <v>0</v>
      </c>
      <c r="E608" s="238">
        <f>IFERROR((HLOOKUP($AH608,Target_monthwise!$D$4:$O$20,DTR!E$4,FALSE))*1000,0)</f>
        <v>0</v>
      </c>
      <c r="F608" s="238">
        <f>IFERROR((HLOOKUP($AH608,Target_monthwise!$D$4:$O$20,DTR!F$4,FALSE))*1000,0)</f>
        <v>0</v>
      </c>
      <c r="G608" s="238">
        <f>IFERROR((HLOOKUP($AH608,Target_monthwise!$D$4:$O$20,DTR!G$4,FALSE))*1000,0)</f>
        <v>0</v>
      </c>
      <c r="H608" s="238">
        <f>IFERROR((HLOOKUP($AH608,Target_monthwise!$D$4:$O$20,DTR!H$4,FALSE))*1000,0)</f>
        <v>0</v>
      </c>
      <c r="I608" s="238">
        <f>IFERROR((HLOOKUP($AH608,Target_monthwise!$D$4:$O$20,DTR!I$4,FALSE))*1000,0)</f>
        <v>0</v>
      </c>
      <c r="J608" s="238">
        <f>IFERROR((HLOOKUP($AH608,Target_monthwise!$D$4:$O$20,DTR!J$4,FALSE))*1000,0)</f>
        <v>0</v>
      </c>
      <c r="K608" s="238">
        <f>IFERROR((HLOOKUP($AH608,Target_monthwise!$D$4:$O$20,DTR!K$4,FALSE))*1000,0)</f>
        <v>0</v>
      </c>
      <c r="L608" s="238">
        <f>IFERROR((HLOOKUP($AH608,Target_monthwise!$D$4:$O$20,DTR!L$4,FALSE))*1000,0)</f>
        <v>0</v>
      </c>
      <c r="M608" s="238">
        <f>IFERROR((HLOOKUP($AH608,Target_monthwise!$D$4:$O$20,DTR!M$4,FALSE))*1000,0)</f>
        <v>0</v>
      </c>
      <c r="N608" s="238">
        <f>IFERROR((HLOOKUP($AH608,Target_monthwise!$D$4:$O$20,DTR!N$4,FALSE))*1000,0)</f>
        <v>0</v>
      </c>
      <c r="O608" s="238">
        <f>IFERROR((HLOOKUP($AH608,Target_monthwise!$D$4:$O$20,DTR!O$4,FALSE))*1000,0)</f>
        <v>0</v>
      </c>
      <c r="P608" s="238">
        <f>IFERROR((HLOOKUP($AH608,Target_monthwise!$D$4:$O$20,DTR!P$4,FALSE))*1000,0)</f>
        <v>0</v>
      </c>
      <c r="Q608" s="141">
        <f>IFERROR((HLOOKUP($AH608,Target_monthwise!$D$4:$O$20,DTR!Q$4,FALSE))*1000,0)</f>
        <v>0</v>
      </c>
      <c r="R608" s="167">
        <f>IFERROR((HLOOKUP($AH608,Target_monthwise!$D$4:$O$20,DTR!R$4,FALSE))*1000,0)</f>
        <v>0</v>
      </c>
      <c r="S608" s="239">
        <f>IFERROR((HLOOKUP($AH608,Target_monthwise!$D$24:$O$40,DTR!S$4,FALSE)),0)</f>
        <v>0</v>
      </c>
      <c r="T608" s="239">
        <f>IFERROR((HLOOKUP($AH608,Target_monthwise!$D$24:$O$40,DTR!T$4,FALSE)),0)</f>
        <v>0</v>
      </c>
      <c r="U608" s="239">
        <f>IFERROR((HLOOKUP($AH608,Target_monthwise!$D$24:$O$40,DTR!U$4,FALSE)),0)</f>
        <v>0</v>
      </c>
      <c r="V608" s="239">
        <f>IFERROR((HLOOKUP($AH608,Target_monthwise!$D$24:$O$40,DTR!V$4,FALSE)),0)</f>
        <v>0</v>
      </c>
      <c r="W608" s="239">
        <f>IFERROR((HLOOKUP($AH608,Target_monthwise!$D$24:$O$40,DTR!W$4,FALSE)),0)</f>
        <v>0</v>
      </c>
      <c r="X608" s="239">
        <f>IFERROR((HLOOKUP($AH608,Target_monthwise!$D$24:$O$40,DTR!X$4,FALSE)),0)</f>
        <v>0</v>
      </c>
      <c r="Y608" s="239">
        <f>IFERROR((HLOOKUP($AH608,Target_monthwise!$D$24:$O$40,DTR!Y$4,FALSE)),0)</f>
        <v>0</v>
      </c>
      <c r="Z608" s="147">
        <f>IFERROR((HLOOKUP($AH608,Target_monthwise!$D$24:$O$40,DTR!Z$4,FALSE)),0)</f>
        <v>0</v>
      </c>
      <c r="AA608" s="147">
        <f>IFERROR((HLOOKUP($AH608,Target_monthwise!$D$24:$O$40,DTR!AA$4,FALSE)),0)</f>
        <v>0</v>
      </c>
      <c r="AB608" s="147">
        <f>IFERROR((HLOOKUP($AH608,Target_monthwise!$D$24:$O$40,DTR!AB$4,FALSE)),0)</f>
        <v>0</v>
      </c>
      <c r="AC608" s="239">
        <f>IFERROR((HLOOKUP($AH608,Target_monthwise!$D$24:$O$40,DTR!AC$4,FALSE)),0)</f>
        <v>0</v>
      </c>
      <c r="AD608" s="239">
        <f>IFERROR((HLOOKUP($AH608,Target_monthwise!$D$24:$O$40,DTR!AD$4,FALSE)),0)</f>
        <v>0</v>
      </c>
      <c r="AE608" s="239">
        <f>IFERROR((HLOOKUP($AH608,Target_monthwise!$D$24:$O$40,DTR!AE$4,FALSE)),0)</f>
        <v>0</v>
      </c>
      <c r="AF608" s="239">
        <f>IFERROR((HLOOKUP($AH608,Target_monthwise!$D$24:$O$40,DTR!AF$4,FALSE)),0)</f>
        <v>0</v>
      </c>
      <c r="AG608" s="172">
        <f>IFERROR((HLOOKUP($AH608,Target_monthwise!$D$24:$O$40,DTR!AG$4,FALSE)),0)</f>
        <v>0</v>
      </c>
      <c r="AH608" s="253">
        <f t="shared" si="11"/>
        <v>202311</v>
      </c>
    </row>
    <row r="609" spans="3:34" ht="15.75" hidden="1">
      <c r="C609" s="235">
        <v>45252</v>
      </c>
      <c r="D609" s="141">
        <f>IFERROR((HLOOKUP($AH609,Target_monthwise!$D$4:$O$20,DTR!D$4,FALSE))*1000,0)</f>
        <v>0</v>
      </c>
      <c r="E609" s="141">
        <f>IFERROR((HLOOKUP($AH609,Target_monthwise!$D$4:$O$20,DTR!E$4,FALSE))*1000,0)</f>
        <v>0</v>
      </c>
      <c r="F609" s="141">
        <f>IFERROR((HLOOKUP($AH609,Target_monthwise!$D$4:$O$20,DTR!F$4,FALSE))*1000,0)</f>
        <v>0</v>
      </c>
      <c r="G609" s="141">
        <f>IFERROR((HLOOKUP($AH609,Target_monthwise!$D$4:$O$20,DTR!G$4,FALSE))*1000,0)</f>
        <v>0</v>
      </c>
      <c r="H609" s="141">
        <f>IFERROR((HLOOKUP($AH609,Target_monthwise!$D$4:$O$20,DTR!H$4,FALSE))*1000,0)</f>
        <v>0</v>
      </c>
      <c r="I609" s="141">
        <f>IFERROR((HLOOKUP($AH609,Target_monthwise!$D$4:$O$20,DTR!I$4,FALSE))*1000,0)</f>
        <v>0</v>
      </c>
      <c r="J609" s="141">
        <f>IFERROR((HLOOKUP($AH609,Target_monthwise!$D$4:$O$20,DTR!J$4,FALSE))*1000,0)</f>
        <v>0</v>
      </c>
      <c r="K609" s="141">
        <f>IFERROR((HLOOKUP($AH609,Target_monthwise!$D$4:$O$20,DTR!K$4,FALSE))*1000,0)</f>
        <v>0</v>
      </c>
      <c r="L609" s="141">
        <f>IFERROR((HLOOKUP($AH609,Target_monthwise!$D$4:$O$20,DTR!L$4,FALSE))*1000,0)</f>
        <v>0</v>
      </c>
      <c r="M609" s="141">
        <f>IFERROR((HLOOKUP($AH609,Target_monthwise!$D$4:$O$20,DTR!M$4,FALSE))*1000,0)</f>
        <v>0</v>
      </c>
      <c r="N609" s="141">
        <f>IFERROR((HLOOKUP($AH609,Target_monthwise!$D$4:$O$20,DTR!N$4,FALSE))*1000,0)</f>
        <v>0</v>
      </c>
      <c r="O609" s="141">
        <f>IFERROR((HLOOKUP($AH609,Target_monthwise!$D$4:$O$20,DTR!O$4,FALSE))*1000,0)</f>
        <v>0</v>
      </c>
      <c r="P609" s="141">
        <f>IFERROR((HLOOKUP($AH609,Target_monthwise!$D$4:$O$20,DTR!P$4,FALSE))*1000,0)</f>
        <v>0</v>
      </c>
      <c r="Q609" s="141">
        <f>IFERROR((HLOOKUP($AH609,Target_monthwise!$D$4:$O$20,DTR!Q$4,FALSE))*1000,0)</f>
        <v>0</v>
      </c>
      <c r="R609" s="167">
        <f>IFERROR((HLOOKUP($AH609,Target_monthwise!$D$4:$O$20,DTR!R$4,FALSE))*1000,0)</f>
        <v>0</v>
      </c>
      <c r="S609" s="147">
        <f>IFERROR((HLOOKUP($AH609,Target_monthwise!$D$24:$O$40,DTR!S$4,FALSE)),0)</f>
        <v>0</v>
      </c>
      <c r="T609" s="147">
        <f>IFERROR((HLOOKUP($AH609,Target_monthwise!$D$24:$O$40,DTR!T$4,FALSE)),0)</f>
        <v>0</v>
      </c>
      <c r="U609" s="147">
        <f>IFERROR((HLOOKUP($AH609,Target_monthwise!$D$24:$O$40,DTR!U$4,FALSE)),0)</f>
        <v>0</v>
      </c>
      <c r="V609" s="147">
        <f>IFERROR((HLOOKUP($AH609,Target_monthwise!$D$24:$O$40,DTR!V$4,FALSE)),0)</f>
        <v>0</v>
      </c>
      <c r="W609" s="147">
        <f>IFERROR((HLOOKUP($AH609,Target_monthwise!$D$24:$O$40,DTR!W$4,FALSE)),0)</f>
        <v>0</v>
      </c>
      <c r="X609" s="147">
        <f>IFERROR((HLOOKUP($AH609,Target_monthwise!$D$24:$O$40,DTR!X$4,FALSE)),0)</f>
        <v>0</v>
      </c>
      <c r="Y609" s="147">
        <f>IFERROR((HLOOKUP($AH609,Target_monthwise!$D$24:$O$40,DTR!Y$4,FALSE)),0)</f>
        <v>0</v>
      </c>
      <c r="Z609" s="147">
        <f>IFERROR((HLOOKUP($AH609,Target_monthwise!$D$24:$O$40,DTR!Z$4,FALSE)),0)</f>
        <v>0</v>
      </c>
      <c r="AA609" s="147">
        <f>IFERROR((HLOOKUP($AH609,Target_monthwise!$D$24:$O$40,DTR!AA$4,FALSE)),0)</f>
        <v>0</v>
      </c>
      <c r="AB609" s="147">
        <f>IFERROR((HLOOKUP($AH609,Target_monthwise!$D$24:$O$40,DTR!AB$4,FALSE)),0)</f>
        <v>0</v>
      </c>
      <c r="AC609" s="147">
        <f>IFERROR((HLOOKUP($AH609,Target_monthwise!$D$24:$O$40,DTR!AC$4,FALSE)),0)</f>
        <v>0</v>
      </c>
      <c r="AD609" s="147">
        <f>IFERROR((HLOOKUP($AH609,Target_monthwise!$D$24:$O$40,DTR!AD$4,FALSE)),0)</f>
        <v>0</v>
      </c>
      <c r="AE609" s="147">
        <f>IFERROR((HLOOKUP($AH609,Target_monthwise!$D$24:$O$40,DTR!AE$4,FALSE)),0)</f>
        <v>0</v>
      </c>
      <c r="AF609" s="147">
        <f>IFERROR((HLOOKUP($AH609,Target_monthwise!$D$24:$O$40,DTR!AF$4,FALSE)),0)</f>
        <v>0</v>
      </c>
      <c r="AG609" s="172">
        <f>IFERROR((HLOOKUP($AH609,Target_monthwise!$D$24:$O$40,DTR!AG$4,FALSE)),0)</f>
        <v>0</v>
      </c>
      <c r="AH609" s="253">
        <f t="shared" si="11"/>
        <v>202311</v>
      </c>
    </row>
    <row r="610" spans="3:34" ht="15.75" hidden="1">
      <c r="C610" s="237">
        <v>45253</v>
      </c>
      <c r="D610" s="238">
        <f>IFERROR((HLOOKUP($AH610,Target_monthwise!$D$4:$O$20,DTR!D$4,FALSE))*1000,0)</f>
        <v>0</v>
      </c>
      <c r="E610" s="238">
        <f>IFERROR((HLOOKUP($AH610,Target_monthwise!$D$4:$O$20,DTR!E$4,FALSE))*1000,0)</f>
        <v>0</v>
      </c>
      <c r="F610" s="238">
        <f>IFERROR((HLOOKUP($AH610,Target_monthwise!$D$4:$O$20,DTR!F$4,FALSE))*1000,0)</f>
        <v>0</v>
      </c>
      <c r="G610" s="238">
        <f>IFERROR((HLOOKUP($AH610,Target_monthwise!$D$4:$O$20,DTR!G$4,FALSE))*1000,0)</f>
        <v>0</v>
      </c>
      <c r="H610" s="238">
        <f>IFERROR((HLOOKUP($AH610,Target_monthwise!$D$4:$O$20,DTR!H$4,FALSE))*1000,0)</f>
        <v>0</v>
      </c>
      <c r="I610" s="238">
        <f>IFERROR((HLOOKUP($AH610,Target_monthwise!$D$4:$O$20,DTR!I$4,FALSE))*1000,0)</f>
        <v>0</v>
      </c>
      <c r="J610" s="238">
        <f>IFERROR((HLOOKUP($AH610,Target_monthwise!$D$4:$O$20,DTR!J$4,FALSE))*1000,0)</f>
        <v>0</v>
      </c>
      <c r="K610" s="238">
        <f>IFERROR((HLOOKUP($AH610,Target_monthwise!$D$4:$O$20,DTR!K$4,FALSE))*1000,0)</f>
        <v>0</v>
      </c>
      <c r="L610" s="238">
        <f>IFERROR((HLOOKUP($AH610,Target_monthwise!$D$4:$O$20,DTR!L$4,FALSE))*1000,0)</f>
        <v>0</v>
      </c>
      <c r="M610" s="238">
        <f>IFERROR((HLOOKUP($AH610,Target_monthwise!$D$4:$O$20,DTR!M$4,FALSE))*1000,0)</f>
        <v>0</v>
      </c>
      <c r="N610" s="238">
        <f>IFERROR((HLOOKUP($AH610,Target_monthwise!$D$4:$O$20,DTR!N$4,FALSE))*1000,0)</f>
        <v>0</v>
      </c>
      <c r="O610" s="238">
        <f>IFERROR((HLOOKUP($AH610,Target_monthwise!$D$4:$O$20,DTR!O$4,FALSE))*1000,0)</f>
        <v>0</v>
      </c>
      <c r="P610" s="238">
        <f>IFERROR((HLOOKUP($AH610,Target_monthwise!$D$4:$O$20,DTR!P$4,FALSE))*1000,0)</f>
        <v>0</v>
      </c>
      <c r="Q610" s="141">
        <f>IFERROR((HLOOKUP($AH610,Target_monthwise!$D$4:$O$20,DTR!Q$4,FALSE))*1000,0)</f>
        <v>0</v>
      </c>
      <c r="R610" s="167">
        <f>IFERROR((HLOOKUP($AH610,Target_monthwise!$D$4:$O$20,DTR!R$4,FALSE))*1000,0)</f>
        <v>0</v>
      </c>
      <c r="S610" s="239">
        <f>IFERROR((HLOOKUP($AH610,Target_monthwise!$D$24:$O$40,DTR!S$4,FALSE)),0)</f>
        <v>0</v>
      </c>
      <c r="T610" s="239">
        <f>IFERROR((HLOOKUP($AH610,Target_monthwise!$D$24:$O$40,DTR!T$4,FALSE)),0)</f>
        <v>0</v>
      </c>
      <c r="U610" s="239">
        <f>IFERROR((HLOOKUP($AH610,Target_monthwise!$D$24:$O$40,DTR!U$4,FALSE)),0)</f>
        <v>0</v>
      </c>
      <c r="V610" s="239">
        <f>IFERROR((HLOOKUP($AH610,Target_monthwise!$D$24:$O$40,DTR!V$4,FALSE)),0)</f>
        <v>0</v>
      </c>
      <c r="W610" s="239">
        <f>IFERROR((HLOOKUP($AH610,Target_monthwise!$D$24:$O$40,DTR!W$4,FALSE)),0)</f>
        <v>0</v>
      </c>
      <c r="X610" s="239">
        <f>IFERROR((HLOOKUP($AH610,Target_monthwise!$D$24:$O$40,DTR!X$4,FALSE)),0)</f>
        <v>0</v>
      </c>
      <c r="Y610" s="239">
        <f>IFERROR((HLOOKUP($AH610,Target_monthwise!$D$24:$O$40,DTR!Y$4,FALSE)),0)</f>
        <v>0</v>
      </c>
      <c r="Z610" s="147">
        <f>IFERROR((HLOOKUP($AH610,Target_monthwise!$D$24:$O$40,DTR!Z$4,FALSE)),0)</f>
        <v>0</v>
      </c>
      <c r="AA610" s="147">
        <f>IFERROR((HLOOKUP($AH610,Target_monthwise!$D$24:$O$40,DTR!AA$4,FALSE)),0)</f>
        <v>0</v>
      </c>
      <c r="AB610" s="147">
        <f>IFERROR((HLOOKUP($AH610,Target_monthwise!$D$24:$O$40,DTR!AB$4,FALSE)),0)</f>
        <v>0</v>
      </c>
      <c r="AC610" s="239">
        <f>IFERROR((HLOOKUP($AH610,Target_monthwise!$D$24:$O$40,DTR!AC$4,FALSE)),0)</f>
        <v>0</v>
      </c>
      <c r="AD610" s="239">
        <f>IFERROR((HLOOKUP($AH610,Target_monthwise!$D$24:$O$40,DTR!AD$4,FALSE)),0)</f>
        <v>0</v>
      </c>
      <c r="AE610" s="239">
        <f>IFERROR((HLOOKUP($AH610,Target_monthwise!$D$24:$O$40,DTR!AE$4,FALSE)),0)</f>
        <v>0</v>
      </c>
      <c r="AF610" s="239">
        <f>IFERROR((HLOOKUP($AH610,Target_monthwise!$D$24:$O$40,DTR!AF$4,FALSE)),0)</f>
        <v>0</v>
      </c>
      <c r="AG610" s="172">
        <f>IFERROR((HLOOKUP($AH610,Target_monthwise!$D$24:$O$40,DTR!AG$4,FALSE)),0)</f>
        <v>0</v>
      </c>
      <c r="AH610" s="253">
        <f t="shared" si="11"/>
        <v>202311</v>
      </c>
    </row>
    <row r="611" spans="3:34" ht="15.75" hidden="1">
      <c r="C611" s="235">
        <v>45254</v>
      </c>
      <c r="D611" s="141">
        <f>IFERROR((HLOOKUP($AH611,Target_monthwise!$D$4:$O$20,DTR!D$4,FALSE))*1000,0)</f>
        <v>0</v>
      </c>
      <c r="E611" s="141">
        <f>IFERROR((HLOOKUP($AH611,Target_monthwise!$D$4:$O$20,DTR!E$4,FALSE))*1000,0)</f>
        <v>0</v>
      </c>
      <c r="F611" s="141">
        <f>IFERROR((HLOOKUP($AH611,Target_monthwise!$D$4:$O$20,DTR!F$4,FALSE))*1000,0)</f>
        <v>0</v>
      </c>
      <c r="G611" s="141">
        <f>IFERROR((HLOOKUP($AH611,Target_monthwise!$D$4:$O$20,DTR!G$4,FALSE))*1000,0)</f>
        <v>0</v>
      </c>
      <c r="H611" s="141">
        <f>IFERROR((HLOOKUP($AH611,Target_monthwise!$D$4:$O$20,DTR!H$4,FALSE))*1000,0)</f>
        <v>0</v>
      </c>
      <c r="I611" s="141">
        <f>IFERROR((HLOOKUP($AH611,Target_monthwise!$D$4:$O$20,DTR!I$4,FALSE))*1000,0)</f>
        <v>0</v>
      </c>
      <c r="J611" s="141">
        <f>IFERROR((HLOOKUP($AH611,Target_monthwise!$D$4:$O$20,DTR!J$4,FALSE))*1000,0)</f>
        <v>0</v>
      </c>
      <c r="K611" s="141">
        <f>IFERROR((HLOOKUP($AH611,Target_monthwise!$D$4:$O$20,DTR!K$4,FALSE))*1000,0)</f>
        <v>0</v>
      </c>
      <c r="L611" s="141">
        <f>IFERROR((HLOOKUP($AH611,Target_monthwise!$D$4:$O$20,DTR!L$4,FALSE))*1000,0)</f>
        <v>0</v>
      </c>
      <c r="M611" s="141">
        <f>IFERROR((HLOOKUP($AH611,Target_monthwise!$D$4:$O$20,DTR!M$4,FALSE))*1000,0)</f>
        <v>0</v>
      </c>
      <c r="N611" s="141">
        <f>IFERROR((HLOOKUP($AH611,Target_monthwise!$D$4:$O$20,DTR!N$4,FALSE))*1000,0)</f>
        <v>0</v>
      </c>
      <c r="O611" s="141">
        <f>IFERROR((HLOOKUP($AH611,Target_monthwise!$D$4:$O$20,DTR!O$4,FALSE))*1000,0)</f>
        <v>0</v>
      </c>
      <c r="P611" s="141">
        <f>IFERROR((HLOOKUP($AH611,Target_monthwise!$D$4:$O$20,DTR!P$4,FALSE))*1000,0)</f>
        <v>0</v>
      </c>
      <c r="Q611" s="141">
        <f>IFERROR((HLOOKUP($AH611,Target_monthwise!$D$4:$O$20,DTR!Q$4,FALSE))*1000,0)</f>
        <v>0</v>
      </c>
      <c r="R611" s="167">
        <f>IFERROR((HLOOKUP($AH611,Target_monthwise!$D$4:$O$20,DTR!R$4,FALSE))*1000,0)</f>
        <v>0</v>
      </c>
      <c r="S611" s="147">
        <f>IFERROR((HLOOKUP($AH611,Target_monthwise!$D$24:$O$40,DTR!S$4,FALSE)),0)</f>
        <v>0</v>
      </c>
      <c r="T611" s="147">
        <f>IFERROR((HLOOKUP($AH611,Target_monthwise!$D$24:$O$40,DTR!T$4,FALSE)),0)</f>
        <v>0</v>
      </c>
      <c r="U611" s="147">
        <f>IFERROR((HLOOKUP($AH611,Target_monthwise!$D$24:$O$40,DTR!U$4,FALSE)),0)</f>
        <v>0</v>
      </c>
      <c r="V611" s="147">
        <f>IFERROR((HLOOKUP($AH611,Target_monthwise!$D$24:$O$40,DTR!V$4,FALSE)),0)</f>
        <v>0</v>
      </c>
      <c r="W611" s="147">
        <f>IFERROR((HLOOKUP($AH611,Target_monthwise!$D$24:$O$40,DTR!W$4,FALSE)),0)</f>
        <v>0</v>
      </c>
      <c r="X611" s="147">
        <f>IFERROR((HLOOKUP($AH611,Target_monthwise!$D$24:$O$40,DTR!X$4,FALSE)),0)</f>
        <v>0</v>
      </c>
      <c r="Y611" s="147">
        <f>IFERROR((HLOOKUP($AH611,Target_monthwise!$D$24:$O$40,DTR!Y$4,FALSE)),0)</f>
        <v>0</v>
      </c>
      <c r="Z611" s="147">
        <f>IFERROR((HLOOKUP($AH611,Target_monthwise!$D$24:$O$40,DTR!Z$4,FALSE)),0)</f>
        <v>0</v>
      </c>
      <c r="AA611" s="147">
        <f>IFERROR((HLOOKUP($AH611,Target_monthwise!$D$24:$O$40,DTR!AA$4,FALSE)),0)</f>
        <v>0</v>
      </c>
      <c r="AB611" s="147">
        <f>IFERROR((HLOOKUP($AH611,Target_monthwise!$D$24:$O$40,DTR!AB$4,FALSE)),0)</f>
        <v>0</v>
      </c>
      <c r="AC611" s="147">
        <f>IFERROR((HLOOKUP($AH611,Target_monthwise!$D$24:$O$40,DTR!AC$4,FALSE)),0)</f>
        <v>0</v>
      </c>
      <c r="AD611" s="147">
        <f>IFERROR((HLOOKUP($AH611,Target_monthwise!$D$24:$O$40,DTR!AD$4,FALSE)),0)</f>
        <v>0</v>
      </c>
      <c r="AE611" s="147">
        <f>IFERROR((HLOOKUP($AH611,Target_monthwise!$D$24:$O$40,DTR!AE$4,FALSE)),0)</f>
        <v>0</v>
      </c>
      <c r="AF611" s="147">
        <f>IFERROR((HLOOKUP($AH611,Target_monthwise!$D$24:$O$40,DTR!AF$4,FALSE)),0)</f>
        <v>0</v>
      </c>
      <c r="AG611" s="172">
        <f>IFERROR((HLOOKUP($AH611,Target_monthwise!$D$24:$O$40,DTR!AG$4,FALSE)),0)</f>
        <v>0</v>
      </c>
      <c r="AH611" s="253">
        <f t="shared" si="11"/>
        <v>202311</v>
      </c>
    </row>
    <row r="612" spans="3:34" ht="15.75" hidden="1">
      <c r="C612" s="237">
        <v>45255</v>
      </c>
      <c r="D612" s="238">
        <f>IFERROR((HLOOKUP($AH612,Target_monthwise!$D$4:$O$20,DTR!D$4,FALSE))*1000,0)</f>
        <v>0</v>
      </c>
      <c r="E612" s="238">
        <f>IFERROR((HLOOKUP($AH612,Target_monthwise!$D$4:$O$20,DTR!E$4,FALSE))*1000,0)</f>
        <v>0</v>
      </c>
      <c r="F612" s="238">
        <f>IFERROR((HLOOKUP($AH612,Target_monthwise!$D$4:$O$20,DTR!F$4,FALSE))*1000,0)</f>
        <v>0</v>
      </c>
      <c r="G612" s="238">
        <f>IFERROR((HLOOKUP($AH612,Target_monthwise!$D$4:$O$20,DTR!G$4,FALSE))*1000,0)</f>
        <v>0</v>
      </c>
      <c r="H612" s="238">
        <f>IFERROR((HLOOKUP($AH612,Target_monthwise!$D$4:$O$20,DTR!H$4,FALSE))*1000,0)</f>
        <v>0</v>
      </c>
      <c r="I612" s="238">
        <f>IFERROR((HLOOKUP($AH612,Target_monthwise!$D$4:$O$20,DTR!I$4,FALSE))*1000,0)</f>
        <v>0</v>
      </c>
      <c r="J612" s="238">
        <f>IFERROR((HLOOKUP($AH612,Target_monthwise!$D$4:$O$20,DTR!J$4,FALSE))*1000,0)</f>
        <v>0</v>
      </c>
      <c r="K612" s="238">
        <f>IFERROR((HLOOKUP($AH612,Target_monthwise!$D$4:$O$20,DTR!K$4,FALSE))*1000,0)</f>
        <v>0</v>
      </c>
      <c r="L612" s="238">
        <f>IFERROR((HLOOKUP($AH612,Target_monthwise!$D$4:$O$20,DTR!L$4,FALSE))*1000,0)</f>
        <v>0</v>
      </c>
      <c r="M612" s="238">
        <f>IFERROR((HLOOKUP($AH612,Target_monthwise!$D$4:$O$20,DTR!M$4,FALSE))*1000,0)</f>
        <v>0</v>
      </c>
      <c r="N612" s="238">
        <f>IFERROR((HLOOKUP($AH612,Target_monthwise!$D$4:$O$20,DTR!N$4,FALSE))*1000,0)</f>
        <v>0</v>
      </c>
      <c r="O612" s="238">
        <f>IFERROR((HLOOKUP($AH612,Target_monthwise!$D$4:$O$20,DTR!O$4,FALSE))*1000,0)</f>
        <v>0</v>
      </c>
      <c r="P612" s="238">
        <f>IFERROR((HLOOKUP($AH612,Target_monthwise!$D$4:$O$20,DTR!P$4,FALSE))*1000,0)</f>
        <v>0</v>
      </c>
      <c r="Q612" s="141">
        <f>IFERROR((HLOOKUP($AH612,Target_monthwise!$D$4:$O$20,DTR!Q$4,FALSE))*1000,0)</f>
        <v>0</v>
      </c>
      <c r="R612" s="167">
        <f>IFERROR((HLOOKUP($AH612,Target_monthwise!$D$4:$O$20,DTR!R$4,FALSE))*1000,0)</f>
        <v>0</v>
      </c>
      <c r="S612" s="239">
        <f>IFERROR((HLOOKUP($AH612,Target_monthwise!$D$24:$O$40,DTR!S$4,FALSE)),0)</f>
        <v>0</v>
      </c>
      <c r="T612" s="239">
        <f>IFERROR((HLOOKUP($AH612,Target_monthwise!$D$24:$O$40,DTR!T$4,FALSE)),0)</f>
        <v>0</v>
      </c>
      <c r="U612" s="239">
        <f>IFERROR((HLOOKUP($AH612,Target_monthwise!$D$24:$O$40,DTR!U$4,FALSE)),0)</f>
        <v>0</v>
      </c>
      <c r="V612" s="239">
        <f>IFERROR((HLOOKUP($AH612,Target_monthwise!$D$24:$O$40,DTR!V$4,FALSE)),0)</f>
        <v>0</v>
      </c>
      <c r="W612" s="239">
        <f>IFERROR((HLOOKUP($AH612,Target_monthwise!$D$24:$O$40,DTR!W$4,FALSE)),0)</f>
        <v>0</v>
      </c>
      <c r="X612" s="239">
        <f>IFERROR((HLOOKUP($AH612,Target_monthwise!$D$24:$O$40,DTR!X$4,FALSE)),0)</f>
        <v>0</v>
      </c>
      <c r="Y612" s="239">
        <f>IFERROR((HLOOKUP($AH612,Target_monthwise!$D$24:$O$40,DTR!Y$4,FALSE)),0)</f>
        <v>0</v>
      </c>
      <c r="Z612" s="147">
        <f>IFERROR((HLOOKUP($AH612,Target_monthwise!$D$24:$O$40,DTR!Z$4,FALSE)),0)</f>
        <v>0</v>
      </c>
      <c r="AA612" s="147">
        <f>IFERROR((HLOOKUP($AH612,Target_monthwise!$D$24:$O$40,DTR!AA$4,FALSE)),0)</f>
        <v>0</v>
      </c>
      <c r="AB612" s="147">
        <f>IFERROR((HLOOKUP($AH612,Target_monthwise!$D$24:$O$40,DTR!AB$4,FALSE)),0)</f>
        <v>0</v>
      </c>
      <c r="AC612" s="239">
        <f>IFERROR((HLOOKUP($AH612,Target_monthwise!$D$24:$O$40,DTR!AC$4,FALSE)),0)</f>
        <v>0</v>
      </c>
      <c r="AD612" s="239">
        <f>IFERROR((HLOOKUP($AH612,Target_monthwise!$D$24:$O$40,DTR!AD$4,FALSE)),0)</f>
        <v>0</v>
      </c>
      <c r="AE612" s="239">
        <f>IFERROR((HLOOKUP($AH612,Target_monthwise!$D$24:$O$40,DTR!AE$4,FALSE)),0)</f>
        <v>0</v>
      </c>
      <c r="AF612" s="239">
        <f>IFERROR((HLOOKUP($AH612,Target_monthwise!$D$24:$O$40,DTR!AF$4,FALSE)),0)</f>
        <v>0</v>
      </c>
      <c r="AG612" s="172">
        <f>IFERROR((HLOOKUP($AH612,Target_monthwise!$D$24:$O$40,DTR!AG$4,FALSE)),0)</f>
        <v>0</v>
      </c>
      <c r="AH612" s="253">
        <f t="shared" si="11"/>
        <v>202311</v>
      </c>
    </row>
    <row r="613" spans="3:34" ht="15.75" hidden="1">
      <c r="C613" s="235">
        <v>45256</v>
      </c>
      <c r="D613" s="141">
        <f>IFERROR((HLOOKUP($AH613,Target_monthwise!$D$4:$O$20,DTR!D$4,FALSE))*1000,0)</f>
        <v>0</v>
      </c>
      <c r="E613" s="141">
        <f>IFERROR((HLOOKUP($AH613,Target_monthwise!$D$4:$O$20,DTR!E$4,FALSE))*1000,0)</f>
        <v>0</v>
      </c>
      <c r="F613" s="141">
        <f>IFERROR((HLOOKUP($AH613,Target_monthwise!$D$4:$O$20,DTR!F$4,FALSE))*1000,0)</f>
        <v>0</v>
      </c>
      <c r="G613" s="141">
        <f>IFERROR((HLOOKUP($AH613,Target_monthwise!$D$4:$O$20,DTR!G$4,FALSE))*1000,0)</f>
        <v>0</v>
      </c>
      <c r="H613" s="141">
        <f>IFERROR((HLOOKUP($AH613,Target_monthwise!$D$4:$O$20,DTR!H$4,FALSE))*1000,0)</f>
        <v>0</v>
      </c>
      <c r="I613" s="141">
        <f>IFERROR((HLOOKUP($AH613,Target_monthwise!$D$4:$O$20,DTR!I$4,FALSE))*1000,0)</f>
        <v>0</v>
      </c>
      <c r="J613" s="141">
        <f>IFERROR((HLOOKUP($AH613,Target_monthwise!$D$4:$O$20,DTR!J$4,FALSE))*1000,0)</f>
        <v>0</v>
      </c>
      <c r="K613" s="141">
        <f>IFERROR((HLOOKUP($AH613,Target_monthwise!$D$4:$O$20,DTR!K$4,FALSE))*1000,0)</f>
        <v>0</v>
      </c>
      <c r="L613" s="141">
        <f>IFERROR((HLOOKUP($AH613,Target_monthwise!$D$4:$O$20,DTR!L$4,FALSE))*1000,0)</f>
        <v>0</v>
      </c>
      <c r="M613" s="141">
        <f>IFERROR((HLOOKUP($AH613,Target_monthwise!$D$4:$O$20,DTR!M$4,FALSE))*1000,0)</f>
        <v>0</v>
      </c>
      <c r="N613" s="141">
        <f>IFERROR((HLOOKUP($AH613,Target_monthwise!$D$4:$O$20,DTR!N$4,FALSE))*1000,0)</f>
        <v>0</v>
      </c>
      <c r="O613" s="141">
        <f>IFERROR((HLOOKUP($AH613,Target_monthwise!$D$4:$O$20,DTR!O$4,FALSE))*1000,0)</f>
        <v>0</v>
      </c>
      <c r="P613" s="141">
        <f>IFERROR((HLOOKUP($AH613,Target_monthwise!$D$4:$O$20,DTR!P$4,FALSE))*1000,0)</f>
        <v>0</v>
      </c>
      <c r="Q613" s="141">
        <f>IFERROR((HLOOKUP($AH613,Target_monthwise!$D$4:$O$20,DTR!Q$4,FALSE))*1000,0)</f>
        <v>0</v>
      </c>
      <c r="R613" s="167">
        <f>IFERROR((HLOOKUP($AH613,Target_monthwise!$D$4:$O$20,DTR!R$4,FALSE))*1000,0)</f>
        <v>0</v>
      </c>
      <c r="S613" s="147">
        <f>IFERROR((HLOOKUP($AH613,Target_monthwise!$D$24:$O$40,DTR!S$4,FALSE)),0)</f>
        <v>0</v>
      </c>
      <c r="T613" s="147">
        <f>IFERROR((HLOOKUP($AH613,Target_monthwise!$D$24:$O$40,DTR!T$4,FALSE)),0)</f>
        <v>0</v>
      </c>
      <c r="U613" s="147">
        <f>IFERROR((HLOOKUP($AH613,Target_monthwise!$D$24:$O$40,DTR!U$4,FALSE)),0)</f>
        <v>0</v>
      </c>
      <c r="V613" s="147">
        <f>IFERROR((HLOOKUP($AH613,Target_monthwise!$D$24:$O$40,DTR!V$4,FALSE)),0)</f>
        <v>0</v>
      </c>
      <c r="W613" s="147">
        <f>IFERROR((HLOOKUP($AH613,Target_monthwise!$D$24:$O$40,DTR!W$4,FALSE)),0)</f>
        <v>0</v>
      </c>
      <c r="X613" s="147">
        <f>IFERROR((HLOOKUP($AH613,Target_monthwise!$D$24:$O$40,DTR!X$4,FALSE)),0)</f>
        <v>0</v>
      </c>
      <c r="Y613" s="147">
        <f>IFERROR((HLOOKUP($AH613,Target_monthwise!$D$24:$O$40,DTR!Y$4,FALSE)),0)</f>
        <v>0</v>
      </c>
      <c r="Z613" s="147">
        <f>IFERROR((HLOOKUP($AH613,Target_monthwise!$D$24:$O$40,DTR!Z$4,FALSE)),0)</f>
        <v>0</v>
      </c>
      <c r="AA613" s="147">
        <f>IFERROR((HLOOKUP($AH613,Target_monthwise!$D$24:$O$40,DTR!AA$4,FALSE)),0)</f>
        <v>0</v>
      </c>
      <c r="AB613" s="147">
        <f>IFERROR((HLOOKUP($AH613,Target_monthwise!$D$24:$O$40,DTR!AB$4,FALSE)),0)</f>
        <v>0</v>
      </c>
      <c r="AC613" s="147">
        <f>IFERROR((HLOOKUP($AH613,Target_monthwise!$D$24:$O$40,DTR!AC$4,FALSE)),0)</f>
        <v>0</v>
      </c>
      <c r="AD613" s="147">
        <f>IFERROR((HLOOKUP($AH613,Target_monthwise!$D$24:$O$40,DTR!AD$4,FALSE)),0)</f>
        <v>0</v>
      </c>
      <c r="AE613" s="147">
        <f>IFERROR((HLOOKUP($AH613,Target_monthwise!$D$24:$O$40,DTR!AE$4,FALSE)),0)</f>
        <v>0</v>
      </c>
      <c r="AF613" s="147">
        <f>IFERROR((HLOOKUP($AH613,Target_monthwise!$D$24:$O$40,DTR!AF$4,FALSE)),0)</f>
        <v>0</v>
      </c>
      <c r="AG613" s="172">
        <f>IFERROR((HLOOKUP($AH613,Target_monthwise!$D$24:$O$40,DTR!AG$4,FALSE)),0)</f>
        <v>0</v>
      </c>
      <c r="AH613" s="253">
        <f t="shared" si="11"/>
        <v>202311</v>
      </c>
    </row>
    <row r="614" spans="3:34" ht="15.75" hidden="1">
      <c r="C614" s="237">
        <v>45257</v>
      </c>
      <c r="D614" s="238">
        <f>IFERROR((HLOOKUP($AH614,Target_monthwise!$D$4:$O$20,DTR!D$4,FALSE))*1000,0)</f>
        <v>0</v>
      </c>
      <c r="E614" s="238">
        <f>IFERROR((HLOOKUP($AH614,Target_monthwise!$D$4:$O$20,DTR!E$4,FALSE))*1000,0)</f>
        <v>0</v>
      </c>
      <c r="F614" s="238">
        <f>IFERROR((HLOOKUP($AH614,Target_monthwise!$D$4:$O$20,DTR!F$4,FALSE))*1000,0)</f>
        <v>0</v>
      </c>
      <c r="G614" s="238">
        <f>IFERROR((HLOOKUP($AH614,Target_monthwise!$D$4:$O$20,DTR!G$4,FALSE))*1000,0)</f>
        <v>0</v>
      </c>
      <c r="H614" s="238">
        <f>IFERROR((HLOOKUP($AH614,Target_monthwise!$D$4:$O$20,DTR!H$4,FALSE))*1000,0)</f>
        <v>0</v>
      </c>
      <c r="I614" s="238">
        <f>IFERROR((HLOOKUP($AH614,Target_monthwise!$D$4:$O$20,DTR!I$4,FALSE))*1000,0)</f>
        <v>0</v>
      </c>
      <c r="J614" s="238">
        <f>IFERROR((HLOOKUP($AH614,Target_monthwise!$D$4:$O$20,DTR!J$4,FALSE))*1000,0)</f>
        <v>0</v>
      </c>
      <c r="K614" s="238">
        <f>IFERROR((HLOOKUP($AH614,Target_monthwise!$D$4:$O$20,DTR!K$4,FALSE))*1000,0)</f>
        <v>0</v>
      </c>
      <c r="L614" s="238">
        <f>IFERROR((HLOOKUP($AH614,Target_monthwise!$D$4:$O$20,DTR!L$4,FALSE))*1000,0)</f>
        <v>0</v>
      </c>
      <c r="M614" s="238">
        <f>IFERROR((HLOOKUP($AH614,Target_monthwise!$D$4:$O$20,DTR!M$4,FALSE))*1000,0)</f>
        <v>0</v>
      </c>
      <c r="N614" s="238">
        <f>IFERROR((HLOOKUP($AH614,Target_monthwise!$D$4:$O$20,DTR!N$4,FALSE))*1000,0)</f>
        <v>0</v>
      </c>
      <c r="O614" s="238">
        <f>IFERROR((HLOOKUP($AH614,Target_monthwise!$D$4:$O$20,DTR!O$4,FALSE))*1000,0)</f>
        <v>0</v>
      </c>
      <c r="P614" s="238">
        <f>IFERROR((HLOOKUP($AH614,Target_monthwise!$D$4:$O$20,DTR!P$4,FALSE))*1000,0)</f>
        <v>0</v>
      </c>
      <c r="Q614" s="141">
        <f>IFERROR((HLOOKUP($AH614,Target_monthwise!$D$4:$O$20,DTR!Q$4,FALSE))*1000,0)</f>
        <v>0</v>
      </c>
      <c r="R614" s="167">
        <f>IFERROR((HLOOKUP($AH614,Target_monthwise!$D$4:$O$20,DTR!R$4,FALSE))*1000,0)</f>
        <v>0</v>
      </c>
      <c r="S614" s="239">
        <f>IFERROR((HLOOKUP($AH614,Target_monthwise!$D$24:$O$40,DTR!S$4,FALSE)),0)</f>
        <v>0</v>
      </c>
      <c r="T614" s="239">
        <f>IFERROR((HLOOKUP($AH614,Target_monthwise!$D$24:$O$40,DTR!T$4,FALSE)),0)</f>
        <v>0</v>
      </c>
      <c r="U614" s="239">
        <f>IFERROR((HLOOKUP($AH614,Target_monthwise!$D$24:$O$40,DTR!U$4,FALSE)),0)</f>
        <v>0</v>
      </c>
      <c r="V614" s="239">
        <f>IFERROR((HLOOKUP($AH614,Target_monthwise!$D$24:$O$40,DTR!V$4,FALSE)),0)</f>
        <v>0</v>
      </c>
      <c r="W614" s="239">
        <f>IFERROR((HLOOKUP($AH614,Target_monthwise!$D$24:$O$40,DTR!W$4,FALSE)),0)</f>
        <v>0</v>
      </c>
      <c r="X614" s="239">
        <f>IFERROR((HLOOKUP($AH614,Target_monthwise!$D$24:$O$40,DTR!X$4,FALSE)),0)</f>
        <v>0</v>
      </c>
      <c r="Y614" s="239">
        <f>IFERROR((HLOOKUP($AH614,Target_monthwise!$D$24:$O$40,DTR!Y$4,FALSE)),0)</f>
        <v>0</v>
      </c>
      <c r="Z614" s="147">
        <f>IFERROR((HLOOKUP($AH614,Target_monthwise!$D$24:$O$40,DTR!Z$4,FALSE)),0)</f>
        <v>0</v>
      </c>
      <c r="AA614" s="147">
        <f>IFERROR((HLOOKUP($AH614,Target_monthwise!$D$24:$O$40,DTR!AA$4,FALSE)),0)</f>
        <v>0</v>
      </c>
      <c r="AB614" s="147">
        <f>IFERROR((HLOOKUP($AH614,Target_monthwise!$D$24:$O$40,DTR!AB$4,FALSE)),0)</f>
        <v>0</v>
      </c>
      <c r="AC614" s="239">
        <f>IFERROR((HLOOKUP($AH614,Target_monthwise!$D$24:$O$40,DTR!AC$4,FALSE)),0)</f>
        <v>0</v>
      </c>
      <c r="AD614" s="239">
        <f>IFERROR((HLOOKUP($AH614,Target_monthwise!$D$24:$O$40,DTR!AD$4,FALSE)),0)</f>
        <v>0</v>
      </c>
      <c r="AE614" s="239">
        <f>IFERROR((HLOOKUP($AH614,Target_monthwise!$D$24:$O$40,DTR!AE$4,FALSE)),0)</f>
        <v>0</v>
      </c>
      <c r="AF614" s="239">
        <f>IFERROR((HLOOKUP($AH614,Target_monthwise!$D$24:$O$40,DTR!AF$4,FALSE)),0)</f>
        <v>0</v>
      </c>
      <c r="AG614" s="172">
        <f>IFERROR((HLOOKUP($AH614,Target_monthwise!$D$24:$O$40,DTR!AG$4,FALSE)),0)</f>
        <v>0</v>
      </c>
      <c r="AH614" s="253">
        <f t="shared" si="11"/>
        <v>202311</v>
      </c>
    </row>
    <row r="615" spans="3:34" ht="15.75" hidden="1">
      <c r="C615" s="235">
        <v>45258</v>
      </c>
      <c r="D615" s="141">
        <f>IFERROR((HLOOKUP($AH615,Target_monthwise!$D$4:$O$20,DTR!D$4,FALSE))*1000,0)</f>
        <v>0</v>
      </c>
      <c r="E615" s="141">
        <f>IFERROR((HLOOKUP($AH615,Target_monthwise!$D$4:$O$20,DTR!E$4,FALSE))*1000,0)</f>
        <v>0</v>
      </c>
      <c r="F615" s="141">
        <f>IFERROR((HLOOKUP($AH615,Target_monthwise!$D$4:$O$20,DTR!F$4,FALSE))*1000,0)</f>
        <v>0</v>
      </c>
      <c r="G615" s="141">
        <f>IFERROR((HLOOKUP($AH615,Target_monthwise!$D$4:$O$20,DTR!G$4,FALSE))*1000,0)</f>
        <v>0</v>
      </c>
      <c r="H615" s="141">
        <f>IFERROR((HLOOKUP($AH615,Target_monthwise!$D$4:$O$20,DTR!H$4,FALSE))*1000,0)</f>
        <v>0</v>
      </c>
      <c r="I615" s="141">
        <f>IFERROR((HLOOKUP($AH615,Target_monthwise!$D$4:$O$20,DTR!I$4,FALSE))*1000,0)</f>
        <v>0</v>
      </c>
      <c r="J615" s="141">
        <f>IFERROR((HLOOKUP($AH615,Target_monthwise!$D$4:$O$20,DTR!J$4,FALSE))*1000,0)</f>
        <v>0</v>
      </c>
      <c r="K615" s="141">
        <f>IFERROR((HLOOKUP($AH615,Target_monthwise!$D$4:$O$20,DTR!K$4,FALSE))*1000,0)</f>
        <v>0</v>
      </c>
      <c r="L615" s="141">
        <f>IFERROR((HLOOKUP($AH615,Target_monthwise!$D$4:$O$20,DTR!L$4,FALSE))*1000,0)</f>
        <v>0</v>
      </c>
      <c r="M615" s="141">
        <f>IFERROR((HLOOKUP($AH615,Target_monthwise!$D$4:$O$20,DTR!M$4,FALSE))*1000,0)</f>
        <v>0</v>
      </c>
      <c r="N615" s="141">
        <f>IFERROR((HLOOKUP($AH615,Target_monthwise!$D$4:$O$20,DTR!N$4,FALSE))*1000,0)</f>
        <v>0</v>
      </c>
      <c r="O615" s="141">
        <f>IFERROR((HLOOKUP($AH615,Target_monthwise!$D$4:$O$20,DTR!O$4,FALSE))*1000,0)</f>
        <v>0</v>
      </c>
      <c r="P615" s="141">
        <f>IFERROR((HLOOKUP($AH615,Target_monthwise!$D$4:$O$20,DTR!P$4,FALSE))*1000,0)</f>
        <v>0</v>
      </c>
      <c r="Q615" s="141">
        <f>IFERROR((HLOOKUP($AH615,Target_monthwise!$D$4:$O$20,DTR!Q$4,FALSE))*1000,0)</f>
        <v>0</v>
      </c>
      <c r="R615" s="167">
        <f>IFERROR((HLOOKUP($AH615,Target_monthwise!$D$4:$O$20,DTR!R$4,FALSE))*1000,0)</f>
        <v>0</v>
      </c>
      <c r="S615" s="147">
        <f>IFERROR((HLOOKUP($AH615,Target_monthwise!$D$24:$O$40,DTR!S$4,FALSE)),0)</f>
        <v>0</v>
      </c>
      <c r="T615" s="147">
        <f>IFERROR((HLOOKUP($AH615,Target_monthwise!$D$24:$O$40,DTR!T$4,FALSE)),0)</f>
        <v>0</v>
      </c>
      <c r="U615" s="147">
        <f>IFERROR((HLOOKUP($AH615,Target_monthwise!$D$24:$O$40,DTR!U$4,FALSE)),0)</f>
        <v>0</v>
      </c>
      <c r="V615" s="147">
        <f>IFERROR((HLOOKUP($AH615,Target_monthwise!$D$24:$O$40,DTR!V$4,FALSE)),0)</f>
        <v>0</v>
      </c>
      <c r="W615" s="147">
        <f>IFERROR((HLOOKUP($AH615,Target_monthwise!$D$24:$O$40,DTR!W$4,FALSE)),0)</f>
        <v>0</v>
      </c>
      <c r="X615" s="147">
        <f>IFERROR((HLOOKUP($AH615,Target_monthwise!$D$24:$O$40,DTR!X$4,FALSE)),0)</f>
        <v>0</v>
      </c>
      <c r="Y615" s="147">
        <f>IFERROR((HLOOKUP($AH615,Target_monthwise!$D$24:$O$40,DTR!Y$4,FALSE)),0)</f>
        <v>0</v>
      </c>
      <c r="Z615" s="147">
        <f>IFERROR((HLOOKUP($AH615,Target_monthwise!$D$24:$O$40,DTR!Z$4,FALSE)),0)</f>
        <v>0</v>
      </c>
      <c r="AA615" s="147">
        <f>IFERROR((HLOOKUP($AH615,Target_monthwise!$D$24:$O$40,DTR!AA$4,FALSE)),0)</f>
        <v>0</v>
      </c>
      <c r="AB615" s="147">
        <f>IFERROR((HLOOKUP($AH615,Target_monthwise!$D$24:$O$40,DTR!AB$4,FALSE)),0)</f>
        <v>0</v>
      </c>
      <c r="AC615" s="147">
        <f>IFERROR((HLOOKUP($AH615,Target_monthwise!$D$24:$O$40,DTR!AC$4,FALSE)),0)</f>
        <v>0</v>
      </c>
      <c r="AD615" s="147">
        <f>IFERROR((HLOOKUP($AH615,Target_monthwise!$D$24:$O$40,DTR!AD$4,FALSE)),0)</f>
        <v>0</v>
      </c>
      <c r="AE615" s="147">
        <f>IFERROR((HLOOKUP($AH615,Target_monthwise!$D$24:$O$40,DTR!AE$4,FALSE)),0)</f>
        <v>0</v>
      </c>
      <c r="AF615" s="147">
        <f>IFERROR((HLOOKUP($AH615,Target_monthwise!$D$24:$O$40,DTR!AF$4,FALSE)),0)</f>
        <v>0</v>
      </c>
      <c r="AG615" s="172">
        <f>IFERROR((HLOOKUP($AH615,Target_monthwise!$D$24:$O$40,DTR!AG$4,FALSE)),0)</f>
        <v>0</v>
      </c>
      <c r="AH615" s="253">
        <f t="shared" si="11"/>
        <v>202311</v>
      </c>
    </row>
    <row r="616" spans="3:34" ht="15.75" hidden="1">
      <c r="C616" s="237">
        <v>45259</v>
      </c>
      <c r="D616" s="238">
        <f>IFERROR((HLOOKUP($AH616,Target_monthwise!$D$4:$O$20,DTR!D$4,FALSE))*1000,0)</f>
        <v>0</v>
      </c>
      <c r="E616" s="238">
        <f>IFERROR((HLOOKUP($AH616,Target_monthwise!$D$4:$O$20,DTR!E$4,FALSE))*1000,0)</f>
        <v>0</v>
      </c>
      <c r="F616" s="238">
        <f>IFERROR((HLOOKUP($AH616,Target_monthwise!$D$4:$O$20,DTR!F$4,FALSE))*1000,0)</f>
        <v>0</v>
      </c>
      <c r="G616" s="238">
        <f>IFERROR((HLOOKUP($AH616,Target_monthwise!$D$4:$O$20,DTR!G$4,FALSE))*1000,0)</f>
        <v>0</v>
      </c>
      <c r="H616" s="238">
        <f>IFERROR((HLOOKUP($AH616,Target_monthwise!$D$4:$O$20,DTR!H$4,FALSE))*1000,0)</f>
        <v>0</v>
      </c>
      <c r="I616" s="238">
        <f>IFERROR((HLOOKUP($AH616,Target_monthwise!$D$4:$O$20,DTR!I$4,FALSE))*1000,0)</f>
        <v>0</v>
      </c>
      <c r="J616" s="238">
        <f>IFERROR((HLOOKUP($AH616,Target_monthwise!$D$4:$O$20,DTR!J$4,FALSE))*1000,0)</f>
        <v>0</v>
      </c>
      <c r="K616" s="238">
        <f>IFERROR((HLOOKUP($AH616,Target_monthwise!$D$4:$O$20,DTR!K$4,FALSE))*1000,0)</f>
        <v>0</v>
      </c>
      <c r="L616" s="238">
        <f>IFERROR((HLOOKUP($AH616,Target_monthwise!$D$4:$O$20,DTR!L$4,FALSE))*1000,0)</f>
        <v>0</v>
      </c>
      <c r="M616" s="238">
        <f>IFERROR((HLOOKUP($AH616,Target_monthwise!$D$4:$O$20,DTR!M$4,FALSE))*1000,0)</f>
        <v>0</v>
      </c>
      <c r="N616" s="238">
        <f>IFERROR((HLOOKUP($AH616,Target_monthwise!$D$4:$O$20,DTR!N$4,FALSE))*1000,0)</f>
        <v>0</v>
      </c>
      <c r="O616" s="238">
        <f>IFERROR((HLOOKUP($AH616,Target_monthwise!$D$4:$O$20,DTR!O$4,FALSE))*1000,0)</f>
        <v>0</v>
      </c>
      <c r="P616" s="238">
        <f>IFERROR((HLOOKUP($AH616,Target_monthwise!$D$4:$O$20,DTR!P$4,FALSE))*1000,0)</f>
        <v>0</v>
      </c>
      <c r="Q616" s="141">
        <f>IFERROR((HLOOKUP($AH616,Target_monthwise!$D$4:$O$20,DTR!Q$4,FALSE))*1000,0)</f>
        <v>0</v>
      </c>
      <c r="R616" s="167">
        <f>IFERROR((HLOOKUP($AH616,Target_monthwise!$D$4:$O$20,DTR!R$4,FALSE))*1000,0)</f>
        <v>0</v>
      </c>
      <c r="S616" s="239">
        <f>IFERROR((HLOOKUP($AH616,Target_monthwise!$D$24:$O$40,DTR!S$4,FALSE)),0)</f>
        <v>0</v>
      </c>
      <c r="T616" s="239">
        <f>IFERROR((HLOOKUP($AH616,Target_monthwise!$D$24:$O$40,DTR!T$4,FALSE)),0)</f>
        <v>0</v>
      </c>
      <c r="U616" s="239">
        <f>IFERROR((HLOOKUP($AH616,Target_monthwise!$D$24:$O$40,DTR!U$4,FALSE)),0)</f>
        <v>0</v>
      </c>
      <c r="V616" s="239">
        <f>IFERROR((HLOOKUP($AH616,Target_monthwise!$D$24:$O$40,DTR!V$4,FALSE)),0)</f>
        <v>0</v>
      </c>
      <c r="W616" s="239">
        <f>IFERROR((HLOOKUP($AH616,Target_monthwise!$D$24:$O$40,DTR!W$4,FALSE)),0)</f>
        <v>0</v>
      </c>
      <c r="X616" s="239">
        <f>IFERROR((HLOOKUP($AH616,Target_monthwise!$D$24:$O$40,DTR!X$4,FALSE)),0)</f>
        <v>0</v>
      </c>
      <c r="Y616" s="239">
        <f>IFERROR((HLOOKUP($AH616,Target_monthwise!$D$24:$O$40,DTR!Y$4,FALSE)),0)</f>
        <v>0</v>
      </c>
      <c r="Z616" s="147">
        <f>IFERROR((HLOOKUP($AH616,Target_monthwise!$D$24:$O$40,DTR!Z$4,FALSE)),0)</f>
        <v>0</v>
      </c>
      <c r="AA616" s="147">
        <f>IFERROR((HLOOKUP($AH616,Target_monthwise!$D$24:$O$40,DTR!AA$4,FALSE)),0)</f>
        <v>0</v>
      </c>
      <c r="AB616" s="147">
        <f>IFERROR((HLOOKUP($AH616,Target_monthwise!$D$24:$O$40,DTR!AB$4,FALSE)),0)</f>
        <v>0</v>
      </c>
      <c r="AC616" s="239">
        <f>IFERROR((HLOOKUP($AH616,Target_monthwise!$D$24:$O$40,DTR!AC$4,FALSE)),0)</f>
        <v>0</v>
      </c>
      <c r="AD616" s="239">
        <f>IFERROR((HLOOKUP($AH616,Target_monthwise!$D$24:$O$40,DTR!AD$4,FALSE)),0)</f>
        <v>0</v>
      </c>
      <c r="AE616" s="239">
        <f>IFERROR((HLOOKUP($AH616,Target_monthwise!$D$24:$O$40,DTR!AE$4,FALSE)),0)</f>
        <v>0</v>
      </c>
      <c r="AF616" s="239">
        <f>IFERROR((HLOOKUP($AH616,Target_monthwise!$D$24:$O$40,DTR!AF$4,FALSE)),0)</f>
        <v>0</v>
      </c>
      <c r="AG616" s="172">
        <f>IFERROR((HLOOKUP($AH616,Target_monthwise!$D$24:$O$40,DTR!AG$4,FALSE)),0)</f>
        <v>0</v>
      </c>
      <c r="AH616" s="253">
        <f t="shared" si="11"/>
        <v>202311</v>
      </c>
    </row>
    <row r="617" spans="3:34" ht="15.75" hidden="1">
      <c r="C617" s="235">
        <v>45260</v>
      </c>
      <c r="D617" s="141">
        <f>IFERROR((HLOOKUP($AH617,Target_monthwise!$D$4:$O$20,DTR!D$4,FALSE))*1000,0)</f>
        <v>0</v>
      </c>
      <c r="E617" s="141">
        <f>IFERROR((HLOOKUP($AH617,Target_monthwise!$D$4:$O$20,DTR!E$4,FALSE))*1000,0)</f>
        <v>0</v>
      </c>
      <c r="F617" s="141">
        <f>IFERROR((HLOOKUP($AH617,Target_monthwise!$D$4:$O$20,DTR!F$4,FALSE))*1000,0)</f>
        <v>0</v>
      </c>
      <c r="G617" s="141">
        <f>IFERROR((HLOOKUP($AH617,Target_monthwise!$D$4:$O$20,DTR!G$4,FALSE))*1000,0)</f>
        <v>0</v>
      </c>
      <c r="H617" s="141">
        <f>IFERROR((HLOOKUP($AH617,Target_monthwise!$D$4:$O$20,DTR!H$4,FALSE))*1000,0)</f>
        <v>0</v>
      </c>
      <c r="I617" s="141">
        <f>IFERROR((HLOOKUP($AH617,Target_monthwise!$D$4:$O$20,DTR!I$4,FALSE))*1000,0)</f>
        <v>0</v>
      </c>
      <c r="J617" s="141">
        <f>IFERROR((HLOOKUP($AH617,Target_monthwise!$D$4:$O$20,DTR!J$4,FALSE))*1000,0)</f>
        <v>0</v>
      </c>
      <c r="K617" s="141">
        <f>IFERROR((HLOOKUP($AH617,Target_monthwise!$D$4:$O$20,DTR!K$4,FALSE))*1000,0)</f>
        <v>0</v>
      </c>
      <c r="L617" s="141">
        <f>IFERROR((HLOOKUP($AH617,Target_monthwise!$D$4:$O$20,DTR!L$4,FALSE))*1000,0)</f>
        <v>0</v>
      </c>
      <c r="M617" s="141">
        <f>IFERROR((HLOOKUP($AH617,Target_monthwise!$D$4:$O$20,DTR!M$4,FALSE))*1000,0)</f>
        <v>0</v>
      </c>
      <c r="N617" s="141">
        <f>IFERROR((HLOOKUP($AH617,Target_monthwise!$D$4:$O$20,DTR!N$4,FALSE))*1000,0)</f>
        <v>0</v>
      </c>
      <c r="O617" s="141">
        <f>IFERROR((HLOOKUP($AH617,Target_monthwise!$D$4:$O$20,DTR!O$4,FALSE))*1000,0)</f>
        <v>0</v>
      </c>
      <c r="P617" s="141">
        <f>IFERROR((HLOOKUP($AH617,Target_monthwise!$D$4:$O$20,DTR!P$4,FALSE))*1000,0)</f>
        <v>0</v>
      </c>
      <c r="Q617" s="141">
        <f>IFERROR((HLOOKUP($AH617,Target_monthwise!$D$4:$O$20,DTR!Q$4,FALSE))*1000,0)</f>
        <v>0</v>
      </c>
      <c r="R617" s="167">
        <f>IFERROR((HLOOKUP($AH617,Target_monthwise!$D$4:$O$20,DTR!R$4,FALSE))*1000,0)</f>
        <v>0</v>
      </c>
      <c r="S617" s="147">
        <f>IFERROR((HLOOKUP($AH617,Target_monthwise!$D$24:$O$40,DTR!S$4,FALSE)),0)</f>
        <v>0</v>
      </c>
      <c r="T617" s="147">
        <f>IFERROR((HLOOKUP($AH617,Target_monthwise!$D$24:$O$40,DTR!T$4,FALSE)),0)</f>
        <v>0</v>
      </c>
      <c r="U617" s="147">
        <f>IFERROR((HLOOKUP($AH617,Target_monthwise!$D$24:$O$40,DTR!U$4,FALSE)),0)</f>
        <v>0</v>
      </c>
      <c r="V617" s="147">
        <f>IFERROR((HLOOKUP($AH617,Target_monthwise!$D$24:$O$40,DTR!V$4,FALSE)),0)</f>
        <v>0</v>
      </c>
      <c r="W617" s="147">
        <f>IFERROR((HLOOKUP($AH617,Target_monthwise!$D$24:$O$40,DTR!W$4,FALSE)),0)</f>
        <v>0</v>
      </c>
      <c r="X617" s="147">
        <f>IFERROR((HLOOKUP($AH617,Target_monthwise!$D$24:$O$40,DTR!X$4,FALSE)),0)</f>
        <v>0</v>
      </c>
      <c r="Y617" s="147">
        <f>IFERROR((HLOOKUP($AH617,Target_monthwise!$D$24:$O$40,DTR!Y$4,FALSE)),0)</f>
        <v>0</v>
      </c>
      <c r="Z617" s="147">
        <f>IFERROR((HLOOKUP($AH617,Target_monthwise!$D$24:$O$40,DTR!Z$4,FALSE)),0)</f>
        <v>0</v>
      </c>
      <c r="AA617" s="147">
        <f>IFERROR((HLOOKUP($AH617,Target_monthwise!$D$24:$O$40,DTR!AA$4,FALSE)),0)</f>
        <v>0</v>
      </c>
      <c r="AB617" s="147">
        <f>IFERROR((HLOOKUP($AH617,Target_monthwise!$D$24:$O$40,DTR!AB$4,FALSE)),0)</f>
        <v>0</v>
      </c>
      <c r="AC617" s="147">
        <f>IFERROR((HLOOKUP($AH617,Target_monthwise!$D$24:$O$40,DTR!AC$4,FALSE)),0)</f>
        <v>0</v>
      </c>
      <c r="AD617" s="147">
        <f>IFERROR((HLOOKUP($AH617,Target_monthwise!$D$24:$O$40,DTR!AD$4,FALSE)),0)</f>
        <v>0</v>
      </c>
      <c r="AE617" s="147">
        <f>IFERROR((HLOOKUP($AH617,Target_monthwise!$D$24:$O$40,DTR!AE$4,FALSE)),0)</f>
        <v>0</v>
      </c>
      <c r="AF617" s="147">
        <f>IFERROR((HLOOKUP($AH617,Target_monthwise!$D$24:$O$40,DTR!AF$4,FALSE)),0)</f>
        <v>0</v>
      </c>
      <c r="AG617" s="172">
        <f>IFERROR((HLOOKUP($AH617,Target_monthwise!$D$24:$O$40,DTR!AG$4,FALSE)),0)</f>
        <v>0</v>
      </c>
      <c r="AH617" s="253">
        <f t="shared" si="11"/>
        <v>202311</v>
      </c>
    </row>
    <row r="618" spans="3:34" ht="15.75" hidden="1">
      <c r="C618" s="237">
        <v>45261</v>
      </c>
      <c r="D618" s="238">
        <f>IFERROR((HLOOKUP($AH618,Target_monthwise!$D$4:$O$20,DTR!D$4,FALSE))*1000,0)</f>
        <v>0</v>
      </c>
      <c r="E618" s="238">
        <f>IFERROR((HLOOKUP($AH618,Target_monthwise!$D$4:$O$20,DTR!E$4,FALSE))*1000,0)</f>
        <v>0</v>
      </c>
      <c r="F618" s="238">
        <f>IFERROR((HLOOKUP($AH618,Target_monthwise!$D$4:$O$20,DTR!F$4,FALSE))*1000,0)</f>
        <v>0</v>
      </c>
      <c r="G618" s="238">
        <f>IFERROR((HLOOKUP($AH618,Target_monthwise!$D$4:$O$20,DTR!G$4,FALSE))*1000,0)</f>
        <v>0</v>
      </c>
      <c r="H618" s="238">
        <f>IFERROR((HLOOKUP($AH618,Target_monthwise!$D$4:$O$20,DTR!H$4,FALSE))*1000,0)</f>
        <v>0</v>
      </c>
      <c r="I618" s="238">
        <f>IFERROR((HLOOKUP($AH618,Target_monthwise!$D$4:$O$20,DTR!I$4,FALSE))*1000,0)</f>
        <v>0</v>
      </c>
      <c r="J618" s="238">
        <f>IFERROR((HLOOKUP($AH618,Target_monthwise!$D$4:$O$20,DTR!J$4,FALSE))*1000,0)</f>
        <v>0</v>
      </c>
      <c r="K618" s="238">
        <f>IFERROR((HLOOKUP($AH618,Target_monthwise!$D$4:$O$20,DTR!K$4,FALSE))*1000,0)</f>
        <v>0</v>
      </c>
      <c r="L618" s="238">
        <f>IFERROR((HLOOKUP($AH618,Target_monthwise!$D$4:$O$20,DTR!L$4,FALSE))*1000,0)</f>
        <v>0</v>
      </c>
      <c r="M618" s="238">
        <f>IFERROR((HLOOKUP($AH618,Target_monthwise!$D$4:$O$20,DTR!M$4,FALSE))*1000,0)</f>
        <v>0</v>
      </c>
      <c r="N618" s="238">
        <f>IFERROR((HLOOKUP($AH618,Target_monthwise!$D$4:$O$20,DTR!N$4,FALSE))*1000,0)</f>
        <v>0</v>
      </c>
      <c r="O618" s="238">
        <f>IFERROR((HLOOKUP($AH618,Target_monthwise!$D$4:$O$20,DTR!O$4,FALSE))*1000,0)</f>
        <v>0</v>
      </c>
      <c r="P618" s="238">
        <f>IFERROR((HLOOKUP($AH618,Target_monthwise!$D$4:$O$20,DTR!P$4,FALSE))*1000,0)</f>
        <v>0</v>
      </c>
      <c r="Q618" s="141">
        <f>IFERROR((HLOOKUP($AH618,Target_monthwise!$D$4:$O$20,DTR!Q$4,FALSE))*1000,0)</f>
        <v>0</v>
      </c>
      <c r="R618" s="167">
        <f>IFERROR((HLOOKUP($AH618,Target_monthwise!$D$4:$O$20,DTR!R$4,FALSE))*1000,0)</f>
        <v>0</v>
      </c>
      <c r="S618" s="239">
        <f>IFERROR((HLOOKUP($AH618,Target_monthwise!$D$24:$O$40,DTR!S$4,FALSE)),0)</f>
        <v>0</v>
      </c>
      <c r="T618" s="239">
        <f>IFERROR((HLOOKUP($AH618,Target_monthwise!$D$24:$O$40,DTR!T$4,FALSE)),0)</f>
        <v>0</v>
      </c>
      <c r="U618" s="239">
        <f>IFERROR((HLOOKUP($AH618,Target_monthwise!$D$24:$O$40,DTR!U$4,FALSE)),0)</f>
        <v>0</v>
      </c>
      <c r="V618" s="239">
        <f>IFERROR((HLOOKUP($AH618,Target_monthwise!$D$24:$O$40,DTR!V$4,FALSE)),0)</f>
        <v>0</v>
      </c>
      <c r="W618" s="239">
        <f>IFERROR((HLOOKUP($AH618,Target_monthwise!$D$24:$O$40,DTR!W$4,FALSE)),0)</f>
        <v>0</v>
      </c>
      <c r="X618" s="239">
        <f>IFERROR((HLOOKUP($AH618,Target_monthwise!$D$24:$O$40,DTR!X$4,FALSE)),0)</f>
        <v>0</v>
      </c>
      <c r="Y618" s="239">
        <f>IFERROR((HLOOKUP($AH618,Target_monthwise!$D$24:$O$40,DTR!Y$4,FALSE)),0)</f>
        <v>0</v>
      </c>
      <c r="Z618" s="147">
        <f>IFERROR((HLOOKUP($AH618,Target_monthwise!$D$24:$O$40,DTR!Z$4,FALSE)),0)</f>
        <v>0</v>
      </c>
      <c r="AA618" s="147">
        <f>IFERROR((HLOOKUP($AH618,Target_monthwise!$D$24:$O$40,DTR!AA$4,FALSE)),0)</f>
        <v>0</v>
      </c>
      <c r="AB618" s="147">
        <f>IFERROR((HLOOKUP($AH618,Target_monthwise!$D$24:$O$40,DTR!AB$4,FALSE)),0)</f>
        <v>0</v>
      </c>
      <c r="AC618" s="239">
        <f>IFERROR((HLOOKUP($AH618,Target_monthwise!$D$24:$O$40,DTR!AC$4,FALSE)),0)</f>
        <v>0</v>
      </c>
      <c r="AD618" s="239">
        <f>IFERROR((HLOOKUP($AH618,Target_monthwise!$D$24:$O$40,DTR!AD$4,FALSE)),0)</f>
        <v>0</v>
      </c>
      <c r="AE618" s="239">
        <f>IFERROR((HLOOKUP($AH618,Target_monthwise!$D$24:$O$40,DTR!AE$4,FALSE)),0)</f>
        <v>0</v>
      </c>
      <c r="AF618" s="239">
        <f>IFERROR((HLOOKUP($AH618,Target_monthwise!$D$24:$O$40,DTR!AF$4,FALSE)),0)</f>
        <v>0</v>
      </c>
      <c r="AG618" s="172">
        <f>IFERROR((HLOOKUP($AH618,Target_monthwise!$D$24:$O$40,DTR!AG$4,FALSE)),0)</f>
        <v>0</v>
      </c>
      <c r="AH618" s="253">
        <f t="shared" si="11"/>
        <v>202312</v>
      </c>
    </row>
    <row r="619" spans="3:34" ht="15.75" hidden="1">
      <c r="C619" s="235">
        <v>45262</v>
      </c>
      <c r="D619" s="141">
        <f>IFERROR((HLOOKUP($AH619,Target_monthwise!$D$4:$O$20,DTR!D$4,FALSE))*1000,0)</f>
        <v>0</v>
      </c>
      <c r="E619" s="141">
        <f>IFERROR((HLOOKUP($AH619,Target_monthwise!$D$4:$O$20,DTR!E$4,FALSE))*1000,0)</f>
        <v>0</v>
      </c>
      <c r="F619" s="141">
        <f>IFERROR((HLOOKUP($AH619,Target_monthwise!$D$4:$O$20,DTR!F$4,FALSE))*1000,0)</f>
        <v>0</v>
      </c>
      <c r="G619" s="141">
        <f>IFERROR((HLOOKUP($AH619,Target_monthwise!$D$4:$O$20,DTR!G$4,FALSE))*1000,0)</f>
        <v>0</v>
      </c>
      <c r="H619" s="141">
        <f>IFERROR((HLOOKUP($AH619,Target_monthwise!$D$4:$O$20,DTR!H$4,FALSE))*1000,0)</f>
        <v>0</v>
      </c>
      <c r="I619" s="141">
        <f>IFERROR((HLOOKUP($AH619,Target_monthwise!$D$4:$O$20,DTR!I$4,FALSE))*1000,0)</f>
        <v>0</v>
      </c>
      <c r="J619" s="141">
        <f>IFERROR((HLOOKUP($AH619,Target_monthwise!$D$4:$O$20,DTR!J$4,FALSE))*1000,0)</f>
        <v>0</v>
      </c>
      <c r="K619" s="141">
        <f>IFERROR((HLOOKUP($AH619,Target_monthwise!$D$4:$O$20,DTR!K$4,FALSE))*1000,0)</f>
        <v>0</v>
      </c>
      <c r="L619" s="141">
        <f>IFERROR((HLOOKUP($AH619,Target_monthwise!$D$4:$O$20,DTR!L$4,FALSE))*1000,0)</f>
        <v>0</v>
      </c>
      <c r="M619" s="141">
        <f>IFERROR((HLOOKUP($AH619,Target_monthwise!$D$4:$O$20,DTR!M$4,FALSE))*1000,0)</f>
        <v>0</v>
      </c>
      <c r="N619" s="141">
        <f>IFERROR((HLOOKUP($AH619,Target_monthwise!$D$4:$O$20,DTR!N$4,FALSE))*1000,0)</f>
        <v>0</v>
      </c>
      <c r="O619" s="141">
        <f>IFERROR((HLOOKUP($AH619,Target_monthwise!$D$4:$O$20,DTR!O$4,FALSE))*1000,0)</f>
        <v>0</v>
      </c>
      <c r="P619" s="141">
        <f>IFERROR((HLOOKUP($AH619,Target_monthwise!$D$4:$O$20,DTR!P$4,FALSE))*1000,0)</f>
        <v>0</v>
      </c>
      <c r="Q619" s="141">
        <f>IFERROR((HLOOKUP($AH619,Target_monthwise!$D$4:$O$20,DTR!Q$4,FALSE))*1000,0)</f>
        <v>0</v>
      </c>
      <c r="R619" s="167">
        <f>IFERROR((HLOOKUP($AH619,Target_monthwise!$D$4:$O$20,DTR!R$4,FALSE))*1000,0)</f>
        <v>0</v>
      </c>
      <c r="S619" s="147">
        <f>IFERROR((HLOOKUP($AH619,Target_monthwise!$D$24:$O$40,DTR!S$4,FALSE)),0)</f>
        <v>0</v>
      </c>
      <c r="T619" s="147">
        <f>IFERROR((HLOOKUP($AH619,Target_monthwise!$D$24:$O$40,DTR!T$4,FALSE)),0)</f>
        <v>0</v>
      </c>
      <c r="U619" s="147">
        <f>IFERROR((HLOOKUP($AH619,Target_monthwise!$D$24:$O$40,DTR!U$4,FALSE)),0)</f>
        <v>0</v>
      </c>
      <c r="V619" s="147">
        <f>IFERROR((HLOOKUP($AH619,Target_monthwise!$D$24:$O$40,DTR!V$4,FALSE)),0)</f>
        <v>0</v>
      </c>
      <c r="W619" s="147">
        <f>IFERROR((HLOOKUP($AH619,Target_monthwise!$D$24:$O$40,DTR!W$4,FALSE)),0)</f>
        <v>0</v>
      </c>
      <c r="X619" s="147">
        <f>IFERROR((HLOOKUP($AH619,Target_monthwise!$D$24:$O$40,DTR!X$4,FALSE)),0)</f>
        <v>0</v>
      </c>
      <c r="Y619" s="147">
        <f>IFERROR((HLOOKUP($AH619,Target_monthwise!$D$24:$O$40,DTR!Y$4,FALSE)),0)</f>
        <v>0</v>
      </c>
      <c r="Z619" s="147">
        <f>IFERROR((HLOOKUP($AH619,Target_monthwise!$D$24:$O$40,DTR!Z$4,FALSE)),0)</f>
        <v>0</v>
      </c>
      <c r="AA619" s="147">
        <f>IFERROR((HLOOKUP($AH619,Target_monthwise!$D$24:$O$40,DTR!AA$4,FALSE)),0)</f>
        <v>0</v>
      </c>
      <c r="AB619" s="147">
        <f>IFERROR((HLOOKUP($AH619,Target_monthwise!$D$24:$O$40,DTR!AB$4,FALSE)),0)</f>
        <v>0</v>
      </c>
      <c r="AC619" s="147">
        <f>IFERROR((HLOOKUP($AH619,Target_monthwise!$D$24:$O$40,DTR!AC$4,FALSE)),0)</f>
        <v>0</v>
      </c>
      <c r="AD619" s="147">
        <f>IFERROR((HLOOKUP($AH619,Target_monthwise!$D$24:$O$40,DTR!AD$4,FALSE)),0)</f>
        <v>0</v>
      </c>
      <c r="AE619" s="147">
        <f>IFERROR((HLOOKUP($AH619,Target_monthwise!$D$24:$O$40,DTR!AE$4,FALSE)),0)</f>
        <v>0</v>
      </c>
      <c r="AF619" s="147">
        <f>IFERROR((HLOOKUP($AH619,Target_monthwise!$D$24:$O$40,DTR!AF$4,FALSE)),0)</f>
        <v>0</v>
      </c>
      <c r="AG619" s="172">
        <f>IFERROR((HLOOKUP($AH619,Target_monthwise!$D$24:$O$40,DTR!AG$4,FALSE)),0)</f>
        <v>0</v>
      </c>
      <c r="AH619" s="253">
        <f t="shared" si="11"/>
        <v>202312</v>
      </c>
    </row>
    <row r="620" spans="3:34" ht="15.75" hidden="1">
      <c r="C620" s="237">
        <v>45263</v>
      </c>
      <c r="D620" s="238">
        <f>IFERROR((HLOOKUP($AH620,Target_monthwise!$D$4:$O$20,DTR!D$4,FALSE))*1000,0)</f>
        <v>0</v>
      </c>
      <c r="E620" s="238">
        <f>IFERROR((HLOOKUP($AH620,Target_monthwise!$D$4:$O$20,DTR!E$4,FALSE))*1000,0)</f>
        <v>0</v>
      </c>
      <c r="F620" s="238">
        <f>IFERROR((HLOOKUP($AH620,Target_monthwise!$D$4:$O$20,DTR!F$4,FALSE))*1000,0)</f>
        <v>0</v>
      </c>
      <c r="G620" s="238">
        <f>IFERROR((HLOOKUP($AH620,Target_monthwise!$D$4:$O$20,DTR!G$4,FALSE))*1000,0)</f>
        <v>0</v>
      </c>
      <c r="H620" s="238">
        <f>IFERROR((HLOOKUP($AH620,Target_monthwise!$D$4:$O$20,DTR!H$4,FALSE))*1000,0)</f>
        <v>0</v>
      </c>
      <c r="I620" s="238">
        <f>IFERROR((HLOOKUP($AH620,Target_monthwise!$D$4:$O$20,DTR!I$4,FALSE))*1000,0)</f>
        <v>0</v>
      </c>
      <c r="J620" s="238">
        <f>IFERROR((HLOOKUP($AH620,Target_monthwise!$D$4:$O$20,DTR!J$4,FALSE))*1000,0)</f>
        <v>0</v>
      </c>
      <c r="K620" s="238">
        <f>IFERROR((HLOOKUP($AH620,Target_monthwise!$D$4:$O$20,DTR!K$4,FALSE))*1000,0)</f>
        <v>0</v>
      </c>
      <c r="L620" s="238">
        <f>IFERROR((HLOOKUP($AH620,Target_monthwise!$D$4:$O$20,DTR!L$4,FALSE))*1000,0)</f>
        <v>0</v>
      </c>
      <c r="M620" s="238">
        <f>IFERROR((HLOOKUP($AH620,Target_monthwise!$D$4:$O$20,DTR!M$4,FALSE))*1000,0)</f>
        <v>0</v>
      </c>
      <c r="N620" s="238">
        <f>IFERROR((HLOOKUP($AH620,Target_monthwise!$D$4:$O$20,DTR!N$4,FALSE))*1000,0)</f>
        <v>0</v>
      </c>
      <c r="O620" s="238">
        <f>IFERROR((HLOOKUP($AH620,Target_monthwise!$D$4:$O$20,DTR!O$4,FALSE))*1000,0)</f>
        <v>0</v>
      </c>
      <c r="P620" s="238">
        <f>IFERROR((HLOOKUP($AH620,Target_monthwise!$D$4:$O$20,DTR!P$4,FALSE))*1000,0)</f>
        <v>0</v>
      </c>
      <c r="Q620" s="141">
        <f>IFERROR((HLOOKUP($AH620,Target_monthwise!$D$4:$O$20,DTR!Q$4,FALSE))*1000,0)</f>
        <v>0</v>
      </c>
      <c r="R620" s="167">
        <f>IFERROR((HLOOKUP($AH620,Target_monthwise!$D$4:$O$20,DTR!R$4,FALSE))*1000,0)</f>
        <v>0</v>
      </c>
      <c r="S620" s="239">
        <f>IFERROR((HLOOKUP($AH620,Target_monthwise!$D$24:$O$40,DTR!S$4,FALSE)),0)</f>
        <v>0</v>
      </c>
      <c r="T620" s="239">
        <f>IFERROR((HLOOKUP($AH620,Target_monthwise!$D$24:$O$40,DTR!T$4,FALSE)),0)</f>
        <v>0</v>
      </c>
      <c r="U620" s="239">
        <f>IFERROR((HLOOKUP($AH620,Target_monthwise!$D$24:$O$40,DTR!U$4,FALSE)),0)</f>
        <v>0</v>
      </c>
      <c r="V620" s="239">
        <f>IFERROR((HLOOKUP($AH620,Target_monthwise!$D$24:$O$40,DTR!V$4,FALSE)),0)</f>
        <v>0</v>
      </c>
      <c r="W620" s="239">
        <f>IFERROR((HLOOKUP($AH620,Target_monthwise!$D$24:$O$40,DTR!W$4,FALSE)),0)</f>
        <v>0</v>
      </c>
      <c r="X620" s="239">
        <f>IFERROR((HLOOKUP($AH620,Target_monthwise!$D$24:$O$40,DTR!X$4,FALSE)),0)</f>
        <v>0</v>
      </c>
      <c r="Y620" s="239">
        <f>IFERROR((HLOOKUP($AH620,Target_monthwise!$D$24:$O$40,DTR!Y$4,FALSE)),0)</f>
        <v>0</v>
      </c>
      <c r="Z620" s="147">
        <f>IFERROR((HLOOKUP($AH620,Target_monthwise!$D$24:$O$40,DTR!Z$4,FALSE)),0)</f>
        <v>0</v>
      </c>
      <c r="AA620" s="147">
        <f>IFERROR((HLOOKUP($AH620,Target_monthwise!$D$24:$O$40,DTR!AA$4,FALSE)),0)</f>
        <v>0</v>
      </c>
      <c r="AB620" s="147">
        <f>IFERROR((HLOOKUP($AH620,Target_monthwise!$D$24:$O$40,DTR!AB$4,FALSE)),0)</f>
        <v>0</v>
      </c>
      <c r="AC620" s="239">
        <f>IFERROR((HLOOKUP($AH620,Target_monthwise!$D$24:$O$40,DTR!AC$4,FALSE)),0)</f>
        <v>0</v>
      </c>
      <c r="AD620" s="239">
        <f>IFERROR((HLOOKUP($AH620,Target_monthwise!$D$24:$O$40,DTR!AD$4,FALSE)),0)</f>
        <v>0</v>
      </c>
      <c r="AE620" s="239">
        <f>IFERROR((HLOOKUP($AH620,Target_monthwise!$D$24:$O$40,DTR!AE$4,FALSE)),0)</f>
        <v>0</v>
      </c>
      <c r="AF620" s="239">
        <f>IFERROR((HLOOKUP($AH620,Target_monthwise!$D$24:$O$40,DTR!AF$4,FALSE)),0)</f>
        <v>0</v>
      </c>
      <c r="AG620" s="172">
        <f>IFERROR((HLOOKUP($AH620,Target_monthwise!$D$24:$O$40,DTR!AG$4,FALSE)),0)</f>
        <v>0</v>
      </c>
      <c r="AH620" s="253">
        <f t="shared" si="11"/>
        <v>202312</v>
      </c>
    </row>
    <row r="621" spans="3:34" ht="15.75" hidden="1">
      <c r="C621" s="235">
        <v>45264</v>
      </c>
      <c r="D621" s="141">
        <f>IFERROR((HLOOKUP($AH621,Target_monthwise!$D$4:$O$20,DTR!D$4,FALSE))*1000,0)</f>
        <v>0</v>
      </c>
      <c r="E621" s="141">
        <f>IFERROR((HLOOKUP($AH621,Target_monthwise!$D$4:$O$20,DTR!E$4,FALSE))*1000,0)</f>
        <v>0</v>
      </c>
      <c r="F621" s="141">
        <f>IFERROR((HLOOKUP($AH621,Target_monthwise!$D$4:$O$20,DTR!F$4,FALSE))*1000,0)</f>
        <v>0</v>
      </c>
      <c r="G621" s="141">
        <f>IFERROR((HLOOKUP($AH621,Target_monthwise!$D$4:$O$20,DTR!G$4,FALSE))*1000,0)</f>
        <v>0</v>
      </c>
      <c r="H621" s="141">
        <f>IFERROR((HLOOKUP($AH621,Target_monthwise!$D$4:$O$20,DTR!H$4,FALSE))*1000,0)</f>
        <v>0</v>
      </c>
      <c r="I621" s="141">
        <f>IFERROR((HLOOKUP($AH621,Target_monthwise!$D$4:$O$20,DTR!I$4,FALSE))*1000,0)</f>
        <v>0</v>
      </c>
      <c r="J621" s="141">
        <f>IFERROR((HLOOKUP($AH621,Target_monthwise!$D$4:$O$20,DTR!J$4,FALSE))*1000,0)</f>
        <v>0</v>
      </c>
      <c r="K621" s="141">
        <f>IFERROR((HLOOKUP($AH621,Target_monthwise!$D$4:$O$20,DTR!K$4,FALSE))*1000,0)</f>
        <v>0</v>
      </c>
      <c r="L621" s="141">
        <f>IFERROR((HLOOKUP($AH621,Target_monthwise!$D$4:$O$20,DTR!L$4,FALSE))*1000,0)</f>
        <v>0</v>
      </c>
      <c r="M621" s="141">
        <f>IFERROR((HLOOKUP($AH621,Target_monthwise!$D$4:$O$20,DTR!M$4,FALSE))*1000,0)</f>
        <v>0</v>
      </c>
      <c r="N621" s="141">
        <f>IFERROR((HLOOKUP($AH621,Target_monthwise!$D$4:$O$20,DTR!N$4,FALSE))*1000,0)</f>
        <v>0</v>
      </c>
      <c r="O621" s="141">
        <f>IFERROR((HLOOKUP($AH621,Target_monthwise!$D$4:$O$20,DTR!O$4,FALSE))*1000,0)</f>
        <v>0</v>
      </c>
      <c r="P621" s="141">
        <f>IFERROR((HLOOKUP($AH621,Target_monthwise!$D$4:$O$20,DTR!P$4,FALSE))*1000,0)</f>
        <v>0</v>
      </c>
      <c r="Q621" s="141">
        <f>IFERROR((HLOOKUP($AH621,Target_monthwise!$D$4:$O$20,DTR!Q$4,FALSE))*1000,0)</f>
        <v>0</v>
      </c>
      <c r="R621" s="167">
        <f>IFERROR((HLOOKUP($AH621,Target_monthwise!$D$4:$O$20,DTR!R$4,FALSE))*1000,0)</f>
        <v>0</v>
      </c>
      <c r="S621" s="147">
        <f>IFERROR((HLOOKUP($AH621,Target_monthwise!$D$24:$O$40,DTR!S$4,FALSE)),0)</f>
        <v>0</v>
      </c>
      <c r="T621" s="147">
        <f>IFERROR((HLOOKUP($AH621,Target_monthwise!$D$24:$O$40,DTR!T$4,FALSE)),0)</f>
        <v>0</v>
      </c>
      <c r="U621" s="147">
        <f>IFERROR((HLOOKUP($AH621,Target_monthwise!$D$24:$O$40,DTR!U$4,FALSE)),0)</f>
        <v>0</v>
      </c>
      <c r="V621" s="147">
        <f>IFERROR((HLOOKUP($AH621,Target_monthwise!$D$24:$O$40,DTR!V$4,FALSE)),0)</f>
        <v>0</v>
      </c>
      <c r="W621" s="147">
        <f>IFERROR((HLOOKUP($AH621,Target_monthwise!$D$24:$O$40,DTR!W$4,FALSE)),0)</f>
        <v>0</v>
      </c>
      <c r="X621" s="147">
        <f>IFERROR((HLOOKUP($AH621,Target_monthwise!$D$24:$O$40,DTR!X$4,FALSE)),0)</f>
        <v>0</v>
      </c>
      <c r="Y621" s="147">
        <f>IFERROR((HLOOKUP($AH621,Target_monthwise!$D$24:$O$40,DTR!Y$4,FALSE)),0)</f>
        <v>0</v>
      </c>
      <c r="Z621" s="147">
        <f>IFERROR((HLOOKUP($AH621,Target_monthwise!$D$24:$O$40,DTR!Z$4,FALSE)),0)</f>
        <v>0</v>
      </c>
      <c r="AA621" s="147">
        <f>IFERROR((HLOOKUP($AH621,Target_monthwise!$D$24:$O$40,DTR!AA$4,FALSE)),0)</f>
        <v>0</v>
      </c>
      <c r="AB621" s="147">
        <f>IFERROR((HLOOKUP($AH621,Target_monthwise!$D$24:$O$40,DTR!AB$4,FALSE)),0)</f>
        <v>0</v>
      </c>
      <c r="AC621" s="147">
        <f>IFERROR((HLOOKUP($AH621,Target_monthwise!$D$24:$O$40,DTR!AC$4,FALSE)),0)</f>
        <v>0</v>
      </c>
      <c r="AD621" s="147">
        <f>IFERROR((HLOOKUP($AH621,Target_monthwise!$D$24:$O$40,DTR!AD$4,FALSE)),0)</f>
        <v>0</v>
      </c>
      <c r="AE621" s="147">
        <f>IFERROR((HLOOKUP($AH621,Target_monthwise!$D$24:$O$40,DTR!AE$4,FALSE)),0)</f>
        <v>0</v>
      </c>
      <c r="AF621" s="147">
        <f>IFERROR((HLOOKUP($AH621,Target_monthwise!$D$24:$O$40,DTR!AF$4,FALSE)),0)</f>
        <v>0</v>
      </c>
      <c r="AG621" s="172">
        <f>IFERROR((HLOOKUP($AH621,Target_monthwise!$D$24:$O$40,DTR!AG$4,FALSE)),0)</f>
        <v>0</v>
      </c>
      <c r="AH621" s="253">
        <f t="shared" si="11"/>
        <v>202312</v>
      </c>
    </row>
    <row r="622" spans="3:34" ht="15.75" hidden="1">
      <c r="C622" s="237">
        <v>45265</v>
      </c>
      <c r="D622" s="238">
        <f>IFERROR((HLOOKUP($AH622,Target_monthwise!$D$4:$O$20,DTR!D$4,FALSE))*1000,0)</f>
        <v>0</v>
      </c>
      <c r="E622" s="238">
        <f>IFERROR((HLOOKUP($AH622,Target_monthwise!$D$4:$O$20,DTR!E$4,FALSE))*1000,0)</f>
        <v>0</v>
      </c>
      <c r="F622" s="238">
        <f>IFERROR((HLOOKUP($AH622,Target_monthwise!$D$4:$O$20,DTR!F$4,FALSE))*1000,0)</f>
        <v>0</v>
      </c>
      <c r="G622" s="238">
        <f>IFERROR((HLOOKUP($AH622,Target_monthwise!$D$4:$O$20,DTR!G$4,FALSE))*1000,0)</f>
        <v>0</v>
      </c>
      <c r="H622" s="238">
        <f>IFERROR((HLOOKUP($AH622,Target_monthwise!$D$4:$O$20,DTR!H$4,FALSE))*1000,0)</f>
        <v>0</v>
      </c>
      <c r="I622" s="238">
        <f>IFERROR((HLOOKUP($AH622,Target_monthwise!$D$4:$O$20,DTR!I$4,FALSE))*1000,0)</f>
        <v>0</v>
      </c>
      <c r="J622" s="238">
        <f>IFERROR((HLOOKUP($AH622,Target_monthwise!$D$4:$O$20,DTR!J$4,FALSE))*1000,0)</f>
        <v>0</v>
      </c>
      <c r="K622" s="238">
        <f>IFERROR((HLOOKUP($AH622,Target_monthwise!$D$4:$O$20,DTR!K$4,FALSE))*1000,0)</f>
        <v>0</v>
      </c>
      <c r="L622" s="238">
        <f>IFERROR((HLOOKUP($AH622,Target_monthwise!$D$4:$O$20,DTR!L$4,FALSE))*1000,0)</f>
        <v>0</v>
      </c>
      <c r="M622" s="238">
        <f>IFERROR((HLOOKUP($AH622,Target_monthwise!$D$4:$O$20,DTR!M$4,FALSE))*1000,0)</f>
        <v>0</v>
      </c>
      <c r="N622" s="238">
        <f>IFERROR((HLOOKUP($AH622,Target_monthwise!$D$4:$O$20,DTR!N$4,FALSE))*1000,0)</f>
        <v>0</v>
      </c>
      <c r="O622" s="238">
        <f>IFERROR((HLOOKUP($AH622,Target_monthwise!$D$4:$O$20,DTR!O$4,FALSE))*1000,0)</f>
        <v>0</v>
      </c>
      <c r="P622" s="238">
        <f>IFERROR((HLOOKUP($AH622,Target_monthwise!$D$4:$O$20,DTR!P$4,FALSE))*1000,0)</f>
        <v>0</v>
      </c>
      <c r="Q622" s="141">
        <f>IFERROR((HLOOKUP($AH622,Target_monthwise!$D$4:$O$20,DTR!Q$4,FALSE))*1000,0)</f>
        <v>0</v>
      </c>
      <c r="R622" s="167">
        <f>IFERROR((HLOOKUP($AH622,Target_monthwise!$D$4:$O$20,DTR!R$4,FALSE))*1000,0)</f>
        <v>0</v>
      </c>
      <c r="S622" s="239">
        <f>IFERROR((HLOOKUP($AH622,Target_monthwise!$D$24:$O$40,DTR!S$4,FALSE)),0)</f>
        <v>0</v>
      </c>
      <c r="T622" s="239">
        <f>IFERROR((HLOOKUP($AH622,Target_monthwise!$D$24:$O$40,DTR!T$4,FALSE)),0)</f>
        <v>0</v>
      </c>
      <c r="U622" s="239">
        <f>IFERROR((HLOOKUP($AH622,Target_monthwise!$D$24:$O$40,DTR!U$4,FALSE)),0)</f>
        <v>0</v>
      </c>
      <c r="V622" s="239">
        <f>IFERROR((HLOOKUP($AH622,Target_monthwise!$D$24:$O$40,DTR!V$4,FALSE)),0)</f>
        <v>0</v>
      </c>
      <c r="W622" s="239">
        <f>IFERROR((HLOOKUP($AH622,Target_monthwise!$D$24:$O$40,DTR!W$4,FALSE)),0)</f>
        <v>0</v>
      </c>
      <c r="X622" s="239">
        <f>IFERROR((HLOOKUP($AH622,Target_monthwise!$D$24:$O$40,DTR!X$4,FALSE)),0)</f>
        <v>0</v>
      </c>
      <c r="Y622" s="239">
        <f>IFERROR((HLOOKUP($AH622,Target_monthwise!$D$24:$O$40,DTR!Y$4,FALSE)),0)</f>
        <v>0</v>
      </c>
      <c r="Z622" s="147">
        <f>IFERROR((HLOOKUP($AH622,Target_monthwise!$D$24:$O$40,DTR!Z$4,FALSE)),0)</f>
        <v>0</v>
      </c>
      <c r="AA622" s="147">
        <f>IFERROR((HLOOKUP($AH622,Target_monthwise!$D$24:$O$40,DTR!AA$4,FALSE)),0)</f>
        <v>0</v>
      </c>
      <c r="AB622" s="147">
        <f>IFERROR((HLOOKUP($AH622,Target_monthwise!$D$24:$O$40,DTR!AB$4,FALSE)),0)</f>
        <v>0</v>
      </c>
      <c r="AC622" s="239">
        <f>IFERROR((HLOOKUP($AH622,Target_monthwise!$D$24:$O$40,DTR!AC$4,FALSE)),0)</f>
        <v>0</v>
      </c>
      <c r="AD622" s="239">
        <f>IFERROR((HLOOKUP($AH622,Target_monthwise!$D$24:$O$40,DTR!AD$4,FALSE)),0)</f>
        <v>0</v>
      </c>
      <c r="AE622" s="239">
        <f>IFERROR((HLOOKUP($AH622,Target_monthwise!$D$24:$O$40,DTR!AE$4,FALSE)),0)</f>
        <v>0</v>
      </c>
      <c r="AF622" s="239">
        <f>IFERROR((HLOOKUP($AH622,Target_monthwise!$D$24:$O$40,DTR!AF$4,FALSE)),0)</f>
        <v>0</v>
      </c>
      <c r="AG622" s="172">
        <f>IFERROR((HLOOKUP($AH622,Target_monthwise!$D$24:$O$40,DTR!AG$4,FALSE)),0)</f>
        <v>0</v>
      </c>
      <c r="AH622" s="253">
        <f t="shared" si="11"/>
        <v>202312</v>
      </c>
    </row>
    <row r="623" spans="3:34" ht="15.75" hidden="1">
      <c r="C623" s="235">
        <v>45266</v>
      </c>
      <c r="D623" s="141">
        <f>IFERROR((HLOOKUP($AH623,Target_monthwise!$D$4:$O$20,DTR!D$4,FALSE))*1000,0)</f>
        <v>0</v>
      </c>
      <c r="E623" s="141">
        <f>IFERROR((HLOOKUP($AH623,Target_monthwise!$D$4:$O$20,DTR!E$4,FALSE))*1000,0)</f>
        <v>0</v>
      </c>
      <c r="F623" s="141">
        <f>IFERROR((HLOOKUP($AH623,Target_monthwise!$D$4:$O$20,DTR!F$4,FALSE))*1000,0)</f>
        <v>0</v>
      </c>
      <c r="G623" s="141">
        <f>IFERROR((HLOOKUP($AH623,Target_monthwise!$D$4:$O$20,DTR!G$4,FALSE))*1000,0)</f>
        <v>0</v>
      </c>
      <c r="H623" s="141">
        <f>IFERROR((HLOOKUP($AH623,Target_monthwise!$D$4:$O$20,DTR!H$4,FALSE))*1000,0)</f>
        <v>0</v>
      </c>
      <c r="I623" s="141">
        <f>IFERROR((HLOOKUP($AH623,Target_monthwise!$D$4:$O$20,DTR!I$4,FALSE))*1000,0)</f>
        <v>0</v>
      </c>
      <c r="J623" s="141">
        <f>IFERROR((HLOOKUP($AH623,Target_monthwise!$D$4:$O$20,DTR!J$4,FALSE))*1000,0)</f>
        <v>0</v>
      </c>
      <c r="K623" s="141">
        <f>IFERROR((HLOOKUP($AH623,Target_monthwise!$D$4:$O$20,DTR!K$4,FALSE))*1000,0)</f>
        <v>0</v>
      </c>
      <c r="L623" s="141">
        <f>IFERROR((HLOOKUP($AH623,Target_monthwise!$D$4:$O$20,DTR!L$4,FALSE))*1000,0)</f>
        <v>0</v>
      </c>
      <c r="M623" s="141">
        <f>IFERROR((HLOOKUP($AH623,Target_monthwise!$D$4:$O$20,DTR!M$4,FALSE))*1000,0)</f>
        <v>0</v>
      </c>
      <c r="N623" s="141">
        <f>IFERROR((HLOOKUP($AH623,Target_monthwise!$D$4:$O$20,DTR!N$4,FALSE))*1000,0)</f>
        <v>0</v>
      </c>
      <c r="O623" s="141">
        <f>IFERROR((HLOOKUP($AH623,Target_monthwise!$D$4:$O$20,DTR!O$4,FALSE))*1000,0)</f>
        <v>0</v>
      </c>
      <c r="P623" s="141">
        <f>IFERROR((HLOOKUP($AH623,Target_monthwise!$D$4:$O$20,DTR!P$4,FALSE))*1000,0)</f>
        <v>0</v>
      </c>
      <c r="Q623" s="141">
        <f>IFERROR((HLOOKUP($AH623,Target_monthwise!$D$4:$O$20,DTR!Q$4,FALSE))*1000,0)</f>
        <v>0</v>
      </c>
      <c r="R623" s="167">
        <f>IFERROR((HLOOKUP($AH623,Target_monthwise!$D$4:$O$20,DTR!R$4,FALSE))*1000,0)</f>
        <v>0</v>
      </c>
      <c r="S623" s="147">
        <f>IFERROR((HLOOKUP($AH623,Target_monthwise!$D$24:$O$40,DTR!S$4,FALSE)),0)</f>
        <v>0</v>
      </c>
      <c r="T623" s="147">
        <f>IFERROR((HLOOKUP($AH623,Target_monthwise!$D$24:$O$40,DTR!T$4,FALSE)),0)</f>
        <v>0</v>
      </c>
      <c r="U623" s="147">
        <f>IFERROR((HLOOKUP($AH623,Target_monthwise!$D$24:$O$40,DTR!U$4,FALSE)),0)</f>
        <v>0</v>
      </c>
      <c r="V623" s="147">
        <f>IFERROR((HLOOKUP($AH623,Target_monthwise!$D$24:$O$40,DTR!V$4,FALSE)),0)</f>
        <v>0</v>
      </c>
      <c r="W623" s="147">
        <f>IFERROR((HLOOKUP($AH623,Target_monthwise!$D$24:$O$40,DTR!W$4,FALSE)),0)</f>
        <v>0</v>
      </c>
      <c r="X623" s="147">
        <f>IFERROR((HLOOKUP($AH623,Target_monthwise!$D$24:$O$40,DTR!X$4,FALSE)),0)</f>
        <v>0</v>
      </c>
      <c r="Y623" s="147">
        <f>IFERROR((HLOOKUP($AH623,Target_monthwise!$D$24:$O$40,DTR!Y$4,FALSE)),0)</f>
        <v>0</v>
      </c>
      <c r="Z623" s="147">
        <f>IFERROR((HLOOKUP($AH623,Target_monthwise!$D$24:$O$40,DTR!Z$4,FALSE)),0)</f>
        <v>0</v>
      </c>
      <c r="AA623" s="147">
        <f>IFERROR((HLOOKUP($AH623,Target_monthwise!$D$24:$O$40,DTR!AA$4,FALSE)),0)</f>
        <v>0</v>
      </c>
      <c r="AB623" s="147">
        <f>IFERROR((HLOOKUP($AH623,Target_monthwise!$D$24:$O$40,DTR!AB$4,FALSE)),0)</f>
        <v>0</v>
      </c>
      <c r="AC623" s="147">
        <f>IFERROR((HLOOKUP($AH623,Target_monthwise!$D$24:$O$40,DTR!AC$4,FALSE)),0)</f>
        <v>0</v>
      </c>
      <c r="AD623" s="147">
        <f>IFERROR((HLOOKUP($AH623,Target_monthwise!$D$24:$O$40,DTR!AD$4,FALSE)),0)</f>
        <v>0</v>
      </c>
      <c r="AE623" s="147">
        <f>IFERROR((HLOOKUP($AH623,Target_monthwise!$D$24:$O$40,DTR!AE$4,FALSE)),0)</f>
        <v>0</v>
      </c>
      <c r="AF623" s="147">
        <f>IFERROR((HLOOKUP($AH623,Target_monthwise!$D$24:$O$40,DTR!AF$4,FALSE)),0)</f>
        <v>0</v>
      </c>
      <c r="AG623" s="172">
        <f>IFERROR((HLOOKUP($AH623,Target_monthwise!$D$24:$O$40,DTR!AG$4,FALSE)),0)</f>
        <v>0</v>
      </c>
      <c r="AH623" s="253">
        <f t="shared" si="11"/>
        <v>202312</v>
      </c>
    </row>
    <row r="624" spans="3:34" ht="15.75" hidden="1">
      <c r="C624" s="237">
        <v>45267</v>
      </c>
      <c r="D624" s="238">
        <f>IFERROR((HLOOKUP($AH624,Target_monthwise!$D$4:$O$20,DTR!D$4,FALSE))*1000,0)</f>
        <v>0</v>
      </c>
      <c r="E624" s="238">
        <f>IFERROR((HLOOKUP($AH624,Target_monthwise!$D$4:$O$20,DTR!E$4,FALSE))*1000,0)</f>
        <v>0</v>
      </c>
      <c r="F624" s="238">
        <f>IFERROR((HLOOKUP($AH624,Target_monthwise!$D$4:$O$20,DTR!F$4,FALSE))*1000,0)</f>
        <v>0</v>
      </c>
      <c r="G624" s="238">
        <f>IFERROR((HLOOKUP($AH624,Target_monthwise!$D$4:$O$20,DTR!G$4,FALSE))*1000,0)</f>
        <v>0</v>
      </c>
      <c r="H624" s="238">
        <f>IFERROR((HLOOKUP($AH624,Target_monthwise!$D$4:$O$20,DTR!H$4,FALSE))*1000,0)</f>
        <v>0</v>
      </c>
      <c r="I624" s="238">
        <f>IFERROR((HLOOKUP($AH624,Target_monthwise!$D$4:$O$20,DTR!I$4,FALSE))*1000,0)</f>
        <v>0</v>
      </c>
      <c r="J624" s="238">
        <f>IFERROR((HLOOKUP($AH624,Target_monthwise!$D$4:$O$20,DTR!J$4,FALSE))*1000,0)</f>
        <v>0</v>
      </c>
      <c r="K624" s="238">
        <f>IFERROR((HLOOKUP($AH624,Target_monthwise!$D$4:$O$20,DTR!K$4,FALSE))*1000,0)</f>
        <v>0</v>
      </c>
      <c r="L624" s="238">
        <f>IFERROR((HLOOKUP($AH624,Target_monthwise!$D$4:$O$20,DTR!L$4,FALSE))*1000,0)</f>
        <v>0</v>
      </c>
      <c r="M624" s="238">
        <f>IFERROR((HLOOKUP($AH624,Target_monthwise!$D$4:$O$20,DTR!M$4,FALSE))*1000,0)</f>
        <v>0</v>
      </c>
      <c r="N624" s="238">
        <f>IFERROR((HLOOKUP($AH624,Target_monthwise!$D$4:$O$20,DTR!N$4,FALSE))*1000,0)</f>
        <v>0</v>
      </c>
      <c r="O624" s="238">
        <f>IFERROR((HLOOKUP($AH624,Target_monthwise!$D$4:$O$20,DTR!O$4,FALSE))*1000,0)</f>
        <v>0</v>
      </c>
      <c r="P624" s="238">
        <f>IFERROR((HLOOKUP($AH624,Target_monthwise!$D$4:$O$20,DTR!P$4,FALSE))*1000,0)</f>
        <v>0</v>
      </c>
      <c r="Q624" s="141">
        <f>IFERROR((HLOOKUP($AH624,Target_monthwise!$D$4:$O$20,DTR!Q$4,FALSE))*1000,0)</f>
        <v>0</v>
      </c>
      <c r="R624" s="167">
        <f>IFERROR((HLOOKUP($AH624,Target_monthwise!$D$4:$O$20,DTR!R$4,FALSE))*1000,0)</f>
        <v>0</v>
      </c>
      <c r="S624" s="239">
        <f>IFERROR((HLOOKUP($AH624,Target_monthwise!$D$24:$O$40,DTR!S$4,FALSE)),0)</f>
        <v>0</v>
      </c>
      <c r="T624" s="239">
        <f>IFERROR((HLOOKUP($AH624,Target_monthwise!$D$24:$O$40,DTR!T$4,FALSE)),0)</f>
        <v>0</v>
      </c>
      <c r="U624" s="239">
        <f>IFERROR((HLOOKUP($AH624,Target_monthwise!$D$24:$O$40,DTR!U$4,FALSE)),0)</f>
        <v>0</v>
      </c>
      <c r="V624" s="239">
        <f>IFERROR((HLOOKUP($AH624,Target_monthwise!$D$24:$O$40,DTR!V$4,FALSE)),0)</f>
        <v>0</v>
      </c>
      <c r="W624" s="239">
        <f>IFERROR((HLOOKUP($AH624,Target_monthwise!$D$24:$O$40,DTR!W$4,FALSE)),0)</f>
        <v>0</v>
      </c>
      <c r="X624" s="239">
        <f>IFERROR((HLOOKUP($AH624,Target_monthwise!$D$24:$O$40,DTR!X$4,FALSE)),0)</f>
        <v>0</v>
      </c>
      <c r="Y624" s="239">
        <f>IFERROR((HLOOKUP($AH624,Target_monthwise!$D$24:$O$40,DTR!Y$4,FALSE)),0)</f>
        <v>0</v>
      </c>
      <c r="Z624" s="147">
        <f>IFERROR((HLOOKUP($AH624,Target_monthwise!$D$24:$O$40,DTR!Z$4,FALSE)),0)</f>
        <v>0</v>
      </c>
      <c r="AA624" s="147">
        <f>IFERROR((HLOOKUP($AH624,Target_monthwise!$D$24:$O$40,DTR!AA$4,FALSE)),0)</f>
        <v>0</v>
      </c>
      <c r="AB624" s="147">
        <f>IFERROR((HLOOKUP($AH624,Target_monthwise!$D$24:$O$40,DTR!AB$4,FALSE)),0)</f>
        <v>0</v>
      </c>
      <c r="AC624" s="239">
        <f>IFERROR((HLOOKUP($AH624,Target_monthwise!$D$24:$O$40,DTR!AC$4,FALSE)),0)</f>
        <v>0</v>
      </c>
      <c r="AD624" s="239">
        <f>IFERROR((HLOOKUP($AH624,Target_monthwise!$D$24:$O$40,DTR!AD$4,FALSE)),0)</f>
        <v>0</v>
      </c>
      <c r="AE624" s="239">
        <f>IFERROR((HLOOKUP($AH624,Target_monthwise!$D$24:$O$40,DTR!AE$4,FALSE)),0)</f>
        <v>0</v>
      </c>
      <c r="AF624" s="239">
        <f>IFERROR((HLOOKUP($AH624,Target_monthwise!$D$24:$O$40,DTR!AF$4,FALSE)),0)</f>
        <v>0</v>
      </c>
      <c r="AG624" s="172">
        <f>IFERROR((HLOOKUP($AH624,Target_monthwise!$D$24:$O$40,DTR!AG$4,FALSE)),0)</f>
        <v>0</v>
      </c>
      <c r="AH624" s="253">
        <f t="shared" si="11"/>
        <v>202312</v>
      </c>
    </row>
    <row r="625" spans="3:34" ht="15.75" hidden="1">
      <c r="C625" s="235">
        <v>45268</v>
      </c>
      <c r="D625" s="141">
        <f>IFERROR((HLOOKUP($AH625,Target_monthwise!$D$4:$O$20,DTR!D$4,FALSE))*1000,0)</f>
        <v>0</v>
      </c>
      <c r="E625" s="141">
        <f>IFERROR((HLOOKUP($AH625,Target_monthwise!$D$4:$O$20,DTR!E$4,FALSE))*1000,0)</f>
        <v>0</v>
      </c>
      <c r="F625" s="141">
        <f>IFERROR((HLOOKUP($AH625,Target_monthwise!$D$4:$O$20,DTR!F$4,FALSE))*1000,0)</f>
        <v>0</v>
      </c>
      <c r="G625" s="141">
        <f>IFERROR((HLOOKUP($AH625,Target_monthwise!$D$4:$O$20,DTR!G$4,FALSE))*1000,0)</f>
        <v>0</v>
      </c>
      <c r="H625" s="141">
        <f>IFERROR((HLOOKUP($AH625,Target_monthwise!$D$4:$O$20,DTR!H$4,FALSE))*1000,0)</f>
        <v>0</v>
      </c>
      <c r="I625" s="141">
        <f>IFERROR((HLOOKUP($AH625,Target_monthwise!$D$4:$O$20,DTR!I$4,FALSE))*1000,0)</f>
        <v>0</v>
      </c>
      <c r="J625" s="141">
        <f>IFERROR((HLOOKUP($AH625,Target_monthwise!$D$4:$O$20,DTR!J$4,FALSE))*1000,0)</f>
        <v>0</v>
      </c>
      <c r="K625" s="141">
        <f>IFERROR((HLOOKUP($AH625,Target_monthwise!$D$4:$O$20,DTR!K$4,FALSE))*1000,0)</f>
        <v>0</v>
      </c>
      <c r="L625" s="141">
        <f>IFERROR((HLOOKUP($AH625,Target_monthwise!$D$4:$O$20,DTR!L$4,FALSE))*1000,0)</f>
        <v>0</v>
      </c>
      <c r="M625" s="141">
        <f>IFERROR((HLOOKUP($AH625,Target_monthwise!$D$4:$O$20,DTR!M$4,FALSE))*1000,0)</f>
        <v>0</v>
      </c>
      <c r="N625" s="141">
        <f>IFERROR((HLOOKUP($AH625,Target_monthwise!$D$4:$O$20,DTR!N$4,FALSE))*1000,0)</f>
        <v>0</v>
      </c>
      <c r="O625" s="141">
        <f>IFERROR((HLOOKUP($AH625,Target_monthwise!$D$4:$O$20,DTR!O$4,FALSE))*1000,0)</f>
        <v>0</v>
      </c>
      <c r="P625" s="141">
        <f>IFERROR((HLOOKUP($AH625,Target_monthwise!$D$4:$O$20,DTR!P$4,FALSE))*1000,0)</f>
        <v>0</v>
      </c>
      <c r="Q625" s="141">
        <f>IFERROR((HLOOKUP($AH625,Target_monthwise!$D$4:$O$20,DTR!Q$4,FALSE))*1000,0)</f>
        <v>0</v>
      </c>
      <c r="R625" s="167">
        <f>IFERROR((HLOOKUP($AH625,Target_monthwise!$D$4:$O$20,DTR!R$4,FALSE))*1000,0)</f>
        <v>0</v>
      </c>
      <c r="S625" s="147">
        <f>IFERROR((HLOOKUP($AH625,Target_monthwise!$D$24:$O$40,DTR!S$4,FALSE)),0)</f>
        <v>0</v>
      </c>
      <c r="T625" s="147">
        <f>IFERROR((HLOOKUP($AH625,Target_monthwise!$D$24:$O$40,DTR!T$4,FALSE)),0)</f>
        <v>0</v>
      </c>
      <c r="U625" s="147">
        <f>IFERROR((HLOOKUP($AH625,Target_monthwise!$D$24:$O$40,DTR!U$4,FALSE)),0)</f>
        <v>0</v>
      </c>
      <c r="V625" s="147">
        <f>IFERROR((HLOOKUP($AH625,Target_monthwise!$D$24:$O$40,DTR!V$4,FALSE)),0)</f>
        <v>0</v>
      </c>
      <c r="W625" s="147">
        <f>IFERROR((HLOOKUP($AH625,Target_monthwise!$D$24:$O$40,DTR!W$4,FALSE)),0)</f>
        <v>0</v>
      </c>
      <c r="X625" s="147">
        <f>IFERROR((HLOOKUP($AH625,Target_monthwise!$D$24:$O$40,DTR!X$4,FALSE)),0)</f>
        <v>0</v>
      </c>
      <c r="Y625" s="147">
        <f>IFERROR((HLOOKUP($AH625,Target_monthwise!$D$24:$O$40,DTR!Y$4,FALSE)),0)</f>
        <v>0</v>
      </c>
      <c r="Z625" s="147">
        <f>IFERROR((HLOOKUP($AH625,Target_monthwise!$D$24:$O$40,DTR!Z$4,FALSE)),0)</f>
        <v>0</v>
      </c>
      <c r="AA625" s="147">
        <f>IFERROR((HLOOKUP($AH625,Target_monthwise!$D$24:$O$40,DTR!AA$4,FALSE)),0)</f>
        <v>0</v>
      </c>
      <c r="AB625" s="147">
        <f>IFERROR((HLOOKUP($AH625,Target_monthwise!$D$24:$O$40,DTR!AB$4,FALSE)),0)</f>
        <v>0</v>
      </c>
      <c r="AC625" s="147">
        <f>IFERROR((HLOOKUP($AH625,Target_monthwise!$D$24:$O$40,DTR!AC$4,FALSE)),0)</f>
        <v>0</v>
      </c>
      <c r="AD625" s="147">
        <f>IFERROR((HLOOKUP($AH625,Target_monthwise!$D$24:$O$40,DTR!AD$4,FALSE)),0)</f>
        <v>0</v>
      </c>
      <c r="AE625" s="147">
        <f>IFERROR((HLOOKUP($AH625,Target_monthwise!$D$24:$O$40,DTR!AE$4,FALSE)),0)</f>
        <v>0</v>
      </c>
      <c r="AF625" s="147">
        <f>IFERROR((HLOOKUP($AH625,Target_monthwise!$D$24:$O$40,DTR!AF$4,FALSE)),0)</f>
        <v>0</v>
      </c>
      <c r="AG625" s="172">
        <f>IFERROR((HLOOKUP($AH625,Target_monthwise!$D$24:$O$40,DTR!AG$4,FALSE)),0)</f>
        <v>0</v>
      </c>
      <c r="AH625" s="253">
        <f t="shared" si="11"/>
        <v>202312</v>
      </c>
    </row>
    <row r="626" spans="3:34" ht="15.75" hidden="1">
      <c r="C626" s="237">
        <v>45269</v>
      </c>
      <c r="D626" s="238">
        <f>IFERROR((HLOOKUP($AH626,Target_monthwise!$D$4:$O$20,DTR!D$4,FALSE))*1000,0)</f>
        <v>0</v>
      </c>
      <c r="E626" s="238">
        <f>IFERROR((HLOOKUP($AH626,Target_monthwise!$D$4:$O$20,DTR!E$4,FALSE))*1000,0)</f>
        <v>0</v>
      </c>
      <c r="F626" s="238">
        <f>IFERROR((HLOOKUP($AH626,Target_monthwise!$D$4:$O$20,DTR!F$4,FALSE))*1000,0)</f>
        <v>0</v>
      </c>
      <c r="G626" s="238">
        <f>IFERROR((HLOOKUP($AH626,Target_monthwise!$D$4:$O$20,DTR!G$4,FALSE))*1000,0)</f>
        <v>0</v>
      </c>
      <c r="H626" s="238">
        <f>IFERROR((HLOOKUP($AH626,Target_monthwise!$D$4:$O$20,DTR!H$4,FALSE))*1000,0)</f>
        <v>0</v>
      </c>
      <c r="I626" s="238">
        <f>IFERROR((HLOOKUP($AH626,Target_monthwise!$D$4:$O$20,DTR!I$4,FALSE))*1000,0)</f>
        <v>0</v>
      </c>
      <c r="J626" s="238">
        <f>IFERROR((HLOOKUP($AH626,Target_monthwise!$D$4:$O$20,DTR!J$4,FALSE))*1000,0)</f>
        <v>0</v>
      </c>
      <c r="K626" s="238">
        <f>IFERROR((HLOOKUP($AH626,Target_monthwise!$D$4:$O$20,DTR!K$4,FALSE))*1000,0)</f>
        <v>0</v>
      </c>
      <c r="L626" s="238">
        <f>IFERROR((HLOOKUP($AH626,Target_monthwise!$D$4:$O$20,DTR!L$4,FALSE))*1000,0)</f>
        <v>0</v>
      </c>
      <c r="M626" s="238">
        <f>IFERROR((HLOOKUP($AH626,Target_monthwise!$D$4:$O$20,DTR!M$4,FALSE))*1000,0)</f>
        <v>0</v>
      </c>
      <c r="N626" s="238">
        <f>IFERROR((HLOOKUP($AH626,Target_monthwise!$D$4:$O$20,DTR!N$4,FALSE))*1000,0)</f>
        <v>0</v>
      </c>
      <c r="O626" s="238">
        <f>IFERROR((HLOOKUP($AH626,Target_monthwise!$D$4:$O$20,DTR!O$4,FALSE))*1000,0)</f>
        <v>0</v>
      </c>
      <c r="P626" s="238">
        <f>IFERROR((HLOOKUP($AH626,Target_monthwise!$D$4:$O$20,DTR!P$4,FALSE))*1000,0)</f>
        <v>0</v>
      </c>
      <c r="Q626" s="141">
        <f>IFERROR((HLOOKUP($AH626,Target_monthwise!$D$4:$O$20,DTR!Q$4,FALSE))*1000,0)</f>
        <v>0</v>
      </c>
      <c r="R626" s="167">
        <f>IFERROR((HLOOKUP($AH626,Target_monthwise!$D$4:$O$20,DTR!R$4,FALSE))*1000,0)</f>
        <v>0</v>
      </c>
      <c r="S626" s="239">
        <f>IFERROR((HLOOKUP($AH626,Target_monthwise!$D$24:$O$40,DTR!S$4,FALSE)),0)</f>
        <v>0</v>
      </c>
      <c r="T626" s="239">
        <f>IFERROR((HLOOKUP($AH626,Target_monthwise!$D$24:$O$40,DTR!T$4,FALSE)),0)</f>
        <v>0</v>
      </c>
      <c r="U626" s="239">
        <f>IFERROR((HLOOKUP($AH626,Target_monthwise!$D$24:$O$40,DTR!U$4,FALSE)),0)</f>
        <v>0</v>
      </c>
      <c r="V626" s="239">
        <f>IFERROR((HLOOKUP($AH626,Target_monthwise!$D$24:$O$40,DTR!V$4,FALSE)),0)</f>
        <v>0</v>
      </c>
      <c r="W626" s="239">
        <f>IFERROR((HLOOKUP($AH626,Target_monthwise!$D$24:$O$40,DTR!W$4,FALSE)),0)</f>
        <v>0</v>
      </c>
      <c r="X626" s="239">
        <f>IFERROR((HLOOKUP($AH626,Target_monthwise!$D$24:$O$40,DTR!X$4,FALSE)),0)</f>
        <v>0</v>
      </c>
      <c r="Y626" s="239">
        <f>IFERROR((HLOOKUP($AH626,Target_monthwise!$D$24:$O$40,DTR!Y$4,FALSE)),0)</f>
        <v>0</v>
      </c>
      <c r="Z626" s="147">
        <f>IFERROR((HLOOKUP($AH626,Target_monthwise!$D$24:$O$40,DTR!Z$4,FALSE)),0)</f>
        <v>0</v>
      </c>
      <c r="AA626" s="147">
        <f>IFERROR((HLOOKUP($AH626,Target_monthwise!$D$24:$O$40,DTR!AA$4,FALSE)),0)</f>
        <v>0</v>
      </c>
      <c r="AB626" s="147">
        <f>IFERROR((HLOOKUP($AH626,Target_monthwise!$D$24:$O$40,DTR!AB$4,FALSE)),0)</f>
        <v>0</v>
      </c>
      <c r="AC626" s="239">
        <f>IFERROR((HLOOKUP($AH626,Target_monthwise!$D$24:$O$40,DTR!AC$4,FALSE)),0)</f>
        <v>0</v>
      </c>
      <c r="AD626" s="239">
        <f>IFERROR((HLOOKUP($AH626,Target_monthwise!$D$24:$O$40,DTR!AD$4,FALSE)),0)</f>
        <v>0</v>
      </c>
      <c r="AE626" s="239">
        <f>IFERROR((HLOOKUP($AH626,Target_monthwise!$D$24:$O$40,DTR!AE$4,FALSE)),0)</f>
        <v>0</v>
      </c>
      <c r="AF626" s="239">
        <f>IFERROR((HLOOKUP($AH626,Target_monthwise!$D$24:$O$40,DTR!AF$4,FALSE)),0)</f>
        <v>0</v>
      </c>
      <c r="AG626" s="172">
        <f>IFERROR((HLOOKUP($AH626,Target_monthwise!$D$24:$O$40,DTR!AG$4,FALSE)),0)</f>
        <v>0</v>
      </c>
      <c r="AH626" s="253">
        <f t="shared" si="11"/>
        <v>202312</v>
      </c>
    </row>
    <row r="627" spans="3:34" ht="15.75" hidden="1">
      <c r="C627" s="235">
        <v>45270</v>
      </c>
      <c r="D627" s="141">
        <f>IFERROR((HLOOKUP($AH627,Target_monthwise!$D$4:$O$20,DTR!D$4,FALSE))*1000,0)</f>
        <v>0</v>
      </c>
      <c r="E627" s="141">
        <f>IFERROR((HLOOKUP($AH627,Target_monthwise!$D$4:$O$20,DTR!E$4,FALSE))*1000,0)</f>
        <v>0</v>
      </c>
      <c r="F627" s="141">
        <f>IFERROR((HLOOKUP($AH627,Target_monthwise!$D$4:$O$20,DTR!F$4,FALSE))*1000,0)</f>
        <v>0</v>
      </c>
      <c r="G627" s="141">
        <f>IFERROR((HLOOKUP($AH627,Target_monthwise!$D$4:$O$20,DTR!G$4,FALSE))*1000,0)</f>
        <v>0</v>
      </c>
      <c r="H627" s="141">
        <f>IFERROR((HLOOKUP($AH627,Target_monthwise!$D$4:$O$20,DTR!H$4,FALSE))*1000,0)</f>
        <v>0</v>
      </c>
      <c r="I627" s="141">
        <f>IFERROR((HLOOKUP($AH627,Target_monthwise!$D$4:$O$20,DTR!I$4,FALSE))*1000,0)</f>
        <v>0</v>
      </c>
      <c r="J627" s="141">
        <f>IFERROR((HLOOKUP($AH627,Target_monthwise!$D$4:$O$20,DTR!J$4,FALSE))*1000,0)</f>
        <v>0</v>
      </c>
      <c r="K627" s="141">
        <f>IFERROR((HLOOKUP($AH627,Target_monthwise!$D$4:$O$20,DTR!K$4,FALSE))*1000,0)</f>
        <v>0</v>
      </c>
      <c r="L627" s="141">
        <f>IFERROR((HLOOKUP($AH627,Target_monthwise!$D$4:$O$20,DTR!L$4,FALSE))*1000,0)</f>
        <v>0</v>
      </c>
      <c r="M627" s="141">
        <f>IFERROR((HLOOKUP($AH627,Target_monthwise!$D$4:$O$20,DTR!M$4,FALSE))*1000,0)</f>
        <v>0</v>
      </c>
      <c r="N627" s="141">
        <f>IFERROR((HLOOKUP($AH627,Target_monthwise!$D$4:$O$20,DTR!N$4,FALSE))*1000,0)</f>
        <v>0</v>
      </c>
      <c r="O627" s="141">
        <f>IFERROR((HLOOKUP($AH627,Target_monthwise!$D$4:$O$20,DTR!O$4,FALSE))*1000,0)</f>
        <v>0</v>
      </c>
      <c r="P627" s="141">
        <f>IFERROR((HLOOKUP($AH627,Target_monthwise!$D$4:$O$20,DTR!P$4,FALSE))*1000,0)</f>
        <v>0</v>
      </c>
      <c r="Q627" s="141">
        <f>IFERROR((HLOOKUP($AH627,Target_monthwise!$D$4:$O$20,DTR!Q$4,FALSE))*1000,0)</f>
        <v>0</v>
      </c>
      <c r="R627" s="167">
        <f>IFERROR((HLOOKUP($AH627,Target_monthwise!$D$4:$O$20,DTR!R$4,FALSE))*1000,0)</f>
        <v>0</v>
      </c>
      <c r="S627" s="147">
        <f>IFERROR((HLOOKUP($AH627,Target_monthwise!$D$24:$O$40,DTR!S$4,FALSE)),0)</f>
        <v>0</v>
      </c>
      <c r="T627" s="147">
        <f>IFERROR((HLOOKUP($AH627,Target_monthwise!$D$24:$O$40,DTR!T$4,FALSE)),0)</f>
        <v>0</v>
      </c>
      <c r="U627" s="147">
        <f>IFERROR((HLOOKUP($AH627,Target_monthwise!$D$24:$O$40,DTR!U$4,FALSE)),0)</f>
        <v>0</v>
      </c>
      <c r="V627" s="147">
        <f>IFERROR((HLOOKUP($AH627,Target_monthwise!$D$24:$O$40,DTR!V$4,FALSE)),0)</f>
        <v>0</v>
      </c>
      <c r="W627" s="147">
        <f>IFERROR((HLOOKUP($AH627,Target_monthwise!$D$24:$O$40,DTR!W$4,FALSE)),0)</f>
        <v>0</v>
      </c>
      <c r="X627" s="147">
        <f>IFERROR((HLOOKUP($AH627,Target_monthwise!$D$24:$O$40,DTR!X$4,FALSE)),0)</f>
        <v>0</v>
      </c>
      <c r="Y627" s="147">
        <f>IFERROR((HLOOKUP($AH627,Target_monthwise!$D$24:$O$40,DTR!Y$4,FALSE)),0)</f>
        <v>0</v>
      </c>
      <c r="Z627" s="147">
        <f>IFERROR((HLOOKUP($AH627,Target_monthwise!$D$24:$O$40,DTR!Z$4,FALSE)),0)</f>
        <v>0</v>
      </c>
      <c r="AA627" s="147">
        <f>IFERROR((HLOOKUP($AH627,Target_monthwise!$D$24:$O$40,DTR!AA$4,FALSE)),0)</f>
        <v>0</v>
      </c>
      <c r="AB627" s="147">
        <f>IFERROR((HLOOKUP($AH627,Target_monthwise!$D$24:$O$40,DTR!AB$4,FALSE)),0)</f>
        <v>0</v>
      </c>
      <c r="AC627" s="147">
        <f>IFERROR((HLOOKUP($AH627,Target_monthwise!$D$24:$O$40,DTR!AC$4,FALSE)),0)</f>
        <v>0</v>
      </c>
      <c r="AD627" s="147">
        <f>IFERROR((HLOOKUP($AH627,Target_monthwise!$D$24:$O$40,DTR!AD$4,FALSE)),0)</f>
        <v>0</v>
      </c>
      <c r="AE627" s="147">
        <f>IFERROR((HLOOKUP($AH627,Target_monthwise!$D$24:$O$40,DTR!AE$4,FALSE)),0)</f>
        <v>0</v>
      </c>
      <c r="AF627" s="147">
        <f>IFERROR((HLOOKUP($AH627,Target_monthwise!$D$24:$O$40,DTR!AF$4,FALSE)),0)</f>
        <v>0</v>
      </c>
      <c r="AG627" s="172">
        <f>IFERROR((HLOOKUP($AH627,Target_monthwise!$D$24:$O$40,DTR!AG$4,FALSE)),0)</f>
        <v>0</v>
      </c>
      <c r="AH627" s="253">
        <f t="shared" ref="AH627:AH690" si="12">YEAR(C627)*100+MONTH(C627)</f>
        <v>202312</v>
      </c>
    </row>
    <row r="628" spans="3:34" ht="15.75" hidden="1">
      <c r="C628" s="237">
        <v>45271</v>
      </c>
      <c r="D628" s="238">
        <f>IFERROR((HLOOKUP($AH628,Target_monthwise!$D$4:$O$20,DTR!D$4,FALSE))*1000,0)</f>
        <v>0</v>
      </c>
      <c r="E628" s="238">
        <f>IFERROR((HLOOKUP($AH628,Target_monthwise!$D$4:$O$20,DTR!E$4,FALSE))*1000,0)</f>
        <v>0</v>
      </c>
      <c r="F628" s="238">
        <f>IFERROR((HLOOKUP($AH628,Target_monthwise!$D$4:$O$20,DTR!F$4,FALSE))*1000,0)</f>
        <v>0</v>
      </c>
      <c r="G628" s="238">
        <f>IFERROR((HLOOKUP($AH628,Target_monthwise!$D$4:$O$20,DTR!G$4,FALSE))*1000,0)</f>
        <v>0</v>
      </c>
      <c r="H628" s="238">
        <f>IFERROR((HLOOKUP($AH628,Target_monthwise!$D$4:$O$20,DTR!H$4,FALSE))*1000,0)</f>
        <v>0</v>
      </c>
      <c r="I628" s="238">
        <f>IFERROR((HLOOKUP($AH628,Target_monthwise!$D$4:$O$20,DTR!I$4,FALSE))*1000,0)</f>
        <v>0</v>
      </c>
      <c r="J628" s="238">
        <f>IFERROR((HLOOKUP($AH628,Target_monthwise!$D$4:$O$20,DTR!J$4,FALSE))*1000,0)</f>
        <v>0</v>
      </c>
      <c r="K628" s="238">
        <f>IFERROR((HLOOKUP($AH628,Target_monthwise!$D$4:$O$20,DTR!K$4,FALSE))*1000,0)</f>
        <v>0</v>
      </c>
      <c r="L628" s="238">
        <f>IFERROR((HLOOKUP($AH628,Target_monthwise!$D$4:$O$20,DTR!L$4,FALSE))*1000,0)</f>
        <v>0</v>
      </c>
      <c r="M628" s="238">
        <f>IFERROR((HLOOKUP($AH628,Target_monthwise!$D$4:$O$20,DTR!M$4,FALSE))*1000,0)</f>
        <v>0</v>
      </c>
      <c r="N628" s="238">
        <f>IFERROR((HLOOKUP($AH628,Target_monthwise!$D$4:$O$20,DTR!N$4,FALSE))*1000,0)</f>
        <v>0</v>
      </c>
      <c r="O628" s="238">
        <f>IFERROR((HLOOKUP($AH628,Target_monthwise!$D$4:$O$20,DTR!O$4,FALSE))*1000,0)</f>
        <v>0</v>
      </c>
      <c r="P628" s="238">
        <f>IFERROR((HLOOKUP($AH628,Target_monthwise!$D$4:$O$20,DTR!P$4,FALSE))*1000,0)</f>
        <v>0</v>
      </c>
      <c r="Q628" s="141">
        <f>IFERROR((HLOOKUP($AH628,Target_monthwise!$D$4:$O$20,DTR!Q$4,FALSE))*1000,0)</f>
        <v>0</v>
      </c>
      <c r="R628" s="167">
        <f>IFERROR((HLOOKUP($AH628,Target_monthwise!$D$4:$O$20,DTR!R$4,FALSE))*1000,0)</f>
        <v>0</v>
      </c>
      <c r="S628" s="239">
        <f>IFERROR((HLOOKUP($AH628,Target_monthwise!$D$24:$O$40,DTR!S$4,FALSE)),0)</f>
        <v>0</v>
      </c>
      <c r="T628" s="239">
        <f>IFERROR((HLOOKUP($AH628,Target_monthwise!$D$24:$O$40,DTR!T$4,FALSE)),0)</f>
        <v>0</v>
      </c>
      <c r="U628" s="239">
        <f>IFERROR((HLOOKUP($AH628,Target_monthwise!$D$24:$O$40,DTR!U$4,FALSE)),0)</f>
        <v>0</v>
      </c>
      <c r="V628" s="239">
        <f>IFERROR((HLOOKUP($AH628,Target_monthwise!$D$24:$O$40,DTR!V$4,FALSE)),0)</f>
        <v>0</v>
      </c>
      <c r="W628" s="239">
        <f>IFERROR((HLOOKUP($AH628,Target_monthwise!$D$24:$O$40,DTR!W$4,FALSE)),0)</f>
        <v>0</v>
      </c>
      <c r="X628" s="239">
        <f>IFERROR((HLOOKUP($AH628,Target_monthwise!$D$24:$O$40,DTR!X$4,FALSE)),0)</f>
        <v>0</v>
      </c>
      <c r="Y628" s="239">
        <f>IFERROR((HLOOKUP($AH628,Target_monthwise!$D$24:$O$40,DTR!Y$4,FALSE)),0)</f>
        <v>0</v>
      </c>
      <c r="Z628" s="147">
        <f>IFERROR((HLOOKUP($AH628,Target_monthwise!$D$24:$O$40,DTR!Z$4,FALSE)),0)</f>
        <v>0</v>
      </c>
      <c r="AA628" s="147">
        <f>IFERROR((HLOOKUP($AH628,Target_monthwise!$D$24:$O$40,DTR!AA$4,FALSE)),0)</f>
        <v>0</v>
      </c>
      <c r="AB628" s="147">
        <f>IFERROR((HLOOKUP($AH628,Target_monthwise!$D$24:$O$40,DTR!AB$4,FALSE)),0)</f>
        <v>0</v>
      </c>
      <c r="AC628" s="239">
        <f>IFERROR((HLOOKUP($AH628,Target_monthwise!$D$24:$O$40,DTR!AC$4,FALSE)),0)</f>
        <v>0</v>
      </c>
      <c r="AD628" s="239">
        <f>IFERROR((HLOOKUP($AH628,Target_monthwise!$D$24:$O$40,DTR!AD$4,FALSE)),0)</f>
        <v>0</v>
      </c>
      <c r="AE628" s="239">
        <f>IFERROR((HLOOKUP($AH628,Target_monthwise!$D$24:$O$40,DTR!AE$4,FALSE)),0)</f>
        <v>0</v>
      </c>
      <c r="AF628" s="239">
        <f>IFERROR((HLOOKUP($AH628,Target_monthwise!$D$24:$O$40,DTR!AF$4,FALSE)),0)</f>
        <v>0</v>
      </c>
      <c r="AG628" s="172">
        <f>IFERROR((HLOOKUP($AH628,Target_monthwise!$D$24:$O$40,DTR!AG$4,FALSE)),0)</f>
        <v>0</v>
      </c>
      <c r="AH628" s="253">
        <f t="shared" si="12"/>
        <v>202312</v>
      </c>
    </row>
    <row r="629" spans="3:34" ht="15.75" hidden="1">
      <c r="C629" s="235">
        <v>45272</v>
      </c>
      <c r="D629" s="141">
        <f>IFERROR((HLOOKUP($AH629,Target_monthwise!$D$4:$O$20,DTR!D$4,FALSE))*1000,0)</f>
        <v>0</v>
      </c>
      <c r="E629" s="141">
        <f>IFERROR((HLOOKUP($AH629,Target_monthwise!$D$4:$O$20,DTR!E$4,FALSE))*1000,0)</f>
        <v>0</v>
      </c>
      <c r="F629" s="141">
        <f>IFERROR((HLOOKUP($AH629,Target_monthwise!$D$4:$O$20,DTR!F$4,FALSE))*1000,0)</f>
        <v>0</v>
      </c>
      <c r="G629" s="141">
        <f>IFERROR((HLOOKUP($AH629,Target_monthwise!$D$4:$O$20,DTR!G$4,FALSE))*1000,0)</f>
        <v>0</v>
      </c>
      <c r="H629" s="141">
        <f>IFERROR((HLOOKUP($AH629,Target_monthwise!$D$4:$O$20,DTR!H$4,FALSE))*1000,0)</f>
        <v>0</v>
      </c>
      <c r="I629" s="141">
        <f>IFERROR((HLOOKUP($AH629,Target_monthwise!$D$4:$O$20,DTR!I$4,FALSE))*1000,0)</f>
        <v>0</v>
      </c>
      <c r="J629" s="141">
        <f>IFERROR((HLOOKUP($AH629,Target_monthwise!$D$4:$O$20,DTR!J$4,FALSE))*1000,0)</f>
        <v>0</v>
      </c>
      <c r="K629" s="141">
        <f>IFERROR((HLOOKUP($AH629,Target_monthwise!$D$4:$O$20,DTR!K$4,FALSE))*1000,0)</f>
        <v>0</v>
      </c>
      <c r="L629" s="141">
        <f>IFERROR((HLOOKUP($AH629,Target_monthwise!$D$4:$O$20,DTR!L$4,FALSE))*1000,0)</f>
        <v>0</v>
      </c>
      <c r="M629" s="141">
        <f>IFERROR((HLOOKUP($AH629,Target_monthwise!$D$4:$O$20,DTR!M$4,FALSE))*1000,0)</f>
        <v>0</v>
      </c>
      <c r="N629" s="141">
        <f>IFERROR((HLOOKUP($AH629,Target_monthwise!$D$4:$O$20,DTR!N$4,FALSE))*1000,0)</f>
        <v>0</v>
      </c>
      <c r="O629" s="141">
        <f>IFERROR((HLOOKUP($AH629,Target_monthwise!$D$4:$O$20,DTR!O$4,FALSE))*1000,0)</f>
        <v>0</v>
      </c>
      <c r="P629" s="141">
        <f>IFERROR((HLOOKUP($AH629,Target_monthwise!$D$4:$O$20,DTR!P$4,FALSE))*1000,0)</f>
        <v>0</v>
      </c>
      <c r="Q629" s="141">
        <f>IFERROR((HLOOKUP($AH629,Target_monthwise!$D$4:$O$20,DTR!Q$4,FALSE))*1000,0)</f>
        <v>0</v>
      </c>
      <c r="R629" s="167">
        <f>IFERROR((HLOOKUP($AH629,Target_monthwise!$D$4:$O$20,DTR!R$4,FALSE))*1000,0)</f>
        <v>0</v>
      </c>
      <c r="S629" s="147">
        <f>IFERROR((HLOOKUP($AH629,Target_monthwise!$D$24:$O$40,DTR!S$4,FALSE)),0)</f>
        <v>0</v>
      </c>
      <c r="T629" s="147">
        <f>IFERROR((HLOOKUP($AH629,Target_monthwise!$D$24:$O$40,DTR!T$4,FALSE)),0)</f>
        <v>0</v>
      </c>
      <c r="U629" s="147">
        <f>IFERROR((HLOOKUP($AH629,Target_monthwise!$D$24:$O$40,DTR!U$4,FALSE)),0)</f>
        <v>0</v>
      </c>
      <c r="V629" s="147">
        <f>IFERROR((HLOOKUP($AH629,Target_monthwise!$D$24:$O$40,DTR!V$4,FALSE)),0)</f>
        <v>0</v>
      </c>
      <c r="W629" s="147">
        <f>IFERROR((HLOOKUP($AH629,Target_monthwise!$D$24:$O$40,DTR!W$4,FALSE)),0)</f>
        <v>0</v>
      </c>
      <c r="X629" s="147">
        <f>IFERROR((HLOOKUP($AH629,Target_monthwise!$D$24:$O$40,DTR!X$4,FALSE)),0)</f>
        <v>0</v>
      </c>
      <c r="Y629" s="147">
        <f>IFERROR((HLOOKUP($AH629,Target_monthwise!$D$24:$O$40,DTR!Y$4,FALSE)),0)</f>
        <v>0</v>
      </c>
      <c r="Z629" s="147">
        <f>IFERROR((HLOOKUP($AH629,Target_monthwise!$D$24:$O$40,DTR!Z$4,FALSE)),0)</f>
        <v>0</v>
      </c>
      <c r="AA629" s="147">
        <f>IFERROR((HLOOKUP($AH629,Target_monthwise!$D$24:$O$40,DTR!AA$4,FALSE)),0)</f>
        <v>0</v>
      </c>
      <c r="AB629" s="147">
        <f>IFERROR((HLOOKUP($AH629,Target_monthwise!$D$24:$O$40,DTR!AB$4,FALSE)),0)</f>
        <v>0</v>
      </c>
      <c r="AC629" s="147">
        <f>IFERROR((HLOOKUP($AH629,Target_monthwise!$D$24:$O$40,DTR!AC$4,FALSE)),0)</f>
        <v>0</v>
      </c>
      <c r="AD629" s="147">
        <f>IFERROR((HLOOKUP($AH629,Target_monthwise!$D$24:$O$40,DTR!AD$4,FALSE)),0)</f>
        <v>0</v>
      </c>
      <c r="AE629" s="147">
        <f>IFERROR((HLOOKUP($AH629,Target_monthwise!$D$24:$O$40,DTR!AE$4,FALSE)),0)</f>
        <v>0</v>
      </c>
      <c r="AF629" s="147">
        <f>IFERROR((HLOOKUP($AH629,Target_monthwise!$D$24:$O$40,DTR!AF$4,FALSE)),0)</f>
        <v>0</v>
      </c>
      <c r="AG629" s="172">
        <f>IFERROR((HLOOKUP($AH629,Target_monthwise!$D$24:$O$40,DTR!AG$4,FALSE)),0)</f>
        <v>0</v>
      </c>
      <c r="AH629" s="253">
        <f t="shared" si="12"/>
        <v>202312</v>
      </c>
    </row>
    <row r="630" spans="3:34" ht="15.75" hidden="1">
      <c r="C630" s="237">
        <v>45273</v>
      </c>
      <c r="D630" s="238">
        <f>IFERROR((HLOOKUP($AH630,Target_monthwise!$D$4:$O$20,DTR!D$4,FALSE))*1000,0)</f>
        <v>0</v>
      </c>
      <c r="E630" s="238">
        <f>IFERROR((HLOOKUP($AH630,Target_monthwise!$D$4:$O$20,DTR!E$4,FALSE))*1000,0)</f>
        <v>0</v>
      </c>
      <c r="F630" s="238">
        <f>IFERROR((HLOOKUP($AH630,Target_monthwise!$D$4:$O$20,DTR!F$4,FALSE))*1000,0)</f>
        <v>0</v>
      </c>
      <c r="G630" s="238">
        <f>IFERROR((HLOOKUP($AH630,Target_monthwise!$D$4:$O$20,DTR!G$4,FALSE))*1000,0)</f>
        <v>0</v>
      </c>
      <c r="H630" s="238">
        <f>IFERROR((HLOOKUP($AH630,Target_monthwise!$D$4:$O$20,DTR!H$4,FALSE))*1000,0)</f>
        <v>0</v>
      </c>
      <c r="I630" s="238">
        <f>IFERROR((HLOOKUP($AH630,Target_monthwise!$D$4:$O$20,DTR!I$4,FALSE))*1000,0)</f>
        <v>0</v>
      </c>
      <c r="J630" s="238">
        <f>IFERROR((HLOOKUP($AH630,Target_monthwise!$D$4:$O$20,DTR!J$4,FALSE))*1000,0)</f>
        <v>0</v>
      </c>
      <c r="K630" s="238">
        <f>IFERROR((HLOOKUP($AH630,Target_monthwise!$D$4:$O$20,DTR!K$4,FALSE))*1000,0)</f>
        <v>0</v>
      </c>
      <c r="L630" s="238">
        <f>IFERROR((HLOOKUP($AH630,Target_monthwise!$D$4:$O$20,DTR!L$4,FALSE))*1000,0)</f>
        <v>0</v>
      </c>
      <c r="M630" s="238">
        <f>IFERROR((HLOOKUP($AH630,Target_monthwise!$D$4:$O$20,DTR!M$4,FALSE))*1000,0)</f>
        <v>0</v>
      </c>
      <c r="N630" s="238">
        <f>IFERROR((HLOOKUP($AH630,Target_monthwise!$D$4:$O$20,DTR!N$4,FALSE))*1000,0)</f>
        <v>0</v>
      </c>
      <c r="O630" s="238">
        <f>IFERROR((HLOOKUP($AH630,Target_monthwise!$D$4:$O$20,DTR!O$4,FALSE))*1000,0)</f>
        <v>0</v>
      </c>
      <c r="P630" s="238">
        <f>IFERROR((HLOOKUP($AH630,Target_monthwise!$D$4:$O$20,DTR!P$4,FALSE))*1000,0)</f>
        <v>0</v>
      </c>
      <c r="Q630" s="141">
        <f>IFERROR((HLOOKUP($AH630,Target_monthwise!$D$4:$O$20,DTR!Q$4,FALSE))*1000,0)</f>
        <v>0</v>
      </c>
      <c r="R630" s="167">
        <f>IFERROR((HLOOKUP($AH630,Target_monthwise!$D$4:$O$20,DTR!R$4,FALSE))*1000,0)</f>
        <v>0</v>
      </c>
      <c r="S630" s="239">
        <f>IFERROR((HLOOKUP($AH630,Target_monthwise!$D$24:$O$40,DTR!S$4,FALSE)),0)</f>
        <v>0</v>
      </c>
      <c r="T630" s="239">
        <f>IFERROR((HLOOKUP($AH630,Target_monthwise!$D$24:$O$40,DTR!T$4,FALSE)),0)</f>
        <v>0</v>
      </c>
      <c r="U630" s="239">
        <f>IFERROR((HLOOKUP($AH630,Target_monthwise!$D$24:$O$40,DTR!U$4,FALSE)),0)</f>
        <v>0</v>
      </c>
      <c r="V630" s="239">
        <f>IFERROR((HLOOKUP($AH630,Target_monthwise!$D$24:$O$40,DTR!V$4,FALSE)),0)</f>
        <v>0</v>
      </c>
      <c r="W630" s="239">
        <f>IFERROR((HLOOKUP($AH630,Target_monthwise!$D$24:$O$40,DTR!W$4,FALSE)),0)</f>
        <v>0</v>
      </c>
      <c r="X630" s="239">
        <f>IFERROR((HLOOKUP($AH630,Target_monthwise!$D$24:$O$40,DTR!X$4,FALSE)),0)</f>
        <v>0</v>
      </c>
      <c r="Y630" s="239">
        <f>IFERROR((HLOOKUP($AH630,Target_monthwise!$D$24:$O$40,DTR!Y$4,FALSE)),0)</f>
        <v>0</v>
      </c>
      <c r="Z630" s="147">
        <f>IFERROR((HLOOKUP($AH630,Target_monthwise!$D$24:$O$40,DTR!Z$4,FALSE)),0)</f>
        <v>0</v>
      </c>
      <c r="AA630" s="147">
        <f>IFERROR((HLOOKUP($AH630,Target_monthwise!$D$24:$O$40,DTR!AA$4,FALSE)),0)</f>
        <v>0</v>
      </c>
      <c r="AB630" s="147">
        <f>IFERROR((HLOOKUP($AH630,Target_monthwise!$D$24:$O$40,DTR!AB$4,FALSE)),0)</f>
        <v>0</v>
      </c>
      <c r="AC630" s="239">
        <f>IFERROR((HLOOKUP($AH630,Target_monthwise!$D$24:$O$40,DTR!AC$4,FALSE)),0)</f>
        <v>0</v>
      </c>
      <c r="AD630" s="239">
        <f>IFERROR((HLOOKUP($AH630,Target_monthwise!$D$24:$O$40,DTR!AD$4,FALSE)),0)</f>
        <v>0</v>
      </c>
      <c r="AE630" s="239">
        <f>IFERROR((HLOOKUP($AH630,Target_monthwise!$D$24:$O$40,DTR!AE$4,FALSE)),0)</f>
        <v>0</v>
      </c>
      <c r="AF630" s="239">
        <f>IFERROR((HLOOKUP($AH630,Target_monthwise!$D$24:$O$40,DTR!AF$4,FALSE)),0)</f>
        <v>0</v>
      </c>
      <c r="AG630" s="172">
        <f>IFERROR((HLOOKUP($AH630,Target_monthwise!$D$24:$O$40,DTR!AG$4,FALSE)),0)</f>
        <v>0</v>
      </c>
      <c r="AH630" s="253">
        <f t="shared" si="12"/>
        <v>202312</v>
      </c>
    </row>
    <row r="631" spans="3:34" ht="15.75" hidden="1">
      <c r="C631" s="235">
        <v>45274</v>
      </c>
      <c r="D631" s="141">
        <f>IFERROR((HLOOKUP($AH631,Target_monthwise!$D$4:$O$20,DTR!D$4,FALSE))*1000,0)</f>
        <v>0</v>
      </c>
      <c r="E631" s="141">
        <f>IFERROR((HLOOKUP($AH631,Target_monthwise!$D$4:$O$20,DTR!E$4,FALSE))*1000,0)</f>
        <v>0</v>
      </c>
      <c r="F631" s="141">
        <f>IFERROR((HLOOKUP($AH631,Target_monthwise!$D$4:$O$20,DTR!F$4,FALSE))*1000,0)</f>
        <v>0</v>
      </c>
      <c r="G631" s="141">
        <f>IFERROR((HLOOKUP($AH631,Target_monthwise!$D$4:$O$20,DTR!G$4,FALSE))*1000,0)</f>
        <v>0</v>
      </c>
      <c r="H631" s="141">
        <f>IFERROR((HLOOKUP($AH631,Target_monthwise!$D$4:$O$20,DTR!H$4,FALSE))*1000,0)</f>
        <v>0</v>
      </c>
      <c r="I631" s="141">
        <f>IFERROR((HLOOKUP($AH631,Target_monthwise!$D$4:$O$20,DTR!I$4,FALSE))*1000,0)</f>
        <v>0</v>
      </c>
      <c r="J631" s="141">
        <f>IFERROR((HLOOKUP($AH631,Target_monthwise!$D$4:$O$20,DTR!J$4,FALSE))*1000,0)</f>
        <v>0</v>
      </c>
      <c r="K631" s="141">
        <f>IFERROR((HLOOKUP($AH631,Target_monthwise!$D$4:$O$20,DTR!K$4,FALSE))*1000,0)</f>
        <v>0</v>
      </c>
      <c r="L631" s="141">
        <f>IFERROR((HLOOKUP($AH631,Target_monthwise!$D$4:$O$20,DTR!L$4,FALSE))*1000,0)</f>
        <v>0</v>
      </c>
      <c r="M631" s="141">
        <f>IFERROR((HLOOKUP($AH631,Target_monthwise!$D$4:$O$20,DTR!M$4,FALSE))*1000,0)</f>
        <v>0</v>
      </c>
      <c r="N631" s="141">
        <f>IFERROR((HLOOKUP($AH631,Target_monthwise!$D$4:$O$20,DTR!N$4,FALSE))*1000,0)</f>
        <v>0</v>
      </c>
      <c r="O631" s="141">
        <f>IFERROR((HLOOKUP($AH631,Target_monthwise!$D$4:$O$20,DTR!O$4,FALSE))*1000,0)</f>
        <v>0</v>
      </c>
      <c r="P631" s="141">
        <f>IFERROR((HLOOKUP($AH631,Target_monthwise!$D$4:$O$20,DTR!P$4,FALSE))*1000,0)</f>
        <v>0</v>
      </c>
      <c r="Q631" s="141">
        <f>IFERROR((HLOOKUP($AH631,Target_monthwise!$D$4:$O$20,DTR!Q$4,FALSE))*1000,0)</f>
        <v>0</v>
      </c>
      <c r="R631" s="167">
        <f>IFERROR((HLOOKUP($AH631,Target_monthwise!$D$4:$O$20,DTR!R$4,FALSE))*1000,0)</f>
        <v>0</v>
      </c>
      <c r="S631" s="147">
        <f>IFERROR((HLOOKUP($AH631,Target_monthwise!$D$24:$O$40,DTR!S$4,FALSE)),0)</f>
        <v>0</v>
      </c>
      <c r="T631" s="147">
        <f>IFERROR((HLOOKUP($AH631,Target_monthwise!$D$24:$O$40,DTR!T$4,FALSE)),0)</f>
        <v>0</v>
      </c>
      <c r="U631" s="147">
        <f>IFERROR((HLOOKUP($AH631,Target_monthwise!$D$24:$O$40,DTR!U$4,FALSE)),0)</f>
        <v>0</v>
      </c>
      <c r="V631" s="147">
        <f>IFERROR((HLOOKUP($AH631,Target_monthwise!$D$24:$O$40,DTR!V$4,FALSE)),0)</f>
        <v>0</v>
      </c>
      <c r="W631" s="147">
        <f>IFERROR((HLOOKUP($AH631,Target_monthwise!$D$24:$O$40,DTR!W$4,FALSE)),0)</f>
        <v>0</v>
      </c>
      <c r="X631" s="147">
        <f>IFERROR((HLOOKUP($AH631,Target_monthwise!$D$24:$O$40,DTR!X$4,FALSE)),0)</f>
        <v>0</v>
      </c>
      <c r="Y631" s="147">
        <f>IFERROR((HLOOKUP($AH631,Target_monthwise!$D$24:$O$40,DTR!Y$4,FALSE)),0)</f>
        <v>0</v>
      </c>
      <c r="Z631" s="147">
        <f>IFERROR((HLOOKUP($AH631,Target_monthwise!$D$24:$O$40,DTR!Z$4,FALSE)),0)</f>
        <v>0</v>
      </c>
      <c r="AA631" s="147">
        <f>IFERROR((HLOOKUP($AH631,Target_monthwise!$D$24:$O$40,DTR!AA$4,FALSE)),0)</f>
        <v>0</v>
      </c>
      <c r="AB631" s="147">
        <f>IFERROR((HLOOKUP($AH631,Target_monthwise!$D$24:$O$40,DTR!AB$4,FALSE)),0)</f>
        <v>0</v>
      </c>
      <c r="AC631" s="147">
        <f>IFERROR((HLOOKUP($AH631,Target_monthwise!$D$24:$O$40,DTR!AC$4,FALSE)),0)</f>
        <v>0</v>
      </c>
      <c r="AD631" s="147">
        <f>IFERROR((HLOOKUP($AH631,Target_monthwise!$D$24:$O$40,DTR!AD$4,FALSE)),0)</f>
        <v>0</v>
      </c>
      <c r="AE631" s="147">
        <f>IFERROR((HLOOKUP($AH631,Target_monthwise!$D$24:$O$40,DTR!AE$4,FALSE)),0)</f>
        <v>0</v>
      </c>
      <c r="AF631" s="147">
        <f>IFERROR((HLOOKUP($AH631,Target_monthwise!$D$24:$O$40,DTR!AF$4,FALSE)),0)</f>
        <v>0</v>
      </c>
      <c r="AG631" s="172">
        <f>IFERROR((HLOOKUP($AH631,Target_monthwise!$D$24:$O$40,DTR!AG$4,FALSE)),0)</f>
        <v>0</v>
      </c>
      <c r="AH631" s="253">
        <f t="shared" si="12"/>
        <v>202312</v>
      </c>
    </row>
    <row r="632" spans="3:34" ht="15.75" hidden="1">
      <c r="C632" s="237">
        <v>45275</v>
      </c>
      <c r="D632" s="238">
        <f>IFERROR((HLOOKUP($AH632,Target_monthwise!$D$4:$O$20,DTR!D$4,FALSE))*1000,0)</f>
        <v>0</v>
      </c>
      <c r="E632" s="238">
        <f>IFERROR((HLOOKUP($AH632,Target_monthwise!$D$4:$O$20,DTR!E$4,FALSE))*1000,0)</f>
        <v>0</v>
      </c>
      <c r="F632" s="238">
        <f>IFERROR((HLOOKUP($AH632,Target_monthwise!$D$4:$O$20,DTR!F$4,FALSE))*1000,0)</f>
        <v>0</v>
      </c>
      <c r="G632" s="238">
        <f>IFERROR((HLOOKUP($AH632,Target_monthwise!$D$4:$O$20,DTR!G$4,FALSE))*1000,0)</f>
        <v>0</v>
      </c>
      <c r="H632" s="238">
        <f>IFERROR((HLOOKUP($AH632,Target_monthwise!$D$4:$O$20,DTR!H$4,FALSE))*1000,0)</f>
        <v>0</v>
      </c>
      <c r="I632" s="238">
        <f>IFERROR((HLOOKUP($AH632,Target_monthwise!$D$4:$O$20,DTR!I$4,FALSE))*1000,0)</f>
        <v>0</v>
      </c>
      <c r="J632" s="238">
        <f>IFERROR((HLOOKUP($AH632,Target_monthwise!$D$4:$O$20,DTR!J$4,FALSE))*1000,0)</f>
        <v>0</v>
      </c>
      <c r="K632" s="238">
        <f>IFERROR((HLOOKUP($AH632,Target_monthwise!$D$4:$O$20,DTR!K$4,FALSE))*1000,0)</f>
        <v>0</v>
      </c>
      <c r="L632" s="238">
        <f>IFERROR((HLOOKUP($AH632,Target_monthwise!$D$4:$O$20,DTR!L$4,FALSE))*1000,0)</f>
        <v>0</v>
      </c>
      <c r="M632" s="238">
        <f>IFERROR((HLOOKUP($AH632,Target_monthwise!$D$4:$O$20,DTR!M$4,FALSE))*1000,0)</f>
        <v>0</v>
      </c>
      <c r="N632" s="238">
        <f>IFERROR((HLOOKUP($AH632,Target_monthwise!$D$4:$O$20,DTR!N$4,FALSE))*1000,0)</f>
        <v>0</v>
      </c>
      <c r="O632" s="238">
        <f>IFERROR((HLOOKUP($AH632,Target_monthwise!$D$4:$O$20,DTR!O$4,FALSE))*1000,0)</f>
        <v>0</v>
      </c>
      <c r="P632" s="238">
        <f>IFERROR((HLOOKUP($AH632,Target_monthwise!$D$4:$O$20,DTR!P$4,FALSE))*1000,0)</f>
        <v>0</v>
      </c>
      <c r="Q632" s="141">
        <f>IFERROR((HLOOKUP($AH632,Target_monthwise!$D$4:$O$20,DTR!Q$4,FALSE))*1000,0)</f>
        <v>0</v>
      </c>
      <c r="R632" s="167">
        <f>IFERROR((HLOOKUP($AH632,Target_monthwise!$D$4:$O$20,DTR!R$4,FALSE))*1000,0)</f>
        <v>0</v>
      </c>
      <c r="S632" s="239">
        <f>IFERROR((HLOOKUP($AH632,Target_monthwise!$D$24:$O$40,DTR!S$4,FALSE)),0)</f>
        <v>0</v>
      </c>
      <c r="T632" s="239">
        <f>IFERROR((HLOOKUP($AH632,Target_monthwise!$D$24:$O$40,DTR!T$4,FALSE)),0)</f>
        <v>0</v>
      </c>
      <c r="U632" s="239">
        <f>IFERROR((HLOOKUP($AH632,Target_monthwise!$D$24:$O$40,DTR!U$4,FALSE)),0)</f>
        <v>0</v>
      </c>
      <c r="V632" s="239">
        <f>IFERROR((HLOOKUP($AH632,Target_monthwise!$D$24:$O$40,DTR!V$4,FALSE)),0)</f>
        <v>0</v>
      </c>
      <c r="W632" s="239">
        <f>IFERROR((HLOOKUP($AH632,Target_monthwise!$D$24:$O$40,DTR!W$4,FALSE)),0)</f>
        <v>0</v>
      </c>
      <c r="X632" s="239">
        <f>IFERROR((HLOOKUP($AH632,Target_monthwise!$D$24:$O$40,DTR!X$4,FALSE)),0)</f>
        <v>0</v>
      </c>
      <c r="Y632" s="239">
        <f>IFERROR((HLOOKUP($AH632,Target_monthwise!$D$24:$O$40,DTR!Y$4,FALSE)),0)</f>
        <v>0</v>
      </c>
      <c r="Z632" s="147">
        <f>IFERROR((HLOOKUP($AH632,Target_monthwise!$D$24:$O$40,DTR!Z$4,FALSE)),0)</f>
        <v>0</v>
      </c>
      <c r="AA632" s="147">
        <f>IFERROR((HLOOKUP($AH632,Target_monthwise!$D$24:$O$40,DTR!AA$4,FALSE)),0)</f>
        <v>0</v>
      </c>
      <c r="AB632" s="147">
        <f>IFERROR((HLOOKUP($AH632,Target_monthwise!$D$24:$O$40,DTR!AB$4,FALSE)),0)</f>
        <v>0</v>
      </c>
      <c r="AC632" s="239">
        <f>IFERROR((HLOOKUP($AH632,Target_monthwise!$D$24:$O$40,DTR!AC$4,FALSE)),0)</f>
        <v>0</v>
      </c>
      <c r="AD632" s="239">
        <f>IFERROR((HLOOKUP($AH632,Target_monthwise!$D$24:$O$40,DTR!AD$4,FALSE)),0)</f>
        <v>0</v>
      </c>
      <c r="AE632" s="239">
        <f>IFERROR((HLOOKUP($AH632,Target_monthwise!$D$24:$O$40,DTR!AE$4,FALSE)),0)</f>
        <v>0</v>
      </c>
      <c r="AF632" s="239">
        <f>IFERROR((HLOOKUP($AH632,Target_monthwise!$D$24:$O$40,DTR!AF$4,FALSE)),0)</f>
        <v>0</v>
      </c>
      <c r="AG632" s="172">
        <f>IFERROR((HLOOKUP($AH632,Target_monthwise!$D$24:$O$40,DTR!AG$4,FALSE)),0)</f>
        <v>0</v>
      </c>
      <c r="AH632" s="253">
        <f t="shared" si="12"/>
        <v>202312</v>
      </c>
    </row>
    <row r="633" spans="3:34" ht="15.75" hidden="1">
      <c r="C633" s="235">
        <v>45276</v>
      </c>
      <c r="D633" s="141">
        <f>IFERROR((HLOOKUP($AH633,Target_monthwise!$D$4:$O$20,DTR!D$4,FALSE))*1000,0)</f>
        <v>0</v>
      </c>
      <c r="E633" s="141">
        <f>IFERROR((HLOOKUP($AH633,Target_monthwise!$D$4:$O$20,DTR!E$4,FALSE))*1000,0)</f>
        <v>0</v>
      </c>
      <c r="F633" s="141">
        <f>IFERROR((HLOOKUP($AH633,Target_monthwise!$D$4:$O$20,DTR!F$4,FALSE))*1000,0)</f>
        <v>0</v>
      </c>
      <c r="G633" s="141">
        <f>IFERROR((HLOOKUP($AH633,Target_monthwise!$D$4:$O$20,DTR!G$4,FALSE))*1000,0)</f>
        <v>0</v>
      </c>
      <c r="H633" s="141">
        <f>IFERROR((HLOOKUP($AH633,Target_monthwise!$D$4:$O$20,DTR!H$4,FALSE))*1000,0)</f>
        <v>0</v>
      </c>
      <c r="I633" s="141">
        <f>IFERROR((HLOOKUP($AH633,Target_monthwise!$D$4:$O$20,DTR!I$4,FALSE))*1000,0)</f>
        <v>0</v>
      </c>
      <c r="J633" s="141">
        <f>IFERROR((HLOOKUP($AH633,Target_monthwise!$D$4:$O$20,DTR!J$4,FALSE))*1000,0)</f>
        <v>0</v>
      </c>
      <c r="K633" s="141">
        <f>IFERROR((HLOOKUP($AH633,Target_monthwise!$D$4:$O$20,DTR!K$4,FALSE))*1000,0)</f>
        <v>0</v>
      </c>
      <c r="L633" s="141">
        <f>IFERROR((HLOOKUP($AH633,Target_monthwise!$D$4:$O$20,DTR!L$4,FALSE))*1000,0)</f>
        <v>0</v>
      </c>
      <c r="M633" s="141">
        <f>IFERROR((HLOOKUP($AH633,Target_monthwise!$D$4:$O$20,DTR!M$4,FALSE))*1000,0)</f>
        <v>0</v>
      </c>
      <c r="N633" s="141">
        <f>IFERROR((HLOOKUP($AH633,Target_monthwise!$D$4:$O$20,DTR!N$4,FALSE))*1000,0)</f>
        <v>0</v>
      </c>
      <c r="O633" s="141">
        <f>IFERROR((HLOOKUP($AH633,Target_monthwise!$D$4:$O$20,DTR!O$4,FALSE))*1000,0)</f>
        <v>0</v>
      </c>
      <c r="P633" s="141">
        <f>IFERROR((HLOOKUP($AH633,Target_monthwise!$D$4:$O$20,DTR!P$4,FALSE))*1000,0)</f>
        <v>0</v>
      </c>
      <c r="Q633" s="141">
        <f>IFERROR((HLOOKUP($AH633,Target_monthwise!$D$4:$O$20,DTR!Q$4,FALSE))*1000,0)</f>
        <v>0</v>
      </c>
      <c r="R633" s="167">
        <f>IFERROR((HLOOKUP($AH633,Target_monthwise!$D$4:$O$20,DTR!R$4,FALSE))*1000,0)</f>
        <v>0</v>
      </c>
      <c r="S633" s="147">
        <f>IFERROR((HLOOKUP($AH633,Target_monthwise!$D$24:$O$40,DTR!S$4,FALSE)),0)</f>
        <v>0</v>
      </c>
      <c r="T633" s="147">
        <f>IFERROR((HLOOKUP($AH633,Target_monthwise!$D$24:$O$40,DTR!T$4,FALSE)),0)</f>
        <v>0</v>
      </c>
      <c r="U633" s="147">
        <f>IFERROR((HLOOKUP($AH633,Target_monthwise!$D$24:$O$40,DTR!U$4,FALSE)),0)</f>
        <v>0</v>
      </c>
      <c r="V633" s="147">
        <f>IFERROR((HLOOKUP($AH633,Target_monthwise!$D$24:$O$40,DTR!V$4,FALSE)),0)</f>
        <v>0</v>
      </c>
      <c r="W633" s="147">
        <f>IFERROR((HLOOKUP($AH633,Target_monthwise!$D$24:$O$40,DTR!W$4,FALSE)),0)</f>
        <v>0</v>
      </c>
      <c r="X633" s="147">
        <f>IFERROR((HLOOKUP($AH633,Target_monthwise!$D$24:$O$40,DTR!X$4,FALSE)),0)</f>
        <v>0</v>
      </c>
      <c r="Y633" s="147">
        <f>IFERROR((HLOOKUP($AH633,Target_monthwise!$D$24:$O$40,DTR!Y$4,FALSE)),0)</f>
        <v>0</v>
      </c>
      <c r="Z633" s="147">
        <f>IFERROR((HLOOKUP($AH633,Target_monthwise!$D$24:$O$40,DTR!Z$4,FALSE)),0)</f>
        <v>0</v>
      </c>
      <c r="AA633" s="147">
        <f>IFERROR((HLOOKUP($AH633,Target_monthwise!$D$24:$O$40,DTR!AA$4,FALSE)),0)</f>
        <v>0</v>
      </c>
      <c r="AB633" s="147">
        <f>IFERROR((HLOOKUP($AH633,Target_monthwise!$D$24:$O$40,DTR!AB$4,FALSE)),0)</f>
        <v>0</v>
      </c>
      <c r="AC633" s="147">
        <f>IFERROR((HLOOKUP($AH633,Target_monthwise!$D$24:$O$40,DTR!AC$4,FALSE)),0)</f>
        <v>0</v>
      </c>
      <c r="AD633" s="147">
        <f>IFERROR((HLOOKUP($AH633,Target_monthwise!$D$24:$O$40,DTR!AD$4,FALSE)),0)</f>
        <v>0</v>
      </c>
      <c r="AE633" s="147">
        <f>IFERROR((HLOOKUP($AH633,Target_monthwise!$D$24:$O$40,DTR!AE$4,FALSE)),0)</f>
        <v>0</v>
      </c>
      <c r="AF633" s="147">
        <f>IFERROR((HLOOKUP($AH633,Target_monthwise!$D$24:$O$40,DTR!AF$4,FALSE)),0)</f>
        <v>0</v>
      </c>
      <c r="AG633" s="172">
        <f>IFERROR((HLOOKUP($AH633,Target_monthwise!$D$24:$O$40,DTR!AG$4,FALSE)),0)</f>
        <v>0</v>
      </c>
      <c r="AH633" s="253">
        <f t="shared" si="12"/>
        <v>202312</v>
      </c>
    </row>
    <row r="634" spans="3:34" ht="15.75" hidden="1">
      <c r="C634" s="237">
        <v>45277</v>
      </c>
      <c r="D634" s="238">
        <f>IFERROR((HLOOKUP($AH634,Target_monthwise!$D$4:$O$20,DTR!D$4,FALSE))*1000,0)</f>
        <v>0</v>
      </c>
      <c r="E634" s="238">
        <f>IFERROR((HLOOKUP($AH634,Target_monthwise!$D$4:$O$20,DTR!E$4,FALSE))*1000,0)</f>
        <v>0</v>
      </c>
      <c r="F634" s="238">
        <f>IFERROR((HLOOKUP($AH634,Target_monthwise!$D$4:$O$20,DTR!F$4,FALSE))*1000,0)</f>
        <v>0</v>
      </c>
      <c r="G634" s="238">
        <f>IFERROR((HLOOKUP($AH634,Target_monthwise!$D$4:$O$20,DTR!G$4,FALSE))*1000,0)</f>
        <v>0</v>
      </c>
      <c r="H634" s="238">
        <f>IFERROR((HLOOKUP($AH634,Target_monthwise!$D$4:$O$20,DTR!H$4,FALSE))*1000,0)</f>
        <v>0</v>
      </c>
      <c r="I634" s="238">
        <f>IFERROR((HLOOKUP($AH634,Target_monthwise!$D$4:$O$20,DTR!I$4,FALSE))*1000,0)</f>
        <v>0</v>
      </c>
      <c r="J634" s="238">
        <f>IFERROR((HLOOKUP($AH634,Target_monthwise!$D$4:$O$20,DTR!J$4,FALSE))*1000,0)</f>
        <v>0</v>
      </c>
      <c r="K634" s="238">
        <f>IFERROR((HLOOKUP($AH634,Target_monthwise!$D$4:$O$20,DTR!K$4,FALSE))*1000,0)</f>
        <v>0</v>
      </c>
      <c r="L634" s="238">
        <f>IFERROR((HLOOKUP($AH634,Target_monthwise!$D$4:$O$20,DTR!L$4,FALSE))*1000,0)</f>
        <v>0</v>
      </c>
      <c r="M634" s="238">
        <f>IFERROR((HLOOKUP($AH634,Target_monthwise!$D$4:$O$20,DTR!M$4,FALSE))*1000,0)</f>
        <v>0</v>
      </c>
      <c r="N634" s="238">
        <f>IFERROR((HLOOKUP($AH634,Target_monthwise!$D$4:$O$20,DTR!N$4,FALSE))*1000,0)</f>
        <v>0</v>
      </c>
      <c r="O634" s="238">
        <f>IFERROR((HLOOKUP($AH634,Target_monthwise!$D$4:$O$20,DTR!O$4,FALSE))*1000,0)</f>
        <v>0</v>
      </c>
      <c r="P634" s="238">
        <f>IFERROR((HLOOKUP($AH634,Target_monthwise!$D$4:$O$20,DTR!P$4,FALSE))*1000,0)</f>
        <v>0</v>
      </c>
      <c r="Q634" s="141">
        <f>IFERROR((HLOOKUP($AH634,Target_monthwise!$D$4:$O$20,DTR!Q$4,FALSE))*1000,0)</f>
        <v>0</v>
      </c>
      <c r="R634" s="167">
        <f>IFERROR((HLOOKUP($AH634,Target_monthwise!$D$4:$O$20,DTR!R$4,FALSE))*1000,0)</f>
        <v>0</v>
      </c>
      <c r="S634" s="239">
        <f>IFERROR((HLOOKUP($AH634,Target_monthwise!$D$24:$O$40,DTR!S$4,FALSE)),0)</f>
        <v>0</v>
      </c>
      <c r="T634" s="239">
        <f>IFERROR((HLOOKUP($AH634,Target_monthwise!$D$24:$O$40,DTR!T$4,FALSE)),0)</f>
        <v>0</v>
      </c>
      <c r="U634" s="239">
        <f>IFERROR((HLOOKUP($AH634,Target_monthwise!$D$24:$O$40,DTR!U$4,FALSE)),0)</f>
        <v>0</v>
      </c>
      <c r="V634" s="239">
        <f>IFERROR((HLOOKUP($AH634,Target_monthwise!$D$24:$O$40,DTR!V$4,FALSE)),0)</f>
        <v>0</v>
      </c>
      <c r="W634" s="239">
        <f>IFERROR((HLOOKUP($AH634,Target_monthwise!$D$24:$O$40,DTR!W$4,FALSE)),0)</f>
        <v>0</v>
      </c>
      <c r="X634" s="239">
        <f>IFERROR((HLOOKUP($AH634,Target_monthwise!$D$24:$O$40,DTR!X$4,FALSE)),0)</f>
        <v>0</v>
      </c>
      <c r="Y634" s="239">
        <f>IFERROR((HLOOKUP($AH634,Target_monthwise!$D$24:$O$40,DTR!Y$4,FALSE)),0)</f>
        <v>0</v>
      </c>
      <c r="Z634" s="147">
        <f>IFERROR((HLOOKUP($AH634,Target_monthwise!$D$24:$O$40,DTR!Z$4,FALSE)),0)</f>
        <v>0</v>
      </c>
      <c r="AA634" s="147">
        <f>IFERROR((HLOOKUP($AH634,Target_monthwise!$D$24:$O$40,DTR!AA$4,FALSE)),0)</f>
        <v>0</v>
      </c>
      <c r="AB634" s="147">
        <f>IFERROR((HLOOKUP($AH634,Target_monthwise!$D$24:$O$40,DTR!AB$4,FALSE)),0)</f>
        <v>0</v>
      </c>
      <c r="AC634" s="239">
        <f>IFERROR((HLOOKUP($AH634,Target_monthwise!$D$24:$O$40,DTR!AC$4,FALSE)),0)</f>
        <v>0</v>
      </c>
      <c r="AD634" s="239">
        <f>IFERROR((HLOOKUP($AH634,Target_monthwise!$D$24:$O$40,DTR!AD$4,FALSE)),0)</f>
        <v>0</v>
      </c>
      <c r="AE634" s="239">
        <f>IFERROR((HLOOKUP($AH634,Target_monthwise!$D$24:$O$40,DTR!AE$4,FALSE)),0)</f>
        <v>0</v>
      </c>
      <c r="AF634" s="239">
        <f>IFERROR((HLOOKUP($AH634,Target_monthwise!$D$24:$O$40,DTR!AF$4,FALSE)),0)</f>
        <v>0</v>
      </c>
      <c r="AG634" s="172">
        <f>IFERROR((HLOOKUP($AH634,Target_monthwise!$D$24:$O$40,DTR!AG$4,FALSE)),0)</f>
        <v>0</v>
      </c>
      <c r="AH634" s="253">
        <f t="shared" si="12"/>
        <v>202312</v>
      </c>
    </row>
    <row r="635" spans="3:34" ht="15.75" hidden="1">
      <c r="C635" s="235">
        <v>45278</v>
      </c>
      <c r="D635" s="141">
        <f>IFERROR((HLOOKUP($AH635,Target_monthwise!$D$4:$O$20,DTR!D$4,FALSE))*1000,0)</f>
        <v>0</v>
      </c>
      <c r="E635" s="141">
        <f>IFERROR((HLOOKUP($AH635,Target_monthwise!$D$4:$O$20,DTR!E$4,FALSE))*1000,0)</f>
        <v>0</v>
      </c>
      <c r="F635" s="141">
        <f>IFERROR((HLOOKUP($AH635,Target_monthwise!$D$4:$O$20,DTR!F$4,FALSE))*1000,0)</f>
        <v>0</v>
      </c>
      <c r="G635" s="141">
        <f>IFERROR((HLOOKUP($AH635,Target_monthwise!$D$4:$O$20,DTR!G$4,FALSE))*1000,0)</f>
        <v>0</v>
      </c>
      <c r="H635" s="141">
        <f>IFERROR((HLOOKUP($AH635,Target_monthwise!$D$4:$O$20,DTR!H$4,FALSE))*1000,0)</f>
        <v>0</v>
      </c>
      <c r="I635" s="141">
        <f>IFERROR((HLOOKUP($AH635,Target_monthwise!$D$4:$O$20,DTR!I$4,FALSE))*1000,0)</f>
        <v>0</v>
      </c>
      <c r="J635" s="141">
        <f>IFERROR((HLOOKUP($AH635,Target_monthwise!$D$4:$O$20,DTR!J$4,FALSE))*1000,0)</f>
        <v>0</v>
      </c>
      <c r="K635" s="141">
        <f>IFERROR((HLOOKUP($AH635,Target_monthwise!$D$4:$O$20,DTR!K$4,FALSE))*1000,0)</f>
        <v>0</v>
      </c>
      <c r="L635" s="141">
        <f>IFERROR((HLOOKUP($AH635,Target_monthwise!$D$4:$O$20,DTR!L$4,FALSE))*1000,0)</f>
        <v>0</v>
      </c>
      <c r="M635" s="141">
        <f>IFERROR((HLOOKUP($AH635,Target_monthwise!$D$4:$O$20,DTR!M$4,FALSE))*1000,0)</f>
        <v>0</v>
      </c>
      <c r="N635" s="141">
        <f>IFERROR((HLOOKUP($AH635,Target_monthwise!$D$4:$O$20,DTR!N$4,FALSE))*1000,0)</f>
        <v>0</v>
      </c>
      <c r="O635" s="141">
        <f>IFERROR((HLOOKUP($AH635,Target_monthwise!$D$4:$O$20,DTR!O$4,FALSE))*1000,0)</f>
        <v>0</v>
      </c>
      <c r="P635" s="141">
        <f>IFERROR((HLOOKUP($AH635,Target_monthwise!$D$4:$O$20,DTR!P$4,FALSE))*1000,0)</f>
        <v>0</v>
      </c>
      <c r="Q635" s="141">
        <f>IFERROR((HLOOKUP($AH635,Target_monthwise!$D$4:$O$20,DTR!Q$4,FALSE))*1000,0)</f>
        <v>0</v>
      </c>
      <c r="R635" s="167">
        <f>IFERROR((HLOOKUP($AH635,Target_monthwise!$D$4:$O$20,DTR!R$4,FALSE))*1000,0)</f>
        <v>0</v>
      </c>
      <c r="S635" s="147">
        <f>IFERROR((HLOOKUP($AH635,Target_monthwise!$D$24:$O$40,DTR!S$4,FALSE)),0)</f>
        <v>0</v>
      </c>
      <c r="T635" s="147">
        <f>IFERROR((HLOOKUP($AH635,Target_monthwise!$D$24:$O$40,DTR!T$4,FALSE)),0)</f>
        <v>0</v>
      </c>
      <c r="U635" s="147">
        <f>IFERROR((HLOOKUP($AH635,Target_monthwise!$D$24:$O$40,DTR!U$4,FALSE)),0)</f>
        <v>0</v>
      </c>
      <c r="V635" s="147">
        <f>IFERROR((HLOOKUP($AH635,Target_monthwise!$D$24:$O$40,DTR!V$4,FALSE)),0)</f>
        <v>0</v>
      </c>
      <c r="W635" s="147">
        <f>IFERROR((HLOOKUP($AH635,Target_monthwise!$D$24:$O$40,DTR!W$4,FALSE)),0)</f>
        <v>0</v>
      </c>
      <c r="X635" s="147">
        <f>IFERROR((HLOOKUP($AH635,Target_monthwise!$D$24:$O$40,DTR!X$4,FALSE)),0)</f>
        <v>0</v>
      </c>
      <c r="Y635" s="147">
        <f>IFERROR((HLOOKUP($AH635,Target_monthwise!$D$24:$O$40,DTR!Y$4,FALSE)),0)</f>
        <v>0</v>
      </c>
      <c r="Z635" s="147">
        <f>IFERROR((HLOOKUP($AH635,Target_monthwise!$D$24:$O$40,DTR!Z$4,FALSE)),0)</f>
        <v>0</v>
      </c>
      <c r="AA635" s="147">
        <f>IFERROR((HLOOKUP($AH635,Target_monthwise!$D$24:$O$40,DTR!AA$4,FALSE)),0)</f>
        <v>0</v>
      </c>
      <c r="AB635" s="147">
        <f>IFERROR((HLOOKUP($AH635,Target_monthwise!$D$24:$O$40,DTR!AB$4,FALSE)),0)</f>
        <v>0</v>
      </c>
      <c r="AC635" s="147">
        <f>IFERROR((HLOOKUP($AH635,Target_monthwise!$D$24:$O$40,DTR!AC$4,FALSE)),0)</f>
        <v>0</v>
      </c>
      <c r="AD635" s="147">
        <f>IFERROR((HLOOKUP($AH635,Target_monthwise!$D$24:$O$40,DTR!AD$4,FALSE)),0)</f>
        <v>0</v>
      </c>
      <c r="AE635" s="147">
        <f>IFERROR((HLOOKUP($AH635,Target_monthwise!$D$24:$O$40,DTR!AE$4,FALSE)),0)</f>
        <v>0</v>
      </c>
      <c r="AF635" s="147">
        <f>IFERROR((HLOOKUP($AH635,Target_monthwise!$D$24:$O$40,DTR!AF$4,FALSE)),0)</f>
        <v>0</v>
      </c>
      <c r="AG635" s="172">
        <f>IFERROR((HLOOKUP($AH635,Target_monthwise!$D$24:$O$40,DTR!AG$4,FALSE)),0)</f>
        <v>0</v>
      </c>
      <c r="AH635" s="253">
        <f t="shared" si="12"/>
        <v>202312</v>
      </c>
    </row>
    <row r="636" spans="3:34" ht="15.75" hidden="1">
      <c r="C636" s="237">
        <v>45279</v>
      </c>
      <c r="D636" s="238">
        <f>IFERROR((HLOOKUP($AH636,Target_monthwise!$D$4:$O$20,DTR!D$4,FALSE))*1000,0)</f>
        <v>0</v>
      </c>
      <c r="E636" s="238">
        <f>IFERROR((HLOOKUP($AH636,Target_monthwise!$D$4:$O$20,DTR!E$4,FALSE))*1000,0)</f>
        <v>0</v>
      </c>
      <c r="F636" s="238">
        <f>IFERROR((HLOOKUP($AH636,Target_monthwise!$D$4:$O$20,DTR!F$4,FALSE))*1000,0)</f>
        <v>0</v>
      </c>
      <c r="G636" s="238">
        <f>IFERROR((HLOOKUP($AH636,Target_monthwise!$D$4:$O$20,DTR!G$4,FALSE))*1000,0)</f>
        <v>0</v>
      </c>
      <c r="H636" s="238">
        <f>IFERROR((HLOOKUP($AH636,Target_monthwise!$D$4:$O$20,DTR!H$4,FALSE))*1000,0)</f>
        <v>0</v>
      </c>
      <c r="I636" s="238">
        <f>IFERROR((HLOOKUP($AH636,Target_monthwise!$D$4:$O$20,DTR!I$4,FALSE))*1000,0)</f>
        <v>0</v>
      </c>
      <c r="J636" s="238">
        <f>IFERROR((HLOOKUP($AH636,Target_monthwise!$D$4:$O$20,DTR!J$4,FALSE))*1000,0)</f>
        <v>0</v>
      </c>
      <c r="K636" s="238">
        <f>IFERROR((HLOOKUP($AH636,Target_monthwise!$D$4:$O$20,DTR!K$4,FALSE))*1000,0)</f>
        <v>0</v>
      </c>
      <c r="L636" s="238">
        <f>IFERROR((HLOOKUP($AH636,Target_monthwise!$D$4:$O$20,DTR!L$4,FALSE))*1000,0)</f>
        <v>0</v>
      </c>
      <c r="M636" s="238">
        <f>IFERROR((HLOOKUP($AH636,Target_monthwise!$D$4:$O$20,DTR!M$4,FALSE))*1000,0)</f>
        <v>0</v>
      </c>
      <c r="N636" s="238">
        <f>IFERROR((HLOOKUP($AH636,Target_monthwise!$D$4:$O$20,DTR!N$4,FALSE))*1000,0)</f>
        <v>0</v>
      </c>
      <c r="O636" s="238">
        <f>IFERROR((HLOOKUP($AH636,Target_monthwise!$D$4:$O$20,DTR!O$4,FALSE))*1000,0)</f>
        <v>0</v>
      </c>
      <c r="P636" s="238">
        <f>IFERROR((HLOOKUP($AH636,Target_monthwise!$D$4:$O$20,DTR!P$4,FALSE))*1000,0)</f>
        <v>0</v>
      </c>
      <c r="Q636" s="141">
        <f>IFERROR((HLOOKUP($AH636,Target_monthwise!$D$4:$O$20,DTR!Q$4,FALSE))*1000,0)</f>
        <v>0</v>
      </c>
      <c r="R636" s="167">
        <f>IFERROR((HLOOKUP($AH636,Target_monthwise!$D$4:$O$20,DTR!R$4,FALSE))*1000,0)</f>
        <v>0</v>
      </c>
      <c r="S636" s="239">
        <f>IFERROR((HLOOKUP($AH636,Target_monthwise!$D$24:$O$40,DTR!S$4,FALSE)),0)</f>
        <v>0</v>
      </c>
      <c r="T636" s="239">
        <f>IFERROR((HLOOKUP($AH636,Target_monthwise!$D$24:$O$40,DTR!T$4,FALSE)),0)</f>
        <v>0</v>
      </c>
      <c r="U636" s="239">
        <f>IFERROR((HLOOKUP($AH636,Target_monthwise!$D$24:$O$40,DTR!U$4,FALSE)),0)</f>
        <v>0</v>
      </c>
      <c r="V636" s="239">
        <f>IFERROR((HLOOKUP($AH636,Target_monthwise!$D$24:$O$40,DTR!V$4,FALSE)),0)</f>
        <v>0</v>
      </c>
      <c r="W636" s="239">
        <f>IFERROR((HLOOKUP($AH636,Target_monthwise!$D$24:$O$40,DTR!W$4,FALSE)),0)</f>
        <v>0</v>
      </c>
      <c r="X636" s="239">
        <f>IFERROR((HLOOKUP($AH636,Target_monthwise!$D$24:$O$40,DTR!X$4,FALSE)),0)</f>
        <v>0</v>
      </c>
      <c r="Y636" s="239">
        <f>IFERROR((HLOOKUP($AH636,Target_monthwise!$D$24:$O$40,DTR!Y$4,FALSE)),0)</f>
        <v>0</v>
      </c>
      <c r="Z636" s="147">
        <f>IFERROR((HLOOKUP($AH636,Target_monthwise!$D$24:$O$40,DTR!Z$4,FALSE)),0)</f>
        <v>0</v>
      </c>
      <c r="AA636" s="147">
        <f>IFERROR((HLOOKUP($AH636,Target_monthwise!$D$24:$O$40,DTR!AA$4,FALSE)),0)</f>
        <v>0</v>
      </c>
      <c r="AB636" s="147">
        <f>IFERROR((HLOOKUP($AH636,Target_monthwise!$D$24:$O$40,DTR!AB$4,FALSE)),0)</f>
        <v>0</v>
      </c>
      <c r="AC636" s="239">
        <f>IFERROR((HLOOKUP($AH636,Target_monthwise!$D$24:$O$40,DTR!AC$4,FALSE)),0)</f>
        <v>0</v>
      </c>
      <c r="AD636" s="239">
        <f>IFERROR((HLOOKUP($AH636,Target_monthwise!$D$24:$O$40,DTR!AD$4,FALSE)),0)</f>
        <v>0</v>
      </c>
      <c r="AE636" s="239">
        <f>IFERROR((HLOOKUP($AH636,Target_monthwise!$D$24:$O$40,DTR!AE$4,FALSE)),0)</f>
        <v>0</v>
      </c>
      <c r="AF636" s="239">
        <f>IFERROR((HLOOKUP($AH636,Target_monthwise!$D$24:$O$40,DTR!AF$4,FALSE)),0)</f>
        <v>0</v>
      </c>
      <c r="AG636" s="172">
        <f>IFERROR((HLOOKUP($AH636,Target_monthwise!$D$24:$O$40,DTR!AG$4,FALSE)),0)</f>
        <v>0</v>
      </c>
      <c r="AH636" s="253">
        <f t="shared" si="12"/>
        <v>202312</v>
      </c>
    </row>
    <row r="637" spans="3:34" ht="15.75" hidden="1">
      <c r="C637" s="235">
        <v>45280</v>
      </c>
      <c r="D637" s="141">
        <f>IFERROR((HLOOKUP($AH637,Target_monthwise!$D$4:$O$20,DTR!D$4,FALSE))*1000,0)</f>
        <v>0</v>
      </c>
      <c r="E637" s="141">
        <f>IFERROR((HLOOKUP($AH637,Target_monthwise!$D$4:$O$20,DTR!E$4,FALSE))*1000,0)</f>
        <v>0</v>
      </c>
      <c r="F637" s="141">
        <f>IFERROR((HLOOKUP($AH637,Target_monthwise!$D$4:$O$20,DTR!F$4,FALSE))*1000,0)</f>
        <v>0</v>
      </c>
      <c r="G637" s="141">
        <f>IFERROR((HLOOKUP($AH637,Target_monthwise!$D$4:$O$20,DTR!G$4,FALSE))*1000,0)</f>
        <v>0</v>
      </c>
      <c r="H637" s="141">
        <f>IFERROR((HLOOKUP($AH637,Target_monthwise!$D$4:$O$20,DTR!H$4,FALSE))*1000,0)</f>
        <v>0</v>
      </c>
      <c r="I637" s="141">
        <f>IFERROR((HLOOKUP($AH637,Target_monthwise!$D$4:$O$20,DTR!I$4,FALSE))*1000,0)</f>
        <v>0</v>
      </c>
      <c r="J637" s="141">
        <f>IFERROR((HLOOKUP($AH637,Target_monthwise!$D$4:$O$20,DTR!J$4,FALSE))*1000,0)</f>
        <v>0</v>
      </c>
      <c r="K637" s="141">
        <f>IFERROR((HLOOKUP($AH637,Target_monthwise!$D$4:$O$20,DTR!K$4,FALSE))*1000,0)</f>
        <v>0</v>
      </c>
      <c r="L637" s="141">
        <f>IFERROR((HLOOKUP($AH637,Target_monthwise!$D$4:$O$20,DTR!L$4,FALSE))*1000,0)</f>
        <v>0</v>
      </c>
      <c r="M637" s="141">
        <f>IFERROR((HLOOKUP($AH637,Target_monthwise!$D$4:$O$20,DTR!M$4,FALSE))*1000,0)</f>
        <v>0</v>
      </c>
      <c r="N637" s="141">
        <f>IFERROR((HLOOKUP($AH637,Target_monthwise!$D$4:$O$20,DTR!N$4,FALSE))*1000,0)</f>
        <v>0</v>
      </c>
      <c r="O637" s="141">
        <f>IFERROR((HLOOKUP($AH637,Target_monthwise!$D$4:$O$20,DTR!O$4,FALSE))*1000,0)</f>
        <v>0</v>
      </c>
      <c r="P637" s="141">
        <f>IFERROR((HLOOKUP($AH637,Target_monthwise!$D$4:$O$20,DTR!P$4,FALSE))*1000,0)</f>
        <v>0</v>
      </c>
      <c r="Q637" s="141">
        <f>IFERROR((HLOOKUP($AH637,Target_monthwise!$D$4:$O$20,DTR!Q$4,FALSE))*1000,0)</f>
        <v>0</v>
      </c>
      <c r="R637" s="167">
        <f>IFERROR((HLOOKUP($AH637,Target_monthwise!$D$4:$O$20,DTR!R$4,FALSE))*1000,0)</f>
        <v>0</v>
      </c>
      <c r="S637" s="147">
        <f>IFERROR((HLOOKUP($AH637,Target_monthwise!$D$24:$O$40,DTR!S$4,FALSE)),0)</f>
        <v>0</v>
      </c>
      <c r="T637" s="147">
        <f>IFERROR((HLOOKUP($AH637,Target_monthwise!$D$24:$O$40,DTR!T$4,FALSE)),0)</f>
        <v>0</v>
      </c>
      <c r="U637" s="147">
        <f>IFERROR((HLOOKUP($AH637,Target_monthwise!$D$24:$O$40,DTR!U$4,FALSE)),0)</f>
        <v>0</v>
      </c>
      <c r="V637" s="147">
        <f>IFERROR((HLOOKUP($AH637,Target_monthwise!$D$24:$O$40,DTR!V$4,FALSE)),0)</f>
        <v>0</v>
      </c>
      <c r="W637" s="147">
        <f>IFERROR((HLOOKUP($AH637,Target_monthwise!$D$24:$O$40,DTR!W$4,FALSE)),0)</f>
        <v>0</v>
      </c>
      <c r="X637" s="147">
        <f>IFERROR((HLOOKUP($AH637,Target_monthwise!$D$24:$O$40,DTR!X$4,FALSE)),0)</f>
        <v>0</v>
      </c>
      <c r="Y637" s="147">
        <f>IFERROR((HLOOKUP($AH637,Target_monthwise!$D$24:$O$40,DTR!Y$4,FALSE)),0)</f>
        <v>0</v>
      </c>
      <c r="Z637" s="147">
        <f>IFERROR((HLOOKUP($AH637,Target_monthwise!$D$24:$O$40,DTR!Z$4,FALSE)),0)</f>
        <v>0</v>
      </c>
      <c r="AA637" s="147">
        <f>IFERROR((HLOOKUP($AH637,Target_monthwise!$D$24:$O$40,DTR!AA$4,FALSE)),0)</f>
        <v>0</v>
      </c>
      <c r="AB637" s="147">
        <f>IFERROR((HLOOKUP($AH637,Target_monthwise!$D$24:$O$40,DTR!AB$4,FALSE)),0)</f>
        <v>0</v>
      </c>
      <c r="AC637" s="147">
        <f>IFERROR((HLOOKUP($AH637,Target_monthwise!$D$24:$O$40,DTR!AC$4,FALSE)),0)</f>
        <v>0</v>
      </c>
      <c r="AD637" s="147">
        <f>IFERROR((HLOOKUP($AH637,Target_monthwise!$D$24:$O$40,DTR!AD$4,FALSE)),0)</f>
        <v>0</v>
      </c>
      <c r="AE637" s="147">
        <f>IFERROR((HLOOKUP($AH637,Target_monthwise!$D$24:$O$40,DTR!AE$4,FALSE)),0)</f>
        <v>0</v>
      </c>
      <c r="AF637" s="147">
        <f>IFERROR((HLOOKUP($AH637,Target_monthwise!$D$24:$O$40,DTR!AF$4,FALSE)),0)</f>
        <v>0</v>
      </c>
      <c r="AG637" s="172">
        <f>IFERROR((HLOOKUP($AH637,Target_monthwise!$D$24:$O$40,DTR!AG$4,FALSE)),0)</f>
        <v>0</v>
      </c>
      <c r="AH637" s="253">
        <f t="shared" si="12"/>
        <v>202312</v>
      </c>
    </row>
    <row r="638" spans="3:34" ht="15.75" hidden="1">
      <c r="C638" s="237">
        <v>45281</v>
      </c>
      <c r="D638" s="238">
        <f>IFERROR((HLOOKUP($AH638,Target_monthwise!$D$4:$O$20,DTR!D$4,FALSE))*1000,0)</f>
        <v>0</v>
      </c>
      <c r="E638" s="238">
        <f>IFERROR((HLOOKUP($AH638,Target_monthwise!$D$4:$O$20,DTR!E$4,FALSE))*1000,0)</f>
        <v>0</v>
      </c>
      <c r="F638" s="238">
        <f>IFERROR((HLOOKUP($AH638,Target_monthwise!$D$4:$O$20,DTR!F$4,FALSE))*1000,0)</f>
        <v>0</v>
      </c>
      <c r="G638" s="238">
        <f>IFERROR((HLOOKUP($AH638,Target_monthwise!$D$4:$O$20,DTR!G$4,FALSE))*1000,0)</f>
        <v>0</v>
      </c>
      <c r="H638" s="238">
        <f>IFERROR((HLOOKUP($AH638,Target_monthwise!$D$4:$O$20,DTR!H$4,FALSE))*1000,0)</f>
        <v>0</v>
      </c>
      <c r="I638" s="238">
        <f>IFERROR((HLOOKUP($AH638,Target_monthwise!$D$4:$O$20,DTR!I$4,FALSE))*1000,0)</f>
        <v>0</v>
      </c>
      <c r="J638" s="238">
        <f>IFERROR((HLOOKUP($AH638,Target_monthwise!$D$4:$O$20,DTR!J$4,FALSE))*1000,0)</f>
        <v>0</v>
      </c>
      <c r="K638" s="238">
        <f>IFERROR((HLOOKUP($AH638,Target_monthwise!$D$4:$O$20,DTR!K$4,FALSE))*1000,0)</f>
        <v>0</v>
      </c>
      <c r="L638" s="238">
        <f>IFERROR((HLOOKUP($AH638,Target_monthwise!$D$4:$O$20,DTR!L$4,FALSE))*1000,0)</f>
        <v>0</v>
      </c>
      <c r="M638" s="238">
        <f>IFERROR((HLOOKUP($AH638,Target_monthwise!$D$4:$O$20,DTR!M$4,FALSE))*1000,0)</f>
        <v>0</v>
      </c>
      <c r="N638" s="238">
        <f>IFERROR((HLOOKUP($AH638,Target_monthwise!$D$4:$O$20,DTR!N$4,FALSE))*1000,0)</f>
        <v>0</v>
      </c>
      <c r="O638" s="238">
        <f>IFERROR((HLOOKUP($AH638,Target_monthwise!$D$4:$O$20,DTR!O$4,FALSE))*1000,0)</f>
        <v>0</v>
      </c>
      <c r="P638" s="238">
        <f>IFERROR((HLOOKUP($AH638,Target_monthwise!$D$4:$O$20,DTR!P$4,FALSE))*1000,0)</f>
        <v>0</v>
      </c>
      <c r="Q638" s="141">
        <f>IFERROR((HLOOKUP($AH638,Target_monthwise!$D$4:$O$20,DTR!Q$4,FALSE))*1000,0)</f>
        <v>0</v>
      </c>
      <c r="R638" s="167">
        <f>IFERROR((HLOOKUP($AH638,Target_monthwise!$D$4:$O$20,DTR!R$4,FALSE))*1000,0)</f>
        <v>0</v>
      </c>
      <c r="S638" s="239">
        <f>IFERROR((HLOOKUP($AH638,Target_monthwise!$D$24:$O$40,DTR!S$4,FALSE)),0)</f>
        <v>0</v>
      </c>
      <c r="T638" s="239">
        <f>IFERROR((HLOOKUP($AH638,Target_monthwise!$D$24:$O$40,DTR!T$4,FALSE)),0)</f>
        <v>0</v>
      </c>
      <c r="U638" s="239">
        <f>IFERROR((HLOOKUP($AH638,Target_monthwise!$D$24:$O$40,DTR!U$4,FALSE)),0)</f>
        <v>0</v>
      </c>
      <c r="V638" s="239">
        <f>IFERROR((HLOOKUP($AH638,Target_monthwise!$D$24:$O$40,DTR!V$4,FALSE)),0)</f>
        <v>0</v>
      </c>
      <c r="W638" s="239">
        <f>IFERROR((HLOOKUP($AH638,Target_monthwise!$D$24:$O$40,DTR!W$4,FALSE)),0)</f>
        <v>0</v>
      </c>
      <c r="X638" s="239">
        <f>IFERROR((HLOOKUP($AH638,Target_monthwise!$D$24:$O$40,DTR!X$4,FALSE)),0)</f>
        <v>0</v>
      </c>
      <c r="Y638" s="239">
        <f>IFERROR((HLOOKUP($AH638,Target_monthwise!$D$24:$O$40,DTR!Y$4,FALSE)),0)</f>
        <v>0</v>
      </c>
      <c r="Z638" s="147">
        <f>IFERROR((HLOOKUP($AH638,Target_monthwise!$D$24:$O$40,DTR!Z$4,FALSE)),0)</f>
        <v>0</v>
      </c>
      <c r="AA638" s="147">
        <f>IFERROR((HLOOKUP($AH638,Target_monthwise!$D$24:$O$40,DTR!AA$4,FALSE)),0)</f>
        <v>0</v>
      </c>
      <c r="AB638" s="147">
        <f>IFERROR((HLOOKUP($AH638,Target_monthwise!$D$24:$O$40,DTR!AB$4,FALSE)),0)</f>
        <v>0</v>
      </c>
      <c r="AC638" s="239">
        <f>IFERROR((HLOOKUP($AH638,Target_monthwise!$D$24:$O$40,DTR!AC$4,FALSE)),0)</f>
        <v>0</v>
      </c>
      <c r="AD638" s="239">
        <f>IFERROR((HLOOKUP($AH638,Target_monthwise!$D$24:$O$40,DTR!AD$4,FALSE)),0)</f>
        <v>0</v>
      </c>
      <c r="AE638" s="239">
        <f>IFERROR((HLOOKUP($AH638,Target_monthwise!$D$24:$O$40,DTR!AE$4,FALSE)),0)</f>
        <v>0</v>
      </c>
      <c r="AF638" s="239">
        <f>IFERROR((HLOOKUP($AH638,Target_monthwise!$D$24:$O$40,DTR!AF$4,FALSE)),0)</f>
        <v>0</v>
      </c>
      <c r="AG638" s="172">
        <f>IFERROR((HLOOKUP($AH638,Target_monthwise!$D$24:$O$40,DTR!AG$4,FALSE)),0)</f>
        <v>0</v>
      </c>
      <c r="AH638" s="253">
        <f t="shared" si="12"/>
        <v>202312</v>
      </c>
    </row>
    <row r="639" spans="3:34" ht="15.75" hidden="1">
      <c r="C639" s="235">
        <v>45282</v>
      </c>
      <c r="D639" s="141">
        <f>IFERROR((HLOOKUP($AH639,Target_monthwise!$D$4:$O$20,DTR!D$4,FALSE))*1000,0)</f>
        <v>0</v>
      </c>
      <c r="E639" s="141">
        <f>IFERROR((HLOOKUP($AH639,Target_monthwise!$D$4:$O$20,DTR!E$4,FALSE))*1000,0)</f>
        <v>0</v>
      </c>
      <c r="F639" s="141">
        <f>IFERROR((HLOOKUP($AH639,Target_monthwise!$D$4:$O$20,DTR!F$4,FALSE))*1000,0)</f>
        <v>0</v>
      </c>
      <c r="G639" s="141">
        <f>IFERROR((HLOOKUP($AH639,Target_monthwise!$D$4:$O$20,DTR!G$4,FALSE))*1000,0)</f>
        <v>0</v>
      </c>
      <c r="H639" s="141">
        <f>IFERROR((HLOOKUP($AH639,Target_monthwise!$D$4:$O$20,DTR!H$4,FALSE))*1000,0)</f>
        <v>0</v>
      </c>
      <c r="I639" s="141">
        <f>IFERROR((HLOOKUP($AH639,Target_monthwise!$D$4:$O$20,DTR!I$4,FALSE))*1000,0)</f>
        <v>0</v>
      </c>
      <c r="J639" s="141">
        <f>IFERROR((HLOOKUP($AH639,Target_monthwise!$D$4:$O$20,DTR!J$4,FALSE))*1000,0)</f>
        <v>0</v>
      </c>
      <c r="K639" s="141">
        <f>IFERROR((HLOOKUP($AH639,Target_monthwise!$D$4:$O$20,DTR!K$4,FALSE))*1000,0)</f>
        <v>0</v>
      </c>
      <c r="L639" s="141">
        <f>IFERROR((HLOOKUP($AH639,Target_monthwise!$D$4:$O$20,DTR!L$4,FALSE))*1000,0)</f>
        <v>0</v>
      </c>
      <c r="M639" s="141">
        <f>IFERROR((HLOOKUP($AH639,Target_monthwise!$D$4:$O$20,DTR!M$4,FALSE))*1000,0)</f>
        <v>0</v>
      </c>
      <c r="N639" s="141">
        <f>IFERROR((HLOOKUP($AH639,Target_monthwise!$D$4:$O$20,DTR!N$4,FALSE))*1000,0)</f>
        <v>0</v>
      </c>
      <c r="O639" s="141">
        <f>IFERROR((HLOOKUP($AH639,Target_monthwise!$D$4:$O$20,DTR!O$4,FALSE))*1000,0)</f>
        <v>0</v>
      </c>
      <c r="P639" s="141">
        <f>IFERROR((HLOOKUP($AH639,Target_monthwise!$D$4:$O$20,DTR!P$4,FALSE))*1000,0)</f>
        <v>0</v>
      </c>
      <c r="Q639" s="141">
        <f>IFERROR((HLOOKUP($AH639,Target_monthwise!$D$4:$O$20,DTR!Q$4,FALSE))*1000,0)</f>
        <v>0</v>
      </c>
      <c r="R639" s="167">
        <f>IFERROR((HLOOKUP($AH639,Target_monthwise!$D$4:$O$20,DTR!R$4,FALSE))*1000,0)</f>
        <v>0</v>
      </c>
      <c r="S639" s="147">
        <f>IFERROR((HLOOKUP($AH639,Target_monthwise!$D$24:$O$40,DTR!S$4,FALSE)),0)</f>
        <v>0</v>
      </c>
      <c r="T639" s="147">
        <f>IFERROR((HLOOKUP($AH639,Target_monthwise!$D$24:$O$40,DTR!T$4,FALSE)),0)</f>
        <v>0</v>
      </c>
      <c r="U639" s="147">
        <f>IFERROR((HLOOKUP($AH639,Target_monthwise!$D$24:$O$40,DTR!U$4,FALSE)),0)</f>
        <v>0</v>
      </c>
      <c r="V639" s="147">
        <f>IFERROR((HLOOKUP($AH639,Target_monthwise!$D$24:$O$40,DTR!V$4,FALSE)),0)</f>
        <v>0</v>
      </c>
      <c r="W639" s="147">
        <f>IFERROR((HLOOKUP($AH639,Target_monthwise!$D$24:$O$40,DTR!W$4,FALSE)),0)</f>
        <v>0</v>
      </c>
      <c r="X639" s="147">
        <f>IFERROR((HLOOKUP($AH639,Target_monthwise!$D$24:$O$40,DTR!X$4,FALSE)),0)</f>
        <v>0</v>
      </c>
      <c r="Y639" s="147">
        <f>IFERROR((HLOOKUP($AH639,Target_monthwise!$D$24:$O$40,DTR!Y$4,FALSE)),0)</f>
        <v>0</v>
      </c>
      <c r="Z639" s="147">
        <f>IFERROR((HLOOKUP($AH639,Target_monthwise!$D$24:$O$40,DTR!Z$4,FALSE)),0)</f>
        <v>0</v>
      </c>
      <c r="AA639" s="147">
        <f>IFERROR((HLOOKUP($AH639,Target_monthwise!$D$24:$O$40,DTR!AA$4,FALSE)),0)</f>
        <v>0</v>
      </c>
      <c r="AB639" s="147">
        <f>IFERROR((HLOOKUP($AH639,Target_monthwise!$D$24:$O$40,DTR!AB$4,FALSE)),0)</f>
        <v>0</v>
      </c>
      <c r="AC639" s="147">
        <f>IFERROR((HLOOKUP($AH639,Target_monthwise!$D$24:$O$40,DTR!AC$4,FALSE)),0)</f>
        <v>0</v>
      </c>
      <c r="AD639" s="147">
        <f>IFERROR((HLOOKUP($AH639,Target_monthwise!$D$24:$O$40,DTR!AD$4,FALSE)),0)</f>
        <v>0</v>
      </c>
      <c r="AE639" s="147">
        <f>IFERROR((HLOOKUP($AH639,Target_monthwise!$D$24:$O$40,DTR!AE$4,FALSE)),0)</f>
        <v>0</v>
      </c>
      <c r="AF639" s="147">
        <f>IFERROR((HLOOKUP($AH639,Target_monthwise!$D$24:$O$40,DTR!AF$4,FALSE)),0)</f>
        <v>0</v>
      </c>
      <c r="AG639" s="172">
        <f>IFERROR((HLOOKUP($AH639,Target_monthwise!$D$24:$O$40,DTR!AG$4,FALSE)),0)</f>
        <v>0</v>
      </c>
      <c r="AH639" s="253">
        <f t="shared" si="12"/>
        <v>202312</v>
      </c>
    </row>
    <row r="640" spans="3:34" ht="15.75" hidden="1">
      <c r="C640" s="237">
        <v>45283</v>
      </c>
      <c r="D640" s="238">
        <f>IFERROR((HLOOKUP($AH640,Target_monthwise!$D$4:$O$20,DTR!D$4,FALSE))*1000,0)</f>
        <v>0</v>
      </c>
      <c r="E640" s="238">
        <f>IFERROR((HLOOKUP($AH640,Target_monthwise!$D$4:$O$20,DTR!E$4,FALSE))*1000,0)</f>
        <v>0</v>
      </c>
      <c r="F640" s="238">
        <f>IFERROR((HLOOKUP($AH640,Target_monthwise!$D$4:$O$20,DTR!F$4,FALSE))*1000,0)</f>
        <v>0</v>
      </c>
      <c r="G640" s="238">
        <f>IFERROR((HLOOKUP($AH640,Target_monthwise!$D$4:$O$20,DTR!G$4,FALSE))*1000,0)</f>
        <v>0</v>
      </c>
      <c r="H640" s="238">
        <f>IFERROR((HLOOKUP($AH640,Target_monthwise!$D$4:$O$20,DTR!H$4,FALSE))*1000,0)</f>
        <v>0</v>
      </c>
      <c r="I640" s="238">
        <f>IFERROR((HLOOKUP($AH640,Target_monthwise!$D$4:$O$20,DTR!I$4,FALSE))*1000,0)</f>
        <v>0</v>
      </c>
      <c r="J640" s="238">
        <f>IFERROR((HLOOKUP($AH640,Target_monthwise!$D$4:$O$20,DTR!J$4,FALSE))*1000,0)</f>
        <v>0</v>
      </c>
      <c r="K640" s="238">
        <f>IFERROR((HLOOKUP($AH640,Target_monthwise!$D$4:$O$20,DTR!K$4,FALSE))*1000,0)</f>
        <v>0</v>
      </c>
      <c r="L640" s="238">
        <f>IFERROR((HLOOKUP($AH640,Target_monthwise!$D$4:$O$20,DTR!L$4,FALSE))*1000,0)</f>
        <v>0</v>
      </c>
      <c r="M640" s="238">
        <f>IFERROR((HLOOKUP($AH640,Target_monthwise!$D$4:$O$20,DTR!M$4,FALSE))*1000,0)</f>
        <v>0</v>
      </c>
      <c r="N640" s="238">
        <f>IFERROR((HLOOKUP($AH640,Target_monthwise!$D$4:$O$20,DTR!N$4,FALSE))*1000,0)</f>
        <v>0</v>
      </c>
      <c r="O640" s="238">
        <f>IFERROR((HLOOKUP($AH640,Target_monthwise!$D$4:$O$20,DTR!O$4,FALSE))*1000,0)</f>
        <v>0</v>
      </c>
      <c r="P640" s="238">
        <f>IFERROR((HLOOKUP($AH640,Target_monthwise!$D$4:$O$20,DTR!P$4,FALSE))*1000,0)</f>
        <v>0</v>
      </c>
      <c r="Q640" s="141">
        <f>IFERROR((HLOOKUP($AH640,Target_monthwise!$D$4:$O$20,DTR!Q$4,FALSE))*1000,0)</f>
        <v>0</v>
      </c>
      <c r="R640" s="167">
        <f>IFERROR((HLOOKUP($AH640,Target_monthwise!$D$4:$O$20,DTR!R$4,FALSE))*1000,0)</f>
        <v>0</v>
      </c>
      <c r="S640" s="239">
        <f>IFERROR((HLOOKUP($AH640,Target_monthwise!$D$24:$O$40,DTR!S$4,FALSE)),0)</f>
        <v>0</v>
      </c>
      <c r="T640" s="239">
        <f>IFERROR((HLOOKUP($AH640,Target_monthwise!$D$24:$O$40,DTR!T$4,FALSE)),0)</f>
        <v>0</v>
      </c>
      <c r="U640" s="239">
        <f>IFERROR((HLOOKUP($AH640,Target_monthwise!$D$24:$O$40,DTR!U$4,FALSE)),0)</f>
        <v>0</v>
      </c>
      <c r="V640" s="239">
        <f>IFERROR((HLOOKUP($AH640,Target_monthwise!$D$24:$O$40,DTR!V$4,FALSE)),0)</f>
        <v>0</v>
      </c>
      <c r="W640" s="239">
        <f>IFERROR((HLOOKUP($AH640,Target_monthwise!$D$24:$O$40,DTR!W$4,FALSE)),0)</f>
        <v>0</v>
      </c>
      <c r="X640" s="239">
        <f>IFERROR((HLOOKUP($AH640,Target_monthwise!$D$24:$O$40,DTR!X$4,FALSE)),0)</f>
        <v>0</v>
      </c>
      <c r="Y640" s="239">
        <f>IFERROR((HLOOKUP($AH640,Target_monthwise!$D$24:$O$40,DTR!Y$4,FALSE)),0)</f>
        <v>0</v>
      </c>
      <c r="Z640" s="147">
        <f>IFERROR((HLOOKUP($AH640,Target_monthwise!$D$24:$O$40,DTR!Z$4,FALSE)),0)</f>
        <v>0</v>
      </c>
      <c r="AA640" s="147">
        <f>IFERROR((HLOOKUP($AH640,Target_monthwise!$D$24:$O$40,DTR!AA$4,FALSE)),0)</f>
        <v>0</v>
      </c>
      <c r="AB640" s="147">
        <f>IFERROR((HLOOKUP($AH640,Target_monthwise!$D$24:$O$40,DTR!AB$4,FALSE)),0)</f>
        <v>0</v>
      </c>
      <c r="AC640" s="239">
        <f>IFERROR((HLOOKUP($AH640,Target_monthwise!$D$24:$O$40,DTR!AC$4,FALSE)),0)</f>
        <v>0</v>
      </c>
      <c r="AD640" s="239">
        <f>IFERROR((HLOOKUP($AH640,Target_monthwise!$D$24:$O$40,DTR!AD$4,FALSE)),0)</f>
        <v>0</v>
      </c>
      <c r="AE640" s="239">
        <f>IFERROR((HLOOKUP($AH640,Target_monthwise!$D$24:$O$40,DTR!AE$4,FALSE)),0)</f>
        <v>0</v>
      </c>
      <c r="AF640" s="239">
        <f>IFERROR((HLOOKUP($AH640,Target_monthwise!$D$24:$O$40,DTR!AF$4,FALSE)),0)</f>
        <v>0</v>
      </c>
      <c r="AG640" s="172">
        <f>IFERROR((HLOOKUP($AH640,Target_monthwise!$D$24:$O$40,DTR!AG$4,FALSE)),0)</f>
        <v>0</v>
      </c>
      <c r="AH640" s="253">
        <f t="shared" si="12"/>
        <v>202312</v>
      </c>
    </row>
    <row r="641" spans="3:34" ht="15.75" hidden="1">
      <c r="C641" s="235">
        <v>45284</v>
      </c>
      <c r="D641" s="141">
        <f>IFERROR((HLOOKUP($AH641,Target_monthwise!$D$4:$O$20,DTR!D$4,FALSE))*1000,0)</f>
        <v>0</v>
      </c>
      <c r="E641" s="141">
        <f>IFERROR((HLOOKUP($AH641,Target_monthwise!$D$4:$O$20,DTR!E$4,FALSE))*1000,0)</f>
        <v>0</v>
      </c>
      <c r="F641" s="141">
        <f>IFERROR((HLOOKUP($AH641,Target_monthwise!$D$4:$O$20,DTR!F$4,FALSE))*1000,0)</f>
        <v>0</v>
      </c>
      <c r="G641" s="141">
        <f>IFERROR((HLOOKUP($AH641,Target_monthwise!$D$4:$O$20,DTR!G$4,FALSE))*1000,0)</f>
        <v>0</v>
      </c>
      <c r="H641" s="141">
        <f>IFERROR((HLOOKUP($AH641,Target_monthwise!$D$4:$O$20,DTR!H$4,FALSE))*1000,0)</f>
        <v>0</v>
      </c>
      <c r="I641" s="141">
        <f>IFERROR((HLOOKUP($AH641,Target_monthwise!$D$4:$O$20,DTR!I$4,FALSE))*1000,0)</f>
        <v>0</v>
      </c>
      <c r="J641" s="141">
        <f>IFERROR((HLOOKUP($AH641,Target_monthwise!$D$4:$O$20,DTR!J$4,FALSE))*1000,0)</f>
        <v>0</v>
      </c>
      <c r="K641" s="141">
        <f>IFERROR((HLOOKUP($AH641,Target_monthwise!$D$4:$O$20,DTR!K$4,FALSE))*1000,0)</f>
        <v>0</v>
      </c>
      <c r="L641" s="141">
        <f>IFERROR((HLOOKUP($AH641,Target_monthwise!$D$4:$O$20,DTR!L$4,FALSE))*1000,0)</f>
        <v>0</v>
      </c>
      <c r="M641" s="141">
        <f>IFERROR((HLOOKUP($AH641,Target_monthwise!$D$4:$O$20,DTR!M$4,FALSE))*1000,0)</f>
        <v>0</v>
      </c>
      <c r="N641" s="141">
        <f>IFERROR((HLOOKUP($AH641,Target_monthwise!$D$4:$O$20,DTR!N$4,FALSE))*1000,0)</f>
        <v>0</v>
      </c>
      <c r="O641" s="141">
        <f>IFERROR((HLOOKUP($AH641,Target_monthwise!$D$4:$O$20,DTR!O$4,FALSE))*1000,0)</f>
        <v>0</v>
      </c>
      <c r="P641" s="141">
        <f>IFERROR((HLOOKUP($AH641,Target_monthwise!$D$4:$O$20,DTR!P$4,FALSE))*1000,0)</f>
        <v>0</v>
      </c>
      <c r="Q641" s="141">
        <f>IFERROR((HLOOKUP($AH641,Target_monthwise!$D$4:$O$20,DTR!Q$4,FALSE))*1000,0)</f>
        <v>0</v>
      </c>
      <c r="R641" s="167">
        <f>IFERROR((HLOOKUP($AH641,Target_monthwise!$D$4:$O$20,DTR!R$4,FALSE))*1000,0)</f>
        <v>0</v>
      </c>
      <c r="S641" s="147">
        <f>IFERROR((HLOOKUP($AH641,Target_monthwise!$D$24:$O$40,DTR!S$4,FALSE)),0)</f>
        <v>0</v>
      </c>
      <c r="T641" s="147">
        <f>IFERROR((HLOOKUP($AH641,Target_monthwise!$D$24:$O$40,DTR!T$4,FALSE)),0)</f>
        <v>0</v>
      </c>
      <c r="U641" s="147">
        <f>IFERROR((HLOOKUP($AH641,Target_monthwise!$D$24:$O$40,DTR!U$4,FALSE)),0)</f>
        <v>0</v>
      </c>
      <c r="V641" s="147">
        <f>IFERROR((HLOOKUP($AH641,Target_monthwise!$D$24:$O$40,DTR!V$4,FALSE)),0)</f>
        <v>0</v>
      </c>
      <c r="W641" s="147">
        <f>IFERROR((HLOOKUP($AH641,Target_monthwise!$D$24:$O$40,DTR!W$4,FALSE)),0)</f>
        <v>0</v>
      </c>
      <c r="X641" s="147">
        <f>IFERROR((HLOOKUP($AH641,Target_monthwise!$D$24:$O$40,DTR!X$4,FALSE)),0)</f>
        <v>0</v>
      </c>
      <c r="Y641" s="147">
        <f>IFERROR((HLOOKUP($AH641,Target_monthwise!$D$24:$O$40,DTR!Y$4,FALSE)),0)</f>
        <v>0</v>
      </c>
      <c r="Z641" s="147">
        <f>IFERROR((HLOOKUP($AH641,Target_monthwise!$D$24:$O$40,DTR!Z$4,FALSE)),0)</f>
        <v>0</v>
      </c>
      <c r="AA641" s="147">
        <f>IFERROR((HLOOKUP($AH641,Target_monthwise!$D$24:$O$40,DTR!AA$4,FALSE)),0)</f>
        <v>0</v>
      </c>
      <c r="AB641" s="147">
        <f>IFERROR((HLOOKUP($AH641,Target_monthwise!$D$24:$O$40,DTR!AB$4,FALSE)),0)</f>
        <v>0</v>
      </c>
      <c r="AC641" s="147">
        <f>IFERROR((HLOOKUP($AH641,Target_monthwise!$D$24:$O$40,DTR!AC$4,FALSE)),0)</f>
        <v>0</v>
      </c>
      <c r="AD641" s="147">
        <f>IFERROR((HLOOKUP($AH641,Target_monthwise!$D$24:$O$40,DTR!AD$4,FALSE)),0)</f>
        <v>0</v>
      </c>
      <c r="AE641" s="147">
        <f>IFERROR((HLOOKUP($AH641,Target_monthwise!$D$24:$O$40,DTR!AE$4,FALSE)),0)</f>
        <v>0</v>
      </c>
      <c r="AF641" s="147">
        <f>IFERROR((HLOOKUP($AH641,Target_monthwise!$D$24:$O$40,DTR!AF$4,FALSE)),0)</f>
        <v>0</v>
      </c>
      <c r="AG641" s="172">
        <f>IFERROR((HLOOKUP($AH641,Target_monthwise!$D$24:$O$40,DTR!AG$4,FALSE)),0)</f>
        <v>0</v>
      </c>
      <c r="AH641" s="253">
        <f t="shared" si="12"/>
        <v>202312</v>
      </c>
    </row>
    <row r="642" spans="3:34" ht="15.75" hidden="1">
      <c r="C642" s="237">
        <v>45285</v>
      </c>
      <c r="D642" s="238">
        <f>IFERROR((HLOOKUP($AH642,Target_monthwise!$D$4:$O$20,DTR!D$4,FALSE))*1000,0)</f>
        <v>0</v>
      </c>
      <c r="E642" s="238">
        <f>IFERROR((HLOOKUP($AH642,Target_monthwise!$D$4:$O$20,DTR!E$4,FALSE))*1000,0)</f>
        <v>0</v>
      </c>
      <c r="F642" s="238">
        <f>IFERROR((HLOOKUP($AH642,Target_monthwise!$D$4:$O$20,DTR!F$4,FALSE))*1000,0)</f>
        <v>0</v>
      </c>
      <c r="G642" s="238">
        <f>IFERROR((HLOOKUP($AH642,Target_monthwise!$D$4:$O$20,DTR!G$4,FALSE))*1000,0)</f>
        <v>0</v>
      </c>
      <c r="H642" s="238">
        <f>IFERROR((HLOOKUP($AH642,Target_monthwise!$D$4:$O$20,DTR!H$4,FALSE))*1000,0)</f>
        <v>0</v>
      </c>
      <c r="I642" s="238">
        <f>IFERROR((HLOOKUP($AH642,Target_monthwise!$D$4:$O$20,DTR!I$4,FALSE))*1000,0)</f>
        <v>0</v>
      </c>
      <c r="J642" s="238">
        <f>IFERROR((HLOOKUP($AH642,Target_monthwise!$D$4:$O$20,DTR!J$4,FALSE))*1000,0)</f>
        <v>0</v>
      </c>
      <c r="K642" s="238">
        <f>IFERROR((HLOOKUP($AH642,Target_monthwise!$D$4:$O$20,DTR!K$4,FALSE))*1000,0)</f>
        <v>0</v>
      </c>
      <c r="L642" s="238">
        <f>IFERROR((HLOOKUP($AH642,Target_monthwise!$D$4:$O$20,DTR!L$4,FALSE))*1000,0)</f>
        <v>0</v>
      </c>
      <c r="M642" s="238">
        <f>IFERROR((HLOOKUP($AH642,Target_monthwise!$D$4:$O$20,DTR!M$4,FALSE))*1000,0)</f>
        <v>0</v>
      </c>
      <c r="N642" s="238">
        <f>IFERROR((HLOOKUP($AH642,Target_monthwise!$D$4:$O$20,DTR!N$4,FALSE))*1000,0)</f>
        <v>0</v>
      </c>
      <c r="O642" s="238">
        <f>IFERROR((HLOOKUP($AH642,Target_monthwise!$D$4:$O$20,DTR!O$4,FALSE))*1000,0)</f>
        <v>0</v>
      </c>
      <c r="P642" s="238">
        <f>IFERROR((HLOOKUP($AH642,Target_monthwise!$D$4:$O$20,DTR!P$4,FALSE))*1000,0)</f>
        <v>0</v>
      </c>
      <c r="Q642" s="141">
        <f>IFERROR((HLOOKUP($AH642,Target_monthwise!$D$4:$O$20,DTR!Q$4,FALSE))*1000,0)</f>
        <v>0</v>
      </c>
      <c r="R642" s="167">
        <f>IFERROR((HLOOKUP($AH642,Target_monthwise!$D$4:$O$20,DTR!R$4,FALSE))*1000,0)</f>
        <v>0</v>
      </c>
      <c r="S642" s="239">
        <f>IFERROR((HLOOKUP($AH642,Target_monthwise!$D$24:$O$40,DTR!S$4,FALSE)),0)</f>
        <v>0</v>
      </c>
      <c r="T642" s="239">
        <f>IFERROR((HLOOKUP($AH642,Target_monthwise!$D$24:$O$40,DTR!T$4,FALSE)),0)</f>
        <v>0</v>
      </c>
      <c r="U642" s="239">
        <f>IFERROR((HLOOKUP($AH642,Target_monthwise!$D$24:$O$40,DTR!U$4,FALSE)),0)</f>
        <v>0</v>
      </c>
      <c r="V642" s="239">
        <f>IFERROR((HLOOKUP($AH642,Target_monthwise!$D$24:$O$40,DTR!V$4,FALSE)),0)</f>
        <v>0</v>
      </c>
      <c r="W642" s="239">
        <f>IFERROR((HLOOKUP($AH642,Target_monthwise!$D$24:$O$40,DTR!W$4,FALSE)),0)</f>
        <v>0</v>
      </c>
      <c r="X642" s="239">
        <f>IFERROR((HLOOKUP($AH642,Target_monthwise!$D$24:$O$40,DTR!X$4,FALSE)),0)</f>
        <v>0</v>
      </c>
      <c r="Y642" s="239">
        <f>IFERROR((HLOOKUP($AH642,Target_monthwise!$D$24:$O$40,DTR!Y$4,FALSE)),0)</f>
        <v>0</v>
      </c>
      <c r="Z642" s="147">
        <f>IFERROR((HLOOKUP($AH642,Target_monthwise!$D$24:$O$40,DTR!Z$4,FALSE)),0)</f>
        <v>0</v>
      </c>
      <c r="AA642" s="147">
        <f>IFERROR((HLOOKUP($AH642,Target_monthwise!$D$24:$O$40,DTR!AA$4,FALSE)),0)</f>
        <v>0</v>
      </c>
      <c r="AB642" s="147">
        <f>IFERROR((HLOOKUP($AH642,Target_monthwise!$D$24:$O$40,DTR!AB$4,FALSE)),0)</f>
        <v>0</v>
      </c>
      <c r="AC642" s="239">
        <f>IFERROR((HLOOKUP($AH642,Target_monthwise!$D$24:$O$40,DTR!AC$4,FALSE)),0)</f>
        <v>0</v>
      </c>
      <c r="AD642" s="239">
        <f>IFERROR((HLOOKUP($AH642,Target_monthwise!$D$24:$O$40,DTR!AD$4,FALSE)),0)</f>
        <v>0</v>
      </c>
      <c r="AE642" s="239">
        <f>IFERROR((HLOOKUP($AH642,Target_monthwise!$D$24:$O$40,DTR!AE$4,FALSE)),0)</f>
        <v>0</v>
      </c>
      <c r="AF642" s="239">
        <f>IFERROR((HLOOKUP($AH642,Target_monthwise!$D$24:$O$40,DTR!AF$4,FALSE)),0)</f>
        <v>0</v>
      </c>
      <c r="AG642" s="172">
        <f>IFERROR((HLOOKUP($AH642,Target_monthwise!$D$24:$O$40,DTR!AG$4,FALSE)),0)</f>
        <v>0</v>
      </c>
      <c r="AH642" s="253">
        <f t="shared" si="12"/>
        <v>202312</v>
      </c>
    </row>
    <row r="643" spans="3:34" ht="15.75" hidden="1">
      <c r="C643" s="235">
        <v>45286</v>
      </c>
      <c r="D643" s="141">
        <f>IFERROR((HLOOKUP($AH643,Target_monthwise!$D$4:$O$20,DTR!D$4,FALSE))*1000,0)</f>
        <v>0</v>
      </c>
      <c r="E643" s="141">
        <f>IFERROR((HLOOKUP($AH643,Target_monthwise!$D$4:$O$20,DTR!E$4,FALSE))*1000,0)</f>
        <v>0</v>
      </c>
      <c r="F643" s="141">
        <f>IFERROR((HLOOKUP($AH643,Target_monthwise!$D$4:$O$20,DTR!F$4,FALSE))*1000,0)</f>
        <v>0</v>
      </c>
      <c r="G643" s="141">
        <f>IFERROR((HLOOKUP($AH643,Target_monthwise!$D$4:$O$20,DTR!G$4,FALSE))*1000,0)</f>
        <v>0</v>
      </c>
      <c r="H643" s="141">
        <f>IFERROR((HLOOKUP($AH643,Target_monthwise!$D$4:$O$20,DTR!H$4,FALSE))*1000,0)</f>
        <v>0</v>
      </c>
      <c r="I643" s="141">
        <f>IFERROR((HLOOKUP($AH643,Target_monthwise!$D$4:$O$20,DTR!I$4,FALSE))*1000,0)</f>
        <v>0</v>
      </c>
      <c r="J643" s="141">
        <f>IFERROR((HLOOKUP($AH643,Target_monthwise!$D$4:$O$20,DTR!J$4,FALSE))*1000,0)</f>
        <v>0</v>
      </c>
      <c r="K643" s="141">
        <f>IFERROR((HLOOKUP($AH643,Target_monthwise!$D$4:$O$20,DTR!K$4,FALSE))*1000,0)</f>
        <v>0</v>
      </c>
      <c r="L643" s="141">
        <f>IFERROR((HLOOKUP($AH643,Target_monthwise!$D$4:$O$20,DTR!L$4,FALSE))*1000,0)</f>
        <v>0</v>
      </c>
      <c r="M643" s="141">
        <f>IFERROR((HLOOKUP($AH643,Target_monthwise!$D$4:$O$20,DTR!M$4,FALSE))*1000,0)</f>
        <v>0</v>
      </c>
      <c r="N643" s="141">
        <f>IFERROR((HLOOKUP($AH643,Target_monthwise!$D$4:$O$20,DTR!N$4,FALSE))*1000,0)</f>
        <v>0</v>
      </c>
      <c r="O643" s="141">
        <f>IFERROR((HLOOKUP($AH643,Target_monthwise!$D$4:$O$20,DTR!O$4,FALSE))*1000,0)</f>
        <v>0</v>
      </c>
      <c r="P643" s="141">
        <f>IFERROR((HLOOKUP($AH643,Target_monthwise!$D$4:$O$20,DTR!P$4,FALSE))*1000,0)</f>
        <v>0</v>
      </c>
      <c r="Q643" s="141">
        <f>IFERROR((HLOOKUP($AH643,Target_monthwise!$D$4:$O$20,DTR!Q$4,FALSE))*1000,0)</f>
        <v>0</v>
      </c>
      <c r="R643" s="167">
        <f>IFERROR((HLOOKUP($AH643,Target_monthwise!$D$4:$O$20,DTR!R$4,FALSE))*1000,0)</f>
        <v>0</v>
      </c>
      <c r="S643" s="147">
        <f>IFERROR((HLOOKUP($AH643,Target_monthwise!$D$24:$O$40,DTR!S$4,FALSE)),0)</f>
        <v>0</v>
      </c>
      <c r="T643" s="147">
        <f>IFERROR((HLOOKUP($AH643,Target_monthwise!$D$24:$O$40,DTR!T$4,FALSE)),0)</f>
        <v>0</v>
      </c>
      <c r="U643" s="147">
        <f>IFERROR((HLOOKUP($AH643,Target_monthwise!$D$24:$O$40,DTR!U$4,FALSE)),0)</f>
        <v>0</v>
      </c>
      <c r="V643" s="147">
        <f>IFERROR((HLOOKUP($AH643,Target_monthwise!$D$24:$O$40,DTR!V$4,FALSE)),0)</f>
        <v>0</v>
      </c>
      <c r="W643" s="147">
        <f>IFERROR((HLOOKUP($AH643,Target_monthwise!$D$24:$O$40,DTR!W$4,FALSE)),0)</f>
        <v>0</v>
      </c>
      <c r="X643" s="147">
        <f>IFERROR((HLOOKUP($AH643,Target_monthwise!$D$24:$O$40,DTR!X$4,FALSE)),0)</f>
        <v>0</v>
      </c>
      <c r="Y643" s="147">
        <f>IFERROR((HLOOKUP($AH643,Target_monthwise!$D$24:$O$40,DTR!Y$4,FALSE)),0)</f>
        <v>0</v>
      </c>
      <c r="Z643" s="147">
        <f>IFERROR((HLOOKUP($AH643,Target_monthwise!$D$24:$O$40,DTR!Z$4,FALSE)),0)</f>
        <v>0</v>
      </c>
      <c r="AA643" s="147">
        <f>IFERROR((HLOOKUP($AH643,Target_monthwise!$D$24:$O$40,DTR!AA$4,FALSE)),0)</f>
        <v>0</v>
      </c>
      <c r="AB643" s="147">
        <f>IFERROR((HLOOKUP($AH643,Target_monthwise!$D$24:$O$40,DTR!AB$4,FALSE)),0)</f>
        <v>0</v>
      </c>
      <c r="AC643" s="147">
        <f>IFERROR((HLOOKUP($AH643,Target_monthwise!$D$24:$O$40,DTR!AC$4,FALSE)),0)</f>
        <v>0</v>
      </c>
      <c r="AD643" s="147">
        <f>IFERROR((HLOOKUP($AH643,Target_monthwise!$D$24:$O$40,DTR!AD$4,FALSE)),0)</f>
        <v>0</v>
      </c>
      <c r="AE643" s="147">
        <f>IFERROR((HLOOKUP($AH643,Target_monthwise!$D$24:$O$40,DTR!AE$4,FALSE)),0)</f>
        <v>0</v>
      </c>
      <c r="AF643" s="147">
        <f>IFERROR((HLOOKUP($AH643,Target_monthwise!$D$24:$O$40,DTR!AF$4,FALSE)),0)</f>
        <v>0</v>
      </c>
      <c r="AG643" s="172">
        <f>IFERROR((HLOOKUP($AH643,Target_monthwise!$D$24:$O$40,DTR!AG$4,FALSE)),0)</f>
        <v>0</v>
      </c>
      <c r="AH643" s="253">
        <f t="shared" si="12"/>
        <v>202312</v>
      </c>
    </row>
    <row r="644" spans="3:34" ht="15.75" hidden="1">
      <c r="C644" s="237">
        <v>45287</v>
      </c>
      <c r="D644" s="238">
        <f>IFERROR((HLOOKUP($AH644,Target_monthwise!$D$4:$O$20,DTR!D$4,FALSE))*1000,0)</f>
        <v>0</v>
      </c>
      <c r="E644" s="238">
        <f>IFERROR((HLOOKUP($AH644,Target_monthwise!$D$4:$O$20,DTR!E$4,FALSE))*1000,0)</f>
        <v>0</v>
      </c>
      <c r="F644" s="238">
        <f>IFERROR((HLOOKUP($AH644,Target_monthwise!$D$4:$O$20,DTR!F$4,FALSE))*1000,0)</f>
        <v>0</v>
      </c>
      <c r="G644" s="238">
        <f>IFERROR((HLOOKUP($AH644,Target_monthwise!$D$4:$O$20,DTR!G$4,FALSE))*1000,0)</f>
        <v>0</v>
      </c>
      <c r="H644" s="238">
        <f>IFERROR((HLOOKUP($AH644,Target_monthwise!$D$4:$O$20,DTR!H$4,FALSE))*1000,0)</f>
        <v>0</v>
      </c>
      <c r="I644" s="238">
        <f>IFERROR((HLOOKUP($AH644,Target_monthwise!$D$4:$O$20,DTR!I$4,FALSE))*1000,0)</f>
        <v>0</v>
      </c>
      <c r="J644" s="238">
        <f>IFERROR((HLOOKUP($AH644,Target_monthwise!$D$4:$O$20,DTR!J$4,FALSE))*1000,0)</f>
        <v>0</v>
      </c>
      <c r="K644" s="238">
        <f>IFERROR((HLOOKUP($AH644,Target_monthwise!$D$4:$O$20,DTR!K$4,FALSE))*1000,0)</f>
        <v>0</v>
      </c>
      <c r="L644" s="238">
        <f>IFERROR((HLOOKUP($AH644,Target_monthwise!$D$4:$O$20,DTR!L$4,FALSE))*1000,0)</f>
        <v>0</v>
      </c>
      <c r="M644" s="238">
        <f>IFERROR((HLOOKUP($AH644,Target_monthwise!$D$4:$O$20,DTR!M$4,FALSE))*1000,0)</f>
        <v>0</v>
      </c>
      <c r="N644" s="238">
        <f>IFERROR((HLOOKUP($AH644,Target_monthwise!$D$4:$O$20,DTR!N$4,FALSE))*1000,0)</f>
        <v>0</v>
      </c>
      <c r="O644" s="238">
        <f>IFERROR((HLOOKUP($AH644,Target_monthwise!$D$4:$O$20,DTR!O$4,FALSE))*1000,0)</f>
        <v>0</v>
      </c>
      <c r="P644" s="238">
        <f>IFERROR((HLOOKUP($AH644,Target_monthwise!$D$4:$O$20,DTR!P$4,FALSE))*1000,0)</f>
        <v>0</v>
      </c>
      <c r="Q644" s="141">
        <f>IFERROR((HLOOKUP($AH644,Target_monthwise!$D$4:$O$20,DTR!Q$4,FALSE))*1000,0)</f>
        <v>0</v>
      </c>
      <c r="R644" s="167">
        <f>IFERROR((HLOOKUP($AH644,Target_monthwise!$D$4:$O$20,DTR!R$4,FALSE))*1000,0)</f>
        <v>0</v>
      </c>
      <c r="S644" s="239">
        <f>IFERROR((HLOOKUP($AH644,Target_monthwise!$D$24:$O$40,DTR!S$4,FALSE)),0)</f>
        <v>0</v>
      </c>
      <c r="T644" s="239">
        <f>IFERROR((HLOOKUP($AH644,Target_monthwise!$D$24:$O$40,DTR!T$4,FALSE)),0)</f>
        <v>0</v>
      </c>
      <c r="U644" s="239">
        <f>IFERROR((HLOOKUP($AH644,Target_monthwise!$D$24:$O$40,DTR!U$4,FALSE)),0)</f>
        <v>0</v>
      </c>
      <c r="V644" s="239">
        <f>IFERROR((HLOOKUP($AH644,Target_monthwise!$D$24:$O$40,DTR!V$4,FALSE)),0)</f>
        <v>0</v>
      </c>
      <c r="W644" s="239">
        <f>IFERROR((HLOOKUP($AH644,Target_monthwise!$D$24:$O$40,DTR!W$4,FALSE)),0)</f>
        <v>0</v>
      </c>
      <c r="X644" s="239">
        <f>IFERROR((HLOOKUP($AH644,Target_monthwise!$D$24:$O$40,DTR!X$4,FALSE)),0)</f>
        <v>0</v>
      </c>
      <c r="Y644" s="239">
        <f>IFERROR((HLOOKUP($AH644,Target_monthwise!$D$24:$O$40,DTR!Y$4,FALSE)),0)</f>
        <v>0</v>
      </c>
      <c r="Z644" s="147">
        <f>IFERROR((HLOOKUP($AH644,Target_monthwise!$D$24:$O$40,DTR!Z$4,FALSE)),0)</f>
        <v>0</v>
      </c>
      <c r="AA644" s="147">
        <f>IFERROR((HLOOKUP($AH644,Target_monthwise!$D$24:$O$40,DTR!AA$4,FALSE)),0)</f>
        <v>0</v>
      </c>
      <c r="AB644" s="147">
        <f>IFERROR((HLOOKUP($AH644,Target_monthwise!$D$24:$O$40,DTR!AB$4,FALSE)),0)</f>
        <v>0</v>
      </c>
      <c r="AC644" s="239">
        <f>IFERROR((HLOOKUP($AH644,Target_monthwise!$D$24:$O$40,DTR!AC$4,FALSE)),0)</f>
        <v>0</v>
      </c>
      <c r="AD644" s="239">
        <f>IFERROR((HLOOKUP($AH644,Target_monthwise!$D$24:$O$40,DTR!AD$4,FALSE)),0)</f>
        <v>0</v>
      </c>
      <c r="AE644" s="239">
        <f>IFERROR((HLOOKUP($AH644,Target_monthwise!$D$24:$O$40,DTR!AE$4,FALSE)),0)</f>
        <v>0</v>
      </c>
      <c r="AF644" s="239">
        <f>IFERROR((HLOOKUP($AH644,Target_monthwise!$D$24:$O$40,DTR!AF$4,FALSE)),0)</f>
        <v>0</v>
      </c>
      <c r="AG644" s="172">
        <f>IFERROR((HLOOKUP($AH644,Target_monthwise!$D$24:$O$40,DTR!AG$4,FALSE)),0)</f>
        <v>0</v>
      </c>
      <c r="AH644" s="253">
        <f t="shared" si="12"/>
        <v>202312</v>
      </c>
    </row>
    <row r="645" spans="3:34" ht="15.75" hidden="1">
      <c r="C645" s="235">
        <v>45288</v>
      </c>
      <c r="D645" s="141">
        <f>IFERROR((HLOOKUP($AH645,Target_monthwise!$D$4:$O$20,DTR!D$4,FALSE))*1000,0)</f>
        <v>0</v>
      </c>
      <c r="E645" s="141">
        <f>IFERROR((HLOOKUP($AH645,Target_monthwise!$D$4:$O$20,DTR!E$4,FALSE))*1000,0)</f>
        <v>0</v>
      </c>
      <c r="F645" s="141">
        <f>IFERROR((HLOOKUP($AH645,Target_monthwise!$D$4:$O$20,DTR!F$4,FALSE))*1000,0)</f>
        <v>0</v>
      </c>
      <c r="G645" s="141">
        <f>IFERROR((HLOOKUP($AH645,Target_monthwise!$D$4:$O$20,DTR!G$4,FALSE))*1000,0)</f>
        <v>0</v>
      </c>
      <c r="H645" s="141">
        <f>IFERROR((HLOOKUP($AH645,Target_monthwise!$D$4:$O$20,DTR!H$4,FALSE))*1000,0)</f>
        <v>0</v>
      </c>
      <c r="I645" s="141">
        <f>IFERROR((HLOOKUP($AH645,Target_monthwise!$D$4:$O$20,DTR!I$4,FALSE))*1000,0)</f>
        <v>0</v>
      </c>
      <c r="J645" s="141">
        <f>IFERROR((HLOOKUP($AH645,Target_monthwise!$D$4:$O$20,DTR!J$4,FALSE))*1000,0)</f>
        <v>0</v>
      </c>
      <c r="K645" s="141">
        <f>IFERROR((HLOOKUP($AH645,Target_monthwise!$D$4:$O$20,DTR!K$4,FALSE))*1000,0)</f>
        <v>0</v>
      </c>
      <c r="L645" s="141">
        <f>IFERROR((HLOOKUP($AH645,Target_monthwise!$D$4:$O$20,DTR!L$4,FALSE))*1000,0)</f>
        <v>0</v>
      </c>
      <c r="M645" s="141">
        <f>IFERROR((HLOOKUP($AH645,Target_monthwise!$D$4:$O$20,DTR!M$4,FALSE))*1000,0)</f>
        <v>0</v>
      </c>
      <c r="N645" s="141">
        <f>IFERROR((HLOOKUP($AH645,Target_monthwise!$D$4:$O$20,DTR!N$4,FALSE))*1000,0)</f>
        <v>0</v>
      </c>
      <c r="O645" s="141">
        <f>IFERROR((HLOOKUP($AH645,Target_monthwise!$D$4:$O$20,DTR!O$4,FALSE))*1000,0)</f>
        <v>0</v>
      </c>
      <c r="P645" s="141">
        <f>IFERROR((HLOOKUP($AH645,Target_monthwise!$D$4:$O$20,DTR!P$4,FALSE))*1000,0)</f>
        <v>0</v>
      </c>
      <c r="Q645" s="141">
        <f>IFERROR((HLOOKUP($AH645,Target_monthwise!$D$4:$O$20,DTR!Q$4,FALSE))*1000,0)</f>
        <v>0</v>
      </c>
      <c r="R645" s="167">
        <f>IFERROR((HLOOKUP($AH645,Target_monthwise!$D$4:$O$20,DTR!R$4,FALSE))*1000,0)</f>
        <v>0</v>
      </c>
      <c r="S645" s="147">
        <f>IFERROR((HLOOKUP($AH645,Target_monthwise!$D$24:$O$40,DTR!S$4,FALSE)),0)</f>
        <v>0</v>
      </c>
      <c r="T645" s="147">
        <f>IFERROR((HLOOKUP($AH645,Target_monthwise!$D$24:$O$40,DTR!T$4,FALSE)),0)</f>
        <v>0</v>
      </c>
      <c r="U645" s="147">
        <f>IFERROR((HLOOKUP($AH645,Target_monthwise!$D$24:$O$40,DTR!U$4,FALSE)),0)</f>
        <v>0</v>
      </c>
      <c r="V645" s="147">
        <f>IFERROR((HLOOKUP($AH645,Target_monthwise!$D$24:$O$40,DTR!V$4,FALSE)),0)</f>
        <v>0</v>
      </c>
      <c r="W645" s="147">
        <f>IFERROR((HLOOKUP($AH645,Target_monthwise!$D$24:$O$40,DTR!W$4,FALSE)),0)</f>
        <v>0</v>
      </c>
      <c r="X645" s="147">
        <f>IFERROR((HLOOKUP($AH645,Target_monthwise!$D$24:$O$40,DTR!X$4,FALSE)),0)</f>
        <v>0</v>
      </c>
      <c r="Y645" s="147">
        <f>IFERROR((HLOOKUP($AH645,Target_monthwise!$D$24:$O$40,DTR!Y$4,FALSE)),0)</f>
        <v>0</v>
      </c>
      <c r="Z645" s="147">
        <f>IFERROR((HLOOKUP($AH645,Target_monthwise!$D$24:$O$40,DTR!Z$4,FALSE)),0)</f>
        <v>0</v>
      </c>
      <c r="AA645" s="147">
        <f>IFERROR((HLOOKUP($AH645,Target_monthwise!$D$24:$O$40,DTR!AA$4,FALSE)),0)</f>
        <v>0</v>
      </c>
      <c r="AB645" s="147">
        <f>IFERROR((HLOOKUP($AH645,Target_monthwise!$D$24:$O$40,DTR!AB$4,FALSE)),0)</f>
        <v>0</v>
      </c>
      <c r="AC645" s="147">
        <f>IFERROR((HLOOKUP($AH645,Target_monthwise!$D$24:$O$40,DTR!AC$4,FALSE)),0)</f>
        <v>0</v>
      </c>
      <c r="AD645" s="147">
        <f>IFERROR((HLOOKUP($AH645,Target_monthwise!$D$24:$O$40,DTR!AD$4,FALSE)),0)</f>
        <v>0</v>
      </c>
      <c r="AE645" s="147">
        <f>IFERROR((HLOOKUP($AH645,Target_monthwise!$D$24:$O$40,DTR!AE$4,FALSE)),0)</f>
        <v>0</v>
      </c>
      <c r="AF645" s="147">
        <f>IFERROR((HLOOKUP($AH645,Target_monthwise!$D$24:$O$40,DTR!AF$4,FALSE)),0)</f>
        <v>0</v>
      </c>
      <c r="AG645" s="172">
        <f>IFERROR((HLOOKUP($AH645,Target_monthwise!$D$24:$O$40,DTR!AG$4,FALSE)),0)</f>
        <v>0</v>
      </c>
      <c r="AH645" s="253">
        <f t="shared" si="12"/>
        <v>202312</v>
      </c>
    </row>
    <row r="646" spans="3:34" ht="15.75" hidden="1">
      <c r="C646" s="237">
        <v>45289</v>
      </c>
      <c r="D646" s="238">
        <f>IFERROR((HLOOKUP($AH646,Target_monthwise!$D$4:$O$20,DTR!D$4,FALSE))*1000,0)</f>
        <v>0</v>
      </c>
      <c r="E646" s="238">
        <f>IFERROR((HLOOKUP($AH646,Target_monthwise!$D$4:$O$20,DTR!E$4,FALSE))*1000,0)</f>
        <v>0</v>
      </c>
      <c r="F646" s="238">
        <f>IFERROR((HLOOKUP($AH646,Target_monthwise!$D$4:$O$20,DTR!F$4,FALSE))*1000,0)</f>
        <v>0</v>
      </c>
      <c r="G646" s="238">
        <f>IFERROR((HLOOKUP($AH646,Target_monthwise!$D$4:$O$20,DTR!G$4,FALSE))*1000,0)</f>
        <v>0</v>
      </c>
      <c r="H646" s="238">
        <f>IFERROR((HLOOKUP($AH646,Target_monthwise!$D$4:$O$20,DTR!H$4,FALSE))*1000,0)</f>
        <v>0</v>
      </c>
      <c r="I646" s="238">
        <f>IFERROR((HLOOKUP($AH646,Target_monthwise!$D$4:$O$20,DTR!I$4,FALSE))*1000,0)</f>
        <v>0</v>
      </c>
      <c r="J646" s="238">
        <f>IFERROR((HLOOKUP($AH646,Target_monthwise!$D$4:$O$20,DTR!J$4,FALSE))*1000,0)</f>
        <v>0</v>
      </c>
      <c r="K646" s="238">
        <f>IFERROR((HLOOKUP($AH646,Target_monthwise!$D$4:$O$20,DTR!K$4,FALSE))*1000,0)</f>
        <v>0</v>
      </c>
      <c r="L646" s="238">
        <f>IFERROR((HLOOKUP($AH646,Target_monthwise!$D$4:$O$20,DTR!L$4,FALSE))*1000,0)</f>
        <v>0</v>
      </c>
      <c r="M646" s="238">
        <f>IFERROR((HLOOKUP($AH646,Target_monthwise!$D$4:$O$20,DTR!M$4,FALSE))*1000,0)</f>
        <v>0</v>
      </c>
      <c r="N646" s="238">
        <f>IFERROR((HLOOKUP($AH646,Target_monthwise!$D$4:$O$20,DTR!N$4,FALSE))*1000,0)</f>
        <v>0</v>
      </c>
      <c r="O646" s="238">
        <f>IFERROR((HLOOKUP($AH646,Target_monthwise!$D$4:$O$20,DTR!O$4,FALSE))*1000,0)</f>
        <v>0</v>
      </c>
      <c r="P646" s="238">
        <f>IFERROR((HLOOKUP($AH646,Target_monthwise!$D$4:$O$20,DTR!P$4,FALSE))*1000,0)</f>
        <v>0</v>
      </c>
      <c r="Q646" s="141">
        <f>IFERROR((HLOOKUP($AH646,Target_monthwise!$D$4:$O$20,DTR!Q$4,FALSE))*1000,0)</f>
        <v>0</v>
      </c>
      <c r="R646" s="167">
        <f>IFERROR((HLOOKUP($AH646,Target_monthwise!$D$4:$O$20,DTR!R$4,FALSE))*1000,0)</f>
        <v>0</v>
      </c>
      <c r="S646" s="239">
        <f>IFERROR((HLOOKUP($AH646,Target_monthwise!$D$24:$O$40,DTR!S$4,FALSE)),0)</f>
        <v>0</v>
      </c>
      <c r="T646" s="239">
        <f>IFERROR((HLOOKUP($AH646,Target_monthwise!$D$24:$O$40,DTR!T$4,FALSE)),0)</f>
        <v>0</v>
      </c>
      <c r="U646" s="239">
        <f>IFERROR((HLOOKUP($AH646,Target_monthwise!$D$24:$O$40,DTR!U$4,FALSE)),0)</f>
        <v>0</v>
      </c>
      <c r="V646" s="239">
        <f>IFERROR((HLOOKUP($AH646,Target_monthwise!$D$24:$O$40,DTR!V$4,FALSE)),0)</f>
        <v>0</v>
      </c>
      <c r="W646" s="239">
        <f>IFERROR((HLOOKUP($AH646,Target_monthwise!$D$24:$O$40,DTR!W$4,FALSE)),0)</f>
        <v>0</v>
      </c>
      <c r="X646" s="239">
        <f>IFERROR((HLOOKUP($AH646,Target_monthwise!$D$24:$O$40,DTR!X$4,FALSE)),0)</f>
        <v>0</v>
      </c>
      <c r="Y646" s="239">
        <f>IFERROR((HLOOKUP($AH646,Target_monthwise!$D$24:$O$40,DTR!Y$4,FALSE)),0)</f>
        <v>0</v>
      </c>
      <c r="Z646" s="147">
        <f>IFERROR((HLOOKUP($AH646,Target_monthwise!$D$24:$O$40,DTR!Z$4,FALSE)),0)</f>
        <v>0</v>
      </c>
      <c r="AA646" s="147">
        <f>IFERROR((HLOOKUP($AH646,Target_monthwise!$D$24:$O$40,DTR!AA$4,FALSE)),0)</f>
        <v>0</v>
      </c>
      <c r="AB646" s="147">
        <f>IFERROR((HLOOKUP($AH646,Target_monthwise!$D$24:$O$40,DTR!AB$4,FALSE)),0)</f>
        <v>0</v>
      </c>
      <c r="AC646" s="239">
        <f>IFERROR((HLOOKUP($AH646,Target_monthwise!$D$24:$O$40,DTR!AC$4,FALSE)),0)</f>
        <v>0</v>
      </c>
      <c r="AD646" s="239">
        <f>IFERROR((HLOOKUP($AH646,Target_monthwise!$D$24:$O$40,DTR!AD$4,FALSE)),0)</f>
        <v>0</v>
      </c>
      <c r="AE646" s="239">
        <f>IFERROR((HLOOKUP($AH646,Target_monthwise!$D$24:$O$40,DTR!AE$4,FALSE)),0)</f>
        <v>0</v>
      </c>
      <c r="AF646" s="239">
        <f>IFERROR((HLOOKUP($AH646,Target_monthwise!$D$24:$O$40,DTR!AF$4,FALSE)),0)</f>
        <v>0</v>
      </c>
      <c r="AG646" s="172">
        <f>IFERROR((HLOOKUP($AH646,Target_monthwise!$D$24:$O$40,DTR!AG$4,FALSE)),0)</f>
        <v>0</v>
      </c>
      <c r="AH646" s="253">
        <f t="shared" si="12"/>
        <v>202312</v>
      </c>
    </row>
    <row r="647" spans="3:34" ht="15.75" hidden="1">
      <c r="C647" s="235">
        <v>45290</v>
      </c>
      <c r="D647" s="141">
        <f>IFERROR((HLOOKUP($AH647,Target_monthwise!$D$4:$O$20,DTR!D$4,FALSE))*1000,0)</f>
        <v>0</v>
      </c>
      <c r="E647" s="141">
        <f>IFERROR((HLOOKUP($AH647,Target_monthwise!$D$4:$O$20,DTR!E$4,FALSE))*1000,0)</f>
        <v>0</v>
      </c>
      <c r="F647" s="141">
        <f>IFERROR((HLOOKUP($AH647,Target_monthwise!$D$4:$O$20,DTR!F$4,FALSE))*1000,0)</f>
        <v>0</v>
      </c>
      <c r="G647" s="141">
        <f>IFERROR((HLOOKUP($AH647,Target_monthwise!$D$4:$O$20,DTR!G$4,FALSE))*1000,0)</f>
        <v>0</v>
      </c>
      <c r="H647" s="141">
        <f>IFERROR((HLOOKUP($AH647,Target_monthwise!$D$4:$O$20,DTR!H$4,FALSE))*1000,0)</f>
        <v>0</v>
      </c>
      <c r="I647" s="141">
        <f>IFERROR((HLOOKUP($AH647,Target_monthwise!$D$4:$O$20,DTR!I$4,FALSE))*1000,0)</f>
        <v>0</v>
      </c>
      <c r="J647" s="141">
        <f>IFERROR((HLOOKUP($AH647,Target_monthwise!$D$4:$O$20,DTR!J$4,FALSE))*1000,0)</f>
        <v>0</v>
      </c>
      <c r="K647" s="141">
        <f>IFERROR((HLOOKUP($AH647,Target_monthwise!$D$4:$O$20,DTR!K$4,FALSE))*1000,0)</f>
        <v>0</v>
      </c>
      <c r="L647" s="141">
        <f>IFERROR((HLOOKUP($AH647,Target_monthwise!$D$4:$O$20,DTR!L$4,FALSE))*1000,0)</f>
        <v>0</v>
      </c>
      <c r="M647" s="141">
        <f>IFERROR((HLOOKUP($AH647,Target_monthwise!$D$4:$O$20,DTR!M$4,FALSE))*1000,0)</f>
        <v>0</v>
      </c>
      <c r="N647" s="141">
        <f>IFERROR((HLOOKUP($AH647,Target_monthwise!$D$4:$O$20,DTR!N$4,FALSE))*1000,0)</f>
        <v>0</v>
      </c>
      <c r="O647" s="141">
        <f>IFERROR((HLOOKUP($AH647,Target_monthwise!$D$4:$O$20,DTR!O$4,FALSE))*1000,0)</f>
        <v>0</v>
      </c>
      <c r="P647" s="141">
        <f>IFERROR((HLOOKUP($AH647,Target_monthwise!$D$4:$O$20,DTR!P$4,FALSE))*1000,0)</f>
        <v>0</v>
      </c>
      <c r="Q647" s="141">
        <f>IFERROR((HLOOKUP($AH647,Target_monthwise!$D$4:$O$20,DTR!Q$4,FALSE))*1000,0)</f>
        <v>0</v>
      </c>
      <c r="R647" s="167">
        <f>IFERROR((HLOOKUP($AH647,Target_monthwise!$D$4:$O$20,DTR!R$4,FALSE))*1000,0)</f>
        <v>0</v>
      </c>
      <c r="S647" s="147">
        <f>IFERROR((HLOOKUP($AH647,Target_monthwise!$D$24:$O$40,DTR!S$4,FALSE)),0)</f>
        <v>0</v>
      </c>
      <c r="T647" s="147">
        <f>IFERROR((HLOOKUP($AH647,Target_monthwise!$D$24:$O$40,DTR!T$4,FALSE)),0)</f>
        <v>0</v>
      </c>
      <c r="U647" s="147">
        <f>IFERROR((HLOOKUP($AH647,Target_monthwise!$D$24:$O$40,DTR!U$4,FALSE)),0)</f>
        <v>0</v>
      </c>
      <c r="V647" s="147">
        <f>IFERROR((HLOOKUP($AH647,Target_monthwise!$D$24:$O$40,DTR!V$4,FALSE)),0)</f>
        <v>0</v>
      </c>
      <c r="W647" s="147">
        <f>IFERROR((HLOOKUP($AH647,Target_monthwise!$D$24:$O$40,DTR!W$4,FALSE)),0)</f>
        <v>0</v>
      </c>
      <c r="X647" s="147">
        <f>IFERROR((HLOOKUP($AH647,Target_monthwise!$D$24:$O$40,DTR!X$4,FALSE)),0)</f>
        <v>0</v>
      </c>
      <c r="Y647" s="147">
        <f>IFERROR((HLOOKUP($AH647,Target_monthwise!$D$24:$O$40,DTR!Y$4,FALSE)),0)</f>
        <v>0</v>
      </c>
      <c r="Z647" s="147">
        <f>IFERROR((HLOOKUP($AH647,Target_monthwise!$D$24:$O$40,DTR!Z$4,FALSE)),0)</f>
        <v>0</v>
      </c>
      <c r="AA647" s="147">
        <f>IFERROR((HLOOKUP($AH647,Target_monthwise!$D$24:$O$40,DTR!AA$4,FALSE)),0)</f>
        <v>0</v>
      </c>
      <c r="AB647" s="147">
        <f>IFERROR((HLOOKUP($AH647,Target_monthwise!$D$24:$O$40,DTR!AB$4,FALSE)),0)</f>
        <v>0</v>
      </c>
      <c r="AC647" s="147">
        <f>IFERROR((HLOOKUP($AH647,Target_monthwise!$D$24:$O$40,DTR!AC$4,FALSE)),0)</f>
        <v>0</v>
      </c>
      <c r="AD647" s="147">
        <f>IFERROR((HLOOKUP($AH647,Target_monthwise!$D$24:$O$40,DTR!AD$4,FALSE)),0)</f>
        <v>0</v>
      </c>
      <c r="AE647" s="147">
        <f>IFERROR((HLOOKUP($AH647,Target_monthwise!$D$24:$O$40,DTR!AE$4,FALSE)),0)</f>
        <v>0</v>
      </c>
      <c r="AF647" s="147">
        <f>IFERROR((HLOOKUP($AH647,Target_monthwise!$D$24:$O$40,DTR!AF$4,FALSE)),0)</f>
        <v>0</v>
      </c>
      <c r="AG647" s="172">
        <f>IFERROR((HLOOKUP($AH647,Target_monthwise!$D$24:$O$40,DTR!AG$4,FALSE)),0)</f>
        <v>0</v>
      </c>
      <c r="AH647" s="253">
        <f t="shared" si="12"/>
        <v>202312</v>
      </c>
    </row>
    <row r="648" spans="3:34" ht="15.75" hidden="1">
      <c r="C648" s="237">
        <v>45291</v>
      </c>
      <c r="D648" s="238">
        <f>IFERROR((HLOOKUP($AH648,Target_monthwise!$D$4:$O$20,DTR!D$4,FALSE))*1000,0)</f>
        <v>0</v>
      </c>
      <c r="E648" s="238">
        <f>IFERROR((HLOOKUP($AH648,Target_monthwise!$D$4:$O$20,DTR!E$4,FALSE))*1000,0)</f>
        <v>0</v>
      </c>
      <c r="F648" s="238">
        <f>IFERROR((HLOOKUP($AH648,Target_monthwise!$D$4:$O$20,DTR!F$4,FALSE))*1000,0)</f>
        <v>0</v>
      </c>
      <c r="G648" s="238">
        <f>IFERROR((HLOOKUP($AH648,Target_monthwise!$D$4:$O$20,DTR!G$4,FALSE))*1000,0)</f>
        <v>0</v>
      </c>
      <c r="H648" s="238">
        <f>IFERROR((HLOOKUP($AH648,Target_monthwise!$D$4:$O$20,DTR!H$4,FALSE))*1000,0)</f>
        <v>0</v>
      </c>
      <c r="I648" s="238">
        <f>IFERROR((HLOOKUP($AH648,Target_monthwise!$D$4:$O$20,DTR!I$4,FALSE))*1000,0)</f>
        <v>0</v>
      </c>
      <c r="J648" s="238">
        <f>IFERROR((HLOOKUP($AH648,Target_monthwise!$D$4:$O$20,DTR!J$4,FALSE))*1000,0)</f>
        <v>0</v>
      </c>
      <c r="K648" s="238">
        <f>IFERROR((HLOOKUP($AH648,Target_monthwise!$D$4:$O$20,DTR!K$4,FALSE))*1000,0)</f>
        <v>0</v>
      </c>
      <c r="L648" s="238">
        <f>IFERROR((HLOOKUP($AH648,Target_monthwise!$D$4:$O$20,DTR!L$4,FALSE))*1000,0)</f>
        <v>0</v>
      </c>
      <c r="M648" s="238">
        <f>IFERROR((HLOOKUP($AH648,Target_monthwise!$D$4:$O$20,DTR!M$4,FALSE))*1000,0)</f>
        <v>0</v>
      </c>
      <c r="N648" s="238">
        <f>IFERROR((HLOOKUP($AH648,Target_monthwise!$D$4:$O$20,DTR!N$4,FALSE))*1000,0)</f>
        <v>0</v>
      </c>
      <c r="O648" s="238">
        <f>IFERROR((HLOOKUP($AH648,Target_monthwise!$D$4:$O$20,DTR!O$4,FALSE))*1000,0)</f>
        <v>0</v>
      </c>
      <c r="P648" s="238">
        <f>IFERROR((HLOOKUP($AH648,Target_monthwise!$D$4:$O$20,DTR!P$4,FALSE))*1000,0)</f>
        <v>0</v>
      </c>
      <c r="Q648" s="141">
        <f>IFERROR((HLOOKUP($AH648,Target_monthwise!$D$4:$O$20,DTR!Q$4,FALSE))*1000,0)</f>
        <v>0</v>
      </c>
      <c r="R648" s="167">
        <f>IFERROR((HLOOKUP($AH648,Target_monthwise!$D$4:$O$20,DTR!R$4,FALSE))*1000,0)</f>
        <v>0</v>
      </c>
      <c r="S648" s="239">
        <f>IFERROR((HLOOKUP($AH648,Target_monthwise!$D$24:$O$40,DTR!S$4,FALSE)),0)</f>
        <v>0</v>
      </c>
      <c r="T648" s="239">
        <f>IFERROR((HLOOKUP($AH648,Target_monthwise!$D$24:$O$40,DTR!T$4,FALSE)),0)</f>
        <v>0</v>
      </c>
      <c r="U648" s="239">
        <f>IFERROR((HLOOKUP($AH648,Target_monthwise!$D$24:$O$40,DTR!U$4,FALSE)),0)</f>
        <v>0</v>
      </c>
      <c r="V648" s="239">
        <f>IFERROR((HLOOKUP($AH648,Target_monthwise!$D$24:$O$40,DTR!V$4,FALSE)),0)</f>
        <v>0</v>
      </c>
      <c r="W648" s="239">
        <f>IFERROR((HLOOKUP($AH648,Target_monthwise!$D$24:$O$40,DTR!W$4,FALSE)),0)</f>
        <v>0</v>
      </c>
      <c r="X648" s="239">
        <f>IFERROR((HLOOKUP($AH648,Target_monthwise!$D$24:$O$40,DTR!X$4,FALSE)),0)</f>
        <v>0</v>
      </c>
      <c r="Y648" s="239">
        <f>IFERROR((HLOOKUP($AH648,Target_monthwise!$D$24:$O$40,DTR!Y$4,FALSE)),0)</f>
        <v>0</v>
      </c>
      <c r="Z648" s="147">
        <f>IFERROR((HLOOKUP($AH648,Target_monthwise!$D$24:$O$40,DTR!Z$4,FALSE)),0)</f>
        <v>0</v>
      </c>
      <c r="AA648" s="147">
        <f>IFERROR((HLOOKUP($AH648,Target_monthwise!$D$24:$O$40,DTR!AA$4,FALSE)),0)</f>
        <v>0</v>
      </c>
      <c r="AB648" s="147">
        <f>IFERROR((HLOOKUP($AH648,Target_monthwise!$D$24:$O$40,DTR!AB$4,FALSE)),0)</f>
        <v>0</v>
      </c>
      <c r="AC648" s="239">
        <f>IFERROR((HLOOKUP($AH648,Target_monthwise!$D$24:$O$40,DTR!AC$4,FALSE)),0)</f>
        <v>0</v>
      </c>
      <c r="AD648" s="239">
        <f>IFERROR((HLOOKUP($AH648,Target_monthwise!$D$24:$O$40,DTR!AD$4,FALSE)),0)</f>
        <v>0</v>
      </c>
      <c r="AE648" s="239">
        <f>IFERROR((HLOOKUP($AH648,Target_monthwise!$D$24:$O$40,DTR!AE$4,FALSE)),0)</f>
        <v>0</v>
      </c>
      <c r="AF648" s="239">
        <f>IFERROR((HLOOKUP($AH648,Target_monthwise!$D$24:$O$40,DTR!AF$4,FALSE)),0)</f>
        <v>0</v>
      </c>
      <c r="AG648" s="172">
        <f>IFERROR((HLOOKUP($AH648,Target_monthwise!$D$24:$O$40,DTR!AG$4,FALSE)),0)</f>
        <v>0</v>
      </c>
      <c r="AH648" s="253">
        <f t="shared" si="12"/>
        <v>202312</v>
      </c>
    </row>
    <row r="649" spans="3:34" ht="15.75" hidden="1">
      <c r="C649" s="235">
        <v>45292</v>
      </c>
      <c r="D649" s="141">
        <f>IFERROR((HLOOKUP($AH649,Target_monthwise!$D$4:$O$20,DTR!D$4,FALSE))*1000,0)</f>
        <v>0</v>
      </c>
      <c r="E649" s="141">
        <f>IFERROR((HLOOKUP($AH649,Target_monthwise!$D$4:$O$20,DTR!E$4,FALSE))*1000,0)</f>
        <v>0</v>
      </c>
      <c r="F649" s="141">
        <f>IFERROR((HLOOKUP($AH649,Target_monthwise!$D$4:$O$20,DTR!F$4,FALSE))*1000,0)</f>
        <v>0</v>
      </c>
      <c r="G649" s="141">
        <f>IFERROR((HLOOKUP($AH649,Target_monthwise!$D$4:$O$20,DTR!G$4,FALSE))*1000,0)</f>
        <v>0</v>
      </c>
      <c r="H649" s="141">
        <f>IFERROR((HLOOKUP($AH649,Target_monthwise!$D$4:$O$20,DTR!H$4,FALSE))*1000,0)</f>
        <v>0</v>
      </c>
      <c r="I649" s="141">
        <f>IFERROR((HLOOKUP($AH649,Target_monthwise!$D$4:$O$20,DTR!I$4,FALSE))*1000,0)</f>
        <v>0</v>
      </c>
      <c r="J649" s="141">
        <f>IFERROR((HLOOKUP($AH649,Target_monthwise!$D$4:$O$20,DTR!J$4,FALSE))*1000,0)</f>
        <v>0</v>
      </c>
      <c r="K649" s="141">
        <f>IFERROR((HLOOKUP($AH649,Target_monthwise!$D$4:$O$20,DTR!K$4,FALSE))*1000,0)</f>
        <v>0</v>
      </c>
      <c r="L649" s="141">
        <f>IFERROR((HLOOKUP($AH649,Target_monthwise!$D$4:$O$20,DTR!L$4,FALSE))*1000,0)</f>
        <v>0</v>
      </c>
      <c r="M649" s="141">
        <f>IFERROR((HLOOKUP($AH649,Target_monthwise!$D$4:$O$20,DTR!M$4,FALSE))*1000,0)</f>
        <v>0</v>
      </c>
      <c r="N649" s="141">
        <f>IFERROR((HLOOKUP($AH649,Target_monthwise!$D$4:$O$20,DTR!N$4,FALSE))*1000,0)</f>
        <v>0</v>
      </c>
      <c r="O649" s="141">
        <f>IFERROR((HLOOKUP($AH649,Target_monthwise!$D$4:$O$20,DTR!O$4,FALSE))*1000,0)</f>
        <v>0</v>
      </c>
      <c r="P649" s="141">
        <f>IFERROR((HLOOKUP($AH649,Target_monthwise!$D$4:$O$20,DTR!P$4,FALSE))*1000,0)</f>
        <v>0</v>
      </c>
      <c r="Q649" s="141">
        <f>IFERROR((HLOOKUP($AH649,Target_monthwise!$D$4:$O$20,DTR!Q$4,FALSE))*1000,0)</f>
        <v>0</v>
      </c>
      <c r="R649" s="167">
        <f>IFERROR((HLOOKUP($AH649,Target_monthwise!$D$4:$O$20,DTR!R$4,FALSE))*1000,0)</f>
        <v>0</v>
      </c>
      <c r="S649" s="147">
        <f>IFERROR((HLOOKUP($AH649,Target_monthwise!$D$24:$O$40,DTR!S$4,FALSE)),0)</f>
        <v>0</v>
      </c>
      <c r="T649" s="147">
        <f>IFERROR((HLOOKUP($AH649,Target_monthwise!$D$24:$O$40,DTR!T$4,FALSE)),0)</f>
        <v>0</v>
      </c>
      <c r="U649" s="147">
        <f>IFERROR((HLOOKUP($AH649,Target_monthwise!$D$24:$O$40,DTR!U$4,FALSE)),0)</f>
        <v>0</v>
      </c>
      <c r="V649" s="147">
        <f>IFERROR((HLOOKUP($AH649,Target_monthwise!$D$24:$O$40,DTR!V$4,FALSE)),0)</f>
        <v>0</v>
      </c>
      <c r="W649" s="147">
        <f>IFERROR((HLOOKUP($AH649,Target_monthwise!$D$24:$O$40,DTR!W$4,FALSE)),0)</f>
        <v>0</v>
      </c>
      <c r="X649" s="147">
        <f>IFERROR((HLOOKUP($AH649,Target_monthwise!$D$24:$O$40,DTR!X$4,FALSE)),0)</f>
        <v>0</v>
      </c>
      <c r="Y649" s="147">
        <f>IFERROR((HLOOKUP($AH649,Target_monthwise!$D$24:$O$40,DTR!Y$4,FALSE)),0)</f>
        <v>0</v>
      </c>
      <c r="Z649" s="147">
        <f>IFERROR((HLOOKUP($AH649,Target_monthwise!$D$24:$O$40,DTR!Z$4,FALSE)),0)</f>
        <v>0</v>
      </c>
      <c r="AA649" s="147">
        <f>IFERROR((HLOOKUP($AH649,Target_monthwise!$D$24:$O$40,DTR!AA$4,FALSE)),0)</f>
        <v>0</v>
      </c>
      <c r="AB649" s="147">
        <f>IFERROR((HLOOKUP($AH649,Target_monthwise!$D$24:$O$40,DTR!AB$4,FALSE)),0)</f>
        <v>0</v>
      </c>
      <c r="AC649" s="147">
        <f>IFERROR((HLOOKUP($AH649,Target_monthwise!$D$24:$O$40,DTR!AC$4,FALSE)),0)</f>
        <v>0</v>
      </c>
      <c r="AD649" s="147">
        <f>IFERROR((HLOOKUP($AH649,Target_monthwise!$D$24:$O$40,DTR!AD$4,FALSE)),0)</f>
        <v>0</v>
      </c>
      <c r="AE649" s="147">
        <f>IFERROR((HLOOKUP($AH649,Target_monthwise!$D$24:$O$40,DTR!AE$4,FALSE)),0)</f>
        <v>0</v>
      </c>
      <c r="AF649" s="147">
        <f>IFERROR((HLOOKUP($AH649,Target_monthwise!$D$24:$O$40,DTR!AF$4,FALSE)),0)</f>
        <v>0</v>
      </c>
      <c r="AG649" s="172">
        <f>IFERROR((HLOOKUP($AH649,Target_monthwise!$D$24:$O$40,DTR!AG$4,FALSE)),0)</f>
        <v>0</v>
      </c>
      <c r="AH649" s="253">
        <f t="shared" si="12"/>
        <v>202401</v>
      </c>
    </row>
    <row r="650" spans="3:34" ht="15.75" hidden="1">
      <c r="C650" s="237">
        <v>45293</v>
      </c>
      <c r="D650" s="238">
        <f>IFERROR((HLOOKUP($AH650,Target_monthwise!$D$4:$O$20,DTR!D$4,FALSE))*1000,0)</f>
        <v>0</v>
      </c>
      <c r="E650" s="238">
        <f>IFERROR((HLOOKUP($AH650,Target_monthwise!$D$4:$O$20,DTR!E$4,FALSE))*1000,0)</f>
        <v>0</v>
      </c>
      <c r="F650" s="238">
        <f>IFERROR((HLOOKUP($AH650,Target_monthwise!$D$4:$O$20,DTR!F$4,FALSE))*1000,0)</f>
        <v>0</v>
      </c>
      <c r="G650" s="238">
        <f>IFERROR((HLOOKUP($AH650,Target_monthwise!$D$4:$O$20,DTR!G$4,FALSE))*1000,0)</f>
        <v>0</v>
      </c>
      <c r="H650" s="238">
        <f>IFERROR((HLOOKUP($AH650,Target_monthwise!$D$4:$O$20,DTR!H$4,FALSE))*1000,0)</f>
        <v>0</v>
      </c>
      <c r="I650" s="238">
        <f>IFERROR((HLOOKUP($AH650,Target_monthwise!$D$4:$O$20,DTR!I$4,FALSE))*1000,0)</f>
        <v>0</v>
      </c>
      <c r="J650" s="238">
        <f>IFERROR((HLOOKUP($AH650,Target_monthwise!$D$4:$O$20,DTR!J$4,FALSE))*1000,0)</f>
        <v>0</v>
      </c>
      <c r="K650" s="238">
        <f>IFERROR((HLOOKUP($AH650,Target_monthwise!$D$4:$O$20,DTR!K$4,FALSE))*1000,0)</f>
        <v>0</v>
      </c>
      <c r="L650" s="238">
        <f>IFERROR((HLOOKUP($AH650,Target_monthwise!$D$4:$O$20,DTR!L$4,FALSE))*1000,0)</f>
        <v>0</v>
      </c>
      <c r="M650" s="238">
        <f>IFERROR((HLOOKUP($AH650,Target_monthwise!$D$4:$O$20,DTR!M$4,FALSE))*1000,0)</f>
        <v>0</v>
      </c>
      <c r="N650" s="238">
        <f>IFERROR((HLOOKUP($AH650,Target_monthwise!$D$4:$O$20,DTR!N$4,FALSE))*1000,0)</f>
        <v>0</v>
      </c>
      <c r="O650" s="238">
        <f>IFERROR((HLOOKUP($AH650,Target_monthwise!$D$4:$O$20,DTR!O$4,FALSE))*1000,0)</f>
        <v>0</v>
      </c>
      <c r="P650" s="238">
        <f>IFERROR((HLOOKUP($AH650,Target_monthwise!$D$4:$O$20,DTR!P$4,FALSE))*1000,0)</f>
        <v>0</v>
      </c>
      <c r="Q650" s="141">
        <f>IFERROR((HLOOKUP($AH650,Target_monthwise!$D$4:$O$20,DTR!Q$4,FALSE))*1000,0)</f>
        <v>0</v>
      </c>
      <c r="R650" s="167">
        <f>IFERROR((HLOOKUP($AH650,Target_monthwise!$D$4:$O$20,DTR!R$4,FALSE))*1000,0)</f>
        <v>0</v>
      </c>
      <c r="S650" s="239">
        <f>IFERROR((HLOOKUP($AH650,Target_monthwise!$D$24:$O$40,DTR!S$4,FALSE)),0)</f>
        <v>0</v>
      </c>
      <c r="T650" s="239">
        <f>IFERROR((HLOOKUP($AH650,Target_monthwise!$D$24:$O$40,DTR!T$4,FALSE)),0)</f>
        <v>0</v>
      </c>
      <c r="U650" s="239">
        <f>IFERROR((HLOOKUP($AH650,Target_monthwise!$D$24:$O$40,DTR!U$4,FALSE)),0)</f>
        <v>0</v>
      </c>
      <c r="V650" s="239">
        <f>IFERROR((HLOOKUP($AH650,Target_monthwise!$D$24:$O$40,DTR!V$4,FALSE)),0)</f>
        <v>0</v>
      </c>
      <c r="W650" s="239">
        <f>IFERROR((HLOOKUP($AH650,Target_monthwise!$D$24:$O$40,DTR!W$4,FALSE)),0)</f>
        <v>0</v>
      </c>
      <c r="X650" s="239">
        <f>IFERROR((HLOOKUP($AH650,Target_monthwise!$D$24:$O$40,DTR!X$4,FALSE)),0)</f>
        <v>0</v>
      </c>
      <c r="Y650" s="239">
        <f>IFERROR((HLOOKUP($AH650,Target_monthwise!$D$24:$O$40,DTR!Y$4,FALSE)),0)</f>
        <v>0</v>
      </c>
      <c r="Z650" s="147">
        <f>IFERROR((HLOOKUP($AH650,Target_monthwise!$D$24:$O$40,DTR!Z$4,FALSE)),0)</f>
        <v>0</v>
      </c>
      <c r="AA650" s="147">
        <f>IFERROR((HLOOKUP($AH650,Target_monthwise!$D$24:$O$40,DTR!AA$4,FALSE)),0)</f>
        <v>0</v>
      </c>
      <c r="AB650" s="147">
        <f>IFERROR((HLOOKUP($AH650,Target_monthwise!$D$24:$O$40,DTR!AB$4,FALSE)),0)</f>
        <v>0</v>
      </c>
      <c r="AC650" s="239">
        <f>IFERROR((HLOOKUP($AH650,Target_monthwise!$D$24:$O$40,DTR!AC$4,FALSE)),0)</f>
        <v>0</v>
      </c>
      <c r="AD650" s="239">
        <f>IFERROR((HLOOKUP($AH650,Target_monthwise!$D$24:$O$40,DTR!AD$4,FALSE)),0)</f>
        <v>0</v>
      </c>
      <c r="AE650" s="239">
        <f>IFERROR((HLOOKUP($AH650,Target_monthwise!$D$24:$O$40,DTR!AE$4,FALSE)),0)</f>
        <v>0</v>
      </c>
      <c r="AF650" s="239">
        <f>IFERROR((HLOOKUP($AH650,Target_monthwise!$D$24:$O$40,DTR!AF$4,FALSE)),0)</f>
        <v>0</v>
      </c>
      <c r="AG650" s="172">
        <f>IFERROR((HLOOKUP($AH650,Target_monthwise!$D$24:$O$40,DTR!AG$4,FALSE)),0)</f>
        <v>0</v>
      </c>
      <c r="AH650" s="253">
        <f t="shared" si="12"/>
        <v>202401</v>
      </c>
    </row>
    <row r="651" spans="3:34" ht="15.75" hidden="1">
      <c r="C651" s="235">
        <v>45294</v>
      </c>
      <c r="D651" s="141">
        <f>IFERROR((HLOOKUP($AH651,Target_monthwise!$D$4:$O$20,DTR!D$4,FALSE))*1000,0)</f>
        <v>0</v>
      </c>
      <c r="E651" s="141">
        <f>IFERROR((HLOOKUP($AH651,Target_monthwise!$D$4:$O$20,DTR!E$4,FALSE))*1000,0)</f>
        <v>0</v>
      </c>
      <c r="F651" s="141">
        <f>IFERROR((HLOOKUP($AH651,Target_monthwise!$D$4:$O$20,DTR!F$4,FALSE))*1000,0)</f>
        <v>0</v>
      </c>
      <c r="G651" s="141">
        <f>IFERROR((HLOOKUP($AH651,Target_monthwise!$D$4:$O$20,DTR!G$4,FALSE))*1000,0)</f>
        <v>0</v>
      </c>
      <c r="H651" s="141">
        <f>IFERROR((HLOOKUP($AH651,Target_monthwise!$D$4:$O$20,DTR!H$4,FALSE))*1000,0)</f>
        <v>0</v>
      </c>
      <c r="I651" s="141">
        <f>IFERROR((HLOOKUP($AH651,Target_monthwise!$D$4:$O$20,DTR!I$4,FALSE))*1000,0)</f>
        <v>0</v>
      </c>
      <c r="J651" s="141">
        <f>IFERROR((HLOOKUP($AH651,Target_monthwise!$D$4:$O$20,DTR!J$4,FALSE))*1000,0)</f>
        <v>0</v>
      </c>
      <c r="K651" s="141">
        <f>IFERROR((HLOOKUP($AH651,Target_monthwise!$D$4:$O$20,DTR!K$4,FALSE))*1000,0)</f>
        <v>0</v>
      </c>
      <c r="L651" s="141">
        <f>IFERROR((HLOOKUP($AH651,Target_monthwise!$D$4:$O$20,DTR!L$4,FALSE))*1000,0)</f>
        <v>0</v>
      </c>
      <c r="M651" s="141">
        <f>IFERROR((HLOOKUP($AH651,Target_monthwise!$D$4:$O$20,DTR!M$4,FALSE))*1000,0)</f>
        <v>0</v>
      </c>
      <c r="N651" s="141">
        <f>IFERROR((HLOOKUP($AH651,Target_monthwise!$D$4:$O$20,DTR!N$4,FALSE))*1000,0)</f>
        <v>0</v>
      </c>
      <c r="O651" s="141">
        <f>IFERROR((HLOOKUP($AH651,Target_monthwise!$D$4:$O$20,DTR!O$4,FALSE))*1000,0)</f>
        <v>0</v>
      </c>
      <c r="P651" s="141">
        <f>IFERROR((HLOOKUP($AH651,Target_monthwise!$D$4:$O$20,DTR!P$4,FALSE))*1000,0)</f>
        <v>0</v>
      </c>
      <c r="Q651" s="141">
        <f>IFERROR((HLOOKUP($AH651,Target_monthwise!$D$4:$O$20,DTR!Q$4,FALSE))*1000,0)</f>
        <v>0</v>
      </c>
      <c r="R651" s="167">
        <f>IFERROR((HLOOKUP($AH651,Target_monthwise!$D$4:$O$20,DTR!R$4,FALSE))*1000,0)</f>
        <v>0</v>
      </c>
      <c r="S651" s="147">
        <f>IFERROR((HLOOKUP($AH651,Target_monthwise!$D$24:$O$40,DTR!S$4,FALSE)),0)</f>
        <v>0</v>
      </c>
      <c r="T651" s="147">
        <f>IFERROR((HLOOKUP($AH651,Target_monthwise!$D$24:$O$40,DTR!T$4,FALSE)),0)</f>
        <v>0</v>
      </c>
      <c r="U651" s="147">
        <f>IFERROR((HLOOKUP($AH651,Target_monthwise!$D$24:$O$40,DTR!U$4,FALSE)),0)</f>
        <v>0</v>
      </c>
      <c r="V651" s="147">
        <f>IFERROR((HLOOKUP($AH651,Target_monthwise!$D$24:$O$40,DTR!V$4,FALSE)),0)</f>
        <v>0</v>
      </c>
      <c r="W651" s="147">
        <f>IFERROR((HLOOKUP($AH651,Target_monthwise!$D$24:$O$40,DTR!W$4,FALSE)),0)</f>
        <v>0</v>
      </c>
      <c r="X651" s="147">
        <f>IFERROR((HLOOKUP($AH651,Target_monthwise!$D$24:$O$40,DTR!X$4,FALSE)),0)</f>
        <v>0</v>
      </c>
      <c r="Y651" s="147">
        <f>IFERROR((HLOOKUP($AH651,Target_monthwise!$D$24:$O$40,DTR!Y$4,FALSE)),0)</f>
        <v>0</v>
      </c>
      <c r="Z651" s="147">
        <f>IFERROR((HLOOKUP($AH651,Target_monthwise!$D$24:$O$40,DTR!Z$4,FALSE)),0)</f>
        <v>0</v>
      </c>
      <c r="AA651" s="147">
        <f>IFERROR((HLOOKUP($AH651,Target_monthwise!$D$24:$O$40,DTR!AA$4,FALSE)),0)</f>
        <v>0</v>
      </c>
      <c r="AB651" s="147">
        <f>IFERROR((HLOOKUP($AH651,Target_monthwise!$D$24:$O$40,DTR!AB$4,FALSE)),0)</f>
        <v>0</v>
      </c>
      <c r="AC651" s="147">
        <f>IFERROR((HLOOKUP($AH651,Target_monthwise!$D$24:$O$40,DTR!AC$4,FALSE)),0)</f>
        <v>0</v>
      </c>
      <c r="AD651" s="147">
        <f>IFERROR((HLOOKUP($AH651,Target_monthwise!$D$24:$O$40,DTR!AD$4,FALSE)),0)</f>
        <v>0</v>
      </c>
      <c r="AE651" s="147">
        <f>IFERROR((HLOOKUP($AH651,Target_monthwise!$D$24:$O$40,DTR!AE$4,FALSE)),0)</f>
        <v>0</v>
      </c>
      <c r="AF651" s="147">
        <f>IFERROR((HLOOKUP($AH651,Target_monthwise!$D$24:$O$40,DTR!AF$4,FALSE)),0)</f>
        <v>0</v>
      </c>
      <c r="AG651" s="172">
        <f>IFERROR((HLOOKUP($AH651,Target_monthwise!$D$24:$O$40,DTR!AG$4,FALSE)),0)</f>
        <v>0</v>
      </c>
      <c r="AH651" s="253">
        <f t="shared" si="12"/>
        <v>202401</v>
      </c>
    </row>
    <row r="652" spans="3:34" ht="15.75" hidden="1">
      <c r="C652" s="237">
        <v>45295</v>
      </c>
      <c r="D652" s="238">
        <f>IFERROR((HLOOKUP($AH652,Target_monthwise!$D$4:$O$20,DTR!D$4,FALSE))*1000,0)</f>
        <v>0</v>
      </c>
      <c r="E652" s="238">
        <f>IFERROR((HLOOKUP($AH652,Target_monthwise!$D$4:$O$20,DTR!E$4,FALSE))*1000,0)</f>
        <v>0</v>
      </c>
      <c r="F652" s="238">
        <f>IFERROR((HLOOKUP($AH652,Target_monthwise!$D$4:$O$20,DTR!F$4,FALSE))*1000,0)</f>
        <v>0</v>
      </c>
      <c r="G652" s="238">
        <f>IFERROR((HLOOKUP($AH652,Target_monthwise!$D$4:$O$20,DTR!G$4,FALSE))*1000,0)</f>
        <v>0</v>
      </c>
      <c r="H652" s="238">
        <f>IFERROR((HLOOKUP($AH652,Target_monthwise!$D$4:$O$20,DTR!H$4,FALSE))*1000,0)</f>
        <v>0</v>
      </c>
      <c r="I652" s="238">
        <f>IFERROR((HLOOKUP($AH652,Target_monthwise!$D$4:$O$20,DTR!I$4,FALSE))*1000,0)</f>
        <v>0</v>
      </c>
      <c r="J652" s="238">
        <f>IFERROR((HLOOKUP($AH652,Target_monthwise!$D$4:$O$20,DTR!J$4,FALSE))*1000,0)</f>
        <v>0</v>
      </c>
      <c r="K652" s="238">
        <f>IFERROR((HLOOKUP($AH652,Target_monthwise!$D$4:$O$20,DTR!K$4,FALSE))*1000,0)</f>
        <v>0</v>
      </c>
      <c r="L652" s="238">
        <f>IFERROR((HLOOKUP($AH652,Target_monthwise!$D$4:$O$20,DTR!L$4,FALSE))*1000,0)</f>
        <v>0</v>
      </c>
      <c r="M652" s="238">
        <f>IFERROR((HLOOKUP($AH652,Target_monthwise!$D$4:$O$20,DTR!M$4,FALSE))*1000,0)</f>
        <v>0</v>
      </c>
      <c r="N652" s="238">
        <f>IFERROR((HLOOKUP($AH652,Target_monthwise!$D$4:$O$20,DTR!N$4,FALSE))*1000,0)</f>
        <v>0</v>
      </c>
      <c r="O652" s="238">
        <f>IFERROR((HLOOKUP($AH652,Target_monthwise!$D$4:$O$20,DTR!O$4,FALSE))*1000,0)</f>
        <v>0</v>
      </c>
      <c r="P652" s="238">
        <f>IFERROR((HLOOKUP($AH652,Target_monthwise!$D$4:$O$20,DTR!P$4,FALSE))*1000,0)</f>
        <v>0</v>
      </c>
      <c r="Q652" s="141">
        <f>IFERROR((HLOOKUP($AH652,Target_monthwise!$D$4:$O$20,DTR!Q$4,FALSE))*1000,0)</f>
        <v>0</v>
      </c>
      <c r="R652" s="167">
        <f>IFERROR((HLOOKUP($AH652,Target_monthwise!$D$4:$O$20,DTR!R$4,FALSE))*1000,0)</f>
        <v>0</v>
      </c>
      <c r="S652" s="239">
        <f>IFERROR((HLOOKUP($AH652,Target_monthwise!$D$24:$O$40,DTR!S$4,FALSE)),0)</f>
        <v>0</v>
      </c>
      <c r="T652" s="239">
        <f>IFERROR((HLOOKUP($AH652,Target_monthwise!$D$24:$O$40,DTR!T$4,FALSE)),0)</f>
        <v>0</v>
      </c>
      <c r="U652" s="239">
        <f>IFERROR((HLOOKUP($AH652,Target_monthwise!$D$24:$O$40,DTR!U$4,FALSE)),0)</f>
        <v>0</v>
      </c>
      <c r="V652" s="239">
        <f>IFERROR((HLOOKUP($AH652,Target_monthwise!$D$24:$O$40,DTR!V$4,FALSE)),0)</f>
        <v>0</v>
      </c>
      <c r="W652" s="239">
        <f>IFERROR((HLOOKUP($AH652,Target_monthwise!$D$24:$O$40,DTR!W$4,FALSE)),0)</f>
        <v>0</v>
      </c>
      <c r="X652" s="239">
        <f>IFERROR((HLOOKUP($AH652,Target_monthwise!$D$24:$O$40,DTR!X$4,FALSE)),0)</f>
        <v>0</v>
      </c>
      <c r="Y652" s="239">
        <f>IFERROR((HLOOKUP($AH652,Target_monthwise!$D$24:$O$40,DTR!Y$4,FALSE)),0)</f>
        <v>0</v>
      </c>
      <c r="Z652" s="147">
        <f>IFERROR((HLOOKUP($AH652,Target_monthwise!$D$24:$O$40,DTR!Z$4,FALSE)),0)</f>
        <v>0</v>
      </c>
      <c r="AA652" s="147">
        <f>IFERROR((HLOOKUP($AH652,Target_monthwise!$D$24:$O$40,DTR!AA$4,FALSE)),0)</f>
        <v>0</v>
      </c>
      <c r="AB652" s="147">
        <f>IFERROR((HLOOKUP($AH652,Target_monthwise!$D$24:$O$40,DTR!AB$4,FALSE)),0)</f>
        <v>0</v>
      </c>
      <c r="AC652" s="239">
        <f>IFERROR((HLOOKUP($AH652,Target_monthwise!$D$24:$O$40,DTR!AC$4,FALSE)),0)</f>
        <v>0</v>
      </c>
      <c r="AD652" s="239">
        <f>IFERROR((HLOOKUP($AH652,Target_monthwise!$D$24:$O$40,DTR!AD$4,FALSE)),0)</f>
        <v>0</v>
      </c>
      <c r="AE652" s="239">
        <f>IFERROR((HLOOKUP($AH652,Target_monthwise!$D$24:$O$40,DTR!AE$4,FALSE)),0)</f>
        <v>0</v>
      </c>
      <c r="AF652" s="239">
        <f>IFERROR((HLOOKUP($AH652,Target_monthwise!$D$24:$O$40,DTR!AF$4,FALSE)),0)</f>
        <v>0</v>
      </c>
      <c r="AG652" s="172">
        <f>IFERROR((HLOOKUP($AH652,Target_monthwise!$D$24:$O$40,DTR!AG$4,FALSE)),0)</f>
        <v>0</v>
      </c>
      <c r="AH652" s="253">
        <f t="shared" si="12"/>
        <v>202401</v>
      </c>
    </row>
    <row r="653" spans="3:34" ht="15.75" hidden="1">
      <c r="C653" s="235">
        <v>45296</v>
      </c>
      <c r="D653" s="141">
        <f>IFERROR((HLOOKUP($AH653,Target_monthwise!$D$4:$O$20,DTR!D$4,FALSE))*1000,0)</f>
        <v>0</v>
      </c>
      <c r="E653" s="141">
        <f>IFERROR((HLOOKUP($AH653,Target_monthwise!$D$4:$O$20,DTR!E$4,FALSE))*1000,0)</f>
        <v>0</v>
      </c>
      <c r="F653" s="141">
        <f>IFERROR((HLOOKUP($AH653,Target_monthwise!$D$4:$O$20,DTR!F$4,FALSE))*1000,0)</f>
        <v>0</v>
      </c>
      <c r="G653" s="141">
        <f>IFERROR((HLOOKUP($AH653,Target_monthwise!$D$4:$O$20,DTR!G$4,FALSE))*1000,0)</f>
        <v>0</v>
      </c>
      <c r="H653" s="141">
        <f>IFERROR((HLOOKUP($AH653,Target_monthwise!$D$4:$O$20,DTR!H$4,FALSE))*1000,0)</f>
        <v>0</v>
      </c>
      <c r="I653" s="141">
        <f>IFERROR((HLOOKUP($AH653,Target_monthwise!$D$4:$O$20,DTR!I$4,FALSE))*1000,0)</f>
        <v>0</v>
      </c>
      <c r="J653" s="141">
        <f>IFERROR((HLOOKUP($AH653,Target_monthwise!$D$4:$O$20,DTR!J$4,FALSE))*1000,0)</f>
        <v>0</v>
      </c>
      <c r="K653" s="141">
        <f>IFERROR((HLOOKUP($AH653,Target_monthwise!$D$4:$O$20,DTR!K$4,FALSE))*1000,0)</f>
        <v>0</v>
      </c>
      <c r="L653" s="141">
        <f>IFERROR((HLOOKUP($AH653,Target_monthwise!$D$4:$O$20,DTR!L$4,FALSE))*1000,0)</f>
        <v>0</v>
      </c>
      <c r="M653" s="141">
        <f>IFERROR((HLOOKUP($AH653,Target_monthwise!$D$4:$O$20,DTR!M$4,FALSE))*1000,0)</f>
        <v>0</v>
      </c>
      <c r="N653" s="141">
        <f>IFERROR((HLOOKUP($AH653,Target_monthwise!$D$4:$O$20,DTR!N$4,FALSE))*1000,0)</f>
        <v>0</v>
      </c>
      <c r="O653" s="141">
        <f>IFERROR((HLOOKUP($AH653,Target_monthwise!$D$4:$O$20,DTR!O$4,FALSE))*1000,0)</f>
        <v>0</v>
      </c>
      <c r="P653" s="141">
        <f>IFERROR((HLOOKUP($AH653,Target_monthwise!$D$4:$O$20,DTR!P$4,FALSE))*1000,0)</f>
        <v>0</v>
      </c>
      <c r="Q653" s="141">
        <f>IFERROR((HLOOKUP($AH653,Target_monthwise!$D$4:$O$20,DTR!Q$4,FALSE))*1000,0)</f>
        <v>0</v>
      </c>
      <c r="R653" s="167">
        <f>IFERROR((HLOOKUP($AH653,Target_monthwise!$D$4:$O$20,DTR!R$4,FALSE))*1000,0)</f>
        <v>0</v>
      </c>
      <c r="S653" s="147">
        <f>IFERROR((HLOOKUP($AH653,Target_monthwise!$D$24:$O$40,DTR!S$4,FALSE)),0)</f>
        <v>0</v>
      </c>
      <c r="T653" s="147">
        <f>IFERROR((HLOOKUP($AH653,Target_monthwise!$D$24:$O$40,DTR!T$4,FALSE)),0)</f>
        <v>0</v>
      </c>
      <c r="U653" s="147">
        <f>IFERROR((HLOOKUP($AH653,Target_monthwise!$D$24:$O$40,DTR!U$4,FALSE)),0)</f>
        <v>0</v>
      </c>
      <c r="V653" s="147">
        <f>IFERROR((HLOOKUP($AH653,Target_monthwise!$D$24:$O$40,DTR!V$4,FALSE)),0)</f>
        <v>0</v>
      </c>
      <c r="W653" s="147">
        <f>IFERROR((HLOOKUP($AH653,Target_monthwise!$D$24:$O$40,DTR!W$4,FALSE)),0)</f>
        <v>0</v>
      </c>
      <c r="X653" s="147">
        <f>IFERROR((HLOOKUP($AH653,Target_monthwise!$D$24:$O$40,DTR!X$4,FALSE)),0)</f>
        <v>0</v>
      </c>
      <c r="Y653" s="147">
        <f>IFERROR((HLOOKUP($AH653,Target_monthwise!$D$24:$O$40,DTR!Y$4,FALSE)),0)</f>
        <v>0</v>
      </c>
      <c r="Z653" s="147">
        <f>IFERROR((HLOOKUP($AH653,Target_monthwise!$D$24:$O$40,DTR!Z$4,FALSE)),0)</f>
        <v>0</v>
      </c>
      <c r="AA653" s="147">
        <f>IFERROR((HLOOKUP($AH653,Target_monthwise!$D$24:$O$40,DTR!AA$4,FALSE)),0)</f>
        <v>0</v>
      </c>
      <c r="AB653" s="147">
        <f>IFERROR((HLOOKUP($AH653,Target_monthwise!$D$24:$O$40,DTR!AB$4,FALSE)),0)</f>
        <v>0</v>
      </c>
      <c r="AC653" s="147">
        <f>IFERROR((HLOOKUP($AH653,Target_monthwise!$D$24:$O$40,DTR!AC$4,FALSE)),0)</f>
        <v>0</v>
      </c>
      <c r="AD653" s="147">
        <f>IFERROR((HLOOKUP($AH653,Target_monthwise!$D$24:$O$40,DTR!AD$4,FALSE)),0)</f>
        <v>0</v>
      </c>
      <c r="AE653" s="147">
        <f>IFERROR((HLOOKUP($AH653,Target_monthwise!$D$24:$O$40,DTR!AE$4,FALSE)),0)</f>
        <v>0</v>
      </c>
      <c r="AF653" s="147">
        <f>IFERROR((HLOOKUP($AH653,Target_monthwise!$D$24:$O$40,DTR!AF$4,FALSE)),0)</f>
        <v>0</v>
      </c>
      <c r="AG653" s="172">
        <f>IFERROR((HLOOKUP($AH653,Target_monthwise!$D$24:$O$40,DTR!AG$4,FALSE)),0)</f>
        <v>0</v>
      </c>
      <c r="AH653" s="253">
        <f t="shared" si="12"/>
        <v>202401</v>
      </c>
    </row>
    <row r="654" spans="3:34" ht="15.75" hidden="1">
      <c r="C654" s="237">
        <v>45297</v>
      </c>
      <c r="D654" s="238">
        <f>IFERROR((HLOOKUP($AH654,Target_monthwise!$D$4:$O$20,DTR!D$4,FALSE))*1000,0)</f>
        <v>0</v>
      </c>
      <c r="E654" s="238">
        <f>IFERROR((HLOOKUP($AH654,Target_monthwise!$D$4:$O$20,DTR!E$4,FALSE))*1000,0)</f>
        <v>0</v>
      </c>
      <c r="F654" s="238">
        <f>IFERROR((HLOOKUP($AH654,Target_monthwise!$D$4:$O$20,DTR!F$4,FALSE))*1000,0)</f>
        <v>0</v>
      </c>
      <c r="G654" s="238">
        <f>IFERROR((HLOOKUP($AH654,Target_monthwise!$D$4:$O$20,DTR!G$4,FALSE))*1000,0)</f>
        <v>0</v>
      </c>
      <c r="H654" s="238">
        <f>IFERROR((HLOOKUP($AH654,Target_monthwise!$D$4:$O$20,DTR!H$4,FALSE))*1000,0)</f>
        <v>0</v>
      </c>
      <c r="I654" s="238">
        <f>IFERROR((HLOOKUP($AH654,Target_monthwise!$D$4:$O$20,DTR!I$4,FALSE))*1000,0)</f>
        <v>0</v>
      </c>
      <c r="J654" s="238">
        <f>IFERROR((HLOOKUP($AH654,Target_monthwise!$D$4:$O$20,DTR!J$4,FALSE))*1000,0)</f>
        <v>0</v>
      </c>
      <c r="K654" s="238">
        <f>IFERROR((HLOOKUP($AH654,Target_monthwise!$D$4:$O$20,DTR!K$4,FALSE))*1000,0)</f>
        <v>0</v>
      </c>
      <c r="L654" s="238">
        <f>IFERROR((HLOOKUP($AH654,Target_monthwise!$D$4:$O$20,DTR!L$4,FALSE))*1000,0)</f>
        <v>0</v>
      </c>
      <c r="M654" s="238">
        <f>IFERROR((HLOOKUP($AH654,Target_monthwise!$D$4:$O$20,DTR!M$4,FALSE))*1000,0)</f>
        <v>0</v>
      </c>
      <c r="N654" s="238">
        <f>IFERROR((HLOOKUP($AH654,Target_monthwise!$D$4:$O$20,DTR!N$4,FALSE))*1000,0)</f>
        <v>0</v>
      </c>
      <c r="O654" s="238">
        <f>IFERROR((HLOOKUP($AH654,Target_monthwise!$D$4:$O$20,DTR!O$4,FALSE))*1000,0)</f>
        <v>0</v>
      </c>
      <c r="P654" s="238">
        <f>IFERROR((HLOOKUP($AH654,Target_monthwise!$D$4:$O$20,DTR!P$4,FALSE))*1000,0)</f>
        <v>0</v>
      </c>
      <c r="Q654" s="141">
        <f>IFERROR((HLOOKUP($AH654,Target_monthwise!$D$4:$O$20,DTR!Q$4,FALSE))*1000,0)</f>
        <v>0</v>
      </c>
      <c r="R654" s="167">
        <f>IFERROR((HLOOKUP($AH654,Target_monthwise!$D$4:$O$20,DTR!R$4,FALSE))*1000,0)</f>
        <v>0</v>
      </c>
      <c r="S654" s="239">
        <f>IFERROR((HLOOKUP($AH654,Target_monthwise!$D$24:$O$40,DTR!S$4,FALSE)),0)</f>
        <v>0</v>
      </c>
      <c r="T654" s="239">
        <f>IFERROR((HLOOKUP($AH654,Target_monthwise!$D$24:$O$40,DTR!T$4,FALSE)),0)</f>
        <v>0</v>
      </c>
      <c r="U654" s="239">
        <f>IFERROR((HLOOKUP($AH654,Target_monthwise!$D$24:$O$40,DTR!U$4,FALSE)),0)</f>
        <v>0</v>
      </c>
      <c r="V654" s="239">
        <f>IFERROR((HLOOKUP($AH654,Target_monthwise!$D$24:$O$40,DTR!V$4,FALSE)),0)</f>
        <v>0</v>
      </c>
      <c r="W654" s="239">
        <f>IFERROR((HLOOKUP($AH654,Target_monthwise!$D$24:$O$40,DTR!W$4,FALSE)),0)</f>
        <v>0</v>
      </c>
      <c r="X654" s="239">
        <f>IFERROR((HLOOKUP($AH654,Target_monthwise!$D$24:$O$40,DTR!X$4,FALSE)),0)</f>
        <v>0</v>
      </c>
      <c r="Y654" s="239">
        <f>IFERROR((HLOOKUP($AH654,Target_monthwise!$D$24:$O$40,DTR!Y$4,FALSE)),0)</f>
        <v>0</v>
      </c>
      <c r="Z654" s="147">
        <f>IFERROR((HLOOKUP($AH654,Target_monthwise!$D$24:$O$40,DTR!Z$4,FALSE)),0)</f>
        <v>0</v>
      </c>
      <c r="AA654" s="147">
        <f>IFERROR((HLOOKUP($AH654,Target_monthwise!$D$24:$O$40,DTR!AA$4,FALSE)),0)</f>
        <v>0</v>
      </c>
      <c r="AB654" s="147">
        <f>IFERROR((HLOOKUP($AH654,Target_monthwise!$D$24:$O$40,DTR!AB$4,FALSE)),0)</f>
        <v>0</v>
      </c>
      <c r="AC654" s="239">
        <f>IFERROR((HLOOKUP($AH654,Target_monthwise!$D$24:$O$40,DTR!AC$4,FALSE)),0)</f>
        <v>0</v>
      </c>
      <c r="AD654" s="239">
        <f>IFERROR((HLOOKUP($AH654,Target_monthwise!$D$24:$O$40,DTR!AD$4,FALSE)),0)</f>
        <v>0</v>
      </c>
      <c r="AE654" s="239">
        <f>IFERROR((HLOOKUP($AH654,Target_monthwise!$D$24:$O$40,DTR!AE$4,FALSE)),0)</f>
        <v>0</v>
      </c>
      <c r="AF654" s="239">
        <f>IFERROR((HLOOKUP($AH654,Target_monthwise!$D$24:$O$40,DTR!AF$4,FALSE)),0)</f>
        <v>0</v>
      </c>
      <c r="AG654" s="172">
        <f>IFERROR((HLOOKUP($AH654,Target_monthwise!$D$24:$O$40,DTR!AG$4,FALSE)),0)</f>
        <v>0</v>
      </c>
      <c r="AH654" s="253">
        <f t="shared" si="12"/>
        <v>202401</v>
      </c>
    </row>
    <row r="655" spans="3:34" ht="15.75" hidden="1">
      <c r="C655" s="235">
        <v>45298</v>
      </c>
      <c r="D655" s="141">
        <f>IFERROR((HLOOKUP($AH655,Target_monthwise!$D$4:$O$20,DTR!D$4,FALSE))*1000,0)</f>
        <v>0</v>
      </c>
      <c r="E655" s="141">
        <f>IFERROR((HLOOKUP($AH655,Target_monthwise!$D$4:$O$20,DTR!E$4,FALSE))*1000,0)</f>
        <v>0</v>
      </c>
      <c r="F655" s="141">
        <f>IFERROR((HLOOKUP($AH655,Target_monthwise!$D$4:$O$20,DTR!F$4,FALSE))*1000,0)</f>
        <v>0</v>
      </c>
      <c r="G655" s="141">
        <f>IFERROR((HLOOKUP($AH655,Target_monthwise!$D$4:$O$20,DTR!G$4,FALSE))*1000,0)</f>
        <v>0</v>
      </c>
      <c r="H655" s="141">
        <f>IFERROR((HLOOKUP($AH655,Target_monthwise!$D$4:$O$20,DTR!H$4,FALSE))*1000,0)</f>
        <v>0</v>
      </c>
      <c r="I655" s="141">
        <f>IFERROR((HLOOKUP($AH655,Target_monthwise!$D$4:$O$20,DTR!I$4,FALSE))*1000,0)</f>
        <v>0</v>
      </c>
      <c r="J655" s="141">
        <f>IFERROR((HLOOKUP($AH655,Target_monthwise!$D$4:$O$20,DTR!J$4,FALSE))*1000,0)</f>
        <v>0</v>
      </c>
      <c r="K655" s="141">
        <f>IFERROR((HLOOKUP($AH655,Target_monthwise!$D$4:$O$20,DTR!K$4,FALSE))*1000,0)</f>
        <v>0</v>
      </c>
      <c r="L655" s="141">
        <f>IFERROR((HLOOKUP($AH655,Target_monthwise!$D$4:$O$20,DTR!L$4,FALSE))*1000,0)</f>
        <v>0</v>
      </c>
      <c r="M655" s="141">
        <f>IFERROR((HLOOKUP($AH655,Target_monthwise!$D$4:$O$20,DTR!M$4,FALSE))*1000,0)</f>
        <v>0</v>
      </c>
      <c r="N655" s="141">
        <f>IFERROR((HLOOKUP($AH655,Target_monthwise!$D$4:$O$20,DTR!N$4,FALSE))*1000,0)</f>
        <v>0</v>
      </c>
      <c r="O655" s="141">
        <f>IFERROR((HLOOKUP($AH655,Target_monthwise!$D$4:$O$20,DTR!O$4,FALSE))*1000,0)</f>
        <v>0</v>
      </c>
      <c r="P655" s="141">
        <f>IFERROR((HLOOKUP($AH655,Target_monthwise!$D$4:$O$20,DTR!P$4,FALSE))*1000,0)</f>
        <v>0</v>
      </c>
      <c r="Q655" s="141">
        <f>IFERROR((HLOOKUP($AH655,Target_monthwise!$D$4:$O$20,DTR!Q$4,FALSE))*1000,0)</f>
        <v>0</v>
      </c>
      <c r="R655" s="167">
        <f>IFERROR((HLOOKUP($AH655,Target_monthwise!$D$4:$O$20,DTR!R$4,FALSE))*1000,0)</f>
        <v>0</v>
      </c>
      <c r="S655" s="147">
        <f>IFERROR((HLOOKUP($AH655,Target_monthwise!$D$24:$O$40,DTR!S$4,FALSE)),0)</f>
        <v>0</v>
      </c>
      <c r="T655" s="147">
        <f>IFERROR((HLOOKUP($AH655,Target_monthwise!$D$24:$O$40,DTR!T$4,FALSE)),0)</f>
        <v>0</v>
      </c>
      <c r="U655" s="147">
        <f>IFERROR((HLOOKUP($AH655,Target_monthwise!$D$24:$O$40,DTR!U$4,FALSE)),0)</f>
        <v>0</v>
      </c>
      <c r="V655" s="147">
        <f>IFERROR((HLOOKUP($AH655,Target_monthwise!$D$24:$O$40,DTR!V$4,FALSE)),0)</f>
        <v>0</v>
      </c>
      <c r="W655" s="147">
        <f>IFERROR((HLOOKUP($AH655,Target_monthwise!$D$24:$O$40,DTR!W$4,FALSE)),0)</f>
        <v>0</v>
      </c>
      <c r="X655" s="147">
        <f>IFERROR((HLOOKUP($AH655,Target_monthwise!$D$24:$O$40,DTR!X$4,FALSE)),0)</f>
        <v>0</v>
      </c>
      <c r="Y655" s="147">
        <f>IFERROR((HLOOKUP($AH655,Target_monthwise!$D$24:$O$40,DTR!Y$4,FALSE)),0)</f>
        <v>0</v>
      </c>
      <c r="Z655" s="147">
        <f>IFERROR((HLOOKUP($AH655,Target_monthwise!$D$24:$O$40,DTR!Z$4,FALSE)),0)</f>
        <v>0</v>
      </c>
      <c r="AA655" s="147">
        <f>IFERROR((HLOOKUP($AH655,Target_monthwise!$D$24:$O$40,DTR!AA$4,FALSE)),0)</f>
        <v>0</v>
      </c>
      <c r="AB655" s="147">
        <f>IFERROR((HLOOKUP($AH655,Target_monthwise!$D$24:$O$40,DTR!AB$4,FALSE)),0)</f>
        <v>0</v>
      </c>
      <c r="AC655" s="147">
        <f>IFERROR((HLOOKUP($AH655,Target_monthwise!$D$24:$O$40,DTR!AC$4,FALSE)),0)</f>
        <v>0</v>
      </c>
      <c r="AD655" s="147">
        <f>IFERROR((HLOOKUP($AH655,Target_monthwise!$D$24:$O$40,DTR!AD$4,FALSE)),0)</f>
        <v>0</v>
      </c>
      <c r="AE655" s="147">
        <f>IFERROR((HLOOKUP($AH655,Target_monthwise!$D$24:$O$40,DTR!AE$4,FALSE)),0)</f>
        <v>0</v>
      </c>
      <c r="AF655" s="147">
        <f>IFERROR((HLOOKUP($AH655,Target_monthwise!$D$24:$O$40,DTR!AF$4,FALSE)),0)</f>
        <v>0</v>
      </c>
      <c r="AG655" s="172">
        <f>IFERROR((HLOOKUP($AH655,Target_monthwise!$D$24:$O$40,DTR!AG$4,FALSE)),0)</f>
        <v>0</v>
      </c>
      <c r="AH655" s="253">
        <f t="shared" si="12"/>
        <v>202401</v>
      </c>
    </row>
    <row r="656" spans="3:34" ht="15.75" hidden="1">
      <c r="C656" s="237">
        <v>45299</v>
      </c>
      <c r="D656" s="238">
        <f>IFERROR((HLOOKUP($AH656,Target_monthwise!$D$4:$O$20,DTR!D$4,FALSE))*1000,0)</f>
        <v>0</v>
      </c>
      <c r="E656" s="238">
        <f>IFERROR((HLOOKUP($AH656,Target_monthwise!$D$4:$O$20,DTR!E$4,FALSE))*1000,0)</f>
        <v>0</v>
      </c>
      <c r="F656" s="238">
        <f>IFERROR((HLOOKUP($AH656,Target_monthwise!$D$4:$O$20,DTR!F$4,FALSE))*1000,0)</f>
        <v>0</v>
      </c>
      <c r="G656" s="238">
        <f>IFERROR((HLOOKUP($AH656,Target_monthwise!$D$4:$O$20,DTR!G$4,FALSE))*1000,0)</f>
        <v>0</v>
      </c>
      <c r="H656" s="238">
        <f>IFERROR((HLOOKUP($AH656,Target_monthwise!$D$4:$O$20,DTR!H$4,FALSE))*1000,0)</f>
        <v>0</v>
      </c>
      <c r="I656" s="238">
        <f>IFERROR((HLOOKUP($AH656,Target_monthwise!$D$4:$O$20,DTR!I$4,FALSE))*1000,0)</f>
        <v>0</v>
      </c>
      <c r="J656" s="238">
        <f>IFERROR((HLOOKUP($AH656,Target_monthwise!$D$4:$O$20,DTR!J$4,FALSE))*1000,0)</f>
        <v>0</v>
      </c>
      <c r="K656" s="238">
        <f>IFERROR((HLOOKUP($AH656,Target_monthwise!$D$4:$O$20,DTR!K$4,FALSE))*1000,0)</f>
        <v>0</v>
      </c>
      <c r="L656" s="238">
        <f>IFERROR((HLOOKUP($AH656,Target_monthwise!$D$4:$O$20,DTR!L$4,FALSE))*1000,0)</f>
        <v>0</v>
      </c>
      <c r="M656" s="238">
        <f>IFERROR((HLOOKUP($AH656,Target_monthwise!$D$4:$O$20,DTR!M$4,FALSE))*1000,0)</f>
        <v>0</v>
      </c>
      <c r="N656" s="238">
        <f>IFERROR((HLOOKUP($AH656,Target_monthwise!$D$4:$O$20,DTR!N$4,FALSE))*1000,0)</f>
        <v>0</v>
      </c>
      <c r="O656" s="238">
        <f>IFERROR((HLOOKUP($AH656,Target_monthwise!$D$4:$O$20,DTR!O$4,FALSE))*1000,0)</f>
        <v>0</v>
      </c>
      <c r="P656" s="238">
        <f>IFERROR((HLOOKUP($AH656,Target_monthwise!$D$4:$O$20,DTR!P$4,FALSE))*1000,0)</f>
        <v>0</v>
      </c>
      <c r="Q656" s="141">
        <f>IFERROR((HLOOKUP($AH656,Target_monthwise!$D$4:$O$20,DTR!Q$4,FALSE))*1000,0)</f>
        <v>0</v>
      </c>
      <c r="R656" s="167">
        <f>IFERROR((HLOOKUP($AH656,Target_monthwise!$D$4:$O$20,DTR!R$4,FALSE))*1000,0)</f>
        <v>0</v>
      </c>
      <c r="S656" s="239">
        <f>IFERROR((HLOOKUP($AH656,Target_monthwise!$D$24:$O$40,DTR!S$4,FALSE)),0)</f>
        <v>0</v>
      </c>
      <c r="T656" s="239">
        <f>IFERROR((HLOOKUP($AH656,Target_monthwise!$D$24:$O$40,DTR!T$4,FALSE)),0)</f>
        <v>0</v>
      </c>
      <c r="U656" s="239">
        <f>IFERROR((HLOOKUP($AH656,Target_monthwise!$D$24:$O$40,DTR!U$4,FALSE)),0)</f>
        <v>0</v>
      </c>
      <c r="V656" s="239">
        <f>IFERROR((HLOOKUP($AH656,Target_monthwise!$D$24:$O$40,DTR!V$4,FALSE)),0)</f>
        <v>0</v>
      </c>
      <c r="W656" s="239">
        <f>IFERROR((HLOOKUP($AH656,Target_monthwise!$D$24:$O$40,DTR!W$4,FALSE)),0)</f>
        <v>0</v>
      </c>
      <c r="X656" s="239">
        <f>IFERROR((HLOOKUP($AH656,Target_monthwise!$D$24:$O$40,DTR!X$4,FALSE)),0)</f>
        <v>0</v>
      </c>
      <c r="Y656" s="239">
        <f>IFERROR((HLOOKUP($AH656,Target_monthwise!$D$24:$O$40,DTR!Y$4,FALSE)),0)</f>
        <v>0</v>
      </c>
      <c r="Z656" s="147">
        <f>IFERROR((HLOOKUP($AH656,Target_monthwise!$D$24:$O$40,DTR!Z$4,FALSE)),0)</f>
        <v>0</v>
      </c>
      <c r="AA656" s="147">
        <f>IFERROR((HLOOKUP($AH656,Target_monthwise!$D$24:$O$40,DTR!AA$4,FALSE)),0)</f>
        <v>0</v>
      </c>
      <c r="AB656" s="147">
        <f>IFERROR((HLOOKUP($AH656,Target_monthwise!$D$24:$O$40,DTR!AB$4,FALSE)),0)</f>
        <v>0</v>
      </c>
      <c r="AC656" s="239">
        <f>IFERROR((HLOOKUP($AH656,Target_monthwise!$D$24:$O$40,DTR!AC$4,FALSE)),0)</f>
        <v>0</v>
      </c>
      <c r="AD656" s="239">
        <f>IFERROR((HLOOKUP($AH656,Target_monthwise!$D$24:$O$40,DTR!AD$4,FALSE)),0)</f>
        <v>0</v>
      </c>
      <c r="AE656" s="239">
        <f>IFERROR((HLOOKUP($AH656,Target_monthwise!$D$24:$O$40,DTR!AE$4,FALSE)),0)</f>
        <v>0</v>
      </c>
      <c r="AF656" s="239">
        <f>IFERROR((HLOOKUP($AH656,Target_monthwise!$D$24:$O$40,DTR!AF$4,FALSE)),0)</f>
        <v>0</v>
      </c>
      <c r="AG656" s="172">
        <f>IFERROR((HLOOKUP($AH656,Target_monthwise!$D$24:$O$40,DTR!AG$4,FALSE)),0)</f>
        <v>0</v>
      </c>
      <c r="AH656" s="253">
        <f t="shared" si="12"/>
        <v>202401</v>
      </c>
    </row>
    <row r="657" spans="3:34" ht="15.75" hidden="1">
      <c r="C657" s="235">
        <v>45300</v>
      </c>
      <c r="D657" s="141">
        <f>IFERROR((HLOOKUP($AH657,Target_monthwise!$D$4:$O$20,DTR!D$4,FALSE))*1000,0)</f>
        <v>0</v>
      </c>
      <c r="E657" s="141">
        <f>IFERROR((HLOOKUP($AH657,Target_monthwise!$D$4:$O$20,DTR!E$4,FALSE))*1000,0)</f>
        <v>0</v>
      </c>
      <c r="F657" s="141">
        <f>IFERROR((HLOOKUP($AH657,Target_monthwise!$D$4:$O$20,DTR!F$4,FALSE))*1000,0)</f>
        <v>0</v>
      </c>
      <c r="G657" s="141">
        <f>IFERROR((HLOOKUP($AH657,Target_monthwise!$D$4:$O$20,DTR!G$4,FALSE))*1000,0)</f>
        <v>0</v>
      </c>
      <c r="H657" s="141">
        <f>IFERROR((HLOOKUP($AH657,Target_monthwise!$D$4:$O$20,DTR!H$4,FALSE))*1000,0)</f>
        <v>0</v>
      </c>
      <c r="I657" s="141">
        <f>IFERROR((HLOOKUP($AH657,Target_monthwise!$D$4:$O$20,DTR!I$4,FALSE))*1000,0)</f>
        <v>0</v>
      </c>
      <c r="J657" s="141">
        <f>IFERROR((HLOOKUP($AH657,Target_monthwise!$D$4:$O$20,DTR!J$4,FALSE))*1000,0)</f>
        <v>0</v>
      </c>
      <c r="K657" s="141">
        <f>IFERROR((HLOOKUP($AH657,Target_monthwise!$D$4:$O$20,DTR!K$4,FALSE))*1000,0)</f>
        <v>0</v>
      </c>
      <c r="L657" s="141">
        <f>IFERROR((HLOOKUP($AH657,Target_monthwise!$D$4:$O$20,DTR!L$4,FALSE))*1000,0)</f>
        <v>0</v>
      </c>
      <c r="M657" s="141">
        <f>IFERROR((HLOOKUP($AH657,Target_monthwise!$D$4:$O$20,DTR!M$4,FALSE))*1000,0)</f>
        <v>0</v>
      </c>
      <c r="N657" s="141">
        <f>IFERROR((HLOOKUP($AH657,Target_monthwise!$D$4:$O$20,DTR!N$4,FALSE))*1000,0)</f>
        <v>0</v>
      </c>
      <c r="O657" s="141">
        <f>IFERROR((HLOOKUP($AH657,Target_monthwise!$D$4:$O$20,DTR!O$4,FALSE))*1000,0)</f>
        <v>0</v>
      </c>
      <c r="P657" s="141">
        <f>IFERROR((HLOOKUP($AH657,Target_monthwise!$D$4:$O$20,DTR!P$4,FALSE))*1000,0)</f>
        <v>0</v>
      </c>
      <c r="Q657" s="141">
        <f>IFERROR((HLOOKUP($AH657,Target_monthwise!$D$4:$O$20,DTR!Q$4,FALSE))*1000,0)</f>
        <v>0</v>
      </c>
      <c r="R657" s="167">
        <f>IFERROR((HLOOKUP($AH657,Target_monthwise!$D$4:$O$20,DTR!R$4,FALSE))*1000,0)</f>
        <v>0</v>
      </c>
      <c r="S657" s="147">
        <f>IFERROR((HLOOKUP($AH657,Target_monthwise!$D$24:$O$40,DTR!S$4,FALSE)),0)</f>
        <v>0</v>
      </c>
      <c r="T657" s="147">
        <f>IFERROR((HLOOKUP($AH657,Target_monthwise!$D$24:$O$40,DTR!T$4,FALSE)),0)</f>
        <v>0</v>
      </c>
      <c r="U657" s="147">
        <f>IFERROR((HLOOKUP($AH657,Target_monthwise!$D$24:$O$40,DTR!U$4,FALSE)),0)</f>
        <v>0</v>
      </c>
      <c r="V657" s="147">
        <f>IFERROR((HLOOKUP($AH657,Target_monthwise!$D$24:$O$40,DTR!V$4,FALSE)),0)</f>
        <v>0</v>
      </c>
      <c r="W657" s="147">
        <f>IFERROR((HLOOKUP($AH657,Target_monthwise!$D$24:$O$40,DTR!W$4,FALSE)),0)</f>
        <v>0</v>
      </c>
      <c r="X657" s="147">
        <f>IFERROR((HLOOKUP($AH657,Target_monthwise!$D$24:$O$40,DTR!X$4,FALSE)),0)</f>
        <v>0</v>
      </c>
      <c r="Y657" s="147">
        <f>IFERROR((HLOOKUP($AH657,Target_monthwise!$D$24:$O$40,DTR!Y$4,FALSE)),0)</f>
        <v>0</v>
      </c>
      <c r="Z657" s="147">
        <f>IFERROR((HLOOKUP($AH657,Target_monthwise!$D$24:$O$40,DTR!Z$4,FALSE)),0)</f>
        <v>0</v>
      </c>
      <c r="AA657" s="147">
        <f>IFERROR((HLOOKUP($AH657,Target_monthwise!$D$24:$O$40,DTR!AA$4,FALSE)),0)</f>
        <v>0</v>
      </c>
      <c r="AB657" s="147">
        <f>IFERROR((HLOOKUP($AH657,Target_monthwise!$D$24:$O$40,DTR!AB$4,FALSE)),0)</f>
        <v>0</v>
      </c>
      <c r="AC657" s="147">
        <f>IFERROR((HLOOKUP($AH657,Target_monthwise!$D$24:$O$40,DTR!AC$4,FALSE)),0)</f>
        <v>0</v>
      </c>
      <c r="AD657" s="147">
        <f>IFERROR((HLOOKUP($AH657,Target_monthwise!$D$24:$O$40,DTR!AD$4,FALSE)),0)</f>
        <v>0</v>
      </c>
      <c r="AE657" s="147">
        <f>IFERROR((HLOOKUP($AH657,Target_monthwise!$D$24:$O$40,DTR!AE$4,FALSE)),0)</f>
        <v>0</v>
      </c>
      <c r="AF657" s="147">
        <f>IFERROR((HLOOKUP($AH657,Target_monthwise!$D$24:$O$40,DTR!AF$4,FALSE)),0)</f>
        <v>0</v>
      </c>
      <c r="AG657" s="172">
        <f>IFERROR((HLOOKUP($AH657,Target_monthwise!$D$24:$O$40,DTR!AG$4,FALSE)),0)</f>
        <v>0</v>
      </c>
      <c r="AH657" s="253">
        <f t="shared" si="12"/>
        <v>202401</v>
      </c>
    </row>
    <row r="658" spans="3:34" ht="15.75" hidden="1">
      <c r="C658" s="237">
        <v>45301</v>
      </c>
      <c r="D658" s="238">
        <f>IFERROR((HLOOKUP($AH658,Target_monthwise!$D$4:$O$20,DTR!D$4,FALSE))*1000,0)</f>
        <v>0</v>
      </c>
      <c r="E658" s="238">
        <f>IFERROR((HLOOKUP($AH658,Target_monthwise!$D$4:$O$20,DTR!E$4,FALSE))*1000,0)</f>
        <v>0</v>
      </c>
      <c r="F658" s="238">
        <f>IFERROR((HLOOKUP($AH658,Target_monthwise!$D$4:$O$20,DTR!F$4,FALSE))*1000,0)</f>
        <v>0</v>
      </c>
      <c r="G658" s="238">
        <f>IFERROR((HLOOKUP($AH658,Target_monthwise!$D$4:$O$20,DTR!G$4,FALSE))*1000,0)</f>
        <v>0</v>
      </c>
      <c r="H658" s="238">
        <f>IFERROR((HLOOKUP($AH658,Target_monthwise!$D$4:$O$20,DTR!H$4,FALSE))*1000,0)</f>
        <v>0</v>
      </c>
      <c r="I658" s="238">
        <f>IFERROR((HLOOKUP($AH658,Target_monthwise!$D$4:$O$20,DTR!I$4,FALSE))*1000,0)</f>
        <v>0</v>
      </c>
      <c r="J658" s="238">
        <f>IFERROR((HLOOKUP($AH658,Target_monthwise!$D$4:$O$20,DTR!J$4,FALSE))*1000,0)</f>
        <v>0</v>
      </c>
      <c r="K658" s="238">
        <f>IFERROR((HLOOKUP($AH658,Target_monthwise!$D$4:$O$20,DTR!K$4,FALSE))*1000,0)</f>
        <v>0</v>
      </c>
      <c r="L658" s="238">
        <f>IFERROR((HLOOKUP($AH658,Target_monthwise!$D$4:$O$20,DTR!L$4,FALSE))*1000,0)</f>
        <v>0</v>
      </c>
      <c r="M658" s="238">
        <f>IFERROR((HLOOKUP($AH658,Target_monthwise!$D$4:$O$20,DTR!M$4,FALSE))*1000,0)</f>
        <v>0</v>
      </c>
      <c r="N658" s="238">
        <f>IFERROR((HLOOKUP($AH658,Target_monthwise!$D$4:$O$20,DTR!N$4,FALSE))*1000,0)</f>
        <v>0</v>
      </c>
      <c r="O658" s="238">
        <f>IFERROR((HLOOKUP($AH658,Target_monthwise!$D$4:$O$20,DTR!O$4,FALSE))*1000,0)</f>
        <v>0</v>
      </c>
      <c r="P658" s="238">
        <f>IFERROR((HLOOKUP($AH658,Target_monthwise!$D$4:$O$20,DTR!P$4,FALSE))*1000,0)</f>
        <v>0</v>
      </c>
      <c r="Q658" s="141">
        <f>IFERROR((HLOOKUP($AH658,Target_monthwise!$D$4:$O$20,DTR!Q$4,FALSE))*1000,0)</f>
        <v>0</v>
      </c>
      <c r="R658" s="167">
        <f>IFERROR((HLOOKUP($AH658,Target_monthwise!$D$4:$O$20,DTR!R$4,FALSE))*1000,0)</f>
        <v>0</v>
      </c>
      <c r="S658" s="239">
        <f>IFERROR((HLOOKUP($AH658,Target_monthwise!$D$24:$O$40,DTR!S$4,FALSE)),0)</f>
        <v>0</v>
      </c>
      <c r="T658" s="239">
        <f>IFERROR((HLOOKUP($AH658,Target_monthwise!$D$24:$O$40,DTR!T$4,FALSE)),0)</f>
        <v>0</v>
      </c>
      <c r="U658" s="239">
        <f>IFERROR((HLOOKUP($AH658,Target_monthwise!$D$24:$O$40,DTR!U$4,FALSE)),0)</f>
        <v>0</v>
      </c>
      <c r="V658" s="239">
        <f>IFERROR((HLOOKUP($AH658,Target_monthwise!$D$24:$O$40,DTR!V$4,FALSE)),0)</f>
        <v>0</v>
      </c>
      <c r="W658" s="239">
        <f>IFERROR((HLOOKUP($AH658,Target_monthwise!$D$24:$O$40,DTR!W$4,FALSE)),0)</f>
        <v>0</v>
      </c>
      <c r="X658" s="239">
        <f>IFERROR((HLOOKUP($AH658,Target_monthwise!$D$24:$O$40,DTR!X$4,FALSE)),0)</f>
        <v>0</v>
      </c>
      <c r="Y658" s="239">
        <f>IFERROR((HLOOKUP($AH658,Target_monthwise!$D$24:$O$40,DTR!Y$4,FALSE)),0)</f>
        <v>0</v>
      </c>
      <c r="Z658" s="147">
        <f>IFERROR((HLOOKUP($AH658,Target_monthwise!$D$24:$O$40,DTR!Z$4,FALSE)),0)</f>
        <v>0</v>
      </c>
      <c r="AA658" s="147">
        <f>IFERROR((HLOOKUP($AH658,Target_monthwise!$D$24:$O$40,DTR!AA$4,FALSE)),0)</f>
        <v>0</v>
      </c>
      <c r="AB658" s="147">
        <f>IFERROR((HLOOKUP($AH658,Target_monthwise!$D$24:$O$40,DTR!AB$4,FALSE)),0)</f>
        <v>0</v>
      </c>
      <c r="AC658" s="239">
        <f>IFERROR((HLOOKUP($AH658,Target_monthwise!$D$24:$O$40,DTR!AC$4,FALSE)),0)</f>
        <v>0</v>
      </c>
      <c r="AD658" s="239">
        <f>IFERROR((HLOOKUP($AH658,Target_monthwise!$D$24:$O$40,DTR!AD$4,FALSE)),0)</f>
        <v>0</v>
      </c>
      <c r="AE658" s="239">
        <f>IFERROR((HLOOKUP($AH658,Target_monthwise!$D$24:$O$40,DTR!AE$4,FALSE)),0)</f>
        <v>0</v>
      </c>
      <c r="AF658" s="239">
        <f>IFERROR((HLOOKUP($AH658,Target_monthwise!$D$24:$O$40,DTR!AF$4,FALSE)),0)</f>
        <v>0</v>
      </c>
      <c r="AG658" s="172">
        <f>IFERROR((HLOOKUP($AH658,Target_monthwise!$D$24:$O$40,DTR!AG$4,FALSE)),0)</f>
        <v>0</v>
      </c>
      <c r="AH658" s="253">
        <f t="shared" si="12"/>
        <v>202401</v>
      </c>
    </row>
    <row r="659" spans="3:34" ht="15.75" hidden="1">
      <c r="C659" s="235">
        <v>45302</v>
      </c>
      <c r="D659" s="141">
        <f>IFERROR((HLOOKUP($AH659,Target_monthwise!$D$4:$O$20,DTR!D$4,FALSE))*1000,0)</f>
        <v>0</v>
      </c>
      <c r="E659" s="141">
        <f>IFERROR((HLOOKUP($AH659,Target_monthwise!$D$4:$O$20,DTR!E$4,FALSE))*1000,0)</f>
        <v>0</v>
      </c>
      <c r="F659" s="141">
        <f>IFERROR((HLOOKUP($AH659,Target_monthwise!$D$4:$O$20,DTR!F$4,FALSE))*1000,0)</f>
        <v>0</v>
      </c>
      <c r="G659" s="141">
        <f>IFERROR((HLOOKUP($AH659,Target_monthwise!$D$4:$O$20,DTR!G$4,FALSE))*1000,0)</f>
        <v>0</v>
      </c>
      <c r="H659" s="141">
        <f>IFERROR((HLOOKUP($AH659,Target_monthwise!$D$4:$O$20,DTR!H$4,FALSE))*1000,0)</f>
        <v>0</v>
      </c>
      <c r="I659" s="141">
        <f>IFERROR((HLOOKUP($AH659,Target_monthwise!$D$4:$O$20,DTR!I$4,FALSE))*1000,0)</f>
        <v>0</v>
      </c>
      <c r="J659" s="141">
        <f>IFERROR((HLOOKUP($AH659,Target_monthwise!$D$4:$O$20,DTR!J$4,FALSE))*1000,0)</f>
        <v>0</v>
      </c>
      <c r="K659" s="141">
        <f>IFERROR((HLOOKUP($AH659,Target_monthwise!$D$4:$O$20,DTR!K$4,FALSE))*1000,0)</f>
        <v>0</v>
      </c>
      <c r="L659" s="141">
        <f>IFERROR((HLOOKUP($AH659,Target_monthwise!$D$4:$O$20,DTR!L$4,FALSE))*1000,0)</f>
        <v>0</v>
      </c>
      <c r="M659" s="141">
        <f>IFERROR((HLOOKUP($AH659,Target_monthwise!$D$4:$O$20,DTR!M$4,FALSE))*1000,0)</f>
        <v>0</v>
      </c>
      <c r="N659" s="141">
        <f>IFERROR((HLOOKUP($AH659,Target_monthwise!$D$4:$O$20,DTR!N$4,FALSE))*1000,0)</f>
        <v>0</v>
      </c>
      <c r="O659" s="141">
        <f>IFERROR((HLOOKUP($AH659,Target_monthwise!$D$4:$O$20,DTR!O$4,FALSE))*1000,0)</f>
        <v>0</v>
      </c>
      <c r="P659" s="141">
        <f>IFERROR((HLOOKUP($AH659,Target_monthwise!$D$4:$O$20,DTR!P$4,FALSE))*1000,0)</f>
        <v>0</v>
      </c>
      <c r="Q659" s="141">
        <f>IFERROR((HLOOKUP($AH659,Target_monthwise!$D$4:$O$20,DTR!Q$4,FALSE))*1000,0)</f>
        <v>0</v>
      </c>
      <c r="R659" s="167">
        <f>IFERROR((HLOOKUP($AH659,Target_monthwise!$D$4:$O$20,DTR!R$4,FALSE))*1000,0)</f>
        <v>0</v>
      </c>
      <c r="S659" s="147">
        <f>IFERROR((HLOOKUP($AH659,Target_monthwise!$D$24:$O$40,DTR!S$4,FALSE)),0)</f>
        <v>0</v>
      </c>
      <c r="T659" s="147">
        <f>IFERROR((HLOOKUP($AH659,Target_monthwise!$D$24:$O$40,DTR!T$4,FALSE)),0)</f>
        <v>0</v>
      </c>
      <c r="U659" s="147">
        <f>IFERROR((HLOOKUP($AH659,Target_monthwise!$D$24:$O$40,DTR!U$4,FALSE)),0)</f>
        <v>0</v>
      </c>
      <c r="V659" s="147">
        <f>IFERROR((HLOOKUP($AH659,Target_monthwise!$D$24:$O$40,DTR!V$4,FALSE)),0)</f>
        <v>0</v>
      </c>
      <c r="W659" s="147">
        <f>IFERROR((HLOOKUP($AH659,Target_monthwise!$D$24:$O$40,DTR!W$4,FALSE)),0)</f>
        <v>0</v>
      </c>
      <c r="X659" s="147">
        <f>IFERROR((HLOOKUP($AH659,Target_monthwise!$D$24:$O$40,DTR!X$4,FALSE)),0)</f>
        <v>0</v>
      </c>
      <c r="Y659" s="147">
        <f>IFERROR((HLOOKUP($AH659,Target_monthwise!$D$24:$O$40,DTR!Y$4,FALSE)),0)</f>
        <v>0</v>
      </c>
      <c r="Z659" s="147">
        <f>IFERROR((HLOOKUP($AH659,Target_monthwise!$D$24:$O$40,DTR!Z$4,FALSE)),0)</f>
        <v>0</v>
      </c>
      <c r="AA659" s="147">
        <f>IFERROR((HLOOKUP($AH659,Target_monthwise!$D$24:$O$40,DTR!AA$4,FALSE)),0)</f>
        <v>0</v>
      </c>
      <c r="AB659" s="147">
        <f>IFERROR((HLOOKUP($AH659,Target_monthwise!$D$24:$O$40,DTR!AB$4,FALSE)),0)</f>
        <v>0</v>
      </c>
      <c r="AC659" s="147">
        <f>IFERROR((HLOOKUP($AH659,Target_monthwise!$D$24:$O$40,DTR!AC$4,FALSE)),0)</f>
        <v>0</v>
      </c>
      <c r="AD659" s="147">
        <f>IFERROR((HLOOKUP($AH659,Target_monthwise!$D$24:$O$40,DTR!AD$4,FALSE)),0)</f>
        <v>0</v>
      </c>
      <c r="AE659" s="147">
        <f>IFERROR((HLOOKUP($AH659,Target_monthwise!$D$24:$O$40,DTR!AE$4,FALSE)),0)</f>
        <v>0</v>
      </c>
      <c r="AF659" s="147">
        <f>IFERROR((HLOOKUP($AH659,Target_monthwise!$D$24:$O$40,DTR!AF$4,FALSE)),0)</f>
        <v>0</v>
      </c>
      <c r="AG659" s="172">
        <f>IFERROR((HLOOKUP($AH659,Target_monthwise!$D$24:$O$40,DTR!AG$4,FALSE)),0)</f>
        <v>0</v>
      </c>
      <c r="AH659" s="253">
        <f t="shared" si="12"/>
        <v>202401</v>
      </c>
    </row>
    <row r="660" spans="3:34" ht="15.75" hidden="1">
      <c r="C660" s="237">
        <v>45303</v>
      </c>
      <c r="D660" s="238">
        <f>IFERROR((HLOOKUP($AH660,Target_monthwise!$D$4:$O$20,DTR!D$4,FALSE))*1000,0)</f>
        <v>0</v>
      </c>
      <c r="E660" s="238">
        <f>IFERROR((HLOOKUP($AH660,Target_monthwise!$D$4:$O$20,DTR!E$4,FALSE))*1000,0)</f>
        <v>0</v>
      </c>
      <c r="F660" s="238">
        <f>IFERROR((HLOOKUP($AH660,Target_monthwise!$D$4:$O$20,DTR!F$4,FALSE))*1000,0)</f>
        <v>0</v>
      </c>
      <c r="G660" s="238">
        <f>IFERROR((HLOOKUP($AH660,Target_monthwise!$D$4:$O$20,DTR!G$4,FALSE))*1000,0)</f>
        <v>0</v>
      </c>
      <c r="H660" s="238">
        <f>IFERROR((HLOOKUP($AH660,Target_monthwise!$D$4:$O$20,DTR!H$4,FALSE))*1000,0)</f>
        <v>0</v>
      </c>
      <c r="I660" s="238">
        <f>IFERROR((HLOOKUP($AH660,Target_monthwise!$D$4:$O$20,DTR!I$4,FALSE))*1000,0)</f>
        <v>0</v>
      </c>
      <c r="J660" s="238">
        <f>IFERROR((HLOOKUP($AH660,Target_monthwise!$D$4:$O$20,DTR!J$4,FALSE))*1000,0)</f>
        <v>0</v>
      </c>
      <c r="K660" s="238">
        <f>IFERROR((HLOOKUP($AH660,Target_monthwise!$D$4:$O$20,DTR!K$4,FALSE))*1000,0)</f>
        <v>0</v>
      </c>
      <c r="L660" s="238">
        <f>IFERROR((HLOOKUP($AH660,Target_monthwise!$D$4:$O$20,DTR!L$4,FALSE))*1000,0)</f>
        <v>0</v>
      </c>
      <c r="M660" s="238">
        <f>IFERROR((HLOOKUP($AH660,Target_monthwise!$D$4:$O$20,DTR!M$4,FALSE))*1000,0)</f>
        <v>0</v>
      </c>
      <c r="N660" s="238">
        <f>IFERROR((HLOOKUP($AH660,Target_monthwise!$D$4:$O$20,DTR!N$4,FALSE))*1000,0)</f>
        <v>0</v>
      </c>
      <c r="O660" s="238">
        <f>IFERROR((HLOOKUP($AH660,Target_monthwise!$D$4:$O$20,DTR!O$4,FALSE))*1000,0)</f>
        <v>0</v>
      </c>
      <c r="P660" s="238">
        <f>IFERROR((HLOOKUP($AH660,Target_monthwise!$D$4:$O$20,DTR!P$4,FALSE))*1000,0)</f>
        <v>0</v>
      </c>
      <c r="Q660" s="141">
        <f>IFERROR((HLOOKUP($AH660,Target_monthwise!$D$4:$O$20,DTR!Q$4,FALSE))*1000,0)</f>
        <v>0</v>
      </c>
      <c r="R660" s="167">
        <f>IFERROR((HLOOKUP($AH660,Target_monthwise!$D$4:$O$20,DTR!R$4,FALSE))*1000,0)</f>
        <v>0</v>
      </c>
      <c r="S660" s="239">
        <f>IFERROR((HLOOKUP($AH660,Target_monthwise!$D$24:$O$40,DTR!S$4,FALSE)),0)</f>
        <v>0</v>
      </c>
      <c r="T660" s="239">
        <f>IFERROR((HLOOKUP($AH660,Target_monthwise!$D$24:$O$40,DTR!T$4,FALSE)),0)</f>
        <v>0</v>
      </c>
      <c r="U660" s="239">
        <f>IFERROR((HLOOKUP($AH660,Target_monthwise!$D$24:$O$40,DTR!U$4,FALSE)),0)</f>
        <v>0</v>
      </c>
      <c r="V660" s="239">
        <f>IFERROR((HLOOKUP($AH660,Target_monthwise!$D$24:$O$40,DTR!V$4,FALSE)),0)</f>
        <v>0</v>
      </c>
      <c r="W660" s="239">
        <f>IFERROR((HLOOKUP($AH660,Target_monthwise!$D$24:$O$40,DTR!W$4,FALSE)),0)</f>
        <v>0</v>
      </c>
      <c r="X660" s="239">
        <f>IFERROR((HLOOKUP($AH660,Target_monthwise!$D$24:$O$40,DTR!X$4,FALSE)),0)</f>
        <v>0</v>
      </c>
      <c r="Y660" s="239">
        <f>IFERROR((HLOOKUP($AH660,Target_monthwise!$D$24:$O$40,DTR!Y$4,FALSE)),0)</f>
        <v>0</v>
      </c>
      <c r="Z660" s="147">
        <f>IFERROR((HLOOKUP($AH660,Target_monthwise!$D$24:$O$40,DTR!Z$4,FALSE)),0)</f>
        <v>0</v>
      </c>
      <c r="AA660" s="147">
        <f>IFERROR((HLOOKUP($AH660,Target_monthwise!$D$24:$O$40,DTR!AA$4,FALSE)),0)</f>
        <v>0</v>
      </c>
      <c r="AB660" s="147">
        <f>IFERROR((HLOOKUP($AH660,Target_monthwise!$D$24:$O$40,DTR!AB$4,FALSE)),0)</f>
        <v>0</v>
      </c>
      <c r="AC660" s="239">
        <f>IFERROR((HLOOKUP($AH660,Target_monthwise!$D$24:$O$40,DTR!AC$4,FALSE)),0)</f>
        <v>0</v>
      </c>
      <c r="AD660" s="239">
        <f>IFERROR((HLOOKUP($AH660,Target_monthwise!$D$24:$O$40,DTR!AD$4,FALSE)),0)</f>
        <v>0</v>
      </c>
      <c r="AE660" s="239">
        <f>IFERROR((HLOOKUP($AH660,Target_monthwise!$D$24:$O$40,DTR!AE$4,FALSE)),0)</f>
        <v>0</v>
      </c>
      <c r="AF660" s="239">
        <f>IFERROR((HLOOKUP($AH660,Target_monthwise!$D$24:$O$40,DTR!AF$4,FALSE)),0)</f>
        <v>0</v>
      </c>
      <c r="AG660" s="172">
        <f>IFERROR((HLOOKUP($AH660,Target_monthwise!$D$24:$O$40,DTR!AG$4,FALSE)),0)</f>
        <v>0</v>
      </c>
      <c r="AH660" s="253">
        <f t="shared" si="12"/>
        <v>202401</v>
      </c>
    </row>
    <row r="661" spans="3:34" ht="15.75" hidden="1">
      <c r="C661" s="235">
        <v>45304</v>
      </c>
      <c r="D661" s="141">
        <f>IFERROR((HLOOKUP($AH661,Target_monthwise!$D$4:$O$20,DTR!D$4,FALSE))*1000,0)</f>
        <v>0</v>
      </c>
      <c r="E661" s="141">
        <f>IFERROR((HLOOKUP($AH661,Target_monthwise!$D$4:$O$20,DTR!E$4,FALSE))*1000,0)</f>
        <v>0</v>
      </c>
      <c r="F661" s="141">
        <f>IFERROR((HLOOKUP($AH661,Target_monthwise!$D$4:$O$20,DTR!F$4,FALSE))*1000,0)</f>
        <v>0</v>
      </c>
      <c r="G661" s="141">
        <f>IFERROR((HLOOKUP($AH661,Target_monthwise!$D$4:$O$20,DTR!G$4,FALSE))*1000,0)</f>
        <v>0</v>
      </c>
      <c r="H661" s="141">
        <f>IFERROR((HLOOKUP($AH661,Target_monthwise!$D$4:$O$20,DTR!H$4,FALSE))*1000,0)</f>
        <v>0</v>
      </c>
      <c r="I661" s="141">
        <f>IFERROR((HLOOKUP($AH661,Target_monthwise!$D$4:$O$20,DTR!I$4,FALSE))*1000,0)</f>
        <v>0</v>
      </c>
      <c r="J661" s="141">
        <f>IFERROR((HLOOKUP($AH661,Target_monthwise!$D$4:$O$20,DTR!J$4,FALSE))*1000,0)</f>
        <v>0</v>
      </c>
      <c r="K661" s="141">
        <f>IFERROR((HLOOKUP($AH661,Target_monthwise!$D$4:$O$20,DTR!K$4,FALSE))*1000,0)</f>
        <v>0</v>
      </c>
      <c r="L661" s="141">
        <f>IFERROR((HLOOKUP($AH661,Target_monthwise!$D$4:$O$20,DTR!L$4,FALSE))*1000,0)</f>
        <v>0</v>
      </c>
      <c r="M661" s="141">
        <f>IFERROR((HLOOKUP($AH661,Target_monthwise!$D$4:$O$20,DTR!M$4,FALSE))*1000,0)</f>
        <v>0</v>
      </c>
      <c r="N661" s="141">
        <f>IFERROR((HLOOKUP($AH661,Target_monthwise!$D$4:$O$20,DTR!N$4,FALSE))*1000,0)</f>
        <v>0</v>
      </c>
      <c r="O661" s="141">
        <f>IFERROR((HLOOKUP($AH661,Target_monthwise!$D$4:$O$20,DTR!O$4,FALSE))*1000,0)</f>
        <v>0</v>
      </c>
      <c r="P661" s="141">
        <f>IFERROR((HLOOKUP($AH661,Target_monthwise!$D$4:$O$20,DTR!P$4,FALSE))*1000,0)</f>
        <v>0</v>
      </c>
      <c r="Q661" s="141">
        <f>IFERROR((HLOOKUP($AH661,Target_monthwise!$D$4:$O$20,DTR!Q$4,FALSE))*1000,0)</f>
        <v>0</v>
      </c>
      <c r="R661" s="167">
        <f>IFERROR((HLOOKUP($AH661,Target_monthwise!$D$4:$O$20,DTR!R$4,FALSE))*1000,0)</f>
        <v>0</v>
      </c>
      <c r="S661" s="147">
        <f>IFERROR((HLOOKUP($AH661,Target_monthwise!$D$24:$O$40,DTR!S$4,FALSE)),0)</f>
        <v>0</v>
      </c>
      <c r="T661" s="147">
        <f>IFERROR((HLOOKUP($AH661,Target_monthwise!$D$24:$O$40,DTR!T$4,FALSE)),0)</f>
        <v>0</v>
      </c>
      <c r="U661" s="147">
        <f>IFERROR((HLOOKUP($AH661,Target_monthwise!$D$24:$O$40,DTR!U$4,FALSE)),0)</f>
        <v>0</v>
      </c>
      <c r="V661" s="147">
        <f>IFERROR((HLOOKUP($AH661,Target_monthwise!$D$24:$O$40,DTR!V$4,FALSE)),0)</f>
        <v>0</v>
      </c>
      <c r="W661" s="147">
        <f>IFERROR((HLOOKUP($AH661,Target_monthwise!$D$24:$O$40,DTR!W$4,FALSE)),0)</f>
        <v>0</v>
      </c>
      <c r="X661" s="147">
        <f>IFERROR((HLOOKUP($AH661,Target_monthwise!$D$24:$O$40,DTR!X$4,FALSE)),0)</f>
        <v>0</v>
      </c>
      <c r="Y661" s="147">
        <f>IFERROR((HLOOKUP($AH661,Target_monthwise!$D$24:$O$40,DTR!Y$4,FALSE)),0)</f>
        <v>0</v>
      </c>
      <c r="Z661" s="147">
        <f>IFERROR((HLOOKUP($AH661,Target_monthwise!$D$24:$O$40,DTR!Z$4,FALSE)),0)</f>
        <v>0</v>
      </c>
      <c r="AA661" s="147">
        <f>IFERROR((HLOOKUP($AH661,Target_monthwise!$D$24:$O$40,DTR!AA$4,FALSE)),0)</f>
        <v>0</v>
      </c>
      <c r="AB661" s="147">
        <f>IFERROR((HLOOKUP($AH661,Target_monthwise!$D$24:$O$40,DTR!AB$4,FALSE)),0)</f>
        <v>0</v>
      </c>
      <c r="AC661" s="147">
        <f>IFERROR((HLOOKUP($AH661,Target_monthwise!$D$24:$O$40,DTR!AC$4,FALSE)),0)</f>
        <v>0</v>
      </c>
      <c r="AD661" s="147">
        <f>IFERROR((HLOOKUP($AH661,Target_monthwise!$D$24:$O$40,DTR!AD$4,FALSE)),0)</f>
        <v>0</v>
      </c>
      <c r="AE661" s="147">
        <f>IFERROR((HLOOKUP($AH661,Target_monthwise!$D$24:$O$40,DTR!AE$4,FALSE)),0)</f>
        <v>0</v>
      </c>
      <c r="AF661" s="147">
        <f>IFERROR((HLOOKUP($AH661,Target_monthwise!$D$24:$O$40,DTR!AF$4,FALSE)),0)</f>
        <v>0</v>
      </c>
      <c r="AG661" s="172">
        <f>IFERROR((HLOOKUP($AH661,Target_monthwise!$D$24:$O$40,DTR!AG$4,FALSE)),0)</f>
        <v>0</v>
      </c>
      <c r="AH661" s="253">
        <f t="shared" si="12"/>
        <v>202401</v>
      </c>
    </row>
    <row r="662" spans="3:34" ht="15.75" hidden="1">
      <c r="C662" s="237">
        <v>45305</v>
      </c>
      <c r="D662" s="238">
        <f>IFERROR((HLOOKUP($AH662,Target_monthwise!$D$4:$O$20,DTR!D$4,FALSE))*1000,0)</f>
        <v>0</v>
      </c>
      <c r="E662" s="238">
        <f>IFERROR((HLOOKUP($AH662,Target_monthwise!$D$4:$O$20,DTR!E$4,FALSE))*1000,0)</f>
        <v>0</v>
      </c>
      <c r="F662" s="238">
        <f>IFERROR((HLOOKUP($AH662,Target_monthwise!$D$4:$O$20,DTR!F$4,FALSE))*1000,0)</f>
        <v>0</v>
      </c>
      <c r="G662" s="238">
        <f>IFERROR((HLOOKUP($AH662,Target_monthwise!$D$4:$O$20,DTR!G$4,FALSE))*1000,0)</f>
        <v>0</v>
      </c>
      <c r="H662" s="238">
        <f>IFERROR((HLOOKUP($AH662,Target_monthwise!$D$4:$O$20,DTR!H$4,FALSE))*1000,0)</f>
        <v>0</v>
      </c>
      <c r="I662" s="238">
        <f>IFERROR((HLOOKUP($AH662,Target_monthwise!$D$4:$O$20,DTR!I$4,FALSE))*1000,0)</f>
        <v>0</v>
      </c>
      <c r="J662" s="238">
        <f>IFERROR((HLOOKUP($AH662,Target_monthwise!$D$4:$O$20,DTR!J$4,FALSE))*1000,0)</f>
        <v>0</v>
      </c>
      <c r="K662" s="238">
        <f>IFERROR((HLOOKUP($AH662,Target_monthwise!$D$4:$O$20,DTR!K$4,FALSE))*1000,0)</f>
        <v>0</v>
      </c>
      <c r="L662" s="238">
        <f>IFERROR((HLOOKUP($AH662,Target_monthwise!$D$4:$O$20,DTR!L$4,FALSE))*1000,0)</f>
        <v>0</v>
      </c>
      <c r="M662" s="238">
        <f>IFERROR((HLOOKUP($AH662,Target_monthwise!$D$4:$O$20,DTR!M$4,FALSE))*1000,0)</f>
        <v>0</v>
      </c>
      <c r="N662" s="238">
        <f>IFERROR((HLOOKUP($AH662,Target_monthwise!$D$4:$O$20,DTR!N$4,FALSE))*1000,0)</f>
        <v>0</v>
      </c>
      <c r="O662" s="238">
        <f>IFERROR((HLOOKUP($AH662,Target_monthwise!$D$4:$O$20,DTR!O$4,FALSE))*1000,0)</f>
        <v>0</v>
      </c>
      <c r="P662" s="238">
        <f>IFERROR((HLOOKUP($AH662,Target_monthwise!$D$4:$O$20,DTR!P$4,FALSE))*1000,0)</f>
        <v>0</v>
      </c>
      <c r="Q662" s="141">
        <f>IFERROR((HLOOKUP($AH662,Target_monthwise!$D$4:$O$20,DTR!Q$4,FALSE))*1000,0)</f>
        <v>0</v>
      </c>
      <c r="R662" s="167">
        <f>IFERROR((HLOOKUP($AH662,Target_monthwise!$D$4:$O$20,DTR!R$4,FALSE))*1000,0)</f>
        <v>0</v>
      </c>
      <c r="S662" s="239">
        <f>IFERROR((HLOOKUP($AH662,Target_monthwise!$D$24:$O$40,DTR!S$4,FALSE)),0)</f>
        <v>0</v>
      </c>
      <c r="T662" s="239">
        <f>IFERROR((HLOOKUP($AH662,Target_monthwise!$D$24:$O$40,DTR!T$4,FALSE)),0)</f>
        <v>0</v>
      </c>
      <c r="U662" s="239">
        <f>IFERROR((HLOOKUP($AH662,Target_monthwise!$D$24:$O$40,DTR!U$4,FALSE)),0)</f>
        <v>0</v>
      </c>
      <c r="V662" s="239">
        <f>IFERROR((HLOOKUP($AH662,Target_monthwise!$D$24:$O$40,DTR!V$4,FALSE)),0)</f>
        <v>0</v>
      </c>
      <c r="W662" s="239">
        <f>IFERROR((HLOOKUP($AH662,Target_monthwise!$D$24:$O$40,DTR!W$4,FALSE)),0)</f>
        <v>0</v>
      </c>
      <c r="X662" s="239">
        <f>IFERROR((HLOOKUP($AH662,Target_monthwise!$D$24:$O$40,DTR!X$4,FALSE)),0)</f>
        <v>0</v>
      </c>
      <c r="Y662" s="239">
        <f>IFERROR((HLOOKUP($AH662,Target_monthwise!$D$24:$O$40,DTR!Y$4,FALSE)),0)</f>
        <v>0</v>
      </c>
      <c r="Z662" s="147">
        <f>IFERROR((HLOOKUP($AH662,Target_monthwise!$D$24:$O$40,DTR!Z$4,FALSE)),0)</f>
        <v>0</v>
      </c>
      <c r="AA662" s="147">
        <f>IFERROR((HLOOKUP($AH662,Target_monthwise!$D$24:$O$40,DTR!AA$4,FALSE)),0)</f>
        <v>0</v>
      </c>
      <c r="AB662" s="147">
        <f>IFERROR((HLOOKUP($AH662,Target_monthwise!$D$24:$O$40,DTR!AB$4,FALSE)),0)</f>
        <v>0</v>
      </c>
      <c r="AC662" s="239">
        <f>IFERROR((HLOOKUP($AH662,Target_monthwise!$D$24:$O$40,DTR!AC$4,FALSE)),0)</f>
        <v>0</v>
      </c>
      <c r="AD662" s="239">
        <f>IFERROR((HLOOKUP($AH662,Target_monthwise!$D$24:$O$40,DTR!AD$4,FALSE)),0)</f>
        <v>0</v>
      </c>
      <c r="AE662" s="239">
        <f>IFERROR((HLOOKUP($AH662,Target_monthwise!$D$24:$O$40,DTR!AE$4,FALSE)),0)</f>
        <v>0</v>
      </c>
      <c r="AF662" s="239">
        <f>IFERROR((HLOOKUP($AH662,Target_monthwise!$D$24:$O$40,DTR!AF$4,FALSE)),0)</f>
        <v>0</v>
      </c>
      <c r="AG662" s="172">
        <f>IFERROR((HLOOKUP($AH662,Target_monthwise!$D$24:$O$40,DTR!AG$4,FALSE)),0)</f>
        <v>0</v>
      </c>
      <c r="AH662" s="253">
        <f t="shared" si="12"/>
        <v>202401</v>
      </c>
    </row>
    <row r="663" spans="3:34" ht="15.75" hidden="1">
      <c r="C663" s="235">
        <v>45306</v>
      </c>
      <c r="D663" s="141">
        <f>IFERROR((HLOOKUP($AH663,Target_monthwise!$D$4:$O$20,DTR!D$4,FALSE))*1000,0)</f>
        <v>0</v>
      </c>
      <c r="E663" s="141">
        <f>IFERROR((HLOOKUP($AH663,Target_monthwise!$D$4:$O$20,DTR!E$4,FALSE))*1000,0)</f>
        <v>0</v>
      </c>
      <c r="F663" s="141">
        <f>IFERROR((HLOOKUP($AH663,Target_monthwise!$D$4:$O$20,DTR!F$4,FALSE))*1000,0)</f>
        <v>0</v>
      </c>
      <c r="G663" s="141">
        <f>IFERROR((HLOOKUP($AH663,Target_monthwise!$D$4:$O$20,DTR!G$4,FALSE))*1000,0)</f>
        <v>0</v>
      </c>
      <c r="H663" s="141">
        <f>IFERROR((HLOOKUP($AH663,Target_monthwise!$D$4:$O$20,DTR!H$4,FALSE))*1000,0)</f>
        <v>0</v>
      </c>
      <c r="I663" s="141">
        <f>IFERROR((HLOOKUP($AH663,Target_monthwise!$D$4:$O$20,DTR!I$4,FALSE))*1000,0)</f>
        <v>0</v>
      </c>
      <c r="J663" s="141">
        <f>IFERROR((HLOOKUP($AH663,Target_monthwise!$D$4:$O$20,DTR!J$4,FALSE))*1000,0)</f>
        <v>0</v>
      </c>
      <c r="K663" s="141">
        <f>IFERROR((HLOOKUP($AH663,Target_monthwise!$D$4:$O$20,DTR!K$4,FALSE))*1000,0)</f>
        <v>0</v>
      </c>
      <c r="L663" s="141">
        <f>IFERROR((HLOOKUP($AH663,Target_monthwise!$D$4:$O$20,DTR!L$4,FALSE))*1000,0)</f>
        <v>0</v>
      </c>
      <c r="M663" s="141">
        <f>IFERROR((HLOOKUP($AH663,Target_monthwise!$D$4:$O$20,DTR!M$4,FALSE))*1000,0)</f>
        <v>0</v>
      </c>
      <c r="N663" s="141">
        <f>IFERROR((HLOOKUP($AH663,Target_monthwise!$D$4:$O$20,DTR!N$4,FALSE))*1000,0)</f>
        <v>0</v>
      </c>
      <c r="O663" s="141">
        <f>IFERROR((HLOOKUP($AH663,Target_monthwise!$D$4:$O$20,DTR!O$4,FALSE))*1000,0)</f>
        <v>0</v>
      </c>
      <c r="P663" s="141">
        <f>IFERROR((HLOOKUP($AH663,Target_monthwise!$D$4:$O$20,DTR!P$4,FALSE))*1000,0)</f>
        <v>0</v>
      </c>
      <c r="Q663" s="141">
        <f>IFERROR((HLOOKUP($AH663,Target_monthwise!$D$4:$O$20,DTR!Q$4,FALSE))*1000,0)</f>
        <v>0</v>
      </c>
      <c r="R663" s="167">
        <f>IFERROR((HLOOKUP($AH663,Target_monthwise!$D$4:$O$20,DTR!R$4,FALSE))*1000,0)</f>
        <v>0</v>
      </c>
      <c r="S663" s="147">
        <f>IFERROR((HLOOKUP($AH663,Target_monthwise!$D$24:$O$40,DTR!S$4,FALSE)),0)</f>
        <v>0</v>
      </c>
      <c r="T663" s="147">
        <f>IFERROR((HLOOKUP($AH663,Target_monthwise!$D$24:$O$40,DTR!T$4,FALSE)),0)</f>
        <v>0</v>
      </c>
      <c r="U663" s="147">
        <f>IFERROR((HLOOKUP($AH663,Target_monthwise!$D$24:$O$40,DTR!U$4,FALSE)),0)</f>
        <v>0</v>
      </c>
      <c r="V663" s="147">
        <f>IFERROR((HLOOKUP($AH663,Target_monthwise!$D$24:$O$40,DTR!V$4,FALSE)),0)</f>
        <v>0</v>
      </c>
      <c r="W663" s="147">
        <f>IFERROR((HLOOKUP($AH663,Target_monthwise!$D$24:$O$40,DTR!W$4,FALSE)),0)</f>
        <v>0</v>
      </c>
      <c r="X663" s="147">
        <f>IFERROR((HLOOKUP($AH663,Target_monthwise!$D$24:$O$40,DTR!X$4,FALSE)),0)</f>
        <v>0</v>
      </c>
      <c r="Y663" s="147">
        <f>IFERROR((HLOOKUP($AH663,Target_monthwise!$D$24:$O$40,DTR!Y$4,FALSE)),0)</f>
        <v>0</v>
      </c>
      <c r="Z663" s="147">
        <f>IFERROR((HLOOKUP($AH663,Target_monthwise!$D$24:$O$40,DTR!Z$4,FALSE)),0)</f>
        <v>0</v>
      </c>
      <c r="AA663" s="147">
        <f>IFERROR((HLOOKUP($AH663,Target_monthwise!$D$24:$O$40,DTR!AA$4,FALSE)),0)</f>
        <v>0</v>
      </c>
      <c r="AB663" s="147">
        <f>IFERROR((HLOOKUP($AH663,Target_monthwise!$D$24:$O$40,DTR!AB$4,FALSE)),0)</f>
        <v>0</v>
      </c>
      <c r="AC663" s="147">
        <f>IFERROR((HLOOKUP($AH663,Target_monthwise!$D$24:$O$40,DTR!AC$4,FALSE)),0)</f>
        <v>0</v>
      </c>
      <c r="AD663" s="147">
        <f>IFERROR((HLOOKUP($AH663,Target_monthwise!$D$24:$O$40,DTR!AD$4,FALSE)),0)</f>
        <v>0</v>
      </c>
      <c r="AE663" s="147">
        <f>IFERROR((HLOOKUP($AH663,Target_monthwise!$D$24:$O$40,DTR!AE$4,FALSE)),0)</f>
        <v>0</v>
      </c>
      <c r="AF663" s="147">
        <f>IFERROR((HLOOKUP($AH663,Target_monthwise!$D$24:$O$40,DTR!AF$4,FALSE)),0)</f>
        <v>0</v>
      </c>
      <c r="AG663" s="172">
        <f>IFERROR((HLOOKUP($AH663,Target_monthwise!$D$24:$O$40,DTR!AG$4,FALSE)),0)</f>
        <v>0</v>
      </c>
      <c r="AH663" s="253">
        <f t="shared" si="12"/>
        <v>202401</v>
      </c>
    </row>
    <row r="664" spans="3:34" ht="15.75" hidden="1">
      <c r="C664" s="237">
        <v>45307</v>
      </c>
      <c r="D664" s="238">
        <f>IFERROR((HLOOKUP($AH664,Target_monthwise!$D$4:$O$20,DTR!D$4,FALSE))*1000,0)</f>
        <v>0</v>
      </c>
      <c r="E664" s="238">
        <f>IFERROR((HLOOKUP($AH664,Target_monthwise!$D$4:$O$20,DTR!E$4,FALSE))*1000,0)</f>
        <v>0</v>
      </c>
      <c r="F664" s="238">
        <f>IFERROR((HLOOKUP($AH664,Target_monthwise!$D$4:$O$20,DTR!F$4,FALSE))*1000,0)</f>
        <v>0</v>
      </c>
      <c r="G664" s="238">
        <f>IFERROR((HLOOKUP($AH664,Target_monthwise!$D$4:$O$20,DTR!G$4,FALSE))*1000,0)</f>
        <v>0</v>
      </c>
      <c r="H664" s="238">
        <f>IFERROR((HLOOKUP($AH664,Target_monthwise!$D$4:$O$20,DTR!H$4,FALSE))*1000,0)</f>
        <v>0</v>
      </c>
      <c r="I664" s="238">
        <f>IFERROR((HLOOKUP($AH664,Target_monthwise!$D$4:$O$20,DTR!I$4,FALSE))*1000,0)</f>
        <v>0</v>
      </c>
      <c r="J664" s="238">
        <f>IFERROR((HLOOKUP($AH664,Target_monthwise!$D$4:$O$20,DTR!J$4,FALSE))*1000,0)</f>
        <v>0</v>
      </c>
      <c r="K664" s="238">
        <f>IFERROR((HLOOKUP($AH664,Target_monthwise!$D$4:$O$20,DTR!K$4,FALSE))*1000,0)</f>
        <v>0</v>
      </c>
      <c r="L664" s="238">
        <f>IFERROR((HLOOKUP($AH664,Target_monthwise!$D$4:$O$20,DTR!L$4,FALSE))*1000,0)</f>
        <v>0</v>
      </c>
      <c r="M664" s="238">
        <f>IFERROR((HLOOKUP($AH664,Target_monthwise!$D$4:$O$20,DTR!M$4,FALSE))*1000,0)</f>
        <v>0</v>
      </c>
      <c r="N664" s="238">
        <f>IFERROR((HLOOKUP($AH664,Target_monthwise!$D$4:$O$20,DTR!N$4,FALSE))*1000,0)</f>
        <v>0</v>
      </c>
      <c r="O664" s="238">
        <f>IFERROR((HLOOKUP($AH664,Target_monthwise!$D$4:$O$20,DTR!O$4,FALSE))*1000,0)</f>
        <v>0</v>
      </c>
      <c r="P664" s="238">
        <f>IFERROR((HLOOKUP($AH664,Target_monthwise!$D$4:$O$20,DTR!P$4,FALSE))*1000,0)</f>
        <v>0</v>
      </c>
      <c r="Q664" s="141">
        <f>IFERROR((HLOOKUP($AH664,Target_monthwise!$D$4:$O$20,DTR!Q$4,FALSE))*1000,0)</f>
        <v>0</v>
      </c>
      <c r="R664" s="167">
        <f>IFERROR((HLOOKUP($AH664,Target_monthwise!$D$4:$O$20,DTR!R$4,FALSE))*1000,0)</f>
        <v>0</v>
      </c>
      <c r="S664" s="239">
        <f>IFERROR((HLOOKUP($AH664,Target_monthwise!$D$24:$O$40,DTR!S$4,FALSE)),0)</f>
        <v>0</v>
      </c>
      <c r="T664" s="239">
        <f>IFERROR((HLOOKUP($AH664,Target_monthwise!$D$24:$O$40,DTR!T$4,FALSE)),0)</f>
        <v>0</v>
      </c>
      <c r="U664" s="239">
        <f>IFERROR((HLOOKUP($AH664,Target_monthwise!$D$24:$O$40,DTR!U$4,FALSE)),0)</f>
        <v>0</v>
      </c>
      <c r="V664" s="239">
        <f>IFERROR((HLOOKUP($AH664,Target_monthwise!$D$24:$O$40,DTR!V$4,FALSE)),0)</f>
        <v>0</v>
      </c>
      <c r="W664" s="239">
        <f>IFERROR((HLOOKUP($AH664,Target_monthwise!$D$24:$O$40,DTR!W$4,FALSE)),0)</f>
        <v>0</v>
      </c>
      <c r="X664" s="239">
        <f>IFERROR((HLOOKUP($AH664,Target_monthwise!$D$24:$O$40,DTR!X$4,FALSE)),0)</f>
        <v>0</v>
      </c>
      <c r="Y664" s="239">
        <f>IFERROR((HLOOKUP($AH664,Target_monthwise!$D$24:$O$40,DTR!Y$4,FALSE)),0)</f>
        <v>0</v>
      </c>
      <c r="Z664" s="147">
        <f>IFERROR((HLOOKUP($AH664,Target_monthwise!$D$24:$O$40,DTR!Z$4,FALSE)),0)</f>
        <v>0</v>
      </c>
      <c r="AA664" s="147">
        <f>IFERROR((HLOOKUP($AH664,Target_monthwise!$D$24:$O$40,DTR!AA$4,FALSE)),0)</f>
        <v>0</v>
      </c>
      <c r="AB664" s="147">
        <f>IFERROR((HLOOKUP($AH664,Target_monthwise!$D$24:$O$40,DTR!AB$4,FALSE)),0)</f>
        <v>0</v>
      </c>
      <c r="AC664" s="239">
        <f>IFERROR((HLOOKUP($AH664,Target_monthwise!$D$24:$O$40,DTR!AC$4,FALSE)),0)</f>
        <v>0</v>
      </c>
      <c r="AD664" s="239">
        <f>IFERROR((HLOOKUP($AH664,Target_monthwise!$D$24:$O$40,DTR!AD$4,FALSE)),0)</f>
        <v>0</v>
      </c>
      <c r="AE664" s="239">
        <f>IFERROR((HLOOKUP($AH664,Target_monthwise!$D$24:$O$40,DTR!AE$4,FALSE)),0)</f>
        <v>0</v>
      </c>
      <c r="AF664" s="239">
        <f>IFERROR((HLOOKUP($AH664,Target_monthwise!$D$24:$O$40,DTR!AF$4,FALSE)),0)</f>
        <v>0</v>
      </c>
      <c r="AG664" s="172">
        <f>IFERROR((HLOOKUP($AH664,Target_monthwise!$D$24:$O$40,DTR!AG$4,FALSE)),0)</f>
        <v>0</v>
      </c>
      <c r="AH664" s="253">
        <f t="shared" si="12"/>
        <v>202401</v>
      </c>
    </row>
    <row r="665" spans="3:34" ht="15.75" hidden="1">
      <c r="C665" s="235">
        <v>45308</v>
      </c>
      <c r="D665" s="141">
        <f>IFERROR((HLOOKUP($AH665,Target_monthwise!$D$4:$O$20,DTR!D$4,FALSE))*1000,0)</f>
        <v>0</v>
      </c>
      <c r="E665" s="141">
        <f>IFERROR((HLOOKUP($AH665,Target_monthwise!$D$4:$O$20,DTR!E$4,FALSE))*1000,0)</f>
        <v>0</v>
      </c>
      <c r="F665" s="141">
        <f>IFERROR((HLOOKUP($AH665,Target_monthwise!$D$4:$O$20,DTR!F$4,FALSE))*1000,0)</f>
        <v>0</v>
      </c>
      <c r="G665" s="141">
        <f>IFERROR((HLOOKUP($AH665,Target_monthwise!$D$4:$O$20,DTR!G$4,FALSE))*1000,0)</f>
        <v>0</v>
      </c>
      <c r="H665" s="141">
        <f>IFERROR((HLOOKUP($AH665,Target_monthwise!$D$4:$O$20,DTR!H$4,FALSE))*1000,0)</f>
        <v>0</v>
      </c>
      <c r="I665" s="141">
        <f>IFERROR((HLOOKUP($AH665,Target_monthwise!$D$4:$O$20,DTR!I$4,FALSE))*1000,0)</f>
        <v>0</v>
      </c>
      <c r="J665" s="141">
        <f>IFERROR((HLOOKUP($AH665,Target_monthwise!$D$4:$O$20,DTR!J$4,FALSE))*1000,0)</f>
        <v>0</v>
      </c>
      <c r="K665" s="141">
        <f>IFERROR((HLOOKUP($AH665,Target_monthwise!$D$4:$O$20,DTR!K$4,FALSE))*1000,0)</f>
        <v>0</v>
      </c>
      <c r="L665" s="141">
        <f>IFERROR((HLOOKUP($AH665,Target_monthwise!$D$4:$O$20,DTR!L$4,FALSE))*1000,0)</f>
        <v>0</v>
      </c>
      <c r="M665" s="141">
        <f>IFERROR((HLOOKUP($AH665,Target_monthwise!$D$4:$O$20,DTR!M$4,FALSE))*1000,0)</f>
        <v>0</v>
      </c>
      <c r="N665" s="141">
        <f>IFERROR((HLOOKUP($AH665,Target_monthwise!$D$4:$O$20,DTR!N$4,FALSE))*1000,0)</f>
        <v>0</v>
      </c>
      <c r="O665" s="141">
        <f>IFERROR((HLOOKUP($AH665,Target_monthwise!$D$4:$O$20,DTR!O$4,FALSE))*1000,0)</f>
        <v>0</v>
      </c>
      <c r="P665" s="141">
        <f>IFERROR((HLOOKUP($AH665,Target_monthwise!$D$4:$O$20,DTR!P$4,FALSE))*1000,0)</f>
        <v>0</v>
      </c>
      <c r="Q665" s="141">
        <f>IFERROR((HLOOKUP($AH665,Target_monthwise!$D$4:$O$20,DTR!Q$4,FALSE))*1000,0)</f>
        <v>0</v>
      </c>
      <c r="R665" s="167">
        <f>IFERROR((HLOOKUP($AH665,Target_monthwise!$D$4:$O$20,DTR!R$4,FALSE))*1000,0)</f>
        <v>0</v>
      </c>
      <c r="S665" s="147">
        <f>IFERROR((HLOOKUP($AH665,Target_monthwise!$D$24:$O$40,DTR!S$4,FALSE)),0)</f>
        <v>0</v>
      </c>
      <c r="T665" s="147">
        <f>IFERROR((HLOOKUP($AH665,Target_monthwise!$D$24:$O$40,DTR!T$4,FALSE)),0)</f>
        <v>0</v>
      </c>
      <c r="U665" s="147">
        <f>IFERROR((HLOOKUP($AH665,Target_monthwise!$D$24:$O$40,DTR!U$4,FALSE)),0)</f>
        <v>0</v>
      </c>
      <c r="V665" s="147">
        <f>IFERROR((HLOOKUP($AH665,Target_monthwise!$D$24:$O$40,DTR!V$4,FALSE)),0)</f>
        <v>0</v>
      </c>
      <c r="W665" s="147">
        <f>IFERROR((HLOOKUP($AH665,Target_monthwise!$D$24:$O$40,DTR!W$4,FALSE)),0)</f>
        <v>0</v>
      </c>
      <c r="X665" s="147">
        <f>IFERROR((HLOOKUP($AH665,Target_monthwise!$D$24:$O$40,DTR!X$4,FALSE)),0)</f>
        <v>0</v>
      </c>
      <c r="Y665" s="147">
        <f>IFERROR((HLOOKUP($AH665,Target_monthwise!$D$24:$O$40,DTR!Y$4,FALSE)),0)</f>
        <v>0</v>
      </c>
      <c r="Z665" s="147">
        <f>IFERROR((HLOOKUP($AH665,Target_monthwise!$D$24:$O$40,DTR!Z$4,FALSE)),0)</f>
        <v>0</v>
      </c>
      <c r="AA665" s="147">
        <f>IFERROR((HLOOKUP($AH665,Target_monthwise!$D$24:$O$40,DTR!AA$4,FALSE)),0)</f>
        <v>0</v>
      </c>
      <c r="AB665" s="147">
        <f>IFERROR((HLOOKUP($AH665,Target_monthwise!$D$24:$O$40,DTR!AB$4,FALSE)),0)</f>
        <v>0</v>
      </c>
      <c r="AC665" s="147">
        <f>IFERROR((HLOOKUP($AH665,Target_monthwise!$D$24:$O$40,DTR!AC$4,FALSE)),0)</f>
        <v>0</v>
      </c>
      <c r="AD665" s="147">
        <f>IFERROR((HLOOKUP($AH665,Target_monthwise!$D$24:$O$40,DTR!AD$4,FALSE)),0)</f>
        <v>0</v>
      </c>
      <c r="AE665" s="147">
        <f>IFERROR((HLOOKUP($AH665,Target_monthwise!$D$24:$O$40,DTR!AE$4,FALSE)),0)</f>
        <v>0</v>
      </c>
      <c r="AF665" s="147">
        <f>IFERROR((HLOOKUP($AH665,Target_monthwise!$D$24:$O$40,DTR!AF$4,FALSE)),0)</f>
        <v>0</v>
      </c>
      <c r="AG665" s="172">
        <f>IFERROR((HLOOKUP($AH665,Target_monthwise!$D$24:$O$40,DTR!AG$4,FALSE)),0)</f>
        <v>0</v>
      </c>
      <c r="AH665" s="253">
        <f t="shared" si="12"/>
        <v>202401</v>
      </c>
    </row>
    <row r="666" spans="3:34" ht="15.75" hidden="1">
      <c r="C666" s="237">
        <v>45309</v>
      </c>
      <c r="D666" s="238">
        <f>IFERROR((HLOOKUP($AH666,Target_monthwise!$D$4:$O$20,DTR!D$4,FALSE))*1000,0)</f>
        <v>0</v>
      </c>
      <c r="E666" s="238">
        <f>IFERROR((HLOOKUP($AH666,Target_monthwise!$D$4:$O$20,DTR!E$4,FALSE))*1000,0)</f>
        <v>0</v>
      </c>
      <c r="F666" s="238">
        <f>IFERROR((HLOOKUP($AH666,Target_monthwise!$D$4:$O$20,DTR!F$4,FALSE))*1000,0)</f>
        <v>0</v>
      </c>
      <c r="G666" s="238">
        <f>IFERROR((HLOOKUP($AH666,Target_monthwise!$D$4:$O$20,DTR!G$4,FALSE))*1000,0)</f>
        <v>0</v>
      </c>
      <c r="H666" s="238">
        <f>IFERROR((HLOOKUP($AH666,Target_monthwise!$D$4:$O$20,DTR!H$4,FALSE))*1000,0)</f>
        <v>0</v>
      </c>
      <c r="I666" s="238">
        <f>IFERROR((HLOOKUP($AH666,Target_monthwise!$D$4:$O$20,DTR!I$4,FALSE))*1000,0)</f>
        <v>0</v>
      </c>
      <c r="J666" s="238">
        <f>IFERROR((HLOOKUP($AH666,Target_monthwise!$D$4:$O$20,DTR!J$4,FALSE))*1000,0)</f>
        <v>0</v>
      </c>
      <c r="K666" s="238">
        <f>IFERROR((HLOOKUP($AH666,Target_monthwise!$D$4:$O$20,DTR!K$4,FALSE))*1000,0)</f>
        <v>0</v>
      </c>
      <c r="L666" s="238">
        <f>IFERROR((HLOOKUP($AH666,Target_monthwise!$D$4:$O$20,DTR!L$4,FALSE))*1000,0)</f>
        <v>0</v>
      </c>
      <c r="M666" s="238">
        <f>IFERROR((HLOOKUP($AH666,Target_monthwise!$D$4:$O$20,DTR!M$4,FALSE))*1000,0)</f>
        <v>0</v>
      </c>
      <c r="N666" s="238">
        <f>IFERROR((HLOOKUP($AH666,Target_monthwise!$D$4:$O$20,DTR!N$4,FALSE))*1000,0)</f>
        <v>0</v>
      </c>
      <c r="O666" s="238">
        <f>IFERROR((HLOOKUP($AH666,Target_monthwise!$D$4:$O$20,DTR!O$4,FALSE))*1000,0)</f>
        <v>0</v>
      </c>
      <c r="P666" s="238">
        <f>IFERROR((HLOOKUP($AH666,Target_monthwise!$D$4:$O$20,DTR!P$4,FALSE))*1000,0)</f>
        <v>0</v>
      </c>
      <c r="Q666" s="141">
        <f>IFERROR((HLOOKUP($AH666,Target_monthwise!$D$4:$O$20,DTR!Q$4,FALSE))*1000,0)</f>
        <v>0</v>
      </c>
      <c r="R666" s="167">
        <f>IFERROR((HLOOKUP($AH666,Target_monthwise!$D$4:$O$20,DTR!R$4,FALSE))*1000,0)</f>
        <v>0</v>
      </c>
      <c r="S666" s="239">
        <f>IFERROR((HLOOKUP($AH666,Target_monthwise!$D$24:$O$40,DTR!S$4,FALSE)),0)</f>
        <v>0</v>
      </c>
      <c r="T666" s="239">
        <f>IFERROR((HLOOKUP($AH666,Target_monthwise!$D$24:$O$40,DTR!T$4,FALSE)),0)</f>
        <v>0</v>
      </c>
      <c r="U666" s="239">
        <f>IFERROR((HLOOKUP($AH666,Target_monthwise!$D$24:$O$40,DTR!U$4,FALSE)),0)</f>
        <v>0</v>
      </c>
      <c r="V666" s="239">
        <f>IFERROR((HLOOKUP($AH666,Target_monthwise!$D$24:$O$40,DTR!V$4,FALSE)),0)</f>
        <v>0</v>
      </c>
      <c r="W666" s="239">
        <f>IFERROR((HLOOKUP($AH666,Target_monthwise!$D$24:$O$40,DTR!W$4,FALSE)),0)</f>
        <v>0</v>
      </c>
      <c r="X666" s="239">
        <f>IFERROR((HLOOKUP($AH666,Target_monthwise!$D$24:$O$40,DTR!X$4,FALSE)),0)</f>
        <v>0</v>
      </c>
      <c r="Y666" s="239">
        <f>IFERROR((HLOOKUP($AH666,Target_monthwise!$D$24:$O$40,DTR!Y$4,FALSE)),0)</f>
        <v>0</v>
      </c>
      <c r="Z666" s="147">
        <f>IFERROR((HLOOKUP($AH666,Target_monthwise!$D$24:$O$40,DTR!Z$4,FALSE)),0)</f>
        <v>0</v>
      </c>
      <c r="AA666" s="147">
        <f>IFERROR((HLOOKUP($AH666,Target_monthwise!$D$24:$O$40,DTR!AA$4,FALSE)),0)</f>
        <v>0</v>
      </c>
      <c r="AB666" s="147">
        <f>IFERROR((HLOOKUP($AH666,Target_monthwise!$D$24:$O$40,DTR!AB$4,FALSE)),0)</f>
        <v>0</v>
      </c>
      <c r="AC666" s="239">
        <f>IFERROR((HLOOKUP($AH666,Target_monthwise!$D$24:$O$40,DTR!AC$4,FALSE)),0)</f>
        <v>0</v>
      </c>
      <c r="AD666" s="239">
        <f>IFERROR((HLOOKUP($AH666,Target_monthwise!$D$24:$O$40,DTR!AD$4,FALSE)),0)</f>
        <v>0</v>
      </c>
      <c r="AE666" s="239">
        <f>IFERROR((HLOOKUP($AH666,Target_monthwise!$D$24:$O$40,DTR!AE$4,FALSE)),0)</f>
        <v>0</v>
      </c>
      <c r="AF666" s="239">
        <f>IFERROR((HLOOKUP($AH666,Target_monthwise!$D$24:$O$40,DTR!AF$4,FALSE)),0)</f>
        <v>0</v>
      </c>
      <c r="AG666" s="172">
        <f>IFERROR((HLOOKUP($AH666,Target_monthwise!$D$24:$O$40,DTR!AG$4,FALSE)),0)</f>
        <v>0</v>
      </c>
      <c r="AH666" s="253">
        <f t="shared" si="12"/>
        <v>202401</v>
      </c>
    </row>
    <row r="667" spans="3:34" ht="15.75" hidden="1">
      <c r="C667" s="235">
        <v>45310</v>
      </c>
      <c r="D667" s="141">
        <f>IFERROR((HLOOKUP($AH667,Target_monthwise!$D$4:$O$20,DTR!D$4,FALSE))*1000,0)</f>
        <v>0</v>
      </c>
      <c r="E667" s="141">
        <f>IFERROR((HLOOKUP($AH667,Target_monthwise!$D$4:$O$20,DTR!E$4,FALSE))*1000,0)</f>
        <v>0</v>
      </c>
      <c r="F667" s="141">
        <f>IFERROR((HLOOKUP($AH667,Target_monthwise!$D$4:$O$20,DTR!F$4,FALSE))*1000,0)</f>
        <v>0</v>
      </c>
      <c r="G667" s="141">
        <f>IFERROR((HLOOKUP($AH667,Target_monthwise!$D$4:$O$20,DTR!G$4,FALSE))*1000,0)</f>
        <v>0</v>
      </c>
      <c r="H667" s="141">
        <f>IFERROR((HLOOKUP($AH667,Target_monthwise!$D$4:$O$20,DTR!H$4,FALSE))*1000,0)</f>
        <v>0</v>
      </c>
      <c r="I667" s="141">
        <f>IFERROR((HLOOKUP($AH667,Target_monthwise!$D$4:$O$20,DTR!I$4,FALSE))*1000,0)</f>
        <v>0</v>
      </c>
      <c r="J667" s="141">
        <f>IFERROR((HLOOKUP($AH667,Target_monthwise!$D$4:$O$20,DTR!J$4,FALSE))*1000,0)</f>
        <v>0</v>
      </c>
      <c r="K667" s="141">
        <f>IFERROR((HLOOKUP($AH667,Target_monthwise!$D$4:$O$20,DTR!K$4,FALSE))*1000,0)</f>
        <v>0</v>
      </c>
      <c r="L667" s="141">
        <f>IFERROR((HLOOKUP($AH667,Target_monthwise!$D$4:$O$20,DTR!L$4,FALSE))*1000,0)</f>
        <v>0</v>
      </c>
      <c r="M667" s="141">
        <f>IFERROR((HLOOKUP($AH667,Target_monthwise!$D$4:$O$20,DTR!M$4,FALSE))*1000,0)</f>
        <v>0</v>
      </c>
      <c r="N667" s="141">
        <f>IFERROR((HLOOKUP($AH667,Target_monthwise!$D$4:$O$20,DTR!N$4,FALSE))*1000,0)</f>
        <v>0</v>
      </c>
      <c r="O667" s="141">
        <f>IFERROR((HLOOKUP($AH667,Target_monthwise!$D$4:$O$20,DTR!O$4,FALSE))*1000,0)</f>
        <v>0</v>
      </c>
      <c r="P667" s="141">
        <f>IFERROR((HLOOKUP($AH667,Target_monthwise!$D$4:$O$20,DTR!P$4,FALSE))*1000,0)</f>
        <v>0</v>
      </c>
      <c r="Q667" s="141">
        <f>IFERROR((HLOOKUP($AH667,Target_monthwise!$D$4:$O$20,DTR!Q$4,FALSE))*1000,0)</f>
        <v>0</v>
      </c>
      <c r="R667" s="167">
        <f>IFERROR((HLOOKUP($AH667,Target_monthwise!$D$4:$O$20,DTR!R$4,FALSE))*1000,0)</f>
        <v>0</v>
      </c>
      <c r="S667" s="147">
        <f>IFERROR((HLOOKUP($AH667,Target_monthwise!$D$24:$O$40,DTR!S$4,FALSE)),0)</f>
        <v>0</v>
      </c>
      <c r="T667" s="147">
        <f>IFERROR((HLOOKUP($AH667,Target_monthwise!$D$24:$O$40,DTR!T$4,FALSE)),0)</f>
        <v>0</v>
      </c>
      <c r="U667" s="147">
        <f>IFERROR((HLOOKUP($AH667,Target_monthwise!$D$24:$O$40,DTR!U$4,FALSE)),0)</f>
        <v>0</v>
      </c>
      <c r="V667" s="147">
        <f>IFERROR((HLOOKUP($AH667,Target_monthwise!$D$24:$O$40,DTR!V$4,FALSE)),0)</f>
        <v>0</v>
      </c>
      <c r="W667" s="147">
        <f>IFERROR((HLOOKUP($AH667,Target_monthwise!$D$24:$O$40,DTR!W$4,FALSE)),0)</f>
        <v>0</v>
      </c>
      <c r="X667" s="147">
        <f>IFERROR((HLOOKUP($AH667,Target_monthwise!$D$24:$O$40,DTR!X$4,FALSE)),0)</f>
        <v>0</v>
      </c>
      <c r="Y667" s="147">
        <f>IFERROR((HLOOKUP($AH667,Target_monthwise!$D$24:$O$40,DTR!Y$4,FALSE)),0)</f>
        <v>0</v>
      </c>
      <c r="Z667" s="147">
        <f>IFERROR((HLOOKUP($AH667,Target_monthwise!$D$24:$O$40,DTR!Z$4,FALSE)),0)</f>
        <v>0</v>
      </c>
      <c r="AA667" s="147">
        <f>IFERROR((HLOOKUP($AH667,Target_monthwise!$D$24:$O$40,DTR!AA$4,FALSE)),0)</f>
        <v>0</v>
      </c>
      <c r="AB667" s="147">
        <f>IFERROR((HLOOKUP($AH667,Target_monthwise!$D$24:$O$40,DTR!AB$4,FALSE)),0)</f>
        <v>0</v>
      </c>
      <c r="AC667" s="147">
        <f>IFERROR((HLOOKUP($AH667,Target_monthwise!$D$24:$O$40,DTR!AC$4,FALSE)),0)</f>
        <v>0</v>
      </c>
      <c r="AD667" s="147">
        <f>IFERROR((HLOOKUP($AH667,Target_monthwise!$D$24:$O$40,DTR!AD$4,FALSE)),0)</f>
        <v>0</v>
      </c>
      <c r="AE667" s="147">
        <f>IFERROR((HLOOKUP($AH667,Target_monthwise!$D$24:$O$40,DTR!AE$4,FALSE)),0)</f>
        <v>0</v>
      </c>
      <c r="AF667" s="147">
        <f>IFERROR((HLOOKUP($AH667,Target_monthwise!$D$24:$O$40,DTR!AF$4,FALSE)),0)</f>
        <v>0</v>
      </c>
      <c r="AG667" s="172">
        <f>IFERROR((HLOOKUP($AH667,Target_monthwise!$D$24:$O$40,DTR!AG$4,FALSE)),0)</f>
        <v>0</v>
      </c>
      <c r="AH667" s="253">
        <f t="shared" si="12"/>
        <v>202401</v>
      </c>
    </row>
    <row r="668" spans="3:34" ht="15.75" hidden="1">
      <c r="C668" s="237">
        <v>45311</v>
      </c>
      <c r="D668" s="238">
        <f>IFERROR((HLOOKUP($AH668,Target_monthwise!$D$4:$O$20,DTR!D$4,FALSE))*1000,0)</f>
        <v>0</v>
      </c>
      <c r="E668" s="238">
        <f>IFERROR((HLOOKUP($AH668,Target_monthwise!$D$4:$O$20,DTR!E$4,FALSE))*1000,0)</f>
        <v>0</v>
      </c>
      <c r="F668" s="238">
        <f>IFERROR((HLOOKUP($AH668,Target_monthwise!$D$4:$O$20,DTR!F$4,FALSE))*1000,0)</f>
        <v>0</v>
      </c>
      <c r="G668" s="238">
        <f>IFERROR((HLOOKUP($AH668,Target_monthwise!$D$4:$O$20,DTR!G$4,FALSE))*1000,0)</f>
        <v>0</v>
      </c>
      <c r="H668" s="238">
        <f>IFERROR((HLOOKUP($AH668,Target_monthwise!$D$4:$O$20,DTR!H$4,FALSE))*1000,0)</f>
        <v>0</v>
      </c>
      <c r="I668" s="238">
        <f>IFERROR((HLOOKUP($AH668,Target_monthwise!$D$4:$O$20,DTR!I$4,FALSE))*1000,0)</f>
        <v>0</v>
      </c>
      <c r="J668" s="238">
        <f>IFERROR((HLOOKUP($AH668,Target_monthwise!$D$4:$O$20,DTR!J$4,FALSE))*1000,0)</f>
        <v>0</v>
      </c>
      <c r="K668" s="238">
        <f>IFERROR((HLOOKUP($AH668,Target_monthwise!$D$4:$O$20,DTR!K$4,FALSE))*1000,0)</f>
        <v>0</v>
      </c>
      <c r="L668" s="238">
        <f>IFERROR((HLOOKUP($AH668,Target_monthwise!$D$4:$O$20,DTR!L$4,FALSE))*1000,0)</f>
        <v>0</v>
      </c>
      <c r="M668" s="238">
        <f>IFERROR((HLOOKUP($AH668,Target_monthwise!$D$4:$O$20,DTR!M$4,FALSE))*1000,0)</f>
        <v>0</v>
      </c>
      <c r="N668" s="238">
        <f>IFERROR((HLOOKUP($AH668,Target_monthwise!$D$4:$O$20,DTR!N$4,FALSE))*1000,0)</f>
        <v>0</v>
      </c>
      <c r="O668" s="238">
        <f>IFERROR((HLOOKUP($AH668,Target_monthwise!$D$4:$O$20,DTR!O$4,FALSE))*1000,0)</f>
        <v>0</v>
      </c>
      <c r="P668" s="238">
        <f>IFERROR((HLOOKUP($AH668,Target_monthwise!$D$4:$O$20,DTR!P$4,FALSE))*1000,0)</f>
        <v>0</v>
      </c>
      <c r="Q668" s="141">
        <f>IFERROR((HLOOKUP($AH668,Target_monthwise!$D$4:$O$20,DTR!Q$4,FALSE))*1000,0)</f>
        <v>0</v>
      </c>
      <c r="R668" s="167">
        <f>IFERROR((HLOOKUP($AH668,Target_monthwise!$D$4:$O$20,DTR!R$4,FALSE))*1000,0)</f>
        <v>0</v>
      </c>
      <c r="S668" s="239">
        <f>IFERROR((HLOOKUP($AH668,Target_monthwise!$D$24:$O$40,DTR!S$4,FALSE)),0)</f>
        <v>0</v>
      </c>
      <c r="T668" s="239">
        <f>IFERROR((HLOOKUP($AH668,Target_monthwise!$D$24:$O$40,DTR!T$4,FALSE)),0)</f>
        <v>0</v>
      </c>
      <c r="U668" s="239">
        <f>IFERROR((HLOOKUP($AH668,Target_monthwise!$D$24:$O$40,DTR!U$4,FALSE)),0)</f>
        <v>0</v>
      </c>
      <c r="V668" s="239">
        <f>IFERROR((HLOOKUP($AH668,Target_monthwise!$D$24:$O$40,DTR!V$4,FALSE)),0)</f>
        <v>0</v>
      </c>
      <c r="W668" s="239">
        <f>IFERROR((HLOOKUP($AH668,Target_monthwise!$D$24:$O$40,DTR!W$4,FALSE)),0)</f>
        <v>0</v>
      </c>
      <c r="X668" s="239">
        <f>IFERROR((HLOOKUP($AH668,Target_monthwise!$D$24:$O$40,DTR!X$4,FALSE)),0)</f>
        <v>0</v>
      </c>
      <c r="Y668" s="239">
        <f>IFERROR((HLOOKUP($AH668,Target_monthwise!$D$24:$O$40,DTR!Y$4,FALSE)),0)</f>
        <v>0</v>
      </c>
      <c r="Z668" s="147">
        <f>IFERROR((HLOOKUP($AH668,Target_monthwise!$D$24:$O$40,DTR!Z$4,FALSE)),0)</f>
        <v>0</v>
      </c>
      <c r="AA668" s="147">
        <f>IFERROR((HLOOKUP($AH668,Target_monthwise!$D$24:$O$40,DTR!AA$4,FALSE)),0)</f>
        <v>0</v>
      </c>
      <c r="AB668" s="147">
        <f>IFERROR((HLOOKUP($AH668,Target_monthwise!$D$24:$O$40,DTR!AB$4,FALSE)),0)</f>
        <v>0</v>
      </c>
      <c r="AC668" s="239">
        <f>IFERROR((HLOOKUP($AH668,Target_monthwise!$D$24:$O$40,DTR!AC$4,FALSE)),0)</f>
        <v>0</v>
      </c>
      <c r="AD668" s="239">
        <f>IFERROR((HLOOKUP($AH668,Target_monthwise!$D$24:$O$40,DTR!AD$4,FALSE)),0)</f>
        <v>0</v>
      </c>
      <c r="AE668" s="239">
        <f>IFERROR((HLOOKUP($AH668,Target_monthwise!$D$24:$O$40,DTR!AE$4,FALSE)),0)</f>
        <v>0</v>
      </c>
      <c r="AF668" s="239">
        <f>IFERROR((HLOOKUP($AH668,Target_monthwise!$D$24:$O$40,DTR!AF$4,FALSE)),0)</f>
        <v>0</v>
      </c>
      <c r="AG668" s="172">
        <f>IFERROR((HLOOKUP($AH668,Target_monthwise!$D$24:$O$40,DTR!AG$4,FALSE)),0)</f>
        <v>0</v>
      </c>
      <c r="AH668" s="253">
        <f t="shared" si="12"/>
        <v>202401</v>
      </c>
    </row>
    <row r="669" spans="3:34" ht="15.75" hidden="1">
      <c r="C669" s="235">
        <v>45312</v>
      </c>
      <c r="D669" s="141">
        <f>IFERROR((HLOOKUP($AH669,Target_monthwise!$D$4:$O$20,DTR!D$4,FALSE))*1000,0)</f>
        <v>0</v>
      </c>
      <c r="E669" s="141">
        <f>IFERROR((HLOOKUP($AH669,Target_monthwise!$D$4:$O$20,DTR!E$4,FALSE))*1000,0)</f>
        <v>0</v>
      </c>
      <c r="F669" s="141">
        <f>IFERROR((HLOOKUP($AH669,Target_monthwise!$D$4:$O$20,DTR!F$4,FALSE))*1000,0)</f>
        <v>0</v>
      </c>
      <c r="G669" s="141">
        <f>IFERROR((HLOOKUP($AH669,Target_monthwise!$D$4:$O$20,DTR!G$4,FALSE))*1000,0)</f>
        <v>0</v>
      </c>
      <c r="H669" s="141">
        <f>IFERROR((HLOOKUP($AH669,Target_monthwise!$D$4:$O$20,DTR!H$4,FALSE))*1000,0)</f>
        <v>0</v>
      </c>
      <c r="I669" s="141">
        <f>IFERROR((HLOOKUP($AH669,Target_monthwise!$D$4:$O$20,DTR!I$4,FALSE))*1000,0)</f>
        <v>0</v>
      </c>
      <c r="J669" s="141">
        <f>IFERROR((HLOOKUP($AH669,Target_monthwise!$D$4:$O$20,DTR!J$4,FALSE))*1000,0)</f>
        <v>0</v>
      </c>
      <c r="K669" s="141">
        <f>IFERROR((HLOOKUP($AH669,Target_monthwise!$D$4:$O$20,DTR!K$4,FALSE))*1000,0)</f>
        <v>0</v>
      </c>
      <c r="L669" s="141">
        <f>IFERROR((HLOOKUP($AH669,Target_monthwise!$D$4:$O$20,DTR!L$4,FALSE))*1000,0)</f>
        <v>0</v>
      </c>
      <c r="M669" s="141">
        <f>IFERROR((HLOOKUP($AH669,Target_monthwise!$D$4:$O$20,DTR!M$4,FALSE))*1000,0)</f>
        <v>0</v>
      </c>
      <c r="N669" s="141">
        <f>IFERROR((HLOOKUP($AH669,Target_monthwise!$D$4:$O$20,DTR!N$4,FALSE))*1000,0)</f>
        <v>0</v>
      </c>
      <c r="O669" s="141">
        <f>IFERROR((HLOOKUP($AH669,Target_monthwise!$D$4:$O$20,DTR!O$4,FALSE))*1000,0)</f>
        <v>0</v>
      </c>
      <c r="P669" s="141">
        <f>IFERROR((HLOOKUP($AH669,Target_monthwise!$D$4:$O$20,DTR!P$4,FALSE))*1000,0)</f>
        <v>0</v>
      </c>
      <c r="Q669" s="141">
        <f>IFERROR((HLOOKUP($AH669,Target_monthwise!$D$4:$O$20,DTR!Q$4,FALSE))*1000,0)</f>
        <v>0</v>
      </c>
      <c r="R669" s="167">
        <f>IFERROR((HLOOKUP($AH669,Target_monthwise!$D$4:$O$20,DTR!R$4,FALSE))*1000,0)</f>
        <v>0</v>
      </c>
      <c r="S669" s="147">
        <f>IFERROR((HLOOKUP($AH669,Target_monthwise!$D$24:$O$40,DTR!S$4,FALSE)),0)</f>
        <v>0</v>
      </c>
      <c r="T669" s="147">
        <f>IFERROR((HLOOKUP($AH669,Target_monthwise!$D$24:$O$40,DTR!T$4,FALSE)),0)</f>
        <v>0</v>
      </c>
      <c r="U669" s="147">
        <f>IFERROR((HLOOKUP($AH669,Target_monthwise!$D$24:$O$40,DTR!U$4,FALSE)),0)</f>
        <v>0</v>
      </c>
      <c r="V669" s="147">
        <f>IFERROR((HLOOKUP($AH669,Target_monthwise!$D$24:$O$40,DTR!V$4,FALSE)),0)</f>
        <v>0</v>
      </c>
      <c r="W669" s="147">
        <f>IFERROR((HLOOKUP($AH669,Target_monthwise!$D$24:$O$40,DTR!W$4,FALSE)),0)</f>
        <v>0</v>
      </c>
      <c r="X669" s="147">
        <f>IFERROR((HLOOKUP($AH669,Target_monthwise!$D$24:$O$40,DTR!X$4,FALSE)),0)</f>
        <v>0</v>
      </c>
      <c r="Y669" s="147">
        <f>IFERROR((HLOOKUP($AH669,Target_monthwise!$D$24:$O$40,DTR!Y$4,FALSE)),0)</f>
        <v>0</v>
      </c>
      <c r="Z669" s="147">
        <f>IFERROR((HLOOKUP($AH669,Target_monthwise!$D$24:$O$40,DTR!Z$4,FALSE)),0)</f>
        <v>0</v>
      </c>
      <c r="AA669" s="147">
        <f>IFERROR((HLOOKUP($AH669,Target_monthwise!$D$24:$O$40,DTR!AA$4,FALSE)),0)</f>
        <v>0</v>
      </c>
      <c r="AB669" s="147">
        <f>IFERROR((HLOOKUP($AH669,Target_monthwise!$D$24:$O$40,DTR!AB$4,FALSE)),0)</f>
        <v>0</v>
      </c>
      <c r="AC669" s="147">
        <f>IFERROR((HLOOKUP($AH669,Target_monthwise!$D$24:$O$40,DTR!AC$4,FALSE)),0)</f>
        <v>0</v>
      </c>
      <c r="AD669" s="147">
        <f>IFERROR((HLOOKUP($AH669,Target_monthwise!$D$24:$O$40,DTR!AD$4,FALSE)),0)</f>
        <v>0</v>
      </c>
      <c r="AE669" s="147">
        <f>IFERROR((HLOOKUP($AH669,Target_monthwise!$D$24:$O$40,DTR!AE$4,FALSE)),0)</f>
        <v>0</v>
      </c>
      <c r="AF669" s="147">
        <f>IFERROR((HLOOKUP($AH669,Target_monthwise!$D$24:$O$40,DTR!AF$4,FALSE)),0)</f>
        <v>0</v>
      </c>
      <c r="AG669" s="172">
        <f>IFERROR((HLOOKUP($AH669,Target_monthwise!$D$24:$O$40,DTR!AG$4,FALSE)),0)</f>
        <v>0</v>
      </c>
      <c r="AH669" s="253">
        <f t="shared" si="12"/>
        <v>202401</v>
      </c>
    </row>
    <row r="670" spans="3:34" ht="15.75" hidden="1">
      <c r="C670" s="237">
        <v>45313</v>
      </c>
      <c r="D670" s="238">
        <f>IFERROR((HLOOKUP($AH670,Target_monthwise!$D$4:$O$20,DTR!D$4,FALSE))*1000,0)</f>
        <v>0</v>
      </c>
      <c r="E670" s="238">
        <f>IFERROR((HLOOKUP($AH670,Target_monthwise!$D$4:$O$20,DTR!E$4,FALSE))*1000,0)</f>
        <v>0</v>
      </c>
      <c r="F670" s="238">
        <f>IFERROR((HLOOKUP($AH670,Target_monthwise!$D$4:$O$20,DTR!F$4,FALSE))*1000,0)</f>
        <v>0</v>
      </c>
      <c r="G670" s="238">
        <f>IFERROR((HLOOKUP($AH670,Target_monthwise!$D$4:$O$20,DTR!G$4,FALSE))*1000,0)</f>
        <v>0</v>
      </c>
      <c r="H670" s="238">
        <f>IFERROR((HLOOKUP($AH670,Target_monthwise!$D$4:$O$20,DTR!H$4,FALSE))*1000,0)</f>
        <v>0</v>
      </c>
      <c r="I670" s="238">
        <f>IFERROR((HLOOKUP($AH670,Target_monthwise!$D$4:$O$20,DTR!I$4,FALSE))*1000,0)</f>
        <v>0</v>
      </c>
      <c r="J670" s="238">
        <f>IFERROR((HLOOKUP($AH670,Target_monthwise!$D$4:$O$20,DTR!J$4,FALSE))*1000,0)</f>
        <v>0</v>
      </c>
      <c r="K670" s="238">
        <f>IFERROR((HLOOKUP($AH670,Target_monthwise!$D$4:$O$20,DTR!K$4,FALSE))*1000,0)</f>
        <v>0</v>
      </c>
      <c r="L670" s="238">
        <f>IFERROR((HLOOKUP($AH670,Target_monthwise!$D$4:$O$20,DTR!L$4,FALSE))*1000,0)</f>
        <v>0</v>
      </c>
      <c r="M670" s="238">
        <f>IFERROR((HLOOKUP($AH670,Target_monthwise!$D$4:$O$20,DTR!M$4,FALSE))*1000,0)</f>
        <v>0</v>
      </c>
      <c r="N670" s="238">
        <f>IFERROR((HLOOKUP($AH670,Target_monthwise!$D$4:$O$20,DTR!N$4,FALSE))*1000,0)</f>
        <v>0</v>
      </c>
      <c r="O670" s="238">
        <f>IFERROR((HLOOKUP($AH670,Target_monthwise!$D$4:$O$20,DTR!O$4,FALSE))*1000,0)</f>
        <v>0</v>
      </c>
      <c r="P670" s="238">
        <f>IFERROR((HLOOKUP($AH670,Target_monthwise!$D$4:$O$20,DTR!P$4,FALSE))*1000,0)</f>
        <v>0</v>
      </c>
      <c r="Q670" s="141">
        <f>IFERROR((HLOOKUP($AH670,Target_monthwise!$D$4:$O$20,DTR!Q$4,FALSE))*1000,0)</f>
        <v>0</v>
      </c>
      <c r="R670" s="167">
        <f>IFERROR((HLOOKUP($AH670,Target_monthwise!$D$4:$O$20,DTR!R$4,FALSE))*1000,0)</f>
        <v>0</v>
      </c>
      <c r="S670" s="239">
        <f>IFERROR((HLOOKUP($AH670,Target_monthwise!$D$24:$O$40,DTR!S$4,FALSE)),0)</f>
        <v>0</v>
      </c>
      <c r="T670" s="239">
        <f>IFERROR((HLOOKUP($AH670,Target_monthwise!$D$24:$O$40,DTR!T$4,FALSE)),0)</f>
        <v>0</v>
      </c>
      <c r="U670" s="239">
        <f>IFERROR((HLOOKUP($AH670,Target_monthwise!$D$24:$O$40,DTR!U$4,FALSE)),0)</f>
        <v>0</v>
      </c>
      <c r="V670" s="239">
        <f>IFERROR((HLOOKUP($AH670,Target_monthwise!$D$24:$O$40,DTR!V$4,FALSE)),0)</f>
        <v>0</v>
      </c>
      <c r="W670" s="239">
        <f>IFERROR((HLOOKUP($AH670,Target_monthwise!$D$24:$O$40,DTR!W$4,FALSE)),0)</f>
        <v>0</v>
      </c>
      <c r="X670" s="239">
        <f>IFERROR((HLOOKUP($AH670,Target_monthwise!$D$24:$O$40,DTR!X$4,FALSE)),0)</f>
        <v>0</v>
      </c>
      <c r="Y670" s="239">
        <f>IFERROR((HLOOKUP($AH670,Target_monthwise!$D$24:$O$40,DTR!Y$4,FALSE)),0)</f>
        <v>0</v>
      </c>
      <c r="Z670" s="147">
        <f>IFERROR((HLOOKUP($AH670,Target_monthwise!$D$24:$O$40,DTR!Z$4,FALSE)),0)</f>
        <v>0</v>
      </c>
      <c r="AA670" s="147">
        <f>IFERROR((HLOOKUP($AH670,Target_monthwise!$D$24:$O$40,DTR!AA$4,FALSE)),0)</f>
        <v>0</v>
      </c>
      <c r="AB670" s="147">
        <f>IFERROR((HLOOKUP($AH670,Target_monthwise!$D$24:$O$40,DTR!AB$4,FALSE)),0)</f>
        <v>0</v>
      </c>
      <c r="AC670" s="239">
        <f>IFERROR((HLOOKUP($AH670,Target_monthwise!$D$24:$O$40,DTR!AC$4,FALSE)),0)</f>
        <v>0</v>
      </c>
      <c r="AD670" s="239">
        <f>IFERROR((HLOOKUP($AH670,Target_monthwise!$D$24:$O$40,DTR!AD$4,FALSE)),0)</f>
        <v>0</v>
      </c>
      <c r="AE670" s="239">
        <f>IFERROR((HLOOKUP($AH670,Target_monthwise!$D$24:$O$40,DTR!AE$4,FALSE)),0)</f>
        <v>0</v>
      </c>
      <c r="AF670" s="239">
        <f>IFERROR((HLOOKUP($AH670,Target_monthwise!$D$24:$O$40,DTR!AF$4,FALSE)),0)</f>
        <v>0</v>
      </c>
      <c r="AG670" s="172">
        <f>IFERROR((HLOOKUP($AH670,Target_monthwise!$D$24:$O$40,DTR!AG$4,FALSE)),0)</f>
        <v>0</v>
      </c>
      <c r="AH670" s="253">
        <f t="shared" si="12"/>
        <v>202401</v>
      </c>
    </row>
    <row r="671" spans="3:34" ht="15.75" hidden="1">
      <c r="C671" s="235">
        <v>45314</v>
      </c>
      <c r="D671" s="141">
        <f>IFERROR((HLOOKUP($AH671,Target_monthwise!$D$4:$O$20,DTR!D$4,FALSE))*1000,0)</f>
        <v>0</v>
      </c>
      <c r="E671" s="141">
        <f>IFERROR((HLOOKUP($AH671,Target_monthwise!$D$4:$O$20,DTR!E$4,FALSE))*1000,0)</f>
        <v>0</v>
      </c>
      <c r="F671" s="141">
        <f>IFERROR((HLOOKUP($AH671,Target_monthwise!$D$4:$O$20,DTR!F$4,FALSE))*1000,0)</f>
        <v>0</v>
      </c>
      <c r="G671" s="141">
        <f>IFERROR((HLOOKUP($AH671,Target_monthwise!$D$4:$O$20,DTR!G$4,FALSE))*1000,0)</f>
        <v>0</v>
      </c>
      <c r="H671" s="141">
        <f>IFERROR((HLOOKUP($AH671,Target_monthwise!$D$4:$O$20,DTR!H$4,FALSE))*1000,0)</f>
        <v>0</v>
      </c>
      <c r="I671" s="141">
        <f>IFERROR((HLOOKUP($AH671,Target_monthwise!$D$4:$O$20,DTR!I$4,FALSE))*1000,0)</f>
        <v>0</v>
      </c>
      <c r="J671" s="141">
        <f>IFERROR((HLOOKUP($AH671,Target_monthwise!$D$4:$O$20,DTR!J$4,FALSE))*1000,0)</f>
        <v>0</v>
      </c>
      <c r="K671" s="141">
        <f>IFERROR((HLOOKUP($AH671,Target_monthwise!$D$4:$O$20,DTR!K$4,FALSE))*1000,0)</f>
        <v>0</v>
      </c>
      <c r="L671" s="141">
        <f>IFERROR((HLOOKUP($AH671,Target_monthwise!$D$4:$O$20,DTR!L$4,FALSE))*1000,0)</f>
        <v>0</v>
      </c>
      <c r="M671" s="141">
        <f>IFERROR((HLOOKUP($AH671,Target_monthwise!$D$4:$O$20,DTR!M$4,FALSE))*1000,0)</f>
        <v>0</v>
      </c>
      <c r="N671" s="141">
        <f>IFERROR((HLOOKUP($AH671,Target_monthwise!$D$4:$O$20,DTR!N$4,FALSE))*1000,0)</f>
        <v>0</v>
      </c>
      <c r="O671" s="141">
        <f>IFERROR((HLOOKUP($AH671,Target_monthwise!$D$4:$O$20,DTR!O$4,FALSE))*1000,0)</f>
        <v>0</v>
      </c>
      <c r="P671" s="141">
        <f>IFERROR((HLOOKUP($AH671,Target_monthwise!$D$4:$O$20,DTR!P$4,FALSE))*1000,0)</f>
        <v>0</v>
      </c>
      <c r="Q671" s="141">
        <f>IFERROR((HLOOKUP($AH671,Target_monthwise!$D$4:$O$20,DTR!Q$4,FALSE))*1000,0)</f>
        <v>0</v>
      </c>
      <c r="R671" s="167">
        <f>IFERROR((HLOOKUP($AH671,Target_monthwise!$D$4:$O$20,DTR!R$4,FALSE))*1000,0)</f>
        <v>0</v>
      </c>
      <c r="S671" s="147">
        <f>IFERROR((HLOOKUP($AH671,Target_monthwise!$D$24:$O$40,DTR!S$4,FALSE)),0)</f>
        <v>0</v>
      </c>
      <c r="T671" s="147">
        <f>IFERROR((HLOOKUP($AH671,Target_monthwise!$D$24:$O$40,DTR!T$4,FALSE)),0)</f>
        <v>0</v>
      </c>
      <c r="U671" s="147">
        <f>IFERROR((HLOOKUP($AH671,Target_monthwise!$D$24:$O$40,DTR!U$4,FALSE)),0)</f>
        <v>0</v>
      </c>
      <c r="V671" s="147">
        <f>IFERROR((HLOOKUP($AH671,Target_monthwise!$D$24:$O$40,DTR!V$4,FALSE)),0)</f>
        <v>0</v>
      </c>
      <c r="W671" s="147">
        <f>IFERROR((HLOOKUP($AH671,Target_monthwise!$D$24:$O$40,DTR!W$4,FALSE)),0)</f>
        <v>0</v>
      </c>
      <c r="X671" s="147">
        <f>IFERROR((HLOOKUP($AH671,Target_monthwise!$D$24:$O$40,DTR!X$4,FALSE)),0)</f>
        <v>0</v>
      </c>
      <c r="Y671" s="147">
        <f>IFERROR((HLOOKUP($AH671,Target_monthwise!$D$24:$O$40,DTR!Y$4,FALSE)),0)</f>
        <v>0</v>
      </c>
      <c r="Z671" s="147">
        <f>IFERROR((HLOOKUP($AH671,Target_monthwise!$D$24:$O$40,DTR!Z$4,FALSE)),0)</f>
        <v>0</v>
      </c>
      <c r="AA671" s="147">
        <f>IFERROR((HLOOKUP($AH671,Target_monthwise!$D$24:$O$40,DTR!AA$4,FALSE)),0)</f>
        <v>0</v>
      </c>
      <c r="AB671" s="147">
        <f>IFERROR((HLOOKUP($AH671,Target_monthwise!$D$24:$O$40,DTR!AB$4,FALSE)),0)</f>
        <v>0</v>
      </c>
      <c r="AC671" s="147">
        <f>IFERROR((HLOOKUP($AH671,Target_monthwise!$D$24:$O$40,DTR!AC$4,FALSE)),0)</f>
        <v>0</v>
      </c>
      <c r="AD671" s="147">
        <f>IFERROR((HLOOKUP($AH671,Target_monthwise!$D$24:$O$40,DTR!AD$4,FALSE)),0)</f>
        <v>0</v>
      </c>
      <c r="AE671" s="147">
        <f>IFERROR((HLOOKUP($AH671,Target_monthwise!$D$24:$O$40,DTR!AE$4,FALSE)),0)</f>
        <v>0</v>
      </c>
      <c r="AF671" s="147">
        <f>IFERROR((HLOOKUP($AH671,Target_monthwise!$D$24:$O$40,DTR!AF$4,FALSE)),0)</f>
        <v>0</v>
      </c>
      <c r="AG671" s="172">
        <f>IFERROR((HLOOKUP($AH671,Target_monthwise!$D$24:$O$40,DTR!AG$4,FALSE)),0)</f>
        <v>0</v>
      </c>
      <c r="AH671" s="253">
        <f t="shared" si="12"/>
        <v>202401</v>
      </c>
    </row>
    <row r="672" spans="3:34" ht="15.75" hidden="1">
      <c r="C672" s="237">
        <v>45315</v>
      </c>
      <c r="D672" s="238">
        <f>IFERROR((HLOOKUP($AH672,Target_monthwise!$D$4:$O$20,DTR!D$4,FALSE))*1000,0)</f>
        <v>0</v>
      </c>
      <c r="E672" s="238">
        <f>IFERROR((HLOOKUP($AH672,Target_monthwise!$D$4:$O$20,DTR!E$4,FALSE))*1000,0)</f>
        <v>0</v>
      </c>
      <c r="F672" s="238">
        <f>IFERROR((HLOOKUP($AH672,Target_monthwise!$D$4:$O$20,DTR!F$4,FALSE))*1000,0)</f>
        <v>0</v>
      </c>
      <c r="G672" s="238">
        <f>IFERROR((HLOOKUP($AH672,Target_monthwise!$D$4:$O$20,DTR!G$4,FALSE))*1000,0)</f>
        <v>0</v>
      </c>
      <c r="H672" s="238">
        <f>IFERROR((HLOOKUP($AH672,Target_monthwise!$D$4:$O$20,DTR!H$4,FALSE))*1000,0)</f>
        <v>0</v>
      </c>
      <c r="I672" s="238">
        <f>IFERROR((HLOOKUP($AH672,Target_monthwise!$D$4:$O$20,DTR!I$4,FALSE))*1000,0)</f>
        <v>0</v>
      </c>
      <c r="J672" s="238">
        <f>IFERROR((HLOOKUP($AH672,Target_monthwise!$D$4:$O$20,DTR!J$4,FALSE))*1000,0)</f>
        <v>0</v>
      </c>
      <c r="K672" s="238">
        <f>IFERROR((HLOOKUP($AH672,Target_monthwise!$D$4:$O$20,DTR!K$4,FALSE))*1000,0)</f>
        <v>0</v>
      </c>
      <c r="L672" s="238">
        <f>IFERROR((HLOOKUP($AH672,Target_monthwise!$D$4:$O$20,DTR!L$4,FALSE))*1000,0)</f>
        <v>0</v>
      </c>
      <c r="M672" s="238">
        <f>IFERROR((HLOOKUP($AH672,Target_monthwise!$D$4:$O$20,DTR!M$4,FALSE))*1000,0)</f>
        <v>0</v>
      </c>
      <c r="N672" s="238">
        <f>IFERROR((HLOOKUP($AH672,Target_monthwise!$D$4:$O$20,DTR!N$4,FALSE))*1000,0)</f>
        <v>0</v>
      </c>
      <c r="O672" s="238">
        <f>IFERROR((HLOOKUP($AH672,Target_monthwise!$D$4:$O$20,DTR!O$4,FALSE))*1000,0)</f>
        <v>0</v>
      </c>
      <c r="P672" s="238">
        <f>IFERROR((HLOOKUP($AH672,Target_monthwise!$D$4:$O$20,DTR!P$4,FALSE))*1000,0)</f>
        <v>0</v>
      </c>
      <c r="Q672" s="141">
        <f>IFERROR((HLOOKUP($AH672,Target_monthwise!$D$4:$O$20,DTR!Q$4,FALSE))*1000,0)</f>
        <v>0</v>
      </c>
      <c r="R672" s="167">
        <f>IFERROR((HLOOKUP($AH672,Target_monthwise!$D$4:$O$20,DTR!R$4,FALSE))*1000,0)</f>
        <v>0</v>
      </c>
      <c r="S672" s="239">
        <f>IFERROR((HLOOKUP($AH672,Target_monthwise!$D$24:$O$40,DTR!S$4,FALSE)),0)</f>
        <v>0</v>
      </c>
      <c r="T672" s="239">
        <f>IFERROR((HLOOKUP($AH672,Target_monthwise!$D$24:$O$40,DTR!T$4,FALSE)),0)</f>
        <v>0</v>
      </c>
      <c r="U672" s="239">
        <f>IFERROR((HLOOKUP($AH672,Target_monthwise!$D$24:$O$40,DTR!U$4,FALSE)),0)</f>
        <v>0</v>
      </c>
      <c r="V672" s="239">
        <f>IFERROR((HLOOKUP($AH672,Target_monthwise!$D$24:$O$40,DTR!V$4,FALSE)),0)</f>
        <v>0</v>
      </c>
      <c r="W672" s="239">
        <f>IFERROR((HLOOKUP($AH672,Target_monthwise!$D$24:$O$40,DTR!W$4,FALSE)),0)</f>
        <v>0</v>
      </c>
      <c r="X672" s="239">
        <f>IFERROR((HLOOKUP($AH672,Target_monthwise!$D$24:$O$40,DTR!X$4,FALSE)),0)</f>
        <v>0</v>
      </c>
      <c r="Y672" s="239">
        <f>IFERROR((HLOOKUP($AH672,Target_monthwise!$D$24:$O$40,DTR!Y$4,FALSE)),0)</f>
        <v>0</v>
      </c>
      <c r="Z672" s="147">
        <f>IFERROR((HLOOKUP($AH672,Target_monthwise!$D$24:$O$40,DTR!Z$4,FALSE)),0)</f>
        <v>0</v>
      </c>
      <c r="AA672" s="147">
        <f>IFERROR((HLOOKUP($AH672,Target_monthwise!$D$24:$O$40,DTR!AA$4,FALSE)),0)</f>
        <v>0</v>
      </c>
      <c r="AB672" s="147">
        <f>IFERROR((HLOOKUP($AH672,Target_monthwise!$D$24:$O$40,DTR!AB$4,FALSE)),0)</f>
        <v>0</v>
      </c>
      <c r="AC672" s="239">
        <f>IFERROR((HLOOKUP($AH672,Target_monthwise!$D$24:$O$40,DTR!AC$4,FALSE)),0)</f>
        <v>0</v>
      </c>
      <c r="AD672" s="239">
        <f>IFERROR((HLOOKUP($AH672,Target_monthwise!$D$24:$O$40,DTR!AD$4,FALSE)),0)</f>
        <v>0</v>
      </c>
      <c r="AE672" s="239">
        <f>IFERROR((HLOOKUP($AH672,Target_monthwise!$D$24:$O$40,DTR!AE$4,FALSE)),0)</f>
        <v>0</v>
      </c>
      <c r="AF672" s="239">
        <f>IFERROR((HLOOKUP($AH672,Target_monthwise!$D$24:$O$40,DTR!AF$4,FALSE)),0)</f>
        <v>0</v>
      </c>
      <c r="AG672" s="172">
        <f>IFERROR((HLOOKUP($AH672,Target_monthwise!$D$24:$O$40,DTR!AG$4,FALSE)),0)</f>
        <v>0</v>
      </c>
      <c r="AH672" s="253">
        <f t="shared" si="12"/>
        <v>202401</v>
      </c>
    </row>
    <row r="673" spans="3:34" ht="15.75" hidden="1">
      <c r="C673" s="235">
        <v>45316</v>
      </c>
      <c r="D673" s="141">
        <f>IFERROR((HLOOKUP($AH673,Target_monthwise!$D$4:$O$20,DTR!D$4,FALSE))*1000,0)</f>
        <v>0</v>
      </c>
      <c r="E673" s="141">
        <f>IFERROR((HLOOKUP($AH673,Target_monthwise!$D$4:$O$20,DTR!E$4,FALSE))*1000,0)</f>
        <v>0</v>
      </c>
      <c r="F673" s="141">
        <f>IFERROR((HLOOKUP($AH673,Target_monthwise!$D$4:$O$20,DTR!F$4,FALSE))*1000,0)</f>
        <v>0</v>
      </c>
      <c r="G673" s="141">
        <f>IFERROR((HLOOKUP($AH673,Target_monthwise!$D$4:$O$20,DTR!G$4,FALSE))*1000,0)</f>
        <v>0</v>
      </c>
      <c r="H673" s="141">
        <f>IFERROR((HLOOKUP($AH673,Target_monthwise!$D$4:$O$20,DTR!H$4,FALSE))*1000,0)</f>
        <v>0</v>
      </c>
      <c r="I673" s="141">
        <f>IFERROR((HLOOKUP($AH673,Target_monthwise!$D$4:$O$20,DTR!I$4,FALSE))*1000,0)</f>
        <v>0</v>
      </c>
      <c r="J673" s="141">
        <f>IFERROR((HLOOKUP($AH673,Target_monthwise!$D$4:$O$20,DTR!J$4,FALSE))*1000,0)</f>
        <v>0</v>
      </c>
      <c r="K673" s="141">
        <f>IFERROR((HLOOKUP($AH673,Target_monthwise!$D$4:$O$20,DTR!K$4,FALSE))*1000,0)</f>
        <v>0</v>
      </c>
      <c r="L673" s="141">
        <f>IFERROR((HLOOKUP($AH673,Target_monthwise!$D$4:$O$20,DTR!L$4,FALSE))*1000,0)</f>
        <v>0</v>
      </c>
      <c r="M673" s="141">
        <f>IFERROR((HLOOKUP($AH673,Target_monthwise!$D$4:$O$20,DTR!M$4,FALSE))*1000,0)</f>
        <v>0</v>
      </c>
      <c r="N673" s="141">
        <f>IFERROR((HLOOKUP($AH673,Target_monthwise!$D$4:$O$20,DTR!N$4,FALSE))*1000,0)</f>
        <v>0</v>
      </c>
      <c r="O673" s="141">
        <f>IFERROR((HLOOKUP($AH673,Target_monthwise!$D$4:$O$20,DTR!O$4,FALSE))*1000,0)</f>
        <v>0</v>
      </c>
      <c r="P673" s="141">
        <f>IFERROR((HLOOKUP($AH673,Target_monthwise!$D$4:$O$20,DTR!P$4,FALSE))*1000,0)</f>
        <v>0</v>
      </c>
      <c r="Q673" s="141">
        <f>IFERROR((HLOOKUP($AH673,Target_monthwise!$D$4:$O$20,DTR!Q$4,FALSE))*1000,0)</f>
        <v>0</v>
      </c>
      <c r="R673" s="167">
        <f>IFERROR((HLOOKUP($AH673,Target_monthwise!$D$4:$O$20,DTR!R$4,FALSE))*1000,0)</f>
        <v>0</v>
      </c>
      <c r="S673" s="147">
        <f>IFERROR((HLOOKUP($AH673,Target_monthwise!$D$24:$O$40,DTR!S$4,FALSE)),0)</f>
        <v>0</v>
      </c>
      <c r="T673" s="147">
        <f>IFERROR((HLOOKUP($AH673,Target_monthwise!$D$24:$O$40,DTR!T$4,FALSE)),0)</f>
        <v>0</v>
      </c>
      <c r="U673" s="147">
        <f>IFERROR((HLOOKUP($AH673,Target_monthwise!$D$24:$O$40,DTR!U$4,FALSE)),0)</f>
        <v>0</v>
      </c>
      <c r="V673" s="147">
        <f>IFERROR((HLOOKUP($AH673,Target_monthwise!$D$24:$O$40,DTR!V$4,FALSE)),0)</f>
        <v>0</v>
      </c>
      <c r="W673" s="147">
        <f>IFERROR((HLOOKUP($AH673,Target_monthwise!$D$24:$O$40,DTR!W$4,FALSE)),0)</f>
        <v>0</v>
      </c>
      <c r="X673" s="147">
        <f>IFERROR((HLOOKUP($AH673,Target_monthwise!$D$24:$O$40,DTR!X$4,FALSE)),0)</f>
        <v>0</v>
      </c>
      <c r="Y673" s="147">
        <f>IFERROR((HLOOKUP($AH673,Target_monthwise!$D$24:$O$40,DTR!Y$4,FALSE)),0)</f>
        <v>0</v>
      </c>
      <c r="Z673" s="147">
        <f>IFERROR((HLOOKUP($AH673,Target_monthwise!$D$24:$O$40,DTR!Z$4,FALSE)),0)</f>
        <v>0</v>
      </c>
      <c r="AA673" s="147">
        <f>IFERROR((HLOOKUP($AH673,Target_monthwise!$D$24:$O$40,DTR!AA$4,FALSE)),0)</f>
        <v>0</v>
      </c>
      <c r="AB673" s="147">
        <f>IFERROR((HLOOKUP($AH673,Target_monthwise!$D$24:$O$40,DTR!AB$4,FALSE)),0)</f>
        <v>0</v>
      </c>
      <c r="AC673" s="147">
        <f>IFERROR((HLOOKUP($AH673,Target_monthwise!$D$24:$O$40,DTR!AC$4,FALSE)),0)</f>
        <v>0</v>
      </c>
      <c r="AD673" s="147">
        <f>IFERROR((HLOOKUP($AH673,Target_monthwise!$D$24:$O$40,DTR!AD$4,FALSE)),0)</f>
        <v>0</v>
      </c>
      <c r="AE673" s="147">
        <f>IFERROR((HLOOKUP($AH673,Target_monthwise!$D$24:$O$40,DTR!AE$4,FALSE)),0)</f>
        <v>0</v>
      </c>
      <c r="AF673" s="147">
        <f>IFERROR((HLOOKUP($AH673,Target_monthwise!$D$24:$O$40,DTR!AF$4,FALSE)),0)</f>
        <v>0</v>
      </c>
      <c r="AG673" s="172">
        <f>IFERROR((HLOOKUP($AH673,Target_monthwise!$D$24:$O$40,DTR!AG$4,FALSE)),0)</f>
        <v>0</v>
      </c>
      <c r="AH673" s="253">
        <f t="shared" si="12"/>
        <v>202401</v>
      </c>
    </row>
    <row r="674" spans="3:34" ht="15.75" hidden="1">
      <c r="C674" s="237">
        <v>45317</v>
      </c>
      <c r="D674" s="238">
        <f>IFERROR((HLOOKUP($AH674,Target_monthwise!$D$4:$O$20,DTR!D$4,FALSE))*1000,0)</f>
        <v>0</v>
      </c>
      <c r="E674" s="238">
        <f>IFERROR((HLOOKUP($AH674,Target_monthwise!$D$4:$O$20,DTR!E$4,FALSE))*1000,0)</f>
        <v>0</v>
      </c>
      <c r="F674" s="238">
        <f>IFERROR((HLOOKUP($AH674,Target_monthwise!$D$4:$O$20,DTR!F$4,FALSE))*1000,0)</f>
        <v>0</v>
      </c>
      <c r="G674" s="238">
        <f>IFERROR((HLOOKUP($AH674,Target_monthwise!$D$4:$O$20,DTR!G$4,FALSE))*1000,0)</f>
        <v>0</v>
      </c>
      <c r="H674" s="238">
        <f>IFERROR((HLOOKUP($AH674,Target_monthwise!$D$4:$O$20,DTR!H$4,FALSE))*1000,0)</f>
        <v>0</v>
      </c>
      <c r="I674" s="238">
        <f>IFERROR((HLOOKUP($AH674,Target_monthwise!$D$4:$O$20,DTR!I$4,FALSE))*1000,0)</f>
        <v>0</v>
      </c>
      <c r="J674" s="238">
        <f>IFERROR((HLOOKUP($AH674,Target_monthwise!$D$4:$O$20,DTR!J$4,FALSE))*1000,0)</f>
        <v>0</v>
      </c>
      <c r="K674" s="238">
        <f>IFERROR((HLOOKUP($AH674,Target_monthwise!$D$4:$O$20,DTR!K$4,FALSE))*1000,0)</f>
        <v>0</v>
      </c>
      <c r="L674" s="238">
        <f>IFERROR((HLOOKUP($AH674,Target_monthwise!$D$4:$O$20,DTR!L$4,FALSE))*1000,0)</f>
        <v>0</v>
      </c>
      <c r="M674" s="238">
        <f>IFERROR((HLOOKUP($AH674,Target_monthwise!$D$4:$O$20,DTR!M$4,FALSE))*1000,0)</f>
        <v>0</v>
      </c>
      <c r="N674" s="238">
        <f>IFERROR((HLOOKUP($AH674,Target_monthwise!$D$4:$O$20,DTR!N$4,FALSE))*1000,0)</f>
        <v>0</v>
      </c>
      <c r="O674" s="238">
        <f>IFERROR((HLOOKUP($AH674,Target_monthwise!$D$4:$O$20,DTR!O$4,FALSE))*1000,0)</f>
        <v>0</v>
      </c>
      <c r="P674" s="238">
        <f>IFERROR((HLOOKUP($AH674,Target_monthwise!$D$4:$O$20,DTR!P$4,FALSE))*1000,0)</f>
        <v>0</v>
      </c>
      <c r="Q674" s="141">
        <f>IFERROR((HLOOKUP($AH674,Target_monthwise!$D$4:$O$20,DTR!Q$4,FALSE))*1000,0)</f>
        <v>0</v>
      </c>
      <c r="R674" s="167">
        <f>IFERROR((HLOOKUP($AH674,Target_monthwise!$D$4:$O$20,DTR!R$4,FALSE))*1000,0)</f>
        <v>0</v>
      </c>
      <c r="S674" s="239">
        <f>IFERROR((HLOOKUP($AH674,Target_monthwise!$D$24:$O$40,DTR!S$4,FALSE)),0)</f>
        <v>0</v>
      </c>
      <c r="T674" s="239">
        <f>IFERROR((HLOOKUP($AH674,Target_monthwise!$D$24:$O$40,DTR!T$4,FALSE)),0)</f>
        <v>0</v>
      </c>
      <c r="U674" s="239">
        <f>IFERROR((HLOOKUP($AH674,Target_monthwise!$D$24:$O$40,DTR!U$4,FALSE)),0)</f>
        <v>0</v>
      </c>
      <c r="V674" s="239">
        <f>IFERROR((HLOOKUP($AH674,Target_monthwise!$D$24:$O$40,DTR!V$4,FALSE)),0)</f>
        <v>0</v>
      </c>
      <c r="W674" s="239">
        <f>IFERROR((HLOOKUP($AH674,Target_monthwise!$D$24:$O$40,DTR!W$4,FALSE)),0)</f>
        <v>0</v>
      </c>
      <c r="X674" s="239">
        <f>IFERROR((HLOOKUP($AH674,Target_monthwise!$D$24:$O$40,DTR!X$4,FALSE)),0)</f>
        <v>0</v>
      </c>
      <c r="Y674" s="239">
        <f>IFERROR((HLOOKUP($AH674,Target_monthwise!$D$24:$O$40,DTR!Y$4,FALSE)),0)</f>
        <v>0</v>
      </c>
      <c r="Z674" s="147">
        <f>IFERROR((HLOOKUP($AH674,Target_monthwise!$D$24:$O$40,DTR!Z$4,FALSE)),0)</f>
        <v>0</v>
      </c>
      <c r="AA674" s="147">
        <f>IFERROR((HLOOKUP($AH674,Target_monthwise!$D$24:$O$40,DTR!AA$4,FALSE)),0)</f>
        <v>0</v>
      </c>
      <c r="AB674" s="147">
        <f>IFERROR((HLOOKUP($AH674,Target_monthwise!$D$24:$O$40,DTR!AB$4,FALSE)),0)</f>
        <v>0</v>
      </c>
      <c r="AC674" s="239">
        <f>IFERROR((HLOOKUP($AH674,Target_monthwise!$D$24:$O$40,DTR!AC$4,FALSE)),0)</f>
        <v>0</v>
      </c>
      <c r="AD674" s="239">
        <f>IFERROR((HLOOKUP($AH674,Target_monthwise!$D$24:$O$40,DTR!AD$4,FALSE)),0)</f>
        <v>0</v>
      </c>
      <c r="AE674" s="239">
        <f>IFERROR((HLOOKUP($AH674,Target_monthwise!$D$24:$O$40,DTR!AE$4,FALSE)),0)</f>
        <v>0</v>
      </c>
      <c r="AF674" s="239">
        <f>IFERROR((HLOOKUP($AH674,Target_monthwise!$D$24:$O$40,DTR!AF$4,FALSE)),0)</f>
        <v>0</v>
      </c>
      <c r="AG674" s="172">
        <f>IFERROR((HLOOKUP($AH674,Target_monthwise!$D$24:$O$40,DTR!AG$4,FALSE)),0)</f>
        <v>0</v>
      </c>
      <c r="AH674" s="253">
        <f t="shared" si="12"/>
        <v>202401</v>
      </c>
    </row>
    <row r="675" spans="3:34" ht="15.75" hidden="1">
      <c r="C675" s="235">
        <v>45318</v>
      </c>
      <c r="D675" s="141">
        <f>IFERROR((HLOOKUP($AH675,Target_monthwise!$D$4:$O$20,DTR!D$4,FALSE))*1000,0)</f>
        <v>0</v>
      </c>
      <c r="E675" s="141">
        <f>IFERROR((HLOOKUP($AH675,Target_monthwise!$D$4:$O$20,DTR!E$4,FALSE))*1000,0)</f>
        <v>0</v>
      </c>
      <c r="F675" s="141">
        <f>IFERROR((HLOOKUP($AH675,Target_monthwise!$D$4:$O$20,DTR!F$4,FALSE))*1000,0)</f>
        <v>0</v>
      </c>
      <c r="G675" s="141">
        <f>IFERROR((HLOOKUP($AH675,Target_monthwise!$D$4:$O$20,DTR!G$4,FALSE))*1000,0)</f>
        <v>0</v>
      </c>
      <c r="H675" s="141">
        <f>IFERROR((HLOOKUP($AH675,Target_monthwise!$D$4:$O$20,DTR!H$4,FALSE))*1000,0)</f>
        <v>0</v>
      </c>
      <c r="I675" s="141">
        <f>IFERROR((HLOOKUP($AH675,Target_monthwise!$D$4:$O$20,DTR!I$4,FALSE))*1000,0)</f>
        <v>0</v>
      </c>
      <c r="J675" s="141">
        <f>IFERROR((HLOOKUP($AH675,Target_monthwise!$D$4:$O$20,DTR!J$4,FALSE))*1000,0)</f>
        <v>0</v>
      </c>
      <c r="K675" s="141">
        <f>IFERROR((HLOOKUP($AH675,Target_monthwise!$D$4:$O$20,DTR!K$4,FALSE))*1000,0)</f>
        <v>0</v>
      </c>
      <c r="L675" s="141">
        <f>IFERROR((HLOOKUP($AH675,Target_monthwise!$D$4:$O$20,DTR!L$4,FALSE))*1000,0)</f>
        <v>0</v>
      </c>
      <c r="M675" s="141">
        <f>IFERROR((HLOOKUP($AH675,Target_monthwise!$D$4:$O$20,DTR!M$4,FALSE))*1000,0)</f>
        <v>0</v>
      </c>
      <c r="N675" s="141">
        <f>IFERROR((HLOOKUP($AH675,Target_monthwise!$D$4:$O$20,DTR!N$4,FALSE))*1000,0)</f>
        <v>0</v>
      </c>
      <c r="O675" s="141">
        <f>IFERROR((HLOOKUP($AH675,Target_monthwise!$D$4:$O$20,DTR!O$4,FALSE))*1000,0)</f>
        <v>0</v>
      </c>
      <c r="P675" s="141">
        <f>IFERROR((HLOOKUP($AH675,Target_monthwise!$D$4:$O$20,DTR!P$4,FALSE))*1000,0)</f>
        <v>0</v>
      </c>
      <c r="Q675" s="141">
        <f>IFERROR((HLOOKUP($AH675,Target_monthwise!$D$4:$O$20,DTR!Q$4,FALSE))*1000,0)</f>
        <v>0</v>
      </c>
      <c r="R675" s="167">
        <f>IFERROR((HLOOKUP($AH675,Target_monthwise!$D$4:$O$20,DTR!R$4,FALSE))*1000,0)</f>
        <v>0</v>
      </c>
      <c r="S675" s="147">
        <f>IFERROR((HLOOKUP($AH675,Target_monthwise!$D$24:$O$40,DTR!S$4,FALSE)),0)</f>
        <v>0</v>
      </c>
      <c r="T675" s="147">
        <f>IFERROR((HLOOKUP($AH675,Target_monthwise!$D$24:$O$40,DTR!T$4,FALSE)),0)</f>
        <v>0</v>
      </c>
      <c r="U675" s="147">
        <f>IFERROR((HLOOKUP($AH675,Target_monthwise!$D$24:$O$40,DTR!U$4,FALSE)),0)</f>
        <v>0</v>
      </c>
      <c r="V675" s="147">
        <f>IFERROR((HLOOKUP($AH675,Target_monthwise!$D$24:$O$40,DTR!V$4,FALSE)),0)</f>
        <v>0</v>
      </c>
      <c r="W675" s="147">
        <f>IFERROR((HLOOKUP($AH675,Target_monthwise!$D$24:$O$40,DTR!W$4,FALSE)),0)</f>
        <v>0</v>
      </c>
      <c r="X675" s="147">
        <f>IFERROR((HLOOKUP($AH675,Target_monthwise!$D$24:$O$40,DTR!X$4,FALSE)),0)</f>
        <v>0</v>
      </c>
      <c r="Y675" s="147">
        <f>IFERROR((HLOOKUP($AH675,Target_monthwise!$D$24:$O$40,DTR!Y$4,FALSE)),0)</f>
        <v>0</v>
      </c>
      <c r="Z675" s="147">
        <f>IFERROR((HLOOKUP($AH675,Target_monthwise!$D$24:$O$40,DTR!Z$4,FALSE)),0)</f>
        <v>0</v>
      </c>
      <c r="AA675" s="147">
        <f>IFERROR((HLOOKUP($AH675,Target_monthwise!$D$24:$O$40,DTR!AA$4,FALSE)),0)</f>
        <v>0</v>
      </c>
      <c r="AB675" s="147">
        <f>IFERROR((HLOOKUP($AH675,Target_monthwise!$D$24:$O$40,DTR!AB$4,FALSE)),0)</f>
        <v>0</v>
      </c>
      <c r="AC675" s="147">
        <f>IFERROR((HLOOKUP($AH675,Target_monthwise!$D$24:$O$40,DTR!AC$4,FALSE)),0)</f>
        <v>0</v>
      </c>
      <c r="AD675" s="147">
        <f>IFERROR((HLOOKUP($AH675,Target_monthwise!$D$24:$O$40,DTR!AD$4,FALSE)),0)</f>
        <v>0</v>
      </c>
      <c r="AE675" s="147">
        <f>IFERROR((HLOOKUP($AH675,Target_monthwise!$D$24:$O$40,DTR!AE$4,FALSE)),0)</f>
        <v>0</v>
      </c>
      <c r="AF675" s="147">
        <f>IFERROR((HLOOKUP($AH675,Target_monthwise!$D$24:$O$40,DTR!AF$4,FALSE)),0)</f>
        <v>0</v>
      </c>
      <c r="AG675" s="172">
        <f>IFERROR((HLOOKUP($AH675,Target_monthwise!$D$24:$O$40,DTR!AG$4,FALSE)),0)</f>
        <v>0</v>
      </c>
      <c r="AH675" s="253">
        <f t="shared" si="12"/>
        <v>202401</v>
      </c>
    </row>
    <row r="676" spans="3:34" ht="15.75" hidden="1">
      <c r="C676" s="237">
        <v>45319</v>
      </c>
      <c r="D676" s="238">
        <f>IFERROR((HLOOKUP($AH676,Target_monthwise!$D$4:$O$20,DTR!D$4,FALSE))*1000,0)</f>
        <v>0</v>
      </c>
      <c r="E676" s="238">
        <f>IFERROR((HLOOKUP($AH676,Target_monthwise!$D$4:$O$20,DTR!E$4,FALSE))*1000,0)</f>
        <v>0</v>
      </c>
      <c r="F676" s="238">
        <f>IFERROR((HLOOKUP($AH676,Target_monthwise!$D$4:$O$20,DTR!F$4,FALSE))*1000,0)</f>
        <v>0</v>
      </c>
      <c r="G676" s="238">
        <f>IFERROR((HLOOKUP($AH676,Target_monthwise!$D$4:$O$20,DTR!G$4,FALSE))*1000,0)</f>
        <v>0</v>
      </c>
      <c r="H676" s="238">
        <f>IFERROR((HLOOKUP($AH676,Target_monthwise!$D$4:$O$20,DTR!H$4,FALSE))*1000,0)</f>
        <v>0</v>
      </c>
      <c r="I676" s="238">
        <f>IFERROR((HLOOKUP($AH676,Target_monthwise!$D$4:$O$20,DTR!I$4,FALSE))*1000,0)</f>
        <v>0</v>
      </c>
      <c r="J676" s="238">
        <f>IFERROR((HLOOKUP($AH676,Target_monthwise!$D$4:$O$20,DTR!J$4,FALSE))*1000,0)</f>
        <v>0</v>
      </c>
      <c r="K676" s="238">
        <f>IFERROR((HLOOKUP($AH676,Target_monthwise!$D$4:$O$20,DTR!K$4,FALSE))*1000,0)</f>
        <v>0</v>
      </c>
      <c r="L676" s="238">
        <f>IFERROR((HLOOKUP($AH676,Target_monthwise!$D$4:$O$20,DTR!L$4,FALSE))*1000,0)</f>
        <v>0</v>
      </c>
      <c r="M676" s="238">
        <f>IFERROR((HLOOKUP($AH676,Target_monthwise!$D$4:$O$20,DTR!M$4,FALSE))*1000,0)</f>
        <v>0</v>
      </c>
      <c r="N676" s="238">
        <f>IFERROR((HLOOKUP($AH676,Target_monthwise!$D$4:$O$20,DTR!N$4,FALSE))*1000,0)</f>
        <v>0</v>
      </c>
      <c r="O676" s="238">
        <f>IFERROR((HLOOKUP($AH676,Target_monthwise!$D$4:$O$20,DTR!O$4,FALSE))*1000,0)</f>
        <v>0</v>
      </c>
      <c r="P676" s="238">
        <f>IFERROR((HLOOKUP($AH676,Target_monthwise!$D$4:$O$20,DTR!P$4,FALSE))*1000,0)</f>
        <v>0</v>
      </c>
      <c r="Q676" s="141">
        <f>IFERROR((HLOOKUP($AH676,Target_monthwise!$D$4:$O$20,DTR!Q$4,FALSE))*1000,0)</f>
        <v>0</v>
      </c>
      <c r="R676" s="167">
        <f>IFERROR((HLOOKUP($AH676,Target_monthwise!$D$4:$O$20,DTR!R$4,FALSE))*1000,0)</f>
        <v>0</v>
      </c>
      <c r="S676" s="239">
        <f>IFERROR((HLOOKUP($AH676,Target_monthwise!$D$24:$O$40,DTR!S$4,FALSE)),0)</f>
        <v>0</v>
      </c>
      <c r="T676" s="239">
        <f>IFERROR((HLOOKUP($AH676,Target_monthwise!$D$24:$O$40,DTR!T$4,FALSE)),0)</f>
        <v>0</v>
      </c>
      <c r="U676" s="239">
        <f>IFERROR((HLOOKUP($AH676,Target_monthwise!$D$24:$O$40,DTR!U$4,FALSE)),0)</f>
        <v>0</v>
      </c>
      <c r="V676" s="239">
        <f>IFERROR((HLOOKUP($AH676,Target_monthwise!$D$24:$O$40,DTR!V$4,FALSE)),0)</f>
        <v>0</v>
      </c>
      <c r="W676" s="239">
        <f>IFERROR((HLOOKUP($AH676,Target_monthwise!$D$24:$O$40,DTR!W$4,FALSE)),0)</f>
        <v>0</v>
      </c>
      <c r="X676" s="239">
        <f>IFERROR((HLOOKUP($AH676,Target_monthwise!$D$24:$O$40,DTR!X$4,FALSE)),0)</f>
        <v>0</v>
      </c>
      <c r="Y676" s="239">
        <f>IFERROR((HLOOKUP($AH676,Target_monthwise!$D$24:$O$40,DTR!Y$4,FALSE)),0)</f>
        <v>0</v>
      </c>
      <c r="Z676" s="147">
        <f>IFERROR((HLOOKUP($AH676,Target_monthwise!$D$24:$O$40,DTR!Z$4,FALSE)),0)</f>
        <v>0</v>
      </c>
      <c r="AA676" s="147">
        <f>IFERROR((HLOOKUP($AH676,Target_monthwise!$D$24:$O$40,DTR!AA$4,FALSE)),0)</f>
        <v>0</v>
      </c>
      <c r="AB676" s="147">
        <f>IFERROR((HLOOKUP($AH676,Target_monthwise!$D$24:$O$40,DTR!AB$4,FALSE)),0)</f>
        <v>0</v>
      </c>
      <c r="AC676" s="239">
        <f>IFERROR((HLOOKUP($AH676,Target_monthwise!$D$24:$O$40,DTR!AC$4,FALSE)),0)</f>
        <v>0</v>
      </c>
      <c r="AD676" s="239">
        <f>IFERROR((HLOOKUP($AH676,Target_monthwise!$D$24:$O$40,DTR!AD$4,FALSE)),0)</f>
        <v>0</v>
      </c>
      <c r="AE676" s="239">
        <f>IFERROR((HLOOKUP($AH676,Target_monthwise!$D$24:$O$40,DTR!AE$4,FALSE)),0)</f>
        <v>0</v>
      </c>
      <c r="AF676" s="239">
        <f>IFERROR((HLOOKUP($AH676,Target_monthwise!$D$24:$O$40,DTR!AF$4,FALSE)),0)</f>
        <v>0</v>
      </c>
      <c r="AG676" s="172">
        <f>IFERROR((HLOOKUP($AH676,Target_monthwise!$D$24:$O$40,DTR!AG$4,FALSE)),0)</f>
        <v>0</v>
      </c>
      <c r="AH676" s="253">
        <f t="shared" si="12"/>
        <v>202401</v>
      </c>
    </row>
    <row r="677" spans="3:34" ht="15.75" hidden="1">
      <c r="C677" s="235">
        <v>45320</v>
      </c>
      <c r="D677" s="141">
        <f>IFERROR((HLOOKUP($AH677,Target_monthwise!$D$4:$O$20,DTR!D$4,FALSE))*1000,0)</f>
        <v>0</v>
      </c>
      <c r="E677" s="141">
        <f>IFERROR((HLOOKUP($AH677,Target_monthwise!$D$4:$O$20,DTR!E$4,FALSE))*1000,0)</f>
        <v>0</v>
      </c>
      <c r="F677" s="141">
        <f>IFERROR((HLOOKUP($AH677,Target_monthwise!$D$4:$O$20,DTR!F$4,FALSE))*1000,0)</f>
        <v>0</v>
      </c>
      <c r="G677" s="141">
        <f>IFERROR((HLOOKUP($AH677,Target_monthwise!$D$4:$O$20,DTR!G$4,FALSE))*1000,0)</f>
        <v>0</v>
      </c>
      <c r="H677" s="141">
        <f>IFERROR((HLOOKUP($AH677,Target_monthwise!$D$4:$O$20,DTR!H$4,FALSE))*1000,0)</f>
        <v>0</v>
      </c>
      <c r="I677" s="141">
        <f>IFERROR((HLOOKUP($AH677,Target_monthwise!$D$4:$O$20,DTR!I$4,FALSE))*1000,0)</f>
        <v>0</v>
      </c>
      <c r="J677" s="141">
        <f>IFERROR((HLOOKUP($AH677,Target_monthwise!$D$4:$O$20,DTR!J$4,FALSE))*1000,0)</f>
        <v>0</v>
      </c>
      <c r="K677" s="141">
        <f>IFERROR((HLOOKUP($AH677,Target_monthwise!$D$4:$O$20,DTR!K$4,FALSE))*1000,0)</f>
        <v>0</v>
      </c>
      <c r="L677" s="141">
        <f>IFERROR((HLOOKUP($AH677,Target_monthwise!$D$4:$O$20,DTR!L$4,FALSE))*1000,0)</f>
        <v>0</v>
      </c>
      <c r="M677" s="141">
        <f>IFERROR((HLOOKUP($AH677,Target_monthwise!$D$4:$O$20,DTR!M$4,FALSE))*1000,0)</f>
        <v>0</v>
      </c>
      <c r="N677" s="141">
        <f>IFERROR((HLOOKUP($AH677,Target_monthwise!$D$4:$O$20,DTR!N$4,FALSE))*1000,0)</f>
        <v>0</v>
      </c>
      <c r="O677" s="141">
        <f>IFERROR((HLOOKUP($AH677,Target_monthwise!$D$4:$O$20,DTR!O$4,FALSE))*1000,0)</f>
        <v>0</v>
      </c>
      <c r="P677" s="141">
        <f>IFERROR((HLOOKUP($AH677,Target_monthwise!$D$4:$O$20,DTR!P$4,FALSE))*1000,0)</f>
        <v>0</v>
      </c>
      <c r="Q677" s="141">
        <f>IFERROR((HLOOKUP($AH677,Target_monthwise!$D$4:$O$20,DTR!Q$4,FALSE))*1000,0)</f>
        <v>0</v>
      </c>
      <c r="R677" s="167">
        <f>IFERROR((HLOOKUP($AH677,Target_monthwise!$D$4:$O$20,DTR!R$4,FALSE))*1000,0)</f>
        <v>0</v>
      </c>
      <c r="S677" s="147">
        <f>IFERROR((HLOOKUP($AH677,Target_monthwise!$D$24:$O$40,DTR!S$4,FALSE)),0)</f>
        <v>0</v>
      </c>
      <c r="T677" s="147">
        <f>IFERROR((HLOOKUP($AH677,Target_monthwise!$D$24:$O$40,DTR!T$4,FALSE)),0)</f>
        <v>0</v>
      </c>
      <c r="U677" s="147">
        <f>IFERROR((HLOOKUP($AH677,Target_monthwise!$D$24:$O$40,DTR!U$4,FALSE)),0)</f>
        <v>0</v>
      </c>
      <c r="V677" s="147">
        <f>IFERROR((HLOOKUP($AH677,Target_monthwise!$D$24:$O$40,DTR!V$4,FALSE)),0)</f>
        <v>0</v>
      </c>
      <c r="W677" s="147">
        <f>IFERROR((HLOOKUP($AH677,Target_monthwise!$D$24:$O$40,DTR!W$4,FALSE)),0)</f>
        <v>0</v>
      </c>
      <c r="X677" s="147">
        <f>IFERROR((HLOOKUP($AH677,Target_monthwise!$D$24:$O$40,DTR!X$4,FALSE)),0)</f>
        <v>0</v>
      </c>
      <c r="Y677" s="147">
        <f>IFERROR((HLOOKUP($AH677,Target_monthwise!$D$24:$O$40,DTR!Y$4,FALSE)),0)</f>
        <v>0</v>
      </c>
      <c r="Z677" s="147">
        <f>IFERROR((HLOOKUP($AH677,Target_monthwise!$D$24:$O$40,DTR!Z$4,FALSE)),0)</f>
        <v>0</v>
      </c>
      <c r="AA677" s="147">
        <f>IFERROR((HLOOKUP($AH677,Target_monthwise!$D$24:$O$40,DTR!AA$4,FALSE)),0)</f>
        <v>0</v>
      </c>
      <c r="AB677" s="147">
        <f>IFERROR((HLOOKUP($AH677,Target_monthwise!$D$24:$O$40,DTR!AB$4,FALSE)),0)</f>
        <v>0</v>
      </c>
      <c r="AC677" s="147">
        <f>IFERROR((HLOOKUP($AH677,Target_monthwise!$D$24:$O$40,DTR!AC$4,FALSE)),0)</f>
        <v>0</v>
      </c>
      <c r="AD677" s="147">
        <f>IFERROR((HLOOKUP($AH677,Target_monthwise!$D$24:$O$40,DTR!AD$4,FALSE)),0)</f>
        <v>0</v>
      </c>
      <c r="AE677" s="147">
        <f>IFERROR((HLOOKUP($AH677,Target_monthwise!$D$24:$O$40,DTR!AE$4,FALSE)),0)</f>
        <v>0</v>
      </c>
      <c r="AF677" s="147">
        <f>IFERROR((HLOOKUP($AH677,Target_monthwise!$D$24:$O$40,DTR!AF$4,FALSE)),0)</f>
        <v>0</v>
      </c>
      <c r="AG677" s="172">
        <f>IFERROR((HLOOKUP($AH677,Target_monthwise!$D$24:$O$40,DTR!AG$4,FALSE)),0)</f>
        <v>0</v>
      </c>
      <c r="AH677" s="253">
        <f t="shared" si="12"/>
        <v>202401</v>
      </c>
    </row>
    <row r="678" spans="3:34" ht="15.75" hidden="1">
      <c r="C678" s="237">
        <v>45321</v>
      </c>
      <c r="D678" s="238">
        <f>IFERROR((HLOOKUP($AH678,Target_monthwise!$D$4:$O$20,DTR!D$4,FALSE))*1000,0)</f>
        <v>0</v>
      </c>
      <c r="E678" s="238">
        <f>IFERROR((HLOOKUP($AH678,Target_monthwise!$D$4:$O$20,DTR!E$4,FALSE))*1000,0)</f>
        <v>0</v>
      </c>
      <c r="F678" s="238">
        <f>IFERROR((HLOOKUP($AH678,Target_monthwise!$D$4:$O$20,DTR!F$4,FALSE))*1000,0)</f>
        <v>0</v>
      </c>
      <c r="G678" s="238">
        <f>IFERROR((HLOOKUP($AH678,Target_monthwise!$D$4:$O$20,DTR!G$4,FALSE))*1000,0)</f>
        <v>0</v>
      </c>
      <c r="H678" s="238">
        <f>IFERROR((HLOOKUP($AH678,Target_monthwise!$D$4:$O$20,DTR!H$4,FALSE))*1000,0)</f>
        <v>0</v>
      </c>
      <c r="I678" s="238">
        <f>IFERROR((HLOOKUP($AH678,Target_monthwise!$D$4:$O$20,DTR!I$4,FALSE))*1000,0)</f>
        <v>0</v>
      </c>
      <c r="J678" s="238">
        <f>IFERROR((HLOOKUP($AH678,Target_monthwise!$D$4:$O$20,DTR!J$4,FALSE))*1000,0)</f>
        <v>0</v>
      </c>
      <c r="K678" s="238">
        <f>IFERROR((HLOOKUP($AH678,Target_monthwise!$D$4:$O$20,DTR!K$4,FALSE))*1000,0)</f>
        <v>0</v>
      </c>
      <c r="L678" s="238">
        <f>IFERROR((HLOOKUP($AH678,Target_monthwise!$D$4:$O$20,DTR!L$4,FALSE))*1000,0)</f>
        <v>0</v>
      </c>
      <c r="M678" s="238">
        <f>IFERROR((HLOOKUP($AH678,Target_monthwise!$D$4:$O$20,DTR!M$4,FALSE))*1000,0)</f>
        <v>0</v>
      </c>
      <c r="N678" s="238">
        <f>IFERROR((HLOOKUP($AH678,Target_monthwise!$D$4:$O$20,DTR!N$4,FALSE))*1000,0)</f>
        <v>0</v>
      </c>
      <c r="O678" s="238">
        <f>IFERROR((HLOOKUP($AH678,Target_monthwise!$D$4:$O$20,DTR!O$4,FALSE))*1000,0)</f>
        <v>0</v>
      </c>
      <c r="P678" s="238">
        <f>IFERROR((HLOOKUP($AH678,Target_monthwise!$D$4:$O$20,DTR!P$4,FALSE))*1000,0)</f>
        <v>0</v>
      </c>
      <c r="Q678" s="141">
        <f>IFERROR((HLOOKUP($AH678,Target_monthwise!$D$4:$O$20,DTR!Q$4,FALSE))*1000,0)</f>
        <v>0</v>
      </c>
      <c r="R678" s="167">
        <f>IFERROR((HLOOKUP($AH678,Target_monthwise!$D$4:$O$20,DTR!R$4,FALSE))*1000,0)</f>
        <v>0</v>
      </c>
      <c r="S678" s="239">
        <f>IFERROR((HLOOKUP($AH678,Target_monthwise!$D$24:$O$40,DTR!S$4,FALSE)),0)</f>
        <v>0</v>
      </c>
      <c r="T678" s="239">
        <f>IFERROR((HLOOKUP($AH678,Target_monthwise!$D$24:$O$40,DTR!T$4,FALSE)),0)</f>
        <v>0</v>
      </c>
      <c r="U678" s="239">
        <f>IFERROR((HLOOKUP($AH678,Target_monthwise!$D$24:$O$40,DTR!U$4,FALSE)),0)</f>
        <v>0</v>
      </c>
      <c r="V678" s="239">
        <f>IFERROR((HLOOKUP($AH678,Target_monthwise!$D$24:$O$40,DTR!V$4,FALSE)),0)</f>
        <v>0</v>
      </c>
      <c r="W678" s="239">
        <f>IFERROR((HLOOKUP($AH678,Target_monthwise!$D$24:$O$40,DTR!W$4,FALSE)),0)</f>
        <v>0</v>
      </c>
      <c r="X678" s="239">
        <f>IFERROR((HLOOKUP($AH678,Target_monthwise!$D$24:$O$40,DTR!X$4,FALSE)),0)</f>
        <v>0</v>
      </c>
      <c r="Y678" s="239">
        <f>IFERROR((HLOOKUP($AH678,Target_monthwise!$D$24:$O$40,DTR!Y$4,FALSE)),0)</f>
        <v>0</v>
      </c>
      <c r="Z678" s="147">
        <f>IFERROR((HLOOKUP($AH678,Target_monthwise!$D$24:$O$40,DTR!Z$4,FALSE)),0)</f>
        <v>0</v>
      </c>
      <c r="AA678" s="147">
        <f>IFERROR((HLOOKUP($AH678,Target_monthwise!$D$24:$O$40,DTR!AA$4,FALSE)),0)</f>
        <v>0</v>
      </c>
      <c r="AB678" s="147">
        <f>IFERROR((HLOOKUP($AH678,Target_monthwise!$D$24:$O$40,DTR!AB$4,FALSE)),0)</f>
        <v>0</v>
      </c>
      <c r="AC678" s="239">
        <f>IFERROR((HLOOKUP($AH678,Target_monthwise!$D$24:$O$40,DTR!AC$4,FALSE)),0)</f>
        <v>0</v>
      </c>
      <c r="AD678" s="239">
        <f>IFERROR((HLOOKUP($AH678,Target_monthwise!$D$24:$O$40,DTR!AD$4,FALSE)),0)</f>
        <v>0</v>
      </c>
      <c r="AE678" s="239">
        <f>IFERROR((HLOOKUP($AH678,Target_monthwise!$D$24:$O$40,DTR!AE$4,FALSE)),0)</f>
        <v>0</v>
      </c>
      <c r="AF678" s="239">
        <f>IFERROR((HLOOKUP($AH678,Target_monthwise!$D$24:$O$40,DTR!AF$4,FALSE)),0)</f>
        <v>0</v>
      </c>
      <c r="AG678" s="172">
        <f>IFERROR((HLOOKUP($AH678,Target_monthwise!$D$24:$O$40,DTR!AG$4,FALSE)),0)</f>
        <v>0</v>
      </c>
      <c r="AH678" s="253">
        <f t="shared" si="12"/>
        <v>202401</v>
      </c>
    </row>
    <row r="679" spans="3:34" ht="15.75" hidden="1">
      <c r="C679" s="235">
        <v>45322</v>
      </c>
      <c r="D679" s="141">
        <f>IFERROR((HLOOKUP($AH679,Target_monthwise!$D$4:$O$20,DTR!D$4,FALSE))*1000,0)</f>
        <v>0</v>
      </c>
      <c r="E679" s="141">
        <f>IFERROR((HLOOKUP($AH679,Target_monthwise!$D$4:$O$20,DTR!E$4,FALSE))*1000,0)</f>
        <v>0</v>
      </c>
      <c r="F679" s="141">
        <f>IFERROR((HLOOKUP($AH679,Target_monthwise!$D$4:$O$20,DTR!F$4,FALSE))*1000,0)</f>
        <v>0</v>
      </c>
      <c r="G679" s="141">
        <f>IFERROR((HLOOKUP($AH679,Target_monthwise!$D$4:$O$20,DTR!G$4,FALSE))*1000,0)</f>
        <v>0</v>
      </c>
      <c r="H679" s="141">
        <f>IFERROR((HLOOKUP($AH679,Target_monthwise!$D$4:$O$20,DTR!H$4,FALSE))*1000,0)</f>
        <v>0</v>
      </c>
      <c r="I679" s="141">
        <f>IFERROR((HLOOKUP($AH679,Target_monthwise!$D$4:$O$20,DTR!I$4,FALSE))*1000,0)</f>
        <v>0</v>
      </c>
      <c r="J679" s="141">
        <f>IFERROR((HLOOKUP($AH679,Target_monthwise!$D$4:$O$20,DTR!J$4,FALSE))*1000,0)</f>
        <v>0</v>
      </c>
      <c r="K679" s="141">
        <f>IFERROR((HLOOKUP($AH679,Target_monthwise!$D$4:$O$20,DTR!K$4,FALSE))*1000,0)</f>
        <v>0</v>
      </c>
      <c r="L679" s="141">
        <f>IFERROR((HLOOKUP($AH679,Target_monthwise!$D$4:$O$20,DTR!L$4,FALSE))*1000,0)</f>
        <v>0</v>
      </c>
      <c r="M679" s="141">
        <f>IFERROR((HLOOKUP($AH679,Target_monthwise!$D$4:$O$20,DTR!M$4,FALSE))*1000,0)</f>
        <v>0</v>
      </c>
      <c r="N679" s="141">
        <f>IFERROR((HLOOKUP($AH679,Target_monthwise!$D$4:$O$20,DTR!N$4,FALSE))*1000,0)</f>
        <v>0</v>
      </c>
      <c r="O679" s="141">
        <f>IFERROR((HLOOKUP($AH679,Target_monthwise!$D$4:$O$20,DTR!O$4,FALSE))*1000,0)</f>
        <v>0</v>
      </c>
      <c r="P679" s="141">
        <f>IFERROR((HLOOKUP($AH679,Target_monthwise!$D$4:$O$20,DTR!P$4,FALSE))*1000,0)</f>
        <v>0</v>
      </c>
      <c r="Q679" s="141">
        <f>IFERROR((HLOOKUP($AH679,Target_monthwise!$D$4:$O$20,DTR!Q$4,FALSE))*1000,0)</f>
        <v>0</v>
      </c>
      <c r="R679" s="167">
        <f>IFERROR((HLOOKUP($AH679,Target_monthwise!$D$4:$O$20,DTR!R$4,FALSE))*1000,0)</f>
        <v>0</v>
      </c>
      <c r="S679" s="147">
        <f>IFERROR((HLOOKUP($AH679,Target_monthwise!$D$24:$O$40,DTR!S$4,FALSE)),0)</f>
        <v>0</v>
      </c>
      <c r="T679" s="147">
        <f>IFERROR((HLOOKUP($AH679,Target_monthwise!$D$24:$O$40,DTR!T$4,FALSE)),0)</f>
        <v>0</v>
      </c>
      <c r="U679" s="147">
        <f>IFERROR((HLOOKUP($AH679,Target_monthwise!$D$24:$O$40,DTR!U$4,FALSE)),0)</f>
        <v>0</v>
      </c>
      <c r="V679" s="147">
        <f>IFERROR((HLOOKUP($AH679,Target_monthwise!$D$24:$O$40,DTR!V$4,FALSE)),0)</f>
        <v>0</v>
      </c>
      <c r="W679" s="147">
        <f>IFERROR((HLOOKUP($AH679,Target_monthwise!$D$24:$O$40,DTR!W$4,FALSE)),0)</f>
        <v>0</v>
      </c>
      <c r="X679" s="147">
        <f>IFERROR((HLOOKUP($AH679,Target_monthwise!$D$24:$O$40,DTR!X$4,FALSE)),0)</f>
        <v>0</v>
      </c>
      <c r="Y679" s="147">
        <f>IFERROR((HLOOKUP($AH679,Target_monthwise!$D$24:$O$40,DTR!Y$4,FALSE)),0)</f>
        <v>0</v>
      </c>
      <c r="Z679" s="147">
        <f>IFERROR((HLOOKUP($AH679,Target_monthwise!$D$24:$O$40,DTR!Z$4,FALSE)),0)</f>
        <v>0</v>
      </c>
      <c r="AA679" s="147">
        <f>IFERROR((HLOOKUP($AH679,Target_monthwise!$D$24:$O$40,DTR!AA$4,FALSE)),0)</f>
        <v>0</v>
      </c>
      <c r="AB679" s="147">
        <f>IFERROR((HLOOKUP($AH679,Target_monthwise!$D$24:$O$40,DTR!AB$4,FALSE)),0)</f>
        <v>0</v>
      </c>
      <c r="AC679" s="147">
        <f>IFERROR((HLOOKUP($AH679,Target_monthwise!$D$24:$O$40,DTR!AC$4,FALSE)),0)</f>
        <v>0</v>
      </c>
      <c r="AD679" s="147">
        <f>IFERROR((HLOOKUP($AH679,Target_monthwise!$D$24:$O$40,DTR!AD$4,FALSE)),0)</f>
        <v>0</v>
      </c>
      <c r="AE679" s="147">
        <f>IFERROR((HLOOKUP($AH679,Target_monthwise!$D$24:$O$40,DTR!AE$4,FALSE)),0)</f>
        <v>0</v>
      </c>
      <c r="AF679" s="147">
        <f>IFERROR((HLOOKUP($AH679,Target_monthwise!$D$24:$O$40,DTR!AF$4,FALSE)),0)</f>
        <v>0</v>
      </c>
      <c r="AG679" s="172">
        <f>IFERROR((HLOOKUP($AH679,Target_monthwise!$D$24:$O$40,DTR!AG$4,FALSE)),0)</f>
        <v>0</v>
      </c>
      <c r="AH679" s="253">
        <f t="shared" si="12"/>
        <v>202401</v>
      </c>
    </row>
    <row r="680" spans="3:34" ht="15.75" hidden="1">
      <c r="C680" s="237">
        <v>45323</v>
      </c>
      <c r="D680" s="238">
        <f>IFERROR((HLOOKUP($AH680,Target_monthwise!$D$4:$O$20,DTR!D$4,FALSE))*1000,0)</f>
        <v>0</v>
      </c>
      <c r="E680" s="238">
        <f>IFERROR((HLOOKUP($AH680,Target_monthwise!$D$4:$O$20,DTR!E$4,FALSE))*1000,0)</f>
        <v>0</v>
      </c>
      <c r="F680" s="238">
        <f>IFERROR((HLOOKUP($AH680,Target_monthwise!$D$4:$O$20,DTR!F$4,FALSE))*1000,0)</f>
        <v>0</v>
      </c>
      <c r="G680" s="238">
        <f>IFERROR((HLOOKUP($AH680,Target_monthwise!$D$4:$O$20,DTR!G$4,FALSE))*1000,0)</f>
        <v>0</v>
      </c>
      <c r="H680" s="238">
        <f>IFERROR((HLOOKUP($AH680,Target_monthwise!$D$4:$O$20,DTR!H$4,FALSE))*1000,0)</f>
        <v>0</v>
      </c>
      <c r="I680" s="238">
        <f>IFERROR((HLOOKUP($AH680,Target_monthwise!$D$4:$O$20,DTR!I$4,FALSE))*1000,0)</f>
        <v>0</v>
      </c>
      <c r="J680" s="238">
        <f>IFERROR((HLOOKUP($AH680,Target_monthwise!$D$4:$O$20,DTR!J$4,FALSE))*1000,0)</f>
        <v>0</v>
      </c>
      <c r="K680" s="238">
        <f>IFERROR((HLOOKUP($AH680,Target_monthwise!$D$4:$O$20,DTR!K$4,FALSE))*1000,0)</f>
        <v>0</v>
      </c>
      <c r="L680" s="238">
        <f>IFERROR((HLOOKUP($AH680,Target_monthwise!$D$4:$O$20,DTR!L$4,FALSE))*1000,0)</f>
        <v>0</v>
      </c>
      <c r="M680" s="238">
        <f>IFERROR((HLOOKUP($AH680,Target_monthwise!$D$4:$O$20,DTR!M$4,FALSE))*1000,0)</f>
        <v>0</v>
      </c>
      <c r="N680" s="238">
        <f>IFERROR((HLOOKUP($AH680,Target_monthwise!$D$4:$O$20,DTR!N$4,FALSE))*1000,0)</f>
        <v>0</v>
      </c>
      <c r="O680" s="238">
        <f>IFERROR((HLOOKUP($AH680,Target_monthwise!$D$4:$O$20,DTR!O$4,FALSE))*1000,0)</f>
        <v>0</v>
      </c>
      <c r="P680" s="238">
        <f>IFERROR((HLOOKUP($AH680,Target_monthwise!$D$4:$O$20,DTR!P$4,FALSE))*1000,0)</f>
        <v>0</v>
      </c>
      <c r="Q680" s="141">
        <f>IFERROR((HLOOKUP($AH680,Target_monthwise!$D$4:$O$20,DTR!Q$4,FALSE))*1000,0)</f>
        <v>0</v>
      </c>
      <c r="R680" s="167">
        <f>IFERROR((HLOOKUP($AH680,Target_monthwise!$D$4:$O$20,DTR!R$4,FALSE))*1000,0)</f>
        <v>0</v>
      </c>
      <c r="S680" s="239">
        <f>IFERROR((HLOOKUP($AH680,Target_monthwise!$D$24:$O$40,DTR!S$4,FALSE)),0)</f>
        <v>0</v>
      </c>
      <c r="T680" s="239">
        <f>IFERROR((HLOOKUP($AH680,Target_monthwise!$D$24:$O$40,DTR!T$4,FALSE)),0)</f>
        <v>0</v>
      </c>
      <c r="U680" s="239">
        <f>IFERROR((HLOOKUP($AH680,Target_monthwise!$D$24:$O$40,DTR!U$4,FALSE)),0)</f>
        <v>0</v>
      </c>
      <c r="V680" s="239">
        <f>IFERROR((HLOOKUP($AH680,Target_monthwise!$D$24:$O$40,DTR!V$4,FALSE)),0)</f>
        <v>0</v>
      </c>
      <c r="W680" s="239">
        <f>IFERROR((HLOOKUP($AH680,Target_monthwise!$D$24:$O$40,DTR!W$4,FALSE)),0)</f>
        <v>0</v>
      </c>
      <c r="X680" s="239">
        <f>IFERROR((HLOOKUP($AH680,Target_monthwise!$D$24:$O$40,DTR!X$4,FALSE)),0)</f>
        <v>0</v>
      </c>
      <c r="Y680" s="239">
        <f>IFERROR((HLOOKUP($AH680,Target_monthwise!$D$24:$O$40,DTR!Y$4,FALSE)),0)</f>
        <v>0</v>
      </c>
      <c r="Z680" s="147">
        <f>IFERROR((HLOOKUP($AH680,Target_monthwise!$D$24:$O$40,DTR!Z$4,FALSE)),0)</f>
        <v>0</v>
      </c>
      <c r="AA680" s="147">
        <f>IFERROR((HLOOKUP($AH680,Target_monthwise!$D$24:$O$40,DTR!AA$4,FALSE)),0)</f>
        <v>0</v>
      </c>
      <c r="AB680" s="147">
        <f>IFERROR((HLOOKUP($AH680,Target_monthwise!$D$24:$O$40,DTR!AB$4,FALSE)),0)</f>
        <v>0</v>
      </c>
      <c r="AC680" s="239">
        <f>IFERROR((HLOOKUP($AH680,Target_monthwise!$D$24:$O$40,DTR!AC$4,FALSE)),0)</f>
        <v>0</v>
      </c>
      <c r="AD680" s="239">
        <f>IFERROR((HLOOKUP($AH680,Target_monthwise!$D$24:$O$40,DTR!AD$4,FALSE)),0)</f>
        <v>0</v>
      </c>
      <c r="AE680" s="239">
        <f>IFERROR((HLOOKUP($AH680,Target_monthwise!$D$24:$O$40,DTR!AE$4,FALSE)),0)</f>
        <v>0</v>
      </c>
      <c r="AF680" s="239">
        <f>IFERROR((HLOOKUP($AH680,Target_monthwise!$D$24:$O$40,DTR!AF$4,FALSE)),0)</f>
        <v>0</v>
      </c>
      <c r="AG680" s="172">
        <f>IFERROR((HLOOKUP($AH680,Target_monthwise!$D$24:$O$40,DTR!AG$4,FALSE)),0)</f>
        <v>0</v>
      </c>
      <c r="AH680" s="253">
        <f t="shared" si="12"/>
        <v>202402</v>
      </c>
    </row>
    <row r="681" spans="3:34" ht="15.75" hidden="1">
      <c r="C681" s="235">
        <v>45324</v>
      </c>
      <c r="D681" s="141">
        <f>IFERROR((HLOOKUP($AH681,Target_monthwise!$D$4:$O$20,DTR!D$4,FALSE))*1000,0)</f>
        <v>0</v>
      </c>
      <c r="E681" s="141">
        <f>IFERROR((HLOOKUP($AH681,Target_monthwise!$D$4:$O$20,DTR!E$4,FALSE))*1000,0)</f>
        <v>0</v>
      </c>
      <c r="F681" s="141">
        <f>IFERROR((HLOOKUP($AH681,Target_monthwise!$D$4:$O$20,DTR!F$4,FALSE))*1000,0)</f>
        <v>0</v>
      </c>
      <c r="G681" s="141">
        <f>IFERROR((HLOOKUP($AH681,Target_monthwise!$D$4:$O$20,DTR!G$4,FALSE))*1000,0)</f>
        <v>0</v>
      </c>
      <c r="H681" s="141">
        <f>IFERROR((HLOOKUP($AH681,Target_monthwise!$D$4:$O$20,DTR!H$4,FALSE))*1000,0)</f>
        <v>0</v>
      </c>
      <c r="I681" s="141">
        <f>IFERROR((HLOOKUP($AH681,Target_monthwise!$D$4:$O$20,DTR!I$4,FALSE))*1000,0)</f>
        <v>0</v>
      </c>
      <c r="J681" s="141">
        <f>IFERROR((HLOOKUP($AH681,Target_monthwise!$D$4:$O$20,DTR!J$4,FALSE))*1000,0)</f>
        <v>0</v>
      </c>
      <c r="K681" s="141">
        <f>IFERROR((HLOOKUP($AH681,Target_monthwise!$D$4:$O$20,DTR!K$4,FALSE))*1000,0)</f>
        <v>0</v>
      </c>
      <c r="L681" s="141">
        <f>IFERROR((HLOOKUP($AH681,Target_monthwise!$D$4:$O$20,DTR!L$4,FALSE))*1000,0)</f>
        <v>0</v>
      </c>
      <c r="M681" s="141">
        <f>IFERROR((HLOOKUP($AH681,Target_monthwise!$D$4:$O$20,DTR!M$4,FALSE))*1000,0)</f>
        <v>0</v>
      </c>
      <c r="N681" s="141">
        <f>IFERROR((HLOOKUP($AH681,Target_monthwise!$D$4:$O$20,DTR!N$4,FALSE))*1000,0)</f>
        <v>0</v>
      </c>
      <c r="O681" s="141">
        <f>IFERROR((HLOOKUP($AH681,Target_monthwise!$D$4:$O$20,DTR!O$4,FALSE))*1000,0)</f>
        <v>0</v>
      </c>
      <c r="P681" s="141">
        <f>IFERROR((HLOOKUP($AH681,Target_monthwise!$D$4:$O$20,DTR!P$4,FALSE))*1000,0)</f>
        <v>0</v>
      </c>
      <c r="Q681" s="141">
        <f>IFERROR((HLOOKUP($AH681,Target_monthwise!$D$4:$O$20,DTR!Q$4,FALSE))*1000,0)</f>
        <v>0</v>
      </c>
      <c r="R681" s="167">
        <f>IFERROR((HLOOKUP($AH681,Target_monthwise!$D$4:$O$20,DTR!R$4,FALSE))*1000,0)</f>
        <v>0</v>
      </c>
      <c r="S681" s="147">
        <f>IFERROR((HLOOKUP($AH681,Target_monthwise!$D$24:$O$40,DTR!S$4,FALSE)),0)</f>
        <v>0</v>
      </c>
      <c r="T681" s="147">
        <f>IFERROR((HLOOKUP($AH681,Target_monthwise!$D$24:$O$40,DTR!T$4,FALSE)),0)</f>
        <v>0</v>
      </c>
      <c r="U681" s="147">
        <f>IFERROR((HLOOKUP($AH681,Target_monthwise!$D$24:$O$40,DTR!U$4,FALSE)),0)</f>
        <v>0</v>
      </c>
      <c r="V681" s="147">
        <f>IFERROR((HLOOKUP($AH681,Target_monthwise!$D$24:$O$40,DTR!V$4,FALSE)),0)</f>
        <v>0</v>
      </c>
      <c r="W681" s="147">
        <f>IFERROR((HLOOKUP($AH681,Target_monthwise!$D$24:$O$40,DTR!W$4,FALSE)),0)</f>
        <v>0</v>
      </c>
      <c r="X681" s="147">
        <f>IFERROR((HLOOKUP($AH681,Target_monthwise!$D$24:$O$40,DTR!X$4,FALSE)),0)</f>
        <v>0</v>
      </c>
      <c r="Y681" s="147">
        <f>IFERROR((HLOOKUP($AH681,Target_monthwise!$D$24:$O$40,DTR!Y$4,FALSE)),0)</f>
        <v>0</v>
      </c>
      <c r="Z681" s="147">
        <f>IFERROR((HLOOKUP($AH681,Target_monthwise!$D$24:$O$40,DTR!Z$4,FALSE)),0)</f>
        <v>0</v>
      </c>
      <c r="AA681" s="147">
        <f>IFERROR((HLOOKUP($AH681,Target_monthwise!$D$24:$O$40,DTR!AA$4,FALSE)),0)</f>
        <v>0</v>
      </c>
      <c r="AB681" s="147">
        <f>IFERROR((HLOOKUP($AH681,Target_monthwise!$D$24:$O$40,DTR!AB$4,FALSE)),0)</f>
        <v>0</v>
      </c>
      <c r="AC681" s="147">
        <f>IFERROR((HLOOKUP($AH681,Target_monthwise!$D$24:$O$40,DTR!AC$4,FALSE)),0)</f>
        <v>0</v>
      </c>
      <c r="AD681" s="147">
        <f>IFERROR((HLOOKUP($AH681,Target_monthwise!$D$24:$O$40,DTR!AD$4,FALSE)),0)</f>
        <v>0</v>
      </c>
      <c r="AE681" s="147">
        <f>IFERROR((HLOOKUP($AH681,Target_monthwise!$D$24:$O$40,DTR!AE$4,FALSE)),0)</f>
        <v>0</v>
      </c>
      <c r="AF681" s="147">
        <f>IFERROR((HLOOKUP($AH681,Target_monthwise!$D$24:$O$40,DTR!AF$4,FALSE)),0)</f>
        <v>0</v>
      </c>
      <c r="AG681" s="172">
        <f>IFERROR((HLOOKUP($AH681,Target_monthwise!$D$24:$O$40,DTR!AG$4,FALSE)),0)</f>
        <v>0</v>
      </c>
      <c r="AH681" s="253">
        <f t="shared" si="12"/>
        <v>202402</v>
      </c>
    </row>
    <row r="682" spans="3:34" ht="15.75" hidden="1">
      <c r="C682" s="237">
        <v>45325</v>
      </c>
      <c r="D682" s="238">
        <f>IFERROR((HLOOKUP($AH682,Target_monthwise!$D$4:$O$20,DTR!D$4,FALSE))*1000,0)</f>
        <v>0</v>
      </c>
      <c r="E682" s="238">
        <f>IFERROR((HLOOKUP($AH682,Target_monthwise!$D$4:$O$20,DTR!E$4,FALSE))*1000,0)</f>
        <v>0</v>
      </c>
      <c r="F682" s="238">
        <f>IFERROR((HLOOKUP($AH682,Target_monthwise!$D$4:$O$20,DTR!F$4,FALSE))*1000,0)</f>
        <v>0</v>
      </c>
      <c r="G682" s="238">
        <f>IFERROR((HLOOKUP($AH682,Target_monthwise!$D$4:$O$20,DTR!G$4,FALSE))*1000,0)</f>
        <v>0</v>
      </c>
      <c r="H682" s="238">
        <f>IFERROR((HLOOKUP($AH682,Target_monthwise!$D$4:$O$20,DTR!H$4,FALSE))*1000,0)</f>
        <v>0</v>
      </c>
      <c r="I682" s="238">
        <f>IFERROR((HLOOKUP($AH682,Target_monthwise!$D$4:$O$20,DTR!I$4,FALSE))*1000,0)</f>
        <v>0</v>
      </c>
      <c r="J682" s="238">
        <f>IFERROR((HLOOKUP($AH682,Target_monthwise!$D$4:$O$20,DTR!J$4,FALSE))*1000,0)</f>
        <v>0</v>
      </c>
      <c r="K682" s="238">
        <f>IFERROR((HLOOKUP($AH682,Target_monthwise!$D$4:$O$20,DTR!K$4,FALSE))*1000,0)</f>
        <v>0</v>
      </c>
      <c r="L682" s="238">
        <f>IFERROR((HLOOKUP($AH682,Target_monthwise!$D$4:$O$20,DTR!L$4,FALSE))*1000,0)</f>
        <v>0</v>
      </c>
      <c r="M682" s="238">
        <f>IFERROR((HLOOKUP($AH682,Target_monthwise!$D$4:$O$20,DTR!M$4,FALSE))*1000,0)</f>
        <v>0</v>
      </c>
      <c r="N682" s="238">
        <f>IFERROR((HLOOKUP($AH682,Target_monthwise!$D$4:$O$20,DTR!N$4,FALSE))*1000,0)</f>
        <v>0</v>
      </c>
      <c r="O682" s="238">
        <f>IFERROR((HLOOKUP($AH682,Target_monthwise!$D$4:$O$20,DTR!O$4,FALSE))*1000,0)</f>
        <v>0</v>
      </c>
      <c r="P682" s="238">
        <f>IFERROR((HLOOKUP($AH682,Target_monthwise!$D$4:$O$20,DTR!P$4,FALSE))*1000,0)</f>
        <v>0</v>
      </c>
      <c r="Q682" s="141">
        <f>IFERROR((HLOOKUP($AH682,Target_monthwise!$D$4:$O$20,DTR!Q$4,FALSE))*1000,0)</f>
        <v>0</v>
      </c>
      <c r="R682" s="167">
        <f>IFERROR((HLOOKUP($AH682,Target_monthwise!$D$4:$O$20,DTR!R$4,FALSE))*1000,0)</f>
        <v>0</v>
      </c>
      <c r="S682" s="239">
        <f>IFERROR((HLOOKUP($AH682,Target_monthwise!$D$24:$O$40,DTR!S$4,FALSE)),0)</f>
        <v>0</v>
      </c>
      <c r="T682" s="239">
        <f>IFERROR((HLOOKUP($AH682,Target_monthwise!$D$24:$O$40,DTR!T$4,FALSE)),0)</f>
        <v>0</v>
      </c>
      <c r="U682" s="239">
        <f>IFERROR((HLOOKUP($AH682,Target_monthwise!$D$24:$O$40,DTR!U$4,FALSE)),0)</f>
        <v>0</v>
      </c>
      <c r="V682" s="239">
        <f>IFERROR((HLOOKUP($AH682,Target_monthwise!$D$24:$O$40,DTR!V$4,FALSE)),0)</f>
        <v>0</v>
      </c>
      <c r="W682" s="239">
        <f>IFERROR((HLOOKUP($AH682,Target_monthwise!$D$24:$O$40,DTR!W$4,FALSE)),0)</f>
        <v>0</v>
      </c>
      <c r="X682" s="239">
        <f>IFERROR((HLOOKUP($AH682,Target_monthwise!$D$24:$O$40,DTR!X$4,FALSE)),0)</f>
        <v>0</v>
      </c>
      <c r="Y682" s="239">
        <f>IFERROR((HLOOKUP($AH682,Target_monthwise!$D$24:$O$40,DTR!Y$4,FALSE)),0)</f>
        <v>0</v>
      </c>
      <c r="Z682" s="147">
        <f>IFERROR((HLOOKUP($AH682,Target_monthwise!$D$24:$O$40,DTR!Z$4,FALSE)),0)</f>
        <v>0</v>
      </c>
      <c r="AA682" s="147">
        <f>IFERROR((HLOOKUP($AH682,Target_monthwise!$D$24:$O$40,DTR!AA$4,FALSE)),0)</f>
        <v>0</v>
      </c>
      <c r="AB682" s="147">
        <f>IFERROR((HLOOKUP($AH682,Target_monthwise!$D$24:$O$40,DTR!AB$4,FALSE)),0)</f>
        <v>0</v>
      </c>
      <c r="AC682" s="239">
        <f>IFERROR((HLOOKUP($AH682,Target_monthwise!$D$24:$O$40,DTR!AC$4,FALSE)),0)</f>
        <v>0</v>
      </c>
      <c r="AD682" s="239">
        <f>IFERROR((HLOOKUP($AH682,Target_monthwise!$D$24:$O$40,DTR!AD$4,FALSE)),0)</f>
        <v>0</v>
      </c>
      <c r="AE682" s="239">
        <f>IFERROR((HLOOKUP($AH682,Target_monthwise!$D$24:$O$40,DTR!AE$4,FALSE)),0)</f>
        <v>0</v>
      </c>
      <c r="AF682" s="239">
        <f>IFERROR((HLOOKUP($AH682,Target_monthwise!$D$24:$O$40,DTR!AF$4,FALSE)),0)</f>
        <v>0</v>
      </c>
      <c r="AG682" s="172">
        <f>IFERROR((HLOOKUP($AH682,Target_monthwise!$D$24:$O$40,DTR!AG$4,FALSE)),0)</f>
        <v>0</v>
      </c>
      <c r="AH682" s="253">
        <f t="shared" si="12"/>
        <v>202402</v>
      </c>
    </row>
    <row r="683" spans="3:34" ht="15.75" hidden="1">
      <c r="C683" s="235">
        <v>45326</v>
      </c>
      <c r="D683" s="141">
        <f>IFERROR((HLOOKUP($AH683,Target_monthwise!$D$4:$O$20,DTR!D$4,FALSE))*1000,0)</f>
        <v>0</v>
      </c>
      <c r="E683" s="141">
        <f>IFERROR((HLOOKUP($AH683,Target_monthwise!$D$4:$O$20,DTR!E$4,FALSE))*1000,0)</f>
        <v>0</v>
      </c>
      <c r="F683" s="141">
        <f>IFERROR((HLOOKUP($AH683,Target_monthwise!$D$4:$O$20,DTR!F$4,FALSE))*1000,0)</f>
        <v>0</v>
      </c>
      <c r="G683" s="141">
        <f>IFERROR((HLOOKUP($AH683,Target_monthwise!$D$4:$O$20,DTR!G$4,FALSE))*1000,0)</f>
        <v>0</v>
      </c>
      <c r="H683" s="141">
        <f>IFERROR((HLOOKUP($AH683,Target_monthwise!$D$4:$O$20,DTR!H$4,FALSE))*1000,0)</f>
        <v>0</v>
      </c>
      <c r="I683" s="141">
        <f>IFERROR((HLOOKUP($AH683,Target_monthwise!$D$4:$O$20,DTR!I$4,FALSE))*1000,0)</f>
        <v>0</v>
      </c>
      <c r="J683" s="141">
        <f>IFERROR((HLOOKUP($AH683,Target_monthwise!$D$4:$O$20,DTR!J$4,FALSE))*1000,0)</f>
        <v>0</v>
      </c>
      <c r="K683" s="141">
        <f>IFERROR((HLOOKUP($AH683,Target_monthwise!$D$4:$O$20,DTR!K$4,FALSE))*1000,0)</f>
        <v>0</v>
      </c>
      <c r="L683" s="141">
        <f>IFERROR((HLOOKUP($AH683,Target_monthwise!$D$4:$O$20,DTR!L$4,FALSE))*1000,0)</f>
        <v>0</v>
      </c>
      <c r="M683" s="141">
        <f>IFERROR((HLOOKUP($AH683,Target_monthwise!$D$4:$O$20,DTR!M$4,FALSE))*1000,0)</f>
        <v>0</v>
      </c>
      <c r="N683" s="141">
        <f>IFERROR((HLOOKUP($AH683,Target_monthwise!$D$4:$O$20,DTR!N$4,FALSE))*1000,0)</f>
        <v>0</v>
      </c>
      <c r="O683" s="141">
        <f>IFERROR((HLOOKUP($AH683,Target_monthwise!$D$4:$O$20,DTR!O$4,FALSE))*1000,0)</f>
        <v>0</v>
      </c>
      <c r="P683" s="141">
        <f>IFERROR((HLOOKUP($AH683,Target_monthwise!$D$4:$O$20,DTR!P$4,FALSE))*1000,0)</f>
        <v>0</v>
      </c>
      <c r="Q683" s="141">
        <f>IFERROR((HLOOKUP($AH683,Target_monthwise!$D$4:$O$20,DTR!Q$4,FALSE))*1000,0)</f>
        <v>0</v>
      </c>
      <c r="R683" s="167">
        <f>IFERROR((HLOOKUP($AH683,Target_monthwise!$D$4:$O$20,DTR!R$4,FALSE))*1000,0)</f>
        <v>0</v>
      </c>
      <c r="S683" s="147">
        <f>IFERROR((HLOOKUP($AH683,Target_monthwise!$D$24:$O$40,DTR!S$4,FALSE)),0)</f>
        <v>0</v>
      </c>
      <c r="T683" s="147">
        <f>IFERROR((HLOOKUP($AH683,Target_monthwise!$D$24:$O$40,DTR!T$4,FALSE)),0)</f>
        <v>0</v>
      </c>
      <c r="U683" s="147">
        <f>IFERROR((HLOOKUP($AH683,Target_monthwise!$D$24:$O$40,DTR!U$4,FALSE)),0)</f>
        <v>0</v>
      </c>
      <c r="V683" s="147">
        <f>IFERROR((HLOOKUP($AH683,Target_monthwise!$D$24:$O$40,DTR!V$4,FALSE)),0)</f>
        <v>0</v>
      </c>
      <c r="W683" s="147">
        <f>IFERROR((HLOOKUP($AH683,Target_monthwise!$D$24:$O$40,DTR!W$4,FALSE)),0)</f>
        <v>0</v>
      </c>
      <c r="X683" s="147">
        <f>IFERROR((HLOOKUP($AH683,Target_monthwise!$D$24:$O$40,DTR!X$4,FALSE)),0)</f>
        <v>0</v>
      </c>
      <c r="Y683" s="147">
        <f>IFERROR((HLOOKUP($AH683,Target_monthwise!$D$24:$O$40,DTR!Y$4,FALSE)),0)</f>
        <v>0</v>
      </c>
      <c r="Z683" s="147">
        <f>IFERROR((HLOOKUP($AH683,Target_monthwise!$D$24:$O$40,DTR!Z$4,FALSE)),0)</f>
        <v>0</v>
      </c>
      <c r="AA683" s="147">
        <f>IFERROR((HLOOKUP($AH683,Target_monthwise!$D$24:$O$40,DTR!AA$4,FALSE)),0)</f>
        <v>0</v>
      </c>
      <c r="AB683" s="147">
        <f>IFERROR((HLOOKUP($AH683,Target_monthwise!$D$24:$O$40,DTR!AB$4,FALSE)),0)</f>
        <v>0</v>
      </c>
      <c r="AC683" s="147">
        <f>IFERROR((HLOOKUP($AH683,Target_monthwise!$D$24:$O$40,DTR!AC$4,FALSE)),0)</f>
        <v>0</v>
      </c>
      <c r="AD683" s="147">
        <f>IFERROR((HLOOKUP($AH683,Target_monthwise!$D$24:$O$40,DTR!AD$4,FALSE)),0)</f>
        <v>0</v>
      </c>
      <c r="AE683" s="147">
        <f>IFERROR((HLOOKUP($AH683,Target_monthwise!$D$24:$O$40,DTR!AE$4,FALSE)),0)</f>
        <v>0</v>
      </c>
      <c r="AF683" s="147">
        <f>IFERROR((HLOOKUP($AH683,Target_monthwise!$D$24:$O$40,DTR!AF$4,FALSE)),0)</f>
        <v>0</v>
      </c>
      <c r="AG683" s="172">
        <f>IFERROR((HLOOKUP($AH683,Target_monthwise!$D$24:$O$40,DTR!AG$4,FALSE)),0)</f>
        <v>0</v>
      </c>
      <c r="AH683" s="253">
        <f t="shared" si="12"/>
        <v>202402</v>
      </c>
    </row>
    <row r="684" spans="3:34" ht="15.75" hidden="1">
      <c r="C684" s="237">
        <v>45327</v>
      </c>
      <c r="D684" s="238">
        <f>IFERROR((HLOOKUP($AH684,Target_monthwise!$D$4:$O$20,DTR!D$4,FALSE))*1000,0)</f>
        <v>0</v>
      </c>
      <c r="E684" s="238">
        <f>IFERROR((HLOOKUP($AH684,Target_monthwise!$D$4:$O$20,DTR!E$4,FALSE))*1000,0)</f>
        <v>0</v>
      </c>
      <c r="F684" s="238">
        <f>IFERROR((HLOOKUP($AH684,Target_monthwise!$D$4:$O$20,DTR!F$4,FALSE))*1000,0)</f>
        <v>0</v>
      </c>
      <c r="G684" s="238">
        <f>IFERROR((HLOOKUP($AH684,Target_monthwise!$D$4:$O$20,DTR!G$4,FALSE))*1000,0)</f>
        <v>0</v>
      </c>
      <c r="H684" s="238">
        <f>IFERROR((HLOOKUP($AH684,Target_monthwise!$D$4:$O$20,DTR!H$4,FALSE))*1000,0)</f>
        <v>0</v>
      </c>
      <c r="I684" s="238">
        <f>IFERROR((HLOOKUP($AH684,Target_monthwise!$D$4:$O$20,DTR!I$4,FALSE))*1000,0)</f>
        <v>0</v>
      </c>
      <c r="J684" s="238">
        <f>IFERROR((HLOOKUP($AH684,Target_monthwise!$D$4:$O$20,DTR!J$4,FALSE))*1000,0)</f>
        <v>0</v>
      </c>
      <c r="K684" s="238">
        <f>IFERROR((HLOOKUP($AH684,Target_monthwise!$D$4:$O$20,DTR!K$4,FALSE))*1000,0)</f>
        <v>0</v>
      </c>
      <c r="L684" s="238">
        <f>IFERROR((HLOOKUP($AH684,Target_monthwise!$D$4:$O$20,DTR!L$4,FALSE))*1000,0)</f>
        <v>0</v>
      </c>
      <c r="M684" s="238">
        <f>IFERROR((HLOOKUP($AH684,Target_monthwise!$D$4:$O$20,DTR!M$4,FALSE))*1000,0)</f>
        <v>0</v>
      </c>
      <c r="N684" s="238">
        <f>IFERROR((HLOOKUP($AH684,Target_monthwise!$D$4:$O$20,DTR!N$4,FALSE))*1000,0)</f>
        <v>0</v>
      </c>
      <c r="O684" s="238">
        <f>IFERROR((HLOOKUP($AH684,Target_monthwise!$D$4:$O$20,DTR!O$4,FALSE))*1000,0)</f>
        <v>0</v>
      </c>
      <c r="P684" s="238">
        <f>IFERROR((HLOOKUP($AH684,Target_monthwise!$D$4:$O$20,DTR!P$4,FALSE))*1000,0)</f>
        <v>0</v>
      </c>
      <c r="Q684" s="141">
        <f>IFERROR((HLOOKUP($AH684,Target_monthwise!$D$4:$O$20,DTR!Q$4,FALSE))*1000,0)</f>
        <v>0</v>
      </c>
      <c r="R684" s="167">
        <f>IFERROR((HLOOKUP($AH684,Target_monthwise!$D$4:$O$20,DTR!R$4,FALSE))*1000,0)</f>
        <v>0</v>
      </c>
      <c r="S684" s="239">
        <f>IFERROR((HLOOKUP($AH684,Target_monthwise!$D$24:$O$40,DTR!S$4,FALSE)),0)</f>
        <v>0</v>
      </c>
      <c r="T684" s="239">
        <f>IFERROR((HLOOKUP($AH684,Target_monthwise!$D$24:$O$40,DTR!T$4,FALSE)),0)</f>
        <v>0</v>
      </c>
      <c r="U684" s="239">
        <f>IFERROR((HLOOKUP($AH684,Target_monthwise!$D$24:$O$40,DTR!U$4,FALSE)),0)</f>
        <v>0</v>
      </c>
      <c r="V684" s="239">
        <f>IFERROR((HLOOKUP($AH684,Target_monthwise!$D$24:$O$40,DTR!V$4,FALSE)),0)</f>
        <v>0</v>
      </c>
      <c r="W684" s="239">
        <f>IFERROR((HLOOKUP($AH684,Target_monthwise!$D$24:$O$40,DTR!W$4,FALSE)),0)</f>
        <v>0</v>
      </c>
      <c r="X684" s="239">
        <f>IFERROR((HLOOKUP($AH684,Target_monthwise!$D$24:$O$40,DTR!X$4,FALSE)),0)</f>
        <v>0</v>
      </c>
      <c r="Y684" s="239">
        <f>IFERROR((HLOOKUP($AH684,Target_monthwise!$D$24:$O$40,DTR!Y$4,FALSE)),0)</f>
        <v>0</v>
      </c>
      <c r="Z684" s="147">
        <f>IFERROR((HLOOKUP($AH684,Target_monthwise!$D$24:$O$40,DTR!Z$4,FALSE)),0)</f>
        <v>0</v>
      </c>
      <c r="AA684" s="147">
        <f>IFERROR((HLOOKUP($AH684,Target_monthwise!$D$24:$O$40,DTR!AA$4,FALSE)),0)</f>
        <v>0</v>
      </c>
      <c r="AB684" s="147">
        <f>IFERROR((HLOOKUP($AH684,Target_monthwise!$D$24:$O$40,DTR!AB$4,FALSE)),0)</f>
        <v>0</v>
      </c>
      <c r="AC684" s="239">
        <f>IFERROR((HLOOKUP($AH684,Target_monthwise!$D$24:$O$40,DTR!AC$4,FALSE)),0)</f>
        <v>0</v>
      </c>
      <c r="AD684" s="239">
        <f>IFERROR((HLOOKUP($AH684,Target_monthwise!$D$24:$O$40,DTR!AD$4,FALSE)),0)</f>
        <v>0</v>
      </c>
      <c r="AE684" s="239">
        <f>IFERROR((HLOOKUP($AH684,Target_monthwise!$D$24:$O$40,DTR!AE$4,FALSE)),0)</f>
        <v>0</v>
      </c>
      <c r="AF684" s="239">
        <f>IFERROR((HLOOKUP($AH684,Target_monthwise!$D$24:$O$40,DTR!AF$4,FALSE)),0)</f>
        <v>0</v>
      </c>
      <c r="AG684" s="172">
        <f>IFERROR((HLOOKUP($AH684,Target_monthwise!$D$24:$O$40,DTR!AG$4,FALSE)),0)</f>
        <v>0</v>
      </c>
      <c r="AH684" s="253">
        <f t="shared" si="12"/>
        <v>202402</v>
      </c>
    </row>
    <row r="685" spans="3:34" ht="15.75" hidden="1">
      <c r="C685" s="235">
        <v>45328</v>
      </c>
      <c r="D685" s="141">
        <f>IFERROR((HLOOKUP($AH685,Target_monthwise!$D$4:$O$20,DTR!D$4,FALSE))*1000,0)</f>
        <v>0</v>
      </c>
      <c r="E685" s="141">
        <f>IFERROR((HLOOKUP($AH685,Target_monthwise!$D$4:$O$20,DTR!E$4,FALSE))*1000,0)</f>
        <v>0</v>
      </c>
      <c r="F685" s="141">
        <f>IFERROR((HLOOKUP($AH685,Target_monthwise!$D$4:$O$20,DTR!F$4,FALSE))*1000,0)</f>
        <v>0</v>
      </c>
      <c r="G685" s="141">
        <f>IFERROR((HLOOKUP($AH685,Target_monthwise!$D$4:$O$20,DTR!G$4,FALSE))*1000,0)</f>
        <v>0</v>
      </c>
      <c r="H685" s="141">
        <f>IFERROR((HLOOKUP($AH685,Target_monthwise!$D$4:$O$20,DTR!H$4,FALSE))*1000,0)</f>
        <v>0</v>
      </c>
      <c r="I685" s="141">
        <f>IFERROR((HLOOKUP($AH685,Target_monthwise!$D$4:$O$20,DTR!I$4,FALSE))*1000,0)</f>
        <v>0</v>
      </c>
      <c r="J685" s="141">
        <f>IFERROR((HLOOKUP($AH685,Target_monthwise!$D$4:$O$20,DTR!J$4,FALSE))*1000,0)</f>
        <v>0</v>
      </c>
      <c r="K685" s="141">
        <f>IFERROR((HLOOKUP($AH685,Target_monthwise!$D$4:$O$20,DTR!K$4,FALSE))*1000,0)</f>
        <v>0</v>
      </c>
      <c r="L685" s="141">
        <f>IFERROR((HLOOKUP($AH685,Target_monthwise!$D$4:$O$20,DTR!L$4,FALSE))*1000,0)</f>
        <v>0</v>
      </c>
      <c r="M685" s="141">
        <f>IFERROR((HLOOKUP($AH685,Target_monthwise!$D$4:$O$20,DTR!M$4,FALSE))*1000,0)</f>
        <v>0</v>
      </c>
      <c r="N685" s="141">
        <f>IFERROR((HLOOKUP($AH685,Target_monthwise!$D$4:$O$20,DTR!N$4,FALSE))*1000,0)</f>
        <v>0</v>
      </c>
      <c r="O685" s="141">
        <f>IFERROR((HLOOKUP($AH685,Target_monthwise!$D$4:$O$20,DTR!O$4,FALSE))*1000,0)</f>
        <v>0</v>
      </c>
      <c r="P685" s="141">
        <f>IFERROR((HLOOKUP($AH685,Target_monthwise!$D$4:$O$20,DTR!P$4,FALSE))*1000,0)</f>
        <v>0</v>
      </c>
      <c r="Q685" s="141">
        <f>IFERROR((HLOOKUP($AH685,Target_monthwise!$D$4:$O$20,DTR!Q$4,FALSE))*1000,0)</f>
        <v>0</v>
      </c>
      <c r="R685" s="167">
        <f>IFERROR((HLOOKUP($AH685,Target_monthwise!$D$4:$O$20,DTR!R$4,FALSE))*1000,0)</f>
        <v>0</v>
      </c>
      <c r="S685" s="147">
        <f>IFERROR((HLOOKUP($AH685,Target_monthwise!$D$24:$O$40,DTR!S$4,FALSE)),0)</f>
        <v>0</v>
      </c>
      <c r="T685" s="147">
        <f>IFERROR((HLOOKUP($AH685,Target_monthwise!$D$24:$O$40,DTR!T$4,FALSE)),0)</f>
        <v>0</v>
      </c>
      <c r="U685" s="147">
        <f>IFERROR((HLOOKUP($AH685,Target_monthwise!$D$24:$O$40,DTR!U$4,FALSE)),0)</f>
        <v>0</v>
      </c>
      <c r="V685" s="147">
        <f>IFERROR((HLOOKUP($AH685,Target_monthwise!$D$24:$O$40,DTR!V$4,FALSE)),0)</f>
        <v>0</v>
      </c>
      <c r="W685" s="147">
        <f>IFERROR((HLOOKUP($AH685,Target_monthwise!$D$24:$O$40,DTR!W$4,FALSE)),0)</f>
        <v>0</v>
      </c>
      <c r="X685" s="147">
        <f>IFERROR((HLOOKUP($AH685,Target_monthwise!$D$24:$O$40,DTR!X$4,FALSE)),0)</f>
        <v>0</v>
      </c>
      <c r="Y685" s="147">
        <f>IFERROR((HLOOKUP($AH685,Target_monthwise!$D$24:$O$40,DTR!Y$4,FALSE)),0)</f>
        <v>0</v>
      </c>
      <c r="Z685" s="147">
        <f>IFERROR((HLOOKUP($AH685,Target_monthwise!$D$24:$O$40,DTR!Z$4,FALSE)),0)</f>
        <v>0</v>
      </c>
      <c r="AA685" s="147">
        <f>IFERROR((HLOOKUP($AH685,Target_monthwise!$D$24:$O$40,DTR!AA$4,FALSE)),0)</f>
        <v>0</v>
      </c>
      <c r="AB685" s="147">
        <f>IFERROR((HLOOKUP($AH685,Target_monthwise!$D$24:$O$40,DTR!AB$4,FALSE)),0)</f>
        <v>0</v>
      </c>
      <c r="AC685" s="147">
        <f>IFERROR((HLOOKUP($AH685,Target_monthwise!$D$24:$O$40,DTR!AC$4,FALSE)),0)</f>
        <v>0</v>
      </c>
      <c r="AD685" s="147">
        <f>IFERROR((HLOOKUP($AH685,Target_monthwise!$D$24:$O$40,DTR!AD$4,FALSE)),0)</f>
        <v>0</v>
      </c>
      <c r="AE685" s="147">
        <f>IFERROR((HLOOKUP($AH685,Target_monthwise!$D$24:$O$40,DTR!AE$4,FALSE)),0)</f>
        <v>0</v>
      </c>
      <c r="AF685" s="147">
        <f>IFERROR((HLOOKUP($AH685,Target_monthwise!$D$24:$O$40,DTR!AF$4,FALSE)),0)</f>
        <v>0</v>
      </c>
      <c r="AG685" s="172">
        <f>IFERROR((HLOOKUP($AH685,Target_monthwise!$D$24:$O$40,DTR!AG$4,FALSE)),0)</f>
        <v>0</v>
      </c>
      <c r="AH685" s="253">
        <f t="shared" si="12"/>
        <v>202402</v>
      </c>
    </row>
    <row r="686" spans="3:34" ht="15.75" hidden="1">
      <c r="C686" s="237">
        <v>45329</v>
      </c>
      <c r="D686" s="238">
        <f>IFERROR((HLOOKUP($AH686,Target_monthwise!$D$4:$O$20,DTR!D$4,FALSE))*1000,0)</f>
        <v>0</v>
      </c>
      <c r="E686" s="238">
        <f>IFERROR((HLOOKUP($AH686,Target_monthwise!$D$4:$O$20,DTR!E$4,FALSE))*1000,0)</f>
        <v>0</v>
      </c>
      <c r="F686" s="238">
        <f>IFERROR((HLOOKUP($AH686,Target_monthwise!$D$4:$O$20,DTR!F$4,FALSE))*1000,0)</f>
        <v>0</v>
      </c>
      <c r="G686" s="238">
        <f>IFERROR((HLOOKUP($AH686,Target_monthwise!$D$4:$O$20,DTR!G$4,FALSE))*1000,0)</f>
        <v>0</v>
      </c>
      <c r="H686" s="238">
        <f>IFERROR((HLOOKUP($AH686,Target_monthwise!$D$4:$O$20,DTR!H$4,FALSE))*1000,0)</f>
        <v>0</v>
      </c>
      <c r="I686" s="238">
        <f>IFERROR((HLOOKUP($AH686,Target_monthwise!$D$4:$O$20,DTR!I$4,FALSE))*1000,0)</f>
        <v>0</v>
      </c>
      <c r="J686" s="238">
        <f>IFERROR((HLOOKUP($AH686,Target_monthwise!$D$4:$O$20,DTR!J$4,FALSE))*1000,0)</f>
        <v>0</v>
      </c>
      <c r="K686" s="238">
        <f>IFERROR((HLOOKUP($AH686,Target_monthwise!$D$4:$O$20,DTR!K$4,FALSE))*1000,0)</f>
        <v>0</v>
      </c>
      <c r="L686" s="238">
        <f>IFERROR((HLOOKUP($AH686,Target_monthwise!$D$4:$O$20,DTR!L$4,FALSE))*1000,0)</f>
        <v>0</v>
      </c>
      <c r="M686" s="238">
        <f>IFERROR((HLOOKUP($AH686,Target_monthwise!$D$4:$O$20,DTR!M$4,FALSE))*1000,0)</f>
        <v>0</v>
      </c>
      <c r="N686" s="238">
        <f>IFERROR((HLOOKUP($AH686,Target_monthwise!$D$4:$O$20,DTR!N$4,FALSE))*1000,0)</f>
        <v>0</v>
      </c>
      <c r="O686" s="238">
        <f>IFERROR((HLOOKUP($AH686,Target_monthwise!$D$4:$O$20,DTR!O$4,FALSE))*1000,0)</f>
        <v>0</v>
      </c>
      <c r="P686" s="238">
        <f>IFERROR((HLOOKUP($AH686,Target_monthwise!$D$4:$O$20,DTR!P$4,FALSE))*1000,0)</f>
        <v>0</v>
      </c>
      <c r="Q686" s="141">
        <f>IFERROR((HLOOKUP($AH686,Target_monthwise!$D$4:$O$20,DTR!Q$4,FALSE))*1000,0)</f>
        <v>0</v>
      </c>
      <c r="R686" s="167">
        <f>IFERROR((HLOOKUP($AH686,Target_monthwise!$D$4:$O$20,DTR!R$4,FALSE))*1000,0)</f>
        <v>0</v>
      </c>
      <c r="S686" s="239">
        <f>IFERROR((HLOOKUP($AH686,Target_monthwise!$D$24:$O$40,DTR!S$4,FALSE)),0)</f>
        <v>0</v>
      </c>
      <c r="T686" s="239">
        <f>IFERROR((HLOOKUP($AH686,Target_monthwise!$D$24:$O$40,DTR!T$4,FALSE)),0)</f>
        <v>0</v>
      </c>
      <c r="U686" s="239">
        <f>IFERROR((HLOOKUP($AH686,Target_monthwise!$D$24:$O$40,DTR!U$4,FALSE)),0)</f>
        <v>0</v>
      </c>
      <c r="V686" s="239">
        <f>IFERROR((HLOOKUP($AH686,Target_monthwise!$D$24:$O$40,DTR!V$4,FALSE)),0)</f>
        <v>0</v>
      </c>
      <c r="W686" s="239">
        <f>IFERROR((HLOOKUP($AH686,Target_monthwise!$D$24:$O$40,DTR!W$4,FALSE)),0)</f>
        <v>0</v>
      </c>
      <c r="X686" s="239">
        <f>IFERROR((HLOOKUP($AH686,Target_monthwise!$D$24:$O$40,DTR!X$4,FALSE)),0)</f>
        <v>0</v>
      </c>
      <c r="Y686" s="239">
        <f>IFERROR((HLOOKUP($AH686,Target_monthwise!$D$24:$O$40,DTR!Y$4,FALSE)),0)</f>
        <v>0</v>
      </c>
      <c r="Z686" s="147">
        <f>IFERROR((HLOOKUP($AH686,Target_monthwise!$D$24:$O$40,DTR!Z$4,FALSE)),0)</f>
        <v>0</v>
      </c>
      <c r="AA686" s="147">
        <f>IFERROR((HLOOKUP($AH686,Target_monthwise!$D$24:$O$40,DTR!AA$4,FALSE)),0)</f>
        <v>0</v>
      </c>
      <c r="AB686" s="147">
        <f>IFERROR((HLOOKUP($AH686,Target_monthwise!$D$24:$O$40,DTR!AB$4,FALSE)),0)</f>
        <v>0</v>
      </c>
      <c r="AC686" s="239">
        <f>IFERROR((HLOOKUP($AH686,Target_monthwise!$D$24:$O$40,DTR!AC$4,FALSE)),0)</f>
        <v>0</v>
      </c>
      <c r="AD686" s="239">
        <f>IFERROR((HLOOKUP($AH686,Target_monthwise!$D$24:$O$40,DTR!AD$4,FALSE)),0)</f>
        <v>0</v>
      </c>
      <c r="AE686" s="239">
        <f>IFERROR((HLOOKUP($AH686,Target_monthwise!$D$24:$O$40,DTR!AE$4,FALSE)),0)</f>
        <v>0</v>
      </c>
      <c r="AF686" s="239">
        <f>IFERROR((HLOOKUP($AH686,Target_monthwise!$D$24:$O$40,DTR!AF$4,FALSE)),0)</f>
        <v>0</v>
      </c>
      <c r="AG686" s="172">
        <f>IFERROR((HLOOKUP($AH686,Target_monthwise!$D$24:$O$40,DTR!AG$4,FALSE)),0)</f>
        <v>0</v>
      </c>
      <c r="AH686" s="253">
        <f t="shared" si="12"/>
        <v>202402</v>
      </c>
    </row>
    <row r="687" spans="3:34" ht="15.75" hidden="1">
      <c r="C687" s="235">
        <v>45330</v>
      </c>
      <c r="D687" s="141">
        <f>IFERROR((HLOOKUP($AH687,Target_monthwise!$D$4:$O$20,DTR!D$4,FALSE))*1000,0)</f>
        <v>0</v>
      </c>
      <c r="E687" s="141">
        <f>IFERROR((HLOOKUP($AH687,Target_monthwise!$D$4:$O$20,DTR!E$4,FALSE))*1000,0)</f>
        <v>0</v>
      </c>
      <c r="F687" s="141">
        <f>IFERROR((HLOOKUP($AH687,Target_monthwise!$D$4:$O$20,DTR!F$4,FALSE))*1000,0)</f>
        <v>0</v>
      </c>
      <c r="G687" s="141">
        <f>IFERROR((HLOOKUP($AH687,Target_monthwise!$D$4:$O$20,DTR!G$4,FALSE))*1000,0)</f>
        <v>0</v>
      </c>
      <c r="H687" s="141">
        <f>IFERROR((HLOOKUP($AH687,Target_monthwise!$D$4:$O$20,DTR!H$4,FALSE))*1000,0)</f>
        <v>0</v>
      </c>
      <c r="I687" s="141">
        <f>IFERROR((HLOOKUP($AH687,Target_monthwise!$D$4:$O$20,DTR!I$4,FALSE))*1000,0)</f>
        <v>0</v>
      </c>
      <c r="J687" s="141">
        <f>IFERROR((HLOOKUP($AH687,Target_monthwise!$D$4:$O$20,DTR!J$4,FALSE))*1000,0)</f>
        <v>0</v>
      </c>
      <c r="K687" s="141">
        <f>IFERROR((HLOOKUP($AH687,Target_monthwise!$D$4:$O$20,DTR!K$4,FALSE))*1000,0)</f>
        <v>0</v>
      </c>
      <c r="L687" s="141">
        <f>IFERROR((HLOOKUP($AH687,Target_monthwise!$D$4:$O$20,DTR!L$4,FALSE))*1000,0)</f>
        <v>0</v>
      </c>
      <c r="M687" s="141">
        <f>IFERROR((HLOOKUP($AH687,Target_monthwise!$D$4:$O$20,DTR!M$4,FALSE))*1000,0)</f>
        <v>0</v>
      </c>
      <c r="N687" s="141">
        <f>IFERROR((HLOOKUP($AH687,Target_monthwise!$D$4:$O$20,DTR!N$4,FALSE))*1000,0)</f>
        <v>0</v>
      </c>
      <c r="O687" s="141">
        <f>IFERROR((HLOOKUP($AH687,Target_monthwise!$D$4:$O$20,DTR!O$4,FALSE))*1000,0)</f>
        <v>0</v>
      </c>
      <c r="P687" s="141">
        <f>IFERROR((HLOOKUP($AH687,Target_monthwise!$D$4:$O$20,DTR!P$4,FALSE))*1000,0)</f>
        <v>0</v>
      </c>
      <c r="Q687" s="141">
        <f>IFERROR((HLOOKUP($AH687,Target_monthwise!$D$4:$O$20,DTR!Q$4,FALSE))*1000,0)</f>
        <v>0</v>
      </c>
      <c r="R687" s="167">
        <f>IFERROR((HLOOKUP($AH687,Target_monthwise!$D$4:$O$20,DTR!R$4,FALSE))*1000,0)</f>
        <v>0</v>
      </c>
      <c r="S687" s="147">
        <f>IFERROR((HLOOKUP($AH687,Target_monthwise!$D$24:$O$40,DTR!S$4,FALSE)),0)</f>
        <v>0</v>
      </c>
      <c r="T687" s="147">
        <f>IFERROR((HLOOKUP($AH687,Target_monthwise!$D$24:$O$40,DTR!T$4,FALSE)),0)</f>
        <v>0</v>
      </c>
      <c r="U687" s="147">
        <f>IFERROR((HLOOKUP($AH687,Target_monthwise!$D$24:$O$40,DTR!U$4,FALSE)),0)</f>
        <v>0</v>
      </c>
      <c r="V687" s="147">
        <f>IFERROR((HLOOKUP($AH687,Target_monthwise!$D$24:$O$40,DTR!V$4,FALSE)),0)</f>
        <v>0</v>
      </c>
      <c r="W687" s="147">
        <f>IFERROR((HLOOKUP($AH687,Target_monthwise!$D$24:$O$40,DTR!W$4,FALSE)),0)</f>
        <v>0</v>
      </c>
      <c r="X687" s="147">
        <f>IFERROR((HLOOKUP($AH687,Target_monthwise!$D$24:$O$40,DTR!X$4,FALSE)),0)</f>
        <v>0</v>
      </c>
      <c r="Y687" s="147">
        <f>IFERROR((HLOOKUP($AH687,Target_monthwise!$D$24:$O$40,DTR!Y$4,FALSE)),0)</f>
        <v>0</v>
      </c>
      <c r="Z687" s="147">
        <f>IFERROR((HLOOKUP($AH687,Target_monthwise!$D$24:$O$40,DTR!Z$4,FALSE)),0)</f>
        <v>0</v>
      </c>
      <c r="AA687" s="147">
        <f>IFERROR((HLOOKUP($AH687,Target_monthwise!$D$24:$O$40,DTR!AA$4,FALSE)),0)</f>
        <v>0</v>
      </c>
      <c r="AB687" s="147">
        <f>IFERROR((HLOOKUP($AH687,Target_monthwise!$D$24:$O$40,DTR!AB$4,FALSE)),0)</f>
        <v>0</v>
      </c>
      <c r="AC687" s="147">
        <f>IFERROR((HLOOKUP($AH687,Target_monthwise!$D$24:$O$40,DTR!AC$4,FALSE)),0)</f>
        <v>0</v>
      </c>
      <c r="AD687" s="147">
        <f>IFERROR((HLOOKUP($AH687,Target_monthwise!$D$24:$O$40,DTR!AD$4,FALSE)),0)</f>
        <v>0</v>
      </c>
      <c r="AE687" s="147">
        <f>IFERROR((HLOOKUP($AH687,Target_monthwise!$D$24:$O$40,DTR!AE$4,FALSE)),0)</f>
        <v>0</v>
      </c>
      <c r="AF687" s="147">
        <f>IFERROR((HLOOKUP($AH687,Target_monthwise!$D$24:$O$40,DTR!AF$4,FALSE)),0)</f>
        <v>0</v>
      </c>
      <c r="AG687" s="172">
        <f>IFERROR((HLOOKUP($AH687,Target_monthwise!$D$24:$O$40,DTR!AG$4,FALSE)),0)</f>
        <v>0</v>
      </c>
      <c r="AH687" s="253">
        <f t="shared" si="12"/>
        <v>202402</v>
      </c>
    </row>
    <row r="688" spans="3:34" ht="15.75" hidden="1">
      <c r="C688" s="237">
        <v>45331</v>
      </c>
      <c r="D688" s="238">
        <f>IFERROR((HLOOKUP($AH688,Target_monthwise!$D$4:$O$20,DTR!D$4,FALSE))*1000,0)</f>
        <v>0</v>
      </c>
      <c r="E688" s="238">
        <f>IFERROR((HLOOKUP($AH688,Target_monthwise!$D$4:$O$20,DTR!E$4,FALSE))*1000,0)</f>
        <v>0</v>
      </c>
      <c r="F688" s="238">
        <f>IFERROR((HLOOKUP($AH688,Target_monthwise!$D$4:$O$20,DTR!F$4,FALSE))*1000,0)</f>
        <v>0</v>
      </c>
      <c r="G688" s="238">
        <f>IFERROR((HLOOKUP($AH688,Target_monthwise!$D$4:$O$20,DTR!G$4,FALSE))*1000,0)</f>
        <v>0</v>
      </c>
      <c r="H688" s="238">
        <f>IFERROR((HLOOKUP($AH688,Target_monthwise!$D$4:$O$20,DTR!H$4,FALSE))*1000,0)</f>
        <v>0</v>
      </c>
      <c r="I688" s="238">
        <f>IFERROR((HLOOKUP($AH688,Target_monthwise!$D$4:$O$20,DTR!I$4,FALSE))*1000,0)</f>
        <v>0</v>
      </c>
      <c r="J688" s="238">
        <f>IFERROR((HLOOKUP($AH688,Target_monthwise!$D$4:$O$20,DTR!J$4,FALSE))*1000,0)</f>
        <v>0</v>
      </c>
      <c r="K688" s="238">
        <f>IFERROR((HLOOKUP($AH688,Target_monthwise!$D$4:$O$20,DTR!K$4,FALSE))*1000,0)</f>
        <v>0</v>
      </c>
      <c r="L688" s="238">
        <f>IFERROR((HLOOKUP($AH688,Target_monthwise!$D$4:$O$20,DTR!L$4,FALSE))*1000,0)</f>
        <v>0</v>
      </c>
      <c r="M688" s="238">
        <f>IFERROR((HLOOKUP($AH688,Target_monthwise!$D$4:$O$20,DTR!M$4,FALSE))*1000,0)</f>
        <v>0</v>
      </c>
      <c r="N688" s="238">
        <f>IFERROR((HLOOKUP($AH688,Target_monthwise!$D$4:$O$20,DTR!N$4,FALSE))*1000,0)</f>
        <v>0</v>
      </c>
      <c r="O688" s="238">
        <f>IFERROR((HLOOKUP($AH688,Target_monthwise!$D$4:$O$20,DTR!O$4,FALSE))*1000,0)</f>
        <v>0</v>
      </c>
      <c r="P688" s="238">
        <f>IFERROR((HLOOKUP($AH688,Target_monthwise!$D$4:$O$20,DTR!P$4,FALSE))*1000,0)</f>
        <v>0</v>
      </c>
      <c r="Q688" s="141">
        <f>IFERROR((HLOOKUP($AH688,Target_monthwise!$D$4:$O$20,DTR!Q$4,FALSE))*1000,0)</f>
        <v>0</v>
      </c>
      <c r="R688" s="167">
        <f>IFERROR((HLOOKUP($AH688,Target_monthwise!$D$4:$O$20,DTR!R$4,FALSE))*1000,0)</f>
        <v>0</v>
      </c>
      <c r="S688" s="239">
        <f>IFERROR((HLOOKUP($AH688,Target_monthwise!$D$24:$O$40,DTR!S$4,FALSE)),0)</f>
        <v>0</v>
      </c>
      <c r="T688" s="239">
        <f>IFERROR((HLOOKUP($AH688,Target_monthwise!$D$24:$O$40,DTR!T$4,FALSE)),0)</f>
        <v>0</v>
      </c>
      <c r="U688" s="239">
        <f>IFERROR((HLOOKUP($AH688,Target_monthwise!$D$24:$O$40,DTR!U$4,FALSE)),0)</f>
        <v>0</v>
      </c>
      <c r="V688" s="239">
        <f>IFERROR((HLOOKUP($AH688,Target_monthwise!$D$24:$O$40,DTR!V$4,FALSE)),0)</f>
        <v>0</v>
      </c>
      <c r="W688" s="239">
        <f>IFERROR((HLOOKUP($AH688,Target_monthwise!$D$24:$O$40,DTR!W$4,FALSE)),0)</f>
        <v>0</v>
      </c>
      <c r="X688" s="239">
        <f>IFERROR((HLOOKUP($AH688,Target_monthwise!$D$24:$O$40,DTR!X$4,FALSE)),0)</f>
        <v>0</v>
      </c>
      <c r="Y688" s="239">
        <f>IFERROR((HLOOKUP($AH688,Target_monthwise!$D$24:$O$40,DTR!Y$4,FALSE)),0)</f>
        <v>0</v>
      </c>
      <c r="Z688" s="147">
        <f>IFERROR((HLOOKUP($AH688,Target_monthwise!$D$24:$O$40,DTR!Z$4,FALSE)),0)</f>
        <v>0</v>
      </c>
      <c r="AA688" s="147">
        <f>IFERROR((HLOOKUP($AH688,Target_monthwise!$D$24:$O$40,DTR!AA$4,FALSE)),0)</f>
        <v>0</v>
      </c>
      <c r="AB688" s="147">
        <f>IFERROR((HLOOKUP($AH688,Target_monthwise!$D$24:$O$40,DTR!AB$4,FALSE)),0)</f>
        <v>0</v>
      </c>
      <c r="AC688" s="239">
        <f>IFERROR((HLOOKUP($AH688,Target_monthwise!$D$24:$O$40,DTR!AC$4,FALSE)),0)</f>
        <v>0</v>
      </c>
      <c r="AD688" s="239">
        <f>IFERROR((HLOOKUP($AH688,Target_monthwise!$D$24:$O$40,DTR!AD$4,FALSE)),0)</f>
        <v>0</v>
      </c>
      <c r="AE688" s="239">
        <f>IFERROR((HLOOKUP($AH688,Target_monthwise!$D$24:$O$40,DTR!AE$4,FALSE)),0)</f>
        <v>0</v>
      </c>
      <c r="AF688" s="239">
        <f>IFERROR((HLOOKUP($AH688,Target_monthwise!$D$24:$O$40,DTR!AF$4,FALSE)),0)</f>
        <v>0</v>
      </c>
      <c r="AG688" s="172">
        <f>IFERROR((HLOOKUP($AH688,Target_monthwise!$D$24:$O$40,DTR!AG$4,FALSE)),0)</f>
        <v>0</v>
      </c>
      <c r="AH688" s="253">
        <f t="shared" si="12"/>
        <v>202402</v>
      </c>
    </row>
    <row r="689" spans="3:34" ht="15.75" hidden="1">
      <c r="C689" s="235">
        <v>45332</v>
      </c>
      <c r="D689" s="141">
        <f>IFERROR((HLOOKUP($AH689,Target_monthwise!$D$4:$O$20,DTR!D$4,FALSE))*1000,0)</f>
        <v>0</v>
      </c>
      <c r="E689" s="141">
        <f>IFERROR((HLOOKUP($AH689,Target_monthwise!$D$4:$O$20,DTR!E$4,FALSE))*1000,0)</f>
        <v>0</v>
      </c>
      <c r="F689" s="141">
        <f>IFERROR((HLOOKUP($AH689,Target_monthwise!$D$4:$O$20,DTR!F$4,FALSE))*1000,0)</f>
        <v>0</v>
      </c>
      <c r="G689" s="141">
        <f>IFERROR((HLOOKUP($AH689,Target_monthwise!$D$4:$O$20,DTR!G$4,FALSE))*1000,0)</f>
        <v>0</v>
      </c>
      <c r="H689" s="141">
        <f>IFERROR((HLOOKUP($AH689,Target_monthwise!$D$4:$O$20,DTR!H$4,FALSE))*1000,0)</f>
        <v>0</v>
      </c>
      <c r="I689" s="141">
        <f>IFERROR((HLOOKUP($AH689,Target_monthwise!$D$4:$O$20,DTR!I$4,FALSE))*1000,0)</f>
        <v>0</v>
      </c>
      <c r="J689" s="141">
        <f>IFERROR((HLOOKUP($AH689,Target_monthwise!$D$4:$O$20,DTR!J$4,FALSE))*1000,0)</f>
        <v>0</v>
      </c>
      <c r="K689" s="141">
        <f>IFERROR((HLOOKUP($AH689,Target_monthwise!$D$4:$O$20,DTR!K$4,FALSE))*1000,0)</f>
        <v>0</v>
      </c>
      <c r="L689" s="141">
        <f>IFERROR((HLOOKUP($AH689,Target_monthwise!$D$4:$O$20,DTR!L$4,FALSE))*1000,0)</f>
        <v>0</v>
      </c>
      <c r="M689" s="141">
        <f>IFERROR((HLOOKUP($AH689,Target_monthwise!$D$4:$O$20,DTR!M$4,FALSE))*1000,0)</f>
        <v>0</v>
      </c>
      <c r="N689" s="141">
        <f>IFERROR((HLOOKUP($AH689,Target_monthwise!$D$4:$O$20,DTR!N$4,FALSE))*1000,0)</f>
        <v>0</v>
      </c>
      <c r="O689" s="141">
        <f>IFERROR((HLOOKUP($AH689,Target_monthwise!$D$4:$O$20,DTR!O$4,FALSE))*1000,0)</f>
        <v>0</v>
      </c>
      <c r="P689" s="141">
        <f>IFERROR((HLOOKUP($AH689,Target_monthwise!$D$4:$O$20,DTR!P$4,FALSE))*1000,0)</f>
        <v>0</v>
      </c>
      <c r="Q689" s="141">
        <f>IFERROR((HLOOKUP($AH689,Target_monthwise!$D$4:$O$20,DTR!Q$4,FALSE))*1000,0)</f>
        <v>0</v>
      </c>
      <c r="R689" s="167">
        <f>IFERROR((HLOOKUP($AH689,Target_monthwise!$D$4:$O$20,DTR!R$4,FALSE))*1000,0)</f>
        <v>0</v>
      </c>
      <c r="S689" s="147">
        <f>IFERROR((HLOOKUP($AH689,Target_monthwise!$D$24:$O$40,DTR!S$4,FALSE)),0)</f>
        <v>0</v>
      </c>
      <c r="T689" s="147">
        <f>IFERROR((HLOOKUP($AH689,Target_monthwise!$D$24:$O$40,DTR!T$4,FALSE)),0)</f>
        <v>0</v>
      </c>
      <c r="U689" s="147">
        <f>IFERROR((HLOOKUP($AH689,Target_monthwise!$D$24:$O$40,DTR!U$4,FALSE)),0)</f>
        <v>0</v>
      </c>
      <c r="V689" s="147">
        <f>IFERROR((HLOOKUP($AH689,Target_monthwise!$D$24:$O$40,DTR!V$4,FALSE)),0)</f>
        <v>0</v>
      </c>
      <c r="W689" s="147">
        <f>IFERROR((HLOOKUP($AH689,Target_monthwise!$D$24:$O$40,DTR!W$4,FALSE)),0)</f>
        <v>0</v>
      </c>
      <c r="X689" s="147">
        <f>IFERROR((HLOOKUP($AH689,Target_monthwise!$D$24:$O$40,DTR!X$4,FALSE)),0)</f>
        <v>0</v>
      </c>
      <c r="Y689" s="147">
        <f>IFERROR((HLOOKUP($AH689,Target_monthwise!$D$24:$O$40,DTR!Y$4,FALSE)),0)</f>
        <v>0</v>
      </c>
      <c r="Z689" s="147">
        <f>IFERROR((HLOOKUP($AH689,Target_monthwise!$D$24:$O$40,DTR!Z$4,FALSE)),0)</f>
        <v>0</v>
      </c>
      <c r="AA689" s="147">
        <f>IFERROR((HLOOKUP($AH689,Target_monthwise!$D$24:$O$40,DTR!AA$4,FALSE)),0)</f>
        <v>0</v>
      </c>
      <c r="AB689" s="147">
        <f>IFERROR((HLOOKUP($AH689,Target_monthwise!$D$24:$O$40,DTR!AB$4,FALSE)),0)</f>
        <v>0</v>
      </c>
      <c r="AC689" s="147">
        <f>IFERROR((HLOOKUP($AH689,Target_monthwise!$D$24:$O$40,DTR!AC$4,FALSE)),0)</f>
        <v>0</v>
      </c>
      <c r="AD689" s="147">
        <f>IFERROR((HLOOKUP($AH689,Target_monthwise!$D$24:$O$40,DTR!AD$4,FALSE)),0)</f>
        <v>0</v>
      </c>
      <c r="AE689" s="147">
        <f>IFERROR((HLOOKUP($AH689,Target_monthwise!$D$24:$O$40,DTR!AE$4,FALSE)),0)</f>
        <v>0</v>
      </c>
      <c r="AF689" s="147">
        <f>IFERROR((HLOOKUP($AH689,Target_monthwise!$D$24:$O$40,DTR!AF$4,FALSE)),0)</f>
        <v>0</v>
      </c>
      <c r="AG689" s="172">
        <f>IFERROR((HLOOKUP($AH689,Target_monthwise!$D$24:$O$40,DTR!AG$4,FALSE)),0)</f>
        <v>0</v>
      </c>
      <c r="AH689" s="253">
        <f t="shared" si="12"/>
        <v>202402</v>
      </c>
    </row>
    <row r="690" spans="3:34" ht="15.75" hidden="1">
      <c r="C690" s="237">
        <v>45333</v>
      </c>
      <c r="D690" s="238">
        <f>IFERROR((HLOOKUP($AH690,Target_monthwise!$D$4:$O$20,DTR!D$4,FALSE))*1000,0)</f>
        <v>0</v>
      </c>
      <c r="E690" s="238">
        <f>IFERROR((HLOOKUP($AH690,Target_monthwise!$D$4:$O$20,DTR!E$4,FALSE))*1000,0)</f>
        <v>0</v>
      </c>
      <c r="F690" s="238">
        <f>IFERROR((HLOOKUP($AH690,Target_monthwise!$D$4:$O$20,DTR!F$4,FALSE))*1000,0)</f>
        <v>0</v>
      </c>
      <c r="G690" s="238">
        <f>IFERROR((HLOOKUP($AH690,Target_monthwise!$D$4:$O$20,DTR!G$4,FALSE))*1000,0)</f>
        <v>0</v>
      </c>
      <c r="H690" s="238">
        <f>IFERROR((HLOOKUP($AH690,Target_monthwise!$D$4:$O$20,DTR!H$4,FALSE))*1000,0)</f>
        <v>0</v>
      </c>
      <c r="I690" s="238">
        <f>IFERROR((HLOOKUP($AH690,Target_monthwise!$D$4:$O$20,DTR!I$4,FALSE))*1000,0)</f>
        <v>0</v>
      </c>
      <c r="J690" s="238">
        <f>IFERROR((HLOOKUP($AH690,Target_monthwise!$D$4:$O$20,DTR!J$4,FALSE))*1000,0)</f>
        <v>0</v>
      </c>
      <c r="K690" s="238">
        <f>IFERROR((HLOOKUP($AH690,Target_monthwise!$D$4:$O$20,DTR!K$4,FALSE))*1000,0)</f>
        <v>0</v>
      </c>
      <c r="L690" s="238">
        <f>IFERROR((HLOOKUP($AH690,Target_monthwise!$D$4:$O$20,DTR!L$4,FALSE))*1000,0)</f>
        <v>0</v>
      </c>
      <c r="M690" s="238">
        <f>IFERROR((HLOOKUP($AH690,Target_monthwise!$D$4:$O$20,DTR!M$4,FALSE))*1000,0)</f>
        <v>0</v>
      </c>
      <c r="N690" s="238">
        <f>IFERROR((HLOOKUP($AH690,Target_monthwise!$D$4:$O$20,DTR!N$4,FALSE))*1000,0)</f>
        <v>0</v>
      </c>
      <c r="O690" s="238">
        <f>IFERROR((HLOOKUP($AH690,Target_monthwise!$D$4:$O$20,DTR!O$4,FALSE))*1000,0)</f>
        <v>0</v>
      </c>
      <c r="P690" s="238">
        <f>IFERROR((HLOOKUP($AH690,Target_monthwise!$D$4:$O$20,DTR!P$4,FALSE))*1000,0)</f>
        <v>0</v>
      </c>
      <c r="Q690" s="141">
        <f>IFERROR((HLOOKUP($AH690,Target_monthwise!$D$4:$O$20,DTR!Q$4,FALSE))*1000,0)</f>
        <v>0</v>
      </c>
      <c r="R690" s="167">
        <f>IFERROR((HLOOKUP($AH690,Target_monthwise!$D$4:$O$20,DTR!R$4,FALSE))*1000,0)</f>
        <v>0</v>
      </c>
      <c r="S690" s="239">
        <f>IFERROR((HLOOKUP($AH690,Target_monthwise!$D$24:$O$40,DTR!S$4,FALSE)),0)</f>
        <v>0</v>
      </c>
      <c r="T690" s="239">
        <f>IFERROR((HLOOKUP($AH690,Target_monthwise!$D$24:$O$40,DTR!T$4,FALSE)),0)</f>
        <v>0</v>
      </c>
      <c r="U690" s="239">
        <f>IFERROR((HLOOKUP($AH690,Target_monthwise!$D$24:$O$40,DTR!U$4,FALSE)),0)</f>
        <v>0</v>
      </c>
      <c r="V690" s="239">
        <f>IFERROR((HLOOKUP($AH690,Target_monthwise!$D$24:$O$40,DTR!V$4,FALSE)),0)</f>
        <v>0</v>
      </c>
      <c r="W690" s="239">
        <f>IFERROR((HLOOKUP($AH690,Target_monthwise!$D$24:$O$40,DTR!W$4,FALSE)),0)</f>
        <v>0</v>
      </c>
      <c r="X690" s="239">
        <f>IFERROR((HLOOKUP($AH690,Target_monthwise!$D$24:$O$40,DTR!X$4,FALSE)),0)</f>
        <v>0</v>
      </c>
      <c r="Y690" s="239">
        <f>IFERROR((HLOOKUP($AH690,Target_monthwise!$D$24:$O$40,DTR!Y$4,FALSE)),0)</f>
        <v>0</v>
      </c>
      <c r="Z690" s="147">
        <f>IFERROR((HLOOKUP($AH690,Target_monthwise!$D$24:$O$40,DTR!Z$4,FALSE)),0)</f>
        <v>0</v>
      </c>
      <c r="AA690" s="147">
        <f>IFERROR((HLOOKUP($AH690,Target_monthwise!$D$24:$O$40,DTR!AA$4,FALSE)),0)</f>
        <v>0</v>
      </c>
      <c r="AB690" s="147">
        <f>IFERROR((HLOOKUP($AH690,Target_monthwise!$D$24:$O$40,DTR!AB$4,FALSE)),0)</f>
        <v>0</v>
      </c>
      <c r="AC690" s="239">
        <f>IFERROR((HLOOKUP($AH690,Target_monthwise!$D$24:$O$40,DTR!AC$4,FALSE)),0)</f>
        <v>0</v>
      </c>
      <c r="AD690" s="239">
        <f>IFERROR((HLOOKUP($AH690,Target_monthwise!$D$24:$O$40,DTR!AD$4,FALSE)),0)</f>
        <v>0</v>
      </c>
      <c r="AE690" s="239">
        <f>IFERROR((HLOOKUP($AH690,Target_monthwise!$D$24:$O$40,DTR!AE$4,FALSE)),0)</f>
        <v>0</v>
      </c>
      <c r="AF690" s="239">
        <f>IFERROR((HLOOKUP($AH690,Target_monthwise!$D$24:$O$40,DTR!AF$4,FALSE)),0)</f>
        <v>0</v>
      </c>
      <c r="AG690" s="172">
        <f>IFERROR((HLOOKUP($AH690,Target_monthwise!$D$24:$O$40,DTR!AG$4,FALSE)),0)</f>
        <v>0</v>
      </c>
      <c r="AH690" s="253">
        <f t="shared" si="12"/>
        <v>202402</v>
      </c>
    </row>
    <row r="691" spans="3:34" ht="15.75" hidden="1">
      <c r="C691" s="235">
        <v>45334</v>
      </c>
      <c r="D691" s="141">
        <f>IFERROR((HLOOKUP($AH691,Target_monthwise!$D$4:$O$20,DTR!D$4,FALSE))*1000,0)</f>
        <v>0</v>
      </c>
      <c r="E691" s="141">
        <f>IFERROR((HLOOKUP($AH691,Target_monthwise!$D$4:$O$20,DTR!E$4,FALSE))*1000,0)</f>
        <v>0</v>
      </c>
      <c r="F691" s="141">
        <f>IFERROR((HLOOKUP($AH691,Target_monthwise!$D$4:$O$20,DTR!F$4,FALSE))*1000,0)</f>
        <v>0</v>
      </c>
      <c r="G691" s="141">
        <f>IFERROR((HLOOKUP($AH691,Target_monthwise!$D$4:$O$20,DTR!G$4,FALSE))*1000,0)</f>
        <v>0</v>
      </c>
      <c r="H691" s="141">
        <f>IFERROR((HLOOKUP($AH691,Target_monthwise!$D$4:$O$20,DTR!H$4,FALSE))*1000,0)</f>
        <v>0</v>
      </c>
      <c r="I691" s="141">
        <f>IFERROR((HLOOKUP($AH691,Target_monthwise!$D$4:$O$20,DTR!I$4,FALSE))*1000,0)</f>
        <v>0</v>
      </c>
      <c r="J691" s="141">
        <f>IFERROR((HLOOKUP($AH691,Target_monthwise!$D$4:$O$20,DTR!J$4,FALSE))*1000,0)</f>
        <v>0</v>
      </c>
      <c r="K691" s="141">
        <f>IFERROR((HLOOKUP($AH691,Target_monthwise!$D$4:$O$20,DTR!K$4,FALSE))*1000,0)</f>
        <v>0</v>
      </c>
      <c r="L691" s="141">
        <f>IFERROR((HLOOKUP($AH691,Target_monthwise!$D$4:$O$20,DTR!L$4,FALSE))*1000,0)</f>
        <v>0</v>
      </c>
      <c r="M691" s="141">
        <f>IFERROR((HLOOKUP($AH691,Target_monthwise!$D$4:$O$20,DTR!M$4,FALSE))*1000,0)</f>
        <v>0</v>
      </c>
      <c r="N691" s="141">
        <f>IFERROR((HLOOKUP($AH691,Target_monthwise!$D$4:$O$20,DTR!N$4,FALSE))*1000,0)</f>
        <v>0</v>
      </c>
      <c r="O691" s="141">
        <f>IFERROR((HLOOKUP($AH691,Target_monthwise!$D$4:$O$20,DTR!O$4,FALSE))*1000,0)</f>
        <v>0</v>
      </c>
      <c r="P691" s="141">
        <f>IFERROR((HLOOKUP($AH691,Target_monthwise!$D$4:$O$20,DTR!P$4,FALSE))*1000,0)</f>
        <v>0</v>
      </c>
      <c r="Q691" s="141">
        <f>IFERROR((HLOOKUP($AH691,Target_monthwise!$D$4:$O$20,DTR!Q$4,FALSE))*1000,0)</f>
        <v>0</v>
      </c>
      <c r="R691" s="167">
        <f>IFERROR((HLOOKUP($AH691,Target_monthwise!$D$4:$O$20,DTR!R$4,FALSE))*1000,0)</f>
        <v>0</v>
      </c>
      <c r="S691" s="147">
        <f>IFERROR((HLOOKUP($AH691,Target_monthwise!$D$24:$O$40,DTR!S$4,FALSE)),0)</f>
        <v>0</v>
      </c>
      <c r="T691" s="147">
        <f>IFERROR((HLOOKUP($AH691,Target_monthwise!$D$24:$O$40,DTR!T$4,FALSE)),0)</f>
        <v>0</v>
      </c>
      <c r="U691" s="147">
        <f>IFERROR((HLOOKUP($AH691,Target_monthwise!$D$24:$O$40,DTR!U$4,FALSE)),0)</f>
        <v>0</v>
      </c>
      <c r="V691" s="147">
        <f>IFERROR((HLOOKUP($AH691,Target_monthwise!$D$24:$O$40,DTR!V$4,FALSE)),0)</f>
        <v>0</v>
      </c>
      <c r="W691" s="147">
        <f>IFERROR((HLOOKUP($AH691,Target_monthwise!$D$24:$O$40,DTR!W$4,FALSE)),0)</f>
        <v>0</v>
      </c>
      <c r="X691" s="147">
        <f>IFERROR((HLOOKUP($AH691,Target_monthwise!$D$24:$O$40,DTR!X$4,FALSE)),0)</f>
        <v>0</v>
      </c>
      <c r="Y691" s="147">
        <f>IFERROR((HLOOKUP($AH691,Target_monthwise!$D$24:$O$40,DTR!Y$4,FALSE)),0)</f>
        <v>0</v>
      </c>
      <c r="Z691" s="147">
        <f>IFERROR((HLOOKUP($AH691,Target_monthwise!$D$24:$O$40,DTR!Z$4,FALSE)),0)</f>
        <v>0</v>
      </c>
      <c r="AA691" s="147">
        <f>IFERROR((HLOOKUP($AH691,Target_monthwise!$D$24:$O$40,DTR!AA$4,FALSE)),0)</f>
        <v>0</v>
      </c>
      <c r="AB691" s="147">
        <f>IFERROR((HLOOKUP($AH691,Target_monthwise!$D$24:$O$40,DTR!AB$4,FALSE)),0)</f>
        <v>0</v>
      </c>
      <c r="AC691" s="147">
        <f>IFERROR((HLOOKUP($AH691,Target_monthwise!$D$24:$O$40,DTR!AC$4,FALSE)),0)</f>
        <v>0</v>
      </c>
      <c r="AD691" s="147">
        <f>IFERROR((HLOOKUP($AH691,Target_monthwise!$D$24:$O$40,DTR!AD$4,FALSE)),0)</f>
        <v>0</v>
      </c>
      <c r="AE691" s="147">
        <f>IFERROR((HLOOKUP($AH691,Target_monthwise!$D$24:$O$40,DTR!AE$4,FALSE)),0)</f>
        <v>0</v>
      </c>
      <c r="AF691" s="147">
        <f>IFERROR((HLOOKUP($AH691,Target_monthwise!$D$24:$O$40,DTR!AF$4,FALSE)),0)</f>
        <v>0</v>
      </c>
      <c r="AG691" s="172">
        <f>IFERROR((HLOOKUP($AH691,Target_monthwise!$D$24:$O$40,DTR!AG$4,FALSE)),0)</f>
        <v>0</v>
      </c>
      <c r="AH691" s="253">
        <f t="shared" ref="AH691:AH754" si="13">YEAR(C691)*100+MONTH(C691)</f>
        <v>202402</v>
      </c>
    </row>
    <row r="692" spans="3:34" ht="15.75" hidden="1">
      <c r="C692" s="237">
        <v>45335</v>
      </c>
      <c r="D692" s="238">
        <f>IFERROR((HLOOKUP($AH692,Target_monthwise!$D$4:$O$20,DTR!D$4,FALSE))*1000,0)</f>
        <v>0</v>
      </c>
      <c r="E692" s="238">
        <f>IFERROR((HLOOKUP($AH692,Target_monthwise!$D$4:$O$20,DTR!E$4,FALSE))*1000,0)</f>
        <v>0</v>
      </c>
      <c r="F692" s="238">
        <f>IFERROR((HLOOKUP($AH692,Target_monthwise!$D$4:$O$20,DTR!F$4,FALSE))*1000,0)</f>
        <v>0</v>
      </c>
      <c r="G692" s="238">
        <f>IFERROR((HLOOKUP($AH692,Target_monthwise!$D$4:$O$20,DTR!G$4,FALSE))*1000,0)</f>
        <v>0</v>
      </c>
      <c r="H692" s="238">
        <f>IFERROR((HLOOKUP($AH692,Target_monthwise!$D$4:$O$20,DTR!H$4,FALSE))*1000,0)</f>
        <v>0</v>
      </c>
      <c r="I692" s="238">
        <f>IFERROR((HLOOKUP($AH692,Target_monthwise!$D$4:$O$20,DTR!I$4,FALSE))*1000,0)</f>
        <v>0</v>
      </c>
      <c r="J692" s="238">
        <f>IFERROR((HLOOKUP($AH692,Target_monthwise!$D$4:$O$20,DTR!J$4,FALSE))*1000,0)</f>
        <v>0</v>
      </c>
      <c r="K692" s="238">
        <f>IFERROR((HLOOKUP($AH692,Target_monthwise!$D$4:$O$20,DTR!K$4,FALSE))*1000,0)</f>
        <v>0</v>
      </c>
      <c r="L692" s="238">
        <f>IFERROR((HLOOKUP($AH692,Target_monthwise!$D$4:$O$20,DTR!L$4,FALSE))*1000,0)</f>
        <v>0</v>
      </c>
      <c r="M692" s="238">
        <f>IFERROR((HLOOKUP($AH692,Target_monthwise!$D$4:$O$20,DTR!M$4,FALSE))*1000,0)</f>
        <v>0</v>
      </c>
      <c r="N692" s="238">
        <f>IFERROR((HLOOKUP($AH692,Target_monthwise!$D$4:$O$20,DTR!N$4,FALSE))*1000,0)</f>
        <v>0</v>
      </c>
      <c r="O692" s="238">
        <f>IFERROR((HLOOKUP($AH692,Target_monthwise!$D$4:$O$20,DTR!O$4,FALSE))*1000,0)</f>
        <v>0</v>
      </c>
      <c r="P692" s="238">
        <f>IFERROR((HLOOKUP($AH692,Target_monthwise!$D$4:$O$20,DTR!P$4,FALSE))*1000,0)</f>
        <v>0</v>
      </c>
      <c r="Q692" s="141">
        <f>IFERROR((HLOOKUP($AH692,Target_monthwise!$D$4:$O$20,DTR!Q$4,FALSE))*1000,0)</f>
        <v>0</v>
      </c>
      <c r="R692" s="167">
        <f>IFERROR((HLOOKUP($AH692,Target_monthwise!$D$4:$O$20,DTR!R$4,FALSE))*1000,0)</f>
        <v>0</v>
      </c>
      <c r="S692" s="239">
        <f>IFERROR((HLOOKUP($AH692,Target_monthwise!$D$24:$O$40,DTR!S$4,FALSE)),0)</f>
        <v>0</v>
      </c>
      <c r="T692" s="239">
        <f>IFERROR((HLOOKUP($AH692,Target_monthwise!$D$24:$O$40,DTR!T$4,FALSE)),0)</f>
        <v>0</v>
      </c>
      <c r="U692" s="239">
        <f>IFERROR((HLOOKUP($AH692,Target_monthwise!$D$24:$O$40,DTR!U$4,FALSE)),0)</f>
        <v>0</v>
      </c>
      <c r="V692" s="239">
        <f>IFERROR((HLOOKUP($AH692,Target_monthwise!$D$24:$O$40,DTR!V$4,FALSE)),0)</f>
        <v>0</v>
      </c>
      <c r="W692" s="239">
        <f>IFERROR((HLOOKUP($AH692,Target_monthwise!$D$24:$O$40,DTR!W$4,FALSE)),0)</f>
        <v>0</v>
      </c>
      <c r="X692" s="239">
        <f>IFERROR((HLOOKUP($AH692,Target_monthwise!$D$24:$O$40,DTR!X$4,FALSE)),0)</f>
        <v>0</v>
      </c>
      <c r="Y692" s="239">
        <f>IFERROR((HLOOKUP($AH692,Target_monthwise!$D$24:$O$40,DTR!Y$4,FALSE)),0)</f>
        <v>0</v>
      </c>
      <c r="Z692" s="147">
        <f>IFERROR((HLOOKUP($AH692,Target_monthwise!$D$24:$O$40,DTR!Z$4,FALSE)),0)</f>
        <v>0</v>
      </c>
      <c r="AA692" s="147">
        <f>IFERROR((HLOOKUP($AH692,Target_monthwise!$D$24:$O$40,DTR!AA$4,FALSE)),0)</f>
        <v>0</v>
      </c>
      <c r="AB692" s="147">
        <f>IFERROR((HLOOKUP($AH692,Target_monthwise!$D$24:$O$40,DTR!AB$4,FALSE)),0)</f>
        <v>0</v>
      </c>
      <c r="AC692" s="239">
        <f>IFERROR((HLOOKUP($AH692,Target_monthwise!$D$24:$O$40,DTR!AC$4,FALSE)),0)</f>
        <v>0</v>
      </c>
      <c r="AD692" s="239">
        <f>IFERROR((HLOOKUP($AH692,Target_monthwise!$D$24:$O$40,DTR!AD$4,FALSE)),0)</f>
        <v>0</v>
      </c>
      <c r="AE692" s="239">
        <f>IFERROR((HLOOKUP($AH692,Target_monthwise!$D$24:$O$40,DTR!AE$4,FALSE)),0)</f>
        <v>0</v>
      </c>
      <c r="AF692" s="239">
        <f>IFERROR((HLOOKUP($AH692,Target_monthwise!$D$24:$O$40,DTR!AF$4,FALSE)),0)</f>
        <v>0</v>
      </c>
      <c r="AG692" s="172">
        <f>IFERROR((HLOOKUP($AH692,Target_monthwise!$D$24:$O$40,DTR!AG$4,FALSE)),0)</f>
        <v>0</v>
      </c>
      <c r="AH692" s="253">
        <f t="shared" si="13"/>
        <v>202402</v>
      </c>
    </row>
    <row r="693" spans="3:34" ht="15.75" hidden="1">
      <c r="C693" s="235">
        <v>45336</v>
      </c>
      <c r="D693" s="141">
        <f>IFERROR((HLOOKUP($AH693,Target_monthwise!$D$4:$O$20,DTR!D$4,FALSE))*1000,0)</f>
        <v>0</v>
      </c>
      <c r="E693" s="141">
        <f>IFERROR((HLOOKUP($AH693,Target_monthwise!$D$4:$O$20,DTR!E$4,FALSE))*1000,0)</f>
        <v>0</v>
      </c>
      <c r="F693" s="141">
        <f>IFERROR((HLOOKUP($AH693,Target_monthwise!$D$4:$O$20,DTR!F$4,FALSE))*1000,0)</f>
        <v>0</v>
      </c>
      <c r="G693" s="141">
        <f>IFERROR((HLOOKUP($AH693,Target_monthwise!$D$4:$O$20,DTR!G$4,FALSE))*1000,0)</f>
        <v>0</v>
      </c>
      <c r="H693" s="141">
        <f>IFERROR((HLOOKUP($AH693,Target_monthwise!$D$4:$O$20,DTR!H$4,FALSE))*1000,0)</f>
        <v>0</v>
      </c>
      <c r="I693" s="141">
        <f>IFERROR((HLOOKUP($AH693,Target_monthwise!$D$4:$O$20,DTR!I$4,FALSE))*1000,0)</f>
        <v>0</v>
      </c>
      <c r="J693" s="141">
        <f>IFERROR((HLOOKUP($AH693,Target_monthwise!$D$4:$O$20,DTR!J$4,FALSE))*1000,0)</f>
        <v>0</v>
      </c>
      <c r="K693" s="141">
        <f>IFERROR((HLOOKUP($AH693,Target_monthwise!$D$4:$O$20,DTR!K$4,FALSE))*1000,0)</f>
        <v>0</v>
      </c>
      <c r="L693" s="141">
        <f>IFERROR((HLOOKUP($AH693,Target_monthwise!$D$4:$O$20,DTR!L$4,FALSE))*1000,0)</f>
        <v>0</v>
      </c>
      <c r="M693" s="141">
        <f>IFERROR((HLOOKUP($AH693,Target_monthwise!$D$4:$O$20,DTR!M$4,FALSE))*1000,0)</f>
        <v>0</v>
      </c>
      <c r="N693" s="141">
        <f>IFERROR((HLOOKUP($AH693,Target_monthwise!$D$4:$O$20,DTR!N$4,FALSE))*1000,0)</f>
        <v>0</v>
      </c>
      <c r="O693" s="141">
        <f>IFERROR((HLOOKUP($AH693,Target_monthwise!$D$4:$O$20,DTR!O$4,FALSE))*1000,0)</f>
        <v>0</v>
      </c>
      <c r="P693" s="141">
        <f>IFERROR((HLOOKUP($AH693,Target_monthwise!$D$4:$O$20,DTR!P$4,FALSE))*1000,0)</f>
        <v>0</v>
      </c>
      <c r="Q693" s="141">
        <f>IFERROR((HLOOKUP($AH693,Target_monthwise!$D$4:$O$20,DTR!Q$4,FALSE))*1000,0)</f>
        <v>0</v>
      </c>
      <c r="R693" s="167">
        <f>IFERROR((HLOOKUP($AH693,Target_monthwise!$D$4:$O$20,DTR!R$4,FALSE))*1000,0)</f>
        <v>0</v>
      </c>
      <c r="S693" s="147">
        <f>IFERROR((HLOOKUP($AH693,Target_monthwise!$D$24:$O$40,DTR!S$4,FALSE)),0)</f>
        <v>0</v>
      </c>
      <c r="T693" s="147">
        <f>IFERROR((HLOOKUP($AH693,Target_monthwise!$D$24:$O$40,DTR!T$4,FALSE)),0)</f>
        <v>0</v>
      </c>
      <c r="U693" s="147">
        <f>IFERROR((HLOOKUP($AH693,Target_monthwise!$D$24:$O$40,DTR!U$4,FALSE)),0)</f>
        <v>0</v>
      </c>
      <c r="V693" s="147">
        <f>IFERROR((HLOOKUP($AH693,Target_monthwise!$D$24:$O$40,DTR!V$4,FALSE)),0)</f>
        <v>0</v>
      </c>
      <c r="W693" s="147">
        <f>IFERROR((HLOOKUP($AH693,Target_monthwise!$D$24:$O$40,DTR!W$4,FALSE)),0)</f>
        <v>0</v>
      </c>
      <c r="X693" s="147">
        <f>IFERROR((HLOOKUP($AH693,Target_monthwise!$D$24:$O$40,DTR!X$4,FALSE)),0)</f>
        <v>0</v>
      </c>
      <c r="Y693" s="147">
        <f>IFERROR((HLOOKUP($AH693,Target_monthwise!$D$24:$O$40,DTR!Y$4,FALSE)),0)</f>
        <v>0</v>
      </c>
      <c r="Z693" s="147">
        <f>IFERROR((HLOOKUP($AH693,Target_monthwise!$D$24:$O$40,DTR!Z$4,FALSE)),0)</f>
        <v>0</v>
      </c>
      <c r="AA693" s="147">
        <f>IFERROR((HLOOKUP($AH693,Target_monthwise!$D$24:$O$40,DTR!AA$4,FALSE)),0)</f>
        <v>0</v>
      </c>
      <c r="AB693" s="147">
        <f>IFERROR((HLOOKUP($AH693,Target_monthwise!$D$24:$O$40,DTR!AB$4,FALSE)),0)</f>
        <v>0</v>
      </c>
      <c r="AC693" s="147">
        <f>IFERROR((HLOOKUP($AH693,Target_monthwise!$D$24:$O$40,DTR!AC$4,FALSE)),0)</f>
        <v>0</v>
      </c>
      <c r="AD693" s="147">
        <f>IFERROR((HLOOKUP($AH693,Target_monthwise!$D$24:$O$40,DTR!AD$4,FALSE)),0)</f>
        <v>0</v>
      </c>
      <c r="AE693" s="147">
        <f>IFERROR((HLOOKUP($AH693,Target_monthwise!$D$24:$O$40,DTR!AE$4,FALSE)),0)</f>
        <v>0</v>
      </c>
      <c r="AF693" s="147">
        <f>IFERROR((HLOOKUP($AH693,Target_monthwise!$D$24:$O$40,DTR!AF$4,FALSE)),0)</f>
        <v>0</v>
      </c>
      <c r="AG693" s="172">
        <f>IFERROR((HLOOKUP($AH693,Target_monthwise!$D$24:$O$40,DTR!AG$4,FALSE)),0)</f>
        <v>0</v>
      </c>
      <c r="AH693" s="253">
        <f t="shared" si="13"/>
        <v>202402</v>
      </c>
    </row>
    <row r="694" spans="3:34" ht="15.75" hidden="1">
      <c r="C694" s="237">
        <v>45337</v>
      </c>
      <c r="D694" s="238">
        <f>IFERROR((HLOOKUP($AH694,Target_monthwise!$D$4:$O$20,DTR!D$4,FALSE))*1000,0)</f>
        <v>0</v>
      </c>
      <c r="E694" s="238">
        <f>IFERROR((HLOOKUP($AH694,Target_monthwise!$D$4:$O$20,DTR!E$4,FALSE))*1000,0)</f>
        <v>0</v>
      </c>
      <c r="F694" s="238">
        <f>IFERROR((HLOOKUP($AH694,Target_monthwise!$D$4:$O$20,DTR!F$4,FALSE))*1000,0)</f>
        <v>0</v>
      </c>
      <c r="G694" s="238">
        <f>IFERROR((HLOOKUP($AH694,Target_monthwise!$D$4:$O$20,DTR!G$4,FALSE))*1000,0)</f>
        <v>0</v>
      </c>
      <c r="H694" s="238">
        <f>IFERROR((HLOOKUP($AH694,Target_monthwise!$D$4:$O$20,DTR!H$4,FALSE))*1000,0)</f>
        <v>0</v>
      </c>
      <c r="I694" s="238">
        <f>IFERROR((HLOOKUP($AH694,Target_monthwise!$D$4:$O$20,DTR!I$4,FALSE))*1000,0)</f>
        <v>0</v>
      </c>
      <c r="J694" s="238">
        <f>IFERROR((HLOOKUP($AH694,Target_monthwise!$D$4:$O$20,DTR!J$4,FALSE))*1000,0)</f>
        <v>0</v>
      </c>
      <c r="K694" s="238">
        <f>IFERROR((HLOOKUP($AH694,Target_monthwise!$D$4:$O$20,DTR!K$4,FALSE))*1000,0)</f>
        <v>0</v>
      </c>
      <c r="L694" s="238">
        <f>IFERROR((HLOOKUP($AH694,Target_monthwise!$D$4:$O$20,DTR!L$4,FALSE))*1000,0)</f>
        <v>0</v>
      </c>
      <c r="M694" s="238">
        <f>IFERROR((HLOOKUP($AH694,Target_monthwise!$D$4:$O$20,DTR!M$4,FALSE))*1000,0)</f>
        <v>0</v>
      </c>
      <c r="N694" s="238">
        <f>IFERROR((HLOOKUP($AH694,Target_monthwise!$D$4:$O$20,DTR!N$4,FALSE))*1000,0)</f>
        <v>0</v>
      </c>
      <c r="O694" s="238">
        <f>IFERROR((HLOOKUP($AH694,Target_monthwise!$D$4:$O$20,DTR!O$4,FALSE))*1000,0)</f>
        <v>0</v>
      </c>
      <c r="P694" s="238">
        <f>IFERROR((HLOOKUP($AH694,Target_monthwise!$D$4:$O$20,DTR!P$4,FALSE))*1000,0)</f>
        <v>0</v>
      </c>
      <c r="Q694" s="141">
        <f>IFERROR((HLOOKUP($AH694,Target_monthwise!$D$4:$O$20,DTR!Q$4,FALSE))*1000,0)</f>
        <v>0</v>
      </c>
      <c r="R694" s="167">
        <f>IFERROR((HLOOKUP($AH694,Target_monthwise!$D$4:$O$20,DTR!R$4,FALSE))*1000,0)</f>
        <v>0</v>
      </c>
      <c r="S694" s="239">
        <f>IFERROR((HLOOKUP($AH694,Target_monthwise!$D$24:$O$40,DTR!S$4,FALSE)),0)</f>
        <v>0</v>
      </c>
      <c r="T694" s="239">
        <f>IFERROR((HLOOKUP($AH694,Target_monthwise!$D$24:$O$40,DTR!T$4,FALSE)),0)</f>
        <v>0</v>
      </c>
      <c r="U694" s="239">
        <f>IFERROR((HLOOKUP($AH694,Target_monthwise!$D$24:$O$40,DTR!U$4,FALSE)),0)</f>
        <v>0</v>
      </c>
      <c r="V694" s="239">
        <f>IFERROR((HLOOKUP($AH694,Target_monthwise!$D$24:$O$40,DTR!V$4,FALSE)),0)</f>
        <v>0</v>
      </c>
      <c r="W694" s="239">
        <f>IFERROR((HLOOKUP($AH694,Target_monthwise!$D$24:$O$40,DTR!W$4,FALSE)),0)</f>
        <v>0</v>
      </c>
      <c r="X694" s="239">
        <f>IFERROR((HLOOKUP($AH694,Target_monthwise!$D$24:$O$40,DTR!X$4,FALSE)),0)</f>
        <v>0</v>
      </c>
      <c r="Y694" s="239">
        <f>IFERROR((HLOOKUP($AH694,Target_monthwise!$D$24:$O$40,DTR!Y$4,FALSE)),0)</f>
        <v>0</v>
      </c>
      <c r="Z694" s="147">
        <f>IFERROR((HLOOKUP($AH694,Target_monthwise!$D$24:$O$40,DTR!Z$4,FALSE)),0)</f>
        <v>0</v>
      </c>
      <c r="AA694" s="147">
        <f>IFERROR((HLOOKUP($AH694,Target_monthwise!$D$24:$O$40,DTR!AA$4,FALSE)),0)</f>
        <v>0</v>
      </c>
      <c r="AB694" s="147">
        <f>IFERROR((HLOOKUP($AH694,Target_monthwise!$D$24:$O$40,DTR!AB$4,FALSE)),0)</f>
        <v>0</v>
      </c>
      <c r="AC694" s="239">
        <f>IFERROR((HLOOKUP($AH694,Target_monthwise!$D$24:$O$40,DTR!AC$4,FALSE)),0)</f>
        <v>0</v>
      </c>
      <c r="AD694" s="239">
        <f>IFERROR((HLOOKUP($AH694,Target_monthwise!$D$24:$O$40,DTR!AD$4,FALSE)),0)</f>
        <v>0</v>
      </c>
      <c r="AE694" s="239">
        <f>IFERROR((HLOOKUP($AH694,Target_monthwise!$D$24:$O$40,DTR!AE$4,FALSE)),0)</f>
        <v>0</v>
      </c>
      <c r="AF694" s="239">
        <f>IFERROR((HLOOKUP($AH694,Target_monthwise!$D$24:$O$40,DTR!AF$4,FALSE)),0)</f>
        <v>0</v>
      </c>
      <c r="AG694" s="172">
        <f>IFERROR((HLOOKUP($AH694,Target_monthwise!$D$24:$O$40,DTR!AG$4,FALSE)),0)</f>
        <v>0</v>
      </c>
      <c r="AH694" s="253">
        <f t="shared" si="13"/>
        <v>202402</v>
      </c>
    </row>
    <row r="695" spans="3:34" ht="15.75" hidden="1">
      <c r="C695" s="235">
        <v>45338</v>
      </c>
      <c r="D695" s="141">
        <f>IFERROR((HLOOKUP($AH695,Target_monthwise!$D$4:$O$20,DTR!D$4,FALSE))*1000,0)</f>
        <v>0</v>
      </c>
      <c r="E695" s="141">
        <f>IFERROR((HLOOKUP($AH695,Target_monthwise!$D$4:$O$20,DTR!E$4,FALSE))*1000,0)</f>
        <v>0</v>
      </c>
      <c r="F695" s="141">
        <f>IFERROR((HLOOKUP($AH695,Target_monthwise!$D$4:$O$20,DTR!F$4,FALSE))*1000,0)</f>
        <v>0</v>
      </c>
      <c r="G695" s="141">
        <f>IFERROR((HLOOKUP($AH695,Target_monthwise!$D$4:$O$20,DTR!G$4,FALSE))*1000,0)</f>
        <v>0</v>
      </c>
      <c r="H695" s="141">
        <f>IFERROR((HLOOKUP($AH695,Target_monthwise!$D$4:$O$20,DTR!H$4,FALSE))*1000,0)</f>
        <v>0</v>
      </c>
      <c r="I695" s="141">
        <f>IFERROR((HLOOKUP($AH695,Target_monthwise!$D$4:$O$20,DTR!I$4,FALSE))*1000,0)</f>
        <v>0</v>
      </c>
      <c r="J695" s="141">
        <f>IFERROR((HLOOKUP($AH695,Target_monthwise!$D$4:$O$20,DTR!J$4,FALSE))*1000,0)</f>
        <v>0</v>
      </c>
      <c r="K695" s="141">
        <f>IFERROR((HLOOKUP($AH695,Target_monthwise!$D$4:$O$20,DTR!K$4,FALSE))*1000,0)</f>
        <v>0</v>
      </c>
      <c r="L695" s="141">
        <f>IFERROR((HLOOKUP($AH695,Target_monthwise!$D$4:$O$20,DTR!L$4,FALSE))*1000,0)</f>
        <v>0</v>
      </c>
      <c r="M695" s="141">
        <f>IFERROR((HLOOKUP($AH695,Target_monthwise!$D$4:$O$20,DTR!M$4,FALSE))*1000,0)</f>
        <v>0</v>
      </c>
      <c r="N695" s="141">
        <f>IFERROR((HLOOKUP($AH695,Target_monthwise!$D$4:$O$20,DTR!N$4,FALSE))*1000,0)</f>
        <v>0</v>
      </c>
      <c r="O695" s="141">
        <f>IFERROR((HLOOKUP($AH695,Target_monthwise!$D$4:$O$20,DTR!O$4,FALSE))*1000,0)</f>
        <v>0</v>
      </c>
      <c r="P695" s="141">
        <f>IFERROR((HLOOKUP($AH695,Target_monthwise!$D$4:$O$20,DTR!P$4,FALSE))*1000,0)</f>
        <v>0</v>
      </c>
      <c r="Q695" s="141">
        <f>IFERROR((HLOOKUP($AH695,Target_monthwise!$D$4:$O$20,DTR!Q$4,FALSE))*1000,0)</f>
        <v>0</v>
      </c>
      <c r="R695" s="167">
        <f>IFERROR((HLOOKUP($AH695,Target_monthwise!$D$4:$O$20,DTR!R$4,FALSE))*1000,0)</f>
        <v>0</v>
      </c>
      <c r="S695" s="147">
        <f>IFERROR((HLOOKUP($AH695,Target_monthwise!$D$24:$O$40,DTR!S$4,FALSE)),0)</f>
        <v>0</v>
      </c>
      <c r="T695" s="147">
        <f>IFERROR((HLOOKUP($AH695,Target_monthwise!$D$24:$O$40,DTR!T$4,FALSE)),0)</f>
        <v>0</v>
      </c>
      <c r="U695" s="147">
        <f>IFERROR((HLOOKUP($AH695,Target_monthwise!$D$24:$O$40,DTR!U$4,FALSE)),0)</f>
        <v>0</v>
      </c>
      <c r="V695" s="147">
        <f>IFERROR((HLOOKUP($AH695,Target_monthwise!$D$24:$O$40,DTR!V$4,FALSE)),0)</f>
        <v>0</v>
      </c>
      <c r="W695" s="147">
        <f>IFERROR((HLOOKUP($AH695,Target_monthwise!$D$24:$O$40,DTR!W$4,FALSE)),0)</f>
        <v>0</v>
      </c>
      <c r="X695" s="147">
        <f>IFERROR((HLOOKUP($AH695,Target_monthwise!$D$24:$O$40,DTR!X$4,FALSE)),0)</f>
        <v>0</v>
      </c>
      <c r="Y695" s="147">
        <f>IFERROR((HLOOKUP($AH695,Target_monthwise!$D$24:$O$40,DTR!Y$4,FALSE)),0)</f>
        <v>0</v>
      </c>
      <c r="Z695" s="147">
        <f>IFERROR((HLOOKUP($AH695,Target_monthwise!$D$24:$O$40,DTR!Z$4,FALSE)),0)</f>
        <v>0</v>
      </c>
      <c r="AA695" s="147">
        <f>IFERROR((HLOOKUP($AH695,Target_monthwise!$D$24:$O$40,DTR!AA$4,FALSE)),0)</f>
        <v>0</v>
      </c>
      <c r="AB695" s="147">
        <f>IFERROR((HLOOKUP($AH695,Target_monthwise!$D$24:$O$40,DTR!AB$4,FALSE)),0)</f>
        <v>0</v>
      </c>
      <c r="AC695" s="147">
        <f>IFERROR((HLOOKUP($AH695,Target_monthwise!$D$24:$O$40,DTR!AC$4,FALSE)),0)</f>
        <v>0</v>
      </c>
      <c r="AD695" s="147">
        <f>IFERROR((HLOOKUP($AH695,Target_monthwise!$D$24:$O$40,DTR!AD$4,FALSE)),0)</f>
        <v>0</v>
      </c>
      <c r="AE695" s="147">
        <f>IFERROR((HLOOKUP($AH695,Target_monthwise!$D$24:$O$40,DTR!AE$4,FALSE)),0)</f>
        <v>0</v>
      </c>
      <c r="AF695" s="147">
        <f>IFERROR((HLOOKUP($AH695,Target_monthwise!$D$24:$O$40,DTR!AF$4,FALSE)),0)</f>
        <v>0</v>
      </c>
      <c r="AG695" s="172">
        <f>IFERROR((HLOOKUP($AH695,Target_monthwise!$D$24:$O$40,DTR!AG$4,FALSE)),0)</f>
        <v>0</v>
      </c>
      <c r="AH695" s="253">
        <f t="shared" si="13"/>
        <v>202402</v>
      </c>
    </row>
    <row r="696" spans="3:34" ht="15.75" hidden="1">
      <c r="C696" s="237">
        <v>45339</v>
      </c>
      <c r="D696" s="238">
        <f>IFERROR((HLOOKUP($AH696,Target_monthwise!$D$4:$O$20,DTR!D$4,FALSE))*1000,0)</f>
        <v>0</v>
      </c>
      <c r="E696" s="238">
        <f>IFERROR((HLOOKUP($AH696,Target_monthwise!$D$4:$O$20,DTR!E$4,FALSE))*1000,0)</f>
        <v>0</v>
      </c>
      <c r="F696" s="238">
        <f>IFERROR((HLOOKUP($AH696,Target_monthwise!$D$4:$O$20,DTR!F$4,FALSE))*1000,0)</f>
        <v>0</v>
      </c>
      <c r="G696" s="238">
        <f>IFERROR((HLOOKUP($AH696,Target_monthwise!$D$4:$O$20,DTR!G$4,FALSE))*1000,0)</f>
        <v>0</v>
      </c>
      <c r="H696" s="238">
        <f>IFERROR((HLOOKUP($AH696,Target_monthwise!$D$4:$O$20,DTR!H$4,FALSE))*1000,0)</f>
        <v>0</v>
      </c>
      <c r="I696" s="238">
        <f>IFERROR((HLOOKUP($AH696,Target_monthwise!$D$4:$O$20,DTR!I$4,FALSE))*1000,0)</f>
        <v>0</v>
      </c>
      <c r="J696" s="238">
        <f>IFERROR((HLOOKUP($AH696,Target_monthwise!$D$4:$O$20,DTR!J$4,FALSE))*1000,0)</f>
        <v>0</v>
      </c>
      <c r="K696" s="238">
        <f>IFERROR((HLOOKUP($AH696,Target_monthwise!$D$4:$O$20,DTR!K$4,FALSE))*1000,0)</f>
        <v>0</v>
      </c>
      <c r="L696" s="238">
        <f>IFERROR((HLOOKUP($AH696,Target_monthwise!$D$4:$O$20,DTR!L$4,FALSE))*1000,0)</f>
        <v>0</v>
      </c>
      <c r="M696" s="238">
        <f>IFERROR((HLOOKUP($AH696,Target_monthwise!$D$4:$O$20,DTR!M$4,FALSE))*1000,0)</f>
        <v>0</v>
      </c>
      <c r="N696" s="238">
        <f>IFERROR((HLOOKUP($AH696,Target_monthwise!$D$4:$O$20,DTR!N$4,FALSE))*1000,0)</f>
        <v>0</v>
      </c>
      <c r="O696" s="238">
        <f>IFERROR((HLOOKUP($AH696,Target_monthwise!$D$4:$O$20,DTR!O$4,FALSE))*1000,0)</f>
        <v>0</v>
      </c>
      <c r="P696" s="238">
        <f>IFERROR((HLOOKUP($AH696,Target_monthwise!$D$4:$O$20,DTR!P$4,FALSE))*1000,0)</f>
        <v>0</v>
      </c>
      <c r="Q696" s="141">
        <f>IFERROR((HLOOKUP($AH696,Target_monthwise!$D$4:$O$20,DTR!Q$4,FALSE))*1000,0)</f>
        <v>0</v>
      </c>
      <c r="R696" s="167">
        <f>IFERROR((HLOOKUP($AH696,Target_monthwise!$D$4:$O$20,DTR!R$4,FALSE))*1000,0)</f>
        <v>0</v>
      </c>
      <c r="S696" s="239">
        <f>IFERROR((HLOOKUP($AH696,Target_monthwise!$D$24:$O$40,DTR!S$4,FALSE)),0)</f>
        <v>0</v>
      </c>
      <c r="T696" s="239">
        <f>IFERROR((HLOOKUP($AH696,Target_monthwise!$D$24:$O$40,DTR!T$4,FALSE)),0)</f>
        <v>0</v>
      </c>
      <c r="U696" s="239">
        <f>IFERROR((HLOOKUP($AH696,Target_monthwise!$D$24:$O$40,DTR!U$4,FALSE)),0)</f>
        <v>0</v>
      </c>
      <c r="V696" s="239">
        <f>IFERROR((HLOOKUP($AH696,Target_monthwise!$D$24:$O$40,DTR!V$4,FALSE)),0)</f>
        <v>0</v>
      </c>
      <c r="W696" s="239">
        <f>IFERROR((HLOOKUP($AH696,Target_monthwise!$D$24:$O$40,DTR!W$4,FALSE)),0)</f>
        <v>0</v>
      </c>
      <c r="X696" s="239">
        <f>IFERROR((HLOOKUP($AH696,Target_monthwise!$D$24:$O$40,DTR!X$4,FALSE)),0)</f>
        <v>0</v>
      </c>
      <c r="Y696" s="239">
        <f>IFERROR((HLOOKUP($AH696,Target_monthwise!$D$24:$O$40,DTR!Y$4,FALSE)),0)</f>
        <v>0</v>
      </c>
      <c r="Z696" s="147">
        <f>IFERROR((HLOOKUP($AH696,Target_monthwise!$D$24:$O$40,DTR!Z$4,FALSE)),0)</f>
        <v>0</v>
      </c>
      <c r="AA696" s="147">
        <f>IFERROR((HLOOKUP($AH696,Target_monthwise!$D$24:$O$40,DTR!AA$4,FALSE)),0)</f>
        <v>0</v>
      </c>
      <c r="AB696" s="147">
        <f>IFERROR((HLOOKUP($AH696,Target_monthwise!$D$24:$O$40,DTR!AB$4,FALSE)),0)</f>
        <v>0</v>
      </c>
      <c r="AC696" s="239">
        <f>IFERROR((HLOOKUP($AH696,Target_monthwise!$D$24:$O$40,DTR!AC$4,FALSE)),0)</f>
        <v>0</v>
      </c>
      <c r="AD696" s="239">
        <f>IFERROR((HLOOKUP($AH696,Target_monthwise!$D$24:$O$40,DTR!AD$4,FALSE)),0)</f>
        <v>0</v>
      </c>
      <c r="AE696" s="239">
        <f>IFERROR((HLOOKUP($AH696,Target_monthwise!$D$24:$O$40,DTR!AE$4,FALSE)),0)</f>
        <v>0</v>
      </c>
      <c r="AF696" s="239">
        <f>IFERROR((HLOOKUP($AH696,Target_monthwise!$D$24:$O$40,DTR!AF$4,FALSE)),0)</f>
        <v>0</v>
      </c>
      <c r="AG696" s="172">
        <f>IFERROR((HLOOKUP($AH696,Target_monthwise!$D$24:$O$40,DTR!AG$4,FALSE)),0)</f>
        <v>0</v>
      </c>
      <c r="AH696" s="253">
        <f t="shared" si="13"/>
        <v>202402</v>
      </c>
    </row>
    <row r="697" spans="3:34" ht="15.75" hidden="1">
      <c r="C697" s="235">
        <v>45340</v>
      </c>
      <c r="D697" s="141">
        <f>IFERROR((HLOOKUP($AH697,Target_monthwise!$D$4:$O$20,DTR!D$4,FALSE))*1000,0)</f>
        <v>0</v>
      </c>
      <c r="E697" s="141">
        <f>IFERROR((HLOOKUP($AH697,Target_monthwise!$D$4:$O$20,DTR!E$4,FALSE))*1000,0)</f>
        <v>0</v>
      </c>
      <c r="F697" s="141">
        <f>IFERROR((HLOOKUP($AH697,Target_monthwise!$D$4:$O$20,DTR!F$4,FALSE))*1000,0)</f>
        <v>0</v>
      </c>
      <c r="G697" s="141">
        <f>IFERROR((HLOOKUP($AH697,Target_monthwise!$D$4:$O$20,DTR!G$4,FALSE))*1000,0)</f>
        <v>0</v>
      </c>
      <c r="H697" s="141">
        <f>IFERROR((HLOOKUP($AH697,Target_monthwise!$D$4:$O$20,DTR!H$4,FALSE))*1000,0)</f>
        <v>0</v>
      </c>
      <c r="I697" s="141">
        <f>IFERROR((HLOOKUP($AH697,Target_monthwise!$D$4:$O$20,DTR!I$4,FALSE))*1000,0)</f>
        <v>0</v>
      </c>
      <c r="J697" s="141">
        <f>IFERROR((HLOOKUP($AH697,Target_monthwise!$D$4:$O$20,DTR!J$4,FALSE))*1000,0)</f>
        <v>0</v>
      </c>
      <c r="K697" s="141">
        <f>IFERROR((HLOOKUP($AH697,Target_monthwise!$D$4:$O$20,DTR!K$4,FALSE))*1000,0)</f>
        <v>0</v>
      </c>
      <c r="L697" s="141">
        <f>IFERROR((HLOOKUP($AH697,Target_monthwise!$D$4:$O$20,DTR!L$4,FALSE))*1000,0)</f>
        <v>0</v>
      </c>
      <c r="M697" s="141">
        <f>IFERROR((HLOOKUP($AH697,Target_monthwise!$D$4:$O$20,DTR!M$4,FALSE))*1000,0)</f>
        <v>0</v>
      </c>
      <c r="N697" s="141">
        <f>IFERROR((HLOOKUP($AH697,Target_monthwise!$D$4:$O$20,DTR!N$4,FALSE))*1000,0)</f>
        <v>0</v>
      </c>
      <c r="O697" s="141">
        <f>IFERROR((HLOOKUP($AH697,Target_monthwise!$D$4:$O$20,DTR!O$4,FALSE))*1000,0)</f>
        <v>0</v>
      </c>
      <c r="P697" s="141">
        <f>IFERROR((HLOOKUP($AH697,Target_monthwise!$D$4:$O$20,DTR!P$4,FALSE))*1000,0)</f>
        <v>0</v>
      </c>
      <c r="Q697" s="141">
        <f>IFERROR((HLOOKUP($AH697,Target_monthwise!$D$4:$O$20,DTR!Q$4,FALSE))*1000,0)</f>
        <v>0</v>
      </c>
      <c r="R697" s="167">
        <f>IFERROR((HLOOKUP($AH697,Target_monthwise!$D$4:$O$20,DTR!R$4,FALSE))*1000,0)</f>
        <v>0</v>
      </c>
      <c r="S697" s="147">
        <f>IFERROR((HLOOKUP($AH697,Target_monthwise!$D$24:$O$40,DTR!S$4,FALSE)),0)</f>
        <v>0</v>
      </c>
      <c r="T697" s="147">
        <f>IFERROR((HLOOKUP($AH697,Target_monthwise!$D$24:$O$40,DTR!T$4,FALSE)),0)</f>
        <v>0</v>
      </c>
      <c r="U697" s="147">
        <f>IFERROR((HLOOKUP($AH697,Target_monthwise!$D$24:$O$40,DTR!U$4,FALSE)),0)</f>
        <v>0</v>
      </c>
      <c r="V697" s="147">
        <f>IFERROR((HLOOKUP($AH697,Target_monthwise!$D$24:$O$40,DTR!V$4,FALSE)),0)</f>
        <v>0</v>
      </c>
      <c r="W697" s="147">
        <f>IFERROR((HLOOKUP($AH697,Target_monthwise!$D$24:$O$40,DTR!W$4,FALSE)),0)</f>
        <v>0</v>
      </c>
      <c r="X697" s="147">
        <f>IFERROR((HLOOKUP($AH697,Target_monthwise!$D$24:$O$40,DTR!X$4,FALSE)),0)</f>
        <v>0</v>
      </c>
      <c r="Y697" s="147">
        <f>IFERROR((HLOOKUP($AH697,Target_monthwise!$D$24:$O$40,DTR!Y$4,FALSE)),0)</f>
        <v>0</v>
      </c>
      <c r="Z697" s="147">
        <f>IFERROR((HLOOKUP($AH697,Target_monthwise!$D$24:$O$40,DTR!Z$4,FALSE)),0)</f>
        <v>0</v>
      </c>
      <c r="AA697" s="147">
        <f>IFERROR((HLOOKUP($AH697,Target_monthwise!$D$24:$O$40,DTR!AA$4,FALSE)),0)</f>
        <v>0</v>
      </c>
      <c r="AB697" s="147">
        <f>IFERROR((HLOOKUP($AH697,Target_monthwise!$D$24:$O$40,DTR!AB$4,FALSE)),0)</f>
        <v>0</v>
      </c>
      <c r="AC697" s="147">
        <f>IFERROR((HLOOKUP($AH697,Target_monthwise!$D$24:$O$40,DTR!AC$4,FALSE)),0)</f>
        <v>0</v>
      </c>
      <c r="AD697" s="147">
        <f>IFERROR((HLOOKUP($AH697,Target_monthwise!$D$24:$O$40,DTR!AD$4,FALSE)),0)</f>
        <v>0</v>
      </c>
      <c r="AE697" s="147">
        <f>IFERROR((HLOOKUP($AH697,Target_monthwise!$D$24:$O$40,DTR!AE$4,FALSE)),0)</f>
        <v>0</v>
      </c>
      <c r="AF697" s="147">
        <f>IFERROR((HLOOKUP($AH697,Target_monthwise!$D$24:$O$40,DTR!AF$4,FALSE)),0)</f>
        <v>0</v>
      </c>
      <c r="AG697" s="172">
        <f>IFERROR((HLOOKUP($AH697,Target_monthwise!$D$24:$O$40,DTR!AG$4,FALSE)),0)</f>
        <v>0</v>
      </c>
      <c r="AH697" s="253">
        <f t="shared" si="13"/>
        <v>202402</v>
      </c>
    </row>
    <row r="698" spans="3:34" ht="15.75" hidden="1">
      <c r="C698" s="237">
        <v>45341</v>
      </c>
      <c r="D698" s="238">
        <f>IFERROR((HLOOKUP($AH698,Target_monthwise!$D$4:$O$20,DTR!D$4,FALSE))*1000,0)</f>
        <v>0</v>
      </c>
      <c r="E698" s="238">
        <f>IFERROR((HLOOKUP($AH698,Target_monthwise!$D$4:$O$20,DTR!E$4,FALSE))*1000,0)</f>
        <v>0</v>
      </c>
      <c r="F698" s="238">
        <f>IFERROR((HLOOKUP($AH698,Target_monthwise!$D$4:$O$20,DTR!F$4,FALSE))*1000,0)</f>
        <v>0</v>
      </c>
      <c r="G698" s="238">
        <f>IFERROR((HLOOKUP($AH698,Target_monthwise!$D$4:$O$20,DTR!G$4,FALSE))*1000,0)</f>
        <v>0</v>
      </c>
      <c r="H698" s="238">
        <f>IFERROR((HLOOKUP($AH698,Target_monthwise!$D$4:$O$20,DTR!H$4,FALSE))*1000,0)</f>
        <v>0</v>
      </c>
      <c r="I698" s="238">
        <f>IFERROR((HLOOKUP($AH698,Target_monthwise!$D$4:$O$20,DTR!I$4,FALSE))*1000,0)</f>
        <v>0</v>
      </c>
      <c r="J698" s="238">
        <f>IFERROR((HLOOKUP($AH698,Target_monthwise!$D$4:$O$20,DTR!J$4,FALSE))*1000,0)</f>
        <v>0</v>
      </c>
      <c r="K698" s="238">
        <f>IFERROR((HLOOKUP($AH698,Target_monthwise!$D$4:$O$20,DTR!K$4,FALSE))*1000,0)</f>
        <v>0</v>
      </c>
      <c r="L698" s="238">
        <f>IFERROR((HLOOKUP($AH698,Target_monthwise!$D$4:$O$20,DTR!L$4,FALSE))*1000,0)</f>
        <v>0</v>
      </c>
      <c r="M698" s="238">
        <f>IFERROR((HLOOKUP($AH698,Target_monthwise!$D$4:$O$20,DTR!M$4,FALSE))*1000,0)</f>
        <v>0</v>
      </c>
      <c r="N698" s="238">
        <f>IFERROR((HLOOKUP($AH698,Target_monthwise!$D$4:$O$20,DTR!N$4,FALSE))*1000,0)</f>
        <v>0</v>
      </c>
      <c r="O698" s="238">
        <f>IFERROR((HLOOKUP($AH698,Target_monthwise!$D$4:$O$20,DTR!O$4,FALSE))*1000,0)</f>
        <v>0</v>
      </c>
      <c r="P698" s="238">
        <f>IFERROR((HLOOKUP($AH698,Target_monthwise!$D$4:$O$20,DTR!P$4,FALSE))*1000,0)</f>
        <v>0</v>
      </c>
      <c r="Q698" s="141">
        <f>IFERROR((HLOOKUP($AH698,Target_monthwise!$D$4:$O$20,DTR!Q$4,FALSE))*1000,0)</f>
        <v>0</v>
      </c>
      <c r="R698" s="167">
        <f>IFERROR((HLOOKUP($AH698,Target_monthwise!$D$4:$O$20,DTR!R$4,FALSE))*1000,0)</f>
        <v>0</v>
      </c>
      <c r="S698" s="239">
        <f>IFERROR((HLOOKUP($AH698,Target_monthwise!$D$24:$O$40,DTR!S$4,FALSE)),0)</f>
        <v>0</v>
      </c>
      <c r="T698" s="239">
        <f>IFERROR((HLOOKUP($AH698,Target_monthwise!$D$24:$O$40,DTR!T$4,FALSE)),0)</f>
        <v>0</v>
      </c>
      <c r="U698" s="239">
        <f>IFERROR((HLOOKUP($AH698,Target_monthwise!$D$24:$O$40,DTR!U$4,FALSE)),0)</f>
        <v>0</v>
      </c>
      <c r="V698" s="239">
        <f>IFERROR((HLOOKUP($AH698,Target_monthwise!$D$24:$O$40,DTR!V$4,FALSE)),0)</f>
        <v>0</v>
      </c>
      <c r="W698" s="239">
        <f>IFERROR((HLOOKUP($AH698,Target_monthwise!$D$24:$O$40,DTR!W$4,FALSE)),0)</f>
        <v>0</v>
      </c>
      <c r="X698" s="239">
        <f>IFERROR((HLOOKUP($AH698,Target_monthwise!$D$24:$O$40,DTR!X$4,FALSE)),0)</f>
        <v>0</v>
      </c>
      <c r="Y698" s="239">
        <f>IFERROR((HLOOKUP($AH698,Target_monthwise!$D$24:$O$40,DTR!Y$4,FALSE)),0)</f>
        <v>0</v>
      </c>
      <c r="Z698" s="147">
        <f>IFERROR((HLOOKUP($AH698,Target_monthwise!$D$24:$O$40,DTR!Z$4,FALSE)),0)</f>
        <v>0</v>
      </c>
      <c r="AA698" s="147">
        <f>IFERROR((HLOOKUP($AH698,Target_monthwise!$D$24:$O$40,DTR!AA$4,FALSE)),0)</f>
        <v>0</v>
      </c>
      <c r="AB698" s="147">
        <f>IFERROR((HLOOKUP($AH698,Target_monthwise!$D$24:$O$40,DTR!AB$4,FALSE)),0)</f>
        <v>0</v>
      </c>
      <c r="AC698" s="239">
        <f>IFERROR((HLOOKUP($AH698,Target_monthwise!$D$24:$O$40,DTR!AC$4,FALSE)),0)</f>
        <v>0</v>
      </c>
      <c r="AD698" s="239">
        <f>IFERROR((HLOOKUP($AH698,Target_monthwise!$D$24:$O$40,DTR!AD$4,FALSE)),0)</f>
        <v>0</v>
      </c>
      <c r="AE698" s="239">
        <f>IFERROR((HLOOKUP($AH698,Target_monthwise!$D$24:$O$40,DTR!AE$4,FALSE)),0)</f>
        <v>0</v>
      </c>
      <c r="AF698" s="239">
        <f>IFERROR((HLOOKUP($AH698,Target_monthwise!$D$24:$O$40,DTR!AF$4,FALSE)),0)</f>
        <v>0</v>
      </c>
      <c r="AG698" s="172">
        <f>IFERROR((HLOOKUP($AH698,Target_monthwise!$D$24:$O$40,DTR!AG$4,FALSE)),0)</f>
        <v>0</v>
      </c>
      <c r="AH698" s="253">
        <f t="shared" si="13"/>
        <v>202402</v>
      </c>
    </row>
    <row r="699" spans="3:34" ht="15.75" hidden="1">
      <c r="C699" s="235">
        <v>45342</v>
      </c>
      <c r="D699" s="141">
        <f>IFERROR((HLOOKUP($AH699,Target_monthwise!$D$4:$O$20,DTR!D$4,FALSE))*1000,0)</f>
        <v>0</v>
      </c>
      <c r="E699" s="141">
        <f>IFERROR((HLOOKUP($AH699,Target_monthwise!$D$4:$O$20,DTR!E$4,FALSE))*1000,0)</f>
        <v>0</v>
      </c>
      <c r="F699" s="141">
        <f>IFERROR((HLOOKUP($AH699,Target_monthwise!$D$4:$O$20,DTR!F$4,FALSE))*1000,0)</f>
        <v>0</v>
      </c>
      <c r="G699" s="141">
        <f>IFERROR((HLOOKUP($AH699,Target_monthwise!$D$4:$O$20,DTR!G$4,FALSE))*1000,0)</f>
        <v>0</v>
      </c>
      <c r="H699" s="141">
        <f>IFERROR((HLOOKUP($AH699,Target_monthwise!$D$4:$O$20,DTR!H$4,FALSE))*1000,0)</f>
        <v>0</v>
      </c>
      <c r="I699" s="141">
        <f>IFERROR((HLOOKUP($AH699,Target_monthwise!$D$4:$O$20,DTR!I$4,FALSE))*1000,0)</f>
        <v>0</v>
      </c>
      <c r="J699" s="141">
        <f>IFERROR((HLOOKUP($AH699,Target_monthwise!$D$4:$O$20,DTR!J$4,FALSE))*1000,0)</f>
        <v>0</v>
      </c>
      <c r="K699" s="141">
        <f>IFERROR((HLOOKUP($AH699,Target_monthwise!$D$4:$O$20,DTR!K$4,FALSE))*1000,0)</f>
        <v>0</v>
      </c>
      <c r="L699" s="141">
        <f>IFERROR((HLOOKUP($AH699,Target_monthwise!$D$4:$O$20,DTR!L$4,FALSE))*1000,0)</f>
        <v>0</v>
      </c>
      <c r="M699" s="141">
        <f>IFERROR((HLOOKUP($AH699,Target_monthwise!$D$4:$O$20,DTR!M$4,FALSE))*1000,0)</f>
        <v>0</v>
      </c>
      <c r="N699" s="141">
        <f>IFERROR((HLOOKUP($AH699,Target_monthwise!$D$4:$O$20,DTR!N$4,FALSE))*1000,0)</f>
        <v>0</v>
      </c>
      <c r="O699" s="141">
        <f>IFERROR((HLOOKUP($AH699,Target_monthwise!$D$4:$O$20,DTR!O$4,FALSE))*1000,0)</f>
        <v>0</v>
      </c>
      <c r="P699" s="141">
        <f>IFERROR((HLOOKUP($AH699,Target_monthwise!$D$4:$O$20,DTR!P$4,FALSE))*1000,0)</f>
        <v>0</v>
      </c>
      <c r="Q699" s="141">
        <f>IFERROR((HLOOKUP($AH699,Target_monthwise!$D$4:$O$20,DTR!Q$4,FALSE))*1000,0)</f>
        <v>0</v>
      </c>
      <c r="R699" s="167">
        <f>IFERROR((HLOOKUP($AH699,Target_monthwise!$D$4:$O$20,DTR!R$4,FALSE))*1000,0)</f>
        <v>0</v>
      </c>
      <c r="S699" s="147">
        <f>IFERROR((HLOOKUP($AH699,Target_monthwise!$D$24:$O$40,DTR!S$4,FALSE)),0)</f>
        <v>0</v>
      </c>
      <c r="T699" s="147">
        <f>IFERROR((HLOOKUP($AH699,Target_monthwise!$D$24:$O$40,DTR!T$4,FALSE)),0)</f>
        <v>0</v>
      </c>
      <c r="U699" s="147">
        <f>IFERROR((HLOOKUP($AH699,Target_monthwise!$D$24:$O$40,DTR!U$4,FALSE)),0)</f>
        <v>0</v>
      </c>
      <c r="V699" s="147">
        <f>IFERROR((HLOOKUP($AH699,Target_monthwise!$D$24:$O$40,DTR!V$4,FALSE)),0)</f>
        <v>0</v>
      </c>
      <c r="W699" s="147">
        <f>IFERROR((HLOOKUP($AH699,Target_monthwise!$D$24:$O$40,DTR!W$4,FALSE)),0)</f>
        <v>0</v>
      </c>
      <c r="X699" s="147">
        <f>IFERROR((HLOOKUP($AH699,Target_monthwise!$D$24:$O$40,DTR!X$4,FALSE)),0)</f>
        <v>0</v>
      </c>
      <c r="Y699" s="147">
        <f>IFERROR((HLOOKUP($AH699,Target_monthwise!$D$24:$O$40,DTR!Y$4,FALSE)),0)</f>
        <v>0</v>
      </c>
      <c r="Z699" s="147">
        <f>IFERROR((HLOOKUP($AH699,Target_monthwise!$D$24:$O$40,DTR!Z$4,FALSE)),0)</f>
        <v>0</v>
      </c>
      <c r="AA699" s="147">
        <f>IFERROR((HLOOKUP($AH699,Target_monthwise!$D$24:$O$40,DTR!AA$4,FALSE)),0)</f>
        <v>0</v>
      </c>
      <c r="AB699" s="147">
        <f>IFERROR((HLOOKUP($AH699,Target_monthwise!$D$24:$O$40,DTR!AB$4,FALSE)),0)</f>
        <v>0</v>
      </c>
      <c r="AC699" s="147">
        <f>IFERROR((HLOOKUP($AH699,Target_monthwise!$D$24:$O$40,DTR!AC$4,FALSE)),0)</f>
        <v>0</v>
      </c>
      <c r="AD699" s="147">
        <f>IFERROR((HLOOKUP($AH699,Target_monthwise!$D$24:$O$40,DTR!AD$4,FALSE)),0)</f>
        <v>0</v>
      </c>
      <c r="AE699" s="147">
        <f>IFERROR((HLOOKUP($AH699,Target_monthwise!$D$24:$O$40,DTR!AE$4,FALSE)),0)</f>
        <v>0</v>
      </c>
      <c r="AF699" s="147">
        <f>IFERROR((HLOOKUP($AH699,Target_monthwise!$D$24:$O$40,DTR!AF$4,FALSE)),0)</f>
        <v>0</v>
      </c>
      <c r="AG699" s="172">
        <f>IFERROR((HLOOKUP($AH699,Target_monthwise!$D$24:$O$40,DTR!AG$4,FALSE)),0)</f>
        <v>0</v>
      </c>
      <c r="AH699" s="253">
        <f t="shared" si="13"/>
        <v>202402</v>
      </c>
    </row>
    <row r="700" spans="3:34" ht="15.75" hidden="1">
      <c r="C700" s="237">
        <v>45343</v>
      </c>
      <c r="D700" s="238">
        <f>IFERROR((HLOOKUP($AH700,Target_monthwise!$D$4:$O$20,DTR!D$4,FALSE))*1000,0)</f>
        <v>0</v>
      </c>
      <c r="E700" s="238">
        <f>IFERROR((HLOOKUP($AH700,Target_monthwise!$D$4:$O$20,DTR!E$4,FALSE))*1000,0)</f>
        <v>0</v>
      </c>
      <c r="F700" s="238">
        <f>IFERROR((HLOOKUP($AH700,Target_monthwise!$D$4:$O$20,DTR!F$4,FALSE))*1000,0)</f>
        <v>0</v>
      </c>
      <c r="G700" s="238">
        <f>IFERROR((HLOOKUP($AH700,Target_monthwise!$D$4:$O$20,DTR!G$4,FALSE))*1000,0)</f>
        <v>0</v>
      </c>
      <c r="H700" s="238">
        <f>IFERROR((HLOOKUP($AH700,Target_monthwise!$D$4:$O$20,DTR!H$4,FALSE))*1000,0)</f>
        <v>0</v>
      </c>
      <c r="I700" s="238">
        <f>IFERROR((HLOOKUP($AH700,Target_monthwise!$D$4:$O$20,DTR!I$4,FALSE))*1000,0)</f>
        <v>0</v>
      </c>
      <c r="J700" s="238">
        <f>IFERROR((HLOOKUP($AH700,Target_monthwise!$D$4:$O$20,DTR!J$4,FALSE))*1000,0)</f>
        <v>0</v>
      </c>
      <c r="K700" s="238">
        <f>IFERROR((HLOOKUP($AH700,Target_monthwise!$D$4:$O$20,DTR!K$4,FALSE))*1000,0)</f>
        <v>0</v>
      </c>
      <c r="L700" s="238">
        <f>IFERROR((HLOOKUP($AH700,Target_monthwise!$D$4:$O$20,DTR!L$4,FALSE))*1000,0)</f>
        <v>0</v>
      </c>
      <c r="M700" s="238">
        <f>IFERROR((HLOOKUP($AH700,Target_monthwise!$D$4:$O$20,DTR!M$4,FALSE))*1000,0)</f>
        <v>0</v>
      </c>
      <c r="N700" s="238">
        <f>IFERROR((HLOOKUP($AH700,Target_monthwise!$D$4:$O$20,DTR!N$4,FALSE))*1000,0)</f>
        <v>0</v>
      </c>
      <c r="O700" s="238">
        <f>IFERROR((HLOOKUP($AH700,Target_monthwise!$D$4:$O$20,DTR!O$4,FALSE))*1000,0)</f>
        <v>0</v>
      </c>
      <c r="P700" s="238">
        <f>IFERROR((HLOOKUP($AH700,Target_monthwise!$D$4:$O$20,DTR!P$4,FALSE))*1000,0)</f>
        <v>0</v>
      </c>
      <c r="Q700" s="141">
        <f>IFERROR((HLOOKUP($AH700,Target_monthwise!$D$4:$O$20,DTR!Q$4,FALSE))*1000,0)</f>
        <v>0</v>
      </c>
      <c r="R700" s="167">
        <f>IFERROR((HLOOKUP($AH700,Target_monthwise!$D$4:$O$20,DTR!R$4,FALSE))*1000,0)</f>
        <v>0</v>
      </c>
      <c r="S700" s="239">
        <f>IFERROR((HLOOKUP($AH700,Target_monthwise!$D$24:$O$40,DTR!S$4,FALSE)),0)</f>
        <v>0</v>
      </c>
      <c r="T700" s="239">
        <f>IFERROR((HLOOKUP($AH700,Target_monthwise!$D$24:$O$40,DTR!T$4,FALSE)),0)</f>
        <v>0</v>
      </c>
      <c r="U700" s="239">
        <f>IFERROR((HLOOKUP($AH700,Target_monthwise!$D$24:$O$40,DTR!U$4,FALSE)),0)</f>
        <v>0</v>
      </c>
      <c r="V700" s="239">
        <f>IFERROR((HLOOKUP($AH700,Target_monthwise!$D$24:$O$40,DTR!V$4,FALSE)),0)</f>
        <v>0</v>
      </c>
      <c r="W700" s="239">
        <f>IFERROR((HLOOKUP($AH700,Target_monthwise!$D$24:$O$40,DTR!W$4,FALSE)),0)</f>
        <v>0</v>
      </c>
      <c r="X700" s="239">
        <f>IFERROR((HLOOKUP($AH700,Target_monthwise!$D$24:$O$40,DTR!X$4,FALSE)),0)</f>
        <v>0</v>
      </c>
      <c r="Y700" s="239">
        <f>IFERROR((HLOOKUP($AH700,Target_monthwise!$D$24:$O$40,DTR!Y$4,FALSE)),0)</f>
        <v>0</v>
      </c>
      <c r="Z700" s="147">
        <f>IFERROR((HLOOKUP($AH700,Target_monthwise!$D$24:$O$40,DTR!Z$4,FALSE)),0)</f>
        <v>0</v>
      </c>
      <c r="AA700" s="147">
        <f>IFERROR((HLOOKUP($AH700,Target_monthwise!$D$24:$O$40,DTR!AA$4,FALSE)),0)</f>
        <v>0</v>
      </c>
      <c r="AB700" s="147">
        <f>IFERROR((HLOOKUP($AH700,Target_monthwise!$D$24:$O$40,DTR!AB$4,FALSE)),0)</f>
        <v>0</v>
      </c>
      <c r="AC700" s="239">
        <f>IFERROR((HLOOKUP($AH700,Target_monthwise!$D$24:$O$40,DTR!AC$4,FALSE)),0)</f>
        <v>0</v>
      </c>
      <c r="AD700" s="239">
        <f>IFERROR((HLOOKUP($AH700,Target_monthwise!$D$24:$O$40,DTR!AD$4,FALSE)),0)</f>
        <v>0</v>
      </c>
      <c r="AE700" s="239">
        <f>IFERROR((HLOOKUP($AH700,Target_monthwise!$D$24:$O$40,DTR!AE$4,FALSE)),0)</f>
        <v>0</v>
      </c>
      <c r="AF700" s="239">
        <f>IFERROR((HLOOKUP($AH700,Target_monthwise!$D$24:$O$40,DTR!AF$4,FALSE)),0)</f>
        <v>0</v>
      </c>
      <c r="AG700" s="172">
        <f>IFERROR((HLOOKUP($AH700,Target_monthwise!$D$24:$O$40,DTR!AG$4,FALSE)),0)</f>
        <v>0</v>
      </c>
      <c r="AH700" s="253">
        <f t="shared" si="13"/>
        <v>202402</v>
      </c>
    </row>
    <row r="701" spans="3:34" ht="15.75" hidden="1">
      <c r="C701" s="235">
        <v>45344</v>
      </c>
      <c r="D701" s="141">
        <f>IFERROR((HLOOKUP($AH701,Target_monthwise!$D$4:$O$20,DTR!D$4,FALSE))*1000,0)</f>
        <v>0</v>
      </c>
      <c r="E701" s="141">
        <f>IFERROR((HLOOKUP($AH701,Target_monthwise!$D$4:$O$20,DTR!E$4,FALSE))*1000,0)</f>
        <v>0</v>
      </c>
      <c r="F701" s="141">
        <f>IFERROR((HLOOKUP($AH701,Target_monthwise!$D$4:$O$20,DTR!F$4,FALSE))*1000,0)</f>
        <v>0</v>
      </c>
      <c r="G701" s="141">
        <f>IFERROR((HLOOKUP($AH701,Target_monthwise!$D$4:$O$20,DTR!G$4,FALSE))*1000,0)</f>
        <v>0</v>
      </c>
      <c r="H701" s="141">
        <f>IFERROR((HLOOKUP($AH701,Target_monthwise!$D$4:$O$20,DTR!H$4,FALSE))*1000,0)</f>
        <v>0</v>
      </c>
      <c r="I701" s="141">
        <f>IFERROR((HLOOKUP($AH701,Target_monthwise!$D$4:$O$20,DTR!I$4,FALSE))*1000,0)</f>
        <v>0</v>
      </c>
      <c r="J701" s="141">
        <f>IFERROR((HLOOKUP($AH701,Target_monthwise!$D$4:$O$20,DTR!J$4,FALSE))*1000,0)</f>
        <v>0</v>
      </c>
      <c r="K701" s="141">
        <f>IFERROR((HLOOKUP($AH701,Target_monthwise!$D$4:$O$20,DTR!K$4,FALSE))*1000,0)</f>
        <v>0</v>
      </c>
      <c r="L701" s="141">
        <f>IFERROR((HLOOKUP($AH701,Target_monthwise!$D$4:$O$20,DTR!L$4,FALSE))*1000,0)</f>
        <v>0</v>
      </c>
      <c r="M701" s="141">
        <f>IFERROR((HLOOKUP($AH701,Target_monthwise!$D$4:$O$20,DTR!M$4,FALSE))*1000,0)</f>
        <v>0</v>
      </c>
      <c r="N701" s="141">
        <f>IFERROR((HLOOKUP($AH701,Target_monthwise!$D$4:$O$20,DTR!N$4,FALSE))*1000,0)</f>
        <v>0</v>
      </c>
      <c r="O701" s="141">
        <f>IFERROR((HLOOKUP($AH701,Target_monthwise!$D$4:$O$20,DTR!O$4,FALSE))*1000,0)</f>
        <v>0</v>
      </c>
      <c r="P701" s="141">
        <f>IFERROR((HLOOKUP($AH701,Target_monthwise!$D$4:$O$20,DTR!P$4,FALSE))*1000,0)</f>
        <v>0</v>
      </c>
      <c r="Q701" s="141">
        <f>IFERROR((HLOOKUP($AH701,Target_monthwise!$D$4:$O$20,DTR!Q$4,FALSE))*1000,0)</f>
        <v>0</v>
      </c>
      <c r="R701" s="167">
        <f>IFERROR((HLOOKUP($AH701,Target_monthwise!$D$4:$O$20,DTR!R$4,FALSE))*1000,0)</f>
        <v>0</v>
      </c>
      <c r="S701" s="147">
        <f>IFERROR((HLOOKUP($AH701,Target_monthwise!$D$24:$O$40,DTR!S$4,FALSE)),0)</f>
        <v>0</v>
      </c>
      <c r="T701" s="147">
        <f>IFERROR((HLOOKUP($AH701,Target_monthwise!$D$24:$O$40,DTR!T$4,FALSE)),0)</f>
        <v>0</v>
      </c>
      <c r="U701" s="147">
        <f>IFERROR((HLOOKUP($AH701,Target_monthwise!$D$24:$O$40,DTR!U$4,FALSE)),0)</f>
        <v>0</v>
      </c>
      <c r="V701" s="147">
        <f>IFERROR((HLOOKUP($AH701,Target_monthwise!$D$24:$O$40,DTR!V$4,FALSE)),0)</f>
        <v>0</v>
      </c>
      <c r="W701" s="147">
        <f>IFERROR((HLOOKUP($AH701,Target_monthwise!$D$24:$O$40,DTR!W$4,FALSE)),0)</f>
        <v>0</v>
      </c>
      <c r="X701" s="147">
        <f>IFERROR((HLOOKUP($AH701,Target_monthwise!$D$24:$O$40,DTR!X$4,FALSE)),0)</f>
        <v>0</v>
      </c>
      <c r="Y701" s="147">
        <f>IFERROR((HLOOKUP($AH701,Target_monthwise!$D$24:$O$40,DTR!Y$4,FALSE)),0)</f>
        <v>0</v>
      </c>
      <c r="Z701" s="147">
        <f>IFERROR((HLOOKUP($AH701,Target_monthwise!$D$24:$O$40,DTR!Z$4,FALSE)),0)</f>
        <v>0</v>
      </c>
      <c r="AA701" s="147">
        <f>IFERROR((HLOOKUP($AH701,Target_monthwise!$D$24:$O$40,DTR!AA$4,FALSE)),0)</f>
        <v>0</v>
      </c>
      <c r="AB701" s="147">
        <f>IFERROR((HLOOKUP($AH701,Target_monthwise!$D$24:$O$40,DTR!AB$4,FALSE)),0)</f>
        <v>0</v>
      </c>
      <c r="AC701" s="147">
        <f>IFERROR((HLOOKUP($AH701,Target_monthwise!$D$24:$O$40,DTR!AC$4,FALSE)),0)</f>
        <v>0</v>
      </c>
      <c r="AD701" s="147">
        <f>IFERROR((HLOOKUP($AH701,Target_monthwise!$D$24:$O$40,DTR!AD$4,FALSE)),0)</f>
        <v>0</v>
      </c>
      <c r="AE701" s="147">
        <f>IFERROR((HLOOKUP($AH701,Target_monthwise!$D$24:$O$40,DTR!AE$4,FALSE)),0)</f>
        <v>0</v>
      </c>
      <c r="AF701" s="147">
        <f>IFERROR((HLOOKUP($AH701,Target_monthwise!$D$24:$O$40,DTR!AF$4,FALSE)),0)</f>
        <v>0</v>
      </c>
      <c r="AG701" s="172">
        <f>IFERROR((HLOOKUP($AH701,Target_monthwise!$D$24:$O$40,DTR!AG$4,FALSE)),0)</f>
        <v>0</v>
      </c>
      <c r="AH701" s="253">
        <f t="shared" si="13"/>
        <v>202402</v>
      </c>
    </row>
    <row r="702" spans="3:34" ht="15.75" hidden="1">
      <c r="C702" s="237">
        <v>45345</v>
      </c>
      <c r="D702" s="238">
        <f>IFERROR((HLOOKUP($AH702,Target_monthwise!$D$4:$O$20,DTR!D$4,FALSE))*1000,0)</f>
        <v>0</v>
      </c>
      <c r="E702" s="238">
        <f>IFERROR((HLOOKUP($AH702,Target_monthwise!$D$4:$O$20,DTR!E$4,FALSE))*1000,0)</f>
        <v>0</v>
      </c>
      <c r="F702" s="238">
        <f>IFERROR((HLOOKUP($AH702,Target_monthwise!$D$4:$O$20,DTR!F$4,FALSE))*1000,0)</f>
        <v>0</v>
      </c>
      <c r="G702" s="238">
        <f>IFERROR((HLOOKUP($AH702,Target_monthwise!$D$4:$O$20,DTR!G$4,FALSE))*1000,0)</f>
        <v>0</v>
      </c>
      <c r="H702" s="238">
        <f>IFERROR((HLOOKUP($AH702,Target_monthwise!$D$4:$O$20,DTR!H$4,FALSE))*1000,0)</f>
        <v>0</v>
      </c>
      <c r="I702" s="238">
        <f>IFERROR((HLOOKUP($AH702,Target_monthwise!$D$4:$O$20,DTR!I$4,FALSE))*1000,0)</f>
        <v>0</v>
      </c>
      <c r="J702" s="238">
        <f>IFERROR((HLOOKUP($AH702,Target_monthwise!$D$4:$O$20,DTR!J$4,FALSE))*1000,0)</f>
        <v>0</v>
      </c>
      <c r="K702" s="238">
        <f>IFERROR((HLOOKUP($AH702,Target_monthwise!$D$4:$O$20,DTR!K$4,FALSE))*1000,0)</f>
        <v>0</v>
      </c>
      <c r="L702" s="238">
        <f>IFERROR((HLOOKUP($AH702,Target_monthwise!$D$4:$O$20,DTR!L$4,FALSE))*1000,0)</f>
        <v>0</v>
      </c>
      <c r="M702" s="238">
        <f>IFERROR((HLOOKUP($AH702,Target_monthwise!$D$4:$O$20,DTR!M$4,FALSE))*1000,0)</f>
        <v>0</v>
      </c>
      <c r="N702" s="238">
        <f>IFERROR((HLOOKUP($AH702,Target_monthwise!$D$4:$O$20,DTR!N$4,FALSE))*1000,0)</f>
        <v>0</v>
      </c>
      <c r="O702" s="238">
        <f>IFERROR((HLOOKUP($AH702,Target_monthwise!$D$4:$O$20,DTR!O$4,FALSE))*1000,0)</f>
        <v>0</v>
      </c>
      <c r="P702" s="238">
        <f>IFERROR((HLOOKUP($AH702,Target_monthwise!$D$4:$O$20,DTR!P$4,FALSE))*1000,0)</f>
        <v>0</v>
      </c>
      <c r="Q702" s="141">
        <f>IFERROR((HLOOKUP($AH702,Target_monthwise!$D$4:$O$20,DTR!Q$4,FALSE))*1000,0)</f>
        <v>0</v>
      </c>
      <c r="R702" s="167">
        <f>IFERROR((HLOOKUP($AH702,Target_monthwise!$D$4:$O$20,DTR!R$4,FALSE))*1000,0)</f>
        <v>0</v>
      </c>
      <c r="S702" s="239">
        <f>IFERROR((HLOOKUP($AH702,Target_monthwise!$D$24:$O$40,DTR!S$4,FALSE)),0)</f>
        <v>0</v>
      </c>
      <c r="T702" s="239">
        <f>IFERROR((HLOOKUP($AH702,Target_monthwise!$D$24:$O$40,DTR!T$4,FALSE)),0)</f>
        <v>0</v>
      </c>
      <c r="U702" s="239">
        <f>IFERROR((HLOOKUP($AH702,Target_monthwise!$D$24:$O$40,DTR!U$4,FALSE)),0)</f>
        <v>0</v>
      </c>
      <c r="V702" s="239">
        <f>IFERROR((HLOOKUP($AH702,Target_monthwise!$D$24:$O$40,DTR!V$4,FALSE)),0)</f>
        <v>0</v>
      </c>
      <c r="W702" s="239">
        <f>IFERROR((HLOOKUP($AH702,Target_monthwise!$D$24:$O$40,DTR!W$4,FALSE)),0)</f>
        <v>0</v>
      </c>
      <c r="X702" s="239">
        <f>IFERROR((HLOOKUP($AH702,Target_monthwise!$D$24:$O$40,DTR!X$4,FALSE)),0)</f>
        <v>0</v>
      </c>
      <c r="Y702" s="239">
        <f>IFERROR((HLOOKUP($AH702,Target_monthwise!$D$24:$O$40,DTR!Y$4,FALSE)),0)</f>
        <v>0</v>
      </c>
      <c r="Z702" s="147">
        <f>IFERROR((HLOOKUP($AH702,Target_monthwise!$D$24:$O$40,DTR!Z$4,FALSE)),0)</f>
        <v>0</v>
      </c>
      <c r="AA702" s="147">
        <f>IFERROR((HLOOKUP($AH702,Target_monthwise!$D$24:$O$40,DTR!AA$4,FALSE)),0)</f>
        <v>0</v>
      </c>
      <c r="AB702" s="147">
        <f>IFERROR((HLOOKUP($AH702,Target_monthwise!$D$24:$O$40,DTR!AB$4,FALSE)),0)</f>
        <v>0</v>
      </c>
      <c r="AC702" s="239">
        <f>IFERROR((HLOOKUP($AH702,Target_monthwise!$D$24:$O$40,DTR!AC$4,FALSE)),0)</f>
        <v>0</v>
      </c>
      <c r="AD702" s="239">
        <f>IFERROR((HLOOKUP($AH702,Target_monthwise!$D$24:$O$40,DTR!AD$4,FALSE)),0)</f>
        <v>0</v>
      </c>
      <c r="AE702" s="239">
        <f>IFERROR((HLOOKUP($AH702,Target_monthwise!$D$24:$O$40,DTR!AE$4,FALSE)),0)</f>
        <v>0</v>
      </c>
      <c r="AF702" s="239">
        <f>IFERROR((HLOOKUP($AH702,Target_monthwise!$D$24:$O$40,DTR!AF$4,FALSE)),0)</f>
        <v>0</v>
      </c>
      <c r="AG702" s="172">
        <f>IFERROR((HLOOKUP($AH702,Target_monthwise!$D$24:$O$40,DTR!AG$4,FALSE)),0)</f>
        <v>0</v>
      </c>
      <c r="AH702" s="253">
        <f t="shared" si="13"/>
        <v>202402</v>
      </c>
    </row>
    <row r="703" spans="3:34" ht="15.75" hidden="1">
      <c r="C703" s="235">
        <v>45346</v>
      </c>
      <c r="D703" s="141">
        <f>IFERROR((HLOOKUP($AH703,Target_monthwise!$D$4:$O$20,DTR!D$4,FALSE))*1000,0)</f>
        <v>0</v>
      </c>
      <c r="E703" s="141">
        <f>IFERROR((HLOOKUP($AH703,Target_monthwise!$D$4:$O$20,DTR!E$4,FALSE))*1000,0)</f>
        <v>0</v>
      </c>
      <c r="F703" s="141">
        <f>IFERROR((HLOOKUP($AH703,Target_monthwise!$D$4:$O$20,DTR!F$4,FALSE))*1000,0)</f>
        <v>0</v>
      </c>
      <c r="G703" s="141">
        <f>IFERROR((HLOOKUP($AH703,Target_monthwise!$D$4:$O$20,DTR!G$4,FALSE))*1000,0)</f>
        <v>0</v>
      </c>
      <c r="H703" s="141">
        <f>IFERROR((HLOOKUP($AH703,Target_monthwise!$D$4:$O$20,DTR!H$4,FALSE))*1000,0)</f>
        <v>0</v>
      </c>
      <c r="I703" s="141">
        <f>IFERROR((HLOOKUP($AH703,Target_monthwise!$D$4:$O$20,DTR!I$4,FALSE))*1000,0)</f>
        <v>0</v>
      </c>
      <c r="J703" s="141">
        <f>IFERROR((HLOOKUP($AH703,Target_monthwise!$D$4:$O$20,DTR!J$4,FALSE))*1000,0)</f>
        <v>0</v>
      </c>
      <c r="K703" s="141">
        <f>IFERROR((HLOOKUP($AH703,Target_monthwise!$D$4:$O$20,DTR!K$4,FALSE))*1000,0)</f>
        <v>0</v>
      </c>
      <c r="L703" s="141">
        <f>IFERROR((HLOOKUP($AH703,Target_monthwise!$D$4:$O$20,DTR!L$4,FALSE))*1000,0)</f>
        <v>0</v>
      </c>
      <c r="M703" s="141">
        <f>IFERROR((HLOOKUP($AH703,Target_monthwise!$D$4:$O$20,DTR!M$4,FALSE))*1000,0)</f>
        <v>0</v>
      </c>
      <c r="N703" s="141">
        <f>IFERROR((HLOOKUP($AH703,Target_monthwise!$D$4:$O$20,DTR!N$4,FALSE))*1000,0)</f>
        <v>0</v>
      </c>
      <c r="O703" s="141">
        <f>IFERROR((HLOOKUP($AH703,Target_monthwise!$D$4:$O$20,DTR!O$4,FALSE))*1000,0)</f>
        <v>0</v>
      </c>
      <c r="P703" s="141">
        <f>IFERROR((HLOOKUP($AH703,Target_monthwise!$D$4:$O$20,DTR!P$4,FALSE))*1000,0)</f>
        <v>0</v>
      </c>
      <c r="Q703" s="141">
        <f>IFERROR((HLOOKUP($AH703,Target_monthwise!$D$4:$O$20,DTR!Q$4,FALSE))*1000,0)</f>
        <v>0</v>
      </c>
      <c r="R703" s="167">
        <f>IFERROR((HLOOKUP($AH703,Target_monthwise!$D$4:$O$20,DTR!R$4,FALSE))*1000,0)</f>
        <v>0</v>
      </c>
      <c r="S703" s="147">
        <f>IFERROR((HLOOKUP($AH703,Target_monthwise!$D$24:$O$40,DTR!S$4,FALSE)),0)</f>
        <v>0</v>
      </c>
      <c r="T703" s="147">
        <f>IFERROR((HLOOKUP($AH703,Target_monthwise!$D$24:$O$40,DTR!T$4,FALSE)),0)</f>
        <v>0</v>
      </c>
      <c r="U703" s="147">
        <f>IFERROR((HLOOKUP($AH703,Target_monthwise!$D$24:$O$40,DTR!U$4,FALSE)),0)</f>
        <v>0</v>
      </c>
      <c r="V703" s="147">
        <f>IFERROR((HLOOKUP($AH703,Target_monthwise!$D$24:$O$40,DTR!V$4,FALSE)),0)</f>
        <v>0</v>
      </c>
      <c r="W703" s="147">
        <f>IFERROR((HLOOKUP($AH703,Target_monthwise!$D$24:$O$40,DTR!W$4,FALSE)),0)</f>
        <v>0</v>
      </c>
      <c r="X703" s="147">
        <f>IFERROR((HLOOKUP($AH703,Target_monthwise!$D$24:$O$40,DTR!X$4,FALSE)),0)</f>
        <v>0</v>
      </c>
      <c r="Y703" s="147">
        <f>IFERROR((HLOOKUP($AH703,Target_monthwise!$D$24:$O$40,DTR!Y$4,FALSE)),0)</f>
        <v>0</v>
      </c>
      <c r="Z703" s="147">
        <f>IFERROR((HLOOKUP($AH703,Target_monthwise!$D$24:$O$40,DTR!Z$4,FALSE)),0)</f>
        <v>0</v>
      </c>
      <c r="AA703" s="147">
        <f>IFERROR((HLOOKUP($AH703,Target_monthwise!$D$24:$O$40,DTR!AA$4,FALSE)),0)</f>
        <v>0</v>
      </c>
      <c r="AB703" s="147">
        <f>IFERROR((HLOOKUP($AH703,Target_monthwise!$D$24:$O$40,DTR!AB$4,FALSE)),0)</f>
        <v>0</v>
      </c>
      <c r="AC703" s="147">
        <f>IFERROR((HLOOKUP($AH703,Target_monthwise!$D$24:$O$40,DTR!AC$4,FALSE)),0)</f>
        <v>0</v>
      </c>
      <c r="AD703" s="147">
        <f>IFERROR((HLOOKUP($AH703,Target_monthwise!$D$24:$O$40,DTR!AD$4,FALSE)),0)</f>
        <v>0</v>
      </c>
      <c r="AE703" s="147">
        <f>IFERROR((HLOOKUP($AH703,Target_monthwise!$D$24:$O$40,DTR!AE$4,FALSE)),0)</f>
        <v>0</v>
      </c>
      <c r="AF703" s="147">
        <f>IFERROR((HLOOKUP($AH703,Target_monthwise!$D$24:$O$40,DTR!AF$4,FALSE)),0)</f>
        <v>0</v>
      </c>
      <c r="AG703" s="172">
        <f>IFERROR((HLOOKUP($AH703,Target_monthwise!$D$24:$O$40,DTR!AG$4,FALSE)),0)</f>
        <v>0</v>
      </c>
      <c r="AH703" s="253">
        <f t="shared" si="13"/>
        <v>202402</v>
      </c>
    </row>
    <row r="704" spans="3:34" ht="15.75" hidden="1">
      <c r="C704" s="237">
        <v>45347</v>
      </c>
      <c r="D704" s="238">
        <f>IFERROR((HLOOKUP($AH704,Target_monthwise!$D$4:$O$20,DTR!D$4,FALSE))*1000,0)</f>
        <v>0</v>
      </c>
      <c r="E704" s="238">
        <f>IFERROR((HLOOKUP($AH704,Target_monthwise!$D$4:$O$20,DTR!E$4,FALSE))*1000,0)</f>
        <v>0</v>
      </c>
      <c r="F704" s="238">
        <f>IFERROR((HLOOKUP($AH704,Target_monthwise!$D$4:$O$20,DTR!F$4,FALSE))*1000,0)</f>
        <v>0</v>
      </c>
      <c r="G704" s="238">
        <f>IFERROR((HLOOKUP($AH704,Target_monthwise!$D$4:$O$20,DTR!G$4,FALSE))*1000,0)</f>
        <v>0</v>
      </c>
      <c r="H704" s="238">
        <f>IFERROR((HLOOKUP($AH704,Target_monthwise!$D$4:$O$20,DTR!H$4,FALSE))*1000,0)</f>
        <v>0</v>
      </c>
      <c r="I704" s="238">
        <f>IFERROR((HLOOKUP($AH704,Target_monthwise!$D$4:$O$20,DTR!I$4,FALSE))*1000,0)</f>
        <v>0</v>
      </c>
      <c r="J704" s="238">
        <f>IFERROR((HLOOKUP($AH704,Target_monthwise!$D$4:$O$20,DTR!J$4,FALSE))*1000,0)</f>
        <v>0</v>
      </c>
      <c r="K704" s="238">
        <f>IFERROR((HLOOKUP($AH704,Target_monthwise!$D$4:$O$20,DTR!K$4,FALSE))*1000,0)</f>
        <v>0</v>
      </c>
      <c r="L704" s="238">
        <f>IFERROR((HLOOKUP($AH704,Target_monthwise!$D$4:$O$20,DTR!L$4,FALSE))*1000,0)</f>
        <v>0</v>
      </c>
      <c r="M704" s="238">
        <f>IFERROR((HLOOKUP($AH704,Target_monthwise!$D$4:$O$20,DTR!M$4,FALSE))*1000,0)</f>
        <v>0</v>
      </c>
      <c r="N704" s="238">
        <f>IFERROR((HLOOKUP($AH704,Target_monthwise!$D$4:$O$20,DTR!N$4,FALSE))*1000,0)</f>
        <v>0</v>
      </c>
      <c r="O704" s="238">
        <f>IFERROR((HLOOKUP($AH704,Target_monthwise!$D$4:$O$20,DTR!O$4,FALSE))*1000,0)</f>
        <v>0</v>
      </c>
      <c r="P704" s="238">
        <f>IFERROR((HLOOKUP($AH704,Target_monthwise!$D$4:$O$20,DTR!P$4,FALSE))*1000,0)</f>
        <v>0</v>
      </c>
      <c r="Q704" s="141">
        <f>IFERROR((HLOOKUP($AH704,Target_monthwise!$D$4:$O$20,DTR!Q$4,FALSE))*1000,0)</f>
        <v>0</v>
      </c>
      <c r="R704" s="167">
        <f>IFERROR((HLOOKUP($AH704,Target_monthwise!$D$4:$O$20,DTR!R$4,FALSE))*1000,0)</f>
        <v>0</v>
      </c>
      <c r="S704" s="239">
        <f>IFERROR((HLOOKUP($AH704,Target_monthwise!$D$24:$O$40,DTR!S$4,FALSE)),0)</f>
        <v>0</v>
      </c>
      <c r="T704" s="239">
        <f>IFERROR((HLOOKUP($AH704,Target_monthwise!$D$24:$O$40,DTR!T$4,FALSE)),0)</f>
        <v>0</v>
      </c>
      <c r="U704" s="239">
        <f>IFERROR((HLOOKUP($AH704,Target_monthwise!$D$24:$O$40,DTR!U$4,FALSE)),0)</f>
        <v>0</v>
      </c>
      <c r="V704" s="239">
        <f>IFERROR((HLOOKUP($AH704,Target_monthwise!$D$24:$O$40,DTR!V$4,FALSE)),0)</f>
        <v>0</v>
      </c>
      <c r="W704" s="239">
        <f>IFERROR((HLOOKUP($AH704,Target_monthwise!$D$24:$O$40,DTR!W$4,FALSE)),0)</f>
        <v>0</v>
      </c>
      <c r="X704" s="239">
        <f>IFERROR((HLOOKUP($AH704,Target_monthwise!$D$24:$O$40,DTR!X$4,FALSE)),0)</f>
        <v>0</v>
      </c>
      <c r="Y704" s="239">
        <f>IFERROR((HLOOKUP($AH704,Target_monthwise!$D$24:$O$40,DTR!Y$4,FALSE)),0)</f>
        <v>0</v>
      </c>
      <c r="Z704" s="147">
        <f>IFERROR((HLOOKUP($AH704,Target_monthwise!$D$24:$O$40,DTR!Z$4,FALSE)),0)</f>
        <v>0</v>
      </c>
      <c r="AA704" s="147">
        <f>IFERROR((HLOOKUP($AH704,Target_monthwise!$D$24:$O$40,DTR!AA$4,FALSE)),0)</f>
        <v>0</v>
      </c>
      <c r="AB704" s="147">
        <f>IFERROR((HLOOKUP($AH704,Target_monthwise!$D$24:$O$40,DTR!AB$4,FALSE)),0)</f>
        <v>0</v>
      </c>
      <c r="AC704" s="239">
        <f>IFERROR((HLOOKUP($AH704,Target_monthwise!$D$24:$O$40,DTR!AC$4,FALSE)),0)</f>
        <v>0</v>
      </c>
      <c r="AD704" s="239">
        <f>IFERROR((HLOOKUP($AH704,Target_monthwise!$D$24:$O$40,DTR!AD$4,FALSE)),0)</f>
        <v>0</v>
      </c>
      <c r="AE704" s="239">
        <f>IFERROR((HLOOKUP($AH704,Target_monthwise!$D$24:$O$40,DTR!AE$4,FALSE)),0)</f>
        <v>0</v>
      </c>
      <c r="AF704" s="239">
        <f>IFERROR((HLOOKUP($AH704,Target_monthwise!$D$24:$O$40,DTR!AF$4,FALSE)),0)</f>
        <v>0</v>
      </c>
      <c r="AG704" s="172">
        <f>IFERROR((HLOOKUP($AH704,Target_monthwise!$D$24:$O$40,DTR!AG$4,FALSE)),0)</f>
        <v>0</v>
      </c>
      <c r="AH704" s="253">
        <f t="shared" si="13"/>
        <v>202402</v>
      </c>
    </row>
    <row r="705" spans="3:34" ht="15.75" hidden="1">
      <c r="C705" s="235">
        <v>45348</v>
      </c>
      <c r="D705" s="141">
        <f>IFERROR((HLOOKUP($AH705,Target_monthwise!$D$4:$O$20,DTR!D$4,FALSE))*1000,0)</f>
        <v>0</v>
      </c>
      <c r="E705" s="141">
        <f>IFERROR((HLOOKUP($AH705,Target_monthwise!$D$4:$O$20,DTR!E$4,FALSE))*1000,0)</f>
        <v>0</v>
      </c>
      <c r="F705" s="141">
        <f>IFERROR((HLOOKUP($AH705,Target_monthwise!$D$4:$O$20,DTR!F$4,FALSE))*1000,0)</f>
        <v>0</v>
      </c>
      <c r="G705" s="141">
        <f>IFERROR((HLOOKUP($AH705,Target_monthwise!$D$4:$O$20,DTR!G$4,FALSE))*1000,0)</f>
        <v>0</v>
      </c>
      <c r="H705" s="141">
        <f>IFERROR((HLOOKUP($AH705,Target_monthwise!$D$4:$O$20,DTR!H$4,FALSE))*1000,0)</f>
        <v>0</v>
      </c>
      <c r="I705" s="141">
        <f>IFERROR((HLOOKUP($AH705,Target_monthwise!$D$4:$O$20,DTR!I$4,FALSE))*1000,0)</f>
        <v>0</v>
      </c>
      <c r="J705" s="141">
        <f>IFERROR((HLOOKUP($AH705,Target_monthwise!$D$4:$O$20,DTR!J$4,FALSE))*1000,0)</f>
        <v>0</v>
      </c>
      <c r="K705" s="141">
        <f>IFERROR((HLOOKUP($AH705,Target_monthwise!$D$4:$O$20,DTR!K$4,FALSE))*1000,0)</f>
        <v>0</v>
      </c>
      <c r="L705" s="141">
        <f>IFERROR((HLOOKUP($AH705,Target_monthwise!$D$4:$O$20,DTR!L$4,FALSE))*1000,0)</f>
        <v>0</v>
      </c>
      <c r="M705" s="141">
        <f>IFERROR((HLOOKUP($AH705,Target_monthwise!$D$4:$O$20,DTR!M$4,FALSE))*1000,0)</f>
        <v>0</v>
      </c>
      <c r="N705" s="141">
        <f>IFERROR((HLOOKUP($AH705,Target_monthwise!$D$4:$O$20,DTR!N$4,FALSE))*1000,0)</f>
        <v>0</v>
      </c>
      <c r="O705" s="141">
        <f>IFERROR((HLOOKUP($AH705,Target_monthwise!$D$4:$O$20,DTR!O$4,FALSE))*1000,0)</f>
        <v>0</v>
      </c>
      <c r="P705" s="141">
        <f>IFERROR((HLOOKUP($AH705,Target_monthwise!$D$4:$O$20,DTR!P$4,FALSE))*1000,0)</f>
        <v>0</v>
      </c>
      <c r="Q705" s="141">
        <f>IFERROR((HLOOKUP($AH705,Target_monthwise!$D$4:$O$20,DTR!Q$4,FALSE))*1000,0)</f>
        <v>0</v>
      </c>
      <c r="R705" s="167">
        <f>IFERROR((HLOOKUP($AH705,Target_monthwise!$D$4:$O$20,DTR!R$4,FALSE))*1000,0)</f>
        <v>0</v>
      </c>
      <c r="S705" s="147">
        <f>IFERROR((HLOOKUP($AH705,Target_monthwise!$D$24:$O$40,DTR!S$4,FALSE)),0)</f>
        <v>0</v>
      </c>
      <c r="T705" s="147">
        <f>IFERROR((HLOOKUP($AH705,Target_monthwise!$D$24:$O$40,DTR!T$4,FALSE)),0)</f>
        <v>0</v>
      </c>
      <c r="U705" s="147">
        <f>IFERROR((HLOOKUP($AH705,Target_monthwise!$D$24:$O$40,DTR!U$4,FALSE)),0)</f>
        <v>0</v>
      </c>
      <c r="V705" s="147">
        <f>IFERROR((HLOOKUP($AH705,Target_monthwise!$D$24:$O$40,DTR!V$4,FALSE)),0)</f>
        <v>0</v>
      </c>
      <c r="W705" s="147">
        <f>IFERROR((HLOOKUP($AH705,Target_monthwise!$D$24:$O$40,DTR!W$4,FALSE)),0)</f>
        <v>0</v>
      </c>
      <c r="X705" s="147">
        <f>IFERROR((HLOOKUP($AH705,Target_monthwise!$D$24:$O$40,DTR!X$4,FALSE)),0)</f>
        <v>0</v>
      </c>
      <c r="Y705" s="147">
        <f>IFERROR((HLOOKUP($AH705,Target_monthwise!$D$24:$O$40,DTR!Y$4,FALSE)),0)</f>
        <v>0</v>
      </c>
      <c r="Z705" s="147">
        <f>IFERROR((HLOOKUP($AH705,Target_monthwise!$D$24:$O$40,DTR!Z$4,FALSE)),0)</f>
        <v>0</v>
      </c>
      <c r="AA705" s="147">
        <f>IFERROR((HLOOKUP($AH705,Target_monthwise!$D$24:$O$40,DTR!AA$4,FALSE)),0)</f>
        <v>0</v>
      </c>
      <c r="AB705" s="147">
        <f>IFERROR((HLOOKUP($AH705,Target_monthwise!$D$24:$O$40,DTR!AB$4,FALSE)),0)</f>
        <v>0</v>
      </c>
      <c r="AC705" s="147">
        <f>IFERROR((HLOOKUP($AH705,Target_monthwise!$D$24:$O$40,DTR!AC$4,FALSE)),0)</f>
        <v>0</v>
      </c>
      <c r="AD705" s="147">
        <f>IFERROR((HLOOKUP($AH705,Target_monthwise!$D$24:$O$40,DTR!AD$4,FALSE)),0)</f>
        <v>0</v>
      </c>
      <c r="AE705" s="147">
        <f>IFERROR((HLOOKUP($AH705,Target_monthwise!$D$24:$O$40,DTR!AE$4,FALSE)),0)</f>
        <v>0</v>
      </c>
      <c r="AF705" s="147">
        <f>IFERROR((HLOOKUP($AH705,Target_monthwise!$D$24:$O$40,DTR!AF$4,FALSE)),0)</f>
        <v>0</v>
      </c>
      <c r="AG705" s="172">
        <f>IFERROR((HLOOKUP($AH705,Target_monthwise!$D$24:$O$40,DTR!AG$4,FALSE)),0)</f>
        <v>0</v>
      </c>
      <c r="AH705" s="253">
        <f t="shared" si="13"/>
        <v>202402</v>
      </c>
    </row>
    <row r="706" spans="3:34" ht="15.75" hidden="1">
      <c r="C706" s="237">
        <v>45349</v>
      </c>
      <c r="D706" s="238">
        <f>IFERROR((HLOOKUP($AH706,Target_monthwise!$D$4:$O$20,DTR!D$4,FALSE))*1000,0)</f>
        <v>0</v>
      </c>
      <c r="E706" s="238">
        <f>IFERROR((HLOOKUP($AH706,Target_monthwise!$D$4:$O$20,DTR!E$4,FALSE))*1000,0)</f>
        <v>0</v>
      </c>
      <c r="F706" s="238">
        <f>IFERROR((HLOOKUP($AH706,Target_monthwise!$D$4:$O$20,DTR!F$4,FALSE))*1000,0)</f>
        <v>0</v>
      </c>
      <c r="G706" s="238">
        <f>IFERROR((HLOOKUP($AH706,Target_monthwise!$D$4:$O$20,DTR!G$4,FALSE))*1000,0)</f>
        <v>0</v>
      </c>
      <c r="H706" s="238">
        <f>IFERROR((HLOOKUP($AH706,Target_monthwise!$D$4:$O$20,DTR!H$4,FALSE))*1000,0)</f>
        <v>0</v>
      </c>
      <c r="I706" s="238">
        <f>IFERROR((HLOOKUP($AH706,Target_monthwise!$D$4:$O$20,DTR!I$4,FALSE))*1000,0)</f>
        <v>0</v>
      </c>
      <c r="J706" s="238">
        <f>IFERROR((HLOOKUP($AH706,Target_monthwise!$D$4:$O$20,DTR!J$4,FALSE))*1000,0)</f>
        <v>0</v>
      </c>
      <c r="K706" s="238">
        <f>IFERROR((HLOOKUP($AH706,Target_monthwise!$D$4:$O$20,DTR!K$4,FALSE))*1000,0)</f>
        <v>0</v>
      </c>
      <c r="L706" s="238">
        <f>IFERROR((HLOOKUP($AH706,Target_monthwise!$D$4:$O$20,DTR!L$4,FALSE))*1000,0)</f>
        <v>0</v>
      </c>
      <c r="M706" s="238">
        <f>IFERROR((HLOOKUP($AH706,Target_monthwise!$D$4:$O$20,DTR!M$4,FALSE))*1000,0)</f>
        <v>0</v>
      </c>
      <c r="N706" s="238">
        <f>IFERROR((HLOOKUP($AH706,Target_monthwise!$D$4:$O$20,DTR!N$4,FALSE))*1000,0)</f>
        <v>0</v>
      </c>
      <c r="O706" s="238">
        <f>IFERROR((HLOOKUP($AH706,Target_monthwise!$D$4:$O$20,DTR!O$4,FALSE))*1000,0)</f>
        <v>0</v>
      </c>
      <c r="P706" s="238">
        <f>IFERROR((HLOOKUP($AH706,Target_monthwise!$D$4:$O$20,DTR!P$4,FALSE))*1000,0)</f>
        <v>0</v>
      </c>
      <c r="Q706" s="141">
        <f>IFERROR((HLOOKUP($AH706,Target_monthwise!$D$4:$O$20,DTR!Q$4,FALSE))*1000,0)</f>
        <v>0</v>
      </c>
      <c r="R706" s="167">
        <f>IFERROR((HLOOKUP($AH706,Target_monthwise!$D$4:$O$20,DTR!R$4,FALSE))*1000,0)</f>
        <v>0</v>
      </c>
      <c r="S706" s="239">
        <f>IFERROR((HLOOKUP($AH706,Target_monthwise!$D$24:$O$40,DTR!S$4,FALSE)),0)</f>
        <v>0</v>
      </c>
      <c r="T706" s="239">
        <f>IFERROR((HLOOKUP($AH706,Target_monthwise!$D$24:$O$40,DTR!T$4,FALSE)),0)</f>
        <v>0</v>
      </c>
      <c r="U706" s="239">
        <f>IFERROR((HLOOKUP($AH706,Target_monthwise!$D$24:$O$40,DTR!U$4,FALSE)),0)</f>
        <v>0</v>
      </c>
      <c r="V706" s="239">
        <f>IFERROR((HLOOKUP($AH706,Target_monthwise!$D$24:$O$40,DTR!V$4,FALSE)),0)</f>
        <v>0</v>
      </c>
      <c r="W706" s="239">
        <f>IFERROR((HLOOKUP($AH706,Target_monthwise!$D$24:$O$40,DTR!W$4,FALSE)),0)</f>
        <v>0</v>
      </c>
      <c r="X706" s="239">
        <f>IFERROR((HLOOKUP($AH706,Target_monthwise!$D$24:$O$40,DTR!X$4,FALSE)),0)</f>
        <v>0</v>
      </c>
      <c r="Y706" s="239">
        <f>IFERROR((HLOOKUP($AH706,Target_monthwise!$D$24:$O$40,DTR!Y$4,FALSE)),0)</f>
        <v>0</v>
      </c>
      <c r="Z706" s="147">
        <f>IFERROR((HLOOKUP($AH706,Target_monthwise!$D$24:$O$40,DTR!Z$4,FALSE)),0)</f>
        <v>0</v>
      </c>
      <c r="AA706" s="147">
        <f>IFERROR((HLOOKUP($AH706,Target_monthwise!$D$24:$O$40,DTR!AA$4,FALSE)),0)</f>
        <v>0</v>
      </c>
      <c r="AB706" s="147">
        <f>IFERROR((HLOOKUP($AH706,Target_monthwise!$D$24:$O$40,DTR!AB$4,FALSE)),0)</f>
        <v>0</v>
      </c>
      <c r="AC706" s="239">
        <f>IFERROR((HLOOKUP($AH706,Target_monthwise!$D$24:$O$40,DTR!AC$4,FALSE)),0)</f>
        <v>0</v>
      </c>
      <c r="AD706" s="239">
        <f>IFERROR((HLOOKUP($AH706,Target_monthwise!$D$24:$O$40,DTR!AD$4,FALSE)),0)</f>
        <v>0</v>
      </c>
      <c r="AE706" s="239">
        <f>IFERROR((HLOOKUP($AH706,Target_monthwise!$D$24:$O$40,DTR!AE$4,FALSE)),0)</f>
        <v>0</v>
      </c>
      <c r="AF706" s="239">
        <f>IFERROR((HLOOKUP($AH706,Target_monthwise!$D$24:$O$40,DTR!AF$4,FALSE)),0)</f>
        <v>0</v>
      </c>
      <c r="AG706" s="172">
        <f>IFERROR((HLOOKUP($AH706,Target_monthwise!$D$24:$O$40,DTR!AG$4,FALSE)),0)</f>
        <v>0</v>
      </c>
      <c r="AH706" s="253">
        <f t="shared" si="13"/>
        <v>202402</v>
      </c>
    </row>
    <row r="707" spans="3:34" ht="15.75" hidden="1">
      <c r="C707" s="235">
        <v>45350</v>
      </c>
      <c r="D707" s="141">
        <f>IFERROR((HLOOKUP($AH707,Target_monthwise!$D$4:$O$20,DTR!D$4,FALSE))*1000,0)</f>
        <v>0</v>
      </c>
      <c r="E707" s="141">
        <f>IFERROR((HLOOKUP($AH707,Target_monthwise!$D$4:$O$20,DTR!E$4,FALSE))*1000,0)</f>
        <v>0</v>
      </c>
      <c r="F707" s="141">
        <f>IFERROR((HLOOKUP($AH707,Target_monthwise!$D$4:$O$20,DTR!F$4,FALSE))*1000,0)</f>
        <v>0</v>
      </c>
      <c r="G707" s="141">
        <f>IFERROR((HLOOKUP($AH707,Target_monthwise!$D$4:$O$20,DTR!G$4,FALSE))*1000,0)</f>
        <v>0</v>
      </c>
      <c r="H707" s="141">
        <f>IFERROR((HLOOKUP($AH707,Target_monthwise!$D$4:$O$20,DTR!H$4,FALSE))*1000,0)</f>
        <v>0</v>
      </c>
      <c r="I707" s="141">
        <f>IFERROR((HLOOKUP($AH707,Target_monthwise!$D$4:$O$20,DTR!I$4,FALSE))*1000,0)</f>
        <v>0</v>
      </c>
      <c r="J707" s="141">
        <f>IFERROR((HLOOKUP($AH707,Target_monthwise!$D$4:$O$20,DTR!J$4,FALSE))*1000,0)</f>
        <v>0</v>
      </c>
      <c r="K707" s="141">
        <f>IFERROR((HLOOKUP($AH707,Target_monthwise!$D$4:$O$20,DTR!K$4,FALSE))*1000,0)</f>
        <v>0</v>
      </c>
      <c r="L707" s="141">
        <f>IFERROR((HLOOKUP($AH707,Target_monthwise!$D$4:$O$20,DTR!L$4,FALSE))*1000,0)</f>
        <v>0</v>
      </c>
      <c r="M707" s="141">
        <f>IFERROR((HLOOKUP($AH707,Target_monthwise!$D$4:$O$20,DTR!M$4,FALSE))*1000,0)</f>
        <v>0</v>
      </c>
      <c r="N707" s="141">
        <f>IFERROR((HLOOKUP($AH707,Target_monthwise!$D$4:$O$20,DTR!N$4,FALSE))*1000,0)</f>
        <v>0</v>
      </c>
      <c r="O707" s="141">
        <f>IFERROR((HLOOKUP($AH707,Target_monthwise!$D$4:$O$20,DTR!O$4,FALSE))*1000,0)</f>
        <v>0</v>
      </c>
      <c r="P707" s="141">
        <f>IFERROR((HLOOKUP($AH707,Target_monthwise!$D$4:$O$20,DTR!P$4,FALSE))*1000,0)</f>
        <v>0</v>
      </c>
      <c r="Q707" s="141">
        <f>IFERROR((HLOOKUP($AH707,Target_monthwise!$D$4:$O$20,DTR!Q$4,FALSE))*1000,0)</f>
        <v>0</v>
      </c>
      <c r="R707" s="167">
        <f>IFERROR((HLOOKUP($AH707,Target_monthwise!$D$4:$O$20,DTR!R$4,FALSE))*1000,0)</f>
        <v>0</v>
      </c>
      <c r="S707" s="147">
        <f>IFERROR((HLOOKUP($AH707,Target_monthwise!$D$24:$O$40,DTR!S$4,FALSE)),0)</f>
        <v>0</v>
      </c>
      <c r="T707" s="147">
        <f>IFERROR((HLOOKUP($AH707,Target_monthwise!$D$24:$O$40,DTR!T$4,FALSE)),0)</f>
        <v>0</v>
      </c>
      <c r="U707" s="147">
        <f>IFERROR((HLOOKUP($AH707,Target_monthwise!$D$24:$O$40,DTR!U$4,FALSE)),0)</f>
        <v>0</v>
      </c>
      <c r="V707" s="147">
        <f>IFERROR((HLOOKUP($AH707,Target_monthwise!$D$24:$O$40,DTR!V$4,FALSE)),0)</f>
        <v>0</v>
      </c>
      <c r="W707" s="147">
        <f>IFERROR((HLOOKUP($AH707,Target_monthwise!$D$24:$O$40,DTR!W$4,FALSE)),0)</f>
        <v>0</v>
      </c>
      <c r="X707" s="147">
        <f>IFERROR((HLOOKUP($AH707,Target_monthwise!$D$24:$O$40,DTR!X$4,FALSE)),0)</f>
        <v>0</v>
      </c>
      <c r="Y707" s="147">
        <f>IFERROR((HLOOKUP($AH707,Target_monthwise!$D$24:$O$40,DTR!Y$4,FALSE)),0)</f>
        <v>0</v>
      </c>
      <c r="Z707" s="147">
        <f>IFERROR((HLOOKUP($AH707,Target_monthwise!$D$24:$O$40,DTR!Z$4,FALSE)),0)</f>
        <v>0</v>
      </c>
      <c r="AA707" s="147">
        <f>IFERROR((HLOOKUP($AH707,Target_monthwise!$D$24:$O$40,DTR!AA$4,FALSE)),0)</f>
        <v>0</v>
      </c>
      <c r="AB707" s="147">
        <f>IFERROR((HLOOKUP($AH707,Target_monthwise!$D$24:$O$40,DTR!AB$4,FALSE)),0)</f>
        <v>0</v>
      </c>
      <c r="AC707" s="147">
        <f>IFERROR((HLOOKUP($AH707,Target_monthwise!$D$24:$O$40,DTR!AC$4,FALSE)),0)</f>
        <v>0</v>
      </c>
      <c r="AD707" s="147">
        <f>IFERROR((HLOOKUP($AH707,Target_monthwise!$D$24:$O$40,DTR!AD$4,FALSE)),0)</f>
        <v>0</v>
      </c>
      <c r="AE707" s="147">
        <f>IFERROR((HLOOKUP($AH707,Target_monthwise!$D$24:$O$40,DTR!AE$4,FALSE)),0)</f>
        <v>0</v>
      </c>
      <c r="AF707" s="147">
        <f>IFERROR((HLOOKUP($AH707,Target_monthwise!$D$24:$O$40,DTR!AF$4,FALSE)),0)</f>
        <v>0</v>
      </c>
      <c r="AG707" s="172">
        <f>IFERROR((HLOOKUP($AH707,Target_monthwise!$D$24:$O$40,DTR!AG$4,FALSE)),0)</f>
        <v>0</v>
      </c>
      <c r="AH707" s="253">
        <f t="shared" si="13"/>
        <v>202402</v>
      </c>
    </row>
    <row r="708" spans="3:34" ht="15.75" hidden="1">
      <c r="C708" s="237">
        <v>45351</v>
      </c>
      <c r="D708" s="238">
        <f>IFERROR((HLOOKUP($AH708,Target_monthwise!$D$4:$O$20,DTR!D$4,FALSE))*1000,0)</f>
        <v>0</v>
      </c>
      <c r="E708" s="238">
        <f>IFERROR((HLOOKUP($AH708,Target_monthwise!$D$4:$O$20,DTR!E$4,FALSE))*1000,0)</f>
        <v>0</v>
      </c>
      <c r="F708" s="238">
        <f>IFERROR((HLOOKUP($AH708,Target_monthwise!$D$4:$O$20,DTR!F$4,FALSE))*1000,0)</f>
        <v>0</v>
      </c>
      <c r="G708" s="238">
        <f>IFERROR((HLOOKUP($AH708,Target_monthwise!$D$4:$O$20,DTR!G$4,FALSE))*1000,0)</f>
        <v>0</v>
      </c>
      <c r="H708" s="238">
        <f>IFERROR((HLOOKUP($AH708,Target_monthwise!$D$4:$O$20,DTR!H$4,FALSE))*1000,0)</f>
        <v>0</v>
      </c>
      <c r="I708" s="238">
        <f>IFERROR((HLOOKUP($AH708,Target_monthwise!$D$4:$O$20,DTR!I$4,FALSE))*1000,0)</f>
        <v>0</v>
      </c>
      <c r="J708" s="238">
        <f>IFERROR((HLOOKUP($AH708,Target_monthwise!$D$4:$O$20,DTR!J$4,FALSE))*1000,0)</f>
        <v>0</v>
      </c>
      <c r="K708" s="238">
        <f>IFERROR((HLOOKUP($AH708,Target_monthwise!$D$4:$O$20,DTR!K$4,FALSE))*1000,0)</f>
        <v>0</v>
      </c>
      <c r="L708" s="238">
        <f>IFERROR((HLOOKUP($AH708,Target_monthwise!$D$4:$O$20,DTR!L$4,FALSE))*1000,0)</f>
        <v>0</v>
      </c>
      <c r="M708" s="238">
        <f>IFERROR((HLOOKUP($AH708,Target_monthwise!$D$4:$O$20,DTR!M$4,FALSE))*1000,0)</f>
        <v>0</v>
      </c>
      <c r="N708" s="238">
        <f>IFERROR((HLOOKUP($AH708,Target_monthwise!$D$4:$O$20,DTR!N$4,FALSE))*1000,0)</f>
        <v>0</v>
      </c>
      <c r="O708" s="238">
        <f>IFERROR((HLOOKUP($AH708,Target_monthwise!$D$4:$O$20,DTR!O$4,FALSE))*1000,0)</f>
        <v>0</v>
      </c>
      <c r="P708" s="238">
        <f>IFERROR((HLOOKUP($AH708,Target_monthwise!$D$4:$O$20,DTR!P$4,FALSE))*1000,0)</f>
        <v>0</v>
      </c>
      <c r="Q708" s="141">
        <f>IFERROR((HLOOKUP($AH708,Target_monthwise!$D$4:$O$20,DTR!Q$4,FALSE))*1000,0)</f>
        <v>0</v>
      </c>
      <c r="R708" s="167">
        <f>IFERROR((HLOOKUP($AH708,Target_monthwise!$D$4:$O$20,DTR!R$4,FALSE))*1000,0)</f>
        <v>0</v>
      </c>
      <c r="S708" s="239">
        <f>IFERROR((HLOOKUP($AH708,Target_monthwise!$D$24:$O$40,DTR!S$4,FALSE)),0)</f>
        <v>0</v>
      </c>
      <c r="T708" s="239">
        <f>IFERROR((HLOOKUP($AH708,Target_monthwise!$D$24:$O$40,DTR!T$4,FALSE)),0)</f>
        <v>0</v>
      </c>
      <c r="U708" s="239">
        <f>IFERROR((HLOOKUP($AH708,Target_monthwise!$D$24:$O$40,DTR!U$4,FALSE)),0)</f>
        <v>0</v>
      </c>
      <c r="V708" s="239">
        <f>IFERROR((HLOOKUP($AH708,Target_monthwise!$D$24:$O$40,DTR!V$4,FALSE)),0)</f>
        <v>0</v>
      </c>
      <c r="W708" s="239">
        <f>IFERROR((HLOOKUP($AH708,Target_monthwise!$D$24:$O$40,DTR!W$4,FALSE)),0)</f>
        <v>0</v>
      </c>
      <c r="X708" s="239">
        <f>IFERROR((HLOOKUP($AH708,Target_monthwise!$D$24:$O$40,DTR!X$4,FALSE)),0)</f>
        <v>0</v>
      </c>
      <c r="Y708" s="239">
        <f>IFERROR((HLOOKUP($AH708,Target_monthwise!$D$24:$O$40,DTR!Y$4,FALSE)),0)</f>
        <v>0</v>
      </c>
      <c r="Z708" s="147">
        <f>IFERROR((HLOOKUP($AH708,Target_monthwise!$D$24:$O$40,DTR!Z$4,FALSE)),0)</f>
        <v>0</v>
      </c>
      <c r="AA708" s="147">
        <f>IFERROR((HLOOKUP($AH708,Target_monthwise!$D$24:$O$40,DTR!AA$4,FALSE)),0)</f>
        <v>0</v>
      </c>
      <c r="AB708" s="147">
        <f>IFERROR((HLOOKUP($AH708,Target_monthwise!$D$24:$O$40,DTR!AB$4,FALSE)),0)</f>
        <v>0</v>
      </c>
      <c r="AC708" s="239">
        <f>IFERROR((HLOOKUP($AH708,Target_monthwise!$D$24:$O$40,DTR!AC$4,FALSE)),0)</f>
        <v>0</v>
      </c>
      <c r="AD708" s="239">
        <f>IFERROR((HLOOKUP($AH708,Target_monthwise!$D$24:$O$40,DTR!AD$4,FALSE)),0)</f>
        <v>0</v>
      </c>
      <c r="AE708" s="239">
        <f>IFERROR((HLOOKUP($AH708,Target_monthwise!$D$24:$O$40,DTR!AE$4,FALSE)),0)</f>
        <v>0</v>
      </c>
      <c r="AF708" s="239">
        <f>IFERROR((HLOOKUP($AH708,Target_monthwise!$D$24:$O$40,DTR!AF$4,FALSE)),0)</f>
        <v>0</v>
      </c>
      <c r="AG708" s="172">
        <f>IFERROR((HLOOKUP($AH708,Target_monthwise!$D$24:$O$40,DTR!AG$4,FALSE)),0)</f>
        <v>0</v>
      </c>
      <c r="AH708" s="253">
        <f t="shared" si="13"/>
        <v>202402</v>
      </c>
    </row>
    <row r="709" spans="3:34" ht="15.75" hidden="1">
      <c r="C709" s="235">
        <v>45352</v>
      </c>
      <c r="D709" s="141">
        <f>IFERROR((HLOOKUP($AH709,Target_monthwise!$D$4:$O$20,DTR!D$4,FALSE))*1000,0)</f>
        <v>0</v>
      </c>
      <c r="E709" s="141">
        <f>IFERROR((HLOOKUP($AH709,Target_monthwise!$D$4:$O$20,DTR!E$4,FALSE))*1000,0)</f>
        <v>0</v>
      </c>
      <c r="F709" s="141">
        <f>IFERROR((HLOOKUP($AH709,Target_monthwise!$D$4:$O$20,DTR!F$4,FALSE))*1000,0)</f>
        <v>0</v>
      </c>
      <c r="G709" s="141">
        <f>IFERROR((HLOOKUP($AH709,Target_monthwise!$D$4:$O$20,DTR!G$4,FALSE))*1000,0)</f>
        <v>0</v>
      </c>
      <c r="H709" s="141">
        <f>IFERROR((HLOOKUP($AH709,Target_monthwise!$D$4:$O$20,DTR!H$4,FALSE))*1000,0)</f>
        <v>0</v>
      </c>
      <c r="I709" s="141">
        <f>IFERROR((HLOOKUP($AH709,Target_monthwise!$D$4:$O$20,DTR!I$4,FALSE))*1000,0)</f>
        <v>0</v>
      </c>
      <c r="J709" s="141">
        <f>IFERROR((HLOOKUP($AH709,Target_monthwise!$D$4:$O$20,DTR!J$4,FALSE))*1000,0)</f>
        <v>0</v>
      </c>
      <c r="K709" s="141">
        <f>IFERROR((HLOOKUP($AH709,Target_monthwise!$D$4:$O$20,DTR!K$4,FALSE))*1000,0)</f>
        <v>0</v>
      </c>
      <c r="L709" s="141">
        <f>IFERROR((HLOOKUP($AH709,Target_monthwise!$D$4:$O$20,DTR!L$4,FALSE))*1000,0)</f>
        <v>0</v>
      </c>
      <c r="M709" s="141">
        <f>IFERROR((HLOOKUP($AH709,Target_monthwise!$D$4:$O$20,DTR!M$4,FALSE))*1000,0)</f>
        <v>0</v>
      </c>
      <c r="N709" s="141">
        <f>IFERROR((HLOOKUP($AH709,Target_monthwise!$D$4:$O$20,DTR!N$4,FALSE))*1000,0)</f>
        <v>0</v>
      </c>
      <c r="O709" s="141">
        <f>IFERROR((HLOOKUP($AH709,Target_monthwise!$D$4:$O$20,DTR!O$4,FALSE))*1000,0)</f>
        <v>0</v>
      </c>
      <c r="P709" s="141">
        <f>IFERROR((HLOOKUP($AH709,Target_monthwise!$D$4:$O$20,DTR!P$4,FALSE))*1000,0)</f>
        <v>0</v>
      </c>
      <c r="Q709" s="141">
        <f>IFERROR((HLOOKUP($AH709,Target_monthwise!$D$4:$O$20,DTR!Q$4,FALSE))*1000,0)</f>
        <v>0</v>
      </c>
      <c r="R709" s="167">
        <f>IFERROR((HLOOKUP($AH709,Target_monthwise!$D$4:$O$20,DTR!R$4,FALSE))*1000,0)</f>
        <v>0</v>
      </c>
      <c r="S709" s="147">
        <f>IFERROR((HLOOKUP($AH709,Target_monthwise!$D$24:$O$40,DTR!S$4,FALSE)),0)</f>
        <v>0</v>
      </c>
      <c r="T709" s="147">
        <f>IFERROR((HLOOKUP($AH709,Target_monthwise!$D$24:$O$40,DTR!T$4,FALSE)),0)</f>
        <v>0</v>
      </c>
      <c r="U709" s="147">
        <f>IFERROR((HLOOKUP($AH709,Target_monthwise!$D$24:$O$40,DTR!U$4,FALSE)),0)</f>
        <v>0</v>
      </c>
      <c r="V709" s="147">
        <f>IFERROR((HLOOKUP($AH709,Target_monthwise!$D$24:$O$40,DTR!V$4,FALSE)),0)</f>
        <v>0</v>
      </c>
      <c r="W709" s="147">
        <f>IFERROR((HLOOKUP($AH709,Target_monthwise!$D$24:$O$40,DTR!W$4,FALSE)),0)</f>
        <v>0</v>
      </c>
      <c r="X709" s="147">
        <f>IFERROR((HLOOKUP($AH709,Target_monthwise!$D$24:$O$40,DTR!X$4,FALSE)),0)</f>
        <v>0</v>
      </c>
      <c r="Y709" s="147">
        <f>IFERROR((HLOOKUP($AH709,Target_monthwise!$D$24:$O$40,DTR!Y$4,FALSE)),0)</f>
        <v>0</v>
      </c>
      <c r="Z709" s="147">
        <f>IFERROR((HLOOKUP($AH709,Target_monthwise!$D$24:$O$40,DTR!Z$4,FALSE)),0)</f>
        <v>0</v>
      </c>
      <c r="AA709" s="147">
        <f>IFERROR((HLOOKUP($AH709,Target_monthwise!$D$24:$O$40,DTR!AA$4,FALSE)),0)</f>
        <v>0</v>
      </c>
      <c r="AB709" s="147">
        <f>IFERROR((HLOOKUP($AH709,Target_monthwise!$D$24:$O$40,DTR!AB$4,FALSE)),0)</f>
        <v>0</v>
      </c>
      <c r="AC709" s="147">
        <f>IFERROR((HLOOKUP($AH709,Target_monthwise!$D$24:$O$40,DTR!AC$4,FALSE)),0)</f>
        <v>0</v>
      </c>
      <c r="AD709" s="147">
        <f>IFERROR((HLOOKUP($AH709,Target_monthwise!$D$24:$O$40,DTR!AD$4,FALSE)),0)</f>
        <v>0</v>
      </c>
      <c r="AE709" s="147">
        <f>IFERROR((HLOOKUP($AH709,Target_monthwise!$D$24:$O$40,DTR!AE$4,FALSE)),0)</f>
        <v>0</v>
      </c>
      <c r="AF709" s="147">
        <f>IFERROR((HLOOKUP($AH709,Target_monthwise!$D$24:$O$40,DTR!AF$4,FALSE)),0)</f>
        <v>0</v>
      </c>
      <c r="AG709" s="172">
        <f>IFERROR((HLOOKUP($AH709,Target_monthwise!$D$24:$O$40,DTR!AG$4,FALSE)),0)</f>
        <v>0</v>
      </c>
      <c r="AH709" s="253">
        <f t="shared" si="13"/>
        <v>202403</v>
      </c>
    </row>
    <row r="710" spans="3:34" ht="15.75" hidden="1">
      <c r="C710" s="237">
        <v>45353</v>
      </c>
      <c r="D710" s="238">
        <f>IFERROR((HLOOKUP($AH710,Target_monthwise!$D$4:$O$20,DTR!D$4,FALSE))*1000,0)</f>
        <v>0</v>
      </c>
      <c r="E710" s="238">
        <f>IFERROR((HLOOKUP($AH710,Target_monthwise!$D$4:$O$20,DTR!E$4,FALSE))*1000,0)</f>
        <v>0</v>
      </c>
      <c r="F710" s="238">
        <f>IFERROR((HLOOKUP($AH710,Target_monthwise!$D$4:$O$20,DTR!F$4,FALSE))*1000,0)</f>
        <v>0</v>
      </c>
      <c r="G710" s="238">
        <f>IFERROR((HLOOKUP($AH710,Target_monthwise!$D$4:$O$20,DTR!G$4,FALSE))*1000,0)</f>
        <v>0</v>
      </c>
      <c r="H710" s="238">
        <f>IFERROR((HLOOKUP($AH710,Target_monthwise!$D$4:$O$20,DTR!H$4,FALSE))*1000,0)</f>
        <v>0</v>
      </c>
      <c r="I710" s="238">
        <f>IFERROR((HLOOKUP($AH710,Target_monthwise!$D$4:$O$20,DTR!I$4,FALSE))*1000,0)</f>
        <v>0</v>
      </c>
      <c r="J710" s="238">
        <f>IFERROR((HLOOKUP($AH710,Target_monthwise!$D$4:$O$20,DTR!J$4,FALSE))*1000,0)</f>
        <v>0</v>
      </c>
      <c r="K710" s="238">
        <f>IFERROR((HLOOKUP($AH710,Target_monthwise!$D$4:$O$20,DTR!K$4,FALSE))*1000,0)</f>
        <v>0</v>
      </c>
      <c r="L710" s="238">
        <f>IFERROR((HLOOKUP($AH710,Target_monthwise!$D$4:$O$20,DTR!L$4,FALSE))*1000,0)</f>
        <v>0</v>
      </c>
      <c r="M710" s="238">
        <f>IFERROR((HLOOKUP($AH710,Target_monthwise!$D$4:$O$20,DTR!M$4,FALSE))*1000,0)</f>
        <v>0</v>
      </c>
      <c r="N710" s="238">
        <f>IFERROR((HLOOKUP($AH710,Target_monthwise!$D$4:$O$20,DTR!N$4,FALSE))*1000,0)</f>
        <v>0</v>
      </c>
      <c r="O710" s="238">
        <f>IFERROR((HLOOKUP($AH710,Target_monthwise!$D$4:$O$20,DTR!O$4,FALSE))*1000,0)</f>
        <v>0</v>
      </c>
      <c r="P710" s="238">
        <f>IFERROR((HLOOKUP($AH710,Target_monthwise!$D$4:$O$20,DTR!P$4,FALSE))*1000,0)</f>
        <v>0</v>
      </c>
      <c r="Q710" s="141">
        <f>IFERROR((HLOOKUP($AH710,Target_monthwise!$D$4:$O$20,DTR!Q$4,FALSE))*1000,0)</f>
        <v>0</v>
      </c>
      <c r="R710" s="167">
        <f>IFERROR((HLOOKUP($AH710,Target_monthwise!$D$4:$O$20,DTR!R$4,FALSE))*1000,0)</f>
        <v>0</v>
      </c>
      <c r="S710" s="239">
        <f>IFERROR((HLOOKUP($AH710,Target_monthwise!$D$24:$O$40,DTR!S$4,FALSE)),0)</f>
        <v>0</v>
      </c>
      <c r="T710" s="239">
        <f>IFERROR((HLOOKUP($AH710,Target_monthwise!$D$24:$O$40,DTR!T$4,FALSE)),0)</f>
        <v>0</v>
      </c>
      <c r="U710" s="239">
        <f>IFERROR((HLOOKUP($AH710,Target_monthwise!$D$24:$O$40,DTR!U$4,FALSE)),0)</f>
        <v>0</v>
      </c>
      <c r="V710" s="239">
        <f>IFERROR((HLOOKUP($AH710,Target_monthwise!$D$24:$O$40,DTR!V$4,FALSE)),0)</f>
        <v>0</v>
      </c>
      <c r="W710" s="239">
        <f>IFERROR((HLOOKUP($AH710,Target_monthwise!$D$24:$O$40,DTR!W$4,FALSE)),0)</f>
        <v>0</v>
      </c>
      <c r="X710" s="239">
        <f>IFERROR((HLOOKUP($AH710,Target_monthwise!$D$24:$O$40,DTR!X$4,FALSE)),0)</f>
        <v>0</v>
      </c>
      <c r="Y710" s="239">
        <f>IFERROR((HLOOKUP($AH710,Target_monthwise!$D$24:$O$40,DTR!Y$4,FALSE)),0)</f>
        <v>0</v>
      </c>
      <c r="Z710" s="147">
        <f>IFERROR((HLOOKUP($AH710,Target_monthwise!$D$24:$O$40,DTR!Z$4,FALSE)),0)</f>
        <v>0</v>
      </c>
      <c r="AA710" s="147">
        <f>IFERROR((HLOOKUP($AH710,Target_monthwise!$D$24:$O$40,DTR!AA$4,FALSE)),0)</f>
        <v>0</v>
      </c>
      <c r="AB710" s="147">
        <f>IFERROR((HLOOKUP($AH710,Target_monthwise!$D$24:$O$40,DTR!AB$4,FALSE)),0)</f>
        <v>0</v>
      </c>
      <c r="AC710" s="239">
        <f>IFERROR((HLOOKUP($AH710,Target_monthwise!$D$24:$O$40,DTR!AC$4,FALSE)),0)</f>
        <v>0</v>
      </c>
      <c r="AD710" s="239">
        <f>IFERROR((HLOOKUP($AH710,Target_monthwise!$D$24:$O$40,DTR!AD$4,FALSE)),0)</f>
        <v>0</v>
      </c>
      <c r="AE710" s="239">
        <f>IFERROR((HLOOKUP($AH710,Target_monthwise!$D$24:$O$40,DTR!AE$4,FALSE)),0)</f>
        <v>0</v>
      </c>
      <c r="AF710" s="239">
        <f>IFERROR((HLOOKUP($AH710,Target_monthwise!$D$24:$O$40,DTR!AF$4,FALSE)),0)</f>
        <v>0</v>
      </c>
      <c r="AG710" s="172">
        <f>IFERROR((HLOOKUP($AH710,Target_monthwise!$D$24:$O$40,DTR!AG$4,FALSE)),0)</f>
        <v>0</v>
      </c>
      <c r="AH710" s="253">
        <f t="shared" si="13"/>
        <v>202403</v>
      </c>
    </row>
    <row r="711" spans="3:34" ht="15.75" hidden="1">
      <c r="C711" s="235">
        <v>45354</v>
      </c>
      <c r="D711" s="141">
        <f>IFERROR((HLOOKUP($AH711,Target_monthwise!$D$4:$O$20,DTR!D$4,FALSE))*1000,0)</f>
        <v>0</v>
      </c>
      <c r="E711" s="141">
        <f>IFERROR((HLOOKUP($AH711,Target_monthwise!$D$4:$O$20,DTR!E$4,FALSE))*1000,0)</f>
        <v>0</v>
      </c>
      <c r="F711" s="141">
        <f>IFERROR((HLOOKUP($AH711,Target_monthwise!$D$4:$O$20,DTR!F$4,FALSE))*1000,0)</f>
        <v>0</v>
      </c>
      <c r="G711" s="141">
        <f>IFERROR((HLOOKUP($AH711,Target_monthwise!$D$4:$O$20,DTR!G$4,FALSE))*1000,0)</f>
        <v>0</v>
      </c>
      <c r="H711" s="141">
        <f>IFERROR((HLOOKUP($AH711,Target_monthwise!$D$4:$O$20,DTR!H$4,FALSE))*1000,0)</f>
        <v>0</v>
      </c>
      <c r="I711" s="141">
        <f>IFERROR((HLOOKUP($AH711,Target_monthwise!$D$4:$O$20,DTR!I$4,FALSE))*1000,0)</f>
        <v>0</v>
      </c>
      <c r="J711" s="141">
        <f>IFERROR((HLOOKUP($AH711,Target_monthwise!$D$4:$O$20,DTR!J$4,FALSE))*1000,0)</f>
        <v>0</v>
      </c>
      <c r="K711" s="141">
        <f>IFERROR((HLOOKUP($AH711,Target_monthwise!$D$4:$O$20,DTR!K$4,FALSE))*1000,0)</f>
        <v>0</v>
      </c>
      <c r="L711" s="141">
        <f>IFERROR((HLOOKUP($AH711,Target_monthwise!$D$4:$O$20,DTR!L$4,FALSE))*1000,0)</f>
        <v>0</v>
      </c>
      <c r="M711" s="141">
        <f>IFERROR((HLOOKUP($AH711,Target_monthwise!$D$4:$O$20,DTR!M$4,FALSE))*1000,0)</f>
        <v>0</v>
      </c>
      <c r="N711" s="141">
        <f>IFERROR((HLOOKUP($AH711,Target_monthwise!$D$4:$O$20,DTR!N$4,FALSE))*1000,0)</f>
        <v>0</v>
      </c>
      <c r="O711" s="141">
        <f>IFERROR((HLOOKUP($AH711,Target_monthwise!$D$4:$O$20,DTR!O$4,FALSE))*1000,0)</f>
        <v>0</v>
      </c>
      <c r="P711" s="141">
        <f>IFERROR((HLOOKUP($AH711,Target_monthwise!$D$4:$O$20,DTR!P$4,FALSE))*1000,0)</f>
        <v>0</v>
      </c>
      <c r="Q711" s="141">
        <f>IFERROR((HLOOKUP($AH711,Target_monthwise!$D$4:$O$20,DTR!Q$4,FALSE))*1000,0)</f>
        <v>0</v>
      </c>
      <c r="R711" s="167">
        <f>IFERROR((HLOOKUP($AH711,Target_monthwise!$D$4:$O$20,DTR!R$4,FALSE))*1000,0)</f>
        <v>0</v>
      </c>
      <c r="S711" s="147">
        <f>IFERROR((HLOOKUP($AH711,Target_monthwise!$D$24:$O$40,DTR!S$4,FALSE)),0)</f>
        <v>0</v>
      </c>
      <c r="T711" s="147">
        <f>IFERROR((HLOOKUP($AH711,Target_monthwise!$D$24:$O$40,DTR!T$4,FALSE)),0)</f>
        <v>0</v>
      </c>
      <c r="U711" s="147">
        <f>IFERROR((HLOOKUP($AH711,Target_monthwise!$D$24:$O$40,DTR!U$4,FALSE)),0)</f>
        <v>0</v>
      </c>
      <c r="V711" s="147">
        <f>IFERROR((HLOOKUP($AH711,Target_monthwise!$D$24:$O$40,DTR!V$4,FALSE)),0)</f>
        <v>0</v>
      </c>
      <c r="W711" s="147">
        <f>IFERROR((HLOOKUP($AH711,Target_monthwise!$D$24:$O$40,DTR!W$4,FALSE)),0)</f>
        <v>0</v>
      </c>
      <c r="X711" s="147">
        <f>IFERROR((HLOOKUP($AH711,Target_monthwise!$D$24:$O$40,DTR!X$4,FALSE)),0)</f>
        <v>0</v>
      </c>
      <c r="Y711" s="147">
        <f>IFERROR((HLOOKUP($AH711,Target_monthwise!$D$24:$O$40,DTR!Y$4,FALSE)),0)</f>
        <v>0</v>
      </c>
      <c r="Z711" s="147">
        <f>IFERROR((HLOOKUP($AH711,Target_monthwise!$D$24:$O$40,DTR!Z$4,FALSE)),0)</f>
        <v>0</v>
      </c>
      <c r="AA711" s="147">
        <f>IFERROR((HLOOKUP($AH711,Target_monthwise!$D$24:$O$40,DTR!AA$4,FALSE)),0)</f>
        <v>0</v>
      </c>
      <c r="AB711" s="147">
        <f>IFERROR((HLOOKUP($AH711,Target_monthwise!$D$24:$O$40,DTR!AB$4,FALSE)),0)</f>
        <v>0</v>
      </c>
      <c r="AC711" s="147">
        <f>IFERROR((HLOOKUP($AH711,Target_monthwise!$D$24:$O$40,DTR!AC$4,FALSE)),0)</f>
        <v>0</v>
      </c>
      <c r="AD711" s="147">
        <f>IFERROR((HLOOKUP($AH711,Target_monthwise!$D$24:$O$40,DTR!AD$4,FALSE)),0)</f>
        <v>0</v>
      </c>
      <c r="AE711" s="147">
        <f>IFERROR((HLOOKUP($AH711,Target_monthwise!$D$24:$O$40,DTR!AE$4,FALSE)),0)</f>
        <v>0</v>
      </c>
      <c r="AF711" s="147">
        <f>IFERROR((HLOOKUP($AH711,Target_monthwise!$D$24:$O$40,DTR!AF$4,FALSE)),0)</f>
        <v>0</v>
      </c>
      <c r="AG711" s="172">
        <f>IFERROR((HLOOKUP($AH711,Target_monthwise!$D$24:$O$40,DTR!AG$4,FALSE)),0)</f>
        <v>0</v>
      </c>
      <c r="AH711" s="253">
        <f t="shared" si="13"/>
        <v>202403</v>
      </c>
    </row>
    <row r="712" spans="3:34" ht="15.75" hidden="1">
      <c r="C712" s="237">
        <v>45355</v>
      </c>
      <c r="D712" s="238">
        <f>IFERROR((HLOOKUP($AH712,Target_monthwise!$D$4:$O$20,DTR!D$4,FALSE))*1000,0)</f>
        <v>0</v>
      </c>
      <c r="E712" s="238">
        <f>IFERROR((HLOOKUP($AH712,Target_monthwise!$D$4:$O$20,DTR!E$4,FALSE))*1000,0)</f>
        <v>0</v>
      </c>
      <c r="F712" s="238">
        <f>IFERROR((HLOOKUP($AH712,Target_monthwise!$D$4:$O$20,DTR!F$4,FALSE))*1000,0)</f>
        <v>0</v>
      </c>
      <c r="G712" s="238">
        <f>IFERROR((HLOOKUP($AH712,Target_monthwise!$D$4:$O$20,DTR!G$4,FALSE))*1000,0)</f>
        <v>0</v>
      </c>
      <c r="H712" s="238">
        <f>IFERROR((HLOOKUP($AH712,Target_monthwise!$D$4:$O$20,DTR!H$4,FALSE))*1000,0)</f>
        <v>0</v>
      </c>
      <c r="I712" s="238">
        <f>IFERROR((HLOOKUP($AH712,Target_monthwise!$D$4:$O$20,DTR!I$4,FALSE))*1000,0)</f>
        <v>0</v>
      </c>
      <c r="J712" s="238">
        <f>IFERROR((HLOOKUP($AH712,Target_monthwise!$D$4:$O$20,DTR!J$4,FALSE))*1000,0)</f>
        <v>0</v>
      </c>
      <c r="K712" s="238">
        <f>IFERROR((HLOOKUP($AH712,Target_monthwise!$D$4:$O$20,DTR!K$4,FALSE))*1000,0)</f>
        <v>0</v>
      </c>
      <c r="L712" s="238">
        <f>IFERROR((HLOOKUP($AH712,Target_monthwise!$D$4:$O$20,DTR!L$4,FALSE))*1000,0)</f>
        <v>0</v>
      </c>
      <c r="M712" s="238">
        <f>IFERROR((HLOOKUP($AH712,Target_monthwise!$D$4:$O$20,DTR!M$4,FALSE))*1000,0)</f>
        <v>0</v>
      </c>
      <c r="N712" s="238">
        <f>IFERROR((HLOOKUP($AH712,Target_monthwise!$D$4:$O$20,DTR!N$4,FALSE))*1000,0)</f>
        <v>0</v>
      </c>
      <c r="O712" s="238">
        <f>IFERROR((HLOOKUP($AH712,Target_monthwise!$D$4:$O$20,DTR!O$4,FALSE))*1000,0)</f>
        <v>0</v>
      </c>
      <c r="P712" s="238">
        <f>IFERROR((HLOOKUP($AH712,Target_monthwise!$D$4:$O$20,DTR!P$4,FALSE))*1000,0)</f>
        <v>0</v>
      </c>
      <c r="Q712" s="141">
        <f>IFERROR((HLOOKUP($AH712,Target_monthwise!$D$4:$O$20,DTR!Q$4,FALSE))*1000,0)</f>
        <v>0</v>
      </c>
      <c r="R712" s="167">
        <f>IFERROR((HLOOKUP($AH712,Target_monthwise!$D$4:$O$20,DTR!R$4,FALSE))*1000,0)</f>
        <v>0</v>
      </c>
      <c r="S712" s="239">
        <f>IFERROR((HLOOKUP($AH712,Target_monthwise!$D$24:$O$40,DTR!S$4,FALSE)),0)</f>
        <v>0</v>
      </c>
      <c r="T712" s="239">
        <f>IFERROR((HLOOKUP($AH712,Target_monthwise!$D$24:$O$40,DTR!T$4,FALSE)),0)</f>
        <v>0</v>
      </c>
      <c r="U712" s="239">
        <f>IFERROR((HLOOKUP($AH712,Target_monthwise!$D$24:$O$40,DTR!U$4,FALSE)),0)</f>
        <v>0</v>
      </c>
      <c r="V712" s="239">
        <f>IFERROR((HLOOKUP($AH712,Target_monthwise!$D$24:$O$40,DTR!V$4,FALSE)),0)</f>
        <v>0</v>
      </c>
      <c r="W712" s="239">
        <f>IFERROR((HLOOKUP($AH712,Target_monthwise!$D$24:$O$40,DTR!W$4,FALSE)),0)</f>
        <v>0</v>
      </c>
      <c r="X712" s="239">
        <f>IFERROR((HLOOKUP($AH712,Target_monthwise!$D$24:$O$40,DTR!X$4,FALSE)),0)</f>
        <v>0</v>
      </c>
      <c r="Y712" s="239">
        <f>IFERROR((HLOOKUP($AH712,Target_monthwise!$D$24:$O$40,DTR!Y$4,FALSE)),0)</f>
        <v>0</v>
      </c>
      <c r="Z712" s="147">
        <f>IFERROR((HLOOKUP($AH712,Target_monthwise!$D$24:$O$40,DTR!Z$4,FALSE)),0)</f>
        <v>0</v>
      </c>
      <c r="AA712" s="147">
        <f>IFERROR((HLOOKUP($AH712,Target_monthwise!$D$24:$O$40,DTR!AA$4,FALSE)),0)</f>
        <v>0</v>
      </c>
      <c r="AB712" s="147">
        <f>IFERROR((HLOOKUP($AH712,Target_monthwise!$D$24:$O$40,DTR!AB$4,FALSE)),0)</f>
        <v>0</v>
      </c>
      <c r="AC712" s="239">
        <f>IFERROR((HLOOKUP($AH712,Target_monthwise!$D$24:$O$40,DTR!AC$4,FALSE)),0)</f>
        <v>0</v>
      </c>
      <c r="AD712" s="239">
        <f>IFERROR((HLOOKUP($AH712,Target_monthwise!$D$24:$O$40,DTR!AD$4,FALSE)),0)</f>
        <v>0</v>
      </c>
      <c r="AE712" s="239">
        <f>IFERROR((HLOOKUP($AH712,Target_monthwise!$D$24:$O$40,DTR!AE$4,FALSE)),0)</f>
        <v>0</v>
      </c>
      <c r="AF712" s="239">
        <f>IFERROR((HLOOKUP($AH712,Target_monthwise!$D$24:$O$40,DTR!AF$4,FALSE)),0)</f>
        <v>0</v>
      </c>
      <c r="AG712" s="172">
        <f>IFERROR((HLOOKUP($AH712,Target_monthwise!$D$24:$O$40,DTR!AG$4,FALSE)),0)</f>
        <v>0</v>
      </c>
      <c r="AH712" s="253">
        <f t="shared" si="13"/>
        <v>202403</v>
      </c>
    </row>
    <row r="713" spans="3:34" ht="15.75" hidden="1">
      <c r="C713" s="235">
        <v>45356</v>
      </c>
      <c r="D713" s="141">
        <f>IFERROR((HLOOKUP($AH713,Target_monthwise!$D$4:$O$20,DTR!D$4,FALSE))*1000,0)</f>
        <v>0</v>
      </c>
      <c r="E713" s="141">
        <f>IFERROR((HLOOKUP($AH713,Target_monthwise!$D$4:$O$20,DTR!E$4,FALSE))*1000,0)</f>
        <v>0</v>
      </c>
      <c r="F713" s="141">
        <f>IFERROR((HLOOKUP($AH713,Target_monthwise!$D$4:$O$20,DTR!F$4,FALSE))*1000,0)</f>
        <v>0</v>
      </c>
      <c r="G713" s="141">
        <f>IFERROR((HLOOKUP($AH713,Target_monthwise!$D$4:$O$20,DTR!G$4,FALSE))*1000,0)</f>
        <v>0</v>
      </c>
      <c r="H713" s="141">
        <f>IFERROR((HLOOKUP($AH713,Target_monthwise!$D$4:$O$20,DTR!H$4,FALSE))*1000,0)</f>
        <v>0</v>
      </c>
      <c r="I713" s="141">
        <f>IFERROR((HLOOKUP($AH713,Target_monthwise!$D$4:$O$20,DTR!I$4,FALSE))*1000,0)</f>
        <v>0</v>
      </c>
      <c r="J713" s="141">
        <f>IFERROR((HLOOKUP($AH713,Target_monthwise!$D$4:$O$20,DTR!J$4,FALSE))*1000,0)</f>
        <v>0</v>
      </c>
      <c r="K713" s="141">
        <f>IFERROR((HLOOKUP($AH713,Target_monthwise!$D$4:$O$20,DTR!K$4,FALSE))*1000,0)</f>
        <v>0</v>
      </c>
      <c r="L713" s="141">
        <f>IFERROR((HLOOKUP($AH713,Target_monthwise!$D$4:$O$20,DTR!L$4,FALSE))*1000,0)</f>
        <v>0</v>
      </c>
      <c r="M713" s="141">
        <f>IFERROR((HLOOKUP($AH713,Target_monthwise!$D$4:$O$20,DTR!M$4,FALSE))*1000,0)</f>
        <v>0</v>
      </c>
      <c r="N713" s="141">
        <f>IFERROR((HLOOKUP($AH713,Target_monthwise!$D$4:$O$20,DTR!N$4,FALSE))*1000,0)</f>
        <v>0</v>
      </c>
      <c r="O713" s="141">
        <f>IFERROR((HLOOKUP($AH713,Target_monthwise!$D$4:$O$20,DTR!O$4,FALSE))*1000,0)</f>
        <v>0</v>
      </c>
      <c r="P713" s="141">
        <f>IFERROR((HLOOKUP($AH713,Target_monthwise!$D$4:$O$20,DTR!P$4,FALSE))*1000,0)</f>
        <v>0</v>
      </c>
      <c r="Q713" s="141">
        <f>IFERROR((HLOOKUP($AH713,Target_monthwise!$D$4:$O$20,DTR!Q$4,FALSE))*1000,0)</f>
        <v>0</v>
      </c>
      <c r="R713" s="167">
        <f>IFERROR((HLOOKUP($AH713,Target_monthwise!$D$4:$O$20,DTR!R$4,FALSE))*1000,0)</f>
        <v>0</v>
      </c>
      <c r="S713" s="147">
        <f>IFERROR((HLOOKUP($AH713,Target_monthwise!$D$24:$O$40,DTR!S$4,FALSE)),0)</f>
        <v>0</v>
      </c>
      <c r="T713" s="147">
        <f>IFERROR((HLOOKUP($AH713,Target_monthwise!$D$24:$O$40,DTR!T$4,FALSE)),0)</f>
        <v>0</v>
      </c>
      <c r="U713" s="147">
        <f>IFERROR((HLOOKUP($AH713,Target_monthwise!$D$24:$O$40,DTR!U$4,FALSE)),0)</f>
        <v>0</v>
      </c>
      <c r="V713" s="147">
        <f>IFERROR((HLOOKUP($AH713,Target_monthwise!$D$24:$O$40,DTR!V$4,FALSE)),0)</f>
        <v>0</v>
      </c>
      <c r="W713" s="147">
        <f>IFERROR((HLOOKUP($AH713,Target_monthwise!$D$24:$O$40,DTR!W$4,FALSE)),0)</f>
        <v>0</v>
      </c>
      <c r="X713" s="147">
        <f>IFERROR((HLOOKUP($AH713,Target_monthwise!$D$24:$O$40,DTR!X$4,FALSE)),0)</f>
        <v>0</v>
      </c>
      <c r="Y713" s="147">
        <f>IFERROR((HLOOKUP($AH713,Target_monthwise!$D$24:$O$40,DTR!Y$4,FALSE)),0)</f>
        <v>0</v>
      </c>
      <c r="Z713" s="147">
        <f>IFERROR((HLOOKUP($AH713,Target_monthwise!$D$24:$O$40,DTR!Z$4,FALSE)),0)</f>
        <v>0</v>
      </c>
      <c r="AA713" s="147">
        <f>IFERROR((HLOOKUP($AH713,Target_monthwise!$D$24:$O$40,DTR!AA$4,FALSE)),0)</f>
        <v>0</v>
      </c>
      <c r="AB713" s="147">
        <f>IFERROR((HLOOKUP($AH713,Target_monthwise!$D$24:$O$40,DTR!AB$4,FALSE)),0)</f>
        <v>0</v>
      </c>
      <c r="AC713" s="147">
        <f>IFERROR((HLOOKUP($AH713,Target_monthwise!$D$24:$O$40,DTR!AC$4,FALSE)),0)</f>
        <v>0</v>
      </c>
      <c r="AD713" s="147">
        <f>IFERROR((HLOOKUP($AH713,Target_monthwise!$D$24:$O$40,DTR!AD$4,FALSE)),0)</f>
        <v>0</v>
      </c>
      <c r="AE713" s="147">
        <f>IFERROR((HLOOKUP($AH713,Target_monthwise!$D$24:$O$40,DTR!AE$4,FALSE)),0)</f>
        <v>0</v>
      </c>
      <c r="AF713" s="147">
        <f>IFERROR((HLOOKUP($AH713,Target_monthwise!$D$24:$O$40,DTR!AF$4,FALSE)),0)</f>
        <v>0</v>
      </c>
      <c r="AG713" s="172">
        <f>IFERROR((HLOOKUP($AH713,Target_monthwise!$D$24:$O$40,DTR!AG$4,FALSE)),0)</f>
        <v>0</v>
      </c>
      <c r="AH713" s="253">
        <f t="shared" si="13"/>
        <v>202403</v>
      </c>
    </row>
    <row r="714" spans="3:34" ht="15.75" hidden="1">
      <c r="C714" s="237">
        <v>45357</v>
      </c>
      <c r="D714" s="238">
        <f>IFERROR((HLOOKUP($AH714,Target_monthwise!$D$4:$O$20,DTR!D$4,FALSE))*1000,0)</f>
        <v>0</v>
      </c>
      <c r="E714" s="238">
        <f>IFERROR((HLOOKUP($AH714,Target_monthwise!$D$4:$O$20,DTR!E$4,FALSE))*1000,0)</f>
        <v>0</v>
      </c>
      <c r="F714" s="238">
        <f>IFERROR((HLOOKUP($AH714,Target_monthwise!$D$4:$O$20,DTR!F$4,FALSE))*1000,0)</f>
        <v>0</v>
      </c>
      <c r="G714" s="238">
        <f>IFERROR((HLOOKUP($AH714,Target_monthwise!$D$4:$O$20,DTR!G$4,FALSE))*1000,0)</f>
        <v>0</v>
      </c>
      <c r="H714" s="238">
        <f>IFERROR((HLOOKUP($AH714,Target_monthwise!$D$4:$O$20,DTR!H$4,FALSE))*1000,0)</f>
        <v>0</v>
      </c>
      <c r="I714" s="238">
        <f>IFERROR((HLOOKUP($AH714,Target_monthwise!$D$4:$O$20,DTR!I$4,FALSE))*1000,0)</f>
        <v>0</v>
      </c>
      <c r="J714" s="238">
        <f>IFERROR((HLOOKUP($AH714,Target_monthwise!$D$4:$O$20,DTR!J$4,FALSE))*1000,0)</f>
        <v>0</v>
      </c>
      <c r="K714" s="238">
        <f>IFERROR((HLOOKUP($AH714,Target_monthwise!$D$4:$O$20,DTR!K$4,FALSE))*1000,0)</f>
        <v>0</v>
      </c>
      <c r="L714" s="238">
        <f>IFERROR((HLOOKUP($AH714,Target_monthwise!$D$4:$O$20,DTR!L$4,FALSE))*1000,0)</f>
        <v>0</v>
      </c>
      <c r="M714" s="238">
        <f>IFERROR((HLOOKUP($AH714,Target_monthwise!$D$4:$O$20,DTR!M$4,FALSE))*1000,0)</f>
        <v>0</v>
      </c>
      <c r="N714" s="238">
        <f>IFERROR((HLOOKUP($AH714,Target_monthwise!$D$4:$O$20,DTR!N$4,FALSE))*1000,0)</f>
        <v>0</v>
      </c>
      <c r="O714" s="238">
        <f>IFERROR((HLOOKUP($AH714,Target_monthwise!$D$4:$O$20,DTR!O$4,FALSE))*1000,0)</f>
        <v>0</v>
      </c>
      <c r="P714" s="238">
        <f>IFERROR((HLOOKUP($AH714,Target_monthwise!$D$4:$O$20,DTR!P$4,FALSE))*1000,0)</f>
        <v>0</v>
      </c>
      <c r="Q714" s="141">
        <f>IFERROR((HLOOKUP($AH714,Target_monthwise!$D$4:$O$20,DTR!Q$4,FALSE))*1000,0)</f>
        <v>0</v>
      </c>
      <c r="R714" s="167">
        <f>IFERROR((HLOOKUP($AH714,Target_monthwise!$D$4:$O$20,DTR!R$4,FALSE))*1000,0)</f>
        <v>0</v>
      </c>
      <c r="S714" s="239">
        <f>IFERROR((HLOOKUP($AH714,Target_monthwise!$D$24:$O$40,DTR!S$4,FALSE)),0)</f>
        <v>0</v>
      </c>
      <c r="T714" s="239">
        <f>IFERROR((HLOOKUP($AH714,Target_monthwise!$D$24:$O$40,DTR!T$4,FALSE)),0)</f>
        <v>0</v>
      </c>
      <c r="U714" s="239">
        <f>IFERROR((HLOOKUP($AH714,Target_monthwise!$D$24:$O$40,DTR!U$4,FALSE)),0)</f>
        <v>0</v>
      </c>
      <c r="V714" s="239">
        <f>IFERROR((HLOOKUP($AH714,Target_monthwise!$D$24:$O$40,DTR!V$4,FALSE)),0)</f>
        <v>0</v>
      </c>
      <c r="W714" s="239">
        <f>IFERROR((HLOOKUP($AH714,Target_monthwise!$D$24:$O$40,DTR!W$4,FALSE)),0)</f>
        <v>0</v>
      </c>
      <c r="X714" s="239">
        <f>IFERROR((HLOOKUP($AH714,Target_monthwise!$D$24:$O$40,DTR!X$4,FALSE)),0)</f>
        <v>0</v>
      </c>
      <c r="Y714" s="239">
        <f>IFERROR((HLOOKUP($AH714,Target_monthwise!$D$24:$O$40,DTR!Y$4,FALSE)),0)</f>
        <v>0</v>
      </c>
      <c r="Z714" s="147">
        <f>IFERROR((HLOOKUP($AH714,Target_monthwise!$D$24:$O$40,DTR!Z$4,FALSE)),0)</f>
        <v>0</v>
      </c>
      <c r="AA714" s="147">
        <f>IFERROR((HLOOKUP($AH714,Target_monthwise!$D$24:$O$40,DTR!AA$4,FALSE)),0)</f>
        <v>0</v>
      </c>
      <c r="AB714" s="147">
        <f>IFERROR((HLOOKUP($AH714,Target_monthwise!$D$24:$O$40,DTR!AB$4,FALSE)),0)</f>
        <v>0</v>
      </c>
      <c r="AC714" s="239">
        <f>IFERROR((HLOOKUP($AH714,Target_monthwise!$D$24:$O$40,DTR!AC$4,FALSE)),0)</f>
        <v>0</v>
      </c>
      <c r="AD714" s="239">
        <f>IFERROR((HLOOKUP($AH714,Target_monthwise!$D$24:$O$40,DTR!AD$4,FALSE)),0)</f>
        <v>0</v>
      </c>
      <c r="AE714" s="239">
        <f>IFERROR((HLOOKUP($AH714,Target_monthwise!$D$24:$O$40,DTR!AE$4,FALSE)),0)</f>
        <v>0</v>
      </c>
      <c r="AF714" s="239">
        <f>IFERROR((HLOOKUP($AH714,Target_monthwise!$D$24:$O$40,DTR!AF$4,FALSE)),0)</f>
        <v>0</v>
      </c>
      <c r="AG714" s="172">
        <f>IFERROR((HLOOKUP($AH714,Target_monthwise!$D$24:$O$40,DTR!AG$4,FALSE)),0)</f>
        <v>0</v>
      </c>
      <c r="AH714" s="253">
        <f t="shared" si="13"/>
        <v>202403</v>
      </c>
    </row>
    <row r="715" spans="3:34" ht="15.75" hidden="1">
      <c r="C715" s="235">
        <v>45358</v>
      </c>
      <c r="D715" s="141">
        <f>IFERROR((HLOOKUP($AH715,Target_monthwise!$D$4:$O$20,DTR!D$4,FALSE))*1000,0)</f>
        <v>0</v>
      </c>
      <c r="E715" s="141">
        <f>IFERROR((HLOOKUP($AH715,Target_monthwise!$D$4:$O$20,DTR!E$4,FALSE))*1000,0)</f>
        <v>0</v>
      </c>
      <c r="F715" s="141">
        <f>IFERROR((HLOOKUP($AH715,Target_monthwise!$D$4:$O$20,DTR!F$4,FALSE))*1000,0)</f>
        <v>0</v>
      </c>
      <c r="G715" s="141">
        <f>IFERROR((HLOOKUP($AH715,Target_monthwise!$D$4:$O$20,DTR!G$4,FALSE))*1000,0)</f>
        <v>0</v>
      </c>
      <c r="H715" s="141">
        <f>IFERROR((HLOOKUP($AH715,Target_monthwise!$D$4:$O$20,DTR!H$4,FALSE))*1000,0)</f>
        <v>0</v>
      </c>
      <c r="I715" s="141">
        <f>IFERROR((HLOOKUP($AH715,Target_monthwise!$D$4:$O$20,DTR!I$4,FALSE))*1000,0)</f>
        <v>0</v>
      </c>
      <c r="J715" s="141">
        <f>IFERROR((HLOOKUP($AH715,Target_monthwise!$D$4:$O$20,DTR!J$4,FALSE))*1000,0)</f>
        <v>0</v>
      </c>
      <c r="K715" s="141">
        <f>IFERROR((HLOOKUP($AH715,Target_monthwise!$D$4:$O$20,DTR!K$4,FALSE))*1000,0)</f>
        <v>0</v>
      </c>
      <c r="L715" s="141">
        <f>IFERROR((HLOOKUP($AH715,Target_monthwise!$D$4:$O$20,DTR!L$4,FALSE))*1000,0)</f>
        <v>0</v>
      </c>
      <c r="M715" s="141">
        <f>IFERROR((HLOOKUP($AH715,Target_monthwise!$D$4:$O$20,DTR!M$4,FALSE))*1000,0)</f>
        <v>0</v>
      </c>
      <c r="N715" s="141">
        <f>IFERROR((HLOOKUP($AH715,Target_monthwise!$D$4:$O$20,DTR!N$4,FALSE))*1000,0)</f>
        <v>0</v>
      </c>
      <c r="O715" s="141">
        <f>IFERROR((HLOOKUP($AH715,Target_monthwise!$D$4:$O$20,DTR!O$4,FALSE))*1000,0)</f>
        <v>0</v>
      </c>
      <c r="P715" s="141">
        <f>IFERROR((HLOOKUP($AH715,Target_monthwise!$D$4:$O$20,DTR!P$4,FALSE))*1000,0)</f>
        <v>0</v>
      </c>
      <c r="Q715" s="141">
        <f>IFERROR((HLOOKUP($AH715,Target_monthwise!$D$4:$O$20,DTR!Q$4,FALSE))*1000,0)</f>
        <v>0</v>
      </c>
      <c r="R715" s="167">
        <f>IFERROR((HLOOKUP($AH715,Target_monthwise!$D$4:$O$20,DTR!R$4,FALSE))*1000,0)</f>
        <v>0</v>
      </c>
      <c r="S715" s="147">
        <f>IFERROR((HLOOKUP($AH715,Target_monthwise!$D$24:$O$40,DTR!S$4,FALSE)),0)</f>
        <v>0</v>
      </c>
      <c r="T715" s="147">
        <f>IFERROR((HLOOKUP($AH715,Target_monthwise!$D$24:$O$40,DTR!T$4,FALSE)),0)</f>
        <v>0</v>
      </c>
      <c r="U715" s="147">
        <f>IFERROR((HLOOKUP($AH715,Target_monthwise!$D$24:$O$40,DTR!U$4,FALSE)),0)</f>
        <v>0</v>
      </c>
      <c r="V715" s="147">
        <f>IFERROR((HLOOKUP($AH715,Target_monthwise!$D$24:$O$40,DTR!V$4,FALSE)),0)</f>
        <v>0</v>
      </c>
      <c r="W715" s="147">
        <f>IFERROR((HLOOKUP($AH715,Target_monthwise!$D$24:$O$40,DTR!W$4,FALSE)),0)</f>
        <v>0</v>
      </c>
      <c r="X715" s="147">
        <f>IFERROR((HLOOKUP($AH715,Target_monthwise!$D$24:$O$40,DTR!X$4,FALSE)),0)</f>
        <v>0</v>
      </c>
      <c r="Y715" s="147">
        <f>IFERROR((HLOOKUP($AH715,Target_monthwise!$D$24:$O$40,DTR!Y$4,FALSE)),0)</f>
        <v>0</v>
      </c>
      <c r="Z715" s="147">
        <f>IFERROR((HLOOKUP($AH715,Target_monthwise!$D$24:$O$40,DTR!Z$4,FALSE)),0)</f>
        <v>0</v>
      </c>
      <c r="AA715" s="147">
        <f>IFERROR((HLOOKUP($AH715,Target_monthwise!$D$24:$O$40,DTR!AA$4,FALSE)),0)</f>
        <v>0</v>
      </c>
      <c r="AB715" s="147">
        <f>IFERROR((HLOOKUP($AH715,Target_monthwise!$D$24:$O$40,DTR!AB$4,FALSE)),0)</f>
        <v>0</v>
      </c>
      <c r="AC715" s="147">
        <f>IFERROR((HLOOKUP($AH715,Target_monthwise!$D$24:$O$40,DTR!AC$4,FALSE)),0)</f>
        <v>0</v>
      </c>
      <c r="AD715" s="147">
        <f>IFERROR((HLOOKUP($AH715,Target_monthwise!$D$24:$O$40,DTR!AD$4,FALSE)),0)</f>
        <v>0</v>
      </c>
      <c r="AE715" s="147">
        <f>IFERROR((HLOOKUP($AH715,Target_monthwise!$D$24:$O$40,DTR!AE$4,FALSE)),0)</f>
        <v>0</v>
      </c>
      <c r="AF715" s="147">
        <f>IFERROR((HLOOKUP($AH715,Target_monthwise!$D$24:$O$40,DTR!AF$4,FALSE)),0)</f>
        <v>0</v>
      </c>
      <c r="AG715" s="172">
        <f>IFERROR((HLOOKUP($AH715,Target_monthwise!$D$24:$O$40,DTR!AG$4,FALSE)),0)</f>
        <v>0</v>
      </c>
      <c r="AH715" s="253">
        <f t="shared" si="13"/>
        <v>202403</v>
      </c>
    </row>
    <row r="716" spans="3:34" ht="15.75" hidden="1">
      <c r="C716" s="237">
        <v>45359</v>
      </c>
      <c r="D716" s="238">
        <f>IFERROR((HLOOKUP($AH716,Target_monthwise!$D$4:$O$20,DTR!D$4,FALSE))*1000,0)</f>
        <v>0</v>
      </c>
      <c r="E716" s="238">
        <f>IFERROR((HLOOKUP($AH716,Target_monthwise!$D$4:$O$20,DTR!E$4,FALSE))*1000,0)</f>
        <v>0</v>
      </c>
      <c r="F716" s="238">
        <f>IFERROR((HLOOKUP($AH716,Target_monthwise!$D$4:$O$20,DTR!F$4,FALSE))*1000,0)</f>
        <v>0</v>
      </c>
      <c r="G716" s="238">
        <f>IFERROR((HLOOKUP($AH716,Target_monthwise!$D$4:$O$20,DTR!G$4,FALSE))*1000,0)</f>
        <v>0</v>
      </c>
      <c r="H716" s="238">
        <f>IFERROR((HLOOKUP($AH716,Target_monthwise!$D$4:$O$20,DTR!H$4,FALSE))*1000,0)</f>
        <v>0</v>
      </c>
      <c r="I716" s="238">
        <f>IFERROR((HLOOKUP($AH716,Target_monthwise!$D$4:$O$20,DTR!I$4,FALSE))*1000,0)</f>
        <v>0</v>
      </c>
      <c r="J716" s="238">
        <f>IFERROR((HLOOKUP($AH716,Target_monthwise!$D$4:$O$20,DTR!J$4,FALSE))*1000,0)</f>
        <v>0</v>
      </c>
      <c r="K716" s="238">
        <f>IFERROR((HLOOKUP($AH716,Target_monthwise!$D$4:$O$20,DTR!K$4,FALSE))*1000,0)</f>
        <v>0</v>
      </c>
      <c r="L716" s="238">
        <f>IFERROR((HLOOKUP($AH716,Target_monthwise!$D$4:$O$20,DTR!L$4,FALSE))*1000,0)</f>
        <v>0</v>
      </c>
      <c r="M716" s="238">
        <f>IFERROR((HLOOKUP($AH716,Target_monthwise!$D$4:$O$20,DTR!M$4,FALSE))*1000,0)</f>
        <v>0</v>
      </c>
      <c r="N716" s="238">
        <f>IFERROR((HLOOKUP($AH716,Target_monthwise!$D$4:$O$20,DTR!N$4,FALSE))*1000,0)</f>
        <v>0</v>
      </c>
      <c r="O716" s="238">
        <f>IFERROR((HLOOKUP($AH716,Target_monthwise!$D$4:$O$20,DTR!O$4,FALSE))*1000,0)</f>
        <v>0</v>
      </c>
      <c r="P716" s="238">
        <f>IFERROR((HLOOKUP($AH716,Target_monthwise!$D$4:$O$20,DTR!P$4,FALSE))*1000,0)</f>
        <v>0</v>
      </c>
      <c r="Q716" s="141">
        <f>IFERROR((HLOOKUP($AH716,Target_monthwise!$D$4:$O$20,DTR!Q$4,FALSE))*1000,0)</f>
        <v>0</v>
      </c>
      <c r="R716" s="167">
        <f>IFERROR((HLOOKUP($AH716,Target_monthwise!$D$4:$O$20,DTR!R$4,FALSE))*1000,0)</f>
        <v>0</v>
      </c>
      <c r="S716" s="239">
        <f>IFERROR((HLOOKUP($AH716,Target_monthwise!$D$24:$O$40,DTR!S$4,FALSE)),0)</f>
        <v>0</v>
      </c>
      <c r="T716" s="239">
        <f>IFERROR((HLOOKUP($AH716,Target_monthwise!$D$24:$O$40,DTR!T$4,FALSE)),0)</f>
        <v>0</v>
      </c>
      <c r="U716" s="239">
        <f>IFERROR((HLOOKUP($AH716,Target_monthwise!$D$24:$O$40,DTR!U$4,FALSE)),0)</f>
        <v>0</v>
      </c>
      <c r="V716" s="239">
        <f>IFERROR((HLOOKUP($AH716,Target_monthwise!$D$24:$O$40,DTR!V$4,FALSE)),0)</f>
        <v>0</v>
      </c>
      <c r="W716" s="239">
        <f>IFERROR((HLOOKUP($AH716,Target_monthwise!$D$24:$O$40,DTR!W$4,FALSE)),0)</f>
        <v>0</v>
      </c>
      <c r="X716" s="239">
        <f>IFERROR((HLOOKUP($AH716,Target_monthwise!$D$24:$O$40,DTR!X$4,FALSE)),0)</f>
        <v>0</v>
      </c>
      <c r="Y716" s="239">
        <f>IFERROR((HLOOKUP($AH716,Target_monthwise!$D$24:$O$40,DTR!Y$4,FALSE)),0)</f>
        <v>0</v>
      </c>
      <c r="Z716" s="147">
        <f>IFERROR((HLOOKUP($AH716,Target_monthwise!$D$24:$O$40,DTR!Z$4,FALSE)),0)</f>
        <v>0</v>
      </c>
      <c r="AA716" s="147">
        <f>IFERROR((HLOOKUP($AH716,Target_monthwise!$D$24:$O$40,DTR!AA$4,FALSE)),0)</f>
        <v>0</v>
      </c>
      <c r="AB716" s="147">
        <f>IFERROR((HLOOKUP($AH716,Target_monthwise!$D$24:$O$40,DTR!AB$4,FALSE)),0)</f>
        <v>0</v>
      </c>
      <c r="AC716" s="239">
        <f>IFERROR((HLOOKUP($AH716,Target_monthwise!$D$24:$O$40,DTR!AC$4,FALSE)),0)</f>
        <v>0</v>
      </c>
      <c r="AD716" s="239">
        <f>IFERROR((HLOOKUP($AH716,Target_monthwise!$D$24:$O$40,DTR!AD$4,FALSE)),0)</f>
        <v>0</v>
      </c>
      <c r="AE716" s="239">
        <f>IFERROR((HLOOKUP($AH716,Target_monthwise!$D$24:$O$40,DTR!AE$4,FALSE)),0)</f>
        <v>0</v>
      </c>
      <c r="AF716" s="239">
        <f>IFERROR((HLOOKUP($AH716,Target_monthwise!$D$24:$O$40,DTR!AF$4,FALSE)),0)</f>
        <v>0</v>
      </c>
      <c r="AG716" s="172">
        <f>IFERROR((HLOOKUP($AH716,Target_monthwise!$D$24:$O$40,DTR!AG$4,FALSE)),0)</f>
        <v>0</v>
      </c>
      <c r="AH716" s="253">
        <f t="shared" si="13"/>
        <v>202403</v>
      </c>
    </row>
    <row r="717" spans="3:34" ht="15.75" hidden="1">
      <c r="C717" s="235">
        <v>45360</v>
      </c>
      <c r="D717" s="141">
        <f>IFERROR((HLOOKUP($AH717,Target_monthwise!$D$4:$O$20,DTR!D$4,FALSE))*1000,0)</f>
        <v>0</v>
      </c>
      <c r="E717" s="141">
        <f>IFERROR((HLOOKUP($AH717,Target_monthwise!$D$4:$O$20,DTR!E$4,FALSE))*1000,0)</f>
        <v>0</v>
      </c>
      <c r="F717" s="141">
        <f>IFERROR((HLOOKUP($AH717,Target_monthwise!$D$4:$O$20,DTR!F$4,FALSE))*1000,0)</f>
        <v>0</v>
      </c>
      <c r="G717" s="141">
        <f>IFERROR((HLOOKUP($AH717,Target_monthwise!$D$4:$O$20,DTR!G$4,FALSE))*1000,0)</f>
        <v>0</v>
      </c>
      <c r="H717" s="141">
        <f>IFERROR((HLOOKUP($AH717,Target_monthwise!$D$4:$O$20,DTR!H$4,FALSE))*1000,0)</f>
        <v>0</v>
      </c>
      <c r="I717" s="141">
        <f>IFERROR((HLOOKUP($AH717,Target_monthwise!$D$4:$O$20,DTR!I$4,FALSE))*1000,0)</f>
        <v>0</v>
      </c>
      <c r="J717" s="141">
        <f>IFERROR((HLOOKUP($AH717,Target_monthwise!$D$4:$O$20,DTR!J$4,FALSE))*1000,0)</f>
        <v>0</v>
      </c>
      <c r="K717" s="141">
        <f>IFERROR((HLOOKUP($AH717,Target_monthwise!$D$4:$O$20,DTR!K$4,FALSE))*1000,0)</f>
        <v>0</v>
      </c>
      <c r="L717" s="141">
        <f>IFERROR((HLOOKUP($AH717,Target_monthwise!$D$4:$O$20,DTR!L$4,FALSE))*1000,0)</f>
        <v>0</v>
      </c>
      <c r="M717" s="141">
        <f>IFERROR((HLOOKUP($AH717,Target_monthwise!$D$4:$O$20,DTR!M$4,FALSE))*1000,0)</f>
        <v>0</v>
      </c>
      <c r="N717" s="141">
        <f>IFERROR((HLOOKUP($AH717,Target_monthwise!$D$4:$O$20,DTR!N$4,FALSE))*1000,0)</f>
        <v>0</v>
      </c>
      <c r="O717" s="141">
        <f>IFERROR((HLOOKUP($AH717,Target_monthwise!$D$4:$O$20,DTR!O$4,FALSE))*1000,0)</f>
        <v>0</v>
      </c>
      <c r="P717" s="141">
        <f>IFERROR((HLOOKUP($AH717,Target_monthwise!$D$4:$O$20,DTR!P$4,FALSE))*1000,0)</f>
        <v>0</v>
      </c>
      <c r="Q717" s="141">
        <f>IFERROR((HLOOKUP($AH717,Target_monthwise!$D$4:$O$20,DTR!Q$4,FALSE))*1000,0)</f>
        <v>0</v>
      </c>
      <c r="R717" s="167">
        <f>IFERROR((HLOOKUP($AH717,Target_monthwise!$D$4:$O$20,DTR!R$4,FALSE))*1000,0)</f>
        <v>0</v>
      </c>
      <c r="S717" s="147">
        <f>IFERROR((HLOOKUP($AH717,Target_monthwise!$D$24:$O$40,DTR!S$4,FALSE)),0)</f>
        <v>0</v>
      </c>
      <c r="T717" s="147">
        <f>IFERROR((HLOOKUP($AH717,Target_monthwise!$D$24:$O$40,DTR!T$4,FALSE)),0)</f>
        <v>0</v>
      </c>
      <c r="U717" s="147">
        <f>IFERROR((HLOOKUP($AH717,Target_monthwise!$D$24:$O$40,DTR!U$4,FALSE)),0)</f>
        <v>0</v>
      </c>
      <c r="V717" s="147">
        <f>IFERROR((HLOOKUP($AH717,Target_monthwise!$D$24:$O$40,DTR!V$4,FALSE)),0)</f>
        <v>0</v>
      </c>
      <c r="W717" s="147">
        <f>IFERROR((HLOOKUP($AH717,Target_monthwise!$D$24:$O$40,DTR!W$4,FALSE)),0)</f>
        <v>0</v>
      </c>
      <c r="X717" s="147">
        <f>IFERROR((HLOOKUP($AH717,Target_monthwise!$D$24:$O$40,DTR!X$4,FALSE)),0)</f>
        <v>0</v>
      </c>
      <c r="Y717" s="147">
        <f>IFERROR((HLOOKUP($AH717,Target_monthwise!$D$24:$O$40,DTR!Y$4,FALSE)),0)</f>
        <v>0</v>
      </c>
      <c r="Z717" s="147">
        <f>IFERROR((HLOOKUP($AH717,Target_monthwise!$D$24:$O$40,DTR!Z$4,FALSE)),0)</f>
        <v>0</v>
      </c>
      <c r="AA717" s="147">
        <f>IFERROR((HLOOKUP($AH717,Target_monthwise!$D$24:$O$40,DTR!AA$4,FALSE)),0)</f>
        <v>0</v>
      </c>
      <c r="AB717" s="147">
        <f>IFERROR((HLOOKUP($AH717,Target_monthwise!$D$24:$O$40,DTR!AB$4,FALSE)),0)</f>
        <v>0</v>
      </c>
      <c r="AC717" s="147">
        <f>IFERROR((HLOOKUP($AH717,Target_monthwise!$D$24:$O$40,DTR!AC$4,FALSE)),0)</f>
        <v>0</v>
      </c>
      <c r="AD717" s="147">
        <f>IFERROR((HLOOKUP($AH717,Target_monthwise!$D$24:$O$40,DTR!AD$4,FALSE)),0)</f>
        <v>0</v>
      </c>
      <c r="AE717" s="147">
        <f>IFERROR((HLOOKUP($AH717,Target_monthwise!$D$24:$O$40,DTR!AE$4,FALSE)),0)</f>
        <v>0</v>
      </c>
      <c r="AF717" s="147">
        <f>IFERROR((HLOOKUP($AH717,Target_monthwise!$D$24:$O$40,DTR!AF$4,FALSE)),0)</f>
        <v>0</v>
      </c>
      <c r="AG717" s="172">
        <f>IFERROR((HLOOKUP($AH717,Target_monthwise!$D$24:$O$40,DTR!AG$4,FALSE)),0)</f>
        <v>0</v>
      </c>
      <c r="AH717" s="253">
        <f t="shared" si="13"/>
        <v>202403</v>
      </c>
    </row>
    <row r="718" spans="3:34" ht="15.75" hidden="1">
      <c r="C718" s="237">
        <v>45361</v>
      </c>
      <c r="D718" s="238">
        <f>IFERROR((HLOOKUP($AH718,Target_monthwise!$D$4:$O$20,DTR!D$4,FALSE))*1000,0)</f>
        <v>0</v>
      </c>
      <c r="E718" s="238">
        <f>IFERROR((HLOOKUP($AH718,Target_monthwise!$D$4:$O$20,DTR!E$4,FALSE))*1000,0)</f>
        <v>0</v>
      </c>
      <c r="F718" s="238">
        <f>IFERROR((HLOOKUP($AH718,Target_monthwise!$D$4:$O$20,DTR!F$4,FALSE))*1000,0)</f>
        <v>0</v>
      </c>
      <c r="G718" s="238">
        <f>IFERROR((HLOOKUP($AH718,Target_monthwise!$D$4:$O$20,DTR!G$4,FALSE))*1000,0)</f>
        <v>0</v>
      </c>
      <c r="H718" s="238">
        <f>IFERROR((HLOOKUP($AH718,Target_monthwise!$D$4:$O$20,DTR!H$4,FALSE))*1000,0)</f>
        <v>0</v>
      </c>
      <c r="I718" s="238">
        <f>IFERROR((HLOOKUP($AH718,Target_monthwise!$D$4:$O$20,DTR!I$4,FALSE))*1000,0)</f>
        <v>0</v>
      </c>
      <c r="J718" s="238">
        <f>IFERROR((HLOOKUP($AH718,Target_monthwise!$D$4:$O$20,DTR!J$4,FALSE))*1000,0)</f>
        <v>0</v>
      </c>
      <c r="K718" s="238">
        <f>IFERROR((HLOOKUP($AH718,Target_monthwise!$D$4:$O$20,DTR!K$4,FALSE))*1000,0)</f>
        <v>0</v>
      </c>
      <c r="L718" s="238">
        <f>IFERROR((HLOOKUP($AH718,Target_monthwise!$D$4:$O$20,DTR!L$4,FALSE))*1000,0)</f>
        <v>0</v>
      </c>
      <c r="M718" s="238">
        <f>IFERROR((HLOOKUP($AH718,Target_monthwise!$D$4:$O$20,DTR!M$4,FALSE))*1000,0)</f>
        <v>0</v>
      </c>
      <c r="N718" s="238">
        <f>IFERROR((HLOOKUP($AH718,Target_monthwise!$D$4:$O$20,DTR!N$4,FALSE))*1000,0)</f>
        <v>0</v>
      </c>
      <c r="O718" s="238">
        <f>IFERROR((HLOOKUP($AH718,Target_monthwise!$D$4:$O$20,DTR!O$4,FALSE))*1000,0)</f>
        <v>0</v>
      </c>
      <c r="P718" s="238">
        <f>IFERROR((HLOOKUP($AH718,Target_monthwise!$D$4:$O$20,DTR!P$4,FALSE))*1000,0)</f>
        <v>0</v>
      </c>
      <c r="Q718" s="141">
        <f>IFERROR((HLOOKUP($AH718,Target_monthwise!$D$4:$O$20,DTR!Q$4,FALSE))*1000,0)</f>
        <v>0</v>
      </c>
      <c r="R718" s="167">
        <f>IFERROR((HLOOKUP($AH718,Target_monthwise!$D$4:$O$20,DTR!R$4,FALSE))*1000,0)</f>
        <v>0</v>
      </c>
      <c r="S718" s="239">
        <f>IFERROR((HLOOKUP($AH718,Target_monthwise!$D$24:$O$40,DTR!S$4,FALSE)),0)</f>
        <v>0</v>
      </c>
      <c r="T718" s="239">
        <f>IFERROR((HLOOKUP($AH718,Target_monthwise!$D$24:$O$40,DTR!T$4,FALSE)),0)</f>
        <v>0</v>
      </c>
      <c r="U718" s="239">
        <f>IFERROR((HLOOKUP($AH718,Target_monthwise!$D$24:$O$40,DTR!U$4,FALSE)),0)</f>
        <v>0</v>
      </c>
      <c r="V718" s="239">
        <f>IFERROR((HLOOKUP($AH718,Target_monthwise!$D$24:$O$40,DTR!V$4,FALSE)),0)</f>
        <v>0</v>
      </c>
      <c r="W718" s="239">
        <f>IFERROR((HLOOKUP($AH718,Target_monthwise!$D$24:$O$40,DTR!W$4,FALSE)),0)</f>
        <v>0</v>
      </c>
      <c r="X718" s="239">
        <f>IFERROR((HLOOKUP($AH718,Target_monthwise!$D$24:$O$40,DTR!X$4,FALSE)),0)</f>
        <v>0</v>
      </c>
      <c r="Y718" s="239">
        <f>IFERROR((HLOOKUP($AH718,Target_monthwise!$D$24:$O$40,DTR!Y$4,FALSE)),0)</f>
        <v>0</v>
      </c>
      <c r="Z718" s="147">
        <f>IFERROR((HLOOKUP($AH718,Target_monthwise!$D$24:$O$40,DTR!Z$4,FALSE)),0)</f>
        <v>0</v>
      </c>
      <c r="AA718" s="147">
        <f>IFERROR((HLOOKUP($AH718,Target_monthwise!$D$24:$O$40,DTR!AA$4,FALSE)),0)</f>
        <v>0</v>
      </c>
      <c r="AB718" s="147">
        <f>IFERROR((HLOOKUP($AH718,Target_monthwise!$D$24:$O$40,DTR!AB$4,FALSE)),0)</f>
        <v>0</v>
      </c>
      <c r="AC718" s="239">
        <f>IFERROR((HLOOKUP($AH718,Target_monthwise!$D$24:$O$40,DTR!AC$4,FALSE)),0)</f>
        <v>0</v>
      </c>
      <c r="AD718" s="239">
        <f>IFERROR((HLOOKUP($AH718,Target_monthwise!$D$24:$O$40,DTR!AD$4,FALSE)),0)</f>
        <v>0</v>
      </c>
      <c r="AE718" s="239">
        <f>IFERROR((HLOOKUP($AH718,Target_monthwise!$D$24:$O$40,DTR!AE$4,FALSE)),0)</f>
        <v>0</v>
      </c>
      <c r="AF718" s="239">
        <f>IFERROR((HLOOKUP($AH718,Target_monthwise!$D$24:$O$40,DTR!AF$4,FALSE)),0)</f>
        <v>0</v>
      </c>
      <c r="AG718" s="172">
        <f>IFERROR((HLOOKUP($AH718,Target_monthwise!$D$24:$O$40,DTR!AG$4,FALSE)),0)</f>
        <v>0</v>
      </c>
      <c r="AH718" s="253">
        <f t="shared" si="13"/>
        <v>202403</v>
      </c>
    </row>
    <row r="719" spans="3:34" ht="15.75" hidden="1">
      <c r="C719" s="235">
        <v>45362</v>
      </c>
      <c r="D719" s="141">
        <f>IFERROR((HLOOKUP($AH719,Target_monthwise!$D$4:$O$20,DTR!D$4,FALSE))*1000,0)</f>
        <v>0</v>
      </c>
      <c r="E719" s="141">
        <f>IFERROR((HLOOKUP($AH719,Target_monthwise!$D$4:$O$20,DTR!E$4,FALSE))*1000,0)</f>
        <v>0</v>
      </c>
      <c r="F719" s="141">
        <f>IFERROR((HLOOKUP($AH719,Target_monthwise!$D$4:$O$20,DTR!F$4,FALSE))*1000,0)</f>
        <v>0</v>
      </c>
      <c r="G719" s="141">
        <f>IFERROR((HLOOKUP($AH719,Target_monthwise!$D$4:$O$20,DTR!G$4,FALSE))*1000,0)</f>
        <v>0</v>
      </c>
      <c r="H719" s="141">
        <f>IFERROR((HLOOKUP($AH719,Target_monthwise!$D$4:$O$20,DTR!H$4,FALSE))*1000,0)</f>
        <v>0</v>
      </c>
      <c r="I719" s="141">
        <f>IFERROR((HLOOKUP($AH719,Target_monthwise!$D$4:$O$20,DTR!I$4,FALSE))*1000,0)</f>
        <v>0</v>
      </c>
      <c r="J719" s="141">
        <f>IFERROR((HLOOKUP($AH719,Target_monthwise!$D$4:$O$20,DTR!J$4,FALSE))*1000,0)</f>
        <v>0</v>
      </c>
      <c r="K719" s="141">
        <f>IFERROR((HLOOKUP($AH719,Target_monthwise!$D$4:$O$20,DTR!K$4,FALSE))*1000,0)</f>
        <v>0</v>
      </c>
      <c r="L719" s="141">
        <f>IFERROR((HLOOKUP($AH719,Target_monthwise!$D$4:$O$20,DTR!L$4,FALSE))*1000,0)</f>
        <v>0</v>
      </c>
      <c r="M719" s="141">
        <f>IFERROR((HLOOKUP($AH719,Target_monthwise!$D$4:$O$20,DTR!M$4,FALSE))*1000,0)</f>
        <v>0</v>
      </c>
      <c r="N719" s="141">
        <f>IFERROR((HLOOKUP($AH719,Target_monthwise!$D$4:$O$20,DTR!N$4,FALSE))*1000,0)</f>
        <v>0</v>
      </c>
      <c r="O719" s="141">
        <f>IFERROR((HLOOKUP($AH719,Target_monthwise!$D$4:$O$20,DTR!O$4,FALSE))*1000,0)</f>
        <v>0</v>
      </c>
      <c r="P719" s="141">
        <f>IFERROR((HLOOKUP($AH719,Target_monthwise!$D$4:$O$20,DTR!P$4,FALSE))*1000,0)</f>
        <v>0</v>
      </c>
      <c r="Q719" s="141">
        <f>IFERROR((HLOOKUP($AH719,Target_monthwise!$D$4:$O$20,DTR!Q$4,FALSE))*1000,0)</f>
        <v>0</v>
      </c>
      <c r="R719" s="167">
        <f>IFERROR((HLOOKUP($AH719,Target_monthwise!$D$4:$O$20,DTR!R$4,FALSE))*1000,0)</f>
        <v>0</v>
      </c>
      <c r="S719" s="147">
        <f>IFERROR((HLOOKUP($AH719,Target_monthwise!$D$24:$O$40,DTR!S$4,FALSE)),0)</f>
        <v>0</v>
      </c>
      <c r="T719" s="147">
        <f>IFERROR((HLOOKUP($AH719,Target_monthwise!$D$24:$O$40,DTR!T$4,FALSE)),0)</f>
        <v>0</v>
      </c>
      <c r="U719" s="147">
        <f>IFERROR((HLOOKUP($AH719,Target_monthwise!$D$24:$O$40,DTR!U$4,FALSE)),0)</f>
        <v>0</v>
      </c>
      <c r="V719" s="147">
        <f>IFERROR((HLOOKUP($AH719,Target_monthwise!$D$24:$O$40,DTR!V$4,FALSE)),0)</f>
        <v>0</v>
      </c>
      <c r="W719" s="147">
        <f>IFERROR((HLOOKUP($AH719,Target_monthwise!$D$24:$O$40,DTR!W$4,FALSE)),0)</f>
        <v>0</v>
      </c>
      <c r="X719" s="147">
        <f>IFERROR((HLOOKUP($AH719,Target_monthwise!$D$24:$O$40,DTR!X$4,FALSE)),0)</f>
        <v>0</v>
      </c>
      <c r="Y719" s="147">
        <f>IFERROR((HLOOKUP($AH719,Target_monthwise!$D$24:$O$40,DTR!Y$4,FALSE)),0)</f>
        <v>0</v>
      </c>
      <c r="Z719" s="147">
        <f>IFERROR((HLOOKUP($AH719,Target_monthwise!$D$24:$O$40,DTR!Z$4,FALSE)),0)</f>
        <v>0</v>
      </c>
      <c r="AA719" s="147">
        <f>IFERROR((HLOOKUP($AH719,Target_monthwise!$D$24:$O$40,DTR!AA$4,FALSE)),0)</f>
        <v>0</v>
      </c>
      <c r="AB719" s="147">
        <f>IFERROR((HLOOKUP($AH719,Target_monthwise!$D$24:$O$40,DTR!AB$4,FALSE)),0)</f>
        <v>0</v>
      </c>
      <c r="AC719" s="147">
        <f>IFERROR((HLOOKUP($AH719,Target_monthwise!$D$24:$O$40,DTR!AC$4,FALSE)),0)</f>
        <v>0</v>
      </c>
      <c r="AD719" s="147">
        <f>IFERROR((HLOOKUP($AH719,Target_monthwise!$D$24:$O$40,DTR!AD$4,FALSE)),0)</f>
        <v>0</v>
      </c>
      <c r="AE719" s="147">
        <f>IFERROR((HLOOKUP($AH719,Target_monthwise!$D$24:$O$40,DTR!AE$4,FALSE)),0)</f>
        <v>0</v>
      </c>
      <c r="AF719" s="147">
        <f>IFERROR((HLOOKUP($AH719,Target_monthwise!$D$24:$O$40,DTR!AF$4,FALSE)),0)</f>
        <v>0</v>
      </c>
      <c r="AG719" s="172">
        <f>IFERROR((HLOOKUP($AH719,Target_monthwise!$D$24:$O$40,DTR!AG$4,FALSE)),0)</f>
        <v>0</v>
      </c>
      <c r="AH719" s="253">
        <f t="shared" si="13"/>
        <v>202403</v>
      </c>
    </row>
    <row r="720" spans="3:34" ht="15.75" hidden="1">
      <c r="C720" s="237">
        <v>45363</v>
      </c>
      <c r="D720" s="238">
        <f>IFERROR((HLOOKUP($AH720,Target_monthwise!$D$4:$O$20,DTR!D$4,FALSE))*1000,0)</f>
        <v>0</v>
      </c>
      <c r="E720" s="238">
        <f>IFERROR((HLOOKUP($AH720,Target_monthwise!$D$4:$O$20,DTR!E$4,FALSE))*1000,0)</f>
        <v>0</v>
      </c>
      <c r="F720" s="238">
        <f>IFERROR((HLOOKUP($AH720,Target_monthwise!$D$4:$O$20,DTR!F$4,FALSE))*1000,0)</f>
        <v>0</v>
      </c>
      <c r="G720" s="238">
        <f>IFERROR((HLOOKUP($AH720,Target_monthwise!$D$4:$O$20,DTR!G$4,FALSE))*1000,0)</f>
        <v>0</v>
      </c>
      <c r="H720" s="238">
        <f>IFERROR((HLOOKUP($AH720,Target_monthwise!$D$4:$O$20,DTR!H$4,FALSE))*1000,0)</f>
        <v>0</v>
      </c>
      <c r="I720" s="238">
        <f>IFERROR((HLOOKUP($AH720,Target_monthwise!$D$4:$O$20,DTR!I$4,FALSE))*1000,0)</f>
        <v>0</v>
      </c>
      <c r="J720" s="238">
        <f>IFERROR((HLOOKUP($AH720,Target_monthwise!$D$4:$O$20,DTR!J$4,FALSE))*1000,0)</f>
        <v>0</v>
      </c>
      <c r="K720" s="238">
        <f>IFERROR((HLOOKUP($AH720,Target_monthwise!$D$4:$O$20,DTR!K$4,FALSE))*1000,0)</f>
        <v>0</v>
      </c>
      <c r="L720" s="238">
        <f>IFERROR((HLOOKUP($AH720,Target_monthwise!$D$4:$O$20,DTR!L$4,FALSE))*1000,0)</f>
        <v>0</v>
      </c>
      <c r="M720" s="238">
        <f>IFERROR((HLOOKUP($AH720,Target_monthwise!$D$4:$O$20,DTR!M$4,FALSE))*1000,0)</f>
        <v>0</v>
      </c>
      <c r="N720" s="238">
        <f>IFERROR((HLOOKUP($AH720,Target_monthwise!$D$4:$O$20,DTR!N$4,FALSE))*1000,0)</f>
        <v>0</v>
      </c>
      <c r="O720" s="238">
        <f>IFERROR((HLOOKUP($AH720,Target_monthwise!$D$4:$O$20,DTR!O$4,FALSE))*1000,0)</f>
        <v>0</v>
      </c>
      <c r="P720" s="238">
        <f>IFERROR((HLOOKUP($AH720,Target_monthwise!$D$4:$O$20,DTR!P$4,FALSE))*1000,0)</f>
        <v>0</v>
      </c>
      <c r="Q720" s="141">
        <f>IFERROR((HLOOKUP($AH720,Target_monthwise!$D$4:$O$20,DTR!Q$4,FALSE))*1000,0)</f>
        <v>0</v>
      </c>
      <c r="R720" s="167">
        <f>IFERROR((HLOOKUP($AH720,Target_monthwise!$D$4:$O$20,DTR!R$4,FALSE))*1000,0)</f>
        <v>0</v>
      </c>
      <c r="S720" s="239">
        <f>IFERROR((HLOOKUP($AH720,Target_monthwise!$D$24:$O$40,DTR!S$4,FALSE)),0)</f>
        <v>0</v>
      </c>
      <c r="T720" s="239">
        <f>IFERROR((HLOOKUP($AH720,Target_monthwise!$D$24:$O$40,DTR!T$4,FALSE)),0)</f>
        <v>0</v>
      </c>
      <c r="U720" s="239">
        <f>IFERROR((HLOOKUP($AH720,Target_monthwise!$D$24:$O$40,DTR!U$4,FALSE)),0)</f>
        <v>0</v>
      </c>
      <c r="V720" s="239">
        <f>IFERROR((HLOOKUP($AH720,Target_monthwise!$D$24:$O$40,DTR!V$4,FALSE)),0)</f>
        <v>0</v>
      </c>
      <c r="W720" s="239">
        <f>IFERROR((HLOOKUP($AH720,Target_monthwise!$D$24:$O$40,DTR!W$4,FALSE)),0)</f>
        <v>0</v>
      </c>
      <c r="X720" s="239">
        <f>IFERROR((HLOOKUP($AH720,Target_monthwise!$D$24:$O$40,DTR!X$4,FALSE)),0)</f>
        <v>0</v>
      </c>
      <c r="Y720" s="239">
        <f>IFERROR((HLOOKUP($AH720,Target_monthwise!$D$24:$O$40,DTR!Y$4,FALSE)),0)</f>
        <v>0</v>
      </c>
      <c r="Z720" s="147">
        <f>IFERROR((HLOOKUP($AH720,Target_monthwise!$D$24:$O$40,DTR!Z$4,FALSE)),0)</f>
        <v>0</v>
      </c>
      <c r="AA720" s="147">
        <f>IFERROR((HLOOKUP($AH720,Target_monthwise!$D$24:$O$40,DTR!AA$4,FALSE)),0)</f>
        <v>0</v>
      </c>
      <c r="AB720" s="147">
        <f>IFERROR((HLOOKUP($AH720,Target_monthwise!$D$24:$O$40,DTR!AB$4,FALSE)),0)</f>
        <v>0</v>
      </c>
      <c r="AC720" s="239">
        <f>IFERROR((HLOOKUP($AH720,Target_monthwise!$D$24:$O$40,DTR!AC$4,FALSE)),0)</f>
        <v>0</v>
      </c>
      <c r="AD720" s="239">
        <f>IFERROR((HLOOKUP($AH720,Target_monthwise!$D$24:$O$40,DTR!AD$4,FALSE)),0)</f>
        <v>0</v>
      </c>
      <c r="AE720" s="239">
        <f>IFERROR((HLOOKUP($AH720,Target_monthwise!$D$24:$O$40,DTR!AE$4,FALSE)),0)</f>
        <v>0</v>
      </c>
      <c r="AF720" s="239">
        <f>IFERROR((HLOOKUP($AH720,Target_monthwise!$D$24:$O$40,DTR!AF$4,FALSE)),0)</f>
        <v>0</v>
      </c>
      <c r="AG720" s="172">
        <f>IFERROR((HLOOKUP($AH720,Target_monthwise!$D$24:$O$40,DTR!AG$4,FALSE)),0)</f>
        <v>0</v>
      </c>
      <c r="AH720" s="253">
        <f t="shared" si="13"/>
        <v>202403</v>
      </c>
    </row>
    <row r="721" spans="3:34" ht="15.75" hidden="1">
      <c r="C721" s="235">
        <v>45364</v>
      </c>
      <c r="D721" s="141">
        <f>IFERROR((HLOOKUP($AH721,Target_monthwise!$D$4:$O$20,DTR!D$4,FALSE))*1000,0)</f>
        <v>0</v>
      </c>
      <c r="E721" s="141">
        <f>IFERROR((HLOOKUP($AH721,Target_monthwise!$D$4:$O$20,DTR!E$4,FALSE))*1000,0)</f>
        <v>0</v>
      </c>
      <c r="F721" s="141">
        <f>IFERROR((HLOOKUP($AH721,Target_monthwise!$D$4:$O$20,DTR!F$4,FALSE))*1000,0)</f>
        <v>0</v>
      </c>
      <c r="G721" s="141">
        <f>IFERROR((HLOOKUP($AH721,Target_monthwise!$D$4:$O$20,DTR!G$4,FALSE))*1000,0)</f>
        <v>0</v>
      </c>
      <c r="H721" s="141">
        <f>IFERROR((HLOOKUP($AH721,Target_monthwise!$D$4:$O$20,DTR!H$4,FALSE))*1000,0)</f>
        <v>0</v>
      </c>
      <c r="I721" s="141">
        <f>IFERROR((HLOOKUP($AH721,Target_monthwise!$D$4:$O$20,DTR!I$4,FALSE))*1000,0)</f>
        <v>0</v>
      </c>
      <c r="J721" s="141">
        <f>IFERROR((HLOOKUP($AH721,Target_monthwise!$D$4:$O$20,DTR!J$4,FALSE))*1000,0)</f>
        <v>0</v>
      </c>
      <c r="K721" s="141">
        <f>IFERROR((HLOOKUP($AH721,Target_monthwise!$D$4:$O$20,DTR!K$4,FALSE))*1000,0)</f>
        <v>0</v>
      </c>
      <c r="L721" s="141">
        <f>IFERROR((HLOOKUP($AH721,Target_monthwise!$D$4:$O$20,DTR!L$4,FALSE))*1000,0)</f>
        <v>0</v>
      </c>
      <c r="M721" s="141">
        <f>IFERROR((HLOOKUP($AH721,Target_monthwise!$D$4:$O$20,DTR!M$4,FALSE))*1000,0)</f>
        <v>0</v>
      </c>
      <c r="N721" s="141">
        <f>IFERROR((HLOOKUP($AH721,Target_monthwise!$D$4:$O$20,DTR!N$4,FALSE))*1000,0)</f>
        <v>0</v>
      </c>
      <c r="O721" s="141">
        <f>IFERROR((HLOOKUP($AH721,Target_monthwise!$D$4:$O$20,DTR!O$4,FALSE))*1000,0)</f>
        <v>0</v>
      </c>
      <c r="P721" s="141">
        <f>IFERROR((HLOOKUP($AH721,Target_monthwise!$D$4:$O$20,DTR!P$4,FALSE))*1000,0)</f>
        <v>0</v>
      </c>
      <c r="Q721" s="141">
        <f>IFERROR((HLOOKUP($AH721,Target_monthwise!$D$4:$O$20,DTR!Q$4,FALSE))*1000,0)</f>
        <v>0</v>
      </c>
      <c r="R721" s="167">
        <f>IFERROR((HLOOKUP($AH721,Target_monthwise!$D$4:$O$20,DTR!R$4,FALSE))*1000,0)</f>
        <v>0</v>
      </c>
      <c r="S721" s="147">
        <f>IFERROR((HLOOKUP($AH721,Target_monthwise!$D$24:$O$40,DTR!S$4,FALSE)),0)</f>
        <v>0</v>
      </c>
      <c r="T721" s="147">
        <f>IFERROR((HLOOKUP($AH721,Target_monthwise!$D$24:$O$40,DTR!T$4,FALSE)),0)</f>
        <v>0</v>
      </c>
      <c r="U721" s="147">
        <f>IFERROR((HLOOKUP($AH721,Target_monthwise!$D$24:$O$40,DTR!U$4,FALSE)),0)</f>
        <v>0</v>
      </c>
      <c r="V721" s="147">
        <f>IFERROR((HLOOKUP($AH721,Target_monthwise!$D$24:$O$40,DTR!V$4,FALSE)),0)</f>
        <v>0</v>
      </c>
      <c r="W721" s="147">
        <f>IFERROR((HLOOKUP($AH721,Target_monthwise!$D$24:$O$40,DTR!W$4,FALSE)),0)</f>
        <v>0</v>
      </c>
      <c r="X721" s="147">
        <f>IFERROR((HLOOKUP($AH721,Target_monthwise!$D$24:$O$40,DTR!X$4,FALSE)),0)</f>
        <v>0</v>
      </c>
      <c r="Y721" s="147">
        <f>IFERROR((HLOOKUP($AH721,Target_monthwise!$D$24:$O$40,DTR!Y$4,FALSE)),0)</f>
        <v>0</v>
      </c>
      <c r="Z721" s="147">
        <f>IFERROR((HLOOKUP($AH721,Target_monthwise!$D$24:$O$40,DTR!Z$4,FALSE)),0)</f>
        <v>0</v>
      </c>
      <c r="AA721" s="147">
        <f>IFERROR((HLOOKUP($AH721,Target_monthwise!$D$24:$O$40,DTR!AA$4,FALSE)),0)</f>
        <v>0</v>
      </c>
      <c r="AB721" s="147">
        <f>IFERROR((HLOOKUP($AH721,Target_monthwise!$D$24:$O$40,DTR!AB$4,FALSE)),0)</f>
        <v>0</v>
      </c>
      <c r="AC721" s="147">
        <f>IFERROR((HLOOKUP($AH721,Target_monthwise!$D$24:$O$40,DTR!AC$4,FALSE)),0)</f>
        <v>0</v>
      </c>
      <c r="AD721" s="147">
        <f>IFERROR((HLOOKUP($AH721,Target_monthwise!$D$24:$O$40,DTR!AD$4,FALSE)),0)</f>
        <v>0</v>
      </c>
      <c r="AE721" s="147">
        <f>IFERROR((HLOOKUP($AH721,Target_monthwise!$D$24:$O$40,DTR!AE$4,FALSE)),0)</f>
        <v>0</v>
      </c>
      <c r="AF721" s="147">
        <f>IFERROR((HLOOKUP($AH721,Target_monthwise!$D$24:$O$40,DTR!AF$4,FALSE)),0)</f>
        <v>0</v>
      </c>
      <c r="AG721" s="172">
        <f>IFERROR((HLOOKUP($AH721,Target_monthwise!$D$24:$O$40,DTR!AG$4,FALSE)),0)</f>
        <v>0</v>
      </c>
      <c r="AH721" s="253">
        <f t="shared" si="13"/>
        <v>202403</v>
      </c>
    </row>
    <row r="722" spans="3:34" ht="15.75" hidden="1">
      <c r="C722" s="237">
        <v>45365</v>
      </c>
      <c r="D722" s="238">
        <f>IFERROR((HLOOKUP($AH722,Target_monthwise!$D$4:$O$20,DTR!D$4,FALSE))*1000,0)</f>
        <v>0</v>
      </c>
      <c r="E722" s="238">
        <f>IFERROR((HLOOKUP($AH722,Target_monthwise!$D$4:$O$20,DTR!E$4,FALSE))*1000,0)</f>
        <v>0</v>
      </c>
      <c r="F722" s="238">
        <f>IFERROR((HLOOKUP($AH722,Target_monthwise!$D$4:$O$20,DTR!F$4,FALSE))*1000,0)</f>
        <v>0</v>
      </c>
      <c r="G722" s="238">
        <f>IFERROR((HLOOKUP($AH722,Target_monthwise!$D$4:$O$20,DTR!G$4,FALSE))*1000,0)</f>
        <v>0</v>
      </c>
      <c r="H722" s="238">
        <f>IFERROR((HLOOKUP($AH722,Target_monthwise!$D$4:$O$20,DTR!H$4,FALSE))*1000,0)</f>
        <v>0</v>
      </c>
      <c r="I722" s="238">
        <f>IFERROR((HLOOKUP($AH722,Target_monthwise!$D$4:$O$20,DTR!I$4,FALSE))*1000,0)</f>
        <v>0</v>
      </c>
      <c r="J722" s="238">
        <f>IFERROR((HLOOKUP($AH722,Target_monthwise!$D$4:$O$20,DTR!J$4,FALSE))*1000,0)</f>
        <v>0</v>
      </c>
      <c r="K722" s="238">
        <f>IFERROR((HLOOKUP($AH722,Target_monthwise!$D$4:$O$20,DTR!K$4,FALSE))*1000,0)</f>
        <v>0</v>
      </c>
      <c r="L722" s="238">
        <f>IFERROR((HLOOKUP($AH722,Target_monthwise!$D$4:$O$20,DTR!L$4,FALSE))*1000,0)</f>
        <v>0</v>
      </c>
      <c r="M722" s="238">
        <f>IFERROR((HLOOKUP($AH722,Target_monthwise!$D$4:$O$20,DTR!M$4,FALSE))*1000,0)</f>
        <v>0</v>
      </c>
      <c r="N722" s="238">
        <f>IFERROR((HLOOKUP($AH722,Target_monthwise!$D$4:$O$20,DTR!N$4,FALSE))*1000,0)</f>
        <v>0</v>
      </c>
      <c r="O722" s="238">
        <f>IFERROR((HLOOKUP($AH722,Target_monthwise!$D$4:$O$20,DTR!O$4,FALSE))*1000,0)</f>
        <v>0</v>
      </c>
      <c r="P722" s="238">
        <f>IFERROR((HLOOKUP($AH722,Target_monthwise!$D$4:$O$20,DTR!P$4,FALSE))*1000,0)</f>
        <v>0</v>
      </c>
      <c r="Q722" s="141">
        <f>IFERROR((HLOOKUP($AH722,Target_monthwise!$D$4:$O$20,DTR!Q$4,FALSE))*1000,0)</f>
        <v>0</v>
      </c>
      <c r="R722" s="167">
        <f>IFERROR((HLOOKUP($AH722,Target_monthwise!$D$4:$O$20,DTR!R$4,FALSE))*1000,0)</f>
        <v>0</v>
      </c>
      <c r="S722" s="239">
        <f>IFERROR((HLOOKUP($AH722,Target_monthwise!$D$24:$O$40,DTR!S$4,FALSE)),0)</f>
        <v>0</v>
      </c>
      <c r="T722" s="239">
        <f>IFERROR((HLOOKUP($AH722,Target_monthwise!$D$24:$O$40,DTR!T$4,FALSE)),0)</f>
        <v>0</v>
      </c>
      <c r="U722" s="239">
        <f>IFERROR((HLOOKUP($AH722,Target_monthwise!$D$24:$O$40,DTR!U$4,FALSE)),0)</f>
        <v>0</v>
      </c>
      <c r="V722" s="239">
        <f>IFERROR((HLOOKUP($AH722,Target_monthwise!$D$24:$O$40,DTR!V$4,FALSE)),0)</f>
        <v>0</v>
      </c>
      <c r="W722" s="239">
        <f>IFERROR((HLOOKUP($AH722,Target_monthwise!$D$24:$O$40,DTR!W$4,FALSE)),0)</f>
        <v>0</v>
      </c>
      <c r="X722" s="239">
        <f>IFERROR((HLOOKUP($AH722,Target_monthwise!$D$24:$O$40,DTR!X$4,FALSE)),0)</f>
        <v>0</v>
      </c>
      <c r="Y722" s="239">
        <f>IFERROR((HLOOKUP($AH722,Target_monthwise!$D$24:$O$40,DTR!Y$4,FALSE)),0)</f>
        <v>0</v>
      </c>
      <c r="Z722" s="147">
        <f>IFERROR((HLOOKUP($AH722,Target_monthwise!$D$24:$O$40,DTR!Z$4,FALSE)),0)</f>
        <v>0</v>
      </c>
      <c r="AA722" s="147">
        <f>IFERROR((HLOOKUP($AH722,Target_monthwise!$D$24:$O$40,DTR!AA$4,FALSE)),0)</f>
        <v>0</v>
      </c>
      <c r="AB722" s="147">
        <f>IFERROR((HLOOKUP($AH722,Target_monthwise!$D$24:$O$40,DTR!AB$4,FALSE)),0)</f>
        <v>0</v>
      </c>
      <c r="AC722" s="239">
        <f>IFERROR((HLOOKUP($AH722,Target_monthwise!$D$24:$O$40,DTR!AC$4,FALSE)),0)</f>
        <v>0</v>
      </c>
      <c r="AD722" s="239">
        <f>IFERROR((HLOOKUP($AH722,Target_monthwise!$D$24:$O$40,DTR!AD$4,FALSE)),0)</f>
        <v>0</v>
      </c>
      <c r="AE722" s="239">
        <f>IFERROR((HLOOKUP($AH722,Target_monthwise!$D$24:$O$40,DTR!AE$4,FALSE)),0)</f>
        <v>0</v>
      </c>
      <c r="AF722" s="239">
        <f>IFERROR((HLOOKUP($AH722,Target_monthwise!$D$24:$O$40,DTR!AF$4,FALSE)),0)</f>
        <v>0</v>
      </c>
      <c r="AG722" s="172">
        <f>IFERROR((HLOOKUP($AH722,Target_monthwise!$D$24:$O$40,DTR!AG$4,FALSE)),0)</f>
        <v>0</v>
      </c>
      <c r="AH722" s="253">
        <f t="shared" si="13"/>
        <v>202403</v>
      </c>
    </row>
    <row r="723" spans="3:34" ht="15.75" hidden="1">
      <c r="C723" s="235">
        <v>45366</v>
      </c>
      <c r="D723" s="141">
        <f>IFERROR((HLOOKUP($AH723,Target_monthwise!$D$4:$O$20,DTR!D$4,FALSE))*1000,0)</f>
        <v>0</v>
      </c>
      <c r="E723" s="141">
        <f>IFERROR((HLOOKUP($AH723,Target_monthwise!$D$4:$O$20,DTR!E$4,FALSE))*1000,0)</f>
        <v>0</v>
      </c>
      <c r="F723" s="141">
        <f>IFERROR((HLOOKUP($AH723,Target_monthwise!$D$4:$O$20,DTR!F$4,FALSE))*1000,0)</f>
        <v>0</v>
      </c>
      <c r="G723" s="141">
        <f>IFERROR((HLOOKUP($AH723,Target_monthwise!$D$4:$O$20,DTR!G$4,FALSE))*1000,0)</f>
        <v>0</v>
      </c>
      <c r="H723" s="141">
        <f>IFERROR((HLOOKUP($AH723,Target_monthwise!$D$4:$O$20,DTR!H$4,FALSE))*1000,0)</f>
        <v>0</v>
      </c>
      <c r="I723" s="141">
        <f>IFERROR((HLOOKUP($AH723,Target_monthwise!$D$4:$O$20,DTR!I$4,FALSE))*1000,0)</f>
        <v>0</v>
      </c>
      <c r="J723" s="141">
        <f>IFERROR((HLOOKUP($AH723,Target_monthwise!$D$4:$O$20,DTR!J$4,FALSE))*1000,0)</f>
        <v>0</v>
      </c>
      <c r="K723" s="141">
        <f>IFERROR((HLOOKUP($AH723,Target_monthwise!$D$4:$O$20,DTR!K$4,FALSE))*1000,0)</f>
        <v>0</v>
      </c>
      <c r="L723" s="141">
        <f>IFERROR((HLOOKUP($AH723,Target_monthwise!$D$4:$O$20,DTR!L$4,FALSE))*1000,0)</f>
        <v>0</v>
      </c>
      <c r="M723" s="141">
        <f>IFERROR((HLOOKUP($AH723,Target_monthwise!$D$4:$O$20,DTR!M$4,FALSE))*1000,0)</f>
        <v>0</v>
      </c>
      <c r="N723" s="141">
        <f>IFERROR((HLOOKUP($AH723,Target_monthwise!$D$4:$O$20,DTR!N$4,FALSE))*1000,0)</f>
        <v>0</v>
      </c>
      <c r="O723" s="141">
        <f>IFERROR((HLOOKUP($AH723,Target_monthwise!$D$4:$O$20,DTR!O$4,FALSE))*1000,0)</f>
        <v>0</v>
      </c>
      <c r="P723" s="141">
        <f>IFERROR((HLOOKUP($AH723,Target_monthwise!$D$4:$O$20,DTR!P$4,FALSE))*1000,0)</f>
        <v>0</v>
      </c>
      <c r="Q723" s="141">
        <f>IFERROR((HLOOKUP($AH723,Target_monthwise!$D$4:$O$20,DTR!Q$4,FALSE))*1000,0)</f>
        <v>0</v>
      </c>
      <c r="R723" s="167">
        <f>IFERROR((HLOOKUP($AH723,Target_monthwise!$D$4:$O$20,DTR!R$4,FALSE))*1000,0)</f>
        <v>0</v>
      </c>
      <c r="S723" s="147">
        <f>IFERROR((HLOOKUP($AH723,Target_monthwise!$D$24:$O$40,DTR!S$4,FALSE)),0)</f>
        <v>0</v>
      </c>
      <c r="T723" s="147">
        <f>IFERROR((HLOOKUP($AH723,Target_monthwise!$D$24:$O$40,DTR!T$4,FALSE)),0)</f>
        <v>0</v>
      </c>
      <c r="U723" s="147">
        <f>IFERROR((HLOOKUP($AH723,Target_monthwise!$D$24:$O$40,DTR!U$4,FALSE)),0)</f>
        <v>0</v>
      </c>
      <c r="V723" s="147">
        <f>IFERROR((HLOOKUP($AH723,Target_monthwise!$D$24:$O$40,DTR!V$4,FALSE)),0)</f>
        <v>0</v>
      </c>
      <c r="W723" s="147">
        <f>IFERROR((HLOOKUP($AH723,Target_monthwise!$D$24:$O$40,DTR!W$4,FALSE)),0)</f>
        <v>0</v>
      </c>
      <c r="X723" s="147">
        <f>IFERROR((HLOOKUP($AH723,Target_monthwise!$D$24:$O$40,DTR!X$4,FALSE)),0)</f>
        <v>0</v>
      </c>
      <c r="Y723" s="147">
        <f>IFERROR((HLOOKUP($AH723,Target_monthwise!$D$24:$O$40,DTR!Y$4,FALSE)),0)</f>
        <v>0</v>
      </c>
      <c r="Z723" s="147">
        <f>IFERROR((HLOOKUP($AH723,Target_monthwise!$D$24:$O$40,DTR!Z$4,FALSE)),0)</f>
        <v>0</v>
      </c>
      <c r="AA723" s="147">
        <f>IFERROR((HLOOKUP($AH723,Target_monthwise!$D$24:$O$40,DTR!AA$4,FALSE)),0)</f>
        <v>0</v>
      </c>
      <c r="AB723" s="147">
        <f>IFERROR((HLOOKUP($AH723,Target_monthwise!$D$24:$O$40,DTR!AB$4,FALSE)),0)</f>
        <v>0</v>
      </c>
      <c r="AC723" s="147">
        <f>IFERROR((HLOOKUP($AH723,Target_monthwise!$D$24:$O$40,DTR!AC$4,FALSE)),0)</f>
        <v>0</v>
      </c>
      <c r="AD723" s="147">
        <f>IFERROR((HLOOKUP($AH723,Target_monthwise!$D$24:$O$40,DTR!AD$4,FALSE)),0)</f>
        <v>0</v>
      </c>
      <c r="AE723" s="147">
        <f>IFERROR((HLOOKUP($AH723,Target_monthwise!$D$24:$O$40,DTR!AE$4,FALSE)),0)</f>
        <v>0</v>
      </c>
      <c r="AF723" s="147">
        <f>IFERROR((HLOOKUP($AH723,Target_monthwise!$D$24:$O$40,DTR!AF$4,FALSE)),0)</f>
        <v>0</v>
      </c>
      <c r="AG723" s="172">
        <f>IFERROR((HLOOKUP($AH723,Target_monthwise!$D$24:$O$40,DTR!AG$4,FALSE)),0)</f>
        <v>0</v>
      </c>
      <c r="AH723" s="253">
        <f t="shared" si="13"/>
        <v>202403</v>
      </c>
    </row>
    <row r="724" spans="3:34" ht="15.75" hidden="1">
      <c r="C724" s="237">
        <v>45367</v>
      </c>
      <c r="D724" s="238">
        <f>IFERROR((HLOOKUP($AH724,Target_monthwise!$D$4:$O$20,DTR!D$4,FALSE))*1000,0)</f>
        <v>0</v>
      </c>
      <c r="E724" s="238">
        <f>IFERROR((HLOOKUP($AH724,Target_monthwise!$D$4:$O$20,DTR!E$4,FALSE))*1000,0)</f>
        <v>0</v>
      </c>
      <c r="F724" s="238">
        <f>IFERROR((HLOOKUP($AH724,Target_monthwise!$D$4:$O$20,DTR!F$4,FALSE))*1000,0)</f>
        <v>0</v>
      </c>
      <c r="G724" s="238">
        <f>IFERROR((HLOOKUP($AH724,Target_monthwise!$D$4:$O$20,DTR!G$4,FALSE))*1000,0)</f>
        <v>0</v>
      </c>
      <c r="H724" s="238">
        <f>IFERROR((HLOOKUP($AH724,Target_monthwise!$D$4:$O$20,DTR!H$4,FALSE))*1000,0)</f>
        <v>0</v>
      </c>
      <c r="I724" s="238">
        <f>IFERROR((HLOOKUP($AH724,Target_monthwise!$D$4:$O$20,DTR!I$4,FALSE))*1000,0)</f>
        <v>0</v>
      </c>
      <c r="J724" s="238">
        <f>IFERROR((HLOOKUP($AH724,Target_monthwise!$D$4:$O$20,DTR!J$4,FALSE))*1000,0)</f>
        <v>0</v>
      </c>
      <c r="K724" s="238">
        <f>IFERROR((HLOOKUP($AH724,Target_monthwise!$D$4:$O$20,DTR!K$4,FALSE))*1000,0)</f>
        <v>0</v>
      </c>
      <c r="L724" s="238">
        <f>IFERROR((HLOOKUP($AH724,Target_monthwise!$D$4:$O$20,DTR!L$4,FALSE))*1000,0)</f>
        <v>0</v>
      </c>
      <c r="M724" s="238">
        <f>IFERROR((HLOOKUP($AH724,Target_monthwise!$D$4:$O$20,DTR!M$4,FALSE))*1000,0)</f>
        <v>0</v>
      </c>
      <c r="N724" s="238">
        <f>IFERROR((HLOOKUP($AH724,Target_monthwise!$D$4:$O$20,DTR!N$4,FALSE))*1000,0)</f>
        <v>0</v>
      </c>
      <c r="O724" s="238">
        <f>IFERROR((HLOOKUP($AH724,Target_monthwise!$D$4:$O$20,DTR!O$4,FALSE))*1000,0)</f>
        <v>0</v>
      </c>
      <c r="P724" s="238">
        <f>IFERROR((HLOOKUP($AH724,Target_monthwise!$D$4:$O$20,DTR!P$4,FALSE))*1000,0)</f>
        <v>0</v>
      </c>
      <c r="Q724" s="141">
        <f>IFERROR((HLOOKUP($AH724,Target_monthwise!$D$4:$O$20,DTR!Q$4,FALSE))*1000,0)</f>
        <v>0</v>
      </c>
      <c r="R724" s="167">
        <f>IFERROR((HLOOKUP($AH724,Target_monthwise!$D$4:$O$20,DTR!R$4,FALSE))*1000,0)</f>
        <v>0</v>
      </c>
      <c r="S724" s="239">
        <f>IFERROR((HLOOKUP($AH724,Target_monthwise!$D$24:$O$40,DTR!S$4,FALSE)),0)</f>
        <v>0</v>
      </c>
      <c r="T724" s="239">
        <f>IFERROR((HLOOKUP($AH724,Target_monthwise!$D$24:$O$40,DTR!T$4,FALSE)),0)</f>
        <v>0</v>
      </c>
      <c r="U724" s="239">
        <f>IFERROR((HLOOKUP($AH724,Target_monthwise!$D$24:$O$40,DTR!U$4,FALSE)),0)</f>
        <v>0</v>
      </c>
      <c r="V724" s="239">
        <f>IFERROR((HLOOKUP($AH724,Target_monthwise!$D$24:$O$40,DTR!V$4,FALSE)),0)</f>
        <v>0</v>
      </c>
      <c r="W724" s="239">
        <f>IFERROR((HLOOKUP($AH724,Target_monthwise!$D$24:$O$40,DTR!W$4,FALSE)),0)</f>
        <v>0</v>
      </c>
      <c r="X724" s="239">
        <f>IFERROR((HLOOKUP($AH724,Target_monthwise!$D$24:$O$40,DTR!X$4,FALSE)),0)</f>
        <v>0</v>
      </c>
      <c r="Y724" s="239">
        <f>IFERROR((HLOOKUP($AH724,Target_monthwise!$D$24:$O$40,DTR!Y$4,FALSE)),0)</f>
        <v>0</v>
      </c>
      <c r="Z724" s="147">
        <f>IFERROR((HLOOKUP($AH724,Target_monthwise!$D$24:$O$40,DTR!Z$4,FALSE)),0)</f>
        <v>0</v>
      </c>
      <c r="AA724" s="147">
        <f>IFERROR((HLOOKUP($AH724,Target_monthwise!$D$24:$O$40,DTR!AA$4,FALSE)),0)</f>
        <v>0</v>
      </c>
      <c r="AB724" s="147">
        <f>IFERROR((HLOOKUP($AH724,Target_monthwise!$D$24:$O$40,DTR!AB$4,FALSE)),0)</f>
        <v>0</v>
      </c>
      <c r="AC724" s="239">
        <f>IFERROR((HLOOKUP($AH724,Target_monthwise!$D$24:$O$40,DTR!AC$4,FALSE)),0)</f>
        <v>0</v>
      </c>
      <c r="AD724" s="239">
        <f>IFERROR((HLOOKUP($AH724,Target_monthwise!$D$24:$O$40,DTR!AD$4,FALSE)),0)</f>
        <v>0</v>
      </c>
      <c r="AE724" s="239">
        <f>IFERROR((HLOOKUP($AH724,Target_monthwise!$D$24:$O$40,DTR!AE$4,FALSE)),0)</f>
        <v>0</v>
      </c>
      <c r="AF724" s="239">
        <f>IFERROR((HLOOKUP($AH724,Target_monthwise!$D$24:$O$40,DTR!AF$4,FALSE)),0)</f>
        <v>0</v>
      </c>
      <c r="AG724" s="172">
        <f>IFERROR((HLOOKUP($AH724,Target_monthwise!$D$24:$O$40,DTR!AG$4,FALSE)),0)</f>
        <v>0</v>
      </c>
      <c r="AH724" s="253">
        <f t="shared" si="13"/>
        <v>202403</v>
      </c>
    </row>
    <row r="725" spans="3:34" ht="15.75" hidden="1">
      <c r="C725" s="235">
        <v>45368</v>
      </c>
      <c r="D725" s="141">
        <f>IFERROR((HLOOKUP($AH725,Target_monthwise!$D$4:$O$20,DTR!D$4,FALSE))*1000,0)</f>
        <v>0</v>
      </c>
      <c r="E725" s="141">
        <f>IFERROR((HLOOKUP($AH725,Target_monthwise!$D$4:$O$20,DTR!E$4,FALSE))*1000,0)</f>
        <v>0</v>
      </c>
      <c r="F725" s="141">
        <f>IFERROR((HLOOKUP($AH725,Target_monthwise!$D$4:$O$20,DTR!F$4,FALSE))*1000,0)</f>
        <v>0</v>
      </c>
      <c r="G725" s="141">
        <f>IFERROR((HLOOKUP($AH725,Target_monthwise!$D$4:$O$20,DTR!G$4,FALSE))*1000,0)</f>
        <v>0</v>
      </c>
      <c r="H725" s="141">
        <f>IFERROR((HLOOKUP($AH725,Target_monthwise!$D$4:$O$20,DTR!H$4,FALSE))*1000,0)</f>
        <v>0</v>
      </c>
      <c r="I725" s="141">
        <f>IFERROR((HLOOKUP($AH725,Target_monthwise!$D$4:$O$20,DTR!I$4,FALSE))*1000,0)</f>
        <v>0</v>
      </c>
      <c r="J725" s="141">
        <f>IFERROR((HLOOKUP($AH725,Target_monthwise!$D$4:$O$20,DTR!J$4,FALSE))*1000,0)</f>
        <v>0</v>
      </c>
      <c r="K725" s="141">
        <f>IFERROR((HLOOKUP($AH725,Target_monthwise!$D$4:$O$20,DTR!K$4,FALSE))*1000,0)</f>
        <v>0</v>
      </c>
      <c r="L725" s="141">
        <f>IFERROR((HLOOKUP($AH725,Target_monthwise!$D$4:$O$20,DTR!L$4,FALSE))*1000,0)</f>
        <v>0</v>
      </c>
      <c r="M725" s="141">
        <f>IFERROR((HLOOKUP($AH725,Target_monthwise!$D$4:$O$20,DTR!M$4,FALSE))*1000,0)</f>
        <v>0</v>
      </c>
      <c r="N725" s="141">
        <f>IFERROR((HLOOKUP($AH725,Target_monthwise!$D$4:$O$20,DTR!N$4,FALSE))*1000,0)</f>
        <v>0</v>
      </c>
      <c r="O725" s="141">
        <f>IFERROR((HLOOKUP($AH725,Target_monthwise!$D$4:$O$20,DTR!O$4,FALSE))*1000,0)</f>
        <v>0</v>
      </c>
      <c r="P725" s="141">
        <f>IFERROR((HLOOKUP($AH725,Target_monthwise!$D$4:$O$20,DTR!P$4,FALSE))*1000,0)</f>
        <v>0</v>
      </c>
      <c r="Q725" s="141">
        <f>IFERROR((HLOOKUP($AH725,Target_monthwise!$D$4:$O$20,DTR!Q$4,FALSE))*1000,0)</f>
        <v>0</v>
      </c>
      <c r="R725" s="167">
        <f>IFERROR((HLOOKUP($AH725,Target_monthwise!$D$4:$O$20,DTR!R$4,FALSE))*1000,0)</f>
        <v>0</v>
      </c>
      <c r="S725" s="147">
        <f>IFERROR((HLOOKUP($AH725,Target_monthwise!$D$24:$O$40,DTR!S$4,FALSE)),0)</f>
        <v>0</v>
      </c>
      <c r="T725" s="147">
        <f>IFERROR((HLOOKUP($AH725,Target_monthwise!$D$24:$O$40,DTR!T$4,FALSE)),0)</f>
        <v>0</v>
      </c>
      <c r="U725" s="147">
        <f>IFERROR((HLOOKUP($AH725,Target_monthwise!$D$24:$O$40,DTR!U$4,FALSE)),0)</f>
        <v>0</v>
      </c>
      <c r="V725" s="147">
        <f>IFERROR((HLOOKUP($AH725,Target_monthwise!$D$24:$O$40,DTR!V$4,FALSE)),0)</f>
        <v>0</v>
      </c>
      <c r="W725" s="147">
        <f>IFERROR((HLOOKUP($AH725,Target_monthwise!$D$24:$O$40,DTR!W$4,FALSE)),0)</f>
        <v>0</v>
      </c>
      <c r="X725" s="147">
        <f>IFERROR((HLOOKUP($AH725,Target_monthwise!$D$24:$O$40,DTR!X$4,FALSE)),0)</f>
        <v>0</v>
      </c>
      <c r="Y725" s="147">
        <f>IFERROR((HLOOKUP($AH725,Target_monthwise!$D$24:$O$40,DTR!Y$4,FALSE)),0)</f>
        <v>0</v>
      </c>
      <c r="Z725" s="147">
        <f>IFERROR((HLOOKUP($AH725,Target_monthwise!$D$24:$O$40,DTR!Z$4,FALSE)),0)</f>
        <v>0</v>
      </c>
      <c r="AA725" s="147">
        <f>IFERROR((HLOOKUP($AH725,Target_monthwise!$D$24:$O$40,DTR!AA$4,FALSE)),0)</f>
        <v>0</v>
      </c>
      <c r="AB725" s="147">
        <f>IFERROR((HLOOKUP($AH725,Target_monthwise!$D$24:$O$40,DTR!AB$4,FALSE)),0)</f>
        <v>0</v>
      </c>
      <c r="AC725" s="147">
        <f>IFERROR((HLOOKUP($AH725,Target_monthwise!$D$24:$O$40,DTR!AC$4,FALSE)),0)</f>
        <v>0</v>
      </c>
      <c r="AD725" s="147">
        <f>IFERROR((HLOOKUP($AH725,Target_monthwise!$D$24:$O$40,DTR!AD$4,FALSE)),0)</f>
        <v>0</v>
      </c>
      <c r="AE725" s="147">
        <f>IFERROR((HLOOKUP($AH725,Target_monthwise!$D$24:$O$40,DTR!AE$4,FALSE)),0)</f>
        <v>0</v>
      </c>
      <c r="AF725" s="147">
        <f>IFERROR((HLOOKUP($AH725,Target_monthwise!$D$24:$O$40,DTR!AF$4,FALSE)),0)</f>
        <v>0</v>
      </c>
      <c r="AG725" s="172">
        <f>IFERROR((HLOOKUP($AH725,Target_monthwise!$D$24:$O$40,DTR!AG$4,FALSE)),0)</f>
        <v>0</v>
      </c>
      <c r="AH725" s="253">
        <f t="shared" si="13"/>
        <v>202403</v>
      </c>
    </row>
    <row r="726" spans="3:34" ht="15.75" hidden="1">
      <c r="C726" s="237">
        <v>45369</v>
      </c>
      <c r="D726" s="238">
        <f>IFERROR((HLOOKUP($AH726,Target_monthwise!$D$4:$O$20,DTR!D$4,FALSE))*1000,0)</f>
        <v>0</v>
      </c>
      <c r="E726" s="238">
        <f>IFERROR((HLOOKUP($AH726,Target_monthwise!$D$4:$O$20,DTR!E$4,FALSE))*1000,0)</f>
        <v>0</v>
      </c>
      <c r="F726" s="238">
        <f>IFERROR((HLOOKUP($AH726,Target_monthwise!$D$4:$O$20,DTR!F$4,FALSE))*1000,0)</f>
        <v>0</v>
      </c>
      <c r="G726" s="238">
        <f>IFERROR((HLOOKUP($AH726,Target_monthwise!$D$4:$O$20,DTR!G$4,FALSE))*1000,0)</f>
        <v>0</v>
      </c>
      <c r="H726" s="238">
        <f>IFERROR((HLOOKUP($AH726,Target_monthwise!$D$4:$O$20,DTR!H$4,FALSE))*1000,0)</f>
        <v>0</v>
      </c>
      <c r="I726" s="238">
        <f>IFERROR((HLOOKUP($AH726,Target_monthwise!$D$4:$O$20,DTR!I$4,FALSE))*1000,0)</f>
        <v>0</v>
      </c>
      <c r="J726" s="238">
        <f>IFERROR((HLOOKUP($AH726,Target_monthwise!$D$4:$O$20,DTR!J$4,FALSE))*1000,0)</f>
        <v>0</v>
      </c>
      <c r="K726" s="238">
        <f>IFERROR((HLOOKUP($AH726,Target_monthwise!$D$4:$O$20,DTR!K$4,FALSE))*1000,0)</f>
        <v>0</v>
      </c>
      <c r="L726" s="238">
        <f>IFERROR((HLOOKUP($AH726,Target_monthwise!$D$4:$O$20,DTR!L$4,FALSE))*1000,0)</f>
        <v>0</v>
      </c>
      <c r="M726" s="238">
        <f>IFERROR((HLOOKUP($AH726,Target_monthwise!$D$4:$O$20,DTR!M$4,FALSE))*1000,0)</f>
        <v>0</v>
      </c>
      <c r="N726" s="238">
        <f>IFERROR((HLOOKUP($AH726,Target_monthwise!$D$4:$O$20,DTR!N$4,FALSE))*1000,0)</f>
        <v>0</v>
      </c>
      <c r="O726" s="238">
        <f>IFERROR((HLOOKUP($AH726,Target_monthwise!$D$4:$O$20,DTR!O$4,FALSE))*1000,0)</f>
        <v>0</v>
      </c>
      <c r="P726" s="238">
        <f>IFERROR((HLOOKUP($AH726,Target_monthwise!$D$4:$O$20,DTR!P$4,FALSE))*1000,0)</f>
        <v>0</v>
      </c>
      <c r="Q726" s="141">
        <f>IFERROR((HLOOKUP($AH726,Target_monthwise!$D$4:$O$20,DTR!Q$4,FALSE))*1000,0)</f>
        <v>0</v>
      </c>
      <c r="R726" s="167">
        <f>IFERROR((HLOOKUP($AH726,Target_monthwise!$D$4:$O$20,DTR!R$4,FALSE))*1000,0)</f>
        <v>0</v>
      </c>
      <c r="S726" s="239">
        <f>IFERROR((HLOOKUP($AH726,Target_monthwise!$D$24:$O$40,DTR!S$4,FALSE)),0)</f>
        <v>0</v>
      </c>
      <c r="T726" s="239">
        <f>IFERROR((HLOOKUP($AH726,Target_monthwise!$D$24:$O$40,DTR!T$4,FALSE)),0)</f>
        <v>0</v>
      </c>
      <c r="U726" s="239">
        <f>IFERROR((HLOOKUP($AH726,Target_monthwise!$D$24:$O$40,DTR!U$4,FALSE)),0)</f>
        <v>0</v>
      </c>
      <c r="V726" s="239">
        <f>IFERROR((HLOOKUP($AH726,Target_monthwise!$D$24:$O$40,DTR!V$4,FALSE)),0)</f>
        <v>0</v>
      </c>
      <c r="W726" s="239">
        <f>IFERROR((HLOOKUP($AH726,Target_monthwise!$D$24:$O$40,DTR!W$4,FALSE)),0)</f>
        <v>0</v>
      </c>
      <c r="X726" s="239">
        <f>IFERROR((HLOOKUP($AH726,Target_monthwise!$D$24:$O$40,DTR!X$4,FALSE)),0)</f>
        <v>0</v>
      </c>
      <c r="Y726" s="239">
        <f>IFERROR((HLOOKUP($AH726,Target_monthwise!$D$24:$O$40,DTR!Y$4,FALSE)),0)</f>
        <v>0</v>
      </c>
      <c r="Z726" s="147">
        <f>IFERROR((HLOOKUP($AH726,Target_monthwise!$D$24:$O$40,DTR!Z$4,FALSE)),0)</f>
        <v>0</v>
      </c>
      <c r="AA726" s="147">
        <f>IFERROR((HLOOKUP($AH726,Target_monthwise!$D$24:$O$40,DTR!AA$4,FALSE)),0)</f>
        <v>0</v>
      </c>
      <c r="AB726" s="147">
        <f>IFERROR((HLOOKUP($AH726,Target_monthwise!$D$24:$O$40,DTR!AB$4,FALSE)),0)</f>
        <v>0</v>
      </c>
      <c r="AC726" s="239">
        <f>IFERROR((HLOOKUP($AH726,Target_monthwise!$D$24:$O$40,DTR!AC$4,FALSE)),0)</f>
        <v>0</v>
      </c>
      <c r="AD726" s="239">
        <f>IFERROR((HLOOKUP($AH726,Target_monthwise!$D$24:$O$40,DTR!AD$4,FALSE)),0)</f>
        <v>0</v>
      </c>
      <c r="AE726" s="239">
        <f>IFERROR((HLOOKUP($AH726,Target_monthwise!$D$24:$O$40,DTR!AE$4,FALSE)),0)</f>
        <v>0</v>
      </c>
      <c r="AF726" s="239">
        <f>IFERROR((HLOOKUP($AH726,Target_monthwise!$D$24:$O$40,DTR!AF$4,FALSE)),0)</f>
        <v>0</v>
      </c>
      <c r="AG726" s="172">
        <f>IFERROR((HLOOKUP($AH726,Target_monthwise!$D$24:$O$40,DTR!AG$4,FALSE)),0)</f>
        <v>0</v>
      </c>
      <c r="AH726" s="253">
        <f t="shared" si="13"/>
        <v>202403</v>
      </c>
    </row>
    <row r="727" spans="3:34" ht="15.75" hidden="1">
      <c r="C727" s="235">
        <v>45370</v>
      </c>
      <c r="D727" s="141">
        <f>IFERROR((HLOOKUP($AH727,Target_monthwise!$D$4:$O$20,DTR!D$4,FALSE))*1000,0)</f>
        <v>0</v>
      </c>
      <c r="E727" s="141">
        <f>IFERROR((HLOOKUP($AH727,Target_monthwise!$D$4:$O$20,DTR!E$4,FALSE))*1000,0)</f>
        <v>0</v>
      </c>
      <c r="F727" s="141">
        <f>IFERROR((HLOOKUP($AH727,Target_monthwise!$D$4:$O$20,DTR!F$4,FALSE))*1000,0)</f>
        <v>0</v>
      </c>
      <c r="G727" s="141">
        <f>IFERROR((HLOOKUP($AH727,Target_monthwise!$D$4:$O$20,DTR!G$4,FALSE))*1000,0)</f>
        <v>0</v>
      </c>
      <c r="H727" s="141">
        <f>IFERROR((HLOOKUP($AH727,Target_monthwise!$D$4:$O$20,DTR!H$4,FALSE))*1000,0)</f>
        <v>0</v>
      </c>
      <c r="I727" s="141">
        <f>IFERROR((HLOOKUP($AH727,Target_monthwise!$D$4:$O$20,DTR!I$4,FALSE))*1000,0)</f>
        <v>0</v>
      </c>
      <c r="J727" s="141">
        <f>IFERROR((HLOOKUP($AH727,Target_monthwise!$D$4:$O$20,DTR!J$4,FALSE))*1000,0)</f>
        <v>0</v>
      </c>
      <c r="K727" s="141">
        <f>IFERROR((HLOOKUP($AH727,Target_monthwise!$D$4:$O$20,DTR!K$4,FALSE))*1000,0)</f>
        <v>0</v>
      </c>
      <c r="L727" s="141">
        <f>IFERROR((HLOOKUP($AH727,Target_monthwise!$D$4:$O$20,DTR!L$4,FALSE))*1000,0)</f>
        <v>0</v>
      </c>
      <c r="M727" s="141">
        <f>IFERROR((HLOOKUP($AH727,Target_monthwise!$D$4:$O$20,DTR!M$4,FALSE))*1000,0)</f>
        <v>0</v>
      </c>
      <c r="N727" s="141">
        <f>IFERROR((HLOOKUP($AH727,Target_monthwise!$D$4:$O$20,DTR!N$4,FALSE))*1000,0)</f>
        <v>0</v>
      </c>
      <c r="O727" s="141">
        <f>IFERROR((HLOOKUP($AH727,Target_monthwise!$D$4:$O$20,DTR!O$4,FALSE))*1000,0)</f>
        <v>0</v>
      </c>
      <c r="P727" s="141">
        <f>IFERROR((HLOOKUP($AH727,Target_monthwise!$D$4:$O$20,DTR!P$4,FALSE))*1000,0)</f>
        <v>0</v>
      </c>
      <c r="Q727" s="141">
        <f>IFERROR((HLOOKUP($AH727,Target_monthwise!$D$4:$O$20,DTR!Q$4,FALSE))*1000,0)</f>
        <v>0</v>
      </c>
      <c r="R727" s="167">
        <f>IFERROR((HLOOKUP($AH727,Target_monthwise!$D$4:$O$20,DTR!R$4,FALSE))*1000,0)</f>
        <v>0</v>
      </c>
      <c r="S727" s="147">
        <f>IFERROR((HLOOKUP($AH727,Target_monthwise!$D$24:$O$40,DTR!S$4,FALSE)),0)</f>
        <v>0</v>
      </c>
      <c r="T727" s="147">
        <f>IFERROR((HLOOKUP($AH727,Target_monthwise!$D$24:$O$40,DTR!T$4,FALSE)),0)</f>
        <v>0</v>
      </c>
      <c r="U727" s="147">
        <f>IFERROR((HLOOKUP($AH727,Target_monthwise!$D$24:$O$40,DTR!U$4,FALSE)),0)</f>
        <v>0</v>
      </c>
      <c r="V727" s="147">
        <f>IFERROR((HLOOKUP($AH727,Target_monthwise!$D$24:$O$40,DTR!V$4,FALSE)),0)</f>
        <v>0</v>
      </c>
      <c r="W727" s="147">
        <f>IFERROR((HLOOKUP($AH727,Target_monthwise!$D$24:$O$40,DTR!W$4,FALSE)),0)</f>
        <v>0</v>
      </c>
      <c r="X727" s="147">
        <f>IFERROR((HLOOKUP($AH727,Target_monthwise!$D$24:$O$40,DTR!X$4,FALSE)),0)</f>
        <v>0</v>
      </c>
      <c r="Y727" s="147">
        <f>IFERROR((HLOOKUP($AH727,Target_monthwise!$D$24:$O$40,DTR!Y$4,FALSE)),0)</f>
        <v>0</v>
      </c>
      <c r="Z727" s="147">
        <f>IFERROR((HLOOKUP($AH727,Target_monthwise!$D$24:$O$40,DTR!Z$4,FALSE)),0)</f>
        <v>0</v>
      </c>
      <c r="AA727" s="147">
        <f>IFERROR((HLOOKUP($AH727,Target_monthwise!$D$24:$O$40,DTR!AA$4,FALSE)),0)</f>
        <v>0</v>
      </c>
      <c r="AB727" s="147">
        <f>IFERROR((HLOOKUP($AH727,Target_monthwise!$D$24:$O$40,DTR!AB$4,FALSE)),0)</f>
        <v>0</v>
      </c>
      <c r="AC727" s="147">
        <f>IFERROR((HLOOKUP($AH727,Target_monthwise!$D$24:$O$40,DTR!AC$4,FALSE)),0)</f>
        <v>0</v>
      </c>
      <c r="AD727" s="147">
        <f>IFERROR((HLOOKUP($AH727,Target_monthwise!$D$24:$O$40,DTR!AD$4,FALSE)),0)</f>
        <v>0</v>
      </c>
      <c r="AE727" s="147">
        <f>IFERROR((HLOOKUP($AH727,Target_monthwise!$D$24:$O$40,DTR!AE$4,FALSE)),0)</f>
        <v>0</v>
      </c>
      <c r="AF727" s="147">
        <f>IFERROR((HLOOKUP($AH727,Target_monthwise!$D$24:$O$40,DTR!AF$4,FALSE)),0)</f>
        <v>0</v>
      </c>
      <c r="AG727" s="172">
        <f>IFERROR((HLOOKUP($AH727,Target_monthwise!$D$24:$O$40,DTR!AG$4,FALSE)),0)</f>
        <v>0</v>
      </c>
      <c r="AH727" s="253">
        <f t="shared" si="13"/>
        <v>202403</v>
      </c>
    </row>
    <row r="728" spans="3:34" ht="15.75" hidden="1">
      <c r="C728" s="237">
        <v>45371</v>
      </c>
      <c r="D728" s="238">
        <f>IFERROR((HLOOKUP($AH728,Target_monthwise!$D$4:$O$20,DTR!D$4,FALSE))*1000,0)</f>
        <v>0</v>
      </c>
      <c r="E728" s="238">
        <f>IFERROR((HLOOKUP($AH728,Target_monthwise!$D$4:$O$20,DTR!E$4,FALSE))*1000,0)</f>
        <v>0</v>
      </c>
      <c r="F728" s="238">
        <f>IFERROR((HLOOKUP($AH728,Target_monthwise!$D$4:$O$20,DTR!F$4,FALSE))*1000,0)</f>
        <v>0</v>
      </c>
      <c r="G728" s="238">
        <f>IFERROR((HLOOKUP($AH728,Target_monthwise!$D$4:$O$20,DTR!G$4,FALSE))*1000,0)</f>
        <v>0</v>
      </c>
      <c r="H728" s="238">
        <f>IFERROR((HLOOKUP($AH728,Target_monthwise!$D$4:$O$20,DTR!H$4,FALSE))*1000,0)</f>
        <v>0</v>
      </c>
      <c r="I728" s="238">
        <f>IFERROR((HLOOKUP($AH728,Target_monthwise!$D$4:$O$20,DTR!I$4,FALSE))*1000,0)</f>
        <v>0</v>
      </c>
      <c r="J728" s="238">
        <f>IFERROR((HLOOKUP($AH728,Target_monthwise!$D$4:$O$20,DTR!J$4,FALSE))*1000,0)</f>
        <v>0</v>
      </c>
      <c r="K728" s="238">
        <f>IFERROR((HLOOKUP($AH728,Target_monthwise!$D$4:$O$20,DTR!K$4,FALSE))*1000,0)</f>
        <v>0</v>
      </c>
      <c r="L728" s="238">
        <f>IFERROR((HLOOKUP($AH728,Target_monthwise!$D$4:$O$20,DTR!L$4,FALSE))*1000,0)</f>
        <v>0</v>
      </c>
      <c r="M728" s="238">
        <f>IFERROR((HLOOKUP($AH728,Target_monthwise!$D$4:$O$20,DTR!M$4,FALSE))*1000,0)</f>
        <v>0</v>
      </c>
      <c r="N728" s="238">
        <f>IFERROR((HLOOKUP($AH728,Target_monthwise!$D$4:$O$20,DTR!N$4,FALSE))*1000,0)</f>
        <v>0</v>
      </c>
      <c r="O728" s="238">
        <f>IFERROR((HLOOKUP($AH728,Target_monthwise!$D$4:$O$20,DTR!O$4,FALSE))*1000,0)</f>
        <v>0</v>
      </c>
      <c r="P728" s="238">
        <f>IFERROR((HLOOKUP($AH728,Target_monthwise!$D$4:$O$20,DTR!P$4,FALSE))*1000,0)</f>
        <v>0</v>
      </c>
      <c r="Q728" s="141">
        <f>IFERROR((HLOOKUP($AH728,Target_monthwise!$D$4:$O$20,DTR!Q$4,FALSE))*1000,0)</f>
        <v>0</v>
      </c>
      <c r="R728" s="167">
        <f>IFERROR((HLOOKUP($AH728,Target_monthwise!$D$4:$O$20,DTR!R$4,FALSE))*1000,0)</f>
        <v>0</v>
      </c>
      <c r="S728" s="239">
        <f>IFERROR((HLOOKUP($AH728,Target_monthwise!$D$24:$O$40,DTR!S$4,FALSE)),0)</f>
        <v>0</v>
      </c>
      <c r="T728" s="239">
        <f>IFERROR((HLOOKUP($AH728,Target_monthwise!$D$24:$O$40,DTR!T$4,FALSE)),0)</f>
        <v>0</v>
      </c>
      <c r="U728" s="239">
        <f>IFERROR((HLOOKUP($AH728,Target_monthwise!$D$24:$O$40,DTR!U$4,FALSE)),0)</f>
        <v>0</v>
      </c>
      <c r="V728" s="239">
        <f>IFERROR((HLOOKUP($AH728,Target_monthwise!$D$24:$O$40,DTR!V$4,FALSE)),0)</f>
        <v>0</v>
      </c>
      <c r="W728" s="239">
        <f>IFERROR((HLOOKUP($AH728,Target_monthwise!$D$24:$O$40,DTR!W$4,FALSE)),0)</f>
        <v>0</v>
      </c>
      <c r="X728" s="239">
        <f>IFERROR((HLOOKUP($AH728,Target_monthwise!$D$24:$O$40,DTR!X$4,FALSE)),0)</f>
        <v>0</v>
      </c>
      <c r="Y728" s="239">
        <f>IFERROR((HLOOKUP($AH728,Target_monthwise!$D$24:$O$40,DTR!Y$4,FALSE)),0)</f>
        <v>0</v>
      </c>
      <c r="Z728" s="147">
        <f>IFERROR((HLOOKUP($AH728,Target_monthwise!$D$24:$O$40,DTR!Z$4,FALSE)),0)</f>
        <v>0</v>
      </c>
      <c r="AA728" s="147">
        <f>IFERROR((HLOOKUP($AH728,Target_monthwise!$D$24:$O$40,DTR!AA$4,FALSE)),0)</f>
        <v>0</v>
      </c>
      <c r="AB728" s="147">
        <f>IFERROR((HLOOKUP($AH728,Target_monthwise!$D$24:$O$40,DTR!AB$4,FALSE)),0)</f>
        <v>0</v>
      </c>
      <c r="AC728" s="239">
        <f>IFERROR((HLOOKUP($AH728,Target_monthwise!$D$24:$O$40,DTR!AC$4,FALSE)),0)</f>
        <v>0</v>
      </c>
      <c r="AD728" s="239">
        <f>IFERROR((HLOOKUP($AH728,Target_monthwise!$D$24:$O$40,DTR!AD$4,FALSE)),0)</f>
        <v>0</v>
      </c>
      <c r="AE728" s="239">
        <f>IFERROR((HLOOKUP($AH728,Target_monthwise!$D$24:$O$40,DTR!AE$4,FALSE)),0)</f>
        <v>0</v>
      </c>
      <c r="AF728" s="239">
        <f>IFERROR((HLOOKUP($AH728,Target_monthwise!$D$24:$O$40,DTR!AF$4,FALSE)),0)</f>
        <v>0</v>
      </c>
      <c r="AG728" s="172">
        <f>IFERROR((HLOOKUP($AH728,Target_monthwise!$D$24:$O$40,DTR!AG$4,FALSE)),0)</f>
        <v>0</v>
      </c>
      <c r="AH728" s="253">
        <f t="shared" si="13"/>
        <v>202403</v>
      </c>
    </row>
    <row r="729" spans="3:34" ht="15.75" hidden="1">
      <c r="C729" s="235">
        <v>45372</v>
      </c>
      <c r="D729" s="141">
        <f>IFERROR((HLOOKUP($AH729,Target_monthwise!$D$4:$O$20,DTR!D$4,FALSE))*1000,0)</f>
        <v>0</v>
      </c>
      <c r="E729" s="141">
        <f>IFERROR((HLOOKUP($AH729,Target_monthwise!$D$4:$O$20,DTR!E$4,FALSE))*1000,0)</f>
        <v>0</v>
      </c>
      <c r="F729" s="141">
        <f>IFERROR((HLOOKUP($AH729,Target_monthwise!$D$4:$O$20,DTR!F$4,FALSE))*1000,0)</f>
        <v>0</v>
      </c>
      <c r="G729" s="141">
        <f>IFERROR((HLOOKUP($AH729,Target_monthwise!$D$4:$O$20,DTR!G$4,FALSE))*1000,0)</f>
        <v>0</v>
      </c>
      <c r="H729" s="141">
        <f>IFERROR((HLOOKUP($AH729,Target_monthwise!$D$4:$O$20,DTR!H$4,FALSE))*1000,0)</f>
        <v>0</v>
      </c>
      <c r="I729" s="141">
        <f>IFERROR((HLOOKUP($AH729,Target_monthwise!$D$4:$O$20,DTR!I$4,FALSE))*1000,0)</f>
        <v>0</v>
      </c>
      <c r="J729" s="141">
        <f>IFERROR((HLOOKUP($AH729,Target_monthwise!$D$4:$O$20,DTR!J$4,FALSE))*1000,0)</f>
        <v>0</v>
      </c>
      <c r="K729" s="141">
        <f>IFERROR((HLOOKUP($AH729,Target_monthwise!$D$4:$O$20,DTR!K$4,FALSE))*1000,0)</f>
        <v>0</v>
      </c>
      <c r="L729" s="141">
        <f>IFERROR((HLOOKUP($AH729,Target_monthwise!$D$4:$O$20,DTR!L$4,FALSE))*1000,0)</f>
        <v>0</v>
      </c>
      <c r="M729" s="141">
        <f>IFERROR((HLOOKUP($AH729,Target_monthwise!$D$4:$O$20,DTR!M$4,FALSE))*1000,0)</f>
        <v>0</v>
      </c>
      <c r="N729" s="141">
        <f>IFERROR((HLOOKUP($AH729,Target_monthwise!$D$4:$O$20,DTR!N$4,FALSE))*1000,0)</f>
        <v>0</v>
      </c>
      <c r="O729" s="141">
        <f>IFERROR((HLOOKUP($AH729,Target_monthwise!$D$4:$O$20,DTR!O$4,FALSE))*1000,0)</f>
        <v>0</v>
      </c>
      <c r="P729" s="141">
        <f>IFERROR((HLOOKUP($AH729,Target_monthwise!$D$4:$O$20,DTR!P$4,FALSE))*1000,0)</f>
        <v>0</v>
      </c>
      <c r="Q729" s="141">
        <f>IFERROR((HLOOKUP($AH729,Target_monthwise!$D$4:$O$20,DTR!Q$4,FALSE))*1000,0)</f>
        <v>0</v>
      </c>
      <c r="R729" s="167">
        <f>IFERROR((HLOOKUP($AH729,Target_monthwise!$D$4:$O$20,DTR!R$4,FALSE))*1000,0)</f>
        <v>0</v>
      </c>
      <c r="S729" s="147">
        <f>IFERROR((HLOOKUP($AH729,Target_monthwise!$D$24:$O$40,DTR!S$4,FALSE)),0)</f>
        <v>0</v>
      </c>
      <c r="T729" s="147">
        <f>IFERROR((HLOOKUP($AH729,Target_monthwise!$D$24:$O$40,DTR!T$4,FALSE)),0)</f>
        <v>0</v>
      </c>
      <c r="U729" s="147">
        <f>IFERROR((HLOOKUP($AH729,Target_monthwise!$D$24:$O$40,DTR!U$4,FALSE)),0)</f>
        <v>0</v>
      </c>
      <c r="V729" s="147">
        <f>IFERROR((HLOOKUP($AH729,Target_monthwise!$D$24:$O$40,DTR!V$4,FALSE)),0)</f>
        <v>0</v>
      </c>
      <c r="W729" s="147">
        <f>IFERROR((HLOOKUP($AH729,Target_monthwise!$D$24:$O$40,DTR!W$4,FALSE)),0)</f>
        <v>0</v>
      </c>
      <c r="X729" s="147">
        <f>IFERROR((HLOOKUP($AH729,Target_monthwise!$D$24:$O$40,DTR!X$4,FALSE)),0)</f>
        <v>0</v>
      </c>
      <c r="Y729" s="147">
        <f>IFERROR((HLOOKUP($AH729,Target_monthwise!$D$24:$O$40,DTR!Y$4,FALSE)),0)</f>
        <v>0</v>
      </c>
      <c r="Z729" s="147">
        <f>IFERROR((HLOOKUP($AH729,Target_monthwise!$D$24:$O$40,DTR!Z$4,FALSE)),0)</f>
        <v>0</v>
      </c>
      <c r="AA729" s="147">
        <f>IFERROR((HLOOKUP($AH729,Target_monthwise!$D$24:$O$40,DTR!AA$4,FALSE)),0)</f>
        <v>0</v>
      </c>
      <c r="AB729" s="147">
        <f>IFERROR((HLOOKUP($AH729,Target_monthwise!$D$24:$O$40,DTR!AB$4,FALSE)),0)</f>
        <v>0</v>
      </c>
      <c r="AC729" s="147">
        <f>IFERROR((HLOOKUP($AH729,Target_monthwise!$D$24:$O$40,DTR!AC$4,FALSE)),0)</f>
        <v>0</v>
      </c>
      <c r="AD729" s="147">
        <f>IFERROR((HLOOKUP($AH729,Target_monthwise!$D$24:$O$40,DTR!AD$4,FALSE)),0)</f>
        <v>0</v>
      </c>
      <c r="AE729" s="147">
        <f>IFERROR((HLOOKUP($AH729,Target_monthwise!$D$24:$O$40,DTR!AE$4,FALSE)),0)</f>
        <v>0</v>
      </c>
      <c r="AF729" s="147">
        <f>IFERROR((HLOOKUP($AH729,Target_monthwise!$D$24:$O$40,DTR!AF$4,FALSE)),0)</f>
        <v>0</v>
      </c>
      <c r="AG729" s="172">
        <f>IFERROR((HLOOKUP($AH729,Target_monthwise!$D$24:$O$40,DTR!AG$4,FALSE)),0)</f>
        <v>0</v>
      </c>
      <c r="AH729" s="253">
        <f t="shared" si="13"/>
        <v>202403</v>
      </c>
    </row>
    <row r="730" spans="3:34" ht="15.75" hidden="1">
      <c r="C730" s="237">
        <v>45373</v>
      </c>
      <c r="D730" s="238">
        <f>IFERROR((HLOOKUP($AH730,Target_monthwise!$D$4:$O$20,DTR!D$4,FALSE))*1000,0)</f>
        <v>0</v>
      </c>
      <c r="E730" s="238">
        <f>IFERROR((HLOOKUP($AH730,Target_monthwise!$D$4:$O$20,DTR!E$4,FALSE))*1000,0)</f>
        <v>0</v>
      </c>
      <c r="F730" s="238">
        <f>IFERROR((HLOOKUP($AH730,Target_monthwise!$D$4:$O$20,DTR!F$4,FALSE))*1000,0)</f>
        <v>0</v>
      </c>
      <c r="G730" s="238">
        <f>IFERROR((HLOOKUP($AH730,Target_monthwise!$D$4:$O$20,DTR!G$4,FALSE))*1000,0)</f>
        <v>0</v>
      </c>
      <c r="H730" s="238">
        <f>IFERROR((HLOOKUP($AH730,Target_monthwise!$D$4:$O$20,DTR!H$4,FALSE))*1000,0)</f>
        <v>0</v>
      </c>
      <c r="I730" s="238">
        <f>IFERROR((HLOOKUP($AH730,Target_monthwise!$D$4:$O$20,DTR!I$4,FALSE))*1000,0)</f>
        <v>0</v>
      </c>
      <c r="J730" s="238">
        <f>IFERROR((HLOOKUP($AH730,Target_monthwise!$D$4:$O$20,DTR!J$4,FALSE))*1000,0)</f>
        <v>0</v>
      </c>
      <c r="K730" s="238">
        <f>IFERROR((HLOOKUP($AH730,Target_monthwise!$D$4:$O$20,DTR!K$4,FALSE))*1000,0)</f>
        <v>0</v>
      </c>
      <c r="L730" s="238">
        <f>IFERROR((HLOOKUP($AH730,Target_monthwise!$D$4:$O$20,DTR!L$4,FALSE))*1000,0)</f>
        <v>0</v>
      </c>
      <c r="M730" s="238">
        <f>IFERROR((HLOOKUP($AH730,Target_monthwise!$D$4:$O$20,DTR!M$4,FALSE))*1000,0)</f>
        <v>0</v>
      </c>
      <c r="N730" s="238">
        <f>IFERROR((HLOOKUP($AH730,Target_monthwise!$D$4:$O$20,DTR!N$4,FALSE))*1000,0)</f>
        <v>0</v>
      </c>
      <c r="O730" s="238">
        <f>IFERROR((HLOOKUP($AH730,Target_monthwise!$D$4:$O$20,DTR!O$4,FALSE))*1000,0)</f>
        <v>0</v>
      </c>
      <c r="P730" s="238">
        <f>IFERROR((HLOOKUP($AH730,Target_monthwise!$D$4:$O$20,DTR!P$4,FALSE))*1000,0)</f>
        <v>0</v>
      </c>
      <c r="Q730" s="141">
        <f>IFERROR((HLOOKUP($AH730,Target_monthwise!$D$4:$O$20,DTR!Q$4,FALSE))*1000,0)</f>
        <v>0</v>
      </c>
      <c r="R730" s="167">
        <f>IFERROR((HLOOKUP($AH730,Target_monthwise!$D$4:$O$20,DTR!R$4,FALSE))*1000,0)</f>
        <v>0</v>
      </c>
      <c r="S730" s="239">
        <f>IFERROR((HLOOKUP($AH730,Target_monthwise!$D$24:$O$40,DTR!S$4,FALSE)),0)</f>
        <v>0</v>
      </c>
      <c r="T730" s="239">
        <f>IFERROR((HLOOKUP($AH730,Target_monthwise!$D$24:$O$40,DTR!T$4,FALSE)),0)</f>
        <v>0</v>
      </c>
      <c r="U730" s="239">
        <f>IFERROR((HLOOKUP($AH730,Target_monthwise!$D$24:$O$40,DTR!U$4,FALSE)),0)</f>
        <v>0</v>
      </c>
      <c r="V730" s="239">
        <f>IFERROR((HLOOKUP($AH730,Target_monthwise!$D$24:$O$40,DTR!V$4,FALSE)),0)</f>
        <v>0</v>
      </c>
      <c r="W730" s="239">
        <f>IFERROR((HLOOKUP($AH730,Target_monthwise!$D$24:$O$40,DTR!W$4,FALSE)),0)</f>
        <v>0</v>
      </c>
      <c r="X730" s="239">
        <f>IFERROR((HLOOKUP($AH730,Target_monthwise!$D$24:$O$40,DTR!X$4,FALSE)),0)</f>
        <v>0</v>
      </c>
      <c r="Y730" s="239">
        <f>IFERROR((HLOOKUP($AH730,Target_monthwise!$D$24:$O$40,DTR!Y$4,FALSE)),0)</f>
        <v>0</v>
      </c>
      <c r="Z730" s="147">
        <f>IFERROR((HLOOKUP($AH730,Target_monthwise!$D$24:$O$40,DTR!Z$4,FALSE)),0)</f>
        <v>0</v>
      </c>
      <c r="AA730" s="147">
        <f>IFERROR((HLOOKUP($AH730,Target_monthwise!$D$24:$O$40,DTR!AA$4,FALSE)),0)</f>
        <v>0</v>
      </c>
      <c r="AB730" s="147">
        <f>IFERROR((HLOOKUP($AH730,Target_monthwise!$D$24:$O$40,DTR!AB$4,FALSE)),0)</f>
        <v>0</v>
      </c>
      <c r="AC730" s="239">
        <f>IFERROR((HLOOKUP($AH730,Target_monthwise!$D$24:$O$40,DTR!AC$4,FALSE)),0)</f>
        <v>0</v>
      </c>
      <c r="AD730" s="239">
        <f>IFERROR((HLOOKUP($AH730,Target_monthwise!$D$24:$O$40,DTR!AD$4,FALSE)),0)</f>
        <v>0</v>
      </c>
      <c r="AE730" s="239">
        <f>IFERROR((HLOOKUP($AH730,Target_monthwise!$D$24:$O$40,DTR!AE$4,FALSE)),0)</f>
        <v>0</v>
      </c>
      <c r="AF730" s="239">
        <f>IFERROR((HLOOKUP($AH730,Target_monthwise!$D$24:$O$40,DTR!AF$4,FALSE)),0)</f>
        <v>0</v>
      </c>
      <c r="AG730" s="172">
        <f>IFERROR((HLOOKUP($AH730,Target_monthwise!$D$24:$O$40,DTR!AG$4,FALSE)),0)</f>
        <v>0</v>
      </c>
      <c r="AH730" s="253">
        <f t="shared" si="13"/>
        <v>202403</v>
      </c>
    </row>
    <row r="731" spans="3:34" ht="15.75" hidden="1">
      <c r="C731" s="235">
        <v>45374</v>
      </c>
      <c r="D731" s="141">
        <f>IFERROR((HLOOKUP($AH731,Target_monthwise!$D$4:$O$20,DTR!D$4,FALSE))*1000,0)</f>
        <v>0</v>
      </c>
      <c r="E731" s="141">
        <f>IFERROR((HLOOKUP($AH731,Target_monthwise!$D$4:$O$20,DTR!E$4,FALSE))*1000,0)</f>
        <v>0</v>
      </c>
      <c r="F731" s="141">
        <f>IFERROR((HLOOKUP($AH731,Target_monthwise!$D$4:$O$20,DTR!F$4,FALSE))*1000,0)</f>
        <v>0</v>
      </c>
      <c r="G731" s="141">
        <f>IFERROR((HLOOKUP($AH731,Target_monthwise!$D$4:$O$20,DTR!G$4,FALSE))*1000,0)</f>
        <v>0</v>
      </c>
      <c r="H731" s="141">
        <f>IFERROR((HLOOKUP($AH731,Target_monthwise!$D$4:$O$20,DTR!H$4,FALSE))*1000,0)</f>
        <v>0</v>
      </c>
      <c r="I731" s="141">
        <f>IFERROR((HLOOKUP($AH731,Target_monthwise!$D$4:$O$20,DTR!I$4,FALSE))*1000,0)</f>
        <v>0</v>
      </c>
      <c r="J731" s="141">
        <f>IFERROR((HLOOKUP($AH731,Target_monthwise!$D$4:$O$20,DTR!J$4,FALSE))*1000,0)</f>
        <v>0</v>
      </c>
      <c r="K731" s="141">
        <f>IFERROR((HLOOKUP($AH731,Target_monthwise!$D$4:$O$20,DTR!K$4,FALSE))*1000,0)</f>
        <v>0</v>
      </c>
      <c r="L731" s="141">
        <f>IFERROR((HLOOKUP($AH731,Target_monthwise!$D$4:$O$20,DTR!L$4,FALSE))*1000,0)</f>
        <v>0</v>
      </c>
      <c r="M731" s="141">
        <f>IFERROR((HLOOKUP($AH731,Target_monthwise!$D$4:$O$20,DTR!M$4,FALSE))*1000,0)</f>
        <v>0</v>
      </c>
      <c r="N731" s="141">
        <f>IFERROR((HLOOKUP($AH731,Target_monthwise!$D$4:$O$20,DTR!N$4,FALSE))*1000,0)</f>
        <v>0</v>
      </c>
      <c r="O731" s="141">
        <f>IFERROR((HLOOKUP($AH731,Target_monthwise!$D$4:$O$20,DTR!O$4,FALSE))*1000,0)</f>
        <v>0</v>
      </c>
      <c r="P731" s="141">
        <f>IFERROR((HLOOKUP($AH731,Target_monthwise!$D$4:$O$20,DTR!P$4,FALSE))*1000,0)</f>
        <v>0</v>
      </c>
      <c r="Q731" s="141">
        <f>IFERROR((HLOOKUP($AH731,Target_monthwise!$D$4:$O$20,DTR!Q$4,FALSE))*1000,0)</f>
        <v>0</v>
      </c>
      <c r="R731" s="167">
        <f>IFERROR((HLOOKUP($AH731,Target_monthwise!$D$4:$O$20,DTR!R$4,FALSE))*1000,0)</f>
        <v>0</v>
      </c>
      <c r="S731" s="147">
        <f>IFERROR((HLOOKUP($AH731,Target_monthwise!$D$24:$O$40,DTR!S$4,FALSE)),0)</f>
        <v>0</v>
      </c>
      <c r="T731" s="147">
        <f>IFERROR((HLOOKUP($AH731,Target_monthwise!$D$24:$O$40,DTR!T$4,FALSE)),0)</f>
        <v>0</v>
      </c>
      <c r="U731" s="147">
        <f>IFERROR((HLOOKUP($AH731,Target_monthwise!$D$24:$O$40,DTR!U$4,FALSE)),0)</f>
        <v>0</v>
      </c>
      <c r="V731" s="147">
        <f>IFERROR((HLOOKUP($AH731,Target_monthwise!$D$24:$O$40,DTR!V$4,FALSE)),0)</f>
        <v>0</v>
      </c>
      <c r="W731" s="147">
        <f>IFERROR((HLOOKUP($AH731,Target_monthwise!$D$24:$O$40,DTR!W$4,FALSE)),0)</f>
        <v>0</v>
      </c>
      <c r="X731" s="147">
        <f>IFERROR((HLOOKUP($AH731,Target_monthwise!$D$24:$O$40,DTR!X$4,FALSE)),0)</f>
        <v>0</v>
      </c>
      <c r="Y731" s="147">
        <f>IFERROR((HLOOKUP($AH731,Target_monthwise!$D$24:$O$40,DTR!Y$4,FALSE)),0)</f>
        <v>0</v>
      </c>
      <c r="Z731" s="147">
        <f>IFERROR((HLOOKUP($AH731,Target_monthwise!$D$24:$O$40,DTR!Z$4,FALSE)),0)</f>
        <v>0</v>
      </c>
      <c r="AA731" s="147">
        <f>IFERROR((HLOOKUP($AH731,Target_monthwise!$D$24:$O$40,DTR!AA$4,FALSE)),0)</f>
        <v>0</v>
      </c>
      <c r="AB731" s="147">
        <f>IFERROR((HLOOKUP($AH731,Target_monthwise!$D$24:$O$40,DTR!AB$4,FALSE)),0)</f>
        <v>0</v>
      </c>
      <c r="AC731" s="147">
        <f>IFERROR((HLOOKUP($AH731,Target_monthwise!$D$24:$O$40,DTR!AC$4,FALSE)),0)</f>
        <v>0</v>
      </c>
      <c r="AD731" s="147">
        <f>IFERROR((HLOOKUP($AH731,Target_monthwise!$D$24:$O$40,DTR!AD$4,FALSE)),0)</f>
        <v>0</v>
      </c>
      <c r="AE731" s="147">
        <f>IFERROR((HLOOKUP($AH731,Target_monthwise!$D$24:$O$40,DTR!AE$4,FALSE)),0)</f>
        <v>0</v>
      </c>
      <c r="AF731" s="147">
        <f>IFERROR((HLOOKUP($AH731,Target_monthwise!$D$24:$O$40,DTR!AF$4,FALSE)),0)</f>
        <v>0</v>
      </c>
      <c r="AG731" s="172">
        <f>IFERROR((HLOOKUP($AH731,Target_monthwise!$D$24:$O$40,DTR!AG$4,FALSE)),0)</f>
        <v>0</v>
      </c>
      <c r="AH731" s="253">
        <f t="shared" si="13"/>
        <v>202403</v>
      </c>
    </row>
    <row r="732" spans="3:34" ht="15.75" hidden="1">
      <c r="C732" s="237">
        <v>45375</v>
      </c>
      <c r="D732" s="238">
        <f>IFERROR((HLOOKUP($AH732,Target_monthwise!$D$4:$O$20,DTR!D$4,FALSE))*1000,0)</f>
        <v>0</v>
      </c>
      <c r="E732" s="238">
        <f>IFERROR((HLOOKUP($AH732,Target_monthwise!$D$4:$O$20,DTR!E$4,FALSE))*1000,0)</f>
        <v>0</v>
      </c>
      <c r="F732" s="238">
        <f>IFERROR((HLOOKUP($AH732,Target_monthwise!$D$4:$O$20,DTR!F$4,FALSE))*1000,0)</f>
        <v>0</v>
      </c>
      <c r="G732" s="238">
        <f>IFERROR((HLOOKUP($AH732,Target_monthwise!$D$4:$O$20,DTR!G$4,FALSE))*1000,0)</f>
        <v>0</v>
      </c>
      <c r="H732" s="238">
        <f>IFERROR((HLOOKUP($AH732,Target_monthwise!$D$4:$O$20,DTR!H$4,FALSE))*1000,0)</f>
        <v>0</v>
      </c>
      <c r="I732" s="238">
        <f>IFERROR((HLOOKUP($AH732,Target_monthwise!$D$4:$O$20,DTR!I$4,FALSE))*1000,0)</f>
        <v>0</v>
      </c>
      <c r="J732" s="238">
        <f>IFERROR((HLOOKUP($AH732,Target_monthwise!$D$4:$O$20,DTR!J$4,FALSE))*1000,0)</f>
        <v>0</v>
      </c>
      <c r="K732" s="238">
        <f>IFERROR((HLOOKUP($AH732,Target_monthwise!$D$4:$O$20,DTR!K$4,FALSE))*1000,0)</f>
        <v>0</v>
      </c>
      <c r="L732" s="238">
        <f>IFERROR((HLOOKUP($AH732,Target_monthwise!$D$4:$O$20,DTR!L$4,FALSE))*1000,0)</f>
        <v>0</v>
      </c>
      <c r="M732" s="238">
        <f>IFERROR((HLOOKUP($AH732,Target_monthwise!$D$4:$O$20,DTR!M$4,FALSE))*1000,0)</f>
        <v>0</v>
      </c>
      <c r="N732" s="238">
        <f>IFERROR((HLOOKUP($AH732,Target_monthwise!$D$4:$O$20,DTR!N$4,FALSE))*1000,0)</f>
        <v>0</v>
      </c>
      <c r="O732" s="238">
        <f>IFERROR((HLOOKUP($AH732,Target_monthwise!$D$4:$O$20,DTR!O$4,FALSE))*1000,0)</f>
        <v>0</v>
      </c>
      <c r="P732" s="238">
        <f>IFERROR((HLOOKUP($AH732,Target_monthwise!$D$4:$O$20,DTR!P$4,FALSE))*1000,0)</f>
        <v>0</v>
      </c>
      <c r="Q732" s="141">
        <f>IFERROR((HLOOKUP($AH732,Target_monthwise!$D$4:$O$20,DTR!Q$4,FALSE))*1000,0)</f>
        <v>0</v>
      </c>
      <c r="R732" s="167">
        <f>IFERROR((HLOOKUP($AH732,Target_monthwise!$D$4:$O$20,DTR!R$4,FALSE))*1000,0)</f>
        <v>0</v>
      </c>
      <c r="S732" s="239">
        <f>IFERROR((HLOOKUP($AH732,Target_monthwise!$D$24:$O$40,DTR!S$4,FALSE)),0)</f>
        <v>0</v>
      </c>
      <c r="T732" s="239">
        <f>IFERROR((HLOOKUP($AH732,Target_monthwise!$D$24:$O$40,DTR!T$4,FALSE)),0)</f>
        <v>0</v>
      </c>
      <c r="U732" s="239">
        <f>IFERROR((HLOOKUP($AH732,Target_monthwise!$D$24:$O$40,DTR!U$4,FALSE)),0)</f>
        <v>0</v>
      </c>
      <c r="V732" s="239">
        <f>IFERROR((HLOOKUP($AH732,Target_monthwise!$D$24:$O$40,DTR!V$4,FALSE)),0)</f>
        <v>0</v>
      </c>
      <c r="W732" s="239">
        <f>IFERROR((HLOOKUP($AH732,Target_monthwise!$D$24:$O$40,DTR!W$4,FALSE)),0)</f>
        <v>0</v>
      </c>
      <c r="X732" s="239">
        <f>IFERROR((HLOOKUP($AH732,Target_monthwise!$D$24:$O$40,DTR!X$4,FALSE)),0)</f>
        <v>0</v>
      </c>
      <c r="Y732" s="239">
        <f>IFERROR((HLOOKUP($AH732,Target_monthwise!$D$24:$O$40,DTR!Y$4,FALSE)),0)</f>
        <v>0</v>
      </c>
      <c r="Z732" s="147">
        <f>IFERROR((HLOOKUP($AH732,Target_monthwise!$D$24:$O$40,DTR!Z$4,FALSE)),0)</f>
        <v>0</v>
      </c>
      <c r="AA732" s="147">
        <f>IFERROR((HLOOKUP($AH732,Target_monthwise!$D$24:$O$40,DTR!AA$4,FALSE)),0)</f>
        <v>0</v>
      </c>
      <c r="AB732" s="147">
        <f>IFERROR((HLOOKUP($AH732,Target_monthwise!$D$24:$O$40,DTR!AB$4,FALSE)),0)</f>
        <v>0</v>
      </c>
      <c r="AC732" s="239">
        <f>IFERROR((HLOOKUP($AH732,Target_monthwise!$D$24:$O$40,DTR!AC$4,FALSE)),0)</f>
        <v>0</v>
      </c>
      <c r="AD732" s="239">
        <f>IFERROR((HLOOKUP($AH732,Target_monthwise!$D$24:$O$40,DTR!AD$4,FALSE)),0)</f>
        <v>0</v>
      </c>
      <c r="AE732" s="239">
        <f>IFERROR((HLOOKUP($AH732,Target_monthwise!$D$24:$O$40,DTR!AE$4,FALSE)),0)</f>
        <v>0</v>
      </c>
      <c r="AF732" s="239">
        <f>IFERROR((HLOOKUP($AH732,Target_monthwise!$D$24:$O$40,DTR!AF$4,FALSE)),0)</f>
        <v>0</v>
      </c>
      <c r="AG732" s="172">
        <f>IFERROR((HLOOKUP($AH732,Target_monthwise!$D$24:$O$40,DTR!AG$4,FALSE)),0)</f>
        <v>0</v>
      </c>
      <c r="AH732" s="253">
        <f t="shared" si="13"/>
        <v>202403</v>
      </c>
    </row>
    <row r="733" spans="3:34" ht="15.75" hidden="1">
      <c r="C733" s="235">
        <v>45376</v>
      </c>
      <c r="D733" s="141">
        <f>IFERROR((HLOOKUP($AH733,Target_monthwise!$D$4:$O$20,DTR!D$4,FALSE))*1000,0)</f>
        <v>0</v>
      </c>
      <c r="E733" s="141">
        <f>IFERROR((HLOOKUP($AH733,Target_monthwise!$D$4:$O$20,DTR!E$4,FALSE))*1000,0)</f>
        <v>0</v>
      </c>
      <c r="F733" s="141">
        <f>IFERROR((HLOOKUP($AH733,Target_monthwise!$D$4:$O$20,DTR!F$4,FALSE))*1000,0)</f>
        <v>0</v>
      </c>
      <c r="G733" s="141">
        <f>IFERROR((HLOOKUP($AH733,Target_monthwise!$D$4:$O$20,DTR!G$4,FALSE))*1000,0)</f>
        <v>0</v>
      </c>
      <c r="H733" s="141">
        <f>IFERROR((HLOOKUP($AH733,Target_monthwise!$D$4:$O$20,DTR!H$4,FALSE))*1000,0)</f>
        <v>0</v>
      </c>
      <c r="I733" s="141">
        <f>IFERROR((HLOOKUP($AH733,Target_monthwise!$D$4:$O$20,DTR!I$4,FALSE))*1000,0)</f>
        <v>0</v>
      </c>
      <c r="J733" s="141">
        <f>IFERROR((HLOOKUP($AH733,Target_monthwise!$D$4:$O$20,DTR!J$4,FALSE))*1000,0)</f>
        <v>0</v>
      </c>
      <c r="K733" s="141">
        <f>IFERROR((HLOOKUP($AH733,Target_monthwise!$D$4:$O$20,DTR!K$4,FALSE))*1000,0)</f>
        <v>0</v>
      </c>
      <c r="L733" s="141">
        <f>IFERROR((HLOOKUP($AH733,Target_monthwise!$D$4:$O$20,DTR!L$4,FALSE))*1000,0)</f>
        <v>0</v>
      </c>
      <c r="M733" s="141">
        <f>IFERROR((HLOOKUP($AH733,Target_monthwise!$D$4:$O$20,DTR!M$4,FALSE))*1000,0)</f>
        <v>0</v>
      </c>
      <c r="N733" s="141">
        <f>IFERROR((HLOOKUP($AH733,Target_monthwise!$D$4:$O$20,DTR!N$4,FALSE))*1000,0)</f>
        <v>0</v>
      </c>
      <c r="O733" s="141">
        <f>IFERROR((HLOOKUP($AH733,Target_monthwise!$D$4:$O$20,DTR!O$4,FALSE))*1000,0)</f>
        <v>0</v>
      </c>
      <c r="P733" s="141">
        <f>IFERROR((HLOOKUP($AH733,Target_monthwise!$D$4:$O$20,DTR!P$4,FALSE))*1000,0)</f>
        <v>0</v>
      </c>
      <c r="Q733" s="141">
        <f>IFERROR((HLOOKUP($AH733,Target_monthwise!$D$4:$O$20,DTR!Q$4,FALSE))*1000,0)</f>
        <v>0</v>
      </c>
      <c r="R733" s="167">
        <f>IFERROR((HLOOKUP($AH733,Target_monthwise!$D$4:$O$20,DTR!R$4,FALSE))*1000,0)</f>
        <v>0</v>
      </c>
      <c r="S733" s="147">
        <f>IFERROR((HLOOKUP($AH733,Target_monthwise!$D$24:$O$40,DTR!S$4,FALSE)),0)</f>
        <v>0</v>
      </c>
      <c r="T733" s="147">
        <f>IFERROR((HLOOKUP($AH733,Target_monthwise!$D$24:$O$40,DTR!T$4,FALSE)),0)</f>
        <v>0</v>
      </c>
      <c r="U733" s="147">
        <f>IFERROR((HLOOKUP($AH733,Target_monthwise!$D$24:$O$40,DTR!U$4,FALSE)),0)</f>
        <v>0</v>
      </c>
      <c r="V733" s="147">
        <f>IFERROR((HLOOKUP($AH733,Target_monthwise!$D$24:$O$40,DTR!V$4,FALSE)),0)</f>
        <v>0</v>
      </c>
      <c r="W733" s="147">
        <f>IFERROR((HLOOKUP($AH733,Target_monthwise!$D$24:$O$40,DTR!W$4,FALSE)),0)</f>
        <v>0</v>
      </c>
      <c r="X733" s="147">
        <f>IFERROR((HLOOKUP($AH733,Target_monthwise!$D$24:$O$40,DTR!X$4,FALSE)),0)</f>
        <v>0</v>
      </c>
      <c r="Y733" s="147">
        <f>IFERROR((HLOOKUP($AH733,Target_monthwise!$D$24:$O$40,DTR!Y$4,FALSE)),0)</f>
        <v>0</v>
      </c>
      <c r="Z733" s="147">
        <f>IFERROR((HLOOKUP($AH733,Target_monthwise!$D$24:$O$40,DTR!Z$4,FALSE)),0)</f>
        <v>0</v>
      </c>
      <c r="AA733" s="147">
        <f>IFERROR((HLOOKUP($AH733,Target_monthwise!$D$24:$O$40,DTR!AA$4,FALSE)),0)</f>
        <v>0</v>
      </c>
      <c r="AB733" s="147">
        <f>IFERROR((HLOOKUP($AH733,Target_monthwise!$D$24:$O$40,DTR!AB$4,FALSE)),0)</f>
        <v>0</v>
      </c>
      <c r="AC733" s="147">
        <f>IFERROR((HLOOKUP($AH733,Target_monthwise!$D$24:$O$40,DTR!AC$4,FALSE)),0)</f>
        <v>0</v>
      </c>
      <c r="AD733" s="147">
        <f>IFERROR((HLOOKUP($AH733,Target_monthwise!$D$24:$O$40,DTR!AD$4,FALSE)),0)</f>
        <v>0</v>
      </c>
      <c r="AE733" s="147">
        <f>IFERROR((HLOOKUP($AH733,Target_monthwise!$D$24:$O$40,DTR!AE$4,FALSE)),0)</f>
        <v>0</v>
      </c>
      <c r="AF733" s="147">
        <f>IFERROR((HLOOKUP($AH733,Target_monthwise!$D$24:$O$40,DTR!AF$4,FALSE)),0)</f>
        <v>0</v>
      </c>
      <c r="AG733" s="172">
        <f>IFERROR((HLOOKUP($AH733,Target_monthwise!$D$24:$O$40,DTR!AG$4,FALSE)),0)</f>
        <v>0</v>
      </c>
      <c r="AH733" s="253">
        <f t="shared" si="13"/>
        <v>202403</v>
      </c>
    </row>
    <row r="734" spans="3:34" ht="15.75" hidden="1">
      <c r="C734" s="237">
        <v>45377</v>
      </c>
      <c r="D734" s="238">
        <f>IFERROR((HLOOKUP($AH734,Target_monthwise!$D$4:$O$20,DTR!D$4,FALSE))*1000,0)</f>
        <v>0</v>
      </c>
      <c r="E734" s="238">
        <f>IFERROR((HLOOKUP($AH734,Target_monthwise!$D$4:$O$20,DTR!E$4,FALSE))*1000,0)</f>
        <v>0</v>
      </c>
      <c r="F734" s="238">
        <f>IFERROR((HLOOKUP($AH734,Target_monthwise!$D$4:$O$20,DTR!F$4,FALSE))*1000,0)</f>
        <v>0</v>
      </c>
      <c r="G734" s="238">
        <f>IFERROR((HLOOKUP($AH734,Target_monthwise!$D$4:$O$20,DTR!G$4,FALSE))*1000,0)</f>
        <v>0</v>
      </c>
      <c r="H734" s="238">
        <f>IFERROR((HLOOKUP($AH734,Target_monthwise!$D$4:$O$20,DTR!H$4,FALSE))*1000,0)</f>
        <v>0</v>
      </c>
      <c r="I734" s="238">
        <f>IFERROR((HLOOKUP($AH734,Target_monthwise!$D$4:$O$20,DTR!I$4,FALSE))*1000,0)</f>
        <v>0</v>
      </c>
      <c r="J734" s="238">
        <f>IFERROR((HLOOKUP($AH734,Target_monthwise!$D$4:$O$20,DTR!J$4,FALSE))*1000,0)</f>
        <v>0</v>
      </c>
      <c r="K734" s="238">
        <f>IFERROR((HLOOKUP($AH734,Target_monthwise!$D$4:$O$20,DTR!K$4,FALSE))*1000,0)</f>
        <v>0</v>
      </c>
      <c r="L734" s="238">
        <f>IFERROR((HLOOKUP($AH734,Target_monthwise!$D$4:$O$20,DTR!L$4,FALSE))*1000,0)</f>
        <v>0</v>
      </c>
      <c r="M734" s="238">
        <f>IFERROR((HLOOKUP($AH734,Target_monthwise!$D$4:$O$20,DTR!M$4,FALSE))*1000,0)</f>
        <v>0</v>
      </c>
      <c r="N734" s="238">
        <f>IFERROR((HLOOKUP($AH734,Target_monthwise!$D$4:$O$20,DTR!N$4,FALSE))*1000,0)</f>
        <v>0</v>
      </c>
      <c r="O734" s="238">
        <f>IFERROR((HLOOKUP($AH734,Target_monthwise!$D$4:$O$20,DTR!O$4,FALSE))*1000,0)</f>
        <v>0</v>
      </c>
      <c r="P734" s="238">
        <f>IFERROR((HLOOKUP($AH734,Target_monthwise!$D$4:$O$20,DTR!P$4,FALSE))*1000,0)</f>
        <v>0</v>
      </c>
      <c r="Q734" s="141">
        <f>IFERROR((HLOOKUP($AH734,Target_monthwise!$D$4:$O$20,DTR!Q$4,FALSE))*1000,0)</f>
        <v>0</v>
      </c>
      <c r="R734" s="167">
        <f>IFERROR((HLOOKUP($AH734,Target_monthwise!$D$4:$O$20,DTR!R$4,FALSE))*1000,0)</f>
        <v>0</v>
      </c>
      <c r="S734" s="239">
        <f>IFERROR((HLOOKUP($AH734,Target_monthwise!$D$24:$O$40,DTR!S$4,FALSE)),0)</f>
        <v>0</v>
      </c>
      <c r="T734" s="239">
        <f>IFERROR((HLOOKUP($AH734,Target_monthwise!$D$24:$O$40,DTR!T$4,FALSE)),0)</f>
        <v>0</v>
      </c>
      <c r="U734" s="239">
        <f>IFERROR((HLOOKUP($AH734,Target_monthwise!$D$24:$O$40,DTR!U$4,FALSE)),0)</f>
        <v>0</v>
      </c>
      <c r="V734" s="239">
        <f>IFERROR((HLOOKUP($AH734,Target_monthwise!$D$24:$O$40,DTR!V$4,FALSE)),0)</f>
        <v>0</v>
      </c>
      <c r="W734" s="239">
        <f>IFERROR((HLOOKUP($AH734,Target_monthwise!$D$24:$O$40,DTR!W$4,FALSE)),0)</f>
        <v>0</v>
      </c>
      <c r="X734" s="239">
        <f>IFERROR((HLOOKUP($AH734,Target_monthwise!$D$24:$O$40,DTR!X$4,FALSE)),0)</f>
        <v>0</v>
      </c>
      <c r="Y734" s="239">
        <f>IFERROR((HLOOKUP($AH734,Target_monthwise!$D$24:$O$40,DTR!Y$4,FALSE)),0)</f>
        <v>0</v>
      </c>
      <c r="Z734" s="147">
        <f>IFERROR((HLOOKUP($AH734,Target_monthwise!$D$24:$O$40,DTR!Z$4,FALSE)),0)</f>
        <v>0</v>
      </c>
      <c r="AA734" s="147">
        <f>IFERROR((HLOOKUP($AH734,Target_monthwise!$D$24:$O$40,DTR!AA$4,FALSE)),0)</f>
        <v>0</v>
      </c>
      <c r="AB734" s="147">
        <f>IFERROR((HLOOKUP($AH734,Target_monthwise!$D$24:$O$40,DTR!AB$4,FALSE)),0)</f>
        <v>0</v>
      </c>
      <c r="AC734" s="239">
        <f>IFERROR((HLOOKUP($AH734,Target_monthwise!$D$24:$O$40,DTR!AC$4,FALSE)),0)</f>
        <v>0</v>
      </c>
      <c r="AD734" s="239">
        <f>IFERROR((HLOOKUP($AH734,Target_monthwise!$D$24:$O$40,DTR!AD$4,FALSE)),0)</f>
        <v>0</v>
      </c>
      <c r="AE734" s="239">
        <f>IFERROR((HLOOKUP($AH734,Target_monthwise!$D$24:$O$40,DTR!AE$4,FALSE)),0)</f>
        <v>0</v>
      </c>
      <c r="AF734" s="239">
        <f>IFERROR((HLOOKUP($AH734,Target_monthwise!$D$24:$O$40,DTR!AF$4,FALSE)),0)</f>
        <v>0</v>
      </c>
      <c r="AG734" s="172">
        <f>IFERROR((HLOOKUP($AH734,Target_monthwise!$D$24:$O$40,DTR!AG$4,FALSE)),0)</f>
        <v>0</v>
      </c>
      <c r="AH734" s="253">
        <f t="shared" si="13"/>
        <v>202403</v>
      </c>
    </row>
    <row r="735" spans="3:34" ht="15.75" hidden="1">
      <c r="C735" s="235">
        <v>45378</v>
      </c>
      <c r="D735" s="141">
        <f>IFERROR((HLOOKUP($AH735,Target_monthwise!$D$4:$O$20,DTR!D$4,FALSE))*1000,0)</f>
        <v>0</v>
      </c>
      <c r="E735" s="141">
        <f>IFERROR((HLOOKUP($AH735,Target_monthwise!$D$4:$O$20,DTR!E$4,FALSE))*1000,0)</f>
        <v>0</v>
      </c>
      <c r="F735" s="141">
        <f>IFERROR((HLOOKUP($AH735,Target_monthwise!$D$4:$O$20,DTR!F$4,FALSE))*1000,0)</f>
        <v>0</v>
      </c>
      <c r="G735" s="141">
        <f>IFERROR((HLOOKUP($AH735,Target_monthwise!$D$4:$O$20,DTR!G$4,FALSE))*1000,0)</f>
        <v>0</v>
      </c>
      <c r="H735" s="141">
        <f>IFERROR((HLOOKUP($AH735,Target_monthwise!$D$4:$O$20,DTR!H$4,FALSE))*1000,0)</f>
        <v>0</v>
      </c>
      <c r="I735" s="141">
        <f>IFERROR((HLOOKUP($AH735,Target_monthwise!$D$4:$O$20,DTR!I$4,FALSE))*1000,0)</f>
        <v>0</v>
      </c>
      <c r="J735" s="141">
        <f>IFERROR((HLOOKUP($AH735,Target_monthwise!$D$4:$O$20,DTR!J$4,FALSE))*1000,0)</f>
        <v>0</v>
      </c>
      <c r="K735" s="141">
        <f>IFERROR((HLOOKUP($AH735,Target_monthwise!$D$4:$O$20,DTR!K$4,FALSE))*1000,0)</f>
        <v>0</v>
      </c>
      <c r="L735" s="141">
        <f>IFERROR((HLOOKUP($AH735,Target_monthwise!$D$4:$O$20,DTR!L$4,FALSE))*1000,0)</f>
        <v>0</v>
      </c>
      <c r="M735" s="141">
        <f>IFERROR((HLOOKUP($AH735,Target_monthwise!$D$4:$O$20,DTR!M$4,FALSE))*1000,0)</f>
        <v>0</v>
      </c>
      <c r="N735" s="141">
        <f>IFERROR((HLOOKUP($AH735,Target_monthwise!$D$4:$O$20,DTR!N$4,FALSE))*1000,0)</f>
        <v>0</v>
      </c>
      <c r="O735" s="141">
        <f>IFERROR((HLOOKUP($AH735,Target_monthwise!$D$4:$O$20,DTR!O$4,FALSE))*1000,0)</f>
        <v>0</v>
      </c>
      <c r="P735" s="141">
        <f>IFERROR((HLOOKUP($AH735,Target_monthwise!$D$4:$O$20,DTR!P$4,FALSE))*1000,0)</f>
        <v>0</v>
      </c>
      <c r="Q735" s="141">
        <f>IFERROR((HLOOKUP($AH735,Target_monthwise!$D$4:$O$20,DTR!Q$4,FALSE))*1000,0)</f>
        <v>0</v>
      </c>
      <c r="R735" s="167">
        <f>IFERROR((HLOOKUP($AH735,Target_monthwise!$D$4:$O$20,DTR!R$4,FALSE))*1000,0)</f>
        <v>0</v>
      </c>
      <c r="S735" s="147">
        <f>IFERROR((HLOOKUP($AH735,Target_monthwise!$D$24:$O$40,DTR!S$4,FALSE)),0)</f>
        <v>0</v>
      </c>
      <c r="T735" s="147">
        <f>IFERROR((HLOOKUP($AH735,Target_monthwise!$D$24:$O$40,DTR!T$4,FALSE)),0)</f>
        <v>0</v>
      </c>
      <c r="U735" s="147">
        <f>IFERROR((HLOOKUP($AH735,Target_monthwise!$D$24:$O$40,DTR!U$4,FALSE)),0)</f>
        <v>0</v>
      </c>
      <c r="V735" s="147">
        <f>IFERROR((HLOOKUP($AH735,Target_monthwise!$D$24:$O$40,DTR!V$4,FALSE)),0)</f>
        <v>0</v>
      </c>
      <c r="W735" s="147">
        <f>IFERROR((HLOOKUP($AH735,Target_monthwise!$D$24:$O$40,DTR!W$4,FALSE)),0)</f>
        <v>0</v>
      </c>
      <c r="X735" s="147">
        <f>IFERROR((HLOOKUP($AH735,Target_monthwise!$D$24:$O$40,DTR!X$4,FALSE)),0)</f>
        <v>0</v>
      </c>
      <c r="Y735" s="147">
        <f>IFERROR((HLOOKUP($AH735,Target_monthwise!$D$24:$O$40,DTR!Y$4,FALSE)),0)</f>
        <v>0</v>
      </c>
      <c r="Z735" s="147">
        <f>IFERROR((HLOOKUP($AH735,Target_monthwise!$D$24:$O$40,DTR!Z$4,FALSE)),0)</f>
        <v>0</v>
      </c>
      <c r="AA735" s="147">
        <f>IFERROR((HLOOKUP($AH735,Target_monthwise!$D$24:$O$40,DTR!AA$4,FALSE)),0)</f>
        <v>0</v>
      </c>
      <c r="AB735" s="147">
        <f>IFERROR((HLOOKUP($AH735,Target_monthwise!$D$24:$O$40,DTR!AB$4,FALSE)),0)</f>
        <v>0</v>
      </c>
      <c r="AC735" s="147">
        <f>IFERROR((HLOOKUP($AH735,Target_monthwise!$D$24:$O$40,DTR!AC$4,FALSE)),0)</f>
        <v>0</v>
      </c>
      <c r="AD735" s="147">
        <f>IFERROR((HLOOKUP($AH735,Target_monthwise!$D$24:$O$40,DTR!AD$4,FALSE)),0)</f>
        <v>0</v>
      </c>
      <c r="AE735" s="147">
        <f>IFERROR((HLOOKUP($AH735,Target_monthwise!$D$24:$O$40,DTR!AE$4,FALSE)),0)</f>
        <v>0</v>
      </c>
      <c r="AF735" s="147">
        <f>IFERROR((HLOOKUP($AH735,Target_monthwise!$D$24:$O$40,DTR!AF$4,FALSE)),0)</f>
        <v>0</v>
      </c>
      <c r="AG735" s="172">
        <f>IFERROR((HLOOKUP($AH735,Target_monthwise!$D$24:$O$40,DTR!AG$4,FALSE)),0)</f>
        <v>0</v>
      </c>
      <c r="AH735" s="253">
        <f t="shared" si="13"/>
        <v>202403</v>
      </c>
    </row>
    <row r="736" spans="3:34" ht="15.75" hidden="1">
      <c r="C736" s="237">
        <v>45379</v>
      </c>
      <c r="D736" s="238">
        <f>IFERROR((HLOOKUP($AH736,Target_monthwise!$D$4:$O$20,DTR!D$4,FALSE))*1000,0)</f>
        <v>0</v>
      </c>
      <c r="E736" s="238">
        <f>IFERROR((HLOOKUP($AH736,Target_monthwise!$D$4:$O$20,DTR!E$4,FALSE))*1000,0)</f>
        <v>0</v>
      </c>
      <c r="F736" s="238">
        <f>IFERROR((HLOOKUP($AH736,Target_monthwise!$D$4:$O$20,DTR!F$4,FALSE))*1000,0)</f>
        <v>0</v>
      </c>
      <c r="G736" s="238">
        <f>IFERROR((HLOOKUP($AH736,Target_monthwise!$D$4:$O$20,DTR!G$4,FALSE))*1000,0)</f>
        <v>0</v>
      </c>
      <c r="H736" s="238">
        <f>IFERROR((HLOOKUP($AH736,Target_monthwise!$D$4:$O$20,DTR!H$4,FALSE))*1000,0)</f>
        <v>0</v>
      </c>
      <c r="I736" s="238">
        <f>IFERROR((HLOOKUP($AH736,Target_monthwise!$D$4:$O$20,DTR!I$4,FALSE))*1000,0)</f>
        <v>0</v>
      </c>
      <c r="J736" s="238">
        <f>IFERROR((HLOOKUP($AH736,Target_monthwise!$D$4:$O$20,DTR!J$4,FALSE))*1000,0)</f>
        <v>0</v>
      </c>
      <c r="K736" s="238">
        <f>IFERROR((HLOOKUP($AH736,Target_monthwise!$D$4:$O$20,DTR!K$4,FALSE))*1000,0)</f>
        <v>0</v>
      </c>
      <c r="L736" s="238">
        <f>IFERROR((HLOOKUP($AH736,Target_monthwise!$D$4:$O$20,DTR!L$4,FALSE))*1000,0)</f>
        <v>0</v>
      </c>
      <c r="M736" s="238">
        <f>IFERROR((HLOOKUP($AH736,Target_monthwise!$D$4:$O$20,DTR!M$4,FALSE))*1000,0)</f>
        <v>0</v>
      </c>
      <c r="N736" s="238">
        <f>IFERROR((HLOOKUP($AH736,Target_monthwise!$D$4:$O$20,DTR!N$4,FALSE))*1000,0)</f>
        <v>0</v>
      </c>
      <c r="O736" s="238">
        <f>IFERROR((HLOOKUP($AH736,Target_monthwise!$D$4:$O$20,DTR!O$4,FALSE))*1000,0)</f>
        <v>0</v>
      </c>
      <c r="P736" s="238">
        <f>IFERROR((HLOOKUP($AH736,Target_monthwise!$D$4:$O$20,DTR!P$4,FALSE))*1000,0)</f>
        <v>0</v>
      </c>
      <c r="Q736" s="141">
        <f>IFERROR((HLOOKUP($AH736,Target_monthwise!$D$4:$O$20,DTR!Q$4,FALSE))*1000,0)</f>
        <v>0</v>
      </c>
      <c r="R736" s="167">
        <f>IFERROR((HLOOKUP($AH736,Target_monthwise!$D$4:$O$20,DTR!R$4,FALSE))*1000,0)</f>
        <v>0</v>
      </c>
      <c r="S736" s="239">
        <f>IFERROR((HLOOKUP($AH736,Target_monthwise!$D$24:$O$40,DTR!S$4,FALSE)),0)</f>
        <v>0</v>
      </c>
      <c r="T736" s="239">
        <f>IFERROR((HLOOKUP($AH736,Target_monthwise!$D$24:$O$40,DTR!T$4,FALSE)),0)</f>
        <v>0</v>
      </c>
      <c r="U736" s="239">
        <f>IFERROR((HLOOKUP($AH736,Target_monthwise!$D$24:$O$40,DTR!U$4,FALSE)),0)</f>
        <v>0</v>
      </c>
      <c r="V736" s="239">
        <f>IFERROR((HLOOKUP($AH736,Target_monthwise!$D$24:$O$40,DTR!V$4,FALSE)),0)</f>
        <v>0</v>
      </c>
      <c r="W736" s="239">
        <f>IFERROR((HLOOKUP($AH736,Target_monthwise!$D$24:$O$40,DTR!W$4,FALSE)),0)</f>
        <v>0</v>
      </c>
      <c r="X736" s="239">
        <f>IFERROR((HLOOKUP($AH736,Target_monthwise!$D$24:$O$40,DTR!X$4,FALSE)),0)</f>
        <v>0</v>
      </c>
      <c r="Y736" s="239">
        <f>IFERROR((HLOOKUP($AH736,Target_monthwise!$D$24:$O$40,DTR!Y$4,FALSE)),0)</f>
        <v>0</v>
      </c>
      <c r="Z736" s="147">
        <f>IFERROR((HLOOKUP($AH736,Target_monthwise!$D$24:$O$40,DTR!Z$4,FALSE)),0)</f>
        <v>0</v>
      </c>
      <c r="AA736" s="147">
        <f>IFERROR((HLOOKUP($AH736,Target_monthwise!$D$24:$O$40,DTR!AA$4,FALSE)),0)</f>
        <v>0</v>
      </c>
      <c r="AB736" s="147">
        <f>IFERROR((HLOOKUP($AH736,Target_monthwise!$D$24:$O$40,DTR!AB$4,FALSE)),0)</f>
        <v>0</v>
      </c>
      <c r="AC736" s="239">
        <f>IFERROR((HLOOKUP($AH736,Target_monthwise!$D$24:$O$40,DTR!AC$4,FALSE)),0)</f>
        <v>0</v>
      </c>
      <c r="AD736" s="239">
        <f>IFERROR((HLOOKUP($AH736,Target_monthwise!$D$24:$O$40,DTR!AD$4,FALSE)),0)</f>
        <v>0</v>
      </c>
      <c r="AE736" s="239">
        <f>IFERROR((HLOOKUP($AH736,Target_monthwise!$D$24:$O$40,DTR!AE$4,FALSE)),0)</f>
        <v>0</v>
      </c>
      <c r="AF736" s="239">
        <f>IFERROR((HLOOKUP($AH736,Target_monthwise!$D$24:$O$40,DTR!AF$4,FALSE)),0)</f>
        <v>0</v>
      </c>
      <c r="AG736" s="172">
        <f>IFERROR((HLOOKUP($AH736,Target_monthwise!$D$24:$O$40,DTR!AG$4,FALSE)),0)</f>
        <v>0</v>
      </c>
      <c r="AH736" s="253">
        <f t="shared" si="13"/>
        <v>202403</v>
      </c>
    </row>
    <row r="737" spans="1:36" ht="15.75" hidden="1">
      <c r="C737" s="235">
        <v>45380</v>
      </c>
      <c r="D737" s="141">
        <f>IFERROR((HLOOKUP($AH737,Target_monthwise!$D$4:$O$20,DTR!D$4,FALSE))*1000,0)</f>
        <v>0</v>
      </c>
      <c r="E737" s="141">
        <f>IFERROR((HLOOKUP($AH737,Target_monthwise!$D$4:$O$20,DTR!E$4,FALSE))*1000,0)</f>
        <v>0</v>
      </c>
      <c r="F737" s="141">
        <f>IFERROR((HLOOKUP($AH737,Target_monthwise!$D$4:$O$20,DTR!F$4,FALSE))*1000,0)</f>
        <v>0</v>
      </c>
      <c r="G737" s="141">
        <f>IFERROR((HLOOKUP($AH737,Target_monthwise!$D$4:$O$20,DTR!G$4,FALSE))*1000,0)</f>
        <v>0</v>
      </c>
      <c r="H737" s="141">
        <f>IFERROR((HLOOKUP($AH737,Target_monthwise!$D$4:$O$20,DTR!H$4,FALSE))*1000,0)</f>
        <v>0</v>
      </c>
      <c r="I737" s="141">
        <f>IFERROR((HLOOKUP($AH737,Target_monthwise!$D$4:$O$20,DTR!I$4,FALSE))*1000,0)</f>
        <v>0</v>
      </c>
      <c r="J737" s="141">
        <f>IFERROR((HLOOKUP($AH737,Target_monthwise!$D$4:$O$20,DTR!J$4,FALSE))*1000,0)</f>
        <v>0</v>
      </c>
      <c r="K737" s="141">
        <f>IFERROR((HLOOKUP($AH737,Target_monthwise!$D$4:$O$20,DTR!K$4,FALSE))*1000,0)</f>
        <v>0</v>
      </c>
      <c r="L737" s="141">
        <f>IFERROR((HLOOKUP($AH737,Target_monthwise!$D$4:$O$20,DTR!L$4,FALSE))*1000,0)</f>
        <v>0</v>
      </c>
      <c r="M737" s="141">
        <f>IFERROR((HLOOKUP($AH737,Target_monthwise!$D$4:$O$20,DTR!M$4,FALSE))*1000,0)</f>
        <v>0</v>
      </c>
      <c r="N737" s="141">
        <f>IFERROR((HLOOKUP($AH737,Target_monthwise!$D$4:$O$20,DTR!N$4,FALSE))*1000,0)</f>
        <v>0</v>
      </c>
      <c r="O737" s="141">
        <f>IFERROR((HLOOKUP($AH737,Target_monthwise!$D$4:$O$20,DTR!O$4,FALSE))*1000,0)</f>
        <v>0</v>
      </c>
      <c r="P737" s="141">
        <f>IFERROR((HLOOKUP($AH737,Target_monthwise!$D$4:$O$20,DTR!P$4,FALSE))*1000,0)</f>
        <v>0</v>
      </c>
      <c r="Q737" s="141">
        <f>IFERROR((HLOOKUP($AH737,Target_monthwise!$D$4:$O$20,DTR!Q$4,FALSE))*1000,0)</f>
        <v>0</v>
      </c>
      <c r="R737" s="167">
        <f>IFERROR((HLOOKUP($AH737,Target_monthwise!$D$4:$O$20,DTR!R$4,FALSE))*1000,0)</f>
        <v>0</v>
      </c>
      <c r="S737" s="147">
        <f>IFERROR((HLOOKUP($AH737,Target_monthwise!$D$24:$O$40,DTR!S$4,FALSE)),0)</f>
        <v>0</v>
      </c>
      <c r="T737" s="147">
        <f>IFERROR((HLOOKUP($AH737,Target_monthwise!$D$24:$O$40,DTR!T$4,FALSE)),0)</f>
        <v>0</v>
      </c>
      <c r="U737" s="147">
        <f>IFERROR((HLOOKUP($AH737,Target_monthwise!$D$24:$O$40,DTR!U$4,FALSE)),0)</f>
        <v>0</v>
      </c>
      <c r="V737" s="147">
        <f>IFERROR((HLOOKUP($AH737,Target_monthwise!$D$24:$O$40,DTR!V$4,FALSE)),0)</f>
        <v>0</v>
      </c>
      <c r="W737" s="147">
        <f>IFERROR((HLOOKUP($AH737,Target_monthwise!$D$24:$O$40,DTR!W$4,FALSE)),0)</f>
        <v>0</v>
      </c>
      <c r="X737" s="147">
        <f>IFERROR((HLOOKUP($AH737,Target_monthwise!$D$24:$O$40,DTR!X$4,FALSE)),0)</f>
        <v>0</v>
      </c>
      <c r="Y737" s="147">
        <f>IFERROR((HLOOKUP($AH737,Target_monthwise!$D$24:$O$40,DTR!Y$4,FALSE)),0)</f>
        <v>0</v>
      </c>
      <c r="Z737" s="147">
        <f>IFERROR((HLOOKUP($AH737,Target_monthwise!$D$24:$O$40,DTR!Z$4,FALSE)),0)</f>
        <v>0</v>
      </c>
      <c r="AA737" s="147">
        <f>IFERROR((HLOOKUP($AH737,Target_monthwise!$D$24:$O$40,DTR!AA$4,FALSE)),0)</f>
        <v>0</v>
      </c>
      <c r="AB737" s="147">
        <f>IFERROR((HLOOKUP($AH737,Target_monthwise!$D$24:$O$40,DTR!AB$4,FALSE)),0)</f>
        <v>0</v>
      </c>
      <c r="AC737" s="147">
        <f>IFERROR((HLOOKUP($AH737,Target_monthwise!$D$24:$O$40,DTR!AC$4,FALSE)),0)</f>
        <v>0</v>
      </c>
      <c r="AD737" s="147">
        <f>IFERROR((HLOOKUP($AH737,Target_monthwise!$D$24:$O$40,DTR!AD$4,FALSE)),0)</f>
        <v>0</v>
      </c>
      <c r="AE737" s="147">
        <f>IFERROR((HLOOKUP($AH737,Target_monthwise!$D$24:$O$40,DTR!AE$4,FALSE)),0)</f>
        <v>0</v>
      </c>
      <c r="AF737" s="147">
        <f>IFERROR((HLOOKUP($AH737,Target_monthwise!$D$24:$O$40,DTR!AF$4,FALSE)),0)</f>
        <v>0</v>
      </c>
      <c r="AG737" s="172">
        <f>IFERROR((HLOOKUP($AH737,Target_monthwise!$D$24:$O$40,DTR!AG$4,FALSE)),0)</f>
        <v>0</v>
      </c>
      <c r="AH737" s="253">
        <f t="shared" si="13"/>
        <v>202403</v>
      </c>
      <c r="AJ737" t="s">
        <v>877</v>
      </c>
    </row>
    <row r="738" spans="1:36" ht="15.75" hidden="1">
      <c r="C738" s="237">
        <v>45381</v>
      </c>
      <c r="D738" s="238">
        <f>IFERROR((HLOOKUP($AH738,Target_monthwise!$D$4:$O$20,DTR!D$4,FALSE))*1000,0)</f>
        <v>0</v>
      </c>
      <c r="E738" s="238">
        <f>IFERROR((HLOOKUP($AH738,Target_monthwise!$D$4:$O$20,DTR!E$4,FALSE))*1000,0)</f>
        <v>0</v>
      </c>
      <c r="F738" s="238">
        <f>IFERROR((HLOOKUP($AH738,Target_monthwise!$D$4:$O$20,DTR!F$4,FALSE))*1000,0)</f>
        <v>0</v>
      </c>
      <c r="G738" s="238">
        <f>IFERROR((HLOOKUP($AH738,Target_monthwise!$D$4:$O$20,DTR!G$4,FALSE))*1000,0)</f>
        <v>0</v>
      </c>
      <c r="H738" s="238">
        <f>IFERROR((HLOOKUP($AH738,Target_monthwise!$D$4:$O$20,DTR!H$4,FALSE))*1000,0)</f>
        <v>0</v>
      </c>
      <c r="I738" s="238">
        <f>IFERROR((HLOOKUP($AH738,Target_monthwise!$D$4:$O$20,DTR!I$4,FALSE))*1000,0)</f>
        <v>0</v>
      </c>
      <c r="J738" s="238">
        <f>IFERROR((HLOOKUP($AH738,Target_monthwise!$D$4:$O$20,DTR!J$4,FALSE))*1000,0)</f>
        <v>0</v>
      </c>
      <c r="K738" s="238">
        <f>IFERROR((HLOOKUP($AH738,Target_monthwise!$D$4:$O$20,DTR!K$4,FALSE))*1000,0)</f>
        <v>0</v>
      </c>
      <c r="L738" s="238">
        <f>IFERROR((HLOOKUP($AH738,Target_monthwise!$D$4:$O$20,DTR!L$4,FALSE))*1000,0)</f>
        <v>0</v>
      </c>
      <c r="M738" s="238">
        <f>IFERROR((HLOOKUP($AH738,Target_monthwise!$D$4:$O$20,DTR!M$4,FALSE))*1000,0)</f>
        <v>0</v>
      </c>
      <c r="N738" s="238">
        <f>IFERROR((HLOOKUP($AH738,Target_monthwise!$D$4:$O$20,DTR!N$4,FALSE))*1000,0)</f>
        <v>0</v>
      </c>
      <c r="O738" s="238">
        <f>IFERROR((HLOOKUP($AH738,Target_monthwise!$D$4:$O$20,DTR!O$4,FALSE))*1000,0)</f>
        <v>0</v>
      </c>
      <c r="P738" s="238">
        <f>IFERROR((HLOOKUP($AH738,Target_monthwise!$D$4:$O$20,DTR!P$4,FALSE))*1000,0)</f>
        <v>0</v>
      </c>
      <c r="Q738" s="141">
        <f>IFERROR((HLOOKUP($AH738,Target_monthwise!$D$4:$O$20,DTR!Q$4,FALSE))*1000,0)</f>
        <v>0</v>
      </c>
      <c r="R738" s="167">
        <f>IFERROR((HLOOKUP($AH738,Target_monthwise!$D$4:$O$20,DTR!R$4,FALSE))*1000,0)</f>
        <v>0</v>
      </c>
      <c r="S738" s="239">
        <f>IFERROR((HLOOKUP($AH738,Target_monthwise!$D$24:$O$40,DTR!S$4,FALSE)),0)</f>
        <v>0</v>
      </c>
      <c r="T738" s="239">
        <f>IFERROR((HLOOKUP($AH738,Target_monthwise!$D$24:$O$40,DTR!T$4,FALSE)),0)</f>
        <v>0</v>
      </c>
      <c r="U738" s="239">
        <f>IFERROR((HLOOKUP($AH738,Target_monthwise!$D$24:$O$40,DTR!U$4,FALSE)),0)</f>
        <v>0</v>
      </c>
      <c r="V738" s="239">
        <f>IFERROR((HLOOKUP($AH738,Target_monthwise!$D$24:$O$40,DTR!V$4,FALSE)),0)</f>
        <v>0</v>
      </c>
      <c r="W738" s="239">
        <f>IFERROR((HLOOKUP($AH738,Target_monthwise!$D$24:$O$40,DTR!W$4,FALSE)),0)</f>
        <v>0</v>
      </c>
      <c r="X738" s="239">
        <f>IFERROR((HLOOKUP($AH738,Target_monthwise!$D$24:$O$40,DTR!X$4,FALSE)),0)</f>
        <v>0</v>
      </c>
      <c r="Y738" s="239">
        <f>IFERROR((HLOOKUP($AH738,Target_monthwise!$D$24:$O$40,DTR!Y$4,FALSE)),0)</f>
        <v>0</v>
      </c>
      <c r="Z738" s="147">
        <f>IFERROR((HLOOKUP($AH738,Target_monthwise!$D$24:$O$40,DTR!Z$4,FALSE)),0)</f>
        <v>0</v>
      </c>
      <c r="AA738" s="147">
        <f>IFERROR((HLOOKUP($AH738,Target_monthwise!$D$24:$O$40,DTR!AA$4,FALSE)),0)</f>
        <v>0</v>
      </c>
      <c r="AB738" s="147">
        <f>IFERROR((HLOOKUP($AH738,Target_monthwise!$D$24:$O$40,DTR!AB$4,FALSE)),0)</f>
        <v>0</v>
      </c>
      <c r="AC738" s="239">
        <f>IFERROR((HLOOKUP($AH738,Target_monthwise!$D$24:$O$40,DTR!AC$4,FALSE)),0)</f>
        <v>0</v>
      </c>
      <c r="AD738" s="239">
        <f>IFERROR((HLOOKUP($AH738,Target_monthwise!$D$24:$O$40,DTR!AD$4,FALSE)),0)</f>
        <v>0</v>
      </c>
      <c r="AE738" s="239">
        <f>IFERROR((HLOOKUP($AH738,Target_monthwise!$D$24:$O$40,DTR!AE$4,FALSE)),0)</f>
        <v>0</v>
      </c>
      <c r="AF738" s="239">
        <f>IFERROR((HLOOKUP($AH738,Target_monthwise!$D$24:$O$40,DTR!AF$4,FALSE)),0)</f>
        <v>0</v>
      </c>
      <c r="AG738" s="172">
        <f>IFERROR((HLOOKUP($AH738,Target_monthwise!$D$24:$O$40,DTR!AG$4,FALSE)),0)</f>
        <v>0</v>
      </c>
      <c r="AH738" s="253">
        <f t="shared" si="13"/>
        <v>202403</v>
      </c>
    </row>
    <row r="739" spans="1:36" ht="15.75" hidden="1">
      <c r="A739" t="s">
        <v>879</v>
      </c>
      <c r="C739" s="235">
        <v>45382</v>
      </c>
      <c r="D739" s="141">
        <f>IFERROR((HLOOKUP($AH739,Target_monthwise!$D$4:$O$20,DTR!D$4,FALSE))*1000,0)</f>
        <v>0</v>
      </c>
      <c r="E739" s="141">
        <f>IFERROR((HLOOKUP($AH739,Target_monthwise!$D$4:$O$20,DTR!E$4,FALSE))*1000,0)</f>
        <v>0</v>
      </c>
      <c r="F739" s="141">
        <f>IFERROR((HLOOKUP($AH739,Target_monthwise!$D$4:$O$20,DTR!F$4,FALSE))*1000,0)</f>
        <v>0</v>
      </c>
      <c r="G739" s="141">
        <f>IFERROR((HLOOKUP($AH739,Target_monthwise!$D$4:$O$20,DTR!G$4,FALSE))*1000,0)</f>
        <v>0</v>
      </c>
      <c r="H739" s="141">
        <f>IFERROR((HLOOKUP($AH739,Target_monthwise!$D$4:$O$20,DTR!H$4,FALSE))*1000,0)</f>
        <v>0</v>
      </c>
      <c r="I739" s="141">
        <f>IFERROR((HLOOKUP($AH739,Target_monthwise!$D$4:$O$20,DTR!I$4,FALSE))*1000,0)</f>
        <v>0</v>
      </c>
      <c r="J739" s="141">
        <f>IFERROR((HLOOKUP($AH739,Target_monthwise!$D$4:$O$20,DTR!J$4,FALSE))*1000,0)</f>
        <v>0</v>
      </c>
      <c r="K739" s="141">
        <f>IFERROR((HLOOKUP($AH739,Target_monthwise!$D$4:$O$20,DTR!K$4,FALSE))*1000,0)</f>
        <v>0</v>
      </c>
      <c r="L739" s="141">
        <f>IFERROR((HLOOKUP($AH739,Target_monthwise!$D$4:$O$20,DTR!L$4,FALSE))*1000,0)</f>
        <v>0</v>
      </c>
      <c r="M739" s="141">
        <f>IFERROR((HLOOKUP($AH739,Target_monthwise!$D$4:$O$20,DTR!M$4,FALSE))*1000,0)</f>
        <v>0</v>
      </c>
      <c r="N739" s="141">
        <f>IFERROR((HLOOKUP($AH739,Target_monthwise!$D$4:$O$20,DTR!N$4,FALSE))*1000,0)</f>
        <v>0</v>
      </c>
      <c r="O739" s="141">
        <f>IFERROR((HLOOKUP($AH739,Target_monthwise!$D$4:$O$20,DTR!O$4,FALSE))*1000,0)</f>
        <v>0</v>
      </c>
      <c r="P739" s="141">
        <f>IFERROR((HLOOKUP($AH739,Target_monthwise!$D$4:$O$20,DTR!P$4,FALSE))*1000,0)</f>
        <v>0</v>
      </c>
      <c r="Q739" s="141">
        <f>IFERROR((HLOOKUP($AH739,Target_monthwise!$D$4:$O$20,DTR!Q$4,FALSE))*1000,0)</f>
        <v>0</v>
      </c>
      <c r="R739" s="167">
        <f>IFERROR((HLOOKUP($AH739,Target_monthwise!$D$4:$O$20,DTR!R$4,FALSE))*1000,0)</f>
        <v>0</v>
      </c>
      <c r="S739" s="147">
        <f>IFERROR((HLOOKUP($AH739,Target_monthwise!$D$24:$O$40,DTR!S$4,FALSE)),0)</f>
        <v>0</v>
      </c>
      <c r="T739" s="147">
        <f>IFERROR((HLOOKUP($AH739,Target_monthwise!$D$24:$O$40,DTR!T$4,FALSE)),0)</f>
        <v>0</v>
      </c>
      <c r="U739" s="147">
        <f>IFERROR((HLOOKUP($AH739,Target_monthwise!$D$24:$O$40,DTR!U$4,FALSE)),0)</f>
        <v>0</v>
      </c>
      <c r="V739" s="147">
        <f>IFERROR((HLOOKUP($AH739,Target_monthwise!$D$24:$O$40,DTR!V$4,FALSE)),0)</f>
        <v>0</v>
      </c>
      <c r="W739" s="147">
        <f>IFERROR((HLOOKUP($AH739,Target_monthwise!$D$24:$O$40,DTR!W$4,FALSE)),0)</f>
        <v>0</v>
      </c>
      <c r="X739" s="147">
        <f>IFERROR((HLOOKUP($AH739,Target_monthwise!$D$24:$O$40,DTR!X$4,FALSE)),0)</f>
        <v>0</v>
      </c>
      <c r="Y739" s="147">
        <f>IFERROR((HLOOKUP($AH739,Target_monthwise!$D$24:$O$40,DTR!Y$4,FALSE)),0)</f>
        <v>0</v>
      </c>
      <c r="Z739" s="147">
        <f>IFERROR((HLOOKUP($AH739,Target_monthwise!$D$24:$O$40,DTR!Z$4,FALSE)),0)</f>
        <v>0</v>
      </c>
      <c r="AA739" s="147">
        <f>IFERROR((HLOOKUP($AH739,Target_monthwise!$D$24:$O$40,DTR!AA$4,FALSE)),0)</f>
        <v>0</v>
      </c>
      <c r="AB739" s="147">
        <f>IFERROR((HLOOKUP($AH739,Target_monthwise!$D$24:$O$40,DTR!AB$4,FALSE)),0)</f>
        <v>0</v>
      </c>
      <c r="AC739" s="147">
        <f>IFERROR((HLOOKUP($AH739,Target_monthwise!$D$24:$O$40,DTR!AC$4,FALSE)),0)</f>
        <v>0</v>
      </c>
      <c r="AD739" s="147">
        <f>IFERROR((HLOOKUP($AH739,Target_monthwise!$D$24:$O$40,DTR!AD$4,FALSE)),0)</f>
        <v>0</v>
      </c>
      <c r="AE739" s="147">
        <f>IFERROR((HLOOKUP($AH739,Target_monthwise!$D$24:$O$40,DTR!AE$4,FALSE)),0)</f>
        <v>0</v>
      </c>
      <c r="AF739" s="147">
        <f>IFERROR((HLOOKUP($AH739,Target_monthwise!$D$24:$O$40,DTR!AF$4,FALSE)),0)</f>
        <v>0</v>
      </c>
      <c r="AG739" s="172">
        <f>IFERROR((HLOOKUP($AH739,Target_monthwise!$D$24:$O$40,DTR!AG$4,FALSE)),0)</f>
        <v>0</v>
      </c>
      <c r="AH739" s="253">
        <f t="shared" si="13"/>
        <v>202403</v>
      </c>
    </row>
    <row r="740" spans="1:36" ht="15.75" hidden="1">
      <c r="C740" s="237">
        <v>45383</v>
      </c>
      <c r="D740" s="238">
        <f>IFERROR((HLOOKUP($AH740,Target_monthwise!$D$4:$O$20,DTR!D$4,FALSE))*1000,0)</f>
        <v>0</v>
      </c>
      <c r="E740" s="238">
        <f>IFERROR((HLOOKUP($AH740,Target_monthwise!$D$4:$O$20,DTR!E$4,FALSE))*1000,0)</f>
        <v>0</v>
      </c>
      <c r="F740" s="238">
        <f>IFERROR((HLOOKUP($AH740,Target_monthwise!$D$4:$O$20,DTR!F$4,FALSE))*1000,0)</f>
        <v>0</v>
      </c>
      <c r="G740" s="238">
        <f>IFERROR((HLOOKUP($AH740,Target_monthwise!$D$4:$O$20,DTR!G$4,FALSE))*1000,0)</f>
        <v>0</v>
      </c>
      <c r="H740" s="238">
        <f>IFERROR((HLOOKUP($AH740,Target_monthwise!$D$4:$O$20,DTR!H$4,FALSE))*1000,0)</f>
        <v>0</v>
      </c>
      <c r="I740" s="238">
        <f>IFERROR((HLOOKUP($AH740,Target_monthwise!$D$4:$O$20,DTR!I$4,FALSE))*1000,0)</f>
        <v>0</v>
      </c>
      <c r="J740" s="238">
        <f>IFERROR((HLOOKUP($AH740,Target_monthwise!$D$4:$O$20,DTR!J$4,FALSE))*1000,0)</f>
        <v>0</v>
      </c>
      <c r="K740" s="238">
        <f>IFERROR((HLOOKUP($AH740,Target_monthwise!$D$4:$O$20,DTR!K$4,FALSE))*1000,0)</f>
        <v>0</v>
      </c>
      <c r="L740" s="238">
        <f>IFERROR((HLOOKUP($AH740,Target_monthwise!$D$4:$O$20,DTR!L$4,FALSE))*1000,0)</f>
        <v>0</v>
      </c>
      <c r="M740" s="238">
        <f>IFERROR((HLOOKUP($AH740,Target_monthwise!$D$4:$O$20,DTR!M$4,FALSE))*1000,0)</f>
        <v>0</v>
      </c>
      <c r="N740" s="238">
        <f>IFERROR((HLOOKUP($AH740,Target_monthwise!$D$4:$O$20,DTR!N$4,FALSE))*1000,0)</f>
        <v>0</v>
      </c>
      <c r="O740" s="238">
        <f>IFERROR((HLOOKUP($AH740,Target_monthwise!$D$4:$O$20,DTR!O$4,FALSE))*1000,0)</f>
        <v>0</v>
      </c>
      <c r="P740" s="238">
        <f>IFERROR((HLOOKUP($AH740,Target_monthwise!$D$4:$O$20,DTR!P$4,FALSE))*1000,0)</f>
        <v>0</v>
      </c>
      <c r="Q740" s="141">
        <f>IFERROR((HLOOKUP($AH740,Target_monthwise!$D$4:$O$20,DTR!Q$4,FALSE))*1000,0)</f>
        <v>0</v>
      </c>
      <c r="R740" s="167">
        <f>IFERROR((HLOOKUP($AH740,Target_monthwise!$D$4:$O$20,DTR!R$4,FALSE))*1000,0)</f>
        <v>0</v>
      </c>
      <c r="S740" s="239">
        <f>IFERROR((HLOOKUP($AH740,Target_monthwise!$D$24:$O$40,DTR!S$4,FALSE)),0)</f>
        <v>0</v>
      </c>
      <c r="T740" s="239">
        <f>IFERROR((HLOOKUP($AH740,Target_monthwise!$D$24:$O$40,DTR!T$4,FALSE)),0)</f>
        <v>0</v>
      </c>
      <c r="U740" s="239">
        <f>IFERROR((HLOOKUP($AH740,Target_monthwise!$D$24:$O$40,DTR!U$4,FALSE)),0)</f>
        <v>0</v>
      </c>
      <c r="V740" s="239">
        <f>IFERROR((HLOOKUP($AH740,Target_monthwise!$D$24:$O$40,DTR!V$4,FALSE)),0)</f>
        <v>0</v>
      </c>
      <c r="W740" s="239">
        <f>IFERROR((HLOOKUP($AH740,Target_monthwise!$D$24:$O$40,DTR!W$4,FALSE)),0)</f>
        <v>0</v>
      </c>
      <c r="X740" s="239">
        <f>IFERROR((HLOOKUP($AH740,Target_monthwise!$D$24:$O$40,DTR!X$4,FALSE)),0)</f>
        <v>0</v>
      </c>
      <c r="Y740" s="239">
        <f>IFERROR((HLOOKUP($AH740,Target_monthwise!$D$24:$O$40,DTR!Y$4,FALSE)),0)</f>
        <v>0</v>
      </c>
      <c r="Z740" s="147">
        <f>IFERROR((HLOOKUP($AH740,Target_monthwise!$D$24:$O$40,DTR!Z$4,FALSE)),0)</f>
        <v>0</v>
      </c>
      <c r="AA740" s="147">
        <f>IFERROR((HLOOKUP($AH740,Target_monthwise!$D$24:$O$40,DTR!AA$4,FALSE)),0)</f>
        <v>0</v>
      </c>
      <c r="AB740" s="147">
        <f>IFERROR((HLOOKUP($AH740,Target_monthwise!$D$24:$O$40,DTR!AB$4,FALSE)),0)</f>
        <v>0</v>
      </c>
      <c r="AC740" s="239">
        <f>IFERROR((HLOOKUP($AH740,Target_monthwise!$D$24:$O$40,DTR!AC$4,FALSE)),0)</f>
        <v>0</v>
      </c>
      <c r="AD740" s="239">
        <f>IFERROR((HLOOKUP($AH740,Target_monthwise!$D$24:$O$40,DTR!AD$4,FALSE)),0)</f>
        <v>0</v>
      </c>
      <c r="AE740" s="239">
        <f>IFERROR((HLOOKUP($AH740,Target_monthwise!$D$24:$O$40,DTR!AE$4,FALSE)),0)</f>
        <v>0</v>
      </c>
      <c r="AF740" s="239">
        <f>IFERROR((HLOOKUP($AH740,Target_monthwise!$D$24:$O$40,DTR!AF$4,FALSE)),0)</f>
        <v>0</v>
      </c>
      <c r="AG740" s="172">
        <f>IFERROR((HLOOKUP($AH740,Target_monthwise!$D$24:$O$40,DTR!AG$4,FALSE)),0)</f>
        <v>0</v>
      </c>
      <c r="AH740" s="253">
        <f t="shared" si="13"/>
        <v>202404</v>
      </c>
    </row>
    <row r="741" spans="1:36" ht="15.75" hidden="1">
      <c r="C741" s="235">
        <v>45384</v>
      </c>
      <c r="D741" s="141">
        <f>IFERROR((HLOOKUP($AH741,Target_monthwise!$D$4:$O$20,DTR!D$4,FALSE))*1000,0)</f>
        <v>0</v>
      </c>
      <c r="E741" s="141">
        <f>IFERROR((HLOOKUP($AH741,Target_monthwise!$D$4:$O$20,DTR!E$4,FALSE))*1000,0)</f>
        <v>0</v>
      </c>
      <c r="F741" s="141">
        <f>IFERROR((HLOOKUP($AH741,Target_monthwise!$D$4:$O$20,DTR!F$4,FALSE))*1000,0)</f>
        <v>0</v>
      </c>
      <c r="G741" s="141">
        <f>IFERROR((HLOOKUP($AH741,Target_monthwise!$D$4:$O$20,DTR!G$4,FALSE))*1000,0)</f>
        <v>0</v>
      </c>
      <c r="H741" s="141">
        <f>IFERROR((HLOOKUP($AH741,Target_monthwise!$D$4:$O$20,DTR!H$4,FALSE))*1000,0)</f>
        <v>0</v>
      </c>
      <c r="I741" s="141">
        <f>IFERROR((HLOOKUP($AH741,Target_monthwise!$D$4:$O$20,DTR!I$4,FALSE))*1000,0)</f>
        <v>0</v>
      </c>
      <c r="J741" s="141">
        <f>IFERROR((HLOOKUP($AH741,Target_monthwise!$D$4:$O$20,DTR!J$4,FALSE))*1000,0)</f>
        <v>0</v>
      </c>
      <c r="K741" s="141">
        <f>IFERROR((HLOOKUP($AH741,Target_monthwise!$D$4:$O$20,DTR!K$4,FALSE))*1000,0)</f>
        <v>0</v>
      </c>
      <c r="L741" s="141">
        <f>IFERROR((HLOOKUP($AH741,Target_monthwise!$D$4:$O$20,DTR!L$4,FALSE))*1000,0)</f>
        <v>0</v>
      </c>
      <c r="M741" s="141">
        <f>IFERROR((HLOOKUP($AH741,Target_monthwise!$D$4:$O$20,DTR!M$4,FALSE))*1000,0)</f>
        <v>0</v>
      </c>
      <c r="N741" s="141">
        <f>IFERROR((HLOOKUP($AH741,Target_monthwise!$D$4:$O$20,DTR!N$4,FALSE))*1000,0)</f>
        <v>0</v>
      </c>
      <c r="O741" s="141">
        <f>IFERROR((HLOOKUP($AH741,Target_monthwise!$D$4:$O$20,DTR!O$4,FALSE))*1000,0)</f>
        <v>0</v>
      </c>
      <c r="P741" s="141">
        <f>IFERROR((HLOOKUP($AH741,Target_monthwise!$D$4:$O$20,DTR!P$4,FALSE))*1000,0)</f>
        <v>0</v>
      </c>
      <c r="Q741" s="141">
        <f>IFERROR((HLOOKUP($AH741,Target_monthwise!$D$4:$O$20,DTR!Q$4,FALSE))*1000,0)</f>
        <v>0</v>
      </c>
      <c r="R741" s="167">
        <f>IFERROR((HLOOKUP($AH741,Target_monthwise!$D$4:$O$20,DTR!R$4,FALSE))*1000,0)</f>
        <v>0</v>
      </c>
      <c r="S741" s="147">
        <f>IFERROR((HLOOKUP($AH741,Target_monthwise!$D$24:$O$40,DTR!S$4,FALSE)),0)</f>
        <v>0</v>
      </c>
      <c r="T741" s="147">
        <f>IFERROR((HLOOKUP($AH741,Target_monthwise!$D$24:$O$40,DTR!T$4,FALSE)),0)</f>
        <v>0</v>
      </c>
      <c r="U741" s="147">
        <f>IFERROR((HLOOKUP($AH741,Target_monthwise!$D$24:$O$40,DTR!U$4,FALSE)),0)</f>
        <v>0</v>
      </c>
      <c r="V741" s="147">
        <f>IFERROR((HLOOKUP($AH741,Target_monthwise!$D$24:$O$40,DTR!V$4,FALSE)),0)</f>
        <v>0</v>
      </c>
      <c r="W741" s="147">
        <f>IFERROR((HLOOKUP($AH741,Target_monthwise!$D$24:$O$40,DTR!W$4,FALSE)),0)</f>
        <v>0</v>
      </c>
      <c r="X741" s="147">
        <f>IFERROR((HLOOKUP($AH741,Target_monthwise!$D$24:$O$40,DTR!X$4,FALSE)),0)</f>
        <v>0</v>
      </c>
      <c r="Y741" s="147">
        <f>IFERROR((HLOOKUP($AH741,Target_monthwise!$D$24:$O$40,DTR!Y$4,FALSE)),0)</f>
        <v>0</v>
      </c>
      <c r="Z741" s="147">
        <f>IFERROR((HLOOKUP($AH741,Target_monthwise!$D$24:$O$40,DTR!Z$4,FALSE)),0)</f>
        <v>0</v>
      </c>
      <c r="AA741" s="147">
        <f>IFERROR((HLOOKUP($AH741,Target_monthwise!$D$24:$O$40,DTR!AA$4,FALSE)),0)</f>
        <v>0</v>
      </c>
      <c r="AB741" s="147">
        <f>IFERROR((HLOOKUP($AH741,Target_monthwise!$D$24:$O$40,DTR!AB$4,FALSE)),0)</f>
        <v>0</v>
      </c>
      <c r="AC741" s="147">
        <f>IFERROR((HLOOKUP($AH741,Target_monthwise!$D$24:$O$40,DTR!AC$4,FALSE)),0)</f>
        <v>0</v>
      </c>
      <c r="AD741" s="147">
        <f>IFERROR((HLOOKUP($AH741,Target_monthwise!$D$24:$O$40,DTR!AD$4,FALSE)),0)</f>
        <v>0</v>
      </c>
      <c r="AE741" s="147">
        <f>IFERROR((HLOOKUP($AH741,Target_monthwise!$D$24:$O$40,DTR!AE$4,FALSE)),0)</f>
        <v>0</v>
      </c>
      <c r="AF741" s="147">
        <f>IFERROR((HLOOKUP($AH741,Target_monthwise!$D$24:$O$40,DTR!AF$4,FALSE)),0)</f>
        <v>0</v>
      </c>
      <c r="AG741" s="172">
        <f>IFERROR((HLOOKUP($AH741,Target_monthwise!$D$24:$O$40,DTR!AG$4,FALSE)),0)</f>
        <v>0</v>
      </c>
      <c r="AH741" s="253">
        <f t="shared" si="13"/>
        <v>202404</v>
      </c>
    </row>
    <row r="742" spans="1:36" ht="15.75" hidden="1">
      <c r="C742" s="237">
        <v>45385</v>
      </c>
      <c r="D742" s="238">
        <f>IFERROR((HLOOKUP($AH742,Target_monthwise!$D$4:$O$20,DTR!D$4,FALSE))*1000,0)</f>
        <v>0</v>
      </c>
      <c r="E742" s="238">
        <f>IFERROR((HLOOKUP($AH742,Target_monthwise!$D$4:$O$20,DTR!E$4,FALSE))*1000,0)</f>
        <v>0</v>
      </c>
      <c r="F742" s="238">
        <f>IFERROR((HLOOKUP($AH742,Target_monthwise!$D$4:$O$20,DTR!F$4,FALSE))*1000,0)</f>
        <v>0</v>
      </c>
      <c r="G742" s="238">
        <f>IFERROR((HLOOKUP($AH742,Target_monthwise!$D$4:$O$20,DTR!G$4,FALSE))*1000,0)</f>
        <v>0</v>
      </c>
      <c r="H742" s="238">
        <f>IFERROR((HLOOKUP($AH742,Target_monthwise!$D$4:$O$20,DTR!H$4,FALSE))*1000,0)</f>
        <v>0</v>
      </c>
      <c r="I742" s="238">
        <f>IFERROR((HLOOKUP($AH742,Target_monthwise!$D$4:$O$20,DTR!I$4,FALSE))*1000,0)</f>
        <v>0</v>
      </c>
      <c r="J742" s="238">
        <f>IFERROR((HLOOKUP($AH742,Target_monthwise!$D$4:$O$20,DTR!J$4,FALSE))*1000,0)</f>
        <v>0</v>
      </c>
      <c r="K742" s="238">
        <f>IFERROR((HLOOKUP($AH742,Target_monthwise!$D$4:$O$20,DTR!K$4,FALSE))*1000,0)</f>
        <v>0</v>
      </c>
      <c r="L742" s="238">
        <f>IFERROR((HLOOKUP($AH742,Target_monthwise!$D$4:$O$20,DTR!L$4,FALSE))*1000,0)</f>
        <v>0</v>
      </c>
      <c r="M742" s="238">
        <f>IFERROR((HLOOKUP($AH742,Target_monthwise!$D$4:$O$20,DTR!M$4,FALSE))*1000,0)</f>
        <v>0</v>
      </c>
      <c r="N742" s="238">
        <f>IFERROR((HLOOKUP($AH742,Target_monthwise!$D$4:$O$20,DTR!N$4,FALSE))*1000,0)</f>
        <v>0</v>
      </c>
      <c r="O742" s="238">
        <f>IFERROR((HLOOKUP($AH742,Target_monthwise!$D$4:$O$20,DTR!O$4,FALSE))*1000,0)</f>
        <v>0</v>
      </c>
      <c r="P742" s="238">
        <f>IFERROR((HLOOKUP($AH742,Target_monthwise!$D$4:$O$20,DTR!P$4,FALSE))*1000,0)</f>
        <v>0</v>
      </c>
      <c r="Q742" s="141">
        <f>IFERROR((HLOOKUP($AH742,Target_monthwise!$D$4:$O$20,DTR!Q$4,FALSE))*1000,0)</f>
        <v>0</v>
      </c>
      <c r="R742" s="167">
        <f>IFERROR((HLOOKUP($AH742,Target_monthwise!$D$4:$O$20,DTR!R$4,FALSE))*1000,0)</f>
        <v>0</v>
      </c>
      <c r="S742" s="239">
        <f>IFERROR((HLOOKUP($AH742,Target_monthwise!$D$24:$O$40,DTR!S$4,FALSE)),0)</f>
        <v>0</v>
      </c>
      <c r="T742" s="239">
        <f>IFERROR((HLOOKUP($AH742,Target_monthwise!$D$24:$O$40,DTR!T$4,FALSE)),0)</f>
        <v>0</v>
      </c>
      <c r="U742" s="239">
        <f>IFERROR((HLOOKUP($AH742,Target_monthwise!$D$24:$O$40,DTR!U$4,FALSE)),0)</f>
        <v>0</v>
      </c>
      <c r="V742" s="239">
        <f>IFERROR((HLOOKUP($AH742,Target_monthwise!$D$24:$O$40,DTR!V$4,FALSE)),0)</f>
        <v>0</v>
      </c>
      <c r="W742" s="239">
        <f>IFERROR((HLOOKUP($AH742,Target_monthwise!$D$24:$O$40,DTR!W$4,FALSE)),0)</f>
        <v>0</v>
      </c>
      <c r="X742" s="239">
        <f>IFERROR((HLOOKUP($AH742,Target_monthwise!$D$24:$O$40,DTR!X$4,FALSE)),0)</f>
        <v>0</v>
      </c>
      <c r="Y742" s="239">
        <f>IFERROR((HLOOKUP($AH742,Target_monthwise!$D$24:$O$40,DTR!Y$4,FALSE)),0)</f>
        <v>0</v>
      </c>
      <c r="Z742" s="147">
        <f>IFERROR((HLOOKUP($AH742,Target_monthwise!$D$24:$O$40,DTR!Z$4,FALSE)),0)</f>
        <v>0</v>
      </c>
      <c r="AA742" s="147">
        <f>IFERROR((HLOOKUP($AH742,Target_monthwise!$D$24:$O$40,DTR!AA$4,FALSE)),0)</f>
        <v>0</v>
      </c>
      <c r="AB742" s="147">
        <f>IFERROR((HLOOKUP($AH742,Target_monthwise!$D$24:$O$40,DTR!AB$4,FALSE)),0)</f>
        <v>0</v>
      </c>
      <c r="AC742" s="239">
        <f>IFERROR((HLOOKUP($AH742,Target_monthwise!$D$24:$O$40,DTR!AC$4,FALSE)),0)</f>
        <v>0</v>
      </c>
      <c r="AD742" s="239">
        <f>IFERROR((HLOOKUP($AH742,Target_monthwise!$D$24:$O$40,DTR!AD$4,FALSE)),0)</f>
        <v>0</v>
      </c>
      <c r="AE742" s="239">
        <f>IFERROR((HLOOKUP($AH742,Target_monthwise!$D$24:$O$40,DTR!AE$4,FALSE)),0)</f>
        <v>0</v>
      </c>
      <c r="AF742" s="239">
        <f>IFERROR((HLOOKUP($AH742,Target_monthwise!$D$24:$O$40,DTR!AF$4,FALSE)),0)</f>
        <v>0</v>
      </c>
      <c r="AG742" s="172">
        <f>IFERROR((HLOOKUP($AH742,Target_monthwise!$D$24:$O$40,DTR!AG$4,FALSE)),0)</f>
        <v>0</v>
      </c>
      <c r="AH742" s="253">
        <f t="shared" si="13"/>
        <v>202404</v>
      </c>
    </row>
    <row r="743" spans="1:36" ht="15.75" hidden="1">
      <c r="C743" s="235">
        <v>45386</v>
      </c>
      <c r="D743" s="141">
        <f>IFERROR((HLOOKUP($AH743,Target_monthwise!$D$4:$O$20,DTR!D$4,FALSE))*1000,0)</f>
        <v>0</v>
      </c>
      <c r="E743" s="141">
        <f>IFERROR((HLOOKUP($AH743,Target_monthwise!$D$4:$O$20,DTR!E$4,FALSE))*1000,0)</f>
        <v>0</v>
      </c>
      <c r="F743" s="141">
        <f>IFERROR((HLOOKUP($AH743,Target_monthwise!$D$4:$O$20,DTR!F$4,FALSE))*1000,0)</f>
        <v>0</v>
      </c>
      <c r="G743" s="141">
        <f>IFERROR((HLOOKUP($AH743,Target_monthwise!$D$4:$O$20,DTR!G$4,FALSE))*1000,0)</f>
        <v>0</v>
      </c>
      <c r="H743" s="141">
        <f>IFERROR((HLOOKUP($AH743,Target_monthwise!$D$4:$O$20,DTR!H$4,FALSE))*1000,0)</f>
        <v>0</v>
      </c>
      <c r="I743" s="141">
        <f>IFERROR((HLOOKUP($AH743,Target_monthwise!$D$4:$O$20,DTR!I$4,FALSE))*1000,0)</f>
        <v>0</v>
      </c>
      <c r="J743" s="141">
        <f>IFERROR((HLOOKUP($AH743,Target_monthwise!$D$4:$O$20,DTR!J$4,FALSE))*1000,0)</f>
        <v>0</v>
      </c>
      <c r="K743" s="141">
        <f>IFERROR((HLOOKUP($AH743,Target_monthwise!$D$4:$O$20,DTR!K$4,FALSE))*1000,0)</f>
        <v>0</v>
      </c>
      <c r="L743" s="141">
        <f>IFERROR((HLOOKUP($AH743,Target_monthwise!$D$4:$O$20,DTR!L$4,FALSE))*1000,0)</f>
        <v>0</v>
      </c>
      <c r="M743" s="141">
        <f>IFERROR((HLOOKUP($AH743,Target_monthwise!$D$4:$O$20,DTR!M$4,FALSE))*1000,0)</f>
        <v>0</v>
      </c>
      <c r="N743" s="141">
        <f>IFERROR((HLOOKUP($AH743,Target_monthwise!$D$4:$O$20,DTR!N$4,FALSE))*1000,0)</f>
        <v>0</v>
      </c>
      <c r="O743" s="141">
        <f>IFERROR((HLOOKUP($AH743,Target_monthwise!$D$4:$O$20,DTR!O$4,FALSE))*1000,0)</f>
        <v>0</v>
      </c>
      <c r="P743" s="141">
        <f>IFERROR((HLOOKUP($AH743,Target_monthwise!$D$4:$O$20,DTR!P$4,FALSE))*1000,0)</f>
        <v>0</v>
      </c>
      <c r="Q743" s="141">
        <f>IFERROR((HLOOKUP($AH743,Target_monthwise!$D$4:$O$20,DTR!Q$4,FALSE))*1000,0)</f>
        <v>0</v>
      </c>
      <c r="R743" s="167">
        <f>IFERROR((HLOOKUP($AH743,Target_monthwise!$D$4:$O$20,DTR!R$4,FALSE))*1000,0)</f>
        <v>0</v>
      </c>
      <c r="S743" s="147">
        <f>IFERROR((HLOOKUP($AH743,Target_monthwise!$D$24:$O$40,DTR!S$4,FALSE)),0)</f>
        <v>0</v>
      </c>
      <c r="T743" s="147">
        <f>IFERROR((HLOOKUP($AH743,Target_monthwise!$D$24:$O$40,DTR!T$4,FALSE)),0)</f>
        <v>0</v>
      </c>
      <c r="U743" s="147">
        <f>IFERROR((HLOOKUP($AH743,Target_monthwise!$D$24:$O$40,DTR!U$4,FALSE)),0)</f>
        <v>0</v>
      </c>
      <c r="V743" s="147">
        <f>IFERROR((HLOOKUP($AH743,Target_monthwise!$D$24:$O$40,DTR!V$4,FALSE)),0)</f>
        <v>0</v>
      </c>
      <c r="W743" s="147">
        <f>IFERROR((HLOOKUP($AH743,Target_monthwise!$D$24:$O$40,DTR!W$4,FALSE)),0)</f>
        <v>0</v>
      </c>
      <c r="X743" s="147">
        <f>IFERROR((HLOOKUP($AH743,Target_monthwise!$D$24:$O$40,DTR!X$4,FALSE)),0)</f>
        <v>0</v>
      </c>
      <c r="Y743" s="147">
        <f>IFERROR((HLOOKUP($AH743,Target_monthwise!$D$24:$O$40,DTR!Y$4,FALSE)),0)</f>
        <v>0</v>
      </c>
      <c r="Z743" s="147">
        <f>IFERROR((HLOOKUP($AH743,Target_monthwise!$D$24:$O$40,DTR!Z$4,FALSE)),0)</f>
        <v>0</v>
      </c>
      <c r="AA743" s="147">
        <f>IFERROR((HLOOKUP($AH743,Target_monthwise!$D$24:$O$40,DTR!AA$4,FALSE)),0)</f>
        <v>0</v>
      </c>
      <c r="AB743" s="147">
        <f>IFERROR((HLOOKUP($AH743,Target_monthwise!$D$24:$O$40,DTR!AB$4,FALSE)),0)</f>
        <v>0</v>
      </c>
      <c r="AC743" s="147">
        <f>IFERROR((HLOOKUP($AH743,Target_monthwise!$D$24:$O$40,DTR!AC$4,FALSE)),0)</f>
        <v>0</v>
      </c>
      <c r="AD743" s="147">
        <f>IFERROR((HLOOKUP($AH743,Target_monthwise!$D$24:$O$40,DTR!AD$4,FALSE)),0)</f>
        <v>0</v>
      </c>
      <c r="AE743" s="147">
        <f>IFERROR((HLOOKUP($AH743,Target_monthwise!$D$24:$O$40,DTR!AE$4,FALSE)),0)</f>
        <v>0</v>
      </c>
      <c r="AF743" s="147">
        <f>IFERROR((HLOOKUP($AH743,Target_monthwise!$D$24:$O$40,DTR!AF$4,FALSE)),0)</f>
        <v>0</v>
      </c>
      <c r="AG743" s="172">
        <f>IFERROR((HLOOKUP($AH743,Target_monthwise!$D$24:$O$40,DTR!AG$4,FALSE)),0)</f>
        <v>0</v>
      </c>
      <c r="AH743" s="253">
        <f t="shared" si="13"/>
        <v>202404</v>
      </c>
    </row>
    <row r="744" spans="1:36" ht="15.75" hidden="1">
      <c r="C744" s="237">
        <v>45387</v>
      </c>
      <c r="D744" s="238">
        <f>IFERROR((HLOOKUP($AH744,Target_monthwise!$D$4:$O$20,DTR!D$4,FALSE))*1000,0)</f>
        <v>0</v>
      </c>
      <c r="E744" s="238">
        <f>IFERROR((HLOOKUP($AH744,Target_monthwise!$D$4:$O$20,DTR!E$4,FALSE))*1000,0)</f>
        <v>0</v>
      </c>
      <c r="F744" s="238">
        <f>IFERROR((HLOOKUP($AH744,Target_monthwise!$D$4:$O$20,DTR!F$4,FALSE))*1000,0)</f>
        <v>0</v>
      </c>
      <c r="G744" s="238">
        <f>IFERROR((HLOOKUP($AH744,Target_monthwise!$D$4:$O$20,DTR!G$4,FALSE))*1000,0)</f>
        <v>0</v>
      </c>
      <c r="H744" s="238">
        <f>IFERROR((HLOOKUP($AH744,Target_monthwise!$D$4:$O$20,DTR!H$4,FALSE))*1000,0)</f>
        <v>0</v>
      </c>
      <c r="I744" s="238">
        <f>IFERROR((HLOOKUP($AH744,Target_monthwise!$D$4:$O$20,DTR!I$4,FALSE))*1000,0)</f>
        <v>0</v>
      </c>
      <c r="J744" s="238">
        <f>IFERROR((HLOOKUP($AH744,Target_monthwise!$D$4:$O$20,DTR!J$4,FALSE))*1000,0)</f>
        <v>0</v>
      </c>
      <c r="K744" s="238">
        <f>IFERROR((HLOOKUP($AH744,Target_monthwise!$D$4:$O$20,DTR!K$4,FALSE))*1000,0)</f>
        <v>0</v>
      </c>
      <c r="L744" s="238">
        <f>IFERROR((HLOOKUP($AH744,Target_monthwise!$D$4:$O$20,DTR!L$4,FALSE))*1000,0)</f>
        <v>0</v>
      </c>
      <c r="M744" s="238">
        <f>IFERROR((HLOOKUP($AH744,Target_monthwise!$D$4:$O$20,DTR!M$4,FALSE))*1000,0)</f>
        <v>0</v>
      </c>
      <c r="N744" s="238">
        <f>IFERROR((HLOOKUP($AH744,Target_monthwise!$D$4:$O$20,DTR!N$4,FALSE))*1000,0)</f>
        <v>0</v>
      </c>
      <c r="O744" s="238">
        <f>IFERROR((HLOOKUP($AH744,Target_monthwise!$D$4:$O$20,DTR!O$4,FALSE))*1000,0)</f>
        <v>0</v>
      </c>
      <c r="P744" s="238">
        <f>IFERROR((HLOOKUP($AH744,Target_monthwise!$D$4:$O$20,DTR!P$4,FALSE))*1000,0)</f>
        <v>0</v>
      </c>
      <c r="Q744" s="141">
        <f>IFERROR((HLOOKUP($AH744,Target_monthwise!$D$4:$O$20,DTR!Q$4,FALSE))*1000,0)</f>
        <v>0</v>
      </c>
      <c r="R744" s="167">
        <f>IFERROR((HLOOKUP($AH744,Target_monthwise!$D$4:$O$20,DTR!R$4,FALSE))*1000,0)</f>
        <v>0</v>
      </c>
      <c r="S744" s="239">
        <f>IFERROR((HLOOKUP($AH744,Target_monthwise!$D$24:$O$40,DTR!S$4,FALSE)),0)</f>
        <v>0</v>
      </c>
      <c r="T744" s="239">
        <f>IFERROR((HLOOKUP($AH744,Target_monthwise!$D$24:$O$40,DTR!T$4,FALSE)),0)</f>
        <v>0</v>
      </c>
      <c r="U744" s="239">
        <f>IFERROR((HLOOKUP($AH744,Target_monthwise!$D$24:$O$40,DTR!U$4,FALSE)),0)</f>
        <v>0</v>
      </c>
      <c r="V744" s="239">
        <f>IFERROR((HLOOKUP($AH744,Target_monthwise!$D$24:$O$40,DTR!V$4,FALSE)),0)</f>
        <v>0</v>
      </c>
      <c r="W744" s="239">
        <f>IFERROR((HLOOKUP($AH744,Target_monthwise!$D$24:$O$40,DTR!W$4,FALSE)),0)</f>
        <v>0</v>
      </c>
      <c r="X744" s="239">
        <f>IFERROR((HLOOKUP($AH744,Target_monthwise!$D$24:$O$40,DTR!X$4,FALSE)),0)</f>
        <v>0</v>
      </c>
      <c r="Y744" s="239">
        <f>IFERROR((HLOOKUP($AH744,Target_monthwise!$D$24:$O$40,DTR!Y$4,FALSE)),0)</f>
        <v>0</v>
      </c>
      <c r="Z744" s="147">
        <f>IFERROR((HLOOKUP($AH744,Target_monthwise!$D$24:$O$40,DTR!Z$4,FALSE)),0)</f>
        <v>0</v>
      </c>
      <c r="AA744" s="147">
        <f>IFERROR((HLOOKUP($AH744,Target_monthwise!$D$24:$O$40,DTR!AA$4,FALSE)),0)</f>
        <v>0</v>
      </c>
      <c r="AB744" s="147">
        <f>IFERROR((HLOOKUP($AH744,Target_monthwise!$D$24:$O$40,DTR!AB$4,FALSE)),0)</f>
        <v>0</v>
      </c>
      <c r="AC744" s="239">
        <f>IFERROR((HLOOKUP($AH744,Target_monthwise!$D$24:$O$40,DTR!AC$4,FALSE)),0)</f>
        <v>0</v>
      </c>
      <c r="AD744" s="239">
        <f>IFERROR((HLOOKUP($AH744,Target_monthwise!$D$24:$O$40,DTR!AD$4,FALSE)),0)</f>
        <v>0</v>
      </c>
      <c r="AE744" s="239">
        <f>IFERROR((HLOOKUP($AH744,Target_monthwise!$D$24:$O$40,DTR!AE$4,FALSE)),0)</f>
        <v>0</v>
      </c>
      <c r="AF744" s="239">
        <f>IFERROR((HLOOKUP($AH744,Target_monthwise!$D$24:$O$40,DTR!AF$4,FALSE)),0)</f>
        <v>0</v>
      </c>
      <c r="AG744" s="172">
        <f>IFERROR((HLOOKUP($AH744,Target_monthwise!$D$24:$O$40,DTR!AG$4,FALSE)),0)</f>
        <v>0</v>
      </c>
      <c r="AH744" s="253">
        <f t="shared" si="13"/>
        <v>202404</v>
      </c>
    </row>
    <row r="745" spans="1:36" ht="15.75" hidden="1">
      <c r="C745" s="235">
        <v>45388</v>
      </c>
      <c r="D745" s="141">
        <f>IFERROR((HLOOKUP($AH745,Target_monthwise!$D$4:$O$20,DTR!D$4,FALSE))*1000,0)</f>
        <v>0</v>
      </c>
      <c r="E745" s="141">
        <f>IFERROR((HLOOKUP($AH745,Target_monthwise!$D$4:$O$20,DTR!E$4,FALSE))*1000,0)</f>
        <v>0</v>
      </c>
      <c r="F745" s="141">
        <f>IFERROR((HLOOKUP($AH745,Target_monthwise!$D$4:$O$20,DTR!F$4,FALSE))*1000,0)</f>
        <v>0</v>
      </c>
      <c r="G745" s="141">
        <f>IFERROR((HLOOKUP($AH745,Target_monthwise!$D$4:$O$20,DTR!G$4,FALSE))*1000,0)</f>
        <v>0</v>
      </c>
      <c r="H745" s="141">
        <f>IFERROR((HLOOKUP($AH745,Target_monthwise!$D$4:$O$20,DTR!H$4,FALSE))*1000,0)</f>
        <v>0</v>
      </c>
      <c r="I745" s="141">
        <f>IFERROR((HLOOKUP($AH745,Target_monthwise!$D$4:$O$20,DTR!I$4,FALSE))*1000,0)</f>
        <v>0</v>
      </c>
      <c r="J745" s="141">
        <f>IFERROR((HLOOKUP($AH745,Target_monthwise!$D$4:$O$20,DTR!J$4,FALSE))*1000,0)</f>
        <v>0</v>
      </c>
      <c r="K745" s="141">
        <f>IFERROR((HLOOKUP($AH745,Target_monthwise!$D$4:$O$20,DTR!K$4,FALSE))*1000,0)</f>
        <v>0</v>
      </c>
      <c r="L745" s="141">
        <f>IFERROR((HLOOKUP($AH745,Target_monthwise!$D$4:$O$20,DTR!L$4,FALSE))*1000,0)</f>
        <v>0</v>
      </c>
      <c r="M745" s="141">
        <f>IFERROR((HLOOKUP($AH745,Target_monthwise!$D$4:$O$20,DTR!M$4,FALSE))*1000,0)</f>
        <v>0</v>
      </c>
      <c r="N745" s="141">
        <f>IFERROR((HLOOKUP($AH745,Target_monthwise!$D$4:$O$20,DTR!N$4,FALSE))*1000,0)</f>
        <v>0</v>
      </c>
      <c r="O745" s="141">
        <f>IFERROR((HLOOKUP($AH745,Target_monthwise!$D$4:$O$20,DTR!O$4,FALSE))*1000,0)</f>
        <v>0</v>
      </c>
      <c r="P745" s="141">
        <f>IFERROR((HLOOKUP($AH745,Target_monthwise!$D$4:$O$20,DTR!P$4,FALSE))*1000,0)</f>
        <v>0</v>
      </c>
      <c r="Q745" s="141">
        <f>IFERROR((HLOOKUP($AH745,Target_monthwise!$D$4:$O$20,DTR!Q$4,FALSE))*1000,0)</f>
        <v>0</v>
      </c>
      <c r="R745" s="167">
        <f>IFERROR((HLOOKUP($AH745,Target_monthwise!$D$4:$O$20,DTR!R$4,FALSE))*1000,0)</f>
        <v>0</v>
      </c>
      <c r="S745" s="147">
        <f>IFERROR((HLOOKUP($AH745,Target_monthwise!$D$24:$O$40,DTR!S$4,FALSE)),0)</f>
        <v>0</v>
      </c>
      <c r="T745" s="147">
        <f>IFERROR((HLOOKUP($AH745,Target_monthwise!$D$24:$O$40,DTR!T$4,FALSE)),0)</f>
        <v>0</v>
      </c>
      <c r="U745" s="147">
        <f>IFERROR((HLOOKUP($AH745,Target_monthwise!$D$24:$O$40,DTR!U$4,FALSE)),0)</f>
        <v>0</v>
      </c>
      <c r="V745" s="147">
        <f>IFERROR((HLOOKUP($AH745,Target_monthwise!$D$24:$O$40,DTR!V$4,FALSE)),0)</f>
        <v>0</v>
      </c>
      <c r="W745" s="147">
        <f>IFERROR((HLOOKUP($AH745,Target_monthwise!$D$24:$O$40,DTR!W$4,FALSE)),0)</f>
        <v>0</v>
      </c>
      <c r="X745" s="147">
        <f>IFERROR((HLOOKUP($AH745,Target_monthwise!$D$24:$O$40,DTR!X$4,FALSE)),0)</f>
        <v>0</v>
      </c>
      <c r="Y745" s="147">
        <f>IFERROR((HLOOKUP($AH745,Target_monthwise!$D$24:$O$40,DTR!Y$4,FALSE)),0)</f>
        <v>0</v>
      </c>
      <c r="Z745" s="147">
        <f>IFERROR((HLOOKUP($AH745,Target_monthwise!$D$24:$O$40,DTR!Z$4,FALSE)),0)</f>
        <v>0</v>
      </c>
      <c r="AA745" s="147">
        <f>IFERROR((HLOOKUP($AH745,Target_monthwise!$D$24:$O$40,DTR!AA$4,FALSE)),0)</f>
        <v>0</v>
      </c>
      <c r="AB745" s="147">
        <f>IFERROR((HLOOKUP($AH745,Target_monthwise!$D$24:$O$40,DTR!AB$4,FALSE)),0)</f>
        <v>0</v>
      </c>
      <c r="AC745" s="147">
        <f>IFERROR((HLOOKUP($AH745,Target_monthwise!$D$24:$O$40,DTR!AC$4,FALSE)),0)</f>
        <v>0</v>
      </c>
      <c r="AD745" s="147">
        <f>IFERROR((HLOOKUP($AH745,Target_monthwise!$D$24:$O$40,DTR!AD$4,FALSE)),0)</f>
        <v>0</v>
      </c>
      <c r="AE745" s="147">
        <f>IFERROR((HLOOKUP($AH745,Target_monthwise!$D$24:$O$40,DTR!AE$4,FALSE)),0)</f>
        <v>0</v>
      </c>
      <c r="AF745" s="147">
        <f>IFERROR((HLOOKUP($AH745,Target_monthwise!$D$24:$O$40,DTR!AF$4,FALSE)),0)</f>
        <v>0</v>
      </c>
      <c r="AG745" s="172">
        <f>IFERROR((HLOOKUP($AH745,Target_monthwise!$D$24:$O$40,DTR!AG$4,FALSE)),0)</f>
        <v>0</v>
      </c>
      <c r="AH745" s="253">
        <f t="shared" si="13"/>
        <v>202404</v>
      </c>
    </row>
    <row r="746" spans="1:36" ht="15.75" hidden="1">
      <c r="C746" s="237">
        <v>45389</v>
      </c>
      <c r="D746" s="238">
        <f>IFERROR((HLOOKUP($AH746,Target_monthwise!$D$4:$O$20,DTR!D$4,FALSE))*1000,0)</f>
        <v>0</v>
      </c>
      <c r="E746" s="238">
        <f>IFERROR((HLOOKUP($AH746,Target_monthwise!$D$4:$O$20,DTR!E$4,FALSE))*1000,0)</f>
        <v>0</v>
      </c>
      <c r="F746" s="238">
        <f>IFERROR((HLOOKUP($AH746,Target_monthwise!$D$4:$O$20,DTR!F$4,FALSE))*1000,0)</f>
        <v>0</v>
      </c>
      <c r="G746" s="238">
        <f>IFERROR((HLOOKUP($AH746,Target_monthwise!$D$4:$O$20,DTR!G$4,FALSE))*1000,0)</f>
        <v>0</v>
      </c>
      <c r="H746" s="238">
        <f>IFERROR((HLOOKUP($AH746,Target_monthwise!$D$4:$O$20,DTR!H$4,FALSE))*1000,0)</f>
        <v>0</v>
      </c>
      <c r="I746" s="238">
        <f>IFERROR((HLOOKUP($AH746,Target_monthwise!$D$4:$O$20,DTR!I$4,FALSE))*1000,0)</f>
        <v>0</v>
      </c>
      <c r="J746" s="238">
        <f>IFERROR((HLOOKUP($AH746,Target_monthwise!$D$4:$O$20,DTR!J$4,FALSE))*1000,0)</f>
        <v>0</v>
      </c>
      <c r="K746" s="238">
        <f>IFERROR((HLOOKUP($AH746,Target_monthwise!$D$4:$O$20,DTR!K$4,FALSE))*1000,0)</f>
        <v>0</v>
      </c>
      <c r="L746" s="238">
        <f>IFERROR((HLOOKUP($AH746,Target_monthwise!$D$4:$O$20,DTR!L$4,FALSE))*1000,0)</f>
        <v>0</v>
      </c>
      <c r="M746" s="238">
        <f>IFERROR((HLOOKUP($AH746,Target_monthwise!$D$4:$O$20,DTR!M$4,FALSE))*1000,0)</f>
        <v>0</v>
      </c>
      <c r="N746" s="238">
        <f>IFERROR((HLOOKUP($AH746,Target_monthwise!$D$4:$O$20,DTR!N$4,FALSE))*1000,0)</f>
        <v>0</v>
      </c>
      <c r="O746" s="238">
        <f>IFERROR((HLOOKUP($AH746,Target_monthwise!$D$4:$O$20,DTR!O$4,FALSE))*1000,0)</f>
        <v>0</v>
      </c>
      <c r="P746" s="238">
        <f>IFERROR((HLOOKUP($AH746,Target_monthwise!$D$4:$O$20,DTR!P$4,FALSE))*1000,0)</f>
        <v>0</v>
      </c>
      <c r="Q746" s="141">
        <f>IFERROR((HLOOKUP($AH746,Target_monthwise!$D$4:$O$20,DTR!Q$4,FALSE))*1000,0)</f>
        <v>0</v>
      </c>
      <c r="R746" s="167">
        <f>IFERROR((HLOOKUP($AH746,Target_monthwise!$D$4:$O$20,DTR!R$4,FALSE))*1000,0)</f>
        <v>0</v>
      </c>
      <c r="S746" s="239">
        <f>IFERROR((HLOOKUP($AH746,Target_monthwise!$D$24:$O$40,DTR!S$4,FALSE)),0)</f>
        <v>0</v>
      </c>
      <c r="T746" s="239">
        <f>IFERROR((HLOOKUP($AH746,Target_monthwise!$D$24:$O$40,DTR!T$4,FALSE)),0)</f>
        <v>0</v>
      </c>
      <c r="U746" s="239">
        <f>IFERROR((HLOOKUP($AH746,Target_monthwise!$D$24:$O$40,DTR!U$4,FALSE)),0)</f>
        <v>0</v>
      </c>
      <c r="V746" s="239">
        <f>IFERROR((HLOOKUP($AH746,Target_monthwise!$D$24:$O$40,DTR!V$4,FALSE)),0)</f>
        <v>0</v>
      </c>
      <c r="W746" s="239">
        <f>IFERROR((HLOOKUP($AH746,Target_monthwise!$D$24:$O$40,DTR!W$4,FALSE)),0)</f>
        <v>0</v>
      </c>
      <c r="X746" s="239">
        <f>IFERROR((HLOOKUP($AH746,Target_monthwise!$D$24:$O$40,DTR!X$4,FALSE)),0)</f>
        <v>0</v>
      </c>
      <c r="Y746" s="239">
        <f>IFERROR((HLOOKUP($AH746,Target_monthwise!$D$24:$O$40,DTR!Y$4,FALSE)),0)</f>
        <v>0</v>
      </c>
      <c r="Z746" s="147">
        <f>IFERROR((HLOOKUP($AH746,Target_monthwise!$D$24:$O$40,DTR!Z$4,FALSE)),0)</f>
        <v>0</v>
      </c>
      <c r="AA746" s="147">
        <f>IFERROR((HLOOKUP($AH746,Target_monthwise!$D$24:$O$40,DTR!AA$4,FALSE)),0)</f>
        <v>0</v>
      </c>
      <c r="AB746" s="147">
        <f>IFERROR((HLOOKUP($AH746,Target_monthwise!$D$24:$O$40,DTR!AB$4,FALSE)),0)</f>
        <v>0</v>
      </c>
      <c r="AC746" s="239">
        <f>IFERROR((HLOOKUP($AH746,Target_monthwise!$D$24:$O$40,DTR!AC$4,FALSE)),0)</f>
        <v>0</v>
      </c>
      <c r="AD746" s="239">
        <f>IFERROR((HLOOKUP($AH746,Target_monthwise!$D$24:$O$40,DTR!AD$4,FALSE)),0)</f>
        <v>0</v>
      </c>
      <c r="AE746" s="239">
        <f>IFERROR((HLOOKUP($AH746,Target_monthwise!$D$24:$O$40,DTR!AE$4,FALSE)),0)</f>
        <v>0</v>
      </c>
      <c r="AF746" s="239">
        <f>IFERROR((HLOOKUP($AH746,Target_monthwise!$D$24:$O$40,DTR!AF$4,FALSE)),0)</f>
        <v>0</v>
      </c>
      <c r="AG746" s="172">
        <f>IFERROR((HLOOKUP($AH746,Target_monthwise!$D$24:$O$40,DTR!AG$4,FALSE)),0)</f>
        <v>0</v>
      </c>
      <c r="AH746" s="253">
        <f t="shared" si="13"/>
        <v>202404</v>
      </c>
    </row>
    <row r="747" spans="1:36" ht="15.75" hidden="1">
      <c r="C747" s="235">
        <v>45390</v>
      </c>
      <c r="D747" s="141">
        <f>IFERROR((HLOOKUP($AH747,Target_monthwise!$D$4:$O$20,DTR!D$4,FALSE))*1000,0)</f>
        <v>0</v>
      </c>
      <c r="E747" s="141">
        <f>IFERROR((HLOOKUP($AH747,Target_monthwise!$D$4:$O$20,DTR!E$4,FALSE))*1000,0)</f>
        <v>0</v>
      </c>
      <c r="F747" s="141">
        <f>IFERROR((HLOOKUP($AH747,Target_monthwise!$D$4:$O$20,DTR!F$4,FALSE))*1000,0)</f>
        <v>0</v>
      </c>
      <c r="G747" s="141">
        <f>IFERROR((HLOOKUP($AH747,Target_monthwise!$D$4:$O$20,DTR!G$4,FALSE))*1000,0)</f>
        <v>0</v>
      </c>
      <c r="H747" s="141">
        <f>IFERROR((HLOOKUP($AH747,Target_monthwise!$D$4:$O$20,DTR!H$4,FALSE))*1000,0)</f>
        <v>0</v>
      </c>
      <c r="I747" s="141">
        <f>IFERROR((HLOOKUP($AH747,Target_monthwise!$D$4:$O$20,DTR!I$4,FALSE))*1000,0)</f>
        <v>0</v>
      </c>
      <c r="J747" s="141">
        <f>IFERROR((HLOOKUP($AH747,Target_monthwise!$D$4:$O$20,DTR!J$4,FALSE))*1000,0)</f>
        <v>0</v>
      </c>
      <c r="K747" s="141">
        <f>IFERROR((HLOOKUP($AH747,Target_monthwise!$D$4:$O$20,DTR!K$4,FALSE))*1000,0)</f>
        <v>0</v>
      </c>
      <c r="L747" s="141">
        <f>IFERROR((HLOOKUP($AH747,Target_monthwise!$D$4:$O$20,DTR!L$4,FALSE))*1000,0)</f>
        <v>0</v>
      </c>
      <c r="M747" s="141">
        <f>IFERROR((HLOOKUP($AH747,Target_monthwise!$D$4:$O$20,DTR!M$4,FALSE))*1000,0)</f>
        <v>0</v>
      </c>
      <c r="N747" s="141">
        <f>IFERROR((HLOOKUP($AH747,Target_monthwise!$D$4:$O$20,DTR!N$4,FALSE))*1000,0)</f>
        <v>0</v>
      </c>
      <c r="O747" s="141">
        <f>IFERROR((HLOOKUP($AH747,Target_monthwise!$D$4:$O$20,DTR!O$4,FALSE))*1000,0)</f>
        <v>0</v>
      </c>
      <c r="P747" s="141">
        <f>IFERROR((HLOOKUP($AH747,Target_monthwise!$D$4:$O$20,DTR!P$4,FALSE))*1000,0)</f>
        <v>0</v>
      </c>
      <c r="Q747" s="141">
        <f>IFERROR((HLOOKUP($AH747,Target_monthwise!$D$4:$O$20,DTR!Q$4,FALSE))*1000,0)</f>
        <v>0</v>
      </c>
      <c r="R747" s="167">
        <f>IFERROR((HLOOKUP($AH747,Target_monthwise!$D$4:$O$20,DTR!R$4,FALSE))*1000,0)</f>
        <v>0</v>
      </c>
      <c r="S747" s="147">
        <f>IFERROR((HLOOKUP($AH747,Target_monthwise!$D$24:$O$40,DTR!S$4,FALSE)),0)</f>
        <v>0</v>
      </c>
      <c r="T747" s="147">
        <f>IFERROR((HLOOKUP($AH747,Target_monthwise!$D$24:$O$40,DTR!T$4,FALSE)),0)</f>
        <v>0</v>
      </c>
      <c r="U747" s="147">
        <f>IFERROR((HLOOKUP($AH747,Target_monthwise!$D$24:$O$40,DTR!U$4,FALSE)),0)</f>
        <v>0</v>
      </c>
      <c r="V747" s="147">
        <f>IFERROR((HLOOKUP($AH747,Target_monthwise!$D$24:$O$40,DTR!V$4,FALSE)),0)</f>
        <v>0</v>
      </c>
      <c r="W747" s="147">
        <f>IFERROR((HLOOKUP($AH747,Target_monthwise!$D$24:$O$40,DTR!W$4,FALSE)),0)</f>
        <v>0</v>
      </c>
      <c r="X747" s="147">
        <f>IFERROR((HLOOKUP($AH747,Target_monthwise!$D$24:$O$40,DTR!X$4,FALSE)),0)</f>
        <v>0</v>
      </c>
      <c r="Y747" s="147">
        <f>IFERROR((HLOOKUP($AH747,Target_monthwise!$D$24:$O$40,DTR!Y$4,FALSE)),0)</f>
        <v>0</v>
      </c>
      <c r="Z747" s="147">
        <f>IFERROR((HLOOKUP($AH747,Target_monthwise!$D$24:$O$40,DTR!Z$4,FALSE)),0)</f>
        <v>0</v>
      </c>
      <c r="AA747" s="147">
        <f>IFERROR((HLOOKUP($AH747,Target_monthwise!$D$24:$O$40,DTR!AA$4,FALSE)),0)</f>
        <v>0</v>
      </c>
      <c r="AB747" s="147">
        <f>IFERROR((HLOOKUP($AH747,Target_monthwise!$D$24:$O$40,DTR!AB$4,FALSE)),0)</f>
        <v>0</v>
      </c>
      <c r="AC747" s="147">
        <f>IFERROR((HLOOKUP($AH747,Target_monthwise!$D$24:$O$40,DTR!AC$4,FALSE)),0)</f>
        <v>0</v>
      </c>
      <c r="AD747" s="147">
        <f>IFERROR((HLOOKUP($AH747,Target_monthwise!$D$24:$O$40,DTR!AD$4,FALSE)),0)</f>
        <v>0</v>
      </c>
      <c r="AE747" s="147">
        <f>IFERROR((HLOOKUP($AH747,Target_monthwise!$D$24:$O$40,DTR!AE$4,FALSE)),0)</f>
        <v>0</v>
      </c>
      <c r="AF747" s="147">
        <f>IFERROR((HLOOKUP($AH747,Target_monthwise!$D$24:$O$40,DTR!AF$4,FALSE)),0)</f>
        <v>0</v>
      </c>
      <c r="AG747" s="172">
        <f>IFERROR((HLOOKUP($AH747,Target_monthwise!$D$24:$O$40,DTR!AG$4,FALSE)),0)</f>
        <v>0</v>
      </c>
      <c r="AH747" s="253">
        <f t="shared" si="13"/>
        <v>202404</v>
      </c>
    </row>
    <row r="748" spans="1:36" ht="15.75" hidden="1">
      <c r="C748" s="237">
        <v>45391</v>
      </c>
      <c r="D748" s="238">
        <f>IFERROR((HLOOKUP($AH748,Target_monthwise!$D$4:$O$20,DTR!D$4,FALSE))*1000,0)</f>
        <v>0</v>
      </c>
      <c r="E748" s="238">
        <f>IFERROR((HLOOKUP($AH748,Target_monthwise!$D$4:$O$20,DTR!E$4,FALSE))*1000,0)</f>
        <v>0</v>
      </c>
      <c r="F748" s="238">
        <f>IFERROR((HLOOKUP($AH748,Target_monthwise!$D$4:$O$20,DTR!F$4,FALSE))*1000,0)</f>
        <v>0</v>
      </c>
      <c r="G748" s="238">
        <f>IFERROR((HLOOKUP($AH748,Target_monthwise!$D$4:$O$20,DTR!G$4,FALSE))*1000,0)</f>
        <v>0</v>
      </c>
      <c r="H748" s="238">
        <f>IFERROR((HLOOKUP($AH748,Target_monthwise!$D$4:$O$20,DTR!H$4,FALSE))*1000,0)</f>
        <v>0</v>
      </c>
      <c r="I748" s="238">
        <f>IFERROR((HLOOKUP($AH748,Target_monthwise!$D$4:$O$20,DTR!I$4,FALSE))*1000,0)</f>
        <v>0</v>
      </c>
      <c r="J748" s="238">
        <f>IFERROR((HLOOKUP($AH748,Target_monthwise!$D$4:$O$20,DTR!J$4,FALSE))*1000,0)</f>
        <v>0</v>
      </c>
      <c r="K748" s="238">
        <f>IFERROR((HLOOKUP($AH748,Target_monthwise!$D$4:$O$20,DTR!K$4,FALSE))*1000,0)</f>
        <v>0</v>
      </c>
      <c r="L748" s="238">
        <f>IFERROR((HLOOKUP($AH748,Target_monthwise!$D$4:$O$20,DTR!L$4,FALSE))*1000,0)</f>
        <v>0</v>
      </c>
      <c r="M748" s="238">
        <f>IFERROR((HLOOKUP($AH748,Target_monthwise!$D$4:$O$20,DTR!M$4,FALSE))*1000,0)</f>
        <v>0</v>
      </c>
      <c r="N748" s="238">
        <f>IFERROR((HLOOKUP($AH748,Target_monthwise!$D$4:$O$20,DTR!N$4,FALSE))*1000,0)</f>
        <v>0</v>
      </c>
      <c r="O748" s="238">
        <f>IFERROR((HLOOKUP($AH748,Target_monthwise!$D$4:$O$20,DTR!O$4,FALSE))*1000,0)</f>
        <v>0</v>
      </c>
      <c r="P748" s="238">
        <f>IFERROR((HLOOKUP($AH748,Target_monthwise!$D$4:$O$20,DTR!P$4,FALSE))*1000,0)</f>
        <v>0</v>
      </c>
      <c r="Q748" s="141">
        <f>IFERROR((HLOOKUP($AH748,Target_monthwise!$D$4:$O$20,DTR!Q$4,FALSE))*1000,0)</f>
        <v>0</v>
      </c>
      <c r="R748" s="167">
        <f>IFERROR((HLOOKUP($AH748,Target_monthwise!$D$4:$O$20,DTR!R$4,FALSE))*1000,0)</f>
        <v>0</v>
      </c>
      <c r="S748" s="239">
        <f>IFERROR((HLOOKUP($AH748,Target_monthwise!$D$24:$O$40,DTR!S$4,FALSE)),0)</f>
        <v>0</v>
      </c>
      <c r="T748" s="239">
        <f>IFERROR((HLOOKUP($AH748,Target_monthwise!$D$24:$O$40,DTR!T$4,FALSE)),0)</f>
        <v>0</v>
      </c>
      <c r="U748" s="239">
        <f>IFERROR((HLOOKUP($AH748,Target_monthwise!$D$24:$O$40,DTR!U$4,FALSE)),0)</f>
        <v>0</v>
      </c>
      <c r="V748" s="239">
        <f>IFERROR((HLOOKUP($AH748,Target_monthwise!$D$24:$O$40,DTR!V$4,FALSE)),0)</f>
        <v>0</v>
      </c>
      <c r="W748" s="239">
        <f>IFERROR((HLOOKUP($AH748,Target_monthwise!$D$24:$O$40,DTR!W$4,FALSE)),0)</f>
        <v>0</v>
      </c>
      <c r="X748" s="239">
        <f>IFERROR((HLOOKUP($AH748,Target_monthwise!$D$24:$O$40,DTR!X$4,FALSE)),0)</f>
        <v>0</v>
      </c>
      <c r="Y748" s="239">
        <f>IFERROR((HLOOKUP($AH748,Target_monthwise!$D$24:$O$40,DTR!Y$4,FALSE)),0)</f>
        <v>0</v>
      </c>
      <c r="Z748" s="147">
        <f>IFERROR((HLOOKUP($AH748,Target_monthwise!$D$24:$O$40,DTR!Z$4,FALSE)),0)</f>
        <v>0</v>
      </c>
      <c r="AA748" s="147">
        <f>IFERROR((HLOOKUP($AH748,Target_monthwise!$D$24:$O$40,DTR!AA$4,FALSE)),0)</f>
        <v>0</v>
      </c>
      <c r="AB748" s="147">
        <f>IFERROR((HLOOKUP($AH748,Target_monthwise!$D$24:$O$40,DTR!AB$4,FALSE)),0)</f>
        <v>0</v>
      </c>
      <c r="AC748" s="239">
        <f>IFERROR((HLOOKUP($AH748,Target_monthwise!$D$24:$O$40,DTR!AC$4,FALSE)),0)</f>
        <v>0</v>
      </c>
      <c r="AD748" s="239">
        <f>IFERROR((HLOOKUP($AH748,Target_monthwise!$D$24:$O$40,DTR!AD$4,FALSE)),0)</f>
        <v>0</v>
      </c>
      <c r="AE748" s="239">
        <f>IFERROR((HLOOKUP($AH748,Target_monthwise!$D$24:$O$40,DTR!AE$4,FALSE)),0)</f>
        <v>0</v>
      </c>
      <c r="AF748" s="239">
        <f>IFERROR((HLOOKUP($AH748,Target_monthwise!$D$24:$O$40,DTR!AF$4,FALSE)),0)</f>
        <v>0</v>
      </c>
      <c r="AG748" s="172">
        <f>IFERROR((HLOOKUP($AH748,Target_monthwise!$D$24:$O$40,DTR!AG$4,FALSE)),0)</f>
        <v>0</v>
      </c>
      <c r="AH748" s="253">
        <f t="shared" si="13"/>
        <v>202404</v>
      </c>
    </row>
    <row r="749" spans="1:36" ht="15.75" hidden="1">
      <c r="C749" s="235">
        <v>45392</v>
      </c>
      <c r="D749" s="141">
        <f>IFERROR((HLOOKUP($AH749,Target_monthwise!$D$4:$O$20,DTR!D$4,FALSE))*1000,0)</f>
        <v>0</v>
      </c>
      <c r="E749" s="141">
        <f>IFERROR((HLOOKUP($AH749,Target_monthwise!$D$4:$O$20,DTR!E$4,FALSE))*1000,0)</f>
        <v>0</v>
      </c>
      <c r="F749" s="141">
        <f>IFERROR((HLOOKUP($AH749,Target_monthwise!$D$4:$O$20,DTR!F$4,FALSE))*1000,0)</f>
        <v>0</v>
      </c>
      <c r="G749" s="141">
        <f>IFERROR((HLOOKUP($AH749,Target_monthwise!$D$4:$O$20,DTR!G$4,FALSE))*1000,0)</f>
        <v>0</v>
      </c>
      <c r="H749" s="141">
        <f>IFERROR((HLOOKUP($AH749,Target_monthwise!$D$4:$O$20,DTR!H$4,FALSE))*1000,0)</f>
        <v>0</v>
      </c>
      <c r="I749" s="141">
        <f>IFERROR((HLOOKUP($AH749,Target_monthwise!$D$4:$O$20,DTR!I$4,FALSE))*1000,0)</f>
        <v>0</v>
      </c>
      <c r="J749" s="141">
        <f>IFERROR((HLOOKUP($AH749,Target_monthwise!$D$4:$O$20,DTR!J$4,FALSE))*1000,0)</f>
        <v>0</v>
      </c>
      <c r="K749" s="141">
        <f>IFERROR((HLOOKUP($AH749,Target_monthwise!$D$4:$O$20,DTR!K$4,FALSE))*1000,0)</f>
        <v>0</v>
      </c>
      <c r="L749" s="141">
        <f>IFERROR((HLOOKUP($AH749,Target_monthwise!$D$4:$O$20,DTR!L$4,FALSE))*1000,0)</f>
        <v>0</v>
      </c>
      <c r="M749" s="141">
        <f>IFERROR((HLOOKUP($AH749,Target_monthwise!$D$4:$O$20,DTR!M$4,FALSE))*1000,0)</f>
        <v>0</v>
      </c>
      <c r="N749" s="141">
        <f>IFERROR((HLOOKUP($AH749,Target_monthwise!$D$4:$O$20,DTR!N$4,FALSE))*1000,0)</f>
        <v>0</v>
      </c>
      <c r="O749" s="141">
        <f>IFERROR((HLOOKUP($AH749,Target_monthwise!$D$4:$O$20,DTR!O$4,FALSE))*1000,0)</f>
        <v>0</v>
      </c>
      <c r="P749" s="141">
        <f>IFERROR((HLOOKUP($AH749,Target_monthwise!$D$4:$O$20,DTR!P$4,FALSE))*1000,0)</f>
        <v>0</v>
      </c>
      <c r="Q749" s="141">
        <f>IFERROR((HLOOKUP($AH749,Target_monthwise!$D$4:$O$20,DTR!Q$4,FALSE))*1000,0)</f>
        <v>0</v>
      </c>
      <c r="R749" s="167">
        <f>IFERROR((HLOOKUP($AH749,Target_monthwise!$D$4:$O$20,DTR!R$4,FALSE))*1000,0)</f>
        <v>0</v>
      </c>
      <c r="S749" s="147">
        <f>IFERROR((HLOOKUP($AH749,Target_monthwise!$D$24:$O$40,DTR!S$4,FALSE)),0)</f>
        <v>0</v>
      </c>
      <c r="T749" s="147">
        <f>IFERROR((HLOOKUP($AH749,Target_monthwise!$D$24:$O$40,DTR!T$4,FALSE)),0)</f>
        <v>0</v>
      </c>
      <c r="U749" s="147">
        <f>IFERROR((HLOOKUP($AH749,Target_monthwise!$D$24:$O$40,DTR!U$4,FALSE)),0)</f>
        <v>0</v>
      </c>
      <c r="V749" s="147">
        <f>IFERROR((HLOOKUP($AH749,Target_monthwise!$D$24:$O$40,DTR!V$4,FALSE)),0)</f>
        <v>0</v>
      </c>
      <c r="W749" s="147">
        <f>IFERROR((HLOOKUP($AH749,Target_monthwise!$D$24:$O$40,DTR!W$4,FALSE)),0)</f>
        <v>0</v>
      </c>
      <c r="X749" s="147">
        <f>IFERROR((HLOOKUP($AH749,Target_monthwise!$D$24:$O$40,DTR!X$4,FALSE)),0)</f>
        <v>0</v>
      </c>
      <c r="Y749" s="147">
        <f>IFERROR((HLOOKUP($AH749,Target_monthwise!$D$24:$O$40,DTR!Y$4,FALSE)),0)</f>
        <v>0</v>
      </c>
      <c r="Z749" s="147">
        <f>IFERROR((HLOOKUP($AH749,Target_monthwise!$D$24:$O$40,DTR!Z$4,FALSE)),0)</f>
        <v>0</v>
      </c>
      <c r="AA749" s="147">
        <f>IFERROR((HLOOKUP($AH749,Target_monthwise!$D$24:$O$40,DTR!AA$4,FALSE)),0)</f>
        <v>0</v>
      </c>
      <c r="AB749" s="147">
        <f>IFERROR((HLOOKUP($AH749,Target_monthwise!$D$24:$O$40,DTR!AB$4,FALSE)),0)</f>
        <v>0</v>
      </c>
      <c r="AC749" s="147">
        <f>IFERROR((HLOOKUP($AH749,Target_monthwise!$D$24:$O$40,DTR!AC$4,FALSE)),0)</f>
        <v>0</v>
      </c>
      <c r="AD749" s="147">
        <f>IFERROR((HLOOKUP($AH749,Target_monthwise!$D$24:$O$40,DTR!AD$4,FALSE)),0)</f>
        <v>0</v>
      </c>
      <c r="AE749" s="147">
        <f>IFERROR((HLOOKUP($AH749,Target_monthwise!$D$24:$O$40,DTR!AE$4,FALSE)),0)</f>
        <v>0</v>
      </c>
      <c r="AF749" s="147">
        <f>IFERROR((HLOOKUP($AH749,Target_monthwise!$D$24:$O$40,DTR!AF$4,FALSE)),0)</f>
        <v>0</v>
      </c>
      <c r="AG749" s="172">
        <f>IFERROR((HLOOKUP($AH749,Target_monthwise!$D$24:$O$40,DTR!AG$4,FALSE)),0)</f>
        <v>0</v>
      </c>
      <c r="AH749" s="253">
        <f t="shared" si="13"/>
        <v>202404</v>
      </c>
    </row>
    <row r="750" spans="1:36" ht="15.75" hidden="1">
      <c r="C750" s="237">
        <v>45393</v>
      </c>
      <c r="D750" s="238">
        <f>IFERROR((HLOOKUP($AH750,Target_monthwise!$D$4:$O$20,DTR!D$4,FALSE))*1000,0)</f>
        <v>0</v>
      </c>
      <c r="E750" s="238">
        <f>IFERROR((HLOOKUP($AH750,Target_monthwise!$D$4:$O$20,DTR!E$4,FALSE))*1000,0)</f>
        <v>0</v>
      </c>
      <c r="F750" s="238">
        <f>IFERROR((HLOOKUP($AH750,Target_monthwise!$D$4:$O$20,DTR!F$4,FALSE))*1000,0)</f>
        <v>0</v>
      </c>
      <c r="G750" s="238">
        <f>IFERROR((HLOOKUP($AH750,Target_monthwise!$D$4:$O$20,DTR!G$4,FALSE))*1000,0)</f>
        <v>0</v>
      </c>
      <c r="H750" s="238">
        <f>IFERROR((HLOOKUP($AH750,Target_monthwise!$D$4:$O$20,DTR!H$4,FALSE))*1000,0)</f>
        <v>0</v>
      </c>
      <c r="I750" s="238">
        <f>IFERROR((HLOOKUP($AH750,Target_monthwise!$D$4:$O$20,DTR!I$4,FALSE))*1000,0)</f>
        <v>0</v>
      </c>
      <c r="J750" s="238">
        <f>IFERROR((HLOOKUP($AH750,Target_monthwise!$D$4:$O$20,DTR!J$4,FALSE))*1000,0)</f>
        <v>0</v>
      </c>
      <c r="K750" s="238">
        <f>IFERROR((HLOOKUP($AH750,Target_monthwise!$D$4:$O$20,DTR!K$4,FALSE))*1000,0)</f>
        <v>0</v>
      </c>
      <c r="L750" s="238">
        <f>IFERROR((HLOOKUP($AH750,Target_monthwise!$D$4:$O$20,DTR!L$4,FALSE))*1000,0)</f>
        <v>0</v>
      </c>
      <c r="M750" s="238">
        <f>IFERROR((HLOOKUP($AH750,Target_monthwise!$D$4:$O$20,DTR!M$4,FALSE))*1000,0)</f>
        <v>0</v>
      </c>
      <c r="N750" s="238">
        <f>IFERROR((HLOOKUP($AH750,Target_monthwise!$D$4:$O$20,DTR!N$4,FALSE))*1000,0)</f>
        <v>0</v>
      </c>
      <c r="O750" s="238">
        <f>IFERROR((HLOOKUP($AH750,Target_monthwise!$D$4:$O$20,DTR!O$4,FALSE))*1000,0)</f>
        <v>0</v>
      </c>
      <c r="P750" s="238">
        <f>IFERROR((HLOOKUP($AH750,Target_monthwise!$D$4:$O$20,DTR!P$4,FALSE))*1000,0)</f>
        <v>0</v>
      </c>
      <c r="Q750" s="141">
        <f>IFERROR((HLOOKUP($AH750,Target_monthwise!$D$4:$O$20,DTR!Q$4,FALSE))*1000,0)</f>
        <v>0</v>
      </c>
      <c r="R750" s="167">
        <f>IFERROR((HLOOKUP($AH750,Target_monthwise!$D$4:$O$20,DTR!R$4,FALSE))*1000,0)</f>
        <v>0</v>
      </c>
      <c r="S750" s="239">
        <f>IFERROR((HLOOKUP($AH750,Target_monthwise!$D$24:$O$40,DTR!S$4,FALSE)),0)</f>
        <v>0</v>
      </c>
      <c r="T750" s="239">
        <f>IFERROR((HLOOKUP($AH750,Target_monthwise!$D$24:$O$40,DTR!T$4,FALSE)),0)</f>
        <v>0</v>
      </c>
      <c r="U750" s="239">
        <f>IFERROR((HLOOKUP($AH750,Target_monthwise!$D$24:$O$40,DTR!U$4,FALSE)),0)</f>
        <v>0</v>
      </c>
      <c r="V750" s="239">
        <f>IFERROR((HLOOKUP($AH750,Target_monthwise!$D$24:$O$40,DTR!V$4,FALSE)),0)</f>
        <v>0</v>
      </c>
      <c r="W750" s="239">
        <f>IFERROR((HLOOKUP($AH750,Target_monthwise!$D$24:$O$40,DTR!W$4,FALSE)),0)</f>
        <v>0</v>
      </c>
      <c r="X750" s="239">
        <f>IFERROR((HLOOKUP($AH750,Target_monthwise!$D$24:$O$40,DTR!X$4,FALSE)),0)</f>
        <v>0</v>
      </c>
      <c r="Y750" s="239">
        <f>IFERROR((HLOOKUP($AH750,Target_monthwise!$D$24:$O$40,DTR!Y$4,FALSE)),0)</f>
        <v>0</v>
      </c>
      <c r="Z750" s="147">
        <f>IFERROR((HLOOKUP($AH750,Target_monthwise!$D$24:$O$40,DTR!Z$4,FALSE)),0)</f>
        <v>0</v>
      </c>
      <c r="AA750" s="147">
        <f>IFERROR((HLOOKUP($AH750,Target_monthwise!$D$24:$O$40,DTR!AA$4,FALSE)),0)</f>
        <v>0</v>
      </c>
      <c r="AB750" s="147">
        <f>IFERROR((HLOOKUP($AH750,Target_monthwise!$D$24:$O$40,DTR!AB$4,FALSE)),0)</f>
        <v>0</v>
      </c>
      <c r="AC750" s="239">
        <f>IFERROR((HLOOKUP($AH750,Target_monthwise!$D$24:$O$40,DTR!AC$4,FALSE)),0)</f>
        <v>0</v>
      </c>
      <c r="AD750" s="239">
        <f>IFERROR((HLOOKUP($AH750,Target_monthwise!$D$24:$O$40,DTR!AD$4,FALSE)),0)</f>
        <v>0</v>
      </c>
      <c r="AE750" s="239">
        <f>IFERROR((HLOOKUP($AH750,Target_monthwise!$D$24:$O$40,DTR!AE$4,FALSE)),0)</f>
        <v>0</v>
      </c>
      <c r="AF750" s="239">
        <f>IFERROR((HLOOKUP($AH750,Target_monthwise!$D$24:$O$40,DTR!AF$4,FALSE)),0)</f>
        <v>0</v>
      </c>
      <c r="AG750" s="172">
        <f>IFERROR((HLOOKUP($AH750,Target_monthwise!$D$24:$O$40,DTR!AG$4,FALSE)),0)</f>
        <v>0</v>
      </c>
      <c r="AH750" s="253">
        <f t="shared" si="13"/>
        <v>202404</v>
      </c>
    </row>
    <row r="751" spans="1:36" ht="15.75" hidden="1">
      <c r="C751" s="235">
        <v>45394</v>
      </c>
      <c r="D751" s="141">
        <f>IFERROR((HLOOKUP($AH751,Target_monthwise!$D$4:$O$20,DTR!D$4,FALSE))*1000,0)</f>
        <v>0</v>
      </c>
      <c r="E751" s="141">
        <f>IFERROR((HLOOKUP($AH751,Target_monthwise!$D$4:$O$20,DTR!E$4,FALSE))*1000,0)</f>
        <v>0</v>
      </c>
      <c r="F751" s="141">
        <f>IFERROR((HLOOKUP($AH751,Target_monthwise!$D$4:$O$20,DTR!F$4,FALSE))*1000,0)</f>
        <v>0</v>
      </c>
      <c r="G751" s="141">
        <f>IFERROR((HLOOKUP($AH751,Target_monthwise!$D$4:$O$20,DTR!G$4,FALSE))*1000,0)</f>
        <v>0</v>
      </c>
      <c r="H751" s="141">
        <f>IFERROR((HLOOKUP($AH751,Target_monthwise!$D$4:$O$20,DTR!H$4,FALSE))*1000,0)</f>
        <v>0</v>
      </c>
      <c r="I751" s="141">
        <f>IFERROR((HLOOKUP($AH751,Target_monthwise!$D$4:$O$20,DTR!I$4,FALSE))*1000,0)</f>
        <v>0</v>
      </c>
      <c r="J751" s="141">
        <f>IFERROR((HLOOKUP($AH751,Target_monthwise!$D$4:$O$20,DTR!J$4,FALSE))*1000,0)</f>
        <v>0</v>
      </c>
      <c r="K751" s="141">
        <f>IFERROR((HLOOKUP($AH751,Target_monthwise!$D$4:$O$20,DTR!K$4,FALSE))*1000,0)</f>
        <v>0</v>
      </c>
      <c r="L751" s="141">
        <f>IFERROR((HLOOKUP($AH751,Target_monthwise!$D$4:$O$20,DTR!L$4,FALSE))*1000,0)</f>
        <v>0</v>
      </c>
      <c r="M751" s="141">
        <f>IFERROR((HLOOKUP($AH751,Target_monthwise!$D$4:$O$20,DTR!M$4,FALSE))*1000,0)</f>
        <v>0</v>
      </c>
      <c r="N751" s="141">
        <f>IFERROR((HLOOKUP($AH751,Target_monthwise!$D$4:$O$20,DTR!N$4,FALSE))*1000,0)</f>
        <v>0</v>
      </c>
      <c r="O751" s="141">
        <f>IFERROR((HLOOKUP($AH751,Target_monthwise!$D$4:$O$20,DTR!O$4,FALSE))*1000,0)</f>
        <v>0</v>
      </c>
      <c r="P751" s="141">
        <f>IFERROR((HLOOKUP($AH751,Target_monthwise!$D$4:$O$20,DTR!P$4,FALSE))*1000,0)</f>
        <v>0</v>
      </c>
      <c r="Q751" s="141">
        <f>IFERROR((HLOOKUP($AH751,Target_monthwise!$D$4:$O$20,DTR!Q$4,FALSE))*1000,0)</f>
        <v>0</v>
      </c>
      <c r="R751" s="167">
        <f>IFERROR((HLOOKUP($AH751,Target_monthwise!$D$4:$O$20,DTR!R$4,FALSE))*1000,0)</f>
        <v>0</v>
      </c>
      <c r="S751" s="147">
        <f>IFERROR((HLOOKUP($AH751,Target_monthwise!$D$24:$O$40,DTR!S$4,FALSE)),0)</f>
        <v>0</v>
      </c>
      <c r="T751" s="147">
        <f>IFERROR((HLOOKUP($AH751,Target_monthwise!$D$24:$O$40,DTR!T$4,FALSE)),0)</f>
        <v>0</v>
      </c>
      <c r="U751" s="147">
        <f>IFERROR((HLOOKUP($AH751,Target_monthwise!$D$24:$O$40,DTR!U$4,FALSE)),0)</f>
        <v>0</v>
      </c>
      <c r="V751" s="147">
        <f>IFERROR((HLOOKUP($AH751,Target_monthwise!$D$24:$O$40,DTR!V$4,FALSE)),0)</f>
        <v>0</v>
      </c>
      <c r="W751" s="147">
        <f>IFERROR((HLOOKUP($AH751,Target_monthwise!$D$24:$O$40,DTR!W$4,FALSE)),0)</f>
        <v>0</v>
      </c>
      <c r="X751" s="147">
        <f>IFERROR((HLOOKUP($AH751,Target_monthwise!$D$24:$O$40,DTR!X$4,FALSE)),0)</f>
        <v>0</v>
      </c>
      <c r="Y751" s="147">
        <f>IFERROR((HLOOKUP($AH751,Target_monthwise!$D$24:$O$40,DTR!Y$4,FALSE)),0)</f>
        <v>0</v>
      </c>
      <c r="Z751" s="147">
        <f>IFERROR((HLOOKUP($AH751,Target_monthwise!$D$24:$O$40,DTR!Z$4,FALSE)),0)</f>
        <v>0</v>
      </c>
      <c r="AA751" s="147">
        <f>IFERROR((HLOOKUP($AH751,Target_monthwise!$D$24:$O$40,DTR!AA$4,FALSE)),0)</f>
        <v>0</v>
      </c>
      <c r="AB751" s="147">
        <f>IFERROR((HLOOKUP($AH751,Target_monthwise!$D$24:$O$40,DTR!AB$4,FALSE)),0)</f>
        <v>0</v>
      </c>
      <c r="AC751" s="147">
        <f>IFERROR((HLOOKUP($AH751,Target_monthwise!$D$24:$O$40,DTR!AC$4,FALSE)),0)</f>
        <v>0</v>
      </c>
      <c r="AD751" s="147">
        <f>IFERROR((HLOOKUP($AH751,Target_monthwise!$D$24:$O$40,DTR!AD$4,FALSE)),0)</f>
        <v>0</v>
      </c>
      <c r="AE751" s="147">
        <f>IFERROR((HLOOKUP($AH751,Target_monthwise!$D$24:$O$40,DTR!AE$4,FALSE)),0)</f>
        <v>0</v>
      </c>
      <c r="AF751" s="147">
        <f>IFERROR((HLOOKUP($AH751,Target_monthwise!$D$24:$O$40,DTR!AF$4,FALSE)),0)</f>
        <v>0</v>
      </c>
      <c r="AG751" s="172">
        <f>IFERROR((HLOOKUP($AH751,Target_monthwise!$D$24:$O$40,DTR!AG$4,FALSE)),0)</f>
        <v>0</v>
      </c>
      <c r="AH751" s="253">
        <f t="shared" si="13"/>
        <v>202404</v>
      </c>
    </row>
    <row r="752" spans="1:36" ht="15.75" hidden="1">
      <c r="C752" s="237">
        <v>45395</v>
      </c>
      <c r="D752" s="238">
        <f>IFERROR((HLOOKUP($AH752,Target_monthwise!$D$4:$O$20,DTR!D$4,FALSE))*1000,0)</f>
        <v>0</v>
      </c>
      <c r="E752" s="238">
        <f>IFERROR((HLOOKUP($AH752,Target_monthwise!$D$4:$O$20,DTR!E$4,FALSE))*1000,0)</f>
        <v>0</v>
      </c>
      <c r="F752" s="238">
        <f>IFERROR((HLOOKUP($AH752,Target_monthwise!$D$4:$O$20,DTR!F$4,FALSE))*1000,0)</f>
        <v>0</v>
      </c>
      <c r="G752" s="238">
        <f>IFERROR((HLOOKUP($AH752,Target_monthwise!$D$4:$O$20,DTR!G$4,FALSE))*1000,0)</f>
        <v>0</v>
      </c>
      <c r="H752" s="238">
        <f>IFERROR((HLOOKUP($AH752,Target_monthwise!$D$4:$O$20,DTR!H$4,FALSE))*1000,0)</f>
        <v>0</v>
      </c>
      <c r="I752" s="238">
        <f>IFERROR((HLOOKUP($AH752,Target_monthwise!$D$4:$O$20,DTR!I$4,FALSE))*1000,0)</f>
        <v>0</v>
      </c>
      <c r="J752" s="238">
        <f>IFERROR((HLOOKUP($AH752,Target_monthwise!$D$4:$O$20,DTR!J$4,FALSE))*1000,0)</f>
        <v>0</v>
      </c>
      <c r="K752" s="238">
        <f>IFERROR((HLOOKUP($AH752,Target_monthwise!$D$4:$O$20,DTR!K$4,FALSE))*1000,0)</f>
        <v>0</v>
      </c>
      <c r="L752" s="238">
        <f>IFERROR((HLOOKUP($AH752,Target_monthwise!$D$4:$O$20,DTR!L$4,FALSE))*1000,0)</f>
        <v>0</v>
      </c>
      <c r="M752" s="238">
        <f>IFERROR((HLOOKUP($AH752,Target_monthwise!$D$4:$O$20,DTR!M$4,FALSE))*1000,0)</f>
        <v>0</v>
      </c>
      <c r="N752" s="238">
        <f>IFERROR((HLOOKUP($AH752,Target_monthwise!$D$4:$O$20,DTR!N$4,FALSE))*1000,0)</f>
        <v>0</v>
      </c>
      <c r="O752" s="238">
        <f>IFERROR((HLOOKUP($AH752,Target_monthwise!$D$4:$O$20,DTR!O$4,FALSE))*1000,0)</f>
        <v>0</v>
      </c>
      <c r="P752" s="238">
        <f>IFERROR((HLOOKUP($AH752,Target_monthwise!$D$4:$O$20,DTR!P$4,FALSE))*1000,0)</f>
        <v>0</v>
      </c>
      <c r="Q752" s="141">
        <f>IFERROR((HLOOKUP($AH752,Target_monthwise!$D$4:$O$20,DTR!Q$4,FALSE))*1000,0)</f>
        <v>0</v>
      </c>
      <c r="R752" s="167">
        <f>IFERROR((HLOOKUP($AH752,Target_monthwise!$D$4:$O$20,DTR!R$4,FALSE))*1000,0)</f>
        <v>0</v>
      </c>
      <c r="S752" s="239">
        <f>IFERROR((HLOOKUP($AH752,Target_monthwise!$D$24:$O$40,DTR!S$4,FALSE)),0)</f>
        <v>0</v>
      </c>
      <c r="T752" s="239">
        <f>IFERROR((HLOOKUP($AH752,Target_monthwise!$D$24:$O$40,DTR!T$4,FALSE)),0)</f>
        <v>0</v>
      </c>
      <c r="U752" s="239">
        <f>IFERROR((HLOOKUP($AH752,Target_monthwise!$D$24:$O$40,DTR!U$4,FALSE)),0)</f>
        <v>0</v>
      </c>
      <c r="V752" s="239">
        <f>IFERROR((HLOOKUP($AH752,Target_monthwise!$D$24:$O$40,DTR!V$4,FALSE)),0)</f>
        <v>0</v>
      </c>
      <c r="W752" s="239">
        <f>IFERROR((HLOOKUP($AH752,Target_monthwise!$D$24:$O$40,DTR!W$4,FALSE)),0)</f>
        <v>0</v>
      </c>
      <c r="X752" s="239">
        <f>IFERROR((HLOOKUP($AH752,Target_monthwise!$D$24:$O$40,DTR!X$4,FALSE)),0)</f>
        <v>0</v>
      </c>
      <c r="Y752" s="239">
        <f>IFERROR((HLOOKUP($AH752,Target_monthwise!$D$24:$O$40,DTR!Y$4,FALSE)),0)</f>
        <v>0</v>
      </c>
      <c r="Z752" s="147">
        <f>IFERROR((HLOOKUP($AH752,Target_monthwise!$D$24:$O$40,DTR!Z$4,FALSE)),0)</f>
        <v>0</v>
      </c>
      <c r="AA752" s="147">
        <f>IFERROR((HLOOKUP($AH752,Target_monthwise!$D$24:$O$40,DTR!AA$4,FALSE)),0)</f>
        <v>0</v>
      </c>
      <c r="AB752" s="147">
        <f>IFERROR((HLOOKUP($AH752,Target_monthwise!$D$24:$O$40,DTR!AB$4,FALSE)),0)</f>
        <v>0</v>
      </c>
      <c r="AC752" s="239">
        <f>IFERROR((HLOOKUP($AH752,Target_monthwise!$D$24:$O$40,DTR!AC$4,FALSE)),0)</f>
        <v>0</v>
      </c>
      <c r="AD752" s="239">
        <f>IFERROR((HLOOKUP($AH752,Target_monthwise!$D$24:$O$40,DTR!AD$4,FALSE)),0)</f>
        <v>0</v>
      </c>
      <c r="AE752" s="239">
        <f>IFERROR((HLOOKUP($AH752,Target_monthwise!$D$24:$O$40,DTR!AE$4,FALSE)),0)</f>
        <v>0</v>
      </c>
      <c r="AF752" s="239">
        <f>IFERROR((HLOOKUP($AH752,Target_monthwise!$D$24:$O$40,DTR!AF$4,FALSE)),0)</f>
        <v>0</v>
      </c>
      <c r="AG752" s="172">
        <f>IFERROR((HLOOKUP($AH752,Target_monthwise!$D$24:$O$40,DTR!AG$4,FALSE)),0)</f>
        <v>0</v>
      </c>
      <c r="AH752" s="253">
        <f t="shared" si="13"/>
        <v>202404</v>
      </c>
    </row>
    <row r="753" spans="3:34" ht="15.75" hidden="1">
      <c r="C753" s="235">
        <v>45396</v>
      </c>
      <c r="D753" s="141">
        <f>IFERROR((HLOOKUP($AH753,Target_monthwise!$D$4:$O$20,DTR!D$4,FALSE))*1000,0)</f>
        <v>0</v>
      </c>
      <c r="E753" s="141">
        <f>IFERROR((HLOOKUP($AH753,Target_monthwise!$D$4:$O$20,DTR!E$4,FALSE))*1000,0)</f>
        <v>0</v>
      </c>
      <c r="F753" s="141">
        <f>IFERROR((HLOOKUP($AH753,Target_monthwise!$D$4:$O$20,DTR!F$4,FALSE))*1000,0)</f>
        <v>0</v>
      </c>
      <c r="G753" s="141">
        <f>IFERROR((HLOOKUP($AH753,Target_monthwise!$D$4:$O$20,DTR!G$4,FALSE))*1000,0)</f>
        <v>0</v>
      </c>
      <c r="H753" s="141">
        <f>IFERROR((HLOOKUP($AH753,Target_monthwise!$D$4:$O$20,DTR!H$4,FALSE))*1000,0)</f>
        <v>0</v>
      </c>
      <c r="I753" s="141">
        <f>IFERROR((HLOOKUP($AH753,Target_monthwise!$D$4:$O$20,DTR!I$4,FALSE))*1000,0)</f>
        <v>0</v>
      </c>
      <c r="J753" s="141">
        <f>IFERROR((HLOOKUP($AH753,Target_monthwise!$D$4:$O$20,DTR!J$4,FALSE))*1000,0)</f>
        <v>0</v>
      </c>
      <c r="K753" s="141">
        <f>IFERROR((HLOOKUP($AH753,Target_monthwise!$D$4:$O$20,DTR!K$4,FALSE))*1000,0)</f>
        <v>0</v>
      </c>
      <c r="L753" s="141">
        <f>IFERROR((HLOOKUP($AH753,Target_monthwise!$D$4:$O$20,DTR!L$4,FALSE))*1000,0)</f>
        <v>0</v>
      </c>
      <c r="M753" s="141">
        <f>IFERROR((HLOOKUP($AH753,Target_monthwise!$D$4:$O$20,DTR!M$4,FALSE))*1000,0)</f>
        <v>0</v>
      </c>
      <c r="N753" s="141">
        <f>IFERROR((HLOOKUP($AH753,Target_monthwise!$D$4:$O$20,DTR!N$4,FALSE))*1000,0)</f>
        <v>0</v>
      </c>
      <c r="O753" s="141">
        <f>IFERROR((HLOOKUP($AH753,Target_monthwise!$D$4:$O$20,DTR!O$4,FALSE))*1000,0)</f>
        <v>0</v>
      </c>
      <c r="P753" s="141">
        <f>IFERROR((HLOOKUP($AH753,Target_monthwise!$D$4:$O$20,DTR!P$4,FALSE))*1000,0)</f>
        <v>0</v>
      </c>
      <c r="Q753" s="141">
        <f>IFERROR((HLOOKUP($AH753,Target_monthwise!$D$4:$O$20,DTR!Q$4,FALSE))*1000,0)</f>
        <v>0</v>
      </c>
      <c r="R753" s="167">
        <f>IFERROR((HLOOKUP($AH753,Target_monthwise!$D$4:$O$20,DTR!R$4,FALSE))*1000,0)</f>
        <v>0</v>
      </c>
      <c r="S753" s="147">
        <f>IFERROR((HLOOKUP($AH753,Target_monthwise!$D$24:$O$40,DTR!S$4,FALSE)),0)</f>
        <v>0</v>
      </c>
      <c r="T753" s="147">
        <f>IFERROR((HLOOKUP($AH753,Target_monthwise!$D$24:$O$40,DTR!T$4,FALSE)),0)</f>
        <v>0</v>
      </c>
      <c r="U753" s="147">
        <f>IFERROR((HLOOKUP($AH753,Target_monthwise!$D$24:$O$40,DTR!U$4,FALSE)),0)</f>
        <v>0</v>
      </c>
      <c r="V753" s="147">
        <f>IFERROR((HLOOKUP($AH753,Target_monthwise!$D$24:$O$40,DTR!V$4,FALSE)),0)</f>
        <v>0</v>
      </c>
      <c r="W753" s="147">
        <f>IFERROR((HLOOKUP($AH753,Target_monthwise!$D$24:$O$40,DTR!W$4,FALSE)),0)</f>
        <v>0</v>
      </c>
      <c r="X753" s="147">
        <f>IFERROR((HLOOKUP($AH753,Target_monthwise!$D$24:$O$40,DTR!X$4,FALSE)),0)</f>
        <v>0</v>
      </c>
      <c r="Y753" s="147">
        <f>IFERROR((HLOOKUP($AH753,Target_monthwise!$D$24:$O$40,DTR!Y$4,FALSE)),0)</f>
        <v>0</v>
      </c>
      <c r="Z753" s="147">
        <f>IFERROR((HLOOKUP($AH753,Target_monthwise!$D$24:$O$40,DTR!Z$4,FALSE)),0)</f>
        <v>0</v>
      </c>
      <c r="AA753" s="147">
        <f>IFERROR((HLOOKUP($AH753,Target_monthwise!$D$24:$O$40,DTR!AA$4,FALSE)),0)</f>
        <v>0</v>
      </c>
      <c r="AB753" s="147">
        <f>IFERROR((HLOOKUP($AH753,Target_monthwise!$D$24:$O$40,DTR!AB$4,FALSE)),0)</f>
        <v>0</v>
      </c>
      <c r="AC753" s="147">
        <f>IFERROR((HLOOKUP($AH753,Target_monthwise!$D$24:$O$40,DTR!AC$4,FALSE)),0)</f>
        <v>0</v>
      </c>
      <c r="AD753" s="147">
        <f>IFERROR((HLOOKUP($AH753,Target_monthwise!$D$24:$O$40,DTR!AD$4,FALSE)),0)</f>
        <v>0</v>
      </c>
      <c r="AE753" s="147">
        <f>IFERROR((HLOOKUP($AH753,Target_monthwise!$D$24:$O$40,DTR!AE$4,FALSE)),0)</f>
        <v>0</v>
      </c>
      <c r="AF753" s="147">
        <f>IFERROR((HLOOKUP($AH753,Target_monthwise!$D$24:$O$40,DTR!AF$4,FALSE)),0)</f>
        <v>0</v>
      </c>
      <c r="AG753" s="172">
        <f>IFERROR((HLOOKUP($AH753,Target_monthwise!$D$24:$O$40,DTR!AG$4,FALSE)),0)</f>
        <v>0</v>
      </c>
      <c r="AH753" s="253">
        <f t="shared" si="13"/>
        <v>202404</v>
      </c>
    </row>
    <row r="754" spans="3:34" ht="15.75" hidden="1">
      <c r="C754" s="237">
        <v>45397</v>
      </c>
      <c r="D754" s="238">
        <f>IFERROR((HLOOKUP($AH754,Target_monthwise!$D$4:$O$20,DTR!D$4,FALSE))*1000,0)</f>
        <v>0</v>
      </c>
      <c r="E754" s="238">
        <f>IFERROR((HLOOKUP($AH754,Target_monthwise!$D$4:$O$20,DTR!E$4,FALSE))*1000,0)</f>
        <v>0</v>
      </c>
      <c r="F754" s="238">
        <f>IFERROR((HLOOKUP($AH754,Target_monthwise!$D$4:$O$20,DTR!F$4,FALSE))*1000,0)</f>
        <v>0</v>
      </c>
      <c r="G754" s="238">
        <f>IFERROR((HLOOKUP($AH754,Target_monthwise!$D$4:$O$20,DTR!G$4,FALSE))*1000,0)</f>
        <v>0</v>
      </c>
      <c r="H754" s="238">
        <f>IFERROR((HLOOKUP($AH754,Target_monthwise!$D$4:$O$20,DTR!H$4,FALSE))*1000,0)</f>
        <v>0</v>
      </c>
      <c r="I754" s="238">
        <f>IFERROR((HLOOKUP($AH754,Target_monthwise!$D$4:$O$20,DTR!I$4,FALSE))*1000,0)</f>
        <v>0</v>
      </c>
      <c r="J754" s="238">
        <f>IFERROR((HLOOKUP($AH754,Target_monthwise!$D$4:$O$20,DTR!J$4,FALSE))*1000,0)</f>
        <v>0</v>
      </c>
      <c r="K754" s="238">
        <f>IFERROR((HLOOKUP($AH754,Target_monthwise!$D$4:$O$20,DTR!K$4,FALSE))*1000,0)</f>
        <v>0</v>
      </c>
      <c r="L754" s="238">
        <f>IFERROR((HLOOKUP($AH754,Target_monthwise!$D$4:$O$20,DTR!L$4,FALSE))*1000,0)</f>
        <v>0</v>
      </c>
      <c r="M754" s="238">
        <f>IFERROR((HLOOKUP($AH754,Target_monthwise!$D$4:$O$20,DTR!M$4,FALSE))*1000,0)</f>
        <v>0</v>
      </c>
      <c r="N754" s="238">
        <f>IFERROR((HLOOKUP($AH754,Target_monthwise!$D$4:$O$20,DTR!N$4,FALSE))*1000,0)</f>
        <v>0</v>
      </c>
      <c r="O754" s="238">
        <f>IFERROR((HLOOKUP($AH754,Target_monthwise!$D$4:$O$20,DTR!O$4,FALSE))*1000,0)</f>
        <v>0</v>
      </c>
      <c r="P754" s="238">
        <f>IFERROR((HLOOKUP($AH754,Target_monthwise!$D$4:$O$20,DTR!P$4,FALSE))*1000,0)</f>
        <v>0</v>
      </c>
      <c r="Q754" s="141">
        <f>IFERROR((HLOOKUP($AH754,Target_monthwise!$D$4:$O$20,DTR!Q$4,FALSE))*1000,0)</f>
        <v>0</v>
      </c>
      <c r="R754" s="167">
        <f>IFERROR((HLOOKUP($AH754,Target_monthwise!$D$4:$O$20,DTR!R$4,FALSE))*1000,0)</f>
        <v>0</v>
      </c>
      <c r="S754" s="239">
        <f>IFERROR((HLOOKUP($AH754,Target_monthwise!$D$24:$O$40,DTR!S$4,FALSE)),0)</f>
        <v>0</v>
      </c>
      <c r="T754" s="239">
        <f>IFERROR((HLOOKUP($AH754,Target_monthwise!$D$24:$O$40,DTR!T$4,FALSE)),0)</f>
        <v>0</v>
      </c>
      <c r="U754" s="239">
        <f>IFERROR((HLOOKUP($AH754,Target_monthwise!$D$24:$O$40,DTR!U$4,FALSE)),0)</f>
        <v>0</v>
      </c>
      <c r="V754" s="239">
        <f>IFERROR((HLOOKUP($AH754,Target_monthwise!$D$24:$O$40,DTR!V$4,FALSE)),0)</f>
        <v>0</v>
      </c>
      <c r="W754" s="239">
        <f>IFERROR((HLOOKUP($AH754,Target_monthwise!$D$24:$O$40,DTR!W$4,FALSE)),0)</f>
        <v>0</v>
      </c>
      <c r="X754" s="239">
        <f>IFERROR((HLOOKUP($AH754,Target_monthwise!$D$24:$O$40,DTR!X$4,FALSE)),0)</f>
        <v>0</v>
      </c>
      <c r="Y754" s="239">
        <f>IFERROR((HLOOKUP($AH754,Target_monthwise!$D$24:$O$40,DTR!Y$4,FALSE)),0)</f>
        <v>0</v>
      </c>
      <c r="Z754" s="147">
        <f>IFERROR((HLOOKUP($AH754,Target_monthwise!$D$24:$O$40,DTR!Z$4,FALSE)),0)</f>
        <v>0</v>
      </c>
      <c r="AA754" s="147">
        <f>IFERROR((HLOOKUP($AH754,Target_monthwise!$D$24:$O$40,DTR!AA$4,FALSE)),0)</f>
        <v>0</v>
      </c>
      <c r="AB754" s="147">
        <f>IFERROR((HLOOKUP($AH754,Target_monthwise!$D$24:$O$40,DTR!AB$4,FALSE)),0)</f>
        <v>0</v>
      </c>
      <c r="AC754" s="239">
        <f>IFERROR((HLOOKUP($AH754,Target_monthwise!$D$24:$O$40,DTR!AC$4,FALSE)),0)</f>
        <v>0</v>
      </c>
      <c r="AD754" s="239">
        <f>IFERROR((HLOOKUP($AH754,Target_monthwise!$D$24:$O$40,DTR!AD$4,FALSE)),0)</f>
        <v>0</v>
      </c>
      <c r="AE754" s="239">
        <f>IFERROR((HLOOKUP($AH754,Target_monthwise!$D$24:$O$40,DTR!AE$4,FALSE)),0)</f>
        <v>0</v>
      </c>
      <c r="AF754" s="239">
        <f>IFERROR((HLOOKUP($AH754,Target_monthwise!$D$24:$O$40,DTR!AF$4,FALSE)),0)</f>
        <v>0</v>
      </c>
      <c r="AG754" s="172">
        <f>IFERROR((HLOOKUP($AH754,Target_monthwise!$D$24:$O$40,DTR!AG$4,FALSE)),0)</f>
        <v>0</v>
      </c>
      <c r="AH754" s="253">
        <f t="shared" si="13"/>
        <v>202404</v>
      </c>
    </row>
    <row r="755" spans="3:34" ht="15.75" hidden="1">
      <c r="C755" s="235">
        <v>45398</v>
      </c>
      <c r="D755" s="141">
        <f>IFERROR((HLOOKUP($AH755,Target_monthwise!$D$4:$O$20,DTR!D$4,FALSE))*1000,0)</f>
        <v>0</v>
      </c>
      <c r="E755" s="141">
        <f>IFERROR((HLOOKUP($AH755,Target_monthwise!$D$4:$O$20,DTR!E$4,FALSE))*1000,0)</f>
        <v>0</v>
      </c>
      <c r="F755" s="141">
        <f>IFERROR((HLOOKUP($AH755,Target_monthwise!$D$4:$O$20,DTR!F$4,FALSE))*1000,0)</f>
        <v>0</v>
      </c>
      <c r="G755" s="141">
        <f>IFERROR((HLOOKUP($AH755,Target_monthwise!$D$4:$O$20,DTR!G$4,FALSE))*1000,0)</f>
        <v>0</v>
      </c>
      <c r="H755" s="141">
        <f>IFERROR((HLOOKUP($AH755,Target_monthwise!$D$4:$O$20,DTR!H$4,FALSE))*1000,0)</f>
        <v>0</v>
      </c>
      <c r="I755" s="141">
        <f>IFERROR((HLOOKUP($AH755,Target_monthwise!$D$4:$O$20,DTR!I$4,FALSE))*1000,0)</f>
        <v>0</v>
      </c>
      <c r="J755" s="141">
        <f>IFERROR((HLOOKUP($AH755,Target_monthwise!$D$4:$O$20,DTR!J$4,FALSE))*1000,0)</f>
        <v>0</v>
      </c>
      <c r="K755" s="141">
        <f>IFERROR((HLOOKUP($AH755,Target_monthwise!$D$4:$O$20,DTR!K$4,FALSE))*1000,0)</f>
        <v>0</v>
      </c>
      <c r="L755" s="141">
        <f>IFERROR((HLOOKUP($AH755,Target_monthwise!$D$4:$O$20,DTR!L$4,FALSE))*1000,0)</f>
        <v>0</v>
      </c>
      <c r="M755" s="141">
        <f>IFERROR((HLOOKUP($AH755,Target_monthwise!$D$4:$O$20,DTR!M$4,FALSE))*1000,0)</f>
        <v>0</v>
      </c>
      <c r="N755" s="141">
        <f>IFERROR((HLOOKUP($AH755,Target_monthwise!$D$4:$O$20,DTR!N$4,FALSE))*1000,0)</f>
        <v>0</v>
      </c>
      <c r="O755" s="141">
        <f>IFERROR((HLOOKUP($AH755,Target_monthwise!$D$4:$O$20,DTR!O$4,FALSE))*1000,0)</f>
        <v>0</v>
      </c>
      <c r="P755" s="141">
        <f>IFERROR((HLOOKUP($AH755,Target_monthwise!$D$4:$O$20,DTR!P$4,FALSE))*1000,0)</f>
        <v>0</v>
      </c>
      <c r="Q755" s="141">
        <f>IFERROR((HLOOKUP($AH755,Target_monthwise!$D$4:$O$20,DTR!Q$4,FALSE))*1000,0)</f>
        <v>0</v>
      </c>
      <c r="R755" s="167">
        <f>IFERROR((HLOOKUP($AH755,Target_monthwise!$D$4:$O$20,DTR!R$4,FALSE))*1000,0)</f>
        <v>0</v>
      </c>
      <c r="S755" s="147">
        <f>IFERROR((HLOOKUP($AH755,Target_monthwise!$D$24:$O$40,DTR!S$4,FALSE)),0)</f>
        <v>0</v>
      </c>
      <c r="T755" s="147">
        <f>IFERROR((HLOOKUP($AH755,Target_monthwise!$D$24:$O$40,DTR!T$4,FALSE)),0)</f>
        <v>0</v>
      </c>
      <c r="U755" s="147">
        <f>IFERROR((HLOOKUP($AH755,Target_monthwise!$D$24:$O$40,DTR!U$4,FALSE)),0)</f>
        <v>0</v>
      </c>
      <c r="V755" s="147">
        <f>IFERROR((HLOOKUP($AH755,Target_monthwise!$D$24:$O$40,DTR!V$4,FALSE)),0)</f>
        <v>0</v>
      </c>
      <c r="W755" s="147">
        <f>IFERROR((HLOOKUP($AH755,Target_monthwise!$D$24:$O$40,DTR!W$4,FALSE)),0)</f>
        <v>0</v>
      </c>
      <c r="X755" s="147">
        <f>IFERROR((HLOOKUP($AH755,Target_monthwise!$D$24:$O$40,DTR!X$4,FALSE)),0)</f>
        <v>0</v>
      </c>
      <c r="Y755" s="147">
        <f>IFERROR((HLOOKUP($AH755,Target_monthwise!$D$24:$O$40,DTR!Y$4,FALSE)),0)</f>
        <v>0</v>
      </c>
      <c r="Z755" s="147">
        <f>IFERROR((HLOOKUP($AH755,Target_monthwise!$D$24:$O$40,DTR!Z$4,FALSE)),0)</f>
        <v>0</v>
      </c>
      <c r="AA755" s="147">
        <f>IFERROR((HLOOKUP($AH755,Target_monthwise!$D$24:$O$40,DTR!AA$4,FALSE)),0)</f>
        <v>0</v>
      </c>
      <c r="AB755" s="147">
        <f>IFERROR((HLOOKUP($AH755,Target_monthwise!$D$24:$O$40,DTR!AB$4,FALSE)),0)</f>
        <v>0</v>
      </c>
      <c r="AC755" s="147">
        <f>IFERROR((HLOOKUP($AH755,Target_monthwise!$D$24:$O$40,DTR!AC$4,FALSE)),0)</f>
        <v>0</v>
      </c>
      <c r="AD755" s="147">
        <f>IFERROR((HLOOKUP($AH755,Target_monthwise!$D$24:$O$40,DTR!AD$4,FALSE)),0)</f>
        <v>0</v>
      </c>
      <c r="AE755" s="147">
        <f>IFERROR((HLOOKUP($AH755,Target_monthwise!$D$24:$O$40,DTR!AE$4,FALSE)),0)</f>
        <v>0</v>
      </c>
      <c r="AF755" s="147">
        <f>IFERROR((HLOOKUP($AH755,Target_monthwise!$D$24:$O$40,DTR!AF$4,FALSE)),0)</f>
        <v>0</v>
      </c>
      <c r="AG755" s="172">
        <f>IFERROR((HLOOKUP($AH755,Target_monthwise!$D$24:$O$40,DTR!AG$4,FALSE)),0)</f>
        <v>0</v>
      </c>
      <c r="AH755" s="253">
        <f t="shared" ref="AH755:AH818" si="14">YEAR(C755)*100+MONTH(C755)</f>
        <v>202404</v>
      </c>
    </row>
    <row r="756" spans="3:34" ht="15.75" hidden="1">
      <c r="C756" s="237">
        <v>45399</v>
      </c>
      <c r="D756" s="238">
        <f>IFERROR((HLOOKUP($AH756,Target_monthwise!$D$4:$O$20,DTR!D$4,FALSE))*1000,0)</f>
        <v>0</v>
      </c>
      <c r="E756" s="238">
        <f>IFERROR((HLOOKUP($AH756,Target_monthwise!$D$4:$O$20,DTR!E$4,FALSE))*1000,0)</f>
        <v>0</v>
      </c>
      <c r="F756" s="238">
        <f>IFERROR((HLOOKUP($AH756,Target_monthwise!$D$4:$O$20,DTR!F$4,FALSE))*1000,0)</f>
        <v>0</v>
      </c>
      <c r="G756" s="238">
        <f>IFERROR((HLOOKUP($AH756,Target_monthwise!$D$4:$O$20,DTR!G$4,FALSE))*1000,0)</f>
        <v>0</v>
      </c>
      <c r="H756" s="238">
        <f>IFERROR((HLOOKUP($AH756,Target_monthwise!$D$4:$O$20,DTR!H$4,FALSE))*1000,0)</f>
        <v>0</v>
      </c>
      <c r="I756" s="238">
        <f>IFERROR((HLOOKUP($AH756,Target_monthwise!$D$4:$O$20,DTR!I$4,FALSE))*1000,0)</f>
        <v>0</v>
      </c>
      <c r="J756" s="238">
        <f>IFERROR((HLOOKUP($AH756,Target_monthwise!$D$4:$O$20,DTR!J$4,FALSE))*1000,0)</f>
        <v>0</v>
      </c>
      <c r="K756" s="238">
        <f>IFERROR((HLOOKUP($AH756,Target_monthwise!$D$4:$O$20,DTR!K$4,FALSE))*1000,0)</f>
        <v>0</v>
      </c>
      <c r="L756" s="238">
        <f>IFERROR((HLOOKUP($AH756,Target_monthwise!$D$4:$O$20,DTR!L$4,FALSE))*1000,0)</f>
        <v>0</v>
      </c>
      <c r="M756" s="238">
        <f>IFERROR((HLOOKUP($AH756,Target_monthwise!$D$4:$O$20,DTR!M$4,FALSE))*1000,0)</f>
        <v>0</v>
      </c>
      <c r="N756" s="238">
        <f>IFERROR((HLOOKUP($AH756,Target_monthwise!$D$4:$O$20,DTR!N$4,FALSE))*1000,0)</f>
        <v>0</v>
      </c>
      <c r="O756" s="238">
        <f>IFERROR((HLOOKUP($AH756,Target_monthwise!$D$4:$O$20,DTR!O$4,FALSE))*1000,0)</f>
        <v>0</v>
      </c>
      <c r="P756" s="238">
        <f>IFERROR((HLOOKUP($AH756,Target_monthwise!$D$4:$O$20,DTR!P$4,FALSE))*1000,0)</f>
        <v>0</v>
      </c>
      <c r="Q756" s="141">
        <f>IFERROR((HLOOKUP($AH756,Target_monthwise!$D$4:$O$20,DTR!Q$4,FALSE))*1000,0)</f>
        <v>0</v>
      </c>
      <c r="R756" s="167">
        <f>IFERROR((HLOOKUP($AH756,Target_monthwise!$D$4:$O$20,DTR!R$4,FALSE))*1000,0)</f>
        <v>0</v>
      </c>
      <c r="S756" s="239">
        <f>IFERROR((HLOOKUP($AH756,Target_monthwise!$D$24:$O$40,DTR!S$4,FALSE)),0)</f>
        <v>0</v>
      </c>
      <c r="T756" s="239">
        <f>IFERROR((HLOOKUP($AH756,Target_monthwise!$D$24:$O$40,DTR!T$4,FALSE)),0)</f>
        <v>0</v>
      </c>
      <c r="U756" s="239">
        <f>IFERROR((HLOOKUP($AH756,Target_monthwise!$D$24:$O$40,DTR!U$4,FALSE)),0)</f>
        <v>0</v>
      </c>
      <c r="V756" s="239">
        <f>IFERROR((HLOOKUP($AH756,Target_monthwise!$D$24:$O$40,DTR!V$4,FALSE)),0)</f>
        <v>0</v>
      </c>
      <c r="W756" s="239">
        <f>IFERROR((HLOOKUP($AH756,Target_monthwise!$D$24:$O$40,DTR!W$4,FALSE)),0)</f>
        <v>0</v>
      </c>
      <c r="X756" s="239">
        <f>IFERROR((HLOOKUP($AH756,Target_monthwise!$D$24:$O$40,DTR!X$4,FALSE)),0)</f>
        <v>0</v>
      </c>
      <c r="Y756" s="239">
        <f>IFERROR((HLOOKUP($AH756,Target_monthwise!$D$24:$O$40,DTR!Y$4,FALSE)),0)</f>
        <v>0</v>
      </c>
      <c r="Z756" s="147">
        <f>IFERROR((HLOOKUP($AH756,Target_monthwise!$D$24:$O$40,DTR!Z$4,FALSE)),0)</f>
        <v>0</v>
      </c>
      <c r="AA756" s="147">
        <f>IFERROR((HLOOKUP($AH756,Target_monthwise!$D$24:$O$40,DTR!AA$4,FALSE)),0)</f>
        <v>0</v>
      </c>
      <c r="AB756" s="147">
        <f>IFERROR((HLOOKUP($AH756,Target_monthwise!$D$24:$O$40,DTR!AB$4,FALSE)),0)</f>
        <v>0</v>
      </c>
      <c r="AC756" s="239">
        <f>IFERROR((HLOOKUP($AH756,Target_monthwise!$D$24:$O$40,DTR!AC$4,FALSE)),0)</f>
        <v>0</v>
      </c>
      <c r="AD756" s="239">
        <f>IFERROR((HLOOKUP($AH756,Target_monthwise!$D$24:$O$40,DTR!AD$4,FALSE)),0)</f>
        <v>0</v>
      </c>
      <c r="AE756" s="239">
        <f>IFERROR((HLOOKUP($AH756,Target_monthwise!$D$24:$O$40,DTR!AE$4,FALSE)),0)</f>
        <v>0</v>
      </c>
      <c r="AF756" s="239">
        <f>IFERROR((HLOOKUP($AH756,Target_monthwise!$D$24:$O$40,DTR!AF$4,FALSE)),0)</f>
        <v>0</v>
      </c>
      <c r="AG756" s="172">
        <f>IFERROR((HLOOKUP($AH756,Target_monthwise!$D$24:$O$40,DTR!AG$4,FALSE)),0)</f>
        <v>0</v>
      </c>
      <c r="AH756" s="253">
        <f t="shared" si="14"/>
        <v>202404</v>
      </c>
    </row>
    <row r="757" spans="3:34" ht="15.75" hidden="1">
      <c r="C757" s="235">
        <v>45400</v>
      </c>
      <c r="D757" s="141">
        <f>IFERROR((HLOOKUP($AH757,Target_monthwise!$D$4:$O$20,DTR!D$4,FALSE))*1000,0)</f>
        <v>0</v>
      </c>
      <c r="E757" s="141">
        <f>IFERROR((HLOOKUP($AH757,Target_monthwise!$D$4:$O$20,DTR!E$4,FALSE))*1000,0)</f>
        <v>0</v>
      </c>
      <c r="F757" s="141">
        <f>IFERROR((HLOOKUP($AH757,Target_monthwise!$D$4:$O$20,DTR!F$4,FALSE))*1000,0)</f>
        <v>0</v>
      </c>
      <c r="G757" s="141">
        <f>IFERROR((HLOOKUP($AH757,Target_monthwise!$D$4:$O$20,DTR!G$4,FALSE))*1000,0)</f>
        <v>0</v>
      </c>
      <c r="H757" s="141">
        <f>IFERROR((HLOOKUP($AH757,Target_monthwise!$D$4:$O$20,DTR!H$4,FALSE))*1000,0)</f>
        <v>0</v>
      </c>
      <c r="I757" s="141">
        <f>IFERROR((HLOOKUP($AH757,Target_monthwise!$D$4:$O$20,DTR!I$4,FALSE))*1000,0)</f>
        <v>0</v>
      </c>
      <c r="J757" s="141">
        <f>IFERROR((HLOOKUP($AH757,Target_monthwise!$D$4:$O$20,DTR!J$4,FALSE))*1000,0)</f>
        <v>0</v>
      </c>
      <c r="K757" s="141">
        <f>IFERROR((HLOOKUP($AH757,Target_monthwise!$D$4:$O$20,DTR!K$4,FALSE))*1000,0)</f>
        <v>0</v>
      </c>
      <c r="L757" s="141">
        <f>IFERROR((HLOOKUP($AH757,Target_monthwise!$D$4:$O$20,DTR!L$4,FALSE))*1000,0)</f>
        <v>0</v>
      </c>
      <c r="M757" s="141">
        <f>IFERROR((HLOOKUP($AH757,Target_monthwise!$D$4:$O$20,DTR!M$4,FALSE))*1000,0)</f>
        <v>0</v>
      </c>
      <c r="N757" s="141">
        <f>IFERROR((HLOOKUP($AH757,Target_monthwise!$D$4:$O$20,DTR!N$4,FALSE))*1000,0)</f>
        <v>0</v>
      </c>
      <c r="O757" s="141">
        <f>IFERROR((HLOOKUP($AH757,Target_monthwise!$D$4:$O$20,DTR!O$4,FALSE))*1000,0)</f>
        <v>0</v>
      </c>
      <c r="P757" s="141">
        <f>IFERROR((HLOOKUP($AH757,Target_monthwise!$D$4:$O$20,DTR!P$4,FALSE))*1000,0)</f>
        <v>0</v>
      </c>
      <c r="Q757" s="141">
        <f>IFERROR((HLOOKUP($AH757,Target_monthwise!$D$4:$O$20,DTR!Q$4,FALSE))*1000,0)</f>
        <v>0</v>
      </c>
      <c r="R757" s="167">
        <f>IFERROR((HLOOKUP($AH757,Target_monthwise!$D$4:$O$20,DTR!R$4,FALSE))*1000,0)</f>
        <v>0</v>
      </c>
      <c r="S757" s="147">
        <f>IFERROR((HLOOKUP($AH757,Target_monthwise!$D$24:$O$40,DTR!S$4,FALSE)),0)</f>
        <v>0</v>
      </c>
      <c r="T757" s="147">
        <f>IFERROR((HLOOKUP($AH757,Target_monthwise!$D$24:$O$40,DTR!T$4,FALSE)),0)</f>
        <v>0</v>
      </c>
      <c r="U757" s="147">
        <f>IFERROR((HLOOKUP($AH757,Target_monthwise!$D$24:$O$40,DTR!U$4,FALSE)),0)</f>
        <v>0</v>
      </c>
      <c r="V757" s="147">
        <f>IFERROR((HLOOKUP($AH757,Target_monthwise!$D$24:$O$40,DTR!V$4,FALSE)),0)</f>
        <v>0</v>
      </c>
      <c r="W757" s="147">
        <f>IFERROR((HLOOKUP($AH757,Target_monthwise!$D$24:$O$40,DTR!W$4,FALSE)),0)</f>
        <v>0</v>
      </c>
      <c r="X757" s="147">
        <f>IFERROR((HLOOKUP($AH757,Target_monthwise!$D$24:$O$40,DTR!X$4,FALSE)),0)</f>
        <v>0</v>
      </c>
      <c r="Y757" s="147">
        <f>IFERROR((HLOOKUP($AH757,Target_monthwise!$D$24:$O$40,DTR!Y$4,FALSE)),0)</f>
        <v>0</v>
      </c>
      <c r="Z757" s="147">
        <f>IFERROR((HLOOKUP($AH757,Target_monthwise!$D$24:$O$40,DTR!Z$4,FALSE)),0)</f>
        <v>0</v>
      </c>
      <c r="AA757" s="147">
        <f>IFERROR((HLOOKUP($AH757,Target_monthwise!$D$24:$O$40,DTR!AA$4,FALSE)),0)</f>
        <v>0</v>
      </c>
      <c r="AB757" s="147">
        <f>IFERROR((HLOOKUP($AH757,Target_monthwise!$D$24:$O$40,DTR!AB$4,FALSE)),0)</f>
        <v>0</v>
      </c>
      <c r="AC757" s="147">
        <f>IFERROR((HLOOKUP($AH757,Target_monthwise!$D$24:$O$40,DTR!AC$4,FALSE)),0)</f>
        <v>0</v>
      </c>
      <c r="AD757" s="147">
        <f>IFERROR((HLOOKUP($AH757,Target_monthwise!$D$24:$O$40,DTR!AD$4,FALSE)),0)</f>
        <v>0</v>
      </c>
      <c r="AE757" s="147">
        <f>IFERROR((HLOOKUP($AH757,Target_monthwise!$D$24:$O$40,DTR!AE$4,FALSE)),0)</f>
        <v>0</v>
      </c>
      <c r="AF757" s="147">
        <f>IFERROR((HLOOKUP($AH757,Target_monthwise!$D$24:$O$40,DTR!AF$4,FALSE)),0)</f>
        <v>0</v>
      </c>
      <c r="AG757" s="172">
        <f>IFERROR((HLOOKUP($AH757,Target_monthwise!$D$24:$O$40,DTR!AG$4,FALSE)),0)</f>
        <v>0</v>
      </c>
      <c r="AH757" s="253">
        <f t="shared" si="14"/>
        <v>202404</v>
      </c>
    </row>
    <row r="758" spans="3:34" ht="15.75" hidden="1">
      <c r="C758" s="237">
        <v>45401</v>
      </c>
      <c r="D758" s="238">
        <f>IFERROR((HLOOKUP($AH758,Target_monthwise!$D$4:$O$20,DTR!D$4,FALSE))*1000,0)</f>
        <v>0</v>
      </c>
      <c r="E758" s="238">
        <f>IFERROR((HLOOKUP($AH758,Target_monthwise!$D$4:$O$20,DTR!E$4,FALSE))*1000,0)</f>
        <v>0</v>
      </c>
      <c r="F758" s="238">
        <f>IFERROR((HLOOKUP($AH758,Target_monthwise!$D$4:$O$20,DTR!F$4,FALSE))*1000,0)</f>
        <v>0</v>
      </c>
      <c r="G758" s="238">
        <f>IFERROR((HLOOKUP($AH758,Target_monthwise!$D$4:$O$20,DTR!G$4,FALSE))*1000,0)</f>
        <v>0</v>
      </c>
      <c r="H758" s="238">
        <f>IFERROR((HLOOKUP($AH758,Target_monthwise!$D$4:$O$20,DTR!H$4,FALSE))*1000,0)</f>
        <v>0</v>
      </c>
      <c r="I758" s="238">
        <f>IFERROR((HLOOKUP($AH758,Target_monthwise!$D$4:$O$20,DTR!I$4,FALSE))*1000,0)</f>
        <v>0</v>
      </c>
      <c r="J758" s="238">
        <f>IFERROR((HLOOKUP($AH758,Target_monthwise!$D$4:$O$20,DTR!J$4,FALSE))*1000,0)</f>
        <v>0</v>
      </c>
      <c r="K758" s="238">
        <f>IFERROR((HLOOKUP($AH758,Target_monthwise!$D$4:$O$20,DTR!K$4,FALSE))*1000,0)</f>
        <v>0</v>
      </c>
      <c r="L758" s="238">
        <f>IFERROR((HLOOKUP($AH758,Target_monthwise!$D$4:$O$20,DTR!L$4,FALSE))*1000,0)</f>
        <v>0</v>
      </c>
      <c r="M758" s="238">
        <f>IFERROR((HLOOKUP($AH758,Target_monthwise!$D$4:$O$20,DTR!M$4,FALSE))*1000,0)</f>
        <v>0</v>
      </c>
      <c r="N758" s="238">
        <f>IFERROR((HLOOKUP($AH758,Target_monthwise!$D$4:$O$20,DTR!N$4,FALSE))*1000,0)</f>
        <v>0</v>
      </c>
      <c r="O758" s="238">
        <f>IFERROR((HLOOKUP($AH758,Target_monthwise!$D$4:$O$20,DTR!O$4,FALSE))*1000,0)</f>
        <v>0</v>
      </c>
      <c r="P758" s="238">
        <f>IFERROR((HLOOKUP($AH758,Target_monthwise!$D$4:$O$20,DTR!P$4,FALSE))*1000,0)</f>
        <v>0</v>
      </c>
      <c r="Q758" s="141">
        <f>IFERROR((HLOOKUP($AH758,Target_monthwise!$D$4:$O$20,DTR!Q$4,FALSE))*1000,0)</f>
        <v>0</v>
      </c>
      <c r="R758" s="167">
        <f>IFERROR((HLOOKUP($AH758,Target_monthwise!$D$4:$O$20,DTR!R$4,FALSE))*1000,0)</f>
        <v>0</v>
      </c>
      <c r="S758" s="239">
        <f>IFERROR((HLOOKUP($AH758,Target_monthwise!$D$24:$O$40,DTR!S$4,FALSE)),0)</f>
        <v>0</v>
      </c>
      <c r="T758" s="239">
        <f>IFERROR((HLOOKUP($AH758,Target_monthwise!$D$24:$O$40,DTR!T$4,FALSE)),0)</f>
        <v>0</v>
      </c>
      <c r="U758" s="239">
        <f>IFERROR((HLOOKUP($AH758,Target_monthwise!$D$24:$O$40,DTR!U$4,FALSE)),0)</f>
        <v>0</v>
      </c>
      <c r="V758" s="239">
        <f>IFERROR((HLOOKUP($AH758,Target_monthwise!$D$24:$O$40,DTR!V$4,FALSE)),0)</f>
        <v>0</v>
      </c>
      <c r="W758" s="239">
        <f>IFERROR((HLOOKUP($AH758,Target_monthwise!$D$24:$O$40,DTR!W$4,FALSE)),0)</f>
        <v>0</v>
      </c>
      <c r="X758" s="239">
        <f>IFERROR((HLOOKUP($AH758,Target_monthwise!$D$24:$O$40,DTR!X$4,FALSE)),0)</f>
        <v>0</v>
      </c>
      <c r="Y758" s="239">
        <f>IFERROR((HLOOKUP($AH758,Target_monthwise!$D$24:$O$40,DTR!Y$4,FALSE)),0)</f>
        <v>0</v>
      </c>
      <c r="Z758" s="147">
        <f>IFERROR((HLOOKUP($AH758,Target_monthwise!$D$24:$O$40,DTR!Z$4,FALSE)),0)</f>
        <v>0</v>
      </c>
      <c r="AA758" s="147">
        <f>IFERROR((HLOOKUP($AH758,Target_monthwise!$D$24:$O$40,DTR!AA$4,FALSE)),0)</f>
        <v>0</v>
      </c>
      <c r="AB758" s="147">
        <f>IFERROR((HLOOKUP($AH758,Target_monthwise!$D$24:$O$40,DTR!AB$4,FALSE)),0)</f>
        <v>0</v>
      </c>
      <c r="AC758" s="239">
        <f>IFERROR((HLOOKUP($AH758,Target_monthwise!$D$24:$O$40,DTR!AC$4,FALSE)),0)</f>
        <v>0</v>
      </c>
      <c r="AD758" s="239">
        <f>IFERROR((HLOOKUP($AH758,Target_monthwise!$D$24:$O$40,DTR!AD$4,FALSE)),0)</f>
        <v>0</v>
      </c>
      <c r="AE758" s="239">
        <f>IFERROR((HLOOKUP($AH758,Target_monthwise!$D$24:$O$40,DTR!AE$4,FALSE)),0)</f>
        <v>0</v>
      </c>
      <c r="AF758" s="239">
        <f>IFERROR((HLOOKUP($AH758,Target_monthwise!$D$24:$O$40,DTR!AF$4,FALSE)),0)</f>
        <v>0</v>
      </c>
      <c r="AG758" s="172">
        <f>IFERROR((HLOOKUP($AH758,Target_monthwise!$D$24:$O$40,DTR!AG$4,FALSE)),0)</f>
        <v>0</v>
      </c>
      <c r="AH758" s="253">
        <f t="shared" si="14"/>
        <v>202404</v>
      </c>
    </row>
    <row r="759" spans="3:34" ht="15.75" hidden="1">
      <c r="C759" s="235">
        <v>45402</v>
      </c>
      <c r="D759" s="141">
        <f>IFERROR((HLOOKUP($AH759,Target_monthwise!$D$4:$O$20,DTR!D$4,FALSE))*1000,0)</f>
        <v>0</v>
      </c>
      <c r="E759" s="141">
        <f>IFERROR((HLOOKUP($AH759,Target_monthwise!$D$4:$O$20,DTR!E$4,FALSE))*1000,0)</f>
        <v>0</v>
      </c>
      <c r="F759" s="141">
        <f>IFERROR((HLOOKUP($AH759,Target_monthwise!$D$4:$O$20,DTR!F$4,FALSE))*1000,0)</f>
        <v>0</v>
      </c>
      <c r="G759" s="141">
        <f>IFERROR((HLOOKUP($AH759,Target_monthwise!$D$4:$O$20,DTR!G$4,FALSE))*1000,0)</f>
        <v>0</v>
      </c>
      <c r="H759" s="141">
        <f>IFERROR((HLOOKUP($AH759,Target_monthwise!$D$4:$O$20,DTR!H$4,FALSE))*1000,0)</f>
        <v>0</v>
      </c>
      <c r="I759" s="141">
        <f>IFERROR((HLOOKUP($AH759,Target_monthwise!$D$4:$O$20,DTR!I$4,FALSE))*1000,0)</f>
        <v>0</v>
      </c>
      <c r="J759" s="141">
        <f>IFERROR((HLOOKUP($AH759,Target_monthwise!$D$4:$O$20,DTR!J$4,FALSE))*1000,0)</f>
        <v>0</v>
      </c>
      <c r="K759" s="141">
        <f>IFERROR((HLOOKUP($AH759,Target_monthwise!$D$4:$O$20,DTR!K$4,FALSE))*1000,0)</f>
        <v>0</v>
      </c>
      <c r="L759" s="141">
        <f>IFERROR((HLOOKUP($AH759,Target_monthwise!$D$4:$O$20,DTR!L$4,FALSE))*1000,0)</f>
        <v>0</v>
      </c>
      <c r="M759" s="141">
        <f>IFERROR((HLOOKUP($AH759,Target_monthwise!$D$4:$O$20,DTR!M$4,FALSE))*1000,0)</f>
        <v>0</v>
      </c>
      <c r="N759" s="141">
        <f>IFERROR((HLOOKUP($AH759,Target_monthwise!$D$4:$O$20,DTR!N$4,FALSE))*1000,0)</f>
        <v>0</v>
      </c>
      <c r="O759" s="141">
        <f>IFERROR((HLOOKUP($AH759,Target_monthwise!$D$4:$O$20,DTR!O$4,FALSE))*1000,0)</f>
        <v>0</v>
      </c>
      <c r="P759" s="141">
        <f>IFERROR((HLOOKUP($AH759,Target_monthwise!$D$4:$O$20,DTR!P$4,FALSE))*1000,0)</f>
        <v>0</v>
      </c>
      <c r="Q759" s="141">
        <f>IFERROR((HLOOKUP($AH759,Target_monthwise!$D$4:$O$20,DTR!Q$4,FALSE))*1000,0)</f>
        <v>0</v>
      </c>
      <c r="R759" s="167">
        <f>IFERROR((HLOOKUP($AH759,Target_monthwise!$D$4:$O$20,DTR!R$4,FALSE))*1000,0)</f>
        <v>0</v>
      </c>
      <c r="S759" s="147">
        <f>IFERROR((HLOOKUP($AH759,Target_monthwise!$D$24:$O$40,DTR!S$4,FALSE)),0)</f>
        <v>0</v>
      </c>
      <c r="T759" s="147">
        <f>IFERROR((HLOOKUP($AH759,Target_monthwise!$D$24:$O$40,DTR!T$4,FALSE)),0)</f>
        <v>0</v>
      </c>
      <c r="U759" s="147">
        <f>IFERROR((HLOOKUP($AH759,Target_monthwise!$D$24:$O$40,DTR!U$4,FALSE)),0)</f>
        <v>0</v>
      </c>
      <c r="V759" s="147">
        <f>IFERROR((HLOOKUP($AH759,Target_monthwise!$D$24:$O$40,DTR!V$4,FALSE)),0)</f>
        <v>0</v>
      </c>
      <c r="W759" s="147">
        <f>IFERROR((HLOOKUP($AH759,Target_monthwise!$D$24:$O$40,DTR!W$4,FALSE)),0)</f>
        <v>0</v>
      </c>
      <c r="X759" s="147">
        <f>IFERROR((HLOOKUP($AH759,Target_monthwise!$D$24:$O$40,DTR!X$4,FALSE)),0)</f>
        <v>0</v>
      </c>
      <c r="Y759" s="147">
        <f>IFERROR((HLOOKUP($AH759,Target_monthwise!$D$24:$O$40,DTR!Y$4,FALSE)),0)</f>
        <v>0</v>
      </c>
      <c r="Z759" s="147">
        <f>IFERROR((HLOOKUP($AH759,Target_monthwise!$D$24:$O$40,DTR!Z$4,FALSE)),0)</f>
        <v>0</v>
      </c>
      <c r="AA759" s="147">
        <f>IFERROR((HLOOKUP($AH759,Target_monthwise!$D$24:$O$40,DTR!AA$4,FALSE)),0)</f>
        <v>0</v>
      </c>
      <c r="AB759" s="147">
        <f>IFERROR((HLOOKUP($AH759,Target_monthwise!$D$24:$O$40,DTR!AB$4,FALSE)),0)</f>
        <v>0</v>
      </c>
      <c r="AC759" s="147">
        <f>IFERROR((HLOOKUP($AH759,Target_monthwise!$D$24:$O$40,DTR!AC$4,FALSE)),0)</f>
        <v>0</v>
      </c>
      <c r="AD759" s="147">
        <f>IFERROR((HLOOKUP($AH759,Target_monthwise!$D$24:$O$40,DTR!AD$4,FALSE)),0)</f>
        <v>0</v>
      </c>
      <c r="AE759" s="147">
        <f>IFERROR((HLOOKUP($AH759,Target_monthwise!$D$24:$O$40,DTR!AE$4,FALSE)),0)</f>
        <v>0</v>
      </c>
      <c r="AF759" s="147">
        <f>IFERROR((HLOOKUP($AH759,Target_monthwise!$D$24:$O$40,DTR!AF$4,FALSE)),0)</f>
        <v>0</v>
      </c>
      <c r="AG759" s="172">
        <f>IFERROR((HLOOKUP($AH759,Target_monthwise!$D$24:$O$40,DTR!AG$4,FALSE)),0)</f>
        <v>0</v>
      </c>
      <c r="AH759" s="253">
        <f t="shared" si="14"/>
        <v>202404</v>
      </c>
    </row>
    <row r="760" spans="3:34" ht="15.75" hidden="1">
      <c r="C760" s="237">
        <v>45403</v>
      </c>
      <c r="D760" s="238">
        <f>IFERROR((HLOOKUP($AH760,Target_monthwise!$D$4:$O$20,DTR!D$4,FALSE))*1000,0)</f>
        <v>0</v>
      </c>
      <c r="E760" s="238">
        <f>IFERROR((HLOOKUP($AH760,Target_monthwise!$D$4:$O$20,DTR!E$4,FALSE))*1000,0)</f>
        <v>0</v>
      </c>
      <c r="F760" s="238">
        <f>IFERROR((HLOOKUP($AH760,Target_monthwise!$D$4:$O$20,DTR!F$4,FALSE))*1000,0)</f>
        <v>0</v>
      </c>
      <c r="G760" s="238">
        <f>IFERROR((HLOOKUP($AH760,Target_monthwise!$D$4:$O$20,DTR!G$4,FALSE))*1000,0)</f>
        <v>0</v>
      </c>
      <c r="H760" s="238">
        <f>IFERROR((HLOOKUP($AH760,Target_monthwise!$D$4:$O$20,DTR!H$4,FALSE))*1000,0)</f>
        <v>0</v>
      </c>
      <c r="I760" s="238">
        <f>IFERROR((HLOOKUP($AH760,Target_monthwise!$D$4:$O$20,DTR!I$4,FALSE))*1000,0)</f>
        <v>0</v>
      </c>
      <c r="J760" s="238">
        <f>IFERROR((HLOOKUP($AH760,Target_monthwise!$D$4:$O$20,DTR!J$4,FALSE))*1000,0)</f>
        <v>0</v>
      </c>
      <c r="K760" s="238">
        <f>IFERROR((HLOOKUP($AH760,Target_monthwise!$D$4:$O$20,DTR!K$4,FALSE))*1000,0)</f>
        <v>0</v>
      </c>
      <c r="L760" s="238">
        <f>IFERROR((HLOOKUP($AH760,Target_monthwise!$D$4:$O$20,DTR!L$4,FALSE))*1000,0)</f>
        <v>0</v>
      </c>
      <c r="M760" s="238">
        <f>IFERROR((HLOOKUP($AH760,Target_monthwise!$D$4:$O$20,DTR!M$4,FALSE))*1000,0)</f>
        <v>0</v>
      </c>
      <c r="N760" s="238">
        <f>IFERROR((HLOOKUP($AH760,Target_monthwise!$D$4:$O$20,DTR!N$4,FALSE))*1000,0)</f>
        <v>0</v>
      </c>
      <c r="O760" s="238">
        <f>IFERROR((HLOOKUP($AH760,Target_monthwise!$D$4:$O$20,DTR!O$4,FALSE))*1000,0)</f>
        <v>0</v>
      </c>
      <c r="P760" s="238">
        <f>IFERROR((HLOOKUP($AH760,Target_monthwise!$D$4:$O$20,DTR!P$4,FALSE))*1000,0)</f>
        <v>0</v>
      </c>
      <c r="Q760" s="141">
        <f>IFERROR((HLOOKUP($AH760,Target_monthwise!$D$4:$O$20,DTR!Q$4,FALSE))*1000,0)</f>
        <v>0</v>
      </c>
      <c r="R760" s="167">
        <f>IFERROR((HLOOKUP($AH760,Target_monthwise!$D$4:$O$20,DTR!R$4,FALSE))*1000,0)</f>
        <v>0</v>
      </c>
      <c r="S760" s="239">
        <f>IFERROR((HLOOKUP($AH760,Target_monthwise!$D$24:$O$40,DTR!S$4,FALSE)),0)</f>
        <v>0</v>
      </c>
      <c r="T760" s="239">
        <f>IFERROR((HLOOKUP($AH760,Target_monthwise!$D$24:$O$40,DTR!T$4,FALSE)),0)</f>
        <v>0</v>
      </c>
      <c r="U760" s="239">
        <f>IFERROR((HLOOKUP($AH760,Target_monthwise!$D$24:$O$40,DTR!U$4,FALSE)),0)</f>
        <v>0</v>
      </c>
      <c r="V760" s="239">
        <f>IFERROR((HLOOKUP($AH760,Target_monthwise!$D$24:$O$40,DTR!V$4,FALSE)),0)</f>
        <v>0</v>
      </c>
      <c r="W760" s="239">
        <f>IFERROR((HLOOKUP($AH760,Target_monthwise!$D$24:$O$40,DTR!W$4,FALSE)),0)</f>
        <v>0</v>
      </c>
      <c r="X760" s="239">
        <f>IFERROR((HLOOKUP($AH760,Target_monthwise!$D$24:$O$40,DTR!X$4,FALSE)),0)</f>
        <v>0</v>
      </c>
      <c r="Y760" s="239">
        <f>IFERROR((HLOOKUP($AH760,Target_monthwise!$D$24:$O$40,DTR!Y$4,FALSE)),0)</f>
        <v>0</v>
      </c>
      <c r="Z760" s="147">
        <f>IFERROR((HLOOKUP($AH760,Target_monthwise!$D$24:$O$40,DTR!Z$4,FALSE)),0)</f>
        <v>0</v>
      </c>
      <c r="AA760" s="147">
        <f>IFERROR((HLOOKUP($AH760,Target_monthwise!$D$24:$O$40,DTR!AA$4,FALSE)),0)</f>
        <v>0</v>
      </c>
      <c r="AB760" s="147">
        <f>IFERROR((HLOOKUP($AH760,Target_monthwise!$D$24:$O$40,DTR!AB$4,FALSE)),0)</f>
        <v>0</v>
      </c>
      <c r="AC760" s="239">
        <f>IFERROR((HLOOKUP($AH760,Target_monthwise!$D$24:$O$40,DTR!AC$4,FALSE)),0)</f>
        <v>0</v>
      </c>
      <c r="AD760" s="239">
        <f>IFERROR((HLOOKUP($AH760,Target_monthwise!$D$24:$O$40,DTR!AD$4,FALSE)),0)</f>
        <v>0</v>
      </c>
      <c r="AE760" s="239">
        <f>IFERROR((HLOOKUP($AH760,Target_monthwise!$D$24:$O$40,DTR!AE$4,FALSE)),0)</f>
        <v>0</v>
      </c>
      <c r="AF760" s="239">
        <f>IFERROR((HLOOKUP($AH760,Target_monthwise!$D$24:$O$40,DTR!AF$4,FALSE)),0)</f>
        <v>0</v>
      </c>
      <c r="AG760" s="172">
        <f>IFERROR((HLOOKUP($AH760,Target_monthwise!$D$24:$O$40,DTR!AG$4,FALSE)),0)</f>
        <v>0</v>
      </c>
      <c r="AH760" s="253">
        <f t="shared" si="14"/>
        <v>202404</v>
      </c>
    </row>
    <row r="761" spans="3:34" ht="15.75" hidden="1">
      <c r="C761" s="235">
        <v>45404</v>
      </c>
      <c r="D761" s="141">
        <f>IFERROR((HLOOKUP($AH761,Target_monthwise!$D$4:$O$20,DTR!D$4,FALSE))*1000,0)</f>
        <v>0</v>
      </c>
      <c r="E761" s="141">
        <f>IFERROR((HLOOKUP($AH761,Target_monthwise!$D$4:$O$20,DTR!E$4,FALSE))*1000,0)</f>
        <v>0</v>
      </c>
      <c r="F761" s="141">
        <f>IFERROR((HLOOKUP($AH761,Target_monthwise!$D$4:$O$20,DTR!F$4,FALSE))*1000,0)</f>
        <v>0</v>
      </c>
      <c r="G761" s="141">
        <f>IFERROR((HLOOKUP($AH761,Target_monthwise!$D$4:$O$20,DTR!G$4,FALSE))*1000,0)</f>
        <v>0</v>
      </c>
      <c r="H761" s="141">
        <f>IFERROR((HLOOKUP($AH761,Target_monthwise!$D$4:$O$20,DTR!H$4,FALSE))*1000,0)</f>
        <v>0</v>
      </c>
      <c r="I761" s="141">
        <f>IFERROR((HLOOKUP($AH761,Target_monthwise!$D$4:$O$20,DTR!I$4,FALSE))*1000,0)</f>
        <v>0</v>
      </c>
      <c r="J761" s="141">
        <f>IFERROR((HLOOKUP($AH761,Target_monthwise!$D$4:$O$20,DTR!J$4,FALSE))*1000,0)</f>
        <v>0</v>
      </c>
      <c r="K761" s="141">
        <f>IFERROR((HLOOKUP($AH761,Target_monthwise!$D$4:$O$20,DTR!K$4,FALSE))*1000,0)</f>
        <v>0</v>
      </c>
      <c r="L761" s="141">
        <f>IFERROR((HLOOKUP($AH761,Target_monthwise!$D$4:$O$20,DTR!L$4,FALSE))*1000,0)</f>
        <v>0</v>
      </c>
      <c r="M761" s="141">
        <f>IFERROR((HLOOKUP($AH761,Target_monthwise!$D$4:$O$20,DTR!M$4,FALSE))*1000,0)</f>
        <v>0</v>
      </c>
      <c r="N761" s="141">
        <f>IFERROR((HLOOKUP($AH761,Target_monthwise!$D$4:$O$20,DTR!N$4,FALSE))*1000,0)</f>
        <v>0</v>
      </c>
      <c r="O761" s="141">
        <f>IFERROR((HLOOKUP($AH761,Target_monthwise!$D$4:$O$20,DTR!O$4,FALSE))*1000,0)</f>
        <v>0</v>
      </c>
      <c r="P761" s="141">
        <f>IFERROR((HLOOKUP($AH761,Target_monthwise!$D$4:$O$20,DTR!P$4,FALSE))*1000,0)</f>
        <v>0</v>
      </c>
      <c r="Q761" s="141">
        <f>IFERROR((HLOOKUP($AH761,Target_monthwise!$D$4:$O$20,DTR!Q$4,FALSE))*1000,0)</f>
        <v>0</v>
      </c>
      <c r="R761" s="167">
        <f>IFERROR((HLOOKUP($AH761,Target_monthwise!$D$4:$O$20,DTR!R$4,FALSE))*1000,0)</f>
        <v>0</v>
      </c>
      <c r="S761" s="147">
        <f>IFERROR((HLOOKUP($AH761,Target_monthwise!$D$24:$O$40,DTR!S$4,FALSE)),0)</f>
        <v>0</v>
      </c>
      <c r="T761" s="147">
        <f>IFERROR((HLOOKUP($AH761,Target_monthwise!$D$24:$O$40,DTR!T$4,FALSE)),0)</f>
        <v>0</v>
      </c>
      <c r="U761" s="147">
        <f>IFERROR((HLOOKUP($AH761,Target_monthwise!$D$24:$O$40,DTR!U$4,FALSE)),0)</f>
        <v>0</v>
      </c>
      <c r="V761" s="147">
        <f>IFERROR((HLOOKUP($AH761,Target_monthwise!$D$24:$O$40,DTR!V$4,FALSE)),0)</f>
        <v>0</v>
      </c>
      <c r="W761" s="147">
        <f>IFERROR((HLOOKUP($AH761,Target_monthwise!$D$24:$O$40,DTR!W$4,FALSE)),0)</f>
        <v>0</v>
      </c>
      <c r="X761" s="147">
        <f>IFERROR((HLOOKUP($AH761,Target_monthwise!$D$24:$O$40,DTR!X$4,FALSE)),0)</f>
        <v>0</v>
      </c>
      <c r="Y761" s="147">
        <f>IFERROR((HLOOKUP($AH761,Target_monthwise!$D$24:$O$40,DTR!Y$4,FALSE)),0)</f>
        <v>0</v>
      </c>
      <c r="Z761" s="147">
        <f>IFERROR((HLOOKUP($AH761,Target_monthwise!$D$24:$O$40,DTR!Z$4,FALSE)),0)</f>
        <v>0</v>
      </c>
      <c r="AA761" s="147">
        <f>IFERROR((HLOOKUP($AH761,Target_monthwise!$D$24:$O$40,DTR!AA$4,FALSE)),0)</f>
        <v>0</v>
      </c>
      <c r="AB761" s="147">
        <f>IFERROR((HLOOKUP($AH761,Target_monthwise!$D$24:$O$40,DTR!AB$4,FALSE)),0)</f>
        <v>0</v>
      </c>
      <c r="AC761" s="147">
        <f>IFERROR((HLOOKUP($AH761,Target_monthwise!$D$24:$O$40,DTR!AC$4,FALSE)),0)</f>
        <v>0</v>
      </c>
      <c r="AD761" s="147">
        <f>IFERROR((HLOOKUP($AH761,Target_monthwise!$D$24:$O$40,DTR!AD$4,FALSE)),0)</f>
        <v>0</v>
      </c>
      <c r="AE761" s="147">
        <f>IFERROR((HLOOKUP($AH761,Target_monthwise!$D$24:$O$40,DTR!AE$4,FALSE)),0)</f>
        <v>0</v>
      </c>
      <c r="AF761" s="147">
        <f>IFERROR((HLOOKUP($AH761,Target_monthwise!$D$24:$O$40,DTR!AF$4,FALSE)),0)</f>
        <v>0</v>
      </c>
      <c r="AG761" s="172">
        <f>IFERROR((HLOOKUP($AH761,Target_monthwise!$D$24:$O$40,DTR!AG$4,FALSE)),0)</f>
        <v>0</v>
      </c>
      <c r="AH761" s="253">
        <f t="shared" si="14"/>
        <v>202404</v>
      </c>
    </row>
    <row r="762" spans="3:34" ht="15.75" hidden="1">
      <c r="C762" s="237">
        <v>45405</v>
      </c>
      <c r="D762" s="238">
        <f>IFERROR((HLOOKUP($AH762,Target_monthwise!$D$4:$O$20,DTR!D$4,FALSE))*1000,0)</f>
        <v>0</v>
      </c>
      <c r="E762" s="238">
        <f>IFERROR((HLOOKUP($AH762,Target_monthwise!$D$4:$O$20,DTR!E$4,FALSE))*1000,0)</f>
        <v>0</v>
      </c>
      <c r="F762" s="238">
        <f>IFERROR((HLOOKUP($AH762,Target_monthwise!$D$4:$O$20,DTR!F$4,FALSE))*1000,0)</f>
        <v>0</v>
      </c>
      <c r="G762" s="238">
        <f>IFERROR((HLOOKUP($AH762,Target_monthwise!$D$4:$O$20,DTR!G$4,FALSE))*1000,0)</f>
        <v>0</v>
      </c>
      <c r="H762" s="238">
        <f>IFERROR((HLOOKUP($AH762,Target_monthwise!$D$4:$O$20,DTR!H$4,FALSE))*1000,0)</f>
        <v>0</v>
      </c>
      <c r="I762" s="238">
        <f>IFERROR((HLOOKUP($AH762,Target_monthwise!$D$4:$O$20,DTR!I$4,FALSE))*1000,0)</f>
        <v>0</v>
      </c>
      <c r="J762" s="238">
        <f>IFERROR((HLOOKUP($AH762,Target_monthwise!$D$4:$O$20,DTR!J$4,FALSE))*1000,0)</f>
        <v>0</v>
      </c>
      <c r="K762" s="238">
        <f>IFERROR((HLOOKUP($AH762,Target_monthwise!$D$4:$O$20,DTR!K$4,FALSE))*1000,0)</f>
        <v>0</v>
      </c>
      <c r="L762" s="238">
        <f>IFERROR((HLOOKUP($AH762,Target_monthwise!$D$4:$O$20,DTR!L$4,FALSE))*1000,0)</f>
        <v>0</v>
      </c>
      <c r="M762" s="238">
        <f>IFERROR((HLOOKUP($AH762,Target_monthwise!$D$4:$O$20,DTR!M$4,FALSE))*1000,0)</f>
        <v>0</v>
      </c>
      <c r="N762" s="238">
        <f>IFERROR((HLOOKUP($AH762,Target_monthwise!$D$4:$O$20,DTR!N$4,FALSE))*1000,0)</f>
        <v>0</v>
      </c>
      <c r="O762" s="238">
        <f>IFERROR((HLOOKUP($AH762,Target_monthwise!$D$4:$O$20,DTR!O$4,FALSE))*1000,0)</f>
        <v>0</v>
      </c>
      <c r="P762" s="238">
        <f>IFERROR((HLOOKUP($AH762,Target_monthwise!$D$4:$O$20,DTR!P$4,FALSE))*1000,0)</f>
        <v>0</v>
      </c>
      <c r="Q762" s="141">
        <f>IFERROR((HLOOKUP($AH762,Target_monthwise!$D$4:$O$20,DTR!Q$4,FALSE))*1000,0)</f>
        <v>0</v>
      </c>
      <c r="R762" s="167">
        <f>IFERROR((HLOOKUP($AH762,Target_monthwise!$D$4:$O$20,DTR!R$4,FALSE))*1000,0)</f>
        <v>0</v>
      </c>
      <c r="S762" s="239">
        <f>IFERROR((HLOOKUP($AH762,Target_monthwise!$D$24:$O$40,DTR!S$4,FALSE)),0)</f>
        <v>0</v>
      </c>
      <c r="T762" s="239">
        <f>IFERROR((HLOOKUP($AH762,Target_monthwise!$D$24:$O$40,DTR!T$4,FALSE)),0)</f>
        <v>0</v>
      </c>
      <c r="U762" s="239">
        <f>IFERROR((HLOOKUP($AH762,Target_monthwise!$D$24:$O$40,DTR!U$4,FALSE)),0)</f>
        <v>0</v>
      </c>
      <c r="V762" s="239">
        <f>IFERROR((HLOOKUP($AH762,Target_monthwise!$D$24:$O$40,DTR!V$4,FALSE)),0)</f>
        <v>0</v>
      </c>
      <c r="W762" s="239">
        <f>IFERROR((HLOOKUP($AH762,Target_monthwise!$D$24:$O$40,DTR!W$4,FALSE)),0)</f>
        <v>0</v>
      </c>
      <c r="X762" s="239">
        <f>IFERROR((HLOOKUP($AH762,Target_monthwise!$D$24:$O$40,DTR!X$4,FALSE)),0)</f>
        <v>0</v>
      </c>
      <c r="Y762" s="239">
        <f>IFERROR((HLOOKUP($AH762,Target_monthwise!$D$24:$O$40,DTR!Y$4,FALSE)),0)</f>
        <v>0</v>
      </c>
      <c r="Z762" s="147">
        <f>IFERROR((HLOOKUP($AH762,Target_monthwise!$D$24:$O$40,DTR!Z$4,FALSE)),0)</f>
        <v>0</v>
      </c>
      <c r="AA762" s="147">
        <f>IFERROR((HLOOKUP($AH762,Target_monthwise!$D$24:$O$40,DTR!AA$4,FALSE)),0)</f>
        <v>0</v>
      </c>
      <c r="AB762" s="147">
        <f>IFERROR((HLOOKUP($AH762,Target_monthwise!$D$24:$O$40,DTR!AB$4,FALSE)),0)</f>
        <v>0</v>
      </c>
      <c r="AC762" s="239">
        <f>IFERROR((HLOOKUP($AH762,Target_monthwise!$D$24:$O$40,DTR!AC$4,FALSE)),0)</f>
        <v>0</v>
      </c>
      <c r="AD762" s="239">
        <f>IFERROR((HLOOKUP($AH762,Target_monthwise!$D$24:$O$40,DTR!AD$4,FALSE)),0)</f>
        <v>0</v>
      </c>
      <c r="AE762" s="239">
        <f>IFERROR((HLOOKUP($AH762,Target_monthwise!$D$24:$O$40,DTR!AE$4,FALSE)),0)</f>
        <v>0</v>
      </c>
      <c r="AF762" s="239">
        <f>IFERROR((HLOOKUP($AH762,Target_monthwise!$D$24:$O$40,DTR!AF$4,FALSE)),0)</f>
        <v>0</v>
      </c>
      <c r="AG762" s="172">
        <f>IFERROR((HLOOKUP($AH762,Target_monthwise!$D$24:$O$40,DTR!AG$4,FALSE)),0)</f>
        <v>0</v>
      </c>
      <c r="AH762" s="253">
        <f t="shared" si="14"/>
        <v>202404</v>
      </c>
    </row>
    <row r="763" spans="3:34" ht="15.75" hidden="1">
      <c r="C763" s="235">
        <v>45406</v>
      </c>
      <c r="D763" s="141">
        <f>IFERROR((HLOOKUP($AH763,Target_monthwise!$D$4:$O$20,DTR!D$4,FALSE))*1000,0)</f>
        <v>0</v>
      </c>
      <c r="E763" s="141">
        <f>IFERROR((HLOOKUP($AH763,Target_monthwise!$D$4:$O$20,DTR!E$4,FALSE))*1000,0)</f>
        <v>0</v>
      </c>
      <c r="F763" s="141">
        <f>IFERROR((HLOOKUP($AH763,Target_monthwise!$D$4:$O$20,DTR!F$4,FALSE))*1000,0)</f>
        <v>0</v>
      </c>
      <c r="G763" s="141">
        <f>IFERROR((HLOOKUP($AH763,Target_monthwise!$D$4:$O$20,DTR!G$4,FALSE))*1000,0)</f>
        <v>0</v>
      </c>
      <c r="H763" s="141">
        <f>IFERROR((HLOOKUP($AH763,Target_monthwise!$D$4:$O$20,DTR!H$4,FALSE))*1000,0)</f>
        <v>0</v>
      </c>
      <c r="I763" s="141">
        <f>IFERROR((HLOOKUP($AH763,Target_monthwise!$D$4:$O$20,DTR!I$4,FALSE))*1000,0)</f>
        <v>0</v>
      </c>
      <c r="J763" s="141">
        <f>IFERROR((HLOOKUP($AH763,Target_monthwise!$D$4:$O$20,DTR!J$4,FALSE))*1000,0)</f>
        <v>0</v>
      </c>
      <c r="K763" s="141">
        <f>IFERROR((HLOOKUP($AH763,Target_monthwise!$D$4:$O$20,DTR!K$4,FALSE))*1000,0)</f>
        <v>0</v>
      </c>
      <c r="L763" s="141">
        <f>IFERROR((HLOOKUP($AH763,Target_monthwise!$D$4:$O$20,DTR!L$4,FALSE))*1000,0)</f>
        <v>0</v>
      </c>
      <c r="M763" s="141">
        <f>IFERROR((HLOOKUP($AH763,Target_monthwise!$D$4:$O$20,DTR!M$4,FALSE))*1000,0)</f>
        <v>0</v>
      </c>
      <c r="N763" s="141">
        <f>IFERROR((HLOOKUP($AH763,Target_monthwise!$D$4:$O$20,DTR!N$4,FALSE))*1000,0)</f>
        <v>0</v>
      </c>
      <c r="O763" s="141">
        <f>IFERROR((HLOOKUP($AH763,Target_monthwise!$D$4:$O$20,DTR!O$4,FALSE))*1000,0)</f>
        <v>0</v>
      </c>
      <c r="P763" s="141">
        <f>IFERROR((HLOOKUP($AH763,Target_monthwise!$D$4:$O$20,DTR!P$4,FALSE))*1000,0)</f>
        <v>0</v>
      </c>
      <c r="Q763" s="141">
        <f>IFERROR((HLOOKUP($AH763,Target_monthwise!$D$4:$O$20,DTR!Q$4,FALSE))*1000,0)</f>
        <v>0</v>
      </c>
      <c r="R763" s="167">
        <f>IFERROR((HLOOKUP($AH763,Target_monthwise!$D$4:$O$20,DTR!R$4,FALSE))*1000,0)</f>
        <v>0</v>
      </c>
      <c r="S763" s="147">
        <f>IFERROR((HLOOKUP($AH763,Target_monthwise!$D$24:$O$40,DTR!S$4,FALSE)),0)</f>
        <v>0</v>
      </c>
      <c r="T763" s="147">
        <f>IFERROR((HLOOKUP($AH763,Target_monthwise!$D$24:$O$40,DTR!T$4,FALSE)),0)</f>
        <v>0</v>
      </c>
      <c r="U763" s="147">
        <f>IFERROR((HLOOKUP($AH763,Target_monthwise!$D$24:$O$40,DTR!U$4,FALSE)),0)</f>
        <v>0</v>
      </c>
      <c r="V763" s="147">
        <f>IFERROR((HLOOKUP($AH763,Target_monthwise!$D$24:$O$40,DTR!V$4,FALSE)),0)</f>
        <v>0</v>
      </c>
      <c r="W763" s="147">
        <f>IFERROR((HLOOKUP($AH763,Target_monthwise!$D$24:$O$40,DTR!W$4,FALSE)),0)</f>
        <v>0</v>
      </c>
      <c r="X763" s="147">
        <f>IFERROR((HLOOKUP($AH763,Target_monthwise!$D$24:$O$40,DTR!X$4,FALSE)),0)</f>
        <v>0</v>
      </c>
      <c r="Y763" s="147">
        <f>IFERROR((HLOOKUP($AH763,Target_monthwise!$D$24:$O$40,DTR!Y$4,FALSE)),0)</f>
        <v>0</v>
      </c>
      <c r="Z763" s="147">
        <f>IFERROR((HLOOKUP($AH763,Target_monthwise!$D$24:$O$40,DTR!Z$4,FALSE)),0)</f>
        <v>0</v>
      </c>
      <c r="AA763" s="147">
        <f>IFERROR((HLOOKUP($AH763,Target_monthwise!$D$24:$O$40,DTR!AA$4,FALSE)),0)</f>
        <v>0</v>
      </c>
      <c r="AB763" s="147">
        <f>IFERROR((HLOOKUP($AH763,Target_monthwise!$D$24:$O$40,DTR!AB$4,FALSE)),0)</f>
        <v>0</v>
      </c>
      <c r="AC763" s="147">
        <f>IFERROR((HLOOKUP($AH763,Target_monthwise!$D$24:$O$40,DTR!AC$4,FALSE)),0)</f>
        <v>0</v>
      </c>
      <c r="AD763" s="147">
        <f>IFERROR((HLOOKUP($AH763,Target_monthwise!$D$24:$O$40,DTR!AD$4,FALSE)),0)</f>
        <v>0</v>
      </c>
      <c r="AE763" s="147">
        <f>IFERROR((HLOOKUP($AH763,Target_monthwise!$D$24:$O$40,DTR!AE$4,FALSE)),0)</f>
        <v>0</v>
      </c>
      <c r="AF763" s="147">
        <f>IFERROR((HLOOKUP($AH763,Target_monthwise!$D$24:$O$40,DTR!AF$4,FALSE)),0)</f>
        <v>0</v>
      </c>
      <c r="AG763" s="172">
        <f>IFERROR((HLOOKUP($AH763,Target_monthwise!$D$24:$O$40,DTR!AG$4,FALSE)),0)</f>
        <v>0</v>
      </c>
      <c r="AH763" s="253">
        <f t="shared" si="14"/>
        <v>202404</v>
      </c>
    </row>
    <row r="764" spans="3:34" ht="15.75" hidden="1">
      <c r="C764" s="237">
        <v>45407</v>
      </c>
      <c r="D764" s="238">
        <f>IFERROR((HLOOKUP($AH764,Target_monthwise!$D$4:$O$20,DTR!D$4,FALSE))*1000,0)</f>
        <v>0</v>
      </c>
      <c r="E764" s="238">
        <f>IFERROR((HLOOKUP($AH764,Target_monthwise!$D$4:$O$20,DTR!E$4,FALSE))*1000,0)</f>
        <v>0</v>
      </c>
      <c r="F764" s="238">
        <f>IFERROR((HLOOKUP($AH764,Target_monthwise!$D$4:$O$20,DTR!F$4,FALSE))*1000,0)</f>
        <v>0</v>
      </c>
      <c r="G764" s="238">
        <f>IFERROR((HLOOKUP($AH764,Target_monthwise!$D$4:$O$20,DTR!G$4,FALSE))*1000,0)</f>
        <v>0</v>
      </c>
      <c r="H764" s="238">
        <f>IFERROR((HLOOKUP($AH764,Target_monthwise!$D$4:$O$20,DTR!H$4,FALSE))*1000,0)</f>
        <v>0</v>
      </c>
      <c r="I764" s="238">
        <f>IFERROR((HLOOKUP($AH764,Target_monthwise!$D$4:$O$20,DTR!I$4,FALSE))*1000,0)</f>
        <v>0</v>
      </c>
      <c r="J764" s="238">
        <f>IFERROR((HLOOKUP($AH764,Target_monthwise!$D$4:$O$20,DTR!J$4,FALSE))*1000,0)</f>
        <v>0</v>
      </c>
      <c r="K764" s="238">
        <f>IFERROR((HLOOKUP($AH764,Target_monthwise!$D$4:$O$20,DTR!K$4,FALSE))*1000,0)</f>
        <v>0</v>
      </c>
      <c r="L764" s="238">
        <f>IFERROR((HLOOKUP($AH764,Target_monthwise!$D$4:$O$20,DTR!L$4,FALSE))*1000,0)</f>
        <v>0</v>
      </c>
      <c r="M764" s="238">
        <f>IFERROR((HLOOKUP($AH764,Target_monthwise!$D$4:$O$20,DTR!M$4,FALSE))*1000,0)</f>
        <v>0</v>
      </c>
      <c r="N764" s="238">
        <f>IFERROR((HLOOKUP($AH764,Target_monthwise!$D$4:$O$20,DTR!N$4,FALSE))*1000,0)</f>
        <v>0</v>
      </c>
      <c r="O764" s="238">
        <f>IFERROR((HLOOKUP($AH764,Target_monthwise!$D$4:$O$20,DTR!O$4,FALSE))*1000,0)</f>
        <v>0</v>
      </c>
      <c r="P764" s="238">
        <f>IFERROR((HLOOKUP($AH764,Target_monthwise!$D$4:$O$20,DTR!P$4,FALSE))*1000,0)</f>
        <v>0</v>
      </c>
      <c r="Q764" s="141">
        <f>IFERROR((HLOOKUP($AH764,Target_monthwise!$D$4:$O$20,DTR!Q$4,FALSE))*1000,0)</f>
        <v>0</v>
      </c>
      <c r="R764" s="167">
        <f>IFERROR((HLOOKUP($AH764,Target_monthwise!$D$4:$O$20,DTR!R$4,FALSE))*1000,0)</f>
        <v>0</v>
      </c>
      <c r="S764" s="239">
        <f>IFERROR((HLOOKUP($AH764,Target_monthwise!$D$24:$O$40,DTR!S$4,FALSE)),0)</f>
        <v>0</v>
      </c>
      <c r="T764" s="239">
        <f>IFERROR((HLOOKUP($AH764,Target_monthwise!$D$24:$O$40,DTR!T$4,FALSE)),0)</f>
        <v>0</v>
      </c>
      <c r="U764" s="239">
        <f>IFERROR((HLOOKUP($AH764,Target_monthwise!$D$24:$O$40,DTR!U$4,FALSE)),0)</f>
        <v>0</v>
      </c>
      <c r="V764" s="239">
        <f>IFERROR((HLOOKUP($AH764,Target_monthwise!$D$24:$O$40,DTR!V$4,FALSE)),0)</f>
        <v>0</v>
      </c>
      <c r="W764" s="239">
        <f>IFERROR((HLOOKUP($AH764,Target_monthwise!$D$24:$O$40,DTR!W$4,FALSE)),0)</f>
        <v>0</v>
      </c>
      <c r="X764" s="239">
        <f>IFERROR((HLOOKUP($AH764,Target_monthwise!$D$24:$O$40,DTR!X$4,FALSE)),0)</f>
        <v>0</v>
      </c>
      <c r="Y764" s="239">
        <f>IFERROR((HLOOKUP($AH764,Target_monthwise!$D$24:$O$40,DTR!Y$4,FALSE)),0)</f>
        <v>0</v>
      </c>
      <c r="Z764" s="147">
        <f>IFERROR((HLOOKUP($AH764,Target_monthwise!$D$24:$O$40,DTR!Z$4,FALSE)),0)</f>
        <v>0</v>
      </c>
      <c r="AA764" s="147">
        <f>IFERROR((HLOOKUP($AH764,Target_monthwise!$D$24:$O$40,DTR!AA$4,FALSE)),0)</f>
        <v>0</v>
      </c>
      <c r="AB764" s="147">
        <f>IFERROR((HLOOKUP($AH764,Target_monthwise!$D$24:$O$40,DTR!AB$4,FALSE)),0)</f>
        <v>0</v>
      </c>
      <c r="AC764" s="239">
        <f>IFERROR((HLOOKUP($AH764,Target_monthwise!$D$24:$O$40,DTR!AC$4,FALSE)),0)</f>
        <v>0</v>
      </c>
      <c r="AD764" s="239">
        <f>IFERROR((HLOOKUP($AH764,Target_monthwise!$D$24:$O$40,DTR!AD$4,FALSE)),0)</f>
        <v>0</v>
      </c>
      <c r="AE764" s="239">
        <f>IFERROR((HLOOKUP($AH764,Target_monthwise!$D$24:$O$40,DTR!AE$4,FALSE)),0)</f>
        <v>0</v>
      </c>
      <c r="AF764" s="239">
        <f>IFERROR((HLOOKUP($AH764,Target_monthwise!$D$24:$O$40,DTR!AF$4,FALSE)),0)</f>
        <v>0</v>
      </c>
      <c r="AG764" s="172">
        <f>IFERROR((HLOOKUP($AH764,Target_monthwise!$D$24:$O$40,DTR!AG$4,FALSE)),0)</f>
        <v>0</v>
      </c>
      <c r="AH764" s="253">
        <f t="shared" si="14"/>
        <v>202404</v>
      </c>
    </row>
    <row r="765" spans="3:34" ht="15.75" hidden="1">
      <c r="C765" s="235">
        <v>45408</v>
      </c>
      <c r="D765" s="141">
        <f>IFERROR((HLOOKUP($AH765,Target_monthwise!$D$4:$O$20,DTR!D$4,FALSE))*1000,0)</f>
        <v>0</v>
      </c>
      <c r="E765" s="141">
        <f>IFERROR((HLOOKUP($AH765,Target_monthwise!$D$4:$O$20,DTR!E$4,FALSE))*1000,0)</f>
        <v>0</v>
      </c>
      <c r="F765" s="141">
        <f>IFERROR((HLOOKUP($AH765,Target_monthwise!$D$4:$O$20,DTR!F$4,FALSE))*1000,0)</f>
        <v>0</v>
      </c>
      <c r="G765" s="141">
        <f>IFERROR((HLOOKUP($AH765,Target_monthwise!$D$4:$O$20,DTR!G$4,FALSE))*1000,0)</f>
        <v>0</v>
      </c>
      <c r="H765" s="141">
        <f>IFERROR((HLOOKUP($AH765,Target_monthwise!$D$4:$O$20,DTR!H$4,FALSE))*1000,0)</f>
        <v>0</v>
      </c>
      <c r="I765" s="141">
        <f>IFERROR((HLOOKUP($AH765,Target_monthwise!$D$4:$O$20,DTR!I$4,FALSE))*1000,0)</f>
        <v>0</v>
      </c>
      <c r="J765" s="141">
        <f>IFERROR((HLOOKUP($AH765,Target_monthwise!$D$4:$O$20,DTR!J$4,FALSE))*1000,0)</f>
        <v>0</v>
      </c>
      <c r="K765" s="141">
        <f>IFERROR((HLOOKUP($AH765,Target_monthwise!$D$4:$O$20,DTR!K$4,FALSE))*1000,0)</f>
        <v>0</v>
      </c>
      <c r="L765" s="141">
        <f>IFERROR((HLOOKUP($AH765,Target_monthwise!$D$4:$O$20,DTR!L$4,FALSE))*1000,0)</f>
        <v>0</v>
      </c>
      <c r="M765" s="141">
        <f>IFERROR((HLOOKUP($AH765,Target_monthwise!$D$4:$O$20,DTR!M$4,FALSE))*1000,0)</f>
        <v>0</v>
      </c>
      <c r="N765" s="141">
        <f>IFERROR((HLOOKUP($AH765,Target_monthwise!$D$4:$O$20,DTR!N$4,FALSE))*1000,0)</f>
        <v>0</v>
      </c>
      <c r="O765" s="141">
        <f>IFERROR((HLOOKUP($AH765,Target_monthwise!$D$4:$O$20,DTR!O$4,FALSE))*1000,0)</f>
        <v>0</v>
      </c>
      <c r="P765" s="141">
        <f>IFERROR((HLOOKUP($AH765,Target_monthwise!$D$4:$O$20,DTR!P$4,FALSE))*1000,0)</f>
        <v>0</v>
      </c>
      <c r="Q765" s="141">
        <f>IFERROR((HLOOKUP($AH765,Target_monthwise!$D$4:$O$20,DTR!Q$4,FALSE))*1000,0)</f>
        <v>0</v>
      </c>
      <c r="R765" s="167">
        <f>IFERROR((HLOOKUP($AH765,Target_monthwise!$D$4:$O$20,DTR!R$4,FALSE))*1000,0)</f>
        <v>0</v>
      </c>
      <c r="S765" s="147">
        <f>IFERROR((HLOOKUP($AH765,Target_monthwise!$D$24:$O$40,DTR!S$4,FALSE)),0)</f>
        <v>0</v>
      </c>
      <c r="T765" s="147">
        <f>IFERROR((HLOOKUP($AH765,Target_monthwise!$D$24:$O$40,DTR!T$4,FALSE)),0)</f>
        <v>0</v>
      </c>
      <c r="U765" s="147">
        <f>IFERROR((HLOOKUP($AH765,Target_monthwise!$D$24:$O$40,DTR!U$4,FALSE)),0)</f>
        <v>0</v>
      </c>
      <c r="V765" s="147">
        <f>IFERROR((HLOOKUP($AH765,Target_monthwise!$D$24:$O$40,DTR!V$4,FALSE)),0)</f>
        <v>0</v>
      </c>
      <c r="W765" s="147">
        <f>IFERROR((HLOOKUP($AH765,Target_monthwise!$D$24:$O$40,DTR!W$4,FALSE)),0)</f>
        <v>0</v>
      </c>
      <c r="X765" s="147">
        <f>IFERROR((HLOOKUP($AH765,Target_monthwise!$D$24:$O$40,DTR!X$4,FALSE)),0)</f>
        <v>0</v>
      </c>
      <c r="Y765" s="147">
        <f>IFERROR((HLOOKUP($AH765,Target_monthwise!$D$24:$O$40,DTR!Y$4,FALSE)),0)</f>
        <v>0</v>
      </c>
      <c r="Z765" s="147">
        <f>IFERROR((HLOOKUP($AH765,Target_monthwise!$D$24:$O$40,DTR!Z$4,FALSE)),0)</f>
        <v>0</v>
      </c>
      <c r="AA765" s="147">
        <f>IFERROR((HLOOKUP($AH765,Target_monthwise!$D$24:$O$40,DTR!AA$4,FALSE)),0)</f>
        <v>0</v>
      </c>
      <c r="AB765" s="147">
        <f>IFERROR((HLOOKUP($AH765,Target_monthwise!$D$24:$O$40,DTR!AB$4,FALSE)),0)</f>
        <v>0</v>
      </c>
      <c r="AC765" s="147">
        <f>IFERROR((HLOOKUP($AH765,Target_monthwise!$D$24:$O$40,DTR!AC$4,FALSE)),0)</f>
        <v>0</v>
      </c>
      <c r="AD765" s="147">
        <f>IFERROR((HLOOKUP($AH765,Target_monthwise!$D$24:$O$40,DTR!AD$4,FALSE)),0)</f>
        <v>0</v>
      </c>
      <c r="AE765" s="147">
        <f>IFERROR((HLOOKUP($AH765,Target_monthwise!$D$24:$O$40,DTR!AE$4,FALSE)),0)</f>
        <v>0</v>
      </c>
      <c r="AF765" s="147">
        <f>IFERROR((HLOOKUP($AH765,Target_monthwise!$D$24:$O$40,DTR!AF$4,FALSE)),0)</f>
        <v>0</v>
      </c>
      <c r="AG765" s="172">
        <f>IFERROR((HLOOKUP($AH765,Target_monthwise!$D$24:$O$40,DTR!AG$4,FALSE)),0)</f>
        <v>0</v>
      </c>
      <c r="AH765" s="253">
        <f t="shared" si="14"/>
        <v>202404</v>
      </c>
    </row>
    <row r="766" spans="3:34" ht="15.75" hidden="1">
      <c r="C766" s="237">
        <v>45409</v>
      </c>
      <c r="D766" s="238">
        <f>IFERROR((HLOOKUP($AH766,Target_monthwise!$D$4:$O$20,DTR!D$4,FALSE))*1000,0)</f>
        <v>0</v>
      </c>
      <c r="E766" s="238">
        <f>IFERROR((HLOOKUP($AH766,Target_monthwise!$D$4:$O$20,DTR!E$4,FALSE))*1000,0)</f>
        <v>0</v>
      </c>
      <c r="F766" s="238">
        <f>IFERROR((HLOOKUP($AH766,Target_monthwise!$D$4:$O$20,DTR!F$4,FALSE))*1000,0)</f>
        <v>0</v>
      </c>
      <c r="G766" s="238">
        <f>IFERROR((HLOOKUP($AH766,Target_monthwise!$D$4:$O$20,DTR!G$4,FALSE))*1000,0)</f>
        <v>0</v>
      </c>
      <c r="H766" s="238">
        <f>IFERROR((HLOOKUP($AH766,Target_monthwise!$D$4:$O$20,DTR!H$4,FALSE))*1000,0)</f>
        <v>0</v>
      </c>
      <c r="I766" s="238">
        <f>IFERROR((HLOOKUP($AH766,Target_monthwise!$D$4:$O$20,DTR!I$4,FALSE))*1000,0)</f>
        <v>0</v>
      </c>
      <c r="J766" s="238">
        <f>IFERROR((HLOOKUP($AH766,Target_monthwise!$D$4:$O$20,DTR!J$4,FALSE))*1000,0)</f>
        <v>0</v>
      </c>
      <c r="K766" s="238">
        <f>IFERROR((HLOOKUP($AH766,Target_monthwise!$D$4:$O$20,DTR!K$4,FALSE))*1000,0)</f>
        <v>0</v>
      </c>
      <c r="L766" s="238">
        <f>IFERROR((HLOOKUP($AH766,Target_monthwise!$D$4:$O$20,DTR!L$4,FALSE))*1000,0)</f>
        <v>0</v>
      </c>
      <c r="M766" s="238">
        <f>IFERROR((HLOOKUP($AH766,Target_monthwise!$D$4:$O$20,DTR!M$4,FALSE))*1000,0)</f>
        <v>0</v>
      </c>
      <c r="N766" s="238">
        <f>IFERROR((HLOOKUP($AH766,Target_monthwise!$D$4:$O$20,DTR!N$4,FALSE))*1000,0)</f>
        <v>0</v>
      </c>
      <c r="O766" s="238">
        <f>IFERROR((HLOOKUP($AH766,Target_monthwise!$D$4:$O$20,DTR!O$4,FALSE))*1000,0)</f>
        <v>0</v>
      </c>
      <c r="P766" s="238">
        <f>IFERROR((HLOOKUP($AH766,Target_monthwise!$D$4:$O$20,DTR!P$4,FALSE))*1000,0)</f>
        <v>0</v>
      </c>
      <c r="Q766" s="141">
        <f>IFERROR((HLOOKUP($AH766,Target_monthwise!$D$4:$O$20,DTR!Q$4,FALSE))*1000,0)</f>
        <v>0</v>
      </c>
      <c r="R766" s="167">
        <f>IFERROR((HLOOKUP($AH766,Target_monthwise!$D$4:$O$20,DTR!R$4,FALSE))*1000,0)</f>
        <v>0</v>
      </c>
      <c r="S766" s="239">
        <f>IFERROR((HLOOKUP($AH766,Target_monthwise!$D$24:$O$40,DTR!S$4,FALSE)),0)</f>
        <v>0</v>
      </c>
      <c r="T766" s="239">
        <f>IFERROR((HLOOKUP($AH766,Target_monthwise!$D$24:$O$40,DTR!T$4,FALSE)),0)</f>
        <v>0</v>
      </c>
      <c r="U766" s="239">
        <f>IFERROR((HLOOKUP($AH766,Target_monthwise!$D$24:$O$40,DTR!U$4,FALSE)),0)</f>
        <v>0</v>
      </c>
      <c r="V766" s="239">
        <f>IFERROR((HLOOKUP($AH766,Target_monthwise!$D$24:$O$40,DTR!V$4,FALSE)),0)</f>
        <v>0</v>
      </c>
      <c r="W766" s="239">
        <f>IFERROR((HLOOKUP($AH766,Target_monthwise!$D$24:$O$40,DTR!W$4,FALSE)),0)</f>
        <v>0</v>
      </c>
      <c r="X766" s="239">
        <f>IFERROR((HLOOKUP($AH766,Target_monthwise!$D$24:$O$40,DTR!X$4,FALSE)),0)</f>
        <v>0</v>
      </c>
      <c r="Y766" s="239">
        <f>IFERROR((HLOOKUP($AH766,Target_monthwise!$D$24:$O$40,DTR!Y$4,FALSE)),0)</f>
        <v>0</v>
      </c>
      <c r="Z766" s="147">
        <f>IFERROR((HLOOKUP($AH766,Target_monthwise!$D$24:$O$40,DTR!Z$4,FALSE)),0)</f>
        <v>0</v>
      </c>
      <c r="AA766" s="147">
        <f>IFERROR((HLOOKUP($AH766,Target_monthwise!$D$24:$O$40,DTR!AA$4,FALSE)),0)</f>
        <v>0</v>
      </c>
      <c r="AB766" s="147">
        <f>IFERROR((HLOOKUP($AH766,Target_monthwise!$D$24:$O$40,DTR!AB$4,FALSE)),0)</f>
        <v>0</v>
      </c>
      <c r="AC766" s="239">
        <f>IFERROR((HLOOKUP($AH766,Target_monthwise!$D$24:$O$40,DTR!AC$4,FALSE)),0)</f>
        <v>0</v>
      </c>
      <c r="AD766" s="239">
        <f>IFERROR((HLOOKUP($AH766,Target_monthwise!$D$24:$O$40,DTR!AD$4,FALSE)),0)</f>
        <v>0</v>
      </c>
      <c r="AE766" s="239">
        <f>IFERROR((HLOOKUP($AH766,Target_monthwise!$D$24:$O$40,DTR!AE$4,FALSE)),0)</f>
        <v>0</v>
      </c>
      <c r="AF766" s="239">
        <f>IFERROR((HLOOKUP($AH766,Target_monthwise!$D$24:$O$40,DTR!AF$4,FALSE)),0)</f>
        <v>0</v>
      </c>
      <c r="AG766" s="172">
        <f>IFERROR((HLOOKUP($AH766,Target_monthwise!$D$24:$O$40,DTR!AG$4,FALSE)),0)</f>
        <v>0</v>
      </c>
      <c r="AH766" s="253">
        <f t="shared" si="14"/>
        <v>202404</v>
      </c>
    </row>
    <row r="767" spans="3:34" ht="15.75" hidden="1">
      <c r="C767" s="235">
        <v>45410</v>
      </c>
      <c r="D767" s="141">
        <f>IFERROR((HLOOKUP($AH767,Target_monthwise!$D$4:$O$20,DTR!D$4,FALSE))*1000,0)</f>
        <v>0</v>
      </c>
      <c r="E767" s="141">
        <f>IFERROR((HLOOKUP($AH767,Target_monthwise!$D$4:$O$20,DTR!E$4,FALSE))*1000,0)</f>
        <v>0</v>
      </c>
      <c r="F767" s="141">
        <f>IFERROR((HLOOKUP($AH767,Target_monthwise!$D$4:$O$20,DTR!F$4,FALSE))*1000,0)</f>
        <v>0</v>
      </c>
      <c r="G767" s="141">
        <f>IFERROR((HLOOKUP($AH767,Target_monthwise!$D$4:$O$20,DTR!G$4,FALSE))*1000,0)</f>
        <v>0</v>
      </c>
      <c r="H767" s="141">
        <f>IFERROR((HLOOKUP($AH767,Target_monthwise!$D$4:$O$20,DTR!H$4,FALSE))*1000,0)</f>
        <v>0</v>
      </c>
      <c r="I767" s="141">
        <f>IFERROR((HLOOKUP($AH767,Target_monthwise!$D$4:$O$20,DTR!I$4,FALSE))*1000,0)</f>
        <v>0</v>
      </c>
      <c r="J767" s="141">
        <f>IFERROR((HLOOKUP($AH767,Target_monthwise!$D$4:$O$20,DTR!J$4,FALSE))*1000,0)</f>
        <v>0</v>
      </c>
      <c r="K767" s="141">
        <f>IFERROR((HLOOKUP($AH767,Target_monthwise!$D$4:$O$20,DTR!K$4,FALSE))*1000,0)</f>
        <v>0</v>
      </c>
      <c r="L767" s="141">
        <f>IFERROR((HLOOKUP($AH767,Target_monthwise!$D$4:$O$20,DTR!L$4,FALSE))*1000,0)</f>
        <v>0</v>
      </c>
      <c r="M767" s="141">
        <f>IFERROR((HLOOKUP($AH767,Target_monthwise!$D$4:$O$20,DTR!M$4,FALSE))*1000,0)</f>
        <v>0</v>
      </c>
      <c r="N767" s="141">
        <f>IFERROR((HLOOKUP($AH767,Target_monthwise!$D$4:$O$20,DTR!N$4,FALSE))*1000,0)</f>
        <v>0</v>
      </c>
      <c r="O767" s="141">
        <f>IFERROR((HLOOKUP($AH767,Target_monthwise!$D$4:$O$20,DTR!O$4,FALSE))*1000,0)</f>
        <v>0</v>
      </c>
      <c r="P767" s="141">
        <f>IFERROR((HLOOKUP($AH767,Target_monthwise!$D$4:$O$20,DTR!P$4,FALSE))*1000,0)</f>
        <v>0</v>
      </c>
      <c r="Q767" s="141">
        <f>IFERROR((HLOOKUP($AH767,Target_monthwise!$D$4:$O$20,DTR!Q$4,FALSE))*1000,0)</f>
        <v>0</v>
      </c>
      <c r="R767" s="167">
        <f>IFERROR((HLOOKUP($AH767,Target_monthwise!$D$4:$O$20,DTR!R$4,FALSE))*1000,0)</f>
        <v>0</v>
      </c>
      <c r="S767" s="147">
        <f>IFERROR((HLOOKUP($AH767,Target_monthwise!$D$24:$O$40,DTR!S$4,FALSE)),0)</f>
        <v>0</v>
      </c>
      <c r="T767" s="147">
        <f>IFERROR((HLOOKUP($AH767,Target_monthwise!$D$24:$O$40,DTR!T$4,FALSE)),0)</f>
        <v>0</v>
      </c>
      <c r="U767" s="147">
        <f>IFERROR((HLOOKUP($AH767,Target_monthwise!$D$24:$O$40,DTR!U$4,FALSE)),0)</f>
        <v>0</v>
      </c>
      <c r="V767" s="147">
        <f>IFERROR((HLOOKUP($AH767,Target_monthwise!$D$24:$O$40,DTR!V$4,FALSE)),0)</f>
        <v>0</v>
      </c>
      <c r="W767" s="147">
        <f>IFERROR((HLOOKUP($AH767,Target_monthwise!$D$24:$O$40,DTR!W$4,FALSE)),0)</f>
        <v>0</v>
      </c>
      <c r="X767" s="147">
        <f>IFERROR((HLOOKUP($AH767,Target_monthwise!$D$24:$O$40,DTR!X$4,FALSE)),0)</f>
        <v>0</v>
      </c>
      <c r="Y767" s="147">
        <f>IFERROR((HLOOKUP($AH767,Target_monthwise!$D$24:$O$40,DTR!Y$4,FALSE)),0)</f>
        <v>0</v>
      </c>
      <c r="Z767" s="147">
        <f>IFERROR((HLOOKUP($AH767,Target_monthwise!$D$24:$O$40,DTR!Z$4,FALSE)),0)</f>
        <v>0</v>
      </c>
      <c r="AA767" s="147">
        <f>IFERROR((HLOOKUP($AH767,Target_monthwise!$D$24:$O$40,DTR!AA$4,FALSE)),0)</f>
        <v>0</v>
      </c>
      <c r="AB767" s="147">
        <f>IFERROR((HLOOKUP($AH767,Target_monthwise!$D$24:$O$40,DTR!AB$4,FALSE)),0)</f>
        <v>0</v>
      </c>
      <c r="AC767" s="147">
        <f>IFERROR((HLOOKUP($AH767,Target_monthwise!$D$24:$O$40,DTR!AC$4,FALSE)),0)</f>
        <v>0</v>
      </c>
      <c r="AD767" s="147">
        <f>IFERROR((HLOOKUP($AH767,Target_monthwise!$D$24:$O$40,DTR!AD$4,FALSE)),0)</f>
        <v>0</v>
      </c>
      <c r="AE767" s="147">
        <f>IFERROR((HLOOKUP($AH767,Target_monthwise!$D$24:$O$40,DTR!AE$4,FALSE)),0)</f>
        <v>0</v>
      </c>
      <c r="AF767" s="147">
        <f>IFERROR((HLOOKUP($AH767,Target_monthwise!$D$24:$O$40,DTR!AF$4,FALSE)),0)</f>
        <v>0</v>
      </c>
      <c r="AG767" s="172">
        <f>IFERROR((HLOOKUP($AH767,Target_monthwise!$D$24:$O$40,DTR!AG$4,FALSE)),0)</f>
        <v>0</v>
      </c>
      <c r="AH767" s="253">
        <f t="shared" si="14"/>
        <v>202404</v>
      </c>
    </row>
    <row r="768" spans="3:34" ht="15.75" hidden="1">
      <c r="C768" s="237">
        <v>45411</v>
      </c>
      <c r="D768" s="238">
        <f>IFERROR((HLOOKUP($AH768,Target_monthwise!$D$4:$O$20,DTR!D$4,FALSE))*1000,0)</f>
        <v>0</v>
      </c>
      <c r="E768" s="238">
        <f>IFERROR((HLOOKUP($AH768,Target_monthwise!$D$4:$O$20,DTR!E$4,FALSE))*1000,0)</f>
        <v>0</v>
      </c>
      <c r="F768" s="238">
        <f>IFERROR((HLOOKUP($AH768,Target_monthwise!$D$4:$O$20,DTR!F$4,FALSE))*1000,0)</f>
        <v>0</v>
      </c>
      <c r="G768" s="238">
        <f>IFERROR((HLOOKUP($AH768,Target_monthwise!$D$4:$O$20,DTR!G$4,FALSE))*1000,0)</f>
        <v>0</v>
      </c>
      <c r="H768" s="238">
        <f>IFERROR((HLOOKUP($AH768,Target_monthwise!$D$4:$O$20,DTR!H$4,FALSE))*1000,0)</f>
        <v>0</v>
      </c>
      <c r="I768" s="238">
        <f>IFERROR((HLOOKUP($AH768,Target_monthwise!$D$4:$O$20,DTR!I$4,FALSE))*1000,0)</f>
        <v>0</v>
      </c>
      <c r="J768" s="238">
        <f>IFERROR((HLOOKUP($AH768,Target_monthwise!$D$4:$O$20,DTR!J$4,FALSE))*1000,0)</f>
        <v>0</v>
      </c>
      <c r="K768" s="238">
        <f>IFERROR((HLOOKUP($AH768,Target_monthwise!$D$4:$O$20,DTR!K$4,FALSE))*1000,0)</f>
        <v>0</v>
      </c>
      <c r="L768" s="238">
        <f>IFERROR((HLOOKUP($AH768,Target_monthwise!$D$4:$O$20,DTR!L$4,FALSE))*1000,0)</f>
        <v>0</v>
      </c>
      <c r="M768" s="238">
        <f>IFERROR((HLOOKUP($AH768,Target_monthwise!$D$4:$O$20,DTR!M$4,FALSE))*1000,0)</f>
        <v>0</v>
      </c>
      <c r="N768" s="238">
        <f>IFERROR((HLOOKUP($AH768,Target_monthwise!$D$4:$O$20,DTR!N$4,FALSE))*1000,0)</f>
        <v>0</v>
      </c>
      <c r="O768" s="238">
        <f>IFERROR((HLOOKUP($AH768,Target_monthwise!$D$4:$O$20,DTR!O$4,FALSE))*1000,0)</f>
        <v>0</v>
      </c>
      <c r="P768" s="238">
        <f>IFERROR((HLOOKUP($AH768,Target_monthwise!$D$4:$O$20,DTR!P$4,FALSE))*1000,0)</f>
        <v>0</v>
      </c>
      <c r="Q768" s="141">
        <f>IFERROR((HLOOKUP($AH768,Target_monthwise!$D$4:$O$20,DTR!Q$4,FALSE))*1000,0)</f>
        <v>0</v>
      </c>
      <c r="R768" s="167">
        <f>IFERROR((HLOOKUP($AH768,Target_monthwise!$D$4:$O$20,DTR!R$4,FALSE))*1000,0)</f>
        <v>0</v>
      </c>
      <c r="S768" s="239">
        <f>IFERROR((HLOOKUP($AH768,Target_monthwise!$D$24:$O$40,DTR!S$4,FALSE)),0)</f>
        <v>0</v>
      </c>
      <c r="T768" s="239">
        <f>IFERROR((HLOOKUP($AH768,Target_monthwise!$D$24:$O$40,DTR!T$4,FALSE)),0)</f>
        <v>0</v>
      </c>
      <c r="U768" s="239">
        <f>IFERROR((HLOOKUP($AH768,Target_monthwise!$D$24:$O$40,DTR!U$4,FALSE)),0)</f>
        <v>0</v>
      </c>
      <c r="V768" s="239">
        <f>IFERROR((HLOOKUP($AH768,Target_monthwise!$D$24:$O$40,DTR!V$4,FALSE)),0)</f>
        <v>0</v>
      </c>
      <c r="W768" s="239">
        <f>IFERROR((HLOOKUP($AH768,Target_monthwise!$D$24:$O$40,DTR!W$4,FALSE)),0)</f>
        <v>0</v>
      </c>
      <c r="X768" s="239">
        <f>IFERROR((HLOOKUP($AH768,Target_monthwise!$D$24:$O$40,DTR!X$4,FALSE)),0)</f>
        <v>0</v>
      </c>
      <c r="Y768" s="239">
        <f>IFERROR((HLOOKUP($AH768,Target_monthwise!$D$24:$O$40,DTR!Y$4,FALSE)),0)</f>
        <v>0</v>
      </c>
      <c r="Z768" s="147">
        <f>IFERROR((HLOOKUP($AH768,Target_monthwise!$D$24:$O$40,DTR!Z$4,FALSE)),0)</f>
        <v>0</v>
      </c>
      <c r="AA768" s="147">
        <f>IFERROR((HLOOKUP($AH768,Target_monthwise!$D$24:$O$40,DTR!AA$4,FALSE)),0)</f>
        <v>0</v>
      </c>
      <c r="AB768" s="147">
        <f>IFERROR((HLOOKUP($AH768,Target_monthwise!$D$24:$O$40,DTR!AB$4,FALSE)),0)</f>
        <v>0</v>
      </c>
      <c r="AC768" s="239">
        <f>IFERROR((HLOOKUP($AH768,Target_monthwise!$D$24:$O$40,DTR!AC$4,FALSE)),0)</f>
        <v>0</v>
      </c>
      <c r="AD768" s="239">
        <f>IFERROR((HLOOKUP($AH768,Target_monthwise!$D$24:$O$40,DTR!AD$4,FALSE)),0)</f>
        <v>0</v>
      </c>
      <c r="AE768" s="239">
        <f>IFERROR((HLOOKUP($AH768,Target_monthwise!$D$24:$O$40,DTR!AE$4,FALSE)),0)</f>
        <v>0</v>
      </c>
      <c r="AF768" s="239">
        <f>IFERROR((HLOOKUP($AH768,Target_monthwise!$D$24:$O$40,DTR!AF$4,FALSE)),0)</f>
        <v>0</v>
      </c>
      <c r="AG768" s="172">
        <f>IFERROR((HLOOKUP($AH768,Target_monthwise!$D$24:$O$40,DTR!AG$4,FALSE)),0)</f>
        <v>0</v>
      </c>
      <c r="AH768" s="253">
        <f t="shared" si="14"/>
        <v>202404</v>
      </c>
    </row>
    <row r="769" spans="3:34" ht="15.75" hidden="1">
      <c r="C769" s="235">
        <v>45412</v>
      </c>
      <c r="D769" s="141">
        <f>IFERROR((HLOOKUP($AH769,Target_monthwise!$D$4:$O$20,DTR!D$4,FALSE))*1000,0)</f>
        <v>0</v>
      </c>
      <c r="E769" s="141">
        <f>IFERROR((HLOOKUP($AH769,Target_monthwise!$D$4:$O$20,DTR!E$4,FALSE))*1000,0)</f>
        <v>0</v>
      </c>
      <c r="F769" s="141">
        <f>IFERROR((HLOOKUP($AH769,Target_monthwise!$D$4:$O$20,DTR!F$4,FALSE))*1000,0)</f>
        <v>0</v>
      </c>
      <c r="G769" s="141">
        <f>IFERROR((HLOOKUP($AH769,Target_monthwise!$D$4:$O$20,DTR!G$4,FALSE))*1000,0)</f>
        <v>0</v>
      </c>
      <c r="H769" s="141">
        <f>IFERROR((HLOOKUP($AH769,Target_monthwise!$D$4:$O$20,DTR!H$4,FALSE))*1000,0)</f>
        <v>0</v>
      </c>
      <c r="I769" s="141">
        <f>IFERROR((HLOOKUP($AH769,Target_monthwise!$D$4:$O$20,DTR!I$4,FALSE))*1000,0)</f>
        <v>0</v>
      </c>
      <c r="J769" s="141">
        <f>IFERROR((HLOOKUP($AH769,Target_monthwise!$D$4:$O$20,DTR!J$4,FALSE))*1000,0)</f>
        <v>0</v>
      </c>
      <c r="K769" s="141">
        <f>IFERROR((HLOOKUP($AH769,Target_monthwise!$D$4:$O$20,DTR!K$4,FALSE))*1000,0)</f>
        <v>0</v>
      </c>
      <c r="L769" s="141">
        <f>IFERROR((HLOOKUP($AH769,Target_monthwise!$D$4:$O$20,DTR!L$4,FALSE))*1000,0)</f>
        <v>0</v>
      </c>
      <c r="M769" s="141">
        <f>IFERROR((HLOOKUP($AH769,Target_monthwise!$D$4:$O$20,DTR!M$4,FALSE))*1000,0)</f>
        <v>0</v>
      </c>
      <c r="N769" s="141">
        <f>IFERROR((HLOOKUP($AH769,Target_monthwise!$D$4:$O$20,DTR!N$4,FALSE))*1000,0)</f>
        <v>0</v>
      </c>
      <c r="O769" s="141">
        <f>IFERROR((HLOOKUP($AH769,Target_monthwise!$D$4:$O$20,DTR!O$4,FALSE))*1000,0)</f>
        <v>0</v>
      </c>
      <c r="P769" s="141">
        <f>IFERROR((HLOOKUP($AH769,Target_monthwise!$D$4:$O$20,DTR!P$4,FALSE))*1000,0)</f>
        <v>0</v>
      </c>
      <c r="Q769" s="141">
        <f>IFERROR((HLOOKUP($AH769,Target_monthwise!$D$4:$O$20,DTR!Q$4,FALSE))*1000,0)</f>
        <v>0</v>
      </c>
      <c r="R769" s="167">
        <f>IFERROR((HLOOKUP($AH769,Target_monthwise!$D$4:$O$20,DTR!R$4,FALSE))*1000,0)</f>
        <v>0</v>
      </c>
      <c r="S769" s="147">
        <f>IFERROR((HLOOKUP($AH769,Target_monthwise!$D$24:$O$40,DTR!S$4,FALSE)),0)</f>
        <v>0</v>
      </c>
      <c r="T769" s="147">
        <f>IFERROR((HLOOKUP($AH769,Target_monthwise!$D$24:$O$40,DTR!T$4,FALSE)),0)</f>
        <v>0</v>
      </c>
      <c r="U769" s="147">
        <f>IFERROR((HLOOKUP($AH769,Target_monthwise!$D$24:$O$40,DTR!U$4,FALSE)),0)</f>
        <v>0</v>
      </c>
      <c r="V769" s="147">
        <f>IFERROR((HLOOKUP($AH769,Target_monthwise!$D$24:$O$40,DTR!V$4,FALSE)),0)</f>
        <v>0</v>
      </c>
      <c r="W769" s="147">
        <f>IFERROR((HLOOKUP($AH769,Target_monthwise!$D$24:$O$40,DTR!W$4,FALSE)),0)</f>
        <v>0</v>
      </c>
      <c r="X769" s="147">
        <f>IFERROR((HLOOKUP($AH769,Target_monthwise!$D$24:$O$40,DTR!X$4,FALSE)),0)</f>
        <v>0</v>
      </c>
      <c r="Y769" s="147">
        <f>IFERROR((HLOOKUP($AH769,Target_monthwise!$D$24:$O$40,DTR!Y$4,FALSE)),0)</f>
        <v>0</v>
      </c>
      <c r="Z769" s="147">
        <f>IFERROR((HLOOKUP($AH769,Target_monthwise!$D$24:$O$40,DTR!Z$4,FALSE)),0)</f>
        <v>0</v>
      </c>
      <c r="AA769" s="147">
        <f>IFERROR((HLOOKUP($AH769,Target_monthwise!$D$24:$O$40,DTR!AA$4,FALSE)),0)</f>
        <v>0</v>
      </c>
      <c r="AB769" s="147">
        <f>IFERROR((HLOOKUP($AH769,Target_monthwise!$D$24:$O$40,DTR!AB$4,FALSE)),0)</f>
        <v>0</v>
      </c>
      <c r="AC769" s="147">
        <f>IFERROR((HLOOKUP($AH769,Target_monthwise!$D$24:$O$40,DTR!AC$4,FALSE)),0)</f>
        <v>0</v>
      </c>
      <c r="AD769" s="147">
        <f>IFERROR((HLOOKUP($AH769,Target_monthwise!$D$24:$O$40,DTR!AD$4,FALSE)),0)</f>
        <v>0</v>
      </c>
      <c r="AE769" s="147">
        <f>IFERROR((HLOOKUP($AH769,Target_monthwise!$D$24:$O$40,DTR!AE$4,FALSE)),0)</f>
        <v>0</v>
      </c>
      <c r="AF769" s="147">
        <f>IFERROR((HLOOKUP($AH769,Target_monthwise!$D$24:$O$40,DTR!AF$4,FALSE)),0)</f>
        <v>0</v>
      </c>
      <c r="AG769" s="172">
        <f>IFERROR((HLOOKUP($AH769,Target_monthwise!$D$24:$O$40,DTR!AG$4,FALSE)),0)</f>
        <v>0</v>
      </c>
      <c r="AH769" s="253">
        <f t="shared" si="14"/>
        <v>202404</v>
      </c>
    </row>
    <row r="770" spans="3:34" ht="15.75" hidden="1">
      <c r="C770" s="237">
        <v>45413</v>
      </c>
      <c r="D770" s="238">
        <f>IFERROR((HLOOKUP($AH770,Target_monthwise!$D$4:$O$20,DTR!D$4,FALSE))*1000,0)</f>
        <v>0</v>
      </c>
      <c r="E770" s="238">
        <f>IFERROR((HLOOKUP($AH770,Target_monthwise!$D$4:$O$20,DTR!E$4,FALSE))*1000,0)</f>
        <v>0</v>
      </c>
      <c r="F770" s="238">
        <f>IFERROR((HLOOKUP($AH770,Target_monthwise!$D$4:$O$20,DTR!F$4,FALSE))*1000,0)</f>
        <v>0</v>
      </c>
      <c r="G770" s="238">
        <f>IFERROR((HLOOKUP($AH770,Target_monthwise!$D$4:$O$20,DTR!G$4,FALSE))*1000,0)</f>
        <v>0</v>
      </c>
      <c r="H770" s="238">
        <f>IFERROR((HLOOKUP($AH770,Target_monthwise!$D$4:$O$20,DTR!H$4,FALSE))*1000,0)</f>
        <v>0</v>
      </c>
      <c r="I770" s="238">
        <f>IFERROR((HLOOKUP($AH770,Target_monthwise!$D$4:$O$20,DTR!I$4,FALSE))*1000,0)</f>
        <v>0</v>
      </c>
      <c r="J770" s="238">
        <f>IFERROR((HLOOKUP($AH770,Target_monthwise!$D$4:$O$20,DTR!J$4,FALSE))*1000,0)</f>
        <v>0</v>
      </c>
      <c r="K770" s="238">
        <f>IFERROR((HLOOKUP($AH770,Target_monthwise!$D$4:$O$20,DTR!K$4,FALSE))*1000,0)</f>
        <v>0</v>
      </c>
      <c r="L770" s="238">
        <f>IFERROR((HLOOKUP($AH770,Target_monthwise!$D$4:$O$20,DTR!L$4,FALSE))*1000,0)</f>
        <v>0</v>
      </c>
      <c r="M770" s="238">
        <f>IFERROR((HLOOKUP($AH770,Target_monthwise!$D$4:$O$20,DTR!M$4,FALSE))*1000,0)</f>
        <v>0</v>
      </c>
      <c r="N770" s="238">
        <f>IFERROR((HLOOKUP($AH770,Target_monthwise!$D$4:$O$20,DTR!N$4,FALSE))*1000,0)</f>
        <v>0</v>
      </c>
      <c r="O770" s="238">
        <f>IFERROR((HLOOKUP($AH770,Target_monthwise!$D$4:$O$20,DTR!O$4,FALSE))*1000,0)</f>
        <v>0</v>
      </c>
      <c r="P770" s="238">
        <f>IFERROR((HLOOKUP($AH770,Target_monthwise!$D$4:$O$20,DTR!P$4,FALSE))*1000,0)</f>
        <v>0</v>
      </c>
      <c r="Q770" s="141">
        <f>IFERROR((HLOOKUP($AH770,Target_monthwise!$D$4:$O$20,DTR!Q$4,FALSE))*1000,0)</f>
        <v>0</v>
      </c>
      <c r="R770" s="167">
        <f>IFERROR((HLOOKUP($AH770,Target_monthwise!$D$4:$O$20,DTR!R$4,FALSE))*1000,0)</f>
        <v>0</v>
      </c>
      <c r="S770" s="239">
        <f>IFERROR((HLOOKUP($AH770,Target_monthwise!$D$24:$O$40,DTR!S$4,FALSE)),0)</f>
        <v>0</v>
      </c>
      <c r="T770" s="239">
        <f>IFERROR((HLOOKUP($AH770,Target_monthwise!$D$24:$O$40,DTR!T$4,FALSE)),0)</f>
        <v>0</v>
      </c>
      <c r="U770" s="239">
        <f>IFERROR((HLOOKUP($AH770,Target_monthwise!$D$24:$O$40,DTR!U$4,FALSE)),0)</f>
        <v>0</v>
      </c>
      <c r="V770" s="239">
        <f>IFERROR((HLOOKUP($AH770,Target_monthwise!$D$24:$O$40,DTR!V$4,FALSE)),0)</f>
        <v>0</v>
      </c>
      <c r="W770" s="239">
        <f>IFERROR((HLOOKUP($AH770,Target_monthwise!$D$24:$O$40,DTR!W$4,FALSE)),0)</f>
        <v>0</v>
      </c>
      <c r="X770" s="239">
        <f>IFERROR((HLOOKUP($AH770,Target_monthwise!$D$24:$O$40,DTR!X$4,FALSE)),0)</f>
        <v>0</v>
      </c>
      <c r="Y770" s="239">
        <f>IFERROR((HLOOKUP($AH770,Target_monthwise!$D$24:$O$40,DTR!Y$4,FALSE)),0)</f>
        <v>0</v>
      </c>
      <c r="Z770" s="147">
        <f>IFERROR((HLOOKUP($AH770,Target_monthwise!$D$24:$O$40,DTR!Z$4,FALSE)),0)</f>
        <v>0</v>
      </c>
      <c r="AA770" s="147">
        <f>IFERROR((HLOOKUP($AH770,Target_monthwise!$D$24:$O$40,DTR!AA$4,FALSE)),0)</f>
        <v>0</v>
      </c>
      <c r="AB770" s="147">
        <f>IFERROR((HLOOKUP($AH770,Target_monthwise!$D$24:$O$40,DTR!AB$4,FALSE)),0)</f>
        <v>0</v>
      </c>
      <c r="AC770" s="239">
        <f>IFERROR((HLOOKUP($AH770,Target_monthwise!$D$24:$O$40,DTR!AC$4,FALSE)),0)</f>
        <v>0</v>
      </c>
      <c r="AD770" s="239">
        <f>IFERROR((HLOOKUP($AH770,Target_monthwise!$D$24:$O$40,DTR!AD$4,FALSE)),0)</f>
        <v>0</v>
      </c>
      <c r="AE770" s="239">
        <f>IFERROR((HLOOKUP($AH770,Target_monthwise!$D$24:$O$40,DTR!AE$4,FALSE)),0)</f>
        <v>0</v>
      </c>
      <c r="AF770" s="239">
        <f>IFERROR((HLOOKUP($AH770,Target_monthwise!$D$24:$O$40,DTR!AF$4,FALSE)),0)</f>
        <v>0</v>
      </c>
      <c r="AG770" s="172">
        <f>IFERROR((HLOOKUP($AH770,Target_monthwise!$D$24:$O$40,DTR!AG$4,FALSE)),0)</f>
        <v>0</v>
      </c>
      <c r="AH770" s="253">
        <f t="shared" si="14"/>
        <v>202405</v>
      </c>
    </row>
    <row r="771" spans="3:34" ht="15.75" hidden="1">
      <c r="C771" s="235">
        <v>45414</v>
      </c>
      <c r="D771" s="141">
        <f>IFERROR((HLOOKUP($AH771,Target_monthwise!$D$4:$O$20,DTR!D$4,FALSE))*1000,0)</f>
        <v>0</v>
      </c>
      <c r="E771" s="141">
        <f>IFERROR((HLOOKUP($AH771,Target_monthwise!$D$4:$O$20,DTR!E$4,FALSE))*1000,0)</f>
        <v>0</v>
      </c>
      <c r="F771" s="141">
        <f>IFERROR((HLOOKUP($AH771,Target_monthwise!$D$4:$O$20,DTR!F$4,FALSE))*1000,0)</f>
        <v>0</v>
      </c>
      <c r="G771" s="141">
        <f>IFERROR((HLOOKUP($AH771,Target_monthwise!$D$4:$O$20,DTR!G$4,FALSE))*1000,0)</f>
        <v>0</v>
      </c>
      <c r="H771" s="141">
        <f>IFERROR((HLOOKUP($AH771,Target_monthwise!$D$4:$O$20,DTR!H$4,FALSE))*1000,0)</f>
        <v>0</v>
      </c>
      <c r="I771" s="141">
        <f>IFERROR((HLOOKUP($AH771,Target_monthwise!$D$4:$O$20,DTR!I$4,FALSE))*1000,0)</f>
        <v>0</v>
      </c>
      <c r="J771" s="141">
        <f>IFERROR((HLOOKUP($AH771,Target_monthwise!$D$4:$O$20,DTR!J$4,FALSE))*1000,0)</f>
        <v>0</v>
      </c>
      <c r="K771" s="141">
        <f>IFERROR((HLOOKUP($AH771,Target_monthwise!$D$4:$O$20,DTR!K$4,FALSE))*1000,0)</f>
        <v>0</v>
      </c>
      <c r="L771" s="141">
        <f>IFERROR((HLOOKUP($AH771,Target_monthwise!$D$4:$O$20,DTR!L$4,FALSE))*1000,0)</f>
        <v>0</v>
      </c>
      <c r="M771" s="141">
        <f>IFERROR((HLOOKUP($AH771,Target_monthwise!$D$4:$O$20,DTR!M$4,FALSE))*1000,0)</f>
        <v>0</v>
      </c>
      <c r="N771" s="141">
        <f>IFERROR((HLOOKUP($AH771,Target_monthwise!$D$4:$O$20,DTR!N$4,FALSE))*1000,0)</f>
        <v>0</v>
      </c>
      <c r="O771" s="141">
        <f>IFERROR((HLOOKUP($AH771,Target_monthwise!$D$4:$O$20,DTR!O$4,FALSE))*1000,0)</f>
        <v>0</v>
      </c>
      <c r="P771" s="141">
        <f>IFERROR((HLOOKUP($AH771,Target_monthwise!$D$4:$O$20,DTR!P$4,FALSE))*1000,0)</f>
        <v>0</v>
      </c>
      <c r="Q771" s="141">
        <f>IFERROR((HLOOKUP($AH771,Target_monthwise!$D$4:$O$20,DTR!Q$4,FALSE))*1000,0)</f>
        <v>0</v>
      </c>
      <c r="R771" s="167">
        <f>IFERROR((HLOOKUP($AH771,Target_monthwise!$D$4:$O$20,DTR!R$4,FALSE))*1000,0)</f>
        <v>0</v>
      </c>
      <c r="S771" s="147">
        <f>IFERROR((HLOOKUP($AH771,Target_monthwise!$D$24:$O$40,DTR!S$4,FALSE)),0)</f>
        <v>0</v>
      </c>
      <c r="T771" s="147">
        <f>IFERROR((HLOOKUP($AH771,Target_monthwise!$D$24:$O$40,DTR!T$4,FALSE)),0)</f>
        <v>0</v>
      </c>
      <c r="U771" s="147">
        <f>IFERROR((HLOOKUP($AH771,Target_monthwise!$D$24:$O$40,DTR!U$4,FALSE)),0)</f>
        <v>0</v>
      </c>
      <c r="V771" s="147">
        <f>IFERROR((HLOOKUP($AH771,Target_monthwise!$D$24:$O$40,DTR!V$4,FALSE)),0)</f>
        <v>0</v>
      </c>
      <c r="W771" s="147">
        <f>IFERROR((HLOOKUP($AH771,Target_monthwise!$D$24:$O$40,DTR!W$4,FALSE)),0)</f>
        <v>0</v>
      </c>
      <c r="X771" s="147">
        <f>IFERROR((HLOOKUP($AH771,Target_monthwise!$D$24:$O$40,DTR!X$4,FALSE)),0)</f>
        <v>0</v>
      </c>
      <c r="Y771" s="147">
        <f>IFERROR((HLOOKUP($AH771,Target_monthwise!$D$24:$O$40,DTR!Y$4,FALSE)),0)</f>
        <v>0</v>
      </c>
      <c r="Z771" s="147">
        <f>IFERROR((HLOOKUP($AH771,Target_monthwise!$D$24:$O$40,DTR!Z$4,FALSE)),0)</f>
        <v>0</v>
      </c>
      <c r="AA771" s="147">
        <f>IFERROR((HLOOKUP($AH771,Target_monthwise!$D$24:$O$40,DTR!AA$4,FALSE)),0)</f>
        <v>0</v>
      </c>
      <c r="AB771" s="147">
        <f>IFERROR((HLOOKUP($AH771,Target_monthwise!$D$24:$O$40,DTR!AB$4,FALSE)),0)</f>
        <v>0</v>
      </c>
      <c r="AC771" s="147">
        <f>IFERROR((HLOOKUP($AH771,Target_monthwise!$D$24:$O$40,DTR!AC$4,FALSE)),0)</f>
        <v>0</v>
      </c>
      <c r="AD771" s="147">
        <f>IFERROR((HLOOKUP($AH771,Target_monthwise!$D$24:$O$40,DTR!AD$4,FALSE)),0)</f>
        <v>0</v>
      </c>
      <c r="AE771" s="147">
        <f>IFERROR((HLOOKUP($AH771,Target_monthwise!$D$24:$O$40,DTR!AE$4,FALSE)),0)</f>
        <v>0</v>
      </c>
      <c r="AF771" s="147">
        <f>IFERROR((HLOOKUP($AH771,Target_monthwise!$D$24:$O$40,DTR!AF$4,FALSE)),0)</f>
        <v>0</v>
      </c>
      <c r="AG771" s="172">
        <f>IFERROR((HLOOKUP($AH771,Target_monthwise!$D$24:$O$40,DTR!AG$4,FALSE)),0)</f>
        <v>0</v>
      </c>
      <c r="AH771" s="253">
        <f t="shared" si="14"/>
        <v>202405</v>
      </c>
    </row>
    <row r="772" spans="3:34" ht="15.75" hidden="1">
      <c r="C772" s="237">
        <v>45415</v>
      </c>
      <c r="D772" s="238">
        <f>IFERROR((HLOOKUP($AH772,Target_monthwise!$D$4:$O$20,DTR!D$4,FALSE))*1000,0)</f>
        <v>0</v>
      </c>
      <c r="E772" s="238">
        <f>IFERROR((HLOOKUP($AH772,Target_monthwise!$D$4:$O$20,DTR!E$4,FALSE))*1000,0)</f>
        <v>0</v>
      </c>
      <c r="F772" s="238">
        <f>IFERROR((HLOOKUP($AH772,Target_monthwise!$D$4:$O$20,DTR!F$4,FALSE))*1000,0)</f>
        <v>0</v>
      </c>
      <c r="G772" s="238">
        <f>IFERROR((HLOOKUP($AH772,Target_monthwise!$D$4:$O$20,DTR!G$4,FALSE))*1000,0)</f>
        <v>0</v>
      </c>
      <c r="H772" s="238">
        <f>IFERROR((HLOOKUP($AH772,Target_monthwise!$D$4:$O$20,DTR!H$4,FALSE))*1000,0)</f>
        <v>0</v>
      </c>
      <c r="I772" s="238">
        <f>IFERROR((HLOOKUP($AH772,Target_monthwise!$D$4:$O$20,DTR!I$4,FALSE))*1000,0)</f>
        <v>0</v>
      </c>
      <c r="J772" s="238">
        <f>IFERROR((HLOOKUP($AH772,Target_monthwise!$D$4:$O$20,DTR!J$4,FALSE))*1000,0)</f>
        <v>0</v>
      </c>
      <c r="K772" s="238">
        <f>IFERROR((HLOOKUP($AH772,Target_monthwise!$D$4:$O$20,DTR!K$4,FALSE))*1000,0)</f>
        <v>0</v>
      </c>
      <c r="L772" s="238">
        <f>IFERROR((HLOOKUP($AH772,Target_monthwise!$D$4:$O$20,DTR!L$4,FALSE))*1000,0)</f>
        <v>0</v>
      </c>
      <c r="M772" s="238">
        <f>IFERROR((HLOOKUP($AH772,Target_monthwise!$D$4:$O$20,DTR!M$4,FALSE))*1000,0)</f>
        <v>0</v>
      </c>
      <c r="N772" s="238">
        <f>IFERROR((HLOOKUP($AH772,Target_monthwise!$D$4:$O$20,DTR!N$4,FALSE))*1000,0)</f>
        <v>0</v>
      </c>
      <c r="O772" s="238">
        <f>IFERROR((HLOOKUP($AH772,Target_monthwise!$D$4:$O$20,DTR!O$4,FALSE))*1000,0)</f>
        <v>0</v>
      </c>
      <c r="P772" s="238">
        <f>IFERROR((HLOOKUP($AH772,Target_monthwise!$D$4:$O$20,DTR!P$4,FALSE))*1000,0)</f>
        <v>0</v>
      </c>
      <c r="Q772" s="141">
        <f>IFERROR((HLOOKUP($AH772,Target_monthwise!$D$4:$O$20,DTR!Q$4,FALSE))*1000,0)</f>
        <v>0</v>
      </c>
      <c r="R772" s="167">
        <f>IFERROR((HLOOKUP($AH772,Target_monthwise!$D$4:$O$20,DTR!R$4,FALSE))*1000,0)</f>
        <v>0</v>
      </c>
      <c r="S772" s="239">
        <f>IFERROR((HLOOKUP($AH772,Target_monthwise!$D$24:$O$40,DTR!S$4,FALSE)),0)</f>
        <v>0</v>
      </c>
      <c r="T772" s="239">
        <f>IFERROR((HLOOKUP($AH772,Target_monthwise!$D$24:$O$40,DTR!T$4,FALSE)),0)</f>
        <v>0</v>
      </c>
      <c r="U772" s="239">
        <f>IFERROR((HLOOKUP($AH772,Target_monthwise!$D$24:$O$40,DTR!U$4,FALSE)),0)</f>
        <v>0</v>
      </c>
      <c r="V772" s="239">
        <f>IFERROR((HLOOKUP($AH772,Target_monthwise!$D$24:$O$40,DTR!V$4,FALSE)),0)</f>
        <v>0</v>
      </c>
      <c r="W772" s="239">
        <f>IFERROR((HLOOKUP($AH772,Target_monthwise!$D$24:$O$40,DTR!W$4,FALSE)),0)</f>
        <v>0</v>
      </c>
      <c r="X772" s="239">
        <f>IFERROR((HLOOKUP($AH772,Target_monthwise!$D$24:$O$40,DTR!X$4,FALSE)),0)</f>
        <v>0</v>
      </c>
      <c r="Y772" s="239">
        <f>IFERROR((HLOOKUP($AH772,Target_monthwise!$D$24:$O$40,DTR!Y$4,FALSE)),0)</f>
        <v>0</v>
      </c>
      <c r="Z772" s="147">
        <f>IFERROR((HLOOKUP($AH772,Target_monthwise!$D$24:$O$40,DTR!Z$4,FALSE)),0)</f>
        <v>0</v>
      </c>
      <c r="AA772" s="147">
        <f>IFERROR((HLOOKUP($AH772,Target_monthwise!$D$24:$O$40,DTR!AA$4,FALSE)),0)</f>
        <v>0</v>
      </c>
      <c r="AB772" s="147">
        <f>IFERROR((HLOOKUP($AH772,Target_monthwise!$D$24:$O$40,DTR!AB$4,FALSE)),0)</f>
        <v>0</v>
      </c>
      <c r="AC772" s="239">
        <f>IFERROR((HLOOKUP($AH772,Target_monthwise!$D$24:$O$40,DTR!AC$4,FALSE)),0)</f>
        <v>0</v>
      </c>
      <c r="AD772" s="239">
        <f>IFERROR((HLOOKUP($AH772,Target_monthwise!$D$24:$O$40,DTR!AD$4,FALSE)),0)</f>
        <v>0</v>
      </c>
      <c r="AE772" s="239">
        <f>IFERROR((HLOOKUP($AH772,Target_monthwise!$D$24:$O$40,DTR!AE$4,FALSE)),0)</f>
        <v>0</v>
      </c>
      <c r="AF772" s="239">
        <f>IFERROR((HLOOKUP($AH772,Target_monthwise!$D$24:$O$40,DTR!AF$4,FALSE)),0)</f>
        <v>0</v>
      </c>
      <c r="AG772" s="172">
        <f>IFERROR((HLOOKUP($AH772,Target_monthwise!$D$24:$O$40,DTR!AG$4,FALSE)),0)</f>
        <v>0</v>
      </c>
      <c r="AH772" s="253">
        <f t="shared" si="14"/>
        <v>202405</v>
      </c>
    </row>
    <row r="773" spans="3:34" ht="15.75" hidden="1">
      <c r="C773" s="235">
        <v>45416</v>
      </c>
      <c r="D773" s="141">
        <f>IFERROR((HLOOKUP($AH773,Target_monthwise!$D$4:$O$20,DTR!D$4,FALSE))*1000,0)</f>
        <v>0</v>
      </c>
      <c r="E773" s="141">
        <f>IFERROR((HLOOKUP($AH773,Target_monthwise!$D$4:$O$20,DTR!E$4,FALSE))*1000,0)</f>
        <v>0</v>
      </c>
      <c r="F773" s="141">
        <f>IFERROR((HLOOKUP($AH773,Target_monthwise!$D$4:$O$20,DTR!F$4,FALSE))*1000,0)</f>
        <v>0</v>
      </c>
      <c r="G773" s="141">
        <f>IFERROR((HLOOKUP($AH773,Target_monthwise!$D$4:$O$20,DTR!G$4,FALSE))*1000,0)</f>
        <v>0</v>
      </c>
      <c r="H773" s="141">
        <f>IFERROR((HLOOKUP($AH773,Target_monthwise!$D$4:$O$20,DTR!H$4,FALSE))*1000,0)</f>
        <v>0</v>
      </c>
      <c r="I773" s="141">
        <f>IFERROR((HLOOKUP($AH773,Target_monthwise!$D$4:$O$20,DTR!I$4,FALSE))*1000,0)</f>
        <v>0</v>
      </c>
      <c r="J773" s="141">
        <f>IFERROR((HLOOKUP($AH773,Target_monthwise!$D$4:$O$20,DTR!J$4,FALSE))*1000,0)</f>
        <v>0</v>
      </c>
      <c r="K773" s="141">
        <f>IFERROR((HLOOKUP($AH773,Target_monthwise!$D$4:$O$20,DTR!K$4,FALSE))*1000,0)</f>
        <v>0</v>
      </c>
      <c r="L773" s="141">
        <f>IFERROR((HLOOKUP($AH773,Target_monthwise!$D$4:$O$20,DTR!L$4,FALSE))*1000,0)</f>
        <v>0</v>
      </c>
      <c r="M773" s="141">
        <f>IFERROR((HLOOKUP($AH773,Target_monthwise!$D$4:$O$20,DTR!M$4,FALSE))*1000,0)</f>
        <v>0</v>
      </c>
      <c r="N773" s="141">
        <f>IFERROR((HLOOKUP($AH773,Target_monthwise!$D$4:$O$20,DTR!N$4,FALSE))*1000,0)</f>
        <v>0</v>
      </c>
      <c r="O773" s="141">
        <f>IFERROR((HLOOKUP($AH773,Target_monthwise!$D$4:$O$20,DTR!O$4,FALSE))*1000,0)</f>
        <v>0</v>
      </c>
      <c r="P773" s="141">
        <f>IFERROR((HLOOKUP($AH773,Target_monthwise!$D$4:$O$20,DTR!P$4,FALSE))*1000,0)</f>
        <v>0</v>
      </c>
      <c r="Q773" s="141">
        <f>IFERROR((HLOOKUP($AH773,Target_monthwise!$D$4:$O$20,DTR!Q$4,FALSE))*1000,0)</f>
        <v>0</v>
      </c>
      <c r="R773" s="167">
        <f>IFERROR((HLOOKUP($AH773,Target_monthwise!$D$4:$O$20,DTR!R$4,FALSE))*1000,0)</f>
        <v>0</v>
      </c>
      <c r="S773" s="147">
        <f>IFERROR((HLOOKUP($AH773,Target_monthwise!$D$24:$O$40,DTR!S$4,FALSE)),0)</f>
        <v>0</v>
      </c>
      <c r="T773" s="147">
        <f>IFERROR((HLOOKUP($AH773,Target_monthwise!$D$24:$O$40,DTR!T$4,FALSE)),0)</f>
        <v>0</v>
      </c>
      <c r="U773" s="147">
        <f>IFERROR((HLOOKUP($AH773,Target_monthwise!$D$24:$O$40,DTR!U$4,FALSE)),0)</f>
        <v>0</v>
      </c>
      <c r="V773" s="147">
        <f>IFERROR((HLOOKUP($AH773,Target_monthwise!$D$24:$O$40,DTR!V$4,FALSE)),0)</f>
        <v>0</v>
      </c>
      <c r="W773" s="147">
        <f>IFERROR((HLOOKUP($AH773,Target_monthwise!$D$24:$O$40,DTR!W$4,FALSE)),0)</f>
        <v>0</v>
      </c>
      <c r="X773" s="147">
        <f>IFERROR((HLOOKUP($AH773,Target_monthwise!$D$24:$O$40,DTR!X$4,FALSE)),0)</f>
        <v>0</v>
      </c>
      <c r="Y773" s="147">
        <f>IFERROR((HLOOKUP($AH773,Target_monthwise!$D$24:$O$40,DTR!Y$4,FALSE)),0)</f>
        <v>0</v>
      </c>
      <c r="Z773" s="147">
        <f>IFERROR((HLOOKUP($AH773,Target_monthwise!$D$24:$O$40,DTR!Z$4,FALSE)),0)</f>
        <v>0</v>
      </c>
      <c r="AA773" s="147">
        <f>IFERROR((HLOOKUP($AH773,Target_monthwise!$D$24:$O$40,DTR!AA$4,FALSE)),0)</f>
        <v>0</v>
      </c>
      <c r="AB773" s="147">
        <f>IFERROR((HLOOKUP($AH773,Target_monthwise!$D$24:$O$40,DTR!AB$4,FALSE)),0)</f>
        <v>0</v>
      </c>
      <c r="AC773" s="147">
        <f>IFERROR((HLOOKUP($AH773,Target_monthwise!$D$24:$O$40,DTR!AC$4,FALSE)),0)</f>
        <v>0</v>
      </c>
      <c r="AD773" s="147">
        <f>IFERROR((HLOOKUP($AH773,Target_monthwise!$D$24:$O$40,DTR!AD$4,FALSE)),0)</f>
        <v>0</v>
      </c>
      <c r="AE773" s="147">
        <f>IFERROR((HLOOKUP($AH773,Target_monthwise!$D$24:$O$40,DTR!AE$4,FALSE)),0)</f>
        <v>0</v>
      </c>
      <c r="AF773" s="147">
        <f>IFERROR((HLOOKUP($AH773,Target_monthwise!$D$24:$O$40,DTR!AF$4,FALSE)),0)</f>
        <v>0</v>
      </c>
      <c r="AG773" s="172">
        <f>IFERROR((HLOOKUP($AH773,Target_monthwise!$D$24:$O$40,DTR!AG$4,FALSE)),0)</f>
        <v>0</v>
      </c>
      <c r="AH773" s="253">
        <f t="shared" si="14"/>
        <v>202405</v>
      </c>
    </row>
    <row r="774" spans="3:34" ht="15.75" hidden="1">
      <c r="C774" s="237">
        <v>45417</v>
      </c>
      <c r="D774" s="238">
        <f>IFERROR((HLOOKUP($AH774,Target_monthwise!$D$4:$O$20,DTR!D$4,FALSE))*1000,0)</f>
        <v>0</v>
      </c>
      <c r="E774" s="238">
        <f>IFERROR((HLOOKUP($AH774,Target_monthwise!$D$4:$O$20,DTR!E$4,FALSE))*1000,0)</f>
        <v>0</v>
      </c>
      <c r="F774" s="238">
        <f>IFERROR((HLOOKUP($AH774,Target_monthwise!$D$4:$O$20,DTR!F$4,FALSE))*1000,0)</f>
        <v>0</v>
      </c>
      <c r="G774" s="238">
        <f>IFERROR((HLOOKUP($AH774,Target_monthwise!$D$4:$O$20,DTR!G$4,FALSE))*1000,0)</f>
        <v>0</v>
      </c>
      <c r="H774" s="238">
        <f>IFERROR((HLOOKUP($AH774,Target_monthwise!$D$4:$O$20,DTR!H$4,FALSE))*1000,0)</f>
        <v>0</v>
      </c>
      <c r="I774" s="238">
        <f>IFERROR((HLOOKUP($AH774,Target_monthwise!$D$4:$O$20,DTR!I$4,FALSE))*1000,0)</f>
        <v>0</v>
      </c>
      <c r="J774" s="238">
        <f>IFERROR((HLOOKUP($AH774,Target_monthwise!$D$4:$O$20,DTR!J$4,FALSE))*1000,0)</f>
        <v>0</v>
      </c>
      <c r="K774" s="238">
        <f>IFERROR((HLOOKUP($AH774,Target_monthwise!$D$4:$O$20,DTR!K$4,FALSE))*1000,0)</f>
        <v>0</v>
      </c>
      <c r="L774" s="238">
        <f>IFERROR((HLOOKUP($AH774,Target_monthwise!$D$4:$O$20,DTR!L$4,FALSE))*1000,0)</f>
        <v>0</v>
      </c>
      <c r="M774" s="238">
        <f>IFERROR((HLOOKUP($AH774,Target_monthwise!$D$4:$O$20,DTR!M$4,FALSE))*1000,0)</f>
        <v>0</v>
      </c>
      <c r="N774" s="238">
        <f>IFERROR((HLOOKUP($AH774,Target_monthwise!$D$4:$O$20,DTR!N$4,FALSE))*1000,0)</f>
        <v>0</v>
      </c>
      <c r="O774" s="238">
        <f>IFERROR((HLOOKUP($AH774,Target_monthwise!$D$4:$O$20,DTR!O$4,FALSE))*1000,0)</f>
        <v>0</v>
      </c>
      <c r="P774" s="238">
        <f>IFERROR((HLOOKUP($AH774,Target_monthwise!$D$4:$O$20,DTR!P$4,FALSE))*1000,0)</f>
        <v>0</v>
      </c>
      <c r="Q774" s="141">
        <f>IFERROR((HLOOKUP($AH774,Target_monthwise!$D$4:$O$20,DTR!Q$4,FALSE))*1000,0)</f>
        <v>0</v>
      </c>
      <c r="R774" s="167">
        <f>IFERROR((HLOOKUP($AH774,Target_monthwise!$D$4:$O$20,DTR!R$4,FALSE))*1000,0)</f>
        <v>0</v>
      </c>
      <c r="S774" s="239">
        <f>IFERROR((HLOOKUP($AH774,Target_monthwise!$D$24:$O$40,DTR!S$4,FALSE)),0)</f>
        <v>0</v>
      </c>
      <c r="T774" s="239">
        <f>IFERROR((HLOOKUP($AH774,Target_monthwise!$D$24:$O$40,DTR!T$4,FALSE)),0)</f>
        <v>0</v>
      </c>
      <c r="U774" s="239">
        <f>IFERROR((HLOOKUP($AH774,Target_monthwise!$D$24:$O$40,DTR!U$4,FALSE)),0)</f>
        <v>0</v>
      </c>
      <c r="V774" s="239">
        <f>IFERROR((HLOOKUP($AH774,Target_monthwise!$D$24:$O$40,DTR!V$4,FALSE)),0)</f>
        <v>0</v>
      </c>
      <c r="W774" s="239">
        <f>IFERROR((HLOOKUP($AH774,Target_monthwise!$D$24:$O$40,DTR!W$4,FALSE)),0)</f>
        <v>0</v>
      </c>
      <c r="X774" s="239">
        <f>IFERROR((HLOOKUP($AH774,Target_monthwise!$D$24:$O$40,DTR!X$4,FALSE)),0)</f>
        <v>0</v>
      </c>
      <c r="Y774" s="239">
        <f>IFERROR((HLOOKUP($AH774,Target_monthwise!$D$24:$O$40,DTR!Y$4,FALSE)),0)</f>
        <v>0</v>
      </c>
      <c r="Z774" s="147">
        <f>IFERROR((HLOOKUP($AH774,Target_monthwise!$D$24:$O$40,DTR!Z$4,FALSE)),0)</f>
        <v>0</v>
      </c>
      <c r="AA774" s="147">
        <f>IFERROR((HLOOKUP($AH774,Target_monthwise!$D$24:$O$40,DTR!AA$4,FALSE)),0)</f>
        <v>0</v>
      </c>
      <c r="AB774" s="147">
        <f>IFERROR((HLOOKUP($AH774,Target_monthwise!$D$24:$O$40,DTR!AB$4,FALSE)),0)</f>
        <v>0</v>
      </c>
      <c r="AC774" s="239">
        <f>IFERROR((HLOOKUP($AH774,Target_monthwise!$D$24:$O$40,DTR!AC$4,FALSE)),0)</f>
        <v>0</v>
      </c>
      <c r="AD774" s="239">
        <f>IFERROR((HLOOKUP($AH774,Target_monthwise!$D$24:$O$40,DTR!AD$4,FALSE)),0)</f>
        <v>0</v>
      </c>
      <c r="AE774" s="239">
        <f>IFERROR((HLOOKUP($AH774,Target_monthwise!$D$24:$O$40,DTR!AE$4,FALSE)),0)</f>
        <v>0</v>
      </c>
      <c r="AF774" s="239">
        <f>IFERROR((HLOOKUP($AH774,Target_monthwise!$D$24:$O$40,DTR!AF$4,FALSE)),0)</f>
        <v>0</v>
      </c>
      <c r="AG774" s="172">
        <f>IFERROR((HLOOKUP($AH774,Target_monthwise!$D$24:$O$40,DTR!AG$4,FALSE)),0)</f>
        <v>0</v>
      </c>
      <c r="AH774" s="253">
        <f t="shared" si="14"/>
        <v>202405</v>
      </c>
    </row>
    <row r="775" spans="3:34" ht="15.75" hidden="1">
      <c r="C775" s="235">
        <v>45418</v>
      </c>
      <c r="D775" s="141">
        <f>IFERROR((HLOOKUP($AH775,Target_monthwise!$D$4:$O$20,DTR!D$4,FALSE))*1000,0)</f>
        <v>0</v>
      </c>
      <c r="E775" s="141">
        <f>IFERROR((HLOOKUP($AH775,Target_monthwise!$D$4:$O$20,DTR!E$4,FALSE))*1000,0)</f>
        <v>0</v>
      </c>
      <c r="F775" s="141">
        <f>IFERROR((HLOOKUP($AH775,Target_monthwise!$D$4:$O$20,DTR!F$4,FALSE))*1000,0)</f>
        <v>0</v>
      </c>
      <c r="G775" s="141">
        <f>IFERROR((HLOOKUP($AH775,Target_monthwise!$D$4:$O$20,DTR!G$4,FALSE))*1000,0)</f>
        <v>0</v>
      </c>
      <c r="H775" s="141">
        <f>IFERROR((HLOOKUP($AH775,Target_monthwise!$D$4:$O$20,DTR!H$4,FALSE))*1000,0)</f>
        <v>0</v>
      </c>
      <c r="I775" s="141">
        <f>IFERROR((HLOOKUP($AH775,Target_monthwise!$D$4:$O$20,DTR!I$4,FALSE))*1000,0)</f>
        <v>0</v>
      </c>
      <c r="J775" s="141">
        <f>IFERROR((HLOOKUP($AH775,Target_monthwise!$D$4:$O$20,DTR!J$4,FALSE))*1000,0)</f>
        <v>0</v>
      </c>
      <c r="K775" s="141">
        <f>IFERROR((HLOOKUP($AH775,Target_monthwise!$D$4:$O$20,DTR!K$4,FALSE))*1000,0)</f>
        <v>0</v>
      </c>
      <c r="L775" s="141">
        <f>IFERROR((HLOOKUP($AH775,Target_monthwise!$D$4:$O$20,DTR!L$4,FALSE))*1000,0)</f>
        <v>0</v>
      </c>
      <c r="M775" s="141">
        <f>IFERROR((HLOOKUP($AH775,Target_monthwise!$D$4:$O$20,DTR!M$4,FALSE))*1000,0)</f>
        <v>0</v>
      </c>
      <c r="N775" s="141">
        <f>IFERROR((HLOOKUP($AH775,Target_monthwise!$D$4:$O$20,DTR!N$4,FALSE))*1000,0)</f>
        <v>0</v>
      </c>
      <c r="O775" s="141">
        <f>IFERROR((HLOOKUP($AH775,Target_monthwise!$D$4:$O$20,DTR!O$4,FALSE))*1000,0)</f>
        <v>0</v>
      </c>
      <c r="P775" s="141">
        <f>IFERROR((HLOOKUP($AH775,Target_monthwise!$D$4:$O$20,DTR!P$4,FALSE))*1000,0)</f>
        <v>0</v>
      </c>
      <c r="Q775" s="141">
        <f>IFERROR((HLOOKUP($AH775,Target_monthwise!$D$4:$O$20,DTR!Q$4,FALSE))*1000,0)</f>
        <v>0</v>
      </c>
      <c r="R775" s="167">
        <f>IFERROR((HLOOKUP($AH775,Target_monthwise!$D$4:$O$20,DTR!R$4,FALSE))*1000,0)</f>
        <v>0</v>
      </c>
      <c r="S775" s="147">
        <f>IFERROR((HLOOKUP($AH775,Target_monthwise!$D$24:$O$40,DTR!S$4,FALSE)),0)</f>
        <v>0</v>
      </c>
      <c r="T775" s="147">
        <f>IFERROR((HLOOKUP($AH775,Target_monthwise!$D$24:$O$40,DTR!T$4,FALSE)),0)</f>
        <v>0</v>
      </c>
      <c r="U775" s="147">
        <f>IFERROR((HLOOKUP($AH775,Target_monthwise!$D$24:$O$40,DTR!U$4,FALSE)),0)</f>
        <v>0</v>
      </c>
      <c r="V775" s="147">
        <f>IFERROR((HLOOKUP($AH775,Target_monthwise!$D$24:$O$40,DTR!V$4,FALSE)),0)</f>
        <v>0</v>
      </c>
      <c r="W775" s="147">
        <f>IFERROR((HLOOKUP($AH775,Target_monthwise!$D$24:$O$40,DTR!W$4,FALSE)),0)</f>
        <v>0</v>
      </c>
      <c r="X775" s="147">
        <f>IFERROR((HLOOKUP($AH775,Target_monthwise!$D$24:$O$40,DTR!X$4,FALSE)),0)</f>
        <v>0</v>
      </c>
      <c r="Y775" s="147">
        <f>IFERROR((HLOOKUP($AH775,Target_monthwise!$D$24:$O$40,DTR!Y$4,FALSE)),0)</f>
        <v>0</v>
      </c>
      <c r="Z775" s="147">
        <f>IFERROR((HLOOKUP($AH775,Target_monthwise!$D$24:$O$40,DTR!Z$4,FALSE)),0)</f>
        <v>0</v>
      </c>
      <c r="AA775" s="147">
        <f>IFERROR((HLOOKUP($AH775,Target_monthwise!$D$24:$O$40,DTR!AA$4,FALSE)),0)</f>
        <v>0</v>
      </c>
      <c r="AB775" s="147">
        <f>IFERROR((HLOOKUP($AH775,Target_monthwise!$D$24:$O$40,DTR!AB$4,FALSE)),0)</f>
        <v>0</v>
      </c>
      <c r="AC775" s="147">
        <f>IFERROR((HLOOKUP($AH775,Target_monthwise!$D$24:$O$40,DTR!AC$4,FALSE)),0)</f>
        <v>0</v>
      </c>
      <c r="AD775" s="147">
        <f>IFERROR((HLOOKUP($AH775,Target_monthwise!$D$24:$O$40,DTR!AD$4,FALSE)),0)</f>
        <v>0</v>
      </c>
      <c r="AE775" s="147">
        <f>IFERROR((HLOOKUP($AH775,Target_monthwise!$D$24:$O$40,DTR!AE$4,FALSE)),0)</f>
        <v>0</v>
      </c>
      <c r="AF775" s="147">
        <f>IFERROR((HLOOKUP($AH775,Target_monthwise!$D$24:$O$40,DTR!AF$4,FALSE)),0)</f>
        <v>0</v>
      </c>
      <c r="AG775" s="172">
        <f>IFERROR((HLOOKUP($AH775,Target_monthwise!$D$24:$O$40,DTR!AG$4,FALSE)),0)</f>
        <v>0</v>
      </c>
      <c r="AH775" s="253">
        <f t="shared" si="14"/>
        <v>202405</v>
      </c>
    </row>
    <row r="776" spans="3:34" ht="15.75" hidden="1">
      <c r="C776" s="237">
        <v>45419</v>
      </c>
      <c r="D776" s="238">
        <f>IFERROR((HLOOKUP($AH776,Target_monthwise!$D$4:$O$20,DTR!D$4,FALSE))*1000,0)</f>
        <v>0</v>
      </c>
      <c r="E776" s="238">
        <f>IFERROR((HLOOKUP($AH776,Target_monthwise!$D$4:$O$20,DTR!E$4,FALSE))*1000,0)</f>
        <v>0</v>
      </c>
      <c r="F776" s="238">
        <f>IFERROR((HLOOKUP($AH776,Target_monthwise!$D$4:$O$20,DTR!F$4,FALSE))*1000,0)</f>
        <v>0</v>
      </c>
      <c r="G776" s="238">
        <f>IFERROR((HLOOKUP($AH776,Target_monthwise!$D$4:$O$20,DTR!G$4,FALSE))*1000,0)</f>
        <v>0</v>
      </c>
      <c r="H776" s="238">
        <f>IFERROR((HLOOKUP($AH776,Target_monthwise!$D$4:$O$20,DTR!H$4,FALSE))*1000,0)</f>
        <v>0</v>
      </c>
      <c r="I776" s="238">
        <f>IFERROR((HLOOKUP($AH776,Target_monthwise!$D$4:$O$20,DTR!I$4,FALSE))*1000,0)</f>
        <v>0</v>
      </c>
      <c r="J776" s="238">
        <f>IFERROR((HLOOKUP($AH776,Target_monthwise!$D$4:$O$20,DTR!J$4,FALSE))*1000,0)</f>
        <v>0</v>
      </c>
      <c r="K776" s="238">
        <f>IFERROR((HLOOKUP($AH776,Target_monthwise!$D$4:$O$20,DTR!K$4,FALSE))*1000,0)</f>
        <v>0</v>
      </c>
      <c r="L776" s="238">
        <f>IFERROR((HLOOKUP($AH776,Target_monthwise!$D$4:$O$20,DTR!L$4,FALSE))*1000,0)</f>
        <v>0</v>
      </c>
      <c r="M776" s="238">
        <f>IFERROR((HLOOKUP($AH776,Target_monthwise!$D$4:$O$20,DTR!M$4,FALSE))*1000,0)</f>
        <v>0</v>
      </c>
      <c r="N776" s="238">
        <f>IFERROR((HLOOKUP($AH776,Target_monthwise!$D$4:$O$20,DTR!N$4,FALSE))*1000,0)</f>
        <v>0</v>
      </c>
      <c r="O776" s="238">
        <f>IFERROR((HLOOKUP($AH776,Target_monthwise!$D$4:$O$20,DTR!O$4,FALSE))*1000,0)</f>
        <v>0</v>
      </c>
      <c r="P776" s="238">
        <f>IFERROR((HLOOKUP($AH776,Target_monthwise!$D$4:$O$20,DTR!P$4,FALSE))*1000,0)</f>
        <v>0</v>
      </c>
      <c r="Q776" s="141">
        <f>IFERROR((HLOOKUP($AH776,Target_monthwise!$D$4:$O$20,DTR!Q$4,FALSE))*1000,0)</f>
        <v>0</v>
      </c>
      <c r="R776" s="167">
        <f>IFERROR((HLOOKUP($AH776,Target_monthwise!$D$4:$O$20,DTR!R$4,FALSE))*1000,0)</f>
        <v>0</v>
      </c>
      <c r="S776" s="239">
        <f>IFERROR((HLOOKUP($AH776,Target_monthwise!$D$24:$O$40,DTR!S$4,FALSE)),0)</f>
        <v>0</v>
      </c>
      <c r="T776" s="239">
        <f>IFERROR((HLOOKUP($AH776,Target_monthwise!$D$24:$O$40,DTR!T$4,FALSE)),0)</f>
        <v>0</v>
      </c>
      <c r="U776" s="239">
        <f>IFERROR((HLOOKUP($AH776,Target_monthwise!$D$24:$O$40,DTR!U$4,FALSE)),0)</f>
        <v>0</v>
      </c>
      <c r="V776" s="239">
        <f>IFERROR((HLOOKUP($AH776,Target_monthwise!$D$24:$O$40,DTR!V$4,FALSE)),0)</f>
        <v>0</v>
      </c>
      <c r="W776" s="239">
        <f>IFERROR((HLOOKUP($AH776,Target_monthwise!$D$24:$O$40,DTR!W$4,FALSE)),0)</f>
        <v>0</v>
      </c>
      <c r="X776" s="239">
        <f>IFERROR((HLOOKUP($AH776,Target_monthwise!$D$24:$O$40,DTR!X$4,FALSE)),0)</f>
        <v>0</v>
      </c>
      <c r="Y776" s="239">
        <f>IFERROR((HLOOKUP($AH776,Target_monthwise!$D$24:$O$40,DTR!Y$4,FALSE)),0)</f>
        <v>0</v>
      </c>
      <c r="Z776" s="147">
        <f>IFERROR((HLOOKUP($AH776,Target_monthwise!$D$24:$O$40,DTR!Z$4,FALSE)),0)</f>
        <v>0</v>
      </c>
      <c r="AA776" s="147">
        <f>IFERROR((HLOOKUP($AH776,Target_monthwise!$D$24:$O$40,DTR!AA$4,FALSE)),0)</f>
        <v>0</v>
      </c>
      <c r="AB776" s="147">
        <f>IFERROR((HLOOKUP($AH776,Target_monthwise!$D$24:$O$40,DTR!AB$4,FALSE)),0)</f>
        <v>0</v>
      </c>
      <c r="AC776" s="239">
        <f>IFERROR((HLOOKUP($AH776,Target_monthwise!$D$24:$O$40,DTR!AC$4,FALSE)),0)</f>
        <v>0</v>
      </c>
      <c r="AD776" s="239">
        <f>IFERROR((HLOOKUP($AH776,Target_monthwise!$D$24:$O$40,DTR!AD$4,FALSE)),0)</f>
        <v>0</v>
      </c>
      <c r="AE776" s="239">
        <f>IFERROR((HLOOKUP($AH776,Target_monthwise!$D$24:$O$40,DTR!AE$4,FALSE)),0)</f>
        <v>0</v>
      </c>
      <c r="AF776" s="239">
        <f>IFERROR((HLOOKUP($AH776,Target_monthwise!$D$24:$O$40,DTR!AF$4,FALSE)),0)</f>
        <v>0</v>
      </c>
      <c r="AG776" s="172">
        <f>IFERROR((HLOOKUP($AH776,Target_monthwise!$D$24:$O$40,DTR!AG$4,FALSE)),0)</f>
        <v>0</v>
      </c>
      <c r="AH776" s="253">
        <f t="shared" si="14"/>
        <v>202405</v>
      </c>
    </row>
    <row r="777" spans="3:34" ht="15.75" hidden="1">
      <c r="C777" s="235">
        <v>45420</v>
      </c>
      <c r="D777" s="141">
        <f>IFERROR((HLOOKUP($AH777,Target_monthwise!$D$4:$O$20,DTR!D$4,FALSE))*1000,0)</f>
        <v>0</v>
      </c>
      <c r="E777" s="141">
        <f>IFERROR((HLOOKUP($AH777,Target_monthwise!$D$4:$O$20,DTR!E$4,FALSE))*1000,0)</f>
        <v>0</v>
      </c>
      <c r="F777" s="141">
        <f>IFERROR((HLOOKUP($AH777,Target_monthwise!$D$4:$O$20,DTR!F$4,FALSE))*1000,0)</f>
        <v>0</v>
      </c>
      <c r="G777" s="141">
        <f>IFERROR((HLOOKUP($AH777,Target_monthwise!$D$4:$O$20,DTR!G$4,FALSE))*1000,0)</f>
        <v>0</v>
      </c>
      <c r="H777" s="141">
        <f>IFERROR((HLOOKUP($AH777,Target_monthwise!$D$4:$O$20,DTR!H$4,FALSE))*1000,0)</f>
        <v>0</v>
      </c>
      <c r="I777" s="141">
        <f>IFERROR((HLOOKUP($AH777,Target_monthwise!$D$4:$O$20,DTR!I$4,FALSE))*1000,0)</f>
        <v>0</v>
      </c>
      <c r="J777" s="141">
        <f>IFERROR((HLOOKUP($AH777,Target_monthwise!$D$4:$O$20,DTR!J$4,FALSE))*1000,0)</f>
        <v>0</v>
      </c>
      <c r="K777" s="141">
        <f>IFERROR((HLOOKUP($AH777,Target_monthwise!$D$4:$O$20,DTR!K$4,FALSE))*1000,0)</f>
        <v>0</v>
      </c>
      <c r="L777" s="141">
        <f>IFERROR((HLOOKUP($AH777,Target_monthwise!$D$4:$O$20,DTR!L$4,FALSE))*1000,0)</f>
        <v>0</v>
      </c>
      <c r="M777" s="141">
        <f>IFERROR((HLOOKUP($AH777,Target_monthwise!$D$4:$O$20,DTR!M$4,FALSE))*1000,0)</f>
        <v>0</v>
      </c>
      <c r="N777" s="141">
        <f>IFERROR((HLOOKUP($AH777,Target_monthwise!$D$4:$O$20,DTR!N$4,FALSE))*1000,0)</f>
        <v>0</v>
      </c>
      <c r="O777" s="141">
        <f>IFERROR((HLOOKUP($AH777,Target_monthwise!$D$4:$O$20,DTR!O$4,FALSE))*1000,0)</f>
        <v>0</v>
      </c>
      <c r="P777" s="141">
        <f>IFERROR((HLOOKUP($AH777,Target_monthwise!$D$4:$O$20,DTR!P$4,FALSE))*1000,0)</f>
        <v>0</v>
      </c>
      <c r="Q777" s="141">
        <f>IFERROR((HLOOKUP($AH777,Target_monthwise!$D$4:$O$20,DTR!Q$4,FALSE))*1000,0)</f>
        <v>0</v>
      </c>
      <c r="R777" s="167">
        <f>IFERROR((HLOOKUP($AH777,Target_monthwise!$D$4:$O$20,DTR!R$4,FALSE))*1000,0)</f>
        <v>0</v>
      </c>
      <c r="S777" s="147">
        <f>IFERROR((HLOOKUP($AH777,Target_monthwise!$D$24:$O$40,DTR!S$4,FALSE)),0)</f>
        <v>0</v>
      </c>
      <c r="T777" s="147">
        <f>IFERROR((HLOOKUP($AH777,Target_monthwise!$D$24:$O$40,DTR!T$4,FALSE)),0)</f>
        <v>0</v>
      </c>
      <c r="U777" s="147">
        <f>IFERROR((HLOOKUP($AH777,Target_monthwise!$D$24:$O$40,DTR!U$4,FALSE)),0)</f>
        <v>0</v>
      </c>
      <c r="V777" s="147">
        <f>IFERROR((HLOOKUP($AH777,Target_monthwise!$D$24:$O$40,DTR!V$4,FALSE)),0)</f>
        <v>0</v>
      </c>
      <c r="W777" s="147">
        <f>IFERROR((HLOOKUP($AH777,Target_monthwise!$D$24:$O$40,DTR!W$4,FALSE)),0)</f>
        <v>0</v>
      </c>
      <c r="X777" s="147">
        <f>IFERROR((HLOOKUP($AH777,Target_monthwise!$D$24:$O$40,DTR!X$4,FALSE)),0)</f>
        <v>0</v>
      </c>
      <c r="Y777" s="147">
        <f>IFERROR((HLOOKUP($AH777,Target_monthwise!$D$24:$O$40,DTR!Y$4,FALSE)),0)</f>
        <v>0</v>
      </c>
      <c r="Z777" s="147">
        <f>IFERROR((HLOOKUP($AH777,Target_monthwise!$D$24:$O$40,DTR!Z$4,FALSE)),0)</f>
        <v>0</v>
      </c>
      <c r="AA777" s="147">
        <f>IFERROR((HLOOKUP($AH777,Target_monthwise!$D$24:$O$40,DTR!AA$4,FALSE)),0)</f>
        <v>0</v>
      </c>
      <c r="AB777" s="147">
        <f>IFERROR((HLOOKUP($AH777,Target_monthwise!$D$24:$O$40,DTR!AB$4,FALSE)),0)</f>
        <v>0</v>
      </c>
      <c r="AC777" s="147">
        <f>IFERROR((HLOOKUP($AH777,Target_monthwise!$D$24:$O$40,DTR!AC$4,FALSE)),0)</f>
        <v>0</v>
      </c>
      <c r="AD777" s="147">
        <f>IFERROR((HLOOKUP($AH777,Target_monthwise!$D$24:$O$40,DTR!AD$4,FALSE)),0)</f>
        <v>0</v>
      </c>
      <c r="AE777" s="147">
        <f>IFERROR((HLOOKUP($AH777,Target_monthwise!$D$24:$O$40,DTR!AE$4,FALSE)),0)</f>
        <v>0</v>
      </c>
      <c r="AF777" s="147">
        <f>IFERROR((HLOOKUP($AH777,Target_monthwise!$D$24:$O$40,DTR!AF$4,FALSE)),0)</f>
        <v>0</v>
      </c>
      <c r="AG777" s="172">
        <f>IFERROR((HLOOKUP($AH777,Target_monthwise!$D$24:$O$40,DTR!AG$4,FALSE)),0)</f>
        <v>0</v>
      </c>
      <c r="AH777" s="253">
        <f t="shared" si="14"/>
        <v>202405</v>
      </c>
    </row>
    <row r="778" spans="3:34" ht="15.75" hidden="1">
      <c r="C778" s="237">
        <v>45421</v>
      </c>
      <c r="D778" s="238">
        <f>IFERROR((HLOOKUP($AH778,Target_monthwise!$D$4:$O$20,DTR!D$4,FALSE))*1000,0)</f>
        <v>0</v>
      </c>
      <c r="E778" s="238">
        <f>IFERROR((HLOOKUP($AH778,Target_monthwise!$D$4:$O$20,DTR!E$4,FALSE))*1000,0)</f>
        <v>0</v>
      </c>
      <c r="F778" s="238">
        <f>IFERROR((HLOOKUP($AH778,Target_monthwise!$D$4:$O$20,DTR!F$4,FALSE))*1000,0)</f>
        <v>0</v>
      </c>
      <c r="G778" s="238">
        <f>IFERROR((HLOOKUP($AH778,Target_monthwise!$D$4:$O$20,DTR!G$4,FALSE))*1000,0)</f>
        <v>0</v>
      </c>
      <c r="H778" s="238">
        <f>IFERROR((HLOOKUP($AH778,Target_monthwise!$D$4:$O$20,DTR!H$4,FALSE))*1000,0)</f>
        <v>0</v>
      </c>
      <c r="I778" s="238">
        <f>IFERROR((HLOOKUP($AH778,Target_monthwise!$D$4:$O$20,DTR!I$4,FALSE))*1000,0)</f>
        <v>0</v>
      </c>
      <c r="J778" s="238">
        <f>IFERROR((HLOOKUP($AH778,Target_monthwise!$D$4:$O$20,DTR!J$4,FALSE))*1000,0)</f>
        <v>0</v>
      </c>
      <c r="K778" s="238">
        <f>IFERROR((HLOOKUP($AH778,Target_monthwise!$D$4:$O$20,DTR!K$4,FALSE))*1000,0)</f>
        <v>0</v>
      </c>
      <c r="L778" s="238">
        <f>IFERROR((HLOOKUP($AH778,Target_monthwise!$D$4:$O$20,DTR!L$4,FALSE))*1000,0)</f>
        <v>0</v>
      </c>
      <c r="M778" s="238">
        <f>IFERROR((HLOOKUP($AH778,Target_monthwise!$D$4:$O$20,DTR!M$4,FALSE))*1000,0)</f>
        <v>0</v>
      </c>
      <c r="N778" s="238">
        <f>IFERROR((HLOOKUP($AH778,Target_monthwise!$D$4:$O$20,DTR!N$4,FALSE))*1000,0)</f>
        <v>0</v>
      </c>
      <c r="O778" s="238">
        <f>IFERROR((HLOOKUP($AH778,Target_monthwise!$D$4:$O$20,DTR!O$4,FALSE))*1000,0)</f>
        <v>0</v>
      </c>
      <c r="P778" s="238">
        <f>IFERROR((HLOOKUP($AH778,Target_monthwise!$D$4:$O$20,DTR!P$4,FALSE))*1000,0)</f>
        <v>0</v>
      </c>
      <c r="Q778" s="141">
        <f>IFERROR((HLOOKUP($AH778,Target_monthwise!$D$4:$O$20,DTR!Q$4,FALSE))*1000,0)</f>
        <v>0</v>
      </c>
      <c r="R778" s="167">
        <f>IFERROR((HLOOKUP($AH778,Target_monthwise!$D$4:$O$20,DTR!R$4,FALSE))*1000,0)</f>
        <v>0</v>
      </c>
      <c r="S778" s="239">
        <f>IFERROR((HLOOKUP($AH778,Target_monthwise!$D$24:$O$40,DTR!S$4,FALSE)),0)</f>
        <v>0</v>
      </c>
      <c r="T778" s="239">
        <f>IFERROR((HLOOKUP($AH778,Target_monthwise!$D$24:$O$40,DTR!T$4,FALSE)),0)</f>
        <v>0</v>
      </c>
      <c r="U778" s="239">
        <f>IFERROR((HLOOKUP($AH778,Target_monthwise!$D$24:$O$40,DTR!U$4,FALSE)),0)</f>
        <v>0</v>
      </c>
      <c r="V778" s="239">
        <f>IFERROR((HLOOKUP($AH778,Target_monthwise!$D$24:$O$40,DTR!V$4,FALSE)),0)</f>
        <v>0</v>
      </c>
      <c r="W778" s="239">
        <f>IFERROR((HLOOKUP($AH778,Target_monthwise!$D$24:$O$40,DTR!W$4,FALSE)),0)</f>
        <v>0</v>
      </c>
      <c r="X778" s="239">
        <f>IFERROR((HLOOKUP($AH778,Target_monthwise!$D$24:$O$40,DTR!X$4,FALSE)),0)</f>
        <v>0</v>
      </c>
      <c r="Y778" s="239">
        <f>IFERROR((HLOOKUP($AH778,Target_monthwise!$D$24:$O$40,DTR!Y$4,FALSE)),0)</f>
        <v>0</v>
      </c>
      <c r="Z778" s="147">
        <f>IFERROR((HLOOKUP($AH778,Target_monthwise!$D$24:$O$40,DTR!Z$4,FALSE)),0)</f>
        <v>0</v>
      </c>
      <c r="AA778" s="147">
        <f>IFERROR((HLOOKUP($AH778,Target_monthwise!$D$24:$O$40,DTR!AA$4,FALSE)),0)</f>
        <v>0</v>
      </c>
      <c r="AB778" s="147">
        <f>IFERROR((HLOOKUP($AH778,Target_monthwise!$D$24:$O$40,DTR!AB$4,FALSE)),0)</f>
        <v>0</v>
      </c>
      <c r="AC778" s="239">
        <f>IFERROR((HLOOKUP($AH778,Target_monthwise!$D$24:$O$40,DTR!AC$4,FALSE)),0)</f>
        <v>0</v>
      </c>
      <c r="AD778" s="239">
        <f>IFERROR((HLOOKUP($AH778,Target_monthwise!$D$24:$O$40,DTR!AD$4,FALSE)),0)</f>
        <v>0</v>
      </c>
      <c r="AE778" s="239">
        <f>IFERROR((HLOOKUP($AH778,Target_monthwise!$D$24:$O$40,DTR!AE$4,FALSE)),0)</f>
        <v>0</v>
      </c>
      <c r="AF778" s="239">
        <f>IFERROR((HLOOKUP($AH778,Target_monthwise!$D$24:$O$40,DTR!AF$4,FALSE)),0)</f>
        <v>0</v>
      </c>
      <c r="AG778" s="172">
        <f>IFERROR((HLOOKUP($AH778,Target_monthwise!$D$24:$O$40,DTR!AG$4,FALSE)),0)</f>
        <v>0</v>
      </c>
      <c r="AH778" s="253">
        <f t="shared" si="14"/>
        <v>202405</v>
      </c>
    </row>
    <row r="779" spans="3:34" ht="15.75" hidden="1">
      <c r="C779" s="235">
        <v>45422</v>
      </c>
      <c r="D779" s="141">
        <f>IFERROR((HLOOKUP($AH779,Target_monthwise!$D$4:$O$20,DTR!D$4,FALSE))*1000,0)</f>
        <v>0</v>
      </c>
      <c r="E779" s="141">
        <f>IFERROR((HLOOKUP($AH779,Target_monthwise!$D$4:$O$20,DTR!E$4,FALSE))*1000,0)</f>
        <v>0</v>
      </c>
      <c r="F779" s="141">
        <f>IFERROR((HLOOKUP($AH779,Target_monthwise!$D$4:$O$20,DTR!F$4,FALSE))*1000,0)</f>
        <v>0</v>
      </c>
      <c r="G779" s="141">
        <f>IFERROR((HLOOKUP($AH779,Target_monthwise!$D$4:$O$20,DTR!G$4,FALSE))*1000,0)</f>
        <v>0</v>
      </c>
      <c r="H779" s="141">
        <f>IFERROR((HLOOKUP($AH779,Target_monthwise!$D$4:$O$20,DTR!H$4,FALSE))*1000,0)</f>
        <v>0</v>
      </c>
      <c r="I779" s="141">
        <f>IFERROR((HLOOKUP($AH779,Target_monthwise!$D$4:$O$20,DTR!I$4,FALSE))*1000,0)</f>
        <v>0</v>
      </c>
      <c r="J779" s="141">
        <f>IFERROR((HLOOKUP($AH779,Target_monthwise!$D$4:$O$20,DTR!J$4,FALSE))*1000,0)</f>
        <v>0</v>
      </c>
      <c r="K779" s="141">
        <f>IFERROR((HLOOKUP($AH779,Target_monthwise!$D$4:$O$20,DTR!K$4,FALSE))*1000,0)</f>
        <v>0</v>
      </c>
      <c r="L779" s="141">
        <f>IFERROR((HLOOKUP($AH779,Target_monthwise!$D$4:$O$20,DTR!L$4,FALSE))*1000,0)</f>
        <v>0</v>
      </c>
      <c r="M779" s="141">
        <f>IFERROR((HLOOKUP($AH779,Target_monthwise!$D$4:$O$20,DTR!M$4,FALSE))*1000,0)</f>
        <v>0</v>
      </c>
      <c r="N779" s="141">
        <f>IFERROR((HLOOKUP($AH779,Target_monthwise!$D$4:$O$20,DTR!N$4,FALSE))*1000,0)</f>
        <v>0</v>
      </c>
      <c r="O779" s="141">
        <f>IFERROR((HLOOKUP($AH779,Target_monthwise!$D$4:$O$20,DTR!O$4,FALSE))*1000,0)</f>
        <v>0</v>
      </c>
      <c r="P779" s="141">
        <f>IFERROR((HLOOKUP($AH779,Target_monthwise!$D$4:$O$20,DTR!P$4,FALSE))*1000,0)</f>
        <v>0</v>
      </c>
      <c r="Q779" s="141">
        <f>IFERROR((HLOOKUP($AH779,Target_monthwise!$D$4:$O$20,DTR!Q$4,FALSE))*1000,0)</f>
        <v>0</v>
      </c>
      <c r="R779" s="167">
        <f>IFERROR((HLOOKUP($AH779,Target_monthwise!$D$4:$O$20,DTR!R$4,FALSE))*1000,0)</f>
        <v>0</v>
      </c>
      <c r="S779" s="147">
        <f>IFERROR((HLOOKUP($AH779,Target_monthwise!$D$24:$O$40,DTR!S$4,FALSE)),0)</f>
        <v>0</v>
      </c>
      <c r="T779" s="147">
        <f>IFERROR((HLOOKUP($AH779,Target_monthwise!$D$24:$O$40,DTR!T$4,FALSE)),0)</f>
        <v>0</v>
      </c>
      <c r="U779" s="147">
        <f>IFERROR((HLOOKUP($AH779,Target_monthwise!$D$24:$O$40,DTR!U$4,FALSE)),0)</f>
        <v>0</v>
      </c>
      <c r="V779" s="147">
        <f>IFERROR((HLOOKUP($AH779,Target_monthwise!$D$24:$O$40,DTR!V$4,FALSE)),0)</f>
        <v>0</v>
      </c>
      <c r="W779" s="147">
        <f>IFERROR((HLOOKUP($AH779,Target_monthwise!$D$24:$O$40,DTR!W$4,FALSE)),0)</f>
        <v>0</v>
      </c>
      <c r="X779" s="147">
        <f>IFERROR((HLOOKUP($AH779,Target_monthwise!$D$24:$O$40,DTR!X$4,FALSE)),0)</f>
        <v>0</v>
      </c>
      <c r="Y779" s="147">
        <f>IFERROR((HLOOKUP($AH779,Target_monthwise!$D$24:$O$40,DTR!Y$4,FALSE)),0)</f>
        <v>0</v>
      </c>
      <c r="Z779" s="147">
        <f>IFERROR((HLOOKUP($AH779,Target_monthwise!$D$24:$O$40,DTR!Z$4,FALSE)),0)</f>
        <v>0</v>
      </c>
      <c r="AA779" s="147">
        <f>IFERROR((HLOOKUP($AH779,Target_monthwise!$D$24:$O$40,DTR!AA$4,FALSE)),0)</f>
        <v>0</v>
      </c>
      <c r="AB779" s="147">
        <f>IFERROR((HLOOKUP($AH779,Target_monthwise!$D$24:$O$40,DTR!AB$4,FALSE)),0)</f>
        <v>0</v>
      </c>
      <c r="AC779" s="147">
        <f>IFERROR((HLOOKUP($AH779,Target_monthwise!$D$24:$O$40,DTR!AC$4,FALSE)),0)</f>
        <v>0</v>
      </c>
      <c r="AD779" s="147">
        <f>IFERROR((HLOOKUP($AH779,Target_monthwise!$D$24:$O$40,DTR!AD$4,FALSE)),0)</f>
        <v>0</v>
      </c>
      <c r="AE779" s="147">
        <f>IFERROR((HLOOKUP($AH779,Target_monthwise!$D$24:$O$40,DTR!AE$4,FALSE)),0)</f>
        <v>0</v>
      </c>
      <c r="AF779" s="147">
        <f>IFERROR((HLOOKUP($AH779,Target_monthwise!$D$24:$O$40,DTR!AF$4,FALSE)),0)</f>
        <v>0</v>
      </c>
      <c r="AG779" s="172">
        <f>IFERROR((HLOOKUP($AH779,Target_monthwise!$D$24:$O$40,DTR!AG$4,FALSE)),0)</f>
        <v>0</v>
      </c>
      <c r="AH779" s="253">
        <f t="shared" si="14"/>
        <v>202405</v>
      </c>
    </row>
    <row r="780" spans="3:34" ht="15.75" hidden="1">
      <c r="C780" s="237">
        <v>45423</v>
      </c>
      <c r="D780" s="238">
        <f>IFERROR((HLOOKUP($AH780,Target_monthwise!$D$4:$O$20,DTR!D$4,FALSE))*1000,0)</f>
        <v>0</v>
      </c>
      <c r="E780" s="238">
        <f>IFERROR((HLOOKUP($AH780,Target_monthwise!$D$4:$O$20,DTR!E$4,FALSE))*1000,0)</f>
        <v>0</v>
      </c>
      <c r="F780" s="238">
        <f>IFERROR((HLOOKUP($AH780,Target_monthwise!$D$4:$O$20,DTR!F$4,FALSE))*1000,0)</f>
        <v>0</v>
      </c>
      <c r="G780" s="238">
        <f>IFERROR((HLOOKUP($AH780,Target_monthwise!$D$4:$O$20,DTR!G$4,FALSE))*1000,0)</f>
        <v>0</v>
      </c>
      <c r="H780" s="238">
        <f>IFERROR((HLOOKUP($AH780,Target_monthwise!$D$4:$O$20,DTR!H$4,FALSE))*1000,0)</f>
        <v>0</v>
      </c>
      <c r="I780" s="238">
        <f>IFERROR((HLOOKUP($AH780,Target_monthwise!$D$4:$O$20,DTR!I$4,FALSE))*1000,0)</f>
        <v>0</v>
      </c>
      <c r="J780" s="238">
        <f>IFERROR((HLOOKUP($AH780,Target_monthwise!$D$4:$O$20,DTR!J$4,FALSE))*1000,0)</f>
        <v>0</v>
      </c>
      <c r="K780" s="238">
        <f>IFERROR((HLOOKUP($AH780,Target_monthwise!$D$4:$O$20,DTR!K$4,FALSE))*1000,0)</f>
        <v>0</v>
      </c>
      <c r="L780" s="238">
        <f>IFERROR((HLOOKUP($AH780,Target_monthwise!$D$4:$O$20,DTR!L$4,FALSE))*1000,0)</f>
        <v>0</v>
      </c>
      <c r="M780" s="238">
        <f>IFERROR((HLOOKUP($AH780,Target_monthwise!$D$4:$O$20,DTR!M$4,FALSE))*1000,0)</f>
        <v>0</v>
      </c>
      <c r="N780" s="238">
        <f>IFERROR((HLOOKUP($AH780,Target_monthwise!$D$4:$O$20,DTR!N$4,FALSE))*1000,0)</f>
        <v>0</v>
      </c>
      <c r="O780" s="238">
        <f>IFERROR((HLOOKUP($AH780,Target_monthwise!$D$4:$O$20,DTR!O$4,FALSE))*1000,0)</f>
        <v>0</v>
      </c>
      <c r="P780" s="238">
        <f>IFERROR((HLOOKUP($AH780,Target_monthwise!$D$4:$O$20,DTR!P$4,FALSE))*1000,0)</f>
        <v>0</v>
      </c>
      <c r="Q780" s="141">
        <f>IFERROR((HLOOKUP($AH780,Target_monthwise!$D$4:$O$20,DTR!Q$4,FALSE))*1000,0)</f>
        <v>0</v>
      </c>
      <c r="R780" s="167">
        <f>IFERROR((HLOOKUP($AH780,Target_monthwise!$D$4:$O$20,DTR!R$4,FALSE))*1000,0)</f>
        <v>0</v>
      </c>
      <c r="S780" s="239">
        <f>IFERROR((HLOOKUP($AH780,Target_monthwise!$D$24:$O$40,DTR!S$4,FALSE)),0)</f>
        <v>0</v>
      </c>
      <c r="T780" s="239">
        <f>IFERROR((HLOOKUP($AH780,Target_monthwise!$D$24:$O$40,DTR!T$4,FALSE)),0)</f>
        <v>0</v>
      </c>
      <c r="U780" s="239">
        <f>IFERROR((HLOOKUP($AH780,Target_monthwise!$D$24:$O$40,DTR!U$4,FALSE)),0)</f>
        <v>0</v>
      </c>
      <c r="V780" s="239">
        <f>IFERROR((HLOOKUP($AH780,Target_monthwise!$D$24:$O$40,DTR!V$4,FALSE)),0)</f>
        <v>0</v>
      </c>
      <c r="W780" s="239">
        <f>IFERROR((HLOOKUP($AH780,Target_monthwise!$D$24:$O$40,DTR!W$4,FALSE)),0)</f>
        <v>0</v>
      </c>
      <c r="X780" s="239">
        <f>IFERROR((HLOOKUP($AH780,Target_monthwise!$D$24:$O$40,DTR!X$4,FALSE)),0)</f>
        <v>0</v>
      </c>
      <c r="Y780" s="239">
        <f>IFERROR((HLOOKUP($AH780,Target_monthwise!$D$24:$O$40,DTR!Y$4,FALSE)),0)</f>
        <v>0</v>
      </c>
      <c r="Z780" s="147">
        <f>IFERROR((HLOOKUP($AH780,Target_monthwise!$D$24:$O$40,DTR!Z$4,FALSE)),0)</f>
        <v>0</v>
      </c>
      <c r="AA780" s="147">
        <f>IFERROR((HLOOKUP($AH780,Target_monthwise!$D$24:$O$40,DTR!AA$4,FALSE)),0)</f>
        <v>0</v>
      </c>
      <c r="AB780" s="147">
        <f>IFERROR((HLOOKUP($AH780,Target_monthwise!$D$24:$O$40,DTR!AB$4,FALSE)),0)</f>
        <v>0</v>
      </c>
      <c r="AC780" s="239">
        <f>IFERROR((HLOOKUP($AH780,Target_monthwise!$D$24:$O$40,DTR!AC$4,FALSE)),0)</f>
        <v>0</v>
      </c>
      <c r="AD780" s="239">
        <f>IFERROR((HLOOKUP($AH780,Target_monthwise!$D$24:$O$40,DTR!AD$4,FALSE)),0)</f>
        <v>0</v>
      </c>
      <c r="AE780" s="239">
        <f>IFERROR((HLOOKUP($AH780,Target_monthwise!$D$24:$O$40,DTR!AE$4,FALSE)),0)</f>
        <v>0</v>
      </c>
      <c r="AF780" s="239">
        <f>IFERROR((HLOOKUP($AH780,Target_monthwise!$D$24:$O$40,DTR!AF$4,FALSE)),0)</f>
        <v>0</v>
      </c>
      <c r="AG780" s="172">
        <f>IFERROR((HLOOKUP($AH780,Target_monthwise!$D$24:$O$40,DTR!AG$4,FALSE)),0)</f>
        <v>0</v>
      </c>
      <c r="AH780" s="253">
        <f t="shared" si="14"/>
        <v>202405</v>
      </c>
    </row>
    <row r="781" spans="3:34" ht="15.75" hidden="1">
      <c r="C781" s="235">
        <v>45424</v>
      </c>
      <c r="D781" s="141">
        <f>IFERROR((HLOOKUP($AH781,Target_monthwise!$D$4:$O$20,DTR!D$4,FALSE))*1000,0)</f>
        <v>0</v>
      </c>
      <c r="E781" s="141">
        <f>IFERROR((HLOOKUP($AH781,Target_monthwise!$D$4:$O$20,DTR!E$4,FALSE))*1000,0)</f>
        <v>0</v>
      </c>
      <c r="F781" s="141">
        <f>IFERROR((HLOOKUP($AH781,Target_monthwise!$D$4:$O$20,DTR!F$4,FALSE))*1000,0)</f>
        <v>0</v>
      </c>
      <c r="G781" s="141">
        <f>IFERROR((HLOOKUP($AH781,Target_monthwise!$D$4:$O$20,DTR!G$4,FALSE))*1000,0)</f>
        <v>0</v>
      </c>
      <c r="H781" s="141">
        <f>IFERROR((HLOOKUP($AH781,Target_monthwise!$D$4:$O$20,DTR!H$4,FALSE))*1000,0)</f>
        <v>0</v>
      </c>
      <c r="I781" s="141">
        <f>IFERROR((HLOOKUP($AH781,Target_monthwise!$D$4:$O$20,DTR!I$4,FALSE))*1000,0)</f>
        <v>0</v>
      </c>
      <c r="J781" s="141">
        <f>IFERROR((HLOOKUP($AH781,Target_monthwise!$D$4:$O$20,DTR!J$4,FALSE))*1000,0)</f>
        <v>0</v>
      </c>
      <c r="K781" s="141">
        <f>IFERROR((HLOOKUP($AH781,Target_monthwise!$D$4:$O$20,DTR!K$4,FALSE))*1000,0)</f>
        <v>0</v>
      </c>
      <c r="L781" s="141">
        <f>IFERROR((HLOOKUP($AH781,Target_monthwise!$D$4:$O$20,DTR!L$4,FALSE))*1000,0)</f>
        <v>0</v>
      </c>
      <c r="M781" s="141">
        <f>IFERROR((HLOOKUP($AH781,Target_monthwise!$D$4:$O$20,DTR!M$4,FALSE))*1000,0)</f>
        <v>0</v>
      </c>
      <c r="N781" s="141">
        <f>IFERROR((HLOOKUP($AH781,Target_monthwise!$D$4:$O$20,DTR!N$4,FALSE))*1000,0)</f>
        <v>0</v>
      </c>
      <c r="O781" s="141">
        <f>IFERROR((HLOOKUP($AH781,Target_monthwise!$D$4:$O$20,DTR!O$4,FALSE))*1000,0)</f>
        <v>0</v>
      </c>
      <c r="P781" s="141">
        <f>IFERROR((HLOOKUP($AH781,Target_monthwise!$D$4:$O$20,DTR!P$4,FALSE))*1000,0)</f>
        <v>0</v>
      </c>
      <c r="Q781" s="141">
        <f>IFERROR((HLOOKUP($AH781,Target_monthwise!$D$4:$O$20,DTR!Q$4,FALSE))*1000,0)</f>
        <v>0</v>
      </c>
      <c r="R781" s="167">
        <f>IFERROR((HLOOKUP($AH781,Target_monthwise!$D$4:$O$20,DTR!R$4,FALSE))*1000,0)</f>
        <v>0</v>
      </c>
      <c r="S781" s="147">
        <f>IFERROR((HLOOKUP($AH781,Target_monthwise!$D$24:$O$40,DTR!S$4,FALSE)),0)</f>
        <v>0</v>
      </c>
      <c r="T781" s="147">
        <f>IFERROR((HLOOKUP($AH781,Target_monthwise!$D$24:$O$40,DTR!T$4,FALSE)),0)</f>
        <v>0</v>
      </c>
      <c r="U781" s="147">
        <f>IFERROR((HLOOKUP($AH781,Target_monthwise!$D$24:$O$40,DTR!U$4,FALSE)),0)</f>
        <v>0</v>
      </c>
      <c r="V781" s="147">
        <f>IFERROR((HLOOKUP($AH781,Target_monthwise!$D$24:$O$40,DTR!V$4,FALSE)),0)</f>
        <v>0</v>
      </c>
      <c r="W781" s="147">
        <f>IFERROR((HLOOKUP($AH781,Target_monthwise!$D$24:$O$40,DTR!W$4,FALSE)),0)</f>
        <v>0</v>
      </c>
      <c r="X781" s="147">
        <f>IFERROR((HLOOKUP($AH781,Target_monthwise!$D$24:$O$40,DTR!X$4,FALSE)),0)</f>
        <v>0</v>
      </c>
      <c r="Y781" s="147">
        <f>IFERROR((HLOOKUP($AH781,Target_monthwise!$D$24:$O$40,DTR!Y$4,FALSE)),0)</f>
        <v>0</v>
      </c>
      <c r="Z781" s="147">
        <f>IFERROR((HLOOKUP($AH781,Target_monthwise!$D$24:$O$40,DTR!Z$4,FALSE)),0)</f>
        <v>0</v>
      </c>
      <c r="AA781" s="147">
        <f>IFERROR((HLOOKUP($AH781,Target_monthwise!$D$24:$O$40,DTR!AA$4,FALSE)),0)</f>
        <v>0</v>
      </c>
      <c r="AB781" s="147">
        <f>IFERROR((HLOOKUP($AH781,Target_monthwise!$D$24:$O$40,DTR!AB$4,FALSE)),0)</f>
        <v>0</v>
      </c>
      <c r="AC781" s="147">
        <f>IFERROR((HLOOKUP($AH781,Target_monthwise!$D$24:$O$40,DTR!AC$4,FALSE)),0)</f>
        <v>0</v>
      </c>
      <c r="AD781" s="147">
        <f>IFERROR((HLOOKUP($AH781,Target_monthwise!$D$24:$O$40,DTR!AD$4,FALSE)),0)</f>
        <v>0</v>
      </c>
      <c r="AE781" s="147">
        <f>IFERROR((HLOOKUP($AH781,Target_monthwise!$D$24:$O$40,DTR!AE$4,FALSE)),0)</f>
        <v>0</v>
      </c>
      <c r="AF781" s="147">
        <f>IFERROR((HLOOKUP($AH781,Target_monthwise!$D$24:$O$40,DTR!AF$4,FALSE)),0)</f>
        <v>0</v>
      </c>
      <c r="AG781" s="172">
        <f>IFERROR((HLOOKUP($AH781,Target_monthwise!$D$24:$O$40,DTR!AG$4,FALSE)),0)</f>
        <v>0</v>
      </c>
      <c r="AH781" s="253">
        <f t="shared" si="14"/>
        <v>202405</v>
      </c>
    </row>
    <row r="782" spans="3:34" ht="15.75" hidden="1">
      <c r="C782" s="237">
        <v>45425</v>
      </c>
      <c r="D782" s="238">
        <f>IFERROR((HLOOKUP($AH782,Target_monthwise!$D$4:$O$20,DTR!D$4,FALSE))*1000,0)</f>
        <v>0</v>
      </c>
      <c r="E782" s="238">
        <f>IFERROR((HLOOKUP($AH782,Target_monthwise!$D$4:$O$20,DTR!E$4,FALSE))*1000,0)</f>
        <v>0</v>
      </c>
      <c r="F782" s="238">
        <f>IFERROR((HLOOKUP($AH782,Target_monthwise!$D$4:$O$20,DTR!F$4,FALSE))*1000,0)</f>
        <v>0</v>
      </c>
      <c r="G782" s="238">
        <f>IFERROR((HLOOKUP($AH782,Target_monthwise!$D$4:$O$20,DTR!G$4,FALSE))*1000,0)</f>
        <v>0</v>
      </c>
      <c r="H782" s="238">
        <f>IFERROR((HLOOKUP($AH782,Target_monthwise!$D$4:$O$20,DTR!H$4,FALSE))*1000,0)</f>
        <v>0</v>
      </c>
      <c r="I782" s="238">
        <f>IFERROR((HLOOKUP($AH782,Target_monthwise!$D$4:$O$20,DTR!I$4,FALSE))*1000,0)</f>
        <v>0</v>
      </c>
      <c r="J782" s="238">
        <f>IFERROR((HLOOKUP($AH782,Target_monthwise!$D$4:$O$20,DTR!J$4,FALSE))*1000,0)</f>
        <v>0</v>
      </c>
      <c r="K782" s="238">
        <f>IFERROR((HLOOKUP($AH782,Target_monthwise!$D$4:$O$20,DTR!K$4,FALSE))*1000,0)</f>
        <v>0</v>
      </c>
      <c r="L782" s="238">
        <f>IFERROR((HLOOKUP($AH782,Target_monthwise!$D$4:$O$20,DTR!L$4,FALSE))*1000,0)</f>
        <v>0</v>
      </c>
      <c r="M782" s="238">
        <f>IFERROR((HLOOKUP($AH782,Target_monthwise!$D$4:$O$20,DTR!M$4,FALSE))*1000,0)</f>
        <v>0</v>
      </c>
      <c r="N782" s="238">
        <f>IFERROR((HLOOKUP($AH782,Target_monthwise!$D$4:$O$20,DTR!N$4,FALSE))*1000,0)</f>
        <v>0</v>
      </c>
      <c r="O782" s="238">
        <f>IFERROR((HLOOKUP($AH782,Target_monthwise!$D$4:$O$20,DTR!O$4,FALSE))*1000,0)</f>
        <v>0</v>
      </c>
      <c r="P782" s="238">
        <f>IFERROR((HLOOKUP($AH782,Target_monthwise!$D$4:$O$20,DTR!P$4,FALSE))*1000,0)</f>
        <v>0</v>
      </c>
      <c r="Q782" s="141">
        <f>IFERROR((HLOOKUP($AH782,Target_monthwise!$D$4:$O$20,DTR!Q$4,FALSE))*1000,0)</f>
        <v>0</v>
      </c>
      <c r="R782" s="167">
        <f>IFERROR((HLOOKUP($AH782,Target_monthwise!$D$4:$O$20,DTR!R$4,FALSE))*1000,0)</f>
        <v>0</v>
      </c>
      <c r="S782" s="239">
        <f>IFERROR((HLOOKUP($AH782,Target_monthwise!$D$24:$O$40,DTR!S$4,FALSE)),0)</f>
        <v>0</v>
      </c>
      <c r="T782" s="239">
        <f>IFERROR((HLOOKUP($AH782,Target_monthwise!$D$24:$O$40,DTR!T$4,FALSE)),0)</f>
        <v>0</v>
      </c>
      <c r="U782" s="239">
        <f>IFERROR((HLOOKUP($AH782,Target_monthwise!$D$24:$O$40,DTR!U$4,FALSE)),0)</f>
        <v>0</v>
      </c>
      <c r="V782" s="239">
        <f>IFERROR((HLOOKUP($AH782,Target_monthwise!$D$24:$O$40,DTR!V$4,FALSE)),0)</f>
        <v>0</v>
      </c>
      <c r="W782" s="239">
        <f>IFERROR((HLOOKUP($AH782,Target_monthwise!$D$24:$O$40,DTR!W$4,FALSE)),0)</f>
        <v>0</v>
      </c>
      <c r="X782" s="239">
        <f>IFERROR((HLOOKUP($AH782,Target_monthwise!$D$24:$O$40,DTR!X$4,FALSE)),0)</f>
        <v>0</v>
      </c>
      <c r="Y782" s="239">
        <f>IFERROR((HLOOKUP($AH782,Target_monthwise!$D$24:$O$40,DTR!Y$4,FALSE)),0)</f>
        <v>0</v>
      </c>
      <c r="Z782" s="147">
        <f>IFERROR((HLOOKUP($AH782,Target_monthwise!$D$24:$O$40,DTR!Z$4,FALSE)),0)</f>
        <v>0</v>
      </c>
      <c r="AA782" s="147">
        <f>IFERROR((HLOOKUP($AH782,Target_monthwise!$D$24:$O$40,DTR!AA$4,FALSE)),0)</f>
        <v>0</v>
      </c>
      <c r="AB782" s="147">
        <f>IFERROR((HLOOKUP($AH782,Target_monthwise!$D$24:$O$40,DTR!AB$4,FALSE)),0)</f>
        <v>0</v>
      </c>
      <c r="AC782" s="239">
        <f>IFERROR((HLOOKUP($AH782,Target_monthwise!$D$24:$O$40,DTR!AC$4,FALSE)),0)</f>
        <v>0</v>
      </c>
      <c r="AD782" s="239">
        <f>IFERROR((HLOOKUP($AH782,Target_monthwise!$D$24:$O$40,DTR!AD$4,FALSE)),0)</f>
        <v>0</v>
      </c>
      <c r="AE782" s="239">
        <f>IFERROR((HLOOKUP($AH782,Target_monthwise!$D$24:$O$40,DTR!AE$4,FALSE)),0)</f>
        <v>0</v>
      </c>
      <c r="AF782" s="239">
        <f>IFERROR((HLOOKUP($AH782,Target_monthwise!$D$24:$O$40,DTR!AF$4,FALSE)),0)</f>
        <v>0</v>
      </c>
      <c r="AG782" s="172">
        <f>IFERROR((HLOOKUP($AH782,Target_monthwise!$D$24:$O$40,DTR!AG$4,FALSE)),0)</f>
        <v>0</v>
      </c>
      <c r="AH782" s="253">
        <f t="shared" si="14"/>
        <v>202405</v>
      </c>
    </row>
    <row r="783" spans="3:34" ht="15.75" hidden="1">
      <c r="C783" s="235">
        <v>45426</v>
      </c>
      <c r="D783" s="141">
        <f>IFERROR((HLOOKUP($AH783,Target_monthwise!$D$4:$O$20,DTR!D$4,FALSE))*1000,0)</f>
        <v>0</v>
      </c>
      <c r="E783" s="141">
        <f>IFERROR((HLOOKUP($AH783,Target_monthwise!$D$4:$O$20,DTR!E$4,FALSE))*1000,0)</f>
        <v>0</v>
      </c>
      <c r="F783" s="141">
        <f>IFERROR((HLOOKUP($AH783,Target_monthwise!$D$4:$O$20,DTR!F$4,FALSE))*1000,0)</f>
        <v>0</v>
      </c>
      <c r="G783" s="141">
        <f>IFERROR((HLOOKUP($AH783,Target_monthwise!$D$4:$O$20,DTR!G$4,FALSE))*1000,0)</f>
        <v>0</v>
      </c>
      <c r="H783" s="141">
        <f>IFERROR((HLOOKUP($AH783,Target_monthwise!$D$4:$O$20,DTR!H$4,FALSE))*1000,0)</f>
        <v>0</v>
      </c>
      <c r="I783" s="141">
        <f>IFERROR((HLOOKUP($AH783,Target_monthwise!$D$4:$O$20,DTR!I$4,FALSE))*1000,0)</f>
        <v>0</v>
      </c>
      <c r="J783" s="141">
        <f>IFERROR((HLOOKUP($AH783,Target_monthwise!$D$4:$O$20,DTR!J$4,FALSE))*1000,0)</f>
        <v>0</v>
      </c>
      <c r="K783" s="141">
        <f>IFERROR((HLOOKUP($AH783,Target_monthwise!$D$4:$O$20,DTR!K$4,FALSE))*1000,0)</f>
        <v>0</v>
      </c>
      <c r="L783" s="141">
        <f>IFERROR((HLOOKUP($AH783,Target_monthwise!$D$4:$O$20,DTR!L$4,FALSE))*1000,0)</f>
        <v>0</v>
      </c>
      <c r="M783" s="141">
        <f>IFERROR((HLOOKUP($AH783,Target_monthwise!$D$4:$O$20,DTR!M$4,FALSE))*1000,0)</f>
        <v>0</v>
      </c>
      <c r="N783" s="141">
        <f>IFERROR((HLOOKUP($AH783,Target_monthwise!$D$4:$O$20,DTR!N$4,FALSE))*1000,0)</f>
        <v>0</v>
      </c>
      <c r="O783" s="141">
        <f>IFERROR((HLOOKUP($AH783,Target_monthwise!$D$4:$O$20,DTR!O$4,FALSE))*1000,0)</f>
        <v>0</v>
      </c>
      <c r="P783" s="141">
        <f>IFERROR((HLOOKUP($AH783,Target_monthwise!$D$4:$O$20,DTR!P$4,FALSE))*1000,0)</f>
        <v>0</v>
      </c>
      <c r="Q783" s="141">
        <f>IFERROR((HLOOKUP($AH783,Target_monthwise!$D$4:$O$20,DTR!Q$4,FALSE))*1000,0)</f>
        <v>0</v>
      </c>
      <c r="R783" s="167">
        <f>IFERROR((HLOOKUP($AH783,Target_monthwise!$D$4:$O$20,DTR!R$4,FALSE))*1000,0)</f>
        <v>0</v>
      </c>
      <c r="S783" s="147">
        <f>IFERROR((HLOOKUP($AH783,Target_monthwise!$D$24:$O$40,DTR!S$4,FALSE)),0)</f>
        <v>0</v>
      </c>
      <c r="T783" s="147">
        <f>IFERROR((HLOOKUP($AH783,Target_monthwise!$D$24:$O$40,DTR!T$4,FALSE)),0)</f>
        <v>0</v>
      </c>
      <c r="U783" s="147">
        <f>IFERROR((HLOOKUP($AH783,Target_monthwise!$D$24:$O$40,DTR!U$4,FALSE)),0)</f>
        <v>0</v>
      </c>
      <c r="V783" s="147">
        <f>IFERROR((HLOOKUP($AH783,Target_monthwise!$D$24:$O$40,DTR!V$4,FALSE)),0)</f>
        <v>0</v>
      </c>
      <c r="W783" s="147">
        <f>IFERROR((HLOOKUP($AH783,Target_monthwise!$D$24:$O$40,DTR!W$4,FALSE)),0)</f>
        <v>0</v>
      </c>
      <c r="X783" s="147">
        <f>IFERROR((HLOOKUP($AH783,Target_monthwise!$D$24:$O$40,DTR!X$4,FALSE)),0)</f>
        <v>0</v>
      </c>
      <c r="Y783" s="147">
        <f>IFERROR((HLOOKUP($AH783,Target_monthwise!$D$24:$O$40,DTR!Y$4,FALSE)),0)</f>
        <v>0</v>
      </c>
      <c r="Z783" s="147">
        <f>IFERROR((HLOOKUP($AH783,Target_monthwise!$D$24:$O$40,DTR!Z$4,FALSE)),0)</f>
        <v>0</v>
      </c>
      <c r="AA783" s="147">
        <f>IFERROR((HLOOKUP($AH783,Target_monthwise!$D$24:$O$40,DTR!AA$4,FALSE)),0)</f>
        <v>0</v>
      </c>
      <c r="AB783" s="147">
        <f>IFERROR((HLOOKUP($AH783,Target_monthwise!$D$24:$O$40,DTR!AB$4,FALSE)),0)</f>
        <v>0</v>
      </c>
      <c r="AC783" s="147">
        <f>IFERROR((HLOOKUP($AH783,Target_monthwise!$D$24:$O$40,DTR!AC$4,FALSE)),0)</f>
        <v>0</v>
      </c>
      <c r="AD783" s="147">
        <f>IFERROR((HLOOKUP($AH783,Target_monthwise!$D$24:$O$40,DTR!AD$4,FALSE)),0)</f>
        <v>0</v>
      </c>
      <c r="AE783" s="147">
        <f>IFERROR((HLOOKUP($AH783,Target_monthwise!$D$24:$O$40,DTR!AE$4,FALSE)),0)</f>
        <v>0</v>
      </c>
      <c r="AF783" s="147">
        <f>IFERROR((HLOOKUP($AH783,Target_monthwise!$D$24:$O$40,DTR!AF$4,FALSE)),0)</f>
        <v>0</v>
      </c>
      <c r="AG783" s="172">
        <f>IFERROR((HLOOKUP($AH783,Target_monthwise!$D$24:$O$40,DTR!AG$4,FALSE)),0)</f>
        <v>0</v>
      </c>
      <c r="AH783" s="253">
        <f t="shared" si="14"/>
        <v>202405</v>
      </c>
    </row>
    <row r="784" spans="3:34" ht="15.75" hidden="1">
      <c r="C784" s="237">
        <v>45427</v>
      </c>
      <c r="D784" s="238">
        <f>IFERROR((HLOOKUP($AH784,Target_monthwise!$D$4:$O$20,DTR!D$4,FALSE))*1000,0)</f>
        <v>0</v>
      </c>
      <c r="E784" s="238">
        <f>IFERROR((HLOOKUP($AH784,Target_monthwise!$D$4:$O$20,DTR!E$4,FALSE))*1000,0)</f>
        <v>0</v>
      </c>
      <c r="F784" s="238">
        <f>IFERROR((HLOOKUP($AH784,Target_monthwise!$D$4:$O$20,DTR!F$4,FALSE))*1000,0)</f>
        <v>0</v>
      </c>
      <c r="G784" s="238">
        <f>IFERROR((HLOOKUP($AH784,Target_monthwise!$D$4:$O$20,DTR!G$4,FALSE))*1000,0)</f>
        <v>0</v>
      </c>
      <c r="H784" s="238">
        <f>IFERROR((HLOOKUP($AH784,Target_monthwise!$D$4:$O$20,DTR!H$4,FALSE))*1000,0)</f>
        <v>0</v>
      </c>
      <c r="I784" s="238">
        <f>IFERROR((HLOOKUP($AH784,Target_monthwise!$D$4:$O$20,DTR!I$4,FALSE))*1000,0)</f>
        <v>0</v>
      </c>
      <c r="J784" s="238">
        <f>IFERROR((HLOOKUP($AH784,Target_monthwise!$D$4:$O$20,DTR!J$4,FALSE))*1000,0)</f>
        <v>0</v>
      </c>
      <c r="K784" s="238">
        <f>IFERROR((HLOOKUP($AH784,Target_monthwise!$D$4:$O$20,DTR!K$4,FALSE))*1000,0)</f>
        <v>0</v>
      </c>
      <c r="L784" s="238">
        <f>IFERROR((HLOOKUP($AH784,Target_monthwise!$D$4:$O$20,DTR!L$4,FALSE))*1000,0)</f>
        <v>0</v>
      </c>
      <c r="M784" s="238">
        <f>IFERROR((HLOOKUP($AH784,Target_monthwise!$D$4:$O$20,DTR!M$4,FALSE))*1000,0)</f>
        <v>0</v>
      </c>
      <c r="N784" s="238">
        <f>IFERROR((HLOOKUP($AH784,Target_monthwise!$D$4:$O$20,DTR!N$4,FALSE))*1000,0)</f>
        <v>0</v>
      </c>
      <c r="O784" s="238">
        <f>IFERROR((HLOOKUP($AH784,Target_monthwise!$D$4:$O$20,DTR!O$4,FALSE))*1000,0)</f>
        <v>0</v>
      </c>
      <c r="P784" s="238">
        <f>IFERROR((HLOOKUP($AH784,Target_monthwise!$D$4:$O$20,DTR!P$4,FALSE))*1000,0)</f>
        <v>0</v>
      </c>
      <c r="Q784" s="141">
        <f>IFERROR((HLOOKUP($AH784,Target_monthwise!$D$4:$O$20,DTR!Q$4,FALSE))*1000,0)</f>
        <v>0</v>
      </c>
      <c r="R784" s="167">
        <f>IFERROR((HLOOKUP($AH784,Target_monthwise!$D$4:$O$20,DTR!R$4,FALSE))*1000,0)</f>
        <v>0</v>
      </c>
      <c r="S784" s="239">
        <f>IFERROR((HLOOKUP($AH784,Target_monthwise!$D$24:$O$40,DTR!S$4,FALSE)),0)</f>
        <v>0</v>
      </c>
      <c r="T784" s="239">
        <f>IFERROR((HLOOKUP($AH784,Target_monthwise!$D$24:$O$40,DTR!T$4,FALSE)),0)</f>
        <v>0</v>
      </c>
      <c r="U784" s="239">
        <f>IFERROR((HLOOKUP($AH784,Target_monthwise!$D$24:$O$40,DTR!U$4,FALSE)),0)</f>
        <v>0</v>
      </c>
      <c r="V784" s="239">
        <f>IFERROR((HLOOKUP($AH784,Target_monthwise!$D$24:$O$40,DTR!V$4,FALSE)),0)</f>
        <v>0</v>
      </c>
      <c r="W784" s="239">
        <f>IFERROR((HLOOKUP($AH784,Target_monthwise!$D$24:$O$40,DTR!W$4,FALSE)),0)</f>
        <v>0</v>
      </c>
      <c r="X784" s="239">
        <f>IFERROR((HLOOKUP($AH784,Target_monthwise!$D$24:$O$40,DTR!X$4,FALSE)),0)</f>
        <v>0</v>
      </c>
      <c r="Y784" s="239">
        <f>IFERROR((HLOOKUP($AH784,Target_monthwise!$D$24:$O$40,DTR!Y$4,FALSE)),0)</f>
        <v>0</v>
      </c>
      <c r="Z784" s="147">
        <f>IFERROR((HLOOKUP($AH784,Target_monthwise!$D$24:$O$40,DTR!Z$4,FALSE)),0)</f>
        <v>0</v>
      </c>
      <c r="AA784" s="147">
        <f>IFERROR((HLOOKUP($AH784,Target_monthwise!$D$24:$O$40,DTR!AA$4,FALSE)),0)</f>
        <v>0</v>
      </c>
      <c r="AB784" s="147">
        <f>IFERROR((HLOOKUP($AH784,Target_monthwise!$D$24:$O$40,DTR!AB$4,FALSE)),0)</f>
        <v>0</v>
      </c>
      <c r="AC784" s="239">
        <f>IFERROR((HLOOKUP($AH784,Target_monthwise!$D$24:$O$40,DTR!AC$4,FALSE)),0)</f>
        <v>0</v>
      </c>
      <c r="AD784" s="239">
        <f>IFERROR((HLOOKUP($AH784,Target_monthwise!$D$24:$O$40,DTR!AD$4,FALSE)),0)</f>
        <v>0</v>
      </c>
      <c r="AE784" s="239">
        <f>IFERROR((HLOOKUP($AH784,Target_monthwise!$D$24:$O$40,DTR!AE$4,FALSE)),0)</f>
        <v>0</v>
      </c>
      <c r="AF784" s="239">
        <f>IFERROR((HLOOKUP($AH784,Target_monthwise!$D$24:$O$40,DTR!AF$4,FALSE)),0)</f>
        <v>0</v>
      </c>
      <c r="AG784" s="172">
        <f>IFERROR((HLOOKUP($AH784,Target_monthwise!$D$24:$O$40,DTR!AG$4,FALSE)),0)</f>
        <v>0</v>
      </c>
      <c r="AH784" s="253">
        <f t="shared" si="14"/>
        <v>202405</v>
      </c>
    </row>
    <row r="785" spans="3:34" ht="15.75" hidden="1">
      <c r="C785" s="235">
        <v>45428</v>
      </c>
      <c r="D785" s="141">
        <f>IFERROR((HLOOKUP($AH785,Target_monthwise!$D$4:$O$20,DTR!D$4,FALSE))*1000,0)</f>
        <v>0</v>
      </c>
      <c r="E785" s="141">
        <f>IFERROR((HLOOKUP($AH785,Target_monthwise!$D$4:$O$20,DTR!E$4,FALSE))*1000,0)</f>
        <v>0</v>
      </c>
      <c r="F785" s="141">
        <f>IFERROR((HLOOKUP($AH785,Target_monthwise!$D$4:$O$20,DTR!F$4,FALSE))*1000,0)</f>
        <v>0</v>
      </c>
      <c r="G785" s="141">
        <f>IFERROR((HLOOKUP($AH785,Target_monthwise!$D$4:$O$20,DTR!G$4,FALSE))*1000,0)</f>
        <v>0</v>
      </c>
      <c r="H785" s="141">
        <f>IFERROR((HLOOKUP($AH785,Target_monthwise!$D$4:$O$20,DTR!H$4,FALSE))*1000,0)</f>
        <v>0</v>
      </c>
      <c r="I785" s="141">
        <f>IFERROR((HLOOKUP($AH785,Target_monthwise!$D$4:$O$20,DTR!I$4,FALSE))*1000,0)</f>
        <v>0</v>
      </c>
      <c r="J785" s="141">
        <f>IFERROR((HLOOKUP($AH785,Target_monthwise!$D$4:$O$20,DTR!J$4,FALSE))*1000,0)</f>
        <v>0</v>
      </c>
      <c r="K785" s="141">
        <f>IFERROR((HLOOKUP($AH785,Target_monthwise!$D$4:$O$20,DTR!K$4,FALSE))*1000,0)</f>
        <v>0</v>
      </c>
      <c r="L785" s="141">
        <f>IFERROR((HLOOKUP($AH785,Target_monthwise!$D$4:$O$20,DTR!L$4,FALSE))*1000,0)</f>
        <v>0</v>
      </c>
      <c r="M785" s="141">
        <f>IFERROR((HLOOKUP($AH785,Target_monthwise!$D$4:$O$20,DTR!M$4,FALSE))*1000,0)</f>
        <v>0</v>
      </c>
      <c r="N785" s="141">
        <f>IFERROR((HLOOKUP($AH785,Target_monthwise!$D$4:$O$20,DTR!N$4,FALSE))*1000,0)</f>
        <v>0</v>
      </c>
      <c r="O785" s="141">
        <f>IFERROR((HLOOKUP($AH785,Target_monthwise!$D$4:$O$20,DTR!O$4,FALSE))*1000,0)</f>
        <v>0</v>
      </c>
      <c r="P785" s="141">
        <f>IFERROR((HLOOKUP($AH785,Target_monthwise!$D$4:$O$20,DTR!P$4,FALSE))*1000,0)</f>
        <v>0</v>
      </c>
      <c r="Q785" s="141">
        <f>IFERROR((HLOOKUP($AH785,Target_monthwise!$D$4:$O$20,DTR!Q$4,FALSE))*1000,0)</f>
        <v>0</v>
      </c>
      <c r="R785" s="167">
        <f>IFERROR((HLOOKUP($AH785,Target_monthwise!$D$4:$O$20,DTR!R$4,FALSE))*1000,0)</f>
        <v>0</v>
      </c>
      <c r="S785" s="147">
        <f>IFERROR((HLOOKUP($AH785,Target_monthwise!$D$24:$O$40,DTR!S$4,FALSE)),0)</f>
        <v>0</v>
      </c>
      <c r="T785" s="147">
        <f>IFERROR((HLOOKUP($AH785,Target_monthwise!$D$24:$O$40,DTR!T$4,FALSE)),0)</f>
        <v>0</v>
      </c>
      <c r="U785" s="147">
        <f>IFERROR((HLOOKUP($AH785,Target_monthwise!$D$24:$O$40,DTR!U$4,FALSE)),0)</f>
        <v>0</v>
      </c>
      <c r="V785" s="147">
        <f>IFERROR((HLOOKUP($AH785,Target_monthwise!$D$24:$O$40,DTR!V$4,FALSE)),0)</f>
        <v>0</v>
      </c>
      <c r="W785" s="147">
        <f>IFERROR((HLOOKUP($AH785,Target_monthwise!$D$24:$O$40,DTR!W$4,FALSE)),0)</f>
        <v>0</v>
      </c>
      <c r="X785" s="147">
        <f>IFERROR((HLOOKUP($AH785,Target_monthwise!$D$24:$O$40,DTR!X$4,FALSE)),0)</f>
        <v>0</v>
      </c>
      <c r="Y785" s="147">
        <f>IFERROR((HLOOKUP($AH785,Target_monthwise!$D$24:$O$40,DTR!Y$4,FALSE)),0)</f>
        <v>0</v>
      </c>
      <c r="Z785" s="147">
        <f>IFERROR((HLOOKUP($AH785,Target_monthwise!$D$24:$O$40,DTR!Z$4,FALSE)),0)</f>
        <v>0</v>
      </c>
      <c r="AA785" s="147">
        <f>IFERROR((HLOOKUP($AH785,Target_monthwise!$D$24:$O$40,DTR!AA$4,FALSE)),0)</f>
        <v>0</v>
      </c>
      <c r="AB785" s="147">
        <f>IFERROR((HLOOKUP($AH785,Target_monthwise!$D$24:$O$40,DTR!AB$4,FALSE)),0)</f>
        <v>0</v>
      </c>
      <c r="AC785" s="147">
        <f>IFERROR((HLOOKUP($AH785,Target_monthwise!$D$24:$O$40,DTR!AC$4,FALSE)),0)</f>
        <v>0</v>
      </c>
      <c r="AD785" s="147">
        <f>IFERROR((HLOOKUP($AH785,Target_monthwise!$D$24:$O$40,DTR!AD$4,FALSE)),0)</f>
        <v>0</v>
      </c>
      <c r="AE785" s="147">
        <f>IFERROR((HLOOKUP($AH785,Target_monthwise!$D$24:$O$40,DTR!AE$4,FALSE)),0)</f>
        <v>0</v>
      </c>
      <c r="AF785" s="147">
        <f>IFERROR((HLOOKUP($AH785,Target_monthwise!$D$24:$O$40,DTR!AF$4,FALSE)),0)</f>
        <v>0</v>
      </c>
      <c r="AG785" s="172">
        <f>IFERROR((HLOOKUP($AH785,Target_monthwise!$D$24:$O$40,DTR!AG$4,FALSE)),0)</f>
        <v>0</v>
      </c>
      <c r="AH785" s="253">
        <f t="shared" si="14"/>
        <v>202405</v>
      </c>
    </row>
    <row r="786" spans="3:34" ht="15.75" hidden="1">
      <c r="C786" s="237">
        <v>45429</v>
      </c>
      <c r="D786" s="238">
        <f>IFERROR((HLOOKUP($AH786,Target_monthwise!$D$4:$O$20,DTR!D$4,FALSE))*1000,0)</f>
        <v>0</v>
      </c>
      <c r="E786" s="238">
        <f>IFERROR((HLOOKUP($AH786,Target_monthwise!$D$4:$O$20,DTR!E$4,FALSE))*1000,0)</f>
        <v>0</v>
      </c>
      <c r="F786" s="238">
        <f>IFERROR((HLOOKUP($AH786,Target_monthwise!$D$4:$O$20,DTR!F$4,FALSE))*1000,0)</f>
        <v>0</v>
      </c>
      <c r="G786" s="238">
        <f>IFERROR((HLOOKUP($AH786,Target_monthwise!$D$4:$O$20,DTR!G$4,FALSE))*1000,0)</f>
        <v>0</v>
      </c>
      <c r="H786" s="238">
        <f>IFERROR((HLOOKUP($AH786,Target_monthwise!$D$4:$O$20,DTR!H$4,FALSE))*1000,0)</f>
        <v>0</v>
      </c>
      <c r="I786" s="238">
        <f>IFERROR((HLOOKUP($AH786,Target_monthwise!$D$4:$O$20,DTR!I$4,FALSE))*1000,0)</f>
        <v>0</v>
      </c>
      <c r="J786" s="238">
        <f>IFERROR((HLOOKUP($AH786,Target_monthwise!$D$4:$O$20,DTR!J$4,FALSE))*1000,0)</f>
        <v>0</v>
      </c>
      <c r="K786" s="238">
        <f>IFERROR((HLOOKUP($AH786,Target_monthwise!$D$4:$O$20,DTR!K$4,FALSE))*1000,0)</f>
        <v>0</v>
      </c>
      <c r="L786" s="238">
        <f>IFERROR((HLOOKUP($AH786,Target_monthwise!$D$4:$O$20,DTR!L$4,FALSE))*1000,0)</f>
        <v>0</v>
      </c>
      <c r="M786" s="238">
        <f>IFERROR((HLOOKUP($AH786,Target_monthwise!$D$4:$O$20,DTR!M$4,FALSE))*1000,0)</f>
        <v>0</v>
      </c>
      <c r="N786" s="238">
        <f>IFERROR((HLOOKUP($AH786,Target_monthwise!$D$4:$O$20,DTR!N$4,FALSE))*1000,0)</f>
        <v>0</v>
      </c>
      <c r="O786" s="238">
        <f>IFERROR((HLOOKUP($AH786,Target_monthwise!$D$4:$O$20,DTR!O$4,FALSE))*1000,0)</f>
        <v>0</v>
      </c>
      <c r="P786" s="238">
        <f>IFERROR((HLOOKUP($AH786,Target_monthwise!$D$4:$O$20,DTR!P$4,FALSE))*1000,0)</f>
        <v>0</v>
      </c>
      <c r="Q786" s="141">
        <f>IFERROR((HLOOKUP($AH786,Target_monthwise!$D$4:$O$20,DTR!Q$4,FALSE))*1000,0)</f>
        <v>0</v>
      </c>
      <c r="R786" s="167">
        <f>IFERROR((HLOOKUP($AH786,Target_monthwise!$D$4:$O$20,DTR!R$4,FALSE))*1000,0)</f>
        <v>0</v>
      </c>
      <c r="S786" s="239">
        <f>IFERROR((HLOOKUP($AH786,Target_monthwise!$D$24:$O$40,DTR!S$4,FALSE)),0)</f>
        <v>0</v>
      </c>
      <c r="T786" s="239">
        <f>IFERROR((HLOOKUP($AH786,Target_monthwise!$D$24:$O$40,DTR!T$4,FALSE)),0)</f>
        <v>0</v>
      </c>
      <c r="U786" s="239">
        <f>IFERROR((HLOOKUP($AH786,Target_monthwise!$D$24:$O$40,DTR!U$4,FALSE)),0)</f>
        <v>0</v>
      </c>
      <c r="V786" s="239">
        <f>IFERROR((HLOOKUP($AH786,Target_monthwise!$D$24:$O$40,DTR!V$4,FALSE)),0)</f>
        <v>0</v>
      </c>
      <c r="W786" s="239">
        <f>IFERROR((HLOOKUP($AH786,Target_monthwise!$D$24:$O$40,DTR!W$4,FALSE)),0)</f>
        <v>0</v>
      </c>
      <c r="X786" s="239">
        <f>IFERROR((HLOOKUP($AH786,Target_monthwise!$D$24:$O$40,DTR!X$4,FALSE)),0)</f>
        <v>0</v>
      </c>
      <c r="Y786" s="239">
        <f>IFERROR((HLOOKUP($AH786,Target_monthwise!$D$24:$O$40,DTR!Y$4,FALSE)),0)</f>
        <v>0</v>
      </c>
      <c r="Z786" s="147">
        <f>IFERROR((HLOOKUP($AH786,Target_monthwise!$D$24:$O$40,DTR!Z$4,FALSE)),0)</f>
        <v>0</v>
      </c>
      <c r="AA786" s="147">
        <f>IFERROR((HLOOKUP($AH786,Target_monthwise!$D$24:$O$40,DTR!AA$4,FALSE)),0)</f>
        <v>0</v>
      </c>
      <c r="AB786" s="147">
        <f>IFERROR((HLOOKUP($AH786,Target_monthwise!$D$24:$O$40,DTR!AB$4,FALSE)),0)</f>
        <v>0</v>
      </c>
      <c r="AC786" s="239">
        <f>IFERROR((HLOOKUP($AH786,Target_monthwise!$D$24:$O$40,DTR!AC$4,FALSE)),0)</f>
        <v>0</v>
      </c>
      <c r="AD786" s="239">
        <f>IFERROR((HLOOKUP($AH786,Target_monthwise!$D$24:$O$40,DTR!AD$4,FALSE)),0)</f>
        <v>0</v>
      </c>
      <c r="AE786" s="239">
        <f>IFERROR((HLOOKUP($AH786,Target_monthwise!$D$24:$O$40,DTR!AE$4,FALSE)),0)</f>
        <v>0</v>
      </c>
      <c r="AF786" s="239">
        <f>IFERROR((HLOOKUP($AH786,Target_monthwise!$D$24:$O$40,DTR!AF$4,FALSE)),0)</f>
        <v>0</v>
      </c>
      <c r="AG786" s="172">
        <f>IFERROR((HLOOKUP($AH786,Target_monthwise!$D$24:$O$40,DTR!AG$4,FALSE)),0)</f>
        <v>0</v>
      </c>
      <c r="AH786" s="253">
        <f t="shared" si="14"/>
        <v>202405</v>
      </c>
    </row>
    <row r="787" spans="3:34" ht="15.75" hidden="1">
      <c r="C787" s="235">
        <v>45430</v>
      </c>
      <c r="D787" s="141">
        <f>IFERROR((HLOOKUP($AH787,Target_monthwise!$D$4:$O$20,DTR!D$4,FALSE))*1000,0)</f>
        <v>0</v>
      </c>
      <c r="E787" s="141">
        <f>IFERROR((HLOOKUP($AH787,Target_monthwise!$D$4:$O$20,DTR!E$4,FALSE))*1000,0)</f>
        <v>0</v>
      </c>
      <c r="F787" s="141">
        <f>IFERROR((HLOOKUP($AH787,Target_monthwise!$D$4:$O$20,DTR!F$4,FALSE))*1000,0)</f>
        <v>0</v>
      </c>
      <c r="G787" s="141">
        <f>IFERROR((HLOOKUP($AH787,Target_monthwise!$D$4:$O$20,DTR!G$4,FALSE))*1000,0)</f>
        <v>0</v>
      </c>
      <c r="H787" s="141">
        <f>IFERROR((HLOOKUP($AH787,Target_monthwise!$D$4:$O$20,DTR!H$4,FALSE))*1000,0)</f>
        <v>0</v>
      </c>
      <c r="I787" s="141">
        <f>IFERROR((HLOOKUP($AH787,Target_monthwise!$D$4:$O$20,DTR!I$4,FALSE))*1000,0)</f>
        <v>0</v>
      </c>
      <c r="J787" s="141">
        <f>IFERROR((HLOOKUP($AH787,Target_monthwise!$D$4:$O$20,DTR!J$4,FALSE))*1000,0)</f>
        <v>0</v>
      </c>
      <c r="K787" s="141">
        <f>IFERROR((HLOOKUP($AH787,Target_monthwise!$D$4:$O$20,DTR!K$4,FALSE))*1000,0)</f>
        <v>0</v>
      </c>
      <c r="L787" s="141">
        <f>IFERROR((HLOOKUP($AH787,Target_monthwise!$D$4:$O$20,DTR!L$4,FALSE))*1000,0)</f>
        <v>0</v>
      </c>
      <c r="M787" s="141">
        <f>IFERROR((HLOOKUP($AH787,Target_monthwise!$D$4:$O$20,DTR!M$4,FALSE))*1000,0)</f>
        <v>0</v>
      </c>
      <c r="N787" s="141">
        <f>IFERROR((HLOOKUP($AH787,Target_monthwise!$D$4:$O$20,DTR!N$4,FALSE))*1000,0)</f>
        <v>0</v>
      </c>
      <c r="O787" s="141">
        <f>IFERROR((HLOOKUP($AH787,Target_monthwise!$D$4:$O$20,DTR!O$4,FALSE))*1000,0)</f>
        <v>0</v>
      </c>
      <c r="P787" s="141">
        <f>IFERROR((HLOOKUP($AH787,Target_monthwise!$D$4:$O$20,DTR!P$4,FALSE))*1000,0)</f>
        <v>0</v>
      </c>
      <c r="Q787" s="141">
        <f>IFERROR((HLOOKUP($AH787,Target_monthwise!$D$4:$O$20,DTR!Q$4,FALSE))*1000,0)</f>
        <v>0</v>
      </c>
      <c r="R787" s="167">
        <f>IFERROR((HLOOKUP($AH787,Target_monthwise!$D$4:$O$20,DTR!R$4,FALSE))*1000,0)</f>
        <v>0</v>
      </c>
      <c r="S787" s="147">
        <f>IFERROR((HLOOKUP($AH787,Target_monthwise!$D$24:$O$40,DTR!S$4,FALSE)),0)</f>
        <v>0</v>
      </c>
      <c r="T787" s="147">
        <f>IFERROR((HLOOKUP($AH787,Target_monthwise!$D$24:$O$40,DTR!T$4,FALSE)),0)</f>
        <v>0</v>
      </c>
      <c r="U787" s="147">
        <f>IFERROR((HLOOKUP($AH787,Target_monthwise!$D$24:$O$40,DTR!U$4,FALSE)),0)</f>
        <v>0</v>
      </c>
      <c r="V787" s="147">
        <f>IFERROR((HLOOKUP($AH787,Target_monthwise!$D$24:$O$40,DTR!V$4,FALSE)),0)</f>
        <v>0</v>
      </c>
      <c r="W787" s="147">
        <f>IFERROR((HLOOKUP($AH787,Target_monthwise!$D$24:$O$40,DTR!W$4,FALSE)),0)</f>
        <v>0</v>
      </c>
      <c r="X787" s="147">
        <f>IFERROR((HLOOKUP($AH787,Target_monthwise!$D$24:$O$40,DTR!X$4,FALSE)),0)</f>
        <v>0</v>
      </c>
      <c r="Y787" s="147">
        <f>IFERROR((HLOOKUP($AH787,Target_monthwise!$D$24:$O$40,DTR!Y$4,FALSE)),0)</f>
        <v>0</v>
      </c>
      <c r="Z787" s="147">
        <f>IFERROR((HLOOKUP($AH787,Target_monthwise!$D$24:$O$40,DTR!Z$4,FALSE)),0)</f>
        <v>0</v>
      </c>
      <c r="AA787" s="147">
        <f>IFERROR((HLOOKUP($AH787,Target_monthwise!$D$24:$O$40,DTR!AA$4,FALSE)),0)</f>
        <v>0</v>
      </c>
      <c r="AB787" s="147">
        <f>IFERROR((HLOOKUP($AH787,Target_monthwise!$D$24:$O$40,DTR!AB$4,FALSE)),0)</f>
        <v>0</v>
      </c>
      <c r="AC787" s="147">
        <f>IFERROR((HLOOKUP($AH787,Target_monthwise!$D$24:$O$40,DTR!AC$4,FALSE)),0)</f>
        <v>0</v>
      </c>
      <c r="AD787" s="147">
        <f>IFERROR((HLOOKUP($AH787,Target_monthwise!$D$24:$O$40,DTR!AD$4,FALSE)),0)</f>
        <v>0</v>
      </c>
      <c r="AE787" s="147">
        <f>IFERROR((HLOOKUP($AH787,Target_monthwise!$D$24:$O$40,DTR!AE$4,FALSE)),0)</f>
        <v>0</v>
      </c>
      <c r="AF787" s="147">
        <f>IFERROR((HLOOKUP($AH787,Target_monthwise!$D$24:$O$40,DTR!AF$4,FALSE)),0)</f>
        <v>0</v>
      </c>
      <c r="AG787" s="172">
        <f>IFERROR((HLOOKUP($AH787,Target_monthwise!$D$24:$O$40,DTR!AG$4,FALSE)),0)</f>
        <v>0</v>
      </c>
      <c r="AH787" s="253">
        <f t="shared" si="14"/>
        <v>202405</v>
      </c>
    </row>
    <row r="788" spans="3:34" ht="15.75" hidden="1">
      <c r="C788" s="237">
        <v>45431</v>
      </c>
      <c r="D788" s="238">
        <f>IFERROR((HLOOKUP($AH788,Target_monthwise!$D$4:$O$20,DTR!D$4,FALSE))*1000,0)</f>
        <v>0</v>
      </c>
      <c r="E788" s="238">
        <f>IFERROR((HLOOKUP($AH788,Target_monthwise!$D$4:$O$20,DTR!E$4,FALSE))*1000,0)</f>
        <v>0</v>
      </c>
      <c r="F788" s="238">
        <f>IFERROR((HLOOKUP($AH788,Target_monthwise!$D$4:$O$20,DTR!F$4,FALSE))*1000,0)</f>
        <v>0</v>
      </c>
      <c r="G788" s="238">
        <f>IFERROR((HLOOKUP($AH788,Target_monthwise!$D$4:$O$20,DTR!G$4,FALSE))*1000,0)</f>
        <v>0</v>
      </c>
      <c r="H788" s="238">
        <f>IFERROR((HLOOKUP($AH788,Target_monthwise!$D$4:$O$20,DTR!H$4,FALSE))*1000,0)</f>
        <v>0</v>
      </c>
      <c r="I788" s="238">
        <f>IFERROR((HLOOKUP($AH788,Target_monthwise!$D$4:$O$20,DTR!I$4,FALSE))*1000,0)</f>
        <v>0</v>
      </c>
      <c r="J788" s="238">
        <f>IFERROR((HLOOKUP($AH788,Target_monthwise!$D$4:$O$20,DTR!J$4,FALSE))*1000,0)</f>
        <v>0</v>
      </c>
      <c r="K788" s="238">
        <f>IFERROR((HLOOKUP($AH788,Target_monthwise!$D$4:$O$20,DTR!K$4,FALSE))*1000,0)</f>
        <v>0</v>
      </c>
      <c r="L788" s="238">
        <f>IFERROR((HLOOKUP($AH788,Target_monthwise!$D$4:$O$20,DTR!L$4,FALSE))*1000,0)</f>
        <v>0</v>
      </c>
      <c r="M788" s="238">
        <f>IFERROR((HLOOKUP($AH788,Target_monthwise!$D$4:$O$20,DTR!M$4,FALSE))*1000,0)</f>
        <v>0</v>
      </c>
      <c r="N788" s="238">
        <f>IFERROR((HLOOKUP($AH788,Target_monthwise!$D$4:$O$20,DTR!N$4,FALSE))*1000,0)</f>
        <v>0</v>
      </c>
      <c r="O788" s="238">
        <f>IFERROR((HLOOKUP($AH788,Target_monthwise!$D$4:$O$20,DTR!O$4,FALSE))*1000,0)</f>
        <v>0</v>
      </c>
      <c r="P788" s="238">
        <f>IFERROR((HLOOKUP($AH788,Target_monthwise!$D$4:$O$20,DTR!P$4,FALSE))*1000,0)</f>
        <v>0</v>
      </c>
      <c r="Q788" s="141">
        <f>IFERROR((HLOOKUP($AH788,Target_monthwise!$D$4:$O$20,DTR!Q$4,FALSE))*1000,0)</f>
        <v>0</v>
      </c>
      <c r="R788" s="167">
        <f>IFERROR((HLOOKUP($AH788,Target_monthwise!$D$4:$O$20,DTR!R$4,FALSE))*1000,0)</f>
        <v>0</v>
      </c>
      <c r="S788" s="239">
        <f>IFERROR((HLOOKUP($AH788,Target_monthwise!$D$24:$O$40,DTR!S$4,FALSE)),0)</f>
        <v>0</v>
      </c>
      <c r="T788" s="239">
        <f>IFERROR((HLOOKUP($AH788,Target_monthwise!$D$24:$O$40,DTR!T$4,FALSE)),0)</f>
        <v>0</v>
      </c>
      <c r="U788" s="239">
        <f>IFERROR((HLOOKUP($AH788,Target_monthwise!$D$24:$O$40,DTR!U$4,FALSE)),0)</f>
        <v>0</v>
      </c>
      <c r="V788" s="239">
        <f>IFERROR((HLOOKUP($AH788,Target_monthwise!$D$24:$O$40,DTR!V$4,FALSE)),0)</f>
        <v>0</v>
      </c>
      <c r="W788" s="239">
        <f>IFERROR((HLOOKUP($AH788,Target_monthwise!$D$24:$O$40,DTR!W$4,FALSE)),0)</f>
        <v>0</v>
      </c>
      <c r="X788" s="239">
        <f>IFERROR((HLOOKUP($AH788,Target_monthwise!$D$24:$O$40,DTR!X$4,FALSE)),0)</f>
        <v>0</v>
      </c>
      <c r="Y788" s="239">
        <f>IFERROR((HLOOKUP($AH788,Target_monthwise!$D$24:$O$40,DTR!Y$4,FALSE)),0)</f>
        <v>0</v>
      </c>
      <c r="Z788" s="147">
        <f>IFERROR((HLOOKUP($AH788,Target_monthwise!$D$24:$O$40,DTR!Z$4,FALSE)),0)</f>
        <v>0</v>
      </c>
      <c r="AA788" s="147">
        <f>IFERROR((HLOOKUP($AH788,Target_monthwise!$D$24:$O$40,DTR!AA$4,FALSE)),0)</f>
        <v>0</v>
      </c>
      <c r="AB788" s="147">
        <f>IFERROR((HLOOKUP($AH788,Target_monthwise!$D$24:$O$40,DTR!AB$4,FALSE)),0)</f>
        <v>0</v>
      </c>
      <c r="AC788" s="239">
        <f>IFERROR((HLOOKUP($AH788,Target_monthwise!$D$24:$O$40,DTR!AC$4,FALSE)),0)</f>
        <v>0</v>
      </c>
      <c r="AD788" s="239">
        <f>IFERROR((HLOOKUP($AH788,Target_monthwise!$D$24:$O$40,DTR!AD$4,FALSE)),0)</f>
        <v>0</v>
      </c>
      <c r="AE788" s="239">
        <f>IFERROR((HLOOKUP($AH788,Target_monthwise!$D$24:$O$40,DTR!AE$4,FALSE)),0)</f>
        <v>0</v>
      </c>
      <c r="AF788" s="239">
        <f>IFERROR((HLOOKUP($AH788,Target_monthwise!$D$24:$O$40,DTR!AF$4,FALSE)),0)</f>
        <v>0</v>
      </c>
      <c r="AG788" s="172">
        <f>IFERROR((HLOOKUP($AH788,Target_monthwise!$D$24:$O$40,DTR!AG$4,FALSE)),0)</f>
        <v>0</v>
      </c>
      <c r="AH788" s="253">
        <f t="shared" si="14"/>
        <v>202405</v>
      </c>
    </row>
    <row r="789" spans="3:34" ht="15.75" hidden="1">
      <c r="C789" s="235">
        <v>45432</v>
      </c>
      <c r="D789" s="141">
        <f>IFERROR((HLOOKUP($AH789,Target_monthwise!$D$4:$O$20,DTR!D$4,FALSE))*1000,0)</f>
        <v>0</v>
      </c>
      <c r="E789" s="141">
        <f>IFERROR((HLOOKUP($AH789,Target_monthwise!$D$4:$O$20,DTR!E$4,FALSE))*1000,0)</f>
        <v>0</v>
      </c>
      <c r="F789" s="141">
        <f>IFERROR((HLOOKUP($AH789,Target_monthwise!$D$4:$O$20,DTR!F$4,FALSE))*1000,0)</f>
        <v>0</v>
      </c>
      <c r="G789" s="141">
        <f>IFERROR((HLOOKUP($AH789,Target_monthwise!$D$4:$O$20,DTR!G$4,FALSE))*1000,0)</f>
        <v>0</v>
      </c>
      <c r="H789" s="141">
        <f>IFERROR((HLOOKUP($AH789,Target_monthwise!$D$4:$O$20,DTR!H$4,FALSE))*1000,0)</f>
        <v>0</v>
      </c>
      <c r="I789" s="141">
        <f>IFERROR((HLOOKUP($AH789,Target_monthwise!$D$4:$O$20,DTR!I$4,FALSE))*1000,0)</f>
        <v>0</v>
      </c>
      <c r="J789" s="141">
        <f>IFERROR((HLOOKUP($AH789,Target_monthwise!$D$4:$O$20,DTR!J$4,FALSE))*1000,0)</f>
        <v>0</v>
      </c>
      <c r="K789" s="141">
        <f>IFERROR((HLOOKUP($AH789,Target_monthwise!$D$4:$O$20,DTR!K$4,FALSE))*1000,0)</f>
        <v>0</v>
      </c>
      <c r="L789" s="141">
        <f>IFERROR((HLOOKUP($AH789,Target_monthwise!$D$4:$O$20,DTR!L$4,FALSE))*1000,0)</f>
        <v>0</v>
      </c>
      <c r="M789" s="141">
        <f>IFERROR((HLOOKUP($AH789,Target_monthwise!$D$4:$O$20,DTR!M$4,FALSE))*1000,0)</f>
        <v>0</v>
      </c>
      <c r="N789" s="141">
        <f>IFERROR((HLOOKUP($AH789,Target_monthwise!$D$4:$O$20,DTR!N$4,FALSE))*1000,0)</f>
        <v>0</v>
      </c>
      <c r="O789" s="141">
        <f>IFERROR((HLOOKUP($AH789,Target_monthwise!$D$4:$O$20,DTR!O$4,FALSE))*1000,0)</f>
        <v>0</v>
      </c>
      <c r="P789" s="141">
        <f>IFERROR((HLOOKUP($AH789,Target_monthwise!$D$4:$O$20,DTR!P$4,FALSE))*1000,0)</f>
        <v>0</v>
      </c>
      <c r="Q789" s="141">
        <f>IFERROR((HLOOKUP($AH789,Target_monthwise!$D$4:$O$20,DTR!Q$4,FALSE))*1000,0)</f>
        <v>0</v>
      </c>
      <c r="R789" s="167">
        <f>IFERROR((HLOOKUP($AH789,Target_monthwise!$D$4:$O$20,DTR!R$4,FALSE))*1000,0)</f>
        <v>0</v>
      </c>
      <c r="S789" s="147">
        <f>IFERROR((HLOOKUP($AH789,Target_monthwise!$D$24:$O$40,DTR!S$4,FALSE)),0)</f>
        <v>0</v>
      </c>
      <c r="T789" s="147">
        <f>IFERROR((HLOOKUP($AH789,Target_monthwise!$D$24:$O$40,DTR!T$4,FALSE)),0)</f>
        <v>0</v>
      </c>
      <c r="U789" s="147">
        <f>IFERROR((HLOOKUP($AH789,Target_monthwise!$D$24:$O$40,DTR!U$4,FALSE)),0)</f>
        <v>0</v>
      </c>
      <c r="V789" s="147">
        <f>IFERROR((HLOOKUP($AH789,Target_monthwise!$D$24:$O$40,DTR!V$4,FALSE)),0)</f>
        <v>0</v>
      </c>
      <c r="W789" s="147">
        <f>IFERROR((HLOOKUP($AH789,Target_monthwise!$D$24:$O$40,DTR!W$4,FALSE)),0)</f>
        <v>0</v>
      </c>
      <c r="X789" s="147">
        <f>IFERROR((HLOOKUP($AH789,Target_monthwise!$D$24:$O$40,DTR!X$4,FALSE)),0)</f>
        <v>0</v>
      </c>
      <c r="Y789" s="147">
        <f>IFERROR((HLOOKUP($AH789,Target_monthwise!$D$24:$O$40,DTR!Y$4,FALSE)),0)</f>
        <v>0</v>
      </c>
      <c r="Z789" s="147">
        <f>IFERROR((HLOOKUP($AH789,Target_monthwise!$D$24:$O$40,DTR!Z$4,FALSE)),0)</f>
        <v>0</v>
      </c>
      <c r="AA789" s="147">
        <f>IFERROR((HLOOKUP($AH789,Target_monthwise!$D$24:$O$40,DTR!AA$4,FALSE)),0)</f>
        <v>0</v>
      </c>
      <c r="AB789" s="147">
        <f>IFERROR((HLOOKUP($AH789,Target_monthwise!$D$24:$O$40,DTR!AB$4,FALSE)),0)</f>
        <v>0</v>
      </c>
      <c r="AC789" s="147">
        <f>IFERROR((HLOOKUP($AH789,Target_monthwise!$D$24:$O$40,DTR!AC$4,FALSE)),0)</f>
        <v>0</v>
      </c>
      <c r="AD789" s="147">
        <f>IFERROR((HLOOKUP($AH789,Target_monthwise!$D$24:$O$40,DTR!AD$4,FALSE)),0)</f>
        <v>0</v>
      </c>
      <c r="AE789" s="147">
        <f>IFERROR((HLOOKUP($AH789,Target_monthwise!$D$24:$O$40,DTR!AE$4,FALSE)),0)</f>
        <v>0</v>
      </c>
      <c r="AF789" s="147">
        <f>IFERROR((HLOOKUP($AH789,Target_monthwise!$D$24:$O$40,DTR!AF$4,FALSE)),0)</f>
        <v>0</v>
      </c>
      <c r="AG789" s="172">
        <f>IFERROR((HLOOKUP($AH789,Target_monthwise!$D$24:$O$40,DTR!AG$4,FALSE)),0)</f>
        <v>0</v>
      </c>
      <c r="AH789" s="253">
        <f t="shared" si="14"/>
        <v>202405</v>
      </c>
    </row>
    <row r="790" spans="3:34" ht="15.75" hidden="1">
      <c r="C790" s="237">
        <v>45433</v>
      </c>
      <c r="D790" s="238">
        <f>IFERROR((HLOOKUP($AH790,Target_monthwise!$D$4:$O$20,DTR!D$4,FALSE))*1000,0)</f>
        <v>0</v>
      </c>
      <c r="E790" s="238">
        <f>IFERROR((HLOOKUP($AH790,Target_monthwise!$D$4:$O$20,DTR!E$4,FALSE))*1000,0)</f>
        <v>0</v>
      </c>
      <c r="F790" s="238">
        <f>IFERROR((HLOOKUP($AH790,Target_monthwise!$D$4:$O$20,DTR!F$4,FALSE))*1000,0)</f>
        <v>0</v>
      </c>
      <c r="G790" s="238">
        <f>IFERROR((HLOOKUP($AH790,Target_monthwise!$D$4:$O$20,DTR!G$4,FALSE))*1000,0)</f>
        <v>0</v>
      </c>
      <c r="H790" s="238">
        <f>IFERROR((HLOOKUP($AH790,Target_monthwise!$D$4:$O$20,DTR!H$4,FALSE))*1000,0)</f>
        <v>0</v>
      </c>
      <c r="I790" s="238">
        <f>IFERROR((HLOOKUP($AH790,Target_monthwise!$D$4:$O$20,DTR!I$4,FALSE))*1000,0)</f>
        <v>0</v>
      </c>
      <c r="J790" s="238">
        <f>IFERROR((HLOOKUP($AH790,Target_monthwise!$D$4:$O$20,DTR!J$4,FALSE))*1000,0)</f>
        <v>0</v>
      </c>
      <c r="K790" s="238">
        <f>IFERROR((HLOOKUP($AH790,Target_monthwise!$D$4:$O$20,DTR!K$4,FALSE))*1000,0)</f>
        <v>0</v>
      </c>
      <c r="L790" s="238">
        <f>IFERROR((HLOOKUP($AH790,Target_monthwise!$D$4:$O$20,DTR!L$4,FALSE))*1000,0)</f>
        <v>0</v>
      </c>
      <c r="M790" s="238">
        <f>IFERROR((HLOOKUP($AH790,Target_monthwise!$D$4:$O$20,DTR!M$4,FALSE))*1000,0)</f>
        <v>0</v>
      </c>
      <c r="N790" s="238">
        <f>IFERROR((HLOOKUP($AH790,Target_monthwise!$D$4:$O$20,DTR!N$4,FALSE))*1000,0)</f>
        <v>0</v>
      </c>
      <c r="O790" s="238">
        <f>IFERROR((HLOOKUP($AH790,Target_monthwise!$D$4:$O$20,DTR!O$4,FALSE))*1000,0)</f>
        <v>0</v>
      </c>
      <c r="P790" s="238">
        <f>IFERROR((HLOOKUP($AH790,Target_monthwise!$D$4:$O$20,DTR!P$4,FALSE))*1000,0)</f>
        <v>0</v>
      </c>
      <c r="Q790" s="141">
        <f>IFERROR((HLOOKUP($AH790,Target_monthwise!$D$4:$O$20,DTR!Q$4,FALSE))*1000,0)</f>
        <v>0</v>
      </c>
      <c r="R790" s="167">
        <f>IFERROR((HLOOKUP($AH790,Target_monthwise!$D$4:$O$20,DTR!R$4,FALSE))*1000,0)</f>
        <v>0</v>
      </c>
      <c r="S790" s="239">
        <f>IFERROR((HLOOKUP($AH790,Target_monthwise!$D$24:$O$40,DTR!S$4,FALSE)),0)</f>
        <v>0</v>
      </c>
      <c r="T790" s="239">
        <f>IFERROR((HLOOKUP($AH790,Target_monthwise!$D$24:$O$40,DTR!T$4,FALSE)),0)</f>
        <v>0</v>
      </c>
      <c r="U790" s="239">
        <f>IFERROR((HLOOKUP($AH790,Target_monthwise!$D$24:$O$40,DTR!U$4,FALSE)),0)</f>
        <v>0</v>
      </c>
      <c r="V790" s="239">
        <f>IFERROR((HLOOKUP($AH790,Target_monthwise!$D$24:$O$40,DTR!V$4,FALSE)),0)</f>
        <v>0</v>
      </c>
      <c r="W790" s="239">
        <f>IFERROR((HLOOKUP($AH790,Target_monthwise!$D$24:$O$40,DTR!W$4,FALSE)),0)</f>
        <v>0</v>
      </c>
      <c r="X790" s="239">
        <f>IFERROR((HLOOKUP($AH790,Target_monthwise!$D$24:$O$40,DTR!X$4,FALSE)),0)</f>
        <v>0</v>
      </c>
      <c r="Y790" s="239">
        <f>IFERROR((HLOOKUP($AH790,Target_monthwise!$D$24:$O$40,DTR!Y$4,FALSE)),0)</f>
        <v>0</v>
      </c>
      <c r="Z790" s="147">
        <f>IFERROR((HLOOKUP($AH790,Target_monthwise!$D$24:$O$40,DTR!Z$4,FALSE)),0)</f>
        <v>0</v>
      </c>
      <c r="AA790" s="147">
        <f>IFERROR((HLOOKUP($AH790,Target_monthwise!$D$24:$O$40,DTR!AA$4,FALSE)),0)</f>
        <v>0</v>
      </c>
      <c r="AB790" s="147">
        <f>IFERROR((HLOOKUP($AH790,Target_monthwise!$D$24:$O$40,DTR!AB$4,FALSE)),0)</f>
        <v>0</v>
      </c>
      <c r="AC790" s="239">
        <f>IFERROR((HLOOKUP($AH790,Target_monthwise!$D$24:$O$40,DTR!AC$4,FALSE)),0)</f>
        <v>0</v>
      </c>
      <c r="AD790" s="239">
        <f>IFERROR((HLOOKUP($AH790,Target_monthwise!$D$24:$O$40,DTR!AD$4,FALSE)),0)</f>
        <v>0</v>
      </c>
      <c r="AE790" s="239">
        <f>IFERROR((HLOOKUP($AH790,Target_monthwise!$D$24:$O$40,DTR!AE$4,FALSE)),0)</f>
        <v>0</v>
      </c>
      <c r="AF790" s="239">
        <f>IFERROR((HLOOKUP($AH790,Target_monthwise!$D$24:$O$40,DTR!AF$4,FALSE)),0)</f>
        <v>0</v>
      </c>
      <c r="AG790" s="172">
        <f>IFERROR((HLOOKUP($AH790,Target_monthwise!$D$24:$O$40,DTR!AG$4,FALSE)),0)</f>
        <v>0</v>
      </c>
      <c r="AH790" s="253">
        <f t="shared" si="14"/>
        <v>202405</v>
      </c>
    </row>
    <row r="791" spans="3:34" ht="15.75" hidden="1">
      <c r="C791" s="235">
        <v>45434</v>
      </c>
      <c r="D791" s="141">
        <f>IFERROR((HLOOKUP($AH791,Target_monthwise!$D$4:$O$20,DTR!D$4,FALSE))*1000,0)</f>
        <v>0</v>
      </c>
      <c r="E791" s="141">
        <f>IFERROR((HLOOKUP($AH791,Target_monthwise!$D$4:$O$20,DTR!E$4,FALSE))*1000,0)</f>
        <v>0</v>
      </c>
      <c r="F791" s="141">
        <f>IFERROR((HLOOKUP($AH791,Target_monthwise!$D$4:$O$20,DTR!F$4,FALSE))*1000,0)</f>
        <v>0</v>
      </c>
      <c r="G791" s="141">
        <f>IFERROR((HLOOKUP($AH791,Target_monthwise!$D$4:$O$20,DTR!G$4,FALSE))*1000,0)</f>
        <v>0</v>
      </c>
      <c r="H791" s="141">
        <f>IFERROR((HLOOKUP($AH791,Target_monthwise!$D$4:$O$20,DTR!H$4,FALSE))*1000,0)</f>
        <v>0</v>
      </c>
      <c r="I791" s="141">
        <f>IFERROR((HLOOKUP($AH791,Target_monthwise!$D$4:$O$20,DTR!I$4,FALSE))*1000,0)</f>
        <v>0</v>
      </c>
      <c r="J791" s="141">
        <f>IFERROR((HLOOKUP($AH791,Target_monthwise!$D$4:$O$20,DTR!J$4,FALSE))*1000,0)</f>
        <v>0</v>
      </c>
      <c r="K791" s="141">
        <f>IFERROR((HLOOKUP($AH791,Target_monthwise!$D$4:$O$20,DTR!K$4,FALSE))*1000,0)</f>
        <v>0</v>
      </c>
      <c r="L791" s="141">
        <f>IFERROR((HLOOKUP($AH791,Target_monthwise!$D$4:$O$20,DTR!L$4,FALSE))*1000,0)</f>
        <v>0</v>
      </c>
      <c r="M791" s="141">
        <f>IFERROR((HLOOKUP($AH791,Target_monthwise!$D$4:$O$20,DTR!M$4,FALSE))*1000,0)</f>
        <v>0</v>
      </c>
      <c r="N791" s="141">
        <f>IFERROR((HLOOKUP($AH791,Target_monthwise!$D$4:$O$20,DTR!N$4,FALSE))*1000,0)</f>
        <v>0</v>
      </c>
      <c r="O791" s="141">
        <f>IFERROR((HLOOKUP($AH791,Target_monthwise!$D$4:$O$20,DTR!O$4,FALSE))*1000,0)</f>
        <v>0</v>
      </c>
      <c r="P791" s="141">
        <f>IFERROR((HLOOKUP($AH791,Target_monthwise!$D$4:$O$20,DTR!P$4,FALSE))*1000,0)</f>
        <v>0</v>
      </c>
      <c r="Q791" s="141">
        <f>IFERROR((HLOOKUP($AH791,Target_monthwise!$D$4:$O$20,DTR!Q$4,FALSE))*1000,0)</f>
        <v>0</v>
      </c>
      <c r="R791" s="167">
        <f>IFERROR((HLOOKUP($AH791,Target_monthwise!$D$4:$O$20,DTR!R$4,FALSE))*1000,0)</f>
        <v>0</v>
      </c>
      <c r="S791" s="147">
        <f>IFERROR((HLOOKUP($AH791,Target_monthwise!$D$24:$O$40,DTR!S$4,FALSE)),0)</f>
        <v>0</v>
      </c>
      <c r="T791" s="147">
        <f>IFERROR((HLOOKUP($AH791,Target_monthwise!$D$24:$O$40,DTR!T$4,FALSE)),0)</f>
        <v>0</v>
      </c>
      <c r="U791" s="147">
        <f>IFERROR((HLOOKUP($AH791,Target_monthwise!$D$24:$O$40,DTR!U$4,FALSE)),0)</f>
        <v>0</v>
      </c>
      <c r="V791" s="147">
        <f>IFERROR((HLOOKUP($AH791,Target_monthwise!$D$24:$O$40,DTR!V$4,FALSE)),0)</f>
        <v>0</v>
      </c>
      <c r="W791" s="147">
        <f>IFERROR((HLOOKUP($AH791,Target_monthwise!$D$24:$O$40,DTR!W$4,FALSE)),0)</f>
        <v>0</v>
      </c>
      <c r="X791" s="147">
        <f>IFERROR((HLOOKUP($AH791,Target_monthwise!$D$24:$O$40,DTR!X$4,FALSE)),0)</f>
        <v>0</v>
      </c>
      <c r="Y791" s="147">
        <f>IFERROR((HLOOKUP($AH791,Target_monthwise!$D$24:$O$40,DTR!Y$4,FALSE)),0)</f>
        <v>0</v>
      </c>
      <c r="Z791" s="147">
        <f>IFERROR((HLOOKUP($AH791,Target_monthwise!$D$24:$O$40,DTR!Z$4,FALSE)),0)</f>
        <v>0</v>
      </c>
      <c r="AA791" s="147">
        <f>IFERROR((HLOOKUP($AH791,Target_monthwise!$D$24:$O$40,DTR!AA$4,FALSE)),0)</f>
        <v>0</v>
      </c>
      <c r="AB791" s="147">
        <f>IFERROR((HLOOKUP($AH791,Target_monthwise!$D$24:$O$40,DTR!AB$4,FALSE)),0)</f>
        <v>0</v>
      </c>
      <c r="AC791" s="147">
        <f>IFERROR((HLOOKUP($AH791,Target_monthwise!$D$24:$O$40,DTR!AC$4,FALSE)),0)</f>
        <v>0</v>
      </c>
      <c r="AD791" s="147">
        <f>IFERROR((HLOOKUP($AH791,Target_monthwise!$D$24:$O$40,DTR!AD$4,FALSE)),0)</f>
        <v>0</v>
      </c>
      <c r="AE791" s="147">
        <f>IFERROR((HLOOKUP($AH791,Target_monthwise!$D$24:$O$40,DTR!AE$4,FALSE)),0)</f>
        <v>0</v>
      </c>
      <c r="AF791" s="147">
        <f>IFERROR((HLOOKUP($AH791,Target_monthwise!$D$24:$O$40,DTR!AF$4,FALSE)),0)</f>
        <v>0</v>
      </c>
      <c r="AG791" s="172">
        <f>IFERROR((HLOOKUP($AH791,Target_monthwise!$D$24:$O$40,DTR!AG$4,FALSE)),0)</f>
        <v>0</v>
      </c>
      <c r="AH791" s="253">
        <f t="shared" si="14"/>
        <v>202405</v>
      </c>
    </row>
    <row r="792" spans="3:34" ht="15.75" hidden="1">
      <c r="C792" s="237">
        <v>45435</v>
      </c>
      <c r="D792" s="238">
        <f>IFERROR((HLOOKUP($AH792,Target_monthwise!$D$4:$O$20,DTR!D$4,FALSE))*1000,0)</f>
        <v>0</v>
      </c>
      <c r="E792" s="238">
        <f>IFERROR((HLOOKUP($AH792,Target_monthwise!$D$4:$O$20,DTR!E$4,FALSE))*1000,0)</f>
        <v>0</v>
      </c>
      <c r="F792" s="238">
        <f>IFERROR((HLOOKUP($AH792,Target_monthwise!$D$4:$O$20,DTR!F$4,FALSE))*1000,0)</f>
        <v>0</v>
      </c>
      <c r="G792" s="238">
        <f>IFERROR((HLOOKUP($AH792,Target_monthwise!$D$4:$O$20,DTR!G$4,FALSE))*1000,0)</f>
        <v>0</v>
      </c>
      <c r="H792" s="238">
        <f>IFERROR((HLOOKUP($AH792,Target_monthwise!$D$4:$O$20,DTR!H$4,FALSE))*1000,0)</f>
        <v>0</v>
      </c>
      <c r="I792" s="238">
        <f>IFERROR((HLOOKUP($AH792,Target_monthwise!$D$4:$O$20,DTR!I$4,FALSE))*1000,0)</f>
        <v>0</v>
      </c>
      <c r="J792" s="238">
        <f>IFERROR((HLOOKUP($AH792,Target_monthwise!$D$4:$O$20,DTR!J$4,FALSE))*1000,0)</f>
        <v>0</v>
      </c>
      <c r="K792" s="238">
        <f>IFERROR((HLOOKUP($AH792,Target_monthwise!$D$4:$O$20,DTR!K$4,FALSE))*1000,0)</f>
        <v>0</v>
      </c>
      <c r="L792" s="238">
        <f>IFERROR((HLOOKUP($AH792,Target_monthwise!$D$4:$O$20,DTR!L$4,FALSE))*1000,0)</f>
        <v>0</v>
      </c>
      <c r="M792" s="238">
        <f>IFERROR((HLOOKUP($AH792,Target_monthwise!$D$4:$O$20,DTR!M$4,FALSE))*1000,0)</f>
        <v>0</v>
      </c>
      <c r="N792" s="238">
        <f>IFERROR((HLOOKUP($AH792,Target_monthwise!$D$4:$O$20,DTR!N$4,FALSE))*1000,0)</f>
        <v>0</v>
      </c>
      <c r="O792" s="238">
        <f>IFERROR((HLOOKUP($AH792,Target_monthwise!$D$4:$O$20,DTR!O$4,FALSE))*1000,0)</f>
        <v>0</v>
      </c>
      <c r="P792" s="238">
        <f>IFERROR((HLOOKUP($AH792,Target_monthwise!$D$4:$O$20,DTR!P$4,FALSE))*1000,0)</f>
        <v>0</v>
      </c>
      <c r="Q792" s="141">
        <f>IFERROR((HLOOKUP($AH792,Target_monthwise!$D$4:$O$20,DTR!Q$4,FALSE))*1000,0)</f>
        <v>0</v>
      </c>
      <c r="R792" s="167">
        <f>IFERROR((HLOOKUP($AH792,Target_monthwise!$D$4:$O$20,DTR!R$4,FALSE))*1000,0)</f>
        <v>0</v>
      </c>
      <c r="S792" s="239">
        <f>IFERROR((HLOOKUP($AH792,Target_monthwise!$D$24:$O$40,DTR!S$4,FALSE)),0)</f>
        <v>0</v>
      </c>
      <c r="T792" s="239">
        <f>IFERROR((HLOOKUP($AH792,Target_monthwise!$D$24:$O$40,DTR!T$4,FALSE)),0)</f>
        <v>0</v>
      </c>
      <c r="U792" s="239">
        <f>IFERROR((HLOOKUP($AH792,Target_monthwise!$D$24:$O$40,DTR!U$4,FALSE)),0)</f>
        <v>0</v>
      </c>
      <c r="V792" s="239">
        <f>IFERROR((HLOOKUP($AH792,Target_monthwise!$D$24:$O$40,DTR!V$4,FALSE)),0)</f>
        <v>0</v>
      </c>
      <c r="W792" s="239">
        <f>IFERROR((HLOOKUP($AH792,Target_monthwise!$D$24:$O$40,DTR!W$4,FALSE)),0)</f>
        <v>0</v>
      </c>
      <c r="X792" s="239">
        <f>IFERROR((HLOOKUP($AH792,Target_monthwise!$D$24:$O$40,DTR!X$4,FALSE)),0)</f>
        <v>0</v>
      </c>
      <c r="Y792" s="239">
        <f>IFERROR((HLOOKUP($AH792,Target_monthwise!$D$24:$O$40,DTR!Y$4,FALSE)),0)</f>
        <v>0</v>
      </c>
      <c r="Z792" s="147">
        <f>IFERROR((HLOOKUP($AH792,Target_monthwise!$D$24:$O$40,DTR!Z$4,FALSE)),0)</f>
        <v>0</v>
      </c>
      <c r="AA792" s="147">
        <f>IFERROR((HLOOKUP($AH792,Target_monthwise!$D$24:$O$40,DTR!AA$4,FALSE)),0)</f>
        <v>0</v>
      </c>
      <c r="AB792" s="147">
        <f>IFERROR((HLOOKUP($AH792,Target_monthwise!$D$24:$O$40,DTR!AB$4,FALSE)),0)</f>
        <v>0</v>
      </c>
      <c r="AC792" s="239">
        <f>IFERROR((HLOOKUP($AH792,Target_monthwise!$D$24:$O$40,DTR!AC$4,FALSE)),0)</f>
        <v>0</v>
      </c>
      <c r="AD792" s="239">
        <f>IFERROR((HLOOKUP($AH792,Target_monthwise!$D$24:$O$40,DTR!AD$4,FALSE)),0)</f>
        <v>0</v>
      </c>
      <c r="AE792" s="239">
        <f>IFERROR((HLOOKUP($AH792,Target_monthwise!$D$24:$O$40,DTR!AE$4,FALSE)),0)</f>
        <v>0</v>
      </c>
      <c r="AF792" s="239">
        <f>IFERROR((HLOOKUP($AH792,Target_monthwise!$D$24:$O$40,DTR!AF$4,FALSE)),0)</f>
        <v>0</v>
      </c>
      <c r="AG792" s="172">
        <f>IFERROR((HLOOKUP($AH792,Target_monthwise!$D$24:$O$40,DTR!AG$4,FALSE)),0)</f>
        <v>0</v>
      </c>
      <c r="AH792" s="253">
        <f t="shared" si="14"/>
        <v>202405</v>
      </c>
    </row>
    <row r="793" spans="3:34" ht="15.75" hidden="1">
      <c r="C793" s="235">
        <v>45436</v>
      </c>
      <c r="D793" s="141">
        <f>IFERROR((HLOOKUP($AH793,Target_monthwise!$D$4:$O$20,DTR!D$4,FALSE))*1000,0)</f>
        <v>0</v>
      </c>
      <c r="E793" s="141">
        <f>IFERROR((HLOOKUP($AH793,Target_monthwise!$D$4:$O$20,DTR!E$4,FALSE))*1000,0)</f>
        <v>0</v>
      </c>
      <c r="F793" s="141">
        <f>IFERROR((HLOOKUP($AH793,Target_monthwise!$D$4:$O$20,DTR!F$4,FALSE))*1000,0)</f>
        <v>0</v>
      </c>
      <c r="G793" s="141">
        <f>IFERROR((HLOOKUP($AH793,Target_monthwise!$D$4:$O$20,DTR!G$4,FALSE))*1000,0)</f>
        <v>0</v>
      </c>
      <c r="H793" s="141">
        <f>IFERROR((HLOOKUP($AH793,Target_monthwise!$D$4:$O$20,DTR!H$4,FALSE))*1000,0)</f>
        <v>0</v>
      </c>
      <c r="I793" s="141">
        <f>IFERROR((HLOOKUP($AH793,Target_monthwise!$D$4:$O$20,DTR!I$4,FALSE))*1000,0)</f>
        <v>0</v>
      </c>
      <c r="J793" s="141">
        <f>IFERROR((HLOOKUP($AH793,Target_monthwise!$D$4:$O$20,DTR!J$4,FALSE))*1000,0)</f>
        <v>0</v>
      </c>
      <c r="K793" s="141">
        <f>IFERROR((HLOOKUP($AH793,Target_monthwise!$D$4:$O$20,DTR!K$4,FALSE))*1000,0)</f>
        <v>0</v>
      </c>
      <c r="L793" s="141">
        <f>IFERROR((HLOOKUP($AH793,Target_monthwise!$D$4:$O$20,DTR!L$4,FALSE))*1000,0)</f>
        <v>0</v>
      </c>
      <c r="M793" s="141">
        <f>IFERROR((HLOOKUP($AH793,Target_monthwise!$D$4:$O$20,DTR!M$4,FALSE))*1000,0)</f>
        <v>0</v>
      </c>
      <c r="N793" s="141">
        <f>IFERROR((HLOOKUP($AH793,Target_monthwise!$D$4:$O$20,DTR!N$4,FALSE))*1000,0)</f>
        <v>0</v>
      </c>
      <c r="O793" s="141">
        <f>IFERROR((HLOOKUP($AH793,Target_monthwise!$D$4:$O$20,DTR!O$4,FALSE))*1000,0)</f>
        <v>0</v>
      </c>
      <c r="P793" s="141">
        <f>IFERROR((HLOOKUP($AH793,Target_monthwise!$D$4:$O$20,DTR!P$4,FALSE))*1000,0)</f>
        <v>0</v>
      </c>
      <c r="Q793" s="141">
        <f>IFERROR((HLOOKUP($AH793,Target_monthwise!$D$4:$O$20,DTR!Q$4,FALSE))*1000,0)</f>
        <v>0</v>
      </c>
      <c r="R793" s="167">
        <f>IFERROR((HLOOKUP($AH793,Target_monthwise!$D$4:$O$20,DTR!R$4,FALSE))*1000,0)</f>
        <v>0</v>
      </c>
      <c r="S793" s="147">
        <f>IFERROR((HLOOKUP($AH793,Target_monthwise!$D$24:$O$40,DTR!S$4,FALSE)),0)</f>
        <v>0</v>
      </c>
      <c r="T793" s="147">
        <f>IFERROR((HLOOKUP($AH793,Target_monthwise!$D$24:$O$40,DTR!T$4,FALSE)),0)</f>
        <v>0</v>
      </c>
      <c r="U793" s="147">
        <f>IFERROR((HLOOKUP($AH793,Target_monthwise!$D$24:$O$40,DTR!U$4,FALSE)),0)</f>
        <v>0</v>
      </c>
      <c r="V793" s="147">
        <f>IFERROR((HLOOKUP($AH793,Target_monthwise!$D$24:$O$40,DTR!V$4,FALSE)),0)</f>
        <v>0</v>
      </c>
      <c r="W793" s="147">
        <f>IFERROR((HLOOKUP($AH793,Target_monthwise!$D$24:$O$40,DTR!W$4,FALSE)),0)</f>
        <v>0</v>
      </c>
      <c r="X793" s="147">
        <f>IFERROR((HLOOKUP($AH793,Target_monthwise!$D$24:$O$40,DTR!X$4,FALSE)),0)</f>
        <v>0</v>
      </c>
      <c r="Y793" s="147">
        <f>IFERROR((HLOOKUP($AH793,Target_monthwise!$D$24:$O$40,DTR!Y$4,FALSE)),0)</f>
        <v>0</v>
      </c>
      <c r="Z793" s="147">
        <f>IFERROR((HLOOKUP($AH793,Target_monthwise!$D$24:$O$40,DTR!Z$4,FALSE)),0)</f>
        <v>0</v>
      </c>
      <c r="AA793" s="147">
        <f>IFERROR((HLOOKUP($AH793,Target_monthwise!$D$24:$O$40,DTR!AA$4,FALSE)),0)</f>
        <v>0</v>
      </c>
      <c r="AB793" s="147">
        <f>IFERROR((HLOOKUP($AH793,Target_monthwise!$D$24:$O$40,DTR!AB$4,FALSE)),0)</f>
        <v>0</v>
      </c>
      <c r="AC793" s="147">
        <f>IFERROR((HLOOKUP($AH793,Target_monthwise!$D$24:$O$40,DTR!AC$4,FALSE)),0)</f>
        <v>0</v>
      </c>
      <c r="AD793" s="147">
        <f>IFERROR((HLOOKUP($AH793,Target_monthwise!$D$24:$O$40,DTR!AD$4,FALSE)),0)</f>
        <v>0</v>
      </c>
      <c r="AE793" s="147">
        <f>IFERROR((HLOOKUP($AH793,Target_monthwise!$D$24:$O$40,DTR!AE$4,FALSE)),0)</f>
        <v>0</v>
      </c>
      <c r="AF793" s="147">
        <f>IFERROR((HLOOKUP($AH793,Target_monthwise!$D$24:$O$40,DTR!AF$4,FALSE)),0)</f>
        <v>0</v>
      </c>
      <c r="AG793" s="172">
        <f>IFERROR((HLOOKUP($AH793,Target_monthwise!$D$24:$O$40,DTR!AG$4,FALSE)),0)</f>
        <v>0</v>
      </c>
      <c r="AH793" s="253">
        <f t="shared" si="14"/>
        <v>202405</v>
      </c>
    </row>
    <row r="794" spans="3:34" ht="15.75" hidden="1">
      <c r="C794" s="237">
        <v>45437</v>
      </c>
      <c r="D794" s="238">
        <f>IFERROR((HLOOKUP($AH794,Target_monthwise!$D$4:$O$20,DTR!D$4,FALSE))*1000,0)</f>
        <v>0</v>
      </c>
      <c r="E794" s="238">
        <f>IFERROR((HLOOKUP($AH794,Target_monthwise!$D$4:$O$20,DTR!E$4,FALSE))*1000,0)</f>
        <v>0</v>
      </c>
      <c r="F794" s="238">
        <f>IFERROR((HLOOKUP($AH794,Target_monthwise!$D$4:$O$20,DTR!F$4,FALSE))*1000,0)</f>
        <v>0</v>
      </c>
      <c r="G794" s="238">
        <f>IFERROR((HLOOKUP($AH794,Target_monthwise!$D$4:$O$20,DTR!G$4,FALSE))*1000,0)</f>
        <v>0</v>
      </c>
      <c r="H794" s="238">
        <f>IFERROR((HLOOKUP($AH794,Target_monthwise!$D$4:$O$20,DTR!H$4,FALSE))*1000,0)</f>
        <v>0</v>
      </c>
      <c r="I794" s="238">
        <f>IFERROR((HLOOKUP($AH794,Target_monthwise!$D$4:$O$20,DTR!I$4,FALSE))*1000,0)</f>
        <v>0</v>
      </c>
      <c r="J794" s="238">
        <f>IFERROR((HLOOKUP($AH794,Target_monthwise!$D$4:$O$20,DTR!J$4,FALSE))*1000,0)</f>
        <v>0</v>
      </c>
      <c r="K794" s="238">
        <f>IFERROR((HLOOKUP($AH794,Target_monthwise!$D$4:$O$20,DTR!K$4,FALSE))*1000,0)</f>
        <v>0</v>
      </c>
      <c r="L794" s="238">
        <f>IFERROR((HLOOKUP($AH794,Target_monthwise!$D$4:$O$20,DTR!L$4,FALSE))*1000,0)</f>
        <v>0</v>
      </c>
      <c r="M794" s="238">
        <f>IFERROR((HLOOKUP($AH794,Target_monthwise!$D$4:$O$20,DTR!M$4,FALSE))*1000,0)</f>
        <v>0</v>
      </c>
      <c r="N794" s="238">
        <f>IFERROR((HLOOKUP($AH794,Target_monthwise!$D$4:$O$20,DTR!N$4,FALSE))*1000,0)</f>
        <v>0</v>
      </c>
      <c r="O794" s="238">
        <f>IFERROR((HLOOKUP($AH794,Target_monthwise!$D$4:$O$20,DTR!O$4,FALSE))*1000,0)</f>
        <v>0</v>
      </c>
      <c r="P794" s="238">
        <f>IFERROR((HLOOKUP($AH794,Target_monthwise!$D$4:$O$20,DTR!P$4,FALSE))*1000,0)</f>
        <v>0</v>
      </c>
      <c r="Q794" s="141">
        <f>IFERROR((HLOOKUP($AH794,Target_monthwise!$D$4:$O$20,DTR!Q$4,FALSE))*1000,0)</f>
        <v>0</v>
      </c>
      <c r="R794" s="167">
        <f>IFERROR((HLOOKUP($AH794,Target_monthwise!$D$4:$O$20,DTR!R$4,FALSE))*1000,0)</f>
        <v>0</v>
      </c>
      <c r="S794" s="239">
        <f>IFERROR((HLOOKUP($AH794,Target_monthwise!$D$24:$O$40,DTR!S$4,FALSE)),0)</f>
        <v>0</v>
      </c>
      <c r="T794" s="239">
        <f>IFERROR((HLOOKUP($AH794,Target_monthwise!$D$24:$O$40,DTR!T$4,FALSE)),0)</f>
        <v>0</v>
      </c>
      <c r="U794" s="239">
        <f>IFERROR((HLOOKUP($AH794,Target_monthwise!$D$24:$O$40,DTR!U$4,FALSE)),0)</f>
        <v>0</v>
      </c>
      <c r="V794" s="239">
        <f>IFERROR((HLOOKUP($AH794,Target_monthwise!$D$24:$O$40,DTR!V$4,FALSE)),0)</f>
        <v>0</v>
      </c>
      <c r="W794" s="239">
        <f>IFERROR((HLOOKUP($AH794,Target_monthwise!$D$24:$O$40,DTR!W$4,FALSE)),0)</f>
        <v>0</v>
      </c>
      <c r="X794" s="239">
        <f>IFERROR((HLOOKUP($AH794,Target_monthwise!$D$24:$O$40,DTR!X$4,FALSE)),0)</f>
        <v>0</v>
      </c>
      <c r="Y794" s="239">
        <f>IFERROR((HLOOKUP($AH794,Target_monthwise!$D$24:$O$40,DTR!Y$4,FALSE)),0)</f>
        <v>0</v>
      </c>
      <c r="Z794" s="147">
        <f>IFERROR((HLOOKUP($AH794,Target_monthwise!$D$24:$O$40,DTR!Z$4,FALSE)),0)</f>
        <v>0</v>
      </c>
      <c r="AA794" s="147">
        <f>IFERROR((HLOOKUP($AH794,Target_monthwise!$D$24:$O$40,DTR!AA$4,FALSE)),0)</f>
        <v>0</v>
      </c>
      <c r="AB794" s="147">
        <f>IFERROR((HLOOKUP($AH794,Target_monthwise!$D$24:$O$40,DTR!AB$4,FALSE)),0)</f>
        <v>0</v>
      </c>
      <c r="AC794" s="239">
        <f>IFERROR((HLOOKUP($AH794,Target_monthwise!$D$24:$O$40,DTR!AC$4,FALSE)),0)</f>
        <v>0</v>
      </c>
      <c r="AD794" s="239">
        <f>IFERROR((HLOOKUP($AH794,Target_monthwise!$D$24:$O$40,DTR!AD$4,FALSE)),0)</f>
        <v>0</v>
      </c>
      <c r="AE794" s="239">
        <f>IFERROR((HLOOKUP($AH794,Target_monthwise!$D$24:$O$40,DTR!AE$4,FALSE)),0)</f>
        <v>0</v>
      </c>
      <c r="AF794" s="239">
        <f>IFERROR((HLOOKUP($AH794,Target_monthwise!$D$24:$O$40,DTR!AF$4,FALSE)),0)</f>
        <v>0</v>
      </c>
      <c r="AG794" s="172">
        <f>IFERROR((HLOOKUP($AH794,Target_monthwise!$D$24:$O$40,DTR!AG$4,FALSE)),0)</f>
        <v>0</v>
      </c>
      <c r="AH794" s="253">
        <f t="shared" si="14"/>
        <v>202405</v>
      </c>
    </row>
    <row r="795" spans="3:34" ht="15.75" hidden="1">
      <c r="C795" s="235">
        <v>45438</v>
      </c>
      <c r="D795" s="141">
        <f>IFERROR((HLOOKUP($AH795,Target_monthwise!$D$4:$O$20,DTR!D$4,FALSE))*1000,0)</f>
        <v>0</v>
      </c>
      <c r="E795" s="141">
        <f>IFERROR((HLOOKUP($AH795,Target_monthwise!$D$4:$O$20,DTR!E$4,FALSE))*1000,0)</f>
        <v>0</v>
      </c>
      <c r="F795" s="141">
        <f>IFERROR((HLOOKUP($AH795,Target_monthwise!$D$4:$O$20,DTR!F$4,FALSE))*1000,0)</f>
        <v>0</v>
      </c>
      <c r="G795" s="141">
        <f>IFERROR((HLOOKUP($AH795,Target_monthwise!$D$4:$O$20,DTR!G$4,FALSE))*1000,0)</f>
        <v>0</v>
      </c>
      <c r="H795" s="141">
        <f>IFERROR((HLOOKUP($AH795,Target_monthwise!$D$4:$O$20,DTR!H$4,FALSE))*1000,0)</f>
        <v>0</v>
      </c>
      <c r="I795" s="141">
        <f>IFERROR((HLOOKUP($AH795,Target_monthwise!$D$4:$O$20,DTR!I$4,FALSE))*1000,0)</f>
        <v>0</v>
      </c>
      <c r="J795" s="141">
        <f>IFERROR((HLOOKUP($AH795,Target_monthwise!$D$4:$O$20,DTR!J$4,FALSE))*1000,0)</f>
        <v>0</v>
      </c>
      <c r="K795" s="141">
        <f>IFERROR((HLOOKUP($AH795,Target_monthwise!$D$4:$O$20,DTR!K$4,FALSE))*1000,0)</f>
        <v>0</v>
      </c>
      <c r="L795" s="141">
        <f>IFERROR((HLOOKUP($AH795,Target_monthwise!$D$4:$O$20,DTR!L$4,FALSE))*1000,0)</f>
        <v>0</v>
      </c>
      <c r="M795" s="141">
        <f>IFERROR((HLOOKUP($AH795,Target_monthwise!$D$4:$O$20,DTR!M$4,FALSE))*1000,0)</f>
        <v>0</v>
      </c>
      <c r="N795" s="141">
        <f>IFERROR((HLOOKUP($AH795,Target_monthwise!$D$4:$O$20,DTR!N$4,FALSE))*1000,0)</f>
        <v>0</v>
      </c>
      <c r="O795" s="141">
        <f>IFERROR((HLOOKUP($AH795,Target_monthwise!$D$4:$O$20,DTR!O$4,FALSE))*1000,0)</f>
        <v>0</v>
      </c>
      <c r="P795" s="141">
        <f>IFERROR((HLOOKUP($AH795,Target_monthwise!$D$4:$O$20,DTR!P$4,FALSE))*1000,0)</f>
        <v>0</v>
      </c>
      <c r="Q795" s="141">
        <f>IFERROR((HLOOKUP($AH795,Target_monthwise!$D$4:$O$20,DTR!Q$4,FALSE))*1000,0)</f>
        <v>0</v>
      </c>
      <c r="R795" s="167">
        <f>IFERROR((HLOOKUP($AH795,Target_monthwise!$D$4:$O$20,DTR!R$4,FALSE))*1000,0)</f>
        <v>0</v>
      </c>
      <c r="S795" s="147">
        <f>IFERROR((HLOOKUP($AH795,Target_monthwise!$D$24:$O$40,DTR!S$4,FALSE)),0)</f>
        <v>0</v>
      </c>
      <c r="T795" s="147">
        <f>IFERROR((HLOOKUP($AH795,Target_monthwise!$D$24:$O$40,DTR!T$4,FALSE)),0)</f>
        <v>0</v>
      </c>
      <c r="U795" s="147">
        <f>IFERROR((HLOOKUP($AH795,Target_monthwise!$D$24:$O$40,DTR!U$4,FALSE)),0)</f>
        <v>0</v>
      </c>
      <c r="V795" s="147">
        <f>IFERROR((HLOOKUP($AH795,Target_monthwise!$D$24:$O$40,DTR!V$4,FALSE)),0)</f>
        <v>0</v>
      </c>
      <c r="W795" s="147">
        <f>IFERROR((HLOOKUP($AH795,Target_monthwise!$D$24:$O$40,DTR!W$4,FALSE)),0)</f>
        <v>0</v>
      </c>
      <c r="X795" s="147">
        <f>IFERROR((HLOOKUP($AH795,Target_monthwise!$D$24:$O$40,DTR!X$4,FALSE)),0)</f>
        <v>0</v>
      </c>
      <c r="Y795" s="147">
        <f>IFERROR((HLOOKUP($AH795,Target_monthwise!$D$24:$O$40,DTR!Y$4,FALSE)),0)</f>
        <v>0</v>
      </c>
      <c r="Z795" s="147">
        <f>IFERROR((HLOOKUP($AH795,Target_monthwise!$D$24:$O$40,DTR!Z$4,FALSE)),0)</f>
        <v>0</v>
      </c>
      <c r="AA795" s="147">
        <f>IFERROR((HLOOKUP($AH795,Target_monthwise!$D$24:$O$40,DTR!AA$4,FALSE)),0)</f>
        <v>0</v>
      </c>
      <c r="AB795" s="147">
        <f>IFERROR((HLOOKUP($AH795,Target_monthwise!$D$24:$O$40,DTR!AB$4,FALSE)),0)</f>
        <v>0</v>
      </c>
      <c r="AC795" s="147">
        <f>IFERROR((HLOOKUP($AH795,Target_monthwise!$D$24:$O$40,DTR!AC$4,FALSE)),0)</f>
        <v>0</v>
      </c>
      <c r="AD795" s="147">
        <f>IFERROR((HLOOKUP($AH795,Target_monthwise!$D$24:$O$40,DTR!AD$4,FALSE)),0)</f>
        <v>0</v>
      </c>
      <c r="AE795" s="147">
        <f>IFERROR((HLOOKUP($AH795,Target_monthwise!$D$24:$O$40,DTR!AE$4,FALSE)),0)</f>
        <v>0</v>
      </c>
      <c r="AF795" s="147">
        <f>IFERROR((HLOOKUP($AH795,Target_monthwise!$D$24:$O$40,DTR!AF$4,FALSE)),0)</f>
        <v>0</v>
      </c>
      <c r="AG795" s="172">
        <f>IFERROR((HLOOKUP($AH795,Target_monthwise!$D$24:$O$40,DTR!AG$4,FALSE)),0)</f>
        <v>0</v>
      </c>
      <c r="AH795" s="253">
        <f t="shared" si="14"/>
        <v>202405</v>
      </c>
    </row>
    <row r="796" spans="3:34" ht="15.75" hidden="1">
      <c r="C796" s="237">
        <v>45439</v>
      </c>
      <c r="D796" s="238">
        <f>IFERROR((HLOOKUP($AH796,Target_monthwise!$D$4:$O$20,DTR!D$4,FALSE))*1000,0)</f>
        <v>0</v>
      </c>
      <c r="E796" s="238">
        <f>IFERROR((HLOOKUP($AH796,Target_monthwise!$D$4:$O$20,DTR!E$4,FALSE))*1000,0)</f>
        <v>0</v>
      </c>
      <c r="F796" s="238">
        <f>IFERROR((HLOOKUP($AH796,Target_monthwise!$D$4:$O$20,DTR!F$4,FALSE))*1000,0)</f>
        <v>0</v>
      </c>
      <c r="G796" s="238">
        <f>IFERROR((HLOOKUP($AH796,Target_monthwise!$D$4:$O$20,DTR!G$4,FALSE))*1000,0)</f>
        <v>0</v>
      </c>
      <c r="H796" s="238">
        <f>IFERROR((HLOOKUP($AH796,Target_monthwise!$D$4:$O$20,DTR!H$4,FALSE))*1000,0)</f>
        <v>0</v>
      </c>
      <c r="I796" s="238">
        <f>IFERROR((HLOOKUP($AH796,Target_monthwise!$D$4:$O$20,DTR!I$4,FALSE))*1000,0)</f>
        <v>0</v>
      </c>
      <c r="J796" s="238">
        <f>IFERROR((HLOOKUP($AH796,Target_monthwise!$D$4:$O$20,DTR!J$4,FALSE))*1000,0)</f>
        <v>0</v>
      </c>
      <c r="K796" s="238">
        <f>IFERROR((HLOOKUP($AH796,Target_monthwise!$D$4:$O$20,DTR!K$4,FALSE))*1000,0)</f>
        <v>0</v>
      </c>
      <c r="L796" s="238">
        <f>IFERROR((HLOOKUP($AH796,Target_monthwise!$D$4:$O$20,DTR!L$4,FALSE))*1000,0)</f>
        <v>0</v>
      </c>
      <c r="M796" s="238">
        <f>IFERROR((HLOOKUP($AH796,Target_monthwise!$D$4:$O$20,DTR!M$4,FALSE))*1000,0)</f>
        <v>0</v>
      </c>
      <c r="N796" s="238">
        <f>IFERROR((HLOOKUP($AH796,Target_monthwise!$D$4:$O$20,DTR!N$4,FALSE))*1000,0)</f>
        <v>0</v>
      </c>
      <c r="O796" s="238">
        <f>IFERROR((HLOOKUP($AH796,Target_monthwise!$D$4:$O$20,DTR!O$4,FALSE))*1000,0)</f>
        <v>0</v>
      </c>
      <c r="P796" s="238">
        <f>IFERROR((HLOOKUP($AH796,Target_monthwise!$D$4:$O$20,DTR!P$4,FALSE))*1000,0)</f>
        <v>0</v>
      </c>
      <c r="Q796" s="141">
        <f>IFERROR((HLOOKUP($AH796,Target_monthwise!$D$4:$O$20,DTR!Q$4,FALSE))*1000,0)</f>
        <v>0</v>
      </c>
      <c r="R796" s="167">
        <f>IFERROR((HLOOKUP($AH796,Target_monthwise!$D$4:$O$20,DTR!R$4,FALSE))*1000,0)</f>
        <v>0</v>
      </c>
      <c r="S796" s="239">
        <f>IFERROR((HLOOKUP($AH796,Target_monthwise!$D$24:$O$40,DTR!S$4,FALSE)),0)</f>
        <v>0</v>
      </c>
      <c r="T796" s="239">
        <f>IFERROR((HLOOKUP($AH796,Target_monthwise!$D$24:$O$40,DTR!T$4,FALSE)),0)</f>
        <v>0</v>
      </c>
      <c r="U796" s="239">
        <f>IFERROR((HLOOKUP($AH796,Target_monthwise!$D$24:$O$40,DTR!U$4,FALSE)),0)</f>
        <v>0</v>
      </c>
      <c r="V796" s="239">
        <f>IFERROR((HLOOKUP($AH796,Target_monthwise!$D$24:$O$40,DTR!V$4,FALSE)),0)</f>
        <v>0</v>
      </c>
      <c r="W796" s="239">
        <f>IFERROR((HLOOKUP($AH796,Target_monthwise!$D$24:$O$40,DTR!W$4,FALSE)),0)</f>
        <v>0</v>
      </c>
      <c r="X796" s="239">
        <f>IFERROR((HLOOKUP($AH796,Target_monthwise!$D$24:$O$40,DTR!X$4,FALSE)),0)</f>
        <v>0</v>
      </c>
      <c r="Y796" s="239">
        <f>IFERROR((HLOOKUP($AH796,Target_monthwise!$D$24:$O$40,DTR!Y$4,FALSE)),0)</f>
        <v>0</v>
      </c>
      <c r="Z796" s="147">
        <f>IFERROR((HLOOKUP($AH796,Target_monthwise!$D$24:$O$40,DTR!Z$4,FALSE)),0)</f>
        <v>0</v>
      </c>
      <c r="AA796" s="147">
        <f>IFERROR((HLOOKUP($AH796,Target_monthwise!$D$24:$O$40,DTR!AA$4,FALSE)),0)</f>
        <v>0</v>
      </c>
      <c r="AB796" s="147">
        <f>IFERROR((HLOOKUP($AH796,Target_monthwise!$D$24:$O$40,DTR!AB$4,FALSE)),0)</f>
        <v>0</v>
      </c>
      <c r="AC796" s="239">
        <f>IFERROR((HLOOKUP($AH796,Target_monthwise!$D$24:$O$40,DTR!AC$4,FALSE)),0)</f>
        <v>0</v>
      </c>
      <c r="AD796" s="239">
        <f>IFERROR((HLOOKUP($AH796,Target_monthwise!$D$24:$O$40,DTR!AD$4,FALSE)),0)</f>
        <v>0</v>
      </c>
      <c r="AE796" s="239">
        <f>IFERROR((HLOOKUP($AH796,Target_monthwise!$D$24:$O$40,DTR!AE$4,FALSE)),0)</f>
        <v>0</v>
      </c>
      <c r="AF796" s="239">
        <f>IFERROR((HLOOKUP($AH796,Target_monthwise!$D$24:$O$40,DTR!AF$4,FALSE)),0)</f>
        <v>0</v>
      </c>
      <c r="AG796" s="172">
        <f>IFERROR((HLOOKUP($AH796,Target_monthwise!$D$24:$O$40,DTR!AG$4,FALSE)),0)</f>
        <v>0</v>
      </c>
      <c r="AH796" s="253">
        <f t="shared" si="14"/>
        <v>202405</v>
      </c>
    </row>
    <row r="797" spans="3:34" ht="15.75" hidden="1">
      <c r="C797" s="235">
        <v>45440</v>
      </c>
      <c r="D797" s="141">
        <f>IFERROR((HLOOKUP($AH797,Target_monthwise!$D$4:$O$20,DTR!D$4,FALSE))*1000,0)</f>
        <v>0</v>
      </c>
      <c r="E797" s="141">
        <f>IFERROR((HLOOKUP($AH797,Target_monthwise!$D$4:$O$20,DTR!E$4,FALSE))*1000,0)</f>
        <v>0</v>
      </c>
      <c r="F797" s="141">
        <f>IFERROR((HLOOKUP($AH797,Target_monthwise!$D$4:$O$20,DTR!F$4,FALSE))*1000,0)</f>
        <v>0</v>
      </c>
      <c r="G797" s="141">
        <f>IFERROR((HLOOKUP($AH797,Target_monthwise!$D$4:$O$20,DTR!G$4,FALSE))*1000,0)</f>
        <v>0</v>
      </c>
      <c r="H797" s="141">
        <f>IFERROR((HLOOKUP($AH797,Target_monthwise!$D$4:$O$20,DTR!H$4,FALSE))*1000,0)</f>
        <v>0</v>
      </c>
      <c r="I797" s="141">
        <f>IFERROR((HLOOKUP($AH797,Target_monthwise!$D$4:$O$20,DTR!I$4,FALSE))*1000,0)</f>
        <v>0</v>
      </c>
      <c r="J797" s="141">
        <f>IFERROR((HLOOKUP($AH797,Target_monthwise!$D$4:$O$20,DTR!J$4,FALSE))*1000,0)</f>
        <v>0</v>
      </c>
      <c r="K797" s="141">
        <f>IFERROR((HLOOKUP($AH797,Target_monthwise!$D$4:$O$20,DTR!K$4,FALSE))*1000,0)</f>
        <v>0</v>
      </c>
      <c r="L797" s="141">
        <f>IFERROR((HLOOKUP($AH797,Target_monthwise!$D$4:$O$20,DTR!L$4,FALSE))*1000,0)</f>
        <v>0</v>
      </c>
      <c r="M797" s="141">
        <f>IFERROR((HLOOKUP($AH797,Target_monthwise!$D$4:$O$20,DTR!M$4,FALSE))*1000,0)</f>
        <v>0</v>
      </c>
      <c r="N797" s="141">
        <f>IFERROR((HLOOKUP($AH797,Target_monthwise!$D$4:$O$20,DTR!N$4,FALSE))*1000,0)</f>
        <v>0</v>
      </c>
      <c r="O797" s="141">
        <f>IFERROR((HLOOKUP($AH797,Target_monthwise!$D$4:$O$20,DTR!O$4,FALSE))*1000,0)</f>
        <v>0</v>
      </c>
      <c r="P797" s="141">
        <f>IFERROR((HLOOKUP($AH797,Target_monthwise!$D$4:$O$20,DTR!P$4,FALSE))*1000,0)</f>
        <v>0</v>
      </c>
      <c r="Q797" s="141">
        <f>IFERROR((HLOOKUP($AH797,Target_monthwise!$D$4:$O$20,DTR!Q$4,FALSE))*1000,0)</f>
        <v>0</v>
      </c>
      <c r="R797" s="167">
        <f>IFERROR((HLOOKUP($AH797,Target_monthwise!$D$4:$O$20,DTR!R$4,FALSE))*1000,0)</f>
        <v>0</v>
      </c>
      <c r="S797" s="147">
        <f>IFERROR((HLOOKUP($AH797,Target_monthwise!$D$24:$O$40,DTR!S$4,FALSE)),0)</f>
        <v>0</v>
      </c>
      <c r="T797" s="147">
        <f>IFERROR((HLOOKUP($AH797,Target_monthwise!$D$24:$O$40,DTR!T$4,FALSE)),0)</f>
        <v>0</v>
      </c>
      <c r="U797" s="147">
        <f>IFERROR((HLOOKUP($AH797,Target_monthwise!$D$24:$O$40,DTR!U$4,FALSE)),0)</f>
        <v>0</v>
      </c>
      <c r="V797" s="147">
        <f>IFERROR((HLOOKUP($AH797,Target_monthwise!$D$24:$O$40,DTR!V$4,FALSE)),0)</f>
        <v>0</v>
      </c>
      <c r="W797" s="147">
        <f>IFERROR((HLOOKUP($AH797,Target_monthwise!$D$24:$O$40,DTR!W$4,FALSE)),0)</f>
        <v>0</v>
      </c>
      <c r="X797" s="147">
        <f>IFERROR((HLOOKUP($AH797,Target_monthwise!$D$24:$O$40,DTR!X$4,FALSE)),0)</f>
        <v>0</v>
      </c>
      <c r="Y797" s="147">
        <f>IFERROR((HLOOKUP($AH797,Target_monthwise!$D$24:$O$40,DTR!Y$4,FALSE)),0)</f>
        <v>0</v>
      </c>
      <c r="Z797" s="147">
        <f>IFERROR((HLOOKUP($AH797,Target_monthwise!$D$24:$O$40,DTR!Z$4,FALSE)),0)</f>
        <v>0</v>
      </c>
      <c r="AA797" s="147">
        <f>IFERROR((HLOOKUP($AH797,Target_monthwise!$D$24:$O$40,DTR!AA$4,FALSE)),0)</f>
        <v>0</v>
      </c>
      <c r="AB797" s="147">
        <f>IFERROR((HLOOKUP($AH797,Target_monthwise!$D$24:$O$40,DTR!AB$4,FALSE)),0)</f>
        <v>0</v>
      </c>
      <c r="AC797" s="147">
        <f>IFERROR((HLOOKUP($AH797,Target_monthwise!$D$24:$O$40,DTR!AC$4,FALSE)),0)</f>
        <v>0</v>
      </c>
      <c r="AD797" s="147">
        <f>IFERROR((HLOOKUP($AH797,Target_monthwise!$D$24:$O$40,DTR!AD$4,FALSE)),0)</f>
        <v>0</v>
      </c>
      <c r="AE797" s="147">
        <f>IFERROR((HLOOKUP($AH797,Target_monthwise!$D$24:$O$40,DTR!AE$4,FALSE)),0)</f>
        <v>0</v>
      </c>
      <c r="AF797" s="147">
        <f>IFERROR((HLOOKUP($AH797,Target_monthwise!$D$24:$O$40,DTR!AF$4,FALSE)),0)</f>
        <v>0</v>
      </c>
      <c r="AG797" s="172">
        <f>IFERROR((HLOOKUP($AH797,Target_monthwise!$D$24:$O$40,DTR!AG$4,FALSE)),0)</f>
        <v>0</v>
      </c>
      <c r="AH797" s="253">
        <f t="shared" si="14"/>
        <v>202405</v>
      </c>
    </row>
    <row r="798" spans="3:34" ht="15.75" hidden="1">
      <c r="C798" s="237">
        <v>45441</v>
      </c>
      <c r="D798" s="238">
        <f>IFERROR((HLOOKUP($AH798,Target_monthwise!$D$4:$O$20,DTR!D$4,FALSE))*1000,0)</f>
        <v>0</v>
      </c>
      <c r="E798" s="238">
        <f>IFERROR((HLOOKUP($AH798,Target_monthwise!$D$4:$O$20,DTR!E$4,FALSE))*1000,0)</f>
        <v>0</v>
      </c>
      <c r="F798" s="238">
        <f>IFERROR((HLOOKUP($AH798,Target_monthwise!$D$4:$O$20,DTR!F$4,FALSE))*1000,0)</f>
        <v>0</v>
      </c>
      <c r="G798" s="238">
        <f>IFERROR((HLOOKUP($AH798,Target_monthwise!$D$4:$O$20,DTR!G$4,FALSE))*1000,0)</f>
        <v>0</v>
      </c>
      <c r="H798" s="238">
        <f>IFERROR((HLOOKUP($AH798,Target_monthwise!$D$4:$O$20,DTR!H$4,FALSE))*1000,0)</f>
        <v>0</v>
      </c>
      <c r="I798" s="238">
        <f>IFERROR((HLOOKUP($AH798,Target_monthwise!$D$4:$O$20,DTR!I$4,FALSE))*1000,0)</f>
        <v>0</v>
      </c>
      <c r="J798" s="238">
        <f>IFERROR((HLOOKUP($AH798,Target_monthwise!$D$4:$O$20,DTR!J$4,FALSE))*1000,0)</f>
        <v>0</v>
      </c>
      <c r="K798" s="238">
        <f>IFERROR((HLOOKUP($AH798,Target_monthwise!$D$4:$O$20,DTR!K$4,FALSE))*1000,0)</f>
        <v>0</v>
      </c>
      <c r="L798" s="238">
        <f>IFERROR((HLOOKUP($AH798,Target_monthwise!$D$4:$O$20,DTR!L$4,FALSE))*1000,0)</f>
        <v>0</v>
      </c>
      <c r="M798" s="238">
        <f>IFERROR((HLOOKUP($AH798,Target_monthwise!$D$4:$O$20,DTR!M$4,FALSE))*1000,0)</f>
        <v>0</v>
      </c>
      <c r="N798" s="238">
        <f>IFERROR((HLOOKUP($AH798,Target_monthwise!$D$4:$O$20,DTR!N$4,FALSE))*1000,0)</f>
        <v>0</v>
      </c>
      <c r="O798" s="238">
        <f>IFERROR((HLOOKUP($AH798,Target_monthwise!$D$4:$O$20,DTR!O$4,FALSE))*1000,0)</f>
        <v>0</v>
      </c>
      <c r="P798" s="238">
        <f>IFERROR((HLOOKUP($AH798,Target_monthwise!$D$4:$O$20,DTR!P$4,FALSE))*1000,0)</f>
        <v>0</v>
      </c>
      <c r="Q798" s="141">
        <f>IFERROR((HLOOKUP($AH798,Target_monthwise!$D$4:$O$20,DTR!Q$4,FALSE))*1000,0)</f>
        <v>0</v>
      </c>
      <c r="R798" s="167">
        <f>IFERROR((HLOOKUP($AH798,Target_monthwise!$D$4:$O$20,DTR!R$4,FALSE))*1000,0)</f>
        <v>0</v>
      </c>
      <c r="S798" s="239">
        <f>IFERROR((HLOOKUP($AH798,Target_monthwise!$D$24:$O$40,DTR!S$4,FALSE)),0)</f>
        <v>0</v>
      </c>
      <c r="T798" s="239">
        <f>IFERROR((HLOOKUP($AH798,Target_monthwise!$D$24:$O$40,DTR!T$4,FALSE)),0)</f>
        <v>0</v>
      </c>
      <c r="U798" s="239">
        <f>IFERROR((HLOOKUP($AH798,Target_monthwise!$D$24:$O$40,DTR!U$4,FALSE)),0)</f>
        <v>0</v>
      </c>
      <c r="V798" s="239">
        <f>IFERROR((HLOOKUP($AH798,Target_monthwise!$D$24:$O$40,DTR!V$4,FALSE)),0)</f>
        <v>0</v>
      </c>
      <c r="W798" s="239">
        <f>IFERROR((HLOOKUP($AH798,Target_monthwise!$D$24:$O$40,DTR!W$4,FALSE)),0)</f>
        <v>0</v>
      </c>
      <c r="X798" s="239">
        <f>IFERROR((HLOOKUP($AH798,Target_monthwise!$D$24:$O$40,DTR!X$4,FALSE)),0)</f>
        <v>0</v>
      </c>
      <c r="Y798" s="239">
        <f>IFERROR((HLOOKUP($AH798,Target_monthwise!$D$24:$O$40,DTR!Y$4,FALSE)),0)</f>
        <v>0</v>
      </c>
      <c r="Z798" s="147">
        <f>IFERROR((HLOOKUP($AH798,Target_monthwise!$D$24:$O$40,DTR!Z$4,FALSE)),0)</f>
        <v>0</v>
      </c>
      <c r="AA798" s="147">
        <f>IFERROR((HLOOKUP($AH798,Target_monthwise!$D$24:$O$40,DTR!AA$4,FALSE)),0)</f>
        <v>0</v>
      </c>
      <c r="AB798" s="147">
        <f>IFERROR((HLOOKUP($AH798,Target_monthwise!$D$24:$O$40,DTR!AB$4,FALSE)),0)</f>
        <v>0</v>
      </c>
      <c r="AC798" s="239">
        <f>IFERROR((HLOOKUP($AH798,Target_monthwise!$D$24:$O$40,DTR!AC$4,FALSE)),0)</f>
        <v>0</v>
      </c>
      <c r="AD798" s="239">
        <f>IFERROR((HLOOKUP($AH798,Target_monthwise!$D$24:$O$40,DTR!AD$4,FALSE)),0)</f>
        <v>0</v>
      </c>
      <c r="AE798" s="239">
        <f>IFERROR((HLOOKUP($AH798,Target_monthwise!$D$24:$O$40,DTR!AE$4,FALSE)),0)</f>
        <v>0</v>
      </c>
      <c r="AF798" s="239">
        <f>IFERROR((HLOOKUP($AH798,Target_monthwise!$D$24:$O$40,DTR!AF$4,FALSE)),0)</f>
        <v>0</v>
      </c>
      <c r="AG798" s="172">
        <f>IFERROR((HLOOKUP($AH798,Target_monthwise!$D$24:$O$40,DTR!AG$4,FALSE)),0)</f>
        <v>0</v>
      </c>
      <c r="AH798" s="253">
        <f t="shared" si="14"/>
        <v>202405</v>
      </c>
    </row>
    <row r="799" spans="3:34" ht="15.75" hidden="1">
      <c r="C799" s="235">
        <v>45442</v>
      </c>
      <c r="D799" s="141">
        <f>IFERROR((HLOOKUP($AH799,Target_monthwise!$D$4:$O$20,DTR!D$4,FALSE))*1000,0)</f>
        <v>0</v>
      </c>
      <c r="E799" s="141">
        <f>IFERROR((HLOOKUP($AH799,Target_monthwise!$D$4:$O$20,DTR!E$4,FALSE))*1000,0)</f>
        <v>0</v>
      </c>
      <c r="F799" s="141">
        <f>IFERROR((HLOOKUP($AH799,Target_monthwise!$D$4:$O$20,DTR!F$4,FALSE))*1000,0)</f>
        <v>0</v>
      </c>
      <c r="G799" s="141">
        <f>IFERROR((HLOOKUP($AH799,Target_monthwise!$D$4:$O$20,DTR!G$4,FALSE))*1000,0)</f>
        <v>0</v>
      </c>
      <c r="H799" s="141">
        <f>IFERROR((HLOOKUP($AH799,Target_monthwise!$D$4:$O$20,DTR!H$4,FALSE))*1000,0)</f>
        <v>0</v>
      </c>
      <c r="I799" s="141">
        <f>IFERROR((HLOOKUP($AH799,Target_monthwise!$D$4:$O$20,DTR!I$4,FALSE))*1000,0)</f>
        <v>0</v>
      </c>
      <c r="J799" s="141">
        <f>IFERROR((HLOOKUP($AH799,Target_monthwise!$D$4:$O$20,DTR!J$4,FALSE))*1000,0)</f>
        <v>0</v>
      </c>
      <c r="K799" s="141">
        <f>IFERROR((HLOOKUP($AH799,Target_monthwise!$D$4:$O$20,DTR!K$4,FALSE))*1000,0)</f>
        <v>0</v>
      </c>
      <c r="L799" s="141">
        <f>IFERROR((HLOOKUP($AH799,Target_monthwise!$D$4:$O$20,DTR!L$4,FALSE))*1000,0)</f>
        <v>0</v>
      </c>
      <c r="M799" s="141">
        <f>IFERROR((HLOOKUP($AH799,Target_monthwise!$D$4:$O$20,DTR!M$4,FALSE))*1000,0)</f>
        <v>0</v>
      </c>
      <c r="N799" s="141">
        <f>IFERROR((HLOOKUP($AH799,Target_monthwise!$D$4:$O$20,DTR!N$4,FALSE))*1000,0)</f>
        <v>0</v>
      </c>
      <c r="O799" s="141">
        <f>IFERROR((HLOOKUP($AH799,Target_monthwise!$D$4:$O$20,DTR!O$4,FALSE))*1000,0)</f>
        <v>0</v>
      </c>
      <c r="P799" s="141">
        <f>IFERROR((HLOOKUP($AH799,Target_monthwise!$D$4:$O$20,DTR!P$4,FALSE))*1000,0)</f>
        <v>0</v>
      </c>
      <c r="Q799" s="141">
        <f>IFERROR((HLOOKUP($AH799,Target_monthwise!$D$4:$O$20,DTR!Q$4,FALSE))*1000,0)</f>
        <v>0</v>
      </c>
      <c r="R799" s="167">
        <f>IFERROR((HLOOKUP($AH799,Target_monthwise!$D$4:$O$20,DTR!R$4,FALSE))*1000,0)</f>
        <v>0</v>
      </c>
      <c r="S799" s="147">
        <f>IFERROR((HLOOKUP($AH799,Target_monthwise!$D$24:$O$40,DTR!S$4,FALSE)),0)</f>
        <v>0</v>
      </c>
      <c r="T799" s="147">
        <f>IFERROR((HLOOKUP($AH799,Target_monthwise!$D$24:$O$40,DTR!T$4,FALSE)),0)</f>
        <v>0</v>
      </c>
      <c r="U799" s="147">
        <f>IFERROR((HLOOKUP($AH799,Target_monthwise!$D$24:$O$40,DTR!U$4,FALSE)),0)</f>
        <v>0</v>
      </c>
      <c r="V799" s="147">
        <f>IFERROR((HLOOKUP($AH799,Target_monthwise!$D$24:$O$40,DTR!V$4,FALSE)),0)</f>
        <v>0</v>
      </c>
      <c r="W799" s="147">
        <f>IFERROR((HLOOKUP($AH799,Target_monthwise!$D$24:$O$40,DTR!W$4,FALSE)),0)</f>
        <v>0</v>
      </c>
      <c r="X799" s="147">
        <f>IFERROR((HLOOKUP($AH799,Target_monthwise!$D$24:$O$40,DTR!X$4,FALSE)),0)</f>
        <v>0</v>
      </c>
      <c r="Y799" s="147">
        <f>IFERROR((HLOOKUP($AH799,Target_monthwise!$D$24:$O$40,DTR!Y$4,FALSE)),0)</f>
        <v>0</v>
      </c>
      <c r="Z799" s="147">
        <f>IFERROR((HLOOKUP($AH799,Target_monthwise!$D$24:$O$40,DTR!Z$4,FALSE)),0)</f>
        <v>0</v>
      </c>
      <c r="AA799" s="147">
        <f>IFERROR((HLOOKUP($AH799,Target_monthwise!$D$24:$O$40,DTR!AA$4,FALSE)),0)</f>
        <v>0</v>
      </c>
      <c r="AB799" s="147">
        <f>IFERROR((HLOOKUP($AH799,Target_monthwise!$D$24:$O$40,DTR!AB$4,FALSE)),0)</f>
        <v>0</v>
      </c>
      <c r="AC799" s="147">
        <f>IFERROR((HLOOKUP($AH799,Target_monthwise!$D$24:$O$40,DTR!AC$4,FALSE)),0)</f>
        <v>0</v>
      </c>
      <c r="AD799" s="147">
        <f>IFERROR((HLOOKUP($AH799,Target_monthwise!$D$24:$O$40,DTR!AD$4,FALSE)),0)</f>
        <v>0</v>
      </c>
      <c r="AE799" s="147">
        <f>IFERROR((HLOOKUP($AH799,Target_monthwise!$D$24:$O$40,DTR!AE$4,FALSE)),0)</f>
        <v>0</v>
      </c>
      <c r="AF799" s="147">
        <f>IFERROR((HLOOKUP($AH799,Target_monthwise!$D$24:$O$40,DTR!AF$4,FALSE)),0)</f>
        <v>0</v>
      </c>
      <c r="AG799" s="172">
        <f>IFERROR((HLOOKUP($AH799,Target_monthwise!$D$24:$O$40,DTR!AG$4,FALSE)),0)</f>
        <v>0</v>
      </c>
      <c r="AH799" s="253">
        <f t="shared" si="14"/>
        <v>202405</v>
      </c>
    </row>
    <row r="800" spans="3:34" ht="15.75" hidden="1">
      <c r="C800" s="237">
        <v>45443</v>
      </c>
      <c r="D800" s="238">
        <f>IFERROR((HLOOKUP($AH800,Target_monthwise!$D$4:$O$20,DTR!D$4,FALSE))*1000,0)</f>
        <v>0</v>
      </c>
      <c r="E800" s="238">
        <f>IFERROR((HLOOKUP($AH800,Target_monthwise!$D$4:$O$20,DTR!E$4,FALSE))*1000,0)</f>
        <v>0</v>
      </c>
      <c r="F800" s="238">
        <f>IFERROR((HLOOKUP($AH800,Target_monthwise!$D$4:$O$20,DTR!F$4,FALSE))*1000,0)</f>
        <v>0</v>
      </c>
      <c r="G800" s="238">
        <f>IFERROR((HLOOKUP($AH800,Target_monthwise!$D$4:$O$20,DTR!G$4,FALSE))*1000,0)</f>
        <v>0</v>
      </c>
      <c r="H800" s="238">
        <f>IFERROR((HLOOKUP($AH800,Target_monthwise!$D$4:$O$20,DTR!H$4,FALSE))*1000,0)</f>
        <v>0</v>
      </c>
      <c r="I800" s="238">
        <f>IFERROR((HLOOKUP($AH800,Target_monthwise!$D$4:$O$20,DTR!I$4,FALSE))*1000,0)</f>
        <v>0</v>
      </c>
      <c r="J800" s="238">
        <f>IFERROR((HLOOKUP($AH800,Target_monthwise!$D$4:$O$20,DTR!J$4,FALSE))*1000,0)</f>
        <v>0</v>
      </c>
      <c r="K800" s="238">
        <f>IFERROR((HLOOKUP($AH800,Target_monthwise!$D$4:$O$20,DTR!K$4,FALSE))*1000,0)</f>
        <v>0</v>
      </c>
      <c r="L800" s="238">
        <f>IFERROR((HLOOKUP($AH800,Target_monthwise!$D$4:$O$20,DTR!L$4,FALSE))*1000,0)</f>
        <v>0</v>
      </c>
      <c r="M800" s="238">
        <f>IFERROR((HLOOKUP($AH800,Target_monthwise!$D$4:$O$20,DTR!M$4,FALSE))*1000,0)</f>
        <v>0</v>
      </c>
      <c r="N800" s="238">
        <f>IFERROR((HLOOKUP($AH800,Target_monthwise!$D$4:$O$20,DTR!N$4,FALSE))*1000,0)</f>
        <v>0</v>
      </c>
      <c r="O800" s="238">
        <f>IFERROR((HLOOKUP($AH800,Target_monthwise!$D$4:$O$20,DTR!O$4,FALSE))*1000,0)</f>
        <v>0</v>
      </c>
      <c r="P800" s="238">
        <f>IFERROR((HLOOKUP($AH800,Target_monthwise!$D$4:$O$20,DTR!P$4,FALSE))*1000,0)</f>
        <v>0</v>
      </c>
      <c r="Q800" s="141">
        <f>IFERROR((HLOOKUP($AH800,Target_monthwise!$D$4:$O$20,DTR!Q$4,FALSE))*1000,0)</f>
        <v>0</v>
      </c>
      <c r="R800" s="167">
        <f>IFERROR((HLOOKUP($AH800,Target_monthwise!$D$4:$O$20,DTR!R$4,FALSE))*1000,0)</f>
        <v>0</v>
      </c>
      <c r="S800" s="239">
        <f>IFERROR((HLOOKUP($AH800,Target_monthwise!$D$24:$O$40,DTR!S$4,FALSE)),0)</f>
        <v>0</v>
      </c>
      <c r="T800" s="239">
        <f>IFERROR((HLOOKUP($AH800,Target_monthwise!$D$24:$O$40,DTR!T$4,FALSE)),0)</f>
        <v>0</v>
      </c>
      <c r="U800" s="239">
        <f>IFERROR((HLOOKUP($AH800,Target_monthwise!$D$24:$O$40,DTR!U$4,FALSE)),0)</f>
        <v>0</v>
      </c>
      <c r="V800" s="239">
        <f>IFERROR((HLOOKUP($AH800,Target_monthwise!$D$24:$O$40,DTR!V$4,FALSE)),0)</f>
        <v>0</v>
      </c>
      <c r="W800" s="239">
        <f>IFERROR((HLOOKUP($AH800,Target_monthwise!$D$24:$O$40,DTR!W$4,FALSE)),0)</f>
        <v>0</v>
      </c>
      <c r="X800" s="239">
        <f>IFERROR((HLOOKUP($AH800,Target_monthwise!$D$24:$O$40,DTR!X$4,FALSE)),0)</f>
        <v>0</v>
      </c>
      <c r="Y800" s="239">
        <f>IFERROR((HLOOKUP($AH800,Target_monthwise!$D$24:$O$40,DTR!Y$4,FALSE)),0)</f>
        <v>0</v>
      </c>
      <c r="Z800" s="147">
        <f>IFERROR((HLOOKUP($AH800,Target_monthwise!$D$24:$O$40,DTR!Z$4,FALSE)),0)</f>
        <v>0</v>
      </c>
      <c r="AA800" s="147">
        <f>IFERROR((HLOOKUP($AH800,Target_monthwise!$D$24:$O$40,DTR!AA$4,FALSE)),0)</f>
        <v>0</v>
      </c>
      <c r="AB800" s="147">
        <f>IFERROR((HLOOKUP($AH800,Target_monthwise!$D$24:$O$40,DTR!AB$4,FALSE)),0)</f>
        <v>0</v>
      </c>
      <c r="AC800" s="239">
        <f>IFERROR((HLOOKUP($AH800,Target_monthwise!$D$24:$O$40,DTR!AC$4,FALSE)),0)</f>
        <v>0</v>
      </c>
      <c r="AD800" s="239">
        <f>IFERROR((HLOOKUP($AH800,Target_monthwise!$D$24:$O$40,DTR!AD$4,FALSE)),0)</f>
        <v>0</v>
      </c>
      <c r="AE800" s="239">
        <f>IFERROR((HLOOKUP($AH800,Target_monthwise!$D$24:$O$40,DTR!AE$4,FALSE)),0)</f>
        <v>0</v>
      </c>
      <c r="AF800" s="239">
        <f>IFERROR((HLOOKUP($AH800,Target_monthwise!$D$24:$O$40,DTR!AF$4,FALSE)),0)</f>
        <v>0</v>
      </c>
      <c r="AG800" s="172">
        <f>IFERROR((HLOOKUP($AH800,Target_monthwise!$D$24:$O$40,DTR!AG$4,FALSE)),0)</f>
        <v>0</v>
      </c>
      <c r="AH800" s="253">
        <f t="shared" si="14"/>
        <v>202405</v>
      </c>
    </row>
    <row r="801" spans="3:34" ht="15.75" hidden="1">
      <c r="C801" s="235">
        <v>45444</v>
      </c>
      <c r="D801" s="141">
        <f>IFERROR((HLOOKUP($AH801,Target_monthwise!$D$4:$O$20,DTR!D$4,FALSE))*1000,0)</f>
        <v>0</v>
      </c>
      <c r="E801" s="141">
        <f>IFERROR((HLOOKUP($AH801,Target_monthwise!$D$4:$O$20,DTR!E$4,FALSE))*1000,0)</f>
        <v>0</v>
      </c>
      <c r="F801" s="141">
        <f>IFERROR((HLOOKUP($AH801,Target_monthwise!$D$4:$O$20,DTR!F$4,FALSE))*1000,0)</f>
        <v>0</v>
      </c>
      <c r="G801" s="141">
        <f>IFERROR((HLOOKUP($AH801,Target_monthwise!$D$4:$O$20,DTR!G$4,FALSE))*1000,0)</f>
        <v>0</v>
      </c>
      <c r="H801" s="141">
        <f>IFERROR((HLOOKUP($AH801,Target_monthwise!$D$4:$O$20,DTR!H$4,FALSE))*1000,0)</f>
        <v>0</v>
      </c>
      <c r="I801" s="141">
        <f>IFERROR((HLOOKUP($AH801,Target_monthwise!$D$4:$O$20,DTR!I$4,FALSE))*1000,0)</f>
        <v>0</v>
      </c>
      <c r="J801" s="141">
        <f>IFERROR((HLOOKUP($AH801,Target_monthwise!$D$4:$O$20,DTR!J$4,FALSE))*1000,0)</f>
        <v>0</v>
      </c>
      <c r="K801" s="141">
        <f>IFERROR((HLOOKUP($AH801,Target_monthwise!$D$4:$O$20,DTR!K$4,FALSE))*1000,0)</f>
        <v>0</v>
      </c>
      <c r="L801" s="141">
        <f>IFERROR((HLOOKUP($AH801,Target_monthwise!$D$4:$O$20,DTR!L$4,FALSE))*1000,0)</f>
        <v>0</v>
      </c>
      <c r="M801" s="141">
        <f>IFERROR((HLOOKUP($AH801,Target_monthwise!$D$4:$O$20,DTR!M$4,FALSE))*1000,0)</f>
        <v>0</v>
      </c>
      <c r="N801" s="141">
        <f>IFERROR((HLOOKUP($AH801,Target_monthwise!$D$4:$O$20,DTR!N$4,FALSE))*1000,0)</f>
        <v>0</v>
      </c>
      <c r="O801" s="141">
        <f>IFERROR((HLOOKUP($AH801,Target_monthwise!$D$4:$O$20,DTR!O$4,FALSE))*1000,0)</f>
        <v>0</v>
      </c>
      <c r="P801" s="141">
        <f>IFERROR((HLOOKUP($AH801,Target_monthwise!$D$4:$O$20,DTR!P$4,FALSE))*1000,0)</f>
        <v>0</v>
      </c>
      <c r="Q801" s="141">
        <f>IFERROR((HLOOKUP($AH801,Target_monthwise!$D$4:$O$20,DTR!Q$4,FALSE))*1000,0)</f>
        <v>0</v>
      </c>
      <c r="R801" s="167">
        <f>IFERROR((HLOOKUP($AH801,Target_monthwise!$D$4:$O$20,DTR!R$4,FALSE))*1000,0)</f>
        <v>0</v>
      </c>
      <c r="S801" s="147">
        <f>IFERROR((HLOOKUP($AH801,Target_monthwise!$D$24:$O$40,DTR!S$4,FALSE)),0)</f>
        <v>0</v>
      </c>
      <c r="T801" s="147">
        <f>IFERROR((HLOOKUP($AH801,Target_monthwise!$D$24:$O$40,DTR!T$4,FALSE)),0)</f>
        <v>0</v>
      </c>
      <c r="U801" s="147">
        <f>IFERROR((HLOOKUP($AH801,Target_monthwise!$D$24:$O$40,DTR!U$4,FALSE)),0)</f>
        <v>0</v>
      </c>
      <c r="V801" s="147">
        <f>IFERROR((HLOOKUP($AH801,Target_monthwise!$D$24:$O$40,DTR!V$4,FALSE)),0)</f>
        <v>0</v>
      </c>
      <c r="W801" s="147">
        <f>IFERROR((HLOOKUP($AH801,Target_monthwise!$D$24:$O$40,DTR!W$4,FALSE)),0)</f>
        <v>0</v>
      </c>
      <c r="X801" s="147">
        <f>IFERROR((HLOOKUP($AH801,Target_monthwise!$D$24:$O$40,DTR!X$4,FALSE)),0)</f>
        <v>0</v>
      </c>
      <c r="Y801" s="147">
        <f>IFERROR((HLOOKUP($AH801,Target_monthwise!$D$24:$O$40,DTR!Y$4,FALSE)),0)</f>
        <v>0</v>
      </c>
      <c r="Z801" s="147">
        <f>IFERROR((HLOOKUP($AH801,Target_monthwise!$D$24:$O$40,DTR!Z$4,FALSE)),0)</f>
        <v>0</v>
      </c>
      <c r="AA801" s="147">
        <f>IFERROR((HLOOKUP($AH801,Target_monthwise!$D$24:$O$40,DTR!AA$4,FALSE)),0)</f>
        <v>0</v>
      </c>
      <c r="AB801" s="147">
        <f>IFERROR((HLOOKUP($AH801,Target_monthwise!$D$24:$O$40,DTR!AB$4,FALSE)),0)</f>
        <v>0</v>
      </c>
      <c r="AC801" s="147">
        <f>IFERROR((HLOOKUP($AH801,Target_monthwise!$D$24:$O$40,DTR!AC$4,FALSE)),0)</f>
        <v>0</v>
      </c>
      <c r="AD801" s="147">
        <f>IFERROR((HLOOKUP($AH801,Target_monthwise!$D$24:$O$40,DTR!AD$4,FALSE)),0)</f>
        <v>0</v>
      </c>
      <c r="AE801" s="147">
        <f>IFERROR((HLOOKUP($AH801,Target_monthwise!$D$24:$O$40,DTR!AE$4,FALSE)),0)</f>
        <v>0</v>
      </c>
      <c r="AF801" s="147">
        <f>IFERROR((HLOOKUP($AH801,Target_monthwise!$D$24:$O$40,DTR!AF$4,FALSE)),0)</f>
        <v>0</v>
      </c>
      <c r="AG801" s="172">
        <f>IFERROR((HLOOKUP($AH801,Target_monthwise!$D$24:$O$40,DTR!AG$4,FALSE)),0)</f>
        <v>0</v>
      </c>
      <c r="AH801" s="253">
        <f t="shared" si="14"/>
        <v>202406</v>
      </c>
    </row>
    <row r="802" spans="3:34" ht="15.75" hidden="1">
      <c r="C802" s="237">
        <v>45445</v>
      </c>
      <c r="D802" s="238">
        <f>IFERROR((HLOOKUP($AH802,Target_monthwise!$D$4:$O$20,DTR!D$4,FALSE))*1000,0)</f>
        <v>0</v>
      </c>
      <c r="E802" s="238">
        <f>IFERROR((HLOOKUP($AH802,Target_monthwise!$D$4:$O$20,DTR!E$4,FALSE))*1000,0)</f>
        <v>0</v>
      </c>
      <c r="F802" s="238">
        <f>IFERROR((HLOOKUP($AH802,Target_monthwise!$D$4:$O$20,DTR!F$4,FALSE))*1000,0)</f>
        <v>0</v>
      </c>
      <c r="G802" s="238">
        <f>IFERROR((HLOOKUP($AH802,Target_monthwise!$D$4:$O$20,DTR!G$4,FALSE))*1000,0)</f>
        <v>0</v>
      </c>
      <c r="H802" s="238">
        <f>IFERROR((HLOOKUP($AH802,Target_monthwise!$D$4:$O$20,DTR!H$4,FALSE))*1000,0)</f>
        <v>0</v>
      </c>
      <c r="I802" s="238">
        <f>IFERROR((HLOOKUP($AH802,Target_monthwise!$D$4:$O$20,DTR!I$4,FALSE))*1000,0)</f>
        <v>0</v>
      </c>
      <c r="J802" s="238">
        <f>IFERROR((HLOOKUP($AH802,Target_monthwise!$D$4:$O$20,DTR!J$4,FALSE))*1000,0)</f>
        <v>0</v>
      </c>
      <c r="K802" s="238">
        <f>IFERROR((HLOOKUP($AH802,Target_monthwise!$D$4:$O$20,DTR!K$4,FALSE))*1000,0)</f>
        <v>0</v>
      </c>
      <c r="L802" s="238">
        <f>IFERROR((HLOOKUP($AH802,Target_monthwise!$D$4:$O$20,DTR!L$4,FALSE))*1000,0)</f>
        <v>0</v>
      </c>
      <c r="M802" s="238">
        <f>IFERROR((HLOOKUP($AH802,Target_monthwise!$D$4:$O$20,DTR!M$4,FALSE))*1000,0)</f>
        <v>0</v>
      </c>
      <c r="N802" s="238">
        <f>IFERROR((HLOOKUP($AH802,Target_monthwise!$D$4:$O$20,DTR!N$4,FALSE))*1000,0)</f>
        <v>0</v>
      </c>
      <c r="O802" s="238">
        <f>IFERROR((HLOOKUP($AH802,Target_monthwise!$D$4:$O$20,DTR!O$4,FALSE))*1000,0)</f>
        <v>0</v>
      </c>
      <c r="P802" s="238">
        <f>IFERROR((HLOOKUP($AH802,Target_monthwise!$D$4:$O$20,DTR!P$4,FALSE))*1000,0)</f>
        <v>0</v>
      </c>
      <c r="Q802" s="141">
        <f>IFERROR((HLOOKUP($AH802,Target_monthwise!$D$4:$O$20,DTR!Q$4,FALSE))*1000,0)</f>
        <v>0</v>
      </c>
      <c r="R802" s="167">
        <f>IFERROR((HLOOKUP($AH802,Target_monthwise!$D$4:$O$20,DTR!R$4,FALSE))*1000,0)</f>
        <v>0</v>
      </c>
      <c r="S802" s="239">
        <f>IFERROR((HLOOKUP($AH802,Target_monthwise!$D$24:$O$40,DTR!S$4,FALSE)),0)</f>
        <v>0</v>
      </c>
      <c r="T802" s="239">
        <f>IFERROR((HLOOKUP($AH802,Target_monthwise!$D$24:$O$40,DTR!T$4,FALSE)),0)</f>
        <v>0</v>
      </c>
      <c r="U802" s="239">
        <f>IFERROR((HLOOKUP($AH802,Target_monthwise!$D$24:$O$40,DTR!U$4,FALSE)),0)</f>
        <v>0</v>
      </c>
      <c r="V802" s="239">
        <f>IFERROR((HLOOKUP($AH802,Target_monthwise!$D$24:$O$40,DTR!V$4,FALSE)),0)</f>
        <v>0</v>
      </c>
      <c r="W802" s="239">
        <f>IFERROR((HLOOKUP($AH802,Target_monthwise!$D$24:$O$40,DTR!W$4,FALSE)),0)</f>
        <v>0</v>
      </c>
      <c r="X802" s="239">
        <f>IFERROR((HLOOKUP($AH802,Target_monthwise!$D$24:$O$40,DTR!X$4,FALSE)),0)</f>
        <v>0</v>
      </c>
      <c r="Y802" s="239">
        <f>IFERROR((HLOOKUP($AH802,Target_monthwise!$D$24:$O$40,DTR!Y$4,FALSE)),0)</f>
        <v>0</v>
      </c>
      <c r="Z802" s="147">
        <f>IFERROR((HLOOKUP($AH802,Target_monthwise!$D$24:$O$40,DTR!Z$4,FALSE)),0)</f>
        <v>0</v>
      </c>
      <c r="AA802" s="147">
        <f>IFERROR((HLOOKUP($AH802,Target_monthwise!$D$24:$O$40,DTR!AA$4,FALSE)),0)</f>
        <v>0</v>
      </c>
      <c r="AB802" s="147">
        <f>IFERROR((HLOOKUP($AH802,Target_monthwise!$D$24:$O$40,DTR!AB$4,FALSE)),0)</f>
        <v>0</v>
      </c>
      <c r="AC802" s="239">
        <f>IFERROR((HLOOKUP($AH802,Target_monthwise!$D$24:$O$40,DTR!AC$4,FALSE)),0)</f>
        <v>0</v>
      </c>
      <c r="AD802" s="239">
        <f>IFERROR((HLOOKUP($AH802,Target_monthwise!$D$24:$O$40,DTR!AD$4,FALSE)),0)</f>
        <v>0</v>
      </c>
      <c r="AE802" s="239">
        <f>IFERROR((HLOOKUP($AH802,Target_monthwise!$D$24:$O$40,DTR!AE$4,FALSE)),0)</f>
        <v>0</v>
      </c>
      <c r="AF802" s="239">
        <f>IFERROR((HLOOKUP($AH802,Target_monthwise!$D$24:$O$40,DTR!AF$4,FALSE)),0)</f>
        <v>0</v>
      </c>
      <c r="AG802" s="172">
        <f>IFERROR((HLOOKUP($AH802,Target_monthwise!$D$24:$O$40,DTR!AG$4,FALSE)),0)</f>
        <v>0</v>
      </c>
      <c r="AH802" s="253">
        <f t="shared" si="14"/>
        <v>202406</v>
      </c>
    </row>
    <row r="803" spans="3:34" ht="15.75" hidden="1">
      <c r="C803" s="235">
        <v>45446</v>
      </c>
      <c r="D803" s="141">
        <f>IFERROR((HLOOKUP($AH803,Target_monthwise!$D$4:$O$20,DTR!D$4,FALSE))*1000,0)</f>
        <v>0</v>
      </c>
      <c r="E803" s="141">
        <f>IFERROR((HLOOKUP($AH803,Target_monthwise!$D$4:$O$20,DTR!E$4,FALSE))*1000,0)</f>
        <v>0</v>
      </c>
      <c r="F803" s="141">
        <f>IFERROR((HLOOKUP($AH803,Target_monthwise!$D$4:$O$20,DTR!F$4,FALSE))*1000,0)</f>
        <v>0</v>
      </c>
      <c r="G803" s="141">
        <f>IFERROR((HLOOKUP($AH803,Target_monthwise!$D$4:$O$20,DTR!G$4,FALSE))*1000,0)</f>
        <v>0</v>
      </c>
      <c r="H803" s="141">
        <f>IFERROR((HLOOKUP($AH803,Target_monthwise!$D$4:$O$20,DTR!H$4,FALSE))*1000,0)</f>
        <v>0</v>
      </c>
      <c r="I803" s="141">
        <f>IFERROR((HLOOKUP($AH803,Target_monthwise!$D$4:$O$20,DTR!I$4,FALSE))*1000,0)</f>
        <v>0</v>
      </c>
      <c r="J803" s="141">
        <f>IFERROR((HLOOKUP($AH803,Target_monthwise!$D$4:$O$20,DTR!J$4,FALSE))*1000,0)</f>
        <v>0</v>
      </c>
      <c r="K803" s="141">
        <f>IFERROR((HLOOKUP($AH803,Target_monthwise!$D$4:$O$20,DTR!K$4,FALSE))*1000,0)</f>
        <v>0</v>
      </c>
      <c r="L803" s="141">
        <f>IFERROR((HLOOKUP($AH803,Target_monthwise!$D$4:$O$20,DTR!L$4,FALSE))*1000,0)</f>
        <v>0</v>
      </c>
      <c r="M803" s="141">
        <f>IFERROR((HLOOKUP($AH803,Target_monthwise!$D$4:$O$20,DTR!M$4,FALSE))*1000,0)</f>
        <v>0</v>
      </c>
      <c r="N803" s="141">
        <f>IFERROR((HLOOKUP($AH803,Target_monthwise!$D$4:$O$20,DTR!N$4,FALSE))*1000,0)</f>
        <v>0</v>
      </c>
      <c r="O803" s="141">
        <f>IFERROR((HLOOKUP($AH803,Target_monthwise!$D$4:$O$20,DTR!O$4,FALSE))*1000,0)</f>
        <v>0</v>
      </c>
      <c r="P803" s="141">
        <f>IFERROR((HLOOKUP($AH803,Target_monthwise!$D$4:$O$20,DTR!P$4,FALSE))*1000,0)</f>
        <v>0</v>
      </c>
      <c r="Q803" s="141">
        <f>IFERROR((HLOOKUP($AH803,Target_monthwise!$D$4:$O$20,DTR!Q$4,FALSE))*1000,0)</f>
        <v>0</v>
      </c>
      <c r="R803" s="167">
        <f>IFERROR((HLOOKUP($AH803,Target_monthwise!$D$4:$O$20,DTR!R$4,FALSE))*1000,0)</f>
        <v>0</v>
      </c>
      <c r="S803" s="147">
        <f>IFERROR((HLOOKUP($AH803,Target_monthwise!$D$24:$O$40,DTR!S$4,FALSE)),0)</f>
        <v>0</v>
      </c>
      <c r="T803" s="147">
        <f>IFERROR((HLOOKUP($AH803,Target_monthwise!$D$24:$O$40,DTR!T$4,FALSE)),0)</f>
        <v>0</v>
      </c>
      <c r="U803" s="147">
        <f>IFERROR((HLOOKUP($AH803,Target_monthwise!$D$24:$O$40,DTR!U$4,FALSE)),0)</f>
        <v>0</v>
      </c>
      <c r="V803" s="147">
        <f>IFERROR((HLOOKUP($AH803,Target_monthwise!$D$24:$O$40,DTR!V$4,FALSE)),0)</f>
        <v>0</v>
      </c>
      <c r="W803" s="147">
        <f>IFERROR((HLOOKUP($AH803,Target_monthwise!$D$24:$O$40,DTR!W$4,FALSE)),0)</f>
        <v>0</v>
      </c>
      <c r="X803" s="147">
        <f>IFERROR((HLOOKUP($AH803,Target_monthwise!$D$24:$O$40,DTR!X$4,FALSE)),0)</f>
        <v>0</v>
      </c>
      <c r="Y803" s="147">
        <f>IFERROR((HLOOKUP($AH803,Target_monthwise!$D$24:$O$40,DTR!Y$4,FALSE)),0)</f>
        <v>0</v>
      </c>
      <c r="Z803" s="147">
        <f>IFERROR((HLOOKUP($AH803,Target_monthwise!$D$24:$O$40,DTR!Z$4,FALSE)),0)</f>
        <v>0</v>
      </c>
      <c r="AA803" s="147">
        <f>IFERROR((HLOOKUP($AH803,Target_monthwise!$D$24:$O$40,DTR!AA$4,FALSE)),0)</f>
        <v>0</v>
      </c>
      <c r="AB803" s="147">
        <f>IFERROR((HLOOKUP($AH803,Target_monthwise!$D$24:$O$40,DTR!AB$4,FALSE)),0)</f>
        <v>0</v>
      </c>
      <c r="AC803" s="147">
        <f>IFERROR((HLOOKUP($AH803,Target_monthwise!$D$24:$O$40,DTR!AC$4,FALSE)),0)</f>
        <v>0</v>
      </c>
      <c r="AD803" s="147">
        <f>IFERROR((HLOOKUP($AH803,Target_monthwise!$D$24:$O$40,DTR!AD$4,FALSE)),0)</f>
        <v>0</v>
      </c>
      <c r="AE803" s="147">
        <f>IFERROR((HLOOKUP($AH803,Target_monthwise!$D$24:$O$40,DTR!AE$4,FALSE)),0)</f>
        <v>0</v>
      </c>
      <c r="AF803" s="147">
        <f>IFERROR((HLOOKUP($AH803,Target_monthwise!$D$24:$O$40,DTR!AF$4,FALSE)),0)</f>
        <v>0</v>
      </c>
      <c r="AG803" s="172">
        <f>IFERROR((HLOOKUP($AH803,Target_monthwise!$D$24:$O$40,DTR!AG$4,FALSE)),0)</f>
        <v>0</v>
      </c>
      <c r="AH803" s="253">
        <f t="shared" si="14"/>
        <v>202406</v>
      </c>
    </row>
    <row r="804" spans="3:34" ht="15.75" hidden="1">
      <c r="C804" s="237">
        <v>45447</v>
      </c>
      <c r="D804" s="238">
        <f>IFERROR((HLOOKUP($AH804,Target_monthwise!$D$4:$O$20,DTR!D$4,FALSE))*1000,0)</f>
        <v>0</v>
      </c>
      <c r="E804" s="238">
        <f>IFERROR((HLOOKUP($AH804,Target_monthwise!$D$4:$O$20,DTR!E$4,FALSE))*1000,0)</f>
        <v>0</v>
      </c>
      <c r="F804" s="238">
        <f>IFERROR((HLOOKUP($AH804,Target_monthwise!$D$4:$O$20,DTR!F$4,FALSE))*1000,0)</f>
        <v>0</v>
      </c>
      <c r="G804" s="238">
        <f>IFERROR((HLOOKUP($AH804,Target_monthwise!$D$4:$O$20,DTR!G$4,FALSE))*1000,0)</f>
        <v>0</v>
      </c>
      <c r="H804" s="238">
        <f>IFERROR((HLOOKUP($AH804,Target_monthwise!$D$4:$O$20,DTR!H$4,FALSE))*1000,0)</f>
        <v>0</v>
      </c>
      <c r="I804" s="238">
        <f>IFERROR((HLOOKUP($AH804,Target_monthwise!$D$4:$O$20,DTR!I$4,FALSE))*1000,0)</f>
        <v>0</v>
      </c>
      <c r="J804" s="238">
        <f>IFERROR((HLOOKUP($AH804,Target_monthwise!$D$4:$O$20,DTR!J$4,FALSE))*1000,0)</f>
        <v>0</v>
      </c>
      <c r="K804" s="238">
        <f>IFERROR((HLOOKUP($AH804,Target_monthwise!$D$4:$O$20,DTR!K$4,FALSE))*1000,0)</f>
        <v>0</v>
      </c>
      <c r="L804" s="238">
        <f>IFERROR((HLOOKUP($AH804,Target_monthwise!$D$4:$O$20,DTR!L$4,FALSE))*1000,0)</f>
        <v>0</v>
      </c>
      <c r="M804" s="238">
        <f>IFERROR((HLOOKUP($AH804,Target_monthwise!$D$4:$O$20,DTR!M$4,FALSE))*1000,0)</f>
        <v>0</v>
      </c>
      <c r="N804" s="238">
        <f>IFERROR((HLOOKUP($AH804,Target_monthwise!$D$4:$O$20,DTR!N$4,FALSE))*1000,0)</f>
        <v>0</v>
      </c>
      <c r="O804" s="238">
        <f>IFERROR((HLOOKUP($AH804,Target_monthwise!$D$4:$O$20,DTR!O$4,FALSE))*1000,0)</f>
        <v>0</v>
      </c>
      <c r="P804" s="238">
        <f>IFERROR((HLOOKUP($AH804,Target_monthwise!$D$4:$O$20,DTR!P$4,FALSE))*1000,0)</f>
        <v>0</v>
      </c>
      <c r="Q804" s="141">
        <f>IFERROR((HLOOKUP($AH804,Target_monthwise!$D$4:$O$20,DTR!Q$4,FALSE))*1000,0)</f>
        <v>0</v>
      </c>
      <c r="R804" s="167">
        <f>IFERROR((HLOOKUP($AH804,Target_monthwise!$D$4:$O$20,DTR!R$4,FALSE))*1000,0)</f>
        <v>0</v>
      </c>
      <c r="S804" s="239">
        <f>IFERROR((HLOOKUP($AH804,Target_monthwise!$D$24:$O$40,DTR!S$4,FALSE)),0)</f>
        <v>0</v>
      </c>
      <c r="T804" s="239">
        <f>IFERROR((HLOOKUP($AH804,Target_monthwise!$D$24:$O$40,DTR!T$4,FALSE)),0)</f>
        <v>0</v>
      </c>
      <c r="U804" s="239">
        <f>IFERROR((HLOOKUP($AH804,Target_monthwise!$D$24:$O$40,DTR!U$4,FALSE)),0)</f>
        <v>0</v>
      </c>
      <c r="V804" s="239">
        <f>IFERROR((HLOOKUP($AH804,Target_monthwise!$D$24:$O$40,DTR!V$4,FALSE)),0)</f>
        <v>0</v>
      </c>
      <c r="W804" s="239">
        <f>IFERROR((HLOOKUP($AH804,Target_monthwise!$D$24:$O$40,DTR!W$4,FALSE)),0)</f>
        <v>0</v>
      </c>
      <c r="X804" s="239">
        <f>IFERROR((HLOOKUP($AH804,Target_monthwise!$D$24:$O$40,DTR!X$4,FALSE)),0)</f>
        <v>0</v>
      </c>
      <c r="Y804" s="239">
        <f>IFERROR((HLOOKUP($AH804,Target_monthwise!$D$24:$O$40,DTR!Y$4,FALSE)),0)</f>
        <v>0</v>
      </c>
      <c r="Z804" s="147">
        <f>IFERROR((HLOOKUP($AH804,Target_monthwise!$D$24:$O$40,DTR!Z$4,FALSE)),0)</f>
        <v>0</v>
      </c>
      <c r="AA804" s="147">
        <f>IFERROR((HLOOKUP($AH804,Target_monthwise!$D$24:$O$40,DTR!AA$4,FALSE)),0)</f>
        <v>0</v>
      </c>
      <c r="AB804" s="147">
        <f>IFERROR((HLOOKUP($AH804,Target_monthwise!$D$24:$O$40,DTR!AB$4,FALSE)),0)</f>
        <v>0</v>
      </c>
      <c r="AC804" s="239">
        <f>IFERROR((HLOOKUP($AH804,Target_monthwise!$D$24:$O$40,DTR!AC$4,FALSE)),0)</f>
        <v>0</v>
      </c>
      <c r="AD804" s="239">
        <f>IFERROR((HLOOKUP($AH804,Target_monthwise!$D$24:$O$40,DTR!AD$4,FALSE)),0)</f>
        <v>0</v>
      </c>
      <c r="AE804" s="239">
        <f>IFERROR((HLOOKUP($AH804,Target_monthwise!$D$24:$O$40,DTR!AE$4,FALSE)),0)</f>
        <v>0</v>
      </c>
      <c r="AF804" s="239">
        <f>IFERROR((HLOOKUP($AH804,Target_monthwise!$D$24:$O$40,DTR!AF$4,FALSE)),0)</f>
        <v>0</v>
      </c>
      <c r="AG804" s="172">
        <f>IFERROR((HLOOKUP($AH804,Target_monthwise!$D$24:$O$40,DTR!AG$4,FALSE)),0)</f>
        <v>0</v>
      </c>
      <c r="AH804" s="253">
        <f t="shared" si="14"/>
        <v>202406</v>
      </c>
    </row>
    <row r="805" spans="3:34" ht="15.75" hidden="1">
      <c r="C805" s="235">
        <v>45448</v>
      </c>
      <c r="D805" s="141">
        <f>IFERROR((HLOOKUP($AH805,Target_monthwise!$D$4:$O$20,DTR!D$4,FALSE))*1000,0)</f>
        <v>0</v>
      </c>
      <c r="E805" s="141">
        <f>IFERROR((HLOOKUP($AH805,Target_monthwise!$D$4:$O$20,DTR!E$4,FALSE))*1000,0)</f>
        <v>0</v>
      </c>
      <c r="F805" s="141">
        <f>IFERROR((HLOOKUP($AH805,Target_monthwise!$D$4:$O$20,DTR!F$4,FALSE))*1000,0)</f>
        <v>0</v>
      </c>
      <c r="G805" s="141">
        <f>IFERROR((HLOOKUP($AH805,Target_monthwise!$D$4:$O$20,DTR!G$4,FALSE))*1000,0)</f>
        <v>0</v>
      </c>
      <c r="H805" s="141">
        <f>IFERROR((HLOOKUP($AH805,Target_monthwise!$D$4:$O$20,DTR!H$4,FALSE))*1000,0)</f>
        <v>0</v>
      </c>
      <c r="I805" s="141">
        <f>IFERROR((HLOOKUP($AH805,Target_monthwise!$D$4:$O$20,DTR!I$4,FALSE))*1000,0)</f>
        <v>0</v>
      </c>
      <c r="J805" s="141">
        <f>IFERROR((HLOOKUP($AH805,Target_monthwise!$D$4:$O$20,DTR!J$4,FALSE))*1000,0)</f>
        <v>0</v>
      </c>
      <c r="K805" s="141">
        <f>IFERROR((HLOOKUP($AH805,Target_monthwise!$D$4:$O$20,DTR!K$4,FALSE))*1000,0)</f>
        <v>0</v>
      </c>
      <c r="L805" s="141">
        <f>IFERROR((HLOOKUP($AH805,Target_monthwise!$D$4:$O$20,DTR!L$4,FALSE))*1000,0)</f>
        <v>0</v>
      </c>
      <c r="M805" s="141">
        <f>IFERROR((HLOOKUP($AH805,Target_monthwise!$D$4:$O$20,DTR!M$4,FALSE))*1000,0)</f>
        <v>0</v>
      </c>
      <c r="N805" s="141">
        <f>IFERROR((HLOOKUP($AH805,Target_monthwise!$D$4:$O$20,DTR!N$4,FALSE))*1000,0)</f>
        <v>0</v>
      </c>
      <c r="O805" s="141">
        <f>IFERROR((HLOOKUP($AH805,Target_monthwise!$D$4:$O$20,DTR!O$4,FALSE))*1000,0)</f>
        <v>0</v>
      </c>
      <c r="P805" s="141">
        <f>IFERROR((HLOOKUP($AH805,Target_monthwise!$D$4:$O$20,DTR!P$4,FALSE))*1000,0)</f>
        <v>0</v>
      </c>
      <c r="Q805" s="141">
        <f>IFERROR((HLOOKUP($AH805,Target_monthwise!$D$4:$O$20,DTR!Q$4,FALSE))*1000,0)</f>
        <v>0</v>
      </c>
      <c r="R805" s="167">
        <f>IFERROR((HLOOKUP($AH805,Target_monthwise!$D$4:$O$20,DTR!R$4,FALSE))*1000,0)</f>
        <v>0</v>
      </c>
      <c r="S805" s="147">
        <f>IFERROR((HLOOKUP($AH805,Target_monthwise!$D$24:$O$40,DTR!S$4,FALSE)),0)</f>
        <v>0</v>
      </c>
      <c r="T805" s="147">
        <f>IFERROR((HLOOKUP($AH805,Target_monthwise!$D$24:$O$40,DTR!T$4,FALSE)),0)</f>
        <v>0</v>
      </c>
      <c r="U805" s="147">
        <f>IFERROR((HLOOKUP($AH805,Target_monthwise!$D$24:$O$40,DTR!U$4,FALSE)),0)</f>
        <v>0</v>
      </c>
      <c r="V805" s="147">
        <f>IFERROR((HLOOKUP($AH805,Target_monthwise!$D$24:$O$40,DTR!V$4,FALSE)),0)</f>
        <v>0</v>
      </c>
      <c r="W805" s="147">
        <f>IFERROR((HLOOKUP($AH805,Target_monthwise!$D$24:$O$40,DTR!W$4,FALSE)),0)</f>
        <v>0</v>
      </c>
      <c r="X805" s="147">
        <f>IFERROR((HLOOKUP($AH805,Target_monthwise!$D$24:$O$40,DTR!X$4,FALSE)),0)</f>
        <v>0</v>
      </c>
      <c r="Y805" s="147">
        <f>IFERROR((HLOOKUP($AH805,Target_monthwise!$D$24:$O$40,DTR!Y$4,FALSE)),0)</f>
        <v>0</v>
      </c>
      <c r="Z805" s="147">
        <f>IFERROR((HLOOKUP($AH805,Target_monthwise!$D$24:$O$40,DTR!Z$4,FALSE)),0)</f>
        <v>0</v>
      </c>
      <c r="AA805" s="147">
        <f>IFERROR((HLOOKUP($AH805,Target_monthwise!$D$24:$O$40,DTR!AA$4,FALSE)),0)</f>
        <v>0</v>
      </c>
      <c r="AB805" s="147">
        <f>IFERROR((HLOOKUP($AH805,Target_monthwise!$D$24:$O$40,DTR!AB$4,FALSE)),0)</f>
        <v>0</v>
      </c>
      <c r="AC805" s="147">
        <f>IFERROR((HLOOKUP($AH805,Target_monthwise!$D$24:$O$40,DTR!AC$4,FALSE)),0)</f>
        <v>0</v>
      </c>
      <c r="AD805" s="147">
        <f>IFERROR((HLOOKUP($AH805,Target_monthwise!$D$24:$O$40,DTR!AD$4,FALSE)),0)</f>
        <v>0</v>
      </c>
      <c r="AE805" s="147">
        <f>IFERROR((HLOOKUP($AH805,Target_monthwise!$D$24:$O$40,DTR!AE$4,FALSE)),0)</f>
        <v>0</v>
      </c>
      <c r="AF805" s="147">
        <f>IFERROR((HLOOKUP($AH805,Target_monthwise!$D$24:$O$40,DTR!AF$4,FALSE)),0)</f>
        <v>0</v>
      </c>
      <c r="AG805" s="172">
        <f>IFERROR((HLOOKUP($AH805,Target_monthwise!$D$24:$O$40,DTR!AG$4,FALSE)),0)</f>
        <v>0</v>
      </c>
      <c r="AH805" s="253">
        <f t="shared" si="14"/>
        <v>202406</v>
      </c>
    </row>
    <row r="806" spans="3:34" ht="15.75" hidden="1">
      <c r="C806" s="237">
        <v>45449</v>
      </c>
      <c r="D806" s="238">
        <f>IFERROR((HLOOKUP($AH806,Target_monthwise!$D$4:$O$20,DTR!D$4,FALSE))*1000,0)</f>
        <v>0</v>
      </c>
      <c r="E806" s="238">
        <f>IFERROR((HLOOKUP($AH806,Target_monthwise!$D$4:$O$20,DTR!E$4,FALSE))*1000,0)</f>
        <v>0</v>
      </c>
      <c r="F806" s="238">
        <f>IFERROR((HLOOKUP($AH806,Target_monthwise!$D$4:$O$20,DTR!F$4,FALSE))*1000,0)</f>
        <v>0</v>
      </c>
      <c r="G806" s="238">
        <f>IFERROR((HLOOKUP($AH806,Target_monthwise!$D$4:$O$20,DTR!G$4,FALSE))*1000,0)</f>
        <v>0</v>
      </c>
      <c r="H806" s="238">
        <f>IFERROR((HLOOKUP($AH806,Target_monthwise!$D$4:$O$20,DTR!H$4,FALSE))*1000,0)</f>
        <v>0</v>
      </c>
      <c r="I806" s="238">
        <f>IFERROR((HLOOKUP($AH806,Target_monthwise!$D$4:$O$20,DTR!I$4,FALSE))*1000,0)</f>
        <v>0</v>
      </c>
      <c r="J806" s="238">
        <f>IFERROR((HLOOKUP($AH806,Target_monthwise!$D$4:$O$20,DTR!J$4,FALSE))*1000,0)</f>
        <v>0</v>
      </c>
      <c r="K806" s="238">
        <f>IFERROR((HLOOKUP($AH806,Target_monthwise!$D$4:$O$20,DTR!K$4,FALSE))*1000,0)</f>
        <v>0</v>
      </c>
      <c r="L806" s="238">
        <f>IFERROR((HLOOKUP($AH806,Target_monthwise!$D$4:$O$20,DTR!L$4,FALSE))*1000,0)</f>
        <v>0</v>
      </c>
      <c r="M806" s="238">
        <f>IFERROR((HLOOKUP($AH806,Target_monthwise!$D$4:$O$20,DTR!M$4,FALSE))*1000,0)</f>
        <v>0</v>
      </c>
      <c r="N806" s="238">
        <f>IFERROR((HLOOKUP($AH806,Target_monthwise!$D$4:$O$20,DTR!N$4,FALSE))*1000,0)</f>
        <v>0</v>
      </c>
      <c r="O806" s="238">
        <f>IFERROR((HLOOKUP($AH806,Target_monthwise!$D$4:$O$20,DTR!O$4,FALSE))*1000,0)</f>
        <v>0</v>
      </c>
      <c r="P806" s="238">
        <f>IFERROR((HLOOKUP($AH806,Target_monthwise!$D$4:$O$20,DTR!P$4,FALSE))*1000,0)</f>
        <v>0</v>
      </c>
      <c r="Q806" s="141">
        <f>IFERROR((HLOOKUP($AH806,Target_monthwise!$D$4:$O$20,DTR!Q$4,FALSE))*1000,0)</f>
        <v>0</v>
      </c>
      <c r="R806" s="167">
        <f>IFERROR((HLOOKUP($AH806,Target_monthwise!$D$4:$O$20,DTR!R$4,FALSE))*1000,0)</f>
        <v>0</v>
      </c>
      <c r="S806" s="239">
        <f>IFERROR((HLOOKUP($AH806,Target_monthwise!$D$24:$O$40,DTR!S$4,FALSE)),0)</f>
        <v>0</v>
      </c>
      <c r="T806" s="239">
        <f>IFERROR((HLOOKUP($AH806,Target_monthwise!$D$24:$O$40,DTR!T$4,FALSE)),0)</f>
        <v>0</v>
      </c>
      <c r="U806" s="239">
        <f>IFERROR((HLOOKUP($AH806,Target_monthwise!$D$24:$O$40,DTR!U$4,FALSE)),0)</f>
        <v>0</v>
      </c>
      <c r="V806" s="239">
        <f>IFERROR((HLOOKUP($AH806,Target_monthwise!$D$24:$O$40,DTR!V$4,FALSE)),0)</f>
        <v>0</v>
      </c>
      <c r="W806" s="239">
        <f>IFERROR((HLOOKUP($AH806,Target_monthwise!$D$24:$O$40,DTR!W$4,FALSE)),0)</f>
        <v>0</v>
      </c>
      <c r="X806" s="239">
        <f>IFERROR((HLOOKUP($AH806,Target_monthwise!$D$24:$O$40,DTR!X$4,FALSE)),0)</f>
        <v>0</v>
      </c>
      <c r="Y806" s="239">
        <f>IFERROR((HLOOKUP($AH806,Target_monthwise!$D$24:$O$40,DTR!Y$4,FALSE)),0)</f>
        <v>0</v>
      </c>
      <c r="Z806" s="147">
        <f>IFERROR((HLOOKUP($AH806,Target_monthwise!$D$24:$O$40,DTR!Z$4,FALSE)),0)</f>
        <v>0</v>
      </c>
      <c r="AA806" s="147">
        <f>IFERROR((HLOOKUP($AH806,Target_monthwise!$D$24:$O$40,DTR!AA$4,FALSE)),0)</f>
        <v>0</v>
      </c>
      <c r="AB806" s="147">
        <f>IFERROR((HLOOKUP($AH806,Target_monthwise!$D$24:$O$40,DTR!AB$4,FALSE)),0)</f>
        <v>0</v>
      </c>
      <c r="AC806" s="239">
        <f>IFERROR((HLOOKUP($AH806,Target_monthwise!$D$24:$O$40,DTR!AC$4,FALSE)),0)</f>
        <v>0</v>
      </c>
      <c r="AD806" s="239">
        <f>IFERROR((HLOOKUP($AH806,Target_monthwise!$D$24:$O$40,DTR!AD$4,FALSE)),0)</f>
        <v>0</v>
      </c>
      <c r="AE806" s="239">
        <f>IFERROR((HLOOKUP($AH806,Target_monthwise!$D$24:$O$40,DTR!AE$4,FALSE)),0)</f>
        <v>0</v>
      </c>
      <c r="AF806" s="239">
        <f>IFERROR((HLOOKUP($AH806,Target_monthwise!$D$24:$O$40,DTR!AF$4,FALSE)),0)</f>
        <v>0</v>
      </c>
      <c r="AG806" s="172">
        <f>IFERROR((HLOOKUP($AH806,Target_monthwise!$D$24:$O$40,DTR!AG$4,FALSE)),0)</f>
        <v>0</v>
      </c>
      <c r="AH806" s="253">
        <f t="shared" si="14"/>
        <v>202406</v>
      </c>
    </row>
    <row r="807" spans="3:34" ht="15.75" hidden="1">
      <c r="C807" s="235">
        <v>45450</v>
      </c>
      <c r="D807" s="141">
        <f>IFERROR((HLOOKUP($AH807,Target_monthwise!$D$4:$O$20,DTR!D$4,FALSE))*1000,0)</f>
        <v>0</v>
      </c>
      <c r="E807" s="141">
        <f>IFERROR((HLOOKUP($AH807,Target_monthwise!$D$4:$O$20,DTR!E$4,FALSE))*1000,0)</f>
        <v>0</v>
      </c>
      <c r="F807" s="141">
        <f>IFERROR((HLOOKUP($AH807,Target_monthwise!$D$4:$O$20,DTR!F$4,FALSE))*1000,0)</f>
        <v>0</v>
      </c>
      <c r="G807" s="141">
        <f>IFERROR((HLOOKUP($AH807,Target_monthwise!$D$4:$O$20,DTR!G$4,FALSE))*1000,0)</f>
        <v>0</v>
      </c>
      <c r="H807" s="141">
        <f>IFERROR((HLOOKUP($AH807,Target_monthwise!$D$4:$O$20,DTR!H$4,FALSE))*1000,0)</f>
        <v>0</v>
      </c>
      <c r="I807" s="141">
        <f>IFERROR((HLOOKUP($AH807,Target_monthwise!$D$4:$O$20,DTR!I$4,FALSE))*1000,0)</f>
        <v>0</v>
      </c>
      <c r="J807" s="141">
        <f>IFERROR((HLOOKUP($AH807,Target_monthwise!$D$4:$O$20,DTR!J$4,FALSE))*1000,0)</f>
        <v>0</v>
      </c>
      <c r="K807" s="141">
        <f>IFERROR((HLOOKUP($AH807,Target_monthwise!$D$4:$O$20,DTR!K$4,FALSE))*1000,0)</f>
        <v>0</v>
      </c>
      <c r="L807" s="141">
        <f>IFERROR((HLOOKUP($AH807,Target_monthwise!$D$4:$O$20,DTR!L$4,FALSE))*1000,0)</f>
        <v>0</v>
      </c>
      <c r="M807" s="141">
        <f>IFERROR((HLOOKUP($AH807,Target_monthwise!$D$4:$O$20,DTR!M$4,FALSE))*1000,0)</f>
        <v>0</v>
      </c>
      <c r="N807" s="141">
        <f>IFERROR((HLOOKUP($AH807,Target_monthwise!$D$4:$O$20,DTR!N$4,FALSE))*1000,0)</f>
        <v>0</v>
      </c>
      <c r="O807" s="141">
        <f>IFERROR((HLOOKUP($AH807,Target_monthwise!$D$4:$O$20,DTR!O$4,FALSE))*1000,0)</f>
        <v>0</v>
      </c>
      <c r="P807" s="141">
        <f>IFERROR((HLOOKUP($AH807,Target_monthwise!$D$4:$O$20,DTR!P$4,FALSE))*1000,0)</f>
        <v>0</v>
      </c>
      <c r="Q807" s="141">
        <f>IFERROR((HLOOKUP($AH807,Target_monthwise!$D$4:$O$20,DTR!Q$4,FALSE))*1000,0)</f>
        <v>0</v>
      </c>
      <c r="R807" s="167">
        <f>IFERROR((HLOOKUP($AH807,Target_monthwise!$D$4:$O$20,DTR!R$4,FALSE))*1000,0)</f>
        <v>0</v>
      </c>
      <c r="S807" s="147">
        <f>IFERROR((HLOOKUP($AH807,Target_monthwise!$D$24:$O$40,DTR!S$4,FALSE)),0)</f>
        <v>0</v>
      </c>
      <c r="T807" s="147">
        <f>IFERROR((HLOOKUP($AH807,Target_monthwise!$D$24:$O$40,DTR!T$4,FALSE)),0)</f>
        <v>0</v>
      </c>
      <c r="U807" s="147">
        <f>IFERROR((HLOOKUP($AH807,Target_monthwise!$D$24:$O$40,DTR!U$4,FALSE)),0)</f>
        <v>0</v>
      </c>
      <c r="V807" s="147">
        <f>IFERROR((HLOOKUP($AH807,Target_monthwise!$D$24:$O$40,DTR!V$4,FALSE)),0)</f>
        <v>0</v>
      </c>
      <c r="W807" s="147">
        <f>IFERROR((HLOOKUP($AH807,Target_monthwise!$D$24:$O$40,DTR!W$4,FALSE)),0)</f>
        <v>0</v>
      </c>
      <c r="X807" s="147">
        <f>IFERROR((HLOOKUP($AH807,Target_monthwise!$D$24:$O$40,DTR!X$4,FALSE)),0)</f>
        <v>0</v>
      </c>
      <c r="Y807" s="147">
        <f>IFERROR((HLOOKUP($AH807,Target_monthwise!$D$24:$O$40,DTR!Y$4,FALSE)),0)</f>
        <v>0</v>
      </c>
      <c r="Z807" s="147">
        <f>IFERROR((HLOOKUP($AH807,Target_monthwise!$D$24:$O$40,DTR!Z$4,FALSE)),0)</f>
        <v>0</v>
      </c>
      <c r="AA807" s="147">
        <f>IFERROR((HLOOKUP($AH807,Target_monthwise!$D$24:$O$40,DTR!AA$4,FALSE)),0)</f>
        <v>0</v>
      </c>
      <c r="AB807" s="147">
        <f>IFERROR((HLOOKUP($AH807,Target_monthwise!$D$24:$O$40,DTR!AB$4,FALSE)),0)</f>
        <v>0</v>
      </c>
      <c r="AC807" s="147">
        <f>IFERROR((HLOOKUP($AH807,Target_monthwise!$D$24:$O$40,DTR!AC$4,FALSE)),0)</f>
        <v>0</v>
      </c>
      <c r="AD807" s="147">
        <f>IFERROR((HLOOKUP($AH807,Target_monthwise!$D$24:$O$40,DTR!AD$4,FALSE)),0)</f>
        <v>0</v>
      </c>
      <c r="AE807" s="147">
        <f>IFERROR((HLOOKUP($AH807,Target_monthwise!$D$24:$O$40,DTR!AE$4,FALSE)),0)</f>
        <v>0</v>
      </c>
      <c r="AF807" s="147">
        <f>IFERROR((HLOOKUP($AH807,Target_monthwise!$D$24:$O$40,DTR!AF$4,FALSE)),0)</f>
        <v>0</v>
      </c>
      <c r="AG807" s="172">
        <f>IFERROR((HLOOKUP($AH807,Target_monthwise!$D$24:$O$40,DTR!AG$4,FALSE)),0)</f>
        <v>0</v>
      </c>
      <c r="AH807" s="253">
        <f t="shared" si="14"/>
        <v>202406</v>
      </c>
    </row>
    <row r="808" spans="3:34" ht="15.75" hidden="1">
      <c r="C808" s="237">
        <v>45451</v>
      </c>
      <c r="D808" s="238">
        <f>IFERROR((HLOOKUP($AH808,Target_monthwise!$D$4:$O$20,DTR!D$4,FALSE))*1000,0)</f>
        <v>0</v>
      </c>
      <c r="E808" s="238">
        <f>IFERROR((HLOOKUP($AH808,Target_monthwise!$D$4:$O$20,DTR!E$4,FALSE))*1000,0)</f>
        <v>0</v>
      </c>
      <c r="F808" s="238">
        <f>IFERROR((HLOOKUP($AH808,Target_monthwise!$D$4:$O$20,DTR!F$4,FALSE))*1000,0)</f>
        <v>0</v>
      </c>
      <c r="G808" s="238">
        <f>IFERROR((HLOOKUP($AH808,Target_monthwise!$D$4:$O$20,DTR!G$4,FALSE))*1000,0)</f>
        <v>0</v>
      </c>
      <c r="H808" s="238">
        <f>IFERROR((HLOOKUP($AH808,Target_monthwise!$D$4:$O$20,DTR!H$4,FALSE))*1000,0)</f>
        <v>0</v>
      </c>
      <c r="I808" s="238">
        <f>IFERROR((HLOOKUP($AH808,Target_monthwise!$D$4:$O$20,DTR!I$4,FALSE))*1000,0)</f>
        <v>0</v>
      </c>
      <c r="J808" s="238">
        <f>IFERROR((HLOOKUP($AH808,Target_monthwise!$D$4:$O$20,DTR!J$4,FALSE))*1000,0)</f>
        <v>0</v>
      </c>
      <c r="K808" s="238">
        <f>IFERROR((HLOOKUP($AH808,Target_monthwise!$D$4:$O$20,DTR!K$4,FALSE))*1000,0)</f>
        <v>0</v>
      </c>
      <c r="L808" s="238">
        <f>IFERROR((HLOOKUP($AH808,Target_monthwise!$D$4:$O$20,DTR!L$4,FALSE))*1000,0)</f>
        <v>0</v>
      </c>
      <c r="M808" s="238">
        <f>IFERROR((HLOOKUP($AH808,Target_monthwise!$D$4:$O$20,DTR!M$4,FALSE))*1000,0)</f>
        <v>0</v>
      </c>
      <c r="N808" s="238">
        <f>IFERROR((HLOOKUP($AH808,Target_monthwise!$D$4:$O$20,DTR!N$4,FALSE))*1000,0)</f>
        <v>0</v>
      </c>
      <c r="O808" s="238">
        <f>IFERROR((HLOOKUP($AH808,Target_monthwise!$D$4:$O$20,DTR!O$4,FALSE))*1000,0)</f>
        <v>0</v>
      </c>
      <c r="P808" s="238">
        <f>IFERROR((HLOOKUP($AH808,Target_monthwise!$D$4:$O$20,DTR!P$4,FALSE))*1000,0)</f>
        <v>0</v>
      </c>
      <c r="Q808" s="141">
        <f>IFERROR((HLOOKUP($AH808,Target_monthwise!$D$4:$O$20,DTR!Q$4,FALSE))*1000,0)</f>
        <v>0</v>
      </c>
      <c r="R808" s="167">
        <f>IFERROR((HLOOKUP($AH808,Target_monthwise!$D$4:$O$20,DTR!R$4,FALSE))*1000,0)</f>
        <v>0</v>
      </c>
      <c r="S808" s="239">
        <f>IFERROR((HLOOKUP($AH808,Target_monthwise!$D$24:$O$40,DTR!S$4,FALSE)),0)</f>
        <v>0</v>
      </c>
      <c r="T808" s="239">
        <f>IFERROR((HLOOKUP($AH808,Target_monthwise!$D$24:$O$40,DTR!T$4,FALSE)),0)</f>
        <v>0</v>
      </c>
      <c r="U808" s="239">
        <f>IFERROR((HLOOKUP($AH808,Target_monthwise!$D$24:$O$40,DTR!U$4,FALSE)),0)</f>
        <v>0</v>
      </c>
      <c r="V808" s="239">
        <f>IFERROR((HLOOKUP($AH808,Target_monthwise!$D$24:$O$40,DTR!V$4,FALSE)),0)</f>
        <v>0</v>
      </c>
      <c r="W808" s="239">
        <f>IFERROR((HLOOKUP($AH808,Target_monthwise!$D$24:$O$40,DTR!W$4,FALSE)),0)</f>
        <v>0</v>
      </c>
      <c r="X808" s="239">
        <f>IFERROR((HLOOKUP($AH808,Target_monthwise!$D$24:$O$40,DTR!X$4,FALSE)),0)</f>
        <v>0</v>
      </c>
      <c r="Y808" s="239">
        <f>IFERROR((HLOOKUP($AH808,Target_monthwise!$D$24:$O$40,DTR!Y$4,FALSE)),0)</f>
        <v>0</v>
      </c>
      <c r="Z808" s="147">
        <f>IFERROR((HLOOKUP($AH808,Target_monthwise!$D$24:$O$40,DTR!Z$4,FALSE)),0)</f>
        <v>0</v>
      </c>
      <c r="AA808" s="147">
        <f>IFERROR((HLOOKUP($AH808,Target_monthwise!$D$24:$O$40,DTR!AA$4,FALSE)),0)</f>
        <v>0</v>
      </c>
      <c r="AB808" s="147">
        <f>IFERROR((HLOOKUP($AH808,Target_monthwise!$D$24:$O$40,DTR!AB$4,FALSE)),0)</f>
        <v>0</v>
      </c>
      <c r="AC808" s="239">
        <f>IFERROR((HLOOKUP($AH808,Target_monthwise!$D$24:$O$40,DTR!AC$4,FALSE)),0)</f>
        <v>0</v>
      </c>
      <c r="AD808" s="239">
        <f>IFERROR((HLOOKUP($AH808,Target_monthwise!$D$24:$O$40,DTR!AD$4,FALSE)),0)</f>
        <v>0</v>
      </c>
      <c r="AE808" s="239">
        <f>IFERROR((HLOOKUP($AH808,Target_monthwise!$D$24:$O$40,DTR!AE$4,FALSE)),0)</f>
        <v>0</v>
      </c>
      <c r="AF808" s="239">
        <f>IFERROR((HLOOKUP($AH808,Target_monthwise!$D$24:$O$40,DTR!AF$4,FALSE)),0)</f>
        <v>0</v>
      </c>
      <c r="AG808" s="172">
        <f>IFERROR((HLOOKUP($AH808,Target_monthwise!$D$24:$O$40,DTR!AG$4,FALSE)),0)</f>
        <v>0</v>
      </c>
      <c r="AH808" s="253">
        <f t="shared" si="14"/>
        <v>202406</v>
      </c>
    </row>
    <row r="809" spans="3:34" ht="15.75" hidden="1">
      <c r="C809" s="235">
        <v>45452</v>
      </c>
      <c r="D809" s="141">
        <f>IFERROR((HLOOKUP($AH809,Target_monthwise!$D$4:$O$20,DTR!D$4,FALSE))*1000,0)</f>
        <v>0</v>
      </c>
      <c r="E809" s="141">
        <f>IFERROR((HLOOKUP($AH809,Target_monthwise!$D$4:$O$20,DTR!E$4,FALSE))*1000,0)</f>
        <v>0</v>
      </c>
      <c r="F809" s="141">
        <f>IFERROR((HLOOKUP($AH809,Target_monthwise!$D$4:$O$20,DTR!F$4,FALSE))*1000,0)</f>
        <v>0</v>
      </c>
      <c r="G809" s="141">
        <f>IFERROR((HLOOKUP($AH809,Target_monthwise!$D$4:$O$20,DTR!G$4,FALSE))*1000,0)</f>
        <v>0</v>
      </c>
      <c r="H809" s="141">
        <f>IFERROR((HLOOKUP($AH809,Target_monthwise!$D$4:$O$20,DTR!H$4,FALSE))*1000,0)</f>
        <v>0</v>
      </c>
      <c r="I809" s="141">
        <f>IFERROR((HLOOKUP($AH809,Target_monthwise!$D$4:$O$20,DTR!I$4,FALSE))*1000,0)</f>
        <v>0</v>
      </c>
      <c r="J809" s="141">
        <f>IFERROR((HLOOKUP($AH809,Target_monthwise!$D$4:$O$20,DTR!J$4,FALSE))*1000,0)</f>
        <v>0</v>
      </c>
      <c r="K809" s="141">
        <f>IFERROR((HLOOKUP($AH809,Target_monthwise!$D$4:$O$20,DTR!K$4,FALSE))*1000,0)</f>
        <v>0</v>
      </c>
      <c r="L809" s="141">
        <f>IFERROR((HLOOKUP($AH809,Target_monthwise!$D$4:$O$20,DTR!L$4,FALSE))*1000,0)</f>
        <v>0</v>
      </c>
      <c r="M809" s="141">
        <f>IFERROR((HLOOKUP($AH809,Target_monthwise!$D$4:$O$20,DTR!M$4,FALSE))*1000,0)</f>
        <v>0</v>
      </c>
      <c r="N809" s="141">
        <f>IFERROR((HLOOKUP($AH809,Target_monthwise!$D$4:$O$20,DTR!N$4,FALSE))*1000,0)</f>
        <v>0</v>
      </c>
      <c r="O809" s="141">
        <f>IFERROR((HLOOKUP($AH809,Target_monthwise!$D$4:$O$20,DTR!O$4,FALSE))*1000,0)</f>
        <v>0</v>
      </c>
      <c r="P809" s="141">
        <f>IFERROR((HLOOKUP($AH809,Target_monthwise!$D$4:$O$20,DTR!P$4,FALSE))*1000,0)</f>
        <v>0</v>
      </c>
      <c r="Q809" s="141">
        <f>IFERROR((HLOOKUP($AH809,Target_monthwise!$D$4:$O$20,DTR!Q$4,FALSE))*1000,0)</f>
        <v>0</v>
      </c>
      <c r="R809" s="167">
        <f>IFERROR((HLOOKUP($AH809,Target_monthwise!$D$4:$O$20,DTR!R$4,FALSE))*1000,0)</f>
        <v>0</v>
      </c>
      <c r="S809" s="147">
        <f>IFERROR((HLOOKUP($AH809,Target_monthwise!$D$24:$O$40,DTR!S$4,FALSE)),0)</f>
        <v>0</v>
      </c>
      <c r="T809" s="147">
        <f>IFERROR((HLOOKUP($AH809,Target_monthwise!$D$24:$O$40,DTR!T$4,FALSE)),0)</f>
        <v>0</v>
      </c>
      <c r="U809" s="147">
        <f>IFERROR((HLOOKUP($AH809,Target_monthwise!$D$24:$O$40,DTR!U$4,FALSE)),0)</f>
        <v>0</v>
      </c>
      <c r="V809" s="147">
        <f>IFERROR((HLOOKUP($AH809,Target_monthwise!$D$24:$O$40,DTR!V$4,FALSE)),0)</f>
        <v>0</v>
      </c>
      <c r="W809" s="147">
        <f>IFERROR((HLOOKUP($AH809,Target_monthwise!$D$24:$O$40,DTR!W$4,FALSE)),0)</f>
        <v>0</v>
      </c>
      <c r="X809" s="147">
        <f>IFERROR((HLOOKUP($AH809,Target_monthwise!$D$24:$O$40,DTR!X$4,FALSE)),0)</f>
        <v>0</v>
      </c>
      <c r="Y809" s="147">
        <f>IFERROR((HLOOKUP($AH809,Target_monthwise!$D$24:$O$40,DTR!Y$4,FALSE)),0)</f>
        <v>0</v>
      </c>
      <c r="Z809" s="147">
        <f>IFERROR((HLOOKUP($AH809,Target_monthwise!$D$24:$O$40,DTR!Z$4,FALSE)),0)</f>
        <v>0</v>
      </c>
      <c r="AA809" s="147">
        <f>IFERROR((HLOOKUP($AH809,Target_monthwise!$D$24:$O$40,DTR!AA$4,FALSE)),0)</f>
        <v>0</v>
      </c>
      <c r="AB809" s="147">
        <f>IFERROR((HLOOKUP($AH809,Target_monthwise!$D$24:$O$40,DTR!AB$4,FALSE)),0)</f>
        <v>0</v>
      </c>
      <c r="AC809" s="147">
        <f>IFERROR((HLOOKUP($AH809,Target_monthwise!$D$24:$O$40,DTR!AC$4,FALSE)),0)</f>
        <v>0</v>
      </c>
      <c r="AD809" s="147">
        <f>IFERROR((HLOOKUP($AH809,Target_monthwise!$D$24:$O$40,DTR!AD$4,FALSE)),0)</f>
        <v>0</v>
      </c>
      <c r="AE809" s="147">
        <f>IFERROR((HLOOKUP($AH809,Target_monthwise!$D$24:$O$40,DTR!AE$4,FALSE)),0)</f>
        <v>0</v>
      </c>
      <c r="AF809" s="147">
        <f>IFERROR((HLOOKUP($AH809,Target_monthwise!$D$24:$O$40,DTR!AF$4,FALSE)),0)</f>
        <v>0</v>
      </c>
      <c r="AG809" s="172">
        <f>IFERROR((HLOOKUP($AH809,Target_monthwise!$D$24:$O$40,DTR!AG$4,FALSE)),0)</f>
        <v>0</v>
      </c>
      <c r="AH809" s="253">
        <f t="shared" si="14"/>
        <v>202406</v>
      </c>
    </row>
    <row r="810" spans="3:34" ht="15.75" hidden="1">
      <c r="C810" s="237">
        <v>45453</v>
      </c>
      <c r="D810" s="238">
        <f>IFERROR((HLOOKUP($AH810,Target_monthwise!$D$4:$O$20,DTR!D$4,FALSE))*1000,0)</f>
        <v>0</v>
      </c>
      <c r="E810" s="238">
        <f>IFERROR((HLOOKUP($AH810,Target_monthwise!$D$4:$O$20,DTR!E$4,FALSE))*1000,0)</f>
        <v>0</v>
      </c>
      <c r="F810" s="238">
        <f>IFERROR((HLOOKUP($AH810,Target_monthwise!$D$4:$O$20,DTR!F$4,FALSE))*1000,0)</f>
        <v>0</v>
      </c>
      <c r="G810" s="238">
        <f>IFERROR((HLOOKUP($AH810,Target_monthwise!$D$4:$O$20,DTR!G$4,FALSE))*1000,0)</f>
        <v>0</v>
      </c>
      <c r="H810" s="238">
        <f>IFERROR((HLOOKUP($AH810,Target_monthwise!$D$4:$O$20,DTR!H$4,FALSE))*1000,0)</f>
        <v>0</v>
      </c>
      <c r="I810" s="238">
        <f>IFERROR((HLOOKUP($AH810,Target_monthwise!$D$4:$O$20,DTR!I$4,FALSE))*1000,0)</f>
        <v>0</v>
      </c>
      <c r="J810" s="238">
        <f>IFERROR((HLOOKUP($AH810,Target_monthwise!$D$4:$O$20,DTR!J$4,FALSE))*1000,0)</f>
        <v>0</v>
      </c>
      <c r="K810" s="238">
        <f>IFERROR((HLOOKUP($AH810,Target_monthwise!$D$4:$O$20,DTR!K$4,FALSE))*1000,0)</f>
        <v>0</v>
      </c>
      <c r="L810" s="238">
        <f>IFERROR((HLOOKUP($AH810,Target_monthwise!$D$4:$O$20,DTR!L$4,FALSE))*1000,0)</f>
        <v>0</v>
      </c>
      <c r="M810" s="238">
        <f>IFERROR((HLOOKUP($AH810,Target_monthwise!$D$4:$O$20,DTR!M$4,FALSE))*1000,0)</f>
        <v>0</v>
      </c>
      <c r="N810" s="238">
        <f>IFERROR((HLOOKUP($AH810,Target_monthwise!$D$4:$O$20,DTR!N$4,FALSE))*1000,0)</f>
        <v>0</v>
      </c>
      <c r="O810" s="238">
        <f>IFERROR((HLOOKUP($AH810,Target_monthwise!$D$4:$O$20,DTR!O$4,FALSE))*1000,0)</f>
        <v>0</v>
      </c>
      <c r="P810" s="238">
        <f>IFERROR((HLOOKUP($AH810,Target_monthwise!$D$4:$O$20,DTR!P$4,FALSE))*1000,0)</f>
        <v>0</v>
      </c>
      <c r="Q810" s="141">
        <f>IFERROR((HLOOKUP($AH810,Target_monthwise!$D$4:$O$20,DTR!Q$4,FALSE))*1000,0)</f>
        <v>0</v>
      </c>
      <c r="R810" s="167">
        <f>IFERROR((HLOOKUP($AH810,Target_monthwise!$D$4:$O$20,DTR!R$4,FALSE))*1000,0)</f>
        <v>0</v>
      </c>
      <c r="S810" s="239">
        <f>IFERROR((HLOOKUP($AH810,Target_monthwise!$D$24:$O$40,DTR!S$4,FALSE)),0)</f>
        <v>0</v>
      </c>
      <c r="T810" s="239">
        <f>IFERROR((HLOOKUP($AH810,Target_monthwise!$D$24:$O$40,DTR!T$4,FALSE)),0)</f>
        <v>0</v>
      </c>
      <c r="U810" s="239">
        <f>IFERROR((HLOOKUP($AH810,Target_monthwise!$D$24:$O$40,DTR!U$4,FALSE)),0)</f>
        <v>0</v>
      </c>
      <c r="V810" s="239">
        <f>IFERROR((HLOOKUP($AH810,Target_monthwise!$D$24:$O$40,DTR!V$4,FALSE)),0)</f>
        <v>0</v>
      </c>
      <c r="W810" s="239">
        <f>IFERROR((HLOOKUP($AH810,Target_monthwise!$D$24:$O$40,DTR!W$4,FALSE)),0)</f>
        <v>0</v>
      </c>
      <c r="X810" s="239">
        <f>IFERROR((HLOOKUP($AH810,Target_monthwise!$D$24:$O$40,DTR!X$4,FALSE)),0)</f>
        <v>0</v>
      </c>
      <c r="Y810" s="239">
        <f>IFERROR((HLOOKUP($AH810,Target_monthwise!$D$24:$O$40,DTR!Y$4,FALSE)),0)</f>
        <v>0</v>
      </c>
      <c r="Z810" s="147">
        <f>IFERROR((HLOOKUP($AH810,Target_monthwise!$D$24:$O$40,DTR!Z$4,FALSE)),0)</f>
        <v>0</v>
      </c>
      <c r="AA810" s="147">
        <f>IFERROR((HLOOKUP($AH810,Target_monthwise!$D$24:$O$40,DTR!AA$4,FALSE)),0)</f>
        <v>0</v>
      </c>
      <c r="AB810" s="147">
        <f>IFERROR((HLOOKUP($AH810,Target_monthwise!$D$24:$O$40,DTR!AB$4,FALSE)),0)</f>
        <v>0</v>
      </c>
      <c r="AC810" s="239">
        <f>IFERROR((HLOOKUP($AH810,Target_monthwise!$D$24:$O$40,DTR!AC$4,FALSE)),0)</f>
        <v>0</v>
      </c>
      <c r="AD810" s="239">
        <f>IFERROR((HLOOKUP($AH810,Target_monthwise!$D$24:$O$40,DTR!AD$4,FALSE)),0)</f>
        <v>0</v>
      </c>
      <c r="AE810" s="239">
        <f>IFERROR((HLOOKUP($AH810,Target_monthwise!$D$24:$O$40,DTR!AE$4,FALSE)),0)</f>
        <v>0</v>
      </c>
      <c r="AF810" s="239">
        <f>IFERROR((HLOOKUP($AH810,Target_monthwise!$D$24:$O$40,DTR!AF$4,FALSE)),0)</f>
        <v>0</v>
      </c>
      <c r="AG810" s="172">
        <f>IFERROR((HLOOKUP($AH810,Target_monthwise!$D$24:$O$40,DTR!AG$4,FALSE)),0)</f>
        <v>0</v>
      </c>
      <c r="AH810" s="253">
        <f t="shared" si="14"/>
        <v>202406</v>
      </c>
    </row>
    <row r="811" spans="3:34" ht="15.75" hidden="1">
      <c r="C811" s="235">
        <v>45454</v>
      </c>
      <c r="D811" s="141">
        <f>IFERROR((HLOOKUP($AH811,Target_monthwise!$D$4:$O$20,DTR!D$4,FALSE))*1000,0)</f>
        <v>0</v>
      </c>
      <c r="E811" s="141">
        <f>IFERROR((HLOOKUP($AH811,Target_monthwise!$D$4:$O$20,DTR!E$4,FALSE))*1000,0)</f>
        <v>0</v>
      </c>
      <c r="F811" s="141">
        <f>IFERROR((HLOOKUP($AH811,Target_monthwise!$D$4:$O$20,DTR!F$4,FALSE))*1000,0)</f>
        <v>0</v>
      </c>
      <c r="G811" s="141">
        <f>IFERROR((HLOOKUP($AH811,Target_monthwise!$D$4:$O$20,DTR!G$4,FALSE))*1000,0)</f>
        <v>0</v>
      </c>
      <c r="H811" s="141">
        <f>IFERROR((HLOOKUP($AH811,Target_monthwise!$D$4:$O$20,DTR!H$4,FALSE))*1000,0)</f>
        <v>0</v>
      </c>
      <c r="I811" s="141">
        <f>IFERROR((HLOOKUP($AH811,Target_monthwise!$D$4:$O$20,DTR!I$4,FALSE))*1000,0)</f>
        <v>0</v>
      </c>
      <c r="J811" s="141">
        <f>IFERROR((HLOOKUP($AH811,Target_monthwise!$D$4:$O$20,DTR!J$4,FALSE))*1000,0)</f>
        <v>0</v>
      </c>
      <c r="K811" s="141">
        <f>IFERROR((HLOOKUP($AH811,Target_monthwise!$D$4:$O$20,DTR!K$4,FALSE))*1000,0)</f>
        <v>0</v>
      </c>
      <c r="L811" s="141">
        <f>IFERROR((HLOOKUP($AH811,Target_monthwise!$D$4:$O$20,DTR!L$4,FALSE))*1000,0)</f>
        <v>0</v>
      </c>
      <c r="M811" s="141">
        <f>IFERROR((HLOOKUP($AH811,Target_monthwise!$D$4:$O$20,DTR!M$4,FALSE))*1000,0)</f>
        <v>0</v>
      </c>
      <c r="N811" s="141">
        <f>IFERROR((HLOOKUP($AH811,Target_monthwise!$D$4:$O$20,DTR!N$4,FALSE))*1000,0)</f>
        <v>0</v>
      </c>
      <c r="O811" s="141">
        <f>IFERROR((HLOOKUP($AH811,Target_monthwise!$D$4:$O$20,DTR!O$4,FALSE))*1000,0)</f>
        <v>0</v>
      </c>
      <c r="P811" s="141">
        <f>IFERROR((HLOOKUP($AH811,Target_monthwise!$D$4:$O$20,DTR!P$4,FALSE))*1000,0)</f>
        <v>0</v>
      </c>
      <c r="Q811" s="141">
        <f>IFERROR((HLOOKUP($AH811,Target_monthwise!$D$4:$O$20,DTR!Q$4,FALSE))*1000,0)</f>
        <v>0</v>
      </c>
      <c r="R811" s="167">
        <f>IFERROR((HLOOKUP($AH811,Target_monthwise!$D$4:$O$20,DTR!R$4,FALSE))*1000,0)</f>
        <v>0</v>
      </c>
      <c r="S811" s="147">
        <f>IFERROR((HLOOKUP($AH811,Target_monthwise!$D$24:$O$40,DTR!S$4,FALSE)),0)</f>
        <v>0</v>
      </c>
      <c r="T811" s="147">
        <f>IFERROR((HLOOKUP($AH811,Target_monthwise!$D$24:$O$40,DTR!T$4,FALSE)),0)</f>
        <v>0</v>
      </c>
      <c r="U811" s="147">
        <f>IFERROR((HLOOKUP($AH811,Target_monthwise!$D$24:$O$40,DTR!U$4,FALSE)),0)</f>
        <v>0</v>
      </c>
      <c r="V811" s="147">
        <f>IFERROR((HLOOKUP($AH811,Target_monthwise!$D$24:$O$40,DTR!V$4,FALSE)),0)</f>
        <v>0</v>
      </c>
      <c r="W811" s="147">
        <f>IFERROR((HLOOKUP($AH811,Target_monthwise!$D$24:$O$40,DTR!W$4,FALSE)),0)</f>
        <v>0</v>
      </c>
      <c r="X811" s="147">
        <f>IFERROR((HLOOKUP($AH811,Target_monthwise!$D$24:$O$40,DTR!X$4,FALSE)),0)</f>
        <v>0</v>
      </c>
      <c r="Y811" s="147">
        <f>IFERROR((HLOOKUP($AH811,Target_monthwise!$D$24:$O$40,DTR!Y$4,FALSE)),0)</f>
        <v>0</v>
      </c>
      <c r="Z811" s="147">
        <f>IFERROR((HLOOKUP($AH811,Target_monthwise!$D$24:$O$40,DTR!Z$4,FALSE)),0)</f>
        <v>0</v>
      </c>
      <c r="AA811" s="147">
        <f>IFERROR((HLOOKUP($AH811,Target_monthwise!$D$24:$O$40,DTR!AA$4,FALSE)),0)</f>
        <v>0</v>
      </c>
      <c r="AB811" s="147">
        <f>IFERROR((HLOOKUP($AH811,Target_monthwise!$D$24:$O$40,DTR!AB$4,FALSE)),0)</f>
        <v>0</v>
      </c>
      <c r="AC811" s="147">
        <f>IFERROR((HLOOKUP($AH811,Target_monthwise!$D$24:$O$40,DTR!AC$4,FALSE)),0)</f>
        <v>0</v>
      </c>
      <c r="AD811" s="147">
        <f>IFERROR((HLOOKUP($AH811,Target_monthwise!$D$24:$O$40,DTR!AD$4,FALSE)),0)</f>
        <v>0</v>
      </c>
      <c r="AE811" s="147">
        <f>IFERROR((HLOOKUP($AH811,Target_monthwise!$D$24:$O$40,DTR!AE$4,FALSE)),0)</f>
        <v>0</v>
      </c>
      <c r="AF811" s="147">
        <f>IFERROR((HLOOKUP($AH811,Target_monthwise!$D$24:$O$40,DTR!AF$4,FALSE)),0)</f>
        <v>0</v>
      </c>
      <c r="AG811" s="172">
        <f>IFERROR((HLOOKUP($AH811,Target_monthwise!$D$24:$O$40,DTR!AG$4,FALSE)),0)</f>
        <v>0</v>
      </c>
      <c r="AH811" s="253">
        <f t="shared" si="14"/>
        <v>202406</v>
      </c>
    </row>
    <row r="812" spans="3:34" ht="15.75" hidden="1">
      <c r="C812" s="237">
        <v>45455</v>
      </c>
      <c r="D812" s="238">
        <f>IFERROR((HLOOKUP($AH812,Target_monthwise!$D$4:$O$20,DTR!D$4,FALSE))*1000,0)</f>
        <v>0</v>
      </c>
      <c r="E812" s="238">
        <f>IFERROR((HLOOKUP($AH812,Target_monthwise!$D$4:$O$20,DTR!E$4,FALSE))*1000,0)</f>
        <v>0</v>
      </c>
      <c r="F812" s="238">
        <f>IFERROR((HLOOKUP($AH812,Target_monthwise!$D$4:$O$20,DTR!F$4,FALSE))*1000,0)</f>
        <v>0</v>
      </c>
      <c r="G812" s="238">
        <f>IFERROR((HLOOKUP($AH812,Target_monthwise!$D$4:$O$20,DTR!G$4,FALSE))*1000,0)</f>
        <v>0</v>
      </c>
      <c r="H812" s="238">
        <f>IFERROR((HLOOKUP($AH812,Target_monthwise!$D$4:$O$20,DTR!H$4,FALSE))*1000,0)</f>
        <v>0</v>
      </c>
      <c r="I812" s="238">
        <f>IFERROR((HLOOKUP($AH812,Target_monthwise!$D$4:$O$20,DTR!I$4,FALSE))*1000,0)</f>
        <v>0</v>
      </c>
      <c r="J812" s="238">
        <f>IFERROR((HLOOKUP($AH812,Target_monthwise!$D$4:$O$20,DTR!J$4,FALSE))*1000,0)</f>
        <v>0</v>
      </c>
      <c r="K812" s="238">
        <f>IFERROR((HLOOKUP($AH812,Target_monthwise!$D$4:$O$20,DTR!K$4,FALSE))*1000,0)</f>
        <v>0</v>
      </c>
      <c r="L812" s="238">
        <f>IFERROR((HLOOKUP($AH812,Target_monthwise!$D$4:$O$20,DTR!L$4,FALSE))*1000,0)</f>
        <v>0</v>
      </c>
      <c r="M812" s="238">
        <f>IFERROR((HLOOKUP($AH812,Target_monthwise!$D$4:$O$20,DTR!M$4,FALSE))*1000,0)</f>
        <v>0</v>
      </c>
      <c r="N812" s="238">
        <f>IFERROR((HLOOKUP($AH812,Target_monthwise!$D$4:$O$20,DTR!N$4,FALSE))*1000,0)</f>
        <v>0</v>
      </c>
      <c r="O812" s="238">
        <f>IFERROR((HLOOKUP($AH812,Target_monthwise!$D$4:$O$20,DTR!O$4,FALSE))*1000,0)</f>
        <v>0</v>
      </c>
      <c r="P812" s="238">
        <f>IFERROR((HLOOKUP($AH812,Target_monthwise!$D$4:$O$20,DTR!P$4,FALSE))*1000,0)</f>
        <v>0</v>
      </c>
      <c r="Q812" s="141">
        <f>IFERROR((HLOOKUP($AH812,Target_monthwise!$D$4:$O$20,DTR!Q$4,FALSE))*1000,0)</f>
        <v>0</v>
      </c>
      <c r="R812" s="167">
        <f>IFERROR((HLOOKUP($AH812,Target_monthwise!$D$4:$O$20,DTR!R$4,FALSE))*1000,0)</f>
        <v>0</v>
      </c>
      <c r="S812" s="239">
        <f>IFERROR((HLOOKUP($AH812,Target_monthwise!$D$24:$O$40,DTR!S$4,FALSE)),0)</f>
        <v>0</v>
      </c>
      <c r="T812" s="239">
        <f>IFERROR((HLOOKUP($AH812,Target_monthwise!$D$24:$O$40,DTR!T$4,FALSE)),0)</f>
        <v>0</v>
      </c>
      <c r="U812" s="239">
        <f>IFERROR((HLOOKUP($AH812,Target_monthwise!$D$24:$O$40,DTR!U$4,FALSE)),0)</f>
        <v>0</v>
      </c>
      <c r="V812" s="239">
        <f>IFERROR((HLOOKUP($AH812,Target_monthwise!$D$24:$O$40,DTR!V$4,FALSE)),0)</f>
        <v>0</v>
      </c>
      <c r="W812" s="239">
        <f>IFERROR((HLOOKUP($AH812,Target_monthwise!$D$24:$O$40,DTR!W$4,FALSE)),0)</f>
        <v>0</v>
      </c>
      <c r="X812" s="239">
        <f>IFERROR((HLOOKUP($AH812,Target_monthwise!$D$24:$O$40,DTR!X$4,FALSE)),0)</f>
        <v>0</v>
      </c>
      <c r="Y812" s="239">
        <f>IFERROR((HLOOKUP($AH812,Target_monthwise!$D$24:$O$40,DTR!Y$4,FALSE)),0)</f>
        <v>0</v>
      </c>
      <c r="Z812" s="147">
        <f>IFERROR((HLOOKUP($AH812,Target_monthwise!$D$24:$O$40,DTR!Z$4,FALSE)),0)</f>
        <v>0</v>
      </c>
      <c r="AA812" s="147">
        <f>IFERROR((HLOOKUP($AH812,Target_monthwise!$D$24:$O$40,DTR!AA$4,FALSE)),0)</f>
        <v>0</v>
      </c>
      <c r="AB812" s="147">
        <f>IFERROR((HLOOKUP($AH812,Target_monthwise!$D$24:$O$40,DTR!AB$4,FALSE)),0)</f>
        <v>0</v>
      </c>
      <c r="AC812" s="239">
        <f>IFERROR((HLOOKUP($AH812,Target_monthwise!$D$24:$O$40,DTR!AC$4,FALSE)),0)</f>
        <v>0</v>
      </c>
      <c r="AD812" s="239">
        <f>IFERROR((HLOOKUP($AH812,Target_monthwise!$D$24:$O$40,DTR!AD$4,FALSE)),0)</f>
        <v>0</v>
      </c>
      <c r="AE812" s="239">
        <f>IFERROR((HLOOKUP($AH812,Target_monthwise!$D$24:$O$40,DTR!AE$4,FALSE)),0)</f>
        <v>0</v>
      </c>
      <c r="AF812" s="239">
        <f>IFERROR((HLOOKUP($AH812,Target_monthwise!$D$24:$O$40,DTR!AF$4,FALSE)),0)</f>
        <v>0</v>
      </c>
      <c r="AG812" s="172">
        <f>IFERROR((HLOOKUP($AH812,Target_monthwise!$D$24:$O$40,DTR!AG$4,FALSE)),0)</f>
        <v>0</v>
      </c>
      <c r="AH812" s="253">
        <f t="shared" si="14"/>
        <v>202406</v>
      </c>
    </row>
    <row r="813" spans="3:34" ht="15.75" hidden="1">
      <c r="C813" s="235">
        <v>45456</v>
      </c>
      <c r="D813" s="141">
        <f>IFERROR((HLOOKUP($AH813,Target_monthwise!$D$4:$O$20,DTR!D$4,FALSE))*1000,0)</f>
        <v>0</v>
      </c>
      <c r="E813" s="141">
        <f>IFERROR((HLOOKUP($AH813,Target_monthwise!$D$4:$O$20,DTR!E$4,FALSE))*1000,0)</f>
        <v>0</v>
      </c>
      <c r="F813" s="141">
        <f>IFERROR((HLOOKUP($AH813,Target_monthwise!$D$4:$O$20,DTR!F$4,FALSE))*1000,0)</f>
        <v>0</v>
      </c>
      <c r="G813" s="141">
        <f>IFERROR((HLOOKUP($AH813,Target_monthwise!$D$4:$O$20,DTR!G$4,FALSE))*1000,0)</f>
        <v>0</v>
      </c>
      <c r="H813" s="141">
        <f>IFERROR((HLOOKUP($AH813,Target_monthwise!$D$4:$O$20,DTR!H$4,FALSE))*1000,0)</f>
        <v>0</v>
      </c>
      <c r="I813" s="141">
        <f>IFERROR((HLOOKUP($AH813,Target_monthwise!$D$4:$O$20,DTR!I$4,FALSE))*1000,0)</f>
        <v>0</v>
      </c>
      <c r="J813" s="141">
        <f>IFERROR((HLOOKUP($AH813,Target_monthwise!$D$4:$O$20,DTR!J$4,FALSE))*1000,0)</f>
        <v>0</v>
      </c>
      <c r="K813" s="141">
        <f>IFERROR((HLOOKUP($AH813,Target_monthwise!$D$4:$O$20,DTR!K$4,FALSE))*1000,0)</f>
        <v>0</v>
      </c>
      <c r="L813" s="141">
        <f>IFERROR((HLOOKUP($AH813,Target_monthwise!$D$4:$O$20,DTR!L$4,FALSE))*1000,0)</f>
        <v>0</v>
      </c>
      <c r="M813" s="141">
        <f>IFERROR((HLOOKUP($AH813,Target_monthwise!$D$4:$O$20,DTR!M$4,FALSE))*1000,0)</f>
        <v>0</v>
      </c>
      <c r="N813" s="141">
        <f>IFERROR((HLOOKUP($AH813,Target_monthwise!$D$4:$O$20,DTR!N$4,FALSE))*1000,0)</f>
        <v>0</v>
      </c>
      <c r="O813" s="141">
        <f>IFERROR((HLOOKUP($AH813,Target_monthwise!$D$4:$O$20,DTR!O$4,FALSE))*1000,0)</f>
        <v>0</v>
      </c>
      <c r="P813" s="141">
        <f>IFERROR((HLOOKUP($AH813,Target_monthwise!$D$4:$O$20,DTR!P$4,FALSE))*1000,0)</f>
        <v>0</v>
      </c>
      <c r="Q813" s="141">
        <f>IFERROR((HLOOKUP($AH813,Target_monthwise!$D$4:$O$20,DTR!Q$4,FALSE))*1000,0)</f>
        <v>0</v>
      </c>
      <c r="R813" s="167">
        <f>IFERROR((HLOOKUP($AH813,Target_monthwise!$D$4:$O$20,DTR!R$4,FALSE))*1000,0)</f>
        <v>0</v>
      </c>
      <c r="S813" s="147">
        <f>IFERROR((HLOOKUP($AH813,Target_monthwise!$D$24:$O$40,DTR!S$4,FALSE)),0)</f>
        <v>0</v>
      </c>
      <c r="T813" s="147">
        <f>IFERROR((HLOOKUP($AH813,Target_monthwise!$D$24:$O$40,DTR!T$4,FALSE)),0)</f>
        <v>0</v>
      </c>
      <c r="U813" s="147">
        <f>IFERROR((HLOOKUP($AH813,Target_monthwise!$D$24:$O$40,DTR!U$4,FALSE)),0)</f>
        <v>0</v>
      </c>
      <c r="V813" s="147">
        <f>IFERROR((HLOOKUP($AH813,Target_monthwise!$D$24:$O$40,DTR!V$4,FALSE)),0)</f>
        <v>0</v>
      </c>
      <c r="W813" s="147">
        <f>IFERROR((HLOOKUP($AH813,Target_monthwise!$D$24:$O$40,DTR!W$4,FALSE)),0)</f>
        <v>0</v>
      </c>
      <c r="X813" s="147">
        <f>IFERROR((HLOOKUP($AH813,Target_monthwise!$D$24:$O$40,DTR!X$4,FALSE)),0)</f>
        <v>0</v>
      </c>
      <c r="Y813" s="147">
        <f>IFERROR((HLOOKUP($AH813,Target_monthwise!$D$24:$O$40,DTR!Y$4,FALSE)),0)</f>
        <v>0</v>
      </c>
      <c r="Z813" s="147">
        <f>IFERROR((HLOOKUP($AH813,Target_monthwise!$D$24:$O$40,DTR!Z$4,FALSE)),0)</f>
        <v>0</v>
      </c>
      <c r="AA813" s="147">
        <f>IFERROR((HLOOKUP($AH813,Target_monthwise!$D$24:$O$40,DTR!AA$4,FALSE)),0)</f>
        <v>0</v>
      </c>
      <c r="AB813" s="147">
        <f>IFERROR((HLOOKUP($AH813,Target_monthwise!$D$24:$O$40,DTR!AB$4,FALSE)),0)</f>
        <v>0</v>
      </c>
      <c r="AC813" s="147">
        <f>IFERROR((HLOOKUP($AH813,Target_monthwise!$D$24:$O$40,DTR!AC$4,FALSE)),0)</f>
        <v>0</v>
      </c>
      <c r="AD813" s="147">
        <f>IFERROR((HLOOKUP($AH813,Target_monthwise!$D$24:$O$40,DTR!AD$4,FALSE)),0)</f>
        <v>0</v>
      </c>
      <c r="AE813" s="147">
        <f>IFERROR((HLOOKUP($AH813,Target_monthwise!$D$24:$O$40,DTR!AE$4,FALSE)),0)</f>
        <v>0</v>
      </c>
      <c r="AF813" s="147">
        <f>IFERROR((HLOOKUP($AH813,Target_monthwise!$D$24:$O$40,DTR!AF$4,FALSE)),0)</f>
        <v>0</v>
      </c>
      <c r="AG813" s="172">
        <f>IFERROR((HLOOKUP($AH813,Target_monthwise!$D$24:$O$40,DTR!AG$4,FALSE)),0)</f>
        <v>0</v>
      </c>
      <c r="AH813" s="253">
        <f t="shared" si="14"/>
        <v>202406</v>
      </c>
    </row>
    <row r="814" spans="3:34" ht="15.75" hidden="1">
      <c r="C814" s="237">
        <v>45457</v>
      </c>
      <c r="D814" s="238">
        <f>IFERROR((HLOOKUP($AH814,Target_monthwise!$D$4:$O$20,DTR!D$4,FALSE))*1000,0)</f>
        <v>0</v>
      </c>
      <c r="E814" s="238">
        <f>IFERROR((HLOOKUP($AH814,Target_monthwise!$D$4:$O$20,DTR!E$4,FALSE))*1000,0)</f>
        <v>0</v>
      </c>
      <c r="F814" s="238">
        <f>IFERROR((HLOOKUP($AH814,Target_monthwise!$D$4:$O$20,DTR!F$4,FALSE))*1000,0)</f>
        <v>0</v>
      </c>
      <c r="G814" s="238">
        <f>IFERROR((HLOOKUP($AH814,Target_monthwise!$D$4:$O$20,DTR!G$4,FALSE))*1000,0)</f>
        <v>0</v>
      </c>
      <c r="H814" s="238">
        <f>IFERROR((HLOOKUP($AH814,Target_monthwise!$D$4:$O$20,DTR!H$4,FALSE))*1000,0)</f>
        <v>0</v>
      </c>
      <c r="I814" s="238">
        <f>IFERROR((HLOOKUP($AH814,Target_monthwise!$D$4:$O$20,DTR!I$4,FALSE))*1000,0)</f>
        <v>0</v>
      </c>
      <c r="J814" s="238">
        <f>IFERROR((HLOOKUP($AH814,Target_monthwise!$D$4:$O$20,DTR!J$4,FALSE))*1000,0)</f>
        <v>0</v>
      </c>
      <c r="K814" s="238">
        <f>IFERROR((HLOOKUP($AH814,Target_monthwise!$D$4:$O$20,DTR!K$4,FALSE))*1000,0)</f>
        <v>0</v>
      </c>
      <c r="L814" s="238">
        <f>IFERROR((HLOOKUP($AH814,Target_monthwise!$D$4:$O$20,DTR!L$4,FALSE))*1000,0)</f>
        <v>0</v>
      </c>
      <c r="M814" s="238">
        <f>IFERROR((HLOOKUP($AH814,Target_monthwise!$D$4:$O$20,DTR!M$4,FALSE))*1000,0)</f>
        <v>0</v>
      </c>
      <c r="N814" s="238">
        <f>IFERROR((HLOOKUP($AH814,Target_monthwise!$D$4:$O$20,DTR!N$4,FALSE))*1000,0)</f>
        <v>0</v>
      </c>
      <c r="O814" s="238">
        <f>IFERROR((HLOOKUP($AH814,Target_monthwise!$D$4:$O$20,DTR!O$4,FALSE))*1000,0)</f>
        <v>0</v>
      </c>
      <c r="P814" s="238">
        <f>IFERROR((HLOOKUP($AH814,Target_monthwise!$D$4:$O$20,DTR!P$4,FALSE))*1000,0)</f>
        <v>0</v>
      </c>
      <c r="Q814" s="141">
        <f>IFERROR((HLOOKUP($AH814,Target_monthwise!$D$4:$O$20,DTR!Q$4,FALSE))*1000,0)</f>
        <v>0</v>
      </c>
      <c r="R814" s="167">
        <f>IFERROR((HLOOKUP($AH814,Target_monthwise!$D$4:$O$20,DTR!R$4,FALSE))*1000,0)</f>
        <v>0</v>
      </c>
      <c r="S814" s="239">
        <f>IFERROR((HLOOKUP($AH814,Target_monthwise!$D$24:$O$40,DTR!S$4,FALSE)),0)</f>
        <v>0</v>
      </c>
      <c r="T814" s="239">
        <f>IFERROR((HLOOKUP($AH814,Target_monthwise!$D$24:$O$40,DTR!T$4,FALSE)),0)</f>
        <v>0</v>
      </c>
      <c r="U814" s="239">
        <f>IFERROR((HLOOKUP($AH814,Target_monthwise!$D$24:$O$40,DTR!U$4,FALSE)),0)</f>
        <v>0</v>
      </c>
      <c r="V814" s="239">
        <f>IFERROR((HLOOKUP($AH814,Target_monthwise!$D$24:$O$40,DTR!V$4,FALSE)),0)</f>
        <v>0</v>
      </c>
      <c r="W814" s="239">
        <f>IFERROR((HLOOKUP($AH814,Target_monthwise!$D$24:$O$40,DTR!W$4,FALSE)),0)</f>
        <v>0</v>
      </c>
      <c r="X814" s="239">
        <f>IFERROR((HLOOKUP($AH814,Target_monthwise!$D$24:$O$40,DTR!X$4,FALSE)),0)</f>
        <v>0</v>
      </c>
      <c r="Y814" s="239">
        <f>IFERROR((HLOOKUP($AH814,Target_monthwise!$D$24:$O$40,DTR!Y$4,FALSE)),0)</f>
        <v>0</v>
      </c>
      <c r="Z814" s="147">
        <f>IFERROR((HLOOKUP($AH814,Target_monthwise!$D$24:$O$40,DTR!Z$4,FALSE)),0)</f>
        <v>0</v>
      </c>
      <c r="AA814" s="147">
        <f>IFERROR((HLOOKUP($AH814,Target_monthwise!$D$24:$O$40,DTR!AA$4,FALSE)),0)</f>
        <v>0</v>
      </c>
      <c r="AB814" s="147">
        <f>IFERROR((HLOOKUP($AH814,Target_monthwise!$D$24:$O$40,DTR!AB$4,FALSE)),0)</f>
        <v>0</v>
      </c>
      <c r="AC814" s="239">
        <f>IFERROR((HLOOKUP($AH814,Target_monthwise!$D$24:$O$40,DTR!AC$4,FALSE)),0)</f>
        <v>0</v>
      </c>
      <c r="AD814" s="239">
        <f>IFERROR((HLOOKUP($AH814,Target_monthwise!$D$24:$O$40,DTR!AD$4,FALSE)),0)</f>
        <v>0</v>
      </c>
      <c r="AE814" s="239">
        <f>IFERROR((HLOOKUP($AH814,Target_monthwise!$D$24:$O$40,DTR!AE$4,FALSE)),0)</f>
        <v>0</v>
      </c>
      <c r="AF814" s="239">
        <f>IFERROR((HLOOKUP($AH814,Target_monthwise!$D$24:$O$40,DTR!AF$4,FALSE)),0)</f>
        <v>0</v>
      </c>
      <c r="AG814" s="172">
        <f>IFERROR((HLOOKUP($AH814,Target_monthwise!$D$24:$O$40,DTR!AG$4,FALSE)),0)</f>
        <v>0</v>
      </c>
      <c r="AH814" s="253">
        <f t="shared" si="14"/>
        <v>202406</v>
      </c>
    </row>
    <row r="815" spans="3:34" ht="15.75" hidden="1">
      <c r="C815" s="235">
        <v>45458</v>
      </c>
      <c r="D815" s="141">
        <f>IFERROR((HLOOKUP($AH815,Target_monthwise!$D$4:$O$20,DTR!D$4,FALSE))*1000,0)</f>
        <v>0</v>
      </c>
      <c r="E815" s="141">
        <f>IFERROR((HLOOKUP($AH815,Target_monthwise!$D$4:$O$20,DTR!E$4,FALSE))*1000,0)</f>
        <v>0</v>
      </c>
      <c r="F815" s="141">
        <f>IFERROR((HLOOKUP($AH815,Target_monthwise!$D$4:$O$20,DTR!F$4,FALSE))*1000,0)</f>
        <v>0</v>
      </c>
      <c r="G815" s="141">
        <f>IFERROR((HLOOKUP($AH815,Target_monthwise!$D$4:$O$20,DTR!G$4,FALSE))*1000,0)</f>
        <v>0</v>
      </c>
      <c r="H815" s="141">
        <f>IFERROR((HLOOKUP($AH815,Target_monthwise!$D$4:$O$20,DTR!H$4,FALSE))*1000,0)</f>
        <v>0</v>
      </c>
      <c r="I815" s="141">
        <f>IFERROR((HLOOKUP($AH815,Target_monthwise!$D$4:$O$20,DTR!I$4,FALSE))*1000,0)</f>
        <v>0</v>
      </c>
      <c r="J815" s="141">
        <f>IFERROR((HLOOKUP($AH815,Target_monthwise!$D$4:$O$20,DTR!J$4,FALSE))*1000,0)</f>
        <v>0</v>
      </c>
      <c r="K815" s="141">
        <f>IFERROR((HLOOKUP($AH815,Target_monthwise!$D$4:$O$20,DTR!K$4,FALSE))*1000,0)</f>
        <v>0</v>
      </c>
      <c r="L815" s="141">
        <f>IFERROR((HLOOKUP($AH815,Target_monthwise!$D$4:$O$20,DTR!L$4,FALSE))*1000,0)</f>
        <v>0</v>
      </c>
      <c r="M815" s="141">
        <f>IFERROR((HLOOKUP($AH815,Target_monthwise!$D$4:$O$20,DTR!M$4,FALSE))*1000,0)</f>
        <v>0</v>
      </c>
      <c r="N815" s="141">
        <f>IFERROR((HLOOKUP($AH815,Target_monthwise!$D$4:$O$20,DTR!N$4,FALSE))*1000,0)</f>
        <v>0</v>
      </c>
      <c r="O815" s="141">
        <f>IFERROR((HLOOKUP($AH815,Target_monthwise!$D$4:$O$20,DTR!O$4,FALSE))*1000,0)</f>
        <v>0</v>
      </c>
      <c r="P815" s="141">
        <f>IFERROR((HLOOKUP($AH815,Target_monthwise!$D$4:$O$20,DTR!P$4,FALSE))*1000,0)</f>
        <v>0</v>
      </c>
      <c r="Q815" s="141">
        <f>IFERROR((HLOOKUP($AH815,Target_monthwise!$D$4:$O$20,DTR!Q$4,FALSE))*1000,0)</f>
        <v>0</v>
      </c>
      <c r="R815" s="167">
        <f>IFERROR((HLOOKUP($AH815,Target_monthwise!$D$4:$O$20,DTR!R$4,FALSE))*1000,0)</f>
        <v>0</v>
      </c>
      <c r="S815" s="147">
        <f>IFERROR((HLOOKUP($AH815,Target_monthwise!$D$24:$O$40,DTR!S$4,FALSE)),0)</f>
        <v>0</v>
      </c>
      <c r="T815" s="147">
        <f>IFERROR((HLOOKUP($AH815,Target_monthwise!$D$24:$O$40,DTR!T$4,FALSE)),0)</f>
        <v>0</v>
      </c>
      <c r="U815" s="147">
        <f>IFERROR((HLOOKUP($AH815,Target_monthwise!$D$24:$O$40,DTR!U$4,FALSE)),0)</f>
        <v>0</v>
      </c>
      <c r="V815" s="147">
        <f>IFERROR((HLOOKUP($AH815,Target_monthwise!$D$24:$O$40,DTR!V$4,FALSE)),0)</f>
        <v>0</v>
      </c>
      <c r="W815" s="147">
        <f>IFERROR((HLOOKUP($AH815,Target_monthwise!$D$24:$O$40,DTR!W$4,FALSE)),0)</f>
        <v>0</v>
      </c>
      <c r="X815" s="147">
        <f>IFERROR((HLOOKUP($AH815,Target_monthwise!$D$24:$O$40,DTR!X$4,FALSE)),0)</f>
        <v>0</v>
      </c>
      <c r="Y815" s="147">
        <f>IFERROR((HLOOKUP($AH815,Target_monthwise!$D$24:$O$40,DTR!Y$4,FALSE)),0)</f>
        <v>0</v>
      </c>
      <c r="Z815" s="147">
        <f>IFERROR((HLOOKUP($AH815,Target_monthwise!$D$24:$O$40,DTR!Z$4,FALSE)),0)</f>
        <v>0</v>
      </c>
      <c r="AA815" s="147">
        <f>IFERROR((HLOOKUP($AH815,Target_monthwise!$D$24:$O$40,DTR!AA$4,FALSE)),0)</f>
        <v>0</v>
      </c>
      <c r="AB815" s="147">
        <f>IFERROR((HLOOKUP($AH815,Target_monthwise!$D$24:$O$40,DTR!AB$4,FALSE)),0)</f>
        <v>0</v>
      </c>
      <c r="AC815" s="147">
        <f>IFERROR((HLOOKUP($AH815,Target_monthwise!$D$24:$O$40,DTR!AC$4,FALSE)),0)</f>
        <v>0</v>
      </c>
      <c r="AD815" s="147">
        <f>IFERROR((HLOOKUP($AH815,Target_monthwise!$D$24:$O$40,DTR!AD$4,FALSE)),0)</f>
        <v>0</v>
      </c>
      <c r="AE815" s="147">
        <f>IFERROR((HLOOKUP($AH815,Target_monthwise!$D$24:$O$40,DTR!AE$4,FALSE)),0)</f>
        <v>0</v>
      </c>
      <c r="AF815" s="147">
        <f>IFERROR((HLOOKUP($AH815,Target_monthwise!$D$24:$O$40,DTR!AF$4,FALSE)),0)</f>
        <v>0</v>
      </c>
      <c r="AG815" s="172">
        <f>IFERROR((HLOOKUP($AH815,Target_monthwise!$D$24:$O$40,DTR!AG$4,FALSE)),0)</f>
        <v>0</v>
      </c>
      <c r="AH815" s="253">
        <f t="shared" si="14"/>
        <v>202406</v>
      </c>
    </row>
    <row r="816" spans="3:34" ht="15.75" hidden="1">
      <c r="C816" s="237">
        <v>45459</v>
      </c>
      <c r="D816" s="238">
        <f>IFERROR((HLOOKUP($AH816,Target_monthwise!$D$4:$O$20,DTR!D$4,FALSE))*1000,0)</f>
        <v>0</v>
      </c>
      <c r="E816" s="238">
        <f>IFERROR((HLOOKUP($AH816,Target_monthwise!$D$4:$O$20,DTR!E$4,FALSE))*1000,0)</f>
        <v>0</v>
      </c>
      <c r="F816" s="238">
        <f>IFERROR((HLOOKUP($AH816,Target_monthwise!$D$4:$O$20,DTR!F$4,FALSE))*1000,0)</f>
        <v>0</v>
      </c>
      <c r="G816" s="238">
        <f>IFERROR((HLOOKUP($AH816,Target_monthwise!$D$4:$O$20,DTR!G$4,FALSE))*1000,0)</f>
        <v>0</v>
      </c>
      <c r="H816" s="238">
        <f>IFERROR((HLOOKUP($AH816,Target_monthwise!$D$4:$O$20,DTR!H$4,FALSE))*1000,0)</f>
        <v>0</v>
      </c>
      <c r="I816" s="238">
        <f>IFERROR((HLOOKUP($AH816,Target_monthwise!$D$4:$O$20,DTR!I$4,FALSE))*1000,0)</f>
        <v>0</v>
      </c>
      <c r="J816" s="238">
        <f>IFERROR((HLOOKUP($AH816,Target_monthwise!$D$4:$O$20,DTR!J$4,FALSE))*1000,0)</f>
        <v>0</v>
      </c>
      <c r="K816" s="238">
        <f>IFERROR((HLOOKUP($AH816,Target_monthwise!$D$4:$O$20,DTR!K$4,FALSE))*1000,0)</f>
        <v>0</v>
      </c>
      <c r="L816" s="238">
        <f>IFERROR((HLOOKUP($AH816,Target_monthwise!$D$4:$O$20,DTR!L$4,FALSE))*1000,0)</f>
        <v>0</v>
      </c>
      <c r="M816" s="238">
        <f>IFERROR((HLOOKUP($AH816,Target_monthwise!$D$4:$O$20,DTR!M$4,FALSE))*1000,0)</f>
        <v>0</v>
      </c>
      <c r="N816" s="238">
        <f>IFERROR((HLOOKUP($AH816,Target_monthwise!$D$4:$O$20,DTR!N$4,FALSE))*1000,0)</f>
        <v>0</v>
      </c>
      <c r="O816" s="238">
        <f>IFERROR((HLOOKUP($AH816,Target_monthwise!$D$4:$O$20,DTR!O$4,FALSE))*1000,0)</f>
        <v>0</v>
      </c>
      <c r="P816" s="238">
        <f>IFERROR((HLOOKUP($AH816,Target_monthwise!$D$4:$O$20,DTR!P$4,FALSE))*1000,0)</f>
        <v>0</v>
      </c>
      <c r="Q816" s="141">
        <f>IFERROR((HLOOKUP($AH816,Target_monthwise!$D$4:$O$20,DTR!Q$4,FALSE))*1000,0)</f>
        <v>0</v>
      </c>
      <c r="R816" s="167">
        <f>IFERROR((HLOOKUP($AH816,Target_monthwise!$D$4:$O$20,DTR!R$4,FALSE))*1000,0)</f>
        <v>0</v>
      </c>
      <c r="S816" s="239">
        <f>IFERROR((HLOOKUP($AH816,Target_monthwise!$D$24:$O$40,DTR!S$4,FALSE)),0)</f>
        <v>0</v>
      </c>
      <c r="T816" s="239">
        <f>IFERROR((HLOOKUP($AH816,Target_monthwise!$D$24:$O$40,DTR!T$4,FALSE)),0)</f>
        <v>0</v>
      </c>
      <c r="U816" s="239">
        <f>IFERROR((HLOOKUP($AH816,Target_monthwise!$D$24:$O$40,DTR!U$4,FALSE)),0)</f>
        <v>0</v>
      </c>
      <c r="V816" s="239">
        <f>IFERROR((HLOOKUP($AH816,Target_monthwise!$D$24:$O$40,DTR!V$4,FALSE)),0)</f>
        <v>0</v>
      </c>
      <c r="W816" s="239">
        <f>IFERROR((HLOOKUP($AH816,Target_monthwise!$D$24:$O$40,DTR!W$4,FALSE)),0)</f>
        <v>0</v>
      </c>
      <c r="X816" s="239">
        <f>IFERROR((HLOOKUP($AH816,Target_monthwise!$D$24:$O$40,DTR!X$4,FALSE)),0)</f>
        <v>0</v>
      </c>
      <c r="Y816" s="239">
        <f>IFERROR((HLOOKUP($AH816,Target_monthwise!$D$24:$O$40,DTR!Y$4,FALSE)),0)</f>
        <v>0</v>
      </c>
      <c r="Z816" s="147">
        <f>IFERROR((HLOOKUP($AH816,Target_monthwise!$D$24:$O$40,DTR!Z$4,FALSE)),0)</f>
        <v>0</v>
      </c>
      <c r="AA816" s="147">
        <f>IFERROR((HLOOKUP($AH816,Target_monthwise!$D$24:$O$40,DTR!AA$4,FALSE)),0)</f>
        <v>0</v>
      </c>
      <c r="AB816" s="147">
        <f>IFERROR((HLOOKUP($AH816,Target_monthwise!$D$24:$O$40,DTR!AB$4,FALSE)),0)</f>
        <v>0</v>
      </c>
      <c r="AC816" s="239">
        <f>IFERROR((HLOOKUP($AH816,Target_monthwise!$D$24:$O$40,DTR!AC$4,FALSE)),0)</f>
        <v>0</v>
      </c>
      <c r="AD816" s="239">
        <f>IFERROR((HLOOKUP($AH816,Target_monthwise!$D$24:$O$40,DTR!AD$4,FALSE)),0)</f>
        <v>0</v>
      </c>
      <c r="AE816" s="239">
        <f>IFERROR((HLOOKUP($AH816,Target_monthwise!$D$24:$O$40,DTR!AE$4,FALSE)),0)</f>
        <v>0</v>
      </c>
      <c r="AF816" s="239">
        <f>IFERROR((HLOOKUP($AH816,Target_monthwise!$D$24:$O$40,DTR!AF$4,FALSE)),0)</f>
        <v>0</v>
      </c>
      <c r="AG816" s="172">
        <f>IFERROR((HLOOKUP($AH816,Target_monthwise!$D$24:$O$40,DTR!AG$4,FALSE)),0)</f>
        <v>0</v>
      </c>
      <c r="AH816" s="253">
        <f t="shared" si="14"/>
        <v>202406</v>
      </c>
    </row>
    <row r="817" spans="3:34" ht="15.75" hidden="1">
      <c r="C817" s="235">
        <v>45460</v>
      </c>
      <c r="D817" s="141">
        <f>IFERROR((HLOOKUP($AH817,Target_monthwise!$D$4:$O$20,DTR!D$4,FALSE))*1000,0)</f>
        <v>0</v>
      </c>
      <c r="E817" s="141">
        <f>IFERROR((HLOOKUP($AH817,Target_monthwise!$D$4:$O$20,DTR!E$4,FALSE))*1000,0)</f>
        <v>0</v>
      </c>
      <c r="F817" s="141">
        <f>IFERROR((HLOOKUP($AH817,Target_monthwise!$D$4:$O$20,DTR!F$4,FALSE))*1000,0)</f>
        <v>0</v>
      </c>
      <c r="G817" s="141">
        <f>IFERROR((HLOOKUP($AH817,Target_monthwise!$D$4:$O$20,DTR!G$4,FALSE))*1000,0)</f>
        <v>0</v>
      </c>
      <c r="H817" s="141">
        <f>IFERROR((HLOOKUP($AH817,Target_monthwise!$D$4:$O$20,DTR!H$4,FALSE))*1000,0)</f>
        <v>0</v>
      </c>
      <c r="I817" s="141">
        <f>IFERROR((HLOOKUP($AH817,Target_monthwise!$D$4:$O$20,DTR!I$4,FALSE))*1000,0)</f>
        <v>0</v>
      </c>
      <c r="J817" s="141">
        <f>IFERROR((HLOOKUP($AH817,Target_monthwise!$D$4:$O$20,DTR!J$4,FALSE))*1000,0)</f>
        <v>0</v>
      </c>
      <c r="K817" s="141">
        <f>IFERROR((HLOOKUP($AH817,Target_monthwise!$D$4:$O$20,DTR!K$4,FALSE))*1000,0)</f>
        <v>0</v>
      </c>
      <c r="L817" s="141">
        <f>IFERROR((HLOOKUP($AH817,Target_monthwise!$D$4:$O$20,DTR!L$4,FALSE))*1000,0)</f>
        <v>0</v>
      </c>
      <c r="M817" s="141">
        <f>IFERROR((HLOOKUP($AH817,Target_monthwise!$D$4:$O$20,DTR!M$4,FALSE))*1000,0)</f>
        <v>0</v>
      </c>
      <c r="N817" s="141">
        <f>IFERROR((HLOOKUP($AH817,Target_monthwise!$D$4:$O$20,DTR!N$4,FALSE))*1000,0)</f>
        <v>0</v>
      </c>
      <c r="O817" s="141">
        <f>IFERROR((HLOOKUP($AH817,Target_monthwise!$D$4:$O$20,DTR!O$4,FALSE))*1000,0)</f>
        <v>0</v>
      </c>
      <c r="P817" s="141">
        <f>IFERROR((HLOOKUP($AH817,Target_monthwise!$D$4:$O$20,DTR!P$4,FALSE))*1000,0)</f>
        <v>0</v>
      </c>
      <c r="Q817" s="141">
        <f>IFERROR((HLOOKUP($AH817,Target_monthwise!$D$4:$O$20,DTR!Q$4,FALSE))*1000,0)</f>
        <v>0</v>
      </c>
      <c r="R817" s="167">
        <f>IFERROR((HLOOKUP($AH817,Target_monthwise!$D$4:$O$20,DTR!R$4,FALSE))*1000,0)</f>
        <v>0</v>
      </c>
      <c r="S817" s="147">
        <f>IFERROR((HLOOKUP($AH817,Target_monthwise!$D$24:$O$40,DTR!S$4,FALSE)),0)</f>
        <v>0</v>
      </c>
      <c r="T817" s="147">
        <f>IFERROR((HLOOKUP($AH817,Target_monthwise!$D$24:$O$40,DTR!T$4,FALSE)),0)</f>
        <v>0</v>
      </c>
      <c r="U817" s="147">
        <f>IFERROR((HLOOKUP($AH817,Target_monthwise!$D$24:$O$40,DTR!U$4,FALSE)),0)</f>
        <v>0</v>
      </c>
      <c r="V817" s="147">
        <f>IFERROR((HLOOKUP($AH817,Target_monthwise!$D$24:$O$40,DTR!V$4,FALSE)),0)</f>
        <v>0</v>
      </c>
      <c r="W817" s="147">
        <f>IFERROR((HLOOKUP($AH817,Target_monthwise!$D$24:$O$40,DTR!W$4,FALSE)),0)</f>
        <v>0</v>
      </c>
      <c r="X817" s="147">
        <f>IFERROR((HLOOKUP($AH817,Target_monthwise!$D$24:$O$40,DTR!X$4,FALSE)),0)</f>
        <v>0</v>
      </c>
      <c r="Y817" s="147">
        <f>IFERROR((HLOOKUP($AH817,Target_monthwise!$D$24:$O$40,DTR!Y$4,FALSE)),0)</f>
        <v>0</v>
      </c>
      <c r="Z817" s="147">
        <f>IFERROR((HLOOKUP($AH817,Target_monthwise!$D$24:$O$40,DTR!Z$4,FALSE)),0)</f>
        <v>0</v>
      </c>
      <c r="AA817" s="147">
        <f>IFERROR((HLOOKUP($AH817,Target_monthwise!$D$24:$O$40,DTR!AA$4,FALSE)),0)</f>
        <v>0</v>
      </c>
      <c r="AB817" s="147">
        <f>IFERROR((HLOOKUP($AH817,Target_monthwise!$D$24:$O$40,DTR!AB$4,FALSE)),0)</f>
        <v>0</v>
      </c>
      <c r="AC817" s="147">
        <f>IFERROR((HLOOKUP($AH817,Target_monthwise!$D$24:$O$40,DTR!AC$4,FALSE)),0)</f>
        <v>0</v>
      </c>
      <c r="AD817" s="147">
        <f>IFERROR((HLOOKUP($AH817,Target_monthwise!$D$24:$O$40,DTR!AD$4,FALSE)),0)</f>
        <v>0</v>
      </c>
      <c r="AE817" s="147">
        <f>IFERROR((HLOOKUP($AH817,Target_monthwise!$D$24:$O$40,DTR!AE$4,FALSE)),0)</f>
        <v>0</v>
      </c>
      <c r="AF817" s="147">
        <f>IFERROR((HLOOKUP($AH817,Target_monthwise!$D$24:$O$40,DTR!AF$4,FALSE)),0)</f>
        <v>0</v>
      </c>
      <c r="AG817" s="172">
        <f>IFERROR((HLOOKUP($AH817,Target_monthwise!$D$24:$O$40,DTR!AG$4,FALSE)),0)</f>
        <v>0</v>
      </c>
      <c r="AH817" s="253">
        <f t="shared" si="14"/>
        <v>202406</v>
      </c>
    </row>
    <row r="818" spans="3:34" ht="15.75" hidden="1">
      <c r="C818" s="237">
        <v>45461</v>
      </c>
      <c r="D818" s="238">
        <f>IFERROR((HLOOKUP($AH818,Target_monthwise!$D$4:$O$20,DTR!D$4,FALSE))*1000,0)</f>
        <v>0</v>
      </c>
      <c r="E818" s="238">
        <f>IFERROR((HLOOKUP($AH818,Target_monthwise!$D$4:$O$20,DTR!E$4,FALSE))*1000,0)</f>
        <v>0</v>
      </c>
      <c r="F818" s="238">
        <f>IFERROR((HLOOKUP($AH818,Target_monthwise!$D$4:$O$20,DTR!F$4,FALSE))*1000,0)</f>
        <v>0</v>
      </c>
      <c r="G818" s="238">
        <f>IFERROR((HLOOKUP($AH818,Target_monthwise!$D$4:$O$20,DTR!G$4,FALSE))*1000,0)</f>
        <v>0</v>
      </c>
      <c r="H818" s="238">
        <f>IFERROR((HLOOKUP($AH818,Target_monthwise!$D$4:$O$20,DTR!H$4,FALSE))*1000,0)</f>
        <v>0</v>
      </c>
      <c r="I818" s="238">
        <f>IFERROR((HLOOKUP($AH818,Target_monthwise!$D$4:$O$20,DTR!I$4,FALSE))*1000,0)</f>
        <v>0</v>
      </c>
      <c r="J818" s="238">
        <f>IFERROR((HLOOKUP($AH818,Target_monthwise!$D$4:$O$20,DTR!J$4,FALSE))*1000,0)</f>
        <v>0</v>
      </c>
      <c r="K818" s="238">
        <f>IFERROR((HLOOKUP($AH818,Target_monthwise!$D$4:$O$20,DTR!K$4,FALSE))*1000,0)</f>
        <v>0</v>
      </c>
      <c r="L818" s="238">
        <f>IFERROR((HLOOKUP($AH818,Target_monthwise!$D$4:$O$20,DTR!L$4,FALSE))*1000,0)</f>
        <v>0</v>
      </c>
      <c r="M818" s="238">
        <f>IFERROR((HLOOKUP($AH818,Target_monthwise!$D$4:$O$20,DTR!M$4,FALSE))*1000,0)</f>
        <v>0</v>
      </c>
      <c r="N818" s="238">
        <f>IFERROR((HLOOKUP($AH818,Target_monthwise!$D$4:$O$20,DTR!N$4,FALSE))*1000,0)</f>
        <v>0</v>
      </c>
      <c r="O818" s="238">
        <f>IFERROR((HLOOKUP($AH818,Target_monthwise!$D$4:$O$20,DTR!O$4,FALSE))*1000,0)</f>
        <v>0</v>
      </c>
      <c r="P818" s="238">
        <f>IFERROR((HLOOKUP($AH818,Target_monthwise!$D$4:$O$20,DTR!P$4,FALSE))*1000,0)</f>
        <v>0</v>
      </c>
      <c r="Q818" s="141">
        <f>IFERROR((HLOOKUP($AH818,Target_monthwise!$D$4:$O$20,DTR!Q$4,FALSE))*1000,0)</f>
        <v>0</v>
      </c>
      <c r="R818" s="167">
        <f>IFERROR((HLOOKUP($AH818,Target_monthwise!$D$4:$O$20,DTR!R$4,FALSE))*1000,0)</f>
        <v>0</v>
      </c>
      <c r="S818" s="239">
        <f>IFERROR((HLOOKUP($AH818,Target_monthwise!$D$24:$O$40,DTR!S$4,FALSE)),0)</f>
        <v>0</v>
      </c>
      <c r="T818" s="239">
        <f>IFERROR((HLOOKUP($AH818,Target_monthwise!$D$24:$O$40,DTR!T$4,FALSE)),0)</f>
        <v>0</v>
      </c>
      <c r="U818" s="239">
        <f>IFERROR((HLOOKUP($AH818,Target_monthwise!$D$24:$O$40,DTR!U$4,FALSE)),0)</f>
        <v>0</v>
      </c>
      <c r="V818" s="239">
        <f>IFERROR((HLOOKUP($AH818,Target_monthwise!$D$24:$O$40,DTR!V$4,FALSE)),0)</f>
        <v>0</v>
      </c>
      <c r="W818" s="239">
        <f>IFERROR((HLOOKUP($AH818,Target_monthwise!$D$24:$O$40,DTR!W$4,FALSE)),0)</f>
        <v>0</v>
      </c>
      <c r="X818" s="239">
        <f>IFERROR((HLOOKUP($AH818,Target_monthwise!$D$24:$O$40,DTR!X$4,FALSE)),0)</f>
        <v>0</v>
      </c>
      <c r="Y818" s="239">
        <f>IFERROR((HLOOKUP($AH818,Target_monthwise!$D$24:$O$40,DTR!Y$4,FALSE)),0)</f>
        <v>0</v>
      </c>
      <c r="Z818" s="147">
        <f>IFERROR((HLOOKUP($AH818,Target_monthwise!$D$24:$O$40,DTR!Z$4,FALSE)),0)</f>
        <v>0</v>
      </c>
      <c r="AA818" s="147">
        <f>IFERROR((HLOOKUP($AH818,Target_monthwise!$D$24:$O$40,DTR!AA$4,FALSE)),0)</f>
        <v>0</v>
      </c>
      <c r="AB818" s="147">
        <f>IFERROR((HLOOKUP($AH818,Target_monthwise!$D$24:$O$40,DTR!AB$4,FALSE)),0)</f>
        <v>0</v>
      </c>
      <c r="AC818" s="239">
        <f>IFERROR((HLOOKUP($AH818,Target_monthwise!$D$24:$O$40,DTR!AC$4,FALSE)),0)</f>
        <v>0</v>
      </c>
      <c r="AD818" s="239">
        <f>IFERROR((HLOOKUP($AH818,Target_monthwise!$D$24:$O$40,DTR!AD$4,FALSE)),0)</f>
        <v>0</v>
      </c>
      <c r="AE818" s="239">
        <f>IFERROR((HLOOKUP($AH818,Target_monthwise!$D$24:$O$40,DTR!AE$4,FALSE)),0)</f>
        <v>0</v>
      </c>
      <c r="AF818" s="239">
        <f>IFERROR((HLOOKUP($AH818,Target_monthwise!$D$24:$O$40,DTR!AF$4,FALSE)),0)</f>
        <v>0</v>
      </c>
      <c r="AG818" s="172">
        <f>IFERROR((HLOOKUP($AH818,Target_monthwise!$D$24:$O$40,DTR!AG$4,FALSE)),0)</f>
        <v>0</v>
      </c>
      <c r="AH818" s="253">
        <f t="shared" si="14"/>
        <v>202406</v>
      </c>
    </row>
    <row r="819" spans="3:34" ht="15.75" hidden="1">
      <c r="C819" s="235">
        <v>45462</v>
      </c>
      <c r="D819" s="141">
        <f>IFERROR((HLOOKUP($AH819,Target_monthwise!$D$4:$O$20,DTR!D$4,FALSE))*1000,0)</f>
        <v>0</v>
      </c>
      <c r="E819" s="141">
        <f>IFERROR((HLOOKUP($AH819,Target_monthwise!$D$4:$O$20,DTR!E$4,FALSE))*1000,0)</f>
        <v>0</v>
      </c>
      <c r="F819" s="141">
        <f>IFERROR((HLOOKUP($AH819,Target_monthwise!$D$4:$O$20,DTR!F$4,FALSE))*1000,0)</f>
        <v>0</v>
      </c>
      <c r="G819" s="141">
        <f>IFERROR((HLOOKUP($AH819,Target_monthwise!$D$4:$O$20,DTR!G$4,FALSE))*1000,0)</f>
        <v>0</v>
      </c>
      <c r="H819" s="141">
        <f>IFERROR((HLOOKUP($AH819,Target_monthwise!$D$4:$O$20,DTR!H$4,FALSE))*1000,0)</f>
        <v>0</v>
      </c>
      <c r="I819" s="141">
        <f>IFERROR((HLOOKUP($AH819,Target_monthwise!$D$4:$O$20,DTR!I$4,FALSE))*1000,0)</f>
        <v>0</v>
      </c>
      <c r="J819" s="141">
        <f>IFERROR((HLOOKUP($AH819,Target_monthwise!$D$4:$O$20,DTR!J$4,FALSE))*1000,0)</f>
        <v>0</v>
      </c>
      <c r="K819" s="141">
        <f>IFERROR((HLOOKUP($AH819,Target_monthwise!$D$4:$O$20,DTR!K$4,FALSE))*1000,0)</f>
        <v>0</v>
      </c>
      <c r="L819" s="141">
        <f>IFERROR((HLOOKUP($AH819,Target_monthwise!$D$4:$O$20,DTR!L$4,FALSE))*1000,0)</f>
        <v>0</v>
      </c>
      <c r="M819" s="141">
        <f>IFERROR((HLOOKUP($AH819,Target_monthwise!$D$4:$O$20,DTR!M$4,FALSE))*1000,0)</f>
        <v>0</v>
      </c>
      <c r="N819" s="141">
        <f>IFERROR((HLOOKUP($AH819,Target_monthwise!$D$4:$O$20,DTR!N$4,FALSE))*1000,0)</f>
        <v>0</v>
      </c>
      <c r="O819" s="141">
        <f>IFERROR((HLOOKUP($AH819,Target_monthwise!$D$4:$O$20,DTR!O$4,FALSE))*1000,0)</f>
        <v>0</v>
      </c>
      <c r="P819" s="141">
        <f>IFERROR((HLOOKUP($AH819,Target_monthwise!$D$4:$O$20,DTR!P$4,FALSE))*1000,0)</f>
        <v>0</v>
      </c>
      <c r="Q819" s="141">
        <f>IFERROR((HLOOKUP($AH819,Target_monthwise!$D$4:$O$20,DTR!Q$4,FALSE))*1000,0)</f>
        <v>0</v>
      </c>
      <c r="R819" s="167">
        <f>IFERROR((HLOOKUP($AH819,Target_monthwise!$D$4:$O$20,DTR!R$4,FALSE))*1000,0)</f>
        <v>0</v>
      </c>
      <c r="S819" s="147">
        <f>IFERROR((HLOOKUP($AH819,Target_monthwise!$D$24:$O$40,DTR!S$4,FALSE)),0)</f>
        <v>0</v>
      </c>
      <c r="T819" s="147">
        <f>IFERROR((HLOOKUP($AH819,Target_monthwise!$D$24:$O$40,DTR!T$4,FALSE)),0)</f>
        <v>0</v>
      </c>
      <c r="U819" s="147">
        <f>IFERROR((HLOOKUP($AH819,Target_monthwise!$D$24:$O$40,DTR!U$4,FALSE)),0)</f>
        <v>0</v>
      </c>
      <c r="V819" s="147">
        <f>IFERROR((HLOOKUP($AH819,Target_monthwise!$D$24:$O$40,DTR!V$4,FALSE)),0)</f>
        <v>0</v>
      </c>
      <c r="W819" s="147">
        <f>IFERROR((HLOOKUP($AH819,Target_monthwise!$D$24:$O$40,DTR!W$4,FALSE)),0)</f>
        <v>0</v>
      </c>
      <c r="X819" s="147">
        <f>IFERROR((HLOOKUP($AH819,Target_monthwise!$D$24:$O$40,DTR!X$4,FALSE)),0)</f>
        <v>0</v>
      </c>
      <c r="Y819" s="147">
        <f>IFERROR((HLOOKUP($AH819,Target_monthwise!$D$24:$O$40,DTR!Y$4,FALSE)),0)</f>
        <v>0</v>
      </c>
      <c r="Z819" s="147">
        <f>IFERROR((HLOOKUP($AH819,Target_monthwise!$D$24:$O$40,DTR!Z$4,FALSE)),0)</f>
        <v>0</v>
      </c>
      <c r="AA819" s="147">
        <f>IFERROR((HLOOKUP($AH819,Target_monthwise!$D$24:$O$40,DTR!AA$4,FALSE)),0)</f>
        <v>0</v>
      </c>
      <c r="AB819" s="147">
        <f>IFERROR((HLOOKUP($AH819,Target_monthwise!$D$24:$O$40,DTR!AB$4,FALSE)),0)</f>
        <v>0</v>
      </c>
      <c r="AC819" s="147">
        <f>IFERROR((HLOOKUP($AH819,Target_monthwise!$D$24:$O$40,DTR!AC$4,FALSE)),0)</f>
        <v>0</v>
      </c>
      <c r="AD819" s="147">
        <f>IFERROR((HLOOKUP($AH819,Target_monthwise!$D$24:$O$40,DTR!AD$4,FALSE)),0)</f>
        <v>0</v>
      </c>
      <c r="AE819" s="147">
        <f>IFERROR((HLOOKUP($AH819,Target_monthwise!$D$24:$O$40,DTR!AE$4,FALSE)),0)</f>
        <v>0</v>
      </c>
      <c r="AF819" s="147">
        <f>IFERROR((HLOOKUP($AH819,Target_monthwise!$D$24:$O$40,DTR!AF$4,FALSE)),0)</f>
        <v>0</v>
      </c>
      <c r="AG819" s="172">
        <f>IFERROR((HLOOKUP($AH819,Target_monthwise!$D$24:$O$40,DTR!AG$4,FALSE)),0)</f>
        <v>0</v>
      </c>
      <c r="AH819" s="253">
        <f t="shared" ref="AH819:AH882" si="15">YEAR(C819)*100+MONTH(C819)</f>
        <v>202406</v>
      </c>
    </row>
    <row r="820" spans="3:34" ht="15.75" hidden="1">
      <c r="C820" s="237">
        <v>45463</v>
      </c>
      <c r="D820" s="238">
        <f>IFERROR((HLOOKUP($AH820,Target_monthwise!$D$4:$O$20,DTR!D$4,FALSE))*1000,0)</f>
        <v>0</v>
      </c>
      <c r="E820" s="238">
        <f>IFERROR((HLOOKUP($AH820,Target_monthwise!$D$4:$O$20,DTR!E$4,FALSE))*1000,0)</f>
        <v>0</v>
      </c>
      <c r="F820" s="238">
        <f>IFERROR((HLOOKUP($AH820,Target_monthwise!$D$4:$O$20,DTR!F$4,FALSE))*1000,0)</f>
        <v>0</v>
      </c>
      <c r="G820" s="238">
        <f>IFERROR((HLOOKUP($AH820,Target_monthwise!$D$4:$O$20,DTR!G$4,FALSE))*1000,0)</f>
        <v>0</v>
      </c>
      <c r="H820" s="238">
        <f>IFERROR((HLOOKUP($AH820,Target_monthwise!$D$4:$O$20,DTR!H$4,FALSE))*1000,0)</f>
        <v>0</v>
      </c>
      <c r="I820" s="238">
        <f>IFERROR((HLOOKUP($AH820,Target_monthwise!$D$4:$O$20,DTR!I$4,FALSE))*1000,0)</f>
        <v>0</v>
      </c>
      <c r="J820" s="238">
        <f>IFERROR((HLOOKUP($AH820,Target_monthwise!$D$4:$O$20,DTR!J$4,FALSE))*1000,0)</f>
        <v>0</v>
      </c>
      <c r="K820" s="238">
        <f>IFERROR((HLOOKUP($AH820,Target_monthwise!$D$4:$O$20,DTR!K$4,FALSE))*1000,0)</f>
        <v>0</v>
      </c>
      <c r="L820" s="238">
        <f>IFERROR((HLOOKUP($AH820,Target_monthwise!$D$4:$O$20,DTR!L$4,FALSE))*1000,0)</f>
        <v>0</v>
      </c>
      <c r="M820" s="238">
        <f>IFERROR((HLOOKUP($AH820,Target_monthwise!$D$4:$O$20,DTR!M$4,FALSE))*1000,0)</f>
        <v>0</v>
      </c>
      <c r="N820" s="238">
        <f>IFERROR((HLOOKUP($AH820,Target_monthwise!$D$4:$O$20,DTR!N$4,FALSE))*1000,0)</f>
        <v>0</v>
      </c>
      <c r="O820" s="238">
        <f>IFERROR((HLOOKUP($AH820,Target_monthwise!$D$4:$O$20,DTR!O$4,FALSE))*1000,0)</f>
        <v>0</v>
      </c>
      <c r="P820" s="238">
        <f>IFERROR((HLOOKUP($AH820,Target_monthwise!$D$4:$O$20,DTR!P$4,FALSE))*1000,0)</f>
        <v>0</v>
      </c>
      <c r="Q820" s="141">
        <f>IFERROR((HLOOKUP($AH820,Target_monthwise!$D$4:$O$20,DTR!Q$4,FALSE))*1000,0)</f>
        <v>0</v>
      </c>
      <c r="R820" s="167">
        <f>IFERROR((HLOOKUP($AH820,Target_monthwise!$D$4:$O$20,DTR!R$4,FALSE))*1000,0)</f>
        <v>0</v>
      </c>
      <c r="S820" s="239">
        <f>IFERROR((HLOOKUP($AH820,Target_monthwise!$D$24:$O$40,DTR!S$4,FALSE)),0)</f>
        <v>0</v>
      </c>
      <c r="T820" s="239">
        <f>IFERROR((HLOOKUP($AH820,Target_monthwise!$D$24:$O$40,DTR!T$4,FALSE)),0)</f>
        <v>0</v>
      </c>
      <c r="U820" s="239">
        <f>IFERROR((HLOOKUP($AH820,Target_monthwise!$D$24:$O$40,DTR!U$4,FALSE)),0)</f>
        <v>0</v>
      </c>
      <c r="V820" s="239">
        <f>IFERROR((HLOOKUP($AH820,Target_monthwise!$D$24:$O$40,DTR!V$4,FALSE)),0)</f>
        <v>0</v>
      </c>
      <c r="W820" s="239">
        <f>IFERROR((HLOOKUP($AH820,Target_monthwise!$D$24:$O$40,DTR!W$4,FALSE)),0)</f>
        <v>0</v>
      </c>
      <c r="X820" s="239">
        <f>IFERROR((HLOOKUP($AH820,Target_monthwise!$D$24:$O$40,DTR!X$4,FALSE)),0)</f>
        <v>0</v>
      </c>
      <c r="Y820" s="239">
        <f>IFERROR((HLOOKUP($AH820,Target_monthwise!$D$24:$O$40,DTR!Y$4,FALSE)),0)</f>
        <v>0</v>
      </c>
      <c r="Z820" s="147">
        <f>IFERROR((HLOOKUP($AH820,Target_monthwise!$D$24:$O$40,DTR!Z$4,FALSE)),0)</f>
        <v>0</v>
      </c>
      <c r="AA820" s="147">
        <f>IFERROR((HLOOKUP($AH820,Target_monthwise!$D$24:$O$40,DTR!AA$4,FALSE)),0)</f>
        <v>0</v>
      </c>
      <c r="AB820" s="147">
        <f>IFERROR((HLOOKUP($AH820,Target_monthwise!$D$24:$O$40,DTR!AB$4,FALSE)),0)</f>
        <v>0</v>
      </c>
      <c r="AC820" s="239">
        <f>IFERROR((HLOOKUP($AH820,Target_monthwise!$D$24:$O$40,DTR!AC$4,FALSE)),0)</f>
        <v>0</v>
      </c>
      <c r="AD820" s="239">
        <f>IFERROR((HLOOKUP($AH820,Target_monthwise!$D$24:$O$40,DTR!AD$4,FALSE)),0)</f>
        <v>0</v>
      </c>
      <c r="AE820" s="239">
        <f>IFERROR((HLOOKUP($AH820,Target_monthwise!$D$24:$O$40,DTR!AE$4,FALSE)),0)</f>
        <v>0</v>
      </c>
      <c r="AF820" s="239">
        <f>IFERROR((HLOOKUP($AH820,Target_monthwise!$D$24:$O$40,DTR!AF$4,FALSE)),0)</f>
        <v>0</v>
      </c>
      <c r="AG820" s="172">
        <f>IFERROR((HLOOKUP($AH820,Target_monthwise!$D$24:$O$40,DTR!AG$4,FALSE)),0)</f>
        <v>0</v>
      </c>
      <c r="AH820" s="253">
        <f t="shared" si="15"/>
        <v>202406</v>
      </c>
    </row>
    <row r="821" spans="3:34" ht="15.75" hidden="1">
      <c r="C821" s="235">
        <v>45464</v>
      </c>
      <c r="D821" s="141">
        <f>IFERROR((HLOOKUP($AH821,Target_monthwise!$D$4:$O$20,DTR!D$4,FALSE))*1000,0)</f>
        <v>0</v>
      </c>
      <c r="E821" s="141">
        <f>IFERROR((HLOOKUP($AH821,Target_monthwise!$D$4:$O$20,DTR!E$4,FALSE))*1000,0)</f>
        <v>0</v>
      </c>
      <c r="F821" s="141">
        <f>IFERROR((HLOOKUP($AH821,Target_monthwise!$D$4:$O$20,DTR!F$4,FALSE))*1000,0)</f>
        <v>0</v>
      </c>
      <c r="G821" s="141">
        <f>IFERROR((HLOOKUP($AH821,Target_monthwise!$D$4:$O$20,DTR!G$4,FALSE))*1000,0)</f>
        <v>0</v>
      </c>
      <c r="H821" s="141">
        <f>IFERROR((HLOOKUP($AH821,Target_monthwise!$D$4:$O$20,DTR!H$4,FALSE))*1000,0)</f>
        <v>0</v>
      </c>
      <c r="I821" s="141">
        <f>IFERROR((HLOOKUP($AH821,Target_monthwise!$D$4:$O$20,DTR!I$4,FALSE))*1000,0)</f>
        <v>0</v>
      </c>
      <c r="J821" s="141">
        <f>IFERROR((HLOOKUP($AH821,Target_monthwise!$D$4:$O$20,DTR!J$4,FALSE))*1000,0)</f>
        <v>0</v>
      </c>
      <c r="K821" s="141">
        <f>IFERROR((HLOOKUP($AH821,Target_monthwise!$D$4:$O$20,DTR!K$4,FALSE))*1000,0)</f>
        <v>0</v>
      </c>
      <c r="L821" s="141">
        <f>IFERROR((HLOOKUP($AH821,Target_monthwise!$D$4:$O$20,DTR!L$4,FALSE))*1000,0)</f>
        <v>0</v>
      </c>
      <c r="M821" s="141">
        <f>IFERROR((HLOOKUP($AH821,Target_monthwise!$D$4:$O$20,DTR!M$4,FALSE))*1000,0)</f>
        <v>0</v>
      </c>
      <c r="N821" s="141">
        <f>IFERROR((HLOOKUP($AH821,Target_monthwise!$D$4:$O$20,DTR!N$4,FALSE))*1000,0)</f>
        <v>0</v>
      </c>
      <c r="O821" s="141">
        <f>IFERROR((HLOOKUP($AH821,Target_monthwise!$D$4:$O$20,DTR!O$4,FALSE))*1000,0)</f>
        <v>0</v>
      </c>
      <c r="P821" s="141">
        <f>IFERROR((HLOOKUP($AH821,Target_monthwise!$D$4:$O$20,DTR!P$4,FALSE))*1000,0)</f>
        <v>0</v>
      </c>
      <c r="Q821" s="141">
        <f>IFERROR((HLOOKUP($AH821,Target_monthwise!$D$4:$O$20,DTR!Q$4,FALSE))*1000,0)</f>
        <v>0</v>
      </c>
      <c r="R821" s="167">
        <f>IFERROR((HLOOKUP($AH821,Target_monthwise!$D$4:$O$20,DTR!R$4,FALSE))*1000,0)</f>
        <v>0</v>
      </c>
      <c r="S821" s="147">
        <f>IFERROR((HLOOKUP($AH821,Target_monthwise!$D$24:$O$40,DTR!S$4,FALSE)),0)</f>
        <v>0</v>
      </c>
      <c r="T821" s="147">
        <f>IFERROR((HLOOKUP($AH821,Target_monthwise!$D$24:$O$40,DTR!T$4,FALSE)),0)</f>
        <v>0</v>
      </c>
      <c r="U821" s="147">
        <f>IFERROR((HLOOKUP($AH821,Target_monthwise!$D$24:$O$40,DTR!U$4,FALSE)),0)</f>
        <v>0</v>
      </c>
      <c r="V821" s="147">
        <f>IFERROR((HLOOKUP($AH821,Target_monthwise!$D$24:$O$40,DTR!V$4,FALSE)),0)</f>
        <v>0</v>
      </c>
      <c r="W821" s="147">
        <f>IFERROR((HLOOKUP($AH821,Target_monthwise!$D$24:$O$40,DTR!W$4,FALSE)),0)</f>
        <v>0</v>
      </c>
      <c r="X821" s="147">
        <f>IFERROR((HLOOKUP($AH821,Target_monthwise!$D$24:$O$40,DTR!X$4,FALSE)),0)</f>
        <v>0</v>
      </c>
      <c r="Y821" s="147">
        <f>IFERROR((HLOOKUP($AH821,Target_monthwise!$D$24:$O$40,DTR!Y$4,FALSE)),0)</f>
        <v>0</v>
      </c>
      <c r="Z821" s="147">
        <f>IFERROR((HLOOKUP($AH821,Target_monthwise!$D$24:$O$40,DTR!Z$4,FALSE)),0)</f>
        <v>0</v>
      </c>
      <c r="AA821" s="147">
        <f>IFERROR((HLOOKUP($AH821,Target_monthwise!$D$24:$O$40,DTR!AA$4,FALSE)),0)</f>
        <v>0</v>
      </c>
      <c r="AB821" s="147">
        <f>IFERROR((HLOOKUP($AH821,Target_monthwise!$D$24:$O$40,DTR!AB$4,FALSE)),0)</f>
        <v>0</v>
      </c>
      <c r="AC821" s="147">
        <f>IFERROR((HLOOKUP($AH821,Target_monthwise!$D$24:$O$40,DTR!AC$4,FALSE)),0)</f>
        <v>0</v>
      </c>
      <c r="AD821" s="147">
        <f>IFERROR((HLOOKUP($AH821,Target_monthwise!$D$24:$O$40,DTR!AD$4,FALSE)),0)</f>
        <v>0</v>
      </c>
      <c r="AE821" s="147">
        <f>IFERROR((HLOOKUP($AH821,Target_monthwise!$D$24:$O$40,DTR!AE$4,FALSE)),0)</f>
        <v>0</v>
      </c>
      <c r="AF821" s="147">
        <f>IFERROR((HLOOKUP($AH821,Target_monthwise!$D$24:$O$40,DTR!AF$4,FALSE)),0)</f>
        <v>0</v>
      </c>
      <c r="AG821" s="172">
        <f>IFERROR((HLOOKUP($AH821,Target_monthwise!$D$24:$O$40,DTR!AG$4,FALSE)),0)</f>
        <v>0</v>
      </c>
      <c r="AH821" s="253">
        <f t="shared" si="15"/>
        <v>202406</v>
      </c>
    </row>
    <row r="822" spans="3:34" ht="15.75" hidden="1">
      <c r="C822" s="237">
        <v>45465</v>
      </c>
      <c r="D822" s="238">
        <f>IFERROR((HLOOKUP($AH822,Target_monthwise!$D$4:$O$20,DTR!D$4,FALSE))*1000,0)</f>
        <v>0</v>
      </c>
      <c r="E822" s="238">
        <f>IFERROR((HLOOKUP($AH822,Target_monthwise!$D$4:$O$20,DTR!E$4,FALSE))*1000,0)</f>
        <v>0</v>
      </c>
      <c r="F822" s="238">
        <f>IFERROR((HLOOKUP($AH822,Target_monthwise!$D$4:$O$20,DTR!F$4,FALSE))*1000,0)</f>
        <v>0</v>
      </c>
      <c r="G822" s="238">
        <f>IFERROR((HLOOKUP($AH822,Target_monthwise!$D$4:$O$20,DTR!G$4,FALSE))*1000,0)</f>
        <v>0</v>
      </c>
      <c r="H822" s="238">
        <f>IFERROR((HLOOKUP($AH822,Target_monthwise!$D$4:$O$20,DTR!H$4,FALSE))*1000,0)</f>
        <v>0</v>
      </c>
      <c r="I822" s="238">
        <f>IFERROR((HLOOKUP($AH822,Target_monthwise!$D$4:$O$20,DTR!I$4,FALSE))*1000,0)</f>
        <v>0</v>
      </c>
      <c r="J822" s="238">
        <f>IFERROR((HLOOKUP($AH822,Target_monthwise!$D$4:$O$20,DTR!J$4,FALSE))*1000,0)</f>
        <v>0</v>
      </c>
      <c r="K822" s="238">
        <f>IFERROR((HLOOKUP($AH822,Target_monthwise!$D$4:$O$20,DTR!K$4,FALSE))*1000,0)</f>
        <v>0</v>
      </c>
      <c r="L822" s="238">
        <f>IFERROR((HLOOKUP($AH822,Target_monthwise!$D$4:$O$20,DTR!L$4,FALSE))*1000,0)</f>
        <v>0</v>
      </c>
      <c r="M822" s="238">
        <f>IFERROR((HLOOKUP($AH822,Target_monthwise!$D$4:$O$20,DTR!M$4,FALSE))*1000,0)</f>
        <v>0</v>
      </c>
      <c r="N822" s="238">
        <f>IFERROR((HLOOKUP($AH822,Target_monthwise!$D$4:$O$20,DTR!N$4,FALSE))*1000,0)</f>
        <v>0</v>
      </c>
      <c r="O822" s="238">
        <f>IFERROR((HLOOKUP($AH822,Target_monthwise!$D$4:$O$20,DTR!O$4,FALSE))*1000,0)</f>
        <v>0</v>
      </c>
      <c r="P822" s="238">
        <f>IFERROR((HLOOKUP($AH822,Target_monthwise!$D$4:$O$20,DTR!P$4,FALSE))*1000,0)</f>
        <v>0</v>
      </c>
      <c r="Q822" s="141">
        <f>IFERROR((HLOOKUP($AH822,Target_monthwise!$D$4:$O$20,DTR!Q$4,FALSE))*1000,0)</f>
        <v>0</v>
      </c>
      <c r="R822" s="167">
        <f>IFERROR((HLOOKUP($AH822,Target_monthwise!$D$4:$O$20,DTR!R$4,FALSE))*1000,0)</f>
        <v>0</v>
      </c>
      <c r="S822" s="239">
        <f>IFERROR((HLOOKUP($AH822,Target_monthwise!$D$24:$O$40,DTR!S$4,FALSE)),0)</f>
        <v>0</v>
      </c>
      <c r="T822" s="239">
        <f>IFERROR((HLOOKUP($AH822,Target_monthwise!$D$24:$O$40,DTR!T$4,FALSE)),0)</f>
        <v>0</v>
      </c>
      <c r="U822" s="239">
        <f>IFERROR((HLOOKUP($AH822,Target_monthwise!$D$24:$O$40,DTR!U$4,FALSE)),0)</f>
        <v>0</v>
      </c>
      <c r="V822" s="239">
        <f>IFERROR((HLOOKUP($AH822,Target_monthwise!$D$24:$O$40,DTR!V$4,FALSE)),0)</f>
        <v>0</v>
      </c>
      <c r="W822" s="239">
        <f>IFERROR((HLOOKUP($AH822,Target_monthwise!$D$24:$O$40,DTR!W$4,FALSE)),0)</f>
        <v>0</v>
      </c>
      <c r="X822" s="239">
        <f>IFERROR((HLOOKUP($AH822,Target_monthwise!$D$24:$O$40,DTR!X$4,FALSE)),0)</f>
        <v>0</v>
      </c>
      <c r="Y822" s="239">
        <f>IFERROR((HLOOKUP($AH822,Target_monthwise!$D$24:$O$40,DTR!Y$4,FALSE)),0)</f>
        <v>0</v>
      </c>
      <c r="Z822" s="147">
        <f>IFERROR((HLOOKUP($AH822,Target_monthwise!$D$24:$O$40,DTR!Z$4,FALSE)),0)</f>
        <v>0</v>
      </c>
      <c r="AA822" s="147">
        <f>IFERROR((HLOOKUP($AH822,Target_monthwise!$D$24:$O$40,DTR!AA$4,FALSE)),0)</f>
        <v>0</v>
      </c>
      <c r="AB822" s="147">
        <f>IFERROR((HLOOKUP($AH822,Target_monthwise!$D$24:$O$40,DTR!AB$4,FALSE)),0)</f>
        <v>0</v>
      </c>
      <c r="AC822" s="239">
        <f>IFERROR((HLOOKUP($AH822,Target_monthwise!$D$24:$O$40,DTR!AC$4,FALSE)),0)</f>
        <v>0</v>
      </c>
      <c r="AD822" s="239">
        <f>IFERROR((HLOOKUP($AH822,Target_monthwise!$D$24:$O$40,DTR!AD$4,FALSE)),0)</f>
        <v>0</v>
      </c>
      <c r="AE822" s="239">
        <f>IFERROR((HLOOKUP($AH822,Target_monthwise!$D$24:$O$40,DTR!AE$4,FALSE)),0)</f>
        <v>0</v>
      </c>
      <c r="AF822" s="239">
        <f>IFERROR((HLOOKUP($AH822,Target_monthwise!$D$24:$O$40,DTR!AF$4,FALSE)),0)</f>
        <v>0</v>
      </c>
      <c r="AG822" s="172">
        <f>IFERROR((HLOOKUP($AH822,Target_monthwise!$D$24:$O$40,DTR!AG$4,FALSE)),0)</f>
        <v>0</v>
      </c>
      <c r="AH822" s="253">
        <f t="shared" si="15"/>
        <v>202406</v>
      </c>
    </row>
    <row r="823" spans="3:34" ht="15.75" hidden="1">
      <c r="C823" s="235">
        <v>45466</v>
      </c>
      <c r="D823" s="141">
        <f>IFERROR((HLOOKUP($AH823,Target_monthwise!$D$4:$O$20,DTR!D$4,FALSE))*1000,0)</f>
        <v>0</v>
      </c>
      <c r="E823" s="141">
        <f>IFERROR((HLOOKUP($AH823,Target_monthwise!$D$4:$O$20,DTR!E$4,FALSE))*1000,0)</f>
        <v>0</v>
      </c>
      <c r="F823" s="141">
        <f>IFERROR((HLOOKUP($AH823,Target_monthwise!$D$4:$O$20,DTR!F$4,FALSE))*1000,0)</f>
        <v>0</v>
      </c>
      <c r="G823" s="141">
        <f>IFERROR((HLOOKUP($AH823,Target_monthwise!$D$4:$O$20,DTR!G$4,FALSE))*1000,0)</f>
        <v>0</v>
      </c>
      <c r="H823" s="141">
        <f>IFERROR((HLOOKUP($AH823,Target_monthwise!$D$4:$O$20,DTR!H$4,FALSE))*1000,0)</f>
        <v>0</v>
      </c>
      <c r="I823" s="141">
        <f>IFERROR((HLOOKUP($AH823,Target_monthwise!$D$4:$O$20,DTR!I$4,FALSE))*1000,0)</f>
        <v>0</v>
      </c>
      <c r="J823" s="141">
        <f>IFERROR((HLOOKUP($AH823,Target_monthwise!$D$4:$O$20,DTR!J$4,FALSE))*1000,0)</f>
        <v>0</v>
      </c>
      <c r="K823" s="141">
        <f>IFERROR((HLOOKUP($AH823,Target_monthwise!$D$4:$O$20,DTR!K$4,FALSE))*1000,0)</f>
        <v>0</v>
      </c>
      <c r="L823" s="141">
        <f>IFERROR((HLOOKUP($AH823,Target_monthwise!$D$4:$O$20,DTR!L$4,FALSE))*1000,0)</f>
        <v>0</v>
      </c>
      <c r="M823" s="141">
        <f>IFERROR((HLOOKUP($AH823,Target_monthwise!$D$4:$O$20,DTR!M$4,FALSE))*1000,0)</f>
        <v>0</v>
      </c>
      <c r="N823" s="141">
        <f>IFERROR((HLOOKUP($AH823,Target_monthwise!$D$4:$O$20,DTR!N$4,FALSE))*1000,0)</f>
        <v>0</v>
      </c>
      <c r="O823" s="141">
        <f>IFERROR((HLOOKUP($AH823,Target_monthwise!$D$4:$O$20,DTR!O$4,FALSE))*1000,0)</f>
        <v>0</v>
      </c>
      <c r="P823" s="141">
        <f>IFERROR((HLOOKUP($AH823,Target_monthwise!$D$4:$O$20,DTR!P$4,FALSE))*1000,0)</f>
        <v>0</v>
      </c>
      <c r="Q823" s="141">
        <f>IFERROR((HLOOKUP($AH823,Target_monthwise!$D$4:$O$20,DTR!Q$4,FALSE))*1000,0)</f>
        <v>0</v>
      </c>
      <c r="R823" s="167">
        <f>IFERROR((HLOOKUP($AH823,Target_monthwise!$D$4:$O$20,DTR!R$4,FALSE))*1000,0)</f>
        <v>0</v>
      </c>
      <c r="S823" s="147">
        <f>IFERROR((HLOOKUP($AH823,Target_monthwise!$D$24:$O$40,DTR!S$4,FALSE)),0)</f>
        <v>0</v>
      </c>
      <c r="T823" s="147">
        <f>IFERROR((HLOOKUP($AH823,Target_monthwise!$D$24:$O$40,DTR!T$4,FALSE)),0)</f>
        <v>0</v>
      </c>
      <c r="U823" s="147">
        <f>IFERROR((HLOOKUP($AH823,Target_monthwise!$D$24:$O$40,DTR!U$4,FALSE)),0)</f>
        <v>0</v>
      </c>
      <c r="V823" s="147">
        <f>IFERROR((HLOOKUP($AH823,Target_monthwise!$D$24:$O$40,DTR!V$4,FALSE)),0)</f>
        <v>0</v>
      </c>
      <c r="W823" s="147">
        <f>IFERROR((HLOOKUP($AH823,Target_monthwise!$D$24:$O$40,DTR!W$4,FALSE)),0)</f>
        <v>0</v>
      </c>
      <c r="X823" s="147">
        <f>IFERROR((HLOOKUP($AH823,Target_monthwise!$D$24:$O$40,DTR!X$4,FALSE)),0)</f>
        <v>0</v>
      </c>
      <c r="Y823" s="147">
        <f>IFERROR((HLOOKUP($AH823,Target_monthwise!$D$24:$O$40,DTR!Y$4,FALSE)),0)</f>
        <v>0</v>
      </c>
      <c r="Z823" s="147">
        <f>IFERROR((HLOOKUP($AH823,Target_monthwise!$D$24:$O$40,DTR!Z$4,FALSE)),0)</f>
        <v>0</v>
      </c>
      <c r="AA823" s="147">
        <f>IFERROR((HLOOKUP($AH823,Target_monthwise!$D$24:$O$40,DTR!AA$4,FALSE)),0)</f>
        <v>0</v>
      </c>
      <c r="AB823" s="147">
        <f>IFERROR((HLOOKUP($AH823,Target_monthwise!$D$24:$O$40,DTR!AB$4,FALSE)),0)</f>
        <v>0</v>
      </c>
      <c r="AC823" s="147">
        <f>IFERROR((HLOOKUP($AH823,Target_monthwise!$D$24:$O$40,DTR!AC$4,FALSE)),0)</f>
        <v>0</v>
      </c>
      <c r="AD823" s="147">
        <f>IFERROR((HLOOKUP($AH823,Target_monthwise!$D$24:$O$40,DTR!AD$4,FALSE)),0)</f>
        <v>0</v>
      </c>
      <c r="AE823" s="147">
        <f>IFERROR((HLOOKUP($AH823,Target_monthwise!$D$24:$O$40,DTR!AE$4,FALSE)),0)</f>
        <v>0</v>
      </c>
      <c r="AF823" s="147">
        <f>IFERROR((HLOOKUP($AH823,Target_monthwise!$D$24:$O$40,DTR!AF$4,FALSE)),0)</f>
        <v>0</v>
      </c>
      <c r="AG823" s="172">
        <f>IFERROR((HLOOKUP($AH823,Target_monthwise!$D$24:$O$40,DTR!AG$4,FALSE)),0)</f>
        <v>0</v>
      </c>
      <c r="AH823" s="253">
        <f t="shared" si="15"/>
        <v>202406</v>
      </c>
    </row>
    <row r="824" spans="3:34" ht="15.75" hidden="1">
      <c r="C824" s="237">
        <v>45467</v>
      </c>
      <c r="D824" s="238">
        <f>IFERROR((HLOOKUP($AH824,Target_monthwise!$D$4:$O$20,DTR!D$4,FALSE))*1000,0)</f>
        <v>0</v>
      </c>
      <c r="E824" s="238">
        <f>IFERROR((HLOOKUP($AH824,Target_monthwise!$D$4:$O$20,DTR!E$4,FALSE))*1000,0)</f>
        <v>0</v>
      </c>
      <c r="F824" s="238">
        <f>IFERROR((HLOOKUP($AH824,Target_monthwise!$D$4:$O$20,DTR!F$4,FALSE))*1000,0)</f>
        <v>0</v>
      </c>
      <c r="G824" s="238">
        <f>IFERROR((HLOOKUP($AH824,Target_monthwise!$D$4:$O$20,DTR!G$4,FALSE))*1000,0)</f>
        <v>0</v>
      </c>
      <c r="H824" s="238">
        <f>IFERROR((HLOOKUP($AH824,Target_monthwise!$D$4:$O$20,DTR!H$4,FALSE))*1000,0)</f>
        <v>0</v>
      </c>
      <c r="I824" s="238">
        <f>IFERROR((HLOOKUP($AH824,Target_monthwise!$D$4:$O$20,DTR!I$4,FALSE))*1000,0)</f>
        <v>0</v>
      </c>
      <c r="J824" s="238">
        <f>IFERROR((HLOOKUP($AH824,Target_monthwise!$D$4:$O$20,DTR!J$4,FALSE))*1000,0)</f>
        <v>0</v>
      </c>
      <c r="K824" s="238">
        <f>IFERROR((HLOOKUP($AH824,Target_monthwise!$D$4:$O$20,DTR!K$4,FALSE))*1000,0)</f>
        <v>0</v>
      </c>
      <c r="L824" s="238">
        <f>IFERROR((HLOOKUP($AH824,Target_monthwise!$D$4:$O$20,DTR!L$4,FALSE))*1000,0)</f>
        <v>0</v>
      </c>
      <c r="M824" s="238">
        <f>IFERROR((HLOOKUP($AH824,Target_monthwise!$D$4:$O$20,DTR!M$4,FALSE))*1000,0)</f>
        <v>0</v>
      </c>
      <c r="N824" s="238">
        <f>IFERROR((HLOOKUP($AH824,Target_monthwise!$D$4:$O$20,DTR!N$4,FALSE))*1000,0)</f>
        <v>0</v>
      </c>
      <c r="O824" s="238">
        <f>IFERROR((HLOOKUP($AH824,Target_monthwise!$D$4:$O$20,DTR!O$4,FALSE))*1000,0)</f>
        <v>0</v>
      </c>
      <c r="P824" s="238">
        <f>IFERROR((HLOOKUP($AH824,Target_monthwise!$D$4:$O$20,DTR!P$4,FALSE))*1000,0)</f>
        <v>0</v>
      </c>
      <c r="Q824" s="141">
        <f>IFERROR((HLOOKUP($AH824,Target_monthwise!$D$4:$O$20,DTR!Q$4,FALSE))*1000,0)</f>
        <v>0</v>
      </c>
      <c r="R824" s="167">
        <f>IFERROR((HLOOKUP($AH824,Target_monthwise!$D$4:$O$20,DTR!R$4,FALSE))*1000,0)</f>
        <v>0</v>
      </c>
      <c r="S824" s="239">
        <f>IFERROR((HLOOKUP($AH824,Target_monthwise!$D$24:$O$40,DTR!S$4,FALSE)),0)</f>
        <v>0</v>
      </c>
      <c r="T824" s="239">
        <f>IFERROR((HLOOKUP($AH824,Target_monthwise!$D$24:$O$40,DTR!T$4,FALSE)),0)</f>
        <v>0</v>
      </c>
      <c r="U824" s="239">
        <f>IFERROR((HLOOKUP($AH824,Target_monthwise!$D$24:$O$40,DTR!U$4,FALSE)),0)</f>
        <v>0</v>
      </c>
      <c r="V824" s="239">
        <f>IFERROR((HLOOKUP($AH824,Target_monthwise!$D$24:$O$40,DTR!V$4,FALSE)),0)</f>
        <v>0</v>
      </c>
      <c r="W824" s="239">
        <f>IFERROR((HLOOKUP($AH824,Target_monthwise!$D$24:$O$40,DTR!W$4,FALSE)),0)</f>
        <v>0</v>
      </c>
      <c r="X824" s="239">
        <f>IFERROR((HLOOKUP($AH824,Target_monthwise!$D$24:$O$40,DTR!X$4,FALSE)),0)</f>
        <v>0</v>
      </c>
      <c r="Y824" s="239">
        <f>IFERROR((HLOOKUP($AH824,Target_monthwise!$D$24:$O$40,DTR!Y$4,FALSE)),0)</f>
        <v>0</v>
      </c>
      <c r="Z824" s="147">
        <f>IFERROR((HLOOKUP($AH824,Target_monthwise!$D$24:$O$40,DTR!Z$4,FALSE)),0)</f>
        <v>0</v>
      </c>
      <c r="AA824" s="147">
        <f>IFERROR((HLOOKUP($AH824,Target_monthwise!$D$24:$O$40,DTR!AA$4,FALSE)),0)</f>
        <v>0</v>
      </c>
      <c r="AB824" s="147">
        <f>IFERROR((HLOOKUP($AH824,Target_monthwise!$D$24:$O$40,DTR!AB$4,FALSE)),0)</f>
        <v>0</v>
      </c>
      <c r="AC824" s="239">
        <f>IFERROR((HLOOKUP($AH824,Target_monthwise!$D$24:$O$40,DTR!AC$4,FALSE)),0)</f>
        <v>0</v>
      </c>
      <c r="AD824" s="239">
        <f>IFERROR((HLOOKUP($AH824,Target_monthwise!$D$24:$O$40,DTR!AD$4,FALSE)),0)</f>
        <v>0</v>
      </c>
      <c r="AE824" s="239">
        <f>IFERROR((HLOOKUP($AH824,Target_monthwise!$D$24:$O$40,DTR!AE$4,FALSE)),0)</f>
        <v>0</v>
      </c>
      <c r="AF824" s="239">
        <f>IFERROR((HLOOKUP($AH824,Target_monthwise!$D$24:$O$40,DTR!AF$4,FALSE)),0)</f>
        <v>0</v>
      </c>
      <c r="AG824" s="172">
        <f>IFERROR((HLOOKUP($AH824,Target_monthwise!$D$24:$O$40,DTR!AG$4,FALSE)),0)</f>
        <v>0</v>
      </c>
      <c r="AH824" s="253">
        <f t="shared" si="15"/>
        <v>202406</v>
      </c>
    </row>
    <row r="825" spans="3:34" ht="15.75" hidden="1">
      <c r="C825" s="235">
        <v>45468</v>
      </c>
      <c r="D825" s="141">
        <f>IFERROR((HLOOKUP($AH825,Target_monthwise!$D$4:$O$20,DTR!D$4,FALSE))*1000,0)</f>
        <v>0</v>
      </c>
      <c r="E825" s="141">
        <f>IFERROR((HLOOKUP($AH825,Target_monthwise!$D$4:$O$20,DTR!E$4,FALSE))*1000,0)</f>
        <v>0</v>
      </c>
      <c r="F825" s="141">
        <f>IFERROR((HLOOKUP($AH825,Target_monthwise!$D$4:$O$20,DTR!F$4,FALSE))*1000,0)</f>
        <v>0</v>
      </c>
      <c r="G825" s="141">
        <f>IFERROR((HLOOKUP($AH825,Target_monthwise!$D$4:$O$20,DTR!G$4,FALSE))*1000,0)</f>
        <v>0</v>
      </c>
      <c r="H825" s="141">
        <f>IFERROR((HLOOKUP($AH825,Target_monthwise!$D$4:$O$20,DTR!H$4,FALSE))*1000,0)</f>
        <v>0</v>
      </c>
      <c r="I825" s="141">
        <f>IFERROR((HLOOKUP($AH825,Target_monthwise!$D$4:$O$20,DTR!I$4,FALSE))*1000,0)</f>
        <v>0</v>
      </c>
      <c r="J825" s="141">
        <f>IFERROR((HLOOKUP($AH825,Target_monthwise!$D$4:$O$20,DTR!J$4,FALSE))*1000,0)</f>
        <v>0</v>
      </c>
      <c r="K825" s="141">
        <f>IFERROR((HLOOKUP($AH825,Target_monthwise!$D$4:$O$20,DTR!K$4,FALSE))*1000,0)</f>
        <v>0</v>
      </c>
      <c r="L825" s="141">
        <f>IFERROR((HLOOKUP($AH825,Target_monthwise!$D$4:$O$20,DTR!L$4,FALSE))*1000,0)</f>
        <v>0</v>
      </c>
      <c r="M825" s="141">
        <f>IFERROR((HLOOKUP($AH825,Target_monthwise!$D$4:$O$20,DTR!M$4,FALSE))*1000,0)</f>
        <v>0</v>
      </c>
      <c r="N825" s="141">
        <f>IFERROR((HLOOKUP($AH825,Target_monthwise!$D$4:$O$20,DTR!N$4,FALSE))*1000,0)</f>
        <v>0</v>
      </c>
      <c r="O825" s="141">
        <f>IFERROR((HLOOKUP($AH825,Target_monthwise!$D$4:$O$20,DTR!O$4,FALSE))*1000,0)</f>
        <v>0</v>
      </c>
      <c r="P825" s="141">
        <f>IFERROR((HLOOKUP($AH825,Target_monthwise!$D$4:$O$20,DTR!P$4,FALSE))*1000,0)</f>
        <v>0</v>
      </c>
      <c r="Q825" s="141">
        <f>IFERROR((HLOOKUP($AH825,Target_monthwise!$D$4:$O$20,DTR!Q$4,FALSE))*1000,0)</f>
        <v>0</v>
      </c>
      <c r="R825" s="167">
        <f>IFERROR((HLOOKUP($AH825,Target_monthwise!$D$4:$O$20,DTR!R$4,FALSE))*1000,0)</f>
        <v>0</v>
      </c>
      <c r="S825" s="147">
        <f>IFERROR((HLOOKUP($AH825,Target_monthwise!$D$24:$O$40,DTR!S$4,FALSE)),0)</f>
        <v>0</v>
      </c>
      <c r="T825" s="147">
        <f>IFERROR((HLOOKUP($AH825,Target_monthwise!$D$24:$O$40,DTR!T$4,FALSE)),0)</f>
        <v>0</v>
      </c>
      <c r="U825" s="147">
        <f>IFERROR((HLOOKUP($AH825,Target_monthwise!$D$24:$O$40,DTR!U$4,FALSE)),0)</f>
        <v>0</v>
      </c>
      <c r="V825" s="147">
        <f>IFERROR((HLOOKUP($AH825,Target_monthwise!$D$24:$O$40,DTR!V$4,FALSE)),0)</f>
        <v>0</v>
      </c>
      <c r="W825" s="147">
        <f>IFERROR((HLOOKUP($AH825,Target_monthwise!$D$24:$O$40,DTR!W$4,FALSE)),0)</f>
        <v>0</v>
      </c>
      <c r="X825" s="147">
        <f>IFERROR((HLOOKUP($AH825,Target_monthwise!$D$24:$O$40,DTR!X$4,FALSE)),0)</f>
        <v>0</v>
      </c>
      <c r="Y825" s="147">
        <f>IFERROR((HLOOKUP($AH825,Target_monthwise!$D$24:$O$40,DTR!Y$4,FALSE)),0)</f>
        <v>0</v>
      </c>
      <c r="Z825" s="147">
        <f>IFERROR((HLOOKUP($AH825,Target_monthwise!$D$24:$O$40,DTR!Z$4,FALSE)),0)</f>
        <v>0</v>
      </c>
      <c r="AA825" s="147">
        <f>IFERROR((HLOOKUP($AH825,Target_monthwise!$D$24:$O$40,DTR!AA$4,FALSE)),0)</f>
        <v>0</v>
      </c>
      <c r="AB825" s="147">
        <f>IFERROR((HLOOKUP($AH825,Target_monthwise!$D$24:$O$40,DTR!AB$4,FALSE)),0)</f>
        <v>0</v>
      </c>
      <c r="AC825" s="147">
        <f>IFERROR((HLOOKUP($AH825,Target_monthwise!$D$24:$O$40,DTR!AC$4,FALSE)),0)</f>
        <v>0</v>
      </c>
      <c r="AD825" s="147">
        <f>IFERROR((HLOOKUP($AH825,Target_monthwise!$D$24:$O$40,DTR!AD$4,FALSE)),0)</f>
        <v>0</v>
      </c>
      <c r="AE825" s="147">
        <f>IFERROR((HLOOKUP($AH825,Target_monthwise!$D$24:$O$40,DTR!AE$4,FALSE)),0)</f>
        <v>0</v>
      </c>
      <c r="AF825" s="147">
        <f>IFERROR((HLOOKUP($AH825,Target_monthwise!$D$24:$O$40,DTR!AF$4,FALSE)),0)</f>
        <v>0</v>
      </c>
      <c r="AG825" s="172">
        <f>IFERROR((HLOOKUP($AH825,Target_monthwise!$D$24:$O$40,DTR!AG$4,FALSE)),0)</f>
        <v>0</v>
      </c>
      <c r="AH825" s="253">
        <f t="shared" si="15"/>
        <v>202406</v>
      </c>
    </row>
    <row r="826" spans="3:34" ht="15.75" hidden="1">
      <c r="C826" s="237">
        <v>45469</v>
      </c>
      <c r="D826" s="238">
        <f>IFERROR((HLOOKUP($AH826,Target_monthwise!$D$4:$O$20,DTR!D$4,FALSE))*1000,0)</f>
        <v>0</v>
      </c>
      <c r="E826" s="238">
        <f>IFERROR((HLOOKUP($AH826,Target_monthwise!$D$4:$O$20,DTR!E$4,FALSE))*1000,0)</f>
        <v>0</v>
      </c>
      <c r="F826" s="238">
        <f>IFERROR((HLOOKUP($AH826,Target_monthwise!$D$4:$O$20,DTR!F$4,FALSE))*1000,0)</f>
        <v>0</v>
      </c>
      <c r="G826" s="238">
        <f>IFERROR((HLOOKUP($AH826,Target_monthwise!$D$4:$O$20,DTR!G$4,FALSE))*1000,0)</f>
        <v>0</v>
      </c>
      <c r="H826" s="238">
        <f>IFERROR((HLOOKUP($AH826,Target_monthwise!$D$4:$O$20,DTR!H$4,FALSE))*1000,0)</f>
        <v>0</v>
      </c>
      <c r="I826" s="238">
        <f>IFERROR((HLOOKUP($AH826,Target_monthwise!$D$4:$O$20,DTR!I$4,FALSE))*1000,0)</f>
        <v>0</v>
      </c>
      <c r="J826" s="238">
        <f>IFERROR((HLOOKUP($AH826,Target_monthwise!$D$4:$O$20,DTR!J$4,FALSE))*1000,0)</f>
        <v>0</v>
      </c>
      <c r="K826" s="238">
        <f>IFERROR((HLOOKUP($AH826,Target_monthwise!$D$4:$O$20,DTR!K$4,FALSE))*1000,0)</f>
        <v>0</v>
      </c>
      <c r="L826" s="238">
        <f>IFERROR((HLOOKUP($AH826,Target_monthwise!$D$4:$O$20,DTR!L$4,FALSE))*1000,0)</f>
        <v>0</v>
      </c>
      <c r="M826" s="238">
        <f>IFERROR((HLOOKUP($AH826,Target_monthwise!$D$4:$O$20,DTR!M$4,FALSE))*1000,0)</f>
        <v>0</v>
      </c>
      <c r="N826" s="238">
        <f>IFERROR((HLOOKUP($AH826,Target_monthwise!$D$4:$O$20,DTR!N$4,FALSE))*1000,0)</f>
        <v>0</v>
      </c>
      <c r="O826" s="238">
        <f>IFERROR((HLOOKUP($AH826,Target_monthwise!$D$4:$O$20,DTR!O$4,FALSE))*1000,0)</f>
        <v>0</v>
      </c>
      <c r="P826" s="238">
        <f>IFERROR((HLOOKUP($AH826,Target_monthwise!$D$4:$O$20,DTR!P$4,FALSE))*1000,0)</f>
        <v>0</v>
      </c>
      <c r="Q826" s="141">
        <f>IFERROR((HLOOKUP($AH826,Target_monthwise!$D$4:$O$20,DTR!Q$4,FALSE))*1000,0)</f>
        <v>0</v>
      </c>
      <c r="R826" s="167">
        <f>IFERROR((HLOOKUP($AH826,Target_monthwise!$D$4:$O$20,DTR!R$4,FALSE))*1000,0)</f>
        <v>0</v>
      </c>
      <c r="S826" s="239">
        <f>IFERROR((HLOOKUP($AH826,Target_monthwise!$D$24:$O$40,DTR!S$4,FALSE)),0)</f>
        <v>0</v>
      </c>
      <c r="T826" s="239">
        <f>IFERROR((HLOOKUP($AH826,Target_monthwise!$D$24:$O$40,DTR!T$4,FALSE)),0)</f>
        <v>0</v>
      </c>
      <c r="U826" s="239">
        <f>IFERROR((HLOOKUP($AH826,Target_monthwise!$D$24:$O$40,DTR!U$4,FALSE)),0)</f>
        <v>0</v>
      </c>
      <c r="V826" s="239">
        <f>IFERROR((HLOOKUP($AH826,Target_monthwise!$D$24:$O$40,DTR!V$4,FALSE)),0)</f>
        <v>0</v>
      </c>
      <c r="W826" s="239">
        <f>IFERROR((HLOOKUP($AH826,Target_monthwise!$D$24:$O$40,DTR!W$4,FALSE)),0)</f>
        <v>0</v>
      </c>
      <c r="X826" s="239">
        <f>IFERROR((HLOOKUP($AH826,Target_monthwise!$D$24:$O$40,DTR!X$4,FALSE)),0)</f>
        <v>0</v>
      </c>
      <c r="Y826" s="239">
        <f>IFERROR((HLOOKUP($AH826,Target_monthwise!$D$24:$O$40,DTR!Y$4,FALSE)),0)</f>
        <v>0</v>
      </c>
      <c r="Z826" s="147">
        <f>IFERROR((HLOOKUP($AH826,Target_monthwise!$D$24:$O$40,DTR!Z$4,FALSE)),0)</f>
        <v>0</v>
      </c>
      <c r="AA826" s="147">
        <f>IFERROR((HLOOKUP($AH826,Target_monthwise!$D$24:$O$40,DTR!AA$4,FALSE)),0)</f>
        <v>0</v>
      </c>
      <c r="AB826" s="147">
        <f>IFERROR((HLOOKUP($AH826,Target_monthwise!$D$24:$O$40,DTR!AB$4,FALSE)),0)</f>
        <v>0</v>
      </c>
      <c r="AC826" s="239">
        <f>IFERROR((HLOOKUP($AH826,Target_monthwise!$D$24:$O$40,DTR!AC$4,FALSE)),0)</f>
        <v>0</v>
      </c>
      <c r="AD826" s="239">
        <f>IFERROR((HLOOKUP($AH826,Target_monthwise!$D$24:$O$40,DTR!AD$4,FALSE)),0)</f>
        <v>0</v>
      </c>
      <c r="AE826" s="239">
        <f>IFERROR((HLOOKUP($AH826,Target_monthwise!$D$24:$O$40,DTR!AE$4,FALSE)),0)</f>
        <v>0</v>
      </c>
      <c r="AF826" s="239">
        <f>IFERROR((HLOOKUP($AH826,Target_monthwise!$D$24:$O$40,DTR!AF$4,FALSE)),0)</f>
        <v>0</v>
      </c>
      <c r="AG826" s="172">
        <f>IFERROR((HLOOKUP($AH826,Target_monthwise!$D$24:$O$40,DTR!AG$4,FALSE)),0)</f>
        <v>0</v>
      </c>
      <c r="AH826" s="253">
        <f t="shared" si="15"/>
        <v>202406</v>
      </c>
    </row>
    <row r="827" spans="3:34" ht="15.75" hidden="1">
      <c r="C827" s="235">
        <v>45470</v>
      </c>
      <c r="D827" s="141">
        <f>IFERROR((HLOOKUP($AH827,Target_monthwise!$D$4:$O$20,DTR!D$4,FALSE))*1000,0)</f>
        <v>0</v>
      </c>
      <c r="E827" s="141">
        <f>IFERROR((HLOOKUP($AH827,Target_monthwise!$D$4:$O$20,DTR!E$4,FALSE))*1000,0)</f>
        <v>0</v>
      </c>
      <c r="F827" s="141">
        <f>IFERROR((HLOOKUP($AH827,Target_monthwise!$D$4:$O$20,DTR!F$4,FALSE))*1000,0)</f>
        <v>0</v>
      </c>
      <c r="G827" s="141">
        <f>IFERROR((HLOOKUP($AH827,Target_monthwise!$D$4:$O$20,DTR!G$4,FALSE))*1000,0)</f>
        <v>0</v>
      </c>
      <c r="H827" s="141">
        <f>IFERROR((HLOOKUP($AH827,Target_monthwise!$D$4:$O$20,DTR!H$4,FALSE))*1000,0)</f>
        <v>0</v>
      </c>
      <c r="I827" s="141">
        <f>IFERROR((HLOOKUP($AH827,Target_monthwise!$D$4:$O$20,DTR!I$4,FALSE))*1000,0)</f>
        <v>0</v>
      </c>
      <c r="J827" s="141">
        <f>IFERROR((HLOOKUP($AH827,Target_monthwise!$D$4:$O$20,DTR!J$4,FALSE))*1000,0)</f>
        <v>0</v>
      </c>
      <c r="K827" s="141">
        <f>IFERROR((HLOOKUP($AH827,Target_monthwise!$D$4:$O$20,DTR!K$4,FALSE))*1000,0)</f>
        <v>0</v>
      </c>
      <c r="L827" s="141">
        <f>IFERROR((HLOOKUP($AH827,Target_monthwise!$D$4:$O$20,DTR!L$4,FALSE))*1000,0)</f>
        <v>0</v>
      </c>
      <c r="M827" s="141">
        <f>IFERROR((HLOOKUP($AH827,Target_monthwise!$D$4:$O$20,DTR!M$4,FALSE))*1000,0)</f>
        <v>0</v>
      </c>
      <c r="N827" s="141">
        <f>IFERROR((HLOOKUP($AH827,Target_monthwise!$D$4:$O$20,DTR!N$4,FALSE))*1000,0)</f>
        <v>0</v>
      </c>
      <c r="O827" s="141">
        <f>IFERROR((HLOOKUP($AH827,Target_monthwise!$D$4:$O$20,DTR!O$4,FALSE))*1000,0)</f>
        <v>0</v>
      </c>
      <c r="P827" s="141">
        <f>IFERROR((HLOOKUP($AH827,Target_monthwise!$D$4:$O$20,DTR!P$4,FALSE))*1000,0)</f>
        <v>0</v>
      </c>
      <c r="Q827" s="141">
        <f>IFERROR((HLOOKUP($AH827,Target_monthwise!$D$4:$O$20,DTR!Q$4,FALSE))*1000,0)</f>
        <v>0</v>
      </c>
      <c r="R827" s="167">
        <f>IFERROR((HLOOKUP($AH827,Target_monthwise!$D$4:$O$20,DTR!R$4,FALSE))*1000,0)</f>
        <v>0</v>
      </c>
      <c r="S827" s="147">
        <f>IFERROR((HLOOKUP($AH827,Target_monthwise!$D$24:$O$40,DTR!S$4,FALSE)),0)</f>
        <v>0</v>
      </c>
      <c r="T827" s="147">
        <f>IFERROR((HLOOKUP($AH827,Target_monthwise!$D$24:$O$40,DTR!T$4,FALSE)),0)</f>
        <v>0</v>
      </c>
      <c r="U827" s="147">
        <f>IFERROR((HLOOKUP($AH827,Target_monthwise!$D$24:$O$40,DTR!U$4,FALSE)),0)</f>
        <v>0</v>
      </c>
      <c r="V827" s="147">
        <f>IFERROR((HLOOKUP($AH827,Target_monthwise!$D$24:$O$40,DTR!V$4,FALSE)),0)</f>
        <v>0</v>
      </c>
      <c r="W827" s="147">
        <f>IFERROR((HLOOKUP($AH827,Target_monthwise!$D$24:$O$40,DTR!W$4,FALSE)),0)</f>
        <v>0</v>
      </c>
      <c r="X827" s="147">
        <f>IFERROR((HLOOKUP($AH827,Target_monthwise!$D$24:$O$40,DTR!X$4,FALSE)),0)</f>
        <v>0</v>
      </c>
      <c r="Y827" s="147">
        <f>IFERROR((HLOOKUP($AH827,Target_monthwise!$D$24:$O$40,DTR!Y$4,FALSE)),0)</f>
        <v>0</v>
      </c>
      <c r="Z827" s="147">
        <f>IFERROR((HLOOKUP($AH827,Target_monthwise!$D$24:$O$40,DTR!Z$4,FALSE)),0)</f>
        <v>0</v>
      </c>
      <c r="AA827" s="147">
        <f>IFERROR((HLOOKUP($AH827,Target_monthwise!$D$24:$O$40,DTR!AA$4,FALSE)),0)</f>
        <v>0</v>
      </c>
      <c r="AB827" s="147">
        <f>IFERROR((HLOOKUP($AH827,Target_monthwise!$D$24:$O$40,DTR!AB$4,FALSE)),0)</f>
        <v>0</v>
      </c>
      <c r="AC827" s="147">
        <f>IFERROR((HLOOKUP($AH827,Target_monthwise!$D$24:$O$40,DTR!AC$4,FALSE)),0)</f>
        <v>0</v>
      </c>
      <c r="AD827" s="147">
        <f>IFERROR((HLOOKUP($AH827,Target_monthwise!$D$24:$O$40,DTR!AD$4,FALSE)),0)</f>
        <v>0</v>
      </c>
      <c r="AE827" s="147">
        <f>IFERROR((HLOOKUP($AH827,Target_monthwise!$D$24:$O$40,DTR!AE$4,FALSE)),0)</f>
        <v>0</v>
      </c>
      <c r="AF827" s="147">
        <f>IFERROR((HLOOKUP($AH827,Target_monthwise!$D$24:$O$40,DTR!AF$4,FALSE)),0)</f>
        <v>0</v>
      </c>
      <c r="AG827" s="172">
        <f>IFERROR((HLOOKUP($AH827,Target_monthwise!$D$24:$O$40,DTR!AG$4,FALSE)),0)</f>
        <v>0</v>
      </c>
      <c r="AH827" s="253">
        <f t="shared" si="15"/>
        <v>202406</v>
      </c>
    </row>
    <row r="828" spans="3:34" ht="15.75" hidden="1">
      <c r="C828" s="237">
        <v>45471</v>
      </c>
      <c r="D828" s="238">
        <f>IFERROR((HLOOKUP($AH828,Target_monthwise!$D$4:$O$20,DTR!D$4,FALSE))*1000,0)</f>
        <v>0</v>
      </c>
      <c r="E828" s="238">
        <f>IFERROR((HLOOKUP($AH828,Target_monthwise!$D$4:$O$20,DTR!E$4,FALSE))*1000,0)</f>
        <v>0</v>
      </c>
      <c r="F828" s="238">
        <f>IFERROR((HLOOKUP($AH828,Target_monthwise!$D$4:$O$20,DTR!F$4,FALSE))*1000,0)</f>
        <v>0</v>
      </c>
      <c r="G828" s="238">
        <f>IFERROR((HLOOKUP($AH828,Target_monthwise!$D$4:$O$20,DTR!G$4,FALSE))*1000,0)</f>
        <v>0</v>
      </c>
      <c r="H828" s="238">
        <f>IFERROR((HLOOKUP($AH828,Target_monthwise!$D$4:$O$20,DTR!H$4,FALSE))*1000,0)</f>
        <v>0</v>
      </c>
      <c r="I828" s="238">
        <f>IFERROR((HLOOKUP($AH828,Target_monthwise!$D$4:$O$20,DTR!I$4,FALSE))*1000,0)</f>
        <v>0</v>
      </c>
      <c r="J828" s="238">
        <f>IFERROR((HLOOKUP($AH828,Target_monthwise!$D$4:$O$20,DTR!J$4,FALSE))*1000,0)</f>
        <v>0</v>
      </c>
      <c r="K828" s="238">
        <f>IFERROR((HLOOKUP($AH828,Target_monthwise!$D$4:$O$20,DTR!K$4,FALSE))*1000,0)</f>
        <v>0</v>
      </c>
      <c r="L828" s="238">
        <f>IFERROR((HLOOKUP($AH828,Target_monthwise!$D$4:$O$20,DTR!L$4,FALSE))*1000,0)</f>
        <v>0</v>
      </c>
      <c r="M828" s="238">
        <f>IFERROR((HLOOKUP($AH828,Target_monthwise!$D$4:$O$20,DTR!M$4,FALSE))*1000,0)</f>
        <v>0</v>
      </c>
      <c r="N828" s="238">
        <f>IFERROR((HLOOKUP($AH828,Target_monthwise!$D$4:$O$20,DTR!N$4,FALSE))*1000,0)</f>
        <v>0</v>
      </c>
      <c r="O828" s="238">
        <f>IFERROR((HLOOKUP($AH828,Target_monthwise!$D$4:$O$20,DTR!O$4,FALSE))*1000,0)</f>
        <v>0</v>
      </c>
      <c r="P828" s="238">
        <f>IFERROR((HLOOKUP($AH828,Target_monthwise!$D$4:$O$20,DTR!P$4,FALSE))*1000,0)</f>
        <v>0</v>
      </c>
      <c r="Q828" s="141">
        <f>IFERROR((HLOOKUP($AH828,Target_monthwise!$D$4:$O$20,DTR!Q$4,FALSE))*1000,0)</f>
        <v>0</v>
      </c>
      <c r="R828" s="167">
        <f>IFERROR((HLOOKUP($AH828,Target_monthwise!$D$4:$O$20,DTR!R$4,FALSE))*1000,0)</f>
        <v>0</v>
      </c>
      <c r="S828" s="239">
        <f>IFERROR((HLOOKUP($AH828,Target_monthwise!$D$24:$O$40,DTR!S$4,FALSE)),0)</f>
        <v>0</v>
      </c>
      <c r="T828" s="239">
        <f>IFERROR((HLOOKUP($AH828,Target_monthwise!$D$24:$O$40,DTR!T$4,FALSE)),0)</f>
        <v>0</v>
      </c>
      <c r="U828" s="239">
        <f>IFERROR((HLOOKUP($AH828,Target_monthwise!$D$24:$O$40,DTR!U$4,FALSE)),0)</f>
        <v>0</v>
      </c>
      <c r="V828" s="239">
        <f>IFERROR((HLOOKUP($AH828,Target_monthwise!$D$24:$O$40,DTR!V$4,FALSE)),0)</f>
        <v>0</v>
      </c>
      <c r="W828" s="239">
        <f>IFERROR((HLOOKUP($AH828,Target_monthwise!$D$24:$O$40,DTR!W$4,FALSE)),0)</f>
        <v>0</v>
      </c>
      <c r="X828" s="239">
        <f>IFERROR((HLOOKUP($AH828,Target_monthwise!$D$24:$O$40,DTR!X$4,FALSE)),0)</f>
        <v>0</v>
      </c>
      <c r="Y828" s="239">
        <f>IFERROR((HLOOKUP($AH828,Target_monthwise!$D$24:$O$40,DTR!Y$4,FALSE)),0)</f>
        <v>0</v>
      </c>
      <c r="Z828" s="147">
        <f>IFERROR((HLOOKUP($AH828,Target_monthwise!$D$24:$O$40,DTR!Z$4,FALSE)),0)</f>
        <v>0</v>
      </c>
      <c r="AA828" s="147">
        <f>IFERROR((HLOOKUP($AH828,Target_monthwise!$D$24:$O$40,DTR!AA$4,FALSE)),0)</f>
        <v>0</v>
      </c>
      <c r="AB828" s="147">
        <f>IFERROR((HLOOKUP($AH828,Target_monthwise!$D$24:$O$40,DTR!AB$4,FALSE)),0)</f>
        <v>0</v>
      </c>
      <c r="AC828" s="239">
        <f>IFERROR((HLOOKUP($AH828,Target_monthwise!$D$24:$O$40,DTR!AC$4,FALSE)),0)</f>
        <v>0</v>
      </c>
      <c r="AD828" s="239">
        <f>IFERROR((HLOOKUP($AH828,Target_monthwise!$D$24:$O$40,DTR!AD$4,FALSE)),0)</f>
        <v>0</v>
      </c>
      <c r="AE828" s="239">
        <f>IFERROR((HLOOKUP($AH828,Target_monthwise!$D$24:$O$40,DTR!AE$4,FALSE)),0)</f>
        <v>0</v>
      </c>
      <c r="AF828" s="239">
        <f>IFERROR((HLOOKUP($AH828,Target_monthwise!$D$24:$O$40,DTR!AF$4,FALSE)),0)</f>
        <v>0</v>
      </c>
      <c r="AG828" s="172">
        <f>IFERROR((HLOOKUP($AH828,Target_monthwise!$D$24:$O$40,DTR!AG$4,FALSE)),0)</f>
        <v>0</v>
      </c>
      <c r="AH828" s="253">
        <f t="shared" si="15"/>
        <v>202406</v>
      </c>
    </row>
    <row r="829" spans="3:34" ht="15.75" hidden="1">
      <c r="C829" s="235">
        <v>45472</v>
      </c>
      <c r="D829" s="141">
        <f>IFERROR((HLOOKUP($AH829,Target_monthwise!$D$4:$O$20,DTR!D$4,FALSE))*1000,0)</f>
        <v>0</v>
      </c>
      <c r="E829" s="141">
        <f>IFERROR((HLOOKUP($AH829,Target_monthwise!$D$4:$O$20,DTR!E$4,FALSE))*1000,0)</f>
        <v>0</v>
      </c>
      <c r="F829" s="141">
        <f>IFERROR((HLOOKUP($AH829,Target_monthwise!$D$4:$O$20,DTR!F$4,FALSE))*1000,0)</f>
        <v>0</v>
      </c>
      <c r="G829" s="141">
        <f>IFERROR((HLOOKUP($AH829,Target_monthwise!$D$4:$O$20,DTR!G$4,FALSE))*1000,0)</f>
        <v>0</v>
      </c>
      <c r="H829" s="141">
        <f>IFERROR((HLOOKUP($AH829,Target_monthwise!$D$4:$O$20,DTR!H$4,FALSE))*1000,0)</f>
        <v>0</v>
      </c>
      <c r="I829" s="141">
        <f>IFERROR((HLOOKUP($AH829,Target_monthwise!$D$4:$O$20,DTR!I$4,FALSE))*1000,0)</f>
        <v>0</v>
      </c>
      <c r="J829" s="141">
        <f>IFERROR((HLOOKUP($AH829,Target_monthwise!$D$4:$O$20,DTR!J$4,FALSE))*1000,0)</f>
        <v>0</v>
      </c>
      <c r="K829" s="141">
        <f>IFERROR((HLOOKUP($AH829,Target_monthwise!$D$4:$O$20,DTR!K$4,FALSE))*1000,0)</f>
        <v>0</v>
      </c>
      <c r="L829" s="141">
        <f>IFERROR((HLOOKUP($AH829,Target_monthwise!$D$4:$O$20,DTR!L$4,FALSE))*1000,0)</f>
        <v>0</v>
      </c>
      <c r="M829" s="141">
        <f>IFERROR((HLOOKUP($AH829,Target_monthwise!$D$4:$O$20,DTR!M$4,FALSE))*1000,0)</f>
        <v>0</v>
      </c>
      <c r="N829" s="141">
        <f>IFERROR((HLOOKUP($AH829,Target_monthwise!$D$4:$O$20,DTR!N$4,FALSE))*1000,0)</f>
        <v>0</v>
      </c>
      <c r="O829" s="141">
        <f>IFERROR((HLOOKUP($AH829,Target_monthwise!$D$4:$O$20,DTR!O$4,FALSE))*1000,0)</f>
        <v>0</v>
      </c>
      <c r="P829" s="141">
        <f>IFERROR((HLOOKUP($AH829,Target_monthwise!$D$4:$O$20,DTR!P$4,FALSE))*1000,0)</f>
        <v>0</v>
      </c>
      <c r="Q829" s="141">
        <f>IFERROR((HLOOKUP($AH829,Target_monthwise!$D$4:$O$20,DTR!Q$4,FALSE))*1000,0)</f>
        <v>0</v>
      </c>
      <c r="R829" s="167">
        <f>IFERROR((HLOOKUP($AH829,Target_monthwise!$D$4:$O$20,DTR!R$4,FALSE))*1000,0)</f>
        <v>0</v>
      </c>
      <c r="S829" s="147">
        <f>IFERROR((HLOOKUP($AH829,Target_monthwise!$D$24:$O$40,DTR!S$4,FALSE)),0)</f>
        <v>0</v>
      </c>
      <c r="T829" s="147">
        <f>IFERROR((HLOOKUP($AH829,Target_monthwise!$D$24:$O$40,DTR!T$4,FALSE)),0)</f>
        <v>0</v>
      </c>
      <c r="U829" s="147">
        <f>IFERROR((HLOOKUP($AH829,Target_monthwise!$D$24:$O$40,DTR!U$4,FALSE)),0)</f>
        <v>0</v>
      </c>
      <c r="V829" s="147">
        <f>IFERROR((HLOOKUP($AH829,Target_monthwise!$D$24:$O$40,DTR!V$4,FALSE)),0)</f>
        <v>0</v>
      </c>
      <c r="W829" s="147">
        <f>IFERROR((HLOOKUP($AH829,Target_monthwise!$D$24:$O$40,DTR!W$4,FALSE)),0)</f>
        <v>0</v>
      </c>
      <c r="X829" s="147">
        <f>IFERROR((HLOOKUP($AH829,Target_monthwise!$D$24:$O$40,DTR!X$4,FALSE)),0)</f>
        <v>0</v>
      </c>
      <c r="Y829" s="147">
        <f>IFERROR((HLOOKUP($AH829,Target_monthwise!$D$24:$O$40,DTR!Y$4,FALSE)),0)</f>
        <v>0</v>
      </c>
      <c r="Z829" s="147">
        <f>IFERROR((HLOOKUP($AH829,Target_monthwise!$D$24:$O$40,DTR!Z$4,FALSE)),0)</f>
        <v>0</v>
      </c>
      <c r="AA829" s="147">
        <f>IFERROR((HLOOKUP($AH829,Target_monthwise!$D$24:$O$40,DTR!AA$4,FALSE)),0)</f>
        <v>0</v>
      </c>
      <c r="AB829" s="147">
        <f>IFERROR((HLOOKUP($AH829,Target_monthwise!$D$24:$O$40,DTR!AB$4,FALSE)),0)</f>
        <v>0</v>
      </c>
      <c r="AC829" s="147">
        <f>IFERROR((HLOOKUP($AH829,Target_monthwise!$D$24:$O$40,DTR!AC$4,FALSE)),0)</f>
        <v>0</v>
      </c>
      <c r="AD829" s="147">
        <f>IFERROR((HLOOKUP($AH829,Target_monthwise!$D$24:$O$40,DTR!AD$4,FALSE)),0)</f>
        <v>0</v>
      </c>
      <c r="AE829" s="147">
        <f>IFERROR((HLOOKUP($AH829,Target_monthwise!$D$24:$O$40,DTR!AE$4,FALSE)),0)</f>
        <v>0</v>
      </c>
      <c r="AF829" s="147">
        <f>IFERROR((HLOOKUP($AH829,Target_monthwise!$D$24:$O$40,DTR!AF$4,FALSE)),0)</f>
        <v>0</v>
      </c>
      <c r="AG829" s="172">
        <f>IFERROR((HLOOKUP($AH829,Target_monthwise!$D$24:$O$40,DTR!AG$4,FALSE)),0)</f>
        <v>0</v>
      </c>
      <c r="AH829" s="253">
        <f t="shared" si="15"/>
        <v>202406</v>
      </c>
    </row>
    <row r="830" spans="3:34" ht="15.75" hidden="1">
      <c r="C830" s="237">
        <v>45473</v>
      </c>
      <c r="D830" s="238">
        <f>IFERROR((HLOOKUP($AH830,Target_monthwise!$D$4:$O$20,DTR!D$4,FALSE))*1000,0)</f>
        <v>0</v>
      </c>
      <c r="E830" s="238">
        <f>IFERROR((HLOOKUP($AH830,Target_monthwise!$D$4:$O$20,DTR!E$4,FALSE))*1000,0)</f>
        <v>0</v>
      </c>
      <c r="F830" s="238">
        <f>IFERROR((HLOOKUP($AH830,Target_monthwise!$D$4:$O$20,DTR!F$4,FALSE))*1000,0)</f>
        <v>0</v>
      </c>
      <c r="G830" s="238">
        <f>IFERROR((HLOOKUP($AH830,Target_monthwise!$D$4:$O$20,DTR!G$4,FALSE))*1000,0)</f>
        <v>0</v>
      </c>
      <c r="H830" s="238">
        <f>IFERROR((HLOOKUP($AH830,Target_monthwise!$D$4:$O$20,DTR!H$4,FALSE))*1000,0)</f>
        <v>0</v>
      </c>
      <c r="I830" s="238">
        <f>IFERROR((HLOOKUP($AH830,Target_monthwise!$D$4:$O$20,DTR!I$4,FALSE))*1000,0)</f>
        <v>0</v>
      </c>
      <c r="J830" s="238">
        <f>IFERROR((HLOOKUP($AH830,Target_monthwise!$D$4:$O$20,DTR!J$4,FALSE))*1000,0)</f>
        <v>0</v>
      </c>
      <c r="K830" s="238">
        <f>IFERROR((HLOOKUP($AH830,Target_monthwise!$D$4:$O$20,DTR!K$4,FALSE))*1000,0)</f>
        <v>0</v>
      </c>
      <c r="L830" s="238">
        <f>IFERROR((HLOOKUP($AH830,Target_monthwise!$D$4:$O$20,DTR!L$4,FALSE))*1000,0)</f>
        <v>0</v>
      </c>
      <c r="M830" s="238">
        <f>IFERROR((HLOOKUP($AH830,Target_monthwise!$D$4:$O$20,DTR!M$4,FALSE))*1000,0)</f>
        <v>0</v>
      </c>
      <c r="N830" s="238">
        <f>IFERROR((HLOOKUP($AH830,Target_monthwise!$D$4:$O$20,DTR!N$4,FALSE))*1000,0)</f>
        <v>0</v>
      </c>
      <c r="O830" s="238">
        <f>IFERROR((HLOOKUP($AH830,Target_monthwise!$D$4:$O$20,DTR!O$4,FALSE))*1000,0)</f>
        <v>0</v>
      </c>
      <c r="P830" s="238">
        <f>IFERROR((HLOOKUP($AH830,Target_monthwise!$D$4:$O$20,DTR!P$4,FALSE))*1000,0)</f>
        <v>0</v>
      </c>
      <c r="Q830" s="141">
        <f>IFERROR((HLOOKUP($AH830,Target_monthwise!$D$4:$O$20,DTR!Q$4,FALSE))*1000,0)</f>
        <v>0</v>
      </c>
      <c r="R830" s="167">
        <f>IFERROR((HLOOKUP($AH830,Target_monthwise!$D$4:$O$20,DTR!R$4,FALSE))*1000,0)</f>
        <v>0</v>
      </c>
      <c r="S830" s="239">
        <f>IFERROR((HLOOKUP($AH830,Target_monthwise!$D$24:$O$40,DTR!S$4,FALSE)),0)</f>
        <v>0</v>
      </c>
      <c r="T830" s="239">
        <f>IFERROR((HLOOKUP($AH830,Target_monthwise!$D$24:$O$40,DTR!T$4,FALSE)),0)</f>
        <v>0</v>
      </c>
      <c r="U830" s="239">
        <f>IFERROR((HLOOKUP($AH830,Target_monthwise!$D$24:$O$40,DTR!U$4,FALSE)),0)</f>
        <v>0</v>
      </c>
      <c r="V830" s="239">
        <f>IFERROR((HLOOKUP($AH830,Target_monthwise!$D$24:$O$40,DTR!V$4,FALSE)),0)</f>
        <v>0</v>
      </c>
      <c r="W830" s="239">
        <f>IFERROR((HLOOKUP($AH830,Target_monthwise!$D$24:$O$40,DTR!W$4,FALSE)),0)</f>
        <v>0</v>
      </c>
      <c r="X830" s="239">
        <f>IFERROR((HLOOKUP($AH830,Target_monthwise!$D$24:$O$40,DTR!X$4,FALSE)),0)</f>
        <v>0</v>
      </c>
      <c r="Y830" s="239">
        <f>IFERROR((HLOOKUP($AH830,Target_monthwise!$D$24:$O$40,DTR!Y$4,FALSE)),0)</f>
        <v>0</v>
      </c>
      <c r="Z830" s="147">
        <f>IFERROR((HLOOKUP($AH830,Target_monthwise!$D$24:$O$40,DTR!Z$4,FALSE)),0)</f>
        <v>0</v>
      </c>
      <c r="AA830" s="147">
        <f>IFERROR((HLOOKUP($AH830,Target_monthwise!$D$24:$O$40,DTR!AA$4,FALSE)),0)</f>
        <v>0</v>
      </c>
      <c r="AB830" s="147">
        <f>IFERROR((HLOOKUP($AH830,Target_monthwise!$D$24:$O$40,DTR!AB$4,FALSE)),0)</f>
        <v>0</v>
      </c>
      <c r="AC830" s="239">
        <f>IFERROR((HLOOKUP($AH830,Target_monthwise!$D$24:$O$40,DTR!AC$4,FALSE)),0)</f>
        <v>0</v>
      </c>
      <c r="AD830" s="239">
        <f>IFERROR((HLOOKUP($AH830,Target_monthwise!$D$24:$O$40,DTR!AD$4,FALSE)),0)</f>
        <v>0</v>
      </c>
      <c r="AE830" s="239">
        <f>IFERROR((HLOOKUP($AH830,Target_monthwise!$D$24:$O$40,DTR!AE$4,FALSE)),0)</f>
        <v>0</v>
      </c>
      <c r="AF830" s="239">
        <f>IFERROR((HLOOKUP($AH830,Target_monthwise!$D$24:$O$40,DTR!AF$4,FALSE)),0)</f>
        <v>0</v>
      </c>
      <c r="AG830" s="172">
        <f>IFERROR((HLOOKUP($AH830,Target_monthwise!$D$24:$O$40,DTR!AG$4,FALSE)),0)</f>
        <v>0</v>
      </c>
      <c r="AH830" s="253">
        <f t="shared" si="15"/>
        <v>202406</v>
      </c>
    </row>
    <row r="831" spans="3:34" ht="15.75" hidden="1">
      <c r="C831" s="235">
        <v>45474</v>
      </c>
      <c r="D831" s="141">
        <f>IFERROR((HLOOKUP($AH831,Target_monthwise!$D$4:$O$20,DTR!D$4,FALSE))*1000,0)</f>
        <v>0</v>
      </c>
      <c r="E831" s="141">
        <f>IFERROR((HLOOKUP($AH831,Target_monthwise!$D$4:$O$20,DTR!E$4,FALSE))*1000,0)</f>
        <v>0</v>
      </c>
      <c r="F831" s="141">
        <f>IFERROR((HLOOKUP($AH831,Target_monthwise!$D$4:$O$20,DTR!F$4,FALSE))*1000,0)</f>
        <v>0</v>
      </c>
      <c r="G831" s="141">
        <f>IFERROR((HLOOKUP($AH831,Target_monthwise!$D$4:$O$20,DTR!G$4,FALSE))*1000,0)</f>
        <v>0</v>
      </c>
      <c r="H831" s="141">
        <f>IFERROR((HLOOKUP($AH831,Target_monthwise!$D$4:$O$20,DTR!H$4,FALSE))*1000,0)</f>
        <v>0</v>
      </c>
      <c r="I831" s="141">
        <f>IFERROR((HLOOKUP($AH831,Target_monthwise!$D$4:$O$20,DTR!I$4,FALSE))*1000,0)</f>
        <v>0</v>
      </c>
      <c r="J831" s="141">
        <f>IFERROR((HLOOKUP($AH831,Target_monthwise!$D$4:$O$20,DTR!J$4,FALSE))*1000,0)</f>
        <v>0</v>
      </c>
      <c r="K831" s="141">
        <f>IFERROR((HLOOKUP($AH831,Target_monthwise!$D$4:$O$20,DTR!K$4,FALSE))*1000,0)</f>
        <v>0</v>
      </c>
      <c r="L831" s="141">
        <f>IFERROR((HLOOKUP($AH831,Target_monthwise!$D$4:$O$20,DTR!L$4,FALSE))*1000,0)</f>
        <v>0</v>
      </c>
      <c r="M831" s="141">
        <f>IFERROR((HLOOKUP($AH831,Target_monthwise!$D$4:$O$20,DTR!M$4,FALSE))*1000,0)</f>
        <v>0</v>
      </c>
      <c r="N831" s="141">
        <f>IFERROR((HLOOKUP($AH831,Target_monthwise!$D$4:$O$20,DTR!N$4,FALSE))*1000,0)</f>
        <v>0</v>
      </c>
      <c r="O831" s="141">
        <f>IFERROR((HLOOKUP($AH831,Target_monthwise!$D$4:$O$20,DTR!O$4,FALSE))*1000,0)</f>
        <v>0</v>
      </c>
      <c r="P831" s="141">
        <f>IFERROR((HLOOKUP($AH831,Target_monthwise!$D$4:$O$20,DTR!P$4,FALSE))*1000,0)</f>
        <v>0</v>
      </c>
      <c r="Q831" s="141">
        <f>IFERROR((HLOOKUP($AH831,Target_monthwise!$D$4:$O$20,DTR!Q$4,FALSE))*1000,0)</f>
        <v>0</v>
      </c>
      <c r="R831" s="167">
        <f>IFERROR((HLOOKUP($AH831,Target_monthwise!$D$4:$O$20,DTR!R$4,FALSE))*1000,0)</f>
        <v>0</v>
      </c>
      <c r="S831" s="147">
        <f>IFERROR((HLOOKUP($AH831,Target_monthwise!$D$24:$O$40,DTR!S$4,FALSE)),0)</f>
        <v>0</v>
      </c>
      <c r="T831" s="147">
        <f>IFERROR((HLOOKUP($AH831,Target_monthwise!$D$24:$O$40,DTR!T$4,FALSE)),0)</f>
        <v>0</v>
      </c>
      <c r="U831" s="147">
        <f>IFERROR((HLOOKUP($AH831,Target_monthwise!$D$24:$O$40,DTR!U$4,FALSE)),0)</f>
        <v>0</v>
      </c>
      <c r="V831" s="147">
        <f>IFERROR((HLOOKUP($AH831,Target_monthwise!$D$24:$O$40,DTR!V$4,FALSE)),0)</f>
        <v>0</v>
      </c>
      <c r="W831" s="147">
        <f>IFERROR((HLOOKUP($AH831,Target_monthwise!$D$24:$O$40,DTR!W$4,FALSE)),0)</f>
        <v>0</v>
      </c>
      <c r="X831" s="147">
        <f>IFERROR((HLOOKUP($AH831,Target_monthwise!$D$24:$O$40,DTR!X$4,FALSE)),0)</f>
        <v>0</v>
      </c>
      <c r="Y831" s="147">
        <f>IFERROR((HLOOKUP($AH831,Target_monthwise!$D$24:$O$40,DTR!Y$4,FALSE)),0)</f>
        <v>0</v>
      </c>
      <c r="Z831" s="147">
        <f>IFERROR((HLOOKUP($AH831,Target_monthwise!$D$24:$O$40,DTR!Z$4,FALSE)),0)</f>
        <v>0</v>
      </c>
      <c r="AA831" s="147">
        <f>IFERROR((HLOOKUP($AH831,Target_monthwise!$D$24:$O$40,DTR!AA$4,FALSE)),0)</f>
        <v>0</v>
      </c>
      <c r="AB831" s="147">
        <f>IFERROR((HLOOKUP($AH831,Target_monthwise!$D$24:$O$40,DTR!AB$4,FALSE)),0)</f>
        <v>0</v>
      </c>
      <c r="AC831" s="147">
        <f>IFERROR((HLOOKUP($AH831,Target_monthwise!$D$24:$O$40,DTR!AC$4,FALSE)),0)</f>
        <v>0</v>
      </c>
      <c r="AD831" s="147">
        <f>IFERROR((HLOOKUP($AH831,Target_monthwise!$D$24:$O$40,DTR!AD$4,FALSE)),0)</f>
        <v>0</v>
      </c>
      <c r="AE831" s="147">
        <f>IFERROR((HLOOKUP($AH831,Target_monthwise!$D$24:$O$40,DTR!AE$4,FALSE)),0)</f>
        <v>0</v>
      </c>
      <c r="AF831" s="147">
        <f>IFERROR((HLOOKUP($AH831,Target_monthwise!$D$24:$O$40,DTR!AF$4,FALSE)),0)</f>
        <v>0</v>
      </c>
      <c r="AG831" s="172">
        <f>IFERROR((HLOOKUP($AH831,Target_monthwise!$D$24:$O$40,DTR!AG$4,FALSE)),0)</f>
        <v>0</v>
      </c>
      <c r="AH831" s="253">
        <f t="shared" si="15"/>
        <v>202407</v>
      </c>
    </row>
    <row r="832" spans="3:34" ht="15.75" hidden="1">
      <c r="C832" s="237">
        <v>45475</v>
      </c>
      <c r="D832" s="238">
        <f>IFERROR((HLOOKUP($AH832,Target_monthwise!$D$4:$O$20,DTR!D$4,FALSE))*1000,0)</f>
        <v>0</v>
      </c>
      <c r="E832" s="238">
        <f>IFERROR((HLOOKUP($AH832,Target_monthwise!$D$4:$O$20,DTR!E$4,FALSE))*1000,0)</f>
        <v>0</v>
      </c>
      <c r="F832" s="238">
        <f>IFERROR((HLOOKUP($AH832,Target_monthwise!$D$4:$O$20,DTR!F$4,FALSE))*1000,0)</f>
        <v>0</v>
      </c>
      <c r="G832" s="238">
        <f>IFERROR((HLOOKUP($AH832,Target_monthwise!$D$4:$O$20,DTR!G$4,FALSE))*1000,0)</f>
        <v>0</v>
      </c>
      <c r="H832" s="238">
        <f>IFERROR((HLOOKUP($AH832,Target_monthwise!$D$4:$O$20,DTR!H$4,FALSE))*1000,0)</f>
        <v>0</v>
      </c>
      <c r="I832" s="238">
        <f>IFERROR((HLOOKUP($AH832,Target_monthwise!$D$4:$O$20,DTR!I$4,FALSE))*1000,0)</f>
        <v>0</v>
      </c>
      <c r="J832" s="238">
        <f>IFERROR((HLOOKUP($AH832,Target_monthwise!$D$4:$O$20,DTR!J$4,FALSE))*1000,0)</f>
        <v>0</v>
      </c>
      <c r="K832" s="238">
        <f>IFERROR((HLOOKUP($AH832,Target_monthwise!$D$4:$O$20,DTR!K$4,FALSE))*1000,0)</f>
        <v>0</v>
      </c>
      <c r="L832" s="238">
        <f>IFERROR((HLOOKUP($AH832,Target_monthwise!$D$4:$O$20,DTR!L$4,FALSE))*1000,0)</f>
        <v>0</v>
      </c>
      <c r="M832" s="238">
        <f>IFERROR((HLOOKUP($AH832,Target_monthwise!$D$4:$O$20,DTR!M$4,FALSE))*1000,0)</f>
        <v>0</v>
      </c>
      <c r="N832" s="238">
        <f>IFERROR((HLOOKUP($AH832,Target_monthwise!$D$4:$O$20,DTR!N$4,FALSE))*1000,0)</f>
        <v>0</v>
      </c>
      <c r="O832" s="238">
        <f>IFERROR((HLOOKUP($AH832,Target_monthwise!$D$4:$O$20,DTR!O$4,FALSE))*1000,0)</f>
        <v>0</v>
      </c>
      <c r="P832" s="238">
        <f>IFERROR((HLOOKUP($AH832,Target_monthwise!$D$4:$O$20,DTR!P$4,FALSE))*1000,0)</f>
        <v>0</v>
      </c>
      <c r="Q832" s="141">
        <f>IFERROR((HLOOKUP($AH832,Target_monthwise!$D$4:$O$20,DTR!Q$4,FALSE))*1000,0)</f>
        <v>0</v>
      </c>
      <c r="R832" s="167">
        <f>IFERROR((HLOOKUP($AH832,Target_monthwise!$D$4:$O$20,DTR!R$4,FALSE))*1000,0)</f>
        <v>0</v>
      </c>
      <c r="S832" s="239">
        <f>IFERROR((HLOOKUP($AH832,Target_monthwise!$D$24:$O$40,DTR!S$4,FALSE)),0)</f>
        <v>0</v>
      </c>
      <c r="T832" s="239">
        <f>IFERROR((HLOOKUP($AH832,Target_monthwise!$D$24:$O$40,DTR!T$4,FALSE)),0)</f>
        <v>0</v>
      </c>
      <c r="U832" s="239">
        <f>IFERROR((HLOOKUP($AH832,Target_monthwise!$D$24:$O$40,DTR!U$4,FALSE)),0)</f>
        <v>0</v>
      </c>
      <c r="V832" s="239">
        <f>IFERROR((HLOOKUP($AH832,Target_monthwise!$D$24:$O$40,DTR!V$4,FALSE)),0)</f>
        <v>0</v>
      </c>
      <c r="W832" s="239">
        <f>IFERROR((HLOOKUP($AH832,Target_monthwise!$D$24:$O$40,DTR!W$4,FALSE)),0)</f>
        <v>0</v>
      </c>
      <c r="X832" s="239">
        <f>IFERROR((HLOOKUP($AH832,Target_monthwise!$D$24:$O$40,DTR!X$4,FALSE)),0)</f>
        <v>0</v>
      </c>
      <c r="Y832" s="239">
        <f>IFERROR((HLOOKUP($AH832,Target_monthwise!$D$24:$O$40,DTR!Y$4,FALSE)),0)</f>
        <v>0</v>
      </c>
      <c r="Z832" s="147">
        <f>IFERROR((HLOOKUP($AH832,Target_monthwise!$D$24:$O$40,DTR!Z$4,FALSE)),0)</f>
        <v>0</v>
      </c>
      <c r="AA832" s="147">
        <f>IFERROR((HLOOKUP($AH832,Target_monthwise!$D$24:$O$40,DTR!AA$4,FALSE)),0)</f>
        <v>0</v>
      </c>
      <c r="AB832" s="147">
        <f>IFERROR((HLOOKUP($AH832,Target_monthwise!$D$24:$O$40,DTR!AB$4,FALSE)),0)</f>
        <v>0</v>
      </c>
      <c r="AC832" s="239">
        <f>IFERROR((HLOOKUP($AH832,Target_monthwise!$D$24:$O$40,DTR!AC$4,FALSE)),0)</f>
        <v>0</v>
      </c>
      <c r="AD832" s="239">
        <f>IFERROR((HLOOKUP($AH832,Target_monthwise!$D$24:$O$40,DTR!AD$4,FALSE)),0)</f>
        <v>0</v>
      </c>
      <c r="AE832" s="239">
        <f>IFERROR((HLOOKUP($AH832,Target_monthwise!$D$24:$O$40,DTR!AE$4,FALSE)),0)</f>
        <v>0</v>
      </c>
      <c r="AF832" s="239">
        <f>IFERROR((HLOOKUP($AH832,Target_monthwise!$D$24:$O$40,DTR!AF$4,FALSE)),0)</f>
        <v>0</v>
      </c>
      <c r="AG832" s="172">
        <f>IFERROR((HLOOKUP($AH832,Target_monthwise!$D$24:$O$40,DTR!AG$4,FALSE)),0)</f>
        <v>0</v>
      </c>
      <c r="AH832" s="253">
        <f t="shared" si="15"/>
        <v>202407</v>
      </c>
    </row>
    <row r="833" spans="3:34" ht="15.75" hidden="1">
      <c r="C833" s="235">
        <v>45476</v>
      </c>
      <c r="D833" s="141">
        <f>IFERROR((HLOOKUP($AH833,Target_monthwise!$D$4:$O$20,DTR!D$4,FALSE))*1000,0)</f>
        <v>0</v>
      </c>
      <c r="E833" s="141">
        <f>IFERROR((HLOOKUP($AH833,Target_monthwise!$D$4:$O$20,DTR!E$4,FALSE))*1000,0)</f>
        <v>0</v>
      </c>
      <c r="F833" s="141">
        <f>IFERROR((HLOOKUP($AH833,Target_monthwise!$D$4:$O$20,DTR!F$4,FALSE))*1000,0)</f>
        <v>0</v>
      </c>
      <c r="G833" s="141">
        <f>IFERROR((HLOOKUP($AH833,Target_monthwise!$D$4:$O$20,DTR!G$4,FALSE))*1000,0)</f>
        <v>0</v>
      </c>
      <c r="H833" s="141">
        <f>IFERROR((HLOOKUP($AH833,Target_monthwise!$D$4:$O$20,DTR!H$4,FALSE))*1000,0)</f>
        <v>0</v>
      </c>
      <c r="I833" s="141">
        <f>IFERROR((HLOOKUP($AH833,Target_monthwise!$D$4:$O$20,DTR!I$4,FALSE))*1000,0)</f>
        <v>0</v>
      </c>
      <c r="J833" s="141">
        <f>IFERROR((HLOOKUP($AH833,Target_monthwise!$D$4:$O$20,DTR!J$4,FALSE))*1000,0)</f>
        <v>0</v>
      </c>
      <c r="K833" s="141">
        <f>IFERROR((HLOOKUP($AH833,Target_monthwise!$D$4:$O$20,DTR!K$4,FALSE))*1000,0)</f>
        <v>0</v>
      </c>
      <c r="L833" s="141">
        <f>IFERROR((HLOOKUP($AH833,Target_monthwise!$D$4:$O$20,DTR!L$4,FALSE))*1000,0)</f>
        <v>0</v>
      </c>
      <c r="M833" s="141">
        <f>IFERROR((HLOOKUP($AH833,Target_monthwise!$D$4:$O$20,DTR!M$4,FALSE))*1000,0)</f>
        <v>0</v>
      </c>
      <c r="N833" s="141">
        <f>IFERROR((HLOOKUP($AH833,Target_monthwise!$D$4:$O$20,DTR!N$4,FALSE))*1000,0)</f>
        <v>0</v>
      </c>
      <c r="O833" s="141">
        <f>IFERROR((HLOOKUP($AH833,Target_monthwise!$D$4:$O$20,DTR!O$4,FALSE))*1000,0)</f>
        <v>0</v>
      </c>
      <c r="P833" s="141">
        <f>IFERROR((HLOOKUP($AH833,Target_monthwise!$D$4:$O$20,DTR!P$4,FALSE))*1000,0)</f>
        <v>0</v>
      </c>
      <c r="Q833" s="141">
        <f>IFERROR((HLOOKUP($AH833,Target_monthwise!$D$4:$O$20,DTR!Q$4,FALSE))*1000,0)</f>
        <v>0</v>
      </c>
      <c r="R833" s="167">
        <f>IFERROR((HLOOKUP($AH833,Target_monthwise!$D$4:$O$20,DTR!R$4,FALSE))*1000,0)</f>
        <v>0</v>
      </c>
      <c r="S833" s="147">
        <f>IFERROR((HLOOKUP($AH833,Target_monthwise!$D$24:$O$40,DTR!S$4,FALSE)),0)</f>
        <v>0</v>
      </c>
      <c r="T833" s="147">
        <f>IFERROR((HLOOKUP($AH833,Target_monthwise!$D$24:$O$40,DTR!T$4,FALSE)),0)</f>
        <v>0</v>
      </c>
      <c r="U833" s="147">
        <f>IFERROR((HLOOKUP($AH833,Target_monthwise!$D$24:$O$40,DTR!U$4,FALSE)),0)</f>
        <v>0</v>
      </c>
      <c r="V833" s="147">
        <f>IFERROR((HLOOKUP($AH833,Target_monthwise!$D$24:$O$40,DTR!V$4,FALSE)),0)</f>
        <v>0</v>
      </c>
      <c r="W833" s="147">
        <f>IFERROR((HLOOKUP($AH833,Target_monthwise!$D$24:$O$40,DTR!W$4,FALSE)),0)</f>
        <v>0</v>
      </c>
      <c r="X833" s="147">
        <f>IFERROR((HLOOKUP($AH833,Target_monthwise!$D$24:$O$40,DTR!X$4,FALSE)),0)</f>
        <v>0</v>
      </c>
      <c r="Y833" s="147">
        <f>IFERROR((HLOOKUP($AH833,Target_monthwise!$D$24:$O$40,DTR!Y$4,FALSE)),0)</f>
        <v>0</v>
      </c>
      <c r="Z833" s="147">
        <f>IFERROR((HLOOKUP($AH833,Target_monthwise!$D$24:$O$40,DTR!Z$4,FALSE)),0)</f>
        <v>0</v>
      </c>
      <c r="AA833" s="147">
        <f>IFERROR((HLOOKUP($AH833,Target_monthwise!$D$24:$O$40,DTR!AA$4,FALSE)),0)</f>
        <v>0</v>
      </c>
      <c r="AB833" s="147">
        <f>IFERROR((HLOOKUP($AH833,Target_monthwise!$D$24:$O$40,DTR!AB$4,FALSE)),0)</f>
        <v>0</v>
      </c>
      <c r="AC833" s="147">
        <f>IFERROR((HLOOKUP($AH833,Target_monthwise!$D$24:$O$40,DTR!AC$4,FALSE)),0)</f>
        <v>0</v>
      </c>
      <c r="AD833" s="147">
        <f>IFERROR((HLOOKUP($AH833,Target_monthwise!$D$24:$O$40,DTR!AD$4,FALSE)),0)</f>
        <v>0</v>
      </c>
      <c r="AE833" s="147">
        <f>IFERROR((HLOOKUP($AH833,Target_monthwise!$D$24:$O$40,DTR!AE$4,FALSE)),0)</f>
        <v>0</v>
      </c>
      <c r="AF833" s="147">
        <f>IFERROR((HLOOKUP($AH833,Target_monthwise!$D$24:$O$40,DTR!AF$4,FALSE)),0)</f>
        <v>0</v>
      </c>
      <c r="AG833" s="172">
        <f>IFERROR((HLOOKUP($AH833,Target_monthwise!$D$24:$O$40,DTR!AG$4,FALSE)),0)</f>
        <v>0</v>
      </c>
      <c r="AH833" s="253">
        <f t="shared" si="15"/>
        <v>202407</v>
      </c>
    </row>
    <row r="834" spans="3:34" ht="15.75" hidden="1">
      <c r="C834" s="237">
        <v>45477</v>
      </c>
      <c r="D834" s="238">
        <f>IFERROR((HLOOKUP($AH834,Target_monthwise!$D$4:$O$20,DTR!D$4,FALSE))*1000,0)</f>
        <v>0</v>
      </c>
      <c r="E834" s="238">
        <f>IFERROR((HLOOKUP($AH834,Target_monthwise!$D$4:$O$20,DTR!E$4,FALSE))*1000,0)</f>
        <v>0</v>
      </c>
      <c r="F834" s="238">
        <f>IFERROR((HLOOKUP($AH834,Target_monthwise!$D$4:$O$20,DTR!F$4,FALSE))*1000,0)</f>
        <v>0</v>
      </c>
      <c r="G834" s="238">
        <f>IFERROR((HLOOKUP($AH834,Target_monthwise!$D$4:$O$20,DTR!G$4,FALSE))*1000,0)</f>
        <v>0</v>
      </c>
      <c r="H834" s="238">
        <f>IFERROR((HLOOKUP($AH834,Target_monthwise!$D$4:$O$20,DTR!H$4,FALSE))*1000,0)</f>
        <v>0</v>
      </c>
      <c r="I834" s="238">
        <f>IFERROR((HLOOKUP($AH834,Target_monthwise!$D$4:$O$20,DTR!I$4,FALSE))*1000,0)</f>
        <v>0</v>
      </c>
      <c r="J834" s="238">
        <f>IFERROR((HLOOKUP($AH834,Target_monthwise!$D$4:$O$20,DTR!J$4,FALSE))*1000,0)</f>
        <v>0</v>
      </c>
      <c r="K834" s="238">
        <f>IFERROR((HLOOKUP($AH834,Target_monthwise!$D$4:$O$20,DTR!K$4,FALSE))*1000,0)</f>
        <v>0</v>
      </c>
      <c r="L834" s="238">
        <f>IFERROR((HLOOKUP($AH834,Target_monthwise!$D$4:$O$20,DTR!L$4,FALSE))*1000,0)</f>
        <v>0</v>
      </c>
      <c r="M834" s="238">
        <f>IFERROR((HLOOKUP($AH834,Target_monthwise!$D$4:$O$20,DTR!M$4,FALSE))*1000,0)</f>
        <v>0</v>
      </c>
      <c r="N834" s="238">
        <f>IFERROR((HLOOKUP($AH834,Target_monthwise!$D$4:$O$20,DTR!N$4,FALSE))*1000,0)</f>
        <v>0</v>
      </c>
      <c r="O834" s="238">
        <f>IFERROR((HLOOKUP($AH834,Target_monthwise!$D$4:$O$20,DTR!O$4,FALSE))*1000,0)</f>
        <v>0</v>
      </c>
      <c r="P834" s="238">
        <f>IFERROR((HLOOKUP($AH834,Target_monthwise!$D$4:$O$20,DTR!P$4,FALSE))*1000,0)</f>
        <v>0</v>
      </c>
      <c r="Q834" s="141">
        <f>IFERROR((HLOOKUP($AH834,Target_monthwise!$D$4:$O$20,DTR!Q$4,FALSE))*1000,0)</f>
        <v>0</v>
      </c>
      <c r="R834" s="167">
        <f>IFERROR((HLOOKUP($AH834,Target_monthwise!$D$4:$O$20,DTR!R$4,FALSE))*1000,0)</f>
        <v>0</v>
      </c>
      <c r="S834" s="239">
        <f>IFERROR((HLOOKUP($AH834,Target_monthwise!$D$24:$O$40,DTR!S$4,FALSE)),0)</f>
        <v>0</v>
      </c>
      <c r="T834" s="239">
        <f>IFERROR((HLOOKUP($AH834,Target_monthwise!$D$24:$O$40,DTR!T$4,FALSE)),0)</f>
        <v>0</v>
      </c>
      <c r="U834" s="239">
        <f>IFERROR((HLOOKUP($AH834,Target_monthwise!$D$24:$O$40,DTR!U$4,FALSE)),0)</f>
        <v>0</v>
      </c>
      <c r="V834" s="239">
        <f>IFERROR((HLOOKUP($AH834,Target_monthwise!$D$24:$O$40,DTR!V$4,FALSE)),0)</f>
        <v>0</v>
      </c>
      <c r="W834" s="239">
        <f>IFERROR((HLOOKUP($AH834,Target_monthwise!$D$24:$O$40,DTR!W$4,FALSE)),0)</f>
        <v>0</v>
      </c>
      <c r="X834" s="239">
        <f>IFERROR((HLOOKUP($AH834,Target_monthwise!$D$24:$O$40,DTR!X$4,FALSE)),0)</f>
        <v>0</v>
      </c>
      <c r="Y834" s="239">
        <f>IFERROR((HLOOKUP($AH834,Target_monthwise!$D$24:$O$40,DTR!Y$4,FALSE)),0)</f>
        <v>0</v>
      </c>
      <c r="Z834" s="147">
        <f>IFERROR((HLOOKUP($AH834,Target_monthwise!$D$24:$O$40,DTR!Z$4,FALSE)),0)</f>
        <v>0</v>
      </c>
      <c r="AA834" s="147">
        <f>IFERROR((HLOOKUP($AH834,Target_monthwise!$D$24:$O$40,DTR!AA$4,FALSE)),0)</f>
        <v>0</v>
      </c>
      <c r="AB834" s="147">
        <f>IFERROR((HLOOKUP($AH834,Target_monthwise!$D$24:$O$40,DTR!AB$4,FALSE)),0)</f>
        <v>0</v>
      </c>
      <c r="AC834" s="239">
        <f>IFERROR((HLOOKUP($AH834,Target_monthwise!$D$24:$O$40,DTR!AC$4,FALSE)),0)</f>
        <v>0</v>
      </c>
      <c r="AD834" s="239">
        <f>IFERROR((HLOOKUP($AH834,Target_monthwise!$D$24:$O$40,DTR!AD$4,FALSE)),0)</f>
        <v>0</v>
      </c>
      <c r="AE834" s="239">
        <f>IFERROR((HLOOKUP($AH834,Target_monthwise!$D$24:$O$40,DTR!AE$4,FALSE)),0)</f>
        <v>0</v>
      </c>
      <c r="AF834" s="239">
        <f>IFERROR((HLOOKUP($AH834,Target_monthwise!$D$24:$O$40,DTR!AF$4,FALSE)),0)</f>
        <v>0</v>
      </c>
      <c r="AG834" s="172">
        <f>IFERROR((HLOOKUP($AH834,Target_monthwise!$D$24:$O$40,DTR!AG$4,FALSE)),0)</f>
        <v>0</v>
      </c>
      <c r="AH834" s="253">
        <f t="shared" si="15"/>
        <v>202407</v>
      </c>
    </row>
    <row r="835" spans="3:34" ht="15.75" hidden="1">
      <c r="C835" s="235">
        <v>45478</v>
      </c>
      <c r="D835" s="141">
        <f>IFERROR((HLOOKUP($AH835,Target_monthwise!$D$4:$O$20,DTR!D$4,FALSE))*1000,0)</f>
        <v>0</v>
      </c>
      <c r="E835" s="141">
        <f>IFERROR((HLOOKUP($AH835,Target_monthwise!$D$4:$O$20,DTR!E$4,FALSE))*1000,0)</f>
        <v>0</v>
      </c>
      <c r="F835" s="141">
        <f>IFERROR((HLOOKUP($AH835,Target_monthwise!$D$4:$O$20,DTR!F$4,FALSE))*1000,0)</f>
        <v>0</v>
      </c>
      <c r="G835" s="141">
        <f>IFERROR((HLOOKUP($AH835,Target_monthwise!$D$4:$O$20,DTR!G$4,FALSE))*1000,0)</f>
        <v>0</v>
      </c>
      <c r="H835" s="141">
        <f>IFERROR((HLOOKUP($AH835,Target_monthwise!$D$4:$O$20,DTR!H$4,FALSE))*1000,0)</f>
        <v>0</v>
      </c>
      <c r="I835" s="141">
        <f>IFERROR((HLOOKUP($AH835,Target_monthwise!$D$4:$O$20,DTR!I$4,FALSE))*1000,0)</f>
        <v>0</v>
      </c>
      <c r="J835" s="141">
        <f>IFERROR((HLOOKUP($AH835,Target_monthwise!$D$4:$O$20,DTR!J$4,FALSE))*1000,0)</f>
        <v>0</v>
      </c>
      <c r="K835" s="141">
        <f>IFERROR((HLOOKUP($AH835,Target_monthwise!$D$4:$O$20,DTR!K$4,FALSE))*1000,0)</f>
        <v>0</v>
      </c>
      <c r="L835" s="141">
        <f>IFERROR((HLOOKUP($AH835,Target_monthwise!$D$4:$O$20,DTR!L$4,FALSE))*1000,0)</f>
        <v>0</v>
      </c>
      <c r="M835" s="141">
        <f>IFERROR((HLOOKUP($AH835,Target_monthwise!$D$4:$O$20,DTR!M$4,FALSE))*1000,0)</f>
        <v>0</v>
      </c>
      <c r="N835" s="141">
        <f>IFERROR((HLOOKUP($AH835,Target_monthwise!$D$4:$O$20,DTR!N$4,FALSE))*1000,0)</f>
        <v>0</v>
      </c>
      <c r="O835" s="141">
        <f>IFERROR((HLOOKUP($AH835,Target_monthwise!$D$4:$O$20,DTR!O$4,FALSE))*1000,0)</f>
        <v>0</v>
      </c>
      <c r="P835" s="141">
        <f>IFERROR((HLOOKUP($AH835,Target_monthwise!$D$4:$O$20,DTR!P$4,FALSE))*1000,0)</f>
        <v>0</v>
      </c>
      <c r="Q835" s="141">
        <f>IFERROR((HLOOKUP($AH835,Target_monthwise!$D$4:$O$20,DTR!Q$4,FALSE))*1000,0)</f>
        <v>0</v>
      </c>
      <c r="R835" s="167">
        <f>IFERROR((HLOOKUP($AH835,Target_monthwise!$D$4:$O$20,DTR!R$4,FALSE))*1000,0)</f>
        <v>0</v>
      </c>
      <c r="S835" s="147">
        <f>IFERROR((HLOOKUP($AH835,Target_monthwise!$D$24:$O$40,DTR!S$4,FALSE)),0)</f>
        <v>0</v>
      </c>
      <c r="T835" s="147">
        <f>IFERROR((HLOOKUP($AH835,Target_monthwise!$D$24:$O$40,DTR!T$4,FALSE)),0)</f>
        <v>0</v>
      </c>
      <c r="U835" s="147">
        <f>IFERROR((HLOOKUP($AH835,Target_monthwise!$D$24:$O$40,DTR!U$4,FALSE)),0)</f>
        <v>0</v>
      </c>
      <c r="V835" s="147">
        <f>IFERROR((HLOOKUP($AH835,Target_monthwise!$D$24:$O$40,DTR!V$4,FALSE)),0)</f>
        <v>0</v>
      </c>
      <c r="W835" s="147">
        <f>IFERROR((HLOOKUP($AH835,Target_monthwise!$D$24:$O$40,DTR!W$4,FALSE)),0)</f>
        <v>0</v>
      </c>
      <c r="X835" s="147">
        <f>IFERROR((HLOOKUP($AH835,Target_monthwise!$D$24:$O$40,DTR!X$4,FALSE)),0)</f>
        <v>0</v>
      </c>
      <c r="Y835" s="147">
        <f>IFERROR((HLOOKUP($AH835,Target_monthwise!$D$24:$O$40,DTR!Y$4,FALSE)),0)</f>
        <v>0</v>
      </c>
      <c r="Z835" s="147">
        <f>IFERROR((HLOOKUP($AH835,Target_monthwise!$D$24:$O$40,DTR!Z$4,FALSE)),0)</f>
        <v>0</v>
      </c>
      <c r="AA835" s="147">
        <f>IFERROR((HLOOKUP($AH835,Target_monthwise!$D$24:$O$40,DTR!AA$4,FALSE)),0)</f>
        <v>0</v>
      </c>
      <c r="AB835" s="147">
        <f>IFERROR((HLOOKUP($AH835,Target_monthwise!$D$24:$O$40,DTR!AB$4,FALSE)),0)</f>
        <v>0</v>
      </c>
      <c r="AC835" s="147">
        <f>IFERROR((HLOOKUP($AH835,Target_monthwise!$D$24:$O$40,DTR!AC$4,FALSE)),0)</f>
        <v>0</v>
      </c>
      <c r="AD835" s="147">
        <f>IFERROR((HLOOKUP($AH835,Target_monthwise!$D$24:$O$40,DTR!AD$4,FALSE)),0)</f>
        <v>0</v>
      </c>
      <c r="AE835" s="147">
        <f>IFERROR((HLOOKUP($AH835,Target_monthwise!$D$24:$O$40,DTR!AE$4,FALSE)),0)</f>
        <v>0</v>
      </c>
      <c r="AF835" s="147">
        <f>IFERROR((HLOOKUP($AH835,Target_monthwise!$D$24:$O$40,DTR!AF$4,FALSE)),0)</f>
        <v>0</v>
      </c>
      <c r="AG835" s="172">
        <f>IFERROR((HLOOKUP($AH835,Target_monthwise!$D$24:$O$40,DTR!AG$4,FALSE)),0)</f>
        <v>0</v>
      </c>
      <c r="AH835" s="253">
        <f t="shared" si="15"/>
        <v>202407</v>
      </c>
    </row>
    <row r="836" spans="3:34" ht="15.75" hidden="1">
      <c r="C836" s="237">
        <v>45479</v>
      </c>
      <c r="D836" s="238">
        <f>IFERROR((HLOOKUP($AH836,Target_monthwise!$D$4:$O$20,DTR!D$4,FALSE))*1000,0)</f>
        <v>0</v>
      </c>
      <c r="E836" s="238">
        <f>IFERROR((HLOOKUP($AH836,Target_monthwise!$D$4:$O$20,DTR!E$4,FALSE))*1000,0)</f>
        <v>0</v>
      </c>
      <c r="F836" s="238">
        <f>IFERROR((HLOOKUP($AH836,Target_monthwise!$D$4:$O$20,DTR!F$4,FALSE))*1000,0)</f>
        <v>0</v>
      </c>
      <c r="G836" s="238">
        <f>IFERROR((HLOOKUP($AH836,Target_monthwise!$D$4:$O$20,DTR!G$4,FALSE))*1000,0)</f>
        <v>0</v>
      </c>
      <c r="H836" s="238">
        <f>IFERROR((HLOOKUP($AH836,Target_monthwise!$D$4:$O$20,DTR!H$4,FALSE))*1000,0)</f>
        <v>0</v>
      </c>
      <c r="I836" s="238">
        <f>IFERROR((HLOOKUP($AH836,Target_monthwise!$D$4:$O$20,DTR!I$4,FALSE))*1000,0)</f>
        <v>0</v>
      </c>
      <c r="J836" s="238">
        <f>IFERROR((HLOOKUP($AH836,Target_monthwise!$D$4:$O$20,DTR!J$4,FALSE))*1000,0)</f>
        <v>0</v>
      </c>
      <c r="K836" s="238">
        <f>IFERROR((HLOOKUP($AH836,Target_monthwise!$D$4:$O$20,DTR!K$4,FALSE))*1000,0)</f>
        <v>0</v>
      </c>
      <c r="L836" s="238">
        <f>IFERROR((HLOOKUP($AH836,Target_monthwise!$D$4:$O$20,DTR!L$4,FALSE))*1000,0)</f>
        <v>0</v>
      </c>
      <c r="M836" s="238">
        <f>IFERROR((HLOOKUP($AH836,Target_monthwise!$D$4:$O$20,DTR!M$4,FALSE))*1000,0)</f>
        <v>0</v>
      </c>
      <c r="N836" s="238">
        <f>IFERROR((HLOOKUP($AH836,Target_monthwise!$D$4:$O$20,DTR!N$4,FALSE))*1000,0)</f>
        <v>0</v>
      </c>
      <c r="O836" s="238">
        <f>IFERROR((HLOOKUP($AH836,Target_monthwise!$D$4:$O$20,DTR!O$4,FALSE))*1000,0)</f>
        <v>0</v>
      </c>
      <c r="P836" s="238">
        <f>IFERROR((HLOOKUP($AH836,Target_monthwise!$D$4:$O$20,DTR!P$4,FALSE))*1000,0)</f>
        <v>0</v>
      </c>
      <c r="Q836" s="141">
        <f>IFERROR((HLOOKUP($AH836,Target_monthwise!$D$4:$O$20,DTR!Q$4,FALSE))*1000,0)</f>
        <v>0</v>
      </c>
      <c r="R836" s="167">
        <f>IFERROR((HLOOKUP($AH836,Target_monthwise!$D$4:$O$20,DTR!R$4,FALSE))*1000,0)</f>
        <v>0</v>
      </c>
      <c r="S836" s="239">
        <f>IFERROR((HLOOKUP($AH836,Target_monthwise!$D$24:$O$40,DTR!S$4,FALSE)),0)</f>
        <v>0</v>
      </c>
      <c r="T836" s="239">
        <f>IFERROR((HLOOKUP($AH836,Target_monthwise!$D$24:$O$40,DTR!T$4,FALSE)),0)</f>
        <v>0</v>
      </c>
      <c r="U836" s="239">
        <f>IFERROR((HLOOKUP($AH836,Target_monthwise!$D$24:$O$40,DTR!U$4,FALSE)),0)</f>
        <v>0</v>
      </c>
      <c r="V836" s="239">
        <f>IFERROR((HLOOKUP($AH836,Target_monthwise!$D$24:$O$40,DTR!V$4,FALSE)),0)</f>
        <v>0</v>
      </c>
      <c r="W836" s="239">
        <f>IFERROR((HLOOKUP($AH836,Target_monthwise!$D$24:$O$40,DTR!W$4,FALSE)),0)</f>
        <v>0</v>
      </c>
      <c r="X836" s="239">
        <f>IFERROR((HLOOKUP($AH836,Target_monthwise!$D$24:$O$40,DTR!X$4,FALSE)),0)</f>
        <v>0</v>
      </c>
      <c r="Y836" s="239">
        <f>IFERROR((HLOOKUP($AH836,Target_monthwise!$D$24:$O$40,DTR!Y$4,FALSE)),0)</f>
        <v>0</v>
      </c>
      <c r="Z836" s="147">
        <f>IFERROR((HLOOKUP($AH836,Target_monthwise!$D$24:$O$40,DTR!Z$4,FALSE)),0)</f>
        <v>0</v>
      </c>
      <c r="AA836" s="147">
        <f>IFERROR((HLOOKUP($AH836,Target_monthwise!$D$24:$O$40,DTR!AA$4,FALSE)),0)</f>
        <v>0</v>
      </c>
      <c r="AB836" s="147">
        <f>IFERROR((HLOOKUP($AH836,Target_monthwise!$D$24:$O$40,DTR!AB$4,FALSE)),0)</f>
        <v>0</v>
      </c>
      <c r="AC836" s="239">
        <f>IFERROR((HLOOKUP($AH836,Target_monthwise!$D$24:$O$40,DTR!AC$4,FALSE)),0)</f>
        <v>0</v>
      </c>
      <c r="AD836" s="239">
        <f>IFERROR((HLOOKUP($AH836,Target_monthwise!$D$24:$O$40,DTR!AD$4,FALSE)),0)</f>
        <v>0</v>
      </c>
      <c r="AE836" s="239">
        <f>IFERROR((HLOOKUP($AH836,Target_monthwise!$D$24:$O$40,DTR!AE$4,FALSE)),0)</f>
        <v>0</v>
      </c>
      <c r="AF836" s="239">
        <f>IFERROR((HLOOKUP($AH836,Target_monthwise!$D$24:$O$40,DTR!AF$4,FALSE)),0)</f>
        <v>0</v>
      </c>
      <c r="AG836" s="172">
        <f>IFERROR((HLOOKUP($AH836,Target_monthwise!$D$24:$O$40,DTR!AG$4,FALSE)),0)</f>
        <v>0</v>
      </c>
      <c r="AH836" s="253">
        <f t="shared" si="15"/>
        <v>202407</v>
      </c>
    </row>
    <row r="837" spans="3:34" ht="15.75" hidden="1">
      <c r="C837" s="235">
        <v>45480</v>
      </c>
      <c r="D837" s="141">
        <f>IFERROR((HLOOKUP($AH837,Target_monthwise!$D$4:$O$20,DTR!D$4,FALSE))*1000,0)</f>
        <v>0</v>
      </c>
      <c r="E837" s="141">
        <f>IFERROR((HLOOKUP($AH837,Target_monthwise!$D$4:$O$20,DTR!E$4,FALSE))*1000,0)</f>
        <v>0</v>
      </c>
      <c r="F837" s="141">
        <f>IFERROR((HLOOKUP($AH837,Target_monthwise!$D$4:$O$20,DTR!F$4,FALSE))*1000,0)</f>
        <v>0</v>
      </c>
      <c r="G837" s="141">
        <f>IFERROR((HLOOKUP($AH837,Target_monthwise!$D$4:$O$20,DTR!G$4,FALSE))*1000,0)</f>
        <v>0</v>
      </c>
      <c r="H837" s="141">
        <f>IFERROR((HLOOKUP($AH837,Target_monthwise!$D$4:$O$20,DTR!H$4,FALSE))*1000,0)</f>
        <v>0</v>
      </c>
      <c r="I837" s="141">
        <f>IFERROR((HLOOKUP($AH837,Target_monthwise!$D$4:$O$20,DTR!I$4,FALSE))*1000,0)</f>
        <v>0</v>
      </c>
      <c r="J837" s="141">
        <f>IFERROR((HLOOKUP($AH837,Target_monthwise!$D$4:$O$20,DTR!J$4,FALSE))*1000,0)</f>
        <v>0</v>
      </c>
      <c r="K837" s="141">
        <f>IFERROR((HLOOKUP($AH837,Target_monthwise!$D$4:$O$20,DTR!K$4,FALSE))*1000,0)</f>
        <v>0</v>
      </c>
      <c r="L837" s="141">
        <f>IFERROR((HLOOKUP($AH837,Target_monthwise!$D$4:$O$20,DTR!L$4,FALSE))*1000,0)</f>
        <v>0</v>
      </c>
      <c r="M837" s="141">
        <f>IFERROR((HLOOKUP($AH837,Target_monthwise!$D$4:$O$20,DTR!M$4,FALSE))*1000,0)</f>
        <v>0</v>
      </c>
      <c r="N837" s="141">
        <f>IFERROR((HLOOKUP($AH837,Target_monthwise!$D$4:$O$20,DTR!N$4,FALSE))*1000,0)</f>
        <v>0</v>
      </c>
      <c r="O837" s="141">
        <f>IFERROR((HLOOKUP($AH837,Target_monthwise!$D$4:$O$20,DTR!O$4,FALSE))*1000,0)</f>
        <v>0</v>
      </c>
      <c r="P837" s="141">
        <f>IFERROR((HLOOKUP($AH837,Target_monthwise!$D$4:$O$20,DTR!P$4,FALSE))*1000,0)</f>
        <v>0</v>
      </c>
      <c r="Q837" s="141">
        <f>IFERROR((HLOOKUP($AH837,Target_monthwise!$D$4:$O$20,DTR!Q$4,FALSE))*1000,0)</f>
        <v>0</v>
      </c>
      <c r="R837" s="167">
        <f>IFERROR((HLOOKUP($AH837,Target_monthwise!$D$4:$O$20,DTR!R$4,FALSE))*1000,0)</f>
        <v>0</v>
      </c>
      <c r="S837" s="147">
        <f>IFERROR((HLOOKUP($AH837,Target_monthwise!$D$24:$O$40,DTR!S$4,FALSE)),0)</f>
        <v>0</v>
      </c>
      <c r="T837" s="147">
        <f>IFERROR((HLOOKUP($AH837,Target_monthwise!$D$24:$O$40,DTR!T$4,FALSE)),0)</f>
        <v>0</v>
      </c>
      <c r="U837" s="147">
        <f>IFERROR((HLOOKUP($AH837,Target_monthwise!$D$24:$O$40,DTR!U$4,FALSE)),0)</f>
        <v>0</v>
      </c>
      <c r="V837" s="147">
        <f>IFERROR((HLOOKUP($AH837,Target_monthwise!$D$24:$O$40,DTR!V$4,FALSE)),0)</f>
        <v>0</v>
      </c>
      <c r="W837" s="147">
        <f>IFERROR((HLOOKUP($AH837,Target_monthwise!$D$24:$O$40,DTR!W$4,FALSE)),0)</f>
        <v>0</v>
      </c>
      <c r="X837" s="147">
        <f>IFERROR((HLOOKUP($AH837,Target_monthwise!$D$24:$O$40,DTR!X$4,FALSE)),0)</f>
        <v>0</v>
      </c>
      <c r="Y837" s="147">
        <f>IFERROR((HLOOKUP($AH837,Target_monthwise!$D$24:$O$40,DTR!Y$4,FALSE)),0)</f>
        <v>0</v>
      </c>
      <c r="Z837" s="147">
        <f>IFERROR((HLOOKUP($AH837,Target_monthwise!$D$24:$O$40,DTR!Z$4,FALSE)),0)</f>
        <v>0</v>
      </c>
      <c r="AA837" s="147">
        <f>IFERROR((HLOOKUP($AH837,Target_monthwise!$D$24:$O$40,DTR!AA$4,FALSE)),0)</f>
        <v>0</v>
      </c>
      <c r="AB837" s="147">
        <f>IFERROR((HLOOKUP($AH837,Target_monthwise!$D$24:$O$40,DTR!AB$4,FALSE)),0)</f>
        <v>0</v>
      </c>
      <c r="AC837" s="147">
        <f>IFERROR((HLOOKUP($AH837,Target_monthwise!$D$24:$O$40,DTR!AC$4,FALSE)),0)</f>
        <v>0</v>
      </c>
      <c r="AD837" s="147">
        <f>IFERROR((HLOOKUP($AH837,Target_monthwise!$D$24:$O$40,DTR!AD$4,FALSE)),0)</f>
        <v>0</v>
      </c>
      <c r="AE837" s="147">
        <f>IFERROR((HLOOKUP($AH837,Target_monthwise!$D$24:$O$40,DTR!AE$4,FALSE)),0)</f>
        <v>0</v>
      </c>
      <c r="AF837" s="147">
        <f>IFERROR((HLOOKUP($AH837,Target_monthwise!$D$24:$O$40,DTR!AF$4,FALSE)),0)</f>
        <v>0</v>
      </c>
      <c r="AG837" s="172">
        <f>IFERROR((HLOOKUP($AH837,Target_monthwise!$D$24:$O$40,DTR!AG$4,FALSE)),0)</f>
        <v>0</v>
      </c>
      <c r="AH837" s="253">
        <f t="shared" si="15"/>
        <v>202407</v>
      </c>
    </row>
    <row r="838" spans="3:34" ht="15.75" hidden="1">
      <c r="C838" s="237">
        <v>45481</v>
      </c>
      <c r="D838" s="238">
        <f>IFERROR((HLOOKUP($AH838,Target_monthwise!$D$4:$O$20,DTR!D$4,FALSE))*1000,0)</f>
        <v>0</v>
      </c>
      <c r="E838" s="238">
        <f>IFERROR((HLOOKUP($AH838,Target_monthwise!$D$4:$O$20,DTR!E$4,FALSE))*1000,0)</f>
        <v>0</v>
      </c>
      <c r="F838" s="238">
        <f>IFERROR((HLOOKUP($AH838,Target_monthwise!$D$4:$O$20,DTR!F$4,FALSE))*1000,0)</f>
        <v>0</v>
      </c>
      <c r="G838" s="238">
        <f>IFERROR((HLOOKUP($AH838,Target_monthwise!$D$4:$O$20,DTR!G$4,FALSE))*1000,0)</f>
        <v>0</v>
      </c>
      <c r="H838" s="238">
        <f>IFERROR((HLOOKUP($AH838,Target_monthwise!$D$4:$O$20,DTR!H$4,FALSE))*1000,0)</f>
        <v>0</v>
      </c>
      <c r="I838" s="238">
        <f>IFERROR((HLOOKUP($AH838,Target_monthwise!$D$4:$O$20,DTR!I$4,FALSE))*1000,0)</f>
        <v>0</v>
      </c>
      <c r="J838" s="238">
        <f>IFERROR((HLOOKUP($AH838,Target_monthwise!$D$4:$O$20,DTR!J$4,FALSE))*1000,0)</f>
        <v>0</v>
      </c>
      <c r="K838" s="238">
        <f>IFERROR((HLOOKUP($AH838,Target_monthwise!$D$4:$O$20,DTR!K$4,FALSE))*1000,0)</f>
        <v>0</v>
      </c>
      <c r="L838" s="238">
        <f>IFERROR((HLOOKUP($AH838,Target_monthwise!$D$4:$O$20,DTR!L$4,FALSE))*1000,0)</f>
        <v>0</v>
      </c>
      <c r="M838" s="238">
        <f>IFERROR((HLOOKUP($AH838,Target_monthwise!$D$4:$O$20,DTR!M$4,FALSE))*1000,0)</f>
        <v>0</v>
      </c>
      <c r="N838" s="238">
        <f>IFERROR((HLOOKUP($AH838,Target_monthwise!$D$4:$O$20,DTR!N$4,FALSE))*1000,0)</f>
        <v>0</v>
      </c>
      <c r="O838" s="238">
        <f>IFERROR((HLOOKUP($AH838,Target_monthwise!$D$4:$O$20,DTR!O$4,FALSE))*1000,0)</f>
        <v>0</v>
      </c>
      <c r="P838" s="238">
        <f>IFERROR((HLOOKUP($AH838,Target_monthwise!$D$4:$O$20,DTR!P$4,FALSE))*1000,0)</f>
        <v>0</v>
      </c>
      <c r="Q838" s="141">
        <f>IFERROR((HLOOKUP($AH838,Target_monthwise!$D$4:$O$20,DTR!Q$4,FALSE))*1000,0)</f>
        <v>0</v>
      </c>
      <c r="R838" s="167">
        <f>IFERROR((HLOOKUP($AH838,Target_monthwise!$D$4:$O$20,DTR!R$4,FALSE))*1000,0)</f>
        <v>0</v>
      </c>
      <c r="S838" s="239">
        <f>IFERROR((HLOOKUP($AH838,Target_monthwise!$D$24:$O$40,DTR!S$4,FALSE)),0)</f>
        <v>0</v>
      </c>
      <c r="T838" s="239">
        <f>IFERROR((HLOOKUP($AH838,Target_monthwise!$D$24:$O$40,DTR!T$4,FALSE)),0)</f>
        <v>0</v>
      </c>
      <c r="U838" s="239">
        <f>IFERROR((HLOOKUP($AH838,Target_monthwise!$D$24:$O$40,DTR!U$4,FALSE)),0)</f>
        <v>0</v>
      </c>
      <c r="V838" s="239">
        <f>IFERROR((HLOOKUP($AH838,Target_monthwise!$D$24:$O$40,DTR!V$4,FALSE)),0)</f>
        <v>0</v>
      </c>
      <c r="W838" s="239">
        <f>IFERROR((HLOOKUP($AH838,Target_monthwise!$D$24:$O$40,DTR!W$4,FALSE)),0)</f>
        <v>0</v>
      </c>
      <c r="X838" s="239">
        <f>IFERROR((HLOOKUP($AH838,Target_monthwise!$D$24:$O$40,DTR!X$4,FALSE)),0)</f>
        <v>0</v>
      </c>
      <c r="Y838" s="239">
        <f>IFERROR((HLOOKUP($AH838,Target_monthwise!$D$24:$O$40,DTR!Y$4,FALSE)),0)</f>
        <v>0</v>
      </c>
      <c r="Z838" s="147">
        <f>IFERROR((HLOOKUP($AH838,Target_monthwise!$D$24:$O$40,DTR!Z$4,FALSE)),0)</f>
        <v>0</v>
      </c>
      <c r="AA838" s="147">
        <f>IFERROR((HLOOKUP($AH838,Target_monthwise!$D$24:$O$40,DTR!AA$4,FALSE)),0)</f>
        <v>0</v>
      </c>
      <c r="AB838" s="147">
        <f>IFERROR((HLOOKUP($AH838,Target_monthwise!$D$24:$O$40,DTR!AB$4,FALSE)),0)</f>
        <v>0</v>
      </c>
      <c r="AC838" s="239">
        <f>IFERROR((HLOOKUP($AH838,Target_monthwise!$D$24:$O$40,DTR!AC$4,FALSE)),0)</f>
        <v>0</v>
      </c>
      <c r="AD838" s="239">
        <f>IFERROR((HLOOKUP($AH838,Target_monthwise!$D$24:$O$40,DTR!AD$4,FALSE)),0)</f>
        <v>0</v>
      </c>
      <c r="AE838" s="239">
        <f>IFERROR((HLOOKUP($AH838,Target_monthwise!$D$24:$O$40,DTR!AE$4,FALSE)),0)</f>
        <v>0</v>
      </c>
      <c r="AF838" s="239">
        <f>IFERROR((HLOOKUP($AH838,Target_monthwise!$D$24:$O$40,DTR!AF$4,FALSE)),0)</f>
        <v>0</v>
      </c>
      <c r="AG838" s="172">
        <f>IFERROR((HLOOKUP($AH838,Target_monthwise!$D$24:$O$40,DTR!AG$4,FALSE)),0)</f>
        <v>0</v>
      </c>
      <c r="AH838" s="253">
        <f t="shared" si="15"/>
        <v>202407</v>
      </c>
    </row>
    <row r="839" spans="3:34" ht="15.75" hidden="1">
      <c r="C839" s="235">
        <v>45482</v>
      </c>
      <c r="D839" s="141">
        <f>IFERROR((HLOOKUP($AH839,Target_monthwise!$D$4:$O$20,DTR!D$4,FALSE))*1000,0)</f>
        <v>0</v>
      </c>
      <c r="E839" s="141">
        <f>IFERROR((HLOOKUP($AH839,Target_monthwise!$D$4:$O$20,DTR!E$4,FALSE))*1000,0)</f>
        <v>0</v>
      </c>
      <c r="F839" s="141">
        <f>IFERROR((HLOOKUP($AH839,Target_monthwise!$D$4:$O$20,DTR!F$4,FALSE))*1000,0)</f>
        <v>0</v>
      </c>
      <c r="G839" s="141">
        <f>IFERROR((HLOOKUP($AH839,Target_monthwise!$D$4:$O$20,DTR!G$4,FALSE))*1000,0)</f>
        <v>0</v>
      </c>
      <c r="H839" s="141">
        <f>IFERROR((HLOOKUP($AH839,Target_monthwise!$D$4:$O$20,DTR!H$4,FALSE))*1000,0)</f>
        <v>0</v>
      </c>
      <c r="I839" s="141">
        <f>IFERROR((HLOOKUP($AH839,Target_monthwise!$D$4:$O$20,DTR!I$4,FALSE))*1000,0)</f>
        <v>0</v>
      </c>
      <c r="J839" s="141">
        <f>IFERROR((HLOOKUP($AH839,Target_monthwise!$D$4:$O$20,DTR!J$4,FALSE))*1000,0)</f>
        <v>0</v>
      </c>
      <c r="K839" s="141">
        <f>IFERROR((HLOOKUP($AH839,Target_monthwise!$D$4:$O$20,DTR!K$4,FALSE))*1000,0)</f>
        <v>0</v>
      </c>
      <c r="L839" s="141">
        <f>IFERROR((HLOOKUP($AH839,Target_monthwise!$D$4:$O$20,DTR!L$4,FALSE))*1000,0)</f>
        <v>0</v>
      </c>
      <c r="M839" s="141">
        <f>IFERROR((HLOOKUP($AH839,Target_monthwise!$D$4:$O$20,DTR!M$4,FALSE))*1000,0)</f>
        <v>0</v>
      </c>
      <c r="N839" s="141">
        <f>IFERROR((HLOOKUP($AH839,Target_monthwise!$D$4:$O$20,DTR!N$4,FALSE))*1000,0)</f>
        <v>0</v>
      </c>
      <c r="O839" s="141">
        <f>IFERROR((HLOOKUP($AH839,Target_monthwise!$D$4:$O$20,DTR!O$4,FALSE))*1000,0)</f>
        <v>0</v>
      </c>
      <c r="P839" s="141">
        <f>IFERROR((HLOOKUP($AH839,Target_monthwise!$D$4:$O$20,DTR!P$4,FALSE))*1000,0)</f>
        <v>0</v>
      </c>
      <c r="Q839" s="141">
        <f>IFERROR((HLOOKUP($AH839,Target_monthwise!$D$4:$O$20,DTR!Q$4,FALSE))*1000,0)</f>
        <v>0</v>
      </c>
      <c r="R839" s="167">
        <f>IFERROR((HLOOKUP($AH839,Target_monthwise!$D$4:$O$20,DTR!R$4,FALSE))*1000,0)</f>
        <v>0</v>
      </c>
      <c r="S839" s="147">
        <f>IFERROR((HLOOKUP($AH839,Target_monthwise!$D$24:$O$40,DTR!S$4,FALSE)),0)</f>
        <v>0</v>
      </c>
      <c r="T839" s="147">
        <f>IFERROR((HLOOKUP($AH839,Target_monthwise!$D$24:$O$40,DTR!T$4,FALSE)),0)</f>
        <v>0</v>
      </c>
      <c r="U839" s="147">
        <f>IFERROR((HLOOKUP($AH839,Target_monthwise!$D$24:$O$40,DTR!U$4,FALSE)),0)</f>
        <v>0</v>
      </c>
      <c r="V839" s="147">
        <f>IFERROR((HLOOKUP($AH839,Target_monthwise!$D$24:$O$40,DTR!V$4,FALSE)),0)</f>
        <v>0</v>
      </c>
      <c r="W839" s="147">
        <f>IFERROR((HLOOKUP($AH839,Target_monthwise!$D$24:$O$40,DTR!W$4,FALSE)),0)</f>
        <v>0</v>
      </c>
      <c r="X839" s="147">
        <f>IFERROR((HLOOKUP($AH839,Target_monthwise!$D$24:$O$40,DTR!X$4,FALSE)),0)</f>
        <v>0</v>
      </c>
      <c r="Y839" s="147">
        <f>IFERROR((HLOOKUP($AH839,Target_monthwise!$D$24:$O$40,DTR!Y$4,FALSE)),0)</f>
        <v>0</v>
      </c>
      <c r="Z839" s="147">
        <f>IFERROR((HLOOKUP($AH839,Target_monthwise!$D$24:$O$40,DTR!Z$4,FALSE)),0)</f>
        <v>0</v>
      </c>
      <c r="AA839" s="147">
        <f>IFERROR((HLOOKUP($AH839,Target_monthwise!$D$24:$O$40,DTR!AA$4,FALSE)),0)</f>
        <v>0</v>
      </c>
      <c r="AB839" s="147">
        <f>IFERROR((HLOOKUP($AH839,Target_monthwise!$D$24:$O$40,DTR!AB$4,FALSE)),0)</f>
        <v>0</v>
      </c>
      <c r="AC839" s="147">
        <f>IFERROR((HLOOKUP($AH839,Target_monthwise!$D$24:$O$40,DTR!AC$4,FALSE)),0)</f>
        <v>0</v>
      </c>
      <c r="AD839" s="147">
        <f>IFERROR((HLOOKUP($AH839,Target_monthwise!$D$24:$O$40,DTR!AD$4,FALSE)),0)</f>
        <v>0</v>
      </c>
      <c r="AE839" s="147">
        <f>IFERROR((HLOOKUP($AH839,Target_monthwise!$D$24:$O$40,DTR!AE$4,FALSE)),0)</f>
        <v>0</v>
      </c>
      <c r="AF839" s="147">
        <f>IFERROR((HLOOKUP($AH839,Target_monthwise!$D$24:$O$40,DTR!AF$4,FALSE)),0)</f>
        <v>0</v>
      </c>
      <c r="AG839" s="172">
        <f>IFERROR((HLOOKUP($AH839,Target_monthwise!$D$24:$O$40,DTR!AG$4,FALSE)),0)</f>
        <v>0</v>
      </c>
      <c r="AH839" s="253">
        <f t="shared" si="15"/>
        <v>202407</v>
      </c>
    </row>
    <row r="840" spans="3:34" ht="15.75" hidden="1">
      <c r="C840" s="237">
        <v>45483</v>
      </c>
      <c r="D840" s="238">
        <f>IFERROR((HLOOKUP($AH840,Target_monthwise!$D$4:$O$20,DTR!D$4,FALSE))*1000,0)</f>
        <v>0</v>
      </c>
      <c r="E840" s="238">
        <f>IFERROR((HLOOKUP($AH840,Target_monthwise!$D$4:$O$20,DTR!E$4,FALSE))*1000,0)</f>
        <v>0</v>
      </c>
      <c r="F840" s="238">
        <f>IFERROR((HLOOKUP($AH840,Target_monthwise!$D$4:$O$20,DTR!F$4,FALSE))*1000,0)</f>
        <v>0</v>
      </c>
      <c r="G840" s="238">
        <f>IFERROR((HLOOKUP($AH840,Target_monthwise!$D$4:$O$20,DTR!G$4,FALSE))*1000,0)</f>
        <v>0</v>
      </c>
      <c r="H840" s="238">
        <f>IFERROR((HLOOKUP($AH840,Target_monthwise!$D$4:$O$20,DTR!H$4,FALSE))*1000,0)</f>
        <v>0</v>
      </c>
      <c r="I840" s="238">
        <f>IFERROR((HLOOKUP($AH840,Target_monthwise!$D$4:$O$20,DTR!I$4,FALSE))*1000,0)</f>
        <v>0</v>
      </c>
      <c r="J840" s="238">
        <f>IFERROR((HLOOKUP($AH840,Target_monthwise!$D$4:$O$20,DTR!J$4,FALSE))*1000,0)</f>
        <v>0</v>
      </c>
      <c r="K840" s="238">
        <f>IFERROR((HLOOKUP($AH840,Target_monthwise!$D$4:$O$20,DTR!K$4,FALSE))*1000,0)</f>
        <v>0</v>
      </c>
      <c r="L840" s="238">
        <f>IFERROR((HLOOKUP($AH840,Target_monthwise!$D$4:$O$20,DTR!L$4,FALSE))*1000,0)</f>
        <v>0</v>
      </c>
      <c r="M840" s="238">
        <f>IFERROR((HLOOKUP($AH840,Target_monthwise!$D$4:$O$20,DTR!M$4,FALSE))*1000,0)</f>
        <v>0</v>
      </c>
      <c r="N840" s="238">
        <f>IFERROR((HLOOKUP($AH840,Target_monthwise!$D$4:$O$20,DTR!N$4,FALSE))*1000,0)</f>
        <v>0</v>
      </c>
      <c r="O840" s="238">
        <f>IFERROR((HLOOKUP($AH840,Target_monthwise!$D$4:$O$20,DTR!O$4,FALSE))*1000,0)</f>
        <v>0</v>
      </c>
      <c r="P840" s="238">
        <f>IFERROR((HLOOKUP($AH840,Target_monthwise!$D$4:$O$20,DTR!P$4,FALSE))*1000,0)</f>
        <v>0</v>
      </c>
      <c r="Q840" s="141">
        <f>IFERROR((HLOOKUP($AH840,Target_monthwise!$D$4:$O$20,DTR!Q$4,FALSE))*1000,0)</f>
        <v>0</v>
      </c>
      <c r="R840" s="167">
        <f>IFERROR((HLOOKUP($AH840,Target_monthwise!$D$4:$O$20,DTR!R$4,FALSE))*1000,0)</f>
        <v>0</v>
      </c>
      <c r="S840" s="239">
        <f>IFERROR((HLOOKUP($AH840,Target_monthwise!$D$24:$O$40,DTR!S$4,FALSE)),0)</f>
        <v>0</v>
      </c>
      <c r="T840" s="239">
        <f>IFERROR((HLOOKUP($AH840,Target_monthwise!$D$24:$O$40,DTR!T$4,FALSE)),0)</f>
        <v>0</v>
      </c>
      <c r="U840" s="239">
        <f>IFERROR((HLOOKUP($AH840,Target_monthwise!$D$24:$O$40,DTR!U$4,FALSE)),0)</f>
        <v>0</v>
      </c>
      <c r="V840" s="239">
        <f>IFERROR((HLOOKUP($AH840,Target_monthwise!$D$24:$O$40,DTR!V$4,FALSE)),0)</f>
        <v>0</v>
      </c>
      <c r="W840" s="239">
        <f>IFERROR((HLOOKUP($AH840,Target_monthwise!$D$24:$O$40,DTR!W$4,FALSE)),0)</f>
        <v>0</v>
      </c>
      <c r="X840" s="239">
        <f>IFERROR((HLOOKUP($AH840,Target_monthwise!$D$24:$O$40,DTR!X$4,FALSE)),0)</f>
        <v>0</v>
      </c>
      <c r="Y840" s="239">
        <f>IFERROR((HLOOKUP($AH840,Target_monthwise!$D$24:$O$40,DTR!Y$4,FALSE)),0)</f>
        <v>0</v>
      </c>
      <c r="Z840" s="147">
        <f>IFERROR((HLOOKUP($AH840,Target_monthwise!$D$24:$O$40,DTR!Z$4,FALSE)),0)</f>
        <v>0</v>
      </c>
      <c r="AA840" s="147">
        <f>IFERROR((HLOOKUP($AH840,Target_monthwise!$D$24:$O$40,DTR!AA$4,FALSE)),0)</f>
        <v>0</v>
      </c>
      <c r="AB840" s="147">
        <f>IFERROR((HLOOKUP($AH840,Target_monthwise!$D$24:$O$40,DTR!AB$4,FALSE)),0)</f>
        <v>0</v>
      </c>
      <c r="AC840" s="239">
        <f>IFERROR((HLOOKUP($AH840,Target_monthwise!$D$24:$O$40,DTR!AC$4,FALSE)),0)</f>
        <v>0</v>
      </c>
      <c r="AD840" s="239">
        <f>IFERROR((HLOOKUP($AH840,Target_monthwise!$D$24:$O$40,DTR!AD$4,FALSE)),0)</f>
        <v>0</v>
      </c>
      <c r="AE840" s="239">
        <f>IFERROR((HLOOKUP($AH840,Target_monthwise!$D$24:$O$40,DTR!AE$4,FALSE)),0)</f>
        <v>0</v>
      </c>
      <c r="AF840" s="239">
        <f>IFERROR((HLOOKUP($AH840,Target_monthwise!$D$24:$O$40,DTR!AF$4,FALSE)),0)</f>
        <v>0</v>
      </c>
      <c r="AG840" s="172">
        <f>IFERROR((HLOOKUP($AH840,Target_monthwise!$D$24:$O$40,DTR!AG$4,FALSE)),0)</f>
        <v>0</v>
      </c>
      <c r="AH840" s="253">
        <f t="shared" si="15"/>
        <v>202407</v>
      </c>
    </row>
    <row r="841" spans="3:34" ht="15.75" hidden="1">
      <c r="C841" s="235">
        <v>45484</v>
      </c>
      <c r="D841" s="141">
        <f>IFERROR((HLOOKUP($AH841,Target_monthwise!$D$4:$O$20,DTR!D$4,FALSE))*1000,0)</f>
        <v>0</v>
      </c>
      <c r="E841" s="141">
        <f>IFERROR((HLOOKUP($AH841,Target_monthwise!$D$4:$O$20,DTR!E$4,FALSE))*1000,0)</f>
        <v>0</v>
      </c>
      <c r="F841" s="141">
        <f>IFERROR((HLOOKUP($AH841,Target_monthwise!$D$4:$O$20,DTR!F$4,FALSE))*1000,0)</f>
        <v>0</v>
      </c>
      <c r="G841" s="141">
        <f>IFERROR((HLOOKUP($AH841,Target_monthwise!$D$4:$O$20,DTR!G$4,FALSE))*1000,0)</f>
        <v>0</v>
      </c>
      <c r="H841" s="141">
        <f>IFERROR((HLOOKUP($AH841,Target_monthwise!$D$4:$O$20,DTR!H$4,FALSE))*1000,0)</f>
        <v>0</v>
      </c>
      <c r="I841" s="141">
        <f>IFERROR((HLOOKUP($AH841,Target_monthwise!$D$4:$O$20,DTR!I$4,FALSE))*1000,0)</f>
        <v>0</v>
      </c>
      <c r="J841" s="141">
        <f>IFERROR((HLOOKUP($AH841,Target_monthwise!$D$4:$O$20,DTR!J$4,FALSE))*1000,0)</f>
        <v>0</v>
      </c>
      <c r="K841" s="141">
        <f>IFERROR((HLOOKUP($AH841,Target_monthwise!$D$4:$O$20,DTR!K$4,FALSE))*1000,0)</f>
        <v>0</v>
      </c>
      <c r="L841" s="141">
        <f>IFERROR((HLOOKUP($AH841,Target_monthwise!$D$4:$O$20,DTR!L$4,FALSE))*1000,0)</f>
        <v>0</v>
      </c>
      <c r="M841" s="141">
        <f>IFERROR((HLOOKUP($AH841,Target_monthwise!$D$4:$O$20,DTR!M$4,FALSE))*1000,0)</f>
        <v>0</v>
      </c>
      <c r="N841" s="141">
        <f>IFERROR((HLOOKUP($AH841,Target_monthwise!$D$4:$O$20,DTR!N$4,FALSE))*1000,0)</f>
        <v>0</v>
      </c>
      <c r="O841" s="141">
        <f>IFERROR((HLOOKUP($AH841,Target_monthwise!$D$4:$O$20,DTR!O$4,FALSE))*1000,0)</f>
        <v>0</v>
      </c>
      <c r="P841" s="141">
        <f>IFERROR((HLOOKUP($AH841,Target_monthwise!$D$4:$O$20,DTR!P$4,FALSE))*1000,0)</f>
        <v>0</v>
      </c>
      <c r="Q841" s="141">
        <f>IFERROR((HLOOKUP($AH841,Target_monthwise!$D$4:$O$20,DTR!Q$4,FALSE))*1000,0)</f>
        <v>0</v>
      </c>
      <c r="R841" s="167">
        <f>IFERROR((HLOOKUP($AH841,Target_monthwise!$D$4:$O$20,DTR!R$4,FALSE))*1000,0)</f>
        <v>0</v>
      </c>
      <c r="S841" s="147">
        <f>IFERROR((HLOOKUP($AH841,Target_monthwise!$D$24:$O$40,DTR!S$4,FALSE)),0)</f>
        <v>0</v>
      </c>
      <c r="T841" s="147">
        <f>IFERROR((HLOOKUP($AH841,Target_monthwise!$D$24:$O$40,DTR!T$4,FALSE)),0)</f>
        <v>0</v>
      </c>
      <c r="U841" s="147">
        <f>IFERROR((HLOOKUP($AH841,Target_monthwise!$D$24:$O$40,DTR!U$4,FALSE)),0)</f>
        <v>0</v>
      </c>
      <c r="V841" s="147">
        <f>IFERROR((HLOOKUP($AH841,Target_monthwise!$D$24:$O$40,DTR!V$4,FALSE)),0)</f>
        <v>0</v>
      </c>
      <c r="W841" s="147">
        <f>IFERROR((HLOOKUP($AH841,Target_monthwise!$D$24:$O$40,DTR!W$4,FALSE)),0)</f>
        <v>0</v>
      </c>
      <c r="X841" s="147">
        <f>IFERROR((HLOOKUP($AH841,Target_monthwise!$D$24:$O$40,DTR!X$4,FALSE)),0)</f>
        <v>0</v>
      </c>
      <c r="Y841" s="147">
        <f>IFERROR((HLOOKUP($AH841,Target_monthwise!$D$24:$O$40,DTR!Y$4,FALSE)),0)</f>
        <v>0</v>
      </c>
      <c r="Z841" s="147">
        <f>IFERROR((HLOOKUP($AH841,Target_monthwise!$D$24:$O$40,DTR!Z$4,FALSE)),0)</f>
        <v>0</v>
      </c>
      <c r="AA841" s="147">
        <f>IFERROR((HLOOKUP($AH841,Target_monthwise!$D$24:$O$40,DTR!AA$4,FALSE)),0)</f>
        <v>0</v>
      </c>
      <c r="AB841" s="147">
        <f>IFERROR((HLOOKUP($AH841,Target_monthwise!$D$24:$O$40,DTR!AB$4,FALSE)),0)</f>
        <v>0</v>
      </c>
      <c r="AC841" s="147">
        <f>IFERROR((HLOOKUP($AH841,Target_monthwise!$D$24:$O$40,DTR!AC$4,FALSE)),0)</f>
        <v>0</v>
      </c>
      <c r="AD841" s="147">
        <f>IFERROR((HLOOKUP($AH841,Target_monthwise!$D$24:$O$40,DTR!AD$4,FALSE)),0)</f>
        <v>0</v>
      </c>
      <c r="AE841" s="147">
        <f>IFERROR((HLOOKUP($AH841,Target_monthwise!$D$24:$O$40,DTR!AE$4,FALSE)),0)</f>
        <v>0</v>
      </c>
      <c r="AF841" s="147">
        <f>IFERROR((HLOOKUP($AH841,Target_monthwise!$D$24:$O$40,DTR!AF$4,FALSE)),0)</f>
        <v>0</v>
      </c>
      <c r="AG841" s="172">
        <f>IFERROR((HLOOKUP($AH841,Target_monthwise!$D$24:$O$40,DTR!AG$4,FALSE)),0)</f>
        <v>0</v>
      </c>
      <c r="AH841" s="253">
        <f t="shared" si="15"/>
        <v>202407</v>
      </c>
    </row>
    <row r="842" spans="3:34" ht="15.75" hidden="1">
      <c r="C842" s="237">
        <v>45485</v>
      </c>
      <c r="D842" s="238">
        <f>IFERROR((HLOOKUP($AH842,Target_monthwise!$D$4:$O$20,DTR!D$4,FALSE))*1000,0)</f>
        <v>0</v>
      </c>
      <c r="E842" s="238">
        <f>IFERROR((HLOOKUP($AH842,Target_monthwise!$D$4:$O$20,DTR!E$4,FALSE))*1000,0)</f>
        <v>0</v>
      </c>
      <c r="F842" s="238">
        <f>IFERROR((HLOOKUP($AH842,Target_monthwise!$D$4:$O$20,DTR!F$4,FALSE))*1000,0)</f>
        <v>0</v>
      </c>
      <c r="G842" s="238">
        <f>IFERROR((HLOOKUP($AH842,Target_monthwise!$D$4:$O$20,DTR!G$4,FALSE))*1000,0)</f>
        <v>0</v>
      </c>
      <c r="H842" s="238">
        <f>IFERROR((HLOOKUP($AH842,Target_monthwise!$D$4:$O$20,DTR!H$4,FALSE))*1000,0)</f>
        <v>0</v>
      </c>
      <c r="I842" s="238">
        <f>IFERROR((HLOOKUP($AH842,Target_monthwise!$D$4:$O$20,DTR!I$4,FALSE))*1000,0)</f>
        <v>0</v>
      </c>
      <c r="J842" s="238">
        <f>IFERROR((HLOOKUP($AH842,Target_monthwise!$D$4:$O$20,DTR!J$4,FALSE))*1000,0)</f>
        <v>0</v>
      </c>
      <c r="K842" s="238">
        <f>IFERROR((HLOOKUP($AH842,Target_monthwise!$D$4:$O$20,DTR!K$4,FALSE))*1000,0)</f>
        <v>0</v>
      </c>
      <c r="L842" s="238">
        <f>IFERROR((HLOOKUP($AH842,Target_monthwise!$D$4:$O$20,DTR!L$4,FALSE))*1000,0)</f>
        <v>0</v>
      </c>
      <c r="M842" s="238">
        <f>IFERROR((HLOOKUP($AH842,Target_monthwise!$D$4:$O$20,DTR!M$4,FALSE))*1000,0)</f>
        <v>0</v>
      </c>
      <c r="N842" s="238">
        <f>IFERROR((HLOOKUP($AH842,Target_monthwise!$D$4:$O$20,DTR!N$4,FALSE))*1000,0)</f>
        <v>0</v>
      </c>
      <c r="O842" s="238">
        <f>IFERROR((HLOOKUP($AH842,Target_monthwise!$D$4:$O$20,DTR!O$4,FALSE))*1000,0)</f>
        <v>0</v>
      </c>
      <c r="P842" s="238">
        <f>IFERROR((HLOOKUP($AH842,Target_monthwise!$D$4:$O$20,DTR!P$4,FALSE))*1000,0)</f>
        <v>0</v>
      </c>
      <c r="Q842" s="141">
        <f>IFERROR((HLOOKUP($AH842,Target_monthwise!$D$4:$O$20,DTR!Q$4,FALSE))*1000,0)</f>
        <v>0</v>
      </c>
      <c r="R842" s="167">
        <f>IFERROR((HLOOKUP($AH842,Target_monthwise!$D$4:$O$20,DTR!R$4,FALSE))*1000,0)</f>
        <v>0</v>
      </c>
      <c r="S842" s="239">
        <f>IFERROR((HLOOKUP($AH842,Target_monthwise!$D$24:$O$40,DTR!S$4,FALSE)),0)</f>
        <v>0</v>
      </c>
      <c r="T842" s="239">
        <f>IFERROR((HLOOKUP($AH842,Target_monthwise!$D$24:$O$40,DTR!T$4,FALSE)),0)</f>
        <v>0</v>
      </c>
      <c r="U842" s="239">
        <f>IFERROR((HLOOKUP($AH842,Target_monthwise!$D$24:$O$40,DTR!U$4,FALSE)),0)</f>
        <v>0</v>
      </c>
      <c r="V842" s="239">
        <f>IFERROR((HLOOKUP($AH842,Target_monthwise!$D$24:$O$40,DTR!V$4,FALSE)),0)</f>
        <v>0</v>
      </c>
      <c r="W842" s="239">
        <f>IFERROR((HLOOKUP($AH842,Target_monthwise!$D$24:$O$40,DTR!W$4,FALSE)),0)</f>
        <v>0</v>
      </c>
      <c r="X842" s="239">
        <f>IFERROR((HLOOKUP($AH842,Target_monthwise!$D$24:$O$40,DTR!X$4,FALSE)),0)</f>
        <v>0</v>
      </c>
      <c r="Y842" s="239">
        <f>IFERROR((HLOOKUP($AH842,Target_monthwise!$D$24:$O$40,DTR!Y$4,FALSE)),0)</f>
        <v>0</v>
      </c>
      <c r="Z842" s="147">
        <f>IFERROR((HLOOKUP($AH842,Target_monthwise!$D$24:$O$40,DTR!Z$4,FALSE)),0)</f>
        <v>0</v>
      </c>
      <c r="AA842" s="147">
        <f>IFERROR((HLOOKUP($AH842,Target_monthwise!$D$24:$O$40,DTR!AA$4,FALSE)),0)</f>
        <v>0</v>
      </c>
      <c r="AB842" s="147">
        <f>IFERROR((HLOOKUP($AH842,Target_monthwise!$D$24:$O$40,DTR!AB$4,FALSE)),0)</f>
        <v>0</v>
      </c>
      <c r="AC842" s="239">
        <f>IFERROR((HLOOKUP($AH842,Target_monthwise!$D$24:$O$40,DTR!AC$4,FALSE)),0)</f>
        <v>0</v>
      </c>
      <c r="AD842" s="239">
        <f>IFERROR((HLOOKUP($AH842,Target_monthwise!$D$24:$O$40,DTR!AD$4,FALSE)),0)</f>
        <v>0</v>
      </c>
      <c r="AE842" s="239">
        <f>IFERROR((HLOOKUP($AH842,Target_monthwise!$D$24:$O$40,DTR!AE$4,FALSE)),0)</f>
        <v>0</v>
      </c>
      <c r="AF842" s="239">
        <f>IFERROR((HLOOKUP($AH842,Target_monthwise!$D$24:$O$40,DTR!AF$4,FALSE)),0)</f>
        <v>0</v>
      </c>
      <c r="AG842" s="172">
        <f>IFERROR((HLOOKUP($AH842,Target_monthwise!$D$24:$O$40,DTR!AG$4,FALSE)),0)</f>
        <v>0</v>
      </c>
      <c r="AH842" s="253">
        <f t="shared" si="15"/>
        <v>202407</v>
      </c>
    </row>
    <row r="843" spans="3:34" ht="15.75" hidden="1">
      <c r="C843" s="235">
        <v>45486</v>
      </c>
      <c r="D843" s="141">
        <f>IFERROR((HLOOKUP($AH843,Target_monthwise!$D$4:$O$20,DTR!D$4,FALSE))*1000,0)</f>
        <v>0</v>
      </c>
      <c r="E843" s="141">
        <f>IFERROR((HLOOKUP($AH843,Target_monthwise!$D$4:$O$20,DTR!E$4,FALSE))*1000,0)</f>
        <v>0</v>
      </c>
      <c r="F843" s="141">
        <f>IFERROR((HLOOKUP($AH843,Target_monthwise!$D$4:$O$20,DTR!F$4,FALSE))*1000,0)</f>
        <v>0</v>
      </c>
      <c r="G843" s="141">
        <f>IFERROR((HLOOKUP($AH843,Target_monthwise!$D$4:$O$20,DTR!G$4,FALSE))*1000,0)</f>
        <v>0</v>
      </c>
      <c r="H843" s="141">
        <f>IFERROR((HLOOKUP($AH843,Target_monthwise!$D$4:$O$20,DTR!H$4,FALSE))*1000,0)</f>
        <v>0</v>
      </c>
      <c r="I843" s="141">
        <f>IFERROR((HLOOKUP($AH843,Target_monthwise!$D$4:$O$20,DTR!I$4,FALSE))*1000,0)</f>
        <v>0</v>
      </c>
      <c r="J843" s="141">
        <f>IFERROR((HLOOKUP($AH843,Target_monthwise!$D$4:$O$20,DTR!J$4,FALSE))*1000,0)</f>
        <v>0</v>
      </c>
      <c r="K843" s="141">
        <f>IFERROR((HLOOKUP($AH843,Target_monthwise!$D$4:$O$20,DTR!K$4,FALSE))*1000,0)</f>
        <v>0</v>
      </c>
      <c r="L843" s="141">
        <f>IFERROR((HLOOKUP($AH843,Target_monthwise!$D$4:$O$20,DTR!L$4,FALSE))*1000,0)</f>
        <v>0</v>
      </c>
      <c r="M843" s="141">
        <f>IFERROR((HLOOKUP($AH843,Target_monthwise!$D$4:$O$20,DTR!M$4,FALSE))*1000,0)</f>
        <v>0</v>
      </c>
      <c r="N843" s="141">
        <f>IFERROR((HLOOKUP($AH843,Target_monthwise!$D$4:$O$20,DTR!N$4,FALSE))*1000,0)</f>
        <v>0</v>
      </c>
      <c r="O843" s="141">
        <f>IFERROR((HLOOKUP($AH843,Target_monthwise!$D$4:$O$20,DTR!O$4,FALSE))*1000,0)</f>
        <v>0</v>
      </c>
      <c r="P843" s="141">
        <f>IFERROR((HLOOKUP($AH843,Target_monthwise!$D$4:$O$20,DTR!P$4,FALSE))*1000,0)</f>
        <v>0</v>
      </c>
      <c r="Q843" s="141">
        <f>IFERROR((HLOOKUP($AH843,Target_monthwise!$D$4:$O$20,DTR!Q$4,FALSE))*1000,0)</f>
        <v>0</v>
      </c>
      <c r="R843" s="167">
        <f>IFERROR((HLOOKUP($AH843,Target_monthwise!$D$4:$O$20,DTR!R$4,FALSE))*1000,0)</f>
        <v>0</v>
      </c>
      <c r="S843" s="147">
        <f>IFERROR((HLOOKUP($AH843,Target_monthwise!$D$24:$O$40,DTR!S$4,FALSE)),0)</f>
        <v>0</v>
      </c>
      <c r="T843" s="147">
        <f>IFERROR((HLOOKUP($AH843,Target_monthwise!$D$24:$O$40,DTR!T$4,FALSE)),0)</f>
        <v>0</v>
      </c>
      <c r="U843" s="147">
        <f>IFERROR((HLOOKUP($AH843,Target_monthwise!$D$24:$O$40,DTR!U$4,FALSE)),0)</f>
        <v>0</v>
      </c>
      <c r="V843" s="147">
        <f>IFERROR((HLOOKUP($AH843,Target_monthwise!$D$24:$O$40,DTR!V$4,FALSE)),0)</f>
        <v>0</v>
      </c>
      <c r="W843" s="147">
        <f>IFERROR((HLOOKUP($AH843,Target_monthwise!$D$24:$O$40,DTR!W$4,FALSE)),0)</f>
        <v>0</v>
      </c>
      <c r="X843" s="147">
        <f>IFERROR((HLOOKUP($AH843,Target_monthwise!$D$24:$O$40,DTR!X$4,FALSE)),0)</f>
        <v>0</v>
      </c>
      <c r="Y843" s="147">
        <f>IFERROR((HLOOKUP($AH843,Target_monthwise!$D$24:$O$40,DTR!Y$4,FALSE)),0)</f>
        <v>0</v>
      </c>
      <c r="Z843" s="147">
        <f>IFERROR((HLOOKUP($AH843,Target_monthwise!$D$24:$O$40,DTR!Z$4,FALSE)),0)</f>
        <v>0</v>
      </c>
      <c r="AA843" s="147">
        <f>IFERROR((HLOOKUP($AH843,Target_monthwise!$D$24:$O$40,DTR!AA$4,FALSE)),0)</f>
        <v>0</v>
      </c>
      <c r="AB843" s="147">
        <f>IFERROR((HLOOKUP($AH843,Target_monthwise!$D$24:$O$40,DTR!AB$4,FALSE)),0)</f>
        <v>0</v>
      </c>
      <c r="AC843" s="147">
        <f>IFERROR((HLOOKUP($AH843,Target_monthwise!$D$24:$O$40,DTR!AC$4,FALSE)),0)</f>
        <v>0</v>
      </c>
      <c r="AD843" s="147">
        <f>IFERROR((HLOOKUP($AH843,Target_monthwise!$D$24:$O$40,DTR!AD$4,FALSE)),0)</f>
        <v>0</v>
      </c>
      <c r="AE843" s="147">
        <f>IFERROR((HLOOKUP($AH843,Target_monthwise!$D$24:$O$40,DTR!AE$4,FALSE)),0)</f>
        <v>0</v>
      </c>
      <c r="AF843" s="147">
        <f>IFERROR((HLOOKUP($AH843,Target_monthwise!$D$24:$O$40,DTR!AF$4,FALSE)),0)</f>
        <v>0</v>
      </c>
      <c r="AG843" s="172">
        <f>IFERROR((HLOOKUP($AH843,Target_monthwise!$D$24:$O$40,DTR!AG$4,FALSE)),0)</f>
        <v>0</v>
      </c>
      <c r="AH843" s="253">
        <f t="shared" si="15"/>
        <v>202407</v>
      </c>
    </row>
    <row r="844" spans="3:34" ht="15.75" hidden="1">
      <c r="C844" s="237">
        <v>45487</v>
      </c>
      <c r="D844" s="238">
        <f>IFERROR((HLOOKUP($AH844,Target_monthwise!$D$4:$O$20,DTR!D$4,FALSE))*1000,0)</f>
        <v>0</v>
      </c>
      <c r="E844" s="238">
        <f>IFERROR((HLOOKUP($AH844,Target_monthwise!$D$4:$O$20,DTR!E$4,FALSE))*1000,0)</f>
        <v>0</v>
      </c>
      <c r="F844" s="238">
        <f>IFERROR((HLOOKUP($AH844,Target_monthwise!$D$4:$O$20,DTR!F$4,FALSE))*1000,0)</f>
        <v>0</v>
      </c>
      <c r="G844" s="238">
        <f>IFERROR((HLOOKUP($AH844,Target_monthwise!$D$4:$O$20,DTR!G$4,FALSE))*1000,0)</f>
        <v>0</v>
      </c>
      <c r="H844" s="238">
        <f>IFERROR((HLOOKUP($AH844,Target_monthwise!$D$4:$O$20,DTR!H$4,FALSE))*1000,0)</f>
        <v>0</v>
      </c>
      <c r="I844" s="238">
        <f>IFERROR((HLOOKUP($AH844,Target_monthwise!$D$4:$O$20,DTR!I$4,FALSE))*1000,0)</f>
        <v>0</v>
      </c>
      <c r="J844" s="238">
        <f>IFERROR((HLOOKUP($AH844,Target_monthwise!$D$4:$O$20,DTR!J$4,FALSE))*1000,0)</f>
        <v>0</v>
      </c>
      <c r="K844" s="238">
        <f>IFERROR((HLOOKUP($AH844,Target_monthwise!$D$4:$O$20,DTR!K$4,FALSE))*1000,0)</f>
        <v>0</v>
      </c>
      <c r="L844" s="238">
        <f>IFERROR((HLOOKUP($AH844,Target_monthwise!$D$4:$O$20,DTR!L$4,FALSE))*1000,0)</f>
        <v>0</v>
      </c>
      <c r="M844" s="238">
        <f>IFERROR((HLOOKUP($AH844,Target_monthwise!$D$4:$O$20,DTR!M$4,FALSE))*1000,0)</f>
        <v>0</v>
      </c>
      <c r="N844" s="238">
        <f>IFERROR((HLOOKUP($AH844,Target_monthwise!$D$4:$O$20,DTR!N$4,FALSE))*1000,0)</f>
        <v>0</v>
      </c>
      <c r="O844" s="238">
        <f>IFERROR((HLOOKUP($AH844,Target_monthwise!$D$4:$O$20,DTR!O$4,FALSE))*1000,0)</f>
        <v>0</v>
      </c>
      <c r="P844" s="238">
        <f>IFERROR((HLOOKUP($AH844,Target_monthwise!$D$4:$O$20,DTR!P$4,FALSE))*1000,0)</f>
        <v>0</v>
      </c>
      <c r="Q844" s="141">
        <f>IFERROR((HLOOKUP($AH844,Target_monthwise!$D$4:$O$20,DTR!Q$4,FALSE))*1000,0)</f>
        <v>0</v>
      </c>
      <c r="R844" s="167">
        <f>IFERROR((HLOOKUP($AH844,Target_monthwise!$D$4:$O$20,DTR!R$4,FALSE))*1000,0)</f>
        <v>0</v>
      </c>
      <c r="S844" s="239">
        <f>IFERROR((HLOOKUP($AH844,Target_monthwise!$D$24:$O$40,DTR!S$4,FALSE)),0)</f>
        <v>0</v>
      </c>
      <c r="T844" s="239">
        <f>IFERROR((HLOOKUP($AH844,Target_monthwise!$D$24:$O$40,DTR!T$4,FALSE)),0)</f>
        <v>0</v>
      </c>
      <c r="U844" s="239">
        <f>IFERROR((HLOOKUP($AH844,Target_monthwise!$D$24:$O$40,DTR!U$4,FALSE)),0)</f>
        <v>0</v>
      </c>
      <c r="V844" s="239">
        <f>IFERROR((HLOOKUP($AH844,Target_monthwise!$D$24:$O$40,DTR!V$4,FALSE)),0)</f>
        <v>0</v>
      </c>
      <c r="W844" s="239">
        <f>IFERROR((HLOOKUP($AH844,Target_monthwise!$D$24:$O$40,DTR!W$4,FALSE)),0)</f>
        <v>0</v>
      </c>
      <c r="X844" s="239">
        <f>IFERROR((HLOOKUP($AH844,Target_monthwise!$D$24:$O$40,DTR!X$4,FALSE)),0)</f>
        <v>0</v>
      </c>
      <c r="Y844" s="239">
        <f>IFERROR((HLOOKUP($AH844,Target_monthwise!$D$24:$O$40,DTR!Y$4,FALSE)),0)</f>
        <v>0</v>
      </c>
      <c r="Z844" s="147">
        <f>IFERROR((HLOOKUP($AH844,Target_monthwise!$D$24:$O$40,DTR!Z$4,FALSE)),0)</f>
        <v>0</v>
      </c>
      <c r="AA844" s="147">
        <f>IFERROR((HLOOKUP($AH844,Target_monthwise!$D$24:$O$40,DTR!AA$4,FALSE)),0)</f>
        <v>0</v>
      </c>
      <c r="AB844" s="147">
        <f>IFERROR((HLOOKUP($AH844,Target_monthwise!$D$24:$O$40,DTR!AB$4,FALSE)),0)</f>
        <v>0</v>
      </c>
      <c r="AC844" s="239">
        <f>IFERROR((HLOOKUP($AH844,Target_monthwise!$D$24:$O$40,DTR!AC$4,FALSE)),0)</f>
        <v>0</v>
      </c>
      <c r="AD844" s="239">
        <f>IFERROR((HLOOKUP($AH844,Target_monthwise!$D$24:$O$40,DTR!AD$4,FALSE)),0)</f>
        <v>0</v>
      </c>
      <c r="AE844" s="239">
        <f>IFERROR((HLOOKUP($AH844,Target_monthwise!$D$24:$O$40,DTR!AE$4,FALSE)),0)</f>
        <v>0</v>
      </c>
      <c r="AF844" s="239">
        <f>IFERROR((HLOOKUP($AH844,Target_monthwise!$D$24:$O$40,DTR!AF$4,FALSE)),0)</f>
        <v>0</v>
      </c>
      <c r="AG844" s="172">
        <f>IFERROR((HLOOKUP($AH844,Target_monthwise!$D$24:$O$40,DTR!AG$4,FALSE)),0)</f>
        <v>0</v>
      </c>
      <c r="AH844" s="253">
        <f t="shared" si="15"/>
        <v>202407</v>
      </c>
    </row>
    <row r="845" spans="3:34" ht="15.75" hidden="1">
      <c r="C845" s="235">
        <v>45488</v>
      </c>
      <c r="D845" s="141">
        <f>IFERROR((HLOOKUP($AH845,Target_monthwise!$D$4:$O$20,DTR!D$4,FALSE))*1000,0)</f>
        <v>0</v>
      </c>
      <c r="E845" s="141">
        <f>IFERROR((HLOOKUP($AH845,Target_monthwise!$D$4:$O$20,DTR!E$4,FALSE))*1000,0)</f>
        <v>0</v>
      </c>
      <c r="F845" s="141">
        <f>IFERROR((HLOOKUP($AH845,Target_monthwise!$D$4:$O$20,DTR!F$4,FALSE))*1000,0)</f>
        <v>0</v>
      </c>
      <c r="G845" s="141">
        <f>IFERROR((HLOOKUP($AH845,Target_monthwise!$D$4:$O$20,DTR!G$4,FALSE))*1000,0)</f>
        <v>0</v>
      </c>
      <c r="H845" s="141">
        <f>IFERROR((HLOOKUP($AH845,Target_monthwise!$D$4:$O$20,DTR!H$4,FALSE))*1000,0)</f>
        <v>0</v>
      </c>
      <c r="I845" s="141">
        <f>IFERROR((HLOOKUP($AH845,Target_monthwise!$D$4:$O$20,DTR!I$4,FALSE))*1000,0)</f>
        <v>0</v>
      </c>
      <c r="J845" s="141">
        <f>IFERROR((HLOOKUP($AH845,Target_monthwise!$D$4:$O$20,DTR!J$4,FALSE))*1000,0)</f>
        <v>0</v>
      </c>
      <c r="K845" s="141">
        <f>IFERROR((HLOOKUP($AH845,Target_monthwise!$D$4:$O$20,DTR!K$4,FALSE))*1000,0)</f>
        <v>0</v>
      </c>
      <c r="L845" s="141">
        <f>IFERROR((HLOOKUP($AH845,Target_monthwise!$D$4:$O$20,DTR!L$4,FALSE))*1000,0)</f>
        <v>0</v>
      </c>
      <c r="M845" s="141">
        <f>IFERROR((HLOOKUP($AH845,Target_monthwise!$D$4:$O$20,DTR!M$4,FALSE))*1000,0)</f>
        <v>0</v>
      </c>
      <c r="N845" s="141">
        <f>IFERROR((HLOOKUP($AH845,Target_monthwise!$D$4:$O$20,DTR!N$4,FALSE))*1000,0)</f>
        <v>0</v>
      </c>
      <c r="O845" s="141">
        <f>IFERROR((HLOOKUP($AH845,Target_monthwise!$D$4:$O$20,DTR!O$4,FALSE))*1000,0)</f>
        <v>0</v>
      </c>
      <c r="P845" s="141">
        <f>IFERROR((HLOOKUP($AH845,Target_monthwise!$D$4:$O$20,DTR!P$4,FALSE))*1000,0)</f>
        <v>0</v>
      </c>
      <c r="Q845" s="141">
        <f>IFERROR((HLOOKUP($AH845,Target_monthwise!$D$4:$O$20,DTR!Q$4,FALSE))*1000,0)</f>
        <v>0</v>
      </c>
      <c r="R845" s="167">
        <f>IFERROR((HLOOKUP($AH845,Target_monthwise!$D$4:$O$20,DTR!R$4,FALSE))*1000,0)</f>
        <v>0</v>
      </c>
      <c r="S845" s="147">
        <f>IFERROR((HLOOKUP($AH845,Target_monthwise!$D$24:$O$40,DTR!S$4,FALSE)),0)</f>
        <v>0</v>
      </c>
      <c r="T845" s="147">
        <f>IFERROR((HLOOKUP($AH845,Target_monthwise!$D$24:$O$40,DTR!T$4,FALSE)),0)</f>
        <v>0</v>
      </c>
      <c r="U845" s="147">
        <f>IFERROR((HLOOKUP($AH845,Target_monthwise!$D$24:$O$40,DTR!U$4,FALSE)),0)</f>
        <v>0</v>
      </c>
      <c r="V845" s="147">
        <f>IFERROR((HLOOKUP($AH845,Target_monthwise!$D$24:$O$40,DTR!V$4,FALSE)),0)</f>
        <v>0</v>
      </c>
      <c r="W845" s="147">
        <f>IFERROR((HLOOKUP($AH845,Target_monthwise!$D$24:$O$40,DTR!W$4,FALSE)),0)</f>
        <v>0</v>
      </c>
      <c r="X845" s="147">
        <f>IFERROR((HLOOKUP($AH845,Target_monthwise!$D$24:$O$40,DTR!X$4,FALSE)),0)</f>
        <v>0</v>
      </c>
      <c r="Y845" s="147">
        <f>IFERROR((HLOOKUP($AH845,Target_monthwise!$D$24:$O$40,DTR!Y$4,FALSE)),0)</f>
        <v>0</v>
      </c>
      <c r="Z845" s="147">
        <f>IFERROR((HLOOKUP($AH845,Target_monthwise!$D$24:$O$40,DTR!Z$4,FALSE)),0)</f>
        <v>0</v>
      </c>
      <c r="AA845" s="147">
        <f>IFERROR((HLOOKUP($AH845,Target_monthwise!$D$24:$O$40,DTR!AA$4,FALSE)),0)</f>
        <v>0</v>
      </c>
      <c r="AB845" s="147">
        <f>IFERROR((HLOOKUP($AH845,Target_monthwise!$D$24:$O$40,DTR!AB$4,FALSE)),0)</f>
        <v>0</v>
      </c>
      <c r="AC845" s="147">
        <f>IFERROR((HLOOKUP($AH845,Target_monthwise!$D$24:$O$40,DTR!AC$4,FALSE)),0)</f>
        <v>0</v>
      </c>
      <c r="AD845" s="147">
        <f>IFERROR((HLOOKUP($AH845,Target_monthwise!$D$24:$O$40,DTR!AD$4,FALSE)),0)</f>
        <v>0</v>
      </c>
      <c r="AE845" s="147">
        <f>IFERROR((HLOOKUP($AH845,Target_monthwise!$D$24:$O$40,DTR!AE$4,FALSE)),0)</f>
        <v>0</v>
      </c>
      <c r="AF845" s="147">
        <f>IFERROR((HLOOKUP($AH845,Target_monthwise!$D$24:$O$40,DTR!AF$4,FALSE)),0)</f>
        <v>0</v>
      </c>
      <c r="AG845" s="172">
        <f>IFERROR((HLOOKUP($AH845,Target_monthwise!$D$24:$O$40,DTR!AG$4,FALSE)),0)</f>
        <v>0</v>
      </c>
      <c r="AH845" s="253">
        <f t="shared" si="15"/>
        <v>202407</v>
      </c>
    </row>
    <row r="846" spans="3:34" ht="15.75" hidden="1">
      <c r="C846" s="237">
        <v>45489</v>
      </c>
      <c r="D846" s="238">
        <f>IFERROR((HLOOKUP($AH846,Target_monthwise!$D$4:$O$20,DTR!D$4,FALSE))*1000,0)</f>
        <v>0</v>
      </c>
      <c r="E846" s="238">
        <f>IFERROR((HLOOKUP($AH846,Target_monthwise!$D$4:$O$20,DTR!E$4,FALSE))*1000,0)</f>
        <v>0</v>
      </c>
      <c r="F846" s="238">
        <f>IFERROR((HLOOKUP($AH846,Target_monthwise!$D$4:$O$20,DTR!F$4,FALSE))*1000,0)</f>
        <v>0</v>
      </c>
      <c r="G846" s="238">
        <f>IFERROR((HLOOKUP($AH846,Target_monthwise!$D$4:$O$20,DTR!G$4,FALSE))*1000,0)</f>
        <v>0</v>
      </c>
      <c r="H846" s="238">
        <f>IFERROR((HLOOKUP($AH846,Target_monthwise!$D$4:$O$20,DTR!H$4,FALSE))*1000,0)</f>
        <v>0</v>
      </c>
      <c r="I846" s="238">
        <f>IFERROR((HLOOKUP($AH846,Target_monthwise!$D$4:$O$20,DTR!I$4,FALSE))*1000,0)</f>
        <v>0</v>
      </c>
      <c r="J846" s="238">
        <f>IFERROR((HLOOKUP($AH846,Target_monthwise!$D$4:$O$20,DTR!J$4,FALSE))*1000,0)</f>
        <v>0</v>
      </c>
      <c r="K846" s="238">
        <f>IFERROR((HLOOKUP($AH846,Target_monthwise!$D$4:$O$20,DTR!K$4,FALSE))*1000,0)</f>
        <v>0</v>
      </c>
      <c r="L846" s="238">
        <f>IFERROR((HLOOKUP($AH846,Target_monthwise!$D$4:$O$20,DTR!L$4,FALSE))*1000,0)</f>
        <v>0</v>
      </c>
      <c r="M846" s="238">
        <f>IFERROR((HLOOKUP($AH846,Target_monthwise!$D$4:$O$20,DTR!M$4,FALSE))*1000,0)</f>
        <v>0</v>
      </c>
      <c r="N846" s="238">
        <f>IFERROR((HLOOKUP($AH846,Target_monthwise!$D$4:$O$20,DTR!N$4,FALSE))*1000,0)</f>
        <v>0</v>
      </c>
      <c r="O846" s="238">
        <f>IFERROR((HLOOKUP($AH846,Target_monthwise!$D$4:$O$20,DTR!O$4,FALSE))*1000,0)</f>
        <v>0</v>
      </c>
      <c r="P846" s="238">
        <f>IFERROR((HLOOKUP($AH846,Target_monthwise!$D$4:$O$20,DTR!P$4,FALSE))*1000,0)</f>
        <v>0</v>
      </c>
      <c r="Q846" s="141">
        <f>IFERROR((HLOOKUP($AH846,Target_monthwise!$D$4:$O$20,DTR!Q$4,FALSE))*1000,0)</f>
        <v>0</v>
      </c>
      <c r="R846" s="167">
        <f>IFERROR((HLOOKUP($AH846,Target_monthwise!$D$4:$O$20,DTR!R$4,FALSE))*1000,0)</f>
        <v>0</v>
      </c>
      <c r="S846" s="239">
        <f>IFERROR((HLOOKUP($AH846,Target_monthwise!$D$24:$O$40,DTR!S$4,FALSE)),0)</f>
        <v>0</v>
      </c>
      <c r="T846" s="239">
        <f>IFERROR((HLOOKUP($AH846,Target_monthwise!$D$24:$O$40,DTR!T$4,FALSE)),0)</f>
        <v>0</v>
      </c>
      <c r="U846" s="239">
        <f>IFERROR((HLOOKUP($AH846,Target_monthwise!$D$24:$O$40,DTR!U$4,FALSE)),0)</f>
        <v>0</v>
      </c>
      <c r="V846" s="239">
        <f>IFERROR((HLOOKUP($AH846,Target_monthwise!$D$24:$O$40,DTR!V$4,FALSE)),0)</f>
        <v>0</v>
      </c>
      <c r="W846" s="239">
        <f>IFERROR((HLOOKUP($AH846,Target_monthwise!$D$24:$O$40,DTR!W$4,FALSE)),0)</f>
        <v>0</v>
      </c>
      <c r="X846" s="239">
        <f>IFERROR((HLOOKUP($AH846,Target_monthwise!$D$24:$O$40,DTR!X$4,FALSE)),0)</f>
        <v>0</v>
      </c>
      <c r="Y846" s="239">
        <f>IFERROR((HLOOKUP($AH846,Target_monthwise!$D$24:$O$40,DTR!Y$4,FALSE)),0)</f>
        <v>0</v>
      </c>
      <c r="Z846" s="147">
        <f>IFERROR((HLOOKUP($AH846,Target_monthwise!$D$24:$O$40,DTR!Z$4,FALSE)),0)</f>
        <v>0</v>
      </c>
      <c r="AA846" s="147">
        <f>IFERROR((HLOOKUP($AH846,Target_monthwise!$D$24:$O$40,DTR!AA$4,FALSE)),0)</f>
        <v>0</v>
      </c>
      <c r="AB846" s="147">
        <f>IFERROR((HLOOKUP($AH846,Target_monthwise!$D$24:$O$40,DTR!AB$4,FALSE)),0)</f>
        <v>0</v>
      </c>
      <c r="AC846" s="239">
        <f>IFERROR((HLOOKUP($AH846,Target_monthwise!$D$24:$O$40,DTR!AC$4,FALSE)),0)</f>
        <v>0</v>
      </c>
      <c r="AD846" s="239">
        <f>IFERROR((HLOOKUP($AH846,Target_monthwise!$D$24:$O$40,DTR!AD$4,FALSE)),0)</f>
        <v>0</v>
      </c>
      <c r="AE846" s="239">
        <f>IFERROR((HLOOKUP($AH846,Target_monthwise!$D$24:$O$40,DTR!AE$4,FALSE)),0)</f>
        <v>0</v>
      </c>
      <c r="AF846" s="239">
        <f>IFERROR((HLOOKUP($AH846,Target_monthwise!$D$24:$O$40,DTR!AF$4,FALSE)),0)</f>
        <v>0</v>
      </c>
      <c r="AG846" s="172">
        <f>IFERROR((HLOOKUP($AH846,Target_monthwise!$D$24:$O$40,DTR!AG$4,FALSE)),0)</f>
        <v>0</v>
      </c>
      <c r="AH846" s="253">
        <f t="shared" si="15"/>
        <v>202407</v>
      </c>
    </row>
    <row r="847" spans="3:34" ht="15.75" hidden="1">
      <c r="C847" s="235">
        <v>45490</v>
      </c>
      <c r="D847" s="141">
        <f>IFERROR((HLOOKUP($AH847,Target_monthwise!$D$4:$O$20,DTR!D$4,FALSE))*1000,0)</f>
        <v>0</v>
      </c>
      <c r="E847" s="141">
        <f>IFERROR((HLOOKUP($AH847,Target_monthwise!$D$4:$O$20,DTR!E$4,FALSE))*1000,0)</f>
        <v>0</v>
      </c>
      <c r="F847" s="141">
        <f>IFERROR((HLOOKUP($AH847,Target_monthwise!$D$4:$O$20,DTR!F$4,FALSE))*1000,0)</f>
        <v>0</v>
      </c>
      <c r="G847" s="141">
        <f>IFERROR((HLOOKUP($AH847,Target_monthwise!$D$4:$O$20,DTR!G$4,FALSE))*1000,0)</f>
        <v>0</v>
      </c>
      <c r="H847" s="141">
        <f>IFERROR((HLOOKUP($AH847,Target_monthwise!$D$4:$O$20,DTR!H$4,FALSE))*1000,0)</f>
        <v>0</v>
      </c>
      <c r="I847" s="141">
        <f>IFERROR((HLOOKUP($AH847,Target_monthwise!$D$4:$O$20,DTR!I$4,FALSE))*1000,0)</f>
        <v>0</v>
      </c>
      <c r="J847" s="141">
        <f>IFERROR((HLOOKUP($AH847,Target_monthwise!$D$4:$O$20,DTR!J$4,FALSE))*1000,0)</f>
        <v>0</v>
      </c>
      <c r="K847" s="141">
        <f>IFERROR((HLOOKUP($AH847,Target_monthwise!$D$4:$O$20,DTR!K$4,FALSE))*1000,0)</f>
        <v>0</v>
      </c>
      <c r="L847" s="141">
        <f>IFERROR((HLOOKUP($AH847,Target_monthwise!$D$4:$O$20,DTR!L$4,FALSE))*1000,0)</f>
        <v>0</v>
      </c>
      <c r="M847" s="141">
        <f>IFERROR((HLOOKUP($AH847,Target_monthwise!$D$4:$O$20,DTR!M$4,FALSE))*1000,0)</f>
        <v>0</v>
      </c>
      <c r="N847" s="141">
        <f>IFERROR((HLOOKUP($AH847,Target_monthwise!$D$4:$O$20,DTR!N$4,FALSE))*1000,0)</f>
        <v>0</v>
      </c>
      <c r="O847" s="141">
        <f>IFERROR((HLOOKUP($AH847,Target_monthwise!$D$4:$O$20,DTR!O$4,FALSE))*1000,0)</f>
        <v>0</v>
      </c>
      <c r="P847" s="141">
        <f>IFERROR((HLOOKUP($AH847,Target_monthwise!$D$4:$O$20,DTR!P$4,FALSE))*1000,0)</f>
        <v>0</v>
      </c>
      <c r="Q847" s="141">
        <f>IFERROR((HLOOKUP($AH847,Target_monthwise!$D$4:$O$20,DTR!Q$4,FALSE))*1000,0)</f>
        <v>0</v>
      </c>
      <c r="R847" s="167">
        <f>IFERROR((HLOOKUP($AH847,Target_monthwise!$D$4:$O$20,DTR!R$4,FALSE))*1000,0)</f>
        <v>0</v>
      </c>
      <c r="S847" s="147">
        <f>IFERROR((HLOOKUP($AH847,Target_monthwise!$D$24:$O$40,DTR!S$4,FALSE)),0)</f>
        <v>0</v>
      </c>
      <c r="T847" s="147">
        <f>IFERROR((HLOOKUP($AH847,Target_monthwise!$D$24:$O$40,DTR!T$4,FALSE)),0)</f>
        <v>0</v>
      </c>
      <c r="U847" s="147">
        <f>IFERROR((HLOOKUP($AH847,Target_monthwise!$D$24:$O$40,DTR!U$4,FALSE)),0)</f>
        <v>0</v>
      </c>
      <c r="V847" s="147">
        <f>IFERROR((HLOOKUP($AH847,Target_monthwise!$D$24:$O$40,DTR!V$4,FALSE)),0)</f>
        <v>0</v>
      </c>
      <c r="W847" s="147">
        <f>IFERROR((HLOOKUP($AH847,Target_monthwise!$D$24:$O$40,DTR!W$4,FALSE)),0)</f>
        <v>0</v>
      </c>
      <c r="X847" s="147">
        <f>IFERROR((HLOOKUP($AH847,Target_monthwise!$D$24:$O$40,DTR!X$4,FALSE)),0)</f>
        <v>0</v>
      </c>
      <c r="Y847" s="147">
        <f>IFERROR((HLOOKUP($AH847,Target_monthwise!$D$24:$O$40,DTR!Y$4,FALSE)),0)</f>
        <v>0</v>
      </c>
      <c r="Z847" s="147">
        <f>IFERROR((HLOOKUP($AH847,Target_monthwise!$D$24:$O$40,DTR!Z$4,FALSE)),0)</f>
        <v>0</v>
      </c>
      <c r="AA847" s="147">
        <f>IFERROR((HLOOKUP($AH847,Target_monthwise!$D$24:$O$40,DTR!AA$4,FALSE)),0)</f>
        <v>0</v>
      </c>
      <c r="AB847" s="147">
        <f>IFERROR((HLOOKUP($AH847,Target_monthwise!$D$24:$O$40,DTR!AB$4,FALSE)),0)</f>
        <v>0</v>
      </c>
      <c r="AC847" s="147">
        <f>IFERROR((HLOOKUP($AH847,Target_monthwise!$D$24:$O$40,DTR!AC$4,FALSE)),0)</f>
        <v>0</v>
      </c>
      <c r="AD847" s="147">
        <f>IFERROR((HLOOKUP($AH847,Target_monthwise!$D$24:$O$40,DTR!AD$4,FALSE)),0)</f>
        <v>0</v>
      </c>
      <c r="AE847" s="147">
        <f>IFERROR((HLOOKUP($AH847,Target_monthwise!$D$24:$O$40,DTR!AE$4,FALSE)),0)</f>
        <v>0</v>
      </c>
      <c r="AF847" s="147">
        <f>IFERROR((HLOOKUP($AH847,Target_monthwise!$D$24:$O$40,DTR!AF$4,FALSE)),0)</f>
        <v>0</v>
      </c>
      <c r="AG847" s="172">
        <f>IFERROR((HLOOKUP($AH847,Target_monthwise!$D$24:$O$40,DTR!AG$4,FALSE)),0)</f>
        <v>0</v>
      </c>
      <c r="AH847" s="253">
        <f t="shared" si="15"/>
        <v>202407</v>
      </c>
    </row>
    <row r="848" spans="3:34" ht="15.75" hidden="1">
      <c r="C848" s="237">
        <v>45491</v>
      </c>
      <c r="D848" s="238">
        <f>IFERROR((HLOOKUP($AH848,Target_monthwise!$D$4:$O$20,DTR!D$4,FALSE))*1000,0)</f>
        <v>0</v>
      </c>
      <c r="E848" s="238">
        <f>IFERROR((HLOOKUP($AH848,Target_monthwise!$D$4:$O$20,DTR!E$4,FALSE))*1000,0)</f>
        <v>0</v>
      </c>
      <c r="F848" s="238">
        <f>IFERROR((HLOOKUP($AH848,Target_monthwise!$D$4:$O$20,DTR!F$4,FALSE))*1000,0)</f>
        <v>0</v>
      </c>
      <c r="G848" s="238">
        <f>IFERROR((HLOOKUP($AH848,Target_monthwise!$D$4:$O$20,DTR!G$4,FALSE))*1000,0)</f>
        <v>0</v>
      </c>
      <c r="H848" s="238">
        <f>IFERROR((HLOOKUP($AH848,Target_monthwise!$D$4:$O$20,DTR!H$4,FALSE))*1000,0)</f>
        <v>0</v>
      </c>
      <c r="I848" s="238">
        <f>IFERROR((HLOOKUP($AH848,Target_monthwise!$D$4:$O$20,DTR!I$4,FALSE))*1000,0)</f>
        <v>0</v>
      </c>
      <c r="J848" s="238">
        <f>IFERROR((HLOOKUP($AH848,Target_monthwise!$D$4:$O$20,DTR!J$4,FALSE))*1000,0)</f>
        <v>0</v>
      </c>
      <c r="K848" s="238">
        <f>IFERROR((HLOOKUP($AH848,Target_monthwise!$D$4:$O$20,DTR!K$4,FALSE))*1000,0)</f>
        <v>0</v>
      </c>
      <c r="L848" s="238">
        <f>IFERROR((HLOOKUP($AH848,Target_monthwise!$D$4:$O$20,DTR!L$4,FALSE))*1000,0)</f>
        <v>0</v>
      </c>
      <c r="M848" s="238">
        <f>IFERROR((HLOOKUP($AH848,Target_monthwise!$D$4:$O$20,DTR!M$4,FALSE))*1000,0)</f>
        <v>0</v>
      </c>
      <c r="N848" s="238">
        <f>IFERROR((HLOOKUP($AH848,Target_monthwise!$D$4:$O$20,DTR!N$4,FALSE))*1000,0)</f>
        <v>0</v>
      </c>
      <c r="O848" s="238">
        <f>IFERROR((HLOOKUP($AH848,Target_monthwise!$D$4:$O$20,DTR!O$4,FALSE))*1000,0)</f>
        <v>0</v>
      </c>
      <c r="P848" s="238">
        <f>IFERROR((HLOOKUP($AH848,Target_monthwise!$D$4:$O$20,DTR!P$4,FALSE))*1000,0)</f>
        <v>0</v>
      </c>
      <c r="Q848" s="141">
        <f>IFERROR((HLOOKUP($AH848,Target_monthwise!$D$4:$O$20,DTR!Q$4,FALSE))*1000,0)</f>
        <v>0</v>
      </c>
      <c r="R848" s="167">
        <f>IFERROR((HLOOKUP($AH848,Target_monthwise!$D$4:$O$20,DTR!R$4,FALSE))*1000,0)</f>
        <v>0</v>
      </c>
      <c r="S848" s="239">
        <f>IFERROR((HLOOKUP($AH848,Target_monthwise!$D$24:$O$40,DTR!S$4,FALSE)),0)</f>
        <v>0</v>
      </c>
      <c r="T848" s="239">
        <f>IFERROR((HLOOKUP($AH848,Target_monthwise!$D$24:$O$40,DTR!T$4,FALSE)),0)</f>
        <v>0</v>
      </c>
      <c r="U848" s="239">
        <f>IFERROR((HLOOKUP($AH848,Target_monthwise!$D$24:$O$40,DTR!U$4,FALSE)),0)</f>
        <v>0</v>
      </c>
      <c r="V848" s="239">
        <f>IFERROR((HLOOKUP($AH848,Target_monthwise!$D$24:$O$40,DTR!V$4,FALSE)),0)</f>
        <v>0</v>
      </c>
      <c r="W848" s="239">
        <f>IFERROR((HLOOKUP($AH848,Target_monthwise!$D$24:$O$40,DTR!W$4,FALSE)),0)</f>
        <v>0</v>
      </c>
      <c r="X848" s="239">
        <f>IFERROR((HLOOKUP($AH848,Target_monthwise!$D$24:$O$40,DTR!X$4,FALSE)),0)</f>
        <v>0</v>
      </c>
      <c r="Y848" s="239">
        <f>IFERROR((HLOOKUP($AH848,Target_monthwise!$D$24:$O$40,DTR!Y$4,FALSE)),0)</f>
        <v>0</v>
      </c>
      <c r="Z848" s="147">
        <f>IFERROR((HLOOKUP($AH848,Target_monthwise!$D$24:$O$40,DTR!Z$4,FALSE)),0)</f>
        <v>0</v>
      </c>
      <c r="AA848" s="147">
        <f>IFERROR((HLOOKUP($AH848,Target_monthwise!$D$24:$O$40,DTR!AA$4,FALSE)),0)</f>
        <v>0</v>
      </c>
      <c r="AB848" s="147">
        <f>IFERROR((HLOOKUP($AH848,Target_monthwise!$D$24:$O$40,DTR!AB$4,FALSE)),0)</f>
        <v>0</v>
      </c>
      <c r="AC848" s="239">
        <f>IFERROR((HLOOKUP($AH848,Target_monthwise!$D$24:$O$40,DTR!AC$4,FALSE)),0)</f>
        <v>0</v>
      </c>
      <c r="AD848" s="239">
        <f>IFERROR((HLOOKUP($AH848,Target_monthwise!$D$24:$O$40,DTR!AD$4,FALSE)),0)</f>
        <v>0</v>
      </c>
      <c r="AE848" s="239">
        <f>IFERROR((HLOOKUP($AH848,Target_monthwise!$D$24:$O$40,DTR!AE$4,FALSE)),0)</f>
        <v>0</v>
      </c>
      <c r="AF848" s="239">
        <f>IFERROR((HLOOKUP($AH848,Target_monthwise!$D$24:$O$40,DTR!AF$4,FALSE)),0)</f>
        <v>0</v>
      </c>
      <c r="AG848" s="172">
        <f>IFERROR((HLOOKUP($AH848,Target_monthwise!$D$24:$O$40,DTR!AG$4,FALSE)),0)</f>
        <v>0</v>
      </c>
      <c r="AH848" s="253">
        <f t="shared" si="15"/>
        <v>202407</v>
      </c>
    </row>
    <row r="849" spans="3:34" ht="15.75" hidden="1">
      <c r="C849" s="235">
        <v>45492</v>
      </c>
      <c r="D849" s="141">
        <f>IFERROR((HLOOKUP($AH849,Target_monthwise!$D$4:$O$20,DTR!D$4,FALSE))*1000,0)</f>
        <v>0</v>
      </c>
      <c r="E849" s="141">
        <f>IFERROR((HLOOKUP($AH849,Target_monthwise!$D$4:$O$20,DTR!E$4,FALSE))*1000,0)</f>
        <v>0</v>
      </c>
      <c r="F849" s="141">
        <f>IFERROR((HLOOKUP($AH849,Target_monthwise!$D$4:$O$20,DTR!F$4,FALSE))*1000,0)</f>
        <v>0</v>
      </c>
      <c r="G849" s="141">
        <f>IFERROR((HLOOKUP($AH849,Target_monthwise!$D$4:$O$20,DTR!G$4,FALSE))*1000,0)</f>
        <v>0</v>
      </c>
      <c r="H849" s="141">
        <f>IFERROR((HLOOKUP($AH849,Target_monthwise!$D$4:$O$20,DTR!H$4,FALSE))*1000,0)</f>
        <v>0</v>
      </c>
      <c r="I849" s="141">
        <f>IFERROR((HLOOKUP($AH849,Target_monthwise!$D$4:$O$20,DTR!I$4,FALSE))*1000,0)</f>
        <v>0</v>
      </c>
      <c r="J849" s="141">
        <f>IFERROR((HLOOKUP($AH849,Target_monthwise!$D$4:$O$20,DTR!J$4,FALSE))*1000,0)</f>
        <v>0</v>
      </c>
      <c r="K849" s="141">
        <f>IFERROR((HLOOKUP($AH849,Target_monthwise!$D$4:$O$20,DTR!K$4,FALSE))*1000,0)</f>
        <v>0</v>
      </c>
      <c r="L849" s="141">
        <f>IFERROR((HLOOKUP($AH849,Target_monthwise!$D$4:$O$20,DTR!L$4,FALSE))*1000,0)</f>
        <v>0</v>
      </c>
      <c r="M849" s="141">
        <f>IFERROR((HLOOKUP($AH849,Target_monthwise!$D$4:$O$20,DTR!M$4,FALSE))*1000,0)</f>
        <v>0</v>
      </c>
      <c r="N849" s="141">
        <f>IFERROR((HLOOKUP($AH849,Target_monthwise!$D$4:$O$20,DTR!N$4,FALSE))*1000,0)</f>
        <v>0</v>
      </c>
      <c r="O849" s="141">
        <f>IFERROR((HLOOKUP($AH849,Target_monthwise!$D$4:$O$20,DTR!O$4,FALSE))*1000,0)</f>
        <v>0</v>
      </c>
      <c r="P849" s="141">
        <f>IFERROR((HLOOKUP($AH849,Target_monthwise!$D$4:$O$20,DTR!P$4,FALSE))*1000,0)</f>
        <v>0</v>
      </c>
      <c r="Q849" s="141">
        <f>IFERROR((HLOOKUP($AH849,Target_monthwise!$D$4:$O$20,DTR!Q$4,FALSE))*1000,0)</f>
        <v>0</v>
      </c>
      <c r="R849" s="167">
        <f>IFERROR((HLOOKUP($AH849,Target_monthwise!$D$4:$O$20,DTR!R$4,FALSE))*1000,0)</f>
        <v>0</v>
      </c>
      <c r="S849" s="147">
        <f>IFERROR((HLOOKUP($AH849,Target_monthwise!$D$24:$O$40,DTR!S$4,FALSE)),0)</f>
        <v>0</v>
      </c>
      <c r="T849" s="147">
        <f>IFERROR((HLOOKUP($AH849,Target_monthwise!$D$24:$O$40,DTR!T$4,FALSE)),0)</f>
        <v>0</v>
      </c>
      <c r="U849" s="147">
        <f>IFERROR((HLOOKUP($AH849,Target_monthwise!$D$24:$O$40,DTR!U$4,FALSE)),0)</f>
        <v>0</v>
      </c>
      <c r="V849" s="147">
        <f>IFERROR((HLOOKUP($AH849,Target_monthwise!$D$24:$O$40,DTR!V$4,FALSE)),0)</f>
        <v>0</v>
      </c>
      <c r="W849" s="147">
        <f>IFERROR((HLOOKUP($AH849,Target_monthwise!$D$24:$O$40,DTR!W$4,FALSE)),0)</f>
        <v>0</v>
      </c>
      <c r="X849" s="147">
        <f>IFERROR((HLOOKUP($AH849,Target_monthwise!$D$24:$O$40,DTR!X$4,FALSE)),0)</f>
        <v>0</v>
      </c>
      <c r="Y849" s="147">
        <f>IFERROR((HLOOKUP($AH849,Target_monthwise!$D$24:$O$40,DTR!Y$4,FALSE)),0)</f>
        <v>0</v>
      </c>
      <c r="Z849" s="147">
        <f>IFERROR((HLOOKUP($AH849,Target_monthwise!$D$24:$O$40,DTR!Z$4,FALSE)),0)</f>
        <v>0</v>
      </c>
      <c r="AA849" s="147">
        <f>IFERROR((HLOOKUP($AH849,Target_monthwise!$D$24:$O$40,DTR!AA$4,FALSE)),0)</f>
        <v>0</v>
      </c>
      <c r="AB849" s="147">
        <f>IFERROR((HLOOKUP($AH849,Target_monthwise!$D$24:$O$40,DTR!AB$4,FALSE)),0)</f>
        <v>0</v>
      </c>
      <c r="AC849" s="147">
        <f>IFERROR((HLOOKUP($AH849,Target_monthwise!$D$24:$O$40,DTR!AC$4,FALSE)),0)</f>
        <v>0</v>
      </c>
      <c r="AD849" s="147">
        <f>IFERROR((HLOOKUP($AH849,Target_monthwise!$D$24:$O$40,DTR!AD$4,FALSE)),0)</f>
        <v>0</v>
      </c>
      <c r="AE849" s="147">
        <f>IFERROR((HLOOKUP($AH849,Target_monthwise!$D$24:$O$40,DTR!AE$4,FALSE)),0)</f>
        <v>0</v>
      </c>
      <c r="AF849" s="147">
        <f>IFERROR((HLOOKUP($AH849,Target_monthwise!$D$24:$O$40,DTR!AF$4,FALSE)),0)</f>
        <v>0</v>
      </c>
      <c r="AG849" s="172">
        <f>IFERROR((HLOOKUP($AH849,Target_monthwise!$D$24:$O$40,DTR!AG$4,FALSE)),0)</f>
        <v>0</v>
      </c>
      <c r="AH849" s="253">
        <f t="shared" si="15"/>
        <v>202407</v>
      </c>
    </row>
    <row r="850" spans="3:34" ht="15.75" hidden="1">
      <c r="C850" s="237">
        <v>45493</v>
      </c>
      <c r="D850" s="238">
        <f>IFERROR((HLOOKUP($AH850,Target_monthwise!$D$4:$O$20,DTR!D$4,FALSE))*1000,0)</f>
        <v>0</v>
      </c>
      <c r="E850" s="238">
        <f>IFERROR((HLOOKUP($AH850,Target_monthwise!$D$4:$O$20,DTR!E$4,FALSE))*1000,0)</f>
        <v>0</v>
      </c>
      <c r="F850" s="238">
        <f>IFERROR((HLOOKUP($AH850,Target_monthwise!$D$4:$O$20,DTR!F$4,FALSE))*1000,0)</f>
        <v>0</v>
      </c>
      <c r="G850" s="238">
        <f>IFERROR((HLOOKUP($AH850,Target_monthwise!$D$4:$O$20,DTR!G$4,FALSE))*1000,0)</f>
        <v>0</v>
      </c>
      <c r="H850" s="238">
        <f>IFERROR((HLOOKUP($AH850,Target_monthwise!$D$4:$O$20,DTR!H$4,FALSE))*1000,0)</f>
        <v>0</v>
      </c>
      <c r="I850" s="238">
        <f>IFERROR((HLOOKUP($AH850,Target_monthwise!$D$4:$O$20,DTR!I$4,FALSE))*1000,0)</f>
        <v>0</v>
      </c>
      <c r="J850" s="238">
        <f>IFERROR((HLOOKUP($AH850,Target_monthwise!$D$4:$O$20,DTR!J$4,FALSE))*1000,0)</f>
        <v>0</v>
      </c>
      <c r="K850" s="238">
        <f>IFERROR((HLOOKUP($AH850,Target_monthwise!$D$4:$O$20,DTR!K$4,FALSE))*1000,0)</f>
        <v>0</v>
      </c>
      <c r="L850" s="238">
        <f>IFERROR((HLOOKUP($AH850,Target_monthwise!$D$4:$O$20,DTR!L$4,FALSE))*1000,0)</f>
        <v>0</v>
      </c>
      <c r="M850" s="238">
        <f>IFERROR((HLOOKUP($AH850,Target_monthwise!$D$4:$O$20,DTR!M$4,FALSE))*1000,0)</f>
        <v>0</v>
      </c>
      <c r="N850" s="238">
        <f>IFERROR((HLOOKUP($AH850,Target_monthwise!$D$4:$O$20,DTR!N$4,FALSE))*1000,0)</f>
        <v>0</v>
      </c>
      <c r="O850" s="238">
        <f>IFERROR((HLOOKUP($AH850,Target_monthwise!$D$4:$O$20,DTR!O$4,FALSE))*1000,0)</f>
        <v>0</v>
      </c>
      <c r="P850" s="238">
        <f>IFERROR((HLOOKUP($AH850,Target_monthwise!$D$4:$O$20,DTR!P$4,FALSE))*1000,0)</f>
        <v>0</v>
      </c>
      <c r="Q850" s="141">
        <f>IFERROR((HLOOKUP($AH850,Target_monthwise!$D$4:$O$20,DTR!Q$4,FALSE))*1000,0)</f>
        <v>0</v>
      </c>
      <c r="R850" s="167">
        <f>IFERROR((HLOOKUP($AH850,Target_monthwise!$D$4:$O$20,DTR!R$4,FALSE))*1000,0)</f>
        <v>0</v>
      </c>
      <c r="S850" s="239">
        <f>IFERROR((HLOOKUP($AH850,Target_monthwise!$D$24:$O$40,DTR!S$4,FALSE)),0)</f>
        <v>0</v>
      </c>
      <c r="T850" s="239">
        <f>IFERROR((HLOOKUP($AH850,Target_monthwise!$D$24:$O$40,DTR!T$4,FALSE)),0)</f>
        <v>0</v>
      </c>
      <c r="U850" s="239">
        <f>IFERROR((HLOOKUP($AH850,Target_monthwise!$D$24:$O$40,DTR!U$4,FALSE)),0)</f>
        <v>0</v>
      </c>
      <c r="V850" s="239">
        <f>IFERROR((HLOOKUP($AH850,Target_monthwise!$D$24:$O$40,DTR!V$4,FALSE)),0)</f>
        <v>0</v>
      </c>
      <c r="W850" s="239">
        <f>IFERROR((HLOOKUP($AH850,Target_monthwise!$D$24:$O$40,DTR!W$4,FALSE)),0)</f>
        <v>0</v>
      </c>
      <c r="X850" s="239">
        <f>IFERROR((HLOOKUP($AH850,Target_monthwise!$D$24:$O$40,DTR!X$4,FALSE)),0)</f>
        <v>0</v>
      </c>
      <c r="Y850" s="239">
        <f>IFERROR((HLOOKUP($AH850,Target_monthwise!$D$24:$O$40,DTR!Y$4,FALSE)),0)</f>
        <v>0</v>
      </c>
      <c r="Z850" s="147">
        <f>IFERROR((HLOOKUP($AH850,Target_monthwise!$D$24:$O$40,DTR!Z$4,FALSE)),0)</f>
        <v>0</v>
      </c>
      <c r="AA850" s="147">
        <f>IFERROR((HLOOKUP($AH850,Target_monthwise!$D$24:$O$40,DTR!AA$4,FALSE)),0)</f>
        <v>0</v>
      </c>
      <c r="AB850" s="147">
        <f>IFERROR((HLOOKUP($AH850,Target_monthwise!$D$24:$O$40,DTR!AB$4,FALSE)),0)</f>
        <v>0</v>
      </c>
      <c r="AC850" s="239">
        <f>IFERROR((HLOOKUP($AH850,Target_monthwise!$D$24:$O$40,DTR!AC$4,FALSE)),0)</f>
        <v>0</v>
      </c>
      <c r="AD850" s="239">
        <f>IFERROR((HLOOKUP($AH850,Target_monthwise!$D$24:$O$40,DTR!AD$4,FALSE)),0)</f>
        <v>0</v>
      </c>
      <c r="AE850" s="239">
        <f>IFERROR((HLOOKUP($AH850,Target_monthwise!$D$24:$O$40,DTR!AE$4,FALSE)),0)</f>
        <v>0</v>
      </c>
      <c r="AF850" s="239">
        <f>IFERROR((HLOOKUP($AH850,Target_monthwise!$D$24:$O$40,DTR!AF$4,FALSE)),0)</f>
        <v>0</v>
      </c>
      <c r="AG850" s="172">
        <f>IFERROR((HLOOKUP($AH850,Target_monthwise!$D$24:$O$40,DTR!AG$4,FALSE)),0)</f>
        <v>0</v>
      </c>
      <c r="AH850" s="253">
        <f t="shared" si="15"/>
        <v>202407</v>
      </c>
    </row>
    <row r="851" spans="3:34" ht="15.75" hidden="1">
      <c r="C851" s="235">
        <v>45494</v>
      </c>
      <c r="D851" s="141">
        <f>IFERROR((HLOOKUP($AH851,Target_monthwise!$D$4:$O$20,DTR!D$4,FALSE))*1000,0)</f>
        <v>0</v>
      </c>
      <c r="E851" s="141">
        <f>IFERROR((HLOOKUP($AH851,Target_monthwise!$D$4:$O$20,DTR!E$4,FALSE))*1000,0)</f>
        <v>0</v>
      </c>
      <c r="F851" s="141">
        <f>IFERROR((HLOOKUP($AH851,Target_monthwise!$D$4:$O$20,DTR!F$4,FALSE))*1000,0)</f>
        <v>0</v>
      </c>
      <c r="G851" s="141">
        <f>IFERROR((HLOOKUP($AH851,Target_monthwise!$D$4:$O$20,DTR!G$4,FALSE))*1000,0)</f>
        <v>0</v>
      </c>
      <c r="H851" s="141">
        <f>IFERROR((HLOOKUP($AH851,Target_monthwise!$D$4:$O$20,DTR!H$4,FALSE))*1000,0)</f>
        <v>0</v>
      </c>
      <c r="I851" s="141">
        <f>IFERROR((HLOOKUP($AH851,Target_monthwise!$D$4:$O$20,DTR!I$4,FALSE))*1000,0)</f>
        <v>0</v>
      </c>
      <c r="J851" s="141">
        <f>IFERROR((HLOOKUP($AH851,Target_monthwise!$D$4:$O$20,DTR!J$4,FALSE))*1000,0)</f>
        <v>0</v>
      </c>
      <c r="K851" s="141">
        <f>IFERROR((HLOOKUP($AH851,Target_monthwise!$D$4:$O$20,DTR!K$4,FALSE))*1000,0)</f>
        <v>0</v>
      </c>
      <c r="L851" s="141">
        <f>IFERROR((HLOOKUP($AH851,Target_monthwise!$D$4:$O$20,DTR!L$4,FALSE))*1000,0)</f>
        <v>0</v>
      </c>
      <c r="M851" s="141">
        <f>IFERROR((HLOOKUP($AH851,Target_monthwise!$D$4:$O$20,DTR!M$4,FALSE))*1000,0)</f>
        <v>0</v>
      </c>
      <c r="N851" s="141">
        <f>IFERROR((HLOOKUP($AH851,Target_monthwise!$D$4:$O$20,DTR!N$4,FALSE))*1000,0)</f>
        <v>0</v>
      </c>
      <c r="O851" s="141">
        <f>IFERROR((HLOOKUP($AH851,Target_monthwise!$D$4:$O$20,DTR!O$4,FALSE))*1000,0)</f>
        <v>0</v>
      </c>
      <c r="P851" s="141">
        <f>IFERROR((HLOOKUP($AH851,Target_monthwise!$D$4:$O$20,DTR!P$4,FALSE))*1000,0)</f>
        <v>0</v>
      </c>
      <c r="Q851" s="141">
        <f>IFERROR((HLOOKUP($AH851,Target_monthwise!$D$4:$O$20,DTR!Q$4,FALSE))*1000,0)</f>
        <v>0</v>
      </c>
      <c r="R851" s="167">
        <f>IFERROR((HLOOKUP($AH851,Target_monthwise!$D$4:$O$20,DTR!R$4,FALSE))*1000,0)</f>
        <v>0</v>
      </c>
      <c r="S851" s="147">
        <f>IFERROR((HLOOKUP($AH851,Target_monthwise!$D$24:$O$40,DTR!S$4,FALSE)),0)</f>
        <v>0</v>
      </c>
      <c r="T851" s="147">
        <f>IFERROR((HLOOKUP($AH851,Target_monthwise!$D$24:$O$40,DTR!T$4,FALSE)),0)</f>
        <v>0</v>
      </c>
      <c r="U851" s="147">
        <f>IFERROR((HLOOKUP($AH851,Target_monthwise!$D$24:$O$40,DTR!U$4,FALSE)),0)</f>
        <v>0</v>
      </c>
      <c r="V851" s="147">
        <f>IFERROR((HLOOKUP($AH851,Target_monthwise!$D$24:$O$40,DTR!V$4,FALSE)),0)</f>
        <v>0</v>
      </c>
      <c r="W851" s="147">
        <f>IFERROR((HLOOKUP($AH851,Target_monthwise!$D$24:$O$40,DTR!W$4,FALSE)),0)</f>
        <v>0</v>
      </c>
      <c r="X851" s="147">
        <f>IFERROR((HLOOKUP($AH851,Target_monthwise!$D$24:$O$40,DTR!X$4,FALSE)),0)</f>
        <v>0</v>
      </c>
      <c r="Y851" s="147">
        <f>IFERROR((HLOOKUP($AH851,Target_monthwise!$D$24:$O$40,DTR!Y$4,FALSE)),0)</f>
        <v>0</v>
      </c>
      <c r="Z851" s="147">
        <f>IFERROR((HLOOKUP($AH851,Target_monthwise!$D$24:$O$40,DTR!Z$4,FALSE)),0)</f>
        <v>0</v>
      </c>
      <c r="AA851" s="147">
        <f>IFERROR((HLOOKUP($AH851,Target_monthwise!$D$24:$O$40,DTR!AA$4,FALSE)),0)</f>
        <v>0</v>
      </c>
      <c r="AB851" s="147">
        <f>IFERROR((HLOOKUP($AH851,Target_monthwise!$D$24:$O$40,DTR!AB$4,FALSE)),0)</f>
        <v>0</v>
      </c>
      <c r="AC851" s="147">
        <f>IFERROR((HLOOKUP($AH851,Target_monthwise!$D$24:$O$40,DTR!AC$4,FALSE)),0)</f>
        <v>0</v>
      </c>
      <c r="AD851" s="147">
        <f>IFERROR((HLOOKUP($AH851,Target_monthwise!$D$24:$O$40,DTR!AD$4,FALSE)),0)</f>
        <v>0</v>
      </c>
      <c r="AE851" s="147">
        <f>IFERROR((HLOOKUP($AH851,Target_monthwise!$D$24:$O$40,DTR!AE$4,FALSE)),0)</f>
        <v>0</v>
      </c>
      <c r="AF851" s="147">
        <f>IFERROR((HLOOKUP($AH851,Target_monthwise!$D$24:$O$40,DTR!AF$4,FALSE)),0)</f>
        <v>0</v>
      </c>
      <c r="AG851" s="172">
        <f>IFERROR((HLOOKUP($AH851,Target_monthwise!$D$24:$O$40,DTR!AG$4,FALSE)),0)</f>
        <v>0</v>
      </c>
      <c r="AH851" s="253">
        <f t="shared" si="15"/>
        <v>202407</v>
      </c>
    </row>
    <row r="852" spans="3:34" ht="15.75" hidden="1">
      <c r="C852" s="237">
        <v>45495</v>
      </c>
      <c r="D852" s="238">
        <f>IFERROR((HLOOKUP($AH852,Target_monthwise!$D$4:$O$20,DTR!D$4,FALSE))*1000,0)</f>
        <v>0</v>
      </c>
      <c r="E852" s="238">
        <f>IFERROR((HLOOKUP($AH852,Target_monthwise!$D$4:$O$20,DTR!E$4,FALSE))*1000,0)</f>
        <v>0</v>
      </c>
      <c r="F852" s="238">
        <f>IFERROR((HLOOKUP($AH852,Target_monthwise!$D$4:$O$20,DTR!F$4,FALSE))*1000,0)</f>
        <v>0</v>
      </c>
      <c r="G852" s="238">
        <f>IFERROR((HLOOKUP($AH852,Target_monthwise!$D$4:$O$20,DTR!G$4,FALSE))*1000,0)</f>
        <v>0</v>
      </c>
      <c r="H852" s="238">
        <f>IFERROR((HLOOKUP($AH852,Target_monthwise!$D$4:$O$20,DTR!H$4,FALSE))*1000,0)</f>
        <v>0</v>
      </c>
      <c r="I852" s="238">
        <f>IFERROR((HLOOKUP($AH852,Target_monthwise!$D$4:$O$20,DTR!I$4,FALSE))*1000,0)</f>
        <v>0</v>
      </c>
      <c r="J852" s="238">
        <f>IFERROR((HLOOKUP($AH852,Target_monthwise!$D$4:$O$20,DTR!J$4,FALSE))*1000,0)</f>
        <v>0</v>
      </c>
      <c r="K852" s="238">
        <f>IFERROR((HLOOKUP($AH852,Target_monthwise!$D$4:$O$20,DTR!K$4,FALSE))*1000,0)</f>
        <v>0</v>
      </c>
      <c r="L852" s="238">
        <f>IFERROR((HLOOKUP($AH852,Target_monthwise!$D$4:$O$20,DTR!L$4,FALSE))*1000,0)</f>
        <v>0</v>
      </c>
      <c r="M852" s="238">
        <f>IFERROR((HLOOKUP($AH852,Target_monthwise!$D$4:$O$20,DTR!M$4,FALSE))*1000,0)</f>
        <v>0</v>
      </c>
      <c r="N852" s="238">
        <f>IFERROR((HLOOKUP($AH852,Target_monthwise!$D$4:$O$20,DTR!N$4,FALSE))*1000,0)</f>
        <v>0</v>
      </c>
      <c r="O852" s="238">
        <f>IFERROR((HLOOKUP($AH852,Target_monthwise!$D$4:$O$20,DTR!O$4,FALSE))*1000,0)</f>
        <v>0</v>
      </c>
      <c r="P852" s="238">
        <f>IFERROR((HLOOKUP($AH852,Target_monthwise!$D$4:$O$20,DTR!P$4,FALSE))*1000,0)</f>
        <v>0</v>
      </c>
      <c r="Q852" s="141">
        <f>IFERROR((HLOOKUP($AH852,Target_monthwise!$D$4:$O$20,DTR!Q$4,FALSE))*1000,0)</f>
        <v>0</v>
      </c>
      <c r="R852" s="167">
        <f>IFERROR((HLOOKUP($AH852,Target_monthwise!$D$4:$O$20,DTR!R$4,FALSE))*1000,0)</f>
        <v>0</v>
      </c>
      <c r="S852" s="239">
        <f>IFERROR((HLOOKUP($AH852,Target_monthwise!$D$24:$O$40,DTR!S$4,FALSE)),0)</f>
        <v>0</v>
      </c>
      <c r="T852" s="239">
        <f>IFERROR((HLOOKUP($AH852,Target_monthwise!$D$24:$O$40,DTR!T$4,FALSE)),0)</f>
        <v>0</v>
      </c>
      <c r="U852" s="239">
        <f>IFERROR((HLOOKUP($AH852,Target_monthwise!$D$24:$O$40,DTR!U$4,FALSE)),0)</f>
        <v>0</v>
      </c>
      <c r="V852" s="239">
        <f>IFERROR((HLOOKUP($AH852,Target_monthwise!$D$24:$O$40,DTR!V$4,FALSE)),0)</f>
        <v>0</v>
      </c>
      <c r="W852" s="239">
        <f>IFERROR((HLOOKUP($AH852,Target_monthwise!$D$24:$O$40,DTR!W$4,FALSE)),0)</f>
        <v>0</v>
      </c>
      <c r="X852" s="239">
        <f>IFERROR((HLOOKUP($AH852,Target_monthwise!$D$24:$O$40,DTR!X$4,FALSE)),0)</f>
        <v>0</v>
      </c>
      <c r="Y852" s="239">
        <f>IFERROR((HLOOKUP($AH852,Target_monthwise!$D$24:$O$40,DTR!Y$4,FALSE)),0)</f>
        <v>0</v>
      </c>
      <c r="Z852" s="147">
        <f>IFERROR((HLOOKUP($AH852,Target_monthwise!$D$24:$O$40,DTR!Z$4,FALSE)),0)</f>
        <v>0</v>
      </c>
      <c r="AA852" s="147">
        <f>IFERROR((HLOOKUP($AH852,Target_monthwise!$D$24:$O$40,DTR!AA$4,FALSE)),0)</f>
        <v>0</v>
      </c>
      <c r="AB852" s="147">
        <f>IFERROR((HLOOKUP($AH852,Target_monthwise!$D$24:$O$40,DTR!AB$4,FALSE)),0)</f>
        <v>0</v>
      </c>
      <c r="AC852" s="239">
        <f>IFERROR((HLOOKUP($AH852,Target_monthwise!$D$24:$O$40,DTR!AC$4,FALSE)),0)</f>
        <v>0</v>
      </c>
      <c r="AD852" s="239">
        <f>IFERROR((HLOOKUP($AH852,Target_monthwise!$D$24:$O$40,DTR!AD$4,FALSE)),0)</f>
        <v>0</v>
      </c>
      <c r="AE852" s="239">
        <f>IFERROR((HLOOKUP($AH852,Target_monthwise!$D$24:$O$40,DTR!AE$4,FALSE)),0)</f>
        <v>0</v>
      </c>
      <c r="AF852" s="239">
        <f>IFERROR((HLOOKUP($AH852,Target_monthwise!$D$24:$O$40,DTR!AF$4,FALSE)),0)</f>
        <v>0</v>
      </c>
      <c r="AG852" s="172">
        <f>IFERROR((HLOOKUP($AH852,Target_monthwise!$D$24:$O$40,DTR!AG$4,FALSE)),0)</f>
        <v>0</v>
      </c>
      <c r="AH852" s="253">
        <f t="shared" si="15"/>
        <v>202407</v>
      </c>
    </row>
    <row r="853" spans="3:34" ht="15.75" hidden="1">
      <c r="C853" s="235">
        <v>45496</v>
      </c>
      <c r="D853" s="141">
        <f>IFERROR((HLOOKUP($AH853,Target_monthwise!$D$4:$O$20,DTR!D$4,FALSE))*1000,0)</f>
        <v>0</v>
      </c>
      <c r="E853" s="141">
        <f>IFERROR((HLOOKUP($AH853,Target_monthwise!$D$4:$O$20,DTR!E$4,FALSE))*1000,0)</f>
        <v>0</v>
      </c>
      <c r="F853" s="141">
        <f>IFERROR((HLOOKUP($AH853,Target_monthwise!$D$4:$O$20,DTR!F$4,FALSE))*1000,0)</f>
        <v>0</v>
      </c>
      <c r="G853" s="141">
        <f>IFERROR((HLOOKUP($AH853,Target_monthwise!$D$4:$O$20,DTR!G$4,FALSE))*1000,0)</f>
        <v>0</v>
      </c>
      <c r="H853" s="141">
        <f>IFERROR((HLOOKUP($AH853,Target_monthwise!$D$4:$O$20,DTR!H$4,FALSE))*1000,0)</f>
        <v>0</v>
      </c>
      <c r="I853" s="141">
        <f>IFERROR((HLOOKUP($AH853,Target_monthwise!$D$4:$O$20,DTR!I$4,FALSE))*1000,0)</f>
        <v>0</v>
      </c>
      <c r="J853" s="141">
        <f>IFERROR((HLOOKUP($AH853,Target_monthwise!$D$4:$O$20,DTR!J$4,FALSE))*1000,0)</f>
        <v>0</v>
      </c>
      <c r="K853" s="141">
        <f>IFERROR((HLOOKUP($AH853,Target_monthwise!$D$4:$O$20,DTR!K$4,FALSE))*1000,0)</f>
        <v>0</v>
      </c>
      <c r="L853" s="141">
        <f>IFERROR((HLOOKUP($AH853,Target_monthwise!$D$4:$O$20,DTR!L$4,FALSE))*1000,0)</f>
        <v>0</v>
      </c>
      <c r="M853" s="141">
        <f>IFERROR((HLOOKUP($AH853,Target_monthwise!$D$4:$O$20,DTR!M$4,FALSE))*1000,0)</f>
        <v>0</v>
      </c>
      <c r="N853" s="141">
        <f>IFERROR((HLOOKUP($AH853,Target_monthwise!$D$4:$O$20,DTR!N$4,FALSE))*1000,0)</f>
        <v>0</v>
      </c>
      <c r="O853" s="141">
        <f>IFERROR((HLOOKUP($AH853,Target_monthwise!$D$4:$O$20,DTR!O$4,FALSE))*1000,0)</f>
        <v>0</v>
      </c>
      <c r="P853" s="141">
        <f>IFERROR((HLOOKUP($AH853,Target_monthwise!$D$4:$O$20,DTR!P$4,FALSE))*1000,0)</f>
        <v>0</v>
      </c>
      <c r="Q853" s="141">
        <f>IFERROR((HLOOKUP($AH853,Target_monthwise!$D$4:$O$20,DTR!Q$4,FALSE))*1000,0)</f>
        <v>0</v>
      </c>
      <c r="R853" s="167">
        <f>IFERROR((HLOOKUP($AH853,Target_monthwise!$D$4:$O$20,DTR!R$4,FALSE))*1000,0)</f>
        <v>0</v>
      </c>
      <c r="S853" s="147">
        <f>IFERROR((HLOOKUP($AH853,Target_monthwise!$D$24:$O$40,DTR!S$4,FALSE)),0)</f>
        <v>0</v>
      </c>
      <c r="T853" s="147">
        <f>IFERROR((HLOOKUP($AH853,Target_monthwise!$D$24:$O$40,DTR!T$4,FALSE)),0)</f>
        <v>0</v>
      </c>
      <c r="U853" s="147">
        <f>IFERROR((HLOOKUP($AH853,Target_monthwise!$D$24:$O$40,DTR!U$4,FALSE)),0)</f>
        <v>0</v>
      </c>
      <c r="V853" s="147">
        <f>IFERROR((HLOOKUP($AH853,Target_monthwise!$D$24:$O$40,DTR!V$4,FALSE)),0)</f>
        <v>0</v>
      </c>
      <c r="W853" s="147">
        <f>IFERROR((HLOOKUP($AH853,Target_monthwise!$D$24:$O$40,DTR!W$4,FALSE)),0)</f>
        <v>0</v>
      </c>
      <c r="X853" s="147">
        <f>IFERROR((HLOOKUP($AH853,Target_monthwise!$D$24:$O$40,DTR!X$4,FALSE)),0)</f>
        <v>0</v>
      </c>
      <c r="Y853" s="147">
        <f>IFERROR((HLOOKUP($AH853,Target_monthwise!$D$24:$O$40,DTR!Y$4,FALSE)),0)</f>
        <v>0</v>
      </c>
      <c r="Z853" s="147">
        <f>IFERROR((HLOOKUP($AH853,Target_monthwise!$D$24:$O$40,DTR!Z$4,FALSE)),0)</f>
        <v>0</v>
      </c>
      <c r="AA853" s="147">
        <f>IFERROR((HLOOKUP($AH853,Target_monthwise!$D$24:$O$40,DTR!AA$4,FALSE)),0)</f>
        <v>0</v>
      </c>
      <c r="AB853" s="147">
        <f>IFERROR((HLOOKUP($AH853,Target_monthwise!$D$24:$O$40,DTR!AB$4,FALSE)),0)</f>
        <v>0</v>
      </c>
      <c r="AC853" s="147">
        <f>IFERROR((HLOOKUP($AH853,Target_monthwise!$D$24:$O$40,DTR!AC$4,FALSE)),0)</f>
        <v>0</v>
      </c>
      <c r="AD853" s="147">
        <f>IFERROR((HLOOKUP($AH853,Target_monthwise!$D$24:$O$40,DTR!AD$4,FALSE)),0)</f>
        <v>0</v>
      </c>
      <c r="AE853" s="147">
        <f>IFERROR((HLOOKUP($AH853,Target_monthwise!$D$24:$O$40,DTR!AE$4,FALSE)),0)</f>
        <v>0</v>
      </c>
      <c r="AF853" s="147">
        <f>IFERROR((HLOOKUP($AH853,Target_monthwise!$D$24:$O$40,DTR!AF$4,FALSE)),0)</f>
        <v>0</v>
      </c>
      <c r="AG853" s="172">
        <f>IFERROR((HLOOKUP($AH853,Target_monthwise!$D$24:$O$40,DTR!AG$4,FALSE)),0)</f>
        <v>0</v>
      </c>
      <c r="AH853" s="253">
        <f t="shared" si="15"/>
        <v>202407</v>
      </c>
    </row>
    <row r="854" spans="3:34" ht="15.75" hidden="1">
      <c r="C854" s="237">
        <v>45497</v>
      </c>
      <c r="D854" s="238">
        <f>IFERROR((HLOOKUP($AH854,Target_monthwise!$D$4:$O$20,DTR!D$4,FALSE))*1000,0)</f>
        <v>0</v>
      </c>
      <c r="E854" s="238">
        <f>IFERROR((HLOOKUP($AH854,Target_monthwise!$D$4:$O$20,DTR!E$4,FALSE))*1000,0)</f>
        <v>0</v>
      </c>
      <c r="F854" s="238">
        <f>IFERROR((HLOOKUP($AH854,Target_monthwise!$D$4:$O$20,DTR!F$4,FALSE))*1000,0)</f>
        <v>0</v>
      </c>
      <c r="G854" s="238">
        <f>IFERROR((HLOOKUP($AH854,Target_monthwise!$D$4:$O$20,DTR!G$4,FALSE))*1000,0)</f>
        <v>0</v>
      </c>
      <c r="H854" s="238">
        <f>IFERROR((HLOOKUP($AH854,Target_monthwise!$D$4:$O$20,DTR!H$4,FALSE))*1000,0)</f>
        <v>0</v>
      </c>
      <c r="I854" s="238">
        <f>IFERROR((HLOOKUP($AH854,Target_monthwise!$D$4:$O$20,DTR!I$4,FALSE))*1000,0)</f>
        <v>0</v>
      </c>
      <c r="J854" s="238">
        <f>IFERROR((HLOOKUP($AH854,Target_monthwise!$D$4:$O$20,DTR!J$4,FALSE))*1000,0)</f>
        <v>0</v>
      </c>
      <c r="K854" s="238">
        <f>IFERROR((HLOOKUP($AH854,Target_monthwise!$D$4:$O$20,DTR!K$4,FALSE))*1000,0)</f>
        <v>0</v>
      </c>
      <c r="L854" s="238">
        <f>IFERROR((HLOOKUP($AH854,Target_monthwise!$D$4:$O$20,DTR!L$4,FALSE))*1000,0)</f>
        <v>0</v>
      </c>
      <c r="M854" s="238">
        <f>IFERROR((HLOOKUP($AH854,Target_monthwise!$D$4:$O$20,DTR!M$4,FALSE))*1000,0)</f>
        <v>0</v>
      </c>
      <c r="N854" s="238">
        <f>IFERROR((HLOOKUP($AH854,Target_monthwise!$D$4:$O$20,DTR!N$4,FALSE))*1000,0)</f>
        <v>0</v>
      </c>
      <c r="O854" s="238">
        <f>IFERROR((HLOOKUP($AH854,Target_monthwise!$D$4:$O$20,DTR!O$4,FALSE))*1000,0)</f>
        <v>0</v>
      </c>
      <c r="P854" s="238">
        <f>IFERROR((HLOOKUP($AH854,Target_monthwise!$D$4:$O$20,DTR!P$4,FALSE))*1000,0)</f>
        <v>0</v>
      </c>
      <c r="Q854" s="141">
        <f>IFERROR((HLOOKUP($AH854,Target_monthwise!$D$4:$O$20,DTR!Q$4,FALSE))*1000,0)</f>
        <v>0</v>
      </c>
      <c r="R854" s="167">
        <f>IFERROR((HLOOKUP($AH854,Target_monthwise!$D$4:$O$20,DTR!R$4,FALSE))*1000,0)</f>
        <v>0</v>
      </c>
      <c r="S854" s="239">
        <f>IFERROR((HLOOKUP($AH854,Target_monthwise!$D$24:$O$40,DTR!S$4,FALSE)),0)</f>
        <v>0</v>
      </c>
      <c r="T854" s="239">
        <f>IFERROR((HLOOKUP($AH854,Target_monthwise!$D$24:$O$40,DTR!T$4,FALSE)),0)</f>
        <v>0</v>
      </c>
      <c r="U854" s="239">
        <f>IFERROR((HLOOKUP($AH854,Target_monthwise!$D$24:$O$40,DTR!U$4,FALSE)),0)</f>
        <v>0</v>
      </c>
      <c r="V854" s="239">
        <f>IFERROR((HLOOKUP($AH854,Target_monthwise!$D$24:$O$40,DTR!V$4,FALSE)),0)</f>
        <v>0</v>
      </c>
      <c r="W854" s="239">
        <f>IFERROR((HLOOKUP($AH854,Target_monthwise!$D$24:$O$40,DTR!W$4,FALSE)),0)</f>
        <v>0</v>
      </c>
      <c r="X854" s="239">
        <f>IFERROR((HLOOKUP($AH854,Target_monthwise!$D$24:$O$40,DTR!X$4,FALSE)),0)</f>
        <v>0</v>
      </c>
      <c r="Y854" s="239">
        <f>IFERROR((HLOOKUP($AH854,Target_monthwise!$D$24:$O$40,DTR!Y$4,FALSE)),0)</f>
        <v>0</v>
      </c>
      <c r="Z854" s="147">
        <f>IFERROR((HLOOKUP($AH854,Target_monthwise!$D$24:$O$40,DTR!Z$4,FALSE)),0)</f>
        <v>0</v>
      </c>
      <c r="AA854" s="147">
        <f>IFERROR((HLOOKUP($AH854,Target_monthwise!$D$24:$O$40,DTR!AA$4,FALSE)),0)</f>
        <v>0</v>
      </c>
      <c r="AB854" s="147">
        <f>IFERROR((HLOOKUP($AH854,Target_monthwise!$D$24:$O$40,DTR!AB$4,FALSE)),0)</f>
        <v>0</v>
      </c>
      <c r="AC854" s="239">
        <f>IFERROR((HLOOKUP($AH854,Target_monthwise!$D$24:$O$40,DTR!AC$4,FALSE)),0)</f>
        <v>0</v>
      </c>
      <c r="AD854" s="239">
        <f>IFERROR((HLOOKUP($AH854,Target_monthwise!$D$24:$O$40,DTR!AD$4,FALSE)),0)</f>
        <v>0</v>
      </c>
      <c r="AE854" s="239">
        <f>IFERROR((HLOOKUP($AH854,Target_monthwise!$D$24:$O$40,DTR!AE$4,FALSE)),0)</f>
        <v>0</v>
      </c>
      <c r="AF854" s="239">
        <f>IFERROR((HLOOKUP($AH854,Target_monthwise!$D$24:$O$40,DTR!AF$4,FALSE)),0)</f>
        <v>0</v>
      </c>
      <c r="AG854" s="172">
        <f>IFERROR((HLOOKUP($AH854,Target_monthwise!$D$24:$O$40,DTR!AG$4,FALSE)),0)</f>
        <v>0</v>
      </c>
      <c r="AH854" s="253">
        <f t="shared" si="15"/>
        <v>202407</v>
      </c>
    </row>
    <row r="855" spans="3:34" ht="15.75" hidden="1">
      <c r="C855" s="235">
        <v>45498</v>
      </c>
      <c r="D855" s="141">
        <f>IFERROR((HLOOKUP($AH855,Target_monthwise!$D$4:$O$20,DTR!D$4,FALSE))*1000,0)</f>
        <v>0</v>
      </c>
      <c r="E855" s="141">
        <f>IFERROR((HLOOKUP($AH855,Target_monthwise!$D$4:$O$20,DTR!E$4,FALSE))*1000,0)</f>
        <v>0</v>
      </c>
      <c r="F855" s="141">
        <f>IFERROR((HLOOKUP($AH855,Target_monthwise!$D$4:$O$20,DTR!F$4,FALSE))*1000,0)</f>
        <v>0</v>
      </c>
      <c r="G855" s="141">
        <f>IFERROR((HLOOKUP($AH855,Target_monthwise!$D$4:$O$20,DTR!G$4,FALSE))*1000,0)</f>
        <v>0</v>
      </c>
      <c r="H855" s="141">
        <f>IFERROR((HLOOKUP($AH855,Target_monthwise!$D$4:$O$20,DTR!H$4,FALSE))*1000,0)</f>
        <v>0</v>
      </c>
      <c r="I855" s="141">
        <f>IFERROR((HLOOKUP($AH855,Target_monthwise!$D$4:$O$20,DTR!I$4,FALSE))*1000,0)</f>
        <v>0</v>
      </c>
      <c r="J855" s="141">
        <f>IFERROR((HLOOKUP($AH855,Target_monthwise!$D$4:$O$20,DTR!J$4,FALSE))*1000,0)</f>
        <v>0</v>
      </c>
      <c r="K855" s="141">
        <f>IFERROR((HLOOKUP($AH855,Target_monthwise!$D$4:$O$20,DTR!K$4,FALSE))*1000,0)</f>
        <v>0</v>
      </c>
      <c r="L855" s="141">
        <f>IFERROR((HLOOKUP($AH855,Target_monthwise!$D$4:$O$20,DTR!L$4,FALSE))*1000,0)</f>
        <v>0</v>
      </c>
      <c r="M855" s="141">
        <f>IFERROR((HLOOKUP($AH855,Target_monthwise!$D$4:$O$20,DTR!M$4,FALSE))*1000,0)</f>
        <v>0</v>
      </c>
      <c r="N855" s="141">
        <f>IFERROR((HLOOKUP($AH855,Target_monthwise!$D$4:$O$20,DTR!N$4,FALSE))*1000,0)</f>
        <v>0</v>
      </c>
      <c r="O855" s="141">
        <f>IFERROR((HLOOKUP($AH855,Target_monthwise!$D$4:$O$20,DTR!O$4,FALSE))*1000,0)</f>
        <v>0</v>
      </c>
      <c r="P855" s="141">
        <f>IFERROR((HLOOKUP($AH855,Target_monthwise!$D$4:$O$20,DTR!P$4,FALSE))*1000,0)</f>
        <v>0</v>
      </c>
      <c r="Q855" s="141">
        <f>IFERROR((HLOOKUP($AH855,Target_monthwise!$D$4:$O$20,DTR!Q$4,FALSE))*1000,0)</f>
        <v>0</v>
      </c>
      <c r="R855" s="167">
        <f>IFERROR((HLOOKUP($AH855,Target_monthwise!$D$4:$O$20,DTR!R$4,FALSE))*1000,0)</f>
        <v>0</v>
      </c>
      <c r="S855" s="147">
        <f>IFERROR((HLOOKUP($AH855,Target_monthwise!$D$24:$O$40,DTR!S$4,FALSE)),0)</f>
        <v>0</v>
      </c>
      <c r="T855" s="147">
        <f>IFERROR((HLOOKUP($AH855,Target_monthwise!$D$24:$O$40,DTR!T$4,FALSE)),0)</f>
        <v>0</v>
      </c>
      <c r="U855" s="147">
        <f>IFERROR((HLOOKUP($AH855,Target_monthwise!$D$24:$O$40,DTR!U$4,FALSE)),0)</f>
        <v>0</v>
      </c>
      <c r="V855" s="147">
        <f>IFERROR((HLOOKUP($AH855,Target_monthwise!$D$24:$O$40,DTR!V$4,FALSE)),0)</f>
        <v>0</v>
      </c>
      <c r="W855" s="147">
        <f>IFERROR((HLOOKUP($AH855,Target_monthwise!$D$24:$O$40,DTR!W$4,FALSE)),0)</f>
        <v>0</v>
      </c>
      <c r="X855" s="147">
        <f>IFERROR((HLOOKUP($AH855,Target_monthwise!$D$24:$O$40,DTR!X$4,FALSE)),0)</f>
        <v>0</v>
      </c>
      <c r="Y855" s="147">
        <f>IFERROR((HLOOKUP($AH855,Target_monthwise!$D$24:$O$40,DTR!Y$4,FALSE)),0)</f>
        <v>0</v>
      </c>
      <c r="Z855" s="147">
        <f>IFERROR((HLOOKUP($AH855,Target_monthwise!$D$24:$O$40,DTR!Z$4,FALSE)),0)</f>
        <v>0</v>
      </c>
      <c r="AA855" s="147">
        <f>IFERROR((HLOOKUP($AH855,Target_monthwise!$D$24:$O$40,DTR!AA$4,FALSE)),0)</f>
        <v>0</v>
      </c>
      <c r="AB855" s="147">
        <f>IFERROR((HLOOKUP($AH855,Target_monthwise!$D$24:$O$40,DTR!AB$4,FALSE)),0)</f>
        <v>0</v>
      </c>
      <c r="AC855" s="147">
        <f>IFERROR((HLOOKUP($AH855,Target_monthwise!$D$24:$O$40,DTR!AC$4,FALSE)),0)</f>
        <v>0</v>
      </c>
      <c r="AD855" s="147">
        <f>IFERROR((HLOOKUP($AH855,Target_monthwise!$D$24:$O$40,DTR!AD$4,FALSE)),0)</f>
        <v>0</v>
      </c>
      <c r="AE855" s="147">
        <f>IFERROR((HLOOKUP($AH855,Target_monthwise!$D$24:$O$40,DTR!AE$4,FALSE)),0)</f>
        <v>0</v>
      </c>
      <c r="AF855" s="147">
        <f>IFERROR((HLOOKUP($AH855,Target_monthwise!$D$24:$O$40,DTR!AF$4,FALSE)),0)</f>
        <v>0</v>
      </c>
      <c r="AG855" s="172">
        <f>IFERROR((HLOOKUP($AH855,Target_monthwise!$D$24:$O$40,DTR!AG$4,FALSE)),0)</f>
        <v>0</v>
      </c>
      <c r="AH855" s="253">
        <f t="shared" si="15"/>
        <v>202407</v>
      </c>
    </row>
    <row r="856" spans="3:34" ht="15.75" hidden="1">
      <c r="C856" s="237">
        <v>45499</v>
      </c>
      <c r="D856" s="238">
        <f>IFERROR((HLOOKUP($AH856,Target_monthwise!$D$4:$O$20,DTR!D$4,FALSE))*1000,0)</f>
        <v>0</v>
      </c>
      <c r="E856" s="238">
        <f>IFERROR((HLOOKUP($AH856,Target_monthwise!$D$4:$O$20,DTR!E$4,FALSE))*1000,0)</f>
        <v>0</v>
      </c>
      <c r="F856" s="238">
        <f>IFERROR((HLOOKUP($AH856,Target_monthwise!$D$4:$O$20,DTR!F$4,FALSE))*1000,0)</f>
        <v>0</v>
      </c>
      <c r="G856" s="238">
        <f>IFERROR((HLOOKUP($AH856,Target_monthwise!$D$4:$O$20,DTR!G$4,FALSE))*1000,0)</f>
        <v>0</v>
      </c>
      <c r="H856" s="238">
        <f>IFERROR((HLOOKUP($AH856,Target_monthwise!$D$4:$O$20,DTR!H$4,FALSE))*1000,0)</f>
        <v>0</v>
      </c>
      <c r="I856" s="238">
        <f>IFERROR((HLOOKUP($AH856,Target_monthwise!$D$4:$O$20,DTR!I$4,FALSE))*1000,0)</f>
        <v>0</v>
      </c>
      <c r="J856" s="238">
        <f>IFERROR((HLOOKUP($AH856,Target_monthwise!$D$4:$O$20,DTR!J$4,FALSE))*1000,0)</f>
        <v>0</v>
      </c>
      <c r="K856" s="238">
        <f>IFERROR((HLOOKUP($AH856,Target_monthwise!$D$4:$O$20,DTR!K$4,FALSE))*1000,0)</f>
        <v>0</v>
      </c>
      <c r="L856" s="238">
        <f>IFERROR((HLOOKUP($AH856,Target_monthwise!$D$4:$O$20,DTR!L$4,FALSE))*1000,0)</f>
        <v>0</v>
      </c>
      <c r="M856" s="238">
        <f>IFERROR((HLOOKUP($AH856,Target_monthwise!$D$4:$O$20,DTR!M$4,FALSE))*1000,0)</f>
        <v>0</v>
      </c>
      <c r="N856" s="238">
        <f>IFERROR((HLOOKUP($AH856,Target_monthwise!$D$4:$O$20,DTR!N$4,FALSE))*1000,0)</f>
        <v>0</v>
      </c>
      <c r="O856" s="238">
        <f>IFERROR((HLOOKUP($AH856,Target_monthwise!$D$4:$O$20,DTR!O$4,FALSE))*1000,0)</f>
        <v>0</v>
      </c>
      <c r="P856" s="238">
        <f>IFERROR((HLOOKUP($AH856,Target_monthwise!$D$4:$O$20,DTR!P$4,FALSE))*1000,0)</f>
        <v>0</v>
      </c>
      <c r="Q856" s="141">
        <f>IFERROR((HLOOKUP($AH856,Target_monthwise!$D$4:$O$20,DTR!Q$4,FALSE))*1000,0)</f>
        <v>0</v>
      </c>
      <c r="R856" s="167">
        <f>IFERROR((HLOOKUP($AH856,Target_monthwise!$D$4:$O$20,DTR!R$4,FALSE))*1000,0)</f>
        <v>0</v>
      </c>
      <c r="S856" s="239">
        <f>IFERROR((HLOOKUP($AH856,Target_monthwise!$D$24:$O$40,DTR!S$4,FALSE)),0)</f>
        <v>0</v>
      </c>
      <c r="T856" s="239">
        <f>IFERROR((HLOOKUP($AH856,Target_monthwise!$D$24:$O$40,DTR!T$4,FALSE)),0)</f>
        <v>0</v>
      </c>
      <c r="U856" s="239">
        <f>IFERROR((HLOOKUP($AH856,Target_monthwise!$D$24:$O$40,DTR!U$4,FALSE)),0)</f>
        <v>0</v>
      </c>
      <c r="V856" s="239">
        <f>IFERROR((HLOOKUP($AH856,Target_monthwise!$D$24:$O$40,DTR!V$4,FALSE)),0)</f>
        <v>0</v>
      </c>
      <c r="W856" s="239">
        <f>IFERROR((HLOOKUP($AH856,Target_monthwise!$D$24:$O$40,DTR!W$4,FALSE)),0)</f>
        <v>0</v>
      </c>
      <c r="X856" s="239">
        <f>IFERROR((HLOOKUP($AH856,Target_monthwise!$D$24:$O$40,DTR!X$4,FALSE)),0)</f>
        <v>0</v>
      </c>
      <c r="Y856" s="239">
        <f>IFERROR((HLOOKUP($AH856,Target_monthwise!$D$24:$O$40,DTR!Y$4,FALSE)),0)</f>
        <v>0</v>
      </c>
      <c r="Z856" s="147">
        <f>IFERROR((HLOOKUP($AH856,Target_monthwise!$D$24:$O$40,DTR!Z$4,FALSE)),0)</f>
        <v>0</v>
      </c>
      <c r="AA856" s="147">
        <f>IFERROR((HLOOKUP($AH856,Target_monthwise!$D$24:$O$40,DTR!AA$4,FALSE)),0)</f>
        <v>0</v>
      </c>
      <c r="AB856" s="147">
        <f>IFERROR((HLOOKUP($AH856,Target_monthwise!$D$24:$O$40,DTR!AB$4,FALSE)),0)</f>
        <v>0</v>
      </c>
      <c r="AC856" s="239">
        <f>IFERROR((HLOOKUP($AH856,Target_monthwise!$D$24:$O$40,DTR!AC$4,FALSE)),0)</f>
        <v>0</v>
      </c>
      <c r="AD856" s="239">
        <f>IFERROR((HLOOKUP($AH856,Target_monthwise!$D$24:$O$40,DTR!AD$4,FALSE)),0)</f>
        <v>0</v>
      </c>
      <c r="AE856" s="239">
        <f>IFERROR((HLOOKUP($AH856,Target_monthwise!$D$24:$O$40,DTR!AE$4,FALSE)),0)</f>
        <v>0</v>
      </c>
      <c r="AF856" s="239">
        <f>IFERROR((HLOOKUP($AH856,Target_monthwise!$D$24:$O$40,DTR!AF$4,FALSE)),0)</f>
        <v>0</v>
      </c>
      <c r="AG856" s="172">
        <f>IFERROR((HLOOKUP($AH856,Target_monthwise!$D$24:$O$40,DTR!AG$4,FALSE)),0)</f>
        <v>0</v>
      </c>
      <c r="AH856" s="253">
        <f t="shared" si="15"/>
        <v>202407</v>
      </c>
    </row>
    <row r="857" spans="3:34" ht="15.75" hidden="1">
      <c r="C857" s="235">
        <v>45500</v>
      </c>
      <c r="D857" s="141">
        <f>IFERROR((HLOOKUP($AH857,Target_monthwise!$D$4:$O$20,DTR!D$4,FALSE))*1000,0)</f>
        <v>0</v>
      </c>
      <c r="E857" s="141">
        <f>IFERROR((HLOOKUP($AH857,Target_monthwise!$D$4:$O$20,DTR!E$4,FALSE))*1000,0)</f>
        <v>0</v>
      </c>
      <c r="F857" s="141">
        <f>IFERROR((HLOOKUP($AH857,Target_monthwise!$D$4:$O$20,DTR!F$4,FALSE))*1000,0)</f>
        <v>0</v>
      </c>
      <c r="G857" s="141">
        <f>IFERROR((HLOOKUP($AH857,Target_monthwise!$D$4:$O$20,DTR!G$4,FALSE))*1000,0)</f>
        <v>0</v>
      </c>
      <c r="H857" s="141">
        <f>IFERROR((HLOOKUP($AH857,Target_monthwise!$D$4:$O$20,DTR!H$4,FALSE))*1000,0)</f>
        <v>0</v>
      </c>
      <c r="I857" s="141">
        <f>IFERROR((HLOOKUP($AH857,Target_monthwise!$D$4:$O$20,DTR!I$4,FALSE))*1000,0)</f>
        <v>0</v>
      </c>
      <c r="J857" s="141">
        <f>IFERROR((HLOOKUP($AH857,Target_monthwise!$D$4:$O$20,DTR!J$4,FALSE))*1000,0)</f>
        <v>0</v>
      </c>
      <c r="K857" s="141">
        <f>IFERROR((HLOOKUP($AH857,Target_monthwise!$D$4:$O$20,DTR!K$4,FALSE))*1000,0)</f>
        <v>0</v>
      </c>
      <c r="L857" s="141">
        <f>IFERROR((HLOOKUP($AH857,Target_monthwise!$D$4:$O$20,DTR!L$4,FALSE))*1000,0)</f>
        <v>0</v>
      </c>
      <c r="M857" s="141">
        <f>IFERROR((HLOOKUP($AH857,Target_monthwise!$D$4:$O$20,DTR!M$4,FALSE))*1000,0)</f>
        <v>0</v>
      </c>
      <c r="N857" s="141">
        <f>IFERROR((HLOOKUP($AH857,Target_monthwise!$D$4:$O$20,DTR!N$4,FALSE))*1000,0)</f>
        <v>0</v>
      </c>
      <c r="O857" s="141">
        <f>IFERROR((HLOOKUP($AH857,Target_monthwise!$D$4:$O$20,DTR!O$4,FALSE))*1000,0)</f>
        <v>0</v>
      </c>
      <c r="P857" s="141">
        <f>IFERROR((HLOOKUP($AH857,Target_monthwise!$D$4:$O$20,DTR!P$4,FALSE))*1000,0)</f>
        <v>0</v>
      </c>
      <c r="Q857" s="141">
        <f>IFERROR((HLOOKUP($AH857,Target_monthwise!$D$4:$O$20,DTR!Q$4,FALSE))*1000,0)</f>
        <v>0</v>
      </c>
      <c r="R857" s="167">
        <f>IFERROR((HLOOKUP($AH857,Target_monthwise!$D$4:$O$20,DTR!R$4,FALSE))*1000,0)</f>
        <v>0</v>
      </c>
      <c r="S857" s="147">
        <f>IFERROR((HLOOKUP($AH857,Target_monthwise!$D$24:$O$40,DTR!S$4,FALSE)),0)</f>
        <v>0</v>
      </c>
      <c r="T857" s="147">
        <f>IFERROR((HLOOKUP($AH857,Target_monthwise!$D$24:$O$40,DTR!T$4,FALSE)),0)</f>
        <v>0</v>
      </c>
      <c r="U857" s="147">
        <f>IFERROR((HLOOKUP($AH857,Target_monthwise!$D$24:$O$40,DTR!U$4,FALSE)),0)</f>
        <v>0</v>
      </c>
      <c r="V857" s="147">
        <f>IFERROR((HLOOKUP($AH857,Target_monthwise!$D$24:$O$40,DTR!V$4,FALSE)),0)</f>
        <v>0</v>
      </c>
      <c r="W857" s="147">
        <f>IFERROR((HLOOKUP($AH857,Target_monthwise!$D$24:$O$40,DTR!W$4,FALSE)),0)</f>
        <v>0</v>
      </c>
      <c r="X857" s="147">
        <f>IFERROR((HLOOKUP($AH857,Target_monthwise!$D$24:$O$40,DTR!X$4,FALSE)),0)</f>
        <v>0</v>
      </c>
      <c r="Y857" s="147">
        <f>IFERROR((HLOOKUP($AH857,Target_monthwise!$D$24:$O$40,DTR!Y$4,FALSE)),0)</f>
        <v>0</v>
      </c>
      <c r="Z857" s="147">
        <f>IFERROR((HLOOKUP($AH857,Target_monthwise!$D$24:$O$40,DTR!Z$4,FALSE)),0)</f>
        <v>0</v>
      </c>
      <c r="AA857" s="147">
        <f>IFERROR((HLOOKUP($AH857,Target_monthwise!$D$24:$O$40,DTR!AA$4,FALSE)),0)</f>
        <v>0</v>
      </c>
      <c r="AB857" s="147">
        <f>IFERROR((HLOOKUP($AH857,Target_monthwise!$D$24:$O$40,DTR!AB$4,FALSE)),0)</f>
        <v>0</v>
      </c>
      <c r="AC857" s="147">
        <f>IFERROR((HLOOKUP($AH857,Target_monthwise!$D$24:$O$40,DTR!AC$4,FALSE)),0)</f>
        <v>0</v>
      </c>
      <c r="AD857" s="147">
        <f>IFERROR((HLOOKUP($AH857,Target_monthwise!$D$24:$O$40,DTR!AD$4,FALSE)),0)</f>
        <v>0</v>
      </c>
      <c r="AE857" s="147">
        <f>IFERROR((HLOOKUP($AH857,Target_monthwise!$D$24:$O$40,DTR!AE$4,FALSE)),0)</f>
        <v>0</v>
      </c>
      <c r="AF857" s="147">
        <f>IFERROR((HLOOKUP($AH857,Target_monthwise!$D$24:$O$40,DTR!AF$4,FALSE)),0)</f>
        <v>0</v>
      </c>
      <c r="AG857" s="172">
        <f>IFERROR((HLOOKUP($AH857,Target_monthwise!$D$24:$O$40,DTR!AG$4,FALSE)),0)</f>
        <v>0</v>
      </c>
      <c r="AH857" s="253">
        <f t="shared" si="15"/>
        <v>202407</v>
      </c>
    </row>
    <row r="858" spans="3:34" ht="15.75" hidden="1">
      <c r="C858" s="237">
        <v>45501</v>
      </c>
      <c r="D858" s="238">
        <f>IFERROR((HLOOKUP($AH858,Target_monthwise!$D$4:$O$20,DTR!D$4,FALSE))*1000,0)</f>
        <v>0</v>
      </c>
      <c r="E858" s="238">
        <f>IFERROR((HLOOKUP($AH858,Target_monthwise!$D$4:$O$20,DTR!E$4,FALSE))*1000,0)</f>
        <v>0</v>
      </c>
      <c r="F858" s="238">
        <f>IFERROR((HLOOKUP($AH858,Target_monthwise!$D$4:$O$20,DTR!F$4,FALSE))*1000,0)</f>
        <v>0</v>
      </c>
      <c r="G858" s="238">
        <f>IFERROR((HLOOKUP($AH858,Target_monthwise!$D$4:$O$20,DTR!G$4,FALSE))*1000,0)</f>
        <v>0</v>
      </c>
      <c r="H858" s="238">
        <f>IFERROR((HLOOKUP($AH858,Target_monthwise!$D$4:$O$20,DTR!H$4,FALSE))*1000,0)</f>
        <v>0</v>
      </c>
      <c r="I858" s="238">
        <f>IFERROR((HLOOKUP($AH858,Target_monthwise!$D$4:$O$20,DTR!I$4,FALSE))*1000,0)</f>
        <v>0</v>
      </c>
      <c r="J858" s="238">
        <f>IFERROR((HLOOKUP($AH858,Target_monthwise!$D$4:$O$20,DTR!J$4,FALSE))*1000,0)</f>
        <v>0</v>
      </c>
      <c r="K858" s="238">
        <f>IFERROR((HLOOKUP($AH858,Target_monthwise!$D$4:$O$20,DTR!K$4,FALSE))*1000,0)</f>
        <v>0</v>
      </c>
      <c r="L858" s="238">
        <f>IFERROR((HLOOKUP($AH858,Target_monthwise!$D$4:$O$20,DTR!L$4,FALSE))*1000,0)</f>
        <v>0</v>
      </c>
      <c r="M858" s="238">
        <f>IFERROR((HLOOKUP($AH858,Target_monthwise!$D$4:$O$20,DTR!M$4,FALSE))*1000,0)</f>
        <v>0</v>
      </c>
      <c r="N858" s="238">
        <f>IFERROR((HLOOKUP($AH858,Target_monthwise!$D$4:$O$20,DTR!N$4,FALSE))*1000,0)</f>
        <v>0</v>
      </c>
      <c r="O858" s="238">
        <f>IFERROR((HLOOKUP($AH858,Target_monthwise!$D$4:$O$20,DTR!O$4,FALSE))*1000,0)</f>
        <v>0</v>
      </c>
      <c r="P858" s="238">
        <f>IFERROR((HLOOKUP($AH858,Target_monthwise!$D$4:$O$20,DTR!P$4,FALSE))*1000,0)</f>
        <v>0</v>
      </c>
      <c r="Q858" s="141">
        <f>IFERROR((HLOOKUP($AH858,Target_monthwise!$D$4:$O$20,DTR!Q$4,FALSE))*1000,0)</f>
        <v>0</v>
      </c>
      <c r="R858" s="167">
        <f>IFERROR((HLOOKUP($AH858,Target_monthwise!$D$4:$O$20,DTR!R$4,FALSE))*1000,0)</f>
        <v>0</v>
      </c>
      <c r="S858" s="239">
        <f>IFERROR((HLOOKUP($AH858,Target_monthwise!$D$24:$O$40,DTR!S$4,FALSE)),0)</f>
        <v>0</v>
      </c>
      <c r="T858" s="239">
        <f>IFERROR((HLOOKUP($AH858,Target_monthwise!$D$24:$O$40,DTR!T$4,FALSE)),0)</f>
        <v>0</v>
      </c>
      <c r="U858" s="239">
        <f>IFERROR((HLOOKUP($AH858,Target_monthwise!$D$24:$O$40,DTR!U$4,FALSE)),0)</f>
        <v>0</v>
      </c>
      <c r="V858" s="239">
        <f>IFERROR((HLOOKUP($AH858,Target_monthwise!$D$24:$O$40,DTR!V$4,FALSE)),0)</f>
        <v>0</v>
      </c>
      <c r="W858" s="239">
        <f>IFERROR((HLOOKUP($AH858,Target_monthwise!$D$24:$O$40,DTR!W$4,FALSE)),0)</f>
        <v>0</v>
      </c>
      <c r="X858" s="239">
        <f>IFERROR((HLOOKUP($AH858,Target_monthwise!$D$24:$O$40,DTR!X$4,FALSE)),0)</f>
        <v>0</v>
      </c>
      <c r="Y858" s="239">
        <f>IFERROR((HLOOKUP($AH858,Target_monthwise!$D$24:$O$40,DTR!Y$4,FALSE)),0)</f>
        <v>0</v>
      </c>
      <c r="Z858" s="147">
        <f>IFERROR((HLOOKUP($AH858,Target_monthwise!$D$24:$O$40,DTR!Z$4,FALSE)),0)</f>
        <v>0</v>
      </c>
      <c r="AA858" s="147">
        <f>IFERROR((HLOOKUP($AH858,Target_monthwise!$D$24:$O$40,DTR!AA$4,FALSE)),0)</f>
        <v>0</v>
      </c>
      <c r="AB858" s="147">
        <f>IFERROR((HLOOKUP($AH858,Target_monthwise!$D$24:$O$40,DTR!AB$4,FALSE)),0)</f>
        <v>0</v>
      </c>
      <c r="AC858" s="239">
        <f>IFERROR((HLOOKUP($AH858,Target_monthwise!$D$24:$O$40,DTR!AC$4,FALSE)),0)</f>
        <v>0</v>
      </c>
      <c r="AD858" s="239">
        <f>IFERROR((HLOOKUP($AH858,Target_monthwise!$D$24:$O$40,DTR!AD$4,FALSE)),0)</f>
        <v>0</v>
      </c>
      <c r="AE858" s="239">
        <f>IFERROR((HLOOKUP($AH858,Target_monthwise!$D$24:$O$40,DTR!AE$4,FALSE)),0)</f>
        <v>0</v>
      </c>
      <c r="AF858" s="239">
        <f>IFERROR((HLOOKUP($AH858,Target_monthwise!$D$24:$O$40,DTR!AF$4,FALSE)),0)</f>
        <v>0</v>
      </c>
      <c r="AG858" s="172">
        <f>IFERROR((HLOOKUP($AH858,Target_monthwise!$D$24:$O$40,DTR!AG$4,FALSE)),0)</f>
        <v>0</v>
      </c>
      <c r="AH858" s="253">
        <f t="shared" si="15"/>
        <v>202407</v>
      </c>
    </row>
    <row r="859" spans="3:34" ht="15.75" hidden="1">
      <c r="C859" s="235">
        <v>45502</v>
      </c>
      <c r="D859" s="141">
        <f>IFERROR((HLOOKUP($AH859,Target_monthwise!$D$4:$O$20,DTR!D$4,FALSE))*1000,0)</f>
        <v>0</v>
      </c>
      <c r="E859" s="141">
        <f>IFERROR((HLOOKUP($AH859,Target_monthwise!$D$4:$O$20,DTR!E$4,FALSE))*1000,0)</f>
        <v>0</v>
      </c>
      <c r="F859" s="141">
        <f>IFERROR((HLOOKUP($AH859,Target_monthwise!$D$4:$O$20,DTR!F$4,FALSE))*1000,0)</f>
        <v>0</v>
      </c>
      <c r="G859" s="141">
        <f>IFERROR((HLOOKUP($AH859,Target_monthwise!$D$4:$O$20,DTR!G$4,FALSE))*1000,0)</f>
        <v>0</v>
      </c>
      <c r="H859" s="141">
        <f>IFERROR((HLOOKUP($AH859,Target_monthwise!$D$4:$O$20,DTR!H$4,FALSE))*1000,0)</f>
        <v>0</v>
      </c>
      <c r="I859" s="141">
        <f>IFERROR((HLOOKUP($AH859,Target_monthwise!$D$4:$O$20,DTR!I$4,FALSE))*1000,0)</f>
        <v>0</v>
      </c>
      <c r="J859" s="141">
        <f>IFERROR((HLOOKUP($AH859,Target_monthwise!$D$4:$O$20,DTR!J$4,FALSE))*1000,0)</f>
        <v>0</v>
      </c>
      <c r="K859" s="141">
        <f>IFERROR((HLOOKUP($AH859,Target_monthwise!$D$4:$O$20,DTR!K$4,FALSE))*1000,0)</f>
        <v>0</v>
      </c>
      <c r="L859" s="141">
        <f>IFERROR((HLOOKUP($AH859,Target_monthwise!$D$4:$O$20,DTR!L$4,FALSE))*1000,0)</f>
        <v>0</v>
      </c>
      <c r="M859" s="141">
        <f>IFERROR((HLOOKUP($AH859,Target_monthwise!$D$4:$O$20,DTR!M$4,FALSE))*1000,0)</f>
        <v>0</v>
      </c>
      <c r="N859" s="141">
        <f>IFERROR((HLOOKUP($AH859,Target_monthwise!$D$4:$O$20,DTR!N$4,FALSE))*1000,0)</f>
        <v>0</v>
      </c>
      <c r="O859" s="141">
        <f>IFERROR((HLOOKUP($AH859,Target_monthwise!$D$4:$O$20,DTR!O$4,FALSE))*1000,0)</f>
        <v>0</v>
      </c>
      <c r="P859" s="141">
        <f>IFERROR((HLOOKUP($AH859,Target_monthwise!$D$4:$O$20,DTR!P$4,FALSE))*1000,0)</f>
        <v>0</v>
      </c>
      <c r="Q859" s="141">
        <f>IFERROR((HLOOKUP($AH859,Target_monthwise!$D$4:$O$20,DTR!Q$4,FALSE))*1000,0)</f>
        <v>0</v>
      </c>
      <c r="R859" s="167">
        <f>IFERROR((HLOOKUP($AH859,Target_monthwise!$D$4:$O$20,DTR!R$4,FALSE))*1000,0)</f>
        <v>0</v>
      </c>
      <c r="S859" s="147">
        <f>IFERROR((HLOOKUP($AH859,Target_monthwise!$D$24:$O$40,DTR!S$4,FALSE)),0)</f>
        <v>0</v>
      </c>
      <c r="T859" s="147">
        <f>IFERROR((HLOOKUP($AH859,Target_monthwise!$D$24:$O$40,DTR!T$4,FALSE)),0)</f>
        <v>0</v>
      </c>
      <c r="U859" s="147">
        <f>IFERROR((HLOOKUP($AH859,Target_monthwise!$D$24:$O$40,DTR!U$4,FALSE)),0)</f>
        <v>0</v>
      </c>
      <c r="V859" s="147">
        <f>IFERROR((HLOOKUP($AH859,Target_monthwise!$D$24:$O$40,DTR!V$4,FALSE)),0)</f>
        <v>0</v>
      </c>
      <c r="W859" s="147">
        <f>IFERROR((HLOOKUP($AH859,Target_monthwise!$D$24:$O$40,DTR!W$4,FALSE)),0)</f>
        <v>0</v>
      </c>
      <c r="X859" s="147">
        <f>IFERROR((HLOOKUP($AH859,Target_monthwise!$D$24:$O$40,DTR!X$4,FALSE)),0)</f>
        <v>0</v>
      </c>
      <c r="Y859" s="147">
        <f>IFERROR((HLOOKUP($AH859,Target_monthwise!$D$24:$O$40,DTR!Y$4,FALSE)),0)</f>
        <v>0</v>
      </c>
      <c r="Z859" s="147">
        <f>IFERROR((HLOOKUP($AH859,Target_monthwise!$D$24:$O$40,DTR!Z$4,FALSE)),0)</f>
        <v>0</v>
      </c>
      <c r="AA859" s="147">
        <f>IFERROR((HLOOKUP($AH859,Target_monthwise!$D$24:$O$40,DTR!AA$4,FALSE)),0)</f>
        <v>0</v>
      </c>
      <c r="AB859" s="147">
        <f>IFERROR((HLOOKUP($AH859,Target_monthwise!$D$24:$O$40,DTR!AB$4,FALSE)),0)</f>
        <v>0</v>
      </c>
      <c r="AC859" s="147">
        <f>IFERROR((HLOOKUP($AH859,Target_monthwise!$D$24:$O$40,DTR!AC$4,FALSE)),0)</f>
        <v>0</v>
      </c>
      <c r="AD859" s="147">
        <f>IFERROR((HLOOKUP($AH859,Target_monthwise!$D$24:$O$40,DTR!AD$4,FALSE)),0)</f>
        <v>0</v>
      </c>
      <c r="AE859" s="147">
        <f>IFERROR((HLOOKUP($AH859,Target_monthwise!$D$24:$O$40,DTR!AE$4,FALSE)),0)</f>
        <v>0</v>
      </c>
      <c r="AF859" s="147">
        <f>IFERROR((HLOOKUP($AH859,Target_monthwise!$D$24:$O$40,DTR!AF$4,FALSE)),0)</f>
        <v>0</v>
      </c>
      <c r="AG859" s="172">
        <f>IFERROR((HLOOKUP($AH859,Target_monthwise!$D$24:$O$40,DTR!AG$4,FALSE)),0)</f>
        <v>0</v>
      </c>
      <c r="AH859" s="253">
        <f t="shared" si="15"/>
        <v>202407</v>
      </c>
    </row>
    <row r="860" spans="3:34" ht="15.75" hidden="1">
      <c r="C860" s="237">
        <v>45503</v>
      </c>
      <c r="D860" s="238">
        <f>IFERROR((HLOOKUP($AH860,Target_monthwise!$D$4:$O$20,DTR!D$4,FALSE))*1000,0)</f>
        <v>0</v>
      </c>
      <c r="E860" s="238">
        <f>IFERROR((HLOOKUP($AH860,Target_monthwise!$D$4:$O$20,DTR!E$4,FALSE))*1000,0)</f>
        <v>0</v>
      </c>
      <c r="F860" s="238">
        <f>IFERROR((HLOOKUP($AH860,Target_monthwise!$D$4:$O$20,DTR!F$4,FALSE))*1000,0)</f>
        <v>0</v>
      </c>
      <c r="G860" s="238">
        <f>IFERROR((HLOOKUP($AH860,Target_monthwise!$D$4:$O$20,DTR!G$4,FALSE))*1000,0)</f>
        <v>0</v>
      </c>
      <c r="H860" s="238">
        <f>IFERROR((HLOOKUP($AH860,Target_monthwise!$D$4:$O$20,DTR!H$4,FALSE))*1000,0)</f>
        <v>0</v>
      </c>
      <c r="I860" s="238">
        <f>IFERROR((HLOOKUP($AH860,Target_monthwise!$D$4:$O$20,DTR!I$4,FALSE))*1000,0)</f>
        <v>0</v>
      </c>
      <c r="J860" s="238">
        <f>IFERROR((HLOOKUP($AH860,Target_monthwise!$D$4:$O$20,DTR!J$4,FALSE))*1000,0)</f>
        <v>0</v>
      </c>
      <c r="K860" s="238">
        <f>IFERROR((HLOOKUP($AH860,Target_monthwise!$D$4:$O$20,DTR!K$4,FALSE))*1000,0)</f>
        <v>0</v>
      </c>
      <c r="L860" s="238">
        <f>IFERROR((HLOOKUP($AH860,Target_monthwise!$D$4:$O$20,DTR!L$4,FALSE))*1000,0)</f>
        <v>0</v>
      </c>
      <c r="M860" s="238">
        <f>IFERROR((HLOOKUP($AH860,Target_monthwise!$D$4:$O$20,DTR!M$4,FALSE))*1000,0)</f>
        <v>0</v>
      </c>
      <c r="N860" s="238">
        <f>IFERROR((HLOOKUP($AH860,Target_monthwise!$D$4:$O$20,DTR!N$4,FALSE))*1000,0)</f>
        <v>0</v>
      </c>
      <c r="O860" s="238">
        <f>IFERROR((HLOOKUP($AH860,Target_monthwise!$D$4:$O$20,DTR!O$4,FALSE))*1000,0)</f>
        <v>0</v>
      </c>
      <c r="P860" s="238">
        <f>IFERROR((HLOOKUP($AH860,Target_monthwise!$D$4:$O$20,DTR!P$4,FALSE))*1000,0)</f>
        <v>0</v>
      </c>
      <c r="Q860" s="141">
        <f>IFERROR((HLOOKUP($AH860,Target_monthwise!$D$4:$O$20,DTR!Q$4,FALSE))*1000,0)</f>
        <v>0</v>
      </c>
      <c r="R860" s="167">
        <f>IFERROR((HLOOKUP($AH860,Target_monthwise!$D$4:$O$20,DTR!R$4,FALSE))*1000,0)</f>
        <v>0</v>
      </c>
      <c r="S860" s="239">
        <f>IFERROR((HLOOKUP($AH860,Target_monthwise!$D$24:$O$40,DTR!S$4,FALSE)),0)</f>
        <v>0</v>
      </c>
      <c r="T860" s="239">
        <f>IFERROR((HLOOKUP($AH860,Target_monthwise!$D$24:$O$40,DTR!T$4,FALSE)),0)</f>
        <v>0</v>
      </c>
      <c r="U860" s="239">
        <f>IFERROR((HLOOKUP($AH860,Target_monthwise!$D$24:$O$40,DTR!U$4,FALSE)),0)</f>
        <v>0</v>
      </c>
      <c r="V860" s="239">
        <f>IFERROR((HLOOKUP($AH860,Target_monthwise!$D$24:$O$40,DTR!V$4,FALSE)),0)</f>
        <v>0</v>
      </c>
      <c r="W860" s="239">
        <f>IFERROR((HLOOKUP($AH860,Target_monthwise!$D$24:$O$40,DTR!W$4,FALSE)),0)</f>
        <v>0</v>
      </c>
      <c r="X860" s="239">
        <f>IFERROR((HLOOKUP($AH860,Target_monthwise!$D$24:$O$40,DTR!X$4,FALSE)),0)</f>
        <v>0</v>
      </c>
      <c r="Y860" s="239">
        <f>IFERROR((HLOOKUP($AH860,Target_monthwise!$D$24:$O$40,DTR!Y$4,FALSE)),0)</f>
        <v>0</v>
      </c>
      <c r="Z860" s="147">
        <f>IFERROR((HLOOKUP($AH860,Target_monthwise!$D$24:$O$40,DTR!Z$4,FALSE)),0)</f>
        <v>0</v>
      </c>
      <c r="AA860" s="147">
        <f>IFERROR((HLOOKUP($AH860,Target_monthwise!$D$24:$O$40,DTR!AA$4,FALSE)),0)</f>
        <v>0</v>
      </c>
      <c r="AB860" s="147">
        <f>IFERROR((HLOOKUP($AH860,Target_monthwise!$D$24:$O$40,DTR!AB$4,FALSE)),0)</f>
        <v>0</v>
      </c>
      <c r="AC860" s="239">
        <f>IFERROR((HLOOKUP($AH860,Target_monthwise!$D$24:$O$40,DTR!AC$4,FALSE)),0)</f>
        <v>0</v>
      </c>
      <c r="AD860" s="239">
        <f>IFERROR((HLOOKUP($AH860,Target_monthwise!$D$24:$O$40,DTR!AD$4,FALSE)),0)</f>
        <v>0</v>
      </c>
      <c r="AE860" s="239">
        <f>IFERROR((HLOOKUP($AH860,Target_monthwise!$D$24:$O$40,DTR!AE$4,FALSE)),0)</f>
        <v>0</v>
      </c>
      <c r="AF860" s="239">
        <f>IFERROR((HLOOKUP($AH860,Target_monthwise!$D$24:$O$40,DTR!AF$4,FALSE)),0)</f>
        <v>0</v>
      </c>
      <c r="AG860" s="172">
        <f>IFERROR((HLOOKUP($AH860,Target_monthwise!$D$24:$O$40,DTR!AG$4,FALSE)),0)</f>
        <v>0</v>
      </c>
      <c r="AH860" s="253">
        <f t="shared" si="15"/>
        <v>202407</v>
      </c>
    </row>
    <row r="861" spans="3:34" ht="15.75" hidden="1">
      <c r="C861" s="235">
        <v>45504</v>
      </c>
      <c r="D861" s="141">
        <f>IFERROR((HLOOKUP($AH861,Target_monthwise!$D$4:$O$20,DTR!D$4,FALSE))*1000,0)</f>
        <v>0</v>
      </c>
      <c r="E861" s="141">
        <f>IFERROR((HLOOKUP($AH861,Target_monthwise!$D$4:$O$20,DTR!E$4,FALSE))*1000,0)</f>
        <v>0</v>
      </c>
      <c r="F861" s="141">
        <f>IFERROR((HLOOKUP($AH861,Target_monthwise!$D$4:$O$20,DTR!F$4,FALSE))*1000,0)</f>
        <v>0</v>
      </c>
      <c r="G861" s="141">
        <f>IFERROR((HLOOKUP($AH861,Target_monthwise!$D$4:$O$20,DTR!G$4,FALSE))*1000,0)</f>
        <v>0</v>
      </c>
      <c r="H861" s="141">
        <f>IFERROR((HLOOKUP($AH861,Target_monthwise!$D$4:$O$20,DTR!H$4,FALSE))*1000,0)</f>
        <v>0</v>
      </c>
      <c r="I861" s="141">
        <f>IFERROR((HLOOKUP($AH861,Target_monthwise!$D$4:$O$20,DTR!I$4,FALSE))*1000,0)</f>
        <v>0</v>
      </c>
      <c r="J861" s="141">
        <f>IFERROR((HLOOKUP($AH861,Target_monthwise!$D$4:$O$20,DTR!J$4,FALSE))*1000,0)</f>
        <v>0</v>
      </c>
      <c r="K861" s="141">
        <f>IFERROR((HLOOKUP($AH861,Target_monthwise!$D$4:$O$20,DTR!K$4,FALSE))*1000,0)</f>
        <v>0</v>
      </c>
      <c r="L861" s="141">
        <f>IFERROR((HLOOKUP($AH861,Target_monthwise!$D$4:$O$20,DTR!L$4,FALSE))*1000,0)</f>
        <v>0</v>
      </c>
      <c r="M861" s="141">
        <f>IFERROR((HLOOKUP($AH861,Target_monthwise!$D$4:$O$20,DTR!M$4,FALSE))*1000,0)</f>
        <v>0</v>
      </c>
      <c r="N861" s="141">
        <f>IFERROR((HLOOKUP($AH861,Target_monthwise!$D$4:$O$20,DTR!N$4,FALSE))*1000,0)</f>
        <v>0</v>
      </c>
      <c r="O861" s="141">
        <f>IFERROR((HLOOKUP($AH861,Target_monthwise!$D$4:$O$20,DTR!O$4,FALSE))*1000,0)</f>
        <v>0</v>
      </c>
      <c r="P861" s="141">
        <f>IFERROR((HLOOKUP($AH861,Target_monthwise!$D$4:$O$20,DTR!P$4,FALSE))*1000,0)</f>
        <v>0</v>
      </c>
      <c r="Q861" s="141">
        <f>IFERROR((HLOOKUP($AH861,Target_monthwise!$D$4:$O$20,DTR!Q$4,FALSE))*1000,0)</f>
        <v>0</v>
      </c>
      <c r="R861" s="167">
        <f>IFERROR((HLOOKUP($AH861,Target_monthwise!$D$4:$O$20,DTR!R$4,FALSE))*1000,0)</f>
        <v>0</v>
      </c>
      <c r="S861" s="147">
        <f>IFERROR((HLOOKUP($AH861,Target_monthwise!$D$24:$O$40,DTR!S$4,FALSE)),0)</f>
        <v>0</v>
      </c>
      <c r="T861" s="147">
        <f>IFERROR((HLOOKUP($AH861,Target_monthwise!$D$24:$O$40,DTR!T$4,FALSE)),0)</f>
        <v>0</v>
      </c>
      <c r="U861" s="147">
        <f>IFERROR((HLOOKUP($AH861,Target_monthwise!$D$24:$O$40,DTR!U$4,FALSE)),0)</f>
        <v>0</v>
      </c>
      <c r="V861" s="147">
        <f>IFERROR((HLOOKUP($AH861,Target_monthwise!$D$24:$O$40,DTR!V$4,FALSE)),0)</f>
        <v>0</v>
      </c>
      <c r="W861" s="147">
        <f>IFERROR((HLOOKUP($AH861,Target_monthwise!$D$24:$O$40,DTR!W$4,FALSE)),0)</f>
        <v>0</v>
      </c>
      <c r="X861" s="147">
        <f>IFERROR((HLOOKUP($AH861,Target_monthwise!$D$24:$O$40,DTR!X$4,FALSE)),0)</f>
        <v>0</v>
      </c>
      <c r="Y861" s="147">
        <f>IFERROR((HLOOKUP($AH861,Target_monthwise!$D$24:$O$40,DTR!Y$4,FALSE)),0)</f>
        <v>0</v>
      </c>
      <c r="Z861" s="147">
        <f>IFERROR((HLOOKUP($AH861,Target_monthwise!$D$24:$O$40,DTR!Z$4,FALSE)),0)</f>
        <v>0</v>
      </c>
      <c r="AA861" s="147">
        <f>IFERROR((HLOOKUP($AH861,Target_monthwise!$D$24:$O$40,DTR!AA$4,FALSE)),0)</f>
        <v>0</v>
      </c>
      <c r="AB861" s="147">
        <f>IFERROR((HLOOKUP($AH861,Target_monthwise!$D$24:$O$40,DTR!AB$4,FALSE)),0)</f>
        <v>0</v>
      </c>
      <c r="AC861" s="147">
        <f>IFERROR((HLOOKUP($AH861,Target_monthwise!$D$24:$O$40,DTR!AC$4,FALSE)),0)</f>
        <v>0</v>
      </c>
      <c r="AD861" s="147">
        <f>IFERROR((HLOOKUP($AH861,Target_monthwise!$D$24:$O$40,DTR!AD$4,FALSE)),0)</f>
        <v>0</v>
      </c>
      <c r="AE861" s="147">
        <f>IFERROR((HLOOKUP($AH861,Target_monthwise!$D$24:$O$40,DTR!AE$4,FALSE)),0)</f>
        <v>0</v>
      </c>
      <c r="AF861" s="147">
        <f>IFERROR((HLOOKUP($AH861,Target_monthwise!$D$24:$O$40,DTR!AF$4,FALSE)),0)</f>
        <v>0</v>
      </c>
      <c r="AG861" s="172">
        <f>IFERROR((HLOOKUP($AH861,Target_monthwise!$D$24:$O$40,DTR!AG$4,FALSE)),0)</f>
        <v>0</v>
      </c>
      <c r="AH861" s="253">
        <f t="shared" si="15"/>
        <v>202407</v>
      </c>
    </row>
    <row r="862" spans="3:34" ht="15.75" hidden="1">
      <c r="C862" s="237">
        <v>45505</v>
      </c>
      <c r="D862" s="238">
        <f>IFERROR((HLOOKUP($AH862,Target_monthwise!$D$4:$O$20,DTR!D$4,FALSE))*1000,0)</f>
        <v>0</v>
      </c>
      <c r="E862" s="238">
        <f>IFERROR((HLOOKUP($AH862,Target_monthwise!$D$4:$O$20,DTR!E$4,FALSE))*1000,0)</f>
        <v>0</v>
      </c>
      <c r="F862" s="238">
        <f>IFERROR((HLOOKUP($AH862,Target_monthwise!$D$4:$O$20,DTR!F$4,FALSE))*1000,0)</f>
        <v>0</v>
      </c>
      <c r="G862" s="238">
        <f>IFERROR((HLOOKUP($AH862,Target_monthwise!$D$4:$O$20,DTR!G$4,FALSE))*1000,0)</f>
        <v>0</v>
      </c>
      <c r="H862" s="238">
        <f>IFERROR((HLOOKUP($AH862,Target_monthwise!$D$4:$O$20,DTR!H$4,FALSE))*1000,0)</f>
        <v>0</v>
      </c>
      <c r="I862" s="238">
        <f>IFERROR((HLOOKUP($AH862,Target_monthwise!$D$4:$O$20,DTR!I$4,FALSE))*1000,0)</f>
        <v>0</v>
      </c>
      <c r="J862" s="238">
        <f>IFERROR((HLOOKUP($AH862,Target_monthwise!$D$4:$O$20,DTR!J$4,FALSE))*1000,0)</f>
        <v>0</v>
      </c>
      <c r="K862" s="238">
        <f>IFERROR((HLOOKUP($AH862,Target_monthwise!$D$4:$O$20,DTR!K$4,FALSE))*1000,0)</f>
        <v>0</v>
      </c>
      <c r="L862" s="238">
        <f>IFERROR((HLOOKUP($AH862,Target_monthwise!$D$4:$O$20,DTR!L$4,FALSE))*1000,0)</f>
        <v>0</v>
      </c>
      <c r="M862" s="238">
        <f>IFERROR((HLOOKUP($AH862,Target_monthwise!$D$4:$O$20,DTR!M$4,FALSE))*1000,0)</f>
        <v>0</v>
      </c>
      <c r="N862" s="238">
        <f>IFERROR((HLOOKUP($AH862,Target_monthwise!$D$4:$O$20,DTR!N$4,FALSE))*1000,0)</f>
        <v>0</v>
      </c>
      <c r="O862" s="238">
        <f>IFERROR((HLOOKUP($AH862,Target_monthwise!$D$4:$O$20,DTR!O$4,FALSE))*1000,0)</f>
        <v>0</v>
      </c>
      <c r="P862" s="238">
        <f>IFERROR((HLOOKUP($AH862,Target_monthwise!$D$4:$O$20,DTR!P$4,FALSE))*1000,0)</f>
        <v>0</v>
      </c>
      <c r="Q862" s="141">
        <f>IFERROR((HLOOKUP($AH862,Target_monthwise!$D$4:$O$20,DTR!Q$4,FALSE))*1000,0)</f>
        <v>0</v>
      </c>
      <c r="R862" s="167">
        <f>IFERROR((HLOOKUP($AH862,Target_monthwise!$D$4:$O$20,DTR!R$4,FALSE))*1000,0)</f>
        <v>0</v>
      </c>
      <c r="S862" s="239">
        <f>IFERROR((HLOOKUP($AH862,Target_monthwise!$D$24:$O$40,DTR!S$4,FALSE)),0)</f>
        <v>0</v>
      </c>
      <c r="T862" s="239">
        <f>IFERROR((HLOOKUP($AH862,Target_monthwise!$D$24:$O$40,DTR!T$4,FALSE)),0)</f>
        <v>0</v>
      </c>
      <c r="U862" s="239">
        <f>IFERROR((HLOOKUP($AH862,Target_monthwise!$D$24:$O$40,DTR!U$4,FALSE)),0)</f>
        <v>0</v>
      </c>
      <c r="V862" s="239">
        <f>IFERROR((HLOOKUP($AH862,Target_monthwise!$D$24:$O$40,DTR!V$4,FALSE)),0)</f>
        <v>0</v>
      </c>
      <c r="W862" s="239">
        <f>IFERROR((HLOOKUP($AH862,Target_monthwise!$D$24:$O$40,DTR!W$4,FALSE)),0)</f>
        <v>0</v>
      </c>
      <c r="X862" s="239">
        <f>IFERROR((HLOOKUP($AH862,Target_monthwise!$D$24:$O$40,DTR!X$4,FALSE)),0)</f>
        <v>0</v>
      </c>
      <c r="Y862" s="239">
        <f>IFERROR((HLOOKUP($AH862,Target_monthwise!$D$24:$O$40,DTR!Y$4,FALSE)),0)</f>
        <v>0</v>
      </c>
      <c r="Z862" s="147">
        <f>IFERROR((HLOOKUP($AH862,Target_monthwise!$D$24:$O$40,DTR!Z$4,FALSE)),0)</f>
        <v>0</v>
      </c>
      <c r="AA862" s="147">
        <f>IFERROR((HLOOKUP($AH862,Target_monthwise!$D$24:$O$40,DTR!AA$4,FALSE)),0)</f>
        <v>0</v>
      </c>
      <c r="AB862" s="147">
        <f>IFERROR((HLOOKUP($AH862,Target_monthwise!$D$24:$O$40,DTR!AB$4,FALSE)),0)</f>
        <v>0</v>
      </c>
      <c r="AC862" s="239">
        <f>IFERROR((HLOOKUP($AH862,Target_monthwise!$D$24:$O$40,DTR!AC$4,FALSE)),0)</f>
        <v>0</v>
      </c>
      <c r="AD862" s="239">
        <f>IFERROR((HLOOKUP($AH862,Target_monthwise!$D$24:$O$40,DTR!AD$4,FALSE)),0)</f>
        <v>0</v>
      </c>
      <c r="AE862" s="239">
        <f>IFERROR((HLOOKUP($AH862,Target_monthwise!$D$24:$O$40,DTR!AE$4,FALSE)),0)</f>
        <v>0</v>
      </c>
      <c r="AF862" s="239">
        <f>IFERROR((HLOOKUP($AH862,Target_monthwise!$D$24:$O$40,DTR!AF$4,FALSE)),0)</f>
        <v>0</v>
      </c>
      <c r="AG862" s="172">
        <f>IFERROR((HLOOKUP($AH862,Target_monthwise!$D$24:$O$40,DTR!AG$4,FALSE)),0)</f>
        <v>0</v>
      </c>
      <c r="AH862" s="253">
        <f t="shared" si="15"/>
        <v>202408</v>
      </c>
    </row>
    <row r="863" spans="3:34" ht="15.75" hidden="1">
      <c r="C863" s="235">
        <v>45506</v>
      </c>
      <c r="D863" s="141">
        <f>IFERROR((HLOOKUP($AH863,Target_monthwise!$D$4:$O$20,DTR!D$4,FALSE))*1000,0)</f>
        <v>0</v>
      </c>
      <c r="E863" s="141">
        <f>IFERROR((HLOOKUP($AH863,Target_monthwise!$D$4:$O$20,DTR!E$4,FALSE))*1000,0)</f>
        <v>0</v>
      </c>
      <c r="F863" s="141">
        <f>IFERROR((HLOOKUP($AH863,Target_monthwise!$D$4:$O$20,DTR!F$4,FALSE))*1000,0)</f>
        <v>0</v>
      </c>
      <c r="G863" s="141">
        <f>IFERROR((HLOOKUP($AH863,Target_monthwise!$D$4:$O$20,DTR!G$4,FALSE))*1000,0)</f>
        <v>0</v>
      </c>
      <c r="H863" s="141">
        <f>IFERROR((HLOOKUP($AH863,Target_monthwise!$D$4:$O$20,DTR!H$4,FALSE))*1000,0)</f>
        <v>0</v>
      </c>
      <c r="I863" s="141">
        <f>IFERROR((HLOOKUP($AH863,Target_monthwise!$D$4:$O$20,DTR!I$4,FALSE))*1000,0)</f>
        <v>0</v>
      </c>
      <c r="J863" s="141">
        <f>IFERROR((HLOOKUP($AH863,Target_monthwise!$D$4:$O$20,DTR!J$4,FALSE))*1000,0)</f>
        <v>0</v>
      </c>
      <c r="K863" s="141">
        <f>IFERROR((HLOOKUP($AH863,Target_monthwise!$D$4:$O$20,DTR!K$4,FALSE))*1000,0)</f>
        <v>0</v>
      </c>
      <c r="L863" s="141">
        <f>IFERROR((HLOOKUP($AH863,Target_monthwise!$D$4:$O$20,DTR!L$4,FALSE))*1000,0)</f>
        <v>0</v>
      </c>
      <c r="M863" s="141">
        <f>IFERROR((HLOOKUP($AH863,Target_monthwise!$D$4:$O$20,DTR!M$4,FALSE))*1000,0)</f>
        <v>0</v>
      </c>
      <c r="N863" s="141">
        <f>IFERROR((HLOOKUP($AH863,Target_monthwise!$D$4:$O$20,DTR!N$4,FALSE))*1000,0)</f>
        <v>0</v>
      </c>
      <c r="O863" s="141">
        <f>IFERROR((HLOOKUP($AH863,Target_monthwise!$D$4:$O$20,DTR!O$4,FALSE))*1000,0)</f>
        <v>0</v>
      </c>
      <c r="P863" s="141">
        <f>IFERROR((HLOOKUP($AH863,Target_monthwise!$D$4:$O$20,DTR!P$4,FALSE))*1000,0)</f>
        <v>0</v>
      </c>
      <c r="Q863" s="141">
        <f>IFERROR((HLOOKUP($AH863,Target_monthwise!$D$4:$O$20,DTR!Q$4,FALSE))*1000,0)</f>
        <v>0</v>
      </c>
      <c r="R863" s="167">
        <f>IFERROR((HLOOKUP($AH863,Target_monthwise!$D$4:$O$20,DTR!R$4,FALSE))*1000,0)</f>
        <v>0</v>
      </c>
      <c r="S863" s="147">
        <f>IFERROR((HLOOKUP($AH863,Target_monthwise!$D$24:$O$40,DTR!S$4,FALSE)),0)</f>
        <v>0</v>
      </c>
      <c r="T863" s="147">
        <f>IFERROR((HLOOKUP($AH863,Target_monthwise!$D$24:$O$40,DTR!T$4,FALSE)),0)</f>
        <v>0</v>
      </c>
      <c r="U863" s="147">
        <f>IFERROR((HLOOKUP($AH863,Target_monthwise!$D$24:$O$40,DTR!U$4,FALSE)),0)</f>
        <v>0</v>
      </c>
      <c r="V863" s="147">
        <f>IFERROR((HLOOKUP($AH863,Target_monthwise!$D$24:$O$40,DTR!V$4,FALSE)),0)</f>
        <v>0</v>
      </c>
      <c r="W863" s="147">
        <f>IFERROR((HLOOKUP($AH863,Target_monthwise!$D$24:$O$40,DTR!W$4,FALSE)),0)</f>
        <v>0</v>
      </c>
      <c r="X863" s="147">
        <f>IFERROR((HLOOKUP($AH863,Target_monthwise!$D$24:$O$40,DTR!X$4,FALSE)),0)</f>
        <v>0</v>
      </c>
      <c r="Y863" s="147">
        <f>IFERROR((HLOOKUP($AH863,Target_monthwise!$D$24:$O$40,DTR!Y$4,FALSE)),0)</f>
        <v>0</v>
      </c>
      <c r="Z863" s="147">
        <f>IFERROR((HLOOKUP($AH863,Target_monthwise!$D$24:$O$40,DTR!Z$4,FALSE)),0)</f>
        <v>0</v>
      </c>
      <c r="AA863" s="147">
        <f>IFERROR((HLOOKUP($AH863,Target_monthwise!$D$24:$O$40,DTR!AA$4,FALSE)),0)</f>
        <v>0</v>
      </c>
      <c r="AB863" s="147">
        <f>IFERROR((HLOOKUP($AH863,Target_monthwise!$D$24:$O$40,DTR!AB$4,FALSE)),0)</f>
        <v>0</v>
      </c>
      <c r="AC863" s="147">
        <f>IFERROR((HLOOKUP($AH863,Target_monthwise!$D$24:$O$40,DTR!AC$4,FALSE)),0)</f>
        <v>0</v>
      </c>
      <c r="AD863" s="147">
        <f>IFERROR((HLOOKUP($AH863,Target_monthwise!$D$24:$O$40,DTR!AD$4,FALSE)),0)</f>
        <v>0</v>
      </c>
      <c r="AE863" s="147">
        <f>IFERROR((HLOOKUP($AH863,Target_monthwise!$D$24:$O$40,DTR!AE$4,FALSE)),0)</f>
        <v>0</v>
      </c>
      <c r="AF863" s="147">
        <f>IFERROR((HLOOKUP($AH863,Target_monthwise!$D$24:$O$40,DTR!AF$4,FALSE)),0)</f>
        <v>0</v>
      </c>
      <c r="AG863" s="172">
        <f>IFERROR((HLOOKUP($AH863,Target_monthwise!$D$24:$O$40,DTR!AG$4,FALSE)),0)</f>
        <v>0</v>
      </c>
      <c r="AH863" s="253">
        <f t="shared" si="15"/>
        <v>202408</v>
      </c>
    </row>
    <row r="864" spans="3:34" ht="15.75" hidden="1">
      <c r="C864" s="237">
        <v>45507</v>
      </c>
      <c r="D864" s="238">
        <f>IFERROR((HLOOKUP($AH864,Target_monthwise!$D$4:$O$20,DTR!D$4,FALSE))*1000,0)</f>
        <v>0</v>
      </c>
      <c r="E864" s="238">
        <f>IFERROR((HLOOKUP($AH864,Target_monthwise!$D$4:$O$20,DTR!E$4,FALSE))*1000,0)</f>
        <v>0</v>
      </c>
      <c r="F864" s="238">
        <f>IFERROR((HLOOKUP($AH864,Target_monthwise!$D$4:$O$20,DTR!F$4,FALSE))*1000,0)</f>
        <v>0</v>
      </c>
      <c r="G864" s="238">
        <f>IFERROR((HLOOKUP($AH864,Target_monthwise!$D$4:$O$20,DTR!G$4,FALSE))*1000,0)</f>
        <v>0</v>
      </c>
      <c r="H864" s="238">
        <f>IFERROR((HLOOKUP($AH864,Target_monthwise!$D$4:$O$20,DTR!H$4,FALSE))*1000,0)</f>
        <v>0</v>
      </c>
      <c r="I864" s="238">
        <f>IFERROR((HLOOKUP($AH864,Target_monthwise!$D$4:$O$20,DTR!I$4,FALSE))*1000,0)</f>
        <v>0</v>
      </c>
      <c r="J864" s="238">
        <f>IFERROR((HLOOKUP($AH864,Target_monthwise!$D$4:$O$20,DTR!J$4,FALSE))*1000,0)</f>
        <v>0</v>
      </c>
      <c r="K864" s="238">
        <f>IFERROR((HLOOKUP($AH864,Target_monthwise!$D$4:$O$20,DTR!K$4,FALSE))*1000,0)</f>
        <v>0</v>
      </c>
      <c r="L864" s="238">
        <f>IFERROR((HLOOKUP($AH864,Target_monthwise!$D$4:$O$20,DTR!L$4,FALSE))*1000,0)</f>
        <v>0</v>
      </c>
      <c r="M864" s="238">
        <f>IFERROR((HLOOKUP($AH864,Target_monthwise!$D$4:$O$20,DTR!M$4,FALSE))*1000,0)</f>
        <v>0</v>
      </c>
      <c r="N864" s="238">
        <f>IFERROR((HLOOKUP($AH864,Target_monthwise!$D$4:$O$20,DTR!N$4,FALSE))*1000,0)</f>
        <v>0</v>
      </c>
      <c r="O864" s="238">
        <f>IFERROR((HLOOKUP($AH864,Target_monthwise!$D$4:$O$20,DTR!O$4,FALSE))*1000,0)</f>
        <v>0</v>
      </c>
      <c r="P864" s="238">
        <f>IFERROR((HLOOKUP($AH864,Target_monthwise!$D$4:$O$20,DTR!P$4,FALSE))*1000,0)</f>
        <v>0</v>
      </c>
      <c r="Q864" s="141">
        <f>IFERROR((HLOOKUP($AH864,Target_monthwise!$D$4:$O$20,DTR!Q$4,FALSE))*1000,0)</f>
        <v>0</v>
      </c>
      <c r="R864" s="167">
        <f>IFERROR((HLOOKUP($AH864,Target_monthwise!$D$4:$O$20,DTR!R$4,FALSE))*1000,0)</f>
        <v>0</v>
      </c>
      <c r="S864" s="239">
        <f>IFERROR((HLOOKUP($AH864,Target_monthwise!$D$24:$O$40,DTR!S$4,FALSE)),0)</f>
        <v>0</v>
      </c>
      <c r="T864" s="239">
        <f>IFERROR((HLOOKUP($AH864,Target_monthwise!$D$24:$O$40,DTR!T$4,FALSE)),0)</f>
        <v>0</v>
      </c>
      <c r="U864" s="239">
        <f>IFERROR((HLOOKUP($AH864,Target_monthwise!$D$24:$O$40,DTR!U$4,FALSE)),0)</f>
        <v>0</v>
      </c>
      <c r="V864" s="239">
        <f>IFERROR((HLOOKUP($AH864,Target_monthwise!$D$24:$O$40,DTR!V$4,FALSE)),0)</f>
        <v>0</v>
      </c>
      <c r="W864" s="239">
        <f>IFERROR((HLOOKUP($AH864,Target_monthwise!$D$24:$O$40,DTR!W$4,FALSE)),0)</f>
        <v>0</v>
      </c>
      <c r="X864" s="239">
        <f>IFERROR((HLOOKUP($AH864,Target_monthwise!$D$24:$O$40,DTR!X$4,FALSE)),0)</f>
        <v>0</v>
      </c>
      <c r="Y864" s="239">
        <f>IFERROR((HLOOKUP($AH864,Target_monthwise!$D$24:$O$40,DTR!Y$4,FALSE)),0)</f>
        <v>0</v>
      </c>
      <c r="Z864" s="147">
        <f>IFERROR((HLOOKUP($AH864,Target_monthwise!$D$24:$O$40,DTR!Z$4,FALSE)),0)</f>
        <v>0</v>
      </c>
      <c r="AA864" s="147">
        <f>IFERROR((HLOOKUP($AH864,Target_monthwise!$D$24:$O$40,DTR!AA$4,FALSE)),0)</f>
        <v>0</v>
      </c>
      <c r="AB864" s="147">
        <f>IFERROR((HLOOKUP($AH864,Target_monthwise!$D$24:$O$40,DTR!AB$4,FALSE)),0)</f>
        <v>0</v>
      </c>
      <c r="AC864" s="239">
        <f>IFERROR((HLOOKUP($AH864,Target_monthwise!$D$24:$O$40,DTR!AC$4,FALSE)),0)</f>
        <v>0</v>
      </c>
      <c r="AD864" s="239">
        <f>IFERROR((HLOOKUP($AH864,Target_monthwise!$D$24:$O$40,DTR!AD$4,FALSE)),0)</f>
        <v>0</v>
      </c>
      <c r="AE864" s="239">
        <f>IFERROR((HLOOKUP($AH864,Target_monthwise!$D$24:$O$40,DTR!AE$4,FALSE)),0)</f>
        <v>0</v>
      </c>
      <c r="AF864" s="239">
        <f>IFERROR((HLOOKUP($AH864,Target_monthwise!$D$24:$O$40,DTR!AF$4,FALSE)),0)</f>
        <v>0</v>
      </c>
      <c r="AG864" s="172">
        <f>IFERROR((HLOOKUP($AH864,Target_monthwise!$D$24:$O$40,DTR!AG$4,FALSE)),0)</f>
        <v>0</v>
      </c>
      <c r="AH864" s="253">
        <f t="shared" si="15"/>
        <v>202408</v>
      </c>
    </row>
    <row r="865" spans="3:34" ht="15.75" hidden="1">
      <c r="C865" s="235">
        <v>45508</v>
      </c>
      <c r="D865" s="141">
        <f>IFERROR((HLOOKUP($AH865,Target_monthwise!$D$4:$O$20,DTR!D$4,FALSE))*1000,0)</f>
        <v>0</v>
      </c>
      <c r="E865" s="141">
        <f>IFERROR((HLOOKUP($AH865,Target_monthwise!$D$4:$O$20,DTR!E$4,FALSE))*1000,0)</f>
        <v>0</v>
      </c>
      <c r="F865" s="141">
        <f>IFERROR((HLOOKUP($AH865,Target_monthwise!$D$4:$O$20,DTR!F$4,FALSE))*1000,0)</f>
        <v>0</v>
      </c>
      <c r="G865" s="141">
        <f>IFERROR((HLOOKUP($AH865,Target_monthwise!$D$4:$O$20,DTR!G$4,FALSE))*1000,0)</f>
        <v>0</v>
      </c>
      <c r="H865" s="141">
        <f>IFERROR((HLOOKUP($AH865,Target_monthwise!$D$4:$O$20,DTR!H$4,FALSE))*1000,0)</f>
        <v>0</v>
      </c>
      <c r="I865" s="141">
        <f>IFERROR((HLOOKUP($AH865,Target_monthwise!$D$4:$O$20,DTR!I$4,FALSE))*1000,0)</f>
        <v>0</v>
      </c>
      <c r="J865" s="141">
        <f>IFERROR((HLOOKUP($AH865,Target_monthwise!$D$4:$O$20,DTR!J$4,FALSE))*1000,0)</f>
        <v>0</v>
      </c>
      <c r="K865" s="141">
        <f>IFERROR((HLOOKUP($AH865,Target_monthwise!$D$4:$O$20,DTR!K$4,FALSE))*1000,0)</f>
        <v>0</v>
      </c>
      <c r="L865" s="141">
        <f>IFERROR((HLOOKUP($AH865,Target_monthwise!$D$4:$O$20,DTR!L$4,FALSE))*1000,0)</f>
        <v>0</v>
      </c>
      <c r="M865" s="141">
        <f>IFERROR((HLOOKUP($AH865,Target_monthwise!$D$4:$O$20,DTR!M$4,FALSE))*1000,0)</f>
        <v>0</v>
      </c>
      <c r="N865" s="141">
        <f>IFERROR((HLOOKUP($AH865,Target_monthwise!$D$4:$O$20,DTR!N$4,FALSE))*1000,0)</f>
        <v>0</v>
      </c>
      <c r="O865" s="141">
        <f>IFERROR((HLOOKUP($AH865,Target_monthwise!$D$4:$O$20,DTR!O$4,FALSE))*1000,0)</f>
        <v>0</v>
      </c>
      <c r="P865" s="141">
        <f>IFERROR((HLOOKUP($AH865,Target_monthwise!$D$4:$O$20,DTR!P$4,FALSE))*1000,0)</f>
        <v>0</v>
      </c>
      <c r="Q865" s="141">
        <f>IFERROR((HLOOKUP($AH865,Target_monthwise!$D$4:$O$20,DTR!Q$4,FALSE))*1000,0)</f>
        <v>0</v>
      </c>
      <c r="R865" s="167">
        <f>IFERROR((HLOOKUP($AH865,Target_monthwise!$D$4:$O$20,DTR!R$4,FALSE))*1000,0)</f>
        <v>0</v>
      </c>
      <c r="S865" s="147">
        <f>IFERROR((HLOOKUP($AH865,Target_monthwise!$D$24:$O$40,DTR!S$4,FALSE)),0)</f>
        <v>0</v>
      </c>
      <c r="T865" s="147">
        <f>IFERROR((HLOOKUP($AH865,Target_monthwise!$D$24:$O$40,DTR!T$4,FALSE)),0)</f>
        <v>0</v>
      </c>
      <c r="U865" s="147">
        <f>IFERROR((HLOOKUP($AH865,Target_monthwise!$D$24:$O$40,DTR!U$4,FALSE)),0)</f>
        <v>0</v>
      </c>
      <c r="V865" s="147">
        <f>IFERROR((HLOOKUP($AH865,Target_monthwise!$D$24:$O$40,DTR!V$4,FALSE)),0)</f>
        <v>0</v>
      </c>
      <c r="W865" s="147">
        <f>IFERROR((HLOOKUP($AH865,Target_monthwise!$D$24:$O$40,DTR!W$4,FALSE)),0)</f>
        <v>0</v>
      </c>
      <c r="X865" s="147">
        <f>IFERROR((HLOOKUP($AH865,Target_monthwise!$D$24:$O$40,DTR!X$4,FALSE)),0)</f>
        <v>0</v>
      </c>
      <c r="Y865" s="147">
        <f>IFERROR((HLOOKUP($AH865,Target_monthwise!$D$24:$O$40,DTR!Y$4,FALSE)),0)</f>
        <v>0</v>
      </c>
      <c r="Z865" s="147">
        <f>IFERROR((HLOOKUP($AH865,Target_monthwise!$D$24:$O$40,DTR!Z$4,FALSE)),0)</f>
        <v>0</v>
      </c>
      <c r="AA865" s="147">
        <f>IFERROR((HLOOKUP($AH865,Target_monthwise!$D$24:$O$40,DTR!AA$4,FALSE)),0)</f>
        <v>0</v>
      </c>
      <c r="AB865" s="147">
        <f>IFERROR((HLOOKUP($AH865,Target_monthwise!$D$24:$O$40,DTR!AB$4,FALSE)),0)</f>
        <v>0</v>
      </c>
      <c r="AC865" s="147">
        <f>IFERROR((HLOOKUP($AH865,Target_monthwise!$D$24:$O$40,DTR!AC$4,FALSE)),0)</f>
        <v>0</v>
      </c>
      <c r="AD865" s="147">
        <f>IFERROR((HLOOKUP($AH865,Target_monthwise!$D$24:$O$40,DTR!AD$4,FALSE)),0)</f>
        <v>0</v>
      </c>
      <c r="AE865" s="147">
        <f>IFERROR((HLOOKUP($AH865,Target_monthwise!$D$24:$O$40,DTR!AE$4,FALSE)),0)</f>
        <v>0</v>
      </c>
      <c r="AF865" s="147">
        <f>IFERROR((HLOOKUP($AH865,Target_monthwise!$D$24:$O$40,DTR!AF$4,FALSE)),0)</f>
        <v>0</v>
      </c>
      <c r="AG865" s="172">
        <f>IFERROR((HLOOKUP($AH865,Target_monthwise!$D$24:$O$40,DTR!AG$4,FALSE)),0)</f>
        <v>0</v>
      </c>
      <c r="AH865" s="253">
        <f t="shared" si="15"/>
        <v>202408</v>
      </c>
    </row>
    <row r="866" spans="3:34" ht="15.75" hidden="1">
      <c r="C866" s="237">
        <v>45509</v>
      </c>
      <c r="D866" s="238">
        <f>IFERROR((HLOOKUP($AH866,Target_monthwise!$D$4:$O$20,DTR!D$4,FALSE))*1000,0)</f>
        <v>0</v>
      </c>
      <c r="E866" s="238">
        <f>IFERROR((HLOOKUP($AH866,Target_monthwise!$D$4:$O$20,DTR!E$4,FALSE))*1000,0)</f>
        <v>0</v>
      </c>
      <c r="F866" s="238">
        <f>IFERROR((HLOOKUP($AH866,Target_monthwise!$D$4:$O$20,DTR!F$4,FALSE))*1000,0)</f>
        <v>0</v>
      </c>
      <c r="G866" s="238">
        <f>IFERROR((HLOOKUP($AH866,Target_monthwise!$D$4:$O$20,DTR!G$4,FALSE))*1000,0)</f>
        <v>0</v>
      </c>
      <c r="H866" s="238">
        <f>IFERROR((HLOOKUP($AH866,Target_monthwise!$D$4:$O$20,DTR!H$4,FALSE))*1000,0)</f>
        <v>0</v>
      </c>
      <c r="I866" s="238">
        <f>IFERROR((HLOOKUP($AH866,Target_monthwise!$D$4:$O$20,DTR!I$4,FALSE))*1000,0)</f>
        <v>0</v>
      </c>
      <c r="J866" s="238">
        <f>IFERROR((HLOOKUP($AH866,Target_monthwise!$D$4:$O$20,DTR!J$4,FALSE))*1000,0)</f>
        <v>0</v>
      </c>
      <c r="K866" s="238">
        <f>IFERROR((HLOOKUP($AH866,Target_monthwise!$D$4:$O$20,DTR!K$4,FALSE))*1000,0)</f>
        <v>0</v>
      </c>
      <c r="L866" s="238">
        <f>IFERROR((HLOOKUP($AH866,Target_monthwise!$D$4:$O$20,DTR!L$4,FALSE))*1000,0)</f>
        <v>0</v>
      </c>
      <c r="M866" s="238">
        <f>IFERROR((HLOOKUP($AH866,Target_monthwise!$D$4:$O$20,DTR!M$4,FALSE))*1000,0)</f>
        <v>0</v>
      </c>
      <c r="N866" s="238">
        <f>IFERROR((HLOOKUP($AH866,Target_monthwise!$D$4:$O$20,DTR!N$4,FALSE))*1000,0)</f>
        <v>0</v>
      </c>
      <c r="O866" s="238">
        <f>IFERROR((HLOOKUP($AH866,Target_monthwise!$D$4:$O$20,DTR!O$4,FALSE))*1000,0)</f>
        <v>0</v>
      </c>
      <c r="P866" s="238">
        <f>IFERROR((HLOOKUP($AH866,Target_monthwise!$D$4:$O$20,DTR!P$4,FALSE))*1000,0)</f>
        <v>0</v>
      </c>
      <c r="Q866" s="141">
        <f>IFERROR((HLOOKUP($AH866,Target_monthwise!$D$4:$O$20,DTR!Q$4,FALSE))*1000,0)</f>
        <v>0</v>
      </c>
      <c r="R866" s="167">
        <f>IFERROR((HLOOKUP($AH866,Target_monthwise!$D$4:$O$20,DTR!R$4,FALSE))*1000,0)</f>
        <v>0</v>
      </c>
      <c r="S866" s="239">
        <f>IFERROR((HLOOKUP($AH866,Target_monthwise!$D$24:$O$40,DTR!S$4,FALSE)),0)</f>
        <v>0</v>
      </c>
      <c r="T866" s="239">
        <f>IFERROR((HLOOKUP($AH866,Target_monthwise!$D$24:$O$40,DTR!T$4,FALSE)),0)</f>
        <v>0</v>
      </c>
      <c r="U866" s="239">
        <f>IFERROR((HLOOKUP($AH866,Target_monthwise!$D$24:$O$40,DTR!U$4,FALSE)),0)</f>
        <v>0</v>
      </c>
      <c r="V866" s="239">
        <f>IFERROR((HLOOKUP($AH866,Target_monthwise!$D$24:$O$40,DTR!V$4,FALSE)),0)</f>
        <v>0</v>
      </c>
      <c r="W866" s="239">
        <f>IFERROR((HLOOKUP($AH866,Target_monthwise!$D$24:$O$40,DTR!W$4,FALSE)),0)</f>
        <v>0</v>
      </c>
      <c r="X866" s="239">
        <f>IFERROR((HLOOKUP($AH866,Target_monthwise!$D$24:$O$40,DTR!X$4,FALSE)),0)</f>
        <v>0</v>
      </c>
      <c r="Y866" s="239">
        <f>IFERROR((HLOOKUP($AH866,Target_monthwise!$D$24:$O$40,DTR!Y$4,FALSE)),0)</f>
        <v>0</v>
      </c>
      <c r="Z866" s="147">
        <f>IFERROR((HLOOKUP($AH866,Target_monthwise!$D$24:$O$40,DTR!Z$4,FALSE)),0)</f>
        <v>0</v>
      </c>
      <c r="AA866" s="147">
        <f>IFERROR((HLOOKUP($AH866,Target_monthwise!$D$24:$O$40,DTR!AA$4,FALSE)),0)</f>
        <v>0</v>
      </c>
      <c r="AB866" s="147">
        <f>IFERROR((HLOOKUP($AH866,Target_monthwise!$D$24:$O$40,DTR!AB$4,FALSE)),0)</f>
        <v>0</v>
      </c>
      <c r="AC866" s="239">
        <f>IFERROR((HLOOKUP($AH866,Target_monthwise!$D$24:$O$40,DTR!AC$4,FALSE)),0)</f>
        <v>0</v>
      </c>
      <c r="AD866" s="239">
        <f>IFERROR((HLOOKUP($AH866,Target_monthwise!$D$24:$O$40,DTR!AD$4,FALSE)),0)</f>
        <v>0</v>
      </c>
      <c r="AE866" s="239">
        <f>IFERROR((HLOOKUP($AH866,Target_monthwise!$D$24:$O$40,DTR!AE$4,FALSE)),0)</f>
        <v>0</v>
      </c>
      <c r="AF866" s="239">
        <f>IFERROR((HLOOKUP($AH866,Target_monthwise!$D$24:$O$40,DTR!AF$4,FALSE)),0)</f>
        <v>0</v>
      </c>
      <c r="AG866" s="172">
        <f>IFERROR((HLOOKUP($AH866,Target_monthwise!$D$24:$O$40,DTR!AG$4,FALSE)),0)</f>
        <v>0</v>
      </c>
      <c r="AH866" s="253">
        <f t="shared" si="15"/>
        <v>202408</v>
      </c>
    </row>
    <row r="867" spans="3:34" ht="15.75" hidden="1">
      <c r="C867" s="235">
        <v>45510</v>
      </c>
      <c r="D867" s="141">
        <f>IFERROR((HLOOKUP($AH867,Target_monthwise!$D$4:$O$20,DTR!D$4,FALSE))*1000,0)</f>
        <v>0</v>
      </c>
      <c r="E867" s="141">
        <f>IFERROR((HLOOKUP($AH867,Target_monthwise!$D$4:$O$20,DTR!E$4,FALSE))*1000,0)</f>
        <v>0</v>
      </c>
      <c r="F867" s="141">
        <f>IFERROR((HLOOKUP($AH867,Target_monthwise!$D$4:$O$20,DTR!F$4,FALSE))*1000,0)</f>
        <v>0</v>
      </c>
      <c r="G867" s="141">
        <f>IFERROR((HLOOKUP($AH867,Target_monthwise!$D$4:$O$20,DTR!G$4,FALSE))*1000,0)</f>
        <v>0</v>
      </c>
      <c r="H867" s="141">
        <f>IFERROR((HLOOKUP($AH867,Target_monthwise!$D$4:$O$20,DTR!H$4,FALSE))*1000,0)</f>
        <v>0</v>
      </c>
      <c r="I867" s="141">
        <f>IFERROR((HLOOKUP($AH867,Target_monthwise!$D$4:$O$20,DTR!I$4,FALSE))*1000,0)</f>
        <v>0</v>
      </c>
      <c r="J867" s="141">
        <f>IFERROR((HLOOKUP($AH867,Target_monthwise!$D$4:$O$20,DTR!J$4,FALSE))*1000,0)</f>
        <v>0</v>
      </c>
      <c r="K867" s="141">
        <f>IFERROR((HLOOKUP($AH867,Target_monthwise!$D$4:$O$20,DTR!K$4,FALSE))*1000,0)</f>
        <v>0</v>
      </c>
      <c r="L867" s="141">
        <f>IFERROR((HLOOKUP($AH867,Target_monthwise!$D$4:$O$20,DTR!L$4,FALSE))*1000,0)</f>
        <v>0</v>
      </c>
      <c r="M867" s="141">
        <f>IFERROR((HLOOKUP($AH867,Target_monthwise!$D$4:$O$20,DTR!M$4,FALSE))*1000,0)</f>
        <v>0</v>
      </c>
      <c r="N867" s="141">
        <f>IFERROR((HLOOKUP($AH867,Target_monthwise!$D$4:$O$20,DTR!N$4,FALSE))*1000,0)</f>
        <v>0</v>
      </c>
      <c r="O867" s="141">
        <f>IFERROR((HLOOKUP($AH867,Target_monthwise!$D$4:$O$20,DTR!O$4,FALSE))*1000,0)</f>
        <v>0</v>
      </c>
      <c r="P867" s="141">
        <f>IFERROR((HLOOKUP($AH867,Target_monthwise!$D$4:$O$20,DTR!P$4,FALSE))*1000,0)</f>
        <v>0</v>
      </c>
      <c r="Q867" s="141">
        <f>IFERROR((HLOOKUP($AH867,Target_monthwise!$D$4:$O$20,DTR!Q$4,FALSE))*1000,0)</f>
        <v>0</v>
      </c>
      <c r="R867" s="167">
        <f>IFERROR((HLOOKUP($AH867,Target_monthwise!$D$4:$O$20,DTR!R$4,FALSE))*1000,0)</f>
        <v>0</v>
      </c>
      <c r="S867" s="147">
        <f>IFERROR((HLOOKUP($AH867,Target_monthwise!$D$24:$O$40,DTR!S$4,FALSE)),0)</f>
        <v>0</v>
      </c>
      <c r="T867" s="147">
        <f>IFERROR((HLOOKUP($AH867,Target_monthwise!$D$24:$O$40,DTR!T$4,FALSE)),0)</f>
        <v>0</v>
      </c>
      <c r="U867" s="147">
        <f>IFERROR((HLOOKUP($AH867,Target_monthwise!$D$24:$O$40,DTR!U$4,FALSE)),0)</f>
        <v>0</v>
      </c>
      <c r="V867" s="147">
        <f>IFERROR((HLOOKUP($AH867,Target_monthwise!$D$24:$O$40,DTR!V$4,FALSE)),0)</f>
        <v>0</v>
      </c>
      <c r="W867" s="147">
        <f>IFERROR((HLOOKUP($AH867,Target_monthwise!$D$24:$O$40,DTR!W$4,FALSE)),0)</f>
        <v>0</v>
      </c>
      <c r="X867" s="147">
        <f>IFERROR((HLOOKUP($AH867,Target_monthwise!$D$24:$O$40,DTR!X$4,FALSE)),0)</f>
        <v>0</v>
      </c>
      <c r="Y867" s="147">
        <f>IFERROR((HLOOKUP($AH867,Target_monthwise!$D$24:$O$40,DTR!Y$4,FALSE)),0)</f>
        <v>0</v>
      </c>
      <c r="Z867" s="147">
        <f>IFERROR((HLOOKUP($AH867,Target_monthwise!$D$24:$O$40,DTR!Z$4,FALSE)),0)</f>
        <v>0</v>
      </c>
      <c r="AA867" s="147">
        <f>IFERROR((HLOOKUP($AH867,Target_monthwise!$D$24:$O$40,DTR!AA$4,FALSE)),0)</f>
        <v>0</v>
      </c>
      <c r="AB867" s="147">
        <f>IFERROR((HLOOKUP($AH867,Target_monthwise!$D$24:$O$40,DTR!AB$4,FALSE)),0)</f>
        <v>0</v>
      </c>
      <c r="AC867" s="147">
        <f>IFERROR((HLOOKUP($AH867,Target_monthwise!$D$24:$O$40,DTR!AC$4,FALSE)),0)</f>
        <v>0</v>
      </c>
      <c r="AD867" s="147">
        <f>IFERROR((HLOOKUP($AH867,Target_monthwise!$D$24:$O$40,DTR!AD$4,FALSE)),0)</f>
        <v>0</v>
      </c>
      <c r="AE867" s="147">
        <f>IFERROR((HLOOKUP($AH867,Target_monthwise!$D$24:$O$40,DTR!AE$4,FALSE)),0)</f>
        <v>0</v>
      </c>
      <c r="AF867" s="147">
        <f>IFERROR((HLOOKUP($AH867,Target_monthwise!$D$24:$O$40,DTR!AF$4,FALSE)),0)</f>
        <v>0</v>
      </c>
      <c r="AG867" s="172">
        <f>IFERROR((HLOOKUP($AH867,Target_monthwise!$D$24:$O$40,DTR!AG$4,FALSE)),0)</f>
        <v>0</v>
      </c>
      <c r="AH867" s="253">
        <f t="shared" si="15"/>
        <v>202408</v>
      </c>
    </row>
    <row r="868" spans="3:34" ht="15.75" hidden="1">
      <c r="C868" s="237">
        <v>45511</v>
      </c>
      <c r="D868" s="238">
        <f>IFERROR((HLOOKUP($AH868,Target_monthwise!$D$4:$O$20,DTR!D$4,FALSE))*1000,0)</f>
        <v>0</v>
      </c>
      <c r="E868" s="238">
        <f>IFERROR((HLOOKUP($AH868,Target_monthwise!$D$4:$O$20,DTR!E$4,FALSE))*1000,0)</f>
        <v>0</v>
      </c>
      <c r="F868" s="238">
        <f>IFERROR((HLOOKUP($AH868,Target_monthwise!$D$4:$O$20,DTR!F$4,FALSE))*1000,0)</f>
        <v>0</v>
      </c>
      <c r="G868" s="238">
        <f>IFERROR((HLOOKUP($AH868,Target_monthwise!$D$4:$O$20,DTR!G$4,FALSE))*1000,0)</f>
        <v>0</v>
      </c>
      <c r="H868" s="238">
        <f>IFERROR((HLOOKUP($AH868,Target_monthwise!$D$4:$O$20,DTR!H$4,FALSE))*1000,0)</f>
        <v>0</v>
      </c>
      <c r="I868" s="238">
        <f>IFERROR((HLOOKUP($AH868,Target_monthwise!$D$4:$O$20,DTR!I$4,FALSE))*1000,0)</f>
        <v>0</v>
      </c>
      <c r="J868" s="238">
        <f>IFERROR((HLOOKUP($AH868,Target_monthwise!$D$4:$O$20,DTR!J$4,FALSE))*1000,0)</f>
        <v>0</v>
      </c>
      <c r="K868" s="238">
        <f>IFERROR((HLOOKUP($AH868,Target_monthwise!$D$4:$O$20,DTR!K$4,FALSE))*1000,0)</f>
        <v>0</v>
      </c>
      <c r="L868" s="238">
        <f>IFERROR((HLOOKUP($AH868,Target_monthwise!$D$4:$O$20,DTR!L$4,FALSE))*1000,0)</f>
        <v>0</v>
      </c>
      <c r="M868" s="238">
        <f>IFERROR((HLOOKUP($AH868,Target_monthwise!$D$4:$O$20,DTR!M$4,FALSE))*1000,0)</f>
        <v>0</v>
      </c>
      <c r="N868" s="238">
        <f>IFERROR((HLOOKUP($AH868,Target_monthwise!$D$4:$O$20,DTR!N$4,FALSE))*1000,0)</f>
        <v>0</v>
      </c>
      <c r="O868" s="238">
        <f>IFERROR((HLOOKUP($AH868,Target_monthwise!$D$4:$O$20,DTR!O$4,FALSE))*1000,0)</f>
        <v>0</v>
      </c>
      <c r="P868" s="238">
        <f>IFERROR((HLOOKUP($AH868,Target_monthwise!$D$4:$O$20,DTR!P$4,FALSE))*1000,0)</f>
        <v>0</v>
      </c>
      <c r="Q868" s="141">
        <f>IFERROR((HLOOKUP($AH868,Target_monthwise!$D$4:$O$20,DTR!Q$4,FALSE))*1000,0)</f>
        <v>0</v>
      </c>
      <c r="R868" s="167">
        <f>IFERROR((HLOOKUP($AH868,Target_monthwise!$D$4:$O$20,DTR!R$4,FALSE))*1000,0)</f>
        <v>0</v>
      </c>
      <c r="S868" s="239">
        <f>IFERROR((HLOOKUP($AH868,Target_monthwise!$D$24:$O$40,DTR!S$4,FALSE)),0)</f>
        <v>0</v>
      </c>
      <c r="T868" s="239">
        <f>IFERROR((HLOOKUP($AH868,Target_monthwise!$D$24:$O$40,DTR!T$4,FALSE)),0)</f>
        <v>0</v>
      </c>
      <c r="U868" s="239">
        <f>IFERROR((HLOOKUP($AH868,Target_monthwise!$D$24:$O$40,DTR!U$4,FALSE)),0)</f>
        <v>0</v>
      </c>
      <c r="V868" s="239">
        <f>IFERROR((HLOOKUP($AH868,Target_monthwise!$D$24:$O$40,DTR!V$4,FALSE)),0)</f>
        <v>0</v>
      </c>
      <c r="W868" s="239">
        <f>IFERROR((HLOOKUP($AH868,Target_monthwise!$D$24:$O$40,DTR!W$4,FALSE)),0)</f>
        <v>0</v>
      </c>
      <c r="X868" s="239">
        <f>IFERROR((HLOOKUP($AH868,Target_monthwise!$D$24:$O$40,DTR!X$4,FALSE)),0)</f>
        <v>0</v>
      </c>
      <c r="Y868" s="239">
        <f>IFERROR((HLOOKUP($AH868,Target_monthwise!$D$24:$O$40,DTR!Y$4,FALSE)),0)</f>
        <v>0</v>
      </c>
      <c r="Z868" s="147">
        <f>IFERROR((HLOOKUP($AH868,Target_monthwise!$D$24:$O$40,DTR!Z$4,FALSE)),0)</f>
        <v>0</v>
      </c>
      <c r="AA868" s="147">
        <f>IFERROR((HLOOKUP($AH868,Target_monthwise!$D$24:$O$40,DTR!AA$4,FALSE)),0)</f>
        <v>0</v>
      </c>
      <c r="AB868" s="147">
        <f>IFERROR((HLOOKUP($AH868,Target_monthwise!$D$24:$O$40,DTR!AB$4,FALSE)),0)</f>
        <v>0</v>
      </c>
      <c r="AC868" s="239">
        <f>IFERROR((HLOOKUP($AH868,Target_monthwise!$D$24:$O$40,DTR!AC$4,FALSE)),0)</f>
        <v>0</v>
      </c>
      <c r="AD868" s="239">
        <f>IFERROR((HLOOKUP($AH868,Target_monthwise!$D$24:$O$40,DTR!AD$4,FALSE)),0)</f>
        <v>0</v>
      </c>
      <c r="AE868" s="239">
        <f>IFERROR((HLOOKUP($AH868,Target_monthwise!$D$24:$O$40,DTR!AE$4,FALSE)),0)</f>
        <v>0</v>
      </c>
      <c r="AF868" s="239">
        <f>IFERROR((HLOOKUP($AH868,Target_monthwise!$D$24:$O$40,DTR!AF$4,FALSE)),0)</f>
        <v>0</v>
      </c>
      <c r="AG868" s="172">
        <f>IFERROR((HLOOKUP($AH868,Target_monthwise!$D$24:$O$40,DTR!AG$4,FALSE)),0)</f>
        <v>0</v>
      </c>
      <c r="AH868" s="253">
        <f t="shared" si="15"/>
        <v>202408</v>
      </c>
    </row>
    <row r="869" spans="3:34" ht="15.75" hidden="1">
      <c r="C869" s="235">
        <v>45512</v>
      </c>
      <c r="D869" s="141">
        <f>IFERROR((HLOOKUP($AH869,Target_monthwise!$D$4:$O$20,DTR!D$4,FALSE))*1000,0)</f>
        <v>0</v>
      </c>
      <c r="E869" s="141">
        <f>IFERROR((HLOOKUP($AH869,Target_monthwise!$D$4:$O$20,DTR!E$4,FALSE))*1000,0)</f>
        <v>0</v>
      </c>
      <c r="F869" s="141">
        <f>IFERROR((HLOOKUP($AH869,Target_monthwise!$D$4:$O$20,DTR!F$4,FALSE))*1000,0)</f>
        <v>0</v>
      </c>
      <c r="G869" s="141">
        <f>IFERROR((HLOOKUP($AH869,Target_monthwise!$D$4:$O$20,DTR!G$4,FALSE))*1000,0)</f>
        <v>0</v>
      </c>
      <c r="H869" s="141">
        <f>IFERROR((HLOOKUP($AH869,Target_monthwise!$D$4:$O$20,DTR!H$4,FALSE))*1000,0)</f>
        <v>0</v>
      </c>
      <c r="I869" s="141">
        <f>IFERROR((HLOOKUP($AH869,Target_monthwise!$D$4:$O$20,DTR!I$4,FALSE))*1000,0)</f>
        <v>0</v>
      </c>
      <c r="J869" s="141">
        <f>IFERROR((HLOOKUP($AH869,Target_monthwise!$D$4:$O$20,DTR!J$4,FALSE))*1000,0)</f>
        <v>0</v>
      </c>
      <c r="K869" s="141">
        <f>IFERROR((HLOOKUP($AH869,Target_monthwise!$D$4:$O$20,DTR!K$4,FALSE))*1000,0)</f>
        <v>0</v>
      </c>
      <c r="L869" s="141">
        <f>IFERROR((HLOOKUP($AH869,Target_monthwise!$D$4:$O$20,DTR!L$4,FALSE))*1000,0)</f>
        <v>0</v>
      </c>
      <c r="M869" s="141">
        <f>IFERROR((HLOOKUP($AH869,Target_monthwise!$D$4:$O$20,DTR!M$4,FALSE))*1000,0)</f>
        <v>0</v>
      </c>
      <c r="N869" s="141">
        <f>IFERROR((HLOOKUP($AH869,Target_monthwise!$D$4:$O$20,DTR!N$4,FALSE))*1000,0)</f>
        <v>0</v>
      </c>
      <c r="O869" s="141">
        <f>IFERROR((HLOOKUP($AH869,Target_monthwise!$D$4:$O$20,DTR!O$4,FALSE))*1000,0)</f>
        <v>0</v>
      </c>
      <c r="P869" s="141">
        <f>IFERROR((HLOOKUP($AH869,Target_monthwise!$D$4:$O$20,DTR!P$4,FALSE))*1000,0)</f>
        <v>0</v>
      </c>
      <c r="Q869" s="141">
        <f>IFERROR((HLOOKUP($AH869,Target_monthwise!$D$4:$O$20,DTR!Q$4,FALSE))*1000,0)</f>
        <v>0</v>
      </c>
      <c r="R869" s="167">
        <f>IFERROR((HLOOKUP($AH869,Target_monthwise!$D$4:$O$20,DTR!R$4,FALSE))*1000,0)</f>
        <v>0</v>
      </c>
      <c r="S869" s="147">
        <f>IFERROR((HLOOKUP($AH869,Target_monthwise!$D$24:$O$40,DTR!S$4,FALSE)),0)</f>
        <v>0</v>
      </c>
      <c r="T869" s="147">
        <f>IFERROR((HLOOKUP($AH869,Target_monthwise!$D$24:$O$40,DTR!T$4,FALSE)),0)</f>
        <v>0</v>
      </c>
      <c r="U869" s="147">
        <f>IFERROR((HLOOKUP($AH869,Target_monthwise!$D$24:$O$40,DTR!U$4,FALSE)),0)</f>
        <v>0</v>
      </c>
      <c r="V869" s="147">
        <f>IFERROR((HLOOKUP($AH869,Target_monthwise!$D$24:$O$40,DTR!V$4,FALSE)),0)</f>
        <v>0</v>
      </c>
      <c r="W869" s="147">
        <f>IFERROR((HLOOKUP($AH869,Target_monthwise!$D$24:$O$40,DTR!W$4,FALSE)),0)</f>
        <v>0</v>
      </c>
      <c r="X869" s="147">
        <f>IFERROR((HLOOKUP($AH869,Target_monthwise!$D$24:$O$40,DTR!X$4,FALSE)),0)</f>
        <v>0</v>
      </c>
      <c r="Y869" s="147">
        <f>IFERROR((HLOOKUP($AH869,Target_monthwise!$D$24:$O$40,DTR!Y$4,FALSE)),0)</f>
        <v>0</v>
      </c>
      <c r="Z869" s="147">
        <f>IFERROR((HLOOKUP($AH869,Target_monthwise!$D$24:$O$40,DTR!Z$4,FALSE)),0)</f>
        <v>0</v>
      </c>
      <c r="AA869" s="147">
        <f>IFERROR((HLOOKUP($AH869,Target_monthwise!$D$24:$O$40,DTR!AA$4,FALSE)),0)</f>
        <v>0</v>
      </c>
      <c r="AB869" s="147">
        <f>IFERROR((HLOOKUP($AH869,Target_monthwise!$D$24:$O$40,DTR!AB$4,FALSE)),0)</f>
        <v>0</v>
      </c>
      <c r="AC869" s="147">
        <f>IFERROR((HLOOKUP($AH869,Target_monthwise!$D$24:$O$40,DTR!AC$4,FALSE)),0)</f>
        <v>0</v>
      </c>
      <c r="AD869" s="147">
        <f>IFERROR((HLOOKUP($AH869,Target_monthwise!$D$24:$O$40,DTR!AD$4,FALSE)),0)</f>
        <v>0</v>
      </c>
      <c r="AE869" s="147">
        <f>IFERROR((HLOOKUP($AH869,Target_monthwise!$D$24:$O$40,DTR!AE$4,FALSE)),0)</f>
        <v>0</v>
      </c>
      <c r="AF869" s="147">
        <f>IFERROR((HLOOKUP($AH869,Target_monthwise!$D$24:$O$40,DTR!AF$4,FALSE)),0)</f>
        <v>0</v>
      </c>
      <c r="AG869" s="172">
        <f>IFERROR((HLOOKUP($AH869,Target_monthwise!$D$24:$O$40,DTR!AG$4,FALSE)),0)</f>
        <v>0</v>
      </c>
      <c r="AH869" s="253">
        <f t="shared" si="15"/>
        <v>202408</v>
      </c>
    </row>
    <row r="870" spans="3:34" ht="15.75" hidden="1">
      <c r="C870" s="237">
        <v>45513</v>
      </c>
      <c r="D870" s="238">
        <f>IFERROR((HLOOKUP($AH870,Target_monthwise!$D$4:$O$20,DTR!D$4,FALSE))*1000,0)</f>
        <v>0</v>
      </c>
      <c r="E870" s="238">
        <f>IFERROR((HLOOKUP($AH870,Target_monthwise!$D$4:$O$20,DTR!E$4,FALSE))*1000,0)</f>
        <v>0</v>
      </c>
      <c r="F870" s="238">
        <f>IFERROR((HLOOKUP($AH870,Target_monthwise!$D$4:$O$20,DTR!F$4,FALSE))*1000,0)</f>
        <v>0</v>
      </c>
      <c r="G870" s="238">
        <f>IFERROR((HLOOKUP($AH870,Target_monthwise!$D$4:$O$20,DTR!G$4,FALSE))*1000,0)</f>
        <v>0</v>
      </c>
      <c r="H870" s="238">
        <f>IFERROR((HLOOKUP($AH870,Target_monthwise!$D$4:$O$20,DTR!H$4,FALSE))*1000,0)</f>
        <v>0</v>
      </c>
      <c r="I870" s="238">
        <f>IFERROR((HLOOKUP($AH870,Target_monthwise!$D$4:$O$20,DTR!I$4,FALSE))*1000,0)</f>
        <v>0</v>
      </c>
      <c r="J870" s="238">
        <f>IFERROR((HLOOKUP($AH870,Target_monthwise!$D$4:$O$20,DTR!J$4,FALSE))*1000,0)</f>
        <v>0</v>
      </c>
      <c r="K870" s="238">
        <f>IFERROR((HLOOKUP($AH870,Target_monthwise!$D$4:$O$20,DTR!K$4,FALSE))*1000,0)</f>
        <v>0</v>
      </c>
      <c r="L870" s="238">
        <f>IFERROR((HLOOKUP($AH870,Target_monthwise!$D$4:$O$20,DTR!L$4,FALSE))*1000,0)</f>
        <v>0</v>
      </c>
      <c r="M870" s="238">
        <f>IFERROR((HLOOKUP($AH870,Target_monthwise!$D$4:$O$20,DTR!M$4,FALSE))*1000,0)</f>
        <v>0</v>
      </c>
      <c r="N870" s="238">
        <f>IFERROR((HLOOKUP($AH870,Target_monthwise!$D$4:$O$20,DTR!N$4,FALSE))*1000,0)</f>
        <v>0</v>
      </c>
      <c r="O870" s="238">
        <f>IFERROR((HLOOKUP($AH870,Target_monthwise!$D$4:$O$20,DTR!O$4,FALSE))*1000,0)</f>
        <v>0</v>
      </c>
      <c r="P870" s="238">
        <f>IFERROR((HLOOKUP($AH870,Target_monthwise!$D$4:$O$20,DTR!P$4,FALSE))*1000,0)</f>
        <v>0</v>
      </c>
      <c r="Q870" s="141">
        <f>IFERROR((HLOOKUP($AH870,Target_monthwise!$D$4:$O$20,DTR!Q$4,FALSE))*1000,0)</f>
        <v>0</v>
      </c>
      <c r="R870" s="167">
        <f>IFERROR((HLOOKUP($AH870,Target_monthwise!$D$4:$O$20,DTR!R$4,FALSE))*1000,0)</f>
        <v>0</v>
      </c>
      <c r="S870" s="239">
        <f>IFERROR((HLOOKUP($AH870,Target_monthwise!$D$24:$O$40,DTR!S$4,FALSE)),0)</f>
        <v>0</v>
      </c>
      <c r="T870" s="239">
        <f>IFERROR((HLOOKUP($AH870,Target_monthwise!$D$24:$O$40,DTR!T$4,FALSE)),0)</f>
        <v>0</v>
      </c>
      <c r="U870" s="239">
        <f>IFERROR((HLOOKUP($AH870,Target_monthwise!$D$24:$O$40,DTR!U$4,FALSE)),0)</f>
        <v>0</v>
      </c>
      <c r="V870" s="239">
        <f>IFERROR((HLOOKUP($AH870,Target_monthwise!$D$24:$O$40,DTR!V$4,FALSE)),0)</f>
        <v>0</v>
      </c>
      <c r="W870" s="239">
        <f>IFERROR((HLOOKUP($AH870,Target_monthwise!$D$24:$O$40,DTR!W$4,FALSE)),0)</f>
        <v>0</v>
      </c>
      <c r="X870" s="239">
        <f>IFERROR((HLOOKUP($AH870,Target_monthwise!$D$24:$O$40,DTR!X$4,FALSE)),0)</f>
        <v>0</v>
      </c>
      <c r="Y870" s="239">
        <f>IFERROR((HLOOKUP($AH870,Target_monthwise!$D$24:$O$40,DTR!Y$4,FALSE)),0)</f>
        <v>0</v>
      </c>
      <c r="Z870" s="147">
        <f>IFERROR((HLOOKUP($AH870,Target_monthwise!$D$24:$O$40,DTR!Z$4,FALSE)),0)</f>
        <v>0</v>
      </c>
      <c r="AA870" s="147">
        <f>IFERROR((HLOOKUP($AH870,Target_monthwise!$D$24:$O$40,DTR!AA$4,FALSE)),0)</f>
        <v>0</v>
      </c>
      <c r="AB870" s="147">
        <f>IFERROR((HLOOKUP($AH870,Target_monthwise!$D$24:$O$40,DTR!AB$4,FALSE)),0)</f>
        <v>0</v>
      </c>
      <c r="AC870" s="239">
        <f>IFERROR((HLOOKUP($AH870,Target_monthwise!$D$24:$O$40,DTR!AC$4,FALSE)),0)</f>
        <v>0</v>
      </c>
      <c r="AD870" s="239">
        <f>IFERROR((HLOOKUP($AH870,Target_monthwise!$D$24:$O$40,DTR!AD$4,FALSE)),0)</f>
        <v>0</v>
      </c>
      <c r="AE870" s="239">
        <f>IFERROR((HLOOKUP($AH870,Target_monthwise!$D$24:$O$40,DTR!AE$4,FALSE)),0)</f>
        <v>0</v>
      </c>
      <c r="AF870" s="239">
        <f>IFERROR((HLOOKUP($AH870,Target_monthwise!$D$24:$O$40,DTR!AF$4,FALSE)),0)</f>
        <v>0</v>
      </c>
      <c r="AG870" s="172">
        <f>IFERROR((HLOOKUP($AH870,Target_monthwise!$D$24:$O$40,DTR!AG$4,FALSE)),0)</f>
        <v>0</v>
      </c>
      <c r="AH870" s="253">
        <f t="shared" si="15"/>
        <v>202408</v>
      </c>
    </row>
    <row r="871" spans="3:34" ht="15.75" hidden="1">
      <c r="C871" s="235">
        <v>45514</v>
      </c>
      <c r="D871" s="141">
        <f>IFERROR((HLOOKUP($AH871,Target_monthwise!$D$4:$O$20,DTR!D$4,FALSE))*1000,0)</f>
        <v>0</v>
      </c>
      <c r="E871" s="141">
        <f>IFERROR((HLOOKUP($AH871,Target_monthwise!$D$4:$O$20,DTR!E$4,FALSE))*1000,0)</f>
        <v>0</v>
      </c>
      <c r="F871" s="141">
        <f>IFERROR((HLOOKUP($AH871,Target_monthwise!$D$4:$O$20,DTR!F$4,FALSE))*1000,0)</f>
        <v>0</v>
      </c>
      <c r="G871" s="141">
        <f>IFERROR((HLOOKUP($AH871,Target_monthwise!$D$4:$O$20,DTR!G$4,FALSE))*1000,0)</f>
        <v>0</v>
      </c>
      <c r="H871" s="141">
        <f>IFERROR((HLOOKUP($AH871,Target_monthwise!$D$4:$O$20,DTR!H$4,FALSE))*1000,0)</f>
        <v>0</v>
      </c>
      <c r="I871" s="141">
        <f>IFERROR((HLOOKUP($AH871,Target_monthwise!$D$4:$O$20,DTR!I$4,FALSE))*1000,0)</f>
        <v>0</v>
      </c>
      <c r="J871" s="141">
        <f>IFERROR((HLOOKUP($AH871,Target_monthwise!$D$4:$O$20,DTR!J$4,FALSE))*1000,0)</f>
        <v>0</v>
      </c>
      <c r="K871" s="141">
        <f>IFERROR((HLOOKUP($AH871,Target_monthwise!$D$4:$O$20,DTR!K$4,FALSE))*1000,0)</f>
        <v>0</v>
      </c>
      <c r="L871" s="141">
        <f>IFERROR((HLOOKUP($AH871,Target_monthwise!$D$4:$O$20,DTR!L$4,FALSE))*1000,0)</f>
        <v>0</v>
      </c>
      <c r="M871" s="141">
        <f>IFERROR((HLOOKUP($AH871,Target_monthwise!$D$4:$O$20,DTR!M$4,FALSE))*1000,0)</f>
        <v>0</v>
      </c>
      <c r="N871" s="141">
        <f>IFERROR((HLOOKUP($AH871,Target_monthwise!$D$4:$O$20,DTR!N$4,FALSE))*1000,0)</f>
        <v>0</v>
      </c>
      <c r="O871" s="141">
        <f>IFERROR((HLOOKUP($AH871,Target_monthwise!$D$4:$O$20,DTR!O$4,FALSE))*1000,0)</f>
        <v>0</v>
      </c>
      <c r="P871" s="141">
        <f>IFERROR((HLOOKUP($AH871,Target_monthwise!$D$4:$O$20,DTR!P$4,FALSE))*1000,0)</f>
        <v>0</v>
      </c>
      <c r="Q871" s="141">
        <f>IFERROR((HLOOKUP($AH871,Target_monthwise!$D$4:$O$20,DTR!Q$4,FALSE))*1000,0)</f>
        <v>0</v>
      </c>
      <c r="R871" s="167">
        <f>IFERROR((HLOOKUP($AH871,Target_monthwise!$D$4:$O$20,DTR!R$4,FALSE))*1000,0)</f>
        <v>0</v>
      </c>
      <c r="S871" s="147">
        <f>IFERROR((HLOOKUP($AH871,Target_monthwise!$D$24:$O$40,DTR!S$4,FALSE)),0)</f>
        <v>0</v>
      </c>
      <c r="T871" s="147">
        <f>IFERROR((HLOOKUP($AH871,Target_monthwise!$D$24:$O$40,DTR!T$4,FALSE)),0)</f>
        <v>0</v>
      </c>
      <c r="U871" s="147">
        <f>IFERROR((HLOOKUP($AH871,Target_monthwise!$D$24:$O$40,DTR!U$4,FALSE)),0)</f>
        <v>0</v>
      </c>
      <c r="V871" s="147">
        <f>IFERROR((HLOOKUP($AH871,Target_monthwise!$D$24:$O$40,DTR!V$4,FALSE)),0)</f>
        <v>0</v>
      </c>
      <c r="W871" s="147">
        <f>IFERROR((HLOOKUP($AH871,Target_monthwise!$D$24:$O$40,DTR!W$4,FALSE)),0)</f>
        <v>0</v>
      </c>
      <c r="X871" s="147">
        <f>IFERROR((HLOOKUP($AH871,Target_monthwise!$D$24:$O$40,DTR!X$4,FALSE)),0)</f>
        <v>0</v>
      </c>
      <c r="Y871" s="147">
        <f>IFERROR((HLOOKUP($AH871,Target_monthwise!$D$24:$O$40,DTR!Y$4,FALSE)),0)</f>
        <v>0</v>
      </c>
      <c r="Z871" s="147">
        <f>IFERROR((HLOOKUP($AH871,Target_monthwise!$D$24:$O$40,DTR!Z$4,FALSE)),0)</f>
        <v>0</v>
      </c>
      <c r="AA871" s="147">
        <f>IFERROR((HLOOKUP($AH871,Target_monthwise!$D$24:$O$40,DTR!AA$4,FALSE)),0)</f>
        <v>0</v>
      </c>
      <c r="AB871" s="147">
        <f>IFERROR((HLOOKUP($AH871,Target_monthwise!$D$24:$O$40,DTR!AB$4,FALSE)),0)</f>
        <v>0</v>
      </c>
      <c r="AC871" s="147">
        <f>IFERROR((HLOOKUP($AH871,Target_monthwise!$D$24:$O$40,DTR!AC$4,FALSE)),0)</f>
        <v>0</v>
      </c>
      <c r="AD871" s="147">
        <f>IFERROR((HLOOKUP($AH871,Target_monthwise!$D$24:$O$40,DTR!AD$4,FALSE)),0)</f>
        <v>0</v>
      </c>
      <c r="AE871" s="147">
        <f>IFERROR((HLOOKUP($AH871,Target_monthwise!$D$24:$O$40,DTR!AE$4,FALSE)),0)</f>
        <v>0</v>
      </c>
      <c r="AF871" s="147">
        <f>IFERROR((HLOOKUP($AH871,Target_monthwise!$D$24:$O$40,DTR!AF$4,FALSE)),0)</f>
        <v>0</v>
      </c>
      <c r="AG871" s="172">
        <f>IFERROR((HLOOKUP($AH871,Target_monthwise!$D$24:$O$40,DTR!AG$4,FALSE)),0)</f>
        <v>0</v>
      </c>
      <c r="AH871" s="253">
        <f t="shared" si="15"/>
        <v>202408</v>
      </c>
    </row>
    <row r="872" spans="3:34" ht="15.75" hidden="1">
      <c r="C872" s="237">
        <v>45515</v>
      </c>
      <c r="D872" s="238">
        <f>IFERROR((HLOOKUP($AH872,Target_monthwise!$D$4:$O$20,DTR!D$4,FALSE))*1000,0)</f>
        <v>0</v>
      </c>
      <c r="E872" s="238">
        <f>IFERROR((HLOOKUP($AH872,Target_monthwise!$D$4:$O$20,DTR!E$4,FALSE))*1000,0)</f>
        <v>0</v>
      </c>
      <c r="F872" s="238">
        <f>IFERROR((HLOOKUP($AH872,Target_monthwise!$D$4:$O$20,DTR!F$4,FALSE))*1000,0)</f>
        <v>0</v>
      </c>
      <c r="G872" s="238">
        <f>IFERROR((HLOOKUP($AH872,Target_monthwise!$D$4:$O$20,DTR!G$4,FALSE))*1000,0)</f>
        <v>0</v>
      </c>
      <c r="H872" s="238">
        <f>IFERROR((HLOOKUP($AH872,Target_monthwise!$D$4:$O$20,DTR!H$4,FALSE))*1000,0)</f>
        <v>0</v>
      </c>
      <c r="I872" s="238">
        <f>IFERROR((HLOOKUP($AH872,Target_monthwise!$D$4:$O$20,DTR!I$4,FALSE))*1000,0)</f>
        <v>0</v>
      </c>
      <c r="J872" s="238">
        <f>IFERROR((HLOOKUP($AH872,Target_monthwise!$D$4:$O$20,DTR!J$4,FALSE))*1000,0)</f>
        <v>0</v>
      </c>
      <c r="K872" s="238">
        <f>IFERROR((HLOOKUP($AH872,Target_monthwise!$D$4:$O$20,DTR!K$4,FALSE))*1000,0)</f>
        <v>0</v>
      </c>
      <c r="L872" s="238">
        <f>IFERROR((HLOOKUP($AH872,Target_monthwise!$D$4:$O$20,DTR!L$4,FALSE))*1000,0)</f>
        <v>0</v>
      </c>
      <c r="M872" s="238">
        <f>IFERROR((HLOOKUP($AH872,Target_monthwise!$D$4:$O$20,DTR!M$4,FALSE))*1000,0)</f>
        <v>0</v>
      </c>
      <c r="N872" s="238">
        <f>IFERROR((HLOOKUP($AH872,Target_monthwise!$D$4:$O$20,DTR!N$4,FALSE))*1000,0)</f>
        <v>0</v>
      </c>
      <c r="O872" s="238">
        <f>IFERROR((HLOOKUP($AH872,Target_monthwise!$D$4:$O$20,DTR!O$4,FALSE))*1000,0)</f>
        <v>0</v>
      </c>
      <c r="P872" s="238">
        <f>IFERROR((HLOOKUP($AH872,Target_monthwise!$D$4:$O$20,DTR!P$4,FALSE))*1000,0)</f>
        <v>0</v>
      </c>
      <c r="Q872" s="141">
        <f>IFERROR((HLOOKUP($AH872,Target_monthwise!$D$4:$O$20,DTR!Q$4,FALSE))*1000,0)</f>
        <v>0</v>
      </c>
      <c r="R872" s="167">
        <f>IFERROR((HLOOKUP($AH872,Target_monthwise!$D$4:$O$20,DTR!R$4,FALSE))*1000,0)</f>
        <v>0</v>
      </c>
      <c r="S872" s="239">
        <f>IFERROR((HLOOKUP($AH872,Target_monthwise!$D$24:$O$40,DTR!S$4,FALSE)),0)</f>
        <v>0</v>
      </c>
      <c r="T872" s="239">
        <f>IFERROR((HLOOKUP($AH872,Target_monthwise!$D$24:$O$40,DTR!T$4,FALSE)),0)</f>
        <v>0</v>
      </c>
      <c r="U872" s="239">
        <f>IFERROR((HLOOKUP($AH872,Target_monthwise!$D$24:$O$40,DTR!U$4,FALSE)),0)</f>
        <v>0</v>
      </c>
      <c r="V872" s="239">
        <f>IFERROR((HLOOKUP($AH872,Target_monthwise!$D$24:$O$40,DTR!V$4,FALSE)),0)</f>
        <v>0</v>
      </c>
      <c r="W872" s="239">
        <f>IFERROR((HLOOKUP($AH872,Target_monthwise!$D$24:$O$40,DTR!W$4,FALSE)),0)</f>
        <v>0</v>
      </c>
      <c r="X872" s="239">
        <f>IFERROR((HLOOKUP($AH872,Target_monthwise!$D$24:$O$40,DTR!X$4,FALSE)),0)</f>
        <v>0</v>
      </c>
      <c r="Y872" s="239">
        <f>IFERROR((HLOOKUP($AH872,Target_monthwise!$D$24:$O$40,DTR!Y$4,FALSE)),0)</f>
        <v>0</v>
      </c>
      <c r="Z872" s="147">
        <f>IFERROR((HLOOKUP($AH872,Target_monthwise!$D$24:$O$40,DTR!Z$4,FALSE)),0)</f>
        <v>0</v>
      </c>
      <c r="AA872" s="147">
        <f>IFERROR((HLOOKUP($AH872,Target_monthwise!$D$24:$O$40,DTR!AA$4,FALSE)),0)</f>
        <v>0</v>
      </c>
      <c r="AB872" s="147">
        <f>IFERROR((HLOOKUP($AH872,Target_monthwise!$D$24:$O$40,DTR!AB$4,FALSE)),0)</f>
        <v>0</v>
      </c>
      <c r="AC872" s="239">
        <f>IFERROR((HLOOKUP($AH872,Target_monthwise!$D$24:$O$40,DTR!AC$4,FALSE)),0)</f>
        <v>0</v>
      </c>
      <c r="AD872" s="239">
        <f>IFERROR((HLOOKUP($AH872,Target_monthwise!$D$24:$O$40,DTR!AD$4,FALSE)),0)</f>
        <v>0</v>
      </c>
      <c r="AE872" s="239">
        <f>IFERROR((HLOOKUP($AH872,Target_monthwise!$D$24:$O$40,DTR!AE$4,FALSE)),0)</f>
        <v>0</v>
      </c>
      <c r="AF872" s="239">
        <f>IFERROR((HLOOKUP($AH872,Target_monthwise!$D$24:$O$40,DTR!AF$4,FALSE)),0)</f>
        <v>0</v>
      </c>
      <c r="AG872" s="172">
        <f>IFERROR((HLOOKUP($AH872,Target_monthwise!$D$24:$O$40,DTR!AG$4,FALSE)),0)</f>
        <v>0</v>
      </c>
      <c r="AH872" s="253">
        <f t="shared" si="15"/>
        <v>202408</v>
      </c>
    </row>
    <row r="873" spans="3:34" ht="15.75" hidden="1">
      <c r="C873" s="235">
        <v>45516</v>
      </c>
      <c r="D873" s="141">
        <f>IFERROR((HLOOKUP($AH873,Target_monthwise!$D$4:$O$20,DTR!D$4,FALSE))*1000,0)</f>
        <v>0</v>
      </c>
      <c r="E873" s="141">
        <f>IFERROR((HLOOKUP($AH873,Target_monthwise!$D$4:$O$20,DTR!E$4,FALSE))*1000,0)</f>
        <v>0</v>
      </c>
      <c r="F873" s="141">
        <f>IFERROR((HLOOKUP($AH873,Target_monthwise!$D$4:$O$20,DTR!F$4,FALSE))*1000,0)</f>
        <v>0</v>
      </c>
      <c r="G873" s="141">
        <f>IFERROR((HLOOKUP($AH873,Target_monthwise!$D$4:$O$20,DTR!G$4,FALSE))*1000,0)</f>
        <v>0</v>
      </c>
      <c r="H873" s="141">
        <f>IFERROR((HLOOKUP($AH873,Target_monthwise!$D$4:$O$20,DTR!H$4,FALSE))*1000,0)</f>
        <v>0</v>
      </c>
      <c r="I873" s="141">
        <f>IFERROR((HLOOKUP($AH873,Target_monthwise!$D$4:$O$20,DTR!I$4,FALSE))*1000,0)</f>
        <v>0</v>
      </c>
      <c r="J873" s="141">
        <f>IFERROR((HLOOKUP($AH873,Target_monthwise!$D$4:$O$20,DTR!J$4,FALSE))*1000,0)</f>
        <v>0</v>
      </c>
      <c r="K873" s="141">
        <f>IFERROR((HLOOKUP($AH873,Target_monthwise!$D$4:$O$20,DTR!K$4,FALSE))*1000,0)</f>
        <v>0</v>
      </c>
      <c r="L873" s="141">
        <f>IFERROR((HLOOKUP($AH873,Target_monthwise!$D$4:$O$20,DTR!L$4,FALSE))*1000,0)</f>
        <v>0</v>
      </c>
      <c r="M873" s="141">
        <f>IFERROR((HLOOKUP($AH873,Target_monthwise!$D$4:$O$20,DTR!M$4,FALSE))*1000,0)</f>
        <v>0</v>
      </c>
      <c r="N873" s="141">
        <f>IFERROR((HLOOKUP($AH873,Target_monthwise!$D$4:$O$20,DTR!N$4,FALSE))*1000,0)</f>
        <v>0</v>
      </c>
      <c r="O873" s="141">
        <f>IFERROR((HLOOKUP($AH873,Target_monthwise!$D$4:$O$20,DTR!O$4,FALSE))*1000,0)</f>
        <v>0</v>
      </c>
      <c r="P873" s="141">
        <f>IFERROR((HLOOKUP($AH873,Target_monthwise!$D$4:$O$20,DTR!P$4,FALSE))*1000,0)</f>
        <v>0</v>
      </c>
      <c r="Q873" s="141">
        <f>IFERROR((HLOOKUP($AH873,Target_monthwise!$D$4:$O$20,DTR!Q$4,FALSE))*1000,0)</f>
        <v>0</v>
      </c>
      <c r="R873" s="167">
        <f>IFERROR((HLOOKUP($AH873,Target_monthwise!$D$4:$O$20,DTR!R$4,FALSE))*1000,0)</f>
        <v>0</v>
      </c>
      <c r="S873" s="147">
        <f>IFERROR((HLOOKUP($AH873,Target_monthwise!$D$24:$O$40,DTR!S$4,FALSE)),0)</f>
        <v>0</v>
      </c>
      <c r="T873" s="147">
        <f>IFERROR((HLOOKUP($AH873,Target_monthwise!$D$24:$O$40,DTR!T$4,FALSE)),0)</f>
        <v>0</v>
      </c>
      <c r="U873" s="147">
        <f>IFERROR((HLOOKUP($AH873,Target_monthwise!$D$24:$O$40,DTR!U$4,FALSE)),0)</f>
        <v>0</v>
      </c>
      <c r="V873" s="147">
        <f>IFERROR((HLOOKUP($AH873,Target_monthwise!$D$24:$O$40,DTR!V$4,FALSE)),0)</f>
        <v>0</v>
      </c>
      <c r="W873" s="147">
        <f>IFERROR((HLOOKUP($AH873,Target_monthwise!$D$24:$O$40,DTR!W$4,FALSE)),0)</f>
        <v>0</v>
      </c>
      <c r="X873" s="147">
        <f>IFERROR((HLOOKUP($AH873,Target_monthwise!$D$24:$O$40,DTR!X$4,FALSE)),0)</f>
        <v>0</v>
      </c>
      <c r="Y873" s="147">
        <f>IFERROR((HLOOKUP($AH873,Target_monthwise!$D$24:$O$40,DTR!Y$4,FALSE)),0)</f>
        <v>0</v>
      </c>
      <c r="Z873" s="147">
        <f>IFERROR((HLOOKUP($AH873,Target_monthwise!$D$24:$O$40,DTR!Z$4,FALSE)),0)</f>
        <v>0</v>
      </c>
      <c r="AA873" s="147">
        <f>IFERROR((HLOOKUP($AH873,Target_monthwise!$D$24:$O$40,DTR!AA$4,FALSE)),0)</f>
        <v>0</v>
      </c>
      <c r="AB873" s="147">
        <f>IFERROR((HLOOKUP($AH873,Target_monthwise!$D$24:$O$40,DTR!AB$4,FALSE)),0)</f>
        <v>0</v>
      </c>
      <c r="AC873" s="147">
        <f>IFERROR((HLOOKUP($AH873,Target_monthwise!$D$24:$O$40,DTR!AC$4,FALSE)),0)</f>
        <v>0</v>
      </c>
      <c r="AD873" s="147">
        <f>IFERROR((HLOOKUP($AH873,Target_monthwise!$D$24:$O$40,DTR!AD$4,FALSE)),0)</f>
        <v>0</v>
      </c>
      <c r="AE873" s="147">
        <f>IFERROR((HLOOKUP($AH873,Target_monthwise!$D$24:$O$40,DTR!AE$4,FALSE)),0)</f>
        <v>0</v>
      </c>
      <c r="AF873" s="147">
        <f>IFERROR((HLOOKUP($AH873,Target_monthwise!$D$24:$O$40,DTR!AF$4,FALSE)),0)</f>
        <v>0</v>
      </c>
      <c r="AG873" s="172">
        <f>IFERROR((HLOOKUP($AH873,Target_monthwise!$D$24:$O$40,DTR!AG$4,FALSE)),0)</f>
        <v>0</v>
      </c>
      <c r="AH873" s="253">
        <f t="shared" si="15"/>
        <v>202408</v>
      </c>
    </row>
    <row r="874" spans="3:34" ht="15.75" hidden="1">
      <c r="C874" s="237">
        <v>45517</v>
      </c>
      <c r="D874" s="238">
        <f>IFERROR((HLOOKUP($AH874,Target_monthwise!$D$4:$O$20,DTR!D$4,FALSE))*1000,0)</f>
        <v>0</v>
      </c>
      <c r="E874" s="238">
        <f>IFERROR((HLOOKUP($AH874,Target_monthwise!$D$4:$O$20,DTR!E$4,FALSE))*1000,0)</f>
        <v>0</v>
      </c>
      <c r="F874" s="238">
        <f>IFERROR((HLOOKUP($AH874,Target_monthwise!$D$4:$O$20,DTR!F$4,FALSE))*1000,0)</f>
        <v>0</v>
      </c>
      <c r="G874" s="238">
        <f>IFERROR((HLOOKUP($AH874,Target_monthwise!$D$4:$O$20,DTR!G$4,FALSE))*1000,0)</f>
        <v>0</v>
      </c>
      <c r="H874" s="238">
        <f>IFERROR((HLOOKUP($AH874,Target_monthwise!$D$4:$O$20,DTR!H$4,FALSE))*1000,0)</f>
        <v>0</v>
      </c>
      <c r="I874" s="238">
        <f>IFERROR((HLOOKUP($AH874,Target_monthwise!$D$4:$O$20,DTR!I$4,FALSE))*1000,0)</f>
        <v>0</v>
      </c>
      <c r="J874" s="238">
        <f>IFERROR((HLOOKUP($AH874,Target_monthwise!$D$4:$O$20,DTR!J$4,FALSE))*1000,0)</f>
        <v>0</v>
      </c>
      <c r="K874" s="238">
        <f>IFERROR((HLOOKUP($AH874,Target_monthwise!$D$4:$O$20,DTR!K$4,FALSE))*1000,0)</f>
        <v>0</v>
      </c>
      <c r="L874" s="238">
        <f>IFERROR((HLOOKUP($AH874,Target_monthwise!$D$4:$O$20,DTR!L$4,FALSE))*1000,0)</f>
        <v>0</v>
      </c>
      <c r="M874" s="238">
        <f>IFERROR((HLOOKUP($AH874,Target_monthwise!$D$4:$O$20,DTR!M$4,FALSE))*1000,0)</f>
        <v>0</v>
      </c>
      <c r="N874" s="238">
        <f>IFERROR((HLOOKUP($AH874,Target_monthwise!$D$4:$O$20,DTR!N$4,FALSE))*1000,0)</f>
        <v>0</v>
      </c>
      <c r="O874" s="238">
        <f>IFERROR((HLOOKUP($AH874,Target_monthwise!$D$4:$O$20,DTR!O$4,FALSE))*1000,0)</f>
        <v>0</v>
      </c>
      <c r="P874" s="238">
        <f>IFERROR((HLOOKUP($AH874,Target_monthwise!$D$4:$O$20,DTR!P$4,FALSE))*1000,0)</f>
        <v>0</v>
      </c>
      <c r="Q874" s="141">
        <f>IFERROR((HLOOKUP($AH874,Target_monthwise!$D$4:$O$20,DTR!Q$4,FALSE))*1000,0)</f>
        <v>0</v>
      </c>
      <c r="R874" s="167">
        <f>IFERROR((HLOOKUP($AH874,Target_monthwise!$D$4:$O$20,DTR!R$4,FALSE))*1000,0)</f>
        <v>0</v>
      </c>
      <c r="S874" s="239">
        <f>IFERROR((HLOOKUP($AH874,Target_monthwise!$D$24:$O$40,DTR!S$4,FALSE)),0)</f>
        <v>0</v>
      </c>
      <c r="T874" s="239">
        <f>IFERROR((HLOOKUP($AH874,Target_monthwise!$D$24:$O$40,DTR!T$4,FALSE)),0)</f>
        <v>0</v>
      </c>
      <c r="U874" s="239">
        <f>IFERROR((HLOOKUP($AH874,Target_monthwise!$D$24:$O$40,DTR!U$4,FALSE)),0)</f>
        <v>0</v>
      </c>
      <c r="V874" s="239">
        <f>IFERROR((HLOOKUP($AH874,Target_monthwise!$D$24:$O$40,DTR!V$4,FALSE)),0)</f>
        <v>0</v>
      </c>
      <c r="W874" s="239">
        <f>IFERROR((HLOOKUP($AH874,Target_monthwise!$D$24:$O$40,DTR!W$4,FALSE)),0)</f>
        <v>0</v>
      </c>
      <c r="X874" s="239">
        <f>IFERROR((HLOOKUP($AH874,Target_monthwise!$D$24:$O$40,DTR!X$4,FALSE)),0)</f>
        <v>0</v>
      </c>
      <c r="Y874" s="239">
        <f>IFERROR((HLOOKUP($AH874,Target_monthwise!$D$24:$O$40,DTR!Y$4,FALSE)),0)</f>
        <v>0</v>
      </c>
      <c r="Z874" s="147">
        <f>IFERROR((HLOOKUP($AH874,Target_monthwise!$D$24:$O$40,DTR!Z$4,FALSE)),0)</f>
        <v>0</v>
      </c>
      <c r="AA874" s="147">
        <f>IFERROR((HLOOKUP($AH874,Target_monthwise!$D$24:$O$40,DTR!AA$4,FALSE)),0)</f>
        <v>0</v>
      </c>
      <c r="AB874" s="147">
        <f>IFERROR((HLOOKUP($AH874,Target_monthwise!$D$24:$O$40,DTR!AB$4,FALSE)),0)</f>
        <v>0</v>
      </c>
      <c r="AC874" s="239">
        <f>IFERROR((HLOOKUP($AH874,Target_monthwise!$D$24:$O$40,DTR!AC$4,FALSE)),0)</f>
        <v>0</v>
      </c>
      <c r="AD874" s="239">
        <f>IFERROR((HLOOKUP($AH874,Target_monthwise!$D$24:$O$40,DTR!AD$4,FALSE)),0)</f>
        <v>0</v>
      </c>
      <c r="AE874" s="239">
        <f>IFERROR((HLOOKUP($AH874,Target_monthwise!$D$24:$O$40,DTR!AE$4,FALSE)),0)</f>
        <v>0</v>
      </c>
      <c r="AF874" s="239">
        <f>IFERROR((HLOOKUP($AH874,Target_monthwise!$D$24:$O$40,DTR!AF$4,FALSE)),0)</f>
        <v>0</v>
      </c>
      <c r="AG874" s="172">
        <f>IFERROR((HLOOKUP($AH874,Target_monthwise!$D$24:$O$40,DTR!AG$4,FALSE)),0)</f>
        <v>0</v>
      </c>
      <c r="AH874" s="253">
        <f t="shared" si="15"/>
        <v>202408</v>
      </c>
    </row>
    <row r="875" spans="3:34" ht="15.75" hidden="1">
      <c r="C875" s="235">
        <v>45518</v>
      </c>
      <c r="D875" s="141">
        <f>IFERROR((HLOOKUP($AH875,Target_monthwise!$D$4:$O$20,DTR!D$4,FALSE))*1000,0)</f>
        <v>0</v>
      </c>
      <c r="E875" s="141">
        <f>IFERROR((HLOOKUP($AH875,Target_monthwise!$D$4:$O$20,DTR!E$4,FALSE))*1000,0)</f>
        <v>0</v>
      </c>
      <c r="F875" s="141">
        <f>IFERROR((HLOOKUP($AH875,Target_monthwise!$D$4:$O$20,DTR!F$4,FALSE))*1000,0)</f>
        <v>0</v>
      </c>
      <c r="G875" s="141">
        <f>IFERROR((HLOOKUP($AH875,Target_monthwise!$D$4:$O$20,DTR!G$4,FALSE))*1000,0)</f>
        <v>0</v>
      </c>
      <c r="H875" s="141">
        <f>IFERROR((HLOOKUP($AH875,Target_monthwise!$D$4:$O$20,DTR!H$4,FALSE))*1000,0)</f>
        <v>0</v>
      </c>
      <c r="I875" s="141">
        <f>IFERROR((HLOOKUP($AH875,Target_monthwise!$D$4:$O$20,DTR!I$4,FALSE))*1000,0)</f>
        <v>0</v>
      </c>
      <c r="J875" s="141">
        <f>IFERROR((HLOOKUP($AH875,Target_monthwise!$D$4:$O$20,DTR!J$4,FALSE))*1000,0)</f>
        <v>0</v>
      </c>
      <c r="K875" s="141">
        <f>IFERROR((HLOOKUP($AH875,Target_monthwise!$D$4:$O$20,DTR!K$4,FALSE))*1000,0)</f>
        <v>0</v>
      </c>
      <c r="L875" s="141">
        <f>IFERROR((HLOOKUP($AH875,Target_monthwise!$D$4:$O$20,DTR!L$4,FALSE))*1000,0)</f>
        <v>0</v>
      </c>
      <c r="M875" s="141">
        <f>IFERROR((HLOOKUP($AH875,Target_monthwise!$D$4:$O$20,DTR!M$4,FALSE))*1000,0)</f>
        <v>0</v>
      </c>
      <c r="N875" s="141">
        <f>IFERROR((HLOOKUP($AH875,Target_monthwise!$D$4:$O$20,DTR!N$4,FALSE))*1000,0)</f>
        <v>0</v>
      </c>
      <c r="O875" s="141">
        <f>IFERROR((HLOOKUP($AH875,Target_monthwise!$D$4:$O$20,DTR!O$4,FALSE))*1000,0)</f>
        <v>0</v>
      </c>
      <c r="P875" s="141">
        <f>IFERROR((HLOOKUP($AH875,Target_monthwise!$D$4:$O$20,DTR!P$4,FALSE))*1000,0)</f>
        <v>0</v>
      </c>
      <c r="Q875" s="141">
        <f>IFERROR((HLOOKUP($AH875,Target_monthwise!$D$4:$O$20,DTR!Q$4,FALSE))*1000,0)</f>
        <v>0</v>
      </c>
      <c r="R875" s="167">
        <f>IFERROR((HLOOKUP($AH875,Target_monthwise!$D$4:$O$20,DTR!R$4,FALSE))*1000,0)</f>
        <v>0</v>
      </c>
      <c r="S875" s="147">
        <f>IFERROR((HLOOKUP($AH875,Target_monthwise!$D$24:$O$40,DTR!S$4,FALSE)),0)</f>
        <v>0</v>
      </c>
      <c r="T875" s="147">
        <f>IFERROR((HLOOKUP($AH875,Target_monthwise!$D$24:$O$40,DTR!T$4,FALSE)),0)</f>
        <v>0</v>
      </c>
      <c r="U875" s="147">
        <f>IFERROR((HLOOKUP($AH875,Target_monthwise!$D$24:$O$40,DTR!U$4,FALSE)),0)</f>
        <v>0</v>
      </c>
      <c r="V875" s="147">
        <f>IFERROR((HLOOKUP($AH875,Target_monthwise!$D$24:$O$40,DTR!V$4,FALSE)),0)</f>
        <v>0</v>
      </c>
      <c r="W875" s="147">
        <f>IFERROR((HLOOKUP($AH875,Target_monthwise!$D$24:$O$40,DTR!W$4,FALSE)),0)</f>
        <v>0</v>
      </c>
      <c r="X875" s="147">
        <f>IFERROR((HLOOKUP($AH875,Target_monthwise!$D$24:$O$40,DTR!X$4,FALSE)),0)</f>
        <v>0</v>
      </c>
      <c r="Y875" s="147">
        <f>IFERROR((HLOOKUP($AH875,Target_monthwise!$D$24:$O$40,DTR!Y$4,FALSE)),0)</f>
        <v>0</v>
      </c>
      <c r="Z875" s="147">
        <f>IFERROR((HLOOKUP($AH875,Target_monthwise!$D$24:$O$40,DTR!Z$4,FALSE)),0)</f>
        <v>0</v>
      </c>
      <c r="AA875" s="147">
        <f>IFERROR((HLOOKUP($AH875,Target_monthwise!$D$24:$O$40,DTR!AA$4,FALSE)),0)</f>
        <v>0</v>
      </c>
      <c r="AB875" s="147">
        <f>IFERROR((HLOOKUP($AH875,Target_monthwise!$D$24:$O$40,DTR!AB$4,FALSE)),0)</f>
        <v>0</v>
      </c>
      <c r="AC875" s="147">
        <f>IFERROR((HLOOKUP($AH875,Target_monthwise!$D$24:$O$40,DTR!AC$4,FALSE)),0)</f>
        <v>0</v>
      </c>
      <c r="AD875" s="147">
        <f>IFERROR((HLOOKUP($AH875,Target_monthwise!$D$24:$O$40,DTR!AD$4,FALSE)),0)</f>
        <v>0</v>
      </c>
      <c r="AE875" s="147">
        <f>IFERROR((HLOOKUP($AH875,Target_monthwise!$D$24:$O$40,DTR!AE$4,FALSE)),0)</f>
        <v>0</v>
      </c>
      <c r="AF875" s="147">
        <f>IFERROR((HLOOKUP($AH875,Target_monthwise!$D$24:$O$40,DTR!AF$4,FALSE)),0)</f>
        <v>0</v>
      </c>
      <c r="AG875" s="172">
        <f>IFERROR((HLOOKUP($AH875,Target_monthwise!$D$24:$O$40,DTR!AG$4,FALSE)),0)</f>
        <v>0</v>
      </c>
      <c r="AH875" s="253">
        <f t="shared" si="15"/>
        <v>202408</v>
      </c>
    </row>
    <row r="876" spans="3:34" ht="15.75" hidden="1">
      <c r="C876" s="237">
        <v>45519</v>
      </c>
      <c r="D876" s="238">
        <f>IFERROR((HLOOKUP($AH876,Target_monthwise!$D$4:$O$20,DTR!D$4,FALSE))*1000,0)</f>
        <v>0</v>
      </c>
      <c r="E876" s="238">
        <f>IFERROR((HLOOKUP($AH876,Target_monthwise!$D$4:$O$20,DTR!E$4,FALSE))*1000,0)</f>
        <v>0</v>
      </c>
      <c r="F876" s="238">
        <f>IFERROR((HLOOKUP($AH876,Target_monthwise!$D$4:$O$20,DTR!F$4,FALSE))*1000,0)</f>
        <v>0</v>
      </c>
      <c r="G876" s="238">
        <f>IFERROR((HLOOKUP($AH876,Target_monthwise!$D$4:$O$20,DTR!G$4,FALSE))*1000,0)</f>
        <v>0</v>
      </c>
      <c r="H876" s="238">
        <f>IFERROR((HLOOKUP($AH876,Target_monthwise!$D$4:$O$20,DTR!H$4,FALSE))*1000,0)</f>
        <v>0</v>
      </c>
      <c r="I876" s="238">
        <f>IFERROR((HLOOKUP($AH876,Target_monthwise!$D$4:$O$20,DTR!I$4,FALSE))*1000,0)</f>
        <v>0</v>
      </c>
      <c r="J876" s="238">
        <f>IFERROR((HLOOKUP($AH876,Target_monthwise!$D$4:$O$20,DTR!J$4,FALSE))*1000,0)</f>
        <v>0</v>
      </c>
      <c r="K876" s="238">
        <f>IFERROR((HLOOKUP($AH876,Target_monthwise!$D$4:$O$20,DTR!K$4,FALSE))*1000,0)</f>
        <v>0</v>
      </c>
      <c r="L876" s="238">
        <f>IFERROR((HLOOKUP($AH876,Target_monthwise!$D$4:$O$20,DTR!L$4,FALSE))*1000,0)</f>
        <v>0</v>
      </c>
      <c r="M876" s="238">
        <f>IFERROR((HLOOKUP($AH876,Target_monthwise!$D$4:$O$20,DTR!M$4,FALSE))*1000,0)</f>
        <v>0</v>
      </c>
      <c r="N876" s="238">
        <f>IFERROR((HLOOKUP($AH876,Target_monthwise!$D$4:$O$20,DTR!N$4,FALSE))*1000,0)</f>
        <v>0</v>
      </c>
      <c r="O876" s="238">
        <f>IFERROR((HLOOKUP($AH876,Target_monthwise!$D$4:$O$20,DTR!O$4,FALSE))*1000,0)</f>
        <v>0</v>
      </c>
      <c r="P876" s="238">
        <f>IFERROR((HLOOKUP($AH876,Target_monthwise!$D$4:$O$20,DTR!P$4,FALSE))*1000,0)</f>
        <v>0</v>
      </c>
      <c r="Q876" s="141">
        <f>IFERROR((HLOOKUP($AH876,Target_monthwise!$D$4:$O$20,DTR!Q$4,FALSE))*1000,0)</f>
        <v>0</v>
      </c>
      <c r="R876" s="167">
        <f>IFERROR((HLOOKUP($AH876,Target_monthwise!$D$4:$O$20,DTR!R$4,FALSE))*1000,0)</f>
        <v>0</v>
      </c>
      <c r="S876" s="239">
        <f>IFERROR((HLOOKUP($AH876,Target_monthwise!$D$24:$O$40,DTR!S$4,FALSE)),0)</f>
        <v>0</v>
      </c>
      <c r="T876" s="239">
        <f>IFERROR((HLOOKUP($AH876,Target_monthwise!$D$24:$O$40,DTR!T$4,FALSE)),0)</f>
        <v>0</v>
      </c>
      <c r="U876" s="239">
        <f>IFERROR((HLOOKUP($AH876,Target_monthwise!$D$24:$O$40,DTR!U$4,FALSE)),0)</f>
        <v>0</v>
      </c>
      <c r="V876" s="239">
        <f>IFERROR((HLOOKUP($AH876,Target_monthwise!$D$24:$O$40,DTR!V$4,FALSE)),0)</f>
        <v>0</v>
      </c>
      <c r="W876" s="239">
        <f>IFERROR((HLOOKUP($AH876,Target_monthwise!$D$24:$O$40,DTR!W$4,FALSE)),0)</f>
        <v>0</v>
      </c>
      <c r="X876" s="239">
        <f>IFERROR((HLOOKUP($AH876,Target_monthwise!$D$24:$O$40,DTR!X$4,FALSE)),0)</f>
        <v>0</v>
      </c>
      <c r="Y876" s="239">
        <f>IFERROR((HLOOKUP($AH876,Target_monthwise!$D$24:$O$40,DTR!Y$4,FALSE)),0)</f>
        <v>0</v>
      </c>
      <c r="Z876" s="147">
        <f>IFERROR((HLOOKUP($AH876,Target_monthwise!$D$24:$O$40,DTR!Z$4,FALSE)),0)</f>
        <v>0</v>
      </c>
      <c r="AA876" s="147">
        <f>IFERROR((HLOOKUP($AH876,Target_monthwise!$D$24:$O$40,DTR!AA$4,FALSE)),0)</f>
        <v>0</v>
      </c>
      <c r="AB876" s="147">
        <f>IFERROR((HLOOKUP($AH876,Target_monthwise!$D$24:$O$40,DTR!AB$4,FALSE)),0)</f>
        <v>0</v>
      </c>
      <c r="AC876" s="239">
        <f>IFERROR((HLOOKUP($AH876,Target_monthwise!$D$24:$O$40,DTR!AC$4,FALSE)),0)</f>
        <v>0</v>
      </c>
      <c r="AD876" s="239">
        <f>IFERROR((HLOOKUP($AH876,Target_monthwise!$D$24:$O$40,DTR!AD$4,FALSE)),0)</f>
        <v>0</v>
      </c>
      <c r="AE876" s="239">
        <f>IFERROR((HLOOKUP($AH876,Target_monthwise!$D$24:$O$40,DTR!AE$4,FALSE)),0)</f>
        <v>0</v>
      </c>
      <c r="AF876" s="239">
        <f>IFERROR((HLOOKUP($AH876,Target_monthwise!$D$24:$O$40,DTR!AF$4,FALSE)),0)</f>
        <v>0</v>
      </c>
      <c r="AG876" s="172">
        <f>IFERROR((HLOOKUP($AH876,Target_monthwise!$D$24:$O$40,DTR!AG$4,FALSE)),0)</f>
        <v>0</v>
      </c>
      <c r="AH876" s="253">
        <f t="shared" si="15"/>
        <v>202408</v>
      </c>
    </row>
    <row r="877" spans="3:34" ht="15.75" hidden="1">
      <c r="C877" s="235">
        <v>45520</v>
      </c>
      <c r="D877" s="141">
        <f>IFERROR((HLOOKUP($AH877,Target_monthwise!$D$4:$O$20,DTR!D$4,FALSE))*1000,0)</f>
        <v>0</v>
      </c>
      <c r="E877" s="141">
        <f>IFERROR((HLOOKUP($AH877,Target_monthwise!$D$4:$O$20,DTR!E$4,FALSE))*1000,0)</f>
        <v>0</v>
      </c>
      <c r="F877" s="141">
        <f>IFERROR((HLOOKUP($AH877,Target_monthwise!$D$4:$O$20,DTR!F$4,FALSE))*1000,0)</f>
        <v>0</v>
      </c>
      <c r="G877" s="141">
        <f>IFERROR((HLOOKUP($AH877,Target_monthwise!$D$4:$O$20,DTR!G$4,FALSE))*1000,0)</f>
        <v>0</v>
      </c>
      <c r="H877" s="141">
        <f>IFERROR((HLOOKUP($AH877,Target_monthwise!$D$4:$O$20,DTR!H$4,FALSE))*1000,0)</f>
        <v>0</v>
      </c>
      <c r="I877" s="141">
        <f>IFERROR((HLOOKUP($AH877,Target_monthwise!$D$4:$O$20,DTR!I$4,FALSE))*1000,0)</f>
        <v>0</v>
      </c>
      <c r="J877" s="141">
        <f>IFERROR((HLOOKUP($AH877,Target_monthwise!$D$4:$O$20,DTR!J$4,FALSE))*1000,0)</f>
        <v>0</v>
      </c>
      <c r="K877" s="141">
        <f>IFERROR((HLOOKUP($AH877,Target_monthwise!$D$4:$O$20,DTR!K$4,FALSE))*1000,0)</f>
        <v>0</v>
      </c>
      <c r="L877" s="141">
        <f>IFERROR((HLOOKUP($AH877,Target_monthwise!$D$4:$O$20,DTR!L$4,FALSE))*1000,0)</f>
        <v>0</v>
      </c>
      <c r="M877" s="141">
        <f>IFERROR((HLOOKUP($AH877,Target_monthwise!$D$4:$O$20,DTR!M$4,FALSE))*1000,0)</f>
        <v>0</v>
      </c>
      <c r="N877" s="141">
        <f>IFERROR((HLOOKUP($AH877,Target_monthwise!$D$4:$O$20,DTR!N$4,FALSE))*1000,0)</f>
        <v>0</v>
      </c>
      <c r="O877" s="141">
        <f>IFERROR((HLOOKUP($AH877,Target_monthwise!$D$4:$O$20,DTR!O$4,FALSE))*1000,0)</f>
        <v>0</v>
      </c>
      <c r="P877" s="141">
        <f>IFERROR((HLOOKUP($AH877,Target_monthwise!$D$4:$O$20,DTR!P$4,FALSE))*1000,0)</f>
        <v>0</v>
      </c>
      <c r="Q877" s="141">
        <f>IFERROR((HLOOKUP($AH877,Target_monthwise!$D$4:$O$20,DTR!Q$4,FALSE))*1000,0)</f>
        <v>0</v>
      </c>
      <c r="R877" s="167">
        <f>IFERROR((HLOOKUP($AH877,Target_monthwise!$D$4:$O$20,DTR!R$4,FALSE))*1000,0)</f>
        <v>0</v>
      </c>
      <c r="S877" s="147">
        <f>IFERROR((HLOOKUP($AH877,Target_monthwise!$D$24:$O$40,DTR!S$4,FALSE)),0)</f>
        <v>0</v>
      </c>
      <c r="T877" s="147">
        <f>IFERROR((HLOOKUP($AH877,Target_monthwise!$D$24:$O$40,DTR!T$4,FALSE)),0)</f>
        <v>0</v>
      </c>
      <c r="U877" s="147">
        <f>IFERROR((HLOOKUP($AH877,Target_monthwise!$D$24:$O$40,DTR!U$4,FALSE)),0)</f>
        <v>0</v>
      </c>
      <c r="V877" s="147">
        <f>IFERROR((HLOOKUP($AH877,Target_monthwise!$D$24:$O$40,DTR!V$4,FALSE)),0)</f>
        <v>0</v>
      </c>
      <c r="W877" s="147">
        <f>IFERROR((HLOOKUP($AH877,Target_monthwise!$D$24:$O$40,DTR!W$4,FALSE)),0)</f>
        <v>0</v>
      </c>
      <c r="X877" s="147">
        <f>IFERROR((HLOOKUP($AH877,Target_monthwise!$D$24:$O$40,DTR!X$4,FALSE)),0)</f>
        <v>0</v>
      </c>
      <c r="Y877" s="147">
        <f>IFERROR((HLOOKUP($AH877,Target_monthwise!$D$24:$O$40,DTR!Y$4,FALSE)),0)</f>
        <v>0</v>
      </c>
      <c r="Z877" s="147">
        <f>IFERROR((HLOOKUP($AH877,Target_monthwise!$D$24:$O$40,DTR!Z$4,FALSE)),0)</f>
        <v>0</v>
      </c>
      <c r="AA877" s="147">
        <f>IFERROR((HLOOKUP($AH877,Target_monthwise!$D$24:$O$40,DTR!AA$4,FALSE)),0)</f>
        <v>0</v>
      </c>
      <c r="AB877" s="147">
        <f>IFERROR((HLOOKUP($AH877,Target_monthwise!$D$24:$O$40,DTR!AB$4,FALSE)),0)</f>
        <v>0</v>
      </c>
      <c r="AC877" s="147">
        <f>IFERROR((HLOOKUP($AH877,Target_monthwise!$D$24:$O$40,DTR!AC$4,FALSE)),0)</f>
        <v>0</v>
      </c>
      <c r="AD877" s="147">
        <f>IFERROR((HLOOKUP($AH877,Target_monthwise!$D$24:$O$40,DTR!AD$4,FALSE)),0)</f>
        <v>0</v>
      </c>
      <c r="AE877" s="147">
        <f>IFERROR((HLOOKUP($AH877,Target_monthwise!$D$24:$O$40,DTR!AE$4,FALSE)),0)</f>
        <v>0</v>
      </c>
      <c r="AF877" s="147">
        <f>IFERROR((HLOOKUP($AH877,Target_monthwise!$D$24:$O$40,DTR!AF$4,FALSE)),0)</f>
        <v>0</v>
      </c>
      <c r="AG877" s="172">
        <f>IFERROR((HLOOKUP($AH877,Target_monthwise!$D$24:$O$40,DTR!AG$4,FALSE)),0)</f>
        <v>0</v>
      </c>
      <c r="AH877" s="253">
        <f t="shared" si="15"/>
        <v>202408</v>
      </c>
    </row>
    <row r="878" spans="3:34" ht="15.75" hidden="1">
      <c r="C878" s="237">
        <v>45521</v>
      </c>
      <c r="D878" s="238">
        <f>IFERROR((HLOOKUP($AH878,Target_monthwise!$D$4:$O$20,DTR!D$4,FALSE))*1000,0)</f>
        <v>0</v>
      </c>
      <c r="E878" s="238">
        <f>IFERROR((HLOOKUP($AH878,Target_monthwise!$D$4:$O$20,DTR!E$4,FALSE))*1000,0)</f>
        <v>0</v>
      </c>
      <c r="F878" s="238">
        <f>IFERROR((HLOOKUP($AH878,Target_monthwise!$D$4:$O$20,DTR!F$4,FALSE))*1000,0)</f>
        <v>0</v>
      </c>
      <c r="G878" s="238">
        <f>IFERROR((HLOOKUP($AH878,Target_monthwise!$D$4:$O$20,DTR!G$4,FALSE))*1000,0)</f>
        <v>0</v>
      </c>
      <c r="H878" s="238">
        <f>IFERROR((HLOOKUP($AH878,Target_monthwise!$D$4:$O$20,DTR!H$4,FALSE))*1000,0)</f>
        <v>0</v>
      </c>
      <c r="I878" s="238">
        <f>IFERROR((HLOOKUP($AH878,Target_monthwise!$D$4:$O$20,DTR!I$4,FALSE))*1000,0)</f>
        <v>0</v>
      </c>
      <c r="J878" s="238">
        <f>IFERROR((HLOOKUP($AH878,Target_monthwise!$D$4:$O$20,DTR!J$4,FALSE))*1000,0)</f>
        <v>0</v>
      </c>
      <c r="K878" s="238">
        <f>IFERROR((HLOOKUP($AH878,Target_monthwise!$D$4:$O$20,DTR!K$4,FALSE))*1000,0)</f>
        <v>0</v>
      </c>
      <c r="L878" s="238">
        <f>IFERROR((HLOOKUP($AH878,Target_monthwise!$D$4:$O$20,DTR!L$4,FALSE))*1000,0)</f>
        <v>0</v>
      </c>
      <c r="M878" s="238">
        <f>IFERROR((HLOOKUP($AH878,Target_monthwise!$D$4:$O$20,DTR!M$4,FALSE))*1000,0)</f>
        <v>0</v>
      </c>
      <c r="N878" s="238">
        <f>IFERROR((HLOOKUP($AH878,Target_monthwise!$D$4:$O$20,DTR!N$4,FALSE))*1000,0)</f>
        <v>0</v>
      </c>
      <c r="O878" s="238">
        <f>IFERROR((HLOOKUP($AH878,Target_monthwise!$D$4:$O$20,DTR!O$4,FALSE))*1000,0)</f>
        <v>0</v>
      </c>
      <c r="P878" s="238">
        <f>IFERROR((HLOOKUP($AH878,Target_monthwise!$D$4:$O$20,DTR!P$4,FALSE))*1000,0)</f>
        <v>0</v>
      </c>
      <c r="Q878" s="141">
        <f>IFERROR((HLOOKUP($AH878,Target_monthwise!$D$4:$O$20,DTR!Q$4,FALSE))*1000,0)</f>
        <v>0</v>
      </c>
      <c r="R878" s="167">
        <f>IFERROR((HLOOKUP($AH878,Target_monthwise!$D$4:$O$20,DTR!R$4,FALSE))*1000,0)</f>
        <v>0</v>
      </c>
      <c r="S878" s="239">
        <f>IFERROR((HLOOKUP($AH878,Target_monthwise!$D$24:$O$40,DTR!S$4,FALSE)),0)</f>
        <v>0</v>
      </c>
      <c r="T878" s="239">
        <f>IFERROR((HLOOKUP($AH878,Target_monthwise!$D$24:$O$40,DTR!T$4,FALSE)),0)</f>
        <v>0</v>
      </c>
      <c r="U878" s="239">
        <f>IFERROR((HLOOKUP($AH878,Target_monthwise!$D$24:$O$40,DTR!U$4,FALSE)),0)</f>
        <v>0</v>
      </c>
      <c r="V878" s="239">
        <f>IFERROR((HLOOKUP($AH878,Target_monthwise!$D$24:$O$40,DTR!V$4,FALSE)),0)</f>
        <v>0</v>
      </c>
      <c r="W878" s="239">
        <f>IFERROR((HLOOKUP($AH878,Target_monthwise!$D$24:$O$40,DTR!W$4,FALSE)),0)</f>
        <v>0</v>
      </c>
      <c r="X878" s="239">
        <f>IFERROR((HLOOKUP($AH878,Target_monthwise!$D$24:$O$40,DTR!X$4,FALSE)),0)</f>
        <v>0</v>
      </c>
      <c r="Y878" s="239">
        <f>IFERROR((HLOOKUP($AH878,Target_monthwise!$D$24:$O$40,DTR!Y$4,FALSE)),0)</f>
        <v>0</v>
      </c>
      <c r="Z878" s="147">
        <f>IFERROR((HLOOKUP($AH878,Target_monthwise!$D$24:$O$40,DTR!Z$4,FALSE)),0)</f>
        <v>0</v>
      </c>
      <c r="AA878" s="147">
        <f>IFERROR((HLOOKUP($AH878,Target_monthwise!$D$24:$O$40,DTR!AA$4,FALSE)),0)</f>
        <v>0</v>
      </c>
      <c r="AB878" s="147">
        <f>IFERROR((HLOOKUP($AH878,Target_monthwise!$D$24:$O$40,DTR!AB$4,FALSE)),0)</f>
        <v>0</v>
      </c>
      <c r="AC878" s="239">
        <f>IFERROR((HLOOKUP($AH878,Target_monthwise!$D$24:$O$40,DTR!AC$4,FALSE)),0)</f>
        <v>0</v>
      </c>
      <c r="AD878" s="239">
        <f>IFERROR((HLOOKUP($AH878,Target_monthwise!$D$24:$O$40,DTR!AD$4,FALSE)),0)</f>
        <v>0</v>
      </c>
      <c r="AE878" s="239">
        <f>IFERROR((HLOOKUP($AH878,Target_monthwise!$D$24:$O$40,DTR!AE$4,FALSE)),0)</f>
        <v>0</v>
      </c>
      <c r="AF878" s="239">
        <f>IFERROR((HLOOKUP($AH878,Target_monthwise!$D$24:$O$40,DTR!AF$4,FALSE)),0)</f>
        <v>0</v>
      </c>
      <c r="AG878" s="172">
        <f>IFERROR((HLOOKUP($AH878,Target_monthwise!$D$24:$O$40,DTR!AG$4,FALSE)),0)</f>
        <v>0</v>
      </c>
      <c r="AH878" s="253">
        <f t="shared" si="15"/>
        <v>202408</v>
      </c>
    </row>
    <row r="879" spans="3:34" ht="15.75" hidden="1">
      <c r="C879" s="235">
        <v>45522</v>
      </c>
      <c r="D879" s="141">
        <f>IFERROR((HLOOKUP($AH879,Target_monthwise!$D$4:$O$20,DTR!D$4,FALSE))*1000,0)</f>
        <v>0</v>
      </c>
      <c r="E879" s="141">
        <f>IFERROR((HLOOKUP($AH879,Target_monthwise!$D$4:$O$20,DTR!E$4,FALSE))*1000,0)</f>
        <v>0</v>
      </c>
      <c r="F879" s="141">
        <f>IFERROR((HLOOKUP($AH879,Target_monthwise!$D$4:$O$20,DTR!F$4,FALSE))*1000,0)</f>
        <v>0</v>
      </c>
      <c r="G879" s="141">
        <f>IFERROR((HLOOKUP($AH879,Target_monthwise!$D$4:$O$20,DTR!G$4,FALSE))*1000,0)</f>
        <v>0</v>
      </c>
      <c r="H879" s="141">
        <f>IFERROR((HLOOKUP($AH879,Target_monthwise!$D$4:$O$20,DTR!H$4,FALSE))*1000,0)</f>
        <v>0</v>
      </c>
      <c r="I879" s="141">
        <f>IFERROR((HLOOKUP($AH879,Target_monthwise!$D$4:$O$20,DTR!I$4,FALSE))*1000,0)</f>
        <v>0</v>
      </c>
      <c r="J879" s="141">
        <f>IFERROR((HLOOKUP($AH879,Target_monthwise!$D$4:$O$20,DTR!J$4,FALSE))*1000,0)</f>
        <v>0</v>
      </c>
      <c r="K879" s="141">
        <f>IFERROR((HLOOKUP($AH879,Target_monthwise!$D$4:$O$20,DTR!K$4,FALSE))*1000,0)</f>
        <v>0</v>
      </c>
      <c r="L879" s="141">
        <f>IFERROR((HLOOKUP($AH879,Target_monthwise!$D$4:$O$20,DTR!L$4,FALSE))*1000,0)</f>
        <v>0</v>
      </c>
      <c r="M879" s="141">
        <f>IFERROR((HLOOKUP($AH879,Target_monthwise!$D$4:$O$20,DTR!M$4,FALSE))*1000,0)</f>
        <v>0</v>
      </c>
      <c r="N879" s="141">
        <f>IFERROR((HLOOKUP($AH879,Target_monthwise!$D$4:$O$20,DTR!N$4,FALSE))*1000,0)</f>
        <v>0</v>
      </c>
      <c r="O879" s="141">
        <f>IFERROR((HLOOKUP($AH879,Target_monthwise!$D$4:$O$20,DTR!O$4,FALSE))*1000,0)</f>
        <v>0</v>
      </c>
      <c r="P879" s="141">
        <f>IFERROR((HLOOKUP($AH879,Target_monthwise!$D$4:$O$20,DTR!P$4,FALSE))*1000,0)</f>
        <v>0</v>
      </c>
      <c r="Q879" s="141">
        <f>IFERROR((HLOOKUP($AH879,Target_monthwise!$D$4:$O$20,DTR!Q$4,FALSE))*1000,0)</f>
        <v>0</v>
      </c>
      <c r="R879" s="167">
        <f>IFERROR((HLOOKUP($AH879,Target_monthwise!$D$4:$O$20,DTR!R$4,FALSE))*1000,0)</f>
        <v>0</v>
      </c>
      <c r="S879" s="147">
        <f>IFERROR((HLOOKUP($AH879,Target_monthwise!$D$24:$O$40,DTR!S$4,FALSE)),0)</f>
        <v>0</v>
      </c>
      <c r="T879" s="147">
        <f>IFERROR((HLOOKUP($AH879,Target_monthwise!$D$24:$O$40,DTR!T$4,FALSE)),0)</f>
        <v>0</v>
      </c>
      <c r="U879" s="147">
        <f>IFERROR((HLOOKUP($AH879,Target_monthwise!$D$24:$O$40,DTR!U$4,FALSE)),0)</f>
        <v>0</v>
      </c>
      <c r="V879" s="147">
        <f>IFERROR((HLOOKUP($AH879,Target_monthwise!$D$24:$O$40,DTR!V$4,FALSE)),0)</f>
        <v>0</v>
      </c>
      <c r="W879" s="147">
        <f>IFERROR((HLOOKUP($AH879,Target_monthwise!$D$24:$O$40,DTR!W$4,FALSE)),0)</f>
        <v>0</v>
      </c>
      <c r="X879" s="147">
        <f>IFERROR((HLOOKUP($AH879,Target_monthwise!$D$24:$O$40,DTR!X$4,FALSE)),0)</f>
        <v>0</v>
      </c>
      <c r="Y879" s="147">
        <f>IFERROR((HLOOKUP($AH879,Target_monthwise!$D$24:$O$40,DTR!Y$4,FALSE)),0)</f>
        <v>0</v>
      </c>
      <c r="Z879" s="147">
        <f>IFERROR((HLOOKUP($AH879,Target_monthwise!$D$24:$O$40,DTR!Z$4,FALSE)),0)</f>
        <v>0</v>
      </c>
      <c r="AA879" s="147">
        <f>IFERROR((HLOOKUP($AH879,Target_monthwise!$D$24:$O$40,DTR!AA$4,FALSE)),0)</f>
        <v>0</v>
      </c>
      <c r="AB879" s="147">
        <f>IFERROR((HLOOKUP($AH879,Target_monthwise!$D$24:$O$40,DTR!AB$4,FALSE)),0)</f>
        <v>0</v>
      </c>
      <c r="AC879" s="147">
        <f>IFERROR((HLOOKUP($AH879,Target_monthwise!$D$24:$O$40,DTR!AC$4,FALSE)),0)</f>
        <v>0</v>
      </c>
      <c r="AD879" s="147">
        <f>IFERROR((HLOOKUP($AH879,Target_monthwise!$D$24:$O$40,DTR!AD$4,FALSE)),0)</f>
        <v>0</v>
      </c>
      <c r="AE879" s="147">
        <f>IFERROR((HLOOKUP($AH879,Target_monthwise!$D$24:$O$40,DTR!AE$4,FALSE)),0)</f>
        <v>0</v>
      </c>
      <c r="AF879" s="147">
        <f>IFERROR((HLOOKUP($AH879,Target_monthwise!$D$24:$O$40,DTR!AF$4,FALSE)),0)</f>
        <v>0</v>
      </c>
      <c r="AG879" s="172">
        <f>IFERROR((HLOOKUP($AH879,Target_monthwise!$D$24:$O$40,DTR!AG$4,FALSE)),0)</f>
        <v>0</v>
      </c>
      <c r="AH879" s="253">
        <f t="shared" si="15"/>
        <v>202408</v>
      </c>
    </row>
    <row r="880" spans="3:34" ht="15.75" hidden="1">
      <c r="C880" s="237">
        <v>45523</v>
      </c>
      <c r="D880" s="238">
        <f>IFERROR((HLOOKUP($AH880,Target_monthwise!$D$4:$O$20,DTR!D$4,FALSE))*1000,0)</f>
        <v>0</v>
      </c>
      <c r="E880" s="238">
        <f>IFERROR((HLOOKUP($AH880,Target_monthwise!$D$4:$O$20,DTR!E$4,FALSE))*1000,0)</f>
        <v>0</v>
      </c>
      <c r="F880" s="238">
        <f>IFERROR((HLOOKUP($AH880,Target_monthwise!$D$4:$O$20,DTR!F$4,FALSE))*1000,0)</f>
        <v>0</v>
      </c>
      <c r="G880" s="238">
        <f>IFERROR((HLOOKUP($AH880,Target_monthwise!$D$4:$O$20,DTR!G$4,FALSE))*1000,0)</f>
        <v>0</v>
      </c>
      <c r="H880" s="238">
        <f>IFERROR((HLOOKUP($AH880,Target_monthwise!$D$4:$O$20,DTR!H$4,FALSE))*1000,0)</f>
        <v>0</v>
      </c>
      <c r="I880" s="238">
        <f>IFERROR((HLOOKUP($AH880,Target_monthwise!$D$4:$O$20,DTR!I$4,FALSE))*1000,0)</f>
        <v>0</v>
      </c>
      <c r="J880" s="238">
        <f>IFERROR((HLOOKUP($AH880,Target_monthwise!$D$4:$O$20,DTR!J$4,FALSE))*1000,0)</f>
        <v>0</v>
      </c>
      <c r="K880" s="238">
        <f>IFERROR((HLOOKUP($AH880,Target_monthwise!$D$4:$O$20,DTR!K$4,FALSE))*1000,0)</f>
        <v>0</v>
      </c>
      <c r="L880" s="238">
        <f>IFERROR((HLOOKUP($AH880,Target_monthwise!$D$4:$O$20,DTR!L$4,FALSE))*1000,0)</f>
        <v>0</v>
      </c>
      <c r="M880" s="238">
        <f>IFERROR((HLOOKUP($AH880,Target_monthwise!$D$4:$O$20,DTR!M$4,FALSE))*1000,0)</f>
        <v>0</v>
      </c>
      <c r="N880" s="238">
        <f>IFERROR((HLOOKUP($AH880,Target_monthwise!$D$4:$O$20,DTR!N$4,FALSE))*1000,0)</f>
        <v>0</v>
      </c>
      <c r="O880" s="238">
        <f>IFERROR((HLOOKUP($AH880,Target_monthwise!$D$4:$O$20,DTR!O$4,FALSE))*1000,0)</f>
        <v>0</v>
      </c>
      <c r="P880" s="238">
        <f>IFERROR((HLOOKUP($AH880,Target_monthwise!$D$4:$O$20,DTR!P$4,FALSE))*1000,0)</f>
        <v>0</v>
      </c>
      <c r="Q880" s="141">
        <f>IFERROR((HLOOKUP($AH880,Target_monthwise!$D$4:$O$20,DTR!Q$4,FALSE))*1000,0)</f>
        <v>0</v>
      </c>
      <c r="R880" s="167">
        <f>IFERROR((HLOOKUP($AH880,Target_monthwise!$D$4:$O$20,DTR!R$4,FALSE))*1000,0)</f>
        <v>0</v>
      </c>
      <c r="S880" s="239">
        <f>IFERROR((HLOOKUP($AH880,Target_monthwise!$D$24:$O$40,DTR!S$4,FALSE)),0)</f>
        <v>0</v>
      </c>
      <c r="T880" s="239">
        <f>IFERROR((HLOOKUP($AH880,Target_monthwise!$D$24:$O$40,DTR!T$4,FALSE)),0)</f>
        <v>0</v>
      </c>
      <c r="U880" s="239">
        <f>IFERROR((HLOOKUP($AH880,Target_monthwise!$D$24:$O$40,DTR!U$4,FALSE)),0)</f>
        <v>0</v>
      </c>
      <c r="V880" s="239">
        <f>IFERROR((HLOOKUP($AH880,Target_monthwise!$D$24:$O$40,DTR!V$4,FALSE)),0)</f>
        <v>0</v>
      </c>
      <c r="W880" s="239">
        <f>IFERROR((HLOOKUP($AH880,Target_monthwise!$D$24:$O$40,DTR!W$4,FALSE)),0)</f>
        <v>0</v>
      </c>
      <c r="X880" s="239">
        <f>IFERROR((HLOOKUP($AH880,Target_monthwise!$D$24:$O$40,DTR!X$4,FALSE)),0)</f>
        <v>0</v>
      </c>
      <c r="Y880" s="239">
        <f>IFERROR((HLOOKUP($AH880,Target_monthwise!$D$24:$O$40,DTR!Y$4,FALSE)),0)</f>
        <v>0</v>
      </c>
      <c r="Z880" s="147">
        <f>IFERROR((HLOOKUP($AH880,Target_monthwise!$D$24:$O$40,DTR!Z$4,FALSE)),0)</f>
        <v>0</v>
      </c>
      <c r="AA880" s="147">
        <f>IFERROR((HLOOKUP($AH880,Target_monthwise!$D$24:$O$40,DTR!AA$4,FALSE)),0)</f>
        <v>0</v>
      </c>
      <c r="AB880" s="147">
        <f>IFERROR((HLOOKUP($AH880,Target_monthwise!$D$24:$O$40,DTR!AB$4,FALSE)),0)</f>
        <v>0</v>
      </c>
      <c r="AC880" s="239">
        <f>IFERROR((HLOOKUP($AH880,Target_monthwise!$D$24:$O$40,DTR!AC$4,FALSE)),0)</f>
        <v>0</v>
      </c>
      <c r="AD880" s="239">
        <f>IFERROR((HLOOKUP($AH880,Target_monthwise!$D$24:$O$40,DTR!AD$4,FALSE)),0)</f>
        <v>0</v>
      </c>
      <c r="AE880" s="239">
        <f>IFERROR((HLOOKUP($AH880,Target_monthwise!$D$24:$O$40,DTR!AE$4,FALSE)),0)</f>
        <v>0</v>
      </c>
      <c r="AF880" s="239">
        <f>IFERROR((HLOOKUP($AH880,Target_monthwise!$D$24:$O$40,DTR!AF$4,FALSE)),0)</f>
        <v>0</v>
      </c>
      <c r="AG880" s="172">
        <f>IFERROR((HLOOKUP($AH880,Target_monthwise!$D$24:$O$40,DTR!AG$4,FALSE)),0)</f>
        <v>0</v>
      </c>
      <c r="AH880" s="253">
        <f t="shared" si="15"/>
        <v>202408</v>
      </c>
    </row>
    <row r="881" spans="3:34" ht="15.75" hidden="1">
      <c r="C881" s="235">
        <v>45524</v>
      </c>
      <c r="D881" s="141">
        <f>IFERROR((HLOOKUP($AH881,Target_monthwise!$D$4:$O$20,DTR!D$4,FALSE))*1000,0)</f>
        <v>0</v>
      </c>
      <c r="E881" s="141">
        <f>IFERROR((HLOOKUP($AH881,Target_monthwise!$D$4:$O$20,DTR!E$4,FALSE))*1000,0)</f>
        <v>0</v>
      </c>
      <c r="F881" s="141">
        <f>IFERROR((HLOOKUP($AH881,Target_monthwise!$D$4:$O$20,DTR!F$4,FALSE))*1000,0)</f>
        <v>0</v>
      </c>
      <c r="G881" s="141">
        <f>IFERROR((HLOOKUP($AH881,Target_monthwise!$D$4:$O$20,DTR!G$4,FALSE))*1000,0)</f>
        <v>0</v>
      </c>
      <c r="H881" s="141">
        <f>IFERROR((HLOOKUP($AH881,Target_monthwise!$D$4:$O$20,DTR!H$4,FALSE))*1000,0)</f>
        <v>0</v>
      </c>
      <c r="I881" s="141">
        <f>IFERROR((HLOOKUP($AH881,Target_monthwise!$D$4:$O$20,DTR!I$4,FALSE))*1000,0)</f>
        <v>0</v>
      </c>
      <c r="J881" s="141">
        <f>IFERROR((HLOOKUP($AH881,Target_monthwise!$D$4:$O$20,DTR!J$4,FALSE))*1000,0)</f>
        <v>0</v>
      </c>
      <c r="K881" s="141">
        <f>IFERROR((HLOOKUP($AH881,Target_monthwise!$D$4:$O$20,DTR!K$4,FALSE))*1000,0)</f>
        <v>0</v>
      </c>
      <c r="L881" s="141">
        <f>IFERROR((HLOOKUP($AH881,Target_monthwise!$D$4:$O$20,DTR!L$4,FALSE))*1000,0)</f>
        <v>0</v>
      </c>
      <c r="M881" s="141">
        <f>IFERROR((HLOOKUP($AH881,Target_monthwise!$D$4:$O$20,DTR!M$4,FALSE))*1000,0)</f>
        <v>0</v>
      </c>
      <c r="N881" s="141">
        <f>IFERROR((HLOOKUP($AH881,Target_monthwise!$D$4:$O$20,DTR!N$4,FALSE))*1000,0)</f>
        <v>0</v>
      </c>
      <c r="O881" s="141">
        <f>IFERROR((HLOOKUP($AH881,Target_monthwise!$D$4:$O$20,DTR!O$4,FALSE))*1000,0)</f>
        <v>0</v>
      </c>
      <c r="P881" s="141">
        <f>IFERROR((HLOOKUP($AH881,Target_monthwise!$D$4:$O$20,DTR!P$4,FALSE))*1000,0)</f>
        <v>0</v>
      </c>
      <c r="Q881" s="141">
        <f>IFERROR((HLOOKUP($AH881,Target_monthwise!$D$4:$O$20,DTR!Q$4,FALSE))*1000,0)</f>
        <v>0</v>
      </c>
      <c r="R881" s="167">
        <f>IFERROR((HLOOKUP($AH881,Target_monthwise!$D$4:$O$20,DTR!R$4,FALSE))*1000,0)</f>
        <v>0</v>
      </c>
      <c r="S881" s="147">
        <f>IFERROR((HLOOKUP($AH881,Target_monthwise!$D$24:$O$40,DTR!S$4,FALSE)),0)</f>
        <v>0</v>
      </c>
      <c r="T881" s="147">
        <f>IFERROR((HLOOKUP($AH881,Target_monthwise!$D$24:$O$40,DTR!T$4,FALSE)),0)</f>
        <v>0</v>
      </c>
      <c r="U881" s="147">
        <f>IFERROR((HLOOKUP($AH881,Target_monthwise!$D$24:$O$40,DTR!U$4,FALSE)),0)</f>
        <v>0</v>
      </c>
      <c r="V881" s="147">
        <f>IFERROR((HLOOKUP($AH881,Target_monthwise!$D$24:$O$40,DTR!V$4,FALSE)),0)</f>
        <v>0</v>
      </c>
      <c r="W881" s="147">
        <f>IFERROR((HLOOKUP($AH881,Target_monthwise!$D$24:$O$40,DTR!W$4,FALSE)),0)</f>
        <v>0</v>
      </c>
      <c r="X881" s="147">
        <f>IFERROR((HLOOKUP($AH881,Target_monthwise!$D$24:$O$40,DTR!X$4,FALSE)),0)</f>
        <v>0</v>
      </c>
      <c r="Y881" s="147">
        <f>IFERROR((HLOOKUP($AH881,Target_monthwise!$D$24:$O$40,DTR!Y$4,FALSE)),0)</f>
        <v>0</v>
      </c>
      <c r="Z881" s="147">
        <f>IFERROR((HLOOKUP($AH881,Target_monthwise!$D$24:$O$40,DTR!Z$4,FALSE)),0)</f>
        <v>0</v>
      </c>
      <c r="AA881" s="147">
        <f>IFERROR((HLOOKUP($AH881,Target_monthwise!$D$24:$O$40,DTR!AA$4,FALSE)),0)</f>
        <v>0</v>
      </c>
      <c r="AB881" s="147">
        <f>IFERROR((HLOOKUP($AH881,Target_monthwise!$D$24:$O$40,DTR!AB$4,FALSE)),0)</f>
        <v>0</v>
      </c>
      <c r="AC881" s="147">
        <f>IFERROR((HLOOKUP($AH881,Target_monthwise!$D$24:$O$40,DTR!AC$4,FALSE)),0)</f>
        <v>0</v>
      </c>
      <c r="AD881" s="147">
        <f>IFERROR((HLOOKUP($AH881,Target_monthwise!$D$24:$O$40,DTR!AD$4,FALSE)),0)</f>
        <v>0</v>
      </c>
      <c r="AE881" s="147">
        <f>IFERROR((HLOOKUP($AH881,Target_monthwise!$D$24:$O$40,DTR!AE$4,FALSE)),0)</f>
        <v>0</v>
      </c>
      <c r="AF881" s="147">
        <f>IFERROR((HLOOKUP($AH881,Target_monthwise!$D$24:$O$40,DTR!AF$4,FALSE)),0)</f>
        <v>0</v>
      </c>
      <c r="AG881" s="172">
        <f>IFERROR((HLOOKUP($AH881,Target_monthwise!$D$24:$O$40,DTR!AG$4,FALSE)),0)</f>
        <v>0</v>
      </c>
      <c r="AH881" s="253">
        <f t="shared" si="15"/>
        <v>202408</v>
      </c>
    </row>
    <row r="882" spans="3:34" ht="15.75" hidden="1">
      <c r="C882" s="237">
        <v>45525</v>
      </c>
      <c r="D882" s="238">
        <f>IFERROR((HLOOKUP($AH882,Target_monthwise!$D$4:$O$20,DTR!D$4,FALSE))*1000,0)</f>
        <v>0</v>
      </c>
      <c r="E882" s="238">
        <f>IFERROR((HLOOKUP($AH882,Target_monthwise!$D$4:$O$20,DTR!E$4,FALSE))*1000,0)</f>
        <v>0</v>
      </c>
      <c r="F882" s="238">
        <f>IFERROR((HLOOKUP($AH882,Target_monthwise!$D$4:$O$20,DTR!F$4,FALSE))*1000,0)</f>
        <v>0</v>
      </c>
      <c r="G882" s="238">
        <f>IFERROR((HLOOKUP($AH882,Target_monthwise!$D$4:$O$20,DTR!G$4,FALSE))*1000,0)</f>
        <v>0</v>
      </c>
      <c r="H882" s="238">
        <f>IFERROR((HLOOKUP($AH882,Target_monthwise!$D$4:$O$20,DTR!H$4,FALSE))*1000,0)</f>
        <v>0</v>
      </c>
      <c r="I882" s="238">
        <f>IFERROR((HLOOKUP($AH882,Target_monthwise!$D$4:$O$20,DTR!I$4,FALSE))*1000,0)</f>
        <v>0</v>
      </c>
      <c r="J882" s="238">
        <f>IFERROR((HLOOKUP($AH882,Target_monthwise!$D$4:$O$20,DTR!J$4,FALSE))*1000,0)</f>
        <v>0</v>
      </c>
      <c r="K882" s="238">
        <f>IFERROR((HLOOKUP($AH882,Target_monthwise!$D$4:$O$20,DTR!K$4,FALSE))*1000,0)</f>
        <v>0</v>
      </c>
      <c r="L882" s="238">
        <f>IFERROR((HLOOKUP($AH882,Target_monthwise!$D$4:$O$20,DTR!L$4,FALSE))*1000,0)</f>
        <v>0</v>
      </c>
      <c r="M882" s="238">
        <f>IFERROR((HLOOKUP($AH882,Target_monthwise!$D$4:$O$20,DTR!M$4,FALSE))*1000,0)</f>
        <v>0</v>
      </c>
      <c r="N882" s="238">
        <f>IFERROR((HLOOKUP($AH882,Target_monthwise!$D$4:$O$20,DTR!N$4,FALSE))*1000,0)</f>
        <v>0</v>
      </c>
      <c r="O882" s="238">
        <f>IFERROR((HLOOKUP($AH882,Target_monthwise!$D$4:$O$20,DTR!O$4,FALSE))*1000,0)</f>
        <v>0</v>
      </c>
      <c r="P882" s="238">
        <f>IFERROR((HLOOKUP($AH882,Target_monthwise!$D$4:$O$20,DTR!P$4,FALSE))*1000,0)</f>
        <v>0</v>
      </c>
      <c r="Q882" s="141">
        <f>IFERROR((HLOOKUP($AH882,Target_monthwise!$D$4:$O$20,DTR!Q$4,FALSE))*1000,0)</f>
        <v>0</v>
      </c>
      <c r="R882" s="167">
        <f>IFERROR((HLOOKUP($AH882,Target_monthwise!$D$4:$O$20,DTR!R$4,FALSE))*1000,0)</f>
        <v>0</v>
      </c>
      <c r="S882" s="239">
        <f>IFERROR((HLOOKUP($AH882,Target_monthwise!$D$24:$O$40,DTR!S$4,FALSE)),0)</f>
        <v>0</v>
      </c>
      <c r="T882" s="239">
        <f>IFERROR((HLOOKUP($AH882,Target_monthwise!$D$24:$O$40,DTR!T$4,FALSE)),0)</f>
        <v>0</v>
      </c>
      <c r="U882" s="239">
        <f>IFERROR((HLOOKUP($AH882,Target_monthwise!$D$24:$O$40,DTR!U$4,FALSE)),0)</f>
        <v>0</v>
      </c>
      <c r="V882" s="239">
        <f>IFERROR((HLOOKUP($AH882,Target_monthwise!$D$24:$O$40,DTR!V$4,FALSE)),0)</f>
        <v>0</v>
      </c>
      <c r="W882" s="239">
        <f>IFERROR((HLOOKUP($AH882,Target_monthwise!$D$24:$O$40,DTR!W$4,FALSE)),0)</f>
        <v>0</v>
      </c>
      <c r="X882" s="239">
        <f>IFERROR((HLOOKUP($AH882,Target_monthwise!$D$24:$O$40,DTR!X$4,FALSE)),0)</f>
        <v>0</v>
      </c>
      <c r="Y882" s="239">
        <f>IFERROR((HLOOKUP($AH882,Target_monthwise!$D$24:$O$40,DTR!Y$4,FALSE)),0)</f>
        <v>0</v>
      </c>
      <c r="Z882" s="147">
        <f>IFERROR((HLOOKUP($AH882,Target_monthwise!$D$24:$O$40,DTR!Z$4,FALSE)),0)</f>
        <v>0</v>
      </c>
      <c r="AA882" s="147">
        <f>IFERROR((HLOOKUP($AH882,Target_monthwise!$D$24:$O$40,DTR!AA$4,FALSE)),0)</f>
        <v>0</v>
      </c>
      <c r="AB882" s="147">
        <f>IFERROR((HLOOKUP($AH882,Target_monthwise!$D$24:$O$40,DTR!AB$4,FALSE)),0)</f>
        <v>0</v>
      </c>
      <c r="AC882" s="239">
        <f>IFERROR((HLOOKUP($AH882,Target_monthwise!$D$24:$O$40,DTR!AC$4,FALSE)),0)</f>
        <v>0</v>
      </c>
      <c r="AD882" s="239">
        <f>IFERROR((HLOOKUP($AH882,Target_monthwise!$D$24:$O$40,DTR!AD$4,FALSE)),0)</f>
        <v>0</v>
      </c>
      <c r="AE882" s="239">
        <f>IFERROR((HLOOKUP($AH882,Target_monthwise!$D$24:$O$40,DTR!AE$4,FALSE)),0)</f>
        <v>0</v>
      </c>
      <c r="AF882" s="239">
        <f>IFERROR((HLOOKUP($AH882,Target_monthwise!$D$24:$O$40,DTR!AF$4,FALSE)),0)</f>
        <v>0</v>
      </c>
      <c r="AG882" s="172">
        <f>IFERROR((HLOOKUP($AH882,Target_monthwise!$D$24:$O$40,DTR!AG$4,FALSE)),0)</f>
        <v>0</v>
      </c>
      <c r="AH882" s="253">
        <f t="shared" si="15"/>
        <v>202408</v>
      </c>
    </row>
    <row r="883" spans="3:34" ht="15.75" hidden="1">
      <c r="C883" s="235">
        <v>45526</v>
      </c>
      <c r="D883" s="141">
        <f>IFERROR((HLOOKUP($AH883,Target_monthwise!$D$4:$O$20,DTR!D$4,FALSE))*1000,0)</f>
        <v>0</v>
      </c>
      <c r="E883" s="141">
        <f>IFERROR((HLOOKUP($AH883,Target_monthwise!$D$4:$O$20,DTR!E$4,FALSE))*1000,0)</f>
        <v>0</v>
      </c>
      <c r="F883" s="141">
        <f>IFERROR((HLOOKUP($AH883,Target_monthwise!$D$4:$O$20,DTR!F$4,FALSE))*1000,0)</f>
        <v>0</v>
      </c>
      <c r="G883" s="141">
        <f>IFERROR((HLOOKUP($AH883,Target_monthwise!$D$4:$O$20,DTR!G$4,FALSE))*1000,0)</f>
        <v>0</v>
      </c>
      <c r="H883" s="141">
        <f>IFERROR((HLOOKUP($AH883,Target_monthwise!$D$4:$O$20,DTR!H$4,FALSE))*1000,0)</f>
        <v>0</v>
      </c>
      <c r="I883" s="141">
        <f>IFERROR((HLOOKUP($AH883,Target_monthwise!$D$4:$O$20,DTR!I$4,FALSE))*1000,0)</f>
        <v>0</v>
      </c>
      <c r="J883" s="141">
        <f>IFERROR((HLOOKUP($AH883,Target_monthwise!$D$4:$O$20,DTR!J$4,FALSE))*1000,0)</f>
        <v>0</v>
      </c>
      <c r="K883" s="141">
        <f>IFERROR((HLOOKUP($AH883,Target_monthwise!$D$4:$O$20,DTR!K$4,FALSE))*1000,0)</f>
        <v>0</v>
      </c>
      <c r="L883" s="141">
        <f>IFERROR((HLOOKUP($AH883,Target_monthwise!$D$4:$O$20,DTR!L$4,FALSE))*1000,0)</f>
        <v>0</v>
      </c>
      <c r="M883" s="141">
        <f>IFERROR((HLOOKUP($AH883,Target_monthwise!$D$4:$O$20,DTR!M$4,FALSE))*1000,0)</f>
        <v>0</v>
      </c>
      <c r="N883" s="141">
        <f>IFERROR((HLOOKUP($AH883,Target_monthwise!$D$4:$O$20,DTR!N$4,FALSE))*1000,0)</f>
        <v>0</v>
      </c>
      <c r="O883" s="141">
        <f>IFERROR((HLOOKUP($AH883,Target_monthwise!$D$4:$O$20,DTR!O$4,FALSE))*1000,0)</f>
        <v>0</v>
      </c>
      <c r="P883" s="141">
        <f>IFERROR((HLOOKUP($AH883,Target_monthwise!$D$4:$O$20,DTR!P$4,FALSE))*1000,0)</f>
        <v>0</v>
      </c>
      <c r="Q883" s="141">
        <f>IFERROR((HLOOKUP($AH883,Target_monthwise!$D$4:$O$20,DTR!Q$4,FALSE))*1000,0)</f>
        <v>0</v>
      </c>
      <c r="R883" s="167">
        <f>IFERROR((HLOOKUP($AH883,Target_monthwise!$D$4:$O$20,DTR!R$4,FALSE))*1000,0)</f>
        <v>0</v>
      </c>
      <c r="S883" s="147">
        <f>IFERROR((HLOOKUP($AH883,Target_monthwise!$D$24:$O$40,DTR!S$4,FALSE)),0)</f>
        <v>0</v>
      </c>
      <c r="T883" s="147">
        <f>IFERROR((HLOOKUP($AH883,Target_monthwise!$D$24:$O$40,DTR!T$4,FALSE)),0)</f>
        <v>0</v>
      </c>
      <c r="U883" s="147">
        <f>IFERROR((HLOOKUP($AH883,Target_monthwise!$D$24:$O$40,DTR!U$4,FALSE)),0)</f>
        <v>0</v>
      </c>
      <c r="V883" s="147">
        <f>IFERROR((HLOOKUP($AH883,Target_monthwise!$D$24:$O$40,DTR!V$4,FALSE)),0)</f>
        <v>0</v>
      </c>
      <c r="W883" s="147">
        <f>IFERROR((HLOOKUP($AH883,Target_monthwise!$D$24:$O$40,DTR!W$4,FALSE)),0)</f>
        <v>0</v>
      </c>
      <c r="X883" s="147">
        <f>IFERROR((HLOOKUP($AH883,Target_monthwise!$D$24:$O$40,DTR!X$4,FALSE)),0)</f>
        <v>0</v>
      </c>
      <c r="Y883" s="147">
        <f>IFERROR((HLOOKUP($AH883,Target_monthwise!$D$24:$O$40,DTR!Y$4,FALSE)),0)</f>
        <v>0</v>
      </c>
      <c r="Z883" s="147">
        <f>IFERROR((HLOOKUP($AH883,Target_monthwise!$D$24:$O$40,DTR!Z$4,FALSE)),0)</f>
        <v>0</v>
      </c>
      <c r="AA883" s="147">
        <f>IFERROR((HLOOKUP($AH883,Target_monthwise!$D$24:$O$40,DTR!AA$4,FALSE)),0)</f>
        <v>0</v>
      </c>
      <c r="AB883" s="147">
        <f>IFERROR((HLOOKUP($AH883,Target_monthwise!$D$24:$O$40,DTR!AB$4,FALSE)),0)</f>
        <v>0</v>
      </c>
      <c r="AC883" s="147">
        <f>IFERROR((HLOOKUP($AH883,Target_monthwise!$D$24:$O$40,DTR!AC$4,FALSE)),0)</f>
        <v>0</v>
      </c>
      <c r="AD883" s="147">
        <f>IFERROR((HLOOKUP($AH883,Target_monthwise!$D$24:$O$40,DTR!AD$4,FALSE)),0)</f>
        <v>0</v>
      </c>
      <c r="AE883" s="147">
        <f>IFERROR((HLOOKUP($AH883,Target_monthwise!$D$24:$O$40,DTR!AE$4,FALSE)),0)</f>
        <v>0</v>
      </c>
      <c r="AF883" s="147">
        <f>IFERROR((HLOOKUP($AH883,Target_monthwise!$D$24:$O$40,DTR!AF$4,FALSE)),0)</f>
        <v>0</v>
      </c>
      <c r="AG883" s="172">
        <f>IFERROR((HLOOKUP($AH883,Target_monthwise!$D$24:$O$40,DTR!AG$4,FALSE)),0)</f>
        <v>0</v>
      </c>
      <c r="AH883" s="253">
        <f t="shared" ref="AH883:AH946" si="16">YEAR(C883)*100+MONTH(C883)</f>
        <v>202408</v>
      </c>
    </row>
    <row r="884" spans="3:34" ht="15.75" hidden="1">
      <c r="C884" s="237">
        <v>45527</v>
      </c>
      <c r="D884" s="238">
        <f>IFERROR((HLOOKUP($AH884,Target_monthwise!$D$4:$O$20,DTR!D$4,FALSE))*1000,0)</f>
        <v>0</v>
      </c>
      <c r="E884" s="238">
        <f>IFERROR((HLOOKUP($AH884,Target_monthwise!$D$4:$O$20,DTR!E$4,FALSE))*1000,0)</f>
        <v>0</v>
      </c>
      <c r="F884" s="238">
        <f>IFERROR((HLOOKUP($AH884,Target_monthwise!$D$4:$O$20,DTR!F$4,FALSE))*1000,0)</f>
        <v>0</v>
      </c>
      <c r="G884" s="238">
        <f>IFERROR((HLOOKUP($AH884,Target_monthwise!$D$4:$O$20,DTR!G$4,FALSE))*1000,0)</f>
        <v>0</v>
      </c>
      <c r="H884" s="238">
        <f>IFERROR((HLOOKUP($AH884,Target_monthwise!$D$4:$O$20,DTR!H$4,FALSE))*1000,0)</f>
        <v>0</v>
      </c>
      <c r="I884" s="238">
        <f>IFERROR((HLOOKUP($AH884,Target_monthwise!$D$4:$O$20,DTR!I$4,FALSE))*1000,0)</f>
        <v>0</v>
      </c>
      <c r="J884" s="238">
        <f>IFERROR((HLOOKUP($AH884,Target_monthwise!$D$4:$O$20,DTR!J$4,FALSE))*1000,0)</f>
        <v>0</v>
      </c>
      <c r="K884" s="238">
        <f>IFERROR((HLOOKUP($AH884,Target_monthwise!$D$4:$O$20,DTR!K$4,FALSE))*1000,0)</f>
        <v>0</v>
      </c>
      <c r="L884" s="238">
        <f>IFERROR((HLOOKUP($AH884,Target_monthwise!$D$4:$O$20,DTR!L$4,FALSE))*1000,0)</f>
        <v>0</v>
      </c>
      <c r="M884" s="238">
        <f>IFERROR((HLOOKUP($AH884,Target_monthwise!$D$4:$O$20,DTR!M$4,FALSE))*1000,0)</f>
        <v>0</v>
      </c>
      <c r="N884" s="238">
        <f>IFERROR((HLOOKUP($AH884,Target_monthwise!$D$4:$O$20,DTR!N$4,FALSE))*1000,0)</f>
        <v>0</v>
      </c>
      <c r="O884" s="238">
        <f>IFERROR((HLOOKUP($AH884,Target_monthwise!$D$4:$O$20,DTR!O$4,FALSE))*1000,0)</f>
        <v>0</v>
      </c>
      <c r="P884" s="238">
        <f>IFERROR((HLOOKUP($AH884,Target_monthwise!$D$4:$O$20,DTR!P$4,FALSE))*1000,0)</f>
        <v>0</v>
      </c>
      <c r="Q884" s="141">
        <f>IFERROR((HLOOKUP($AH884,Target_monthwise!$D$4:$O$20,DTR!Q$4,FALSE))*1000,0)</f>
        <v>0</v>
      </c>
      <c r="R884" s="167">
        <f>IFERROR((HLOOKUP($AH884,Target_monthwise!$D$4:$O$20,DTR!R$4,FALSE))*1000,0)</f>
        <v>0</v>
      </c>
      <c r="S884" s="239">
        <f>IFERROR((HLOOKUP($AH884,Target_monthwise!$D$24:$O$40,DTR!S$4,FALSE)),0)</f>
        <v>0</v>
      </c>
      <c r="T884" s="239">
        <f>IFERROR((HLOOKUP($AH884,Target_monthwise!$D$24:$O$40,DTR!T$4,FALSE)),0)</f>
        <v>0</v>
      </c>
      <c r="U884" s="239">
        <f>IFERROR((HLOOKUP($AH884,Target_monthwise!$D$24:$O$40,DTR!U$4,FALSE)),0)</f>
        <v>0</v>
      </c>
      <c r="V884" s="239">
        <f>IFERROR((HLOOKUP($AH884,Target_monthwise!$D$24:$O$40,DTR!V$4,FALSE)),0)</f>
        <v>0</v>
      </c>
      <c r="W884" s="239">
        <f>IFERROR((HLOOKUP($AH884,Target_monthwise!$D$24:$O$40,DTR!W$4,FALSE)),0)</f>
        <v>0</v>
      </c>
      <c r="X884" s="239">
        <f>IFERROR((HLOOKUP($AH884,Target_monthwise!$D$24:$O$40,DTR!X$4,FALSE)),0)</f>
        <v>0</v>
      </c>
      <c r="Y884" s="239">
        <f>IFERROR((HLOOKUP($AH884,Target_monthwise!$D$24:$O$40,DTR!Y$4,FALSE)),0)</f>
        <v>0</v>
      </c>
      <c r="Z884" s="147">
        <f>IFERROR((HLOOKUP($AH884,Target_monthwise!$D$24:$O$40,DTR!Z$4,FALSE)),0)</f>
        <v>0</v>
      </c>
      <c r="AA884" s="147">
        <f>IFERROR((HLOOKUP($AH884,Target_monthwise!$D$24:$O$40,DTR!AA$4,FALSE)),0)</f>
        <v>0</v>
      </c>
      <c r="AB884" s="147">
        <f>IFERROR((HLOOKUP($AH884,Target_monthwise!$D$24:$O$40,DTR!AB$4,FALSE)),0)</f>
        <v>0</v>
      </c>
      <c r="AC884" s="239">
        <f>IFERROR((HLOOKUP($AH884,Target_monthwise!$D$24:$O$40,DTR!AC$4,FALSE)),0)</f>
        <v>0</v>
      </c>
      <c r="AD884" s="239">
        <f>IFERROR((HLOOKUP($AH884,Target_monthwise!$D$24:$O$40,DTR!AD$4,FALSE)),0)</f>
        <v>0</v>
      </c>
      <c r="AE884" s="239">
        <f>IFERROR((HLOOKUP($AH884,Target_monthwise!$D$24:$O$40,DTR!AE$4,FALSE)),0)</f>
        <v>0</v>
      </c>
      <c r="AF884" s="239">
        <f>IFERROR((HLOOKUP($AH884,Target_monthwise!$D$24:$O$40,DTR!AF$4,FALSE)),0)</f>
        <v>0</v>
      </c>
      <c r="AG884" s="172">
        <f>IFERROR((HLOOKUP($AH884,Target_monthwise!$D$24:$O$40,DTR!AG$4,FALSE)),0)</f>
        <v>0</v>
      </c>
      <c r="AH884" s="253">
        <f t="shared" si="16"/>
        <v>202408</v>
      </c>
    </row>
    <row r="885" spans="3:34" ht="15.75" hidden="1">
      <c r="C885" s="235">
        <v>45528</v>
      </c>
      <c r="D885" s="141">
        <f>IFERROR((HLOOKUP($AH885,Target_monthwise!$D$4:$O$20,DTR!D$4,FALSE))*1000,0)</f>
        <v>0</v>
      </c>
      <c r="E885" s="141">
        <f>IFERROR((HLOOKUP($AH885,Target_monthwise!$D$4:$O$20,DTR!E$4,FALSE))*1000,0)</f>
        <v>0</v>
      </c>
      <c r="F885" s="141">
        <f>IFERROR((HLOOKUP($AH885,Target_monthwise!$D$4:$O$20,DTR!F$4,FALSE))*1000,0)</f>
        <v>0</v>
      </c>
      <c r="G885" s="141">
        <f>IFERROR((HLOOKUP($AH885,Target_monthwise!$D$4:$O$20,DTR!G$4,FALSE))*1000,0)</f>
        <v>0</v>
      </c>
      <c r="H885" s="141">
        <f>IFERROR((HLOOKUP($AH885,Target_monthwise!$D$4:$O$20,DTR!H$4,FALSE))*1000,0)</f>
        <v>0</v>
      </c>
      <c r="I885" s="141">
        <f>IFERROR((HLOOKUP($AH885,Target_monthwise!$D$4:$O$20,DTR!I$4,FALSE))*1000,0)</f>
        <v>0</v>
      </c>
      <c r="J885" s="141">
        <f>IFERROR((HLOOKUP($AH885,Target_monthwise!$D$4:$O$20,DTR!J$4,FALSE))*1000,0)</f>
        <v>0</v>
      </c>
      <c r="K885" s="141">
        <f>IFERROR((HLOOKUP($AH885,Target_monthwise!$D$4:$O$20,DTR!K$4,FALSE))*1000,0)</f>
        <v>0</v>
      </c>
      <c r="L885" s="141">
        <f>IFERROR((HLOOKUP($AH885,Target_monthwise!$D$4:$O$20,DTR!L$4,FALSE))*1000,0)</f>
        <v>0</v>
      </c>
      <c r="M885" s="141">
        <f>IFERROR((HLOOKUP($AH885,Target_monthwise!$D$4:$O$20,DTR!M$4,FALSE))*1000,0)</f>
        <v>0</v>
      </c>
      <c r="N885" s="141">
        <f>IFERROR((HLOOKUP($AH885,Target_monthwise!$D$4:$O$20,DTR!N$4,FALSE))*1000,0)</f>
        <v>0</v>
      </c>
      <c r="O885" s="141">
        <f>IFERROR((HLOOKUP($AH885,Target_monthwise!$D$4:$O$20,DTR!O$4,FALSE))*1000,0)</f>
        <v>0</v>
      </c>
      <c r="P885" s="141">
        <f>IFERROR((HLOOKUP($AH885,Target_monthwise!$D$4:$O$20,DTR!P$4,FALSE))*1000,0)</f>
        <v>0</v>
      </c>
      <c r="Q885" s="141">
        <f>IFERROR((HLOOKUP($AH885,Target_monthwise!$D$4:$O$20,DTR!Q$4,FALSE))*1000,0)</f>
        <v>0</v>
      </c>
      <c r="R885" s="167">
        <f>IFERROR((HLOOKUP($AH885,Target_monthwise!$D$4:$O$20,DTR!R$4,FALSE))*1000,0)</f>
        <v>0</v>
      </c>
      <c r="S885" s="147">
        <f>IFERROR((HLOOKUP($AH885,Target_monthwise!$D$24:$O$40,DTR!S$4,FALSE)),0)</f>
        <v>0</v>
      </c>
      <c r="T885" s="147">
        <f>IFERROR((HLOOKUP($AH885,Target_monthwise!$D$24:$O$40,DTR!T$4,FALSE)),0)</f>
        <v>0</v>
      </c>
      <c r="U885" s="147">
        <f>IFERROR((HLOOKUP($AH885,Target_monthwise!$D$24:$O$40,DTR!U$4,FALSE)),0)</f>
        <v>0</v>
      </c>
      <c r="V885" s="147">
        <f>IFERROR((HLOOKUP($AH885,Target_monthwise!$D$24:$O$40,DTR!V$4,FALSE)),0)</f>
        <v>0</v>
      </c>
      <c r="W885" s="147">
        <f>IFERROR((HLOOKUP($AH885,Target_monthwise!$D$24:$O$40,DTR!W$4,FALSE)),0)</f>
        <v>0</v>
      </c>
      <c r="X885" s="147">
        <f>IFERROR((HLOOKUP($AH885,Target_monthwise!$D$24:$O$40,DTR!X$4,FALSE)),0)</f>
        <v>0</v>
      </c>
      <c r="Y885" s="147">
        <f>IFERROR((HLOOKUP($AH885,Target_monthwise!$D$24:$O$40,DTR!Y$4,FALSE)),0)</f>
        <v>0</v>
      </c>
      <c r="Z885" s="147">
        <f>IFERROR((HLOOKUP($AH885,Target_monthwise!$D$24:$O$40,DTR!Z$4,FALSE)),0)</f>
        <v>0</v>
      </c>
      <c r="AA885" s="147">
        <f>IFERROR((HLOOKUP($AH885,Target_monthwise!$D$24:$O$40,DTR!AA$4,FALSE)),0)</f>
        <v>0</v>
      </c>
      <c r="AB885" s="147">
        <f>IFERROR((HLOOKUP($AH885,Target_monthwise!$D$24:$O$40,DTR!AB$4,FALSE)),0)</f>
        <v>0</v>
      </c>
      <c r="AC885" s="147">
        <f>IFERROR((HLOOKUP($AH885,Target_monthwise!$D$24:$O$40,DTR!AC$4,FALSE)),0)</f>
        <v>0</v>
      </c>
      <c r="AD885" s="147">
        <f>IFERROR((HLOOKUP($AH885,Target_monthwise!$D$24:$O$40,DTR!AD$4,FALSE)),0)</f>
        <v>0</v>
      </c>
      <c r="AE885" s="147">
        <f>IFERROR((HLOOKUP($AH885,Target_monthwise!$D$24:$O$40,DTR!AE$4,FALSE)),0)</f>
        <v>0</v>
      </c>
      <c r="AF885" s="147">
        <f>IFERROR((HLOOKUP($AH885,Target_monthwise!$D$24:$O$40,DTR!AF$4,FALSE)),0)</f>
        <v>0</v>
      </c>
      <c r="AG885" s="172">
        <f>IFERROR((HLOOKUP($AH885,Target_monthwise!$D$24:$O$40,DTR!AG$4,FALSE)),0)</f>
        <v>0</v>
      </c>
      <c r="AH885" s="253">
        <f t="shared" si="16"/>
        <v>202408</v>
      </c>
    </row>
    <row r="886" spans="3:34" ht="15.75" hidden="1">
      <c r="C886" s="237">
        <v>45529</v>
      </c>
      <c r="D886" s="238">
        <f>IFERROR((HLOOKUP($AH886,Target_monthwise!$D$4:$O$20,DTR!D$4,FALSE))*1000,0)</f>
        <v>0</v>
      </c>
      <c r="E886" s="238">
        <f>IFERROR((HLOOKUP($AH886,Target_monthwise!$D$4:$O$20,DTR!E$4,FALSE))*1000,0)</f>
        <v>0</v>
      </c>
      <c r="F886" s="238">
        <f>IFERROR((HLOOKUP($AH886,Target_monthwise!$D$4:$O$20,DTR!F$4,FALSE))*1000,0)</f>
        <v>0</v>
      </c>
      <c r="G886" s="238">
        <f>IFERROR((HLOOKUP($AH886,Target_monthwise!$D$4:$O$20,DTR!G$4,FALSE))*1000,0)</f>
        <v>0</v>
      </c>
      <c r="H886" s="238">
        <f>IFERROR((HLOOKUP($AH886,Target_monthwise!$D$4:$O$20,DTR!H$4,FALSE))*1000,0)</f>
        <v>0</v>
      </c>
      <c r="I886" s="238">
        <f>IFERROR((HLOOKUP($AH886,Target_monthwise!$D$4:$O$20,DTR!I$4,FALSE))*1000,0)</f>
        <v>0</v>
      </c>
      <c r="J886" s="238">
        <f>IFERROR((HLOOKUP($AH886,Target_monthwise!$D$4:$O$20,DTR!J$4,FALSE))*1000,0)</f>
        <v>0</v>
      </c>
      <c r="K886" s="238">
        <f>IFERROR((HLOOKUP($AH886,Target_monthwise!$D$4:$O$20,DTR!K$4,FALSE))*1000,0)</f>
        <v>0</v>
      </c>
      <c r="L886" s="238">
        <f>IFERROR((HLOOKUP($AH886,Target_monthwise!$D$4:$O$20,DTR!L$4,FALSE))*1000,0)</f>
        <v>0</v>
      </c>
      <c r="M886" s="238">
        <f>IFERROR((HLOOKUP($AH886,Target_monthwise!$D$4:$O$20,DTR!M$4,FALSE))*1000,0)</f>
        <v>0</v>
      </c>
      <c r="N886" s="238">
        <f>IFERROR((HLOOKUP($AH886,Target_monthwise!$D$4:$O$20,DTR!N$4,FALSE))*1000,0)</f>
        <v>0</v>
      </c>
      <c r="O886" s="238">
        <f>IFERROR((HLOOKUP($AH886,Target_monthwise!$D$4:$O$20,DTR!O$4,FALSE))*1000,0)</f>
        <v>0</v>
      </c>
      <c r="P886" s="238">
        <f>IFERROR((HLOOKUP($AH886,Target_monthwise!$D$4:$O$20,DTR!P$4,FALSE))*1000,0)</f>
        <v>0</v>
      </c>
      <c r="Q886" s="141">
        <f>IFERROR((HLOOKUP($AH886,Target_monthwise!$D$4:$O$20,DTR!Q$4,FALSE))*1000,0)</f>
        <v>0</v>
      </c>
      <c r="R886" s="167">
        <f>IFERROR((HLOOKUP($AH886,Target_monthwise!$D$4:$O$20,DTR!R$4,FALSE))*1000,0)</f>
        <v>0</v>
      </c>
      <c r="S886" s="239">
        <f>IFERROR((HLOOKUP($AH886,Target_monthwise!$D$24:$O$40,DTR!S$4,FALSE)),0)</f>
        <v>0</v>
      </c>
      <c r="T886" s="239">
        <f>IFERROR((HLOOKUP($AH886,Target_monthwise!$D$24:$O$40,DTR!T$4,FALSE)),0)</f>
        <v>0</v>
      </c>
      <c r="U886" s="239">
        <f>IFERROR((HLOOKUP($AH886,Target_monthwise!$D$24:$O$40,DTR!U$4,FALSE)),0)</f>
        <v>0</v>
      </c>
      <c r="V886" s="239">
        <f>IFERROR((HLOOKUP($AH886,Target_monthwise!$D$24:$O$40,DTR!V$4,FALSE)),0)</f>
        <v>0</v>
      </c>
      <c r="W886" s="239">
        <f>IFERROR((HLOOKUP($AH886,Target_monthwise!$D$24:$O$40,DTR!W$4,FALSE)),0)</f>
        <v>0</v>
      </c>
      <c r="X886" s="239">
        <f>IFERROR((HLOOKUP($AH886,Target_monthwise!$D$24:$O$40,DTR!X$4,FALSE)),0)</f>
        <v>0</v>
      </c>
      <c r="Y886" s="239">
        <f>IFERROR((HLOOKUP($AH886,Target_monthwise!$D$24:$O$40,DTR!Y$4,FALSE)),0)</f>
        <v>0</v>
      </c>
      <c r="Z886" s="147">
        <f>IFERROR((HLOOKUP($AH886,Target_monthwise!$D$24:$O$40,DTR!Z$4,FALSE)),0)</f>
        <v>0</v>
      </c>
      <c r="AA886" s="147">
        <f>IFERROR((HLOOKUP($AH886,Target_monthwise!$D$24:$O$40,DTR!AA$4,FALSE)),0)</f>
        <v>0</v>
      </c>
      <c r="AB886" s="147">
        <f>IFERROR((HLOOKUP($AH886,Target_monthwise!$D$24:$O$40,DTR!AB$4,FALSE)),0)</f>
        <v>0</v>
      </c>
      <c r="AC886" s="239">
        <f>IFERROR((HLOOKUP($AH886,Target_monthwise!$D$24:$O$40,DTR!AC$4,FALSE)),0)</f>
        <v>0</v>
      </c>
      <c r="AD886" s="239">
        <f>IFERROR((HLOOKUP($AH886,Target_monthwise!$D$24:$O$40,DTR!AD$4,FALSE)),0)</f>
        <v>0</v>
      </c>
      <c r="AE886" s="239">
        <f>IFERROR((HLOOKUP($AH886,Target_monthwise!$D$24:$O$40,DTR!AE$4,FALSE)),0)</f>
        <v>0</v>
      </c>
      <c r="AF886" s="239">
        <f>IFERROR((HLOOKUP($AH886,Target_monthwise!$D$24:$O$40,DTR!AF$4,FALSE)),0)</f>
        <v>0</v>
      </c>
      <c r="AG886" s="172">
        <f>IFERROR((HLOOKUP($AH886,Target_monthwise!$D$24:$O$40,DTR!AG$4,FALSE)),0)</f>
        <v>0</v>
      </c>
      <c r="AH886" s="253">
        <f t="shared" si="16"/>
        <v>202408</v>
      </c>
    </row>
    <row r="887" spans="3:34" ht="15.75" hidden="1">
      <c r="C887" s="235">
        <v>45530</v>
      </c>
      <c r="D887" s="141">
        <f>IFERROR((HLOOKUP($AH887,Target_monthwise!$D$4:$O$20,DTR!D$4,FALSE))*1000,0)</f>
        <v>0</v>
      </c>
      <c r="E887" s="141">
        <f>IFERROR((HLOOKUP($AH887,Target_monthwise!$D$4:$O$20,DTR!E$4,FALSE))*1000,0)</f>
        <v>0</v>
      </c>
      <c r="F887" s="141">
        <f>IFERROR((HLOOKUP($AH887,Target_monthwise!$D$4:$O$20,DTR!F$4,FALSE))*1000,0)</f>
        <v>0</v>
      </c>
      <c r="G887" s="141">
        <f>IFERROR((HLOOKUP($AH887,Target_monthwise!$D$4:$O$20,DTR!G$4,FALSE))*1000,0)</f>
        <v>0</v>
      </c>
      <c r="H887" s="141">
        <f>IFERROR((HLOOKUP($AH887,Target_monthwise!$D$4:$O$20,DTR!H$4,FALSE))*1000,0)</f>
        <v>0</v>
      </c>
      <c r="I887" s="141">
        <f>IFERROR((HLOOKUP($AH887,Target_monthwise!$D$4:$O$20,DTR!I$4,FALSE))*1000,0)</f>
        <v>0</v>
      </c>
      <c r="J887" s="141">
        <f>IFERROR((HLOOKUP($AH887,Target_monthwise!$D$4:$O$20,DTR!J$4,FALSE))*1000,0)</f>
        <v>0</v>
      </c>
      <c r="K887" s="141">
        <f>IFERROR((HLOOKUP($AH887,Target_monthwise!$D$4:$O$20,DTR!K$4,FALSE))*1000,0)</f>
        <v>0</v>
      </c>
      <c r="L887" s="141">
        <f>IFERROR((HLOOKUP($AH887,Target_monthwise!$D$4:$O$20,DTR!L$4,FALSE))*1000,0)</f>
        <v>0</v>
      </c>
      <c r="M887" s="141">
        <f>IFERROR((HLOOKUP($AH887,Target_monthwise!$D$4:$O$20,DTR!M$4,FALSE))*1000,0)</f>
        <v>0</v>
      </c>
      <c r="N887" s="141">
        <f>IFERROR((HLOOKUP($AH887,Target_monthwise!$D$4:$O$20,DTR!N$4,FALSE))*1000,0)</f>
        <v>0</v>
      </c>
      <c r="O887" s="141">
        <f>IFERROR((HLOOKUP($AH887,Target_monthwise!$D$4:$O$20,DTR!O$4,FALSE))*1000,0)</f>
        <v>0</v>
      </c>
      <c r="P887" s="141">
        <f>IFERROR((HLOOKUP($AH887,Target_monthwise!$D$4:$O$20,DTR!P$4,FALSE))*1000,0)</f>
        <v>0</v>
      </c>
      <c r="Q887" s="141">
        <f>IFERROR((HLOOKUP($AH887,Target_monthwise!$D$4:$O$20,DTR!Q$4,FALSE))*1000,0)</f>
        <v>0</v>
      </c>
      <c r="R887" s="167">
        <f>IFERROR((HLOOKUP($AH887,Target_monthwise!$D$4:$O$20,DTR!R$4,FALSE))*1000,0)</f>
        <v>0</v>
      </c>
      <c r="S887" s="147">
        <f>IFERROR((HLOOKUP($AH887,Target_monthwise!$D$24:$O$40,DTR!S$4,FALSE)),0)</f>
        <v>0</v>
      </c>
      <c r="T887" s="147">
        <f>IFERROR((HLOOKUP($AH887,Target_monthwise!$D$24:$O$40,DTR!T$4,FALSE)),0)</f>
        <v>0</v>
      </c>
      <c r="U887" s="147">
        <f>IFERROR((HLOOKUP($AH887,Target_monthwise!$D$24:$O$40,DTR!U$4,FALSE)),0)</f>
        <v>0</v>
      </c>
      <c r="V887" s="147">
        <f>IFERROR((HLOOKUP($AH887,Target_monthwise!$D$24:$O$40,DTR!V$4,FALSE)),0)</f>
        <v>0</v>
      </c>
      <c r="W887" s="147">
        <f>IFERROR((HLOOKUP($AH887,Target_monthwise!$D$24:$O$40,DTR!W$4,FALSE)),0)</f>
        <v>0</v>
      </c>
      <c r="X887" s="147">
        <f>IFERROR((HLOOKUP($AH887,Target_monthwise!$D$24:$O$40,DTR!X$4,FALSE)),0)</f>
        <v>0</v>
      </c>
      <c r="Y887" s="147">
        <f>IFERROR((HLOOKUP($AH887,Target_monthwise!$D$24:$O$40,DTR!Y$4,FALSE)),0)</f>
        <v>0</v>
      </c>
      <c r="Z887" s="147">
        <f>IFERROR((HLOOKUP($AH887,Target_monthwise!$D$24:$O$40,DTR!Z$4,FALSE)),0)</f>
        <v>0</v>
      </c>
      <c r="AA887" s="147">
        <f>IFERROR((HLOOKUP($AH887,Target_monthwise!$D$24:$O$40,DTR!AA$4,FALSE)),0)</f>
        <v>0</v>
      </c>
      <c r="AB887" s="147">
        <f>IFERROR((HLOOKUP($AH887,Target_monthwise!$D$24:$O$40,DTR!AB$4,FALSE)),0)</f>
        <v>0</v>
      </c>
      <c r="AC887" s="147">
        <f>IFERROR((HLOOKUP($AH887,Target_monthwise!$D$24:$O$40,DTR!AC$4,FALSE)),0)</f>
        <v>0</v>
      </c>
      <c r="AD887" s="147">
        <f>IFERROR((HLOOKUP($AH887,Target_monthwise!$D$24:$O$40,DTR!AD$4,FALSE)),0)</f>
        <v>0</v>
      </c>
      <c r="AE887" s="147">
        <f>IFERROR((HLOOKUP($AH887,Target_monthwise!$D$24:$O$40,DTR!AE$4,FALSE)),0)</f>
        <v>0</v>
      </c>
      <c r="AF887" s="147">
        <f>IFERROR((HLOOKUP($AH887,Target_monthwise!$D$24:$O$40,DTR!AF$4,FALSE)),0)</f>
        <v>0</v>
      </c>
      <c r="AG887" s="172">
        <f>IFERROR((HLOOKUP($AH887,Target_monthwise!$D$24:$O$40,DTR!AG$4,FALSE)),0)</f>
        <v>0</v>
      </c>
      <c r="AH887" s="253">
        <f t="shared" si="16"/>
        <v>202408</v>
      </c>
    </row>
    <row r="888" spans="3:34" ht="15.75" hidden="1">
      <c r="C888" s="237">
        <v>45531</v>
      </c>
      <c r="D888" s="238">
        <f>IFERROR((HLOOKUP($AH888,Target_monthwise!$D$4:$O$20,DTR!D$4,FALSE))*1000,0)</f>
        <v>0</v>
      </c>
      <c r="E888" s="238">
        <f>IFERROR((HLOOKUP($AH888,Target_monthwise!$D$4:$O$20,DTR!E$4,FALSE))*1000,0)</f>
        <v>0</v>
      </c>
      <c r="F888" s="238">
        <f>IFERROR((HLOOKUP($AH888,Target_monthwise!$D$4:$O$20,DTR!F$4,FALSE))*1000,0)</f>
        <v>0</v>
      </c>
      <c r="G888" s="238">
        <f>IFERROR((HLOOKUP($AH888,Target_monthwise!$D$4:$O$20,DTR!G$4,FALSE))*1000,0)</f>
        <v>0</v>
      </c>
      <c r="H888" s="238">
        <f>IFERROR((HLOOKUP($AH888,Target_monthwise!$D$4:$O$20,DTR!H$4,FALSE))*1000,0)</f>
        <v>0</v>
      </c>
      <c r="I888" s="238">
        <f>IFERROR((HLOOKUP($AH888,Target_monthwise!$D$4:$O$20,DTR!I$4,FALSE))*1000,0)</f>
        <v>0</v>
      </c>
      <c r="J888" s="238">
        <f>IFERROR((HLOOKUP($AH888,Target_monthwise!$D$4:$O$20,DTR!J$4,FALSE))*1000,0)</f>
        <v>0</v>
      </c>
      <c r="K888" s="238">
        <f>IFERROR((HLOOKUP($AH888,Target_monthwise!$D$4:$O$20,DTR!K$4,FALSE))*1000,0)</f>
        <v>0</v>
      </c>
      <c r="L888" s="238">
        <f>IFERROR((HLOOKUP($AH888,Target_monthwise!$D$4:$O$20,DTR!L$4,FALSE))*1000,0)</f>
        <v>0</v>
      </c>
      <c r="M888" s="238">
        <f>IFERROR((HLOOKUP($AH888,Target_monthwise!$D$4:$O$20,DTR!M$4,FALSE))*1000,0)</f>
        <v>0</v>
      </c>
      <c r="N888" s="238">
        <f>IFERROR((HLOOKUP($AH888,Target_monthwise!$D$4:$O$20,DTR!N$4,FALSE))*1000,0)</f>
        <v>0</v>
      </c>
      <c r="O888" s="238">
        <f>IFERROR((HLOOKUP($AH888,Target_monthwise!$D$4:$O$20,DTR!O$4,FALSE))*1000,0)</f>
        <v>0</v>
      </c>
      <c r="P888" s="238">
        <f>IFERROR((HLOOKUP($AH888,Target_monthwise!$D$4:$O$20,DTR!P$4,FALSE))*1000,0)</f>
        <v>0</v>
      </c>
      <c r="Q888" s="141">
        <f>IFERROR((HLOOKUP($AH888,Target_monthwise!$D$4:$O$20,DTR!Q$4,FALSE))*1000,0)</f>
        <v>0</v>
      </c>
      <c r="R888" s="167">
        <f>IFERROR((HLOOKUP($AH888,Target_monthwise!$D$4:$O$20,DTR!R$4,FALSE))*1000,0)</f>
        <v>0</v>
      </c>
      <c r="S888" s="239">
        <f>IFERROR((HLOOKUP($AH888,Target_monthwise!$D$24:$O$40,DTR!S$4,FALSE)),0)</f>
        <v>0</v>
      </c>
      <c r="T888" s="239">
        <f>IFERROR((HLOOKUP($AH888,Target_monthwise!$D$24:$O$40,DTR!T$4,FALSE)),0)</f>
        <v>0</v>
      </c>
      <c r="U888" s="239">
        <f>IFERROR((HLOOKUP($AH888,Target_monthwise!$D$24:$O$40,DTR!U$4,FALSE)),0)</f>
        <v>0</v>
      </c>
      <c r="V888" s="239">
        <f>IFERROR((HLOOKUP($AH888,Target_monthwise!$D$24:$O$40,DTR!V$4,FALSE)),0)</f>
        <v>0</v>
      </c>
      <c r="W888" s="239">
        <f>IFERROR((HLOOKUP($AH888,Target_monthwise!$D$24:$O$40,DTR!W$4,FALSE)),0)</f>
        <v>0</v>
      </c>
      <c r="X888" s="239">
        <f>IFERROR((HLOOKUP($AH888,Target_monthwise!$D$24:$O$40,DTR!X$4,FALSE)),0)</f>
        <v>0</v>
      </c>
      <c r="Y888" s="239">
        <f>IFERROR((HLOOKUP($AH888,Target_monthwise!$D$24:$O$40,DTR!Y$4,FALSE)),0)</f>
        <v>0</v>
      </c>
      <c r="Z888" s="147">
        <f>IFERROR((HLOOKUP($AH888,Target_monthwise!$D$24:$O$40,DTR!Z$4,FALSE)),0)</f>
        <v>0</v>
      </c>
      <c r="AA888" s="147">
        <f>IFERROR((HLOOKUP($AH888,Target_monthwise!$D$24:$O$40,DTR!AA$4,FALSE)),0)</f>
        <v>0</v>
      </c>
      <c r="AB888" s="147">
        <f>IFERROR((HLOOKUP($AH888,Target_monthwise!$D$24:$O$40,DTR!AB$4,FALSE)),0)</f>
        <v>0</v>
      </c>
      <c r="AC888" s="239">
        <f>IFERROR((HLOOKUP($AH888,Target_monthwise!$D$24:$O$40,DTR!AC$4,FALSE)),0)</f>
        <v>0</v>
      </c>
      <c r="AD888" s="239">
        <f>IFERROR((HLOOKUP($AH888,Target_monthwise!$D$24:$O$40,DTR!AD$4,FALSE)),0)</f>
        <v>0</v>
      </c>
      <c r="AE888" s="239">
        <f>IFERROR((HLOOKUP($AH888,Target_monthwise!$D$24:$O$40,DTR!AE$4,FALSE)),0)</f>
        <v>0</v>
      </c>
      <c r="AF888" s="239">
        <f>IFERROR((HLOOKUP($AH888,Target_monthwise!$D$24:$O$40,DTR!AF$4,FALSE)),0)</f>
        <v>0</v>
      </c>
      <c r="AG888" s="172">
        <f>IFERROR((HLOOKUP($AH888,Target_monthwise!$D$24:$O$40,DTR!AG$4,FALSE)),0)</f>
        <v>0</v>
      </c>
      <c r="AH888" s="253">
        <f t="shared" si="16"/>
        <v>202408</v>
      </c>
    </row>
    <row r="889" spans="3:34" ht="15.75" hidden="1">
      <c r="C889" s="235">
        <v>45532</v>
      </c>
      <c r="D889" s="141">
        <f>IFERROR((HLOOKUP($AH889,Target_monthwise!$D$4:$O$20,DTR!D$4,FALSE))*1000,0)</f>
        <v>0</v>
      </c>
      <c r="E889" s="141">
        <f>IFERROR((HLOOKUP($AH889,Target_monthwise!$D$4:$O$20,DTR!E$4,FALSE))*1000,0)</f>
        <v>0</v>
      </c>
      <c r="F889" s="141">
        <f>IFERROR((HLOOKUP($AH889,Target_monthwise!$D$4:$O$20,DTR!F$4,FALSE))*1000,0)</f>
        <v>0</v>
      </c>
      <c r="G889" s="141">
        <f>IFERROR((HLOOKUP($AH889,Target_monthwise!$D$4:$O$20,DTR!G$4,FALSE))*1000,0)</f>
        <v>0</v>
      </c>
      <c r="H889" s="141">
        <f>IFERROR((HLOOKUP($AH889,Target_monthwise!$D$4:$O$20,DTR!H$4,FALSE))*1000,0)</f>
        <v>0</v>
      </c>
      <c r="I889" s="141">
        <f>IFERROR((HLOOKUP($AH889,Target_monthwise!$D$4:$O$20,DTR!I$4,FALSE))*1000,0)</f>
        <v>0</v>
      </c>
      <c r="J889" s="141">
        <f>IFERROR((HLOOKUP($AH889,Target_monthwise!$D$4:$O$20,DTR!J$4,FALSE))*1000,0)</f>
        <v>0</v>
      </c>
      <c r="K889" s="141">
        <f>IFERROR((HLOOKUP($AH889,Target_monthwise!$D$4:$O$20,DTR!K$4,FALSE))*1000,0)</f>
        <v>0</v>
      </c>
      <c r="L889" s="141">
        <f>IFERROR((HLOOKUP($AH889,Target_monthwise!$D$4:$O$20,DTR!L$4,FALSE))*1000,0)</f>
        <v>0</v>
      </c>
      <c r="M889" s="141">
        <f>IFERROR((HLOOKUP($AH889,Target_monthwise!$D$4:$O$20,DTR!M$4,FALSE))*1000,0)</f>
        <v>0</v>
      </c>
      <c r="N889" s="141">
        <f>IFERROR((HLOOKUP($AH889,Target_monthwise!$D$4:$O$20,DTR!N$4,FALSE))*1000,0)</f>
        <v>0</v>
      </c>
      <c r="O889" s="141">
        <f>IFERROR((HLOOKUP($AH889,Target_monthwise!$D$4:$O$20,DTR!O$4,FALSE))*1000,0)</f>
        <v>0</v>
      </c>
      <c r="P889" s="141">
        <f>IFERROR((HLOOKUP($AH889,Target_monthwise!$D$4:$O$20,DTR!P$4,FALSE))*1000,0)</f>
        <v>0</v>
      </c>
      <c r="Q889" s="141">
        <f>IFERROR((HLOOKUP($AH889,Target_monthwise!$D$4:$O$20,DTR!Q$4,FALSE))*1000,0)</f>
        <v>0</v>
      </c>
      <c r="R889" s="167">
        <f>IFERROR((HLOOKUP($AH889,Target_monthwise!$D$4:$O$20,DTR!R$4,FALSE))*1000,0)</f>
        <v>0</v>
      </c>
      <c r="S889" s="147">
        <f>IFERROR((HLOOKUP($AH889,Target_monthwise!$D$24:$O$40,DTR!S$4,FALSE)),0)</f>
        <v>0</v>
      </c>
      <c r="T889" s="147">
        <f>IFERROR((HLOOKUP($AH889,Target_monthwise!$D$24:$O$40,DTR!T$4,FALSE)),0)</f>
        <v>0</v>
      </c>
      <c r="U889" s="147">
        <f>IFERROR((HLOOKUP($AH889,Target_monthwise!$D$24:$O$40,DTR!U$4,FALSE)),0)</f>
        <v>0</v>
      </c>
      <c r="V889" s="147">
        <f>IFERROR((HLOOKUP($AH889,Target_monthwise!$D$24:$O$40,DTR!V$4,FALSE)),0)</f>
        <v>0</v>
      </c>
      <c r="W889" s="147">
        <f>IFERROR((HLOOKUP($AH889,Target_monthwise!$D$24:$O$40,DTR!W$4,FALSE)),0)</f>
        <v>0</v>
      </c>
      <c r="X889" s="147">
        <f>IFERROR((HLOOKUP($AH889,Target_monthwise!$D$24:$O$40,DTR!X$4,FALSE)),0)</f>
        <v>0</v>
      </c>
      <c r="Y889" s="147">
        <f>IFERROR((HLOOKUP($AH889,Target_monthwise!$D$24:$O$40,DTR!Y$4,FALSE)),0)</f>
        <v>0</v>
      </c>
      <c r="Z889" s="147">
        <f>IFERROR((HLOOKUP($AH889,Target_monthwise!$D$24:$O$40,DTR!Z$4,FALSE)),0)</f>
        <v>0</v>
      </c>
      <c r="AA889" s="147">
        <f>IFERROR((HLOOKUP($AH889,Target_monthwise!$D$24:$O$40,DTR!AA$4,FALSE)),0)</f>
        <v>0</v>
      </c>
      <c r="AB889" s="147">
        <f>IFERROR((HLOOKUP($AH889,Target_monthwise!$D$24:$O$40,DTR!AB$4,FALSE)),0)</f>
        <v>0</v>
      </c>
      <c r="AC889" s="147">
        <f>IFERROR((HLOOKUP($AH889,Target_monthwise!$D$24:$O$40,DTR!AC$4,FALSE)),0)</f>
        <v>0</v>
      </c>
      <c r="AD889" s="147">
        <f>IFERROR((HLOOKUP($AH889,Target_monthwise!$D$24:$O$40,DTR!AD$4,FALSE)),0)</f>
        <v>0</v>
      </c>
      <c r="AE889" s="147">
        <f>IFERROR((HLOOKUP($AH889,Target_monthwise!$D$24:$O$40,DTR!AE$4,FALSE)),0)</f>
        <v>0</v>
      </c>
      <c r="AF889" s="147">
        <f>IFERROR((HLOOKUP($AH889,Target_monthwise!$D$24:$O$40,DTR!AF$4,FALSE)),0)</f>
        <v>0</v>
      </c>
      <c r="AG889" s="172">
        <f>IFERROR((HLOOKUP($AH889,Target_monthwise!$D$24:$O$40,DTR!AG$4,FALSE)),0)</f>
        <v>0</v>
      </c>
      <c r="AH889" s="253">
        <f t="shared" si="16"/>
        <v>202408</v>
      </c>
    </row>
    <row r="890" spans="3:34" ht="15.75" hidden="1">
      <c r="C890" s="237">
        <v>45533</v>
      </c>
      <c r="D890" s="238">
        <f>IFERROR((HLOOKUP($AH890,Target_monthwise!$D$4:$O$20,DTR!D$4,FALSE))*1000,0)</f>
        <v>0</v>
      </c>
      <c r="E890" s="238">
        <f>IFERROR((HLOOKUP($AH890,Target_monthwise!$D$4:$O$20,DTR!E$4,FALSE))*1000,0)</f>
        <v>0</v>
      </c>
      <c r="F890" s="238">
        <f>IFERROR((HLOOKUP($AH890,Target_monthwise!$D$4:$O$20,DTR!F$4,FALSE))*1000,0)</f>
        <v>0</v>
      </c>
      <c r="G890" s="238">
        <f>IFERROR((HLOOKUP($AH890,Target_monthwise!$D$4:$O$20,DTR!G$4,FALSE))*1000,0)</f>
        <v>0</v>
      </c>
      <c r="H890" s="238">
        <f>IFERROR((HLOOKUP($AH890,Target_monthwise!$D$4:$O$20,DTR!H$4,FALSE))*1000,0)</f>
        <v>0</v>
      </c>
      <c r="I890" s="238">
        <f>IFERROR((HLOOKUP($AH890,Target_monthwise!$D$4:$O$20,DTR!I$4,FALSE))*1000,0)</f>
        <v>0</v>
      </c>
      <c r="J890" s="238">
        <f>IFERROR((HLOOKUP($AH890,Target_monthwise!$D$4:$O$20,DTR!J$4,FALSE))*1000,0)</f>
        <v>0</v>
      </c>
      <c r="K890" s="238">
        <f>IFERROR((HLOOKUP($AH890,Target_monthwise!$D$4:$O$20,DTR!K$4,FALSE))*1000,0)</f>
        <v>0</v>
      </c>
      <c r="L890" s="238">
        <f>IFERROR((HLOOKUP($AH890,Target_monthwise!$D$4:$O$20,DTR!L$4,FALSE))*1000,0)</f>
        <v>0</v>
      </c>
      <c r="M890" s="238">
        <f>IFERROR((HLOOKUP($AH890,Target_monthwise!$D$4:$O$20,DTR!M$4,FALSE))*1000,0)</f>
        <v>0</v>
      </c>
      <c r="N890" s="238">
        <f>IFERROR((HLOOKUP($AH890,Target_monthwise!$D$4:$O$20,DTR!N$4,FALSE))*1000,0)</f>
        <v>0</v>
      </c>
      <c r="O890" s="238">
        <f>IFERROR((HLOOKUP($AH890,Target_monthwise!$D$4:$O$20,DTR!O$4,FALSE))*1000,0)</f>
        <v>0</v>
      </c>
      <c r="P890" s="238">
        <f>IFERROR((HLOOKUP($AH890,Target_monthwise!$D$4:$O$20,DTR!P$4,FALSE))*1000,0)</f>
        <v>0</v>
      </c>
      <c r="Q890" s="141">
        <f>IFERROR((HLOOKUP($AH890,Target_monthwise!$D$4:$O$20,DTR!Q$4,FALSE))*1000,0)</f>
        <v>0</v>
      </c>
      <c r="R890" s="167">
        <f>IFERROR((HLOOKUP($AH890,Target_monthwise!$D$4:$O$20,DTR!R$4,FALSE))*1000,0)</f>
        <v>0</v>
      </c>
      <c r="S890" s="239">
        <f>IFERROR((HLOOKUP($AH890,Target_monthwise!$D$24:$O$40,DTR!S$4,FALSE)),0)</f>
        <v>0</v>
      </c>
      <c r="T890" s="239">
        <f>IFERROR((HLOOKUP($AH890,Target_monthwise!$D$24:$O$40,DTR!T$4,FALSE)),0)</f>
        <v>0</v>
      </c>
      <c r="U890" s="239">
        <f>IFERROR((HLOOKUP($AH890,Target_monthwise!$D$24:$O$40,DTR!U$4,FALSE)),0)</f>
        <v>0</v>
      </c>
      <c r="V890" s="239">
        <f>IFERROR((HLOOKUP($AH890,Target_monthwise!$D$24:$O$40,DTR!V$4,FALSE)),0)</f>
        <v>0</v>
      </c>
      <c r="W890" s="239">
        <f>IFERROR((HLOOKUP($AH890,Target_monthwise!$D$24:$O$40,DTR!W$4,FALSE)),0)</f>
        <v>0</v>
      </c>
      <c r="X890" s="239">
        <f>IFERROR((HLOOKUP($AH890,Target_monthwise!$D$24:$O$40,DTR!X$4,FALSE)),0)</f>
        <v>0</v>
      </c>
      <c r="Y890" s="239">
        <f>IFERROR((HLOOKUP($AH890,Target_monthwise!$D$24:$O$40,DTR!Y$4,FALSE)),0)</f>
        <v>0</v>
      </c>
      <c r="Z890" s="147">
        <f>IFERROR((HLOOKUP($AH890,Target_monthwise!$D$24:$O$40,DTR!Z$4,FALSE)),0)</f>
        <v>0</v>
      </c>
      <c r="AA890" s="147">
        <f>IFERROR((HLOOKUP($AH890,Target_monthwise!$D$24:$O$40,DTR!AA$4,FALSE)),0)</f>
        <v>0</v>
      </c>
      <c r="AB890" s="147">
        <f>IFERROR((HLOOKUP($AH890,Target_monthwise!$D$24:$O$40,DTR!AB$4,FALSE)),0)</f>
        <v>0</v>
      </c>
      <c r="AC890" s="239">
        <f>IFERROR((HLOOKUP($AH890,Target_monthwise!$D$24:$O$40,DTR!AC$4,FALSE)),0)</f>
        <v>0</v>
      </c>
      <c r="AD890" s="239">
        <f>IFERROR((HLOOKUP($AH890,Target_monthwise!$D$24:$O$40,DTR!AD$4,FALSE)),0)</f>
        <v>0</v>
      </c>
      <c r="AE890" s="239">
        <f>IFERROR((HLOOKUP($AH890,Target_monthwise!$D$24:$O$40,DTR!AE$4,FALSE)),0)</f>
        <v>0</v>
      </c>
      <c r="AF890" s="239">
        <f>IFERROR((HLOOKUP($AH890,Target_monthwise!$D$24:$O$40,DTR!AF$4,FALSE)),0)</f>
        <v>0</v>
      </c>
      <c r="AG890" s="172">
        <f>IFERROR((HLOOKUP($AH890,Target_monthwise!$D$24:$O$40,DTR!AG$4,FALSE)),0)</f>
        <v>0</v>
      </c>
      <c r="AH890" s="253">
        <f t="shared" si="16"/>
        <v>202408</v>
      </c>
    </row>
    <row r="891" spans="3:34" ht="15.75" hidden="1">
      <c r="C891" s="235">
        <v>45534</v>
      </c>
      <c r="D891" s="141">
        <f>IFERROR((HLOOKUP($AH891,Target_monthwise!$D$4:$O$20,DTR!D$4,FALSE))*1000,0)</f>
        <v>0</v>
      </c>
      <c r="E891" s="141">
        <f>IFERROR((HLOOKUP($AH891,Target_monthwise!$D$4:$O$20,DTR!E$4,FALSE))*1000,0)</f>
        <v>0</v>
      </c>
      <c r="F891" s="141">
        <f>IFERROR((HLOOKUP($AH891,Target_monthwise!$D$4:$O$20,DTR!F$4,FALSE))*1000,0)</f>
        <v>0</v>
      </c>
      <c r="G891" s="141">
        <f>IFERROR((HLOOKUP($AH891,Target_monthwise!$D$4:$O$20,DTR!G$4,FALSE))*1000,0)</f>
        <v>0</v>
      </c>
      <c r="H891" s="141">
        <f>IFERROR((HLOOKUP($AH891,Target_monthwise!$D$4:$O$20,DTR!H$4,FALSE))*1000,0)</f>
        <v>0</v>
      </c>
      <c r="I891" s="141">
        <f>IFERROR((HLOOKUP($AH891,Target_monthwise!$D$4:$O$20,DTR!I$4,FALSE))*1000,0)</f>
        <v>0</v>
      </c>
      <c r="J891" s="141">
        <f>IFERROR((HLOOKUP($AH891,Target_monthwise!$D$4:$O$20,DTR!J$4,FALSE))*1000,0)</f>
        <v>0</v>
      </c>
      <c r="K891" s="141">
        <f>IFERROR((HLOOKUP($AH891,Target_monthwise!$D$4:$O$20,DTR!K$4,FALSE))*1000,0)</f>
        <v>0</v>
      </c>
      <c r="L891" s="141">
        <f>IFERROR((HLOOKUP($AH891,Target_monthwise!$D$4:$O$20,DTR!L$4,FALSE))*1000,0)</f>
        <v>0</v>
      </c>
      <c r="M891" s="141">
        <f>IFERROR((HLOOKUP($AH891,Target_monthwise!$D$4:$O$20,DTR!M$4,FALSE))*1000,0)</f>
        <v>0</v>
      </c>
      <c r="N891" s="141">
        <f>IFERROR((HLOOKUP($AH891,Target_monthwise!$D$4:$O$20,DTR!N$4,FALSE))*1000,0)</f>
        <v>0</v>
      </c>
      <c r="O891" s="141">
        <f>IFERROR((HLOOKUP($AH891,Target_monthwise!$D$4:$O$20,DTR!O$4,FALSE))*1000,0)</f>
        <v>0</v>
      </c>
      <c r="P891" s="141">
        <f>IFERROR((HLOOKUP($AH891,Target_monthwise!$D$4:$O$20,DTR!P$4,FALSE))*1000,0)</f>
        <v>0</v>
      </c>
      <c r="Q891" s="141">
        <f>IFERROR((HLOOKUP($AH891,Target_monthwise!$D$4:$O$20,DTR!Q$4,FALSE))*1000,0)</f>
        <v>0</v>
      </c>
      <c r="R891" s="167">
        <f>IFERROR((HLOOKUP($AH891,Target_monthwise!$D$4:$O$20,DTR!R$4,FALSE))*1000,0)</f>
        <v>0</v>
      </c>
      <c r="S891" s="147">
        <f>IFERROR((HLOOKUP($AH891,Target_monthwise!$D$24:$O$40,DTR!S$4,FALSE)),0)</f>
        <v>0</v>
      </c>
      <c r="T891" s="147">
        <f>IFERROR((HLOOKUP($AH891,Target_monthwise!$D$24:$O$40,DTR!T$4,FALSE)),0)</f>
        <v>0</v>
      </c>
      <c r="U891" s="147">
        <f>IFERROR((HLOOKUP($AH891,Target_monthwise!$D$24:$O$40,DTR!U$4,FALSE)),0)</f>
        <v>0</v>
      </c>
      <c r="V891" s="147">
        <f>IFERROR((HLOOKUP($AH891,Target_monthwise!$D$24:$O$40,DTR!V$4,FALSE)),0)</f>
        <v>0</v>
      </c>
      <c r="W891" s="147">
        <f>IFERROR((HLOOKUP($AH891,Target_monthwise!$D$24:$O$40,DTR!W$4,FALSE)),0)</f>
        <v>0</v>
      </c>
      <c r="X891" s="147">
        <f>IFERROR((HLOOKUP($AH891,Target_monthwise!$D$24:$O$40,DTR!X$4,FALSE)),0)</f>
        <v>0</v>
      </c>
      <c r="Y891" s="147">
        <f>IFERROR((HLOOKUP($AH891,Target_monthwise!$D$24:$O$40,DTR!Y$4,FALSE)),0)</f>
        <v>0</v>
      </c>
      <c r="Z891" s="147">
        <f>IFERROR((HLOOKUP($AH891,Target_monthwise!$D$24:$O$40,DTR!Z$4,FALSE)),0)</f>
        <v>0</v>
      </c>
      <c r="AA891" s="147">
        <f>IFERROR((HLOOKUP($AH891,Target_monthwise!$D$24:$O$40,DTR!AA$4,FALSE)),0)</f>
        <v>0</v>
      </c>
      <c r="AB891" s="147">
        <f>IFERROR((HLOOKUP($AH891,Target_monthwise!$D$24:$O$40,DTR!AB$4,FALSE)),0)</f>
        <v>0</v>
      </c>
      <c r="AC891" s="147">
        <f>IFERROR((HLOOKUP($AH891,Target_monthwise!$D$24:$O$40,DTR!AC$4,FALSE)),0)</f>
        <v>0</v>
      </c>
      <c r="AD891" s="147">
        <f>IFERROR((HLOOKUP($AH891,Target_monthwise!$D$24:$O$40,DTR!AD$4,FALSE)),0)</f>
        <v>0</v>
      </c>
      <c r="AE891" s="147">
        <f>IFERROR((HLOOKUP($AH891,Target_monthwise!$D$24:$O$40,DTR!AE$4,FALSE)),0)</f>
        <v>0</v>
      </c>
      <c r="AF891" s="147">
        <f>IFERROR((HLOOKUP($AH891,Target_monthwise!$D$24:$O$40,DTR!AF$4,FALSE)),0)</f>
        <v>0</v>
      </c>
      <c r="AG891" s="172">
        <f>IFERROR((HLOOKUP($AH891,Target_monthwise!$D$24:$O$40,DTR!AG$4,FALSE)),0)</f>
        <v>0</v>
      </c>
      <c r="AH891" s="253">
        <f t="shared" si="16"/>
        <v>202408</v>
      </c>
    </row>
    <row r="892" spans="3:34" ht="15.75" hidden="1">
      <c r="C892" s="237">
        <v>45535</v>
      </c>
      <c r="D892" s="238">
        <f>IFERROR((HLOOKUP($AH892,Target_monthwise!$D$4:$O$20,DTR!D$4,FALSE))*1000,0)</f>
        <v>0</v>
      </c>
      <c r="E892" s="238">
        <f>IFERROR((HLOOKUP($AH892,Target_monthwise!$D$4:$O$20,DTR!E$4,FALSE))*1000,0)</f>
        <v>0</v>
      </c>
      <c r="F892" s="238">
        <f>IFERROR((HLOOKUP($AH892,Target_monthwise!$D$4:$O$20,DTR!F$4,FALSE))*1000,0)</f>
        <v>0</v>
      </c>
      <c r="G892" s="238">
        <f>IFERROR((HLOOKUP($AH892,Target_monthwise!$D$4:$O$20,DTR!G$4,FALSE))*1000,0)</f>
        <v>0</v>
      </c>
      <c r="H892" s="238">
        <f>IFERROR((HLOOKUP($AH892,Target_monthwise!$D$4:$O$20,DTR!H$4,FALSE))*1000,0)</f>
        <v>0</v>
      </c>
      <c r="I892" s="238">
        <f>IFERROR((HLOOKUP($AH892,Target_monthwise!$D$4:$O$20,DTR!I$4,FALSE))*1000,0)</f>
        <v>0</v>
      </c>
      <c r="J892" s="238">
        <f>IFERROR((HLOOKUP($AH892,Target_monthwise!$D$4:$O$20,DTR!J$4,FALSE))*1000,0)</f>
        <v>0</v>
      </c>
      <c r="K892" s="238">
        <f>IFERROR((HLOOKUP($AH892,Target_monthwise!$D$4:$O$20,DTR!K$4,FALSE))*1000,0)</f>
        <v>0</v>
      </c>
      <c r="L892" s="238">
        <f>IFERROR((HLOOKUP($AH892,Target_monthwise!$D$4:$O$20,DTR!L$4,FALSE))*1000,0)</f>
        <v>0</v>
      </c>
      <c r="M892" s="238">
        <f>IFERROR((HLOOKUP($AH892,Target_monthwise!$D$4:$O$20,DTR!M$4,FALSE))*1000,0)</f>
        <v>0</v>
      </c>
      <c r="N892" s="238">
        <f>IFERROR((HLOOKUP($AH892,Target_monthwise!$D$4:$O$20,DTR!N$4,FALSE))*1000,0)</f>
        <v>0</v>
      </c>
      <c r="O892" s="238">
        <f>IFERROR((HLOOKUP($AH892,Target_monthwise!$D$4:$O$20,DTR!O$4,FALSE))*1000,0)</f>
        <v>0</v>
      </c>
      <c r="P892" s="238">
        <f>IFERROR((HLOOKUP($AH892,Target_monthwise!$D$4:$O$20,DTR!P$4,FALSE))*1000,0)</f>
        <v>0</v>
      </c>
      <c r="Q892" s="141">
        <f>IFERROR((HLOOKUP($AH892,Target_monthwise!$D$4:$O$20,DTR!Q$4,FALSE))*1000,0)</f>
        <v>0</v>
      </c>
      <c r="R892" s="167">
        <f>IFERROR((HLOOKUP($AH892,Target_monthwise!$D$4:$O$20,DTR!R$4,FALSE))*1000,0)</f>
        <v>0</v>
      </c>
      <c r="S892" s="239">
        <f>IFERROR((HLOOKUP($AH892,Target_monthwise!$D$24:$O$40,DTR!S$4,FALSE)),0)</f>
        <v>0</v>
      </c>
      <c r="T892" s="239">
        <f>IFERROR((HLOOKUP($AH892,Target_monthwise!$D$24:$O$40,DTR!T$4,FALSE)),0)</f>
        <v>0</v>
      </c>
      <c r="U892" s="239">
        <f>IFERROR((HLOOKUP($AH892,Target_monthwise!$D$24:$O$40,DTR!U$4,FALSE)),0)</f>
        <v>0</v>
      </c>
      <c r="V892" s="239">
        <f>IFERROR((HLOOKUP($AH892,Target_monthwise!$D$24:$O$40,DTR!V$4,FALSE)),0)</f>
        <v>0</v>
      </c>
      <c r="W892" s="239">
        <f>IFERROR((HLOOKUP($AH892,Target_monthwise!$D$24:$O$40,DTR!W$4,FALSE)),0)</f>
        <v>0</v>
      </c>
      <c r="X892" s="239">
        <f>IFERROR((HLOOKUP($AH892,Target_monthwise!$D$24:$O$40,DTR!X$4,FALSE)),0)</f>
        <v>0</v>
      </c>
      <c r="Y892" s="239">
        <f>IFERROR((HLOOKUP($AH892,Target_monthwise!$D$24:$O$40,DTR!Y$4,FALSE)),0)</f>
        <v>0</v>
      </c>
      <c r="Z892" s="147">
        <f>IFERROR((HLOOKUP($AH892,Target_monthwise!$D$24:$O$40,DTR!Z$4,FALSE)),0)</f>
        <v>0</v>
      </c>
      <c r="AA892" s="147">
        <f>IFERROR((HLOOKUP($AH892,Target_monthwise!$D$24:$O$40,DTR!AA$4,FALSE)),0)</f>
        <v>0</v>
      </c>
      <c r="AB892" s="147">
        <f>IFERROR((HLOOKUP($AH892,Target_monthwise!$D$24:$O$40,DTR!AB$4,FALSE)),0)</f>
        <v>0</v>
      </c>
      <c r="AC892" s="239">
        <f>IFERROR((HLOOKUP($AH892,Target_monthwise!$D$24:$O$40,DTR!AC$4,FALSE)),0)</f>
        <v>0</v>
      </c>
      <c r="AD892" s="239">
        <f>IFERROR((HLOOKUP($AH892,Target_monthwise!$D$24:$O$40,DTR!AD$4,FALSE)),0)</f>
        <v>0</v>
      </c>
      <c r="AE892" s="239">
        <f>IFERROR((HLOOKUP($AH892,Target_monthwise!$D$24:$O$40,DTR!AE$4,FALSE)),0)</f>
        <v>0</v>
      </c>
      <c r="AF892" s="239">
        <f>IFERROR((HLOOKUP($AH892,Target_monthwise!$D$24:$O$40,DTR!AF$4,FALSE)),0)</f>
        <v>0</v>
      </c>
      <c r="AG892" s="172">
        <f>IFERROR((HLOOKUP($AH892,Target_monthwise!$D$24:$O$40,DTR!AG$4,FALSE)),0)</f>
        <v>0</v>
      </c>
      <c r="AH892" s="253">
        <f t="shared" si="16"/>
        <v>202408</v>
      </c>
    </row>
    <row r="893" spans="3:34" ht="15.75" hidden="1">
      <c r="C893" s="235">
        <v>45536</v>
      </c>
      <c r="D893" s="141">
        <f>IFERROR((HLOOKUP($AH893,Target_monthwise!$D$4:$O$20,DTR!D$4,FALSE))*1000,0)</f>
        <v>0</v>
      </c>
      <c r="E893" s="141">
        <f>IFERROR((HLOOKUP($AH893,Target_monthwise!$D$4:$O$20,DTR!E$4,FALSE))*1000,0)</f>
        <v>0</v>
      </c>
      <c r="F893" s="141">
        <f>IFERROR((HLOOKUP($AH893,Target_monthwise!$D$4:$O$20,DTR!F$4,FALSE))*1000,0)</f>
        <v>0</v>
      </c>
      <c r="G893" s="141">
        <f>IFERROR((HLOOKUP($AH893,Target_monthwise!$D$4:$O$20,DTR!G$4,FALSE))*1000,0)</f>
        <v>0</v>
      </c>
      <c r="H893" s="141">
        <f>IFERROR((HLOOKUP($AH893,Target_monthwise!$D$4:$O$20,DTR!H$4,FALSE))*1000,0)</f>
        <v>0</v>
      </c>
      <c r="I893" s="141">
        <f>IFERROR((HLOOKUP($AH893,Target_monthwise!$D$4:$O$20,DTR!I$4,FALSE))*1000,0)</f>
        <v>0</v>
      </c>
      <c r="J893" s="141">
        <f>IFERROR((HLOOKUP($AH893,Target_monthwise!$D$4:$O$20,DTR!J$4,FALSE))*1000,0)</f>
        <v>0</v>
      </c>
      <c r="K893" s="141">
        <f>IFERROR((HLOOKUP($AH893,Target_monthwise!$D$4:$O$20,DTR!K$4,FALSE))*1000,0)</f>
        <v>0</v>
      </c>
      <c r="L893" s="141">
        <f>IFERROR((HLOOKUP($AH893,Target_monthwise!$D$4:$O$20,DTR!L$4,FALSE))*1000,0)</f>
        <v>0</v>
      </c>
      <c r="M893" s="141">
        <f>IFERROR((HLOOKUP($AH893,Target_monthwise!$D$4:$O$20,DTR!M$4,FALSE))*1000,0)</f>
        <v>0</v>
      </c>
      <c r="N893" s="141">
        <f>IFERROR((HLOOKUP($AH893,Target_monthwise!$D$4:$O$20,DTR!N$4,FALSE))*1000,0)</f>
        <v>0</v>
      </c>
      <c r="O893" s="141">
        <f>IFERROR((HLOOKUP($AH893,Target_monthwise!$D$4:$O$20,DTR!O$4,FALSE))*1000,0)</f>
        <v>0</v>
      </c>
      <c r="P893" s="141">
        <f>IFERROR((HLOOKUP($AH893,Target_monthwise!$D$4:$O$20,DTR!P$4,FALSE))*1000,0)</f>
        <v>0</v>
      </c>
      <c r="Q893" s="141">
        <f>IFERROR((HLOOKUP($AH893,Target_monthwise!$D$4:$O$20,DTR!Q$4,FALSE))*1000,0)</f>
        <v>0</v>
      </c>
      <c r="R893" s="167">
        <f>IFERROR((HLOOKUP($AH893,Target_monthwise!$D$4:$O$20,DTR!R$4,FALSE))*1000,0)</f>
        <v>0</v>
      </c>
      <c r="S893" s="147">
        <f>IFERROR((HLOOKUP($AH893,Target_monthwise!$D$24:$O$40,DTR!S$4,FALSE)),0)</f>
        <v>0</v>
      </c>
      <c r="T893" s="147">
        <f>IFERROR((HLOOKUP($AH893,Target_monthwise!$D$24:$O$40,DTR!T$4,FALSE)),0)</f>
        <v>0</v>
      </c>
      <c r="U893" s="147">
        <f>IFERROR((HLOOKUP($AH893,Target_monthwise!$D$24:$O$40,DTR!U$4,FALSE)),0)</f>
        <v>0</v>
      </c>
      <c r="V893" s="147">
        <f>IFERROR((HLOOKUP($AH893,Target_monthwise!$D$24:$O$40,DTR!V$4,FALSE)),0)</f>
        <v>0</v>
      </c>
      <c r="W893" s="147">
        <f>IFERROR((HLOOKUP($AH893,Target_monthwise!$D$24:$O$40,DTR!W$4,FALSE)),0)</f>
        <v>0</v>
      </c>
      <c r="X893" s="147">
        <f>IFERROR((HLOOKUP($AH893,Target_monthwise!$D$24:$O$40,DTR!X$4,FALSE)),0)</f>
        <v>0</v>
      </c>
      <c r="Y893" s="147">
        <f>IFERROR((HLOOKUP($AH893,Target_monthwise!$D$24:$O$40,DTR!Y$4,FALSE)),0)</f>
        <v>0</v>
      </c>
      <c r="Z893" s="147">
        <f>IFERROR((HLOOKUP($AH893,Target_monthwise!$D$24:$O$40,DTR!Z$4,FALSE)),0)</f>
        <v>0</v>
      </c>
      <c r="AA893" s="147">
        <f>IFERROR((HLOOKUP($AH893,Target_monthwise!$D$24:$O$40,DTR!AA$4,FALSE)),0)</f>
        <v>0</v>
      </c>
      <c r="AB893" s="147">
        <f>IFERROR((HLOOKUP($AH893,Target_monthwise!$D$24:$O$40,DTR!AB$4,FALSE)),0)</f>
        <v>0</v>
      </c>
      <c r="AC893" s="147">
        <f>IFERROR((HLOOKUP($AH893,Target_monthwise!$D$24:$O$40,DTR!AC$4,FALSE)),0)</f>
        <v>0</v>
      </c>
      <c r="AD893" s="147">
        <f>IFERROR((HLOOKUP($AH893,Target_monthwise!$D$24:$O$40,DTR!AD$4,FALSE)),0)</f>
        <v>0</v>
      </c>
      <c r="AE893" s="147">
        <f>IFERROR((HLOOKUP($AH893,Target_monthwise!$D$24:$O$40,DTR!AE$4,FALSE)),0)</f>
        <v>0</v>
      </c>
      <c r="AF893" s="147">
        <f>IFERROR((HLOOKUP($AH893,Target_monthwise!$D$24:$O$40,DTR!AF$4,FALSE)),0)</f>
        <v>0</v>
      </c>
      <c r="AG893" s="172">
        <f>IFERROR((HLOOKUP($AH893,Target_monthwise!$D$24:$O$40,DTR!AG$4,FALSE)),0)</f>
        <v>0</v>
      </c>
      <c r="AH893" s="253">
        <f t="shared" si="16"/>
        <v>202409</v>
      </c>
    </row>
    <row r="894" spans="3:34" ht="15.75" hidden="1">
      <c r="C894" s="237">
        <v>45537</v>
      </c>
      <c r="D894" s="238">
        <f>IFERROR((HLOOKUP($AH894,Target_monthwise!$D$4:$O$20,DTR!D$4,FALSE))*1000,0)</f>
        <v>0</v>
      </c>
      <c r="E894" s="238">
        <f>IFERROR((HLOOKUP($AH894,Target_monthwise!$D$4:$O$20,DTR!E$4,FALSE))*1000,0)</f>
        <v>0</v>
      </c>
      <c r="F894" s="238">
        <f>IFERROR((HLOOKUP($AH894,Target_monthwise!$D$4:$O$20,DTR!F$4,FALSE))*1000,0)</f>
        <v>0</v>
      </c>
      <c r="G894" s="238">
        <f>IFERROR((HLOOKUP($AH894,Target_monthwise!$D$4:$O$20,DTR!G$4,FALSE))*1000,0)</f>
        <v>0</v>
      </c>
      <c r="H894" s="238">
        <f>IFERROR((HLOOKUP($AH894,Target_monthwise!$D$4:$O$20,DTR!H$4,FALSE))*1000,0)</f>
        <v>0</v>
      </c>
      <c r="I894" s="238">
        <f>IFERROR((HLOOKUP($AH894,Target_monthwise!$D$4:$O$20,DTR!I$4,FALSE))*1000,0)</f>
        <v>0</v>
      </c>
      <c r="J894" s="238">
        <f>IFERROR((HLOOKUP($AH894,Target_monthwise!$D$4:$O$20,DTR!J$4,FALSE))*1000,0)</f>
        <v>0</v>
      </c>
      <c r="K894" s="238">
        <f>IFERROR((HLOOKUP($AH894,Target_monthwise!$D$4:$O$20,DTR!K$4,FALSE))*1000,0)</f>
        <v>0</v>
      </c>
      <c r="L894" s="238">
        <f>IFERROR((HLOOKUP($AH894,Target_monthwise!$D$4:$O$20,DTR!L$4,FALSE))*1000,0)</f>
        <v>0</v>
      </c>
      <c r="M894" s="238">
        <f>IFERROR((HLOOKUP($AH894,Target_monthwise!$D$4:$O$20,DTR!M$4,FALSE))*1000,0)</f>
        <v>0</v>
      </c>
      <c r="N894" s="238">
        <f>IFERROR((HLOOKUP($AH894,Target_monthwise!$D$4:$O$20,DTR!N$4,FALSE))*1000,0)</f>
        <v>0</v>
      </c>
      <c r="O894" s="238">
        <f>IFERROR((HLOOKUP($AH894,Target_monthwise!$D$4:$O$20,DTR!O$4,FALSE))*1000,0)</f>
        <v>0</v>
      </c>
      <c r="P894" s="238">
        <f>IFERROR((HLOOKUP($AH894,Target_monthwise!$D$4:$O$20,DTR!P$4,FALSE))*1000,0)</f>
        <v>0</v>
      </c>
      <c r="Q894" s="141">
        <f>IFERROR((HLOOKUP($AH894,Target_monthwise!$D$4:$O$20,DTR!Q$4,FALSE))*1000,0)</f>
        <v>0</v>
      </c>
      <c r="R894" s="167">
        <f>IFERROR((HLOOKUP($AH894,Target_monthwise!$D$4:$O$20,DTR!R$4,FALSE))*1000,0)</f>
        <v>0</v>
      </c>
      <c r="S894" s="239">
        <f>IFERROR((HLOOKUP($AH894,Target_monthwise!$D$24:$O$40,DTR!S$4,FALSE)),0)</f>
        <v>0</v>
      </c>
      <c r="T894" s="239">
        <f>IFERROR((HLOOKUP($AH894,Target_monthwise!$D$24:$O$40,DTR!T$4,FALSE)),0)</f>
        <v>0</v>
      </c>
      <c r="U894" s="239">
        <f>IFERROR((HLOOKUP($AH894,Target_monthwise!$D$24:$O$40,DTR!U$4,FALSE)),0)</f>
        <v>0</v>
      </c>
      <c r="V894" s="239">
        <f>IFERROR((HLOOKUP($AH894,Target_monthwise!$D$24:$O$40,DTR!V$4,FALSE)),0)</f>
        <v>0</v>
      </c>
      <c r="W894" s="239">
        <f>IFERROR((HLOOKUP($AH894,Target_monthwise!$D$24:$O$40,DTR!W$4,FALSE)),0)</f>
        <v>0</v>
      </c>
      <c r="X894" s="239">
        <f>IFERROR((HLOOKUP($AH894,Target_monthwise!$D$24:$O$40,DTR!X$4,FALSE)),0)</f>
        <v>0</v>
      </c>
      <c r="Y894" s="239">
        <f>IFERROR((HLOOKUP($AH894,Target_monthwise!$D$24:$O$40,DTR!Y$4,FALSE)),0)</f>
        <v>0</v>
      </c>
      <c r="Z894" s="147">
        <f>IFERROR((HLOOKUP($AH894,Target_monthwise!$D$24:$O$40,DTR!Z$4,FALSE)),0)</f>
        <v>0</v>
      </c>
      <c r="AA894" s="147">
        <f>IFERROR((HLOOKUP($AH894,Target_monthwise!$D$24:$O$40,DTR!AA$4,FALSE)),0)</f>
        <v>0</v>
      </c>
      <c r="AB894" s="147">
        <f>IFERROR((HLOOKUP($AH894,Target_monthwise!$D$24:$O$40,DTR!AB$4,FALSE)),0)</f>
        <v>0</v>
      </c>
      <c r="AC894" s="239">
        <f>IFERROR((HLOOKUP($AH894,Target_monthwise!$D$24:$O$40,DTR!AC$4,FALSE)),0)</f>
        <v>0</v>
      </c>
      <c r="AD894" s="239">
        <f>IFERROR((HLOOKUP($AH894,Target_monthwise!$D$24:$O$40,DTR!AD$4,FALSE)),0)</f>
        <v>0</v>
      </c>
      <c r="AE894" s="239">
        <f>IFERROR((HLOOKUP($AH894,Target_monthwise!$D$24:$O$40,DTR!AE$4,FALSE)),0)</f>
        <v>0</v>
      </c>
      <c r="AF894" s="239">
        <f>IFERROR((HLOOKUP($AH894,Target_monthwise!$D$24:$O$40,DTR!AF$4,FALSE)),0)</f>
        <v>0</v>
      </c>
      <c r="AG894" s="172">
        <f>IFERROR((HLOOKUP($AH894,Target_monthwise!$D$24:$O$40,DTR!AG$4,FALSE)),0)</f>
        <v>0</v>
      </c>
      <c r="AH894" s="253">
        <f t="shared" si="16"/>
        <v>202409</v>
      </c>
    </row>
    <row r="895" spans="3:34" ht="15.75" hidden="1">
      <c r="C895" s="235">
        <v>45538</v>
      </c>
      <c r="D895" s="141">
        <f>IFERROR((HLOOKUP($AH895,Target_monthwise!$D$4:$O$20,DTR!D$4,FALSE))*1000,0)</f>
        <v>0</v>
      </c>
      <c r="E895" s="141">
        <f>IFERROR((HLOOKUP($AH895,Target_monthwise!$D$4:$O$20,DTR!E$4,FALSE))*1000,0)</f>
        <v>0</v>
      </c>
      <c r="F895" s="141">
        <f>IFERROR((HLOOKUP($AH895,Target_monthwise!$D$4:$O$20,DTR!F$4,FALSE))*1000,0)</f>
        <v>0</v>
      </c>
      <c r="G895" s="141">
        <f>IFERROR((HLOOKUP($AH895,Target_monthwise!$D$4:$O$20,DTR!G$4,FALSE))*1000,0)</f>
        <v>0</v>
      </c>
      <c r="H895" s="141">
        <f>IFERROR((HLOOKUP($AH895,Target_monthwise!$D$4:$O$20,DTR!H$4,FALSE))*1000,0)</f>
        <v>0</v>
      </c>
      <c r="I895" s="141">
        <f>IFERROR((HLOOKUP($AH895,Target_monthwise!$D$4:$O$20,DTR!I$4,FALSE))*1000,0)</f>
        <v>0</v>
      </c>
      <c r="J895" s="141">
        <f>IFERROR((HLOOKUP($AH895,Target_monthwise!$D$4:$O$20,DTR!J$4,FALSE))*1000,0)</f>
        <v>0</v>
      </c>
      <c r="K895" s="141">
        <f>IFERROR((HLOOKUP($AH895,Target_monthwise!$D$4:$O$20,DTR!K$4,FALSE))*1000,0)</f>
        <v>0</v>
      </c>
      <c r="L895" s="141">
        <f>IFERROR((HLOOKUP($AH895,Target_monthwise!$D$4:$O$20,DTR!L$4,FALSE))*1000,0)</f>
        <v>0</v>
      </c>
      <c r="M895" s="141">
        <f>IFERROR((HLOOKUP($AH895,Target_monthwise!$D$4:$O$20,DTR!M$4,FALSE))*1000,0)</f>
        <v>0</v>
      </c>
      <c r="N895" s="141">
        <f>IFERROR((HLOOKUP($AH895,Target_monthwise!$D$4:$O$20,DTR!N$4,FALSE))*1000,0)</f>
        <v>0</v>
      </c>
      <c r="O895" s="141">
        <f>IFERROR((HLOOKUP($AH895,Target_monthwise!$D$4:$O$20,DTR!O$4,FALSE))*1000,0)</f>
        <v>0</v>
      </c>
      <c r="P895" s="141">
        <f>IFERROR((HLOOKUP($AH895,Target_monthwise!$D$4:$O$20,DTR!P$4,FALSE))*1000,0)</f>
        <v>0</v>
      </c>
      <c r="Q895" s="141">
        <f>IFERROR((HLOOKUP($AH895,Target_monthwise!$D$4:$O$20,DTR!Q$4,FALSE))*1000,0)</f>
        <v>0</v>
      </c>
      <c r="R895" s="167">
        <f>IFERROR((HLOOKUP($AH895,Target_monthwise!$D$4:$O$20,DTR!R$4,FALSE))*1000,0)</f>
        <v>0</v>
      </c>
      <c r="S895" s="147">
        <f>IFERROR((HLOOKUP($AH895,Target_monthwise!$D$24:$O$40,DTR!S$4,FALSE)),0)</f>
        <v>0</v>
      </c>
      <c r="T895" s="147">
        <f>IFERROR((HLOOKUP($AH895,Target_monthwise!$D$24:$O$40,DTR!T$4,FALSE)),0)</f>
        <v>0</v>
      </c>
      <c r="U895" s="147">
        <f>IFERROR((HLOOKUP($AH895,Target_monthwise!$D$24:$O$40,DTR!U$4,FALSE)),0)</f>
        <v>0</v>
      </c>
      <c r="V895" s="147">
        <f>IFERROR((HLOOKUP($AH895,Target_monthwise!$D$24:$O$40,DTR!V$4,FALSE)),0)</f>
        <v>0</v>
      </c>
      <c r="W895" s="147">
        <f>IFERROR((HLOOKUP($AH895,Target_monthwise!$D$24:$O$40,DTR!W$4,FALSE)),0)</f>
        <v>0</v>
      </c>
      <c r="X895" s="147">
        <f>IFERROR((HLOOKUP($AH895,Target_monthwise!$D$24:$O$40,DTR!X$4,FALSE)),0)</f>
        <v>0</v>
      </c>
      <c r="Y895" s="147">
        <f>IFERROR((HLOOKUP($AH895,Target_monthwise!$D$24:$O$40,DTR!Y$4,FALSE)),0)</f>
        <v>0</v>
      </c>
      <c r="Z895" s="147">
        <f>IFERROR((HLOOKUP($AH895,Target_monthwise!$D$24:$O$40,DTR!Z$4,FALSE)),0)</f>
        <v>0</v>
      </c>
      <c r="AA895" s="147">
        <f>IFERROR((HLOOKUP($AH895,Target_monthwise!$D$24:$O$40,DTR!AA$4,FALSE)),0)</f>
        <v>0</v>
      </c>
      <c r="AB895" s="147">
        <f>IFERROR((HLOOKUP($AH895,Target_monthwise!$D$24:$O$40,DTR!AB$4,FALSE)),0)</f>
        <v>0</v>
      </c>
      <c r="AC895" s="147">
        <f>IFERROR((HLOOKUP($AH895,Target_monthwise!$D$24:$O$40,DTR!AC$4,FALSE)),0)</f>
        <v>0</v>
      </c>
      <c r="AD895" s="147">
        <f>IFERROR((HLOOKUP($AH895,Target_monthwise!$D$24:$O$40,DTR!AD$4,FALSE)),0)</f>
        <v>0</v>
      </c>
      <c r="AE895" s="147">
        <f>IFERROR((HLOOKUP($AH895,Target_monthwise!$D$24:$O$40,DTR!AE$4,FALSE)),0)</f>
        <v>0</v>
      </c>
      <c r="AF895" s="147">
        <f>IFERROR((HLOOKUP($AH895,Target_monthwise!$D$24:$O$40,DTR!AF$4,FALSE)),0)</f>
        <v>0</v>
      </c>
      <c r="AG895" s="172">
        <f>IFERROR((HLOOKUP($AH895,Target_monthwise!$D$24:$O$40,DTR!AG$4,FALSE)),0)</f>
        <v>0</v>
      </c>
      <c r="AH895" s="253">
        <f t="shared" si="16"/>
        <v>202409</v>
      </c>
    </row>
    <row r="896" spans="3:34" ht="15.75" hidden="1">
      <c r="C896" s="237">
        <v>45539</v>
      </c>
      <c r="D896" s="238">
        <f>IFERROR((HLOOKUP($AH896,Target_monthwise!$D$4:$O$20,DTR!D$4,FALSE))*1000,0)</f>
        <v>0</v>
      </c>
      <c r="E896" s="238">
        <f>IFERROR((HLOOKUP($AH896,Target_monthwise!$D$4:$O$20,DTR!E$4,FALSE))*1000,0)</f>
        <v>0</v>
      </c>
      <c r="F896" s="238">
        <f>IFERROR((HLOOKUP($AH896,Target_monthwise!$D$4:$O$20,DTR!F$4,FALSE))*1000,0)</f>
        <v>0</v>
      </c>
      <c r="G896" s="238">
        <f>IFERROR((HLOOKUP($AH896,Target_monthwise!$D$4:$O$20,DTR!G$4,FALSE))*1000,0)</f>
        <v>0</v>
      </c>
      <c r="H896" s="238">
        <f>IFERROR((HLOOKUP($AH896,Target_monthwise!$D$4:$O$20,DTR!H$4,FALSE))*1000,0)</f>
        <v>0</v>
      </c>
      <c r="I896" s="238">
        <f>IFERROR((HLOOKUP($AH896,Target_monthwise!$D$4:$O$20,DTR!I$4,FALSE))*1000,0)</f>
        <v>0</v>
      </c>
      <c r="J896" s="238">
        <f>IFERROR((HLOOKUP($AH896,Target_monthwise!$D$4:$O$20,DTR!J$4,FALSE))*1000,0)</f>
        <v>0</v>
      </c>
      <c r="K896" s="238">
        <f>IFERROR((HLOOKUP($AH896,Target_monthwise!$D$4:$O$20,DTR!K$4,FALSE))*1000,0)</f>
        <v>0</v>
      </c>
      <c r="L896" s="238">
        <f>IFERROR((HLOOKUP($AH896,Target_monthwise!$D$4:$O$20,DTR!L$4,FALSE))*1000,0)</f>
        <v>0</v>
      </c>
      <c r="M896" s="238">
        <f>IFERROR((HLOOKUP($AH896,Target_monthwise!$D$4:$O$20,DTR!M$4,FALSE))*1000,0)</f>
        <v>0</v>
      </c>
      <c r="N896" s="238">
        <f>IFERROR((HLOOKUP($AH896,Target_monthwise!$D$4:$O$20,DTR!N$4,FALSE))*1000,0)</f>
        <v>0</v>
      </c>
      <c r="O896" s="238">
        <f>IFERROR((HLOOKUP($AH896,Target_monthwise!$D$4:$O$20,DTR!O$4,FALSE))*1000,0)</f>
        <v>0</v>
      </c>
      <c r="P896" s="238">
        <f>IFERROR((HLOOKUP($AH896,Target_monthwise!$D$4:$O$20,DTR!P$4,FALSE))*1000,0)</f>
        <v>0</v>
      </c>
      <c r="Q896" s="141">
        <f>IFERROR((HLOOKUP($AH896,Target_monthwise!$D$4:$O$20,DTR!Q$4,FALSE))*1000,0)</f>
        <v>0</v>
      </c>
      <c r="R896" s="167">
        <f>IFERROR((HLOOKUP($AH896,Target_monthwise!$D$4:$O$20,DTR!R$4,FALSE))*1000,0)</f>
        <v>0</v>
      </c>
      <c r="S896" s="239">
        <f>IFERROR((HLOOKUP($AH896,Target_monthwise!$D$24:$O$40,DTR!S$4,FALSE)),0)</f>
        <v>0</v>
      </c>
      <c r="T896" s="239">
        <f>IFERROR((HLOOKUP($AH896,Target_monthwise!$D$24:$O$40,DTR!T$4,FALSE)),0)</f>
        <v>0</v>
      </c>
      <c r="U896" s="239">
        <f>IFERROR((HLOOKUP($AH896,Target_monthwise!$D$24:$O$40,DTR!U$4,FALSE)),0)</f>
        <v>0</v>
      </c>
      <c r="V896" s="239">
        <f>IFERROR((HLOOKUP($AH896,Target_monthwise!$D$24:$O$40,DTR!V$4,FALSE)),0)</f>
        <v>0</v>
      </c>
      <c r="W896" s="239">
        <f>IFERROR((HLOOKUP($AH896,Target_monthwise!$D$24:$O$40,DTR!W$4,FALSE)),0)</f>
        <v>0</v>
      </c>
      <c r="X896" s="239">
        <f>IFERROR((HLOOKUP($AH896,Target_monthwise!$D$24:$O$40,DTR!X$4,FALSE)),0)</f>
        <v>0</v>
      </c>
      <c r="Y896" s="239">
        <f>IFERROR((HLOOKUP($AH896,Target_monthwise!$D$24:$O$40,DTR!Y$4,FALSE)),0)</f>
        <v>0</v>
      </c>
      <c r="Z896" s="147">
        <f>IFERROR((HLOOKUP($AH896,Target_monthwise!$D$24:$O$40,DTR!Z$4,FALSE)),0)</f>
        <v>0</v>
      </c>
      <c r="AA896" s="147">
        <f>IFERROR((HLOOKUP($AH896,Target_monthwise!$D$24:$O$40,DTR!AA$4,FALSE)),0)</f>
        <v>0</v>
      </c>
      <c r="AB896" s="147">
        <f>IFERROR((HLOOKUP($AH896,Target_monthwise!$D$24:$O$40,DTR!AB$4,FALSE)),0)</f>
        <v>0</v>
      </c>
      <c r="AC896" s="239">
        <f>IFERROR((HLOOKUP($AH896,Target_monthwise!$D$24:$O$40,DTR!AC$4,FALSE)),0)</f>
        <v>0</v>
      </c>
      <c r="AD896" s="239">
        <f>IFERROR((HLOOKUP($AH896,Target_monthwise!$D$24:$O$40,DTR!AD$4,FALSE)),0)</f>
        <v>0</v>
      </c>
      <c r="AE896" s="239">
        <f>IFERROR((HLOOKUP($AH896,Target_monthwise!$D$24:$O$40,DTR!AE$4,FALSE)),0)</f>
        <v>0</v>
      </c>
      <c r="AF896" s="239">
        <f>IFERROR((HLOOKUP($AH896,Target_monthwise!$D$24:$O$40,DTR!AF$4,FALSE)),0)</f>
        <v>0</v>
      </c>
      <c r="AG896" s="172">
        <f>IFERROR((HLOOKUP($AH896,Target_monthwise!$D$24:$O$40,DTR!AG$4,FALSE)),0)</f>
        <v>0</v>
      </c>
      <c r="AH896" s="253">
        <f t="shared" si="16"/>
        <v>202409</v>
      </c>
    </row>
    <row r="897" spans="3:34" ht="15.75" hidden="1">
      <c r="C897" s="235">
        <v>45540</v>
      </c>
      <c r="D897" s="141">
        <f>IFERROR((HLOOKUP($AH897,Target_monthwise!$D$4:$O$20,DTR!D$4,FALSE))*1000,0)</f>
        <v>0</v>
      </c>
      <c r="E897" s="141">
        <f>IFERROR((HLOOKUP($AH897,Target_monthwise!$D$4:$O$20,DTR!E$4,FALSE))*1000,0)</f>
        <v>0</v>
      </c>
      <c r="F897" s="141">
        <f>IFERROR((HLOOKUP($AH897,Target_monthwise!$D$4:$O$20,DTR!F$4,FALSE))*1000,0)</f>
        <v>0</v>
      </c>
      <c r="G897" s="141">
        <f>IFERROR((HLOOKUP($AH897,Target_monthwise!$D$4:$O$20,DTR!G$4,FALSE))*1000,0)</f>
        <v>0</v>
      </c>
      <c r="H897" s="141">
        <f>IFERROR((HLOOKUP($AH897,Target_monthwise!$D$4:$O$20,DTR!H$4,FALSE))*1000,0)</f>
        <v>0</v>
      </c>
      <c r="I897" s="141">
        <f>IFERROR((HLOOKUP($AH897,Target_monthwise!$D$4:$O$20,DTR!I$4,FALSE))*1000,0)</f>
        <v>0</v>
      </c>
      <c r="J897" s="141">
        <f>IFERROR((HLOOKUP($AH897,Target_monthwise!$D$4:$O$20,DTR!J$4,FALSE))*1000,0)</f>
        <v>0</v>
      </c>
      <c r="K897" s="141">
        <f>IFERROR((HLOOKUP($AH897,Target_monthwise!$D$4:$O$20,DTR!K$4,FALSE))*1000,0)</f>
        <v>0</v>
      </c>
      <c r="L897" s="141">
        <f>IFERROR((HLOOKUP($AH897,Target_monthwise!$D$4:$O$20,DTR!L$4,FALSE))*1000,0)</f>
        <v>0</v>
      </c>
      <c r="M897" s="141">
        <f>IFERROR((HLOOKUP($AH897,Target_monthwise!$D$4:$O$20,DTR!M$4,FALSE))*1000,0)</f>
        <v>0</v>
      </c>
      <c r="N897" s="141">
        <f>IFERROR((HLOOKUP($AH897,Target_monthwise!$D$4:$O$20,DTR!N$4,FALSE))*1000,0)</f>
        <v>0</v>
      </c>
      <c r="O897" s="141">
        <f>IFERROR((HLOOKUP($AH897,Target_monthwise!$D$4:$O$20,DTR!O$4,FALSE))*1000,0)</f>
        <v>0</v>
      </c>
      <c r="P897" s="141">
        <f>IFERROR((HLOOKUP($AH897,Target_monthwise!$D$4:$O$20,DTR!P$4,FALSE))*1000,0)</f>
        <v>0</v>
      </c>
      <c r="Q897" s="141">
        <f>IFERROR((HLOOKUP($AH897,Target_monthwise!$D$4:$O$20,DTR!Q$4,FALSE))*1000,0)</f>
        <v>0</v>
      </c>
      <c r="R897" s="167">
        <f>IFERROR((HLOOKUP($AH897,Target_monthwise!$D$4:$O$20,DTR!R$4,FALSE))*1000,0)</f>
        <v>0</v>
      </c>
      <c r="S897" s="147">
        <f>IFERROR((HLOOKUP($AH897,Target_monthwise!$D$24:$O$40,DTR!S$4,FALSE)),0)</f>
        <v>0</v>
      </c>
      <c r="T897" s="147">
        <f>IFERROR((HLOOKUP($AH897,Target_monthwise!$D$24:$O$40,DTR!T$4,FALSE)),0)</f>
        <v>0</v>
      </c>
      <c r="U897" s="147">
        <f>IFERROR((HLOOKUP($AH897,Target_monthwise!$D$24:$O$40,DTR!U$4,FALSE)),0)</f>
        <v>0</v>
      </c>
      <c r="V897" s="147">
        <f>IFERROR((HLOOKUP($AH897,Target_monthwise!$D$24:$O$40,DTR!V$4,FALSE)),0)</f>
        <v>0</v>
      </c>
      <c r="W897" s="147">
        <f>IFERROR((HLOOKUP($AH897,Target_monthwise!$D$24:$O$40,DTR!W$4,FALSE)),0)</f>
        <v>0</v>
      </c>
      <c r="X897" s="147">
        <f>IFERROR((HLOOKUP($AH897,Target_monthwise!$D$24:$O$40,DTR!X$4,FALSE)),0)</f>
        <v>0</v>
      </c>
      <c r="Y897" s="147">
        <f>IFERROR((HLOOKUP($AH897,Target_monthwise!$D$24:$O$40,DTR!Y$4,FALSE)),0)</f>
        <v>0</v>
      </c>
      <c r="Z897" s="147">
        <f>IFERROR((HLOOKUP($AH897,Target_monthwise!$D$24:$O$40,DTR!Z$4,FALSE)),0)</f>
        <v>0</v>
      </c>
      <c r="AA897" s="147">
        <f>IFERROR((HLOOKUP($AH897,Target_monthwise!$D$24:$O$40,DTR!AA$4,FALSE)),0)</f>
        <v>0</v>
      </c>
      <c r="AB897" s="147">
        <f>IFERROR((HLOOKUP($AH897,Target_monthwise!$D$24:$O$40,DTR!AB$4,FALSE)),0)</f>
        <v>0</v>
      </c>
      <c r="AC897" s="147">
        <f>IFERROR((HLOOKUP($AH897,Target_monthwise!$D$24:$O$40,DTR!AC$4,FALSE)),0)</f>
        <v>0</v>
      </c>
      <c r="AD897" s="147">
        <f>IFERROR((HLOOKUP($AH897,Target_monthwise!$D$24:$O$40,DTR!AD$4,FALSE)),0)</f>
        <v>0</v>
      </c>
      <c r="AE897" s="147">
        <f>IFERROR((HLOOKUP($AH897,Target_monthwise!$D$24:$O$40,DTR!AE$4,FALSE)),0)</f>
        <v>0</v>
      </c>
      <c r="AF897" s="147">
        <f>IFERROR((HLOOKUP($AH897,Target_monthwise!$D$24:$O$40,DTR!AF$4,FALSE)),0)</f>
        <v>0</v>
      </c>
      <c r="AG897" s="172">
        <f>IFERROR((HLOOKUP($AH897,Target_monthwise!$D$24:$O$40,DTR!AG$4,FALSE)),0)</f>
        <v>0</v>
      </c>
      <c r="AH897" s="253">
        <f t="shared" si="16"/>
        <v>202409</v>
      </c>
    </row>
    <row r="898" spans="3:34" ht="15.75" hidden="1">
      <c r="C898" s="237">
        <v>45541</v>
      </c>
      <c r="D898" s="238">
        <f>IFERROR((HLOOKUP($AH898,Target_monthwise!$D$4:$O$20,DTR!D$4,FALSE))*1000,0)</f>
        <v>0</v>
      </c>
      <c r="E898" s="238">
        <f>IFERROR((HLOOKUP($AH898,Target_monthwise!$D$4:$O$20,DTR!E$4,FALSE))*1000,0)</f>
        <v>0</v>
      </c>
      <c r="F898" s="238">
        <f>IFERROR((HLOOKUP($AH898,Target_monthwise!$D$4:$O$20,DTR!F$4,FALSE))*1000,0)</f>
        <v>0</v>
      </c>
      <c r="G898" s="238">
        <f>IFERROR((HLOOKUP($AH898,Target_monthwise!$D$4:$O$20,DTR!G$4,FALSE))*1000,0)</f>
        <v>0</v>
      </c>
      <c r="H898" s="238">
        <f>IFERROR((HLOOKUP($AH898,Target_monthwise!$D$4:$O$20,DTR!H$4,FALSE))*1000,0)</f>
        <v>0</v>
      </c>
      <c r="I898" s="238">
        <f>IFERROR((HLOOKUP($AH898,Target_monthwise!$D$4:$O$20,DTR!I$4,FALSE))*1000,0)</f>
        <v>0</v>
      </c>
      <c r="J898" s="238">
        <f>IFERROR((HLOOKUP($AH898,Target_monthwise!$D$4:$O$20,DTR!J$4,FALSE))*1000,0)</f>
        <v>0</v>
      </c>
      <c r="K898" s="238">
        <f>IFERROR((HLOOKUP($AH898,Target_monthwise!$D$4:$O$20,DTR!K$4,FALSE))*1000,0)</f>
        <v>0</v>
      </c>
      <c r="L898" s="238">
        <f>IFERROR((HLOOKUP($AH898,Target_monthwise!$D$4:$O$20,DTR!L$4,FALSE))*1000,0)</f>
        <v>0</v>
      </c>
      <c r="M898" s="238">
        <f>IFERROR((HLOOKUP($AH898,Target_monthwise!$D$4:$O$20,DTR!M$4,FALSE))*1000,0)</f>
        <v>0</v>
      </c>
      <c r="N898" s="238">
        <f>IFERROR((HLOOKUP($AH898,Target_monthwise!$D$4:$O$20,DTR!N$4,FALSE))*1000,0)</f>
        <v>0</v>
      </c>
      <c r="O898" s="238">
        <f>IFERROR((HLOOKUP($AH898,Target_monthwise!$D$4:$O$20,DTR!O$4,FALSE))*1000,0)</f>
        <v>0</v>
      </c>
      <c r="P898" s="238">
        <f>IFERROR((HLOOKUP($AH898,Target_monthwise!$D$4:$O$20,DTR!P$4,FALSE))*1000,0)</f>
        <v>0</v>
      </c>
      <c r="Q898" s="141">
        <f>IFERROR((HLOOKUP($AH898,Target_monthwise!$D$4:$O$20,DTR!Q$4,FALSE))*1000,0)</f>
        <v>0</v>
      </c>
      <c r="R898" s="167">
        <f>IFERROR((HLOOKUP($AH898,Target_monthwise!$D$4:$O$20,DTR!R$4,FALSE))*1000,0)</f>
        <v>0</v>
      </c>
      <c r="S898" s="239">
        <f>IFERROR((HLOOKUP($AH898,Target_monthwise!$D$24:$O$40,DTR!S$4,FALSE)),0)</f>
        <v>0</v>
      </c>
      <c r="T898" s="239">
        <f>IFERROR((HLOOKUP($AH898,Target_monthwise!$D$24:$O$40,DTR!T$4,FALSE)),0)</f>
        <v>0</v>
      </c>
      <c r="U898" s="239">
        <f>IFERROR((HLOOKUP($AH898,Target_monthwise!$D$24:$O$40,DTR!U$4,FALSE)),0)</f>
        <v>0</v>
      </c>
      <c r="V898" s="239">
        <f>IFERROR((HLOOKUP($AH898,Target_monthwise!$D$24:$O$40,DTR!V$4,FALSE)),0)</f>
        <v>0</v>
      </c>
      <c r="W898" s="239">
        <f>IFERROR((HLOOKUP($AH898,Target_monthwise!$D$24:$O$40,DTR!W$4,FALSE)),0)</f>
        <v>0</v>
      </c>
      <c r="X898" s="239">
        <f>IFERROR((HLOOKUP($AH898,Target_monthwise!$D$24:$O$40,DTR!X$4,FALSE)),0)</f>
        <v>0</v>
      </c>
      <c r="Y898" s="239">
        <f>IFERROR((HLOOKUP($AH898,Target_monthwise!$D$24:$O$40,DTR!Y$4,FALSE)),0)</f>
        <v>0</v>
      </c>
      <c r="Z898" s="147">
        <f>IFERROR((HLOOKUP($AH898,Target_monthwise!$D$24:$O$40,DTR!Z$4,FALSE)),0)</f>
        <v>0</v>
      </c>
      <c r="AA898" s="147">
        <f>IFERROR((HLOOKUP($AH898,Target_monthwise!$D$24:$O$40,DTR!AA$4,FALSE)),0)</f>
        <v>0</v>
      </c>
      <c r="AB898" s="147">
        <f>IFERROR((HLOOKUP($AH898,Target_monthwise!$D$24:$O$40,DTR!AB$4,FALSE)),0)</f>
        <v>0</v>
      </c>
      <c r="AC898" s="239">
        <f>IFERROR((HLOOKUP($AH898,Target_monthwise!$D$24:$O$40,DTR!AC$4,FALSE)),0)</f>
        <v>0</v>
      </c>
      <c r="AD898" s="239">
        <f>IFERROR((HLOOKUP($AH898,Target_monthwise!$D$24:$O$40,DTR!AD$4,FALSE)),0)</f>
        <v>0</v>
      </c>
      <c r="AE898" s="239">
        <f>IFERROR((HLOOKUP($AH898,Target_monthwise!$D$24:$O$40,DTR!AE$4,FALSE)),0)</f>
        <v>0</v>
      </c>
      <c r="AF898" s="239">
        <f>IFERROR((HLOOKUP($AH898,Target_monthwise!$D$24:$O$40,DTR!AF$4,FALSE)),0)</f>
        <v>0</v>
      </c>
      <c r="AG898" s="172">
        <f>IFERROR((HLOOKUP($AH898,Target_monthwise!$D$24:$O$40,DTR!AG$4,FALSE)),0)</f>
        <v>0</v>
      </c>
      <c r="AH898" s="253">
        <f t="shared" si="16"/>
        <v>202409</v>
      </c>
    </row>
    <row r="899" spans="3:34" ht="15.75" hidden="1">
      <c r="C899" s="235">
        <v>45542</v>
      </c>
      <c r="D899" s="141">
        <f>IFERROR((HLOOKUP($AH899,Target_monthwise!$D$4:$O$20,DTR!D$4,FALSE))*1000,0)</f>
        <v>0</v>
      </c>
      <c r="E899" s="141">
        <f>IFERROR((HLOOKUP($AH899,Target_monthwise!$D$4:$O$20,DTR!E$4,FALSE))*1000,0)</f>
        <v>0</v>
      </c>
      <c r="F899" s="141">
        <f>IFERROR((HLOOKUP($AH899,Target_monthwise!$D$4:$O$20,DTR!F$4,FALSE))*1000,0)</f>
        <v>0</v>
      </c>
      <c r="G899" s="141">
        <f>IFERROR((HLOOKUP($AH899,Target_monthwise!$D$4:$O$20,DTR!G$4,FALSE))*1000,0)</f>
        <v>0</v>
      </c>
      <c r="H899" s="141">
        <f>IFERROR((HLOOKUP($AH899,Target_monthwise!$D$4:$O$20,DTR!H$4,FALSE))*1000,0)</f>
        <v>0</v>
      </c>
      <c r="I899" s="141">
        <f>IFERROR((HLOOKUP($AH899,Target_monthwise!$D$4:$O$20,DTR!I$4,FALSE))*1000,0)</f>
        <v>0</v>
      </c>
      <c r="J899" s="141">
        <f>IFERROR((HLOOKUP($AH899,Target_monthwise!$D$4:$O$20,DTR!J$4,FALSE))*1000,0)</f>
        <v>0</v>
      </c>
      <c r="K899" s="141">
        <f>IFERROR((HLOOKUP($AH899,Target_monthwise!$D$4:$O$20,DTR!K$4,FALSE))*1000,0)</f>
        <v>0</v>
      </c>
      <c r="L899" s="141">
        <f>IFERROR((HLOOKUP($AH899,Target_monthwise!$D$4:$O$20,DTR!L$4,FALSE))*1000,0)</f>
        <v>0</v>
      </c>
      <c r="M899" s="141">
        <f>IFERROR((HLOOKUP($AH899,Target_monthwise!$D$4:$O$20,DTR!M$4,FALSE))*1000,0)</f>
        <v>0</v>
      </c>
      <c r="N899" s="141">
        <f>IFERROR((HLOOKUP($AH899,Target_monthwise!$D$4:$O$20,DTR!N$4,FALSE))*1000,0)</f>
        <v>0</v>
      </c>
      <c r="O899" s="141">
        <f>IFERROR((HLOOKUP($AH899,Target_monthwise!$D$4:$O$20,DTR!O$4,FALSE))*1000,0)</f>
        <v>0</v>
      </c>
      <c r="P899" s="141">
        <f>IFERROR((HLOOKUP($AH899,Target_monthwise!$D$4:$O$20,DTR!P$4,FALSE))*1000,0)</f>
        <v>0</v>
      </c>
      <c r="Q899" s="141">
        <f>IFERROR((HLOOKUP($AH899,Target_monthwise!$D$4:$O$20,DTR!Q$4,FALSE))*1000,0)</f>
        <v>0</v>
      </c>
      <c r="R899" s="167">
        <f>IFERROR((HLOOKUP($AH899,Target_monthwise!$D$4:$O$20,DTR!R$4,FALSE))*1000,0)</f>
        <v>0</v>
      </c>
      <c r="S899" s="147">
        <f>IFERROR((HLOOKUP($AH899,Target_monthwise!$D$24:$O$40,DTR!S$4,FALSE)),0)</f>
        <v>0</v>
      </c>
      <c r="T899" s="147">
        <f>IFERROR((HLOOKUP($AH899,Target_monthwise!$D$24:$O$40,DTR!T$4,FALSE)),0)</f>
        <v>0</v>
      </c>
      <c r="U899" s="147">
        <f>IFERROR((HLOOKUP($AH899,Target_monthwise!$D$24:$O$40,DTR!U$4,FALSE)),0)</f>
        <v>0</v>
      </c>
      <c r="V899" s="147">
        <f>IFERROR((HLOOKUP($AH899,Target_monthwise!$D$24:$O$40,DTR!V$4,FALSE)),0)</f>
        <v>0</v>
      </c>
      <c r="W899" s="147">
        <f>IFERROR((HLOOKUP($AH899,Target_monthwise!$D$24:$O$40,DTR!W$4,FALSE)),0)</f>
        <v>0</v>
      </c>
      <c r="X899" s="147">
        <f>IFERROR((HLOOKUP($AH899,Target_monthwise!$D$24:$O$40,DTR!X$4,FALSE)),0)</f>
        <v>0</v>
      </c>
      <c r="Y899" s="147">
        <f>IFERROR((HLOOKUP($AH899,Target_monthwise!$D$24:$O$40,DTR!Y$4,FALSE)),0)</f>
        <v>0</v>
      </c>
      <c r="Z899" s="147">
        <f>IFERROR((HLOOKUP($AH899,Target_monthwise!$D$24:$O$40,DTR!Z$4,FALSE)),0)</f>
        <v>0</v>
      </c>
      <c r="AA899" s="147">
        <f>IFERROR((HLOOKUP($AH899,Target_monthwise!$D$24:$O$40,DTR!AA$4,FALSE)),0)</f>
        <v>0</v>
      </c>
      <c r="AB899" s="147">
        <f>IFERROR((HLOOKUP($AH899,Target_monthwise!$D$24:$O$40,DTR!AB$4,FALSE)),0)</f>
        <v>0</v>
      </c>
      <c r="AC899" s="147">
        <f>IFERROR((HLOOKUP($AH899,Target_monthwise!$D$24:$O$40,DTR!AC$4,FALSE)),0)</f>
        <v>0</v>
      </c>
      <c r="AD899" s="147">
        <f>IFERROR((HLOOKUP($AH899,Target_monthwise!$D$24:$O$40,DTR!AD$4,FALSE)),0)</f>
        <v>0</v>
      </c>
      <c r="AE899" s="147">
        <f>IFERROR((HLOOKUP($AH899,Target_monthwise!$D$24:$O$40,DTR!AE$4,FALSE)),0)</f>
        <v>0</v>
      </c>
      <c r="AF899" s="147">
        <f>IFERROR((HLOOKUP($AH899,Target_monthwise!$D$24:$O$40,DTR!AF$4,FALSE)),0)</f>
        <v>0</v>
      </c>
      <c r="AG899" s="172">
        <f>IFERROR((HLOOKUP($AH899,Target_monthwise!$D$24:$O$40,DTR!AG$4,FALSE)),0)</f>
        <v>0</v>
      </c>
      <c r="AH899" s="253">
        <f t="shared" si="16"/>
        <v>202409</v>
      </c>
    </row>
    <row r="900" spans="3:34" ht="15.75" hidden="1">
      <c r="C900" s="237">
        <v>45543</v>
      </c>
      <c r="D900" s="238">
        <f>IFERROR((HLOOKUP($AH900,Target_monthwise!$D$4:$O$20,DTR!D$4,FALSE))*1000,0)</f>
        <v>0</v>
      </c>
      <c r="E900" s="238">
        <f>IFERROR((HLOOKUP($AH900,Target_monthwise!$D$4:$O$20,DTR!E$4,FALSE))*1000,0)</f>
        <v>0</v>
      </c>
      <c r="F900" s="238">
        <f>IFERROR((HLOOKUP($AH900,Target_monthwise!$D$4:$O$20,DTR!F$4,FALSE))*1000,0)</f>
        <v>0</v>
      </c>
      <c r="G900" s="238">
        <f>IFERROR((HLOOKUP($AH900,Target_monthwise!$D$4:$O$20,DTR!G$4,FALSE))*1000,0)</f>
        <v>0</v>
      </c>
      <c r="H900" s="238">
        <f>IFERROR((HLOOKUP($AH900,Target_monthwise!$D$4:$O$20,DTR!H$4,FALSE))*1000,0)</f>
        <v>0</v>
      </c>
      <c r="I900" s="238">
        <f>IFERROR((HLOOKUP($AH900,Target_monthwise!$D$4:$O$20,DTR!I$4,FALSE))*1000,0)</f>
        <v>0</v>
      </c>
      <c r="J900" s="238">
        <f>IFERROR((HLOOKUP($AH900,Target_monthwise!$D$4:$O$20,DTR!J$4,FALSE))*1000,0)</f>
        <v>0</v>
      </c>
      <c r="K900" s="238">
        <f>IFERROR((HLOOKUP($AH900,Target_monthwise!$D$4:$O$20,DTR!K$4,FALSE))*1000,0)</f>
        <v>0</v>
      </c>
      <c r="L900" s="238">
        <f>IFERROR((HLOOKUP($AH900,Target_monthwise!$D$4:$O$20,DTR!L$4,FALSE))*1000,0)</f>
        <v>0</v>
      </c>
      <c r="M900" s="238">
        <f>IFERROR((HLOOKUP($AH900,Target_monthwise!$D$4:$O$20,DTR!M$4,FALSE))*1000,0)</f>
        <v>0</v>
      </c>
      <c r="N900" s="238">
        <f>IFERROR((HLOOKUP($AH900,Target_monthwise!$D$4:$O$20,DTR!N$4,FALSE))*1000,0)</f>
        <v>0</v>
      </c>
      <c r="O900" s="238">
        <f>IFERROR((HLOOKUP($AH900,Target_monthwise!$D$4:$O$20,DTR!O$4,FALSE))*1000,0)</f>
        <v>0</v>
      </c>
      <c r="P900" s="238">
        <f>IFERROR((HLOOKUP($AH900,Target_monthwise!$D$4:$O$20,DTR!P$4,FALSE))*1000,0)</f>
        <v>0</v>
      </c>
      <c r="Q900" s="141">
        <f>IFERROR((HLOOKUP($AH900,Target_monthwise!$D$4:$O$20,DTR!Q$4,FALSE))*1000,0)</f>
        <v>0</v>
      </c>
      <c r="R900" s="167">
        <f>IFERROR((HLOOKUP($AH900,Target_monthwise!$D$4:$O$20,DTR!R$4,FALSE))*1000,0)</f>
        <v>0</v>
      </c>
      <c r="S900" s="239">
        <f>IFERROR((HLOOKUP($AH900,Target_monthwise!$D$24:$O$40,DTR!S$4,FALSE)),0)</f>
        <v>0</v>
      </c>
      <c r="T900" s="239">
        <f>IFERROR((HLOOKUP($AH900,Target_monthwise!$D$24:$O$40,DTR!T$4,FALSE)),0)</f>
        <v>0</v>
      </c>
      <c r="U900" s="239">
        <f>IFERROR((HLOOKUP($AH900,Target_monthwise!$D$24:$O$40,DTR!U$4,FALSE)),0)</f>
        <v>0</v>
      </c>
      <c r="V900" s="239">
        <f>IFERROR((HLOOKUP($AH900,Target_monthwise!$D$24:$O$40,DTR!V$4,FALSE)),0)</f>
        <v>0</v>
      </c>
      <c r="W900" s="239">
        <f>IFERROR((HLOOKUP($AH900,Target_monthwise!$D$24:$O$40,DTR!W$4,FALSE)),0)</f>
        <v>0</v>
      </c>
      <c r="X900" s="239">
        <f>IFERROR((HLOOKUP($AH900,Target_monthwise!$D$24:$O$40,DTR!X$4,FALSE)),0)</f>
        <v>0</v>
      </c>
      <c r="Y900" s="239">
        <f>IFERROR((HLOOKUP($AH900,Target_monthwise!$D$24:$O$40,DTR!Y$4,FALSE)),0)</f>
        <v>0</v>
      </c>
      <c r="Z900" s="147">
        <f>IFERROR((HLOOKUP($AH900,Target_monthwise!$D$24:$O$40,DTR!Z$4,FALSE)),0)</f>
        <v>0</v>
      </c>
      <c r="AA900" s="147">
        <f>IFERROR((HLOOKUP($AH900,Target_monthwise!$D$24:$O$40,DTR!AA$4,FALSE)),0)</f>
        <v>0</v>
      </c>
      <c r="AB900" s="147">
        <f>IFERROR((HLOOKUP($AH900,Target_monthwise!$D$24:$O$40,DTR!AB$4,FALSE)),0)</f>
        <v>0</v>
      </c>
      <c r="AC900" s="239">
        <f>IFERROR((HLOOKUP($AH900,Target_monthwise!$D$24:$O$40,DTR!AC$4,FALSE)),0)</f>
        <v>0</v>
      </c>
      <c r="AD900" s="239">
        <f>IFERROR((HLOOKUP($AH900,Target_monthwise!$D$24:$O$40,DTR!AD$4,FALSE)),0)</f>
        <v>0</v>
      </c>
      <c r="AE900" s="239">
        <f>IFERROR((HLOOKUP($AH900,Target_monthwise!$D$24:$O$40,DTR!AE$4,FALSE)),0)</f>
        <v>0</v>
      </c>
      <c r="AF900" s="239">
        <f>IFERROR((HLOOKUP($AH900,Target_monthwise!$D$24:$O$40,DTR!AF$4,FALSE)),0)</f>
        <v>0</v>
      </c>
      <c r="AG900" s="172">
        <f>IFERROR((HLOOKUP($AH900,Target_monthwise!$D$24:$O$40,DTR!AG$4,FALSE)),0)</f>
        <v>0</v>
      </c>
      <c r="AH900" s="253">
        <f t="shared" si="16"/>
        <v>202409</v>
      </c>
    </row>
    <row r="901" spans="3:34" ht="15.75" hidden="1">
      <c r="C901" s="235">
        <v>45544</v>
      </c>
      <c r="D901" s="141">
        <f>IFERROR((HLOOKUP($AH901,Target_monthwise!$D$4:$O$20,DTR!D$4,FALSE))*1000,0)</f>
        <v>0</v>
      </c>
      <c r="E901" s="141">
        <f>IFERROR((HLOOKUP($AH901,Target_monthwise!$D$4:$O$20,DTR!E$4,FALSE))*1000,0)</f>
        <v>0</v>
      </c>
      <c r="F901" s="141">
        <f>IFERROR((HLOOKUP($AH901,Target_monthwise!$D$4:$O$20,DTR!F$4,FALSE))*1000,0)</f>
        <v>0</v>
      </c>
      <c r="G901" s="141">
        <f>IFERROR((HLOOKUP($AH901,Target_monthwise!$D$4:$O$20,DTR!G$4,FALSE))*1000,0)</f>
        <v>0</v>
      </c>
      <c r="H901" s="141">
        <f>IFERROR((HLOOKUP($AH901,Target_monthwise!$D$4:$O$20,DTR!H$4,FALSE))*1000,0)</f>
        <v>0</v>
      </c>
      <c r="I901" s="141">
        <f>IFERROR((HLOOKUP($AH901,Target_monthwise!$D$4:$O$20,DTR!I$4,FALSE))*1000,0)</f>
        <v>0</v>
      </c>
      <c r="J901" s="141">
        <f>IFERROR((HLOOKUP($AH901,Target_monthwise!$D$4:$O$20,DTR!J$4,FALSE))*1000,0)</f>
        <v>0</v>
      </c>
      <c r="K901" s="141">
        <f>IFERROR((HLOOKUP($AH901,Target_monthwise!$D$4:$O$20,DTR!K$4,FALSE))*1000,0)</f>
        <v>0</v>
      </c>
      <c r="L901" s="141">
        <f>IFERROR((HLOOKUP($AH901,Target_monthwise!$D$4:$O$20,DTR!L$4,FALSE))*1000,0)</f>
        <v>0</v>
      </c>
      <c r="M901" s="141">
        <f>IFERROR((HLOOKUP($AH901,Target_monthwise!$D$4:$O$20,DTR!M$4,FALSE))*1000,0)</f>
        <v>0</v>
      </c>
      <c r="N901" s="141">
        <f>IFERROR((HLOOKUP($AH901,Target_monthwise!$D$4:$O$20,DTR!N$4,FALSE))*1000,0)</f>
        <v>0</v>
      </c>
      <c r="O901" s="141">
        <f>IFERROR((HLOOKUP($AH901,Target_monthwise!$D$4:$O$20,DTR!O$4,FALSE))*1000,0)</f>
        <v>0</v>
      </c>
      <c r="P901" s="141">
        <f>IFERROR((HLOOKUP($AH901,Target_monthwise!$D$4:$O$20,DTR!P$4,FALSE))*1000,0)</f>
        <v>0</v>
      </c>
      <c r="Q901" s="141">
        <f>IFERROR((HLOOKUP($AH901,Target_monthwise!$D$4:$O$20,DTR!Q$4,FALSE))*1000,0)</f>
        <v>0</v>
      </c>
      <c r="R901" s="167">
        <f>IFERROR((HLOOKUP($AH901,Target_monthwise!$D$4:$O$20,DTR!R$4,FALSE))*1000,0)</f>
        <v>0</v>
      </c>
      <c r="S901" s="147">
        <f>IFERROR((HLOOKUP($AH901,Target_monthwise!$D$24:$O$40,DTR!S$4,FALSE)),0)</f>
        <v>0</v>
      </c>
      <c r="T901" s="147">
        <f>IFERROR((HLOOKUP($AH901,Target_monthwise!$D$24:$O$40,DTR!T$4,FALSE)),0)</f>
        <v>0</v>
      </c>
      <c r="U901" s="147">
        <f>IFERROR((HLOOKUP($AH901,Target_monthwise!$D$24:$O$40,DTR!U$4,FALSE)),0)</f>
        <v>0</v>
      </c>
      <c r="V901" s="147">
        <f>IFERROR((HLOOKUP($AH901,Target_monthwise!$D$24:$O$40,DTR!V$4,FALSE)),0)</f>
        <v>0</v>
      </c>
      <c r="W901" s="147">
        <f>IFERROR((HLOOKUP($AH901,Target_monthwise!$D$24:$O$40,DTR!W$4,FALSE)),0)</f>
        <v>0</v>
      </c>
      <c r="X901" s="147">
        <f>IFERROR((HLOOKUP($AH901,Target_monthwise!$D$24:$O$40,DTR!X$4,FALSE)),0)</f>
        <v>0</v>
      </c>
      <c r="Y901" s="147">
        <f>IFERROR((HLOOKUP($AH901,Target_monthwise!$D$24:$O$40,DTR!Y$4,FALSE)),0)</f>
        <v>0</v>
      </c>
      <c r="Z901" s="147">
        <f>IFERROR((HLOOKUP($AH901,Target_monthwise!$D$24:$O$40,DTR!Z$4,FALSE)),0)</f>
        <v>0</v>
      </c>
      <c r="AA901" s="147">
        <f>IFERROR((HLOOKUP($AH901,Target_monthwise!$D$24:$O$40,DTR!AA$4,FALSE)),0)</f>
        <v>0</v>
      </c>
      <c r="AB901" s="147">
        <f>IFERROR((HLOOKUP($AH901,Target_monthwise!$D$24:$O$40,DTR!AB$4,FALSE)),0)</f>
        <v>0</v>
      </c>
      <c r="AC901" s="147">
        <f>IFERROR((HLOOKUP($AH901,Target_monthwise!$D$24:$O$40,DTR!AC$4,FALSE)),0)</f>
        <v>0</v>
      </c>
      <c r="AD901" s="147">
        <f>IFERROR((HLOOKUP($AH901,Target_monthwise!$D$24:$O$40,DTR!AD$4,FALSE)),0)</f>
        <v>0</v>
      </c>
      <c r="AE901" s="147">
        <f>IFERROR((HLOOKUP($AH901,Target_monthwise!$D$24:$O$40,DTR!AE$4,FALSE)),0)</f>
        <v>0</v>
      </c>
      <c r="AF901" s="147">
        <f>IFERROR((HLOOKUP($AH901,Target_monthwise!$D$24:$O$40,DTR!AF$4,FALSE)),0)</f>
        <v>0</v>
      </c>
      <c r="AG901" s="172">
        <f>IFERROR((HLOOKUP($AH901,Target_monthwise!$D$24:$O$40,DTR!AG$4,FALSE)),0)</f>
        <v>0</v>
      </c>
      <c r="AH901" s="253">
        <f t="shared" si="16"/>
        <v>202409</v>
      </c>
    </row>
    <row r="902" spans="3:34" ht="15.75" hidden="1">
      <c r="C902" s="237">
        <v>45545</v>
      </c>
      <c r="D902" s="238">
        <f>IFERROR((HLOOKUP($AH902,Target_monthwise!$D$4:$O$20,DTR!D$4,FALSE))*1000,0)</f>
        <v>0</v>
      </c>
      <c r="E902" s="238">
        <f>IFERROR((HLOOKUP($AH902,Target_monthwise!$D$4:$O$20,DTR!E$4,FALSE))*1000,0)</f>
        <v>0</v>
      </c>
      <c r="F902" s="238">
        <f>IFERROR((HLOOKUP($AH902,Target_monthwise!$D$4:$O$20,DTR!F$4,FALSE))*1000,0)</f>
        <v>0</v>
      </c>
      <c r="G902" s="238">
        <f>IFERROR((HLOOKUP($AH902,Target_monthwise!$D$4:$O$20,DTR!G$4,FALSE))*1000,0)</f>
        <v>0</v>
      </c>
      <c r="H902" s="238">
        <f>IFERROR((HLOOKUP($AH902,Target_monthwise!$D$4:$O$20,DTR!H$4,FALSE))*1000,0)</f>
        <v>0</v>
      </c>
      <c r="I902" s="238">
        <f>IFERROR((HLOOKUP($AH902,Target_monthwise!$D$4:$O$20,DTR!I$4,FALSE))*1000,0)</f>
        <v>0</v>
      </c>
      <c r="J902" s="238">
        <f>IFERROR((HLOOKUP($AH902,Target_monthwise!$D$4:$O$20,DTR!J$4,FALSE))*1000,0)</f>
        <v>0</v>
      </c>
      <c r="K902" s="238">
        <f>IFERROR((HLOOKUP($AH902,Target_monthwise!$D$4:$O$20,DTR!K$4,FALSE))*1000,0)</f>
        <v>0</v>
      </c>
      <c r="L902" s="238">
        <f>IFERROR((HLOOKUP($AH902,Target_monthwise!$D$4:$O$20,DTR!L$4,FALSE))*1000,0)</f>
        <v>0</v>
      </c>
      <c r="M902" s="238">
        <f>IFERROR((HLOOKUP($AH902,Target_monthwise!$D$4:$O$20,DTR!M$4,FALSE))*1000,0)</f>
        <v>0</v>
      </c>
      <c r="N902" s="238">
        <f>IFERROR((HLOOKUP($AH902,Target_monthwise!$D$4:$O$20,DTR!N$4,FALSE))*1000,0)</f>
        <v>0</v>
      </c>
      <c r="O902" s="238">
        <f>IFERROR((HLOOKUP($AH902,Target_monthwise!$D$4:$O$20,DTR!O$4,FALSE))*1000,0)</f>
        <v>0</v>
      </c>
      <c r="P902" s="238">
        <f>IFERROR((HLOOKUP($AH902,Target_monthwise!$D$4:$O$20,DTR!P$4,FALSE))*1000,0)</f>
        <v>0</v>
      </c>
      <c r="Q902" s="141">
        <f>IFERROR((HLOOKUP($AH902,Target_monthwise!$D$4:$O$20,DTR!Q$4,FALSE))*1000,0)</f>
        <v>0</v>
      </c>
      <c r="R902" s="167">
        <f>IFERROR((HLOOKUP($AH902,Target_monthwise!$D$4:$O$20,DTR!R$4,FALSE))*1000,0)</f>
        <v>0</v>
      </c>
      <c r="S902" s="239">
        <f>IFERROR((HLOOKUP($AH902,Target_monthwise!$D$24:$O$40,DTR!S$4,FALSE)),0)</f>
        <v>0</v>
      </c>
      <c r="T902" s="239">
        <f>IFERROR((HLOOKUP($AH902,Target_monthwise!$D$24:$O$40,DTR!T$4,FALSE)),0)</f>
        <v>0</v>
      </c>
      <c r="U902" s="239">
        <f>IFERROR((HLOOKUP($AH902,Target_monthwise!$D$24:$O$40,DTR!U$4,FALSE)),0)</f>
        <v>0</v>
      </c>
      <c r="V902" s="239">
        <f>IFERROR((HLOOKUP($AH902,Target_monthwise!$D$24:$O$40,DTR!V$4,FALSE)),0)</f>
        <v>0</v>
      </c>
      <c r="W902" s="239">
        <f>IFERROR((HLOOKUP($AH902,Target_monthwise!$D$24:$O$40,DTR!W$4,FALSE)),0)</f>
        <v>0</v>
      </c>
      <c r="X902" s="239">
        <f>IFERROR((HLOOKUP($AH902,Target_monthwise!$D$24:$O$40,DTR!X$4,FALSE)),0)</f>
        <v>0</v>
      </c>
      <c r="Y902" s="239">
        <f>IFERROR((HLOOKUP($AH902,Target_monthwise!$D$24:$O$40,DTR!Y$4,FALSE)),0)</f>
        <v>0</v>
      </c>
      <c r="Z902" s="147">
        <f>IFERROR((HLOOKUP($AH902,Target_monthwise!$D$24:$O$40,DTR!Z$4,FALSE)),0)</f>
        <v>0</v>
      </c>
      <c r="AA902" s="147">
        <f>IFERROR((HLOOKUP($AH902,Target_monthwise!$D$24:$O$40,DTR!AA$4,FALSE)),0)</f>
        <v>0</v>
      </c>
      <c r="AB902" s="147">
        <f>IFERROR((HLOOKUP($AH902,Target_monthwise!$D$24:$O$40,DTR!AB$4,FALSE)),0)</f>
        <v>0</v>
      </c>
      <c r="AC902" s="239">
        <f>IFERROR((HLOOKUP($AH902,Target_monthwise!$D$24:$O$40,DTR!AC$4,FALSE)),0)</f>
        <v>0</v>
      </c>
      <c r="AD902" s="239">
        <f>IFERROR((HLOOKUP($AH902,Target_monthwise!$D$24:$O$40,DTR!AD$4,FALSE)),0)</f>
        <v>0</v>
      </c>
      <c r="AE902" s="239">
        <f>IFERROR((HLOOKUP($AH902,Target_monthwise!$D$24:$O$40,DTR!AE$4,FALSE)),0)</f>
        <v>0</v>
      </c>
      <c r="AF902" s="239">
        <f>IFERROR((HLOOKUP($AH902,Target_monthwise!$D$24:$O$40,DTR!AF$4,FALSE)),0)</f>
        <v>0</v>
      </c>
      <c r="AG902" s="172">
        <f>IFERROR((HLOOKUP($AH902,Target_monthwise!$D$24:$O$40,DTR!AG$4,FALSE)),0)</f>
        <v>0</v>
      </c>
      <c r="AH902" s="253">
        <f t="shared" si="16"/>
        <v>202409</v>
      </c>
    </row>
    <row r="903" spans="3:34" ht="15.75" hidden="1">
      <c r="C903" s="235">
        <v>45546</v>
      </c>
      <c r="D903" s="141">
        <f>IFERROR((HLOOKUP($AH903,Target_monthwise!$D$4:$O$20,DTR!D$4,FALSE))*1000,0)</f>
        <v>0</v>
      </c>
      <c r="E903" s="141">
        <f>IFERROR((HLOOKUP($AH903,Target_monthwise!$D$4:$O$20,DTR!E$4,FALSE))*1000,0)</f>
        <v>0</v>
      </c>
      <c r="F903" s="141">
        <f>IFERROR((HLOOKUP($AH903,Target_monthwise!$D$4:$O$20,DTR!F$4,FALSE))*1000,0)</f>
        <v>0</v>
      </c>
      <c r="G903" s="141">
        <f>IFERROR((HLOOKUP($AH903,Target_monthwise!$D$4:$O$20,DTR!G$4,FALSE))*1000,0)</f>
        <v>0</v>
      </c>
      <c r="H903" s="141">
        <f>IFERROR((HLOOKUP($AH903,Target_monthwise!$D$4:$O$20,DTR!H$4,FALSE))*1000,0)</f>
        <v>0</v>
      </c>
      <c r="I903" s="141">
        <f>IFERROR((HLOOKUP($AH903,Target_monthwise!$D$4:$O$20,DTR!I$4,FALSE))*1000,0)</f>
        <v>0</v>
      </c>
      <c r="J903" s="141">
        <f>IFERROR((HLOOKUP($AH903,Target_monthwise!$D$4:$O$20,DTR!J$4,FALSE))*1000,0)</f>
        <v>0</v>
      </c>
      <c r="K903" s="141">
        <f>IFERROR((HLOOKUP($AH903,Target_monthwise!$D$4:$O$20,DTR!K$4,FALSE))*1000,0)</f>
        <v>0</v>
      </c>
      <c r="L903" s="141">
        <f>IFERROR((HLOOKUP($AH903,Target_monthwise!$D$4:$O$20,DTR!L$4,FALSE))*1000,0)</f>
        <v>0</v>
      </c>
      <c r="M903" s="141">
        <f>IFERROR((HLOOKUP($AH903,Target_monthwise!$D$4:$O$20,DTR!M$4,FALSE))*1000,0)</f>
        <v>0</v>
      </c>
      <c r="N903" s="141">
        <f>IFERROR((HLOOKUP($AH903,Target_monthwise!$D$4:$O$20,DTR!N$4,FALSE))*1000,0)</f>
        <v>0</v>
      </c>
      <c r="O903" s="141">
        <f>IFERROR((HLOOKUP($AH903,Target_monthwise!$D$4:$O$20,DTR!O$4,FALSE))*1000,0)</f>
        <v>0</v>
      </c>
      <c r="P903" s="141">
        <f>IFERROR((HLOOKUP($AH903,Target_monthwise!$D$4:$O$20,DTR!P$4,FALSE))*1000,0)</f>
        <v>0</v>
      </c>
      <c r="Q903" s="141">
        <f>IFERROR((HLOOKUP($AH903,Target_monthwise!$D$4:$O$20,DTR!Q$4,FALSE))*1000,0)</f>
        <v>0</v>
      </c>
      <c r="R903" s="167">
        <f>IFERROR((HLOOKUP($AH903,Target_monthwise!$D$4:$O$20,DTR!R$4,FALSE))*1000,0)</f>
        <v>0</v>
      </c>
      <c r="S903" s="147">
        <f>IFERROR((HLOOKUP($AH903,Target_monthwise!$D$24:$O$40,DTR!S$4,FALSE)),0)</f>
        <v>0</v>
      </c>
      <c r="T903" s="147">
        <f>IFERROR((HLOOKUP($AH903,Target_monthwise!$D$24:$O$40,DTR!T$4,FALSE)),0)</f>
        <v>0</v>
      </c>
      <c r="U903" s="147">
        <f>IFERROR((HLOOKUP($AH903,Target_monthwise!$D$24:$O$40,DTR!U$4,FALSE)),0)</f>
        <v>0</v>
      </c>
      <c r="V903" s="147">
        <f>IFERROR((HLOOKUP($AH903,Target_monthwise!$D$24:$O$40,DTR!V$4,FALSE)),0)</f>
        <v>0</v>
      </c>
      <c r="W903" s="147">
        <f>IFERROR((HLOOKUP($AH903,Target_monthwise!$D$24:$O$40,DTR!W$4,FALSE)),0)</f>
        <v>0</v>
      </c>
      <c r="X903" s="147">
        <f>IFERROR((HLOOKUP($AH903,Target_monthwise!$D$24:$O$40,DTR!X$4,FALSE)),0)</f>
        <v>0</v>
      </c>
      <c r="Y903" s="147">
        <f>IFERROR((HLOOKUP($AH903,Target_monthwise!$D$24:$O$40,DTR!Y$4,FALSE)),0)</f>
        <v>0</v>
      </c>
      <c r="Z903" s="147">
        <f>IFERROR((HLOOKUP($AH903,Target_monthwise!$D$24:$O$40,DTR!Z$4,FALSE)),0)</f>
        <v>0</v>
      </c>
      <c r="AA903" s="147">
        <f>IFERROR((HLOOKUP($AH903,Target_monthwise!$D$24:$O$40,DTR!AA$4,FALSE)),0)</f>
        <v>0</v>
      </c>
      <c r="AB903" s="147">
        <f>IFERROR((HLOOKUP($AH903,Target_monthwise!$D$24:$O$40,DTR!AB$4,FALSE)),0)</f>
        <v>0</v>
      </c>
      <c r="AC903" s="147">
        <f>IFERROR((HLOOKUP($AH903,Target_monthwise!$D$24:$O$40,DTR!AC$4,FALSE)),0)</f>
        <v>0</v>
      </c>
      <c r="AD903" s="147">
        <f>IFERROR((HLOOKUP($AH903,Target_monthwise!$D$24:$O$40,DTR!AD$4,FALSE)),0)</f>
        <v>0</v>
      </c>
      <c r="AE903" s="147">
        <f>IFERROR((HLOOKUP($AH903,Target_monthwise!$D$24:$O$40,DTR!AE$4,FALSE)),0)</f>
        <v>0</v>
      </c>
      <c r="AF903" s="147">
        <f>IFERROR((HLOOKUP($AH903,Target_monthwise!$D$24:$O$40,DTR!AF$4,FALSE)),0)</f>
        <v>0</v>
      </c>
      <c r="AG903" s="172">
        <f>IFERROR((HLOOKUP($AH903,Target_monthwise!$D$24:$O$40,DTR!AG$4,FALSE)),0)</f>
        <v>0</v>
      </c>
      <c r="AH903" s="253">
        <f t="shared" si="16"/>
        <v>202409</v>
      </c>
    </row>
    <row r="904" spans="3:34" ht="15.75" hidden="1">
      <c r="C904" s="237">
        <v>45547</v>
      </c>
      <c r="D904" s="238">
        <f>IFERROR((HLOOKUP($AH904,Target_monthwise!$D$4:$O$20,DTR!D$4,FALSE))*1000,0)</f>
        <v>0</v>
      </c>
      <c r="E904" s="238">
        <f>IFERROR((HLOOKUP($AH904,Target_monthwise!$D$4:$O$20,DTR!E$4,FALSE))*1000,0)</f>
        <v>0</v>
      </c>
      <c r="F904" s="238">
        <f>IFERROR((HLOOKUP($AH904,Target_monthwise!$D$4:$O$20,DTR!F$4,FALSE))*1000,0)</f>
        <v>0</v>
      </c>
      <c r="G904" s="238">
        <f>IFERROR((HLOOKUP($AH904,Target_monthwise!$D$4:$O$20,DTR!G$4,FALSE))*1000,0)</f>
        <v>0</v>
      </c>
      <c r="H904" s="238">
        <f>IFERROR((HLOOKUP($AH904,Target_monthwise!$D$4:$O$20,DTR!H$4,FALSE))*1000,0)</f>
        <v>0</v>
      </c>
      <c r="I904" s="238">
        <f>IFERROR((HLOOKUP($AH904,Target_monthwise!$D$4:$O$20,DTR!I$4,FALSE))*1000,0)</f>
        <v>0</v>
      </c>
      <c r="J904" s="238">
        <f>IFERROR((HLOOKUP($AH904,Target_monthwise!$D$4:$O$20,DTR!J$4,FALSE))*1000,0)</f>
        <v>0</v>
      </c>
      <c r="K904" s="238">
        <f>IFERROR((HLOOKUP($AH904,Target_monthwise!$D$4:$O$20,DTR!K$4,FALSE))*1000,0)</f>
        <v>0</v>
      </c>
      <c r="L904" s="238">
        <f>IFERROR((HLOOKUP($AH904,Target_monthwise!$D$4:$O$20,DTR!L$4,FALSE))*1000,0)</f>
        <v>0</v>
      </c>
      <c r="M904" s="238">
        <f>IFERROR((HLOOKUP($AH904,Target_monthwise!$D$4:$O$20,DTR!M$4,FALSE))*1000,0)</f>
        <v>0</v>
      </c>
      <c r="N904" s="238">
        <f>IFERROR((HLOOKUP($AH904,Target_monthwise!$D$4:$O$20,DTR!N$4,FALSE))*1000,0)</f>
        <v>0</v>
      </c>
      <c r="O904" s="238">
        <f>IFERROR((HLOOKUP($AH904,Target_monthwise!$D$4:$O$20,DTR!O$4,FALSE))*1000,0)</f>
        <v>0</v>
      </c>
      <c r="P904" s="238">
        <f>IFERROR((HLOOKUP($AH904,Target_monthwise!$D$4:$O$20,DTR!P$4,FALSE))*1000,0)</f>
        <v>0</v>
      </c>
      <c r="Q904" s="141">
        <f>IFERROR((HLOOKUP($AH904,Target_monthwise!$D$4:$O$20,DTR!Q$4,FALSE))*1000,0)</f>
        <v>0</v>
      </c>
      <c r="R904" s="167">
        <f>IFERROR((HLOOKUP($AH904,Target_monthwise!$D$4:$O$20,DTR!R$4,FALSE))*1000,0)</f>
        <v>0</v>
      </c>
      <c r="S904" s="239">
        <f>IFERROR((HLOOKUP($AH904,Target_monthwise!$D$24:$O$40,DTR!S$4,FALSE)),0)</f>
        <v>0</v>
      </c>
      <c r="T904" s="239">
        <f>IFERROR((HLOOKUP($AH904,Target_monthwise!$D$24:$O$40,DTR!T$4,FALSE)),0)</f>
        <v>0</v>
      </c>
      <c r="U904" s="239">
        <f>IFERROR((HLOOKUP($AH904,Target_monthwise!$D$24:$O$40,DTR!U$4,FALSE)),0)</f>
        <v>0</v>
      </c>
      <c r="V904" s="239">
        <f>IFERROR((HLOOKUP($AH904,Target_monthwise!$D$24:$O$40,DTR!V$4,FALSE)),0)</f>
        <v>0</v>
      </c>
      <c r="W904" s="239">
        <f>IFERROR((HLOOKUP($AH904,Target_monthwise!$D$24:$O$40,DTR!W$4,FALSE)),0)</f>
        <v>0</v>
      </c>
      <c r="X904" s="239">
        <f>IFERROR((HLOOKUP($AH904,Target_monthwise!$D$24:$O$40,DTR!X$4,FALSE)),0)</f>
        <v>0</v>
      </c>
      <c r="Y904" s="239">
        <f>IFERROR((HLOOKUP($AH904,Target_monthwise!$D$24:$O$40,DTR!Y$4,FALSE)),0)</f>
        <v>0</v>
      </c>
      <c r="Z904" s="147">
        <f>IFERROR((HLOOKUP($AH904,Target_monthwise!$D$24:$O$40,DTR!Z$4,FALSE)),0)</f>
        <v>0</v>
      </c>
      <c r="AA904" s="147">
        <f>IFERROR((HLOOKUP($AH904,Target_monthwise!$D$24:$O$40,DTR!AA$4,FALSE)),0)</f>
        <v>0</v>
      </c>
      <c r="AB904" s="147">
        <f>IFERROR((HLOOKUP($AH904,Target_monthwise!$D$24:$O$40,DTR!AB$4,FALSE)),0)</f>
        <v>0</v>
      </c>
      <c r="AC904" s="239">
        <f>IFERROR((HLOOKUP($AH904,Target_monthwise!$D$24:$O$40,DTR!AC$4,FALSE)),0)</f>
        <v>0</v>
      </c>
      <c r="AD904" s="239">
        <f>IFERROR((HLOOKUP($AH904,Target_monthwise!$D$24:$O$40,DTR!AD$4,FALSE)),0)</f>
        <v>0</v>
      </c>
      <c r="AE904" s="239">
        <f>IFERROR((HLOOKUP($AH904,Target_monthwise!$D$24:$O$40,DTR!AE$4,FALSE)),0)</f>
        <v>0</v>
      </c>
      <c r="AF904" s="239">
        <f>IFERROR((HLOOKUP($AH904,Target_monthwise!$D$24:$O$40,DTR!AF$4,FALSE)),0)</f>
        <v>0</v>
      </c>
      <c r="AG904" s="172">
        <f>IFERROR((HLOOKUP($AH904,Target_monthwise!$D$24:$O$40,DTR!AG$4,FALSE)),0)</f>
        <v>0</v>
      </c>
      <c r="AH904" s="253">
        <f t="shared" si="16"/>
        <v>202409</v>
      </c>
    </row>
    <row r="905" spans="3:34" ht="15.75" hidden="1">
      <c r="C905" s="235">
        <v>45548</v>
      </c>
      <c r="D905" s="141">
        <f>IFERROR((HLOOKUP($AH905,Target_monthwise!$D$4:$O$20,DTR!D$4,FALSE))*1000,0)</f>
        <v>0</v>
      </c>
      <c r="E905" s="141">
        <f>IFERROR((HLOOKUP($AH905,Target_monthwise!$D$4:$O$20,DTR!E$4,FALSE))*1000,0)</f>
        <v>0</v>
      </c>
      <c r="F905" s="141">
        <f>IFERROR((HLOOKUP($AH905,Target_monthwise!$D$4:$O$20,DTR!F$4,FALSE))*1000,0)</f>
        <v>0</v>
      </c>
      <c r="G905" s="141">
        <f>IFERROR((HLOOKUP($AH905,Target_monthwise!$D$4:$O$20,DTR!G$4,FALSE))*1000,0)</f>
        <v>0</v>
      </c>
      <c r="H905" s="141">
        <f>IFERROR((HLOOKUP($AH905,Target_monthwise!$D$4:$O$20,DTR!H$4,FALSE))*1000,0)</f>
        <v>0</v>
      </c>
      <c r="I905" s="141">
        <f>IFERROR((HLOOKUP($AH905,Target_monthwise!$D$4:$O$20,DTR!I$4,FALSE))*1000,0)</f>
        <v>0</v>
      </c>
      <c r="J905" s="141">
        <f>IFERROR((HLOOKUP($AH905,Target_monthwise!$D$4:$O$20,DTR!J$4,FALSE))*1000,0)</f>
        <v>0</v>
      </c>
      <c r="K905" s="141">
        <f>IFERROR((HLOOKUP($AH905,Target_monthwise!$D$4:$O$20,DTR!K$4,FALSE))*1000,0)</f>
        <v>0</v>
      </c>
      <c r="L905" s="141">
        <f>IFERROR((HLOOKUP($AH905,Target_monthwise!$D$4:$O$20,DTR!L$4,FALSE))*1000,0)</f>
        <v>0</v>
      </c>
      <c r="M905" s="141">
        <f>IFERROR((HLOOKUP($AH905,Target_monthwise!$D$4:$O$20,DTR!M$4,FALSE))*1000,0)</f>
        <v>0</v>
      </c>
      <c r="N905" s="141">
        <f>IFERROR((HLOOKUP($AH905,Target_monthwise!$D$4:$O$20,DTR!N$4,FALSE))*1000,0)</f>
        <v>0</v>
      </c>
      <c r="O905" s="141">
        <f>IFERROR((HLOOKUP($AH905,Target_monthwise!$D$4:$O$20,DTR!O$4,FALSE))*1000,0)</f>
        <v>0</v>
      </c>
      <c r="P905" s="141">
        <f>IFERROR((HLOOKUP($AH905,Target_monthwise!$D$4:$O$20,DTR!P$4,FALSE))*1000,0)</f>
        <v>0</v>
      </c>
      <c r="Q905" s="141">
        <f>IFERROR((HLOOKUP($AH905,Target_monthwise!$D$4:$O$20,DTR!Q$4,FALSE))*1000,0)</f>
        <v>0</v>
      </c>
      <c r="R905" s="167">
        <f>IFERROR((HLOOKUP($AH905,Target_monthwise!$D$4:$O$20,DTR!R$4,FALSE))*1000,0)</f>
        <v>0</v>
      </c>
      <c r="S905" s="147">
        <f>IFERROR((HLOOKUP($AH905,Target_monthwise!$D$24:$O$40,DTR!S$4,FALSE)),0)</f>
        <v>0</v>
      </c>
      <c r="T905" s="147">
        <f>IFERROR((HLOOKUP($AH905,Target_monthwise!$D$24:$O$40,DTR!T$4,FALSE)),0)</f>
        <v>0</v>
      </c>
      <c r="U905" s="147">
        <f>IFERROR((HLOOKUP($AH905,Target_monthwise!$D$24:$O$40,DTR!U$4,FALSE)),0)</f>
        <v>0</v>
      </c>
      <c r="V905" s="147">
        <f>IFERROR((HLOOKUP($AH905,Target_monthwise!$D$24:$O$40,DTR!V$4,FALSE)),0)</f>
        <v>0</v>
      </c>
      <c r="W905" s="147">
        <f>IFERROR((HLOOKUP($AH905,Target_monthwise!$D$24:$O$40,DTR!W$4,FALSE)),0)</f>
        <v>0</v>
      </c>
      <c r="X905" s="147">
        <f>IFERROR((HLOOKUP($AH905,Target_monthwise!$D$24:$O$40,DTR!X$4,FALSE)),0)</f>
        <v>0</v>
      </c>
      <c r="Y905" s="147">
        <f>IFERROR((HLOOKUP($AH905,Target_monthwise!$D$24:$O$40,DTR!Y$4,FALSE)),0)</f>
        <v>0</v>
      </c>
      <c r="Z905" s="147">
        <f>IFERROR((HLOOKUP($AH905,Target_monthwise!$D$24:$O$40,DTR!Z$4,FALSE)),0)</f>
        <v>0</v>
      </c>
      <c r="AA905" s="147">
        <f>IFERROR((HLOOKUP($AH905,Target_monthwise!$D$24:$O$40,DTR!AA$4,FALSE)),0)</f>
        <v>0</v>
      </c>
      <c r="AB905" s="147">
        <f>IFERROR((HLOOKUP($AH905,Target_monthwise!$D$24:$O$40,DTR!AB$4,FALSE)),0)</f>
        <v>0</v>
      </c>
      <c r="AC905" s="147">
        <f>IFERROR((HLOOKUP($AH905,Target_monthwise!$D$24:$O$40,DTR!AC$4,FALSE)),0)</f>
        <v>0</v>
      </c>
      <c r="AD905" s="147">
        <f>IFERROR((HLOOKUP($AH905,Target_monthwise!$D$24:$O$40,DTR!AD$4,FALSE)),0)</f>
        <v>0</v>
      </c>
      <c r="AE905" s="147">
        <f>IFERROR((HLOOKUP($AH905,Target_monthwise!$D$24:$O$40,DTR!AE$4,FALSE)),0)</f>
        <v>0</v>
      </c>
      <c r="AF905" s="147">
        <f>IFERROR((HLOOKUP($AH905,Target_monthwise!$D$24:$O$40,DTR!AF$4,FALSE)),0)</f>
        <v>0</v>
      </c>
      <c r="AG905" s="172">
        <f>IFERROR((HLOOKUP($AH905,Target_monthwise!$D$24:$O$40,DTR!AG$4,FALSE)),0)</f>
        <v>0</v>
      </c>
      <c r="AH905" s="253">
        <f t="shared" si="16"/>
        <v>202409</v>
      </c>
    </row>
    <row r="906" spans="3:34" ht="15.75" hidden="1">
      <c r="C906" s="237">
        <v>45549</v>
      </c>
      <c r="D906" s="238">
        <f>IFERROR((HLOOKUP($AH906,Target_monthwise!$D$4:$O$20,DTR!D$4,FALSE))*1000,0)</f>
        <v>0</v>
      </c>
      <c r="E906" s="238">
        <f>IFERROR((HLOOKUP($AH906,Target_monthwise!$D$4:$O$20,DTR!E$4,FALSE))*1000,0)</f>
        <v>0</v>
      </c>
      <c r="F906" s="238">
        <f>IFERROR((HLOOKUP($AH906,Target_monthwise!$D$4:$O$20,DTR!F$4,FALSE))*1000,0)</f>
        <v>0</v>
      </c>
      <c r="G906" s="238">
        <f>IFERROR((HLOOKUP($AH906,Target_monthwise!$D$4:$O$20,DTR!G$4,FALSE))*1000,0)</f>
        <v>0</v>
      </c>
      <c r="H906" s="238">
        <f>IFERROR((HLOOKUP($AH906,Target_monthwise!$D$4:$O$20,DTR!H$4,FALSE))*1000,0)</f>
        <v>0</v>
      </c>
      <c r="I906" s="238">
        <f>IFERROR((HLOOKUP($AH906,Target_monthwise!$D$4:$O$20,DTR!I$4,FALSE))*1000,0)</f>
        <v>0</v>
      </c>
      <c r="J906" s="238">
        <f>IFERROR((HLOOKUP($AH906,Target_monthwise!$D$4:$O$20,DTR!J$4,FALSE))*1000,0)</f>
        <v>0</v>
      </c>
      <c r="K906" s="238">
        <f>IFERROR((HLOOKUP($AH906,Target_monthwise!$D$4:$O$20,DTR!K$4,FALSE))*1000,0)</f>
        <v>0</v>
      </c>
      <c r="L906" s="238">
        <f>IFERROR((HLOOKUP($AH906,Target_monthwise!$D$4:$O$20,DTR!L$4,FALSE))*1000,0)</f>
        <v>0</v>
      </c>
      <c r="M906" s="238">
        <f>IFERROR((HLOOKUP($AH906,Target_monthwise!$D$4:$O$20,DTR!M$4,FALSE))*1000,0)</f>
        <v>0</v>
      </c>
      <c r="N906" s="238">
        <f>IFERROR((HLOOKUP($AH906,Target_monthwise!$D$4:$O$20,DTR!N$4,FALSE))*1000,0)</f>
        <v>0</v>
      </c>
      <c r="O906" s="238">
        <f>IFERROR((HLOOKUP($AH906,Target_monthwise!$D$4:$O$20,DTR!O$4,FALSE))*1000,0)</f>
        <v>0</v>
      </c>
      <c r="P906" s="238">
        <f>IFERROR((HLOOKUP($AH906,Target_monthwise!$D$4:$O$20,DTR!P$4,FALSE))*1000,0)</f>
        <v>0</v>
      </c>
      <c r="Q906" s="141">
        <f>IFERROR((HLOOKUP($AH906,Target_monthwise!$D$4:$O$20,DTR!Q$4,FALSE))*1000,0)</f>
        <v>0</v>
      </c>
      <c r="R906" s="167">
        <f>IFERROR((HLOOKUP($AH906,Target_monthwise!$D$4:$O$20,DTR!R$4,FALSE))*1000,0)</f>
        <v>0</v>
      </c>
      <c r="S906" s="239">
        <f>IFERROR((HLOOKUP($AH906,Target_monthwise!$D$24:$O$40,DTR!S$4,FALSE)),0)</f>
        <v>0</v>
      </c>
      <c r="T906" s="239">
        <f>IFERROR((HLOOKUP($AH906,Target_monthwise!$D$24:$O$40,DTR!T$4,FALSE)),0)</f>
        <v>0</v>
      </c>
      <c r="U906" s="239">
        <f>IFERROR((HLOOKUP($AH906,Target_monthwise!$D$24:$O$40,DTR!U$4,FALSE)),0)</f>
        <v>0</v>
      </c>
      <c r="V906" s="239">
        <f>IFERROR((HLOOKUP($AH906,Target_monthwise!$D$24:$O$40,DTR!V$4,FALSE)),0)</f>
        <v>0</v>
      </c>
      <c r="W906" s="239">
        <f>IFERROR((HLOOKUP($AH906,Target_monthwise!$D$24:$O$40,DTR!W$4,FALSE)),0)</f>
        <v>0</v>
      </c>
      <c r="X906" s="239">
        <f>IFERROR((HLOOKUP($AH906,Target_monthwise!$D$24:$O$40,DTR!X$4,FALSE)),0)</f>
        <v>0</v>
      </c>
      <c r="Y906" s="239">
        <f>IFERROR((HLOOKUP($AH906,Target_monthwise!$D$24:$O$40,DTR!Y$4,FALSE)),0)</f>
        <v>0</v>
      </c>
      <c r="Z906" s="147">
        <f>IFERROR((HLOOKUP($AH906,Target_monthwise!$D$24:$O$40,DTR!Z$4,FALSE)),0)</f>
        <v>0</v>
      </c>
      <c r="AA906" s="147">
        <f>IFERROR((HLOOKUP($AH906,Target_monthwise!$D$24:$O$40,DTR!AA$4,FALSE)),0)</f>
        <v>0</v>
      </c>
      <c r="AB906" s="147">
        <f>IFERROR((HLOOKUP($AH906,Target_monthwise!$D$24:$O$40,DTR!AB$4,FALSE)),0)</f>
        <v>0</v>
      </c>
      <c r="AC906" s="239">
        <f>IFERROR((HLOOKUP($AH906,Target_monthwise!$D$24:$O$40,DTR!AC$4,FALSE)),0)</f>
        <v>0</v>
      </c>
      <c r="AD906" s="239">
        <f>IFERROR((HLOOKUP($AH906,Target_monthwise!$D$24:$O$40,DTR!AD$4,FALSE)),0)</f>
        <v>0</v>
      </c>
      <c r="AE906" s="239">
        <f>IFERROR((HLOOKUP($AH906,Target_monthwise!$D$24:$O$40,DTR!AE$4,FALSE)),0)</f>
        <v>0</v>
      </c>
      <c r="AF906" s="239">
        <f>IFERROR((HLOOKUP($AH906,Target_monthwise!$D$24:$O$40,DTR!AF$4,FALSE)),0)</f>
        <v>0</v>
      </c>
      <c r="AG906" s="172">
        <f>IFERROR((HLOOKUP($AH906,Target_monthwise!$D$24:$O$40,DTR!AG$4,FALSE)),0)</f>
        <v>0</v>
      </c>
      <c r="AH906" s="253">
        <f t="shared" si="16"/>
        <v>202409</v>
      </c>
    </row>
    <row r="907" spans="3:34" ht="15.75" hidden="1">
      <c r="C907" s="235">
        <v>45550</v>
      </c>
      <c r="D907" s="141">
        <f>IFERROR((HLOOKUP($AH907,Target_monthwise!$D$4:$O$20,DTR!D$4,FALSE))*1000,0)</f>
        <v>0</v>
      </c>
      <c r="E907" s="141">
        <f>IFERROR((HLOOKUP($AH907,Target_monthwise!$D$4:$O$20,DTR!E$4,FALSE))*1000,0)</f>
        <v>0</v>
      </c>
      <c r="F907" s="141">
        <f>IFERROR((HLOOKUP($AH907,Target_monthwise!$D$4:$O$20,DTR!F$4,FALSE))*1000,0)</f>
        <v>0</v>
      </c>
      <c r="G907" s="141">
        <f>IFERROR((HLOOKUP($AH907,Target_monthwise!$D$4:$O$20,DTR!G$4,FALSE))*1000,0)</f>
        <v>0</v>
      </c>
      <c r="H907" s="141">
        <f>IFERROR((HLOOKUP($AH907,Target_monthwise!$D$4:$O$20,DTR!H$4,FALSE))*1000,0)</f>
        <v>0</v>
      </c>
      <c r="I907" s="141">
        <f>IFERROR((HLOOKUP($AH907,Target_monthwise!$D$4:$O$20,DTR!I$4,FALSE))*1000,0)</f>
        <v>0</v>
      </c>
      <c r="J907" s="141">
        <f>IFERROR((HLOOKUP($AH907,Target_monthwise!$D$4:$O$20,DTR!J$4,FALSE))*1000,0)</f>
        <v>0</v>
      </c>
      <c r="K907" s="141">
        <f>IFERROR((HLOOKUP($AH907,Target_monthwise!$D$4:$O$20,DTR!K$4,FALSE))*1000,0)</f>
        <v>0</v>
      </c>
      <c r="L907" s="141">
        <f>IFERROR((HLOOKUP($AH907,Target_monthwise!$D$4:$O$20,DTR!L$4,FALSE))*1000,0)</f>
        <v>0</v>
      </c>
      <c r="M907" s="141">
        <f>IFERROR((HLOOKUP($AH907,Target_monthwise!$D$4:$O$20,DTR!M$4,FALSE))*1000,0)</f>
        <v>0</v>
      </c>
      <c r="N907" s="141">
        <f>IFERROR((HLOOKUP($AH907,Target_monthwise!$D$4:$O$20,DTR!N$4,FALSE))*1000,0)</f>
        <v>0</v>
      </c>
      <c r="O907" s="141">
        <f>IFERROR((HLOOKUP($AH907,Target_monthwise!$D$4:$O$20,DTR!O$4,FALSE))*1000,0)</f>
        <v>0</v>
      </c>
      <c r="P907" s="141">
        <f>IFERROR((HLOOKUP($AH907,Target_monthwise!$D$4:$O$20,DTR!P$4,FALSE))*1000,0)</f>
        <v>0</v>
      </c>
      <c r="Q907" s="141">
        <f>IFERROR((HLOOKUP($AH907,Target_monthwise!$D$4:$O$20,DTR!Q$4,FALSE))*1000,0)</f>
        <v>0</v>
      </c>
      <c r="R907" s="167">
        <f>IFERROR((HLOOKUP($AH907,Target_monthwise!$D$4:$O$20,DTR!R$4,FALSE))*1000,0)</f>
        <v>0</v>
      </c>
      <c r="S907" s="147">
        <f>IFERROR((HLOOKUP($AH907,Target_monthwise!$D$24:$O$40,DTR!S$4,FALSE)),0)</f>
        <v>0</v>
      </c>
      <c r="T907" s="147">
        <f>IFERROR((HLOOKUP($AH907,Target_monthwise!$D$24:$O$40,DTR!T$4,FALSE)),0)</f>
        <v>0</v>
      </c>
      <c r="U907" s="147">
        <f>IFERROR((HLOOKUP($AH907,Target_monthwise!$D$24:$O$40,DTR!U$4,FALSE)),0)</f>
        <v>0</v>
      </c>
      <c r="V907" s="147">
        <f>IFERROR((HLOOKUP($AH907,Target_monthwise!$D$24:$O$40,DTR!V$4,FALSE)),0)</f>
        <v>0</v>
      </c>
      <c r="W907" s="147">
        <f>IFERROR((HLOOKUP($AH907,Target_monthwise!$D$24:$O$40,DTR!W$4,FALSE)),0)</f>
        <v>0</v>
      </c>
      <c r="X907" s="147">
        <f>IFERROR((HLOOKUP($AH907,Target_monthwise!$D$24:$O$40,DTR!X$4,FALSE)),0)</f>
        <v>0</v>
      </c>
      <c r="Y907" s="147">
        <f>IFERROR((HLOOKUP($AH907,Target_monthwise!$D$24:$O$40,DTR!Y$4,FALSE)),0)</f>
        <v>0</v>
      </c>
      <c r="Z907" s="147">
        <f>IFERROR((HLOOKUP($AH907,Target_monthwise!$D$24:$O$40,DTR!Z$4,FALSE)),0)</f>
        <v>0</v>
      </c>
      <c r="AA907" s="147">
        <f>IFERROR((HLOOKUP($AH907,Target_monthwise!$D$24:$O$40,DTR!AA$4,FALSE)),0)</f>
        <v>0</v>
      </c>
      <c r="AB907" s="147">
        <f>IFERROR((HLOOKUP($AH907,Target_monthwise!$D$24:$O$40,DTR!AB$4,FALSE)),0)</f>
        <v>0</v>
      </c>
      <c r="AC907" s="147">
        <f>IFERROR((HLOOKUP($AH907,Target_monthwise!$D$24:$O$40,DTR!AC$4,FALSE)),0)</f>
        <v>0</v>
      </c>
      <c r="AD907" s="147">
        <f>IFERROR((HLOOKUP($AH907,Target_monthwise!$D$24:$O$40,DTR!AD$4,FALSE)),0)</f>
        <v>0</v>
      </c>
      <c r="AE907" s="147">
        <f>IFERROR((HLOOKUP($AH907,Target_monthwise!$D$24:$O$40,DTR!AE$4,FALSE)),0)</f>
        <v>0</v>
      </c>
      <c r="AF907" s="147">
        <f>IFERROR((HLOOKUP($AH907,Target_monthwise!$D$24:$O$40,DTR!AF$4,FALSE)),0)</f>
        <v>0</v>
      </c>
      <c r="AG907" s="172">
        <f>IFERROR((HLOOKUP($AH907,Target_monthwise!$D$24:$O$40,DTR!AG$4,FALSE)),0)</f>
        <v>0</v>
      </c>
      <c r="AH907" s="253">
        <f t="shared" si="16"/>
        <v>202409</v>
      </c>
    </row>
    <row r="908" spans="3:34" ht="15.75" hidden="1">
      <c r="C908" s="237">
        <v>45551</v>
      </c>
      <c r="D908" s="238">
        <f>IFERROR((HLOOKUP($AH908,Target_monthwise!$D$4:$O$20,DTR!D$4,FALSE))*1000,0)</f>
        <v>0</v>
      </c>
      <c r="E908" s="238">
        <f>IFERROR((HLOOKUP($AH908,Target_monthwise!$D$4:$O$20,DTR!E$4,FALSE))*1000,0)</f>
        <v>0</v>
      </c>
      <c r="F908" s="238">
        <f>IFERROR((HLOOKUP($AH908,Target_monthwise!$D$4:$O$20,DTR!F$4,FALSE))*1000,0)</f>
        <v>0</v>
      </c>
      <c r="G908" s="238">
        <f>IFERROR((HLOOKUP($AH908,Target_monthwise!$D$4:$O$20,DTR!G$4,FALSE))*1000,0)</f>
        <v>0</v>
      </c>
      <c r="H908" s="238">
        <f>IFERROR((HLOOKUP($AH908,Target_monthwise!$D$4:$O$20,DTR!H$4,FALSE))*1000,0)</f>
        <v>0</v>
      </c>
      <c r="I908" s="238">
        <f>IFERROR((HLOOKUP($AH908,Target_monthwise!$D$4:$O$20,DTR!I$4,FALSE))*1000,0)</f>
        <v>0</v>
      </c>
      <c r="J908" s="238">
        <f>IFERROR((HLOOKUP($AH908,Target_monthwise!$D$4:$O$20,DTR!J$4,FALSE))*1000,0)</f>
        <v>0</v>
      </c>
      <c r="K908" s="238">
        <f>IFERROR((HLOOKUP($AH908,Target_monthwise!$D$4:$O$20,DTR!K$4,FALSE))*1000,0)</f>
        <v>0</v>
      </c>
      <c r="L908" s="238">
        <f>IFERROR((HLOOKUP($AH908,Target_monthwise!$D$4:$O$20,DTR!L$4,FALSE))*1000,0)</f>
        <v>0</v>
      </c>
      <c r="M908" s="238">
        <f>IFERROR((HLOOKUP($AH908,Target_monthwise!$D$4:$O$20,DTR!M$4,FALSE))*1000,0)</f>
        <v>0</v>
      </c>
      <c r="N908" s="238">
        <f>IFERROR((HLOOKUP($AH908,Target_monthwise!$D$4:$O$20,DTR!N$4,FALSE))*1000,0)</f>
        <v>0</v>
      </c>
      <c r="O908" s="238">
        <f>IFERROR((HLOOKUP($AH908,Target_monthwise!$D$4:$O$20,DTR!O$4,FALSE))*1000,0)</f>
        <v>0</v>
      </c>
      <c r="P908" s="238">
        <f>IFERROR((HLOOKUP($AH908,Target_monthwise!$D$4:$O$20,DTR!P$4,FALSE))*1000,0)</f>
        <v>0</v>
      </c>
      <c r="Q908" s="141">
        <f>IFERROR((HLOOKUP($AH908,Target_monthwise!$D$4:$O$20,DTR!Q$4,FALSE))*1000,0)</f>
        <v>0</v>
      </c>
      <c r="R908" s="167">
        <f>IFERROR((HLOOKUP($AH908,Target_monthwise!$D$4:$O$20,DTR!R$4,FALSE))*1000,0)</f>
        <v>0</v>
      </c>
      <c r="S908" s="239">
        <f>IFERROR((HLOOKUP($AH908,Target_monthwise!$D$24:$O$40,DTR!S$4,FALSE)),0)</f>
        <v>0</v>
      </c>
      <c r="T908" s="239">
        <f>IFERROR((HLOOKUP($AH908,Target_monthwise!$D$24:$O$40,DTR!T$4,FALSE)),0)</f>
        <v>0</v>
      </c>
      <c r="U908" s="239">
        <f>IFERROR((HLOOKUP($AH908,Target_monthwise!$D$24:$O$40,DTR!U$4,FALSE)),0)</f>
        <v>0</v>
      </c>
      <c r="V908" s="239">
        <f>IFERROR((HLOOKUP($AH908,Target_monthwise!$D$24:$O$40,DTR!V$4,FALSE)),0)</f>
        <v>0</v>
      </c>
      <c r="W908" s="239">
        <f>IFERROR((HLOOKUP($AH908,Target_monthwise!$D$24:$O$40,DTR!W$4,FALSE)),0)</f>
        <v>0</v>
      </c>
      <c r="X908" s="239">
        <f>IFERROR((HLOOKUP($AH908,Target_monthwise!$D$24:$O$40,DTR!X$4,FALSE)),0)</f>
        <v>0</v>
      </c>
      <c r="Y908" s="239">
        <f>IFERROR((HLOOKUP($AH908,Target_monthwise!$D$24:$O$40,DTR!Y$4,FALSE)),0)</f>
        <v>0</v>
      </c>
      <c r="Z908" s="147">
        <f>IFERROR((HLOOKUP($AH908,Target_monthwise!$D$24:$O$40,DTR!Z$4,FALSE)),0)</f>
        <v>0</v>
      </c>
      <c r="AA908" s="147">
        <f>IFERROR((HLOOKUP($AH908,Target_monthwise!$D$24:$O$40,DTR!AA$4,FALSE)),0)</f>
        <v>0</v>
      </c>
      <c r="AB908" s="147">
        <f>IFERROR((HLOOKUP($AH908,Target_monthwise!$D$24:$O$40,DTR!AB$4,FALSE)),0)</f>
        <v>0</v>
      </c>
      <c r="AC908" s="239">
        <f>IFERROR((HLOOKUP($AH908,Target_monthwise!$D$24:$O$40,DTR!AC$4,FALSE)),0)</f>
        <v>0</v>
      </c>
      <c r="AD908" s="239">
        <f>IFERROR((HLOOKUP($AH908,Target_monthwise!$D$24:$O$40,DTR!AD$4,FALSE)),0)</f>
        <v>0</v>
      </c>
      <c r="AE908" s="239">
        <f>IFERROR((HLOOKUP($AH908,Target_monthwise!$D$24:$O$40,DTR!AE$4,FALSE)),0)</f>
        <v>0</v>
      </c>
      <c r="AF908" s="239">
        <f>IFERROR((HLOOKUP($AH908,Target_monthwise!$D$24:$O$40,DTR!AF$4,FALSE)),0)</f>
        <v>0</v>
      </c>
      <c r="AG908" s="172">
        <f>IFERROR((HLOOKUP($AH908,Target_monthwise!$D$24:$O$40,DTR!AG$4,FALSE)),0)</f>
        <v>0</v>
      </c>
      <c r="AH908" s="253">
        <f t="shared" si="16"/>
        <v>202409</v>
      </c>
    </row>
    <row r="909" spans="3:34" ht="15.75" hidden="1">
      <c r="C909" s="235">
        <v>45552</v>
      </c>
      <c r="D909" s="141">
        <f>IFERROR((HLOOKUP($AH909,Target_monthwise!$D$4:$O$20,DTR!D$4,FALSE))*1000,0)</f>
        <v>0</v>
      </c>
      <c r="E909" s="141">
        <f>IFERROR((HLOOKUP($AH909,Target_monthwise!$D$4:$O$20,DTR!E$4,FALSE))*1000,0)</f>
        <v>0</v>
      </c>
      <c r="F909" s="141">
        <f>IFERROR((HLOOKUP($AH909,Target_monthwise!$D$4:$O$20,DTR!F$4,FALSE))*1000,0)</f>
        <v>0</v>
      </c>
      <c r="G909" s="141">
        <f>IFERROR((HLOOKUP($AH909,Target_monthwise!$D$4:$O$20,DTR!G$4,FALSE))*1000,0)</f>
        <v>0</v>
      </c>
      <c r="H909" s="141">
        <f>IFERROR((HLOOKUP($AH909,Target_monthwise!$D$4:$O$20,DTR!H$4,FALSE))*1000,0)</f>
        <v>0</v>
      </c>
      <c r="I909" s="141">
        <f>IFERROR((HLOOKUP($AH909,Target_monthwise!$D$4:$O$20,DTR!I$4,FALSE))*1000,0)</f>
        <v>0</v>
      </c>
      <c r="J909" s="141">
        <f>IFERROR((HLOOKUP($AH909,Target_monthwise!$D$4:$O$20,DTR!J$4,FALSE))*1000,0)</f>
        <v>0</v>
      </c>
      <c r="K909" s="141">
        <f>IFERROR((HLOOKUP($AH909,Target_monthwise!$D$4:$O$20,DTR!K$4,FALSE))*1000,0)</f>
        <v>0</v>
      </c>
      <c r="L909" s="141">
        <f>IFERROR((HLOOKUP($AH909,Target_monthwise!$D$4:$O$20,DTR!L$4,FALSE))*1000,0)</f>
        <v>0</v>
      </c>
      <c r="M909" s="141">
        <f>IFERROR((HLOOKUP($AH909,Target_monthwise!$D$4:$O$20,DTR!M$4,FALSE))*1000,0)</f>
        <v>0</v>
      </c>
      <c r="N909" s="141">
        <f>IFERROR((HLOOKUP($AH909,Target_monthwise!$D$4:$O$20,DTR!N$4,FALSE))*1000,0)</f>
        <v>0</v>
      </c>
      <c r="O909" s="141">
        <f>IFERROR((HLOOKUP($AH909,Target_monthwise!$D$4:$O$20,DTR!O$4,FALSE))*1000,0)</f>
        <v>0</v>
      </c>
      <c r="P909" s="141">
        <f>IFERROR((HLOOKUP($AH909,Target_monthwise!$D$4:$O$20,DTR!P$4,FALSE))*1000,0)</f>
        <v>0</v>
      </c>
      <c r="Q909" s="141">
        <f>IFERROR((HLOOKUP($AH909,Target_monthwise!$D$4:$O$20,DTR!Q$4,FALSE))*1000,0)</f>
        <v>0</v>
      </c>
      <c r="R909" s="167">
        <f>IFERROR((HLOOKUP($AH909,Target_monthwise!$D$4:$O$20,DTR!R$4,FALSE))*1000,0)</f>
        <v>0</v>
      </c>
      <c r="S909" s="147">
        <f>IFERROR((HLOOKUP($AH909,Target_monthwise!$D$24:$O$40,DTR!S$4,FALSE)),0)</f>
        <v>0</v>
      </c>
      <c r="T909" s="147">
        <f>IFERROR((HLOOKUP($AH909,Target_monthwise!$D$24:$O$40,DTR!T$4,FALSE)),0)</f>
        <v>0</v>
      </c>
      <c r="U909" s="147">
        <f>IFERROR((HLOOKUP($AH909,Target_monthwise!$D$24:$O$40,DTR!U$4,FALSE)),0)</f>
        <v>0</v>
      </c>
      <c r="V909" s="147">
        <f>IFERROR((HLOOKUP($AH909,Target_monthwise!$D$24:$O$40,DTR!V$4,FALSE)),0)</f>
        <v>0</v>
      </c>
      <c r="W909" s="147">
        <f>IFERROR((HLOOKUP($AH909,Target_monthwise!$D$24:$O$40,DTR!W$4,FALSE)),0)</f>
        <v>0</v>
      </c>
      <c r="X909" s="147">
        <f>IFERROR((HLOOKUP($AH909,Target_monthwise!$D$24:$O$40,DTR!X$4,FALSE)),0)</f>
        <v>0</v>
      </c>
      <c r="Y909" s="147">
        <f>IFERROR((HLOOKUP($AH909,Target_monthwise!$D$24:$O$40,DTR!Y$4,FALSE)),0)</f>
        <v>0</v>
      </c>
      <c r="Z909" s="147">
        <f>IFERROR((HLOOKUP($AH909,Target_monthwise!$D$24:$O$40,DTR!Z$4,FALSE)),0)</f>
        <v>0</v>
      </c>
      <c r="AA909" s="147">
        <f>IFERROR((HLOOKUP($AH909,Target_monthwise!$D$24:$O$40,DTR!AA$4,FALSE)),0)</f>
        <v>0</v>
      </c>
      <c r="AB909" s="147">
        <f>IFERROR((HLOOKUP($AH909,Target_monthwise!$D$24:$O$40,DTR!AB$4,FALSE)),0)</f>
        <v>0</v>
      </c>
      <c r="AC909" s="147">
        <f>IFERROR((HLOOKUP($AH909,Target_monthwise!$D$24:$O$40,DTR!AC$4,FALSE)),0)</f>
        <v>0</v>
      </c>
      <c r="AD909" s="147">
        <f>IFERROR((HLOOKUP($AH909,Target_monthwise!$D$24:$O$40,DTR!AD$4,FALSE)),0)</f>
        <v>0</v>
      </c>
      <c r="AE909" s="147">
        <f>IFERROR((HLOOKUP($AH909,Target_monthwise!$D$24:$O$40,DTR!AE$4,FALSE)),0)</f>
        <v>0</v>
      </c>
      <c r="AF909" s="147">
        <f>IFERROR((HLOOKUP($AH909,Target_monthwise!$D$24:$O$40,DTR!AF$4,FALSE)),0)</f>
        <v>0</v>
      </c>
      <c r="AG909" s="172">
        <f>IFERROR((HLOOKUP($AH909,Target_monthwise!$D$24:$O$40,DTR!AG$4,FALSE)),0)</f>
        <v>0</v>
      </c>
      <c r="AH909" s="253">
        <f t="shared" si="16"/>
        <v>202409</v>
      </c>
    </row>
    <row r="910" spans="3:34" ht="15.75" hidden="1">
      <c r="C910" s="237">
        <v>45553</v>
      </c>
      <c r="D910" s="238">
        <f>IFERROR((HLOOKUP($AH910,Target_monthwise!$D$4:$O$20,DTR!D$4,FALSE))*1000,0)</f>
        <v>0</v>
      </c>
      <c r="E910" s="238">
        <f>IFERROR((HLOOKUP($AH910,Target_monthwise!$D$4:$O$20,DTR!E$4,FALSE))*1000,0)</f>
        <v>0</v>
      </c>
      <c r="F910" s="238">
        <f>IFERROR((HLOOKUP($AH910,Target_monthwise!$D$4:$O$20,DTR!F$4,FALSE))*1000,0)</f>
        <v>0</v>
      </c>
      <c r="G910" s="238">
        <f>IFERROR((HLOOKUP($AH910,Target_monthwise!$D$4:$O$20,DTR!G$4,FALSE))*1000,0)</f>
        <v>0</v>
      </c>
      <c r="H910" s="238">
        <f>IFERROR((HLOOKUP($AH910,Target_monthwise!$D$4:$O$20,DTR!H$4,FALSE))*1000,0)</f>
        <v>0</v>
      </c>
      <c r="I910" s="238">
        <f>IFERROR((HLOOKUP($AH910,Target_monthwise!$D$4:$O$20,DTR!I$4,FALSE))*1000,0)</f>
        <v>0</v>
      </c>
      <c r="J910" s="238">
        <f>IFERROR((HLOOKUP($AH910,Target_monthwise!$D$4:$O$20,DTR!J$4,FALSE))*1000,0)</f>
        <v>0</v>
      </c>
      <c r="K910" s="238">
        <f>IFERROR((HLOOKUP($AH910,Target_monthwise!$D$4:$O$20,DTR!K$4,FALSE))*1000,0)</f>
        <v>0</v>
      </c>
      <c r="L910" s="238">
        <f>IFERROR((HLOOKUP($AH910,Target_monthwise!$D$4:$O$20,DTR!L$4,FALSE))*1000,0)</f>
        <v>0</v>
      </c>
      <c r="M910" s="238">
        <f>IFERROR((HLOOKUP($AH910,Target_monthwise!$D$4:$O$20,DTR!M$4,FALSE))*1000,0)</f>
        <v>0</v>
      </c>
      <c r="N910" s="238">
        <f>IFERROR((HLOOKUP($AH910,Target_monthwise!$D$4:$O$20,DTR!N$4,FALSE))*1000,0)</f>
        <v>0</v>
      </c>
      <c r="O910" s="238">
        <f>IFERROR((HLOOKUP($AH910,Target_monthwise!$D$4:$O$20,DTR!O$4,FALSE))*1000,0)</f>
        <v>0</v>
      </c>
      <c r="P910" s="238">
        <f>IFERROR((HLOOKUP($AH910,Target_monthwise!$D$4:$O$20,DTR!P$4,FALSE))*1000,0)</f>
        <v>0</v>
      </c>
      <c r="Q910" s="141">
        <f>IFERROR((HLOOKUP($AH910,Target_monthwise!$D$4:$O$20,DTR!Q$4,FALSE))*1000,0)</f>
        <v>0</v>
      </c>
      <c r="R910" s="167">
        <f>IFERROR((HLOOKUP($AH910,Target_monthwise!$D$4:$O$20,DTR!R$4,FALSE))*1000,0)</f>
        <v>0</v>
      </c>
      <c r="S910" s="239">
        <f>IFERROR((HLOOKUP($AH910,Target_monthwise!$D$24:$O$40,DTR!S$4,FALSE)),0)</f>
        <v>0</v>
      </c>
      <c r="T910" s="239">
        <f>IFERROR((HLOOKUP($AH910,Target_monthwise!$D$24:$O$40,DTR!T$4,FALSE)),0)</f>
        <v>0</v>
      </c>
      <c r="U910" s="239">
        <f>IFERROR((HLOOKUP($AH910,Target_monthwise!$D$24:$O$40,DTR!U$4,FALSE)),0)</f>
        <v>0</v>
      </c>
      <c r="V910" s="239">
        <f>IFERROR((HLOOKUP($AH910,Target_monthwise!$D$24:$O$40,DTR!V$4,FALSE)),0)</f>
        <v>0</v>
      </c>
      <c r="W910" s="239">
        <f>IFERROR((HLOOKUP($AH910,Target_monthwise!$D$24:$O$40,DTR!W$4,FALSE)),0)</f>
        <v>0</v>
      </c>
      <c r="X910" s="239">
        <f>IFERROR((HLOOKUP($AH910,Target_monthwise!$D$24:$O$40,DTR!X$4,FALSE)),0)</f>
        <v>0</v>
      </c>
      <c r="Y910" s="239">
        <f>IFERROR((HLOOKUP($AH910,Target_monthwise!$D$24:$O$40,DTR!Y$4,FALSE)),0)</f>
        <v>0</v>
      </c>
      <c r="Z910" s="147">
        <f>IFERROR((HLOOKUP($AH910,Target_monthwise!$D$24:$O$40,DTR!Z$4,FALSE)),0)</f>
        <v>0</v>
      </c>
      <c r="AA910" s="147">
        <f>IFERROR((HLOOKUP($AH910,Target_monthwise!$D$24:$O$40,DTR!AA$4,FALSE)),0)</f>
        <v>0</v>
      </c>
      <c r="AB910" s="147">
        <f>IFERROR((HLOOKUP($AH910,Target_monthwise!$D$24:$O$40,DTR!AB$4,FALSE)),0)</f>
        <v>0</v>
      </c>
      <c r="AC910" s="239">
        <f>IFERROR((HLOOKUP($AH910,Target_monthwise!$D$24:$O$40,DTR!AC$4,FALSE)),0)</f>
        <v>0</v>
      </c>
      <c r="AD910" s="239">
        <f>IFERROR((HLOOKUP($AH910,Target_monthwise!$D$24:$O$40,DTR!AD$4,FALSE)),0)</f>
        <v>0</v>
      </c>
      <c r="AE910" s="239">
        <f>IFERROR((HLOOKUP($AH910,Target_monthwise!$D$24:$O$40,DTR!AE$4,FALSE)),0)</f>
        <v>0</v>
      </c>
      <c r="AF910" s="239">
        <f>IFERROR((HLOOKUP($AH910,Target_monthwise!$D$24:$O$40,DTR!AF$4,FALSE)),0)</f>
        <v>0</v>
      </c>
      <c r="AG910" s="172">
        <f>IFERROR((HLOOKUP($AH910,Target_monthwise!$D$24:$O$40,DTR!AG$4,FALSE)),0)</f>
        <v>0</v>
      </c>
      <c r="AH910" s="253">
        <f t="shared" si="16"/>
        <v>202409</v>
      </c>
    </row>
    <row r="911" spans="3:34" ht="15.75" hidden="1">
      <c r="C911" s="235">
        <v>45554</v>
      </c>
      <c r="D911" s="141">
        <f>IFERROR((HLOOKUP($AH911,Target_monthwise!$D$4:$O$20,DTR!D$4,FALSE))*1000,0)</f>
        <v>0</v>
      </c>
      <c r="E911" s="141">
        <f>IFERROR((HLOOKUP($AH911,Target_monthwise!$D$4:$O$20,DTR!E$4,FALSE))*1000,0)</f>
        <v>0</v>
      </c>
      <c r="F911" s="141">
        <f>IFERROR((HLOOKUP($AH911,Target_monthwise!$D$4:$O$20,DTR!F$4,FALSE))*1000,0)</f>
        <v>0</v>
      </c>
      <c r="G911" s="141">
        <f>IFERROR((HLOOKUP($AH911,Target_monthwise!$D$4:$O$20,DTR!G$4,FALSE))*1000,0)</f>
        <v>0</v>
      </c>
      <c r="H911" s="141">
        <f>IFERROR((HLOOKUP($AH911,Target_monthwise!$D$4:$O$20,DTR!H$4,FALSE))*1000,0)</f>
        <v>0</v>
      </c>
      <c r="I911" s="141">
        <f>IFERROR((HLOOKUP($AH911,Target_monthwise!$D$4:$O$20,DTR!I$4,FALSE))*1000,0)</f>
        <v>0</v>
      </c>
      <c r="J911" s="141">
        <f>IFERROR((HLOOKUP($AH911,Target_monthwise!$D$4:$O$20,DTR!J$4,FALSE))*1000,0)</f>
        <v>0</v>
      </c>
      <c r="K911" s="141">
        <f>IFERROR((HLOOKUP($AH911,Target_monthwise!$D$4:$O$20,DTR!K$4,FALSE))*1000,0)</f>
        <v>0</v>
      </c>
      <c r="L911" s="141">
        <f>IFERROR((HLOOKUP($AH911,Target_monthwise!$D$4:$O$20,DTR!L$4,FALSE))*1000,0)</f>
        <v>0</v>
      </c>
      <c r="M911" s="141">
        <f>IFERROR((HLOOKUP($AH911,Target_monthwise!$D$4:$O$20,DTR!M$4,FALSE))*1000,0)</f>
        <v>0</v>
      </c>
      <c r="N911" s="141">
        <f>IFERROR((HLOOKUP($AH911,Target_monthwise!$D$4:$O$20,DTR!N$4,FALSE))*1000,0)</f>
        <v>0</v>
      </c>
      <c r="O911" s="141">
        <f>IFERROR((HLOOKUP($AH911,Target_monthwise!$D$4:$O$20,DTR!O$4,FALSE))*1000,0)</f>
        <v>0</v>
      </c>
      <c r="P911" s="141">
        <f>IFERROR((HLOOKUP($AH911,Target_monthwise!$D$4:$O$20,DTR!P$4,FALSE))*1000,0)</f>
        <v>0</v>
      </c>
      <c r="Q911" s="141">
        <f>IFERROR((HLOOKUP($AH911,Target_monthwise!$D$4:$O$20,DTR!Q$4,FALSE))*1000,0)</f>
        <v>0</v>
      </c>
      <c r="R911" s="167">
        <f>IFERROR((HLOOKUP($AH911,Target_monthwise!$D$4:$O$20,DTR!R$4,FALSE))*1000,0)</f>
        <v>0</v>
      </c>
      <c r="S911" s="147">
        <f>IFERROR((HLOOKUP($AH911,Target_monthwise!$D$24:$O$40,DTR!S$4,FALSE)),0)</f>
        <v>0</v>
      </c>
      <c r="T911" s="147">
        <f>IFERROR((HLOOKUP($AH911,Target_monthwise!$D$24:$O$40,DTR!T$4,FALSE)),0)</f>
        <v>0</v>
      </c>
      <c r="U911" s="147">
        <f>IFERROR((HLOOKUP($AH911,Target_monthwise!$D$24:$O$40,DTR!U$4,FALSE)),0)</f>
        <v>0</v>
      </c>
      <c r="V911" s="147">
        <f>IFERROR((HLOOKUP($AH911,Target_monthwise!$D$24:$O$40,DTR!V$4,FALSE)),0)</f>
        <v>0</v>
      </c>
      <c r="W911" s="147">
        <f>IFERROR((HLOOKUP($AH911,Target_monthwise!$D$24:$O$40,DTR!W$4,FALSE)),0)</f>
        <v>0</v>
      </c>
      <c r="X911" s="147">
        <f>IFERROR((HLOOKUP($AH911,Target_monthwise!$D$24:$O$40,DTR!X$4,FALSE)),0)</f>
        <v>0</v>
      </c>
      <c r="Y911" s="147">
        <f>IFERROR((HLOOKUP($AH911,Target_monthwise!$D$24:$O$40,DTR!Y$4,FALSE)),0)</f>
        <v>0</v>
      </c>
      <c r="Z911" s="147">
        <f>IFERROR((HLOOKUP($AH911,Target_monthwise!$D$24:$O$40,DTR!Z$4,FALSE)),0)</f>
        <v>0</v>
      </c>
      <c r="AA911" s="147">
        <f>IFERROR((HLOOKUP($AH911,Target_monthwise!$D$24:$O$40,DTR!AA$4,FALSE)),0)</f>
        <v>0</v>
      </c>
      <c r="AB911" s="147">
        <f>IFERROR((HLOOKUP($AH911,Target_monthwise!$D$24:$O$40,DTR!AB$4,FALSE)),0)</f>
        <v>0</v>
      </c>
      <c r="AC911" s="147">
        <f>IFERROR((HLOOKUP($AH911,Target_monthwise!$D$24:$O$40,DTR!AC$4,FALSE)),0)</f>
        <v>0</v>
      </c>
      <c r="AD911" s="147">
        <f>IFERROR((HLOOKUP($AH911,Target_monthwise!$D$24:$O$40,DTR!AD$4,FALSE)),0)</f>
        <v>0</v>
      </c>
      <c r="AE911" s="147">
        <f>IFERROR((HLOOKUP($AH911,Target_monthwise!$D$24:$O$40,DTR!AE$4,FALSE)),0)</f>
        <v>0</v>
      </c>
      <c r="AF911" s="147">
        <f>IFERROR((HLOOKUP($AH911,Target_monthwise!$D$24:$O$40,DTR!AF$4,FALSE)),0)</f>
        <v>0</v>
      </c>
      <c r="AG911" s="172">
        <f>IFERROR((HLOOKUP($AH911,Target_monthwise!$D$24:$O$40,DTR!AG$4,FALSE)),0)</f>
        <v>0</v>
      </c>
      <c r="AH911" s="253">
        <f t="shared" si="16"/>
        <v>202409</v>
      </c>
    </row>
    <row r="912" spans="3:34" ht="15.75" hidden="1">
      <c r="C912" s="237">
        <v>45555</v>
      </c>
      <c r="D912" s="238">
        <f>IFERROR((HLOOKUP($AH912,Target_monthwise!$D$4:$O$20,DTR!D$4,FALSE))*1000,0)</f>
        <v>0</v>
      </c>
      <c r="E912" s="238">
        <f>IFERROR((HLOOKUP($AH912,Target_monthwise!$D$4:$O$20,DTR!E$4,FALSE))*1000,0)</f>
        <v>0</v>
      </c>
      <c r="F912" s="238">
        <f>IFERROR((HLOOKUP($AH912,Target_monthwise!$D$4:$O$20,DTR!F$4,FALSE))*1000,0)</f>
        <v>0</v>
      </c>
      <c r="G912" s="238">
        <f>IFERROR((HLOOKUP($AH912,Target_monthwise!$D$4:$O$20,DTR!G$4,FALSE))*1000,0)</f>
        <v>0</v>
      </c>
      <c r="H912" s="238">
        <f>IFERROR((HLOOKUP($AH912,Target_monthwise!$D$4:$O$20,DTR!H$4,FALSE))*1000,0)</f>
        <v>0</v>
      </c>
      <c r="I912" s="238">
        <f>IFERROR((HLOOKUP($AH912,Target_monthwise!$D$4:$O$20,DTR!I$4,FALSE))*1000,0)</f>
        <v>0</v>
      </c>
      <c r="J912" s="238">
        <f>IFERROR((HLOOKUP($AH912,Target_monthwise!$D$4:$O$20,DTR!J$4,FALSE))*1000,0)</f>
        <v>0</v>
      </c>
      <c r="K912" s="238">
        <f>IFERROR((HLOOKUP($AH912,Target_monthwise!$D$4:$O$20,DTR!K$4,FALSE))*1000,0)</f>
        <v>0</v>
      </c>
      <c r="L912" s="238">
        <f>IFERROR((HLOOKUP($AH912,Target_monthwise!$D$4:$O$20,DTR!L$4,FALSE))*1000,0)</f>
        <v>0</v>
      </c>
      <c r="M912" s="238">
        <f>IFERROR((HLOOKUP($AH912,Target_monthwise!$D$4:$O$20,DTR!M$4,FALSE))*1000,0)</f>
        <v>0</v>
      </c>
      <c r="N912" s="238">
        <f>IFERROR((HLOOKUP($AH912,Target_monthwise!$D$4:$O$20,DTR!N$4,FALSE))*1000,0)</f>
        <v>0</v>
      </c>
      <c r="O912" s="238">
        <f>IFERROR((HLOOKUP($AH912,Target_monthwise!$D$4:$O$20,DTR!O$4,FALSE))*1000,0)</f>
        <v>0</v>
      </c>
      <c r="P912" s="238">
        <f>IFERROR((HLOOKUP($AH912,Target_monthwise!$D$4:$O$20,DTR!P$4,FALSE))*1000,0)</f>
        <v>0</v>
      </c>
      <c r="Q912" s="141">
        <f>IFERROR((HLOOKUP($AH912,Target_monthwise!$D$4:$O$20,DTR!Q$4,FALSE))*1000,0)</f>
        <v>0</v>
      </c>
      <c r="R912" s="167">
        <f>IFERROR((HLOOKUP($AH912,Target_monthwise!$D$4:$O$20,DTR!R$4,FALSE))*1000,0)</f>
        <v>0</v>
      </c>
      <c r="S912" s="239">
        <f>IFERROR((HLOOKUP($AH912,Target_monthwise!$D$24:$O$40,DTR!S$4,FALSE)),0)</f>
        <v>0</v>
      </c>
      <c r="T912" s="239">
        <f>IFERROR((HLOOKUP($AH912,Target_monthwise!$D$24:$O$40,DTR!T$4,FALSE)),0)</f>
        <v>0</v>
      </c>
      <c r="U912" s="239">
        <f>IFERROR((HLOOKUP($AH912,Target_monthwise!$D$24:$O$40,DTR!U$4,FALSE)),0)</f>
        <v>0</v>
      </c>
      <c r="V912" s="239">
        <f>IFERROR((HLOOKUP($AH912,Target_monthwise!$D$24:$O$40,DTR!V$4,FALSE)),0)</f>
        <v>0</v>
      </c>
      <c r="W912" s="239">
        <f>IFERROR((HLOOKUP($AH912,Target_monthwise!$D$24:$O$40,DTR!W$4,FALSE)),0)</f>
        <v>0</v>
      </c>
      <c r="X912" s="239">
        <f>IFERROR((HLOOKUP($AH912,Target_monthwise!$D$24:$O$40,DTR!X$4,FALSE)),0)</f>
        <v>0</v>
      </c>
      <c r="Y912" s="239">
        <f>IFERROR((HLOOKUP($AH912,Target_monthwise!$D$24:$O$40,DTR!Y$4,FALSE)),0)</f>
        <v>0</v>
      </c>
      <c r="Z912" s="147">
        <f>IFERROR((HLOOKUP($AH912,Target_monthwise!$D$24:$O$40,DTR!Z$4,FALSE)),0)</f>
        <v>0</v>
      </c>
      <c r="AA912" s="147">
        <f>IFERROR((HLOOKUP($AH912,Target_monthwise!$D$24:$O$40,DTR!AA$4,FALSE)),0)</f>
        <v>0</v>
      </c>
      <c r="AB912" s="147">
        <f>IFERROR((HLOOKUP($AH912,Target_monthwise!$D$24:$O$40,DTR!AB$4,FALSE)),0)</f>
        <v>0</v>
      </c>
      <c r="AC912" s="239">
        <f>IFERROR((HLOOKUP($AH912,Target_monthwise!$D$24:$O$40,DTR!AC$4,FALSE)),0)</f>
        <v>0</v>
      </c>
      <c r="AD912" s="239">
        <f>IFERROR((HLOOKUP($AH912,Target_monthwise!$D$24:$O$40,DTR!AD$4,FALSE)),0)</f>
        <v>0</v>
      </c>
      <c r="AE912" s="239">
        <f>IFERROR((HLOOKUP($AH912,Target_monthwise!$D$24:$O$40,DTR!AE$4,FALSE)),0)</f>
        <v>0</v>
      </c>
      <c r="AF912" s="239">
        <f>IFERROR((HLOOKUP($AH912,Target_monthwise!$D$24:$O$40,DTR!AF$4,FALSE)),0)</f>
        <v>0</v>
      </c>
      <c r="AG912" s="172">
        <f>IFERROR((HLOOKUP($AH912,Target_monthwise!$D$24:$O$40,DTR!AG$4,FALSE)),0)</f>
        <v>0</v>
      </c>
      <c r="AH912" s="253">
        <f t="shared" si="16"/>
        <v>202409</v>
      </c>
    </row>
    <row r="913" spans="3:34" ht="15.75" hidden="1">
      <c r="C913" s="235">
        <v>45556</v>
      </c>
      <c r="D913" s="141">
        <f>IFERROR((HLOOKUP($AH913,Target_monthwise!$D$4:$O$20,DTR!D$4,FALSE))*1000,0)</f>
        <v>0</v>
      </c>
      <c r="E913" s="141">
        <f>IFERROR((HLOOKUP($AH913,Target_monthwise!$D$4:$O$20,DTR!E$4,FALSE))*1000,0)</f>
        <v>0</v>
      </c>
      <c r="F913" s="141">
        <f>IFERROR((HLOOKUP($AH913,Target_monthwise!$D$4:$O$20,DTR!F$4,FALSE))*1000,0)</f>
        <v>0</v>
      </c>
      <c r="G913" s="141">
        <f>IFERROR((HLOOKUP($AH913,Target_monthwise!$D$4:$O$20,DTR!G$4,FALSE))*1000,0)</f>
        <v>0</v>
      </c>
      <c r="H913" s="141">
        <f>IFERROR((HLOOKUP($AH913,Target_monthwise!$D$4:$O$20,DTR!H$4,FALSE))*1000,0)</f>
        <v>0</v>
      </c>
      <c r="I913" s="141">
        <f>IFERROR((HLOOKUP($AH913,Target_monthwise!$D$4:$O$20,DTR!I$4,FALSE))*1000,0)</f>
        <v>0</v>
      </c>
      <c r="J913" s="141">
        <f>IFERROR((HLOOKUP($AH913,Target_monthwise!$D$4:$O$20,DTR!J$4,FALSE))*1000,0)</f>
        <v>0</v>
      </c>
      <c r="K913" s="141">
        <f>IFERROR((HLOOKUP($AH913,Target_monthwise!$D$4:$O$20,DTR!K$4,FALSE))*1000,0)</f>
        <v>0</v>
      </c>
      <c r="L913" s="141">
        <f>IFERROR((HLOOKUP($AH913,Target_monthwise!$D$4:$O$20,DTR!L$4,FALSE))*1000,0)</f>
        <v>0</v>
      </c>
      <c r="M913" s="141">
        <f>IFERROR((HLOOKUP($AH913,Target_monthwise!$D$4:$O$20,DTR!M$4,FALSE))*1000,0)</f>
        <v>0</v>
      </c>
      <c r="N913" s="141">
        <f>IFERROR((HLOOKUP($AH913,Target_monthwise!$D$4:$O$20,DTR!N$4,FALSE))*1000,0)</f>
        <v>0</v>
      </c>
      <c r="O913" s="141">
        <f>IFERROR((HLOOKUP($AH913,Target_monthwise!$D$4:$O$20,DTR!O$4,FALSE))*1000,0)</f>
        <v>0</v>
      </c>
      <c r="P913" s="141">
        <f>IFERROR((HLOOKUP($AH913,Target_monthwise!$D$4:$O$20,DTR!P$4,FALSE))*1000,0)</f>
        <v>0</v>
      </c>
      <c r="Q913" s="141">
        <f>IFERROR((HLOOKUP($AH913,Target_monthwise!$D$4:$O$20,DTR!Q$4,FALSE))*1000,0)</f>
        <v>0</v>
      </c>
      <c r="R913" s="167">
        <f>IFERROR((HLOOKUP($AH913,Target_monthwise!$D$4:$O$20,DTR!R$4,FALSE))*1000,0)</f>
        <v>0</v>
      </c>
      <c r="S913" s="147">
        <f>IFERROR((HLOOKUP($AH913,Target_monthwise!$D$24:$O$40,DTR!S$4,FALSE)),0)</f>
        <v>0</v>
      </c>
      <c r="T913" s="147">
        <f>IFERROR((HLOOKUP($AH913,Target_monthwise!$D$24:$O$40,DTR!T$4,FALSE)),0)</f>
        <v>0</v>
      </c>
      <c r="U913" s="147">
        <f>IFERROR((HLOOKUP($AH913,Target_monthwise!$D$24:$O$40,DTR!U$4,FALSE)),0)</f>
        <v>0</v>
      </c>
      <c r="V913" s="147">
        <f>IFERROR((HLOOKUP($AH913,Target_monthwise!$D$24:$O$40,DTR!V$4,FALSE)),0)</f>
        <v>0</v>
      </c>
      <c r="W913" s="147">
        <f>IFERROR((HLOOKUP($AH913,Target_monthwise!$D$24:$O$40,DTR!W$4,FALSE)),0)</f>
        <v>0</v>
      </c>
      <c r="X913" s="147">
        <f>IFERROR((HLOOKUP($AH913,Target_monthwise!$D$24:$O$40,DTR!X$4,FALSE)),0)</f>
        <v>0</v>
      </c>
      <c r="Y913" s="147">
        <f>IFERROR((HLOOKUP($AH913,Target_monthwise!$D$24:$O$40,DTR!Y$4,FALSE)),0)</f>
        <v>0</v>
      </c>
      <c r="Z913" s="147">
        <f>IFERROR((HLOOKUP($AH913,Target_monthwise!$D$24:$O$40,DTR!Z$4,FALSE)),0)</f>
        <v>0</v>
      </c>
      <c r="AA913" s="147">
        <f>IFERROR((HLOOKUP($AH913,Target_monthwise!$D$24:$O$40,DTR!AA$4,FALSE)),0)</f>
        <v>0</v>
      </c>
      <c r="AB913" s="147">
        <f>IFERROR((HLOOKUP($AH913,Target_monthwise!$D$24:$O$40,DTR!AB$4,FALSE)),0)</f>
        <v>0</v>
      </c>
      <c r="AC913" s="147">
        <f>IFERROR((HLOOKUP($AH913,Target_monthwise!$D$24:$O$40,DTR!AC$4,FALSE)),0)</f>
        <v>0</v>
      </c>
      <c r="AD913" s="147">
        <f>IFERROR((HLOOKUP($AH913,Target_monthwise!$D$24:$O$40,DTR!AD$4,FALSE)),0)</f>
        <v>0</v>
      </c>
      <c r="AE913" s="147">
        <f>IFERROR((HLOOKUP($AH913,Target_monthwise!$D$24:$O$40,DTR!AE$4,FALSE)),0)</f>
        <v>0</v>
      </c>
      <c r="AF913" s="147">
        <f>IFERROR((HLOOKUP($AH913,Target_monthwise!$D$24:$O$40,DTR!AF$4,FALSE)),0)</f>
        <v>0</v>
      </c>
      <c r="AG913" s="172">
        <f>IFERROR((HLOOKUP($AH913,Target_monthwise!$D$24:$O$40,DTR!AG$4,FALSE)),0)</f>
        <v>0</v>
      </c>
      <c r="AH913" s="253">
        <f t="shared" si="16"/>
        <v>202409</v>
      </c>
    </row>
    <row r="914" spans="3:34" ht="15.75" hidden="1">
      <c r="C914" s="237">
        <v>45557</v>
      </c>
      <c r="D914" s="238">
        <f>IFERROR((HLOOKUP($AH914,Target_monthwise!$D$4:$O$20,DTR!D$4,FALSE))*1000,0)</f>
        <v>0</v>
      </c>
      <c r="E914" s="238">
        <f>IFERROR((HLOOKUP($AH914,Target_monthwise!$D$4:$O$20,DTR!E$4,FALSE))*1000,0)</f>
        <v>0</v>
      </c>
      <c r="F914" s="238">
        <f>IFERROR((HLOOKUP($AH914,Target_monthwise!$D$4:$O$20,DTR!F$4,FALSE))*1000,0)</f>
        <v>0</v>
      </c>
      <c r="G914" s="238">
        <f>IFERROR((HLOOKUP($AH914,Target_monthwise!$D$4:$O$20,DTR!G$4,FALSE))*1000,0)</f>
        <v>0</v>
      </c>
      <c r="H914" s="238">
        <f>IFERROR((HLOOKUP($AH914,Target_monthwise!$D$4:$O$20,DTR!H$4,FALSE))*1000,0)</f>
        <v>0</v>
      </c>
      <c r="I914" s="238">
        <f>IFERROR((HLOOKUP($AH914,Target_monthwise!$D$4:$O$20,DTR!I$4,FALSE))*1000,0)</f>
        <v>0</v>
      </c>
      <c r="J914" s="238">
        <f>IFERROR((HLOOKUP($AH914,Target_monthwise!$D$4:$O$20,DTR!J$4,FALSE))*1000,0)</f>
        <v>0</v>
      </c>
      <c r="K914" s="238">
        <f>IFERROR((HLOOKUP($AH914,Target_monthwise!$D$4:$O$20,DTR!K$4,FALSE))*1000,0)</f>
        <v>0</v>
      </c>
      <c r="L914" s="238">
        <f>IFERROR((HLOOKUP($AH914,Target_monthwise!$D$4:$O$20,DTR!L$4,FALSE))*1000,0)</f>
        <v>0</v>
      </c>
      <c r="M914" s="238">
        <f>IFERROR((HLOOKUP($AH914,Target_monthwise!$D$4:$O$20,DTR!M$4,FALSE))*1000,0)</f>
        <v>0</v>
      </c>
      <c r="N914" s="238">
        <f>IFERROR((HLOOKUP($AH914,Target_monthwise!$D$4:$O$20,DTR!N$4,FALSE))*1000,0)</f>
        <v>0</v>
      </c>
      <c r="O914" s="238">
        <f>IFERROR((HLOOKUP($AH914,Target_monthwise!$D$4:$O$20,DTR!O$4,FALSE))*1000,0)</f>
        <v>0</v>
      </c>
      <c r="P914" s="238">
        <f>IFERROR((HLOOKUP($AH914,Target_monthwise!$D$4:$O$20,DTR!P$4,FALSE))*1000,0)</f>
        <v>0</v>
      </c>
      <c r="Q914" s="141">
        <f>IFERROR((HLOOKUP($AH914,Target_monthwise!$D$4:$O$20,DTR!Q$4,FALSE))*1000,0)</f>
        <v>0</v>
      </c>
      <c r="R914" s="167">
        <f>IFERROR((HLOOKUP($AH914,Target_monthwise!$D$4:$O$20,DTR!R$4,FALSE))*1000,0)</f>
        <v>0</v>
      </c>
      <c r="S914" s="239">
        <f>IFERROR((HLOOKUP($AH914,Target_monthwise!$D$24:$O$40,DTR!S$4,FALSE)),0)</f>
        <v>0</v>
      </c>
      <c r="T914" s="239">
        <f>IFERROR((HLOOKUP($AH914,Target_monthwise!$D$24:$O$40,DTR!T$4,FALSE)),0)</f>
        <v>0</v>
      </c>
      <c r="U914" s="239">
        <f>IFERROR((HLOOKUP($AH914,Target_monthwise!$D$24:$O$40,DTR!U$4,FALSE)),0)</f>
        <v>0</v>
      </c>
      <c r="V914" s="239">
        <f>IFERROR((HLOOKUP($AH914,Target_monthwise!$D$24:$O$40,DTR!V$4,FALSE)),0)</f>
        <v>0</v>
      </c>
      <c r="W914" s="239">
        <f>IFERROR((HLOOKUP($AH914,Target_monthwise!$D$24:$O$40,DTR!W$4,FALSE)),0)</f>
        <v>0</v>
      </c>
      <c r="X914" s="239">
        <f>IFERROR((HLOOKUP($AH914,Target_monthwise!$D$24:$O$40,DTR!X$4,FALSE)),0)</f>
        <v>0</v>
      </c>
      <c r="Y914" s="239">
        <f>IFERROR((HLOOKUP($AH914,Target_monthwise!$D$24:$O$40,DTR!Y$4,FALSE)),0)</f>
        <v>0</v>
      </c>
      <c r="Z914" s="147">
        <f>IFERROR((HLOOKUP($AH914,Target_monthwise!$D$24:$O$40,DTR!Z$4,FALSE)),0)</f>
        <v>0</v>
      </c>
      <c r="AA914" s="147">
        <f>IFERROR((HLOOKUP($AH914,Target_monthwise!$D$24:$O$40,DTR!AA$4,FALSE)),0)</f>
        <v>0</v>
      </c>
      <c r="AB914" s="147">
        <f>IFERROR((HLOOKUP($AH914,Target_monthwise!$D$24:$O$40,DTR!AB$4,FALSE)),0)</f>
        <v>0</v>
      </c>
      <c r="AC914" s="239">
        <f>IFERROR((HLOOKUP($AH914,Target_monthwise!$D$24:$O$40,DTR!AC$4,FALSE)),0)</f>
        <v>0</v>
      </c>
      <c r="AD914" s="239">
        <f>IFERROR((HLOOKUP($AH914,Target_monthwise!$D$24:$O$40,DTR!AD$4,FALSE)),0)</f>
        <v>0</v>
      </c>
      <c r="AE914" s="239">
        <f>IFERROR((HLOOKUP($AH914,Target_monthwise!$D$24:$O$40,DTR!AE$4,FALSE)),0)</f>
        <v>0</v>
      </c>
      <c r="AF914" s="239">
        <f>IFERROR((HLOOKUP($AH914,Target_monthwise!$D$24:$O$40,DTR!AF$4,FALSE)),0)</f>
        <v>0</v>
      </c>
      <c r="AG914" s="172">
        <f>IFERROR((HLOOKUP($AH914,Target_monthwise!$D$24:$O$40,DTR!AG$4,FALSE)),0)</f>
        <v>0</v>
      </c>
      <c r="AH914" s="253">
        <f t="shared" si="16"/>
        <v>202409</v>
      </c>
    </row>
    <row r="915" spans="3:34" ht="15.75" hidden="1">
      <c r="C915" s="235">
        <v>45558</v>
      </c>
      <c r="D915" s="141">
        <f>IFERROR((HLOOKUP($AH915,Target_monthwise!$D$4:$O$20,DTR!D$4,FALSE))*1000,0)</f>
        <v>0</v>
      </c>
      <c r="E915" s="141">
        <f>IFERROR((HLOOKUP($AH915,Target_monthwise!$D$4:$O$20,DTR!E$4,FALSE))*1000,0)</f>
        <v>0</v>
      </c>
      <c r="F915" s="141">
        <f>IFERROR((HLOOKUP($AH915,Target_monthwise!$D$4:$O$20,DTR!F$4,FALSE))*1000,0)</f>
        <v>0</v>
      </c>
      <c r="G915" s="141">
        <f>IFERROR((HLOOKUP($AH915,Target_monthwise!$D$4:$O$20,DTR!G$4,FALSE))*1000,0)</f>
        <v>0</v>
      </c>
      <c r="H915" s="141">
        <f>IFERROR((HLOOKUP($AH915,Target_monthwise!$D$4:$O$20,DTR!H$4,FALSE))*1000,0)</f>
        <v>0</v>
      </c>
      <c r="I915" s="141">
        <f>IFERROR((HLOOKUP($AH915,Target_monthwise!$D$4:$O$20,DTR!I$4,FALSE))*1000,0)</f>
        <v>0</v>
      </c>
      <c r="J915" s="141">
        <f>IFERROR((HLOOKUP($AH915,Target_monthwise!$D$4:$O$20,DTR!J$4,FALSE))*1000,0)</f>
        <v>0</v>
      </c>
      <c r="K915" s="141">
        <f>IFERROR((HLOOKUP($AH915,Target_monthwise!$D$4:$O$20,DTR!K$4,FALSE))*1000,0)</f>
        <v>0</v>
      </c>
      <c r="L915" s="141">
        <f>IFERROR((HLOOKUP($AH915,Target_monthwise!$D$4:$O$20,DTR!L$4,FALSE))*1000,0)</f>
        <v>0</v>
      </c>
      <c r="M915" s="141">
        <f>IFERROR((HLOOKUP($AH915,Target_monthwise!$D$4:$O$20,DTR!M$4,FALSE))*1000,0)</f>
        <v>0</v>
      </c>
      <c r="N915" s="141">
        <f>IFERROR((HLOOKUP($AH915,Target_monthwise!$D$4:$O$20,DTR!N$4,FALSE))*1000,0)</f>
        <v>0</v>
      </c>
      <c r="O915" s="141">
        <f>IFERROR((HLOOKUP($AH915,Target_monthwise!$D$4:$O$20,DTR!O$4,FALSE))*1000,0)</f>
        <v>0</v>
      </c>
      <c r="P915" s="141">
        <f>IFERROR((HLOOKUP($AH915,Target_monthwise!$D$4:$O$20,DTR!P$4,FALSE))*1000,0)</f>
        <v>0</v>
      </c>
      <c r="Q915" s="141">
        <f>IFERROR((HLOOKUP($AH915,Target_monthwise!$D$4:$O$20,DTR!Q$4,FALSE))*1000,0)</f>
        <v>0</v>
      </c>
      <c r="R915" s="167">
        <f>IFERROR((HLOOKUP($AH915,Target_monthwise!$D$4:$O$20,DTR!R$4,FALSE))*1000,0)</f>
        <v>0</v>
      </c>
      <c r="S915" s="147">
        <f>IFERROR((HLOOKUP($AH915,Target_monthwise!$D$24:$O$40,DTR!S$4,FALSE)),0)</f>
        <v>0</v>
      </c>
      <c r="T915" s="147">
        <f>IFERROR((HLOOKUP($AH915,Target_monthwise!$D$24:$O$40,DTR!T$4,FALSE)),0)</f>
        <v>0</v>
      </c>
      <c r="U915" s="147">
        <f>IFERROR((HLOOKUP($AH915,Target_monthwise!$D$24:$O$40,DTR!U$4,FALSE)),0)</f>
        <v>0</v>
      </c>
      <c r="V915" s="147">
        <f>IFERROR((HLOOKUP($AH915,Target_monthwise!$D$24:$O$40,DTR!V$4,FALSE)),0)</f>
        <v>0</v>
      </c>
      <c r="W915" s="147">
        <f>IFERROR((HLOOKUP($AH915,Target_monthwise!$D$24:$O$40,DTR!W$4,FALSE)),0)</f>
        <v>0</v>
      </c>
      <c r="X915" s="147">
        <f>IFERROR((HLOOKUP($AH915,Target_monthwise!$D$24:$O$40,DTR!X$4,FALSE)),0)</f>
        <v>0</v>
      </c>
      <c r="Y915" s="147">
        <f>IFERROR((HLOOKUP($AH915,Target_monthwise!$D$24:$O$40,DTR!Y$4,FALSE)),0)</f>
        <v>0</v>
      </c>
      <c r="Z915" s="147">
        <f>IFERROR((HLOOKUP($AH915,Target_monthwise!$D$24:$O$40,DTR!Z$4,FALSE)),0)</f>
        <v>0</v>
      </c>
      <c r="AA915" s="147">
        <f>IFERROR((HLOOKUP($AH915,Target_monthwise!$D$24:$O$40,DTR!AA$4,FALSE)),0)</f>
        <v>0</v>
      </c>
      <c r="AB915" s="147">
        <f>IFERROR((HLOOKUP($AH915,Target_monthwise!$D$24:$O$40,DTR!AB$4,FALSE)),0)</f>
        <v>0</v>
      </c>
      <c r="AC915" s="147">
        <f>IFERROR((HLOOKUP($AH915,Target_monthwise!$D$24:$O$40,DTR!AC$4,FALSE)),0)</f>
        <v>0</v>
      </c>
      <c r="AD915" s="147">
        <f>IFERROR((HLOOKUP($AH915,Target_monthwise!$D$24:$O$40,DTR!AD$4,FALSE)),0)</f>
        <v>0</v>
      </c>
      <c r="AE915" s="147">
        <f>IFERROR((HLOOKUP($AH915,Target_monthwise!$D$24:$O$40,DTR!AE$4,FALSE)),0)</f>
        <v>0</v>
      </c>
      <c r="AF915" s="147">
        <f>IFERROR((HLOOKUP($AH915,Target_monthwise!$D$24:$O$40,DTR!AF$4,FALSE)),0)</f>
        <v>0</v>
      </c>
      <c r="AG915" s="172">
        <f>IFERROR((HLOOKUP($AH915,Target_monthwise!$D$24:$O$40,DTR!AG$4,FALSE)),0)</f>
        <v>0</v>
      </c>
      <c r="AH915" s="253">
        <f t="shared" si="16"/>
        <v>202409</v>
      </c>
    </row>
    <row r="916" spans="3:34" ht="15.75" hidden="1">
      <c r="C916" s="237">
        <v>45559</v>
      </c>
      <c r="D916" s="238">
        <f>IFERROR((HLOOKUP($AH916,Target_monthwise!$D$4:$O$20,DTR!D$4,FALSE))*1000,0)</f>
        <v>0</v>
      </c>
      <c r="E916" s="238">
        <f>IFERROR((HLOOKUP($AH916,Target_monthwise!$D$4:$O$20,DTR!E$4,FALSE))*1000,0)</f>
        <v>0</v>
      </c>
      <c r="F916" s="238">
        <f>IFERROR((HLOOKUP($AH916,Target_monthwise!$D$4:$O$20,DTR!F$4,FALSE))*1000,0)</f>
        <v>0</v>
      </c>
      <c r="G916" s="238">
        <f>IFERROR((HLOOKUP($AH916,Target_monthwise!$D$4:$O$20,DTR!G$4,FALSE))*1000,0)</f>
        <v>0</v>
      </c>
      <c r="H916" s="238">
        <f>IFERROR((HLOOKUP($AH916,Target_monthwise!$D$4:$O$20,DTR!H$4,FALSE))*1000,0)</f>
        <v>0</v>
      </c>
      <c r="I916" s="238">
        <f>IFERROR((HLOOKUP($AH916,Target_monthwise!$D$4:$O$20,DTR!I$4,FALSE))*1000,0)</f>
        <v>0</v>
      </c>
      <c r="J916" s="238">
        <f>IFERROR((HLOOKUP($AH916,Target_monthwise!$D$4:$O$20,DTR!J$4,FALSE))*1000,0)</f>
        <v>0</v>
      </c>
      <c r="K916" s="238">
        <f>IFERROR((HLOOKUP($AH916,Target_monthwise!$D$4:$O$20,DTR!K$4,FALSE))*1000,0)</f>
        <v>0</v>
      </c>
      <c r="L916" s="238">
        <f>IFERROR((HLOOKUP($AH916,Target_monthwise!$D$4:$O$20,DTR!L$4,FALSE))*1000,0)</f>
        <v>0</v>
      </c>
      <c r="M916" s="238">
        <f>IFERROR((HLOOKUP($AH916,Target_monthwise!$D$4:$O$20,DTR!M$4,FALSE))*1000,0)</f>
        <v>0</v>
      </c>
      <c r="N916" s="238">
        <f>IFERROR((HLOOKUP($AH916,Target_monthwise!$D$4:$O$20,DTR!N$4,FALSE))*1000,0)</f>
        <v>0</v>
      </c>
      <c r="O916" s="238">
        <f>IFERROR((HLOOKUP($AH916,Target_monthwise!$D$4:$O$20,DTR!O$4,FALSE))*1000,0)</f>
        <v>0</v>
      </c>
      <c r="P916" s="238">
        <f>IFERROR((HLOOKUP($AH916,Target_monthwise!$D$4:$O$20,DTR!P$4,FALSE))*1000,0)</f>
        <v>0</v>
      </c>
      <c r="Q916" s="141">
        <f>IFERROR((HLOOKUP($AH916,Target_monthwise!$D$4:$O$20,DTR!Q$4,FALSE))*1000,0)</f>
        <v>0</v>
      </c>
      <c r="R916" s="167">
        <f>IFERROR((HLOOKUP($AH916,Target_monthwise!$D$4:$O$20,DTR!R$4,FALSE))*1000,0)</f>
        <v>0</v>
      </c>
      <c r="S916" s="239">
        <f>IFERROR((HLOOKUP($AH916,Target_monthwise!$D$24:$O$40,DTR!S$4,FALSE)),0)</f>
        <v>0</v>
      </c>
      <c r="T916" s="239">
        <f>IFERROR((HLOOKUP($AH916,Target_monthwise!$D$24:$O$40,DTR!T$4,FALSE)),0)</f>
        <v>0</v>
      </c>
      <c r="U916" s="239">
        <f>IFERROR((HLOOKUP($AH916,Target_monthwise!$D$24:$O$40,DTR!U$4,FALSE)),0)</f>
        <v>0</v>
      </c>
      <c r="V916" s="239">
        <f>IFERROR((HLOOKUP($AH916,Target_monthwise!$D$24:$O$40,DTR!V$4,FALSE)),0)</f>
        <v>0</v>
      </c>
      <c r="W916" s="239">
        <f>IFERROR((HLOOKUP($AH916,Target_monthwise!$D$24:$O$40,DTR!W$4,FALSE)),0)</f>
        <v>0</v>
      </c>
      <c r="X916" s="239">
        <f>IFERROR((HLOOKUP($AH916,Target_monthwise!$D$24:$O$40,DTR!X$4,FALSE)),0)</f>
        <v>0</v>
      </c>
      <c r="Y916" s="239">
        <f>IFERROR((HLOOKUP($AH916,Target_monthwise!$D$24:$O$40,DTR!Y$4,FALSE)),0)</f>
        <v>0</v>
      </c>
      <c r="Z916" s="147">
        <f>IFERROR((HLOOKUP($AH916,Target_monthwise!$D$24:$O$40,DTR!Z$4,FALSE)),0)</f>
        <v>0</v>
      </c>
      <c r="AA916" s="147">
        <f>IFERROR((HLOOKUP($AH916,Target_monthwise!$D$24:$O$40,DTR!AA$4,FALSE)),0)</f>
        <v>0</v>
      </c>
      <c r="AB916" s="147">
        <f>IFERROR((HLOOKUP($AH916,Target_monthwise!$D$24:$O$40,DTR!AB$4,FALSE)),0)</f>
        <v>0</v>
      </c>
      <c r="AC916" s="239">
        <f>IFERROR((HLOOKUP($AH916,Target_monthwise!$D$24:$O$40,DTR!AC$4,FALSE)),0)</f>
        <v>0</v>
      </c>
      <c r="AD916" s="239">
        <f>IFERROR((HLOOKUP($AH916,Target_monthwise!$D$24:$O$40,DTR!AD$4,FALSE)),0)</f>
        <v>0</v>
      </c>
      <c r="AE916" s="239">
        <f>IFERROR((HLOOKUP($AH916,Target_monthwise!$D$24:$O$40,DTR!AE$4,FALSE)),0)</f>
        <v>0</v>
      </c>
      <c r="AF916" s="239">
        <f>IFERROR((HLOOKUP($AH916,Target_monthwise!$D$24:$O$40,DTR!AF$4,FALSE)),0)</f>
        <v>0</v>
      </c>
      <c r="AG916" s="172">
        <f>IFERROR((HLOOKUP($AH916,Target_monthwise!$D$24:$O$40,DTR!AG$4,FALSE)),0)</f>
        <v>0</v>
      </c>
      <c r="AH916" s="253">
        <f t="shared" si="16"/>
        <v>202409</v>
      </c>
    </row>
    <row r="917" spans="3:34" ht="15.75" hidden="1">
      <c r="C917" s="235">
        <v>45560</v>
      </c>
      <c r="D917" s="141">
        <f>IFERROR((HLOOKUP($AH917,Target_monthwise!$D$4:$O$20,DTR!D$4,FALSE))*1000,0)</f>
        <v>0</v>
      </c>
      <c r="E917" s="141">
        <f>IFERROR((HLOOKUP($AH917,Target_monthwise!$D$4:$O$20,DTR!E$4,FALSE))*1000,0)</f>
        <v>0</v>
      </c>
      <c r="F917" s="141">
        <f>IFERROR((HLOOKUP($AH917,Target_monthwise!$D$4:$O$20,DTR!F$4,FALSE))*1000,0)</f>
        <v>0</v>
      </c>
      <c r="G917" s="141">
        <f>IFERROR((HLOOKUP($AH917,Target_monthwise!$D$4:$O$20,DTR!G$4,FALSE))*1000,0)</f>
        <v>0</v>
      </c>
      <c r="H917" s="141">
        <f>IFERROR((HLOOKUP($AH917,Target_monthwise!$D$4:$O$20,DTR!H$4,FALSE))*1000,0)</f>
        <v>0</v>
      </c>
      <c r="I917" s="141">
        <f>IFERROR((HLOOKUP($AH917,Target_monthwise!$D$4:$O$20,DTR!I$4,FALSE))*1000,0)</f>
        <v>0</v>
      </c>
      <c r="J917" s="141">
        <f>IFERROR((HLOOKUP($AH917,Target_monthwise!$D$4:$O$20,DTR!J$4,FALSE))*1000,0)</f>
        <v>0</v>
      </c>
      <c r="K917" s="141">
        <f>IFERROR((HLOOKUP($AH917,Target_monthwise!$D$4:$O$20,DTR!K$4,FALSE))*1000,0)</f>
        <v>0</v>
      </c>
      <c r="L917" s="141">
        <f>IFERROR((HLOOKUP($AH917,Target_monthwise!$D$4:$O$20,DTR!L$4,FALSE))*1000,0)</f>
        <v>0</v>
      </c>
      <c r="M917" s="141">
        <f>IFERROR((HLOOKUP($AH917,Target_monthwise!$D$4:$O$20,DTR!M$4,FALSE))*1000,0)</f>
        <v>0</v>
      </c>
      <c r="N917" s="141">
        <f>IFERROR((HLOOKUP($AH917,Target_monthwise!$D$4:$O$20,DTR!N$4,FALSE))*1000,0)</f>
        <v>0</v>
      </c>
      <c r="O917" s="141">
        <f>IFERROR((HLOOKUP($AH917,Target_monthwise!$D$4:$O$20,DTR!O$4,FALSE))*1000,0)</f>
        <v>0</v>
      </c>
      <c r="P917" s="141">
        <f>IFERROR((HLOOKUP($AH917,Target_monthwise!$D$4:$O$20,DTR!P$4,FALSE))*1000,0)</f>
        <v>0</v>
      </c>
      <c r="Q917" s="141">
        <f>IFERROR((HLOOKUP($AH917,Target_monthwise!$D$4:$O$20,DTR!Q$4,FALSE))*1000,0)</f>
        <v>0</v>
      </c>
      <c r="R917" s="167">
        <f>IFERROR((HLOOKUP($AH917,Target_monthwise!$D$4:$O$20,DTR!R$4,FALSE))*1000,0)</f>
        <v>0</v>
      </c>
      <c r="S917" s="147">
        <f>IFERROR((HLOOKUP($AH917,Target_monthwise!$D$24:$O$40,DTR!S$4,FALSE)),0)</f>
        <v>0</v>
      </c>
      <c r="T917" s="147">
        <f>IFERROR((HLOOKUP($AH917,Target_monthwise!$D$24:$O$40,DTR!T$4,FALSE)),0)</f>
        <v>0</v>
      </c>
      <c r="U917" s="147">
        <f>IFERROR((HLOOKUP($AH917,Target_monthwise!$D$24:$O$40,DTR!U$4,FALSE)),0)</f>
        <v>0</v>
      </c>
      <c r="V917" s="147">
        <f>IFERROR((HLOOKUP($AH917,Target_monthwise!$D$24:$O$40,DTR!V$4,FALSE)),0)</f>
        <v>0</v>
      </c>
      <c r="W917" s="147">
        <f>IFERROR((HLOOKUP($AH917,Target_monthwise!$D$24:$O$40,DTR!W$4,FALSE)),0)</f>
        <v>0</v>
      </c>
      <c r="X917" s="147">
        <f>IFERROR((HLOOKUP($AH917,Target_monthwise!$D$24:$O$40,DTR!X$4,FALSE)),0)</f>
        <v>0</v>
      </c>
      <c r="Y917" s="147">
        <f>IFERROR((HLOOKUP($AH917,Target_monthwise!$D$24:$O$40,DTR!Y$4,FALSE)),0)</f>
        <v>0</v>
      </c>
      <c r="Z917" s="147">
        <f>IFERROR((HLOOKUP($AH917,Target_monthwise!$D$24:$O$40,DTR!Z$4,FALSE)),0)</f>
        <v>0</v>
      </c>
      <c r="AA917" s="147">
        <f>IFERROR((HLOOKUP($AH917,Target_monthwise!$D$24:$O$40,DTR!AA$4,FALSE)),0)</f>
        <v>0</v>
      </c>
      <c r="AB917" s="147">
        <f>IFERROR((HLOOKUP($AH917,Target_monthwise!$D$24:$O$40,DTR!AB$4,FALSE)),0)</f>
        <v>0</v>
      </c>
      <c r="AC917" s="147">
        <f>IFERROR((HLOOKUP($AH917,Target_monthwise!$D$24:$O$40,DTR!AC$4,FALSE)),0)</f>
        <v>0</v>
      </c>
      <c r="AD917" s="147">
        <f>IFERROR((HLOOKUP($AH917,Target_monthwise!$D$24:$O$40,DTR!AD$4,FALSE)),0)</f>
        <v>0</v>
      </c>
      <c r="AE917" s="147">
        <f>IFERROR((HLOOKUP($AH917,Target_monthwise!$D$24:$O$40,DTR!AE$4,FALSE)),0)</f>
        <v>0</v>
      </c>
      <c r="AF917" s="147">
        <f>IFERROR((HLOOKUP($AH917,Target_monthwise!$D$24:$O$40,DTR!AF$4,FALSE)),0)</f>
        <v>0</v>
      </c>
      <c r="AG917" s="172">
        <f>IFERROR((HLOOKUP($AH917,Target_monthwise!$D$24:$O$40,DTR!AG$4,FALSE)),0)</f>
        <v>0</v>
      </c>
      <c r="AH917" s="253">
        <f t="shared" si="16"/>
        <v>202409</v>
      </c>
    </row>
    <row r="918" spans="3:34" ht="15.75" hidden="1">
      <c r="C918" s="237">
        <v>45561</v>
      </c>
      <c r="D918" s="238">
        <f>IFERROR((HLOOKUP($AH918,Target_monthwise!$D$4:$O$20,DTR!D$4,FALSE))*1000,0)</f>
        <v>0</v>
      </c>
      <c r="E918" s="238">
        <f>IFERROR((HLOOKUP($AH918,Target_monthwise!$D$4:$O$20,DTR!E$4,FALSE))*1000,0)</f>
        <v>0</v>
      </c>
      <c r="F918" s="238">
        <f>IFERROR((HLOOKUP($AH918,Target_monthwise!$D$4:$O$20,DTR!F$4,FALSE))*1000,0)</f>
        <v>0</v>
      </c>
      <c r="G918" s="238">
        <f>IFERROR((HLOOKUP($AH918,Target_monthwise!$D$4:$O$20,DTR!G$4,FALSE))*1000,0)</f>
        <v>0</v>
      </c>
      <c r="H918" s="238">
        <f>IFERROR((HLOOKUP($AH918,Target_monthwise!$D$4:$O$20,DTR!H$4,FALSE))*1000,0)</f>
        <v>0</v>
      </c>
      <c r="I918" s="238">
        <f>IFERROR((HLOOKUP($AH918,Target_monthwise!$D$4:$O$20,DTR!I$4,FALSE))*1000,0)</f>
        <v>0</v>
      </c>
      <c r="J918" s="238">
        <f>IFERROR((HLOOKUP($AH918,Target_monthwise!$D$4:$O$20,DTR!J$4,FALSE))*1000,0)</f>
        <v>0</v>
      </c>
      <c r="K918" s="238">
        <f>IFERROR((HLOOKUP($AH918,Target_monthwise!$D$4:$O$20,DTR!K$4,FALSE))*1000,0)</f>
        <v>0</v>
      </c>
      <c r="L918" s="238">
        <f>IFERROR((HLOOKUP($AH918,Target_monthwise!$D$4:$O$20,DTR!L$4,FALSE))*1000,0)</f>
        <v>0</v>
      </c>
      <c r="M918" s="238">
        <f>IFERROR((HLOOKUP($AH918,Target_monthwise!$D$4:$O$20,DTR!M$4,FALSE))*1000,0)</f>
        <v>0</v>
      </c>
      <c r="N918" s="238">
        <f>IFERROR((HLOOKUP($AH918,Target_monthwise!$D$4:$O$20,DTR!N$4,FALSE))*1000,0)</f>
        <v>0</v>
      </c>
      <c r="O918" s="238">
        <f>IFERROR((HLOOKUP($AH918,Target_monthwise!$D$4:$O$20,DTR!O$4,FALSE))*1000,0)</f>
        <v>0</v>
      </c>
      <c r="P918" s="238">
        <f>IFERROR((HLOOKUP($AH918,Target_monthwise!$D$4:$O$20,DTR!P$4,FALSE))*1000,0)</f>
        <v>0</v>
      </c>
      <c r="Q918" s="141">
        <f>IFERROR((HLOOKUP($AH918,Target_monthwise!$D$4:$O$20,DTR!Q$4,FALSE))*1000,0)</f>
        <v>0</v>
      </c>
      <c r="R918" s="167">
        <f>IFERROR((HLOOKUP($AH918,Target_monthwise!$D$4:$O$20,DTR!R$4,FALSE))*1000,0)</f>
        <v>0</v>
      </c>
      <c r="S918" s="239">
        <f>IFERROR((HLOOKUP($AH918,Target_monthwise!$D$24:$O$40,DTR!S$4,FALSE)),0)</f>
        <v>0</v>
      </c>
      <c r="T918" s="239">
        <f>IFERROR((HLOOKUP($AH918,Target_monthwise!$D$24:$O$40,DTR!T$4,FALSE)),0)</f>
        <v>0</v>
      </c>
      <c r="U918" s="239">
        <f>IFERROR((HLOOKUP($AH918,Target_monthwise!$D$24:$O$40,DTR!U$4,FALSE)),0)</f>
        <v>0</v>
      </c>
      <c r="V918" s="239">
        <f>IFERROR((HLOOKUP($AH918,Target_monthwise!$D$24:$O$40,DTR!V$4,FALSE)),0)</f>
        <v>0</v>
      </c>
      <c r="W918" s="239">
        <f>IFERROR((HLOOKUP($AH918,Target_monthwise!$D$24:$O$40,DTR!W$4,FALSE)),0)</f>
        <v>0</v>
      </c>
      <c r="X918" s="239">
        <f>IFERROR((HLOOKUP($AH918,Target_monthwise!$D$24:$O$40,DTR!X$4,FALSE)),0)</f>
        <v>0</v>
      </c>
      <c r="Y918" s="239">
        <f>IFERROR((HLOOKUP($AH918,Target_monthwise!$D$24:$O$40,DTR!Y$4,FALSE)),0)</f>
        <v>0</v>
      </c>
      <c r="Z918" s="147">
        <f>IFERROR((HLOOKUP($AH918,Target_monthwise!$D$24:$O$40,DTR!Z$4,FALSE)),0)</f>
        <v>0</v>
      </c>
      <c r="AA918" s="147">
        <f>IFERROR((HLOOKUP($AH918,Target_monthwise!$D$24:$O$40,DTR!AA$4,FALSE)),0)</f>
        <v>0</v>
      </c>
      <c r="AB918" s="147">
        <f>IFERROR((HLOOKUP($AH918,Target_monthwise!$D$24:$O$40,DTR!AB$4,FALSE)),0)</f>
        <v>0</v>
      </c>
      <c r="AC918" s="239">
        <f>IFERROR((HLOOKUP($AH918,Target_monthwise!$D$24:$O$40,DTR!AC$4,FALSE)),0)</f>
        <v>0</v>
      </c>
      <c r="AD918" s="239">
        <f>IFERROR((HLOOKUP($AH918,Target_monthwise!$D$24:$O$40,DTR!AD$4,FALSE)),0)</f>
        <v>0</v>
      </c>
      <c r="AE918" s="239">
        <f>IFERROR((HLOOKUP($AH918,Target_monthwise!$D$24:$O$40,DTR!AE$4,FALSE)),0)</f>
        <v>0</v>
      </c>
      <c r="AF918" s="239">
        <f>IFERROR((HLOOKUP($AH918,Target_monthwise!$D$24:$O$40,DTR!AF$4,FALSE)),0)</f>
        <v>0</v>
      </c>
      <c r="AG918" s="172">
        <f>IFERROR((HLOOKUP($AH918,Target_monthwise!$D$24:$O$40,DTR!AG$4,FALSE)),0)</f>
        <v>0</v>
      </c>
      <c r="AH918" s="253">
        <f t="shared" si="16"/>
        <v>202409</v>
      </c>
    </row>
    <row r="919" spans="3:34" ht="15.75" hidden="1">
      <c r="C919" s="235">
        <v>45562</v>
      </c>
      <c r="D919" s="141">
        <f>IFERROR((HLOOKUP($AH919,Target_monthwise!$D$4:$O$20,DTR!D$4,FALSE))*1000,0)</f>
        <v>0</v>
      </c>
      <c r="E919" s="141">
        <f>IFERROR((HLOOKUP($AH919,Target_monthwise!$D$4:$O$20,DTR!E$4,FALSE))*1000,0)</f>
        <v>0</v>
      </c>
      <c r="F919" s="141">
        <f>IFERROR((HLOOKUP($AH919,Target_monthwise!$D$4:$O$20,DTR!F$4,FALSE))*1000,0)</f>
        <v>0</v>
      </c>
      <c r="G919" s="141">
        <f>IFERROR((HLOOKUP($AH919,Target_monthwise!$D$4:$O$20,DTR!G$4,FALSE))*1000,0)</f>
        <v>0</v>
      </c>
      <c r="H919" s="141">
        <f>IFERROR((HLOOKUP($AH919,Target_monthwise!$D$4:$O$20,DTR!H$4,FALSE))*1000,0)</f>
        <v>0</v>
      </c>
      <c r="I919" s="141">
        <f>IFERROR((HLOOKUP($AH919,Target_monthwise!$D$4:$O$20,DTR!I$4,FALSE))*1000,0)</f>
        <v>0</v>
      </c>
      <c r="J919" s="141">
        <f>IFERROR((HLOOKUP($AH919,Target_monthwise!$D$4:$O$20,DTR!J$4,FALSE))*1000,0)</f>
        <v>0</v>
      </c>
      <c r="K919" s="141">
        <f>IFERROR((HLOOKUP($AH919,Target_monthwise!$D$4:$O$20,DTR!K$4,FALSE))*1000,0)</f>
        <v>0</v>
      </c>
      <c r="L919" s="141">
        <f>IFERROR((HLOOKUP($AH919,Target_monthwise!$D$4:$O$20,DTR!L$4,FALSE))*1000,0)</f>
        <v>0</v>
      </c>
      <c r="M919" s="141">
        <f>IFERROR((HLOOKUP($AH919,Target_monthwise!$D$4:$O$20,DTR!M$4,FALSE))*1000,0)</f>
        <v>0</v>
      </c>
      <c r="N919" s="141">
        <f>IFERROR((HLOOKUP($AH919,Target_monthwise!$D$4:$O$20,DTR!N$4,FALSE))*1000,0)</f>
        <v>0</v>
      </c>
      <c r="O919" s="141">
        <f>IFERROR((HLOOKUP($AH919,Target_monthwise!$D$4:$O$20,DTR!O$4,FALSE))*1000,0)</f>
        <v>0</v>
      </c>
      <c r="P919" s="141">
        <f>IFERROR((HLOOKUP($AH919,Target_monthwise!$D$4:$O$20,DTR!P$4,FALSE))*1000,0)</f>
        <v>0</v>
      </c>
      <c r="Q919" s="141">
        <f>IFERROR((HLOOKUP($AH919,Target_monthwise!$D$4:$O$20,DTR!Q$4,FALSE))*1000,0)</f>
        <v>0</v>
      </c>
      <c r="R919" s="167">
        <f>IFERROR((HLOOKUP($AH919,Target_monthwise!$D$4:$O$20,DTR!R$4,FALSE))*1000,0)</f>
        <v>0</v>
      </c>
      <c r="S919" s="147">
        <f>IFERROR((HLOOKUP($AH919,Target_monthwise!$D$24:$O$40,DTR!S$4,FALSE)),0)</f>
        <v>0</v>
      </c>
      <c r="T919" s="147">
        <f>IFERROR((HLOOKUP($AH919,Target_monthwise!$D$24:$O$40,DTR!T$4,FALSE)),0)</f>
        <v>0</v>
      </c>
      <c r="U919" s="147">
        <f>IFERROR((HLOOKUP($AH919,Target_monthwise!$D$24:$O$40,DTR!U$4,FALSE)),0)</f>
        <v>0</v>
      </c>
      <c r="V919" s="147">
        <f>IFERROR((HLOOKUP($AH919,Target_monthwise!$D$24:$O$40,DTR!V$4,FALSE)),0)</f>
        <v>0</v>
      </c>
      <c r="W919" s="147">
        <f>IFERROR((HLOOKUP($AH919,Target_monthwise!$D$24:$O$40,DTR!W$4,FALSE)),0)</f>
        <v>0</v>
      </c>
      <c r="X919" s="147">
        <f>IFERROR((HLOOKUP($AH919,Target_monthwise!$D$24:$O$40,DTR!X$4,FALSE)),0)</f>
        <v>0</v>
      </c>
      <c r="Y919" s="147">
        <f>IFERROR((HLOOKUP($AH919,Target_monthwise!$D$24:$O$40,DTR!Y$4,FALSE)),0)</f>
        <v>0</v>
      </c>
      <c r="Z919" s="147">
        <f>IFERROR((HLOOKUP($AH919,Target_monthwise!$D$24:$O$40,DTR!Z$4,FALSE)),0)</f>
        <v>0</v>
      </c>
      <c r="AA919" s="147">
        <f>IFERROR((HLOOKUP($AH919,Target_monthwise!$D$24:$O$40,DTR!AA$4,FALSE)),0)</f>
        <v>0</v>
      </c>
      <c r="AB919" s="147">
        <f>IFERROR((HLOOKUP($AH919,Target_monthwise!$D$24:$O$40,DTR!AB$4,FALSE)),0)</f>
        <v>0</v>
      </c>
      <c r="AC919" s="147">
        <f>IFERROR((HLOOKUP($AH919,Target_monthwise!$D$24:$O$40,DTR!AC$4,FALSE)),0)</f>
        <v>0</v>
      </c>
      <c r="AD919" s="147">
        <f>IFERROR((HLOOKUP($AH919,Target_monthwise!$D$24:$O$40,DTR!AD$4,FALSE)),0)</f>
        <v>0</v>
      </c>
      <c r="AE919" s="147">
        <f>IFERROR((HLOOKUP($AH919,Target_monthwise!$D$24:$O$40,DTR!AE$4,FALSE)),0)</f>
        <v>0</v>
      </c>
      <c r="AF919" s="147">
        <f>IFERROR((HLOOKUP($AH919,Target_monthwise!$D$24:$O$40,DTR!AF$4,FALSE)),0)</f>
        <v>0</v>
      </c>
      <c r="AG919" s="172">
        <f>IFERROR((HLOOKUP($AH919,Target_monthwise!$D$24:$O$40,DTR!AG$4,FALSE)),0)</f>
        <v>0</v>
      </c>
      <c r="AH919" s="253">
        <f t="shared" si="16"/>
        <v>202409</v>
      </c>
    </row>
    <row r="920" spans="3:34" ht="15.75" hidden="1">
      <c r="C920" s="237">
        <v>45563</v>
      </c>
      <c r="D920" s="238">
        <f>IFERROR((HLOOKUP($AH920,Target_monthwise!$D$4:$O$20,DTR!D$4,FALSE))*1000,0)</f>
        <v>0</v>
      </c>
      <c r="E920" s="238">
        <f>IFERROR((HLOOKUP($AH920,Target_monthwise!$D$4:$O$20,DTR!E$4,FALSE))*1000,0)</f>
        <v>0</v>
      </c>
      <c r="F920" s="238">
        <f>IFERROR((HLOOKUP($AH920,Target_monthwise!$D$4:$O$20,DTR!F$4,FALSE))*1000,0)</f>
        <v>0</v>
      </c>
      <c r="G920" s="238">
        <f>IFERROR((HLOOKUP($AH920,Target_monthwise!$D$4:$O$20,DTR!G$4,FALSE))*1000,0)</f>
        <v>0</v>
      </c>
      <c r="H920" s="238">
        <f>IFERROR((HLOOKUP($AH920,Target_monthwise!$D$4:$O$20,DTR!H$4,FALSE))*1000,0)</f>
        <v>0</v>
      </c>
      <c r="I920" s="238">
        <f>IFERROR((HLOOKUP($AH920,Target_monthwise!$D$4:$O$20,DTR!I$4,FALSE))*1000,0)</f>
        <v>0</v>
      </c>
      <c r="J920" s="238">
        <f>IFERROR((HLOOKUP($AH920,Target_monthwise!$D$4:$O$20,DTR!J$4,FALSE))*1000,0)</f>
        <v>0</v>
      </c>
      <c r="K920" s="238">
        <f>IFERROR((HLOOKUP($AH920,Target_monthwise!$D$4:$O$20,DTR!K$4,FALSE))*1000,0)</f>
        <v>0</v>
      </c>
      <c r="L920" s="238">
        <f>IFERROR((HLOOKUP($AH920,Target_monthwise!$D$4:$O$20,DTR!L$4,FALSE))*1000,0)</f>
        <v>0</v>
      </c>
      <c r="M920" s="238">
        <f>IFERROR((HLOOKUP($AH920,Target_monthwise!$D$4:$O$20,DTR!M$4,FALSE))*1000,0)</f>
        <v>0</v>
      </c>
      <c r="N920" s="238">
        <f>IFERROR((HLOOKUP($AH920,Target_monthwise!$D$4:$O$20,DTR!N$4,FALSE))*1000,0)</f>
        <v>0</v>
      </c>
      <c r="O920" s="238">
        <f>IFERROR((HLOOKUP($AH920,Target_monthwise!$D$4:$O$20,DTR!O$4,FALSE))*1000,0)</f>
        <v>0</v>
      </c>
      <c r="P920" s="238">
        <f>IFERROR((HLOOKUP($AH920,Target_monthwise!$D$4:$O$20,DTR!P$4,FALSE))*1000,0)</f>
        <v>0</v>
      </c>
      <c r="Q920" s="141">
        <f>IFERROR((HLOOKUP($AH920,Target_monthwise!$D$4:$O$20,DTR!Q$4,FALSE))*1000,0)</f>
        <v>0</v>
      </c>
      <c r="R920" s="167">
        <f>IFERROR((HLOOKUP($AH920,Target_monthwise!$D$4:$O$20,DTR!R$4,FALSE))*1000,0)</f>
        <v>0</v>
      </c>
      <c r="S920" s="239">
        <f>IFERROR((HLOOKUP($AH920,Target_monthwise!$D$24:$O$40,DTR!S$4,FALSE)),0)</f>
        <v>0</v>
      </c>
      <c r="T920" s="239">
        <f>IFERROR((HLOOKUP($AH920,Target_monthwise!$D$24:$O$40,DTR!T$4,FALSE)),0)</f>
        <v>0</v>
      </c>
      <c r="U920" s="239">
        <f>IFERROR((HLOOKUP($AH920,Target_monthwise!$D$24:$O$40,DTR!U$4,FALSE)),0)</f>
        <v>0</v>
      </c>
      <c r="V920" s="239">
        <f>IFERROR((HLOOKUP($AH920,Target_monthwise!$D$24:$O$40,DTR!V$4,FALSE)),0)</f>
        <v>0</v>
      </c>
      <c r="W920" s="239">
        <f>IFERROR((HLOOKUP($AH920,Target_monthwise!$D$24:$O$40,DTR!W$4,FALSE)),0)</f>
        <v>0</v>
      </c>
      <c r="X920" s="239">
        <f>IFERROR((HLOOKUP($AH920,Target_monthwise!$D$24:$O$40,DTR!X$4,FALSE)),0)</f>
        <v>0</v>
      </c>
      <c r="Y920" s="239">
        <f>IFERROR((HLOOKUP($AH920,Target_monthwise!$D$24:$O$40,DTR!Y$4,FALSE)),0)</f>
        <v>0</v>
      </c>
      <c r="Z920" s="147">
        <f>IFERROR((HLOOKUP($AH920,Target_monthwise!$D$24:$O$40,DTR!Z$4,FALSE)),0)</f>
        <v>0</v>
      </c>
      <c r="AA920" s="147">
        <f>IFERROR((HLOOKUP($AH920,Target_monthwise!$D$24:$O$40,DTR!AA$4,FALSE)),0)</f>
        <v>0</v>
      </c>
      <c r="AB920" s="147">
        <f>IFERROR((HLOOKUP($AH920,Target_monthwise!$D$24:$O$40,DTR!AB$4,FALSE)),0)</f>
        <v>0</v>
      </c>
      <c r="AC920" s="239">
        <f>IFERROR((HLOOKUP($AH920,Target_monthwise!$D$24:$O$40,DTR!AC$4,FALSE)),0)</f>
        <v>0</v>
      </c>
      <c r="AD920" s="239">
        <f>IFERROR((HLOOKUP($AH920,Target_monthwise!$D$24:$O$40,DTR!AD$4,FALSE)),0)</f>
        <v>0</v>
      </c>
      <c r="AE920" s="239">
        <f>IFERROR((HLOOKUP($AH920,Target_monthwise!$D$24:$O$40,DTR!AE$4,FALSE)),0)</f>
        <v>0</v>
      </c>
      <c r="AF920" s="239">
        <f>IFERROR((HLOOKUP($AH920,Target_monthwise!$D$24:$O$40,DTR!AF$4,FALSE)),0)</f>
        <v>0</v>
      </c>
      <c r="AG920" s="172">
        <f>IFERROR((HLOOKUP($AH920,Target_monthwise!$D$24:$O$40,DTR!AG$4,FALSE)),0)</f>
        <v>0</v>
      </c>
      <c r="AH920" s="253">
        <f t="shared" si="16"/>
        <v>202409</v>
      </c>
    </row>
    <row r="921" spans="3:34" ht="15.75" hidden="1">
      <c r="C921" s="235">
        <v>45564</v>
      </c>
      <c r="D921" s="141">
        <f>IFERROR((HLOOKUP($AH921,Target_monthwise!$D$4:$O$20,DTR!D$4,FALSE))*1000,0)</f>
        <v>0</v>
      </c>
      <c r="E921" s="141">
        <f>IFERROR((HLOOKUP($AH921,Target_monthwise!$D$4:$O$20,DTR!E$4,FALSE))*1000,0)</f>
        <v>0</v>
      </c>
      <c r="F921" s="141">
        <f>IFERROR((HLOOKUP($AH921,Target_monthwise!$D$4:$O$20,DTR!F$4,FALSE))*1000,0)</f>
        <v>0</v>
      </c>
      <c r="G921" s="141">
        <f>IFERROR((HLOOKUP($AH921,Target_monthwise!$D$4:$O$20,DTR!G$4,FALSE))*1000,0)</f>
        <v>0</v>
      </c>
      <c r="H921" s="141">
        <f>IFERROR((HLOOKUP($AH921,Target_monthwise!$D$4:$O$20,DTR!H$4,FALSE))*1000,0)</f>
        <v>0</v>
      </c>
      <c r="I921" s="141">
        <f>IFERROR((HLOOKUP($AH921,Target_monthwise!$D$4:$O$20,DTR!I$4,FALSE))*1000,0)</f>
        <v>0</v>
      </c>
      <c r="J921" s="141">
        <f>IFERROR((HLOOKUP($AH921,Target_monthwise!$D$4:$O$20,DTR!J$4,FALSE))*1000,0)</f>
        <v>0</v>
      </c>
      <c r="K921" s="141">
        <f>IFERROR((HLOOKUP($AH921,Target_monthwise!$D$4:$O$20,DTR!K$4,FALSE))*1000,0)</f>
        <v>0</v>
      </c>
      <c r="L921" s="141">
        <f>IFERROR((HLOOKUP($AH921,Target_monthwise!$D$4:$O$20,DTR!L$4,FALSE))*1000,0)</f>
        <v>0</v>
      </c>
      <c r="M921" s="141">
        <f>IFERROR((HLOOKUP($AH921,Target_monthwise!$D$4:$O$20,DTR!M$4,FALSE))*1000,0)</f>
        <v>0</v>
      </c>
      <c r="N921" s="141">
        <f>IFERROR((HLOOKUP($AH921,Target_monthwise!$D$4:$O$20,DTR!N$4,FALSE))*1000,0)</f>
        <v>0</v>
      </c>
      <c r="O921" s="141">
        <f>IFERROR((HLOOKUP($AH921,Target_monthwise!$D$4:$O$20,DTR!O$4,FALSE))*1000,0)</f>
        <v>0</v>
      </c>
      <c r="P921" s="141">
        <f>IFERROR((HLOOKUP($AH921,Target_monthwise!$D$4:$O$20,DTR!P$4,FALSE))*1000,0)</f>
        <v>0</v>
      </c>
      <c r="Q921" s="141">
        <f>IFERROR((HLOOKUP($AH921,Target_monthwise!$D$4:$O$20,DTR!Q$4,FALSE))*1000,0)</f>
        <v>0</v>
      </c>
      <c r="R921" s="167">
        <f>IFERROR((HLOOKUP($AH921,Target_monthwise!$D$4:$O$20,DTR!R$4,FALSE))*1000,0)</f>
        <v>0</v>
      </c>
      <c r="S921" s="147">
        <f>IFERROR((HLOOKUP($AH921,Target_monthwise!$D$24:$O$40,DTR!S$4,FALSE)),0)</f>
        <v>0</v>
      </c>
      <c r="T921" s="147">
        <f>IFERROR((HLOOKUP($AH921,Target_monthwise!$D$24:$O$40,DTR!T$4,FALSE)),0)</f>
        <v>0</v>
      </c>
      <c r="U921" s="147">
        <f>IFERROR((HLOOKUP($AH921,Target_monthwise!$D$24:$O$40,DTR!U$4,FALSE)),0)</f>
        <v>0</v>
      </c>
      <c r="V921" s="147">
        <f>IFERROR((HLOOKUP($AH921,Target_monthwise!$D$24:$O$40,DTR!V$4,FALSE)),0)</f>
        <v>0</v>
      </c>
      <c r="W921" s="147">
        <f>IFERROR((HLOOKUP($AH921,Target_monthwise!$D$24:$O$40,DTR!W$4,FALSE)),0)</f>
        <v>0</v>
      </c>
      <c r="X921" s="147">
        <f>IFERROR((HLOOKUP($AH921,Target_monthwise!$D$24:$O$40,DTR!X$4,FALSE)),0)</f>
        <v>0</v>
      </c>
      <c r="Y921" s="147">
        <f>IFERROR((HLOOKUP($AH921,Target_monthwise!$D$24:$O$40,DTR!Y$4,FALSE)),0)</f>
        <v>0</v>
      </c>
      <c r="Z921" s="147">
        <f>IFERROR((HLOOKUP($AH921,Target_monthwise!$D$24:$O$40,DTR!Z$4,FALSE)),0)</f>
        <v>0</v>
      </c>
      <c r="AA921" s="147">
        <f>IFERROR((HLOOKUP($AH921,Target_monthwise!$D$24:$O$40,DTR!AA$4,FALSE)),0)</f>
        <v>0</v>
      </c>
      <c r="AB921" s="147">
        <f>IFERROR((HLOOKUP($AH921,Target_monthwise!$D$24:$O$40,DTR!AB$4,FALSE)),0)</f>
        <v>0</v>
      </c>
      <c r="AC921" s="147">
        <f>IFERROR((HLOOKUP($AH921,Target_monthwise!$D$24:$O$40,DTR!AC$4,FALSE)),0)</f>
        <v>0</v>
      </c>
      <c r="AD921" s="147">
        <f>IFERROR((HLOOKUP($AH921,Target_monthwise!$D$24:$O$40,DTR!AD$4,FALSE)),0)</f>
        <v>0</v>
      </c>
      <c r="AE921" s="147">
        <f>IFERROR((HLOOKUP($AH921,Target_monthwise!$D$24:$O$40,DTR!AE$4,FALSE)),0)</f>
        <v>0</v>
      </c>
      <c r="AF921" s="147">
        <f>IFERROR((HLOOKUP($AH921,Target_monthwise!$D$24:$O$40,DTR!AF$4,FALSE)),0)</f>
        <v>0</v>
      </c>
      <c r="AG921" s="172">
        <f>IFERROR((HLOOKUP($AH921,Target_monthwise!$D$24:$O$40,DTR!AG$4,FALSE)),0)</f>
        <v>0</v>
      </c>
      <c r="AH921" s="253">
        <f t="shared" si="16"/>
        <v>202409</v>
      </c>
    </row>
    <row r="922" spans="3:34" ht="15.75" hidden="1">
      <c r="C922" s="237">
        <v>45565</v>
      </c>
      <c r="D922" s="238">
        <f>IFERROR((HLOOKUP($AH922,Target_monthwise!$D$4:$O$20,DTR!D$4,FALSE))*1000,0)</f>
        <v>0</v>
      </c>
      <c r="E922" s="238">
        <f>IFERROR((HLOOKUP($AH922,Target_monthwise!$D$4:$O$20,DTR!E$4,FALSE))*1000,0)</f>
        <v>0</v>
      </c>
      <c r="F922" s="238">
        <f>IFERROR((HLOOKUP($AH922,Target_monthwise!$D$4:$O$20,DTR!F$4,FALSE))*1000,0)</f>
        <v>0</v>
      </c>
      <c r="G922" s="238">
        <f>IFERROR((HLOOKUP($AH922,Target_monthwise!$D$4:$O$20,DTR!G$4,FALSE))*1000,0)</f>
        <v>0</v>
      </c>
      <c r="H922" s="238">
        <f>IFERROR((HLOOKUP($AH922,Target_monthwise!$D$4:$O$20,DTR!H$4,FALSE))*1000,0)</f>
        <v>0</v>
      </c>
      <c r="I922" s="238">
        <f>IFERROR((HLOOKUP($AH922,Target_monthwise!$D$4:$O$20,DTR!I$4,FALSE))*1000,0)</f>
        <v>0</v>
      </c>
      <c r="J922" s="238">
        <f>IFERROR((HLOOKUP($AH922,Target_monthwise!$D$4:$O$20,DTR!J$4,FALSE))*1000,0)</f>
        <v>0</v>
      </c>
      <c r="K922" s="238">
        <f>IFERROR((HLOOKUP($AH922,Target_monthwise!$D$4:$O$20,DTR!K$4,FALSE))*1000,0)</f>
        <v>0</v>
      </c>
      <c r="L922" s="238">
        <f>IFERROR((HLOOKUP($AH922,Target_monthwise!$D$4:$O$20,DTR!L$4,FALSE))*1000,0)</f>
        <v>0</v>
      </c>
      <c r="M922" s="238">
        <f>IFERROR((HLOOKUP($AH922,Target_monthwise!$D$4:$O$20,DTR!M$4,FALSE))*1000,0)</f>
        <v>0</v>
      </c>
      <c r="N922" s="238">
        <f>IFERROR((HLOOKUP($AH922,Target_monthwise!$D$4:$O$20,DTR!N$4,FALSE))*1000,0)</f>
        <v>0</v>
      </c>
      <c r="O922" s="238">
        <f>IFERROR((HLOOKUP($AH922,Target_monthwise!$D$4:$O$20,DTR!O$4,FALSE))*1000,0)</f>
        <v>0</v>
      </c>
      <c r="P922" s="238">
        <f>IFERROR((HLOOKUP($AH922,Target_monthwise!$D$4:$O$20,DTR!P$4,FALSE))*1000,0)</f>
        <v>0</v>
      </c>
      <c r="Q922" s="141">
        <f>IFERROR((HLOOKUP($AH922,Target_monthwise!$D$4:$O$20,DTR!Q$4,FALSE))*1000,0)</f>
        <v>0</v>
      </c>
      <c r="R922" s="167">
        <f>IFERROR((HLOOKUP($AH922,Target_monthwise!$D$4:$O$20,DTR!R$4,FALSE))*1000,0)</f>
        <v>0</v>
      </c>
      <c r="S922" s="239">
        <f>IFERROR((HLOOKUP($AH922,Target_monthwise!$D$24:$O$40,DTR!S$4,FALSE)),0)</f>
        <v>0</v>
      </c>
      <c r="T922" s="239">
        <f>IFERROR((HLOOKUP($AH922,Target_monthwise!$D$24:$O$40,DTR!T$4,FALSE)),0)</f>
        <v>0</v>
      </c>
      <c r="U922" s="239">
        <f>IFERROR((HLOOKUP($AH922,Target_monthwise!$D$24:$O$40,DTR!U$4,FALSE)),0)</f>
        <v>0</v>
      </c>
      <c r="V922" s="239">
        <f>IFERROR((HLOOKUP($AH922,Target_monthwise!$D$24:$O$40,DTR!V$4,FALSE)),0)</f>
        <v>0</v>
      </c>
      <c r="W922" s="239">
        <f>IFERROR((HLOOKUP($AH922,Target_monthwise!$D$24:$O$40,DTR!W$4,FALSE)),0)</f>
        <v>0</v>
      </c>
      <c r="X922" s="239">
        <f>IFERROR((HLOOKUP($AH922,Target_monthwise!$D$24:$O$40,DTR!X$4,FALSE)),0)</f>
        <v>0</v>
      </c>
      <c r="Y922" s="239">
        <f>IFERROR((HLOOKUP($AH922,Target_monthwise!$D$24:$O$40,DTR!Y$4,FALSE)),0)</f>
        <v>0</v>
      </c>
      <c r="Z922" s="147">
        <f>IFERROR((HLOOKUP($AH922,Target_monthwise!$D$24:$O$40,DTR!Z$4,FALSE)),0)</f>
        <v>0</v>
      </c>
      <c r="AA922" s="147">
        <f>IFERROR((HLOOKUP($AH922,Target_monthwise!$D$24:$O$40,DTR!AA$4,FALSE)),0)</f>
        <v>0</v>
      </c>
      <c r="AB922" s="147">
        <f>IFERROR((HLOOKUP($AH922,Target_monthwise!$D$24:$O$40,DTR!AB$4,FALSE)),0)</f>
        <v>0</v>
      </c>
      <c r="AC922" s="239">
        <f>IFERROR((HLOOKUP($AH922,Target_monthwise!$D$24:$O$40,DTR!AC$4,FALSE)),0)</f>
        <v>0</v>
      </c>
      <c r="AD922" s="239">
        <f>IFERROR((HLOOKUP($AH922,Target_monthwise!$D$24:$O$40,DTR!AD$4,FALSE)),0)</f>
        <v>0</v>
      </c>
      <c r="AE922" s="239">
        <f>IFERROR((HLOOKUP($AH922,Target_monthwise!$D$24:$O$40,DTR!AE$4,FALSE)),0)</f>
        <v>0</v>
      </c>
      <c r="AF922" s="239">
        <f>IFERROR((HLOOKUP($AH922,Target_monthwise!$D$24:$O$40,DTR!AF$4,FALSE)),0)</f>
        <v>0</v>
      </c>
      <c r="AG922" s="172">
        <f>IFERROR((HLOOKUP($AH922,Target_monthwise!$D$24:$O$40,DTR!AG$4,FALSE)),0)</f>
        <v>0</v>
      </c>
      <c r="AH922" s="253">
        <f t="shared" si="16"/>
        <v>202409</v>
      </c>
    </row>
    <row r="923" spans="3:34" ht="15.75" hidden="1">
      <c r="C923" s="235">
        <v>45566</v>
      </c>
      <c r="D923" s="141">
        <f>IFERROR((HLOOKUP($AH923,Target_monthwise!$D$4:$O$20,DTR!D$4,FALSE))*1000,0)</f>
        <v>0</v>
      </c>
      <c r="E923" s="141">
        <f>IFERROR((HLOOKUP($AH923,Target_monthwise!$D$4:$O$20,DTR!E$4,FALSE))*1000,0)</f>
        <v>0</v>
      </c>
      <c r="F923" s="141">
        <f>IFERROR((HLOOKUP($AH923,Target_monthwise!$D$4:$O$20,DTR!F$4,FALSE))*1000,0)</f>
        <v>0</v>
      </c>
      <c r="G923" s="141">
        <f>IFERROR((HLOOKUP($AH923,Target_monthwise!$D$4:$O$20,DTR!G$4,FALSE))*1000,0)</f>
        <v>0</v>
      </c>
      <c r="H923" s="141">
        <f>IFERROR((HLOOKUP($AH923,Target_monthwise!$D$4:$O$20,DTR!H$4,FALSE))*1000,0)</f>
        <v>0</v>
      </c>
      <c r="I923" s="141">
        <f>IFERROR((HLOOKUP($AH923,Target_monthwise!$D$4:$O$20,DTR!I$4,FALSE))*1000,0)</f>
        <v>0</v>
      </c>
      <c r="J923" s="141">
        <f>IFERROR((HLOOKUP($AH923,Target_monthwise!$D$4:$O$20,DTR!J$4,FALSE))*1000,0)</f>
        <v>0</v>
      </c>
      <c r="K923" s="141">
        <f>IFERROR((HLOOKUP($AH923,Target_monthwise!$D$4:$O$20,DTR!K$4,FALSE))*1000,0)</f>
        <v>0</v>
      </c>
      <c r="L923" s="141">
        <f>IFERROR((HLOOKUP($AH923,Target_monthwise!$D$4:$O$20,DTR!L$4,FALSE))*1000,0)</f>
        <v>0</v>
      </c>
      <c r="M923" s="141">
        <f>IFERROR((HLOOKUP($AH923,Target_monthwise!$D$4:$O$20,DTR!M$4,FALSE))*1000,0)</f>
        <v>0</v>
      </c>
      <c r="N923" s="141">
        <f>IFERROR((HLOOKUP($AH923,Target_monthwise!$D$4:$O$20,DTR!N$4,FALSE))*1000,0)</f>
        <v>0</v>
      </c>
      <c r="O923" s="141">
        <f>IFERROR((HLOOKUP($AH923,Target_monthwise!$D$4:$O$20,DTR!O$4,FALSE))*1000,0)</f>
        <v>0</v>
      </c>
      <c r="P923" s="141">
        <f>IFERROR((HLOOKUP($AH923,Target_monthwise!$D$4:$O$20,DTR!P$4,FALSE))*1000,0)</f>
        <v>0</v>
      </c>
      <c r="Q923" s="141">
        <f>IFERROR((HLOOKUP($AH923,Target_monthwise!$D$4:$O$20,DTR!Q$4,FALSE))*1000,0)</f>
        <v>0</v>
      </c>
      <c r="R923" s="167">
        <f>IFERROR((HLOOKUP($AH923,Target_monthwise!$D$4:$O$20,DTR!R$4,FALSE))*1000,0)</f>
        <v>0</v>
      </c>
      <c r="S923" s="147">
        <f>IFERROR((HLOOKUP($AH923,Target_monthwise!$D$24:$O$40,DTR!S$4,FALSE)),0)</f>
        <v>0</v>
      </c>
      <c r="T923" s="147">
        <f>IFERROR((HLOOKUP($AH923,Target_monthwise!$D$24:$O$40,DTR!T$4,FALSE)),0)</f>
        <v>0</v>
      </c>
      <c r="U923" s="147">
        <f>IFERROR((HLOOKUP($AH923,Target_monthwise!$D$24:$O$40,DTR!U$4,FALSE)),0)</f>
        <v>0</v>
      </c>
      <c r="V923" s="147">
        <f>IFERROR((HLOOKUP($AH923,Target_monthwise!$D$24:$O$40,DTR!V$4,FALSE)),0)</f>
        <v>0</v>
      </c>
      <c r="W923" s="147">
        <f>IFERROR((HLOOKUP($AH923,Target_monthwise!$D$24:$O$40,DTR!W$4,FALSE)),0)</f>
        <v>0</v>
      </c>
      <c r="X923" s="147">
        <f>IFERROR((HLOOKUP($AH923,Target_monthwise!$D$24:$O$40,DTR!X$4,FALSE)),0)</f>
        <v>0</v>
      </c>
      <c r="Y923" s="147">
        <f>IFERROR((HLOOKUP($AH923,Target_monthwise!$D$24:$O$40,DTR!Y$4,FALSE)),0)</f>
        <v>0</v>
      </c>
      <c r="Z923" s="147">
        <f>IFERROR((HLOOKUP($AH923,Target_monthwise!$D$24:$O$40,DTR!Z$4,FALSE)),0)</f>
        <v>0</v>
      </c>
      <c r="AA923" s="147">
        <f>IFERROR((HLOOKUP($AH923,Target_monthwise!$D$24:$O$40,DTR!AA$4,FALSE)),0)</f>
        <v>0</v>
      </c>
      <c r="AB923" s="147">
        <f>IFERROR((HLOOKUP($AH923,Target_monthwise!$D$24:$O$40,DTR!AB$4,FALSE)),0)</f>
        <v>0</v>
      </c>
      <c r="AC923" s="147">
        <f>IFERROR((HLOOKUP($AH923,Target_monthwise!$D$24:$O$40,DTR!AC$4,FALSE)),0)</f>
        <v>0</v>
      </c>
      <c r="AD923" s="147">
        <f>IFERROR((HLOOKUP($AH923,Target_monthwise!$D$24:$O$40,DTR!AD$4,FALSE)),0)</f>
        <v>0</v>
      </c>
      <c r="AE923" s="147">
        <f>IFERROR((HLOOKUP($AH923,Target_monthwise!$D$24:$O$40,DTR!AE$4,FALSE)),0)</f>
        <v>0</v>
      </c>
      <c r="AF923" s="147">
        <f>IFERROR((HLOOKUP($AH923,Target_monthwise!$D$24:$O$40,DTR!AF$4,FALSE)),0)</f>
        <v>0</v>
      </c>
      <c r="AG923" s="172">
        <f>IFERROR((HLOOKUP($AH923,Target_monthwise!$D$24:$O$40,DTR!AG$4,FALSE)),0)</f>
        <v>0</v>
      </c>
      <c r="AH923" s="253">
        <f t="shared" si="16"/>
        <v>202410</v>
      </c>
    </row>
    <row r="924" spans="3:34" ht="15.75" hidden="1">
      <c r="C924" s="237">
        <v>45567</v>
      </c>
      <c r="D924" s="238">
        <f>IFERROR((HLOOKUP($AH924,Target_monthwise!$D$4:$O$20,DTR!D$4,FALSE))*1000,0)</f>
        <v>0</v>
      </c>
      <c r="E924" s="238">
        <f>IFERROR((HLOOKUP($AH924,Target_monthwise!$D$4:$O$20,DTR!E$4,FALSE))*1000,0)</f>
        <v>0</v>
      </c>
      <c r="F924" s="238">
        <f>IFERROR((HLOOKUP($AH924,Target_monthwise!$D$4:$O$20,DTR!F$4,FALSE))*1000,0)</f>
        <v>0</v>
      </c>
      <c r="G924" s="238">
        <f>IFERROR((HLOOKUP($AH924,Target_monthwise!$D$4:$O$20,DTR!G$4,FALSE))*1000,0)</f>
        <v>0</v>
      </c>
      <c r="H924" s="238">
        <f>IFERROR((HLOOKUP($AH924,Target_monthwise!$D$4:$O$20,DTR!H$4,FALSE))*1000,0)</f>
        <v>0</v>
      </c>
      <c r="I924" s="238">
        <f>IFERROR((HLOOKUP($AH924,Target_monthwise!$D$4:$O$20,DTR!I$4,FALSE))*1000,0)</f>
        <v>0</v>
      </c>
      <c r="J924" s="238">
        <f>IFERROR((HLOOKUP($AH924,Target_monthwise!$D$4:$O$20,DTR!J$4,FALSE))*1000,0)</f>
        <v>0</v>
      </c>
      <c r="K924" s="238">
        <f>IFERROR((HLOOKUP($AH924,Target_monthwise!$D$4:$O$20,DTR!K$4,FALSE))*1000,0)</f>
        <v>0</v>
      </c>
      <c r="L924" s="238">
        <f>IFERROR((HLOOKUP($AH924,Target_monthwise!$D$4:$O$20,DTR!L$4,FALSE))*1000,0)</f>
        <v>0</v>
      </c>
      <c r="M924" s="238">
        <f>IFERROR((HLOOKUP($AH924,Target_monthwise!$D$4:$O$20,DTR!M$4,FALSE))*1000,0)</f>
        <v>0</v>
      </c>
      <c r="N924" s="238">
        <f>IFERROR((HLOOKUP($AH924,Target_monthwise!$D$4:$O$20,DTR!N$4,FALSE))*1000,0)</f>
        <v>0</v>
      </c>
      <c r="O924" s="238">
        <f>IFERROR((HLOOKUP($AH924,Target_monthwise!$D$4:$O$20,DTR!O$4,FALSE))*1000,0)</f>
        <v>0</v>
      </c>
      <c r="P924" s="238">
        <f>IFERROR((HLOOKUP($AH924,Target_monthwise!$D$4:$O$20,DTR!P$4,FALSE))*1000,0)</f>
        <v>0</v>
      </c>
      <c r="Q924" s="141">
        <f>IFERROR((HLOOKUP($AH924,Target_monthwise!$D$4:$O$20,DTR!Q$4,FALSE))*1000,0)</f>
        <v>0</v>
      </c>
      <c r="R924" s="167">
        <f>IFERROR((HLOOKUP($AH924,Target_monthwise!$D$4:$O$20,DTR!R$4,FALSE))*1000,0)</f>
        <v>0</v>
      </c>
      <c r="S924" s="239">
        <f>IFERROR((HLOOKUP($AH924,Target_monthwise!$D$24:$O$40,DTR!S$4,FALSE)),0)</f>
        <v>0</v>
      </c>
      <c r="T924" s="239">
        <f>IFERROR((HLOOKUP($AH924,Target_monthwise!$D$24:$O$40,DTR!T$4,FALSE)),0)</f>
        <v>0</v>
      </c>
      <c r="U924" s="239">
        <f>IFERROR((HLOOKUP($AH924,Target_monthwise!$D$24:$O$40,DTR!U$4,FALSE)),0)</f>
        <v>0</v>
      </c>
      <c r="V924" s="239">
        <f>IFERROR((HLOOKUP($AH924,Target_monthwise!$D$24:$O$40,DTR!V$4,FALSE)),0)</f>
        <v>0</v>
      </c>
      <c r="W924" s="239">
        <f>IFERROR((HLOOKUP($AH924,Target_monthwise!$D$24:$O$40,DTR!W$4,FALSE)),0)</f>
        <v>0</v>
      </c>
      <c r="X924" s="239">
        <f>IFERROR((HLOOKUP($AH924,Target_monthwise!$D$24:$O$40,DTR!X$4,FALSE)),0)</f>
        <v>0</v>
      </c>
      <c r="Y924" s="239">
        <f>IFERROR((HLOOKUP($AH924,Target_monthwise!$D$24:$O$40,DTR!Y$4,FALSE)),0)</f>
        <v>0</v>
      </c>
      <c r="Z924" s="147">
        <f>IFERROR((HLOOKUP($AH924,Target_monthwise!$D$24:$O$40,DTR!Z$4,FALSE)),0)</f>
        <v>0</v>
      </c>
      <c r="AA924" s="147">
        <f>IFERROR((HLOOKUP($AH924,Target_monthwise!$D$24:$O$40,DTR!AA$4,FALSE)),0)</f>
        <v>0</v>
      </c>
      <c r="AB924" s="147">
        <f>IFERROR((HLOOKUP($AH924,Target_monthwise!$D$24:$O$40,DTR!AB$4,FALSE)),0)</f>
        <v>0</v>
      </c>
      <c r="AC924" s="239">
        <f>IFERROR((HLOOKUP($AH924,Target_monthwise!$D$24:$O$40,DTR!AC$4,FALSE)),0)</f>
        <v>0</v>
      </c>
      <c r="AD924" s="239">
        <f>IFERROR((HLOOKUP($AH924,Target_monthwise!$D$24:$O$40,DTR!AD$4,FALSE)),0)</f>
        <v>0</v>
      </c>
      <c r="AE924" s="239">
        <f>IFERROR((HLOOKUP($AH924,Target_monthwise!$D$24:$O$40,DTR!AE$4,FALSE)),0)</f>
        <v>0</v>
      </c>
      <c r="AF924" s="239">
        <f>IFERROR((HLOOKUP($AH924,Target_monthwise!$D$24:$O$40,DTR!AF$4,FALSE)),0)</f>
        <v>0</v>
      </c>
      <c r="AG924" s="172">
        <f>IFERROR((HLOOKUP($AH924,Target_monthwise!$D$24:$O$40,DTR!AG$4,FALSE)),0)</f>
        <v>0</v>
      </c>
      <c r="AH924" s="253">
        <f t="shared" si="16"/>
        <v>202410</v>
      </c>
    </row>
    <row r="925" spans="3:34" ht="15.75" hidden="1">
      <c r="C925" s="235">
        <v>45568</v>
      </c>
      <c r="D925" s="141">
        <f>IFERROR((HLOOKUP($AH925,Target_monthwise!$D$4:$O$20,DTR!D$4,FALSE))*1000,0)</f>
        <v>0</v>
      </c>
      <c r="E925" s="141">
        <f>IFERROR((HLOOKUP($AH925,Target_monthwise!$D$4:$O$20,DTR!E$4,FALSE))*1000,0)</f>
        <v>0</v>
      </c>
      <c r="F925" s="141">
        <f>IFERROR((HLOOKUP($AH925,Target_monthwise!$D$4:$O$20,DTR!F$4,FALSE))*1000,0)</f>
        <v>0</v>
      </c>
      <c r="G925" s="141">
        <f>IFERROR((HLOOKUP($AH925,Target_monthwise!$D$4:$O$20,DTR!G$4,FALSE))*1000,0)</f>
        <v>0</v>
      </c>
      <c r="H925" s="141">
        <f>IFERROR((HLOOKUP($AH925,Target_monthwise!$D$4:$O$20,DTR!H$4,FALSE))*1000,0)</f>
        <v>0</v>
      </c>
      <c r="I925" s="141">
        <f>IFERROR((HLOOKUP($AH925,Target_monthwise!$D$4:$O$20,DTR!I$4,FALSE))*1000,0)</f>
        <v>0</v>
      </c>
      <c r="J925" s="141">
        <f>IFERROR((HLOOKUP($AH925,Target_monthwise!$D$4:$O$20,DTR!J$4,FALSE))*1000,0)</f>
        <v>0</v>
      </c>
      <c r="K925" s="141">
        <f>IFERROR((HLOOKUP($AH925,Target_monthwise!$D$4:$O$20,DTR!K$4,FALSE))*1000,0)</f>
        <v>0</v>
      </c>
      <c r="L925" s="141">
        <f>IFERROR((HLOOKUP($AH925,Target_monthwise!$D$4:$O$20,DTR!L$4,FALSE))*1000,0)</f>
        <v>0</v>
      </c>
      <c r="M925" s="141">
        <f>IFERROR((HLOOKUP($AH925,Target_monthwise!$D$4:$O$20,DTR!M$4,FALSE))*1000,0)</f>
        <v>0</v>
      </c>
      <c r="N925" s="141">
        <f>IFERROR((HLOOKUP($AH925,Target_monthwise!$D$4:$O$20,DTR!N$4,FALSE))*1000,0)</f>
        <v>0</v>
      </c>
      <c r="O925" s="141">
        <f>IFERROR((HLOOKUP($AH925,Target_monthwise!$D$4:$O$20,DTR!O$4,FALSE))*1000,0)</f>
        <v>0</v>
      </c>
      <c r="P925" s="141">
        <f>IFERROR((HLOOKUP($AH925,Target_monthwise!$D$4:$O$20,DTR!P$4,FALSE))*1000,0)</f>
        <v>0</v>
      </c>
      <c r="Q925" s="141">
        <f>IFERROR((HLOOKUP($AH925,Target_monthwise!$D$4:$O$20,DTR!Q$4,FALSE))*1000,0)</f>
        <v>0</v>
      </c>
      <c r="R925" s="167">
        <f>IFERROR((HLOOKUP($AH925,Target_monthwise!$D$4:$O$20,DTR!R$4,FALSE))*1000,0)</f>
        <v>0</v>
      </c>
      <c r="S925" s="147">
        <f>IFERROR((HLOOKUP($AH925,Target_monthwise!$D$24:$O$40,DTR!S$4,FALSE)),0)</f>
        <v>0</v>
      </c>
      <c r="T925" s="147">
        <f>IFERROR((HLOOKUP($AH925,Target_monthwise!$D$24:$O$40,DTR!T$4,FALSE)),0)</f>
        <v>0</v>
      </c>
      <c r="U925" s="147">
        <f>IFERROR((HLOOKUP($AH925,Target_monthwise!$D$24:$O$40,DTR!U$4,FALSE)),0)</f>
        <v>0</v>
      </c>
      <c r="V925" s="147">
        <f>IFERROR((HLOOKUP($AH925,Target_monthwise!$D$24:$O$40,DTR!V$4,FALSE)),0)</f>
        <v>0</v>
      </c>
      <c r="W925" s="147">
        <f>IFERROR((HLOOKUP($AH925,Target_monthwise!$D$24:$O$40,DTR!W$4,FALSE)),0)</f>
        <v>0</v>
      </c>
      <c r="X925" s="147">
        <f>IFERROR((HLOOKUP($AH925,Target_monthwise!$D$24:$O$40,DTR!X$4,FALSE)),0)</f>
        <v>0</v>
      </c>
      <c r="Y925" s="147">
        <f>IFERROR((HLOOKUP($AH925,Target_monthwise!$D$24:$O$40,DTR!Y$4,FALSE)),0)</f>
        <v>0</v>
      </c>
      <c r="Z925" s="147">
        <f>IFERROR((HLOOKUP($AH925,Target_monthwise!$D$24:$O$40,DTR!Z$4,FALSE)),0)</f>
        <v>0</v>
      </c>
      <c r="AA925" s="147">
        <f>IFERROR((HLOOKUP($AH925,Target_monthwise!$D$24:$O$40,DTR!AA$4,FALSE)),0)</f>
        <v>0</v>
      </c>
      <c r="AB925" s="147">
        <f>IFERROR((HLOOKUP($AH925,Target_monthwise!$D$24:$O$40,DTR!AB$4,FALSE)),0)</f>
        <v>0</v>
      </c>
      <c r="AC925" s="147">
        <f>IFERROR((HLOOKUP($AH925,Target_monthwise!$D$24:$O$40,DTR!AC$4,FALSE)),0)</f>
        <v>0</v>
      </c>
      <c r="AD925" s="147">
        <f>IFERROR((HLOOKUP($AH925,Target_monthwise!$D$24:$O$40,DTR!AD$4,FALSE)),0)</f>
        <v>0</v>
      </c>
      <c r="AE925" s="147">
        <f>IFERROR((HLOOKUP($AH925,Target_monthwise!$D$24:$O$40,DTR!AE$4,FALSE)),0)</f>
        <v>0</v>
      </c>
      <c r="AF925" s="147">
        <f>IFERROR((HLOOKUP($AH925,Target_monthwise!$D$24:$O$40,DTR!AF$4,FALSE)),0)</f>
        <v>0</v>
      </c>
      <c r="AG925" s="172">
        <f>IFERROR((HLOOKUP($AH925,Target_monthwise!$D$24:$O$40,DTR!AG$4,FALSE)),0)</f>
        <v>0</v>
      </c>
      <c r="AH925" s="253">
        <f t="shared" si="16"/>
        <v>202410</v>
      </c>
    </row>
    <row r="926" spans="3:34" ht="15.75" hidden="1">
      <c r="C926" s="237">
        <v>45569</v>
      </c>
      <c r="D926" s="238">
        <f>IFERROR((HLOOKUP($AH926,Target_monthwise!$D$4:$O$20,DTR!D$4,FALSE))*1000,0)</f>
        <v>0</v>
      </c>
      <c r="E926" s="238">
        <f>IFERROR((HLOOKUP($AH926,Target_monthwise!$D$4:$O$20,DTR!E$4,FALSE))*1000,0)</f>
        <v>0</v>
      </c>
      <c r="F926" s="238">
        <f>IFERROR((HLOOKUP($AH926,Target_monthwise!$D$4:$O$20,DTR!F$4,FALSE))*1000,0)</f>
        <v>0</v>
      </c>
      <c r="G926" s="238">
        <f>IFERROR((HLOOKUP($AH926,Target_monthwise!$D$4:$O$20,DTR!G$4,FALSE))*1000,0)</f>
        <v>0</v>
      </c>
      <c r="H926" s="238">
        <f>IFERROR((HLOOKUP($AH926,Target_monthwise!$D$4:$O$20,DTR!H$4,FALSE))*1000,0)</f>
        <v>0</v>
      </c>
      <c r="I926" s="238">
        <f>IFERROR((HLOOKUP($AH926,Target_monthwise!$D$4:$O$20,DTR!I$4,FALSE))*1000,0)</f>
        <v>0</v>
      </c>
      <c r="J926" s="238">
        <f>IFERROR((HLOOKUP($AH926,Target_monthwise!$D$4:$O$20,DTR!J$4,FALSE))*1000,0)</f>
        <v>0</v>
      </c>
      <c r="K926" s="238">
        <f>IFERROR((HLOOKUP($AH926,Target_monthwise!$D$4:$O$20,DTR!K$4,FALSE))*1000,0)</f>
        <v>0</v>
      </c>
      <c r="L926" s="238">
        <f>IFERROR((HLOOKUP($AH926,Target_monthwise!$D$4:$O$20,DTR!L$4,FALSE))*1000,0)</f>
        <v>0</v>
      </c>
      <c r="M926" s="238">
        <f>IFERROR((HLOOKUP($AH926,Target_monthwise!$D$4:$O$20,DTR!M$4,FALSE))*1000,0)</f>
        <v>0</v>
      </c>
      <c r="N926" s="238">
        <f>IFERROR((HLOOKUP($AH926,Target_monthwise!$D$4:$O$20,DTR!N$4,FALSE))*1000,0)</f>
        <v>0</v>
      </c>
      <c r="O926" s="238">
        <f>IFERROR((HLOOKUP($AH926,Target_monthwise!$D$4:$O$20,DTR!O$4,FALSE))*1000,0)</f>
        <v>0</v>
      </c>
      <c r="P926" s="238">
        <f>IFERROR((HLOOKUP($AH926,Target_monthwise!$D$4:$O$20,DTR!P$4,FALSE))*1000,0)</f>
        <v>0</v>
      </c>
      <c r="Q926" s="141">
        <f>IFERROR((HLOOKUP($AH926,Target_monthwise!$D$4:$O$20,DTR!Q$4,FALSE))*1000,0)</f>
        <v>0</v>
      </c>
      <c r="R926" s="167">
        <f>IFERROR((HLOOKUP($AH926,Target_monthwise!$D$4:$O$20,DTR!R$4,FALSE))*1000,0)</f>
        <v>0</v>
      </c>
      <c r="S926" s="239">
        <f>IFERROR((HLOOKUP($AH926,Target_monthwise!$D$24:$O$40,DTR!S$4,FALSE)),0)</f>
        <v>0</v>
      </c>
      <c r="T926" s="239">
        <f>IFERROR((HLOOKUP($AH926,Target_monthwise!$D$24:$O$40,DTR!T$4,FALSE)),0)</f>
        <v>0</v>
      </c>
      <c r="U926" s="239">
        <f>IFERROR((HLOOKUP($AH926,Target_monthwise!$D$24:$O$40,DTR!U$4,FALSE)),0)</f>
        <v>0</v>
      </c>
      <c r="V926" s="239">
        <f>IFERROR((HLOOKUP($AH926,Target_monthwise!$D$24:$O$40,DTR!V$4,FALSE)),0)</f>
        <v>0</v>
      </c>
      <c r="W926" s="239">
        <f>IFERROR((HLOOKUP($AH926,Target_monthwise!$D$24:$O$40,DTR!W$4,FALSE)),0)</f>
        <v>0</v>
      </c>
      <c r="X926" s="239">
        <f>IFERROR((HLOOKUP($AH926,Target_monthwise!$D$24:$O$40,DTR!X$4,FALSE)),0)</f>
        <v>0</v>
      </c>
      <c r="Y926" s="239">
        <f>IFERROR((HLOOKUP($AH926,Target_monthwise!$D$24:$O$40,DTR!Y$4,FALSE)),0)</f>
        <v>0</v>
      </c>
      <c r="Z926" s="147">
        <f>IFERROR((HLOOKUP($AH926,Target_monthwise!$D$24:$O$40,DTR!Z$4,FALSE)),0)</f>
        <v>0</v>
      </c>
      <c r="AA926" s="147">
        <f>IFERROR((HLOOKUP($AH926,Target_monthwise!$D$24:$O$40,DTR!AA$4,FALSE)),0)</f>
        <v>0</v>
      </c>
      <c r="AB926" s="147">
        <f>IFERROR((HLOOKUP($AH926,Target_monthwise!$D$24:$O$40,DTR!AB$4,FALSE)),0)</f>
        <v>0</v>
      </c>
      <c r="AC926" s="239">
        <f>IFERROR((HLOOKUP($AH926,Target_monthwise!$D$24:$O$40,DTR!AC$4,FALSE)),0)</f>
        <v>0</v>
      </c>
      <c r="AD926" s="239">
        <f>IFERROR((HLOOKUP($AH926,Target_monthwise!$D$24:$O$40,DTR!AD$4,FALSE)),0)</f>
        <v>0</v>
      </c>
      <c r="AE926" s="239">
        <f>IFERROR((HLOOKUP($AH926,Target_monthwise!$D$24:$O$40,DTR!AE$4,FALSE)),0)</f>
        <v>0</v>
      </c>
      <c r="AF926" s="239">
        <f>IFERROR((HLOOKUP($AH926,Target_monthwise!$D$24:$O$40,DTR!AF$4,FALSE)),0)</f>
        <v>0</v>
      </c>
      <c r="AG926" s="172">
        <f>IFERROR((HLOOKUP($AH926,Target_monthwise!$D$24:$O$40,DTR!AG$4,FALSE)),0)</f>
        <v>0</v>
      </c>
      <c r="AH926" s="253">
        <f t="shared" si="16"/>
        <v>202410</v>
      </c>
    </row>
    <row r="927" spans="3:34" ht="15.75" hidden="1">
      <c r="C927" s="235">
        <v>45570</v>
      </c>
      <c r="D927" s="141">
        <f>IFERROR((HLOOKUP($AH927,Target_monthwise!$D$4:$O$20,DTR!D$4,FALSE))*1000,0)</f>
        <v>0</v>
      </c>
      <c r="E927" s="141">
        <f>IFERROR((HLOOKUP($AH927,Target_monthwise!$D$4:$O$20,DTR!E$4,FALSE))*1000,0)</f>
        <v>0</v>
      </c>
      <c r="F927" s="141">
        <f>IFERROR((HLOOKUP($AH927,Target_monthwise!$D$4:$O$20,DTR!F$4,FALSE))*1000,0)</f>
        <v>0</v>
      </c>
      <c r="G927" s="141">
        <f>IFERROR((HLOOKUP($AH927,Target_monthwise!$D$4:$O$20,DTR!G$4,FALSE))*1000,0)</f>
        <v>0</v>
      </c>
      <c r="H927" s="141">
        <f>IFERROR((HLOOKUP($AH927,Target_monthwise!$D$4:$O$20,DTR!H$4,FALSE))*1000,0)</f>
        <v>0</v>
      </c>
      <c r="I927" s="141">
        <f>IFERROR((HLOOKUP($AH927,Target_monthwise!$D$4:$O$20,DTR!I$4,FALSE))*1000,0)</f>
        <v>0</v>
      </c>
      <c r="J927" s="141">
        <f>IFERROR((HLOOKUP($AH927,Target_monthwise!$D$4:$O$20,DTR!J$4,FALSE))*1000,0)</f>
        <v>0</v>
      </c>
      <c r="K927" s="141">
        <f>IFERROR((HLOOKUP($AH927,Target_monthwise!$D$4:$O$20,DTR!K$4,FALSE))*1000,0)</f>
        <v>0</v>
      </c>
      <c r="L927" s="141">
        <f>IFERROR((HLOOKUP($AH927,Target_monthwise!$D$4:$O$20,DTR!L$4,FALSE))*1000,0)</f>
        <v>0</v>
      </c>
      <c r="M927" s="141">
        <f>IFERROR((HLOOKUP($AH927,Target_monthwise!$D$4:$O$20,DTR!M$4,FALSE))*1000,0)</f>
        <v>0</v>
      </c>
      <c r="N927" s="141">
        <f>IFERROR((HLOOKUP($AH927,Target_monthwise!$D$4:$O$20,DTR!N$4,FALSE))*1000,0)</f>
        <v>0</v>
      </c>
      <c r="O927" s="141">
        <f>IFERROR((HLOOKUP($AH927,Target_monthwise!$D$4:$O$20,DTR!O$4,FALSE))*1000,0)</f>
        <v>0</v>
      </c>
      <c r="P927" s="141">
        <f>IFERROR((HLOOKUP($AH927,Target_monthwise!$D$4:$O$20,DTR!P$4,FALSE))*1000,0)</f>
        <v>0</v>
      </c>
      <c r="Q927" s="141">
        <f>IFERROR((HLOOKUP($AH927,Target_monthwise!$D$4:$O$20,DTR!Q$4,FALSE))*1000,0)</f>
        <v>0</v>
      </c>
      <c r="R927" s="167">
        <f>IFERROR((HLOOKUP($AH927,Target_monthwise!$D$4:$O$20,DTR!R$4,FALSE))*1000,0)</f>
        <v>0</v>
      </c>
      <c r="S927" s="147">
        <f>IFERROR((HLOOKUP($AH927,Target_monthwise!$D$24:$O$40,DTR!S$4,FALSE)),0)</f>
        <v>0</v>
      </c>
      <c r="T927" s="147">
        <f>IFERROR((HLOOKUP($AH927,Target_monthwise!$D$24:$O$40,DTR!T$4,FALSE)),0)</f>
        <v>0</v>
      </c>
      <c r="U927" s="147">
        <f>IFERROR((HLOOKUP($AH927,Target_monthwise!$D$24:$O$40,DTR!U$4,FALSE)),0)</f>
        <v>0</v>
      </c>
      <c r="V927" s="147">
        <f>IFERROR((HLOOKUP($AH927,Target_monthwise!$D$24:$O$40,DTR!V$4,FALSE)),0)</f>
        <v>0</v>
      </c>
      <c r="W927" s="147">
        <f>IFERROR((HLOOKUP($AH927,Target_monthwise!$D$24:$O$40,DTR!W$4,FALSE)),0)</f>
        <v>0</v>
      </c>
      <c r="X927" s="147">
        <f>IFERROR((HLOOKUP($AH927,Target_monthwise!$D$24:$O$40,DTR!X$4,FALSE)),0)</f>
        <v>0</v>
      </c>
      <c r="Y927" s="147">
        <f>IFERROR((HLOOKUP($AH927,Target_monthwise!$D$24:$O$40,DTR!Y$4,FALSE)),0)</f>
        <v>0</v>
      </c>
      <c r="Z927" s="147">
        <f>IFERROR((HLOOKUP($AH927,Target_monthwise!$D$24:$O$40,DTR!Z$4,FALSE)),0)</f>
        <v>0</v>
      </c>
      <c r="AA927" s="147">
        <f>IFERROR((HLOOKUP($AH927,Target_monthwise!$D$24:$O$40,DTR!AA$4,FALSE)),0)</f>
        <v>0</v>
      </c>
      <c r="AB927" s="147">
        <f>IFERROR((HLOOKUP($AH927,Target_monthwise!$D$24:$O$40,DTR!AB$4,FALSE)),0)</f>
        <v>0</v>
      </c>
      <c r="AC927" s="147">
        <f>IFERROR((HLOOKUP($AH927,Target_monthwise!$D$24:$O$40,DTR!AC$4,FALSE)),0)</f>
        <v>0</v>
      </c>
      <c r="AD927" s="147">
        <f>IFERROR((HLOOKUP($AH927,Target_monthwise!$D$24:$O$40,DTR!AD$4,FALSE)),0)</f>
        <v>0</v>
      </c>
      <c r="AE927" s="147">
        <f>IFERROR((HLOOKUP($AH927,Target_monthwise!$D$24:$O$40,DTR!AE$4,FALSE)),0)</f>
        <v>0</v>
      </c>
      <c r="AF927" s="147">
        <f>IFERROR((HLOOKUP($AH927,Target_monthwise!$D$24:$O$40,DTR!AF$4,FALSE)),0)</f>
        <v>0</v>
      </c>
      <c r="AG927" s="172">
        <f>IFERROR((HLOOKUP($AH927,Target_monthwise!$D$24:$O$40,DTR!AG$4,FALSE)),0)</f>
        <v>0</v>
      </c>
      <c r="AH927" s="253">
        <f t="shared" si="16"/>
        <v>202410</v>
      </c>
    </row>
    <row r="928" spans="3:34" ht="15.75" hidden="1">
      <c r="C928" s="237">
        <v>45571</v>
      </c>
      <c r="D928" s="238">
        <f>IFERROR((HLOOKUP($AH928,Target_monthwise!$D$4:$O$20,DTR!D$4,FALSE))*1000,0)</f>
        <v>0</v>
      </c>
      <c r="E928" s="238">
        <f>IFERROR((HLOOKUP($AH928,Target_monthwise!$D$4:$O$20,DTR!E$4,FALSE))*1000,0)</f>
        <v>0</v>
      </c>
      <c r="F928" s="238">
        <f>IFERROR((HLOOKUP($AH928,Target_monthwise!$D$4:$O$20,DTR!F$4,FALSE))*1000,0)</f>
        <v>0</v>
      </c>
      <c r="G928" s="238">
        <f>IFERROR((HLOOKUP($AH928,Target_monthwise!$D$4:$O$20,DTR!G$4,FALSE))*1000,0)</f>
        <v>0</v>
      </c>
      <c r="H928" s="238">
        <f>IFERROR((HLOOKUP($AH928,Target_monthwise!$D$4:$O$20,DTR!H$4,FALSE))*1000,0)</f>
        <v>0</v>
      </c>
      <c r="I928" s="238">
        <f>IFERROR((HLOOKUP($AH928,Target_monthwise!$D$4:$O$20,DTR!I$4,FALSE))*1000,0)</f>
        <v>0</v>
      </c>
      <c r="J928" s="238">
        <f>IFERROR((HLOOKUP($AH928,Target_monthwise!$D$4:$O$20,DTR!J$4,FALSE))*1000,0)</f>
        <v>0</v>
      </c>
      <c r="K928" s="238">
        <f>IFERROR((HLOOKUP($AH928,Target_monthwise!$D$4:$O$20,DTR!K$4,FALSE))*1000,0)</f>
        <v>0</v>
      </c>
      <c r="L928" s="238">
        <f>IFERROR((HLOOKUP($AH928,Target_monthwise!$D$4:$O$20,DTR!L$4,FALSE))*1000,0)</f>
        <v>0</v>
      </c>
      <c r="M928" s="238">
        <f>IFERROR((HLOOKUP($AH928,Target_monthwise!$D$4:$O$20,DTR!M$4,FALSE))*1000,0)</f>
        <v>0</v>
      </c>
      <c r="N928" s="238">
        <f>IFERROR((HLOOKUP($AH928,Target_monthwise!$D$4:$O$20,DTR!N$4,FALSE))*1000,0)</f>
        <v>0</v>
      </c>
      <c r="O928" s="238">
        <f>IFERROR((HLOOKUP($AH928,Target_monthwise!$D$4:$O$20,DTR!O$4,FALSE))*1000,0)</f>
        <v>0</v>
      </c>
      <c r="P928" s="238">
        <f>IFERROR((HLOOKUP($AH928,Target_monthwise!$D$4:$O$20,DTR!P$4,FALSE))*1000,0)</f>
        <v>0</v>
      </c>
      <c r="Q928" s="141">
        <f>IFERROR((HLOOKUP($AH928,Target_monthwise!$D$4:$O$20,DTR!Q$4,FALSE))*1000,0)</f>
        <v>0</v>
      </c>
      <c r="R928" s="167">
        <f>IFERROR((HLOOKUP($AH928,Target_monthwise!$D$4:$O$20,DTR!R$4,FALSE))*1000,0)</f>
        <v>0</v>
      </c>
      <c r="S928" s="239">
        <f>IFERROR((HLOOKUP($AH928,Target_monthwise!$D$24:$O$40,DTR!S$4,FALSE)),0)</f>
        <v>0</v>
      </c>
      <c r="T928" s="239">
        <f>IFERROR((HLOOKUP($AH928,Target_monthwise!$D$24:$O$40,DTR!T$4,FALSE)),0)</f>
        <v>0</v>
      </c>
      <c r="U928" s="239">
        <f>IFERROR((HLOOKUP($AH928,Target_monthwise!$D$24:$O$40,DTR!U$4,FALSE)),0)</f>
        <v>0</v>
      </c>
      <c r="V928" s="239">
        <f>IFERROR((HLOOKUP($AH928,Target_monthwise!$D$24:$O$40,DTR!V$4,FALSE)),0)</f>
        <v>0</v>
      </c>
      <c r="W928" s="239">
        <f>IFERROR((HLOOKUP($AH928,Target_monthwise!$D$24:$O$40,DTR!W$4,FALSE)),0)</f>
        <v>0</v>
      </c>
      <c r="X928" s="239">
        <f>IFERROR((HLOOKUP($AH928,Target_monthwise!$D$24:$O$40,DTR!X$4,FALSE)),0)</f>
        <v>0</v>
      </c>
      <c r="Y928" s="239">
        <f>IFERROR((HLOOKUP($AH928,Target_monthwise!$D$24:$O$40,DTR!Y$4,FALSE)),0)</f>
        <v>0</v>
      </c>
      <c r="Z928" s="147">
        <f>IFERROR((HLOOKUP($AH928,Target_monthwise!$D$24:$O$40,DTR!Z$4,FALSE)),0)</f>
        <v>0</v>
      </c>
      <c r="AA928" s="147">
        <f>IFERROR((HLOOKUP($AH928,Target_monthwise!$D$24:$O$40,DTR!AA$4,FALSE)),0)</f>
        <v>0</v>
      </c>
      <c r="AB928" s="147">
        <f>IFERROR((HLOOKUP($AH928,Target_monthwise!$D$24:$O$40,DTR!AB$4,FALSE)),0)</f>
        <v>0</v>
      </c>
      <c r="AC928" s="239">
        <f>IFERROR((HLOOKUP($AH928,Target_monthwise!$D$24:$O$40,DTR!AC$4,FALSE)),0)</f>
        <v>0</v>
      </c>
      <c r="AD928" s="239">
        <f>IFERROR((HLOOKUP($AH928,Target_monthwise!$D$24:$O$40,DTR!AD$4,FALSE)),0)</f>
        <v>0</v>
      </c>
      <c r="AE928" s="239">
        <f>IFERROR((HLOOKUP($AH928,Target_monthwise!$D$24:$O$40,DTR!AE$4,FALSE)),0)</f>
        <v>0</v>
      </c>
      <c r="AF928" s="239">
        <f>IFERROR((HLOOKUP($AH928,Target_monthwise!$D$24:$O$40,DTR!AF$4,FALSE)),0)</f>
        <v>0</v>
      </c>
      <c r="AG928" s="172">
        <f>IFERROR((HLOOKUP($AH928,Target_monthwise!$D$24:$O$40,DTR!AG$4,FALSE)),0)</f>
        <v>0</v>
      </c>
      <c r="AH928" s="253">
        <f t="shared" si="16"/>
        <v>202410</v>
      </c>
    </row>
    <row r="929" spans="3:34" ht="15.75" hidden="1">
      <c r="C929" s="235">
        <v>45572</v>
      </c>
      <c r="D929" s="141">
        <f>IFERROR((HLOOKUP($AH929,Target_monthwise!$D$4:$O$20,DTR!D$4,FALSE))*1000,0)</f>
        <v>0</v>
      </c>
      <c r="E929" s="141">
        <f>IFERROR((HLOOKUP($AH929,Target_monthwise!$D$4:$O$20,DTR!E$4,FALSE))*1000,0)</f>
        <v>0</v>
      </c>
      <c r="F929" s="141">
        <f>IFERROR((HLOOKUP($AH929,Target_monthwise!$D$4:$O$20,DTR!F$4,FALSE))*1000,0)</f>
        <v>0</v>
      </c>
      <c r="G929" s="141">
        <f>IFERROR((HLOOKUP($AH929,Target_monthwise!$D$4:$O$20,DTR!G$4,FALSE))*1000,0)</f>
        <v>0</v>
      </c>
      <c r="H929" s="141">
        <f>IFERROR((HLOOKUP($AH929,Target_monthwise!$D$4:$O$20,DTR!H$4,FALSE))*1000,0)</f>
        <v>0</v>
      </c>
      <c r="I929" s="141">
        <f>IFERROR((HLOOKUP($AH929,Target_monthwise!$D$4:$O$20,DTR!I$4,FALSE))*1000,0)</f>
        <v>0</v>
      </c>
      <c r="J929" s="141">
        <f>IFERROR((HLOOKUP($AH929,Target_monthwise!$D$4:$O$20,DTR!J$4,FALSE))*1000,0)</f>
        <v>0</v>
      </c>
      <c r="K929" s="141">
        <f>IFERROR((HLOOKUP($AH929,Target_monthwise!$D$4:$O$20,DTR!K$4,FALSE))*1000,0)</f>
        <v>0</v>
      </c>
      <c r="L929" s="141">
        <f>IFERROR((HLOOKUP($AH929,Target_monthwise!$D$4:$O$20,DTR!L$4,FALSE))*1000,0)</f>
        <v>0</v>
      </c>
      <c r="M929" s="141">
        <f>IFERROR((HLOOKUP($AH929,Target_monthwise!$D$4:$O$20,DTR!M$4,FALSE))*1000,0)</f>
        <v>0</v>
      </c>
      <c r="N929" s="141">
        <f>IFERROR((HLOOKUP($AH929,Target_monthwise!$D$4:$O$20,DTR!N$4,FALSE))*1000,0)</f>
        <v>0</v>
      </c>
      <c r="O929" s="141">
        <f>IFERROR((HLOOKUP($AH929,Target_monthwise!$D$4:$O$20,DTR!O$4,FALSE))*1000,0)</f>
        <v>0</v>
      </c>
      <c r="P929" s="141">
        <f>IFERROR((HLOOKUP($AH929,Target_monthwise!$D$4:$O$20,DTR!P$4,FALSE))*1000,0)</f>
        <v>0</v>
      </c>
      <c r="Q929" s="141">
        <f>IFERROR((HLOOKUP($AH929,Target_monthwise!$D$4:$O$20,DTR!Q$4,FALSE))*1000,0)</f>
        <v>0</v>
      </c>
      <c r="R929" s="167">
        <f>IFERROR((HLOOKUP($AH929,Target_monthwise!$D$4:$O$20,DTR!R$4,FALSE))*1000,0)</f>
        <v>0</v>
      </c>
      <c r="S929" s="147">
        <f>IFERROR((HLOOKUP($AH929,Target_monthwise!$D$24:$O$40,DTR!S$4,FALSE)),0)</f>
        <v>0</v>
      </c>
      <c r="T929" s="147">
        <f>IFERROR((HLOOKUP($AH929,Target_monthwise!$D$24:$O$40,DTR!T$4,FALSE)),0)</f>
        <v>0</v>
      </c>
      <c r="U929" s="147">
        <f>IFERROR((HLOOKUP($AH929,Target_monthwise!$D$24:$O$40,DTR!U$4,FALSE)),0)</f>
        <v>0</v>
      </c>
      <c r="V929" s="147">
        <f>IFERROR((HLOOKUP($AH929,Target_monthwise!$D$24:$O$40,DTR!V$4,FALSE)),0)</f>
        <v>0</v>
      </c>
      <c r="W929" s="147">
        <f>IFERROR((HLOOKUP($AH929,Target_monthwise!$D$24:$O$40,DTR!W$4,FALSE)),0)</f>
        <v>0</v>
      </c>
      <c r="X929" s="147">
        <f>IFERROR((HLOOKUP($AH929,Target_monthwise!$D$24:$O$40,DTR!X$4,FALSE)),0)</f>
        <v>0</v>
      </c>
      <c r="Y929" s="147">
        <f>IFERROR((HLOOKUP($AH929,Target_monthwise!$D$24:$O$40,DTR!Y$4,FALSE)),0)</f>
        <v>0</v>
      </c>
      <c r="Z929" s="147">
        <f>IFERROR((HLOOKUP($AH929,Target_monthwise!$D$24:$O$40,DTR!Z$4,FALSE)),0)</f>
        <v>0</v>
      </c>
      <c r="AA929" s="147">
        <f>IFERROR((HLOOKUP($AH929,Target_monthwise!$D$24:$O$40,DTR!AA$4,FALSE)),0)</f>
        <v>0</v>
      </c>
      <c r="AB929" s="147">
        <f>IFERROR((HLOOKUP($AH929,Target_monthwise!$D$24:$O$40,DTR!AB$4,FALSE)),0)</f>
        <v>0</v>
      </c>
      <c r="AC929" s="147">
        <f>IFERROR((HLOOKUP($AH929,Target_monthwise!$D$24:$O$40,DTR!AC$4,FALSE)),0)</f>
        <v>0</v>
      </c>
      <c r="AD929" s="147">
        <f>IFERROR((HLOOKUP($AH929,Target_monthwise!$D$24:$O$40,DTR!AD$4,FALSE)),0)</f>
        <v>0</v>
      </c>
      <c r="AE929" s="147">
        <f>IFERROR((HLOOKUP($AH929,Target_monthwise!$D$24:$O$40,DTR!AE$4,FALSE)),0)</f>
        <v>0</v>
      </c>
      <c r="AF929" s="147">
        <f>IFERROR((HLOOKUP($AH929,Target_monthwise!$D$24:$O$40,DTR!AF$4,FALSE)),0)</f>
        <v>0</v>
      </c>
      <c r="AG929" s="172">
        <f>IFERROR((HLOOKUP($AH929,Target_monthwise!$D$24:$O$40,DTR!AG$4,FALSE)),0)</f>
        <v>0</v>
      </c>
      <c r="AH929" s="253">
        <f t="shared" si="16"/>
        <v>202410</v>
      </c>
    </row>
    <row r="930" spans="3:34" ht="15.75" hidden="1">
      <c r="C930" s="237">
        <v>45573</v>
      </c>
      <c r="D930" s="238">
        <f>IFERROR((HLOOKUP($AH930,Target_monthwise!$D$4:$O$20,DTR!D$4,FALSE))*1000,0)</f>
        <v>0</v>
      </c>
      <c r="E930" s="238">
        <f>IFERROR((HLOOKUP($AH930,Target_monthwise!$D$4:$O$20,DTR!E$4,FALSE))*1000,0)</f>
        <v>0</v>
      </c>
      <c r="F930" s="238">
        <f>IFERROR((HLOOKUP($AH930,Target_monthwise!$D$4:$O$20,DTR!F$4,FALSE))*1000,0)</f>
        <v>0</v>
      </c>
      <c r="G930" s="238">
        <f>IFERROR((HLOOKUP($AH930,Target_monthwise!$D$4:$O$20,DTR!G$4,FALSE))*1000,0)</f>
        <v>0</v>
      </c>
      <c r="H930" s="238">
        <f>IFERROR((HLOOKUP($AH930,Target_monthwise!$D$4:$O$20,DTR!H$4,FALSE))*1000,0)</f>
        <v>0</v>
      </c>
      <c r="I930" s="238">
        <f>IFERROR((HLOOKUP($AH930,Target_monthwise!$D$4:$O$20,DTR!I$4,FALSE))*1000,0)</f>
        <v>0</v>
      </c>
      <c r="J930" s="238">
        <f>IFERROR((HLOOKUP($AH930,Target_monthwise!$D$4:$O$20,DTR!J$4,FALSE))*1000,0)</f>
        <v>0</v>
      </c>
      <c r="K930" s="238">
        <f>IFERROR((HLOOKUP($AH930,Target_monthwise!$D$4:$O$20,DTR!K$4,FALSE))*1000,0)</f>
        <v>0</v>
      </c>
      <c r="L930" s="238">
        <f>IFERROR((HLOOKUP($AH930,Target_monthwise!$D$4:$O$20,DTR!L$4,FALSE))*1000,0)</f>
        <v>0</v>
      </c>
      <c r="M930" s="238">
        <f>IFERROR((HLOOKUP($AH930,Target_monthwise!$D$4:$O$20,DTR!M$4,FALSE))*1000,0)</f>
        <v>0</v>
      </c>
      <c r="N930" s="238">
        <f>IFERROR((HLOOKUP($AH930,Target_monthwise!$D$4:$O$20,DTR!N$4,FALSE))*1000,0)</f>
        <v>0</v>
      </c>
      <c r="O930" s="238">
        <f>IFERROR((HLOOKUP($AH930,Target_monthwise!$D$4:$O$20,DTR!O$4,FALSE))*1000,0)</f>
        <v>0</v>
      </c>
      <c r="P930" s="238">
        <f>IFERROR((HLOOKUP($AH930,Target_monthwise!$D$4:$O$20,DTR!P$4,FALSE))*1000,0)</f>
        <v>0</v>
      </c>
      <c r="Q930" s="141">
        <f>IFERROR((HLOOKUP($AH930,Target_monthwise!$D$4:$O$20,DTR!Q$4,FALSE))*1000,0)</f>
        <v>0</v>
      </c>
      <c r="R930" s="167">
        <f>IFERROR((HLOOKUP($AH930,Target_monthwise!$D$4:$O$20,DTR!R$4,FALSE))*1000,0)</f>
        <v>0</v>
      </c>
      <c r="S930" s="239">
        <f>IFERROR((HLOOKUP($AH930,Target_monthwise!$D$24:$O$40,DTR!S$4,FALSE)),0)</f>
        <v>0</v>
      </c>
      <c r="T930" s="239">
        <f>IFERROR((HLOOKUP($AH930,Target_monthwise!$D$24:$O$40,DTR!T$4,FALSE)),0)</f>
        <v>0</v>
      </c>
      <c r="U930" s="239">
        <f>IFERROR((HLOOKUP($AH930,Target_monthwise!$D$24:$O$40,DTR!U$4,FALSE)),0)</f>
        <v>0</v>
      </c>
      <c r="V930" s="239">
        <f>IFERROR((HLOOKUP($AH930,Target_monthwise!$D$24:$O$40,DTR!V$4,FALSE)),0)</f>
        <v>0</v>
      </c>
      <c r="W930" s="239">
        <f>IFERROR((HLOOKUP($AH930,Target_monthwise!$D$24:$O$40,DTR!W$4,FALSE)),0)</f>
        <v>0</v>
      </c>
      <c r="X930" s="239">
        <f>IFERROR((HLOOKUP($AH930,Target_monthwise!$D$24:$O$40,DTR!X$4,FALSE)),0)</f>
        <v>0</v>
      </c>
      <c r="Y930" s="239">
        <f>IFERROR((HLOOKUP($AH930,Target_monthwise!$D$24:$O$40,DTR!Y$4,FALSE)),0)</f>
        <v>0</v>
      </c>
      <c r="Z930" s="147">
        <f>IFERROR((HLOOKUP($AH930,Target_monthwise!$D$24:$O$40,DTR!Z$4,FALSE)),0)</f>
        <v>0</v>
      </c>
      <c r="AA930" s="147">
        <f>IFERROR((HLOOKUP($AH930,Target_monthwise!$D$24:$O$40,DTR!AA$4,FALSE)),0)</f>
        <v>0</v>
      </c>
      <c r="AB930" s="147">
        <f>IFERROR((HLOOKUP($AH930,Target_monthwise!$D$24:$O$40,DTR!AB$4,FALSE)),0)</f>
        <v>0</v>
      </c>
      <c r="AC930" s="239">
        <f>IFERROR((HLOOKUP($AH930,Target_monthwise!$D$24:$O$40,DTR!AC$4,FALSE)),0)</f>
        <v>0</v>
      </c>
      <c r="AD930" s="239">
        <f>IFERROR((HLOOKUP($AH930,Target_monthwise!$D$24:$O$40,DTR!AD$4,FALSE)),0)</f>
        <v>0</v>
      </c>
      <c r="AE930" s="239">
        <f>IFERROR((HLOOKUP($AH930,Target_monthwise!$D$24:$O$40,DTR!AE$4,FALSE)),0)</f>
        <v>0</v>
      </c>
      <c r="AF930" s="239">
        <f>IFERROR((HLOOKUP($AH930,Target_monthwise!$D$24:$O$40,DTR!AF$4,FALSE)),0)</f>
        <v>0</v>
      </c>
      <c r="AG930" s="172">
        <f>IFERROR((HLOOKUP($AH930,Target_monthwise!$D$24:$O$40,DTR!AG$4,FALSE)),0)</f>
        <v>0</v>
      </c>
      <c r="AH930" s="253">
        <f t="shared" si="16"/>
        <v>202410</v>
      </c>
    </row>
    <row r="931" spans="3:34" ht="15.75" hidden="1">
      <c r="C931" s="235">
        <v>45574</v>
      </c>
      <c r="D931" s="141">
        <f>IFERROR((HLOOKUP($AH931,Target_monthwise!$D$4:$O$20,DTR!D$4,FALSE))*1000,0)</f>
        <v>0</v>
      </c>
      <c r="E931" s="141">
        <f>IFERROR((HLOOKUP($AH931,Target_monthwise!$D$4:$O$20,DTR!E$4,FALSE))*1000,0)</f>
        <v>0</v>
      </c>
      <c r="F931" s="141">
        <f>IFERROR((HLOOKUP($AH931,Target_monthwise!$D$4:$O$20,DTR!F$4,FALSE))*1000,0)</f>
        <v>0</v>
      </c>
      <c r="G931" s="141">
        <f>IFERROR((HLOOKUP($AH931,Target_monthwise!$D$4:$O$20,DTR!G$4,FALSE))*1000,0)</f>
        <v>0</v>
      </c>
      <c r="H931" s="141">
        <f>IFERROR((HLOOKUP($AH931,Target_monthwise!$D$4:$O$20,DTR!H$4,FALSE))*1000,0)</f>
        <v>0</v>
      </c>
      <c r="I931" s="141">
        <f>IFERROR((HLOOKUP($AH931,Target_monthwise!$D$4:$O$20,DTR!I$4,FALSE))*1000,0)</f>
        <v>0</v>
      </c>
      <c r="J931" s="141">
        <f>IFERROR((HLOOKUP($AH931,Target_monthwise!$D$4:$O$20,DTR!J$4,FALSE))*1000,0)</f>
        <v>0</v>
      </c>
      <c r="K931" s="141">
        <f>IFERROR((HLOOKUP($AH931,Target_monthwise!$D$4:$O$20,DTR!K$4,FALSE))*1000,0)</f>
        <v>0</v>
      </c>
      <c r="L931" s="141">
        <f>IFERROR((HLOOKUP($AH931,Target_monthwise!$D$4:$O$20,DTR!L$4,FALSE))*1000,0)</f>
        <v>0</v>
      </c>
      <c r="M931" s="141">
        <f>IFERROR((HLOOKUP($AH931,Target_monthwise!$D$4:$O$20,DTR!M$4,FALSE))*1000,0)</f>
        <v>0</v>
      </c>
      <c r="N931" s="141">
        <f>IFERROR((HLOOKUP($AH931,Target_monthwise!$D$4:$O$20,DTR!N$4,FALSE))*1000,0)</f>
        <v>0</v>
      </c>
      <c r="O931" s="141">
        <f>IFERROR((HLOOKUP($AH931,Target_monthwise!$D$4:$O$20,DTR!O$4,FALSE))*1000,0)</f>
        <v>0</v>
      </c>
      <c r="P931" s="141">
        <f>IFERROR((HLOOKUP($AH931,Target_monthwise!$D$4:$O$20,DTR!P$4,FALSE))*1000,0)</f>
        <v>0</v>
      </c>
      <c r="Q931" s="141">
        <f>IFERROR((HLOOKUP($AH931,Target_monthwise!$D$4:$O$20,DTR!Q$4,FALSE))*1000,0)</f>
        <v>0</v>
      </c>
      <c r="R931" s="167">
        <f>IFERROR((HLOOKUP($AH931,Target_monthwise!$D$4:$O$20,DTR!R$4,FALSE))*1000,0)</f>
        <v>0</v>
      </c>
      <c r="S931" s="147">
        <f>IFERROR((HLOOKUP($AH931,Target_monthwise!$D$24:$O$40,DTR!S$4,FALSE)),0)</f>
        <v>0</v>
      </c>
      <c r="T931" s="147">
        <f>IFERROR((HLOOKUP($AH931,Target_monthwise!$D$24:$O$40,DTR!T$4,FALSE)),0)</f>
        <v>0</v>
      </c>
      <c r="U931" s="147">
        <f>IFERROR((HLOOKUP($AH931,Target_monthwise!$D$24:$O$40,DTR!U$4,FALSE)),0)</f>
        <v>0</v>
      </c>
      <c r="V931" s="147">
        <f>IFERROR((HLOOKUP($AH931,Target_monthwise!$D$24:$O$40,DTR!V$4,FALSE)),0)</f>
        <v>0</v>
      </c>
      <c r="W931" s="147">
        <f>IFERROR((HLOOKUP($AH931,Target_monthwise!$D$24:$O$40,DTR!W$4,FALSE)),0)</f>
        <v>0</v>
      </c>
      <c r="X931" s="147">
        <f>IFERROR((HLOOKUP($AH931,Target_monthwise!$D$24:$O$40,DTR!X$4,FALSE)),0)</f>
        <v>0</v>
      </c>
      <c r="Y931" s="147">
        <f>IFERROR((HLOOKUP($AH931,Target_monthwise!$D$24:$O$40,DTR!Y$4,FALSE)),0)</f>
        <v>0</v>
      </c>
      <c r="Z931" s="147">
        <f>IFERROR((HLOOKUP($AH931,Target_monthwise!$D$24:$O$40,DTR!Z$4,FALSE)),0)</f>
        <v>0</v>
      </c>
      <c r="AA931" s="147">
        <f>IFERROR((HLOOKUP($AH931,Target_monthwise!$D$24:$O$40,DTR!AA$4,FALSE)),0)</f>
        <v>0</v>
      </c>
      <c r="AB931" s="147">
        <f>IFERROR((HLOOKUP($AH931,Target_monthwise!$D$24:$O$40,DTR!AB$4,FALSE)),0)</f>
        <v>0</v>
      </c>
      <c r="AC931" s="147">
        <f>IFERROR((HLOOKUP($AH931,Target_monthwise!$D$24:$O$40,DTR!AC$4,FALSE)),0)</f>
        <v>0</v>
      </c>
      <c r="AD931" s="147">
        <f>IFERROR((HLOOKUP($AH931,Target_monthwise!$D$24:$O$40,DTR!AD$4,FALSE)),0)</f>
        <v>0</v>
      </c>
      <c r="AE931" s="147">
        <f>IFERROR((HLOOKUP($AH931,Target_monthwise!$D$24:$O$40,DTR!AE$4,FALSE)),0)</f>
        <v>0</v>
      </c>
      <c r="AF931" s="147">
        <f>IFERROR((HLOOKUP($AH931,Target_monthwise!$D$24:$O$40,DTR!AF$4,FALSE)),0)</f>
        <v>0</v>
      </c>
      <c r="AG931" s="172">
        <f>IFERROR((HLOOKUP($AH931,Target_monthwise!$D$24:$O$40,DTR!AG$4,FALSE)),0)</f>
        <v>0</v>
      </c>
      <c r="AH931" s="253">
        <f t="shared" si="16"/>
        <v>202410</v>
      </c>
    </row>
    <row r="932" spans="3:34" ht="15.75" hidden="1">
      <c r="C932" s="237">
        <v>45575</v>
      </c>
      <c r="D932" s="238">
        <f>IFERROR((HLOOKUP($AH932,Target_monthwise!$D$4:$O$20,DTR!D$4,FALSE))*1000,0)</f>
        <v>0</v>
      </c>
      <c r="E932" s="238">
        <f>IFERROR((HLOOKUP($AH932,Target_monthwise!$D$4:$O$20,DTR!E$4,FALSE))*1000,0)</f>
        <v>0</v>
      </c>
      <c r="F932" s="238">
        <f>IFERROR((HLOOKUP($AH932,Target_monthwise!$D$4:$O$20,DTR!F$4,FALSE))*1000,0)</f>
        <v>0</v>
      </c>
      <c r="G932" s="238">
        <f>IFERROR((HLOOKUP($AH932,Target_monthwise!$D$4:$O$20,DTR!G$4,FALSE))*1000,0)</f>
        <v>0</v>
      </c>
      <c r="H932" s="238">
        <f>IFERROR((HLOOKUP($AH932,Target_monthwise!$D$4:$O$20,DTR!H$4,FALSE))*1000,0)</f>
        <v>0</v>
      </c>
      <c r="I932" s="238">
        <f>IFERROR((HLOOKUP($AH932,Target_monthwise!$D$4:$O$20,DTR!I$4,FALSE))*1000,0)</f>
        <v>0</v>
      </c>
      <c r="J932" s="238">
        <f>IFERROR((HLOOKUP($AH932,Target_monthwise!$D$4:$O$20,DTR!J$4,FALSE))*1000,0)</f>
        <v>0</v>
      </c>
      <c r="K932" s="238">
        <f>IFERROR((HLOOKUP($AH932,Target_monthwise!$D$4:$O$20,DTR!K$4,FALSE))*1000,0)</f>
        <v>0</v>
      </c>
      <c r="L932" s="238">
        <f>IFERROR((HLOOKUP($AH932,Target_monthwise!$D$4:$O$20,DTR!L$4,FALSE))*1000,0)</f>
        <v>0</v>
      </c>
      <c r="M932" s="238">
        <f>IFERROR((HLOOKUP($AH932,Target_monthwise!$D$4:$O$20,DTR!M$4,FALSE))*1000,0)</f>
        <v>0</v>
      </c>
      <c r="N932" s="238">
        <f>IFERROR((HLOOKUP($AH932,Target_monthwise!$D$4:$O$20,DTR!N$4,FALSE))*1000,0)</f>
        <v>0</v>
      </c>
      <c r="O932" s="238">
        <f>IFERROR((HLOOKUP($AH932,Target_monthwise!$D$4:$O$20,DTR!O$4,FALSE))*1000,0)</f>
        <v>0</v>
      </c>
      <c r="P932" s="238">
        <f>IFERROR((HLOOKUP($AH932,Target_monthwise!$D$4:$O$20,DTR!P$4,FALSE))*1000,0)</f>
        <v>0</v>
      </c>
      <c r="Q932" s="141">
        <f>IFERROR((HLOOKUP($AH932,Target_monthwise!$D$4:$O$20,DTR!Q$4,FALSE))*1000,0)</f>
        <v>0</v>
      </c>
      <c r="R932" s="167">
        <f>IFERROR((HLOOKUP($AH932,Target_monthwise!$D$4:$O$20,DTR!R$4,FALSE))*1000,0)</f>
        <v>0</v>
      </c>
      <c r="S932" s="239">
        <f>IFERROR((HLOOKUP($AH932,Target_monthwise!$D$24:$O$40,DTR!S$4,FALSE)),0)</f>
        <v>0</v>
      </c>
      <c r="T932" s="239">
        <f>IFERROR((HLOOKUP($AH932,Target_monthwise!$D$24:$O$40,DTR!T$4,FALSE)),0)</f>
        <v>0</v>
      </c>
      <c r="U932" s="239">
        <f>IFERROR((HLOOKUP($AH932,Target_monthwise!$D$24:$O$40,DTR!U$4,FALSE)),0)</f>
        <v>0</v>
      </c>
      <c r="V932" s="239">
        <f>IFERROR((HLOOKUP($AH932,Target_monthwise!$D$24:$O$40,DTR!V$4,FALSE)),0)</f>
        <v>0</v>
      </c>
      <c r="W932" s="239">
        <f>IFERROR((HLOOKUP($AH932,Target_monthwise!$D$24:$O$40,DTR!W$4,FALSE)),0)</f>
        <v>0</v>
      </c>
      <c r="X932" s="239">
        <f>IFERROR((HLOOKUP($AH932,Target_monthwise!$D$24:$O$40,DTR!X$4,FALSE)),0)</f>
        <v>0</v>
      </c>
      <c r="Y932" s="239">
        <f>IFERROR((HLOOKUP($AH932,Target_monthwise!$D$24:$O$40,DTR!Y$4,FALSE)),0)</f>
        <v>0</v>
      </c>
      <c r="Z932" s="147">
        <f>IFERROR((HLOOKUP($AH932,Target_monthwise!$D$24:$O$40,DTR!Z$4,FALSE)),0)</f>
        <v>0</v>
      </c>
      <c r="AA932" s="147">
        <f>IFERROR((HLOOKUP($AH932,Target_monthwise!$D$24:$O$40,DTR!AA$4,FALSE)),0)</f>
        <v>0</v>
      </c>
      <c r="AB932" s="147">
        <f>IFERROR((HLOOKUP($AH932,Target_monthwise!$D$24:$O$40,DTR!AB$4,FALSE)),0)</f>
        <v>0</v>
      </c>
      <c r="AC932" s="239">
        <f>IFERROR((HLOOKUP($AH932,Target_monthwise!$D$24:$O$40,DTR!AC$4,FALSE)),0)</f>
        <v>0</v>
      </c>
      <c r="AD932" s="239">
        <f>IFERROR((HLOOKUP($AH932,Target_monthwise!$D$24:$O$40,DTR!AD$4,FALSE)),0)</f>
        <v>0</v>
      </c>
      <c r="AE932" s="239">
        <f>IFERROR((HLOOKUP($AH932,Target_monthwise!$D$24:$O$40,DTR!AE$4,FALSE)),0)</f>
        <v>0</v>
      </c>
      <c r="AF932" s="239">
        <f>IFERROR((HLOOKUP($AH932,Target_monthwise!$D$24:$O$40,DTR!AF$4,FALSE)),0)</f>
        <v>0</v>
      </c>
      <c r="AG932" s="172">
        <f>IFERROR((HLOOKUP($AH932,Target_monthwise!$D$24:$O$40,DTR!AG$4,FALSE)),0)</f>
        <v>0</v>
      </c>
      <c r="AH932" s="253">
        <f t="shared" si="16"/>
        <v>202410</v>
      </c>
    </row>
    <row r="933" spans="3:34" ht="15.75" hidden="1">
      <c r="C933" s="235">
        <v>45576</v>
      </c>
      <c r="D933" s="141">
        <f>IFERROR((HLOOKUP($AH933,Target_monthwise!$D$4:$O$20,DTR!D$4,FALSE))*1000,0)</f>
        <v>0</v>
      </c>
      <c r="E933" s="141">
        <f>IFERROR((HLOOKUP($AH933,Target_monthwise!$D$4:$O$20,DTR!E$4,FALSE))*1000,0)</f>
        <v>0</v>
      </c>
      <c r="F933" s="141">
        <f>IFERROR((HLOOKUP($AH933,Target_monthwise!$D$4:$O$20,DTR!F$4,FALSE))*1000,0)</f>
        <v>0</v>
      </c>
      <c r="G933" s="141">
        <f>IFERROR((HLOOKUP($AH933,Target_monthwise!$D$4:$O$20,DTR!G$4,FALSE))*1000,0)</f>
        <v>0</v>
      </c>
      <c r="H933" s="141">
        <f>IFERROR((HLOOKUP($AH933,Target_monthwise!$D$4:$O$20,DTR!H$4,FALSE))*1000,0)</f>
        <v>0</v>
      </c>
      <c r="I933" s="141">
        <f>IFERROR((HLOOKUP($AH933,Target_monthwise!$D$4:$O$20,DTR!I$4,FALSE))*1000,0)</f>
        <v>0</v>
      </c>
      <c r="J933" s="141">
        <f>IFERROR((HLOOKUP($AH933,Target_monthwise!$D$4:$O$20,DTR!J$4,FALSE))*1000,0)</f>
        <v>0</v>
      </c>
      <c r="K933" s="141">
        <f>IFERROR((HLOOKUP($AH933,Target_monthwise!$D$4:$O$20,DTR!K$4,FALSE))*1000,0)</f>
        <v>0</v>
      </c>
      <c r="L933" s="141">
        <f>IFERROR((HLOOKUP($AH933,Target_monthwise!$D$4:$O$20,DTR!L$4,FALSE))*1000,0)</f>
        <v>0</v>
      </c>
      <c r="M933" s="141">
        <f>IFERROR((HLOOKUP($AH933,Target_monthwise!$D$4:$O$20,DTR!M$4,FALSE))*1000,0)</f>
        <v>0</v>
      </c>
      <c r="N933" s="141">
        <f>IFERROR((HLOOKUP($AH933,Target_monthwise!$D$4:$O$20,DTR!N$4,FALSE))*1000,0)</f>
        <v>0</v>
      </c>
      <c r="O933" s="141">
        <f>IFERROR((HLOOKUP($AH933,Target_monthwise!$D$4:$O$20,DTR!O$4,FALSE))*1000,0)</f>
        <v>0</v>
      </c>
      <c r="P933" s="141">
        <f>IFERROR((HLOOKUP($AH933,Target_monthwise!$D$4:$O$20,DTR!P$4,FALSE))*1000,0)</f>
        <v>0</v>
      </c>
      <c r="Q933" s="141">
        <f>IFERROR((HLOOKUP($AH933,Target_monthwise!$D$4:$O$20,DTR!Q$4,FALSE))*1000,0)</f>
        <v>0</v>
      </c>
      <c r="R933" s="167">
        <f>IFERROR((HLOOKUP($AH933,Target_monthwise!$D$4:$O$20,DTR!R$4,FALSE))*1000,0)</f>
        <v>0</v>
      </c>
      <c r="S933" s="147">
        <f>IFERROR((HLOOKUP($AH933,Target_monthwise!$D$24:$O$40,DTR!S$4,FALSE)),0)</f>
        <v>0</v>
      </c>
      <c r="T933" s="147">
        <f>IFERROR((HLOOKUP($AH933,Target_monthwise!$D$24:$O$40,DTR!T$4,FALSE)),0)</f>
        <v>0</v>
      </c>
      <c r="U933" s="147">
        <f>IFERROR((HLOOKUP($AH933,Target_monthwise!$D$24:$O$40,DTR!U$4,FALSE)),0)</f>
        <v>0</v>
      </c>
      <c r="V933" s="147">
        <f>IFERROR((HLOOKUP($AH933,Target_monthwise!$D$24:$O$40,DTR!V$4,FALSE)),0)</f>
        <v>0</v>
      </c>
      <c r="W933" s="147">
        <f>IFERROR((HLOOKUP($AH933,Target_monthwise!$D$24:$O$40,DTR!W$4,FALSE)),0)</f>
        <v>0</v>
      </c>
      <c r="X933" s="147">
        <f>IFERROR((HLOOKUP($AH933,Target_monthwise!$D$24:$O$40,DTR!X$4,FALSE)),0)</f>
        <v>0</v>
      </c>
      <c r="Y933" s="147">
        <f>IFERROR((HLOOKUP($AH933,Target_monthwise!$D$24:$O$40,DTR!Y$4,FALSE)),0)</f>
        <v>0</v>
      </c>
      <c r="Z933" s="147">
        <f>IFERROR((HLOOKUP($AH933,Target_monthwise!$D$24:$O$40,DTR!Z$4,FALSE)),0)</f>
        <v>0</v>
      </c>
      <c r="AA933" s="147">
        <f>IFERROR((HLOOKUP($AH933,Target_monthwise!$D$24:$O$40,DTR!AA$4,FALSE)),0)</f>
        <v>0</v>
      </c>
      <c r="AB933" s="147">
        <f>IFERROR((HLOOKUP($AH933,Target_monthwise!$D$24:$O$40,DTR!AB$4,FALSE)),0)</f>
        <v>0</v>
      </c>
      <c r="AC933" s="147">
        <f>IFERROR((HLOOKUP($AH933,Target_monthwise!$D$24:$O$40,DTR!AC$4,FALSE)),0)</f>
        <v>0</v>
      </c>
      <c r="AD933" s="147">
        <f>IFERROR((HLOOKUP($AH933,Target_monthwise!$D$24:$O$40,DTR!AD$4,FALSE)),0)</f>
        <v>0</v>
      </c>
      <c r="AE933" s="147">
        <f>IFERROR((HLOOKUP($AH933,Target_monthwise!$D$24:$O$40,DTR!AE$4,FALSE)),0)</f>
        <v>0</v>
      </c>
      <c r="AF933" s="147">
        <f>IFERROR((HLOOKUP($AH933,Target_monthwise!$D$24:$O$40,DTR!AF$4,FALSE)),0)</f>
        <v>0</v>
      </c>
      <c r="AG933" s="172">
        <f>IFERROR((HLOOKUP($AH933,Target_monthwise!$D$24:$O$40,DTR!AG$4,FALSE)),0)</f>
        <v>0</v>
      </c>
      <c r="AH933" s="253">
        <f t="shared" si="16"/>
        <v>202410</v>
      </c>
    </row>
    <row r="934" spans="3:34" ht="15.75" hidden="1">
      <c r="C934" s="237">
        <v>45577</v>
      </c>
      <c r="D934" s="238">
        <f>IFERROR((HLOOKUP($AH934,Target_monthwise!$D$4:$O$20,DTR!D$4,FALSE))*1000,0)</f>
        <v>0</v>
      </c>
      <c r="E934" s="238">
        <f>IFERROR((HLOOKUP($AH934,Target_monthwise!$D$4:$O$20,DTR!E$4,FALSE))*1000,0)</f>
        <v>0</v>
      </c>
      <c r="F934" s="238">
        <f>IFERROR((HLOOKUP($AH934,Target_monthwise!$D$4:$O$20,DTR!F$4,FALSE))*1000,0)</f>
        <v>0</v>
      </c>
      <c r="G934" s="238">
        <f>IFERROR((HLOOKUP($AH934,Target_monthwise!$D$4:$O$20,DTR!G$4,FALSE))*1000,0)</f>
        <v>0</v>
      </c>
      <c r="H934" s="238">
        <f>IFERROR((HLOOKUP($AH934,Target_monthwise!$D$4:$O$20,DTR!H$4,FALSE))*1000,0)</f>
        <v>0</v>
      </c>
      <c r="I934" s="238">
        <f>IFERROR((HLOOKUP($AH934,Target_monthwise!$D$4:$O$20,DTR!I$4,FALSE))*1000,0)</f>
        <v>0</v>
      </c>
      <c r="J934" s="238">
        <f>IFERROR((HLOOKUP($AH934,Target_monthwise!$D$4:$O$20,DTR!J$4,FALSE))*1000,0)</f>
        <v>0</v>
      </c>
      <c r="K934" s="238">
        <f>IFERROR((HLOOKUP($AH934,Target_monthwise!$D$4:$O$20,DTR!K$4,FALSE))*1000,0)</f>
        <v>0</v>
      </c>
      <c r="L934" s="238">
        <f>IFERROR((HLOOKUP($AH934,Target_monthwise!$D$4:$O$20,DTR!L$4,FALSE))*1000,0)</f>
        <v>0</v>
      </c>
      <c r="M934" s="238">
        <f>IFERROR((HLOOKUP($AH934,Target_monthwise!$D$4:$O$20,DTR!M$4,FALSE))*1000,0)</f>
        <v>0</v>
      </c>
      <c r="N934" s="238">
        <f>IFERROR((HLOOKUP($AH934,Target_monthwise!$D$4:$O$20,DTR!N$4,FALSE))*1000,0)</f>
        <v>0</v>
      </c>
      <c r="O934" s="238">
        <f>IFERROR((HLOOKUP($AH934,Target_monthwise!$D$4:$O$20,DTR!O$4,FALSE))*1000,0)</f>
        <v>0</v>
      </c>
      <c r="P934" s="238">
        <f>IFERROR((HLOOKUP($AH934,Target_monthwise!$D$4:$O$20,DTR!P$4,FALSE))*1000,0)</f>
        <v>0</v>
      </c>
      <c r="Q934" s="141">
        <f>IFERROR((HLOOKUP($AH934,Target_monthwise!$D$4:$O$20,DTR!Q$4,FALSE))*1000,0)</f>
        <v>0</v>
      </c>
      <c r="R934" s="167">
        <f>IFERROR((HLOOKUP($AH934,Target_monthwise!$D$4:$O$20,DTR!R$4,FALSE))*1000,0)</f>
        <v>0</v>
      </c>
      <c r="S934" s="239">
        <f>IFERROR((HLOOKUP($AH934,Target_monthwise!$D$24:$O$40,DTR!S$4,FALSE)),0)</f>
        <v>0</v>
      </c>
      <c r="T934" s="239">
        <f>IFERROR((HLOOKUP($AH934,Target_monthwise!$D$24:$O$40,DTR!T$4,FALSE)),0)</f>
        <v>0</v>
      </c>
      <c r="U934" s="239">
        <f>IFERROR((HLOOKUP($AH934,Target_monthwise!$D$24:$O$40,DTR!U$4,FALSE)),0)</f>
        <v>0</v>
      </c>
      <c r="V934" s="239">
        <f>IFERROR((HLOOKUP($AH934,Target_monthwise!$D$24:$O$40,DTR!V$4,FALSE)),0)</f>
        <v>0</v>
      </c>
      <c r="W934" s="239">
        <f>IFERROR((HLOOKUP($AH934,Target_monthwise!$D$24:$O$40,DTR!W$4,FALSE)),0)</f>
        <v>0</v>
      </c>
      <c r="X934" s="239">
        <f>IFERROR((HLOOKUP($AH934,Target_monthwise!$D$24:$O$40,DTR!X$4,FALSE)),0)</f>
        <v>0</v>
      </c>
      <c r="Y934" s="239">
        <f>IFERROR((HLOOKUP($AH934,Target_monthwise!$D$24:$O$40,DTR!Y$4,FALSE)),0)</f>
        <v>0</v>
      </c>
      <c r="Z934" s="147">
        <f>IFERROR((HLOOKUP($AH934,Target_monthwise!$D$24:$O$40,DTR!Z$4,FALSE)),0)</f>
        <v>0</v>
      </c>
      <c r="AA934" s="147">
        <f>IFERROR((HLOOKUP($AH934,Target_monthwise!$D$24:$O$40,DTR!AA$4,FALSE)),0)</f>
        <v>0</v>
      </c>
      <c r="AB934" s="147">
        <f>IFERROR((HLOOKUP($AH934,Target_monthwise!$D$24:$O$40,DTR!AB$4,FALSE)),0)</f>
        <v>0</v>
      </c>
      <c r="AC934" s="239">
        <f>IFERROR((HLOOKUP($AH934,Target_monthwise!$D$24:$O$40,DTR!AC$4,FALSE)),0)</f>
        <v>0</v>
      </c>
      <c r="AD934" s="239">
        <f>IFERROR((HLOOKUP($AH934,Target_monthwise!$D$24:$O$40,DTR!AD$4,FALSE)),0)</f>
        <v>0</v>
      </c>
      <c r="AE934" s="239">
        <f>IFERROR((HLOOKUP($AH934,Target_monthwise!$D$24:$O$40,DTR!AE$4,FALSE)),0)</f>
        <v>0</v>
      </c>
      <c r="AF934" s="239">
        <f>IFERROR((HLOOKUP($AH934,Target_monthwise!$D$24:$O$40,DTR!AF$4,FALSE)),0)</f>
        <v>0</v>
      </c>
      <c r="AG934" s="172">
        <f>IFERROR((HLOOKUP($AH934,Target_monthwise!$D$24:$O$40,DTR!AG$4,FALSE)),0)</f>
        <v>0</v>
      </c>
      <c r="AH934" s="253">
        <f t="shared" si="16"/>
        <v>202410</v>
      </c>
    </row>
    <row r="935" spans="3:34" ht="15.75" hidden="1">
      <c r="C935" s="235">
        <v>45578</v>
      </c>
      <c r="D935" s="141">
        <f>IFERROR((HLOOKUP($AH935,Target_monthwise!$D$4:$O$20,DTR!D$4,FALSE))*1000,0)</f>
        <v>0</v>
      </c>
      <c r="E935" s="141">
        <f>IFERROR((HLOOKUP($AH935,Target_monthwise!$D$4:$O$20,DTR!E$4,FALSE))*1000,0)</f>
        <v>0</v>
      </c>
      <c r="F935" s="141">
        <f>IFERROR((HLOOKUP($AH935,Target_monthwise!$D$4:$O$20,DTR!F$4,FALSE))*1000,0)</f>
        <v>0</v>
      </c>
      <c r="G935" s="141">
        <f>IFERROR((HLOOKUP($AH935,Target_monthwise!$D$4:$O$20,DTR!G$4,FALSE))*1000,0)</f>
        <v>0</v>
      </c>
      <c r="H935" s="141">
        <f>IFERROR((HLOOKUP($AH935,Target_monthwise!$D$4:$O$20,DTR!H$4,FALSE))*1000,0)</f>
        <v>0</v>
      </c>
      <c r="I935" s="141">
        <f>IFERROR((HLOOKUP($AH935,Target_monthwise!$D$4:$O$20,DTR!I$4,FALSE))*1000,0)</f>
        <v>0</v>
      </c>
      <c r="J935" s="141">
        <f>IFERROR((HLOOKUP($AH935,Target_monthwise!$D$4:$O$20,DTR!J$4,FALSE))*1000,0)</f>
        <v>0</v>
      </c>
      <c r="K935" s="141">
        <f>IFERROR((HLOOKUP($AH935,Target_monthwise!$D$4:$O$20,DTR!K$4,FALSE))*1000,0)</f>
        <v>0</v>
      </c>
      <c r="L935" s="141">
        <f>IFERROR((HLOOKUP($AH935,Target_monthwise!$D$4:$O$20,DTR!L$4,FALSE))*1000,0)</f>
        <v>0</v>
      </c>
      <c r="M935" s="141">
        <f>IFERROR((HLOOKUP($AH935,Target_monthwise!$D$4:$O$20,DTR!M$4,FALSE))*1000,0)</f>
        <v>0</v>
      </c>
      <c r="N935" s="141">
        <f>IFERROR((HLOOKUP($AH935,Target_monthwise!$D$4:$O$20,DTR!N$4,FALSE))*1000,0)</f>
        <v>0</v>
      </c>
      <c r="O935" s="141">
        <f>IFERROR((HLOOKUP($AH935,Target_monthwise!$D$4:$O$20,DTR!O$4,FALSE))*1000,0)</f>
        <v>0</v>
      </c>
      <c r="P935" s="141">
        <f>IFERROR((HLOOKUP($AH935,Target_monthwise!$D$4:$O$20,DTR!P$4,FALSE))*1000,0)</f>
        <v>0</v>
      </c>
      <c r="Q935" s="141">
        <f>IFERROR((HLOOKUP($AH935,Target_monthwise!$D$4:$O$20,DTR!Q$4,FALSE))*1000,0)</f>
        <v>0</v>
      </c>
      <c r="R935" s="167">
        <f>IFERROR((HLOOKUP($AH935,Target_monthwise!$D$4:$O$20,DTR!R$4,FALSE))*1000,0)</f>
        <v>0</v>
      </c>
      <c r="S935" s="147">
        <f>IFERROR((HLOOKUP($AH935,Target_monthwise!$D$24:$O$40,DTR!S$4,FALSE)),0)</f>
        <v>0</v>
      </c>
      <c r="T935" s="147">
        <f>IFERROR((HLOOKUP($AH935,Target_monthwise!$D$24:$O$40,DTR!T$4,FALSE)),0)</f>
        <v>0</v>
      </c>
      <c r="U935" s="147">
        <f>IFERROR((HLOOKUP($AH935,Target_monthwise!$D$24:$O$40,DTR!U$4,FALSE)),0)</f>
        <v>0</v>
      </c>
      <c r="V935" s="147">
        <f>IFERROR((HLOOKUP($AH935,Target_monthwise!$D$24:$O$40,DTR!V$4,FALSE)),0)</f>
        <v>0</v>
      </c>
      <c r="W935" s="147">
        <f>IFERROR((HLOOKUP($AH935,Target_monthwise!$D$24:$O$40,DTR!W$4,FALSE)),0)</f>
        <v>0</v>
      </c>
      <c r="X935" s="147">
        <f>IFERROR((HLOOKUP($AH935,Target_monthwise!$D$24:$O$40,DTR!X$4,FALSE)),0)</f>
        <v>0</v>
      </c>
      <c r="Y935" s="147">
        <f>IFERROR((HLOOKUP($AH935,Target_monthwise!$D$24:$O$40,DTR!Y$4,FALSE)),0)</f>
        <v>0</v>
      </c>
      <c r="Z935" s="147">
        <f>IFERROR((HLOOKUP($AH935,Target_monthwise!$D$24:$O$40,DTR!Z$4,FALSE)),0)</f>
        <v>0</v>
      </c>
      <c r="AA935" s="147">
        <f>IFERROR((HLOOKUP($AH935,Target_monthwise!$D$24:$O$40,DTR!AA$4,FALSE)),0)</f>
        <v>0</v>
      </c>
      <c r="AB935" s="147">
        <f>IFERROR((HLOOKUP($AH935,Target_monthwise!$D$24:$O$40,DTR!AB$4,FALSE)),0)</f>
        <v>0</v>
      </c>
      <c r="AC935" s="147">
        <f>IFERROR((HLOOKUP($AH935,Target_monthwise!$D$24:$O$40,DTR!AC$4,FALSE)),0)</f>
        <v>0</v>
      </c>
      <c r="AD935" s="147">
        <f>IFERROR((HLOOKUP($AH935,Target_monthwise!$D$24:$O$40,DTR!AD$4,FALSE)),0)</f>
        <v>0</v>
      </c>
      <c r="AE935" s="147">
        <f>IFERROR((HLOOKUP($AH935,Target_monthwise!$D$24:$O$40,DTR!AE$4,FALSE)),0)</f>
        <v>0</v>
      </c>
      <c r="AF935" s="147">
        <f>IFERROR((HLOOKUP($AH935,Target_monthwise!$D$24:$O$40,DTR!AF$4,FALSE)),0)</f>
        <v>0</v>
      </c>
      <c r="AG935" s="172">
        <f>IFERROR((HLOOKUP($AH935,Target_monthwise!$D$24:$O$40,DTR!AG$4,FALSE)),0)</f>
        <v>0</v>
      </c>
      <c r="AH935" s="253">
        <f t="shared" si="16"/>
        <v>202410</v>
      </c>
    </row>
    <row r="936" spans="3:34" ht="15.75" hidden="1">
      <c r="C936" s="237">
        <v>45579</v>
      </c>
      <c r="D936" s="238">
        <f>IFERROR((HLOOKUP($AH936,Target_monthwise!$D$4:$O$20,DTR!D$4,FALSE))*1000,0)</f>
        <v>0</v>
      </c>
      <c r="E936" s="238">
        <f>IFERROR((HLOOKUP($AH936,Target_monthwise!$D$4:$O$20,DTR!E$4,FALSE))*1000,0)</f>
        <v>0</v>
      </c>
      <c r="F936" s="238">
        <f>IFERROR((HLOOKUP($AH936,Target_monthwise!$D$4:$O$20,DTR!F$4,FALSE))*1000,0)</f>
        <v>0</v>
      </c>
      <c r="G936" s="238">
        <f>IFERROR((HLOOKUP($AH936,Target_monthwise!$D$4:$O$20,DTR!G$4,FALSE))*1000,0)</f>
        <v>0</v>
      </c>
      <c r="H936" s="238">
        <f>IFERROR((HLOOKUP($AH936,Target_monthwise!$D$4:$O$20,DTR!H$4,FALSE))*1000,0)</f>
        <v>0</v>
      </c>
      <c r="I936" s="238">
        <f>IFERROR((HLOOKUP($AH936,Target_monthwise!$D$4:$O$20,DTR!I$4,FALSE))*1000,0)</f>
        <v>0</v>
      </c>
      <c r="J936" s="238">
        <f>IFERROR((HLOOKUP($AH936,Target_monthwise!$D$4:$O$20,DTR!J$4,FALSE))*1000,0)</f>
        <v>0</v>
      </c>
      <c r="K936" s="238">
        <f>IFERROR((HLOOKUP($AH936,Target_monthwise!$D$4:$O$20,DTR!K$4,FALSE))*1000,0)</f>
        <v>0</v>
      </c>
      <c r="L936" s="238">
        <f>IFERROR((HLOOKUP($AH936,Target_monthwise!$D$4:$O$20,DTR!L$4,FALSE))*1000,0)</f>
        <v>0</v>
      </c>
      <c r="M936" s="238">
        <f>IFERROR((HLOOKUP($AH936,Target_monthwise!$D$4:$O$20,DTR!M$4,FALSE))*1000,0)</f>
        <v>0</v>
      </c>
      <c r="N936" s="238">
        <f>IFERROR((HLOOKUP($AH936,Target_monthwise!$D$4:$O$20,DTR!N$4,FALSE))*1000,0)</f>
        <v>0</v>
      </c>
      <c r="O936" s="238">
        <f>IFERROR((HLOOKUP($AH936,Target_monthwise!$D$4:$O$20,DTR!O$4,FALSE))*1000,0)</f>
        <v>0</v>
      </c>
      <c r="P936" s="238">
        <f>IFERROR((HLOOKUP($AH936,Target_monthwise!$D$4:$O$20,DTR!P$4,FALSE))*1000,0)</f>
        <v>0</v>
      </c>
      <c r="Q936" s="141">
        <f>IFERROR((HLOOKUP($AH936,Target_monthwise!$D$4:$O$20,DTR!Q$4,FALSE))*1000,0)</f>
        <v>0</v>
      </c>
      <c r="R936" s="167">
        <f>IFERROR((HLOOKUP($AH936,Target_monthwise!$D$4:$O$20,DTR!R$4,FALSE))*1000,0)</f>
        <v>0</v>
      </c>
      <c r="S936" s="239">
        <f>IFERROR((HLOOKUP($AH936,Target_monthwise!$D$24:$O$40,DTR!S$4,FALSE)),0)</f>
        <v>0</v>
      </c>
      <c r="T936" s="239">
        <f>IFERROR((HLOOKUP($AH936,Target_monthwise!$D$24:$O$40,DTR!T$4,FALSE)),0)</f>
        <v>0</v>
      </c>
      <c r="U936" s="239">
        <f>IFERROR((HLOOKUP($AH936,Target_monthwise!$D$24:$O$40,DTR!U$4,FALSE)),0)</f>
        <v>0</v>
      </c>
      <c r="V936" s="239">
        <f>IFERROR((HLOOKUP($AH936,Target_monthwise!$D$24:$O$40,DTR!V$4,FALSE)),0)</f>
        <v>0</v>
      </c>
      <c r="W936" s="239">
        <f>IFERROR((HLOOKUP($AH936,Target_monthwise!$D$24:$O$40,DTR!W$4,FALSE)),0)</f>
        <v>0</v>
      </c>
      <c r="X936" s="239">
        <f>IFERROR((HLOOKUP($AH936,Target_monthwise!$D$24:$O$40,DTR!X$4,FALSE)),0)</f>
        <v>0</v>
      </c>
      <c r="Y936" s="239">
        <f>IFERROR((HLOOKUP($AH936,Target_monthwise!$D$24:$O$40,DTR!Y$4,FALSE)),0)</f>
        <v>0</v>
      </c>
      <c r="Z936" s="147">
        <f>IFERROR((HLOOKUP($AH936,Target_monthwise!$D$24:$O$40,DTR!Z$4,FALSE)),0)</f>
        <v>0</v>
      </c>
      <c r="AA936" s="147">
        <f>IFERROR((HLOOKUP($AH936,Target_monthwise!$D$24:$O$40,DTR!AA$4,FALSE)),0)</f>
        <v>0</v>
      </c>
      <c r="AB936" s="147">
        <f>IFERROR((HLOOKUP($AH936,Target_monthwise!$D$24:$O$40,DTR!AB$4,FALSE)),0)</f>
        <v>0</v>
      </c>
      <c r="AC936" s="239">
        <f>IFERROR((HLOOKUP($AH936,Target_monthwise!$D$24:$O$40,DTR!AC$4,FALSE)),0)</f>
        <v>0</v>
      </c>
      <c r="AD936" s="239">
        <f>IFERROR((HLOOKUP($AH936,Target_monthwise!$D$24:$O$40,DTR!AD$4,FALSE)),0)</f>
        <v>0</v>
      </c>
      <c r="AE936" s="239">
        <f>IFERROR((HLOOKUP($AH936,Target_monthwise!$D$24:$O$40,DTR!AE$4,FALSE)),0)</f>
        <v>0</v>
      </c>
      <c r="AF936" s="239">
        <f>IFERROR((HLOOKUP($AH936,Target_monthwise!$D$24:$O$40,DTR!AF$4,FALSE)),0)</f>
        <v>0</v>
      </c>
      <c r="AG936" s="172">
        <f>IFERROR((HLOOKUP($AH936,Target_monthwise!$D$24:$O$40,DTR!AG$4,FALSE)),0)</f>
        <v>0</v>
      </c>
      <c r="AH936" s="253">
        <f t="shared" si="16"/>
        <v>202410</v>
      </c>
    </row>
    <row r="937" spans="3:34" ht="15.75" hidden="1">
      <c r="C937" s="235">
        <v>45580</v>
      </c>
      <c r="D937" s="141">
        <f>IFERROR((HLOOKUP($AH937,Target_monthwise!$D$4:$O$20,DTR!D$4,FALSE))*1000,0)</f>
        <v>0</v>
      </c>
      <c r="E937" s="141">
        <f>IFERROR((HLOOKUP($AH937,Target_monthwise!$D$4:$O$20,DTR!E$4,FALSE))*1000,0)</f>
        <v>0</v>
      </c>
      <c r="F937" s="141">
        <f>IFERROR((HLOOKUP($AH937,Target_monthwise!$D$4:$O$20,DTR!F$4,FALSE))*1000,0)</f>
        <v>0</v>
      </c>
      <c r="G937" s="141">
        <f>IFERROR((HLOOKUP($AH937,Target_monthwise!$D$4:$O$20,DTR!G$4,FALSE))*1000,0)</f>
        <v>0</v>
      </c>
      <c r="H937" s="141">
        <f>IFERROR((HLOOKUP($AH937,Target_monthwise!$D$4:$O$20,DTR!H$4,FALSE))*1000,0)</f>
        <v>0</v>
      </c>
      <c r="I937" s="141">
        <f>IFERROR((HLOOKUP($AH937,Target_monthwise!$D$4:$O$20,DTR!I$4,FALSE))*1000,0)</f>
        <v>0</v>
      </c>
      <c r="J937" s="141">
        <f>IFERROR((HLOOKUP($AH937,Target_monthwise!$D$4:$O$20,DTR!J$4,FALSE))*1000,0)</f>
        <v>0</v>
      </c>
      <c r="K937" s="141">
        <f>IFERROR((HLOOKUP($AH937,Target_monthwise!$D$4:$O$20,DTR!K$4,FALSE))*1000,0)</f>
        <v>0</v>
      </c>
      <c r="L937" s="141">
        <f>IFERROR((HLOOKUP($AH937,Target_monthwise!$D$4:$O$20,DTR!L$4,FALSE))*1000,0)</f>
        <v>0</v>
      </c>
      <c r="M937" s="141">
        <f>IFERROR((HLOOKUP($AH937,Target_monthwise!$D$4:$O$20,DTR!M$4,FALSE))*1000,0)</f>
        <v>0</v>
      </c>
      <c r="N937" s="141">
        <f>IFERROR((HLOOKUP($AH937,Target_monthwise!$D$4:$O$20,DTR!N$4,FALSE))*1000,0)</f>
        <v>0</v>
      </c>
      <c r="O937" s="141">
        <f>IFERROR((HLOOKUP($AH937,Target_monthwise!$D$4:$O$20,DTR!O$4,FALSE))*1000,0)</f>
        <v>0</v>
      </c>
      <c r="P937" s="141">
        <f>IFERROR((HLOOKUP($AH937,Target_monthwise!$D$4:$O$20,DTR!P$4,FALSE))*1000,0)</f>
        <v>0</v>
      </c>
      <c r="Q937" s="141">
        <f>IFERROR((HLOOKUP($AH937,Target_monthwise!$D$4:$O$20,DTR!Q$4,FALSE))*1000,0)</f>
        <v>0</v>
      </c>
      <c r="R937" s="167">
        <f>IFERROR((HLOOKUP($AH937,Target_monthwise!$D$4:$O$20,DTR!R$4,FALSE))*1000,0)</f>
        <v>0</v>
      </c>
      <c r="S937" s="147">
        <f>IFERROR((HLOOKUP($AH937,Target_monthwise!$D$24:$O$40,DTR!S$4,FALSE)),0)</f>
        <v>0</v>
      </c>
      <c r="T937" s="147">
        <f>IFERROR((HLOOKUP($AH937,Target_monthwise!$D$24:$O$40,DTR!T$4,FALSE)),0)</f>
        <v>0</v>
      </c>
      <c r="U937" s="147">
        <f>IFERROR((HLOOKUP($AH937,Target_monthwise!$D$24:$O$40,DTR!U$4,FALSE)),0)</f>
        <v>0</v>
      </c>
      <c r="V937" s="147">
        <f>IFERROR((HLOOKUP($AH937,Target_monthwise!$D$24:$O$40,DTR!V$4,FALSE)),0)</f>
        <v>0</v>
      </c>
      <c r="W937" s="147">
        <f>IFERROR((HLOOKUP($AH937,Target_monthwise!$D$24:$O$40,DTR!W$4,FALSE)),0)</f>
        <v>0</v>
      </c>
      <c r="X937" s="147">
        <f>IFERROR((HLOOKUP($AH937,Target_monthwise!$D$24:$O$40,DTR!X$4,FALSE)),0)</f>
        <v>0</v>
      </c>
      <c r="Y937" s="147">
        <f>IFERROR((HLOOKUP($AH937,Target_monthwise!$D$24:$O$40,DTR!Y$4,FALSE)),0)</f>
        <v>0</v>
      </c>
      <c r="Z937" s="147">
        <f>IFERROR((HLOOKUP($AH937,Target_monthwise!$D$24:$O$40,DTR!Z$4,FALSE)),0)</f>
        <v>0</v>
      </c>
      <c r="AA937" s="147">
        <f>IFERROR((HLOOKUP($AH937,Target_monthwise!$D$24:$O$40,DTR!AA$4,FALSE)),0)</f>
        <v>0</v>
      </c>
      <c r="AB937" s="147">
        <f>IFERROR((HLOOKUP($AH937,Target_monthwise!$D$24:$O$40,DTR!AB$4,FALSE)),0)</f>
        <v>0</v>
      </c>
      <c r="AC937" s="147">
        <f>IFERROR((HLOOKUP($AH937,Target_monthwise!$D$24:$O$40,DTR!AC$4,FALSE)),0)</f>
        <v>0</v>
      </c>
      <c r="AD937" s="147">
        <f>IFERROR((HLOOKUP($AH937,Target_monthwise!$D$24:$O$40,DTR!AD$4,FALSE)),0)</f>
        <v>0</v>
      </c>
      <c r="AE937" s="147">
        <f>IFERROR((HLOOKUP($AH937,Target_monthwise!$D$24:$O$40,DTR!AE$4,FALSE)),0)</f>
        <v>0</v>
      </c>
      <c r="AF937" s="147">
        <f>IFERROR((HLOOKUP($AH937,Target_monthwise!$D$24:$O$40,DTR!AF$4,FALSE)),0)</f>
        <v>0</v>
      </c>
      <c r="AG937" s="172">
        <f>IFERROR((HLOOKUP($AH937,Target_monthwise!$D$24:$O$40,DTR!AG$4,FALSE)),0)</f>
        <v>0</v>
      </c>
      <c r="AH937" s="253">
        <f t="shared" si="16"/>
        <v>202410</v>
      </c>
    </row>
    <row r="938" spans="3:34" ht="15.75" hidden="1">
      <c r="C938" s="237">
        <v>45581</v>
      </c>
      <c r="D938" s="238">
        <f>IFERROR((HLOOKUP($AH938,Target_monthwise!$D$4:$O$20,DTR!D$4,FALSE))*1000,0)</f>
        <v>0</v>
      </c>
      <c r="E938" s="238">
        <f>IFERROR((HLOOKUP($AH938,Target_monthwise!$D$4:$O$20,DTR!E$4,FALSE))*1000,0)</f>
        <v>0</v>
      </c>
      <c r="F938" s="238">
        <f>IFERROR((HLOOKUP($AH938,Target_monthwise!$D$4:$O$20,DTR!F$4,FALSE))*1000,0)</f>
        <v>0</v>
      </c>
      <c r="G938" s="238">
        <f>IFERROR((HLOOKUP($AH938,Target_monthwise!$D$4:$O$20,DTR!G$4,FALSE))*1000,0)</f>
        <v>0</v>
      </c>
      <c r="H938" s="238">
        <f>IFERROR((HLOOKUP($AH938,Target_monthwise!$D$4:$O$20,DTR!H$4,FALSE))*1000,0)</f>
        <v>0</v>
      </c>
      <c r="I938" s="238">
        <f>IFERROR((HLOOKUP($AH938,Target_monthwise!$D$4:$O$20,DTR!I$4,FALSE))*1000,0)</f>
        <v>0</v>
      </c>
      <c r="J938" s="238">
        <f>IFERROR((HLOOKUP($AH938,Target_monthwise!$D$4:$O$20,DTR!J$4,FALSE))*1000,0)</f>
        <v>0</v>
      </c>
      <c r="K938" s="238">
        <f>IFERROR((HLOOKUP($AH938,Target_monthwise!$D$4:$O$20,DTR!K$4,FALSE))*1000,0)</f>
        <v>0</v>
      </c>
      <c r="L938" s="238">
        <f>IFERROR((HLOOKUP($AH938,Target_monthwise!$D$4:$O$20,DTR!L$4,FALSE))*1000,0)</f>
        <v>0</v>
      </c>
      <c r="M938" s="238">
        <f>IFERROR((HLOOKUP($AH938,Target_monthwise!$D$4:$O$20,DTR!M$4,FALSE))*1000,0)</f>
        <v>0</v>
      </c>
      <c r="N938" s="238">
        <f>IFERROR((HLOOKUP($AH938,Target_monthwise!$D$4:$O$20,DTR!N$4,FALSE))*1000,0)</f>
        <v>0</v>
      </c>
      <c r="O938" s="238">
        <f>IFERROR((HLOOKUP($AH938,Target_monthwise!$D$4:$O$20,DTR!O$4,FALSE))*1000,0)</f>
        <v>0</v>
      </c>
      <c r="P938" s="238">
        <f>IFERROR((HLOOKUP($AH938,Target_monthwise!$D$4:$O$20,DTR!P$4,FALSE))*1000,0)</f>
        <v>0</v>
      </c>
      <c r="Q938" s="141">
        <f>IFERROR((HLOOKUP($AH938,Target_monthwise!$D$4:$O$20,DTR!Q$4,FALSE))*1000,0)</f>
        <v>0</v>
      </c>
      <c r="R938" s="167">
        <f>IFERROR((HLOOKUP($AH938,Target_monthwise!$D$4:$O$20,DTR!R$4,FALSE))*1000,0)</f>
        <v>0</v>
      </c>
      <c r="S938" s="239">
        <f>IFERROR((HLOOKUP($AH938,Target_monthwise!$D$24:$O$40,DTR!S$4,FALSE)),0)</f>
        <v>0</v>
      </c>
      <c r="T938" s="239">
        <f>IFERROR((HLOOKUP($AH938,Target_monthwise!$D$24:$O$40,DTR!T$4,FALSE)),0)</f>
        <v>0</v>
      </c>
      <c r="U938" s="239">
        <f>IFERROR((HLOOKUP($AH938,Target_monthwise!$D$24:$O$40,DTR!U$4,FALSE)),0)</f>
        <v>0</v>
      </c>
      <c r="V938" s="239">
        <f>IFERROR((HLOOKUP($AH938,Target_monthwise!$D$24:$O$40,DTR!V$4,FALSE)),0)</f>
        <v>0</v>
      </c>
      <c r="W938" s="239">
        <f>IFERROR((HLOOKUP($AH938,Target_monthwise!$D$24:$O$40,DTR!W$4,FALSE)),0)</f>
        <v>0</v>
      </c>
      <c r="X938" s="239">
        <f>IFERROR((HLOOKUP($AH938,Target_monthwise!$D$24:$O$40,DTR!X$4,FALSE)),0)</f>
        <v>0</v>
      </c>
      <c r="Y938" s="239">
        <f>IFERROR((HLOOKUP($AH938,Target_monthwise!$D$24:$O$40,DTR!Y$4,FALSE)),0)</f>
        <v>0</v>
      </c>
      <c r="Z938" s="147">
        <f>IFERROR((HLOOKUP($AH938,Target_monthwise!$D$24:$O$40,DTR!Z$4,FALSE)),0)</f>
        <v>0</v>
      </c>
      <c r="AA938" s="147">
        <f>IFERROR((HLOOKUP($AH938,Target_monthwise!$D$24:$O$40,DTR!AA$4,FALSE)),0)</f>
        <v>0</v>
      </c>
      <c r="AB938" s="147">
        <f>IFERROR((HLOOKUP($AH938,Target_monthwise!$D$24:$O$40,DTR!AB$4,FALSE)),0)</f>
        <v>0</v>
      </c>
      <c r="AC938" s="239">
        <f>IFERROR((HLOOKUP($AH938,Target_monthwise!$D$24:$O$40,DTR!AC$4,FALSE)),0)</f>
        <v>0</v>
      </c>
      <c r="AD938" s="239">
        <f>IFERROR((HLOOKUP($AH938,Target_monthwise!$D$24:$O$40,DTR!AD$4,FALSE)),0)</f>
        <v>0</v>
      </c>
      <c r="AE938" s="239">
        <f>IFERROR((HLOOKUP($AH938,Target_monthwise!$D$24:$O$40,DTR!AE$4,FALSE)),0)</f>
        <v>0</v>
      </c>
      <c r="AF938" s="239">
        <f>IFERROR((HLOOKUP($AH938,Target_monthwise!$D$24:$O$40,DTR!AF$4,FALSE)),0)</f>
        <v>0</v>
      </c>
      <c r="AG938" s="172">
        <f>IFERROR((HLOOKUP($AH938,Target_monthwise!$D$24:$O$40,DTR!AG$4,FALSE)),0)</f>
        <v>0</v>
      </c>
      <c r="AH938" s="253">
        <f t="shared" si="16"/>
        <v>202410</v>
      </c>
    </row>
    <row r="939" spans="3:34" ht="15.75" hidden="1">
      <c r="C939" s="235">
        <v>45582</v>
      </c>
      <c r="D939" s="141">
        <f>IFERROR((HLOOKUP($AH939,Target_monthwise!$D$4:$O$20,DTR!D$4,FALSE))*1000,0)</f>
        <v>0</v>
      </c>
      <c r="E939" s="141">
        <f>IFERROR((HLOOKUP($AH939,Target_monthwise!$D$4:$O$20,DTR!E$4,FALSE))*1000,0)</f>
        <v>0</v>
      </c>
      <c r="F939" s="141">
        <f>IFERROR((HLOOKUP($AH939,Target_monthwise!$D$4:$O$20,DTR!F$4,FALSE))*1000,0)</f>
        <v>0</v>
      </c>
      <c r="G939" s="141">
        <f>IFERROR((HLOOKUP($AH939,Target_monthwise!$D$4:$O$20,DTR!G$4,FALSE))*1000,0)</f>
        <v>0</v>
      </c>
      <c r="H939" s="141">
        <f>IFERROR((HLOOKUP($AH939,Target_monthwise!$D$4:$O$20,DTR!H$4,FALSE))*1000,0)</f>
        <v>0</v>
      </c>
      <c r="I939" s="141">
        <f>IFERROR((HLOOKUP($AH939,Target_monthwise!$D$4:$O$20,DTR!I$4,FALSE))*1000,0)</f>
        <v>0</v>
      </c>
      <c r="J939" s="141">
        <f>IFERROR((HLOOKUP($AH939,Target_monthwise!$D$4:$O$20,DTR!J$4,FALSE))*1000,0)</f>
        <v>0</v>
      </c>
      <c r="K939" s="141">
        <f>IFERROR((HLOOKUP($AH939,Target_monthwise!$D$4:$O$20,DTR!K$4,FALSE))*1000,0)</f>
        <v>0</v>
      </c>
      <c r="L939" s="141">
        <f>IFERROR((HLOOKUP($AH939,Target_monthwise!$D$4:$O$20,DTR!L$4,FALSE))*1000,0)</f>
        <v>0</v>
      </c>
      <c r="M939" s="141">
        <f>IFERROR((HLOOKUP($AH939,Target_monthwise!$D$4:$O$20,DTR!M$4,FALSE))*1000,0)</f>
        <v>0</v>
      </c>
      <c r="N939" s="141">
        <f>IFERROR((HLOOKUP($AH939,Target_monthwise!$D$4:$O$20,DTR!N$4,FALSE))*1000,0)</f>
        <v>0</v>
      </c>
      <c r="O939" s="141">
        <f>IFERROR((HLOOKUP($AH939,Target_monthwise!$D$4:$O$20,DTR!O$4,FALSE))*1000,0)</f>
        <v>0</v>
      </c>
      <c r="P939" s="141">
        <f>IFERROR((HLOOKUP($AH939,Target_monthwise!$D$4:$O$20,DTR!P$4,FALSE))*1000,0)</f>
        <v>0</v>
      </c>
      <c r="Q939" s="141">
        <f>IFERROR((HLOOKUP($AH939,Target_monthwise!$D$4:$O$20,DTR!Q$4,FALSE))*1000,0)</f>
        <v>0</v>
      </c>
      <c r="R939" s="167">
        <f>IFERROR((HLOOKUP($AH939,Target_monthwise!$D$4:$O$20,DTR!R$4,FALSE))*1000,0)</f>
        <v>0</v>
      </c>
      <c r="S939" s="147">
        <f>IFERROR((HLOOKUP($AH939,Target_monthwise!$D$24:$O$40,DTR!S$4,FALSE)),0)</f>
        <v>0</v>
      </c>
      <c r="T939" s="147">
        <f>IFERROR((HLOOKUP($AH939,Target_monthwise!$D$24:$O$40,DTR!T$4,FALSE)),0)</f>
        <v>0</v>
      </c>
      <c r="U939" s="147">
        <f>IFERROR((HLOOKUP($AH939,Target_monthwise!$D$24:$O$40,DTR!U$4,FALSE)),0)</f>
        <v>0</v>
      </c>
      <c r="V939" s="147">
        <f>IFERROR((HLOOKUP($AH939,Target_monthwise!$D$24:$O$40,DTR!V$4,FALSE)),0)</f>
        <v>0</v>
      </c>
      <c r="W939" s="147">
        <f>IFERROR((HLOOKUP($AH939,Target_monthwise!$D$24:$O$40,DTR!W$4,FALSE)),0)</f>
        <v>0</v>
      </c>
      <c r="X939" s="147">
        <f>IFERROR((HLOOKUP($AH939,Target_monthwise!$D$24:$O$40,DTR!X$4,FALSE)),0)</f>
        <v>0</v>
      </c>
      <c r="Y939" s="147">
        <f>IFERROR((HLOOKUP($AH939,Target_monthwise!$D$24:$O$40,DTR!Y$4,FALSE)),0)</f>
        <v>0</v>
      </c>
      <c r="Z939" s="147">
        <f>IFERROR((HLOOKUP($AH939,Target_monthwise!$D$24:$O$40,DTR!Z$4,FALSE)),0)</f>
        <v>0</v>
      </c>
      <c r="AA939" s="147">
        <f>IFERROR((HLOOKUP($AH939,Target_monthwise!$D$24:$O$40,DTR!AA$4,FALSE)),0)</f>
        <v>0</v>
      </c>
      <c r="AB939" s="147">
        <f>IFERROR((HLOOKUP($AH939,Target_monthwise!$D$24:$O$40,DTR!AB$4,FALSE)),0)</f>
        <v>0</v>
      </c>
      <c r="AC939" s="147">
        <f>IFERROR((HLOOKUP($AH939,Target_monthwise!$D$24:$O$40,DTR!AC$4,FALSE)),0)</f>
        <v>0</v>
      </c>
      <c r="AD939" s="147">
        <f>IFERROR((HLOOKUP($AH939,Target_monthwise!$D$24:$O$40,DTR!AD$4,FALSE)),0)</f>
        <v>0</v>
      </c>
      <c r="AE939" s="147">
        <f>IFERROR((HLOOKUP($AH939,Target_monthwise!$D$24:$O$40,DTR!AE$4,FALSE)),0)</f>
        <v>0</v>
      </c>
      <c r="AF939" s="147">
        <f>IFERROR((HLOOKUP($AH939,Target_monthwise!$D$24:$O$40,DTR!AF$4,FALSE)),0)</f>
        <v>0</v>
      </c>
      <c r="AG939" s="172">
        <f>IFERROR((HLOOKUP($AH939,Target_monthwise!$D$24:$O$40,DTR!AG$4,FALSE)),0)</f>
        <v>0</v>
      </c>
      <c r="AH939" s="253">
        <f t="shared" si="16"/>
        <v>202410</v>
      </c>
    </row>
    <row r="940" spans="3:34" ht="15.75" hidden="1">
      <c r="C940" s="237">
        <v>45583</v>
      </c>
      <c r="D940" s="238">
        <f>IFERROR((HLOOKUP($AH940,Target_monthwise!$D$4:$O$20,DTR!D$4,FALSE))*1000,0)</f>
        <v>0</v>
      </c>
      <c r="E940" s="238">
        <f>IFERROR((HLOOKUP($AH940,Target_monthwise!$D$4:$O$20,DTR!E$4,FALSE))*1000,0)</f>
        <v>0</v>
      </c>
      <c r="F940" s="238">
        <f>IFERROR((HLOOKUP($AH940,Target_monthwise!$D$4:$O$20,DTR!F$4,FALSE))*1000,0)</f>
        <v>0</v>
      </c>
      <c r="G940" s="238">
        <f>IFERROR((HLOOKUP($AH940,Target_monthwise!$D$4:$O$20,DTR!G$4,FALSE))*1000,0)</f>
        <v>0</v>
      </c>
      <c r="H940" s="238">
        <f>IFERROR((HLOOKUP($AH940,Target_monthwise!$D$4:$O$20,DTR!H$4,FALSE))*1000,0)</f>
        <v>0</v>
      </c>
      <c r="I940" s="238">
        <f>IFERROR((HLOOKUP($AH940,Target_monthwise!$D$4:$O$20,DTR!I$4,FALSE))*1000,0)</f>
        <v>0</v>
      </c>
      <c r="J940" s="238">
        <f>IFERROR((HLOOKUP($AH940,Target_monthwise!$D$4:$O$20,DTR!J$4,FALSE))*1000,0)</f>
        <v>0</v>
      </c>
      <c r="K940" s="238">
        <f>IFERROR((HLOOKUP($AH940,Target_monthwise!$D$4:$O$20,DTR!K$4,FALSE))*1000,0)</f>
        <v>0</v>
      </c>
      <c r="L940" s="238">
        <f>IFERROR((HLOOKUP($AH940,Target_monthwise!$D$4:$O$20,DTR!L$4,FALSE))*1000,0)</f>
        <v>0</v>
      </c>
      <c r="M940" s="238">
        <f>IFERROR((HLOOKUP($AH940,Target_monthwise!$D$4:$O$20,DTR!M$4,FALSE))*1000,0)</f>
        <v>0</v>
      </c>
      <c r="N940" s="238">
        <f>IFERROR((HLOOKUP($AH940,Target_monthwise!$D$4:$O$20,DTR!N$4,FALSE))*1000,0)</f>
        <v>0</v>
      </c>
      <c r="O940" s="238">
        <f>IFERROR((HLOOKUP($AH940,Target_monthwise!$D$4:$O$20,DTR!O$4,FALSE))*1000,0)</f>
        <v>0</v>
      </c>
      <c r="P940" s="238">
        <f>IFERROR((HLOOKUP($AH940,Target_monthwise!$D$4:$O$20,DTR!P$4,FALSE))*1000,0)</f>
        <v>0</v>
      </c>
      <c r="Q940" s="141">
        <f>IFERROR((HLOOKUP($AH940,Target_monthwise!$D$4:$O$20,DTR!Q$4,FALSE))*1000,0)</f>
        <v>0</v>
      </c>
      <c r="R940" s="167">
        <f>IFERROR((HLOOKUP($AH940,Target_monthwise!$D$4:$O$20,DTR!R$4,FALSE))*1000,0)</f>
        <v>0</v>
      </c>
      <c r="S940" s="239">
        <f>IFERROR((HLOOKUP($AH940,Target_monthwise!$D$24:$O$40,DTR!S$4,FALSE)),0)</f>
        <v>0</v>
      </c>
      <c r="T940" s="239">
        <f>IFERROR((HLOOKUP($AH940,Target_monthwise!$D$24:$O$40,DTR!T$4,FALSE)),0)</f>
        <v>0</v>
      </c>
      <c r="U940" s="239">
        <f>IFERROR((HLOOKUP($AH940,Target_monthwise!$D$24:$O$40,DTR!U$4,FALSE)),0)</f>
        <v>0</v>
      </c>
      <c r="V940" s="239">
        <f>IFERROR((HLOOKUP($AH940,Target_monthwise!$D$24:$O$40,DTR!V$4,FALSE)),0)</f>
        <v>0</v>
      </c>
      <c r="W940" s="239">
        <f>IFERROR((HLOOKUP($AH940,Target_monthwise!$D$24:$O$40,DTR!W$4,FALSE)),0)</f>
        <v>0</v>
      </c>
      <c r="X940" s="239">
        <f>IFERROR((HLOOKUP($AH940,Target_monthwise!$D$24:$O$40,DTR!X$4,FALSE)),0)</f>
        <v>0</v>
      </c>
      <c r="Y940" s="239">
        <f>IFERROR((HLOOKUP($AH940,Target_monthwise!$D$24:$O$40,DTR!Y$4,FALSE)),0)</f>
        <v>0</v>
      </c>
      <c r="Z940" s="147">
        <f>IFERROR((HLOOKUP($AH940,Target_monthwise!$D$24:$O$40,DTR!Z$4,FALSE)),0)</f>
        <v>0</v>
      </c>
      <c r="AA940" s="147">
        <f>IFERROR((HLOOKUP($AH940,Target_monthwise!$D$24:$O$40,DTR!AA$4,FALSE)),0)</f>
        <v>0</v>
      </c>
      <c r="AB940" s="147">
        <f>IFERROR((HLOOKUP($AH940,Target_monthwise!$D$24:$O$40,DTR!AB$4,FALSE)),0)</f>
        <v>0</v>
      </c>
      <c r="AC940" s="239">
        <f>IFERROR((HLOOKUP($AH940,Target_monthwise!$D$24:$O$40,DTR!AC$4,FALSE)),0)</f>
        <v>0</v>
      </c>
      <c r="AD940" s="239">
        <f>IFERROR((HLOOKUP($AH940,Target_monthwise!$D$24:$O$40,DTR!AD$4,FALSE)),0)</f>
        <v>0</v>
      </c>
      <c r="AE940" s="239">
        <f>IFERROR((HLOOKUP($AH940,Target_monthwise!$D$24:$O$40,DTR!AE$4,FALSE)),0)</f>
        <v>0</v>
      </c>
      <c r="AF940" s="239">
        <f>IFERROR((HLOOKUP($AH940,Target_monthwise!$D$24:$O$40,DTR!AF$4,FALSE)),0)</f>
        <v>0</v>
      </c>
      <c r="AG940" s="172">
        <f>IFERROR((HLOOKUP($AH940,Target_monthwise!$D$24:$O$40,DTR!AG$4,FALSE)),0)</f>
        <v>0</v>
      </c>
      <c r="AH940" s="253">
        <f t="shared" si="16"/>
        <v>202410</v>
      </c>
    </row>
    <row r="941" spans="3:34" ht="15.75" hidden="1">
      <c r="C941" s="235">
        <v>45584</v>
      </c>
      <c r="D941" s="141">
        <f>IFERROR((HLOOKUP($AH941,Target_monthwise!$D$4:$O$20,DTR!D$4,FALSE))*1000,0)</f>
        <v>0</v>
      </c>
      <c r="E941" s="141">
        <f>IFERROR((HLOOKUP($AH941,Target_monthwise!$D$4:$O$20,DTR!E$4,FALSE))*1000,0)</f>
        <v>0</v>
      </c>
      <c r="F941" s="141">
        <f>IFERROR((HLOOKUP($AH941,Target_monthwise!$D$4:$O$20,DTR!F$4,FALSE))*1000,0)</f>
        <v>0</v>
      </c>
      <c r="G941" s="141">
        <f>IFERROR((HLOOKUP($AH941,Target_monthwise!$D$4:$O$20,DTR!G$4,FALSE))*1000,0)</f>
        <v>0</v>
      </c>
      <c r="H941" s="141">
        <f>IFERROR((HLOOKUP($AH941,Target_monthwise!$D$4:$O$20,DTR!H$4,FALSE))*1000,0)</f>
        <v>0</v>
      </c>
      <c r="I941" s="141">
        <f>IFERROR((HLOOKUP($AH941,Target_monthwise!$D$4:$O$20,DTR!I$4,FALSE))*1000,0)</f>
        <v>0</v>
      </c>
      <c r="J941" s="141">
        <f>IFERROR((HLOOKUP($AH941,Target_monthwise!$D$4:$O$20,DTR!J$4,FALSE))*1000,0)</f>
        <v>0</v>
      </c>
      <c r="K941" s="141">
        <f>IFERROR((HLOOKUP($AH941,Target_monthwise!$D$4:$O$20,DTR!K$4,FALSE))*1000,0)</f>
        <v>0</v>
      </c>
      <c r="L941" s="141">
        <f>IFERROR((HLOOKUP($AH941,Target_monthwise!$D$4:$O$20,DTR!L$4,FALSE))*1000,0)</f>
        <v>0</v>
      </c>
      <c r="M941" s="141">
        <f>IFERROR((HLOOKUP($AH941,Target_monthwise!$D$4:$O$20,DTR!M$4,FALSE))*1000,0)</f>
        <v>0</v>
      </c>
      <c r="N941" s="141">
        <f>IFERROR((HLOOKUP($AH941,Target_monthwise!$D$4:$O$20,DTR!N$4,FALSE))*1000,0)</f>
        <v>0</v>
      </c>
      <c r="O941" s="141">
        <f>IFERROR((HLOOKUP($AH941,Target_monthwise!$D$4:$O$20,DTR!O$4,FALSE))*1000,0)</f>
        <v>0</v>
      </c>
      <c r="P941" s="141">
        <f>IFERROR((HLOOKUP($AH941,Target_monthwise!$D$4:$O$20,DTR!P$4,FALSE))*1000,0)</f>
        <v>0</v>
      </c>
      <c r="Q941" s="141">
        <f>IFERROR((HLOOKUP($AH941,Target_monthwise!$D$4:$O$20,DTR!Q$4,FALSE))*1000,0)</f>
        <v>0</v>
      </c>
      <c r="R941" s="167">
        <f>IFERROR((HLOOKUP($AH941,Target_monthwise!$D$4:$O$20,DTR!R$4,FALSE))*1000,0)</f>
        <v>0</v>
      </c>
      <c r="S941" s="147">
        <f>IFERROR((HLOOKUP($AH941,Target_monthwise!$D$24:$O$40,DTR!S$4,FALSE)),0)</f>
        <v>0</v>
      </c>
      <c r="T941" s="147">
        <f>IFERROR((HLOOKUP($AH941,Target_monthwise!$D$24:$O$40,DTR!T$4,FALSE)),0)</f>
        <v>0</v>
      </c>
      <c r="U941" s="147">
        <f>IFERROR((HLOOKUP($AH941,Target_monthwise!$D$24:$O$40,DTR!U$4,FALSE)),0)</f>
        <v>0</v>
      </c>
      <c r="V941" s="147">
        <f>IFERROR((HLOOKUP($AH941,Target_monthwise!$D$24:$O$40,DTR!V$4,FALSE)),0)</f>
        <v>0</v>
      </c>
      <c r="W941" s="147">
        <f>IFERROR((HLOOKUP($AH941,Target_monthwise!$D$24:$O$40,DTR!W$4,FALSE)),0)</f>
        <v>0</v>
      </c>
      <c r="X941" s="147">
        <f>IFERROR((HLOOKUP($AH941,Target_monthwise!$D$24:$O$40,DTR!X$4,FALSE)),0)</f>
        <v>0</v>
      </c>
      <c r="Y941" s="147">
        <f>IFERROR((HLOOKUP($AH941,Target_monthwise!$D$24:$O$40,DTR!Y$4,FALSE)),0)</f>
        <v>0</v>
      </c>
      <c r="Z941" s="147">
        <f>IFERROR((HLOOKUP($AH941,Target_monthwise!$D$24:$O$40,DTR!Z$4,FALSE)),0)</f>
        <v>0</v>
      </c>
      <c r="AA941" s="147">
        <f>IFERROR((HLOOKUP($AH941,Target_monthwise!$D$24:$O$40,DTR!AA$4,FALSE)),0)</f>
        <v>0</v>
      </c>
      <c r="AB941" s="147">
        <f>IFERROR((HLOOKUP($AH941,Target_monthwise!$D$24:$O$40,DTR!AB$4,FALSE)),0)</f>
        <v>0</v>
      </c>
      <c r="AC941" s="147">
        <f>IFERROR((HLOOKUP($AH941,Target_monthwise!$D$24:$O$40,DTR!AC$4,FALSE)),0)</f>
        <v>0</v>
      </c>
      <c r="AD941" s="147">
        <f>IFERROR((HLOOKUP($AH941,Target_monthwise!$D$24:$O$40,DTR!AD$4,FALSE)),0)</f>
        <v>0</v>
      </c>
      <c r="AE941" s="147">
        <f>IFERROR((HLOOKUP($AH941,Target_monthwise!$D$24:$O$40,DTR!AE$4,FALSE)),0)</f>
        <v>0</v>
      </c>
      <c r="AF941" s="147">
        <f>IFERROR((HLOOKUP($AH941,Target_monthwise!$D$24:$O$40,DTR!AF$4,FALSE)),0)</f>
        <v>0</v>
      </c>
      <c r="AG941" s="172">
        <f>IFERROR((HLOOKUP($AH941,Target_monthwise!$D$24:$O$40,DTR!AG$4,FALSE)),0)</f>
        <v>0</v>
      </c>
      <c r="AH941" s="253">
        <f t="shared" si="16"/>
        <v>202410</v>
      </c>
    </row>
    <row r="942" spans="3:34" ht="15.75" hidden="1">
      <c r="C942" s="237">
        <v>45585</v>
      </c>
      <c r="D942" s="238">
        <f>IFERROR((HLOOKUP($AH942,Target_monthwise!$D$4:$O$20,DTR!D$4,FALSE))*1000,0)</f>
        <v>0</v>
      </c>
      <c r="E942" s="238">
        <f>IFERROR((HLOOKUP($AH942,Target_monthwise!$D$4:$O$20,DTR!E$4,FALSE))*1000,0)</f>
        <v>0</v>
      </c>
      <c r="F942" s="238">
        <f>IFERROR((HLOOKUP($AH942,Target_monthwise!$D$4:$O$20,DTR!F$4,FALSE))*1000,0)</f>
        <v>0</v>
      </c>
      <c r="G942" s="238">
        <f>IFERROR((HLOOKUP($AH942,Target_monthwise!$D$4:$O$20,DTR!G$4,FALSE))*1000,0)</f>
        <v>0</v>
      </c>
      <c r="H942" s="238">
        <f>IFERROR((HLOOKUP($AH942,Target_monthwise!$D$4:$O$20,DTR!H$4,FALSE))*1000,0)</f>
        <v>0</v>
      </c>
      <c r="I942" s="238">
        <f>IFERROR((HLOOKUP($AH942,Target_monthwise!$D$4:$O$20,DTR!I$4,FALSE))*1000,0)</f>
        <v>0</v>
      </c>
      <c r="J942" s="238">
        <f>IFERROR((HLOOKUP($AH942,Target_monthwise!$D$4:$O$20,DTR!J$4,FALSE))*1000,0)</f>
        <v>0</v>
      </c>
      <c r="K942" s="238">
        <f>IFERROR((HLOOKUP($AH942,Target_monthwise!$D$4:$O$20,DTR!K$4,FALSE))*1000,0)</f>
        <v>0</v>
      </c>
      <c r="L942" s="238">
        <f>IFERROR((HLOOKUP($AH942,Target_monthwise!$D$4:$O$20,DTR!L$4,FALSE))*1000,0)</f>
        <v>0</v>
      </c>
      <c r="M942" s="238">
        <f>IFERROR((HLOOKUP($AH942,Target_monthwise!$D$4:$O$20,DTR!M$4,FALSE))*1000,0)</f>
        <v>0</v>
      </c>
      <c r="N942" s="238">
        <f>IFERROR((HLOOKUP($AH942,Target_monthwise!$D$4:$O$20,DTR!N$4,FALSE))*1000,0)</f>
        <v>0</v>
      </c>
      <c r="O942" s="238">
        <f>IFERROR((HLOOKUP($AH942,Target_monthwise!$D$4:$O$20,DTR!O$4,FALSE))*1000,0)</f>
        <v>0</v>
      </c>
      <c r="P942" s="238">
        <f>IFERROR((HLOOKUP($AH942,Target_monthwise!$D$4:$O$20,DTR!P$4,FALSE))*1000,0)</f>
        <v>0</v>
      </c>
      <c r="Q942" s="141">
        <f>IFERROR((HLOOKUP($AH942,Target_monthwise!$D$4:$O$20,DTR!Q$4,FALSE))*1000,0)</f>
        <v>0</v>
      </c>
      <c r="R942" s="167">
        <f>IFERROR((HLOOKUP($AH942,Target_monthwise!$D$4:$O$20,DTR!R$4,FALSE))*1000,0)</f>
        <v>0</v>
      </c>
      <c r="S942" s="239">
        <f>IFERROR((HLOOKUP($AH942,Target_monthwise!$D$24:$O$40,DTR!S$4,FALSE)),0)</f>
        <v>0</v>
      </c>
      <c r="T942" s="239">
        <f>IFERROR((HLOOKUP($AH942,Target_monthwise!$D$24:$O$40,DTR!T$4,FALSE)),0)</f>
        <v>0</v>
      </c>
      <c r="U942" s="239">
        <f>IFERROR((HLOOKUP($AH942,Target_monthwise!$D$24:$O$40,DTR!U$4,FALSE)),0)</f>
        <v>0</v>
      </c>
      <c r="V942" s="239">
        <f>IFERROR((HLOOKUP($AH942,Target_monthwise!$D$24:$O$40,DTR!V$4,FALSE)),0)</f>
        <v>0</v>
      </c>
      <c r="W942" s="239">
        <f>IFERROR((HLOOKUP($AH942,Target_monthwise!$D$24:$O$40,DTR!W$4,FALSE)),0)</f>
        <v>0</v>
      </c>
      <c r="X942" s="239">
        <f>IFERROR((HLOOKUP($AH942,Target_monthwise!$D$24:$O$40,DTR!X$4,FALSE)),0)</f>
        <v>0</v>
      </c>
      <c r="Y942" s="239">
        <f>IFERROR((HLOOKUP($AH942,Target_monthwise!$D$24:$O$40,DTR!Y$4,FALSE)),0)</f>
        <v>0</v>
      </c>
      <c r="Z942" s="147">
        <f>IFERROR((HLOOKUP($AH942,Target_monthwise!$D$24:$O$40,DTR!Z$4,FALSE)),0)</f>
        <v>0</v>
      </c>
      <c r="AA942" s="147">
        <f>IFERROR((HLOOKUP($AH942,Target_monthwise!$D$24:$O$40,DTR!AA$4,FALSE)),0)</f>
        <v>0</v>
      </c>
      <c r="AB942" s="147">
        <f>IFERROR((HLOOKUP($AH942,Target_monthwise!$D$24:$O$40,DTR!AB$4,FALSE)),0)</f>
        <v>0</v>
      </c>
      <c r="AC942" s="239">
        <f>IFERROR((HLOOKUP($AH942,Target_monthwise!$D$24:$O$40,DTR!AC$4,FALSE)),0)</f>
        <v>0</v>
      </c>
      <c r="AD942" s="239">
        <f>IFERROR((HLOOKUP($AH942,Target_monthwise!$D$24:$O$40,DTR!AD$4,FALSE)),0)</f>
        <v>0</v>
      </c>
      <c r="AE942" s="239">
        <f>IFERROR((HLOOKUP($AH942,Target_monthwise!$D$24:$O$40,DTR!AE$4,FALSE)),0)</f>
        <v>0</v>
      </c>
      <c r="AF942" s="239">
        <f>IFERROR((HLOOKUP($AH942,Target_monthwise!$D$24:$O$40,DTR!AF$4,FALSE)),0)</f>
        <v>0</v>
      </c>
      <c r="AG942" s="172">
        <f>IFERROR((HLOOKUP($AH942,Target_monthwise!$D$24:$O$40,DTR!AG$4,FALSE)),0)</f>
        <v>0</v>
      </c>
      <c r="AH942" s="253">
        <f t="shared" si="16"/>
        <v>202410</v>
      </c>
    </row>
    <row r="943" spans="3:34" ht="15.75" hidden="1">
      <c r="C943" s="235">
        <v>45586</v>
      </c>
      <c r="D943" s="141">
        <f>IFERROR((HLOOKUP($AH943,Target_monthwise!$D$4:$O$20,DTR!D$4,FALSE))*1000,0)</f>
        <v>0</v>
      </c>
      <c r="E943" s="141">
        <f>IFERROR((HLOOKUP($AH943,Target_monthwise!$D$4:$O$20,DTR!E$4,FALSE))*1000,0)</f>
        <v>0</v>
      </c>
      <c r="F943" s="141">
        <f>IFERROR((HLOOKUP($AH943,Target_monthwise!$D$4:$O$20,DTR!F$4,FALSE))*1000,0)</f>
        <v>0</v>
      </c>
      <c r="G943" s="141">
        <f>IFERROR((HLOOKUP($AH943,Target_monthwise!$D$4:$O$20,DTR!G$4,FALSE))*1000,0)</f>
        <v>0</v>
      </c>
      <c r="H943" s="141">
        <f>IFERROR((HLOOKUP($AH943,Target_monthwise!$D$4:$O$20,DTR!H$4,FALSE))*1000,0)</f>
        <v>0</v>
      </c>
      <c r="I943" s="141">
        <f>IFERROR((HLOOKUP($AH943,Target_monthwise!$D$4:$O$20,DTR!I$4,FALSE))*1000,0)</f>
        <v>0</v>
      </c>
      <c r="J943" s="141">
        <f>IFERROR((HLOOKUP($AH943,Target_monthwise!$D$4:$O$20,DTR!J$4,FALSE))*1000,0)</f>
        <v>0</v>
      </c>
      <c r="K943" s="141">
        <f>IFERROR((HLOOKUP($AH943,Target_monthwise!$D$4:$O$20,DTR!K$4,FALSE))*1000,0)</f>
        <v>0</v>
      </c>
      <c r="L943" s="141">
        <f>IFERROR((HLOOKUP($AH943,Target_monthwise!$D$4:$O$20,DTR!L$4,FALSE))*1000,0)</f>
        <v>0</v>
      </c>
      <c r="M943" s="141">
        <f>IFERROR((HLOOKUP($AH943,Target_monthwise!$D$4:$O$20,DTR!M$4,FALSE))*1000,0)</f>
        <v>0</v>
      </c>
      <c r="N943" s="141">
        <f>IFERROR((HLOOKUP($AH943,Target_monthwise!$D$4:$O$20,DTR!N$4,FALSE))*1000,0)</f>
        <v>0</v>
      </c>
      <c r="O943" s="141">
        <f>IFERROR((HLOOKUP($AH943,Target_monthwise!$D$4:$O$20,DTR!O$4,FALSE))*1000,0)</f>
        <v>0</v>
      </c>
      <c r="P943" s="141">
        <f>IFERROR((HLOOKUP($AH943,Target_monthwise!$D$4:$O$20,DTR!P$4,FALSE))*1000,0)</f>
        <v>0</v>
      </c>
      <c r="Q943" s="141">
        <f>IFERROR((HLOOKUP($AH943,Target_monthwise!$D$4:$O$20,DTR!Q$4,FALSE))*1000,0)</f>
        <v>0</v>
      </c>
      <c r="R943" s="167">
        <f>IFERROR((HLOOKUP($AH943,Target_monthwise!$D$4:$O$20,DTR!R$4,FALSE))*1000,0)</f>
        <v>0</v>
      </c>
      <c r="S943" s="147">
        <f>IFERROR((HLOOKUP($AH943,Target_monthwise!$D$24:$O$40,DTR!S$4,FALSE)),0)</f>
        <v>0</v>
      </c>
      <c r="T943" s="147">
        <f>IFERROR((HLOOKUP($AH943,Target_monthwise!$D$24:$O$40,DTR!T$4,FALSE)),0)</f>
        <v>0</v>
      </c>
      <c r="U943" s="147">
        <f>IFERROR((HLOOKUP($AH943,Target_monthwise!$D$24:$O$40,DTR!U$4,FALSE)),0)</f>
        <v>0</v>
      </c>
      <c r="V943" s="147">
        <f>IFERROR((HLOOKUP($AH943,Target_monthwise!$D$24:$O$40,DTR!V$4,FALSE)),0)</f>
        <v>0</v>
      </c>
      <c r="W943" s="147">
        <f>IFERROR((HLOOKUP($AH943,Target_monthwise!$D$24:$O$40,DTR!W$4,FALSE)),0)</f>
        <v>0</v>
      </c>
      <c r="X943" s="147">
        <f>IFERROR((HLOOKUP($AH943,Target_monthwise!$D$24:$O$40,DTR!X$4,FALSE)),0)</f>
        <v>0</v>
      </c>
      <c r="Y943" s="147">
        <f>IFERROR((HLOOKUP($AH943,Target_monthwise!$D$24:$O$40,DTR!Y$4,FALSE)),0)</f>
        <v>0</v>
      </c>
      <c r="Z943" s="147">
        <f>IFERROR((HLOOKUP($AH943,Target_monthwise!$D$24:$O$40,DTR!Z$4,FALSE)),0)</f>
        <v>0</v>
      </c>
      <c r="AA943" s="147">
        <f>IFERROR((HLOOKUP($AH943,Target_monthwise!$D$24:$O$40,DTR!AA$4,FALSE)),0)</f>
        <v>0</v>
      </c>
      <c r="AB943" s="147">
        <f>IFERROR((HLOOKUP($AH943,Target_monthwise!$D$24:$O$40,DTR!AB$4,FALSE)),0)</f>
        <v>0</v>
      </c>
      <c r="AC943" s="147">
        <f>IFERROR((HLOOKUP($AH943,Target_monthwise!$D$24:$O$40,DTR!AC$4,FALSE)),0)</f>
        <v>0</v>
      </c>
      <c r="AD943" s="147">
        <f>IFERROR((HLOOKUP($AH943,Target_monthwise!$D$24:$O$40,DTR!AD$4,FALSE)),0)</f>
        <v>0</v>
      </c>
      <c r="AE943" s="147">
        <f>IFERROR((HLOOKUP($AH943,Target_monthwise!$D$24:$O$40,DTR!AE$4,FALSE)),0)</f>
        <v>0</v>
      </c>
      <c r="AF943" s="147">
        <f>IFERROR((HLOOKUP($AH943,Target_monthwise!$D$24:$O$40,DTR!AF$4,FALSE)),0)</f>
        <v>0</v>
      </c>
      <c r="AG943" s="172">
        <f>IFERROR((HLOOKUP($AH943,Target_monthwise!$D$24:$O$40,DTR!AG$4,FALSE)),0)</f>
        <v>0</v>
      </c>
      <c r="AH943" s="253">
        <f t="shared" si="16"/>
        <v>202410</v>
      </c>
    </row>
    <row r="944" spans="3:34" ht="15.75" hidden="1">
      <c r="C944" s="237">
        <v>45587</v>
      </c>
      <c r="D944" s="238">
        <f>IFERROR((HLOOKUP($AH944,Target_monthwise!$D$4:$O$20,DTR!D$4,FALSE))*1000,0)</f>
        <v>0</v>
      </c>
      <c r="E944" s="238">
        <f>IFERROR((HLOOKUP($AH944,Target_monthwise!$D$4:$O$20,DTR!E$4,FALSE))*1000,0)</f>
        <v>0</v>
      </c>
      <c r="F944" s="238">
        <f>IFERROR((HLOOKUP($AH944,Target_monthwise!$D$4:$O$20,DTR!F$4,FALSE))*1000,0)</f>
        <v>0</v>
      </c>
      <c r="G944" s="238">
        <f>IFERROR((HLOOKUP($AH944,Target_monthwise!$D$4:$O$20,DTR!G$4,FALSE))*1000,0)</f>
        <v>0</v>
      </c>
      <c r="H944" s="238">
        <f>IFERROR((HLOOKUP($AH944,Target_monthwise!$D$4:$O$20,DTR!H$4,FALSE))*1000,0)</f>
        <v>0</v>
      </c>
      <c r="I944" s="238">
        <f>IFERROR((HLOOKUP($AH944,Target_monthwise!$D$4:$O$20,DTR!I$4,FALSE))*1000,0)</f>
        <v>0</v>
      </c>
      <c r="J944" s="238">
        <f>IFERROR((HLOOKUP($AH944,Target_monthwise!$D$4:$O$20,DTR!J$4,FALSE))*1000,0)</f>
        <v>0</v>
      </c>
      <c r="K944" s="238">
        <f>IFERROR((HLOOKUP($AH944,Target_monthwise!$D$4:$O$20,DTR!K$4,FALSE))*1000,0)</f>
        <v>0</v>
      </c>
      <c r="L944" s="238">
        <f>IFERROR((HLOOKUP($AH944,Target_monthwise!$D$4:$O$20,DTR!L$4,FALSE))*1000,0)</f>
        <v>0</v>
      </c>
      <c r="M944" s="238">
        <f>IFERROR((HLOOKUP($AH944,Target_monthwise!$D$4:$O$20,DTR!M$4,FALSE))*1000,0)</f>
        <v>0</v>
      </c>
      <c r="N944" s="238">
        <f>IFERROR((HLOOKUP($AH944,Target_monthwise!$D$4:$O$20,DTR!N$4,FALSE))*1000,0)</f>
        <v>0</v>
      </c>
      <c r="O944" s="238">
        <f>IFERROR((HLOOKUP($AH944,Target_monthwise!$D$4:$O$20,DTR!O$4,FALSE))*1000,0)</f>
        <v>0</v>
      </c>
      <c r="P944" s="238">
        <f>IFERROR((HLOOKUP($AH944,Target_monthwise!$D$4:$O$20,DTR!P$4,FALSE))*1000,0)</f>
        <v>0</v>
      </c>
      <c r="Q944" s="141">
        <f>IFERROR((HLOOKUP($AH944,Target_monthwise!$D$4:$O$20,DTR!Q$4,FALSE))*1000,0)</f>
        <v>0</v>
      </c>
      <c r="R944" s="167">
        <f>IFERROR((HLOOKUP($AH944,Target_monthwise!$D$4:$O$20,DTR!R$4,FALSE))*1000,0)</f>
        <v>0</v>
      </c>
      <c r="S944" s="239">
        <f>IFERROR((HLOOKUP($AH944,Target_monthwise!$D$24:$O$40,DTR!S$4,FALSE)),0)</f>
        <v>0</v>
      </c>
      <c r="T944" s="239">
        <f>IFERROR((HLOOKUP($AH944,Target_monthwise!$D$24:$O$40,DTR!T$4,FALSE)),0)</f>
        <v>0</v>
      </c>
      <c r="U944" s="239">
        <f>IFERROR((HLOOKUP($AH944,Target_monthwise!$D$24:$O$40,DTR!U$4,FALSE)),0)</f>
        <v>0</v>
      </c>
      <c r="V944" s="239">
        <f>IFERROR((HLOOKUP($AH944,Target_monthwise!$D$24:$O$40,DTR!V$4,FALSE)),0)</f>
        <v>0</v>
      </c>
      <c r="W944" s="239">
        <f>IFERROR((HLOOKUP($AH944,Target_monthwise!$D$24:$O$40,DTR!W$4,FALSE)),0)</f>
        <v>0</v>
      </c>
      <c r="X944" s="239">
        <f>IFERROR((HLOOKUP($AH944,Target_monthwise!$D$24:$O$40,DTR!X$4,FALSE)),0)</f>
        <v>0</v>
      </c>
      <c r="Y944" s="239">
        <f>IFERROR((HLOOKUP($AH944,Target_monthwise!$D$24:$O$40,DTR!Y$4,FALSE)),0)</f>
        <v>0</v>
      </c>
      <c r="Z944" s="147">
        <f>IFERROR((HLOOKUP($AH944,Target_monthwise!$D$24:$O$40,DTR!Z$4,FALSE)),0)</f>
        <v>0</v>
      </c>
      <c r="AA944" s="147">
        <f>IFERROR((HLOOKUP($AH944,Target_monthwise!$D$24:$O$40,DTR!AA$4,FALSE)),0)</f>
        <v>0</v>
      </c>
      <c r="AB944" s="147">
        <f>IFERROR((HLOOKUP($AH944,Target_monthwise!$D$24:$O$40,DTR!AB$4,FALSE)),0)</f>
        <v>0</v>
      </c>
      <c r="AC944" s="239">
        <f>IFERROR((HLOOKUP($AH944,Target_monthwise!$D$24:$O$40,DTR!AC$4,FALSE)),0)</f>
        <v>0</v>
      </c>
      <c r="AD944" s="239">
        <f>IFERROR((HLOOKUP($AH944,Target_monthwise!$D$24:$O$40,DTR!AD$4,FALSE)),0)</f>
        <v>0</v>
      </c>
      <c r="AE944" s="239">
        <f>IFERROR((HLOOKUP($AH944,Target_monthwise!$D$24:$O$40,DTR!AE$4,FALSE)),0)</f>
        <v>0</v>
      </c>
      <c r="AF944" s="239">
        <f>IFERROR((HLOOKUP($AH944,Target_monthwise!$D$24:$O$40,DTR!AF$4,FALSE)),0)</f>
        <v>0</v>
      </c>
      <c r="AG944" s="172">
        <f>IFERROR((HLOOKUP($AH944,Target_monthwise!$D$24:$O$40,DTR!AG$4,FALSE)),0)</f>
        <v>0</v>
      </c>
      <c r="AH944" s="253">
        <f t="shared" si="16"/>
        <v>202410</v>
      </c>
    </row>
    <row r="945" spans="3:34" ht="15.75" hidden="1">
      <c r="C945" s="235">
        <v>45588</v>
      </c>
      <c r="D945" s="141">
        <f>IFERROR((HLOOKUP($AH945,Target_monthwise!$D$4:$O$20,DTR!D$4,FALSE))*1000,0)</f>
        <v>0</v>
      </c>
      <c r="E945" s="141">
        <f>IFERROR((HLOOKUP($AH945,Target_monthwise!$D$4:$O$20,DTR!E$4,FALSE))*1000,0)</f>
        <v>0</v>
      </c>
      <c r="F945" s="141">
        <f>IFERROR((HLOOKUP($AH945,Target_monthwise!$D$4:$O$20,DTR!F$4,FALSE))*1000,0)</f>
        <v>0</v>
      </c>
      <c r="G945" s="141">
        <f>IFERROR((HLOOKUP($AH945,Target_monthwise!$D$4:$O$20,DTR!G$4,FALSE))*1000,0)</f>
        <v>0</v>
      </c>
      <c r="H945" s="141">
        <f>IFERROR((HLOOKUP($AH945,Target_monthwise!$D$4:$O$20,DTR!H$4,FALSE))*1000,0)</f>
        <v>0</v>
      </c>
      <c r="I945" s="141">
        <f>IFERROR((HLOOKUP($AH945,Target_monthwise!$D$4:$O$20,DTR!I$4,FALSE))*1000,0)</f>
        <v>0</v>
      </c>
      <c r="J945" s="141">
        <f>IFERROR((HLOOKUP($AH945,Target_monthwise!$D$4:$O$20,DTR!J$4,FALSE))*1000,0)</f>
        <v>0</v>
      </c>
      <c r="K945" s="141">
        <f>IFERROR((HLOOKUP($AH945,Target_monthwise!$D$4:$O$20,DTR!K$4,FALSE))*1000,0)</f>
        <v>0</v>
      </c>
      <c r="L945" s="141">
        <f>IFERROR((HLOOKUP($AH945,Target_monthwise!$D$4:$O$20,DTR!L$4,FALSE))*1000,0)</f>
        <v>0</v>
      </c>
      <c r="M945" s="141">
        <f>IFERROR((HLOOKUP($AH945,Target_monthwise!$D$4:$O$20,DTR!M$4,FALSE))*1000,0)</f>
        <v>0</v>
      </c>
      <c r="N945" s="141">
        <f>IFERROR((HLOOKUP($AH945,Target_monthwise!$D$4:$O$20,DTR!N$4,FALSE))*1000,0)</f>
        <v>0</v>
      </c>
      <c r="O945" s="141">
        <f>IFERROR((HLOOKUP($AH945,Target_monthwise!$D$4:$O$20,DTR!O$4,FALSE))*1000,0)</f>
        <v>0</v>
      </c>
      <c r="P945" s="141">
        <f>IFERROR((HLOOKUP($AH945,Target_monthwise!$D$4:$O$20,DTR!P$4,FALSE))*1000,0)</f>
        <v>0</v>
      </c>
      <c r="Q945" s="141">
        <f>IFERROR((HLOOKUP($AH945,Target_monthwise!$D$4:$O$20,DTR!Q$4,FALSE))*1000,0)</f>
        <v>0</v>
      </c>
      <c r="R945" s="167">
        <f>IFERROR((HLOOKUP($AH945,Target_monthwise!$D$4:$O$20,DTR!R$4,FALSE))*1000,0)</f>
        <v>0</v>
      </c>
      <c r="S945" s="147">
        <f>IFERROR((HLOOKUP($AH945,Target_monthwise!$D$24:$O$40,DTR!S$4,FALSE)),0)</f>
        <v>0</v>
      </c>
      <c r="T945" s="147">
        <f>IFERROR((HLOOKUP($AH945,Target_monthwise!$D$24:$O$40,DTR!T$4,FALSE)),0)</f>
        <v>0</v>
      </c>
      <c r="U945" s="147">
        <f>IFERROR((HLOOKUP($AH945,Target_monthwise!$D$24:$O$40,DTR!U$4,FALSE)),0)</f>
        <v>0</v>
      </c>
      <c r="V945" s="147">
        <f>IFERROR((HLOOKUP($AH945,Target_monthwise!$D$24:$O$40,DTR!V$4,FALSE)),0)</f>
        <v>0</v>
      </c>
      <c r="W945" s="147">
        <f>IFERROR((HLOOKUP($AH945,Target_monthwise!$D$24:$O$40,DTR!W$4,FALSE)),0)</f>
        <v>0</v>
      </c>
      <c r="X945" s="147">
        <f>IFERROR((HLOOKUP($AH945,Target_monthwise!$D$24:$O$40,DTR!X$4,FALSE)),0)</f>
        <v>0</v>
      </c>
      <c r="Y945" s="147">
        <f>IFERROR((HLOOKUP($AH945,Target_monthwise!$D$24:$O$40,DTR!Y$4,FALSE)),0)</f>
        <v>0</v>
      </c>
      <c r="Z945" s="147">
        <f>IFERROR((HLOOKUP($AH945,Target_monthwise!$D$24:$O$40,DTR!Z$4,FALSE)),0)</f>
        <v>0</v>
      </c>
      <c r="AA945" s="147">
        <f>IFERROR((HLOOKUP($AH945,Target_monthwise!$D$24:$O$40,DTR!AA$4,FALSE)),0)</f>
        <v>0</v>
      </c>
      <c r="AB945" s="147">
        <f>IFERROR((HLOOKUP($AH945,Target_monthwise!$D$24:$O$40,DTR!AB$4,FALSE)),0)</f>
        <v>0</v>
      </c>
      <c r="AC945" s="147">
        <f>IFERROR((HLOOKUP($AH945,Target_monthwise!$D$24:$O$40,DTR!AC$4,FALSE)),0)</f>
        <v>0</v>
      </c>
      <c r="AD945" s="147">
        <f>IFERROR((HLOOKUP($AH945,Target_monthwise!$D$24:$O$40,DTR!AD$4,FALSE)),0)</f>
        <v>0</v>
      </c>
      <c r="AE945" s="147">
        <f>IFERROR((HLOOKUP($AH945,Target_monthwise!$D$24:$O$40,DTR!AE$4,FALSE)),0)</f>
        <v>0</v>
      </c>
      <c r="AF945" s="147">
        <f>IFERROR((HLOOKUP($AH945,Target_monthwise!$D$24:$O$40,DTR!AF$4,FALSE)),0)</f>
        <v>0</v>
      </c>
      <c r="AG945" s="172">
        <f>IFERROR((HLOOKUP($AH945,Target_monthwise!$D$24:$O$40,DTR!AG$4,FALSE)),0)</f>
        <v>0</v>
      </c>
      <c r="AH945" s="253">
        <f t="shared" si="16"/>
        <v>202410</v>
      </c>
    </row>
    <row r="946" spans="3:34" ht="15.75" hidden="1">
      <c r="C946" s="237">
        <v>45589</v>
      </c>
      <c r="D946" s="238">
        <f>IFERROR((HLOOKUP($AH946,Target_monthwise!$D$4:$O$20,DTR!D$4,FALSE))*1000,0)</f>
        <v>0</v>
      </c>
      <c r="E946" s="238">
        <f>IFERROR((HLOOKUP($AH946,Target_monthwise!$D$4:$O$20,DTR!E$4,FALSE))*1000,0)</f>
        <v>0</v>
      </c>
      <c r="F946" s="238">
        <f>IFERROR((HLOOKUP($AH946,Target_monthwise!$D$4:$O$20,DTR!F$4,FALSE))*1000,0)</f>
        <v>0</v>
      </c>
      <c r="G946" s="238">
        <f>IFERROR((HLOOKUP($AH946,Target_monthwise!$D$4:$O$20,DTR!G$4,FALSE))*1000,0)</f>
        <v>0</v>
      </c>
      <c r="H946" s="238">
        <f>IFERROR((HLOOKUP($AH946,Target_monthwise!$D$4:$O$20,DTR!H$4,FALSE))*1000,0)</f>
        <v>0</v>
      </c>
      <c r="I946" s="238">
        <f>IFERROR((HLOOKUP($AH946,Target_monthwise!$D$4:$O$20,DTR!I$4,FALSE))*1000,0)</f>
        <v>0</v>
      </c>
      <c r="J946" s="238">
        <f>IFERROR((HLOOKUP($AH946,Target_monthwise!$D$4:$O$20,DTR!J$4,FALSE))*1000,0)</f>
        <v>0</v>
      </c>
      <c r="K946" s="238">
        <f>IFERROR((HLOOKUP($AH946,Target_monthwise!$D$4:$O$20,DTR!K$4,FALSE))*1000,0)</f>
        <v>0</v>
      </c>
      <c r="L946" s="238">
        <f>IFERROR((HLOOKUP($AH946,Target_monthwise!$D$4:$O$20,DTR!L$4,FALSE))*1000,0)</f>
        <v>0</v>
      </c>
      <c r="M946" s="238">
        <f>IFERROR((HLOOKUP($AH946,Target_monthwise!$D$4:$O$20,DTR!M$4,FALSE))*1000,0)</f>
        <v>0</v>
      </c>
      <c r="N946" s="238">
        <f>IFERROR((HLOOKUP($AH946,Target_monthwise!$D$4:$O$20,DTR!N$4,FALSE))*1000,0)</f>
        <v>0</v>
      </c>
      <c r="O946" s="238">
        <f>IFERROR((HLOOKUP($AH946,Target_monthwise!$D$4:$O$20,DTR!O$4,FALSE))*1000,0)</f>
        <v>0</v>
      </c>
      <c r="P946" s="238">
        <f>IFERROR((HLOOKUP($AH946,Target_monthwise!$D$4:$O$20,DTR!P$4,FALSE))*1000,0)</f>
        <v>0</v>
      </c>
      <c r="Q946" s="141">
        <f>IFERROR((HLOOKUP($AH946,Target_monthwise!$D$4:$O$20,DTR!Q$4,FALSE))*1000,0)</f>
        <v>0</v>
      </c>
      <c r="R946" s="167">
        <f>IFERROR((HLOOKUP($AH946,Target_monthwise!$D$4:$O$20,DTR!R$4,FALSE))*1000,0)</f>
        <v>0</v>
      </c>
      <c r="S946" s="239">
        <f>IFERROR((HLOOKUP($AH946,Target_monthwise!$D$24:$O$40,DTR!S$4,FALSE)),0)</f>
        <v>0</v>
      </c>
      <c r="T946" s="239">
        <f>IFERROR((HLOOKUP($AH946,Target_monthwise!$D$24:$O$40,DTR!T$4,FALSE)),0)</f>
        <v>0</v>
      </c>
      <c r="U946" s="239">
        <f>IFERROR((HLOOKUP($AH946,Target_monthwise!$D$24:$O$40,DTR!U$4,FALSE)),0)</f>
        <v>0</v>
      </c>
      <c r="V946" s="239">
        <f>IFERROR((HLOOKUP($AH946,Target_monthwise!$D$24:$O$40,DTR!V$4,FALSE)),0)</f>
        <v>0</v>
      </c>
      <c r="W946" s="239">
        <f>IFERROR((HLOOKUP($AH946,Target_monthwise!$D$24:$O$40,DTR!W$4,FALSE)),0)</f>
        <v>0</v>
      </c>
      <c r="X946" s="239">
        <f>IFERROR((HLOOKUP($AH946,Target_monthwise!$D$24:$O$40,DTR!X$4,FALSE)),0)</f>
        <v>0</v>
      </c>
      <c r="Y946" s="239">
        <f>IFERROR((HLOOKUP($AH946,Target_monthwise!$D$24:$O$40,DTR!Y$4,FALSE)),0)</f>
        <v>0</v>
      </c>
      <c r="Z946" s="147">
        <f>IFERROR((HLOOKUP($AH946,Target_monthwise!$D$24:$O$40,DTR!Z$4,FALSE)),0)</f>
        <v>0</v>
      </c>
      <c r="AA946" s="147">
        <f>IFERROR((HLOOKUP($AH946,Target_monthwise!$D$24:$O$40,DTR!AA$4,FALSE)),0)</f>
        <v>0</v>
      </c>
      <c r="AB946" s="147">
        <f>IFERROR((HLOOKUP($AH946,Target_monthwise!$D$24:$O$40,DTR!AB$4,FALSE)),0)</f>
        <v>0</v>
      </c>
      <c r="AC946" s="239">
        <f>IFERROR((HLOOKUP($AH946,Target_monthwise!$D$24:$O$40,DTR!AC$4,FALSE)),0)</f>
        <v>0</v>
      </c>
      <c r="AD946" s="239">
        <f>IFERROR((HLOOKUP($AH946,Target_monthwise!$D$24:$O$40,DTR!AD$4,FALSE)),0)</f>
        <v>0</v>
      </c>
      <c r="AE946" s="239">
        <f>IFERROR((HLOOKUP($AH946,Target_monthwise!$D$24:$O$40,DTR!AE$4,FALSE)),0)</f>
        <v>0</v>
      </c>
      <c r="AF946" s="239">
        <f>IFERROR((HLOOKUP($AH946,Target_monthwise!$D$24:$O$40,DTR!AF$4,FALSE)),0)</f>
        <v>0</v>
      </c>
      <c r="AG946" s="172">
        <f>IFERROR((HLOOKUP($AH946,Target_monthwise!$D$24:$O$40,DTR!AG$4,FALSE)),0)</f>
        <v>0</v>
      </c>
      <c r="AH946" s="253">
        <f t="shared" si="16"/>
        <v>202410</v>
      </c>
    </row>
    <row r="947" spans="3:34" ht="15.75" hidden="1">
      <c r="C947" s="235">
        <v>45590</v>
      </c>
      <c r="D947" s="141">
        <f>IFERROR((HLOOKUP($AH947,Target_monthwise!$D$4:$O$20,DTR!D$4,FALSE))*1000,0)</f>
        <v>0</v>
      </c>
      <c r="E947" s="141">
        <f>IFERROR((HLOOKUP($AH947,Target_monthwise!$D$4:$O$20,DTR!E$4,FALSE))*1000,0)</f>
        <v>0</v>
      </c>
      <c r="F947" s="141">
        <f>IFERROR((HLOOKUP($AH947,Target_monthwise!$D$4:$O$20,DTR!F$4,FALSE))*1000,0)</f>
        <v>0</v>
      </c>
      <c r="G947" s="141">
        <f>IFERROR((HLOOKUP($AH947,Target_monthwise!$D$4:$O$20,DTR!G$4,FALSE))*1000,0)</f>
        <v>0</v>
      </c>
      <c r="H947" s="141">
        <f>IFERROR((HLOOKUP($AH947,Target_monthwise!$D$4:$O$20,DTR!H$4,FALSE))*1000,0)</f>
        <v>0</v>
      </c>
      <c r="I947" s="141">
        <f>IFERROR((HLOOKUP($AH947,Target_monthwise!$D$4:$O$20,DTR!I$4,FALSE))*1000,0)</f>
        <v>0</v>
      </c>
      <c r="J947" s="141">
        <f>IFERROR((HLOOKUP($AH947,Target_monthwise!$D$4:$O$20,DTR!J$4,FALSE))*1000,0)</f>
        <v>0</v>
      </c>
      <c r="K947" s="141">
        <f>IFERROR((HLOOKUP($AH947,Target_monthwise!$D$4:$O$20,DTR!K$4,FALSE))*1000,0)</f>
        <v>0</v>
      </c>
      <c r="L947" s="141">
        <f>IFERROR((HLOOKUP($AH947,Target_monthwise!$D$4:$O$20,DTR!L$4,FALSE))*1000,0)</f>
        <v>0</v>
      </c>
      <c r="M947" s="141">
        <f>IFERROR((HLOOKUP($AH947,Target_monthwise!$D$4:$O$20,DTR!M$4,FALSE))*1000,0)</f>
        <v>0</v>
      </c>
      <c r="N947" s="141">
        <f>IFERROR((HLOOKUP($AH947,Target_monthwise!$D$4:$O$20,DTR!N$4,FALSE))*1000,0)</f>
        <v>0</v>
      </c>
      <c r="O947" s="141">
        <f>IFERROR((HLOOKUP($AH947,Target_monthwise!$D$4:$O$20,DTR!O$4,FALSE))*1000,0)</f>
        <v>0</v>
      </c>
      <c r="P947" s="141">
        <f>IFERROR((HLOOKUP($AH947,Target_monthwise!$D$4:$O$20,DTR!P$4,FALSE))*1000,0)</f>
        <v>0</v>
      </c>
      <c r="Q947" s="141">
        <f>IFERROR((HLOOKUP($AH947,Target_monthwise!$D$4:$O$20,DTR!Q$4,FALSE))*1000,0)</f>
        <v>0</v>
      </c>
      <c r="R947" s="167">
        <f>IFERROR((HLOOKUP($AH947,Target_monthwise!$D$4:$O$20,DTR!R$4,FALSE))*1000,0)</f>
        <v>0</v>
      </c>
      <c r="S947" s="147">
        <f>IFERROR((HLOOKUP($AH947,Target_monthwise!$D$24:$O$40,DTR!S$4,FALSE)),0)</f>
        <v>0</v>
      </c>
      <c r="T947" s="147">
        <f>IFERROR((HLOOKUP($AH947,Target_monthwise!$D$24:$O$40,DTR!T$4,FALSE)),0)</f>
        <v>0</v>
      </c>
      <c r="U947" s="147">
        <f>IFERROR((HLOOKUP($AH947,Target_monthwise!$D$24:$O$40,DTR!U$4,FALSE)),0)</f>
        <v>0</v>
      </c>
      <c r="V947" s="147">
        <f>IFERROR((HLOOKUP($AH947,Target_monthwise!$D$24:$O$40,DTR!V$4,FALSE)),0)</f>
        <v>0</v>
      </c>
      <c r="W947" s="147">
        <f>IFERROR((HLOOKUP($AH947,Target_monthwise!$D$24:$O$40,DTR!W$4,FALSE)),0)</f>
        <v>0</v>
      </c>
      <c r="X947" s="147">
        <f>IFERROR((HLOOKUP($AH947,Target_monthwise!$D$24:$O$40,DTR!X$4,FALSE)),0)</f>
        <v>0</v>
      </c>
      <c r="Y947" s="147">
        <f>IFERROR((HLOOKUP($AH947,Target_monthwise!$D$24:$O$40,DTR!Y$4,FALSE)),0)</f>
        <v>0</v>
      </c>
      <c r="Z947" s="147">
        <f>IFERROR((HLOOKUP($AH947,Target_monthwise!$D$24:$O$40,DTR!Z$4,FALSE)),0)</f>
        <v>0</v>
      </c>
      <c r="AA947" s="147">
        <f>IFERROR((HLOOKUP($AH947,Target_monthwise!$D$24:$O$40,DTR!AA$4,FALSE)),0)</f>
        <v>0</v>
      </c>
      <c r="AB947" s="147">
        <f>IFERROR((HLOOKUP($AH947,Target_monthwise!$D$24:$O$40,DTR!AB$4,FALSE)),0)</f>
        <v>0</v>
      </c>
      <c r="AC947" s="147">
        <f>IFERROR((HLOOKUP($AH947,Target_monthwise!$D$24:$O$40,DTR!AC$4,FALSE)),0)</f>
        <v>0</v>
      </c>
      <c r="AD947" s="147">
        <f>IFERROR((HLOOKUP($AH947,Target_monthwise!$D$24:$O$40,DTR!AD$4,FALSE)),0)</f>
        <v>0</v>
      </c>
      <c r="AE947" s="147">
        <f>IFERROR((HLOOKUP($AH947,Target_monthwise!$D$24:$O$40,DTR!AE$4,FALSE)),0)</f>
        <v>0</v>
      </c>
      <c r="AF947" s="147">
        <f>IFERROR((HLOOKUP($AH947,Target_monthwise!$D$24:$O$40,DTR!AF$4,FALSE)),0)</f>
        <v>0</v>
      </c>
      <c r="AG947" s="172">
        <f>IFERROR((HLOOKUP($AH947,Target_monthwise!$D$24:$O$40,DTR!AG$4,FALSE)),0)</f>
        <v>0</v>
      </c>
      <c r="AH947" s="253">
        <f t="shared" ref="AH947:AH1010" si="17">YEAR(C947)*100+MONTH(C947)</f>
        <v>202410</v>
      </c>
    </row>
    <row r="948" spans="3:34" ht="15.75" hidden="1">
      <c r="C948" s="237">
        <v>45591</v>
      </c>
      <c r="D948" s="238">
        <f>IFERROR((HLOOKUP($AH948,Target_monthwise!$D$4:$O$20,DTR!D$4,FALSE))*1000,0)</f>
        <v>0</v>
      </c>
      <c r="E948" s="238">
        <f>IFERROR((HLOOKUP($AH948,Target_monthwise!$D$4:$O$20,DTR!E$4,FALSE))*1000,0)</f>
        <v>0</v>
      </c>
      <c r="F948" s="238">
        <f>IFERROR((HLOOKUP($AH948,Target_monthwise!$D$4:$O$20,DTR!F$4,FALSE))*1000,0)</f>
        <v>0</v>
      </c>
      <c r="G948" s="238">
        <f>IFERROR((HLOOKUP($AH948,Target_monthwise!$D$4:$O$20,DTR!G$4,FALSE))*1000,0)</f>
        <v>0</v>
      </c>
      <c r="H948" s="238">
        <f>IFERROR((HLOOKUP($AH948,Target_monthwise!$D$4:$O$20,DTR!H$4,FALSE))*1000,0)</f>
        <v>0</v>
      </c>
      <c r="I948" s="238">
        <f>IFERROR((HLOOKUP($AH948,Target_monthwise!$D$4:$O$20,DTR!I$4,FALSE))*1000,0)</f>
        <v>0</v>
      </c>
      <c r="J948" s="238">
        <f>IFERROR((HLOOKUP($AH948,Target_monthwise!$D$4:$O$20,DTR!J$4,FALSE))*1000,0)</f>
        <v>0</v>
      </c>
      <c r="K948" s="238">
        <f>IFERROR((HLOOKUP($AH948,Target_monthwise!$D$4:$O$20,DTR!K$4,FALSE))*1000,0)</f>
        <v>0</v>
      </c>
      <c r="L948" s="238">
        <f>IFERROR((HLOOKUP($AH948,Target_monthwise!$D$4:$O$20,DTR!L$4,FALSE))*1000,0)</f>
        <v>0</v>
      </c>
      <c r="M948" s="238">
        <f>IFERROR((HLOOKUP($AH948,Target_monthwise!$D$4:$O$20,DTR!M$4,FALSE))*1000,0)</f>
        <v>0</v>
      </c>
      <c r="N948" s="238">
        <f>IFERROR((HLOOKUP($AH948,Target_monthwise!$D$4:$O$20,DTR!N$4,FALSE))*1000,0)</f>
        <v>0</v>
      </c>
      <c r="O948" s="238">
        <f>IFERROR((HLOOKUP($AH948,Target_monthwise!$D$4:$O$20,DTR!O$4,FALSE))*1000,0)</f>
        <v>0</v>
      </c>
      <c r="P948" s="238">
        <f>IFERROR((HLOOKUP($AH948,Target_monthwise!$D$4:$O$20,DTR!P$4,FALSE))*1000,0)</f>
        <v>0</v>
      </c>
      <c r="Q948" s="141">
        <f>IFERROR((HLOOKUP($AH948,Target_monthwise!$D$4:$O$20,DTR!Q$4,FALSE))*1000,0)</f>
        <v>0</v>
      </c>
      <c r="R948" s="167">
        <f>IFERROR((HLOOKUP($AH948,Target_monthwise!$D$4:$O$20,DTR!R$4,FALSE))*1000,0)</f>
        <v>0</v>
      </c>
      <c r="S948" s="239">
        <f>IFERROR((HLOOKUP($AH948,Target_monthwise!$D$24:$O$40,DTR!S$4,FALSE)),0)</f>
        <v>0</v>
      </c>
      <c r="T948" s="239">
        <f>IFERROR((HLOOKUP($AH948,Target_monthwise!$D$24:$O$40,DTR!T$4,FALSE)),0)</f>
        <v>0</v>
      </c>
      <c r="U948" s="239">
        <f>IFERROR((HLOOKUP($AH948,Target_monthwise!$D$24:$O$40,DTR!U$4,FALSE)),0)</f>
        <v>0</v>
      </c>
      <c r="V948" s="239">
        <f>IFERROR((HLOOKUP($AH948,Target_monthwise!$D$24:$O$40,DTR!V$4,FALSE)),0)</f>
        <v>0</v>
      </c>
      <c r="W948" s="239">
        <f>IFERROR((HLOOKUP($AH948,Target_monthwise!$D$24:$O$40,DTR!W$4,FALSE)),0)</f>
        <v>0</v>
      </c>
      <c r="X948" s="239">
        <f>IFERROR((HLOOKUP($AH948,Target_monthwise!$D$24:$O$40,DTR!X$4,FALSE)),0)</f>
        <v>0</v>
      </c>
      <c r="Y948" s="239">
        <f>IFERROR((HLOOKUP($AH948,Target_monthwise!$D$24:$O$40,DTR!Y$4,FALSE)),0)</f>
        <v>0</v>
      </c>
      <c r="Z948" s="147">
        <f>IFERROR((HLOOKUP($AH948,Target_monthwise!$D$24:$O$40,DTR!Z$4,FALSE)),0)</f>
        <v>0</v>
      </c>
      <c r="AA948" s="147">
        <f>IFERROR((HLOOKUP($AH948,Target_monthwise!$D$24:$O$40,DTR!AA$4,FALSE)),0)</f>
        <v>0</v>
      </c>
      <c r="AB948" s="147">
        <f>IFERROR((HLOOKUP($AH948,Target_monthwise!$D$24:$O$40,DTR!AB$4,FALSE)),0)</f>
        <v>0</v>
      </c>
      <c r="AC948" s="239">
        <f>IFERROR((HLOOKUP($AH948,Target_monthwise!$D$24:$O$40,DTR!AC$4,FALSE)),0)</f>
        <v>0</v>
      </c>
      <c r="AD948" s="239">
        <f>IFERROR((HLOOKUP($AH948,Target_monthwise!$D$24:$O$40,DTR!AD$4,FALSE)),0)</f>
        <v>0</v>
      </c>
      <c r="AE948" s="239">
        <f>IFERROR((HLOOKUP($AH948,Target_monthwise!$D$24:$O$40,DTR!AE$4,FALSE)),0)</f>
        <v>0</v>
      </c>
      <c r="AF948" s="239">
        <f>IFERROR((HLOOKUP($AH948,Target_monthwise!$D$24:$O$40,DTR!AF$4,FALSE)),0)</f>
        <v>0</v>
      </c>
      <c r="AG948" s="172">
        <f>IFERROR((HLOOKUP($AH948,Target_monthwise!$D$24:$O$40,DTR!AG$4,FALSE)),0)</f>
        <v>0</v>
      </c>
      <c r="AH948" s="253">
        <f t="shared" si="17"/>
        <v>202410</v>
      </c>
    </row>
    <row r="949" spans="3:34" ht="15.75" hidden="1">
      <c r="C949" s="235">
        <v>45592</v>
      </c>
      <c r="D949" s="141">
        <f>IFERROR((HLOOKUP($AH949,Target_monthwise!$D$4:$O$20,DTR!D$4,FALSE))*1000,0)</f>
        <v>0</v>
      </c>
      <c r="E949" s="141">
        <f>IFERROR((HLOOKUP($AH949,Target_monthwise!$D$4:$O$20,DTR!E$4,FALSE))*1000,0)</f>
        <v>0</v>
      </c>
      <c r="F949" s="141">
        <f>IFERROR((HLOOKUP($AH949,Target_monthwise!$D$4:$O$20,DTR!F$4,FALSE))*1000,0)</f>
        <v>0</v>
      </c>
      <c r="G949" s="141">
        <f>IFERROR((HLOOKUP($AH949,Target_monthwise!$D$4:$O$20,DTR!G$4,FALSE))*1000,0)</f>
        <v>0</v>
      </c>
      <c r="H949" s="141">
        <f>IFERROR((HLOOKUP($AH949,Target_monthwise!$D$4:$O$20,DTR!H$4,FALSE))*1000,0)</f>
        <v>0</v>
      </c>
      <c r="I949" s="141">
        <f>IFERROR((HLOOKUP($AH949,Target_monthwise!$D$4:$O$20,DTR!I$4,FALSE))*1000,0)</f>
        <v>0</v>
      </c>
      <c r="J949" s="141">
        <f>IFERROR((HLOOKUP($AH949,Target_monthwise!$D$4:$O$20,DTR!J$4,FALSE))*1000,0)</f>
        <v>0</v>
      </c>
      <c r="K949" s="141">
        <f>IFERROR((HLOOKUP($AH949,Target_monthwise!$D$4:$O$20,DTR!K$4,FALSE))*1000,0)</f>
        <v>0</v>
      </c>
      <c r="L949" s="141">
        <f>IFERROR((HLOOKUP($AH949,Target_monthwise!$D$4:$O$20,DTR!L$4,FALSE))*1000,0)</f>
        <v>0</v>
      </c>
      <c r="M949" s="141">
        <f>IFERROR((HLOOKUP($AH949,Target_monthwise!$D$4:$O$20,DTR!M$4,FALSE))*1000,0)</f>
        <v>0</v>
      </c>
      <c r="N949" s="141">
        <f>IFERROR((HLOOKUP($AH949,Target_monthwise!$D$4:$O$20,DTR!N$4,FALSE))*1000,0)</f>
        <v>0</v>
      </c>
      <c r="O949" s="141">
        <f>IFERROR((HLOOKUP($AH949,Target_monthwise!$D$4:$O$20,DTR!O$4,FALSE))*1000,0)</f>
        <v>0</v>
      </c>
      <c r="P949" s="141">
        <f>IFERROR((HLOOKUP($AH949,Target_monthwise!$D$4:$O$20,DTR!P$4,FALSE))*1000,0)</f>
        <v>0</v>
      </c>
      <c r="Q949" s="141">
        <f>IFERROR((HLOOKUP($AH949,Target_monthwise!$D$4:$O$20,DTR!Q$4,FALSE))*1000,0)</f>
        <v>0</v>
      </c>
      <c r="R949" s="167">
        <f>IFERROR((HLOOKUP($AH949,Target_monthwise!$D$4:$O$20,DTR!R$4,FALSE))*1000,0)</f>
        <v>0</v>
      </c>
      <c r="S949" s="147">
        <f>IFERROR((HLOOKUP($AH949,Target_monthwise!$D$24:$O$40,DTR!S$4,FALSE)),0)</f>
        <v>0</v>
      </c>
      <c r="T949" s="147">
        <f>IFERROR((HLOOKUP($AH949,Target_monthwise!$D$24:$O$40,DTR!T$4,FALSE)),0)</f>
        <v>0</v>
      </c>
      <c r="U949" s="147">
        <f>IFERROR((HLOOKUP($AH949,Target_monthwise!$D$24:$O$40,DTR!U$4,FALSE)),0)</f>
        <v>0</v>
      </c>
      <c r="V949" s="147">
        <f>IFERROR((HLOOKUP($AH949,Target_monthwise!$D$24:$O$40,DTR!V$4,FALSE)),0)</f>
        <v>0</v>
      </c>
      <c r="W949" s="147">
        <f>IFERROR((HLOOKUP($AH949,Target_monthwise!$D$24:$O$40,DTR!W$4,FALSE)),0)</f>
        <v>0</v>
      </c>
      <c r="X949" s="147">
        <f>IFERROR((HLOOKUP($AH949,Target_monthwise!$D$24:$O$40,DTR!X$4,FALSE)),0)</f>
        <v>0</v>
      </c>
      <c r="Y949" s="147">
        <f>IFERROR((HLOOKUP($AH949,Target_monthwise!$D$24:$O$40,DTR!Y$4,FALSE)),0)</f>
        <v>0</v>
      </c>
      <c r="Z949" s="147">
        <f>IFERROR((HLOOKUP($AH949,Target_monthwise!$D$24:$O$40,DTR!Z$4,FALSE)),0)</f>
        <v>0</v>
      </c>
      <c r="AA949" s="147">
        <f>IFERROR((HLOOKUP($AH949,Target_monthwise!$D$24:$O$40,DTR!AA$4,FALSE)),0)</f>
        <v>0</v>
      </c>
      <c r="AB949" s="147">
        <f>IFERROR((HLOOKUP($AH949,Target_monthwise!$D$24:$O$40,DTR!AB$4,FALSE)),0)</f>
        <v>0</v>
      </c>
      <c r="AC949" s="147">
        <f>IFERROR((HLOOKUP($AH949,Target_monthwise!$D$24:$O$40,DTR!AC$4,FALSE)),0)</f>
        <v>0</v>
      </c>
      <c r="AD949" s="147">
        <f>IFERROR((HLOOKUP($AH949,Target_monthwise!$D$24:$O$40,DTR!AD$4,FALSE)),0)</f>
        <v>0</v>
      </c>
      <c r="AE949" s="147">
        <f>IFERROR((HLOOKUP($AH949,Target_monthwise!$D$24:$O$40,DTR!AE$4,FALSE)),0)</f>
        <v>0</v>
      </c>
      <c r="AF949" s="147">
        <f>IFERROR((HLOOKUP($AH949,Target_monthwise!$D$24:$O$40,DTR!AF$4,FALSE)),0)</f>
        <v>0</v>
      </c>
      <c r="AG949" s="172">
        <f>IFERROR((HLOOKUP($AH949,Target_monthwise!$D$24:$O$40,DTR!AG$4,FALSE)),0)</f>
        <v>0</v>
      </c>
      <c r="AH949" s="253">
        <f t="shared" si="17"/>
        <v>202410</v>
      </c>
    </row>
    <row r="950" spans="3:34" ht="15.75" hidden="1">
      <c r="C950" s="237">
        <v>45593</v>
      </c>
      <c r="D950" s="238">
        <f>IFERROR((HLOOKUP($AH950,Target_monthwise!$D$4:$O$20,DTR!D$4,FALSE))*1000,0)</f>
        <v>0</v>
      </c>
      <c r="E950" s="238">
        <f>IFERROR((HLOOKUP($AH950,Target_monthwise!$D$4:$O$20,DTR!E$4,FALSE))*1000,0)</f>
        <v>0</v>
      </c>
      <c r="F950" s="238">
        <f>IFERROR((HLOOKUP($AH950,Target_monthwise!$D$4:$O$20,DTR!F$4,FALSE))*1000,0)</f>
        <v>0</v>
      </c>
      <c r="G950" s="238">
        <f>IFERROR((HLOOKUP($AH950,Target_monthwise!$D$4:$O$20,DTR!G$4,FALSE))*1000,0)</f>
        <v>0</v>
      </c>
      <c r="H950" s="238">
        <f>IFERROR((HLOOKUP($AH950,Target_monthwise!$D$4:$O$20,DTR!H$4,FALSE))*1000,0)</f>
        <v>0</v>
      </c>
      <c r="I950" s="238">
        <f>IFERROR((HLOOKUP($AH950,Target_monthwise!$D$4:$O$20,DTR!I$4,FALSE))*1000,0)</f>
        <v>0</v>
      </c>
      <c r="J950" s="238">
        <f>IFERROR((HLOOKUP($AH950,Target_monthwise!$D$4:$O$20,DTR!J$4,FALSE))*1000,0)</f>
        <v>0</v>
      </c>
      <c r="K950" s="238">
        <f>IFERROR((HLOOKUP($AH950,Target_monthwise!$D$4:$O$20,DTR!K$4,FALSE))*1000,0)</f>
        <v>0</v>
      </c>
      <c r="L950" s="238">
        <f>IFERROR((HLOOKUP($AH950,Target_monthwise!$D$4:$O$20,DTR!L$4,FALSE))*1000,0)</f>
        <v>0</v>
      </c>
      <c r="M950" s="238">
        <f>IFERROR((HLOOKUP($AH950,Target_monthwise!$D$4:$O$20,DTR!M$4,FALSE))*1000,0)</f>
        <v>0</v>
      </c>
      <c r="N950" s="238">
        <f>IFERROR((HLOOKUP($AH950,Target_monthwise!$D$4:$O$20,DTR!N$4,FALSE))*1000,0)</f>
        <v>0</v>
      </c>
      <c r="O950" s="238">
        <f>IFERROR((HLOOKUP($AH950,Target_monthwise!$D$4:$O$20,DTR!O$4,FALSE))*1000,0)</f>
        <v>0</v>
      </c>
      <c r="P950" s="238">
        <f>IFERROR((HLOOKUP($AH950,Target_monthwise!$D$4:$O$20,DTR!P$4,FALSE))*1000,0)</f>
        <v>0</v>
      </c>
      <c r="Q950" s="141">
        <f>IFERROR((HLOOKUP($AH950,Target_monthwise!$D$4:$O$20,DTR!Q$4,FALSE))*1000,0)</f>
        <v>0</v>
      </c>
      <c r="R950" s="167">
        <f>IFERROR((HLOOKUP($AH950,Target_monthwise!$D$4:$O$20,DTR!R$4,FALSE))*1000,0)</f>
        <v>0</v>
      </c>
      <c r="S950" s="239">
        <f>IFERROR((HLOOKUP($AH950,Target_monthwise!$D$24:$O$40,DTR!S$4,FALSE)),0)</f>
        <v>0</v>
      </c>
      <c r="T950" s="239">
        <f>IFERROR((HLOOKUP($AH950,Target_monthwise!$D$24:$O$40,DTR!T$4,FALSE)),0)</f>
        <v>0</v>
      </c>
      <c r="U950" s="239">
        <f>IFERROR((HLOOKUP($AH950,Target_monthwise!$D$24:$O$40,DTR!U$4,FALSE)),0)</f>
        <v>0</v>
      </c>
      <c r="V950" s="239">
        <f>IFERROR((HLOOKUP($AH950,Target_monthwise!$D$24:$O$40,DTR!V$4,FALSE)),0)</f>
        <v>0</v>
      </c>
      <c r="W950" s="239">
        <f>IFERROR((HLOOKUP($AH950,Target_monthwise!$D$24:$O$40,DTR!W$4,FALSE)),0)</f>
        <v>0</v>
      </c>
      <c r="X950" s="239">
        <f>IFERROR((HLOOKUP($AH950,Target_monthwise!$D$24:$O$40,DTR!X$4,FALSE)),0)</f>
        <v>0</v>
      </c>
      <c r="Y950" s="239">
        <f>IFERROR((HLOOKUP($AH950,Target_monthwise!$D$24:$O$40,DTR!Y$4,FALSE)),0)</f>
        <v>0</v>
      </c>
      <c r="Z950" s="147">
        <f>IFERROR((HLOOKUP($AH950,Target_monthwise!$D$24:$O$40,DTR!Z$4,FALSE)),0)</f>
        <v>0</v>
      </c>
      <c r="AA950" s="147">
        <f>IFERROR((HLOOKUP($AH950,Target_monthwise!$D$24:$O$40,DTR!AA$4,FALSE)),0)</f>
        <v>0</v>
      </c>
      <c r="AB950" s="147">
        <f>IFERROR((HLOOKUP($AH950,Target_monthwise!$D$24:$O$40,DTR!AB$4,FALSE)),0)</f>
        <v>0</v>
      </c>
      <c r="AC950" s="239">
        <f>IFERROR((HLOOKUP($AH950,Target_monthwise!$D$24:$O$40,DTR!AC$4,FALSE)),0)</f>
        <v>0</v>
      </c>
      <c r="AD950" s="239">
        <f>IFERROR((HLOOKUP($AH950,Target_monthwise!$D$24:$O$40,DTR!AD$4,FALSE)),0)</f>
        <v>0</v>
      </c>
      <c r="AE950" s="239">
        <f>IFERROR((HLOOKUP($AH950,Target_monthwise!$D$24:$O$40,DTR!AE$4,FALSE)),0)</f>
        <v>0</v>
      </c>
      <c r="AF950" s="239">
        <f>IFERROR((HLOOKUP($AH950,Target_monthwise!$D$24:$O$40,DTR!AF$4,FALSE)),0)</f>
        <v>0</v>
      </c>
      <c r="AG950" s="172">
        <f>IFERROR((HLOOKUP($AH950,Target_monthwise!$D$24:$O$40,DTR!AG$4,FALSE)),0)</f>
        <v>0</v>
      </c>
      <c r="AH950" s="253">
        <f t="shared" si="17"/>
        <v>202410</v>
      </c>
    </row>
    <row r="951" spans="3:34" ht="15.75" hidden="1">
      <c r="C951" s="235">
        <v>45594</v>
      </c>
      <c r="D951" s="141">
        <f>IFERROR((HLOOKUP($AH951,Target_monthwise!$D$4:$O$20,DTR!D$4,FALSE))*1000,0)</f>
        <v>0</v>
      </c>
      <c r="E951" s="141">
        <f>IFERROR((HLOOKUP($AH951,Target_monthwise!$D$4:$O$20,DTR!E$4,FALSE))*1000,0)</f>
        <v>0</v>
      </c>
      <c r="F951" s="141">
        <f>IFERROR((HLOOKUP($AH951,Target_monthwise!$D$4:$O$20,DTR!F$4,FALSE))*1000,0)</f>
        <v>0</v>
      </c>
      <c r="G951" s="141">
        <f>IFERROR((HLOOKUP($AH951,Target_monthwise!$D$4:$O$20,DTR!G$4,FALSE))*1000,0)</f>
        <v>0</v>
      </c>
      <c r="H951" s="141">
        <f>IFERROR((HLOOKUP($AH951,Target_monthwise!$D$4:$O$20,DTR!H$4,FALSE))*1000,0)</f>
        <v>0</v>
      </c>
      <c r="I951" s="141">
        <f>IFERROR((HLOOKUP($AH951,Target_monthwise!$D$4:$O$20,DTR!I$4,FALSE))*1000,0)</f>
        <v>0</v>
      </c>
      <c r="J951" s="141">
        <f>IFERROR((HLOOKUP($AH951,Target_monthwise!$D$4:$O$20,DTR!J$4,FALSE))*1000,0)</f>
        <v>0</v>
      </c>
      <c r="K951" s="141">
        <f>IFERROR((HLOOKUP($AH951,Target_monthwise!$D$4:$O$20,DTR!K$4,FALSE))*1000,0)</f>
        <v>0</v>
      </c>
      <c r="L951" s="141">
        <f>IFERROR((HLOOKUP($AH951,Target_monthwise!$D$4:$O$20,DTR!L$4,FALSE))*1000,0)</f>
        <v>0</v>
      </c>
      <c r="M951" s="141">
        <f>IFERROR((HLOOKUP($AH951,Target_monthwise!$D$4:$O$20,DTR!M$4,FALSE))*1000,0)</f>
        <v>0</v>
      </c>
      <c r="N951" s="141">
        <f>IFERROR((HLOOKUP($AH951,Target_monthwise!$D$4:$O$20,DTR!N$4,FALSE))*1000,0)</f>
        <v>0</v>
      </c>
      <c r="O951" s="141">
        <f>IFERROR((HLOOKUP($AH951,Target_monthwise!$D$4:$O$20,DTR!O$4,FALSE))*1000,0)</f>
        <v>0</v>
      </c>
      <c r="P951" s="141">
        <f>IFERROR((HLOOKUP($AH951,Target_monthwise!$D$4:$O$20,DTR!P$4,FALSE))*1000,0)</f>
        <v>0</v>
      </c>
      <c r="Q951" s="141">
        <f>IFERROR((HLOOKUP($AH951,Target_monthwise!$D$4:$O$20,DTR!Q$4,FALSE))*1000,0)</f>
        <v>0</v>
      </c>
      <c r="R951" s="167">
        <f>IFERROR((HLOOKUP($AH951,Target_monthwise!$D$4:$O$20,DTR!R$4,FALSE))*1000,0)</f>
        <v>0</v>
      </c>
      <c r="S951" s="147">
        <f>IFERROR((HLOOKUP($AH951,Target_monthwise!$D$24:$O$40,DTR!S$4,FALSE)),0)</f>
        <v>0</v>
      </c>
      <c r="T951" s="147">
        <f>IFERROR((HLOOKUP($AH951,Target_monthwise!$D$24:$O$40,DTR!T$4,FALSE)),0)</f>
        <v>0</v>
      </c>
      <c r="U951" s="147">
        <f>IFERROR((HLOOKUP($AH951,Target_monthwise!$D$24:$O$40,DTR!U$4,FALSE)),0)</f>
        <v>0</v>
      </c>
      <c r="V951" s="147">
        <f>IFERROR((HLOOKUP($AH951,Target_monthwise!$D$24:$O$40,DTR!V$4,FALSE)),0)</f>
        <v>0</v>
      </c>
      <c r="W951" s="147">
        <f>IFERROR((HLOOKUP($AH951,Target_monthwise!$D$24:$O$40,DTR!W$4,FALSE)),0)</f>
        <v>0</v>
      </c>
      <c r="X951" s="147">
        <f>IFERROR((HLOOKUP($AH951,Target_monthwise!$D$24:$O$40,DTR!X$4,FALSE)),0)</f>
        <v>0</v>
      </c>
      <c r="Y951" s="147">
        <f>IFERROR((HLOOKUP($AH951,Target_monthwise!$D$24:$O$40,DTR!Y$4,FALSE)),0)</f>
        <v>0</v>
      </c>
      <c r="Z951" s="147">
        <f>IFERROR((HLOOKUP($AH951,Target_monthwise!$D$24:$O$40,DTR!Z$4,FALSE)),0)</f>
        <v>0</v>
      </c>
      <c r="AA951" s="147">
        <f>IFERROR((HLOOKUP($AH951,Target_monthwise!$D$24:$O$40,DTR!AA$4,FALSE)),0)</f>
        <v>0</v>
      </c>
      <c r="AB951" s="147">
        <f>IFERROR((HLOOKUP($AH951,Target_monthwise!$D$24:$O$40,DTR!AB$4,FALSE)),0)</f>
        <v>0</v>
      </c>
      <c r="AC951" s="147">
        <f>IFERROR((HLOOKUP($AH951,Target_monthwise!$D$24:$O$40,DTR!AC$4,FALSE)),0)</f>
        <v>0</v>
      </c>
      <c r="AD951" s="147">
        <f>IFERROR((HLOOKUP($AH951,Target_monthwise!$D$24:$O$40,DTR!AD$4,FALSE)),0)</f>
        <v>0</v>
      </c>
      <c r="AE951" s="147">
        <f>IFERROR((HLOOKUP($AH951,Target_monthwise!$D$24:$O$40,DTR!AE$4,FALSE)),0)</f>
        <v>0</v>
      </c>
      <c r="AF951" s="147">
        <f>IFERROR((HLOOKUP($AH951,Target_monthwise!$D$24:$O$40,DTR!AF$4,FALSE)),0)</f>
        <v>0</v>
      </c>
      <c r="AG951" s="172">
        <f>IFERROR((HLOOKUP($AH951,Target_monthwise!$D$24:$O$40,DTR!AG$4,FALSE)),0)</f>
        <v>0</v>
      </c>
      <c r="AH951" s="253">
        <f t="shared" si="17"/>
        <v>202410</v>
      </c>
    </row>
    <row r="952" spans="3:34" ht="15.75" hidden="1">
      <c r="C952" s="237">
        <v>45595</v>
      </c>
      <c r="D952" s="238">
        <f>IFERROR((HLOOKUP($AH952,Target_monthwise!$D$4:$O$20,DTR!D$4,FALSE))*1000,0)</f>
        <v>0</v>
      </c>
      <c r="E952" s="238">
        <f>IFERROR((HLOOKUP($AH952,Target_monthwise!$D$4:$O$20,DTR!E$4,FALSE))*1000,0)</f>
        <v>0</v>
      </c>
      <c r="F952" s="238">
        <f>IFERROR((HLOOKUP($AH952,Target_monthwise!$D$4:$O$20,DTR!F$4,FALSE))*1000,0)</f>
        <v>0</v>
      </c>
      <c r="G952" s="238">
        <f>IFERROR((HLOOKUP($AH952,Target_monthwise!$D$4:$O$20,DTR!G$4,FALSE))*1000,0)</f>
        <v>0</v>
      </c>
      <c r="H952" s="238">
        <f>IFERROR((HLOOKUP($AH952,Target_monthwise!$D$4:$O$20,DTR!H$4,FALSE))*1000,0)</f>
        <v>0</v>
      </c>
      <c r="I952" s="238">
        <f>IFERROR((HLOOKUP($AH952,Target_monthwise!$D$4:$O$20,DTR!I$4,FALSE))*1000,0)</f>
        <v>0</v>
      </c>
      <c r="J952" s="238">
        <f>IFERROR((HLOOKUP($AH952,Target_monthwise!$D$4:$O$20,DTR!J$4,FALSE))*1000,0)</f>
        <v>0</v>
      </c>
      <c r="K952" s="238">
        <f>IFERROR((HLOOKUP($AH952,Target_monthwise!$D$4:$O$20,DTR!K$4,FALSE))*1000,0)</f>
        <v>0</v>
      </c>
      <c r="L952" s="238">
        <f>IFERROR((HLOOKUP($AH952,Target_monthwise!$D$4:$O$20,DTR!L$4,FALSE))*1000,0)</f>
        <v>0</v>
      </c>
      <c r="M952" s="238">
        <f>IFERROR((HLOOKUP($AH952,Target_monthwise!$D$4:$O$20,DTR!M$4,FALSE))*1000,0)</f>
        <v>0</v>
      </c>
      <c r="N952" s="238">
        <f>IFERROR((HLOOKUP($AH952,Target_monthwise!$D$4:$O$20,DTR!N$4,FALSE))*1000,0)</f>
        <v>0</v>
      </c>
      <c r="O952" s="238">
        <f>IFERROR((HLOOKUP($AH952,Target_monthwise!$D$4:$O$20,DTR!O$4,FALSE))*1000,0)</f>
        <v>0</v>
      </c>
      <c r="P952" s="238">
        <f>IFERROR((HLOOKUP($AH952,Target_monthwise!$D$4:$O$20,DTR!P$4,FALSE))*1000,0)</f>
        <v>0</v>
      </c>
      <c r="Q952" s="141">
        <f>IFERROR((HLOOKUP($AH952,Target_monthwise!$D$4:$O$20,DTR!Q$4,FALSE))*1000,0)</f>
        <v>0</v>
      </c>
      <c r="R952" s="167">
        <f>IFERROR((HLOOKUP($AH952,Target_monthwise!$D$4:$O$20,DTR!R$4,FALSE))*1000,0)</f>
        <v>0</v>
      </c>
      <c r="S952" s="239">
        <f>IFERROR((HLOOKUP($AH952,Target_monthwise!$D$24:$O$40,DTR!S$4,FALSE)),0)</f>
        <v>0</v>
      </c>
      <c r="T952" s="239">
        <f>IFERROR((HLOOKUP($AH952,Target_monthwise!$D$24:$O$40,DTR!T$4,FALSE)),0)</f>
        <v>0</v>
      </c>
      <c r="U952" s="239">
        <f>IFERROR((HLOOKUP($AH952,Target_monthwise!$D$24:$O$40,DTR!U$4,FALSE)),0)</f>
        <v>0</v>
      </c>
      <c r="V952" s="239">
        <f>IFERROR((HLOOKUP($AH952,Target_monthwise!$D$24:$O$40,DTR!V$4,FALSE)),0)</f>
        <v>0</v>
      </c>
      <c r="W952" s="239">
        <f>IFERROR((HLOOKUP($AH952,Target_monthwise!$D$24:$O$40,DTR!W$4,FALSE)),0)</f>
        <v>0</v>
      </c>
      <c r="X952" s="239">
        <f>IFERROR((HLOOKUP($AH952,Target_monthwise!$D$24:$O$40,DTR!X$4,FALSE)),0)</f>
        <v>0</v>
      </c>
      <c r="Y952" s="239">
        <f>IFERROR((HLOOKUP($AH952,Target_monthwise!$D$24:$O$40,DTR!Y$4,FALSE)),0)</f>
        <v>0</v>
      </c>
      <c r="Z952" s="147">
        <f>IFERROR((HLOOKUP($AH952,Target_monthwise!$D$24:$O$40,DTR!Z$4,FALSE)),0)</f>
        <v>0</v>
      </c>
      <c r="AA952" s="147">
        <f>IFERROR((HLOOKUP($AH952,Target_monthwise!$D$24:$O$40,DTR!AA$4,FALSE)),0)</f>
        <v>0</v>
      </c>
      <c r="AB952" s="147">
        <f>IFERROR((HLOOKUP($AH952,Target_monthwise!$D$24:$O$40,DTR!AB$4,FALSE)),0)</f>
        <v>0</v>
      </c>
      <c r="AC952" s="239">
        <f>IFERROR((HLOOKUP($AH952,Target_monthwise!$D$24:$O$40,DTR!AC$4,FALSE)),0)</f>
        <v>0</v>
      </c>
      <c r="AD952" s="239">
        <f>IFERROR((HLOOKUP($AH952,Target_monthwise!$D$24:$O$40,DTR!AD$4,FALSE)),0)</f>
        <v>0</v>
      </c>
      <c r="AE952" s="239">
        <f>IFERROR((HLOOKUP($AH952,Target_monthwise!$D$24:$O$40,DTR!AE$4,FALSE)),0)</f>
        <v>0</v>
      </c>
      <c r="AF952" s="239">
        <f>IFERROR((HLOOKUP($AH952,Target_monthwise!$D$24:$O$40,DTR!AF$4,FALSE)),0)</f>
        <v>0</v>
      </c>
      <c r="AG952" s="172">
        <f>IFERROR((HLOOKUP($AH952,Target_monthwise!$D$24:$O$40,DTR!AG$4,FALSE)),0)</f>
        <v>0</v>
      </c>
      <c r="AH952" s="253">
        <f t="shared" si="17"/>
        <v>202410</v>
      </c>
    </row>
    <row r="953" spans="3:34" ht="15.75" hidden="1">
      <c r="C953" s="235">
        <v>45596</v>
      </c>
      <c r="D953" s="141">
        <f>IFERROR((HLOOKUP($AH953,Target_monthwise!$D$4:$O$20,DTR!D$4,FALSE))*1000,0)</f>
        <v>0</v>
      </c>
      <c r="E953" s="141">
        <f>IFERROR((HLOOKUP($AH953,Target_monthwise!$D$4:$O$20,DTR!E$4,FALSE))*1000,0)</f>
        <v>0</v>
      </c>
      <c r="F953" s="141">
        <f>IFERROR((HLOOKUP($AH953,Target_monthwise!$D$4:$O$20,DTR!F$4,FALSE))*1000,0)</f>
        <v>0</v>
      </c>
      <c r="G953" s="141">
        <f>IFERROR((HLOOKUP($AH953,Target_monthwise!$D$4:$O$20,DTR!G$4,FALSE))*1000,0)</f>
        <v>0</v>
      </c>
      <c r="H953" s="141">
        <f>IFERROR((HLOOKUP($AH953,Target_monthwise!$D$4:$O$20,DTR!H$4,FALSE))*1000,0)</f>
        <v>0</v>
      </c>
      <c r="I953" s="141">
        <f>IFERROR((HLOOKUP($AH953,Target_monthwise!$D$4:$O$20,DTR!I$4,FALSE))*1000,0)</f>
        <v>0</v>
      </c>
      <c r="J953" s="141">
        <f>IFERROR((HLOOKUP($AH953,Target_monthwise!$D$4:$O$20,DTR!J$4,FALSE))*1000,0)</f>
        <v>0</v>
      </c>
      <c r="K953" s="141">
        <f>IFERROR((HLOOKUP($AH953,Target_monthwise!$D$4:$O$20,DTR!K$4,FALSE))*1000,0)</f>
        <v>0</v>
      </c>
      <c r="L953" s="141">
        <f>IFERROR((HLOOKUP($AH953,Target_monthwise!$D$4:$O$20,DTR!L$4,FALSE))*1000,0)</f>
        <v>0</v>
      </c>
      <c r="M953" s="141">
        <f>IFERROR((HLOOKUP($AH953,Target_monthwise!$D$4:$O$20,DTR!M$4,FALSE))*1000,0)</f>
        <v>0</v>
      </c>
      <c r="N953" s="141">
        <f>IFERROR((HLOOKUP($AH953,Target_monthwise!$D$4:$O$20,DTR!N$4,FALSE))*1000,0)</f>
        <v>0</v>
      </c>
      <c r="O953" s="141">
        <f>IFERROR((HLOOKUP($AH953,Target_monthwise!$D$4:$O$20,DTR!O$4,FALSE))*1000,0)</f>
        <v>0</v>
      </c>
      <c r="P953" s="141">
        <f>IFERROR((HLOOKUP($AH953,Target_monthwise!$D$4:$O$20,DTR!P$4,FALSE))*1000,0)</f>
        <v>0</v>
      </c>
      <c r="Q953" s="141">
        <f>IFERROR((HLOOKUP($AH953,Target_monthwise!$D$4:$O$20,DTR!Q$4,FALSE))*1000,0)</f>
        <v>0</v>
      </c>
      <c r="R953" s="167">
        <f>IFERROR((HLOOKUP($AH953,Target_monthwise!$D$4:$O$20,DTR!R$4,FALSE))*1000,0)</f>
        <v>0</v>
      </c>
      <c r="S953" s="147">
        <f>IFERROR((HLOOKUP($AH953,Target_monthwise!$D$24:$O$40,DTR!S$4,FALSE)),0)</f>
        <v>0</v>
      </c>
      <c r="T953" s="147">
        <f>IFERROR((HLOOKUP($AH953,Target_monthwise!$D$24:$O$40,DTR!T$4,FALSE)),0)</f>
        <v>0</v>
      </c>
      <c r="U953" s="147">
        <f>IFERROR((HLOOKUP($AH953,Target_monthwise!$D$24:$O$40,DTR!U$4,FALSE)),0)</f>
        <v>0</v>
      </c>
      <c r="V953" s="147">
        <f>IFERROR((HLOOKUP($AH953,Target_monthwise!$D$24:$O$40,DTR!V$4,FALSE)),0)</f>
        <v>0</v>
      </c>
      <c r="W953" s="147">
        <f>IFERROR((HLOOKUP($AH953,Target_monthwise!$D$24:$O$40,DTR!W$4,FALSE)),0)</f>
        <v>0</v>
      </c>
      <c r="X953" s="147">
        <f>IFERROR((HLOOKUP($AH953,Target_monthwise!$D$24:$O$40,DTR!X$4,FALSE)),0)</f>
        <v>0</v>
      </c>
      <c r="Y953" s="147">
        <f>IFERROR((HLOOKUP($AH953,Target_monthwise!$D$24:$O$40,DTR!Y$4,FALSE)),0)</f>
        <v>0</v>
      </c>
      <c r="Z953" s="147">
        <f>IFERROR((HLOOKUP($AH953,Target_monthwise!$D$24:$O$40,DTR!Z$4,FALSE)),0)</f>
        <v>0</v>
      </c>
      <c r="AA953" s="147">
        <f>IFERROR((HLOOKUP($AH953,Target_monthwise!$D$24:$O$40,DTR!AA$4,FALSE)),0)</f>
        <v>0</v>
      </c>
      <c r="AB953" s="147">
        <f>IFERROR((HLOOKUP($AH953,Target_monthwise!$D$24:$O$40,DTR!AB$4,FALSE)),0)</f>
        <v>0</v>
      </c>
      <c r="AC953" s="147">
        <f>IFERROR((HLOOKUP($AH953,Target_monthwise!$D$24:$O$40,DTR!AC$4,FALSE)),0)</f>
        <v>0</v>
      </c>
      <c r="AD953" s="147">
        <f>IFERROR((HLOOKUP($AH953,Target_monthwise!$D$24:$O$40,DTR!AD$4,FALSE)),0)</f>
        <v>0</v>
      </c>
      <c r="AE953" s="147">
        <f>IFERROR((HLOOKUP($AH953,Target_monthwise!$D$24:$O$40,DTR!AE$4,FALSE)),0)</f>
        <v>0</v>
      </c>
      <c r="AF953" s="147">
        <f>IFERROR((HLOOKUP($AH953,Target_monthwise!$D$24:$O$40,DTR!AF$4,FALSE)),0)</f>
        <v>0</v>
      </c>
      <c r="AG953" s="172">
        <f>IFERROR((HLOOKUP($AH953,Target_monthwise!$D$24:$O$40,DTR!AG$4,FALSE)),0)</f>
        <v>0</v>
      </c>
      <c r="AH953" s="253">
        <f t="shared" si="17"/>
        <v>202410</v>
      </c>
    </row>
    <row r="954" spans="3:34" ht="15.75" hidden="1">
      <c r="C954" s="237">
        <v>45597</v>
      </c>
      <c r="D954" s="238">
        <f>IFERROR((HLOOKUP($AH954,Target_monthwise!$D$4:$O$20,DTR!D$4,FALSE))*1000,0)</f>
        <v>0</v>
      </c>
      <c r="E954" s="238">
        <f>IFERROR((HLOOKUP($AH954,Target_monthwise!$D$4:$O$20,DTR!E$4,FALSE))*1000,0)</f>
        <v>0</v>
      </c>
      <c r="F954" s="238">
        <f>IFERROR((HLOOKUP($AH954,Target_monthwise!$D$4:$O$20,DTR!F$4,FALSE))*1000,0)</f>
        <v>0</v>
      </c>
      <c r="G954" s="238">
        <f>IFERROR((HLOOKUP($AH954,Target_monthwise!$D$4:$O$20,DTR!G$4,FALSE))*1000,0)</f>
        <v>0</v>
      </c>
      <c r="H954" s="238">
        <f>IFERROR((HLOOKUP($AH954,Target_monthwise!$D$4:$O$20,DTR!H$4,FALSE))*1000,0)</f>
        <v>0</v>
      </c>
      <c r="I954" s="238">
        <f>IFERROR((HLOOKUP($AH954,Target_monthwise!$D$4:$O$20,DTR!I$4,FALSE))*1000,0)</f>
        <v>0</v>
      </c>
      <c r="J954" s="238">
        <f>IFERROR((HLOOKUP($AH954,Target_monthwise!$D$4:$O$20,DTR!J$4,FALSE))*1000,0)</f>
        <v>0</v>
      </c>
      <c r="K954" s="238">
        <f>IFERROR((HLOOKUP($AH954,Target_monthwise!$D$4:$O$20,DTR!K$4,FALSE))*1000,0)</f>
        <v>0</v>
      </c>
      <c r="L954" s="238">
        <f>IFERROR((HLOOKUP($AH954,Target_monthwise!$D$4:$O$20,DTR!L$4,FALSE))*1000,0)</f>
        <v>0</v>
      </c>
      <c r="M954" s="238">
        <f>IFERROR((HLOOKUP($AH954,Target_monthwise!$D$4:$O$20,DTR!M$4,FALSE))*1000,0)</f>
        <v>0</v>
      </c>
      <c r="N954" s="238">
        <f>IFERROR((HLOOKUP($AH954,Target_monthwise!$D$4:$O$20,DTR!N$4,FALSE))*1000,0)</f>
        <v>0</v>
      </c>
      <c r="O954" s="238">
        <f>IFERROR((HLOOKUP($AH954,Target_monthwise!$D$4:$O$20,DTR!O$4,FALSE))*1000,0)</f>
        <v>0</v>
      </c>
      <c r="P954" s="238">
        <f>IFERROR((HLOOKUP($AH954,Target_monthwise!$D$4:$O$20,DTR!P$4,FALSE))*1000,0)</f>
        <v>0</v>
      </c>
      <c r="Q954" s="141">
        <f>IFERROR((HLOOKUP($AH954,Target_monthwise!$D$4:$O$20,DTR!Q$4,FALSE))*1000,0)</f>
        <v>0</v>
      </c>
      <c r="R954" s="167">
        <f>IFERROR((HLOOKUP($AH954,Target_monthwise!$D$4:$O$20,DTR!R$4,FALSE))*1000,0)</f>
        <v>0</v>
      </c>
      <c r="S954" s="239">
        <f>IFERROR((HLOOKUP($AH954,Target_monthwise!$D$24:$O$40,DTR!S$4,FALSE)),0)</f>
        <v>0</v>
      </c>
      <c r="T954" s="239">
        <f>IFERROR((HLOOKUP($AH954,Target_monthwise!$D$24:$O$40,DTR!T$4,FALSE)),0)</f>
        <v>0</v>
      </c>
      <c r="U954" s="239">
        <f>IFERROR((HLOOKUP($AH954,Target_monthwise!$D$24:$O$40,DTR!U$4,FALSE)),0)</f>
        <v>0</v>
      </c>
      <c r="V954" s="239">
        <f>IFERROR((HLOOKUP($AH954,Target_monthwise!$D$24:$O$40,DTR!V$4,FALSE)),0)</f>
        <v>0</v>
      </c>
      <c r="W954" s="239">
        <f>IFERROR((HLOOKUP($AH954,Target_monthwise!$D$24:$O$40,DTR!W$4,FALSE)),0)</f>
        <v>0</v>
      </c>
      <c r="X954" s="239">
        <f>IFERROR((HLOOKUP($AH954,Target_monthwise!$D$24:$O$40,DTR!X$4,FALSE)),0)</f>
        <v>0</v>
      </c>
      <c r="Y954" s="239">
        <f>IFERROR((HLOOKUP($AH954,Target_monthwise!$D$24:$O$40,DTR!Y$4,FALSE)),0)</f>
        <v>0</v>
      </c>
      <c r="Z954" s="147">
        <f>IFERROR((HLOOKUP($AH954,Target_monthwise!$D$24:$O$40,DTR!Z$4,FALSE)),0)</f>
        <v>0</v>
      </c>
      <c r="AA954" s="147">
        <f>IFERROR((HLOOKUP($AH954,Target_monthwise!$D$24:$O$40,DTR!AA$4,FALSE)),0)</f>
        <v>0</v>
      </c>
      <c r="AB954" s="147">
        <f>IFERROR((HLOOKUP($AH954,Target_monthwise!$D$24:$O$40,DTR!AB$4,FALSE)),0)</f>
        <v>0</v>
      </c>
      <c r="AC954" s="239">
        <f>IFERROR((HLOOKUP($AH954,Target_monthwise!$D$24:$O$40,DTR!AC$4,FALSE)),0)</f>
        <v>0</v>
      </c>
      <c r="AD954" s="239">
        <f>IFERROR((HLOOKUP($AH954,Target_monthwise!$D$24:$O$40,DTR!AD$4,FALSE)),0)</f>
        <v>0</v>
      </c>
      <c r="AE954" s="239">
        <f>IFERROR((HLOOKUP($AH954,Target_monthwise!$D$24:$O$40,DTR!AE$4,FALSE)),0)</f>
        <v>0</v>
      </c>
      <c r="AF954" s="239">
        <f>IFERROR((HLOOKUP($AH954,Target_monthwise!$D$24:$O$40,DTR!AF$4,FALSE)),0)</f>
        <v>0</v>
      </c>
      <c r="AG954" s="172">
        <f>IFERROR((HLOOKUP($AH954,Target_monthwise!$D$24:$O$40,DTR!AG$4,FALSE)),0)</f>
        <v>0</v>
      </c>
      <c r="AH954" s="253">
        <f t="shared" si="17"/>
        <v>202411</v>
      </c>
    </row>
    <row r="955" spans="3:34" ht="15.75" hidden="1">
      <c r="C955" s="235">
        <v>45598</v>
      </c>
      <c r="D955" s="141">
        <f>IFERROR((HLOOKUP($AH955,Target_monthwise!$D$4:$O$20,DTR!D$4,FALSE))*1000,0)</f>
        <v>0</v>
      </c>
      <c r="E955" s="141">
        <f>IFERROR((HLOOKUP($AH955,Target_monthwise!$D$4:$O$20,DTR!E$4,FALSE))*1000,0)</f>
        <v>0</v>
      </c>
      <c r="F955" s="141">
        <f>IFERROR((HLOOKUP($AH955,Target_monthwise!$D$4:$O$20,DTR!F$4,FALSE))*1000,0)</f>
        <v>0</v>
      </c>
      <c r="G955" s="141">
        <f>IFERROR((HLOOKUP($AH955,Target_monthwise!$D$4:$O$20,DTR!G$4,FALSE))*1000,0)</f>
        <v>0</v>
      </c>
      <c r="H955" s="141">
        <f>IFERROR((HLOOKUP($AH955,Target_monthwise!$D$4:$O$20,DTR!H$4,FALSE))*1000,0)</f>
        <v>0</v>
      </c>
      <c r="I955" s="141">
        <f>IFERROR((HLOOKUP($AH955,Target_monthwise!$D$4:$O$20,DTR!I$4,FALSE))*1000,0)</f>
        <v>0</v>
      </c>
      <c r="J955" s="141">
        <f>IFERROR((HLOOKUP($AH955,Target_monthwise!$D$4:$O$20,DTR!J$4,FALSE))*1000,0)</f>
        <v>0</v>
      </c>
      <c r="K955" s="141">
        <f>IFERROR((HLOOKUP($AH955,Target_monthwise!$D$4:$O$20,DTR!K$4,FALSE))*1000,0)</f>
        <v>0</v>
      </c>
      <c r="L955" s="141">
        <f>IFERROR((HLOOKUP($AH955,Target_monthwise!$D$4:$O$20,DTR!L$4,FALSE))*1000,0)</f>
        <v>0</v>
      </c>
      <c r="M955" s="141">
        <f>IFERROR((HLOOKUP($AH955,Target_monthwise!$D$4:$O$20,DTR!M$4,FALSE))*1000,0)</f>
        <v>0</v>
      </c>
      <c r="N955" s="141">
        <f>IFERROR((HLOOKUP($AH955,Target_monthwise!$D$4:$O$20,DTR!N$4,FALSE))*1000,0)</f>
        <v>0</v>
      </c>
      <c r="O955" s="141">
        <f>IFERROR((HLOOKUP($AH955,Target_monthwise!$D$4:$O$20,DTR!O$4,FALSE))*1000,0)</f>
        <v>0</v>
      </c>
      <c r="P955" s="141">
        <f>IFERROR((HLOOKUP($AH955,Target_monthwise!$D$4:$O$20,DTR!P$4,FALSE))*1000,0)</f>
        <v>0</v>
      </c>
      <c r="Q955" s="141">
        <f>IFERROR((HLOOKUP($AH955,Target_monthwise!$D$4:$O$20,DTR!Q$4,FALSE))*1000,0)</f>
        <v>0</v>
      </c>
      <c r="R955" s="167">
        <f>IFERROR((HLOOKUP($AH955,Target_monthwise!$D$4:$O$20,DTR!R$4,FALSE))*1000,0)</f>
        <v>0</v>
      </c>
      <c r="S955" s="147">
        <f>IFERROR((HLOOKUP($AH955,Target_monthwise!$D$24:$O$40,DTR!S$4,FALSE)),0)</f>
        <v>0</v>
      </c>
      <c r="T955" s="147">
        <f>IFERROR((HLOOKUP($AH955,Target_monthwise!$D$24:$O$40,DTR!T$4,FALSE)),0)</f>
        <v>0</v>
      </c>
      <c r="U955" s="147">
        <f>IFERROR((HLOOKUP($AH955,Target_monthwise!$D$24:$O$40,DTR!U$4,FALSE)),0)</f>
        <v>0</v>
      </c>
      <c r="V955" s="147">
        <f>IFERROR((HLOOKUP($AH955,Target_monthwise!$D$24:$O$40,DTR!V$4,FALSE)),0)</f>
        <v>0</v>
      </c>
      <c r="W955" s="147">
        <f>IFERROR((HLOOKUP($AH955,Target_monthwise!$D$24:$O$40,DTR!W$4,FALSE)),0)</f>
        <v>0</v>
      </c>
      <c r="X955" s="147">
        <f>IFERROR((HLOOKUP($AH955,Target_monthwise!$D$24:$O$40,DTR!X$4,FALSE)),0)</f>
        <v>0</v>
      </c>
      <c r="Y955" s="147">
        <f>IFERROR((HLOOKUP($AH955,Target_monthwise!$D$24:$O$40,DTR!Y$4,FALSE)),0)</f>
        <v>0</v>
      </c>
      <c r="Z955" s="147">
        <f>IFERROR((HLOOKUP($AH955,Target_monthwise!$D$24:$O$40,DTR!Z$4,FALSE)),0)</f>
        <v>0</v>
      </c>
      <c r="AA955" s="147">
        <f>IFERROR((HLOOKUP($AH955,Target_monthwise!$D$24:$O$40,DTR!AA$4,FALSE)),0)</f>
        <v>0</v>
      </c>
      <c r="AB955" s="147">
        <f>IFERROR((HLOOKUP($AH955,Target_monthwise!$D$24:$O$40,DTR!AB$4,FALSE)),0)</f>
        <v>0</v>
      </c>
      <c r="AC955" s="147">
        <f>IFERROR((HLOOKUP($AH955,Target_monthwise!$D$24:$O$40,DTR!AC$4,FALSE)),0)</f>
        <v>0</v>
      </c>
      <c r="AD955" s="147">
        <f>IFERROR((HLOOKUP($AH955,Target_monthwise!$D$24:$O$40,DTR!AD$4,FALSE)),0)</f>
        <v>0</v>
      </c>
      <c r="AE955" s="147">
        <f>IFERROR((HLOOKUP($AH955,Target_monthwise!$D$24:$O$40,DTR!AE$4,FALSE)),0)</f>
        <v>0</v>
      </c>
      <c r="AF955" s="147">
        <f>IFERROR((HLOOKUP($AH955,Target_monthwise!$D$24:$O$40,DTR!AF$4,FALSE)),0)</f>
        <v>0</v>
      </c>
      <c r="AG955" s="172">
        <f>IFERROR((HLOOKUP($AH955,Target_monthwise!$D$24:$O$40,DTR!AG$4,FALSE)),0)</f>
        <v>0</v>
      </c>
      <c r="AH955" s="253">
        <f t="shared" si="17"/>
        <v>202411</v>
      </c>
    </row>
    <row r="956" spans="3:34" ht="15.75" hidden="1">
      <c r="C956" s="237">
        <v>45599</v>
      </c>
      <c r="D956" s="238">
        <f>IFERROR((HLOOKUP($AH956,Target_monthwise!$D$4:$O$20,DTR!D$4,FALSE))*1000,0)</f>
        <v>0</v>
      </c>
      <c r="E956" s="238">
        <f>IFERROR((HLOOKUP($AH956,Target_monthwise!$D$4:$O$20,DTR!E$4,FALSE))*1000,0)</f>
        <v>0</v>
      </c>
      <c r="F956" s="238">
        <f>IFERROR((HLOOKUP($AH956,Target_monthwise!$D$4:$O$20,DTR!F$4,FALSE))*1000,0)</f>
        <v>0</v>
      </c>
      <c r="G956" s="238">
        <f>IFERROR((HLOOKUP($AH956,Target_monthwise!$D$4:$O$20,DTR!G$4,FALSE))*1000,0)</f>
        <v>0</v>
      </c>
      <c r="H956" s="238">
        <f>IFERROR((HLOOKUP($AH956,Target_monthwise!$D$4:$O$20,DTR!H$4,FALSE))*1000,0)</f>
        <v>0</v>
      </c>
      <c r="I956" s="238">
        <f>IFERROR((HLOOKUP($AH956,Target_monthwise!$D$4:$O$20,DTR!I$4,FALSE))*1000,0)</f>
        <v>0</v>
      </c>
      <c r="J956" s="238">
        <f>IFERROR((HLOOKUP($AH956,Target_monthwise!$D$4:$O$20,DTR!J$4,FALSE))*1000,0)</f>
        <v>0</v>
      </c>
      <c r="K956" s="238">
        <f>IFERROR((HLOOKUP($AH956,Target_monthwise!$D$4:$O$20,DTR!K$4,FALSE))*1000,0)</f>
        <v>0</v>
      </c>
      <c r="L956" s="238">
        <f>IFERROR((HLOOKUP($AH956,Target_monthwise!$D$4:$O$20,DTR!L$4,FALSE))*1000,0)</f>
        <v>0</v>
      </c>
      <c r="M956" s="238">
        <f>IFERROR((HLOOKUP($AH956,Target_monthwise!$D$4:$O$20,DTR!M$4,FALSE))*1000,0)</f>
        <v>0</v>
      </c>
      <c r="N956" s="238">
        <f>IFERROR((HLOOKUP($AH956,Target_monthwise!$D$4:$O$20,DTR!N$4,FALSE))*1000,0)</f>
        <v>0</v>
      </c>
      <c r="O956" s="238">
        <f>IFERROR((HLOOKUP($AH956,Target_monthwise!$D$4:$O$20,DTR!O$4,FALSE))*1000,0)</f>
        <v>0</v>
      </c>
      <c r="P956" s="238">
        <f>IFERROR((HLOOKUP($AH956,Target_monthwise!$D$4:$O$20,DTR!P$4,FALSE))*1000,0)</f>
        <v>0</v>
      </c>
      <c r="Q956" s="141">
        <f>IFERROR((HLOOKUP($AH956,Target_monthwise!$D$4:$O$20,DTR!Q$4,FALSE))*1000,0)</f>
        <v>0</v>
      </c>
      <c r="R956" s="167">
        <f>IFERROR((HLOOKUP($AH956,Target_monthwise!$D$4:$O$20,DTR!R$4,FALSE))*1000,0)</f>
        <v>0</v>
      </c>
      <c r="S956" s="239">
        <f>IFERROR((HLOOKUP($AH956,Target_monthwise!$D$24:$O$40,DTR!S$4,FALSE)),0)</f>
        <v>0</v>
      </c>
      <c r="T956" s="239">
        <f>IFERROR((HLOOKUP($AH956,Target_monthwise!$D$24:$O$40,DTR!T$4,FALSE)),0)</f>
        <v>0</v>
      </c>
      <c r="U956" s="239">
        <f>IFERROR((HLOOKUP($AH956,Target_monthwise!$D$24:$O$40,DTR!U$4,FALSE)),0)</f>
        <v>0</v>
      </c>
      <c r="V956" s="239">
        <f>IFERROR((HLOOKUP($AH956,Target_monthwise!$D$24:$O$40,DTR!V$4,FALSE)),0)</f>
        <v>0</v>
      </c>
      <c r="W956" s="239">
        <f>IFERROR((HLOOKUP($AH956,Target_monthwise!$D$24:$O$40,DTR!W$4,FALSE)),0)</f>
        <v>0</v>
      </c>
      <c r="X956" s="239">
        <f>IFERROR((HLOOKUP($AH956,Target_monthwise!$D$24:$O$40,DTR!X$4,FALSE)),0)</f>
        <v>0</v>
      </c>
      <c r="Y956" s="239">
        <f>IFERROR((HLOOKUP($AH956,Target_monthwise!$D$24:$O$40,DTR!Y$4,FALSE)),0)</f>
        <v>0</v>
      </c>
      <c r="Z956" s="147">
        <f>IFERROR((HLOOKUP($AH956,Target_monthwise!$D$24:$O$40,DTR!Z$4,FALSE)),0)</f>
        <v>0</v>
      </c>
      <c r="AA956" s="147">
        <f>IFERROR((HLOOKUP($AH956,Target_monthwise!$D$24:$O$40,DTR!AA$4,FALSE)),0)</f>
        <v>0</v>
      </c>
      <c r="AB956" s="147">
        <f>IFERROR((HLOOKUP($AH956,Target_monthwise!$D$24:$O$40,DTR!AB$4,FALSE)),0)</f>
        <v>0</v>
      </c>
      <c r="AC956" s="239">
        <f>IFERROR((HLOOKUP($AH956,Target_monthwise!$D$24:$O$40,DTR!AC$4,FALSE)),0)</f>
        <v>0</v>
      </c>
      <c r="AD956" s="239">
        <f>IFERROR((HLOOKUP($AH956,Target_monthwise!$D$24:$O$40,DTR!AD$4,FALSE)),0)</f>
        <v>0</v>
      </c>
      <c r="AE956" s="239">
        <f>IFERROR((HLOOKUP($AH956,Target_monthwise!$D$24:$O$40,DTR!AE$4,FALSE)),0)</f>
        <v>0</v>
      </c>
      <c r="AF956" s="239">
        <f>IFERROR((HLOOKUP($AH956,Target_monthwise!$D$24:$O$40,DTR!AF$4,FALSE)),0)</f>
        <v>0</v>
      </c>
      <c r="AG956" s="172">
        <f>IFERROR((HLOOKUP($AH956,Target_monthwise!$D$24:$O$40,DTR!AG$4,FALSE)),0)</f>
        <v>0</v>
      </c>
      <c r="AH956" s="253">
        <f t="shared" si="17"/>
        <v>202411</v>
      </c>
    </row>
    <row r="957" spans="3:34" ht="15.75" hidden="1">
      <c r="C957" s="235">
        <v>45600</v>
      </c>
      <c r="D957" s="141">
        <f>IFERROR((HLOOKUP($AH957,Target_monthwise!$D$4:$O$20,DTR!D$4,FALSE))*1000,0)</f>
        <v>0</v>
      </c>
      <c r="E957" s="141">
        <f>IFERROR((HLOOKUP($AH957,Target_monthwise!$D$4:$O$20,DTR!E$4,FALSE))*1000,0)</f>
        <v>0</v>
      </c>
      <c r="F957" s="141">
        <f>IFERROR((HLOOKUP($AH957,Target_monthwise!$D$4:$O$20,DTR!F$4,FALSE))*1000,0)</f>
        <v>0</v>
      </c>
      <c r="G957" s="141">
        <f>IFERROR((HLOOKUP($AH957,Target_monthwise!$D$4:$O$20,DTR!G$4,FALSE))*1000,0)</f>
        <v>0</v>
      </c>
      <c r="H957" s="141">
        <f>IFERROR((HLOOKUP($AH957,Target_monthwise!$D$4:$O$20,DTR!H$4,FALSE))*1000,0)</f>
        <v>0</v>
      </c>
      <c r="I957" s="141">
        <f>IFERROR((HLOOKUP($AH957,Target_monthwise!$D$4:$O$20,DTR!I$4,FALSE))*1000,0)</f>
        <v>0</v>
      </c>
      <c r="J957" s="141">
        <f>IFERROR((HLOOKUP($AH957,Target_monthwise!$D$4:$O$20,DTR!J$4,FALSE))*1000,0)</f>
        <v>0</v>
      </c>
      <c r="K957" s="141">
        <f>IFERROR((HLOOKUP($AH957,Target_monthwise!$D$4:$O$20,DTR!K$4,FALSE))*1000,0)</f>
        <v>0</v>
      </c>
      <c r="L957" s="141">
        <f>IFERROR((HLOOKUP($AH957,Target_monthwise!$D$4:$O$20,DTR!L$4,FALSE))*1000,0)</f>
        <v>0</v>
      </c>
      <c r="M957" s="141">
        <f>IFERROR((HLOOKUP($AH957,Target_monthwise!$D$4:$O$20,DTR!M$4,FALSE))*1000,0)</f>
        <v>0</v>
      </c>
      <c r="N957" s="141">
        <f>IFERROR((HLOOKUP($AH957,Target_monthwise!$D$4:$O$20,DTR!N$4,FALSE))*1000,0)</f>
        <v>0</v>
      </c>
      <c r="O957" s="141">
        <f>IFERROR((HLOOKUP($AH957,Target_monthwise!$D$4:$O$20,DTR!O$4,FALSE))*1000,0)</f>
        <v>0</v>
      </c>
      <c r="P957" s="141">
        <f>IFERROR((HLOOKUP($AH957,Target_monthwise!$D$4:$O$20,DTR!P$4,FALSE))*1000,0)</f>
        <v>0</v>
      </c>
      <c r="Q957" s="141">
        <f>IFERROR((HLOOKUP($AH957,Target_monthwise!$D$4:$O$20,DTR!Q$4,FALSE))*1000,0)</f>
        <v>0</v>
      </c>
      <c r="R957" s="167">
        <f>IFERROR((HLOOKUP($AH957,Target_monthwise!$D$4:$O$20,DTR!R$4,FALSE))*1000,0)</f>
        <v>0</v>
      </c>
      <c r="S957" s="147">
        <f>IFERROR((HLOOKUP($AH957,Target_monthwise!$D$24:$O$40,DTR!S$4,FALSE)),0)</f>
        <v>0</v>
      </c>
      <c r="T957" s="147">
        <f>IFERROR((HLOOKUP($AH957,Target_monthwise!$D$24:$O$40,DTR!T$4,FALSE)),0)</f>
        <v>0</v>
      </c>
      <c r="U957" s="147">
        <f>IFERROR((HLOOKUP($AH957,Target_monthwise!$D$24:$O$40,DTR!U$4,FALSE)),0)</f>
        <v>0</v>
      </c>
      <c r="V957" s="147">
        <f>IFERROR((HLOOKUP($AH957,Target_monthwise!$D$24:$O$40,DTR!V$4,FALSE)),0)</f>
        <v>0</v>
      </c>
      <c r="W957" s="147">
        <f>IFERROR((HLOOKUP($AH957,Target_monthwise!$D$24:$O$40,DTR!W$4,FALSE)),0)</f>
        <v>0</v>
      </c>
      <c r="X957" s="147">
        <f>IFERROR((HLOOKUP($AH957,Target_monthwise!$D$24:$O$40,DTR!X$4,FALSE)),0)</f>
        <v>0</v>
      </c>
      <c r="Y957" s="147">
        <f>IFERROR((HLOOKUP($AH957,Target_monthwise!$D$24:$O$40,DTR!Y$4,FALSE)),0)</f>
        <v>0</v>
      </c>
      <c r="Z957" s="147">
        <f>IFERROR((HLOOKUP($AH957,Target_monthwise!$D$24:$O$40,DTR!Z$4,FALSE)),0)</f>
        <v>0</v>
      </c>
      <c r="AA957" s="147">
        <f>IFERROR((HLOOKUP($AH957,Target_monthwise!$D$24:$O$40,DTR!AA$4,FALSE)),0)</f>
        <v>0</v>
      </c>
      <c r="AB957" s="147">
        <f>IFERROR((HLOOKUP($AH957,Target_monthwise!$D$24:$O$40,DTR!AB$4,FALSE)),0)</f>
        <v>0</v>
      </c>
      <c r="AC957" s="147">
        <f>IFERROR((HLOOKUP($AH957,Target_monthwise!$D$24:$O$40,DTR!AC$4,FALSE)),0)</f>
        <v>0</v>
      </c>
      <c r="AD957" s="147">
        <f>IFERROR((HLOOKUP($AH957,Target_monthwise!$D$24:$O$40,DTR!AD$4,FALSE)),0)</f>
        <v>0</v>
      </c>
      <c r="AE957" s="147">
        <f>IFERROR((HLOOKUP($AH957,Target_monthwise!$D$24:$O$40,DTR!AE$4,FALSE)),0)</f>
        <v>0</v>
      </c>
      <c r="AF957" s="147">
        <f>IFERROR((HLOOKUP($AH957,Target_monthwise!$D$24:$O$40,DTR!AF$4,FALSE)),0)</f>
        <v>0</v>
      </c>
      <c r="AG957" s="172">
        <f>IFERROR((HLOOKUP($AH957,Target_monthwise!$D$24:$O$40,DTR!AG$4,FALSE)),0)</f>
        <v>0</v>
      </c>
      <c r="AH957" s="253">
        <f t="shared" si="17"/>
        <v>202411</v>
      </c>
    </row>
    <row r="958" spans="3:34" ht="15.75" hidden="1">
      <c r="C958" s="237">
        <v>45601</v>
      </c>
      <c r="D958" s="238">
        <f>IFERROR((HLOOKUP($AH958,Target_monthwise!$D$4:$O$20,DTR!D$4,FALSE))*1000,0)</f>
        <v>0</v>
      </c>
      <c r="E958" s="238">
        <f>IFERROR((HLOOKUP($AH958,Target_monthwise!$D$4:$O$20,DTR!E$4,FALSE))*1000,0)</f>
        <v>0</v>
      </c>
      <c r="F958" s="238">
        <f>IFERROR((HLOOKUP($AH958,Target_monthwise!$D$4:$O$20,DTR!F$4,FALSE))*1000,0)</f>
        <v>0</v>
      </c>
      <c r="G958" s="238">
        <f>IFERROR((HLOOKUP($AH958,Target_monthwise!$D$4:$O$20,DTR!G$4,FALSE))*1000,0)</f>
        <v>0</v>
      </c>
      <c r="H958" s="238">
        <f>IFERROR((HLOOKUP($AH958,Target_monthwise!$D$4:$O$20,DTR!H$4,FALSE))*1000,0)</f>
        <v>0</v>
      </c>
      <c r="I958" s="238">
        <f>IFERROR((HLOOKUP($AH958,Target_monthwise!$D$4:$O$20,DTR!I$4,FALSE))*1000,0)</f>
        <v>0</v>
      </c>
      <c r="J958" s="238">
        <f>IFERROR((HLOOKUP($AH958,Target_monthwise!$D$4:$O$20,DTR!J$4,FALSE))*1000,0)</f>
        <v>0</v>
      </c>
      <c r="K958" s="238">
        <f>IFERROR((HLOOKUP($AH958,Target_monthwise!$D$4:$O$20,DTR!K$4,FALSE))*1000,0)</f>
        <v>0</v>
      </c>
      <c r="L958" s="238">
        <f>IFERROR((HLOOKUP($AH958,Target_monthwise!$D$4:$O$20,DTR!L$4,FALSE))*1000,0)</f>
        <v>0</v>
      </c>
      <c r="M958" s="238">
        <f>IFERROR((HLOOKUP($AH958,Target_monthwise!$D$4:$O$20,DTR!M$4,FALSE))*1000,0)</f>
        <v>0</v>
      </c>
      <c r="N958" s="238">
        <f>IFERROR((HLOOKUP($AH958,Target_monthwise!$D$4:$O$20,DTR!N$4,FALSE))*1000,0)</f>
        <v>0</v>
      </c>
      <c r="O958" s="238">
        <f>IFERROR((HLOOKUP($AH958,Target_monthwise!$D$4:$O$20,DTR!O$4,FALSE))*1000,0)</f>
        <v>0</v>
      </c>
      <c r="P958" s="238">
        <f>IFERROR((HLOOKUP($AH958,Target_monthwise!$D$4:$O$20,DTR!P$4,FALSE))*1000,0)</f>
        <v>0</v>
      </c>
      <c r="Q958" s="141">
        <f>IFERROR((HLOOKUP($AH958,Target_monthwise!$D$4:$O$20,DTR!Q$4,FALSE))*1000,0)</f>
        <v>0</v>
      </c>
      <c r="R958" s="167">
        <f>IFERROR((HLOOKUP($AH958,Target_monthwise!$D$4:$O$20,DTR!R$4,FALSE))*1000,0)</f>
        <v>0</v>
      </c>
      <c r="S958" s="239">
        <f>IFERROR((HLOOKUP($AH958,Target_monthwise!$D$24:$O$40,DTR!S$4,FALSE)),0)</f>
        <v>0</v>
      </c>
      <c r="T958" s="239">
        <f>IFERROR((HLOOKUP($AH958,Target_monthwise!$D$24:$O$40,DTR!T$4,FALSE)),0)</f>
        <v>0</v>
      </c>
      <c r="U958" s="239">
        <f>IFERROR((HLOOKUP($AH958,Target_monthwise!$D$24:$O$40,DTR!U$4,FALSE)),0)</f>
        <v>0</v>
      </c>
      <c r="V958" s="239">
        <f>IFERROR((HLOOKUP($AH958,Target_monthwise!$D$24:$O$40,DTR!V$4,FALSE)),0)</f>
        <v>0</v>
      </c>
      <c r="W958" s="239">
        <f>IFERROR((HLOOKUP($AH958,Target_monthwise!$D$24:$O$40,DTR!W$4,FALSE)),0)</f>
        <v>0</v>
      </c>
      <c r="X958" s="239">
        <f>IFERROR((HLOOKUP($AH958,Target_monthwise!$D$24:$O$40,DTR!X$4,FALSE)),0)</f>
        <v>0</v>
      </c>
      <c r="Y958" s="239">
        <f>IFERROR((HLOOKUP($AH958,Target_monthwise!$D$24:$O$40,DTR!Y$4,FALSE)),0)</f>
        <v>0</v>
      </c>
      <c r="Z958" s="147">
        <f>IFERROR((HLOOKUP($AH958,Target_monthwise!$D$24:$O$40,DTR!Z$4,FALSE)),0)</f>
        <v>0</v>
      </c>
      <c r="AA958" s="147">
        <f>IFERROR((HLOOKUP($AH958,Target_monthwise!$D$24:$O$40,DTR!AA$4,FALSE)),0)</f>
        <v>0</v>
      </c>
      <c r="AB958" s="147">
        <f>IFERROR((HLOOKUP($AH958,Target_monthwise!$D$24:$O$40,DTR!AB$4,FALSE)),0)</f>
        <v>0</v>
      </c>
      <c r="AC958" s="239">
        <f>IFERROR((HLOOKUP($AH958,Target_monthwise!$D$24:$O$40,DTR!AC$4,FALSE)),0)</f>
        <v>0</v>
      </c>
      <c r="AD958" s="239">
        <f>IFERROR((HLOOKUP($AH958,Target_monthwise!$D$24:$O$40,DTR!AD$4,FALSE)),0)</f>
        <v>0</v>
      </c>
      <c r="AE958" s="239">
        <f>IFERROR((HLOOKUP($AH958,Target_monthwise!$D$24:$O$40,DTR!AE$4,FALSE)),0)</f>
        <v>0</v>
      </c>
      <c r="AF958" s="239">
        <f>IFERROR((HLOOKUP($AH958,Target_monthwise!$D$24:$O$40,DTR!AF$4,FALSE)),0)</f>
        <v>0</v>
      </c>
      <c r="AG958" s="172">
        <f>IFERROR((HLOOKUP($AH958,Target_monthwise!$D$24:$O$40,DTR!AG$4,FALSE)),0)</f>
        <v>0</v>
      </c>
      <c r="AH958" s="253">
        <f t="shared" si="17"/>
        <v>202411</v>
      </c>
    </row>
    <row r="959" spans="3:34" ht="15.75" hidden="1">
      <c r="C959" s="235">
        <v>45602</v>
      </c>
      <c r="D959" s="141">
        <f>IFERROR((HLOOKUP($AH959,Target_monthwise!$D$4:$O$20,DTR!D$4,FALSE))*1000,0)</f>
        <v>0</v>
      </c>
      <c r="E959" s="141">
        <f>IFERROR((HLOOKUP($AH959,Target_monthwise!$D$4:$O$20,DTR!E$4,FALSE))*1000,0)</f>
        <v>0</v>
      </c>
      <c r="F959" s="141">
        <f>IFERROR((HLOOKUP($AH959,Target_monthwise!$D$4:$O$20,DTR!F$4,FALSE))*1000,0)</f>
        <v>0</v>
      </c>
      <c r="G959" s="141">
        <f>IFERROR((HLOOKUP($AH959,Target_monthwise!$D$4:$O$20,DTR!G$4,FALSE))*1000,0)</f>
        <v>0</v>
      </c>
      <c r="H959" s="141">
        <f>IFERROR((HLOOKUP($AH959,Target_monthwise!$D$4:$O$20,DTR!H$4,FALSE))*1000,0)</f>
        <v>0</v>
      </c>
      <c r="I959" s="141">
        <f>IFERROR((HLOOKUP($AH959,Target_monthwise!$D$4:$O$20,DTR!I$4,FALSE))*1000,0)</f>
        <v>0</v>
      </c>
      <c r="J959" s="141">
        <f>IFERROR((HLOOKUP($AH959,Target_monthwise!$D$4:$O$20,DTR!J$4,FALSE))*1000,0)</f>
        <v>0</v>
      </c>
      <c r="K959" s="141">
        <f>IFERROR((HLOOKUP($AH959,Target_monthwise!$D$4:$O$20,DTR!K$4,FALSE))*1000,0)</f>
        <v>0</v>
      </c>
      <c r="L959" s="141">
        <f>IFERROR((HLOOKUP($AH959,Target_monthwise!$D$4:$O$20,DTR!L$4,FALSE))*1000,0)</f>
        <v>0</v>
      </c>
      <c r="M959" s="141">
        <f>IFERROR((HLOOKUP($AH959,Target_monthwise!$D$4:$O$20,DTR!M$4,FALSE))*1000,0)</f>
        <v>0</v>
      </c>
      <c r="N959" s="141">
        <f>IFERROR((HLOOKUP($AH959,Target_monthwise!$D$4:$O$20,DTR!N$4,FALSE))*1000,0)</f>
        <v>0</v>
      </c>
      <c r="O959" s="141">
        <f>IFERROR((HLOOKUP($AH959,Target_monthwise!$D$4:$O$20,DTR!O$4,FALSE))*1000,0)</f>
        <v>0</v>
      </c>
      <c r="P959" s="141">
        <f>IFERROR((HLOOKUP($AH959,Target_monthwise!$D$4:$O$20,DTR!P$4,FALSE))*1000,0)</f>
        <v>0</v>
      </c>
      <c r="Q959" s="141">
        <f>IFERROR((HLOOKUP($AH959,Target_monthwise!$D$4:$O$20,DTR!Q$4,FALSE))*1000,0)</f>
        <v>0</v>
      </c>
      <c r="R959" s="167">
        <f>IFERROR((HLOOKUP($AH959,Target_monthwise!$D$4:$O$20,DTR!R$4,FALSE))*1000,0)</f>
        <v>0</v>
      </c>
      <c r="S959" s="147">
        <f>IFERROR((HLOOKUP($AH959,Target_monthwise!$D$24:$O$40,DTR!S$4,FALSE)),0)</f>
        <v>0</v>
      </c>
      <c r="T959" s="147">
        <f>IFERROR((HLOOKUP($AH959,Target_monthwise!$D$24:$O$40,DTR!T$4,FALSE)),0)</f>
        <v>0</v>
      </c>
      <c r="U959" s="147">
        <f>IFERROR((HLOOKUP($AH959,Target_monthwise!$D$24:$O$40,DTR!U$4,FALSE)),0)</f>
        <v>0</v>
      </c>
      <c r="V959" s="147">
        <f>IFERROR((HLOOKUP($AH959,Target_monthwise!$D$24:$O$40,DTR!V$4,FALSE)),0)</f>
        <v>0</v>
      </c>
      <c r="W959" s="147">
        <f>IFERROR((HLOOKUP($AH959,Target_monthwise!$D$24:$O$40,DTR!W$4,FALSE)),0)</f>
        <v>0</v>
      </c>
      <c r="X959" s="147">
        <f>IFERROR((HLOOKUP($AH959,Target_monthwise!$D$24:$O$40,DTR!X$4,FALSE)),0)</f>
        <v>0</v>
      </c>
      <c r="Y959" s="147">
        <f>IFERROR((HLOOKUP($AH959,Target_monthwise!$D$24:$O$40,DTR!Y$4,FALSE)),0)</f>
        <v>0</v>
      </c>
      <c r="Z959" s="147">
        <f>IFERROR((HLOOKUP($AH959,Target_monthwise!$D$24:$O$40,DTR!Z$4,FALSE)),0)</f>
        <v>0</v>
      </c>
      <c r="AA959" s="147">
        <f>IFERROR((HLOOKUP($AH959,Target_monthwise!$D$24:$O$40,DTR!AA$4,FALSE)),0)</f>
        <v>0</v>
      </c>
      <c r="AB959" s="147">
        <f>IFERROR((HLOOKUP($AH959,Target_monthwise!$D$24:$O$40,DTR!AB$4,FALSE)),0)</f>
        <v>0</v>
      </c>
      <c r="AC959" s="147">
        <f>IFERROR((HLOOKUP($AH959,Target_monthwise!$D$24:$O$40,DTR!AC$4,FALSE)),0)</f>
        <v>0</v>
      </c>
      <c r="AD959" s="147">
        <f>IFERROR((HLOOKUP($AH959,Target_monthwise!$D$24:$O$40,DTR!AD$4,FALSE)),0)</f>
        <v>0</v>
      </c>
      <c r="AE959" s="147">
        <f>IFERROR((HLOOKUP($AH959,Target_monthwise!$D$24:$O$40,DTR!AE$4,FALSE)),0)</f>
        <v>0</v>
      </c>
      <c r="AF959" s="147">
        <f>IFERROR((HLOOKUP($AH959,Target_monthwise!$D$24:$O$40,DTR!AF$4,FALSE)),0)</f>
        <v>0</v>
      </c>
      <c r="AG959" s="172">
        <f>IFERROR((HLOOKUP($AH959,Target_monthwise!$D$24:$O$40,DTR!AG$4,FALSE)),0)</f>
        <v>0</v>
      </c>
      <c r="AH959" s="253">
        <f t="shared" si="17"/>
        <v>202411</v>
      </c>
    </row>
    <row r="960" spans="3:34" ht="15.75" hidden="1">
      <c r="C960" s="237">
        <v>45603</v>
      </c>
      <c r="D960" s="238">
        <f>IFERROR((HLOOKUP($AH960,Target_monthwise!$D$4:$O$20,DTR!D$4,FALSE))*1000,0)</f>
        <v>0</v>
      </c>
      <c r="E960" s="238">
        <f>IFERROR((HLOOKUP($AH960,Target_monthwise!$D$4:$O$20,DTR!E$4,FALSE))*1000,0)</f>
        <v>0</v>
      </c>
      <c r="F960" s="238">
        <f>IFERROR((HLOOKUP($AH960,Target_monthwise!$D$4:$O$20,DTR!F$4,FALSE))*1000,0)</f>
        <v>0</v>
      </c>
      <c r="G960" s="238">
        <f>IFERROR((HLOOKUP($AH960,Target_monthwise!$D$4:$O$20,DTR!G$4,FALSE))*1000,0)</f>
        <v>0</v>
      </c>
      <c r="H960" s="238">
        <f>IFERROR((HLOOKUP($AH960,Target_monthwise!$D$4:$O$20,DTR!H$4,FALSE))*1000,0)</f>
        <v>0</v>
      </c>
      <c r="I960" s="238">
        <f>IFERROR((HLOOKUP($AH960,Target_monthwise!$D$4:$O$20,DTR!I$4,FALSE))*1000,0)</f>
        <v>0</v>
      </c>
      <c r="J960" s="238">
        <f>IFERROR((HLOOKUP($AH960,Target_monthwise!$D$4:$O$20,DTR!J$4,FALSE))*1000,0)</f>
        <v>0</v>
      </c>
      <c r="K960" s="238">
        <f>IFERROR((HLOOKUP($AH960,Target_monthwise!$D$4:$O$20,DTR!K$4,FALSE))*1000,0)</f>
        <v>0</v>
      </c>
      <c r="L960" s="238">
        <f>IFERROR((HLOOKUP($AH960,Target_monthwise!$D$4:$O$20,DTR!L$4,FALSE))*1000,0)</f>
        <v>0</v>
      </c>
      <c r="M960" s="238">
        <f>IFERROR((HLOOKUP($AH960,Target_monthwise!$D$4:$O$20,DTR!M$4,FALSE))*1000,0)</f>
        <v>0</v>
      </c>
      <c r="N960" s="238">
        <f>IFERROR((HLOOKUP($AH960,Target_monthwise!$D$4:$O$20,DTR!N$4,FALSE))*1000,0)</f>
        <v>0</v>
      </c>
      <c r="O960" s="238">
        <f>IFERROR((HLOOKUP($AH960,Target_monthwise!$D$4:$O$20,DTR!O$4,FALSE))*1000,0)</f>
        <v>0</v>
      </c>
      <c r="P960" s="238">
        <f>IFERROR((HLOOKUP($AH960,Target_monthwise!$D$4:$O$20,DTR!P$4,FALSE))*1000,0)</f>
        <v>0</v>
      </c>
      <c r="Q960" s="141">
        <f>IFERROR((HLOOKUP($AH960,Target_monthwise!$D$4:$O$20,DTR!Q$4,FALSE))*1000,0)</f>
        <v>0</v>
      </c>
      <c r="R960" s="167">
        <f>IFERROR((HLOOKUP($AH960,Target_monthwise!$D$4:$O$20,DTR!R$4,FALSE))*1000,0)</f>
        <v>0</v>
      </c>
      <c r="S960" s="239">
        <f>IFERROR((HLOOKUP($AH960,Target_monthwise!$D$24:$O$40,DTR!S$4,FALSE)),0)</f>
        <v>0</v>
      </c>
      <c r="T960" s="239">
        <f>IFERROR((HLOOKUP($AH960,Target_monthwise!$D$24:$O$40,DTR!T$4,FALSE)),0)</f>
        <v>0</v>
      </c>
      <c r="U960" s="239">
        <f>IFERROR((HLOOKUP($AH960,Target_monthwise!$D$24:$O$40,DTR!U$4,FALSE)),0)</f>
        <v>0</v>
      </c>
      <c r="V960" s="239">
        <f>IFERROR((HLOOKUP($AH960,Target_monthwise!$D$24:$O$40,DTR!V$4,FALSE)),0)</f>
        <v>0</v>
      </c>
      <c r="W960" s="239">
        <f>IFERROR((HLOOKUP($AH960,Target_monthwise!$D$24:$O$40,DTR!W$4,FALSE)),0)</f>
        <v>0</v>
      </c>
      <c r="X960" s="239">
        <f>IFERROR((HLOOKUP($AH960,Target_monthwise!$D$24:$O$40,DTR!X$4,FALSE)),0)</f>
        <v>0</v>
      </c>
      <c r="Y960" s="239">
        <f>IFERROR((HLOOKUP($AH960,Target_monthwise!$D$24:$O$40,DTR!Y$4,FALSE)),0)</f>
        <v>0</v>
      </c>
      <c r="Z960" s="147">
        <f>IFERROR((HLOOKUP($AH960,Target_monthwise!$D$24:$O$40,DTR!Z$4,FALSE)),0)</f>
        <v>0</v>
      </c>
      <c r="AA960" s="147">
        <f>IFERROR((HLOOKUP($AH960,Target_monthwise!$D$24:$O$40,DTR!AA$4,FALSE)),0)</f>
        <v>0</v>
      </c>
      <c r="AB960" s="147">
        <f>IFERROR((HLOOKUP($AH960,Target_monthwise!$D$24:$O$40,DTR!AB$4,FALSE)),0)</f>
        <v>0</v>
      </c>
      <c r="AC960" s="239">
        <f>IFERROR((HLOOKUP($AH960,Target_monthwise!$D$24:$O$40,DTR!AC$4,FALSE)),0)</f>
        <v>0</v>
      </c>
      <c r="AD960" s="239">
        <f>IFERROR((HLOOKUP($AH960,Target_monthwise!$D$24:$O$40,DTR!AD$4,FALSE)),0)</f>
        <v>0</v>
      </c>
      <c r="AE960" s="239">
        <f>IFERROR((HLOOKUP($AH960,Target_monthwise!$D$24:$O$40,DTR!AE$4,FALSE)),0)</f>
        <v>0</v>
      </c>
      <c r="AF960" s="239">
        <f>IFERROR((HLOOKUP($AH960,Target_monthwise!$D$24:$O$40,DTR!AF$4,FALSE)),0)</f>
        <v>0</v>
      </c>
      <c r="AG960" s="172">
        <f>IFERROR((HLOOKUP($AH960,Target_monthwise!$D$24:$O$40,DTR!AG$4,FALSE)),0)</f>
        <v>0</v>
      </c>
      <c r="AH960" s="253">
        <f t="shared" si="17"/>
        <v>202411</v>
      </c>
    </row>
    <row r="961" spans="3:34" ht="15.75" hidden="1">
      <c r="C961" s="235">
        <v>45604</v>
      </c>
      <c r="D961" s="141">
        <f>IFERROR((HLOOKUP($AH961,Target_monthwise!$D$4:$O$20,DTR!D$4,FALSE))*1000,0)</f>
        <v>0</v>
      </c>
      <c r="E961" s="141">
        <f>IFERROR((HLOOKUP($AH961,Target_monthwise!$D$4:$O$20,DTR!E$4,FALSE))*1000,0)</f>
        <v>0</v>
      </c>
      <c r="F961" s="141">
        <f>IFERROR((HLOOKUP($AH961,Target_monthwise!$D$4:$O$20,DTR!F$4,FALSE))*1000,0)</f>
        <v>0</v>
      </c>
      <c r="G961" s="141">
        <f>IFERROR((HLOOKUP($AH961,Target_monthwise!$D$4:$O$20,DTR!G$4,FALSE))*1000,0)</f>
        <v>0</v>
      </c>
      <c r="H961" s="141">
        <f>IFERROR((HLOOKUP($AH961,Target_monthwise!$D$4:$O$20,DTR!H$4,FALSE))*1000,0)</f>
        <v>0</v>
      </c>
      <c r="I961" s="141">
        <f>IFERROR((HLOOKUP($AH961,Target_monthwise!$D$4:$O$20,DTR!I$4,FALSE))*1000,0)</f>
        <v>0</v>
      </c>
      <c r="J961" s="141">
        <f>IFERROR((HLOOKUP($AH961,Target_monthwise!$D$4:$O$20,DTR!J$4,FALSE))*1000,0)</f>
        <v>0</v>
      </c>
      <c r="K961" s="141">
        <f>IFERROR((HLOOKUP($AH961,Target_monthwise!$D$4:$O$20,DTR!K$4,FALSE))*1000,0)</f>
        <v>0</v>
      </c>
      <c r="L961" s="141">
        <f>IFERROR((HLOOKUP($AH961,Target_monthwise!$D$4:$O$20,DTR!L$4,FALSE))*1000,0)</f>
        <v>0</v>
      </c>
      <c r="M961" s="141">
        <f>IFERROR((HLOOKUP($AH961,Target_monthwise!$D$4:$O$20,DTR!M$4,FALSE))*1000,0)</f>
        <v>0</v>
      </c>
      <c r="N961" s="141">
        <f>IFERROR((HLOOKUP($AH961,Target_monthwise!$D$4:$O$20,DTR!N$4,FALSE))*1000,0)</f>
        <v>0</v>
      </c>
      <c r="O961" s="141">
        <f>IFERROR((HLOOKUP($AH961,Target_monthwise!$D$4:$O$20,DTR!O$4,FALSE))*1000,0)</f>
        <v>0</v>
      </c>
      <c r="P961" s="141">
        <f>IFERROR((HLOOKUP($AH961,Target_monthwise!$D$4:$O$20,DTR!P$4,FALSE))*1000,0)</f>
        <v>0</v>
      </c>
      <c r="Q961" s="141">
        <f>IFERROR((HLOOKUP($AH961,Target_monthwise!$D$4:$O$20,DTR!Q$4,FALSE))*1000,0)</f>
        <v>0</v>
      </c>
      <c r="R961" s="167">
        <f>IFERROR((HLOOKUP($AH961,Target_monthwise!$D$4:$O$20,DTR!R$4,FALSE))*1000,0)</f>
        <v>0</v>
      </c>
      <c r="S961" s="147">
        <f>IFERROR((HLOOKUP($AH961,Target_monthwise!$D$24:$O$40,DTR!S$4,FALSE)),0)</f>
        <v>0</v>
      </c>
      <c r="T961" s="147">
        <f>IFERROR((HLOOKUP($AH961,Target_monthwise!$D$24:$O$40,DTR!T$4,FALSE)),0)</f>
        <v>0</v>
      </c>
      <c r="U961" s="147">
        <f>IFERROR((HLOOKUP($AH961,Target_monthwise!$D$24:$O$40,DTR!U$4,FALSE)),0)</f>
        <v>0</v>
      </c>
      <c r="V961" s="147">
        <f>IFERROR((HLOOKUP($AH961,Target_monthwise!$D$24:$O$40,DTR!V$4,FALSE)),0)</f>
        <v>0</v>
      </c>
      <c r="W961" s="147">
        <f>IFERROR((HLOOKUP($AH961,Target_monthwise!$D$24:$O$40,DTR!W$4,FALSE)),0)</f>
        <v>0</v>
      </c>
      <c r="X961" s="147">
        <f>IFERROR((HLOOKUP($AH961,Target_monthwise!$D$24:$O$40,DTR!X$4,FALSE)),0)</f>
        <v>0</v>
      </c>
      <c r="Y961" s="147">
        <f>IFERROR((HLOOKUP($AH961,Target_monthwise!$D$24:$O$40,DTR!Y$4,FALSE)),0)</f>
        <v>0</v>
      </c>
      <c r="Z961" s="147">
        <f>IFERROR((HLOOKUP($AH961,Target_monthwise!$D$24:$O$40,DTR!Z$4,FALSE)),0)</f>
        <v>0</v>
      </c>
      <c r="AA961" s="147">
        <f>IFERROR((HLOOKUP($AH961,Target_monthwise!$D$24:$O$40,DTR!AA$4,FALSE)),0)</f>
        <v>0</v>
      </c>
      <c r="AB961" s="147">
        <f>IFERROR((HLOOKUP($AH961,Target_monthwise!$D$24:$O$40,DTR!AB$4,FALSE)),0)</f>
        <v>0</v>
      </c>
      <c r="AC961" s="147">
        <f>IFERROR((HLOOKUP($AH961,Target_monthwise!$D$24:$O$40,DTR!AC$4,FALSE)),0)</f>
        <v>0</v>
      </c>
      <c r="AD961" s="147">
        <f>IFERROR((HLOOKUP($AH961,Target_monthwise!$D$24:$O$40,DTR!AD$4,FALSE)),0)</f>
        <v>0</v>
      </c>
      <c r="AE961" s="147">
        <f>IFERROR((HLOOKUP($AH961,Target_monthwise!$D$24:$O$40,DTR!AE$4,FALSE)),0)</f>
        <v>0</v>
      </c>
      <c r="AF961" s="147">
        <f>IFERROR((HLOOKUP($AH961,Target_monthwise!$D$24:$O$40,DTR!AF$4,FALSE)),0)</f>
        <v>0</v>
      </c>
      <c r="AG961" s="172">
        <f>IFERROR((HLOOKUP($AH961,Target_monthwise!$D$24:$O$40,DTR!AG$4,FALSE)),0)</f>
        <v>0</v>
      </c>
      <c r="AH961" s="253">
        <f t="shared" si="17"/>
        <v>202411</v>
      </c>
    </row>
    <row r="962" spans="3:34" ht="15.75" hidden="1">
      <c r="C962" s="237">
        <v>45605</v>
      </c>
      <c r="D962" s="238">
        <f>IFERROR((HLOOKUP($AH962,Target_monthwise!$D$4:$O$20,DTR!D$4,FALSE))*1000,0)</f>
        <v>0</v>
      </c>
      <c r="E962" s="238">
        <f>IFERROR((HLOOKUP($AH962,Target_monthwise!$D$4:$O$20,DTR!E$4,FALSE))*1000,0)</f>
        <v>0</v>
      </c>
      <c r="F962" s="238">
        <f>IFERROR((HLOOKUP($AH962,Target_monthwise!$D$4:$O$20,DTR!F$4,FALSE))*1000,0)</f>
        <v>0</v>
      </c>
      <c r="G962" s="238">
        <f>IFERROR((HLOOKUP($AH962,Target_monthwise!$D$4:$O$20,DTR!G$4,FALSE))*1000,0)</f>
        <v>0</v>
      </c>
      <c r="H962" s="238">
        <f>IFERROR((HLOOKUP($AH962,Target_monthwise!$D$4:$O$20,DTR!H$4,FALSE))*1000,0)</f>
        <v>0</v>
      </c>
      <c r="I962" s="238">
        <f>IFERROR((HLOOKUP($AH962,Target_monthwise!$D$4:$O$20,DTR!I$4,FALSE))*1000,0)</f>
        <v>0</v>
      </c>
      <c r="J962" s="238">
        <f>IFERROR((HLOOKUP($AH962,Target_monthwise!$D$4:$O$20,DTR!J$4,FALSE))*1000,0)</f>
        <v>0</v>
      </c>
      <c r="K962" s="238">
        <f>IFERROR((HLOOKUP($AH962,Target_monthwise!$D$4:$O$20,DTR!K$4,FALSE))*1000,0)</f>
        <v>0</v>
      </c>
      <c r="L962" s="238">
        <f>IFERROR((HLOOKUP($AH962,Target_monthwise!$D$4:$O$20,DTR!L$4,FALSE))*1000,0)</f>
        <v>0</v>
      </c>
      <c r="M962" s="238">
        <f>IFERROR((HLOOKUP($AH962,Target_monthwise!$D$4:$O$20,DTR!M$4,FALSE))*1000,0)</f>
        <v>0</v>
      </c>
      <c r="N962" s="238">
        <f>IFERROR((HLOOKUP($AH962,Target_monthwise!$D$4:$O$20,DTR!N$4,FALSE))*1000,0)</f>
        <v>0</v>
      </c>
      <c r="O962" s="238">
        <f>IFERROR((HLOOKUP($AH962,Target_monthwise!$D$4:$O$20,DTR!O$4,FALSE))*1000,0)</f>
        <v>0</v>
      </c>
      <c r="P962" s="238">
        <f>IFERROR((HLOOKUP($AH962,Target_monthwise!$D$4:$O$20,DTR!P$4,FALSE))*1000,0)</f>
        <v>0</v>
      </c>
      <c r="Q962" s="141">
        <f>IFERROR((HLOOKUP($AH962,Target_monthwise!$D$4:$O$20,DTR!Q$4,FALSE))*1000,0)</f>
        <v>0</v>
      </c>
      <c r="R962" s="167">
        <f>IFERROR((HLOOKUP($AH962,Target_monthwise!$D$4:$O$20,DTR!R$4,FALSE))*1000,0)</f>
        <v>0</v>
      </c>
      <c r="S962" s="239">
        <f>IFERROR((HLOOKUP($AH962,Target_monthwise!$D$24:$O$40,DTR!S$4,FALSE)),0)</f>
        <v>0</v>
      </c>
      <c r="T962" s="239">
        <f>IFERROR((HLOOKUP($AH962,Target_monthwise!$D$24:$O$40,DTR!T$4,FALSE)),0)</f>
        <v>0</v>
      </c>
      <c r="U962" s="239">
        <f>IFERROR((HLOOKUP($AH962,Target_monthwise!$D$24:$O$40,DTR!U$4,FALSE)),0)</f>
        <v>0</v>
      </c>
      <c r="V962" s="239">
        <f>IFERROR((HLOOKUP($AH962,Target_monthwise!$D$24:$O$40,DTR!V$4,FALSE)),0)</f>
        <v>0</v>
      </c>
      <c r="W962" s="239">
        <f>IFERROR((HLOOKUP($AH962,Target_monthwise!$D$24:$O$40,DTR!W$4,FALSE)),0)</f>
        <v>0</v>
      </c>
      <c r="X962" s="239">
        <f>IFERROR((HLOOKUP($AH962,Target_monthwise!$D$24:$O$40,DTR!X$4,FALSE)),0)</f>
        <v>0</v>
      </c>
      <c r="Y962" s="239">
        <f>IFERROR((HLOOKUP($AH962,Target_monthwise!$D$24:$O$40,DTR!Y$4,FALSE)),0)</f>
        <v>0</v>
      </c>
      <c r="Z962" s="147">
        <f>IFERROR((HLOOKUP($AH962,Target_monthwise!$D$24:$O$40,DTR!Z$4,FALSE)),0)</f>
        <v>0</v>
      </c>
      <c r="AA962" s="147">
        <f>IFERROR((HLOOKUP($AH962,Target_monthwise!$D$24:$O$40,DTR!AA$4,FALSE)),0)</f>
        <v>0</v>
      </c>
      <c r="AB962" s="147">
        <f>IFERROR((HLOOKUP($AH962,Target_monthwise!$D$24:$O$40,DTR!AB$4,FALSE)),0)</f>
        <v>0</v>
      </c>
      <c r="AC962" s="239">
        <f>IFERROR((HLOOKUP($AH962,Target_monthwise!$D$24:$O$40,DTR!AC$4,FALSE)),0)</f>
        <v>0</v>
      </c>
      <c r="AD962" s="239">
        <f>IFERROR((HLOOKUP($AH962,Target_monthwise!$D$24:$O$40,DTR!AD$4,FALSE)),0)</f>
        <v>0</v>
      </c>
      <c r="AE962" s="239">
        <f>IFERROR((HLOOKUP($AH962,Target_monthwise!$D$24:$O$40,DTR!AE$4,FALSE)),0)</f>
        <v>0</v>
      </c>
      <c r="AF962" s="239">
        <f>IFERROR((HLOOKUP($AH962,Target_monthwise!$D$24:$O$40,DTR!AF$4,FALSE)),0)</f>
        <v>0</v>
      </c>
      <c r="AG962" s="172">
        <f>IFERROR((HLOOKUP($AH962,Target_monthwise!$D$24:$O$40,DTR!AG$4,FALSE)),0)</f>
        <v>0</v>
      </c>
      <c r="AH962" s="253">
        <f t="shared" si="17"/>
        <v>202411</v>
      </c>
    </row>
    <row r="963" spans="3:34" ht="15.75" hidden="1">
      <c r="C963" s="235">
        <v>45606</v>
      </c>
      <c r="D963" s="141">
        <f>IFERROR((HLOOKUP($AH963,Target_monthwise!$D$4:$O$20,DTR!D$4,FALSE))*1000,0)</f>
        <v>0</v>
      </c>
      <c r="E963" s="141">
        <f>IFERROR((HLOOKUP($AH963,Target_monthwise!$D$4:$O$20,DTR!E$4,FALSE))*1000,0)</f>
        <v>0</v>
      </c>
      <c r="F963" s="141">
        <f>IFERROR((HLOOKUP($AH963,Target_monthwise!$D$4:$O$20,DTR!F$4,FALSE))*1000,0)</f>
        <v>0</v>
      </c>
      <c r="G963" s="141">
        <f>IFERROR((HLOOKUP($AH963,Target_monthwise!$D$4:$O$20,DTR!G$4,FALSE))*1000,0)</f>
        <v>0</v>
      </c>
      <c r="H963" s="141">
        <f>IFERROR((HLOOKUP($AH963,Target_monthwise!$D$4:$O$20,DTR!H$4,FALSE))*1000,0)</f>
        <v>0</v>
      </c>
      <c r="I963" s="141">
        <f>IFERROR((HLOOKUP($AH963,Target_monthwise!$D$4:$O$20,DTR!I$4,FALSE))*1000,0)</f>
        <v>0</v>
      </c>
      <c r="J963" s="141">
        <f>IFERROR((HLOOKUP($AH963,Target_monthwise!$D$4:$O$20,DTR!J$4,FALSE))*1000,0)</f>
        <v>0</v>
      </c>
      <c r="K963" s="141">
        <f>IFERROR((HLOOKUP($AH963,Target_monthwise!$D$4:$O$20,DTR!K$4,FALSE))*1000,0)</f>
        <v>0</v>
      </c>
      <c r="L963" s="141">
        <f>IFERROR((HLOOKUP($AH963,Target_monthwise!$D$4:$O$20,DTR!L$4,FALSE))*1000,0)</f>
        <v>0</v>
      </c>
      <c r="M963" s="141">
        <f>IFERROR((HLOOKUP($AH963,Target_monthwise!$D$4:$O$20,DTR!M$4,FALSE))*1000,0)</f>
        <v>0</v>
      </c>
      <c r="N963" s="141">
        <f>IFERROR((HLOOKUP($AH963,Target_monthwise!$D$4:$O$20,DTR!N$4,FALSE))*1000,0)</f>
        <v>0</v>
      </c>
      <c r="O963" s="141">
        <f>IFERROR((HLOOKUP($AH963,Target_monthwise!$D$4:$O$20,DTR!O$4,FALSE))*1000,0)</f>
        <v>0</v>
      </c>
      <c r="P963" s="141">
        <f>IFERROR((HLOOKUP($AH963,Target_monthwise!$D$4:$O$20,DTR!P$4,FALSE))*1000,0)</f>
        <v>0</v>
      </c>
      <c r="Q963" s="141">
        <f>IFERROR((HLOOKUP($AH963,Target_monthwise!$D$4:$O$20,DTR!Q$4,FALSE))*1000,0)</f>
        <v>0</v>
      </c>
      <c r="R963" s="167">
        <f>IFERROR((HLOOKUP($AH963,Target_monthwise!$D$4:$O$20,DTR!R$4,FALSE))*1000,0)</f>
        <v>0</v>
      </c>
      <c r="S963" s="147">
        <f>IFERROR((HLOOKUP($AH963,Target_monthwise!$D$24:$O$40,DTR!S$4,FALSE)),0)</f>
        <v>0</v>
      </c>
      <c r="T963" s="147">
        <f>IFERROR((HLOOKUP($AH963,Target_monthwise!$D$24:$O$40,DTR!T$4,FALSE)),0)</f>
        <v>0</v>
      </c>
      <c r="U963" s="147">
        <f>IFERROR((HLOOKUP($AH963,Target_monthwise!$D$24:$O$40,DTR!U$4,FALSE)),0)</f>
        <v>0</v>
      </c>
      <c r="V963" s="147">
        <f>IFERROR((HLOOKUP($AH963,Target_monthwise!$D$24:$O$40,DTR!V$4,FALSE)),0)</f>
        <v>0</v>
      </c>
      <c r="W963" s="147">
        <f>IFERROR((HLOOKUP($AH963,Target_monthwise!$D$24:$O$40,DTR!W$4,FALSE)),0)</f>
        <v>0</v>
      </c>
      <c r="X963" s="147">
        <f>IFERROR((HLOOKUP($AH963,Target_monthwise!$D$24:$O$40,DTR!X$4,FALSE)),0)</f>
        <v>0</v>
      </c>
      <c r="Y963" s="147">
        <f>IFERROR((HLOOKUP($AH963,Target_monthwise!$D$24:$O$40,DTR!Y$4,FALSE)),0)</f>
        <v>0</v>
      </c>
      <c r="Z963" s="147">
        <f>IFERROR((HLOOKUP($AH963,Target_monthwise!$D$24:$O$40,DTR!Z$4,FALSE)),0)</f>
        <v>0</v>
      </c>
      <c r="AA963" s="147">
        <f>IFERROR((HLOOKUP($AH963,Target_monthwise!$D$24:$O$40,DTR!AA$4,FALSE)),0)</f>
        <v>0</v>
      </c>
      <c r="AB963" s="147">
        <f>IFERROR((HLOOKUP($AH963,Target_monthwise!$D$24:$O$40,DTR!AB$4,FALSE)),0)</f>
        <v>0</v>
      </c>
      <c r="AC963" s="147">
        <f>IFERROR((HLOOKUP($AH963,Target_monthwise!$D$24:$O$40,DTR!AC$4,FALSE)),0)</f>
        <v>0</v>
      </c>
      <c r="AD963" s="147">
        <f>IFERROR((HLOOKUP($AH963,Target_monthwise!$D$24:$O$40,DTR!AD$4,FALSE)),0)</f>
        <v>0</v>
      </c>
      <c r="AE963" s="147">
        <f>IFERROR((HLOOKUP($AH963,Target_monthwise!$D$24:$O$40,DTR!AE$4,FALSE)),0)</f>
        <v>0</v>
      </c>
      <c r="AF963" s="147">
        <f>IFERROR((HLOOKUP($AH963,Target_monthwise!$D$24:$O$40,DTR!AF$4,FALSE)),0)</f>
        <v>0</v>
      </c>
      <c r="AG963" s="172">
        <f>IFERROR((HLOOKUP($AH963,Target_monthwise!$D$24:$O$40,DTR!AG$4,FALSE)),0)</f>
        <v>0</v>
      </c>
      <c r="AH963" s="253">
        <f t="shared" si="17"/>
        <v>202411</v>
      </c>
    </row>
    <row r="964" spans="3:34" ht="15.75" hidden="1">
      <c r="C964" s="237">
        <v>45607</v>
      </c>
      <c r="D964" s="238">
        <f>IFERROR((HLOOKUP($AH964,Target_monthwise!$D$4:$O$20,DTR!D$4,FALSE))*1000,0)</f>
        <v>0</v>
      </c>
      <c r="E964" s="238">
        <f>IFERROR((HLOOKUP($AH964,Target_monthwise!$D$4:$O$20,DTR!E$4,FALSE))*1000,0)</f>
        <v>0</v>
      </c>
      <c r="F964" s="238">
        <f>IFERROR((HLOOKUP($AH964,Target_monthwise!$D$4:$O$20,DTR!F$4,FALSE))*1000,0)</f>
        <v>0</v>
      </c>
      <c r="G964" s="238">
        <f>IFERROR((HLOOKUP($AH964,Target_monthwise!$D$4:$O$20,DTR!G$4,FALSE))*1000,0)</f>
        <v>0</v>
      </c>
      <c r="H964" s="238">
        <f>IFERROR((HLOOKUP($AH964,Target_monthwise!$D$4:$O$20,DTR!H$4,FALSE))*1000,0)</f>
        <v>0</v>
      </c>
      <c r="I964" s="238">
        <f>IFERROR((HLOOKUP($AH964,Target_monthwise!$D$4:$O$20,DTR!I$4,FALSE))*1000,0)</f>
        <v>0</v>
      </c>
      <c r="J964" s="238">
        <f>IFERROR((HLOOKUP($AH964,Target_monthwise!$D$4:$O$20,DTR!J$4,FALSE))*1000,0)</f>
        <v>0</v>
      </c>
      <c r="K964" s="238">
        <f>IFERROR((HLOOKUP($AH964,Target_monthwise!$D$4:$O$20,DTR!K$4,FALSE))*1000,0)</f>
        <v>0</v>
      </c>
      <c r="L964" s="238">
        <f>IFERROR((HLOOKUP($AH964,Target_monthwise!$D$4:$O$20,DTR!L$4,FALSE))*1000,0)</f>
        <v>0</v>
      </c>
      <c r="M964" s="238">
        <f>IFERROR((HLOOKUP($AH964,Target_monthwise!$D$4:$O$20,DTR!M$4,FALSE))*1000,0)</f>
        <v>0</v>
      </c>
      <c r="N964" s="238">
        <f>IFERROR((HLOOKUP($AH964,Target_monthwise!$D$4:$O$20,DTR!N$4,FALSE))*1000,0)</f>
        <v>0</v>
      </c>
      <c r="O964" s="238">
        <f>IFERROR((HLOOKUP($AH964,Target_monthwise!$D$4:$O$20,DTR!O$4,FALSE))*1000,0)</f>
        <v>0</v>
      </c>
      <c r="P964" s="238">
        <f>IFERROR((HLOOKUP($AH964,Target_monthwise!$D$4:$O$20,DTR!P$4,FALSE))*1000,0)</f>
        <v>0</v>
      </c>
      <c r="Q964" s="141">
        <f>IFERROR((HLOOKUP($AH964,Target_monthwise!$D$4:$O$20,DTR!Q$4,FALSE))*1000,0)</f>
        <v>0</v>
      </c>
      <c r="R964" s="167">
        <f>IFERROR((HLOOKUP($AH964,Target_monthwise!$D$4:$O$20,DTR!R$4,FALSE))*1000,0)</f>
        <v>0</v>
      </c>
      <c r="S964" s="239">
        <f>IFERROR((HLOOKUP($AH964,Target_monthwise!$D$24:$O$40,DTR!S$4,FALSE)),0)</f>
        <v>0</v>
      </c>
      <c r="T964" s="239">
        <f>IFERROR((HLOOKUP($AH964,Target_monthwise!$D$24:$O$40,DTR!T$4,FALSE)),0)</f>
        <v>0</v>
      </c>
      <c r="U964" s="239">
        <f>IFERROR((HLOOKUP($AH964,Target_monthwise!$D$24:$O$40,DTR!U$4,FALSE)),0)</f>
        <v>0</v>
      </c>
      <c r="V964" s="239">
        <f>IFERROR((HLOOKUP($AH964,Target_monthwise!$D$24:$O$40,DTR!V$4,FALSE)),0)</f>
        <v>0</v>
      </c>
      <c r="W964" s="239">
        <f>IFERROR((HLOOKUP($AH964,Target_monthwise!$D$24:$O$40,DTR!W$4,FALSE)),0)</f>
        <v>0</v>
      </c>
      <c r="X964" s="239">
        <f>IFERROR((HLOOKUP($AH964,Target_monthwise!$D$24:$O$40,DTR!X$4,FALSE)),0)</f>
        <v>0</v>
      </c>
      <c r="Y964" s="239">
        <f>IFERROR((HLOOKUP($AH964,Target_monthwise!$D$24:$O$40,DTR!Y$4,FALSE)),0)</f>
        <v>0</v>
      </c>
      <c r="Z964" s="147">
        <f>IFERROR((HLOOKUP($AH964,Target_monthwise!$D$24:$O$40,DTR!Z$4,FALSE)),0)</f>
        <v>0</v>
      </c>
      <c r="AA964" s="147">
        <f>IFERROR((HLOOKUP($AH964,Target_monthwise!$D$24:$O$40,DTR!AA$4,FALSE)),0)</f>
        <v>0</v>
      </c>
      <c r="AB964" s="147">
        <f>IFERROR((HLOOKUP($AH964,Target_monthwise!$D$24:$O$40,DTR!AB$4,FALSE)),0)</f>
        <v>0</v>
      </c>
      <c r="AC964" s="239">
        <f>IFERROR((HLOOKUP($AH964,Target_monthwise!$D$24:$O$40,DTR!AC$4,FALSE)),0)</f>
        <v>0</v>
      </c>
      <c r="AD964" s="239">
        <f>IFERROR((HLOOKUP($AH964,Target_monthwise!$D$24:$O$40,DTR!AD$4,FALSE)),0)</f>
        <v>0</v>
      </c>
      <c r="AE964" s="239">
        <f>IFERROR((HLOOKUP($AH964,Target_monthwise!$D$24:$O$40,DTR!AE$4,FALSE)),0)</f>
        <v>0</v>
      </c>
      <c r="AF964" s="239">
        <f>IFERROR((HLOOKUP($AH964,Target_monthwise!$D$24:$O$40,DTR!AF$4,FALSE)),0)</f>
        <v>0</v>
      </c>
      <c r="AG964" s="172">
        <f>IFERROR((HLOOKUP($AH964,Target_monthwise!$D$24:$O$40,DTR!AG$4,FALSE)),0)</f>
        <v>0</v>
      </c>
      <c r="AH964" s="253">
        <f t="shared" si="17"/>
        <v>202411</v>
      </c>
    </row>
    <row r="965" spans="3:34" ht="15.75" hidden="1">
      <c r="C965" s="235">
        <v>45608</v>
      </c>
      <c r="D965" s="141">
        <f>IFERROR((HLOOKUP($AH965,Target_monthwise!$D$4:$O$20,DTR!D$4,FALSE))*1000,0)</f>
        <v>0</v>
      </c>
      <c r="E965" s="141">
        <f>IFERROR((HLOOKUP($AH965,Target_monthwise!$D$4:$O$20,DTR!E$4,FALSE))*1000,0)</f>
        <v>0</v>
      </c>
      <c r="F965" s="141">
        <f>IFERROR((HLOOKUP($AH965,Target_monthwise!$D$4:$O$20,DTR!F$4,FALSE))*1000,0)</f>
        <v>0</v>
      </c>
      <c r="G965" s="141">
        <f>IFERROR((HLOOKUP($AH965,Target_monthwise!$D$4:$O$20,DTR!G$4,FALSE))*1000,0)</f>
        <v>0</v>
      </c>
      <c r="H965" s="141">
        <f>IFERROR((HLOOKUP($AH965,Target_monthwise!$D$4:$O$20,DTR!H$4,FALSE))*1000,0)</f>
        <v>0</v>
      </c>
      <c r="I965" s="141">
        <f>IFERROR((HLOOKUP($AH965,Target_monthwise!$D$4:$O$20,DTR!I$4,FALSE))*1000,0)</f>
        <v>0</v>
      </c>
      <c r="J965" s="141">
        <f>IFERROR((HLOOKUP($AH965,Target_monthwise!$D$4:$O$20,DTR!J$4,FALSE))*1000,0)</f>
        <v>0</v>
      </c>
      <c r="K965" s="141">
        <f>IFERROR((HLOOKUP($AH965,Target_monthwise!$D$4:$O$20,DTR!K$4,FALSE))*1000,0)</f>
        <v>0</v>
      </c>
      <c r="L965" s="141">
        <f>IFERROR((HLOOKUP($AH965,Target_monthwise!$D$4:$O$20,DTR!L$4,FALSE))*1000,0)</f>
        <v>0</v>
      </c>
      <c r="M965" s="141">
        <f>IFERROR((HLOOKUP($AH965,Target_monthwise!$D$4:$O$20,DTR!M$4,FALSE))*1000,0)</f>
        <v>0</v>
      </c>
      <c r="N965" s="141">
        <f>IFERROR((HLOOKUP($AH965,Target_monthwise!$D$4:$O$20,DTR!N$4,FALSE))*1000,0)</f>
        <v>0</v>
      </c>
      <c r="O965" s="141">
        <f>IFERROR((HLOOKUP($AH965,Target_monthwise!$D$4:$O$20,DTR!O$4,FALSE))*1000,0)</f>
        <v>0</v>
      </c>
      <c r="P965" s="141">
        <f>IFERROR((HLOOKUP($AH965,Target_monthwise!$D$4:$O$20,DTR!P$4,FALSE))*1000,0)</f>
        <v>0</v>
      </c>
      <c r="Q965" s="141">
        <f>IFERROR((HLOOKUP($AH965,Target_monthwise!$D$4:$O$20,DTR!Q$4,FALSE))*1000,0)</f>
        <v>0</v>
      </c>
      <c r="R965" s="167">
        <f>IFERROR((HLOOKUP($AH965,Target_monthwise!$D$4:$O$20,DTR!R$4,FALSE))*1000,0)</f>
        <v>0</v>
      </c>
      <c r="S965" s="147">
        <f>IFERROR((HLOOKUP($AH965,Target_monthwise!$D$24:$O$40,DTR!S$4,FALSE)),0)</f>
        <v>0</v>
      </c>
      <c r="T965" s="147">
        <f>IFERROR((HLOOKUP($AH965,Target_monthwise!$D$24:$O$40,DTR!T$4,FALSE)),0)</f>
        <v>0</v>
      </c>
      <c r="U965" s="147">
        <f>IFERROR((HLOOKUP($AH965,Target_monthwise!$D$24:$O$40,DTR!U$4,FALSE)),0)</f>
        <v>0</v>
      </c>
      <c r="V965" s="147">
        <f>IFERROR((HLOOKUP($AH965,Target_monthwise!$D$24:$O$40,DTR!V$4,FALSE)),0)</f>
        <v>0</v>
      </c>
      <c r="W965" s="147">
        <f>IFERROR((HLOOKUP($AH965,Target_monthwise!$D$24:$O$40,DTR!W$4,FALSE)),0)</f>
        <v>0</v>
      </c>
      <c r="X965" s="147">
        <f>IFERROR((HLOOKUP($AH965,Target_monthwise!$D$24:$O$40,DTR!X$4,FALSE)),0)</f>
        <v>0</v>
      </c>
      <c r="Y965" s="147">
        <f>IFERROR((HLOOKUP($AH965,Target_monthwise!$D$24:$O$40,DTR!Y$4,FALSE)),0)</f>
        <v>0</v>
      </c>
      <c r="Z965" s="147">
        <f>IFERROR((HLOOKUP($AH965,Target_monthwise!$D$24:$O$40,DTR!Z$4,FALSE)),0)</f>
        <v>0</v>
      </c>
      <c r="AA965" s="147">
        <f>IFERROR((HLOOKUP($AH965,Target_monthwise!$D$24:$O$40,DTR!AA$4,FALSE)),0)</f>
        <v>0</v>
      </c>
      <c r="AB965" s="147">
        <f>IFERROR((HLOOKUP($AH965,Target_monthwise!$D$24:$O$40,DTR!AB$4,FALSE)),0)</f>
        <v>0</v>
      </c>
      <c r="AC965" s="147">
        <f>IFERROR((HLOOKUP($AH965,Target_monthwise!$D$24:$O$40,DTR!AC$4,FALSE)),0)</f>
        <v>0</v>
      </c>
      <c r="AD965" s="147">
        <f>IFERROR((HLOOKUP($AH965,Target_monthwise!$D$24:$O$40,DTR!AD$4,FALSE)),0)</f>
        <v>0</v>
      </c>
      <c r="AE965" s="147">
        <f>IFERROR((HLOOKUP($AH965,Target_monthwise!$D$24:$O$40,DTR!AE$4,FALSE)),0)</f>
        <v>0</v>
      </c>
      <c r="AF965" s="147">
        <f>IFERROR((HLOOKUP($AH965,Target_monthwise!$D$24:$O$40,DTR!AF$4,FALSE)),0)</f>
        <v>0</v>
      </c>
      <c r="AG965" s="172">
        <f>IFERROR((HLOOKUP($AH965,Target_monthwise!$D$24:$O$40,DTR!AG$4,FALSE)),0)</f>
        <v>0</v>
      </c>
      <c r="AH965" s="253">
        <f t="shared" si="17"/>
        <v>202411</v>
      </c>
    </row>
    <row r="966" spans="3:34" ht="15.75" hidden="1">
      <c r="C966" s="237">
        <v>45609</v>
      </c>
      <c r="D966" s="238">
        <f>IFERROR((HLOOKUP($AH966,Target_monthwise!$D$4:$O$20,DTR!D$4,FALSE))*1000,0)</f>
        <v>0</v>
      </c>
      <c r="E966" s="238">
        <f>IFERROR((HLOOKUP($AH966,Target_monthwise!$D$4:$O$20,DTR!E$4,FALSE))*1000,0)</f>
        <v>0</v>
      </c>
      <c r="F966" s="238">
        <f>IFERROR((HLOOKUP($AH966,Target_monthwise!$D$4:$O$20,DTR!F$4,FALSE))*1000,0)</f>
        <v>0</v>
      </c>
      <c r="G966" s="238">
        <f>IFERROR((HLOOKUP($AH966,Target_monthwise!$D$4:$O$20,DTR!G$4,FALSE))*1000,0)</f>
        <v>0</v>
      </c>
      <c r="H966" s="238">
        <f>IFERROR((HLOOKUP($AH966,Target_monthwise!$D$4:$O$20,DTR!H$4,FALSE))*1000,0)</f>
        <v>0</v>
      </c>
      <c r="I966" s="238">
        <f>IFERROR((HLOOKUP($AH966,Target_monthwise!$D$4:$O$20,DTR!I$4,FALSE))*1000,0)</f>
        <v>0</v>
      </c>
      <c r="J966" s="238">
        <f>IFERROR((HLOOKUP($AH966,Target_monthwise!$D$4:$O$20,DTR!J$4,FALSE))*1000,0)</f>
        <v>0</v>
      </c>
      <c r="K966" s="238">
        <f>IFERROR((HLOOKUP($AH966,Target_monthwise!$D$4:$O$20,DTR!K$4,FALSE))*1000,0)</f>
        <v>0</v>
      </c>
      <c r="L966" s="238">
        <f>IFERROR((HLOOKUP($AH966,Target_monthwise!$D$4:$O$20,DTR!L$4,FALSE))*1000,0)</f>
        <v>0</v>
      </c>
      <c r="M966" s="238">
        <f>IFERROR((HLOOKUP($AH966,Target_monthwise!$D$4:$O$20,DTR!M$4,FALSE))*1000,0)</f>
        <v>0</v>
      </c>
      <c r="N966" s="238">
        <f>IFERROR((HLOOKUP($AH966,Target_monthwise!$D$4:$O$20,DTR!N$4,FALSE))*1000,0)</f>
        <v>0</v>
      </c>
      <c r="O966" s="238">
        <f>IFERROR((HLOOKUP($AH966,Target_monthwise!$D$4:$O$20,DTR!O$4,FALSE))*1000,0)</f>
        <v>0</v>
      </c>
      <c r="P966" s="238">
        <f>IFERROR((HLOOKUP($AH966,Target_monthwise!$D$4:$O$20,DTR!P$4,FALSE))*1000,0)</f>
        <v>0</v>
      </c>
      <c r="Q966" s="141">
        <f>IFERROR((HLOOKUP($AH966,Target_monthwise!$D$4:$O$20,DTR!Q$4,FALSE))*1000,0)</f>
        <v>0</v>
      </c>
      <c r="R966" s="167">
        <f>IFERROR((HLOOKUP($AH966,Target_monthwise!$D$4:$O$20,DTR!R$4,FALSE))*1000,0)</f>
        <v>0</v>
      </c>
      <c r="S966" s="239">
        <f>IFERROR((HLOOKUP($AH966,Target_monthwise!$D$24:$O$40,DTR!S$4,FALSE)),0)</f>
        <v>0</v>
      </c>
      <c r="T966" s="239">
        <f>IFERROR((HLOOKUP($AH966,Target_monthwise!$D$24:$O$40,DTR!T$4,FALSE)),0)</f>
        <v>0</v>
      </c>
      <c r="U966" s="239">
        <f>IFERROR((HLOOKUP($AH966,Target_monthwise!$D$24:$O$40,DTR!U$4,FALSE)),0)</f>
        <v>0</v>
      </c>
      <c r="V966" s="239">
        <f>IFERROR((HLOOKUP($AH966,Target_monthwise!$D$24:$O$40,DTR!V$4,FALSE)),0)</f>
        <v>0</v>
      </c>
      <c r="W966" s="239">
        <f>IFERROR((HLOOKUP($AH966,Target_monthwise!$D$24:$O$40,DTR!W$4,FALSE)),0)</f>
        <v>0</v>
      </c>
      <c r="X966" s="239">
        <f>IFERROR((HLOOKUP($AH966,Target_monthwise!$D$24:$O$40,DTR!X$4,FALSE)),0)</f>
        <v>0</v>
      </c>
      <c r="Y966" s="239">
        <f>IFERROR((HLOOKUP($AH966,Target_monthwise!$D$24:$O$40,DTR!Y$4,FALSE)),0)</f>
        <v>0</v>
      </c>
      <c r="Z966" s="147">
        <f>IFERROR((HLOOKUP($AH966,Target_monthwise!$D$24:$O$40,DTR!Z$4,FALSE)),0)</f>
        <v>0</v>
      </c>
      <c r="AA966" s="147">
        <f>IFERROR((HLOOKUP($AH966,Target_monthwise!$D$24:$O$40,DTR!AA$4,FALSE)),0)</f>
        <v>0</v>
      </c>
      <c r="AB966" s="147">
        <f>IFERROR((HLOOKUP($AH966,Target_monthwise!$D$24:$O$40,DTR!AB$4,FALSE)),0)</f>
        <v>0</v>
      </c>
      <c r="AC966" s="239">
        <f>IFERROR((HLOOKUP($AH966,Target_monthwise!$D$24:$O$40,DTR!AC$4,FALSE)),0)</f>
        <v>0</v>
      </c>
      <c r="AD966" s="239">
        <f>IFERROR((HLOOKUP($AH966,Target_monthwise!$D$24:$O$40,DTR!AD$4,FALSE)),0)</f>
        <v>0</v>
      </c>
      <c r="AE966" s="239">
        <f>IFERROR((HLOOKUP($AH966,Target_monthwise!$D$24:$O$40,DTR!AE$4,FALSE)),0)</f>
        <v>0</v>
      </c>
      <c r="AF966" s="239">
        <f>IFERROR((HLOOKUP($AH966,Target_monthwise!$D$24:$O$40,DTR!AF$4,FALSE)),0)</f>
        <v>0</v>
      </c>
      <c r="AG966" s="172">
        <f>IFERROR((HLOOKUP($AH966,Target_monthwise!$D$24:$O$40,DTR!AG$4,FALSE)),0)</f>
        <v>0</v>
      </c>
      <c r="AH966" s="253">
        <f t="shared" si="17"/>
        <v>202411</v>
      </c>
    </row>
    <row r="967" spans="3:34" ht="15.75" hidden="1">
      <c r="C967" s="235">
        <v>45610</v>
      </c>
      <c r="D967" s="141">
        <f>IFERROR((HLOOKUP($AH967,Target_monthwise!$D$4:$O$20,DTR!D$4,FALSE))*1000,0)</f>
        <v>0</v>
      </c>
      <c r="E967" s="141">
        <f>IFERROR((HLOOKUP($AH967,Target_monthwise!$D$4:$O$20,DTR!E$4,FALSE))*1000,0)</f>
        <v>0</v>
      </c>
      <c r="F967" s="141">
        <f>IFERROR((HLOOKUP($AH967,Target_monthwise!$D$4:$O$20,DTR!F$4,FALSE))*1000,0)</f>
        <v>0</v>
      </c>
      <c r="G967" s="141">
        <f>IFERROR((HLOOKUP($AH967,Target_monthwise!$D$4:$O$20,DTR!G$4,FALSE))*1000,0)</f>
        <v>0</v>
      </c>
      <c r="H967" s="141">
        <f>IFERROR((HLOOKUP($AH967,Target_monthwise!$D$4:$O$20,DTR!H$4,FALSE))*1000,0)</f>
        <v>0</v>
      </c>
      <c r="I967" s="141">
        <f>IFERROR((HLOOKUP($AH967,Target_monthwise!$D$4:$O$20,DTR!I$4,FALSE))*1000,0)</f>
        <v>0</v>
      </c>
      <c r="J967" s="141">
        <f>IFERROR((HLOOKUP($AH967,Target_monthwise!$D$4:$O$20,DTR!J$4,FALSE))*1000,0)</f>
        <v>0</v>
      </c>
      <c r="K967" s="141">
        <f>IFERROR((HLOOKUP($AH967,Target_monthwise!$D$4:$O$20,DTR!K$4,FALSE))*1000,0)</f>
        <v>0</v>
      </c>
      <c r="L967" s="141">
        <f>IFERROR((HLOOKUP($AH967,Target_monthwise!$D$4:$O$20,DTR!L$4,FALSE))*1000,0)</f>
        <v>0</v>
      </c>
      <c r="M967" s="141">
        <f>IFERROR((HLOOKUP($AH967,Target_monthwise!$D$4:$O$20,DTR!M$4,FALSE))*1000,0)</f>
        <v>0</v>
      </c>
      <c r="N967" s="141">
        <f>IFERROR((HLOOKUP($AH967,Target_monthwise!$D$4:$O$20,DTR!N$4,FALSE))*1000,0)</f>
        <v>0</v>
      </c>
      <c r="O967" s="141">
        <f>IFERROR((HLOOKUP($AH967,Target_monthwise!$D$4:$O$20,DTR!O$4,FALSE))*1000,0)</f>
        <v>0</v>
      </c>
      <c r="P967" s="141">
        <f>IFERROR((HLOOKUP($AH967,Target_monthwise!$D$4:$O$20,DTR!P$4,FALSE))*1000,0)</f>
        <v>0</v>
      </c>
      <c r="Q967" s="141">
        <f>IFERROR((HLOOKUP($AH967,Target_monthwise!$D$4:$O$20,DTR!Q$4,FALSE))*1000,0)</f>
        <v>0</v>
      </c>
      <c r="R967" s="167">
        <f>IFERROR((HLOOKUP($AH967,Target_monthwise!$D$4:$O$20,DTR!R$4,FALSE))*1000,0)</f>
        <v>0</v>
      </c>
      <c r="S967" s="147">
        <f>IFERROR((HLOOKUP($AH967,Target_monthwise!$D$24:$O$40,DTR!S$4,FALSE)),0)</f>
        <v>0</v>
      </c>
      <c r="T967" s="147">
        <f>IFERROR((HLOOKUP($AH967,Target_monthwise!$D$24:$O$40,DTR!T$4,FALSE)),0)</f>
        <v>0</v>
      </c>
      <c r="U967" s="147">
        <f>IFERROR((HLOOKUP($AH967,Target_monthwise!$D$24:$O$40,DTR!U$4,FALSE)),0)</f>
        <v>0</v>
      </c>
      <c r="V967" s="147">
        <f>IFERROR((HLOOKUP($AH967,Target_monthwise!$D$24:$O$40,DTR!V$4,FALSE)),0)</f>
        <v>0</v>
      </c>
      <c r="W967" s="147">
        <f>IFERROR((HLOOKUP($AH967,Target_monthwise!$D$24:$O$40,DTR!W$4,FALSE)),0)</f>
        <v>0</v>
      </c>
      <c r="X967" s="147">
        <f>IFERROR((HLOOKUP($AH967,Target_monthwise!$D$24:$O$40,DTR!X$4,FALSE)),0)</f>
        <v>0</v>
      </c>
      <c r="Y967" s="147">
        <f>IFERROR((HLOOKUP($AH967,Target_monthwise!$D$24:$O$40,DTR!Y$4,FALSE)),0)</f>
        <v>0</v>
      </c>
      <c r="Z967" s="147">
        <f>IFERROR((HLOOKUP($AH967,Target_monthwise!$D$24:$O$40,DTR!Z$4,FALSE)),0)</f>
        <v>0</v>
      </c>
      <c r="AA967" s="147">
        <f>IFERROR((HLOOKUP($AH967,Target_monthwise!$D$24:$O$40,DTR!AA$4,FALSE)),0)</f>
        <v>0</v>
      </c>
      <c r="AB967" s="147">
        <f>IFERROR((HLOOKUP($AH967,Target_monthwise!$D$24:$O$40,DTR!AB$4,FALSE)),0)</f>
        <v>0</v>
      </c>
      <c r="AC967" s="147">
        <f>IFERROR((HLOOKUP($AH967,Target_monthwise!$D$24:$O$40,DTR!AC$4,FALSE)),0)</f>
        <v>0</v>
      </c>
      <c r="AD967" s="147">
        <f>IFERROR((HLOOKUP($AH967,Target_monthwise!$D$24:$O$40,DTR!AD$4,FALSE)),0)</f>
        <v>0</v>
      </c>
      <c r="AE967" s="147">
        <f>IFERROR((HLOOKUP($AH967,Target_monthwise!$D$24:$O$40,DTR!AE$4,FALSE)),0)</f>
        <v>0</v>
      </c>
      <c r="AF967" s="147">
        <f>IFERROR((HLOOKUP($AH967,Target_monthwise!$D$24:$O$40,DTR!AF$4,FALSE)),0)</f>
        <v>0</v>
      </c>
      <c r="AG967" s="172">
        <f>IFERROR((HLOOKUP($AH967,Target_monthwise!$D$24:$O$40,DTR!AG$4,FALSE)),0)</f>
        <v>0</v>
      </c>
      <c r="AH967" s="253">
        <f t="shared" si="17"/>
        <v>202411</v>
      </c>
    </row>
    <row r="968" spans="3:34" ht="15.75" hidden="1">
      <c r="C968" s="237">
        <v>45611</v>
      </c>
      <c r="D968" s="238">
        <f>IFERROR((HLOOKUP($AH968,Target_monthwise!$D$4:$O$20,DTR!D$4,FALSE))*1000,0)</f>
        <v>0</v>
      </c>
      <c r="E968" s="238">
        <f>IFERROR((HLOOKUP($AH968,Target_monthwise!$D$4:$O$20,DTR!E$4,FALSE))*1000,0)</f>
        <v>0</v>
      </c>
      <c r="F968" s="238">
        <f>IFERROR((HLOOKUP($AH968,Target_monthwise!$D$4:$O$20,DTR!F$4,FALSE))*1000,0)</f>
        <v>0</v>
      </c>
      <c r="G968" s="238">
        <f>IFERROR((HLOOKUP($AH968,Target_monthwise!$D$4:$O$20,DTR!G$4,FALSE))*1000,0)</f>
        <v>0</v>
      </c>
      <c r="H968" s="238">
        <f>IFERROR((HLOOKUP($AH968,Target_monthwise!$D$4:$O$20,DTR!H$4,FALSE))*1000,0)</f>
        <v>0</v>
      </c>
      <c r="I968" s="238">
        <f>IFERROR((HLOOKUP($AH968,Target_monthwise!$D$4:$O$20,DTR!I$4,FALSE))*1000,0)</f>
        <v>0</v>
      </c>
      <c r="J968" s="238">
        <f>IFERROR((HLOOKUP($AH968,Target_monthwise!$D$4:$O$20,DTR!J$4,FALSE))*1000,0)</f>
        <v>0</v>
      </c>
      <c r="K968" s="238">
        <f>IFERROR((HLOOKUP($AH968,Target_monthwise!$D$4:$O$20,DTR!K$4,FALSE))*1000,0)</f>
        <v>0</v>
      </c>
      <c r="L968" s="238">
        <f>IFERROR((HLOOKUP($AH968,Target_monthwise!$D$4:$O$20,DTR!L$4,FALSE))*1000,0)</f>
        <v>0</v>
      </c>
      <c r="M968" s="238">
        <f>IFERROR((HLOOKUP($AH968,Target_monthwise!$D$4:$O$20,DTR!M$4,FALSE))*1000,0)</f>
        <v>0</v>
      </c>
      <c r="N968" s="238">
        <f>IFERROR((HLOOKUP($AH968,Target_monthwise!$D$4:$O$20,DTR!N$4,FALSE))*1000,0)</f>
        <v>0</v>
      </c>
      <c r="O968" s="238">
        <f>IFERROR((HLOOKUP($AH968,Target_monthwise!$D$4:$O$20,DTR!O$4,FALSE))*1000,0)</f>
        <v>0</v>
      </c>
      <c r="P968" s="238">
        <f>IFERROR((HLOOKUP($AH968,Target_monthwise!$D$4:$O$20,DTR!P$4,FALSE))*1000,0)</f>
        <v>0</v>
      </c>
      <c r="Q968" s="141">
        <f>IFERROR((HLOOKUP($AH968,Target_monthwise!$D$4:$O$20,DTR!Q$4,FALSE))*1000,0)</f>
        <v>0</v>
      </c>
      <c r="R968" s="167">
        <f>IFERROR((HLOOKUP($AH968,Target_monthwise!$D$4:$O$20,DTR!R$4,FALSE))*1000,0)</f>
        <v>0</v>
      </c>
      <c r="S968" s="239">
        <f>IFERROR((HLOOKUP($AH968,Target_monthwise!$D$24:$O$40,DTR!S$4,FALSE)),0)</f>
        <v>0</v>
      </c>
      <c r="T968" s="239">
        <f>IFERROR((HLOOKUP($AH968,Target_monthwise!$D$24:$O$40,DTR!T$4,FALSE)),0)</f>
        <v>0</v>
      </c>
      <c r="U968" s="239">
        <f>IFERROR((HLOOKUP($AH968,Target_monthwise!$D$24:$O$40,DTR!U$4,FALSE)),0)</f>
        <v>0</v>
      </c>
      <c r="V968" s="239">
        <f>IFERROR((HLOOKUP($AH968,Target_monthwise!$D$24:$O$40,DTR!V$4,FALSE)),0)</f>
        <v>0</v>
      </c>
      <c r="W968" s="239">
        <f>IFERROR((HLOOKUP($AH968,Target_monthwise!$D$24:$O$40,DTR!W$4,FALSE)),0)</f>
        <v>0</v>
      </c>
      <c r="X968" s="239">
        <f>IFERROR((HLOOKUP($AH968,Target_monthwise!$D$24:$O$40,DTR!X$4,FALSE)),0)</f>
        <v>0</v>
      </c>
      <c r="Y968" s="239">
        <f>IFERROR((HLOOKUP($AH968,Target_monthwise!$D$24:$O$40,DTR!Y$4,FALSE)),0)</f>
        <v>0</v>
      </c>
      <c r="Z968" s="147">
        <f>IFERROR((HLOOKUP($AH968,Target_monthwise!$D$24:$O$40,DTR!Z$4,FALSE)),0)</f>
        <v>0</v>
      </c>
      <c r="AA968" s="147">
        <f>IFERROR((HLOOKUP($AH968,Target_monthwise!$D$24:$O$40,DTR!AA$4,FALSE)),0)</f>
        <v>0</v>
      </c>
      <c r="AB968" s="147">
        <f>IFERROR((HLOOKUP($AH968,Target_monthwise!$D$24:$O$40,DTR!AB$4,FALSE)),0)</f>
        <v>0</v>
      </c>
      <c r="AC968" s="239">
        <f>IFERROR((HLOOKUP($AH968,Target_monthwise!$D$24:$O$40,DTR!AC$4,FALSE)),0)</f>
        <v>0</v>
      </c>
      <c r="AD968" s="239">
        <f>IFERROR((HLOOKUP($AH968,Target_monthwise!$D$24:$O$40,DTR!AD$4,FALSE)),0)</f>
        <v>0</v>
      </c>
      <c r="AE968" s="239">
        <f>IFERROR((HLOOKUP($AH968,Target_monthwise!$D$24:$O$40,DTR!AE$4,FALSE)),0)</f>
        <v>0</v>
      </c>
      <c r="AF968" s="239">
        <f>IFERROR((HLOOKUP($AH968,Target_monthwise!$D$24:$O$40,DTR!AF$4,FALSE)),0)</f>
        <v>0</v>
      </c>
      <c r="AG968" s="172">
        <f>IFERROR((HLOOKUP($AH968,Target_monthwise!$D$24:$O$40,DTR!AG$4,FALSE)),0)</f>
        <v>0</v>
      </c>
      <c r="AH968" s="253">
        <f t="shared" si="17"/>
        <v>202411</v>
      </c>
    </row>
    <row r="969" spans="3:34" ht="15.75" hidden="1">
      <c r="C969" s="235">
        <v>45612</v>
      </c>
      <c r="D969" s="141">
        <f>IFERROR((HLOOKUP($AH969,Target_monthwise!$D$4:$O$20,DTR!D$4,FALSE))*1000,0)</f>
        <v>0</v>
      </c>
      <c r="E969" s="141">
        <f>IFERROR((HLOOKUP($AH969,Target_monthwise!$D$4:$O$20,DTR!E$4,FALSE))*1000,0)</f>
        <v>0</v>
      </c>
      <c r="F969" s="141">
        <f>IFERROR((HLOOKUP($AH969,Target_monthwise!$D$4:$O$20,DTR!F$4,FALSE))*1000,0)</f>
        <v>0</v>
      </c>
      <c r="G969" s="141">
        <f>IFERROR((HLOOKUP($AH969,Target_monthwise!$D$4:$O$20,DTR!G$4,FALSE))*1000,0)</f>
        <v>0</v>
      </c>
      <c r="H969" s="141">
        <f>IFERROR((HLOOKUP($AH969,Target_monthwise!$D$4:$O$20,DTR!H$4,FALSE))*1000,0)</f>
        <v>0</v>
      </c>
      <c r="I969" s="141">
        <f>IFERROR((HLOOKUP($AH969,Target_monthwise!$D$4:$O$20,DTR!I$4,FALSE))*1000,0)</f>
        <v>0</v>
      </c>
      <c r="J969" s="141">
        <f>IFERROR((HLOOKUP($AH969,Target_monthwise!$D$4:$O$20,DTR!J$4,FALSE))*1000,0)</f>
        <v>0</v>
      </c>
      <c r="K969" s="141">
        <f>IFERROR((HLOOKUP($AH969,Target_monthwise!$D$4:$O$20,DTR!K$4,FALSE))*1000,0)</f>
        <v>0</v>
      </c>
      <c r="L969" s="141">
        <f>IFERROR((HLOOKUP($AH969,Target_monthwise!$D$4:$O$20,DTR!L$4,FALSE))*1000,0)</f>
        <v>0</v>
      </c>
      <c r="M969" s="141">
        <f>IFERROR((HLOOKUP($AH969,Target_monthwise!$D$4:$O$20,DTR!M$4,FALSE))*1000,0)</f>
        <v>0</v>
      </c>
      <c r="N969" s="141">
        <f>IFERROR((HLOOKUP($AH969,Target_monthwise!$D$4:$O$20,DTR!N$4,FALSE))*1000,0)</f>
        <v>0</v>
      </c>
      <c r="O969" s="141">
        <f>IFERROR((HLOOKUP($AH969,Target_monthwise!$D$4:$O$20,DTR!O$4,FALSE))*1000,0)</f>
        <v>0</v>
      </c>
      <c r="P969" s="141">
        <f>IFERROR((HLOOKUP($AH969,Target_monthwise!$D$4:$O$20,DTR!P$4,FALSE))*1000,0)</f>
        <v>0</v>
      </c>
      <c r="Q969" s="141">
        <f>IFERROR((HLOOKUP($AH969,Target_monthwise!$D$4:$O$20,DTR!Q$4,FALSE))*1000,0)</f>
        <v>0</v>
      </c>
      <c r="R969" s="167">
        <f>IFERROR((HLOOKUP($AH969,Target_monthwise!$D$4:$O$20,DTR!R$4,FALSE))*1000,0)</f>
        <v>0</v>
      </c>
      <c r="S969" s="147">
        <f>IFERROR((HLOOKUP($AH969,Target_monthwise!$D$24:$O$40,DTR!S$4,FALSE)),0)</f>
        <v>0</v>
      </c>
      <c r="T969" s="147">
        <f>IFERROR((HLOOKUP($AH969,Target_monthwise!$D$24:$O$40,DTR!T$4,FALSE)),0)</f>
        <v>0</v>
      </c>
      <c r="U969" s="147">
        <f>IFERROR((HLOOKUP($AH969,Target_monthwise!$D$24:$O$40,DTR!U$4,FALSE)),0)</f>
        <v>0</v>
      </c>
      <c r="V969" s="147">
        <f>IFERROR((HLOOKUP($AH969,Target_monthwise!$D$24:$O$40,DTR!V$4,FALSE)),0)</f>
        <v>0</v>
      </c>
      <c r="W969" s="147">
        <f>IFERROR((HLOOKUP($AH969,Target_monthwise!$D$24:$O$40,DTR!W$4,FALSE)),0)</f>
        <v>0</v>
      </c>
      <c r="X969" s="147">
        <f>IFERROR((HLOOKUP($AH969,Target_monthwise!$D$24:$O$40,DTR!X$4,FALSE)),0)</f>
        <v>0</v>
      </c>
      <c r="Y969" s="147">
        <f>IFERROR((HLOOKUP($AH969,Target_monthwise!$D$24:$O$40,DTR!Y$4,FALSE)),0)</f>
        <v>0</v>
      </c>
      <c r="Z969" s="147">
        <f>IFERROR((HLOOKUP($AH969,Target_monthwise!$D$24:$O$40,DTR!Z$4,FALSE)),0)</f>
        <v>0</v>
      </c>
      <c r="AA969" s="147">
        <f>IFERROR((HLOOKUP($AH969,Target_monthwise!$D$24:$O$40,DTR!AA$4,FALSE)),0)</f>
        <v>0</v>
      </c>
      <c r="AB969" s="147">
        <f>IFERROR((HLOOKUP($AH969,Target_monthwise!$D$24:$O$40,DTR!AB$4,FALSE)),0)</f>
        <v>0</v>
      </c>
      <c r="AC969" s="147">
        <f>IFERROR((HLOOKUP($AH969,Target_monthwise!$D$24:$O$40,DTR!AC$4,FALSE)),0)</f>
        <v>0</v>
      </c>
      <c r="AD969" s="147">
        <f>IFERROR((HLOOKUP($AH969,Target_monthwise!$D$24:$O$40,DTR!AD$4,FALSE)),0)</f>
        <v>0</v>
      </c>
      <c r="AE969" s="147">
        <f>IFERROR((HLOOKUP($AH969,Target_monthwise!$D$24:$O$40,DTR!AE$4,FALSE)),0)</f>
        <v>0</v>
      </c>
      <c r="AF969" s="147">
        <f>IFERROR((HLOOKUP($AH969,Target_monthwise!$D$24:$O$40,DTR!AF$4,FALSE)),0)</f>
        <v>0</v>
      </c>
      <c r="AG969" s="172">
        <f>IFERROR((HLOOKUP($AH969,Target_monthwise!$D$24:$O$40,DTR!AG$4,FALSE)),0)</f>
        <v>0</v>
      </c>
      <c r="AH969" s="253">
        <f t="shared" si="17"/>
        <v>202411</v>
      </c>
    </row>
    <row r="970" spans="3:34" ht="15.75" hidden="1">
      <c r="C970" s="237">
        <v>45613</v>
      </c>
      <c r="D970" s="238">
        <f>IFERROR((HLOOKUP($AH970,Target_monthwise!$D$4:$O$20,DTR!D$4,FALSE))*1000,0)</f>
        <v>0</v>
      </c>
      <c r="E970" s="238">
        <f>IFERROR((HLOOKUP($AH970,Target_monthwise!$D$4:$O$20,DTR!E$4,FALSE))*1000,0)</f>
        <v>0</v>
      </c>
      <c r="F970" s="238">
        <f>IFERROR((HLOOKUP($AH970,Target_monthwise!$D$4:$O$20,DTR!F$4,FALSE))*1000,0)</f>
        <v>0</v>
      </c>
      <c r="G970" s="238">
        <f>IFERROR((HLOOKUP($AH970,Target_monthwise!$D$4:$O$20,DTR!G$4,FALSE))*1000,0)</f>
        <v>0</v>
      </c>
      <c r="H970" s="238">
        <f>IFERROR((HLOOKUP($AH970,Target_monthwise!$D$4:$O$20,DTR!H$4,FALSE))*1000,0)</f>
        <v>0</v>
      </c>
      <c r="I970" s="238">
        <f>IFERROR((HLOOKUP($AH970,Target_monthwise!$D$4:$O$20,DTR!I$4,FALSE))*1000,0)</f>
        <v>0</v>
      </c>
      <c r="J970" s="238">
        <f>IFERROR((HLOOKUP($AH970,Target_monthwise!$D$4:$O$20,DTR!J$4,FALSE))*1000,0)</f>
        <v>0</v>
      </c>
      <c r="K970" s="238">
        <f>IFERROR((HLOOKUP($AH970,Target_monthwise!$D$4:$O$20,DTR!K$4,FALSE))*1000,0)</f>
        <v>0</v>
      </c>
      <c r="L970" s="238">
        <f>IFERROR((HLOOKUP($AH970,Target_monthwise!$D$4:$O$20,DTR!L$4,FALSE))*1000,0)</f>
        <v>0</v>
      </c>
      <c r="M970" s="238">
        <f>IFERROR((HLOOKUP($AH970,Target_monthwise!$D$4:$O$20,DTR!M$4,FALSE))*1000,0)</f>
        <v>0</v>
      </c>
      <c r="N970" s="238">
        <f>IFERROR((HLOOKUP($AH970,Target_monthwise!$D$4:$O$20,DTR!N$4,FALSE))*1000,0)</f>
        <v>0</v>
      </c>
      <c r="O970" s="238">
        <f>IFERROR((HLOOKUP($AH970,Target_monthwise!$D$4:$O$20,DTR!O$4,FALSE))*1000,0)</f>
        <v>0</v>
      </c>
      <c r="P970" s="238">
        <f>IFERROR((HLOOKUP($AH970,Target_monthwise!$D$4:$O$20,DTR!P$4,FALSE))*1000,0)</f>
        <v>0</v>
      </c>
      <c r="Q970" s="141">
        <f>IFERROR((HLOOKUP($AH970,Target_monthwise!$D$4:$O$20,DTR!Q$4,FALSE))*1000,0)</f>
        <v>0</v>
      </c>
      <c r="R970" s="167">
        <f>IFERROR((HLOOKUP($AH970,Target_monthwise!$D$4:$O$20,DTR!R$4,FALSE))*1000,0)</f>
        <v>0</v>
      </c>
      <c r="S970" s="239">
        <f>IFERROR((HLOOKUP($AH970,Target_monthwise!$D$24:$O$40,DTR!S$4,FALSE)),0)</f>
        <v>0</v>
      </c>
      <c r="T970" s="239">
        <f>IFERROR((HLOOKUP($AH970,Target_monthwise!$D$24:$O$40,DTR!T$4,FALSE)),0)</f>
        <v>0</v>
      </c>
      <c r="U970" s="239">
        <f>IFERROR((HLOOKUP($AH970,Target_monthwise!$D$24:$O$40,DTR!U$4,FALSE)),0)</f>
        <v>0</v>
      </c>
      <c r="V970" s="239">
        <f>IFERROR((HLOOKUP($AH970,Target_monthwise!$D$24:$O$40,DTR!V$4,FALSE)),0)</f>
        <v>0</v>
      </c>
      <c r="W970" s="239">
        <f>IFERROR((HLOOKUP($AH970,Target_monthwise!$D$24:$O$40,DTR!W$4,FALSE)),0)</f>
        <v>0</v>
      </c>
      <c r="X970" s="239">
        <f>IFERROR((HLOOKUP($AH970,Target_monthwise!$D$24:$O$40,DTR!X$4,FALSE)),0)</f>
        <v>0</v>
      </c>
      <c r="Y970" s="239">
        <f>IFERROR((HLOOKUP($AH970,Target_monthwise!$D$24:$O$40,DTR!Y$4,FALSE)),0)</f>
        <v>0</v>
      </c>
      <c r="Z970" s="147">
        <f>IFERROR((HLOOKUP($AH970,Target_monthwise!$D$24:$O$40,DTR!Z$4,FALSE)),0)</f>
        <v>0</v>
      </c>
      <c r="AA970" s="147">
        <f>IFERROR((HLOOKUP($AH970,Target_monthwise!$D$24:$O$40,DTR!AA$4,FALSE)),0)</f>
        <v>0</v>
      </c>
      <c r="AB970" s="147">
        <f>IFERROR((HLOOKUP($AH970,Target_monthwise!$D$24:$O$40,DTR!AB$4,FALSE)),0)</f>
        <v>0</v>
      </c>
      <c r="AC970" s="239">
        <f>IFERROR((HLOOKUP($AH970,Target_monthwise!$D$24:$O$40,DTR!AC$4,FALSE)),0)</f>
        <v>0</v>
      </c>
      <c r="AD970" s="239">
        <f>IFERROR((HLOOKUP($AH970,Target_monthwise!$D$24:$O$40,DTR!AD$4,FALSE)),0)</f>
        <v>0</v>
      </c>
      <c r="AE970" s="239">
        <f>IFERROR((HLOOKUP($AH970,Target_monthwise!$D$24:$O$40,DTR!AE$4,FALSE)),0)</f>
        <v>0</v>
      </c>
      <c r="AF970" s="239">
        <f>IFERROR((HLOOKUP($AH970,Target_monthwise!$D$24:$O$40,DTR!AF$4,FALSE)),0)</f>
        <v>0</v>
      </c>
      <c r="AG970" s="172">
        <f>IFERROR((HLOOKUP($AH970,Target_monthwise!$D$24:$O$40,DTR!AG$4,FALSE)),0)</f>
        <v>0</v>
      </c>
      <c r="AH970" s="253">
        <f t="shared" si="17"/>
        <v>202411</v>
      </c>
    </row>
    <row r="971" spans="3:34" ht="15.75" hidden="1">
      <c r="C971" s="235">
        <v>45614</v>
      </c>
      <c r="D971" s="141">
        <f>IFERROR((HLOOKUP($AH971,Target_monthwise!$D$4:$O$20,DTR!D$4,FALSE))*1000,0)</f>
        <v>0</v>
      </c>
      <c r="E971" s="141">
        <f>IFERROR((HLOOKUP($AH971,Target_monthwise!$D$4:$O$20,DTR!E$4,FALSE))*1000,0)</f>
        <v>0</v>
      </c>
      <c r="F971" s="141">
        <f>IFERROR((HLOOKUP($AH971,Target_monthwise!$D$4:$O$20,DTR!F$4,FALSE))*1000,0)</f>
        <v>0</v>
      </c>
      <c r="G971" s="141">
        <f>IFERROR((HLOOKUP($AH971,Target_monthwise!$D$4:$O$20,DTR!G$4,FALSE))*1000,0)</f>
        <v>0</v>
      </c>
      <c r="H971" s="141">
        <f>IFERROR((HLOOKUP($AH971,Target_monthwise!$D$4:$O$20,DTR!H$4,FALSE))*1000,0)</f>
        <v>0</v>
      </c>
      <c r="I971" s="141">
        <f>IFERROR((HLOOKUP($AH971,Target_monthwise!$D$4:$O$20,DTR!I$4,FALSE))*1000,0)</f>
        <v>0</v>
      </c>
      <c r="J971" s="141">
        <f>IFERROR((HLOOKUP($AH971,Target_monthwise!$D$4:$O$20,DTR!J$4,FALSE))*1000,0)</f>
        <v>0</v>
      </c>
      <c r="K971" s="141">
        <f>IFERROR((HLOOKUP($AH971,Target_monthwise!$D$4:$O$20,DTR!K$4,FALSE))*1000,0)</f>
        <v>0</v>
      </c>
      <c r="L971" s="141">
        <f>IFERROR((HLOOKUP($AH971,Target_monthwise!$D$4:$O$20,DTR!L$4,FALSE))*1000,0)</f>
        <v>0</v>
      </c>
      <c r="M971" s="141">
        <f>IFERROR((HLOOKUP($AH971,Target_monthwise!$D$4:$O$20,DTR!M$4,FALSE))*1000,0)</f>
        <v>0</v>
      </c>
      <c r="N971" s="141">
        <f>IFERROR((HLOOKUP($AH971,Target_monthwise!$D$4:$O$20,DTR!N$4,FALSE))*1000,0)</f>
        <v>0</v>
      </c>
      <c r="O971" s="141">
        <f>IFERROR((HLOOKUP($AH971,Target_monthwise!$D$4:$O$20,DTR!O$4,FALSE))*1000,0)</f>
        <v>0</v>
      </c>
      <c r="P971" s="141">
        <f>IFERROR((HLOOKUP($AH971,Target_monthwise!$D$4:$O$20,DTR!P$4,FALSE))*1000,0)</f>
        <v>0</v>
      </c>
      <c r="Q971" s="141">
        <f>IFERROR((HLOOKUP($AH971,Target_monthwise!$D$4:$O$20,DTR!Q$4,FALSE))*1000,0)</f>
        <v>0</v>
      </c>
      <c r="R971" s="167">
        <f>IFERROR((HLOOKUP($AH971,Target_monthwise!$D$4:$O$20,DTR!R$4,FALSE))*1000,0)</f>
        <v>0</v>
      </c>
      <c r="S971" s="147">
        <f>IFERROR((HLOOKUP($AH971,Target_monthwise!$D$24:$O$40,DTR!S$4,FALSE)),0)</f>
        <v>0</v>
      </c>
      <c r="T971" s="147">
        <f>IFERROR((HLOOKUP($AH971,Target_monthwise!$D$24:$O$40,DTR!T$4,FALSE)),0)</f>
        <v>0</v>
      </c>
      <c r="U971" s="147">
        <f>IFERROR((HLOOKUP($AH971,Target_monthwise!$D$24:$O$40,DTR!U$4,FALSE)),0)</f>
        <v>0</v>
      </c>
      <c r="V971" s="147">
        <f>IFERROR((HLOOKUP($AH971,Target_monthwise!$D$24:$O$40,DTR!V$4,FALSE)),0)</f>
        <v>0</v>
      </c>
      <c r="W971" s="147">
        <f>IFERROR((HLOOKUP($AH971,Target_monthwise!$D$24:$O$40,DTR!W$4,FALSE)),0)</f>
        <v>0</v>
      </c>
      <c r="X971" s="147">
        <f>IFERROR((HLOOKUP($AH971,Target_monthwise!$D$24:$O$40,DTR!X$4,FALSE)),0)</f>
        <v>0</v>
      </c>
      <c r="Y971" s="147">
        <f>IFERROR((HLOOKUP($AH971,Target_monthwise!$D$24:$O$40,DTR!Y$4,FALSE)),0)</f>
        <v>0</v>
      </c>
      <c r="Z971" s="147">
        <f>IFERROR((HLOOKUP($AH971,Target_monthwise!$D$24:$O$40,DTR!Z$4,FALSE)),0)</f>
        <v>0</v>
      </c>
      <c r="AA971" s="147">
        <f>IFERROR((HLOOKUP($AH971,Target_monthwise!$D$24:$O$40,DTR!AA$4,FALSE)),0)</f>
        <v>0</v>
      </c>
      <c r="AB971" s="147">
        <f>IFERROR((HLOOKUP($AH971,Target_monthwise!$D$24:$O$40,DTR!AB$4,FALSE)),0)</f>
        <v>0</v>
      </c>
      <c r="AC971" s="147">
        <f>IFERROR((HLOOKUP($AH971,Target_monthwise!$D$24:$O$40,DTR!AC$4,FALSE)),0)</f>
        <v>0</v>
      </c>
      <c r="AD971" s="147">
        <f>IFERROR((HLOOKUP($AH971,Target_monthwise!$D$24:$O$40,DTR!AD$4,FALSE)),0)</f>
        <v>0</v>
      </c>
      <c r="AE971" s="147">
        <f>IFERROR((HLOOKUP($AH971,Target_monthwise!$D$24:$O$40,DTR!AE$4,FALSE)),0)</f>
        <v>0</v>
      </c>
      <c r="AF971" s="147">
        <f>IFERROR((HLOOKUP($AH971,Target_monthwise!$D$24:$O$40,DTR!AF$4,FALSE)),0)</f>
        <v>0</v>
      </c>
      <c r="AG971" s="172">
        <f>IFERROR((HLOOKUP($AH971,Target_monthwise!$D$24:$O$40,DTR!AG$4,FALSE)),0)</f>
        <v>0</v>
      </c>
      <c r="AH971" s="253">
        <f t="shared" si="17"/>
        <v>202411</v>
      </c>
    </row>
    <row r="972" spans="3:34" ht="15.75" hidden="1">
      <c r="C972" s="237">
        <v>45615</v>
      </c>
      <c r="D972" s="238">
        <f>IFERROR((HLOOKUP($AH972,Target_monthwise!$D$4:$O$20,DTR!D$4,FALSE))*1000,0)</f>
        <v>0</v>
      </c>
      <c r="E972" s="238">
        <f>IFERROR((HLOOKUP($AH972,Target_monthwise!$D$4:$O$20,DTR!E$4,FALSE))*1000,0)</f>
        <v>0</v>
      </c>
      <c r="F972" s="238">
        <f>IFERROR((HLOOKUP($AH972,Target_monthwise!$D$4:$O$20,DTR!F$4,FALSE))*1000,0)</f>
        <v>0</v>
      </c>
      <c r="G972" s="238">
        <f>IFERROR((HLOOKUP($AH972,Target_monthwise!$D$4:$O$20,DTR!G$4,FALSE))*1000,0)</f>
        <v>0</v>
      </c>
      <c r="H972" s="238">
        <f>IFERROR((HLOOKUP($AH972,Target_monthwise!$D$4:$O$20,DTR!H$4,FALSE))*1000,0)</f>
        <v>0</v>
      </c>
      <c r="I972" s="238">
        <f>IFERROR((HLOOKUP($AH972,Target_monthwise!$D$4:$O$20,DTR!I$4,FALSE))*1000,0)</f>
        <v>0</v>
      </c>
      <c r="J972" s="238">
        <f>IFERROR((HLOOKUP($AH972,Target_monthwise!$D$4:$O$20,DTR!J$4,FALSE))*1000,0)</f>
        <v>0</v>
      </c>
      <c r="K972" s="238">
        <f>IFERROR((HLOOKUP($AH972,Target_monthwise!$D$4:$O$20,DTR!K$4,FALSE))*1000,0)</f>
        <v>0</v>
      </c>
      <c r="L972" s="238">
        <f>IFERROR((HLOOKUP($AH972,Target_monthwise!$D$4:$O$20,DTR!L$4,FALSE))*1000,0)</f>
        <v>0</v>
      </c>
      <c r="M972" s="238">
        <f>IFERROR((HLOOKUP($AH972,Target_monthwise!$D$4:$O$20,DTR!M$4,FALSE))*1000,0)</f>
        <v>0</v>
      </c>
      <c r="N972" s="238">
        <f>IFERROR((HLOOKUP($AH972,Target_monthwise!$D$4:$O$20,DTR!N$4,FALSE))*1000,0)</f>
        <v>0</v>
      </c>
      <c r="O972" s="238">
        <f>IFERROR((HLOOKUP($AH972,Target_monthwise!$D$4:$O$20,DTR!O$4,FALSE))*1000,0)</f>
        <v>0</v>
      </c>
      <c r="P972" s="238">
        <f>IFERROR((HLOOKUP($AH972,Target_monthwise!$D$4:$O$20,DTR!P$4,FALSE))*1000,0)</f>
        <v>0</v>
      </c>
      <c r="Q972" s="141">
        <f>IFERROR((HLOOKUP($AH972,Target_monthwise!$D$4:$O$20,DTR!Q$4,FALSE))*1000,0)</f>
        <v>0</v>
      </c>
      <c r="R972" s="167">
        <f>IFERROR((HLOOKUP($AH972,Target_monthwise!$D$4:$O$20,DTR!R$4,FALSE))*1000,0)</f>
        <v>0</v>
      </c>
      <c r="S972" s="239">
        <f>IFERROR((HLOOKUP($AH972,Target_monthwise!$D$24:$O$40,DTR!S$4,FALSE)),0)</f>
        <v>0</v>
      </c>
      <c r="T972" s="239">
        <f>IFERROR((HLOOKUP($AH972,Target_monthwise!$D$24:$O$40,DTR!T$4,FALSE)),0)</f>
        <v>0</v>
      </c>
      <c r="U972" s="239">
        <f>IFERROR((HLOOKUP($AH972,Target_monthwise!$D$24:$O$40,DTR!U$4,FALSE)),0)</f>
        <v>0</v>
      </c>
      <c r="V972" s="239">
        <f>IFERROR((HLOOKUP($AH972,Target_monthwise!$D$24:$O$40,DTR!V$4,FALSE)),0)</f>
        <v>0</v>
      </c>
      <c r="W972" s="239">
        <f>IFERROR((HLOOKUP($AH972,Target_monthwise!$D$24:$O$40,DTR!W$4,FALSE)),0)</f>
        <v>0</v>
      </c>
      <c r="X972" s="239">
        <f>IFERROR((HLOOKUP($AH972,Target_monthwise!$D$24:$O$40,DTR!X$4,FALSE)),0)</f>
        <v>0</v>
      </c>
      <c r="Y972" s="239">
        <f>IFERROR((HLOOKUP($AH972,Target_monthwise!$D$24:$O$40,DTR!Y$4,FALSE)),0)</f>
        <v>0</v>
      </c>
      <c r="Z972" s="147">
        <f>IFERROR((HLOOKUP($AH972,Target_monthwise!$D$24:$O$40,DTR!Z$4,FALSE)),0)</f>
        <v>0</v>
      </c>
      <c r="AA972" s="147">
        <f>IFERROR((HLOOKUP($AH972,Target_monthwise!$D$24:$O$40,DTR!AA$4,FALSE)),0)</f>
        <v>0</v>
      </c>
      <c r="AB972" s="147">
        <f>IFERROR((HLOOKUP($AH972,Target_monthwise!$D$24:$O$40,DTR!AB$4,FALSE)),0)</f>
        <v>0</v>
      </c>
      <c r="AC972" s="239">
        <f>IFERROR((HLOOKUP($AH972,Target_monthwise!$D$24:$O$40,DTR!AC$4,FALSE)),0)</f>
        <v>0</v>
      </c>
      <c r="AD972" s="239">
        <f>IFERROR((HLOOKUP($AH972,Target_monthwise!$D$24:$O$40,DTR!AD$4,FALSE)),0)</f>
        <v>0</v>
      </c>
      <c r="AE972" s="239">
        <f>IFERROR((HLOOKUP($AH972,Target_monthwise!$D$24:$O$40,DTR!AE$4,FALSE)),0)</f>
        <v>0</v>
      </c>
      <c r="AF972" s="239">
        <f>IFERROR((HLOOKUP($AH972,Target_monthwise!$D$24:$O$40,DTR!AF$4,FALSE)),0)</f>
        <v>0</v>
      </c>
      <c r="AG972" s="172">
        <f>IFERROR((HLOOKUP($AH972,Target_monthwise!$D$24:$O$40,DTR!AG$4,FALSE)),0)</f>
        <v>0</v>
      </c>
      <c r="AH972" s="253">
        <f t="shared" si="17"/>
        <v>202411</v>
      </c>
    </row>
    <row r="973" spans="3:34" ht="15.75" hidden="1">
      <c r="C973" s="235">
        <v>45616</v>
      </c>
      <c r="D973" s="141">
        <f>IFERROR((HLOOKUP($AH973,Target_monthwise!$D$4:$O$20,DTR!D$4,FALSE))*1000,0)</f>
        <v>0</v>
      </c>
      <c r="E973" s="141">
        <f>IFERROR((HLOOKUP($AH973,Target_monthwise!$D$4:$O$20,DTR!E$4,FALSE))*1000,0)</f>
        <v>0</v>
      </c>
      <c r="F973" s="141">
        <f>IFERROR((HLOOKUP($AH973,Target_monthwise!$D$4:$O$20,DTR!F$4,FALSE))*1000,0)</f>
        <v>0</v>
      </c>
      <c r="G973" s="141">
        <f>IFERROR((HLOOKUP($AH973,Target_monthwise!$D$4:$O$20,DTR!G$4,FALSE))*1000,0)</f>
        <v>0</v>
      </c>
      <c r="H973" s="141">
        <f>IFERROR((HLOOKUP($AH973,Target_monthwise!$D$4:$O$20,DTR!H$4,FALSE))*1000,0)</f>
        <v>0</v>
      </c>
      <c r="I973" s="141">
        <f>IFERROR((HLOOKUP($AH973,Target_monthwise!$D$4:$O$20,DTR!I$4,FALSE))*1000,0)</f>
        <v>0</v>
      </c>
      <c r="J973" s="141">
        <f>IFERROR((HLOOKUP($AH973,Target_monthwise!$D$4:$O$20,DTR!J$4,FALSE))*1000,0)</f>
        <v>0</v>
      </c>
      <c r="K973" s="141">
        <f>IFERROR((HLOOKUP($AH973,Target_monthwise!$D$4:$O$20,DTR!K$4,FALSE))*1000,0)</f>
        <v>0</v>
      </c>
      <c r="L973" s="141">
        <f>IFERROR((HLOOKUP($AH973,Target_monthwise!$D$4:$O$20,DTR!L$4,FALSE))*1000,0)</f>
        <v>0</v>
      </c>
      <c r="M973" s="141">
        <f>IFERROR((HLOOKUP($AH973,Target_monthwise!$D$4:$O$20,DTR!M$4,FALSE))*1000,0)</f>
        <v>0</v>
      </c>
      <c r="N973" s="141">
        <f>IFERROR((HLOOKUP($AH973,Target_monthwise!$D$4:$O$20,DTR!N$4,FALSE))*1000,0)</f>
        <v>0</v>
      </c>
      <c r="O973" s="141">
        <f>IFERROR((HLOOKUP($AH973,Target_monthwise!$D$4:$O$20,DTR!O$4,FALSE))*1000,0)</f>
        <v>0</v>
      </c>
      <c r="P973" s="141">
        <f>IFERROR((HLOOKUP($AH973,Target_monthwise!$D$4:$O$20,DTR!P$4,FALSE))*1000,0)</f>
        <v>0</v>
      </c>
      <c r="Q973" s="141">
        <f>IFERROR((HLOOKUP($AH973,Target_monthwise!$D$4:$O$20,DTR!Q$4,FALSE))*1000,0)</f>
        <v>0</v>
      </c>
      <c r="R973" s="167">
        <f>IFERROR((HLOOKUP($AH973,Target_monthwise!$D$4:$O$20,DTR!R$4,FALSE))*1000,0)</f>
        <v>0</v>
      </c>
      <c r="S973" s="147">
        <f>IFERROR((HLOOKUP($AH973,Target_monthwise!$D$24:$O$40,DTR!S$4,FALSE)),0)</f>
        <v>0</v>
      </c>
      <c r="T973" s="147">
        <f>IFERROR((HLOOKUP($AH973,Target_monthwise!$D$24:$O$40,DTR!T$4,FALSE)),0)</f>
        <v>0</v>
      </c>
      <c r="U973" s="147">
        <f>IFERROR((HLOOKUP($AH973,Target_monthwise!$D$24:$O$40,DTR!U$4,FALSE)),0)</f>
        <v>0</v>
      </c>
      <c r="V973" s="147">
        <f>IFERROR((HLOOKUP($AH973,Target_monthwise!$D$24:$O$40,DTR!V$4,FALSE)),0)</f>
        <v>0</v>
      </c>
      <c r="W973" s="147">
        <f>IFERROR((HLOOKUP($AH973,Target_monthwise!$D$24:$O$40,DTR!W$4,FALSE)),0)</f>
        <v>0</v>
      </c>
      <c r="X973" s="147">
        <f>IFERROR((HLOOKUP($AH973,Target_monthwise!$D$24:$O$40,DTR!X$4,FALSE)),0)</f>
        <v>0</v>
      </c>
      <c r="Y973" s="147">
        <f>IFERROR((HLOOKUP($AH973,Target_monthwise!$D$24:$O$40,DTR!Y$4,FALSE)),0)</f>
        <v>0</v>
      </c>
      <c r="Z973" s="147">
        <f>IFERROR((HLOOKUP($AH973,Target_monthwise!$D$24:$O$40,DTR!Z$4,FALSE)),0)</f>
        <v>0</v>
      </c>
      <c r="AA973" s="147">
        <f>IFERROR((HLOOKUP($AH973,Target_monthwise!$D$24:$O$40,DTR!AA$4,FALSE)),0)</f>
        <v>0</v>
      </c>
      <c r="AB973" s="147">
        <f>IFERROR((HLOOKUP($AH973,Target_monthwise!$D$24:$O$40,DTR!AB$4,FALSE)),0)</f>
        <v>0</v>
      </c>
      <c r="AC973" s="147">
        <f>IFERROR((HLOOKUP($AH973,Target_monthwise!$D$24:$O$40,DTR!AC$4,FALSE)),0)</f>
        <v>0</v>
      </c>
      <c r="AD973" s="147">
        <f>IFERROR((HLOOKUP($AH973,Target_monthwise!$D$24:$O$40,DTR!AD$4,FALSE)),0)</f>
        <v>0</v>
      </c>
      <c r="AE973" s="147">
        <f>IFERROR((HLOOKUP($AH973,Target_monthwise!$D$24:$O$40,DTR!AE$4,FALSE)),0)</f>
        <v>0</v>
      </c>
      <c r="AF973" s="147">
        <f>IFERROR((HLOOKUP($AH973,Target_monthwise!$D$24:$O$40,DTR!AF$4,FALSE)),0)</f>
        <v>0</v>
      </c>
      <c r="AG973" s="172">
        <f>IFERROR((HLOOKUP($AH973,Target_monthwise!$D$24:$O$40,DTR!AG$4,FALSE)),0)</f>
        <v>0</v>
      </c>
      <c r="AH973" s="253">
        <f t="shared" si="17"/>
        <v>202411</v>
      </c>
    </row>
    <row r="974" spans="3:34" ht="15.75" hidden="1">
      <c r="C974" s="237">
        <v>45617</v>
      </c>
      <c r="D974" s="238">
        <f>IFERROR((HLOOKUP($AH974,Target_monthwise!$D$4:$O$20,DTR!D$4,FALSE))*1000,0)</f>
        <v>0</v>
      </c>
      <c r="E974" s="238">
        <f>IFERROR((HLOOKUP($AH974,Target_monthwise!$D$4:$O$20,DTR!E$4,FALSE))*1000,0)</f>
        <v>0</v>
      </c>
      <c r="F974" s="238">
        <f>IFERROR((HLOOKUP($AH974,Target_monthwise!$D$4:$O$20,DTR!F$4,FALSE))*1000,0)</f>
        <v>0</v>
      </c>
      <c r="G974" s="238">
        <f>IFERROR((HLOOKUP($AH974,Target_monthwise!$D$4:$O$20,DTR!G$4,FALSE))*1000,0)</f>
        <v>0</v>
      </c>
      <c r="H974" s="238">
        <f>IFERROR((HLOOKUP($AH974,Target_monthwise!$D$4:$O$20,DTR!H$4,FALSE))*1000,0)</f>
        <v>0</v>
      </c>
      <c r="I974" s="238">
        <f>IFERROR((HLOOKUP($AH974,Target_monthwise!$D$4:$O$20,DTR!I$4,FALSE))*1000,0)</f>
        <v>0</v>
      </c>
      <c r="J974" s="238">
        <f>IFERROR((HLOOKUP($AH974,Target_monthwise!$D$4:$O$20,DTR!J$4,FALSE))*1000,0)</f>
        <v>0</v>
      </c>
      <c r="K974" s="238">
        <f>IFERROR((HLOOKUP($AH974,Target_monthwise!$D$4:$O$20,DTR!K$4,FALSE))*1000,0)</f>
        <v>0</v>
      </c>
      <c r="L974" s="238">
        <f>IFERROR((HLOOKUP($AH974,Target_monthwise!$D$4:$O$20,DTR!L$4,FALSE))*1000,0)</f>
        <v>0</v>
      </c>
      <c r="M974" s="238">
        <f>IFERROR((HLOOKUP($AH974,Target_monthwise!$D$4:$O$20,DTR!M$4,FALSE))*1000,0)</f>
        <v>0</v>
      </c>
      <c r="N974" s="238">
        <f>IFERROR((HLOOKUP($AH974,Target_monthwise!$D$4:$O$20,DTR!N$4,FALSE))*1000,0)</f>
        <v>0</v>
      </c>
      <c r="O974" s="238">
        <f>IFERROR((HLOOKUP($AH974,Target_monthwise!$D$4:$O$20,DTR!O$4,FALSE))*1000,0)</f>
        <v>0</v>
      </c>
      <c r="P974" s="238">
        <f>IFERROR((HLOOKUP($AH974,Target_monthwise!$D$4:$O$20,DTR!P$4,FALSE))*1000,0)</f>
        <v>0</v>
      </c>
      <c r="Q974" s="141">
        <f>IFERROR((HLOOKUP($AH974,Target_monthwise!$D$4:$O$20,DTR!Q$4,FALSE))*1000,0)</f>
        <v>0</v>
      </c>
      <c r="R974" s="167">
        <f>IFERROR((HLOOKUP($AH974,Target_monthwise!$D$4:$O$20,DTR!R$4,FALSE))*1000,0)</f>
        <v>0</v>
      </c>
      <c r="S974" s="239">
        <f>IFERROR((HLOOKUP($AH974,Target_monthwise!$D$24:$O$40,DTR!S$4,FALSE)),0)</f>
        <v>0</v>
      </c>
      <c r="T974" s="239">
        <f>IFERROR((HLOOKUP($AH974,Target_monthwise!$D$24:$O$40,DTR!T$4,FALSE)),0)</f>
        <v>0</v>
      </c>
      <c r="U974" s="239">
        <f>IFERROR((HLOOKUP($AH974,Target_monthwise!$D$24:$O$40,DTR!U$4,FALSE)),0)</f>
        <v>0</v>
      </c>
      <c r="V974" s="239">
        <f>IFERROR((HLOOKUP($AH974,Target_monthwise!$D$24:$O$40,DTR!V$4,FALSE)),0)</f>
        <v>0</v>
      </c>
      <c r="W974" s="239">
        <f>IFERROR((HLOOKUP($AH974,Target_monthwise!$D$24:$O$40,DTR!W$4,FALSE)),0)</f>
        <v>0</v>
      </c>
      <c r="X974" s="239">
        <f>IFERROR((HLOOKUP($AH974,Target_monthwise!$D$24:$O$40,DTR!X$4,FALSE)),0)</f>
        <v>0</v>
      </c>
      <c r="Y974" s="239">
        <f>IFERROR((HLOOKUP($AH974,Target_monthwise!$D$24:$O$40,DTR!Y$4,FALSE)),0)</f>
        <v>0</v>
      </c>
      <c r="Z974" s="147">
        <f>IFERROR((HLOOKUP($AH974,Target_monthwise!$D$24:$O$40,DTR!Z$4,FALSE)),0)</f>
        <v>0</v>
      </c>
      <c r="AA974" s="147">
        <f>IFERROR((HLOOKUP($AH974,Target_monthwise!$D$24:$O$40,DTR!AA$4,FALSE)),0)</f>
        <v>0</v>
      </c>
      <c r="AB974" s="147">
        <f>IFERROR((HLOOKUP($AH974,Target_monthwise!$D$24:$O$40,DTR!AB$4,FALSE)),0)</f>
        <v>0</v>
      </c>
      <c r="AC974" s="239">
        <f>IFERROR((HLOOKUP($AH974,Target_monthwise!$D$24:$O$40,DTR!AC$4,FALSE)),0)</f>
        <v>0</v>
      </c>
      <c r="AD974" s="239">
        <f>IFERROR((HLOOKUP($AH974,Target_monthwise!$D$24:$O$40,DTR!AD$4,FALSE)),0)</f>
        <v>0</v>
      </c>
      <c r="AE974" s="239">
        <f>IFERROR((HLOOKUP($AH974,Target_monthwise!$D$24:$O$40,DTR!AE$4,FALSE)),0)</f>
        <v>0</v>
      </c>
      <c r="AF974" s="239">
        <f>IFERROR((HLOOKUP($AH974,Target_monthwise!$D$24:$O$40,DTR!AF$4,FALSE)),0)</f>
        <v>0</v>
      </c>
      <c r="AG974" s="172">
        <f>IFERROR((HLOOKUP($AH974,Target_monthwise!$D$24:$O$40,DTR!AG$4,FALSE)),0)</f>
        <v>0</v>
      </c>
      <c r="AH974" s="253">
        <f t="shared" si="17"/>
        <v>202411</v>
      </c>
    </row>
    <row r="975" spans="3:34" ht="15.75" hidden="1">
      <c r="C975" s="235">
        <v>45618</v>
      </c>
      <c r="D975" s="141">
        <f>IFERROR((HLOOKUP($AH975,Target_monthwise!$D$4:$O$20,DTR!D$4,FALSE))*1000,0)</f>
        <v>0</v>
      </c>
      <c r="E975" s="141">
        <f>IFERROR((HLOOKUP($AH975,Target_monthwise!$D$4:$O$20,DTR!E$4,FALSE))*1000,0)</f>
        <v>0</v>
      </c>
      <c r="F975" s="141">
        <f>IFERROR((HLOOKUP($AH975,Target_monthwise!$D$4:$O$20,DTR!F$4,FALSE))*1000,0)</f>
        <v>0</v>
      </c>
      <c r="G975" s="141">
        <f>IFERROR((HLOOKUP($AH975,Target_monthwise!$D$4:$O$20,DTR!G$4,FALSE))*1000,0)</f>
        <v>0</v>
      </c>
      <c r="H975" s="141">
        <f>IFERROR((HLOOKUP($AH975,Target_monthwise!$D$4:$O$20,DTR!H$4,FALSE))*1000,0)</f>
        <v>0</v>
      </c>
      <c r="I975" s="141">
        <f>IFERROR((HLOOKUP($AH975,Target_monthwise!$D$4:$O$20,DTR!I$4,FALSE))*1000,0)</f>
        <v>0</v>
      </c>
      <c r="J975" s="141">
        <f>IFERROR((HLOOKUP($AH975,Target_monthwise!$D$4:$O$20,DTR!J$4,FALSE))*1000,0)</f>
        <v>0</v>
      </c>
      <c r="K975" s="141">
        <f>IFERROR((HLOOKUP($AH975,Target_monthwise!$D$4:$O$20,DTR!K$4,FALSE))*1000,0)</f>
        <v>0</v>
      </c>
      <c r="L975" s="141">
        <f>IFERROR((HLOOKUP($AH975,Target_monthwise!$D$4:$O$20,DTR!L$4,FALSE))*1000,0)</f>
        <v>0</v>
      </c>
      <c r="M975" s="141">
        <f>IFERROR((HLOOKUP($AH975,Target_monthwise!$D$4:$O$20,DTR!M$4,FALSE))*1000,0)</f>
        <v>0</v>
      </c>
      <c r="N975" s="141">
        <f>IFERROR((HLOOKUP($AH975,Target_monthwise!$D$4:$O$20,DTR!N$4,FALSE))*1000,0)</f>
        <v>0</v>
      </c>
      <c r="O975" s="141">
        <f>IFERROR((HLOOKUP($AH975,Target_monthwise!$D$4:$O$20,DTR!O$4,FALSE))*1000,0)</f>
        <v>0</v>
      </c>
      <c r="P975" s="141">
        <f>IFERROR((HLOOKUP($AH975,Target_monthwise!$D$4:$O$20,DTR!P$4,FALSE))*1000,0)</f>
        <v>0</v>
      </c>
      <c r="Q975" s="141">
        <f>IFERROR((HLOOKUP($AH975,Target_monthwise!$D$4:$O$20,DTR!Q$4,FALSE))*1000,0)</f>
        <v>0</v>
      </c>
      <c r="R975" s="167">
        <f>IFERROR((HLOOKUP($AH975,Target_monthwise!$D$4:$O$20,DTR!R$4,FALSE))*1000,0)</f>
        <v>0</v>
      </c>
      <c r="S975" s="147">
        <f>IFERROR((HLOOKUP($AH975,Target_monthwise!$D$24:$O$40,DTR!S$4,FALSE)),0)</f>
        <v>0</v>
      </c>
      <c r="T975" s="147">
        <f>IFERROR((HLOOKUP($AH975,Target_monthwise!$D$24:$O$40,DTR!T$4,FALSE)),0)</f>
        <v>0</v>
      </c>
      <c r="U975" s="147">
        <f>IFERROR((HLOOKUP($AH975,Target_monthwise!$D$24:$O$40,DTR!U$4,FALSE)),0)</f>
        <v>0</v>
      </c>
      <c r="V975" s="147">
        <f>IFERROR((HLOOKUP($AH975,Target_monthwise!$D$24:$O$40,DTR!V$4,FALSE)),0)</f>
        <v>0</v>
      </c>
      <c r="W975" s="147">
        <f>IFERROR((HLOOKUP($AH975,Target_monthwise!$D$24:$O$40,DTR!W$4,FALSE)),0)</f>
        <v>0</v>
      </c>
      <c r="X975" s="147">
        <f>IFERROR((HLOOKUP($AH975,Target_monthwise!$D$24:$O$40,DTR!X$4,FALSE)),0)</f>
        <v>0</v>
      </c>
      <c r="Y975" s="147">
        <f>IFERROR((HLOOKUP($AH975,Target_monthwise!$D$24:$O$40,DTR!Y$4,FALSE)),0)</f>
        <v>0</v>
      </c>
      <c r="Z975" s="147">
        <f>IFERROR((HLOOKUP($AH975,Target_monthwise!$D$24:$O$40,DTR!Z$4,FALSE)),0)</f>
        <v>0</v>
      </c>
      <c r="AA975" s="147">
        <f>IFERROR((HLOOKUP($AH975,Target_monthwise!$D$24:$O$40,DTR!AA$4,FALSE)),0)</f>
        <v>0</v>
      </c>
      <c r="AB975" s="147">
        <f>IFERROR((HLOOKUP($AH975,Target_monthwise!$D$24:$O$40,DTR!AB$4,FALSE)),0)</f>
        <v>0</v>
      </c>
      <c r="AC975" s="147">
        <f>IFERROR((HLOOKUP($AH975,Target_monthwise!$D$24:$O$40,DTR!AC$4,FALSE)),0)</f>
        <v>0</v>
      </c>
      <c r="AD975" s="147">
        <f>IFERROR((HLOOKUP($AH975,Target_monthwise!$D$24:$O$40,DTR!AD$4,FALSE)),0)</f>
        <v>0</v>
      </c>
      <c r="AE975" s="147">
        <f>IFERROR((HLOOKUP($AH975,Target_monthwise!$D$24:$O$40,DTR!AE$4,FALSE)),0)</f>
        <v>0</v>
      </c>
      <c r="AF975" s="147">
        <f>IFERROR((HLOOKUP($AH975,Target_monthwise!$D$24:$O$40,DTR!AF$4,FALSE)),0)</f>
        <v>0</v>
      </c>
      <c r="AG975" s="172">
        <f>IFERROR((HLOOKUP($AH975,Target_monthwise!$D$24:$O$40,DTR!AG$4,FALSE)),0)</f>
        <v>0</v>
      </c>
      <c r="AH975" s="253">
        <f t="shared" si="17"/>
        <v>202411</v>
      </c>
    </row>
    <row r="976" spans="3:34" ht="15.75" hidden="1">
      <c r="C976" s="237">
        <v>45619</v>
      </c>
      <c r="D976" s="238">
        <f>IFERROR((HLOOKUP($AH976,Target_monthwise!$D$4:$O$20,DTR!D$4,FALSE))*1000,0)</f>
        <v>0</v>
      </c>
      <c r="E976" s="238">
        <f>IFERROR((HLOOKUP($AH976,Target_monthwise!$D$4:$O$20,DTR!E$4,FALSE))*1000,0)</f>
        <v>0</v>
      </c>
      <c r="F976" s="238">
        <f>IFERROR((HLOOKUP($AH976,Target_monthwise!$D$4:$O$20,DTR!F$4,FALSE))*1000,0)</f>
        <v>0</v>
      </c>
      <c r="G976" s="238">
        <f>IFERROR((HLOOKUP($AH976,Target_monthwise!$D$4:$O$20,DTR!G$4,FALSE))*1000,0)</f>
        <v>0</v>
      </c>
      <c r="H976" s="238">
        <f>IFERROR((HLOOKUP($AH976,Target_monthwise!$D$4:$O$20,DTR!H$4,FALSE))*1000,0)</f>
        <v>0</v>
      </c>
      <c r="I976" s="238">
        <f>IFERROR((HLOOKUP($AH976,Target_monthwise!$D$4:$O$20,DTR!I$4,FALSE))*1000,0)</f>
        <v>0</v>
      </c>
      <c r="J976" s="238">
        <f>IFERROR((HLOOKUP($AH976,Target_monthwise!$D$4:$O$20,DTR!J$4,FALSE))*1000,0)</f>
        <v>0</v>
      </c>
      <c r="K976" s="238">
        <f>IFERROR((HLOOKUP($AH976,Target_monthwise!$D$4:$O$20,DTR!K$4,FALSE))*1000,0)</f>
        <v>0</v>
      </c>
      <c r="L976" s="238">
        <f>IFERROR((HLOOKUP($AH976,Target_monthwise!$D$4:$O$20,DTR!L$4,FALSE))*1000,0)</f>
        <v>0</v>
      </c>
      <c r="M976" s="238">
        <f>IFERROR((HLOOKUP($AH976,Target_monthwise!$D$4:$O$20,DTR!M$4,FALSE))*1000,0)</f>
        <v>0</v>
      </c>
      <c r="N976" s="238">
        <f>IFERROR((HLOOKUP($AH976,Target_monthwise!$D$4:$O$20,DTR!N$4,FALSE))*1000,0)</f>
        <v>0</v>
      </c>
      <c r="O976" s="238">
        <f>IFERROR((HLOOKUP($AH976,Target_monthwise!$D$4:$O$20,DTR!O$4,FALSE))*1000,0)</f>
        <v>0</v>
      </c>
      <c r="P976" s="238">
        <f>IFERROR((HLOOKUP($AH976,Target_monthwise!$D$4:$O$20,DTR!P$4,FALSE))*1000,0)</f>
        <v>0</v>
      </c>
      <c r="Q976" s="141">
        <f>IFERROR((HLOOKUP($AH976,Target_monthwise!$D$4:$O$20,DTR!Q$4,FALSE))*1000,0)</f>
        <v>0</v>
      </c>
      <c r="R976" s="167">
        <f>IFERROR((HLOOKUP($AH976,Target_monthwise!$D$4:$O$20,DTR!R$4,FALSE))*1000,0)</f>
        <v>0</v>
      </c>
      <c r="S976" s="239">
        <f>IFERROR((HLOOKUP($AH976,Target_monthwise!$D$24:$O$40,DTR!S$4,FALSE)),0)</f>
        <v>0</v>
      </c>
      <c r="T976" s="239">
        <f>IFERROR((HLOOKUP($AH976,Target_monthwise!$D$24:$O$40,DTR!T$4,FALSE)),0)</f>
        <v>0</v>
      </c>
      <c r="U976" s="239">
        <f>IFERROR((HLOOKUP($AH976,Target_monthwise!$D$24:$O$40,DTR!U$4,FALSE)),0)</f>
        <v>0</v>
      </c>
      <c r="V976" s="239">
        <f>IFERROR((HLOOKUP($AH976,Target_monthwise!$D$24:$O$40,DTR!V$4,FALSE)),0)</f>
        <v>0</v>
      </c>
      <c r="W976" s="239">
        <f>IFERROR((HLOOKUP($AH976,Target_monthwise!$D$24:$O$40,DTR!W$4,FALSE)),0)</f>
        <v>0</v>
      </c>
      <c r="X976" s="239">
        <f>IFERROR((HLOOKUP($AH976,Target_monthwise!$D$24:$O$40,DTR!X$4,FALSE)),0)</f>
        <v>0</v>
      </c>
      <c r="Y976" s="239">
        <f>IFERROR((HLOOKUP($AH976,Target_monthwise!$D$24:$O$40,DTR!Y$4,FALSE)),0)</f>
        <v>0</v>
      </c>
      <c r="Z976" s="147">
        <f>IFERROR((HLOOKUP($AH976,Target_monthwise!$D$24:$O$40,DTR!Z$4,FALSE)),0)</f>
        <v>0</v>
      </c>
      <c r="AA976" s="147">
        <f>IFERROR((HLOOKUP($AH976,Target_monthwise!$D$24:$O$40,DTR!AA$4,FALSE)),0)</f>
        <v>0</v>
      </c>
      <c r="AB976" s="147">
        <f>IFERROR((HLOOKUP($AH976,Target_monthwise!$D$24:$O$40,DTR!AB$4,FALSE)),0)</f>
        <v>0</v>
      </c>
      <c r="AC976" s="239">
        <f>IFERROR((HLOOKUP($AH976,Target_monthwise!$D$24:$O$40,DTR!AC$4,FALSE)),0)</f>
        <v>0</v>
      </c>
      <c r="AD976" s="239">
        <f>IFERROR((HLOOKUP($AH976,Target_monthwise!$D$24:$O$40,DTR!AD$4,FALSE)),0)</f>
        <v>0</v>
      </c>
      <c r="AE976" s="239">
        <f>IFERROR((HLOOKUP($AH976,Target_monthwise!$D$24:$O$40,DTR!AE$4,FALSE)),0)</f>
        <v>0</v>
      </c>
      <c r="AF976" s="239">
        <f>IFERROR((HLOOKUP($AH976,Target_monthwise!$D$24:$O$40,DTR!AF$4,FALSE)),0)</f>
        <v>0</v>
      </c>
      <c r="AG976" s="172">
        <f>IFERROR((HLOOKUP($AH976,Target_monthwise!$D$24:$O$40,DTR!AG$4,FALSE)),0)</f>
        <v>0</v>
      </c>
      <c r="AH976" s="253">
        <f t="shared" si="17"/>
        <v>202411</v>
      </c>
    </row>
    <row r="977" spans="3:34" ht="15.75" hidden="1">
      <c r="C977" s="235">
        <v>45620</v>
      </c>
      <c r="D977" s="141">
        <f>IFERROR((HLOOKUP($AH977,Target_monthwise!$D$4:$O$20,DTR!D$4,FALSE))*1000,0)</f>
        <v>0</v>
      </c>
      <c r="E977" s="141">
        <f>IFERROR((HLOOKUP($AH977,Target_monthwise!$D$4:$O$20,DTR!E$4,FALSE))*1000,0)</f>
        <v>0</v>
      </c>
      <c r="F977" s="141">
        <f>IFERROR((HLOOKUP($AH977,Target_monthwise!$D$4:$O$20,DTR!F$4,FALSE))*1000,0)</f>
        <v>0</v>
      </c>
      <c r="G977" s="141">
        <f>IFERROR((HLOOKUP($AH977,Target_monthwise!$D$4:$O$20,DTR!G$4,FALSE))*1000,0)</f>
        <v>0</v>
      </c>
      <c r="H977" s="141">
        <f>IFERROR((HLOOKUP($AH977,Target_monthwise!$D$4:$O$20,DTR!H$4,FALSE))*1000,0)</f>
        <v>0</v>
      </c>
      <c r="I977" s="141">
        <f>IFERROR((HLOOKUP($AH977,Target_monthwise!$D$4:$O$20,DTR!I$4,FALSE))*1000,0)</f>
        <v>0</v>
      </c>
      <c r="J977" s="141">
        <f>IFERROR((HLOOKUP($AH977,Target_monthwise!$D$4:$O$20,DTR!J$4,FALSE))*1000,0)</f>
        <v>0</v>
      </c>
      <c r="K977" s="141">
        <f>IFERROR((HLOOKUP($AH977,Target_monthwise!$D$4:$O$20,DTR!K$4,FALSE))*1000,0)</f>
        <v>0</v>
      </c>
      <c r="L977" s="141">
        <f>IFERROR((HLOOKUP($AH977,Target_monthwise!$D$4:$O$20,DTR!L$4,FALSE))*1000,0)</f>
        <v>0</v>
      </c>
      <c r="M977" s="141">
        <f>IFERROR((HLOOKUP($AH977,Target_monthwise!$D$4:$O$20,DTR!M$4,FALSE))*1000,0)</f>
        <v>0</v>
      </c>
      <c r="N977" s="141">
        <f>IFERROR((HLOOKUP($AH977,Target_monthwise!$D$4:$O$20,DTR!N$4,FALSE))*1000,0)</f>
        <v>0</v>
      </c>
      <c r="O977" s="141">
        <f>IFERROR((HLOOKUP($AH977,Target_monthwise!$D$4:$O$20,DTR!O$4,FALSE))*1000,0)</f>
        <v>0</v>
      </c>
      <c r="P977" s="141">
        <f>IFERROR((HLOOKUP($AH977,Target_monthwise!$D$4:$O$20,DTR!P$4,FALSE))*1000,0)</f>
        <v>0</v>
      </c>
      <c r="Q977" s="141">
        <f>IFERROR((HLOOKUP($AH977,Target_monthwise!$D$4:$O$20,DTR!Q$4,FALSE))*1000,0)</f>
        <v>0</v>
      </c>
      <c r="R977" s="167">
        <f>IFERROR((HLOOKUP($AH977,Target_monthwise!$D$4:$O$20,DTR!R$4,FALSE))*1000,0)</f>
        <v>0</v>
      </c>
      <c r="S977" s="147">
        <f>IFERROR((HLOOKUP($AH977,Target_monthwise!$D$24:$O$40,DTR!S$4,FALSE)),0)</f>
        <v>0</v>
      </c>
      <c r="T977" s="147">
        <f>IFERROR((HLOOKUP($AH977,Target_monthwise!$D$24:$O$40,DTR!T$4,FALSE)),0)</f>
        <v>0</v>
      </c>
      <c r="U977" s="147">
        <f>IFERROR((HLOOKUP($AH977,Target_monthwise!$D$24:$O$40,DTR!U$4,FALSE)),0)</f>
        <v>0</v>
      </c>
      <c r="V977" s="147">
        <f>IFERROR((HLOOKUP($AH977,Target_monthwise!$D$24:$O$40,DTR!V$4,FALSE)),0)</f>
        <v>0</v>
      </c>
      <c r="W977" s="147">
        <f>IFERROR((HLOOKUP($AH977,Target_monthwise!$D$24:$O$40,DTR!W$4,FALSE)),0)</f>
        <v>0</v>
      </c>
      <c r="X977" s="147">
        <f>IFERROR((HLOOKUP($AH977,Target_monthwise!$D$24:$O$40,DTR!X$4,FALSE)),0)</f>
        <v>0</v>
      </c>
      <c r="Y977" s="147">
        <f>IFERROR((HLOOKUP($AH977,Target_monthwise!$D$24:$O$40,DTR!Y$4,FALSE)),0)</f>
        <v>0</v>
      </c>
      <c r="Z977" s="147">
        <f>IFERROR((HLOOKUP($AH977,Target_monthwise!$D$24:$O$40,DTR!Z$4,FALSE)),0)</f>
        <v>0</v>
      </c>
      <c r="AA977" s="147">
        <f>IFERROR((HLOOKUP($AH977,Target_monthwise!$D$24:$O$40,DTR!AA$4,FALSE)),0)</f>
        <v>0</v>
      </c>
      <c r="AB977" s="147">
        <f>IFERROR((HLOOKUP($AH977,Target_monthwise!$D$24:$O$40,DTR!AB$4,FALSE)),0)</f>
        <v>0</v>
      </c>
      <c r="AC977" s="147">
        <f>IFERROR((HLOOKUP($AH977,Target_monthwise!$D$24:$O$40,DTR!AC$4,FALSE)),0)</f>
        <v>0</v>
      </c>
      <c r="AD977" s="147">
        <f>IFERROR((HLOOKUP($AH977,Target_monthwise!$D$24:$O$40,DTR!AD$4,FALSE)),0)</f>
        <v>0</v>
      </c>
      <c r="AE977" s="147">
        <f>IFERROR((HLOOKUP($AH977,Target_monthwise!$D$24:$O$40,DTR!AE$4,FALSE)),0)</f>
        <v>0</v>
      </c>
      <c r="AF977" s="147">
        <f>IFERROR((HLOOKUP($AH977,Target_monthwise!$D$24:$O$40,DTR!AF$4,FALSE)),0)</f>
        <v>0</v>
      </c>
      <c r="AG977" s="172">
        <f>IFERROR((HLOOKUP($AH977,Target_monthwise!$D$24:$O$40,DTR!AG$4,FALSE)),0)</f>
        <v>0</v>
      </c>
      <c r="AH977" s="253">
        <f t="shared" si="17"/>
        <v>202411</v>
      </c>
    </row>
    <row r="978" spans="3:34" ht="15.75" hidden="1">
      <c r="C978" s="237">
        <v>45621</v>
      </c>
      <c r="D978" s="238">
        <f>IFERROR((HLOOKUP($AH978,Target_monthwise!$D$4:$O$20,DTR!D$4,FALSE))*1000,0)</f>
        <v>0</v>
      </c>
      <c r="E978" s="238">
        <f>IFERROR((HLOOKUP($AH978,Target_monthwise!$D$4:$O$20,DTR!E$4,FALSE))*1000,0)</f>
        <v>0</v>
      </c>
      <c r="F978" s="238">
        <f>IFERROR((HLOOKUP($AH978,Target_monthwise!$D$4:$O$20,DTR!F$4,FALSE))*1000,0)</f>
        <v>0</v>
      </c>
      <c r="G978" s="238">
        <f>IFERROR((HLOOKUP($AH978,Target_monthwise!$D$4:$O$20,DTR!G$4,FALSE))*1000,0)</f>
        <v>0</v>
      </c>
      <c r="H978" s="238">
        <f>IFERROR((HLOOKUP($AH978,Target_monthwise!$D$4:$O$20,DTR!H$4,FALSE))*1000,0)</f>
        <v>0</v>
      </c>
      <c r="I978" s="238">
        <f>IFERROR((HLOOKUP($AH978,Target_monthwise!$D$4:$O$20,DTR!I$4,FALSE))*1000,0)</f>
        <v>0</v>
      </c>
      <c r="J978" s="238">
        <f>IFERROR((HLOOKUP($AH978,Target_monthwise!$D$4:$O$20,DTR!J$4,FALSE))*1000,0)</f>
        <v>0</v>
      </c>
      <c r="K978" s="238">
        <f>IFERROR((HLOOKUP($AH978,Target_monthwise!$D$4:$O$20,DTR!K$4,FALSE))*1000,0)</f>
        <v>0</v>
      </c>
      <c r="L978" s="238">
        <f>IFERROR((HLOOKUP($AH978,Target_monthwise!$D$4:$O$20,DTR!L$4,FALSE))*1000,0)</f>
        <v>0</v>
      </c>
      <c r="M978" s="238">
        <f>IFERROR((HLOOKUP($AH978,Target_monthwise!$D$4:$O$20,DTR!M$4,FALSE))*1000,0)</f>
        <v>0</v>
      </c>
      <c r="N978" s="238">
        <f>IFERROR((HLOOKUP($AH978,Target_monthwise!$D$4:$O$20,DTR!N$4,FALSE))*1000,0)</f>
        <v>0</v>
      </c>
      <c r="O978" s="238">
        <f>IFERROR((HLOOKUP($AH978,Target_monthwise!$D$4:$O$20,DTR!O$4,FALSE))*1000,0)</f>
        <v>0</v>
      </c>
      <c r="P978" s="238">
        <f>IFERROR((HLOOKUP($AH978,Target_monthwise!$D$4:$O$20,DTR!P$4,FALSE))*1000,0)</f>
        <v>0</v>
      </c>
      <c r="Q978" s="141">
        <f>IFERROR((HLOOKUP($AH978,Target_monthwise!$D$4:$O$20,DTR!Q$4,FALSE))*1000,0)</f>
        <v>0</v>
      </c>
      <c r="R978" s="167">
        <f>IFERROR((HLOOKUP($AH978,Target_monthwise!$D$4:$O$20,DTR!R$4,FALSE))*1000,0)</f>
        <v>0</v>
      </c>
      <c r="S978" s="239">
        <f>IFERROR((HLOOKUP($AH978,Target_monthwise!$D$24:$O$40,DTR!S$4,FALSE)),0)</f>
        <v>0</v>
      </c>
      <c r="T978" s="239">
        <f>IFERROR((HLOOKUP($AH978,Target_monthwise!$D$24:$O$40,DTR!T$4,FALSE)),0)</f>
        <v>0</v>
      </c>
      <c r="U978" s="239">
        <f>IFERROR((HLOOKUP($AH978,Target_monthwise!$D$24:$O$40,DTR!U$4,FALSE)),0)</f>
        <v>0</v>
      </c>
      <c r="V978" s="239">
        <f>IFERROR((HLOOKUP($AH978,Target_monthwise!$D$24:$O$40,DTR!V$4,FALSE)),0)</f>
        <v>0</v>
      </c>
      <c r="W978" s="239">
        <f>IFERROR((HLOOKUP($AH978,Target_monthwise!$D$24:$O$40,DTR!W$4,FALSE)),0)</f>
        <v>0</v>
      </c>
      <c r="X978" s="239">
        <f>IFERROR((HLOOKUP($AH978,Target_monthwise!$D$24:$O$40,DTR!X$4,FALSE)),0)</f>
        <v>0</v>
      </c>
      <c r="Y978" s="239">
        <f>IFERROR((HLOOKUP($AH978,Target_monthwise!$D$24:$O$40,DTR!Y$4,FALSE)),0)</f>
        <v>0</v>
      </c>
      <c r="Z978" s="147">
        <f>IFERROR((HLOOKUP($AH978,Target_monthwise!$D$24:$O$40,DTR!Z$4,FALSE)),0)</f>
        <v>0</v>
      </c>
      <c r="AA978" s="147">
        <f>IFERROR((HLOOKUP($AH978,Target_monthwise!$D$24:$O$40,DTR!AA$4,FALSE)),0)</f>
        <v>0</v>
      </c>
      <c r="AB978" s="147">
        <f>IFERROR((HLOOKUP($AH978,Target_monthwise!$D$24:$O$40,DTR!AB$4,FALSE)),0)</f>
        <v>0</v>
      </c>
      <c r="AC978" s="239">
        <f>IFERROR((HLOOKUP($AH978,Target_monthwise!$D$24:$O$40,DTR!AC$4,FALSE)),0)</f>
        <v>0</v>
      </c>
      <c r="AD978" s="239">
        <f>IFERROR((HLOOKUP($AH978,Target_monthwise!$D$24:$O$40,DTR!AD$4,FALSE)),0)</f>
        <v>0</v>
      </c>
      <c r="AE978" s="239">
        <f>IFERROR((HLOOKUP($AH978,Target_monthwise!$D$24:$O$40,DTR!AE$4,FALSE)),0)</f>
        <v>0</v>
      </c>
      <c r="AF978" s="239">
        <f>IFERROR((HLOOKUP($AH978,Target_monthwise!$D$24:$O$40,DTR!AF$4,FALSE)),0)</f>
        <v>0</v>
      </c>
      <c r="AG978" s="172">
        <f>IFERROR((HLOOKUP($AH978,Target_monthwise!$D$24:$O$40,DTR!AG$4,FALSE)),0)</f>
        <v>0</v>
      </c>
      <c r="AH978" s="253">
        <f t="shared" si="17"/>
        <v>202411</v>
      </c>
    </row>
    <row r="979" spans="3:34" ht="15.75" hidden="1">
      <c r="C979" s="235">
        <v>45622</v>
      </c>
      <c r="D979" s="141">
        <f>IFERROR((HLOOKUP($AH979,Target_monthwise!$D$4:$O$20,DTR!D$4,FALSE))*1000,0)</f>
        <v>0</v>
      </c>
      <c r="E979" s="141">
        <f>IFERROR((HLOOKUP($AH979,Target_monthwise!$D$4:$O$20,DTR!E$4,FALSE))*1000,0)</f>
        <v>0</v>
      </c>
      <c r="F979" s="141">
        <f>IFERROR((HLOOKUP($AH979,Target_monthwise!$D$4:$O$20,DTR!F$4,FALSE))*1000,0)</f>
        <v>0</v>
      </c>
      <c r="G979" s="141">
        <f>IFERROR((HLOOKUP($AH979,Target_monthwise!$D$4:$O$20,DTR!G$4,FALSE))*1000,0)</f>
        <v>0</v>
      </c>
      <c r="H979" s="141">
        <f>IFERROR((HLOOKUP($AH979,Target_monthwise!$D$4:$O$20,DTR!H$4,FALSE))*1000,0)</f>
        <v>0</v>
      </c>
      <c r="I979" s="141">
        <f>IFERROR((HLOOKUP($AH979,Target_monthwise!$D$4:$O$20,DTR!I$4,FALSE))*1000,0)</f>
        <v>0</v>
      </c>
      <c r="J979" s="141">
        <f>IFERROR((HLOOKUP($AH979,Target_monthwise!$D$4:$O$20,DTR!J$4,FALSE))*1000,0)</f>
        <v>0</v>
      </c>
      <c r="K979" s="141">
        <f>IFERROR((HLOOKUP($AH979,Target_monthwise!$D$4:$O$20,DTR!K$4,FALSE))*1000,0)</f>
        <v>0</v>
      </c>
      <c r="L979" s="141">
        <f>IFERROR((HLOOKUP($AH979,Target_monthwise!$D$4:$O$20,DTR!L$4,FALSE))*1000,0)</f>
        <v>0</v>
      </c>
      <c r="M979" s="141">
        <f>IFERROR((HLOOKUP($AH979,Target_monthwise!$D$4:$O$20,DTR!M$4,FALSE))*1000,0)</f>
        <v>0</v>
      </c>
      <c r="N979" s="141">
        <f>IFERROR((HLOOKUP($AH979,Target_monthwise!$D$4:$O$20,DTR!N$4,FALSE))*1000,0)</f>
        <v>0</v>
      </c>
      <c r="O979" s="141">
        <f>IFERROR((HLOOKUP($AH979,Target_monthwise!$D$4:$O$20,DTR!O$4,FALSE))*1000,0)</f>
        <v>0</v>
      </c>
      <c r="P979" s="141">
        <f>IFERROR((HLOOKUP($AH979,Target_monthwise!$D$4:$O$20,DTR!P$4,FALSE))*1000,0)</f>
        <v>0</v>
      </c>
      <c r="Q979" s="141">
        <f>IFERROR((HLOOKUP($AH979,Target_monthwise!$D$4:$O$20,DTR!Q$4,FALSE))*1000,0)</f>
        <v>0</v>
      </c>
      <c r="R979" s="167">
        <f>IFERROR((HLOOKUP($AH979,Target_monthwise!$D$4:$O$20,DTR!R$4,FALSE))*1000,0)</f>
        <v>0</v>
      </c>
      <c r="S979" s="147">
        <f>IFERROR((HLOOKUP($AH979,Target_monthwise!$D$24:$O$40,DTR!S$4,FALSE)),0)</f>
        <v>0</v>
      </c>
      <c r="T979" s="147">
        <f>IFERROR((HLOOKUP($AH979,Target_monthwise!$D$24:$O$40,DTR!T$4,FALSE)),0)</f>
        <v>0</v>
      </c>
      <c r="U979" s="147">
        <f>IFERROR((HLOOKUP($AH979,Target_monthwise!$D$24:$O$40,DTR!U$4,FALSE)),0)</f>
        <v>0</v>
      </c>
      <c r="V979" s="147">
        <f>IFERROR((HLOOKUP($AH979,Target_monthwise!$D$24:$O$40,DTR!V$4,FALSE)),0)</f>
        <v>0</v>
      </c>
      <c r="W979" s="147">
        <f>IFERROR((HLOOKUP($AH979,Target_monthwise!$D$24:$O$40,DTR!W$4,FALSE)),0)</f>
        <v>0</v>
      </c>
      <c r="X979" s="147">
        <f>IFERROR((HLOOKUP($AH979,Target_monthwise!$D$24:$O$40,DTR!X$4,FALSE)),0)</f>
        <v>0</v>
      </c>
      <c r="Y979" s="147">
        <f>IFERROR((HLOOKUP($AH979,Target_monthwise!$D$24:$O$40,DTR!Y$4,FALSE)),0)</f>
        <v>0</v>
      </c>
      <c r="Z979" s="147">
        <f>IFERROR((HLOOKUP($AH979,Target_monthwise!$D$24:$O$40,DTR!Z$4,FALSE)),0)</f>
        <v>0</v>
      </c>
      <c r="AA979" s="147">
        <f>IFERROR((HLOOKUP($AH979,Target_monthwise!$D$24:$O$40,DTR!AA$4,FALSE)),0)</f>
        <v>0</v>
      </c>
      <c r="AB979" s="147">
        <f>IFERROR((HLOOKUP($AH979,Target_monthwise!$D$24:$O$40,DTR!AB$4,FALSE)),0)</f>
        <v>0</v>
      </c>
      <c r="AC979" s="147">
        <f>IFERROR((HLOOKUP($AH979,Target_monthwise!$D$24:$O$40,DTR!AC$4,FALSE)),0)</f>
        <v>0</v>
      </c>
      <c r="AD979" s="147">
        <f>IFERROR((HLOOKUP($AH979,Target_monthwise!$D$24:$O$40,DTR!AD$4,FALSE)),0)</f>
        <v>0</v>
      </c>
      <c r="AE979" s="147">
        <f>IFERROR((HLOOKUP($AH979,Target_monthwise!$D$24:$O$40,DTR!AE$4,FALSE)),0)</f>
        <v>0</v>
      </c>
      <c r="AF979" s="147">
        <f>IFERROR((HLOOKUP($AH979,Target_monthwise!$D$24:$O$40,DTR!AF$4,FALSE)),0)</f>
        <v>0</v>
      </c>
      <c r="AG979" s="172">
        <f>IFERROR((HLOOKUP($AH979,Target_monthwise!$D$24:$O$40,DTR!AG$4,FALSE)),0)</f>
        <v>0</v>
      </c>
      <c r="AH979" s="253">
        <f t="shared" si="17"/>
        <v>202411</v>
      </c>
    </row>
    <row r="980" spans="3:34" ht="15.75" hidden="1">
      <c r="C980" s="237">
        <v>45623</v>
      </c>
      <c r="D980" s="238">
        <f>IFERROR((HLOOKUP($AH980,Target_monthwise!$D$4:$O$20,DTR!D$4,FALSE))*1000,0)</f>
        <v>0</v>
      </c>
      <c r="E980" s="238">
        <f>IFERROR((HLOOKUP($AH980,Target_monthwise!$D$4:$O$20,DTR!E$4,FALSE))*1000,0)</f>
        <v>0</v>
      </c>
      <c r="F980" s="238">
        <f>IFERROR((HLOOKUP($AH980,Target_monthwise!$D$4:$O$20,DTR!F$4,FALSE))*1000,0)</f>
        <v>0</v>
      </c>
      <c r="G980" s="238">
        <f>IFERROR((HLOOKUP($AH980,Target_monthwise!$D$4:$O$20,DTR!G$4,FALSE))*1000,0)</f>
        <v>0</v>
      </c>
      <c r="H980" s="238">
        <f>IFERROR((HLOOKUP($AH980,Target_monthwise!$D$4:$O$20,DTR!H$4,FALSE))*1000,0)</f>
        <v>0</v>
      </c>
      <c r="I980" s="238">
        <f>IFERROR((HLOOKUP($AH980,Target_monthwise!$D$4:$O$20,DTR!I$4,FALSE))*1000,0)</f>
        <v>0</v>
      </c>
      <c r="J980" s="238">
        <f>IFERROR((HLOOKUP($AH980,Target_monthwise!$D$4:$O$20,DTR!J$4,FALSE))*1000,0)</f>
        <v>0</v>
      </c>
      <c r="K980" s="238">
        <f>IFERROR((HLOOKUP($AH980,Target_monthwise!$D$4:$O$20,DTR!K$4,FALSE))*1000,0)</f>
        <v>0</v>
      </c>
      <c r="L980" s="238">
        <f>IFERROR((HLOOKUP($AH980,Target_monthwise!$D$4:$O$20,DTR!L$4,FALSE))*1000,0)</f>
        <v>0</v>
      </c>
      <c r="M980" s="238">
        <f>IFERROR((HLOOKUP($AH980,Target_monthwise!$D$4:$O$20,DTR!M$4,FALSE))*1000,0)</f>
        <v>0</v>
      </c>
      <c r="N980" s="238">
        <f>IFERROR((HLOOKUP($AH980,Target_monthwise!$D$4:$O$20,DTR!N$4,FALSE))*1000,0)</f>
        <v>0</v>
      </c>
      <c r="O980" s="238">
        <f>IFERROR((HLOOKUP($AH980,Target_monthwise!$D$4:$O$20,DTR!O$4,FALSE))*1000,0)</f>
        <v>0</v>
      </c>
      <c r="P980" s="238">
        <f>IFERROR((HLOOKUP($AH980,Target_monthwise!$D$4:$O$20,DTR!P$4,FALSE))*1000,0)</f>
        <v>0</v>
      </c>
      <c r="Q980" s="141">
        <f>IFERROR((HLOOKUP($AH980,Target_monthwise!$D$4:$O$20,DTR!Q$4,FALSE))*1000,0)</f>
        <v>0</v>
      </c>
      <c r="R980" s="167">
        <f>IFERROR((HLOOKUP($AH980,Target_monthwise!$D$4:$O$20,DTR!R$4,FALSE))*1000,0)</f>
        <v>0</v>
      </c>
      <c r="S980" s="239">
        <f>IFERROR((HLOOKUP($AH980,Target_monthwise!$D$24:$O$40,DTR!S$4,FALSE)),0)</f>
        <v>0</v>
      </c>
      <c r="T980" s="239">
        <f>IFERROR((HLOOKUP($AH980,Target_monthwise!$D$24:$O$40,DTR!T$4,FALSE)),0)</f>
        <v>0</v>
      </c>
      <c r="U980" s="239">
        <f>IFERROR((HLOOKUP($AH980,Target_monthwise!$D$24:$O$40,DTR!U$4,FALSE)),0)</f>
        <v>0</v>
      </c>
      <c r="V980" s="239">
        <f>IFERROR((HLOOKUP($AH980,Target_monthwise!$D$24:$O$40,DTR!V$4,FALSE)),0)</f>
        <v>0</v>
      </c>
      <c r="W980" s="239">
        <f>IFERROR((HLOOKUP($AH980,Target_monthwise!$D$24:$O$40,DTR!W$4,FALSE)),0)</f>
        <v>0</v>
      </c>
      <c r="X980" s="239">
        <f>IFERROR((HLOOKUP($AH980,Target_monthwise!$D$24:$O$40,DTR!X$4,FALSE)),0)</f>
        <v>0</v>
      </c>
      <c r="Y980" s="239">
        <f>IFERROR((HLOOKUP($AH980,Target_monthwise!$D$24:$O$40,DTR!Y$4,FALSE)),0)</f>
        <v>0</v>
      </c>
      <c r="Z980" s="147">
        <f>IFERROR((HLOOKUP($AH980,Target_monthwise!$D$24:$O$40,DTR!Z$4,FALSE)),0)</f>
        <v>0</v>
      </c>
      <c r="AA980" s="147">
        <f>IFERROR((HLOOKUP($AH980,Target_monthwise!$D$24:$O$40,DTR!AA$4,FALSE)),0)</f>
        <v>0</v>
      </c>
      <c r="AB980" s="147">
        <f>IFERROR((HLOOKUP($AH980,Target_monthwise!$D$24:$O$40,DTR!AB$4,FALSE)),0)</f>
        <v>0</v>
      </c>
      <c r="AC980" s="239">
        <f>IFERROR((HLOOKUP($AH980,Target_monthwise!$D$24:$O$40,DTR!AC$4,FALSE)),0)</f>
        <v>0</v>
      </c>
      <c r="AD980" s="239">
        <f>IFERROR((HLOOKUP($AH980,Target_monthwise!$D$24:$O$40,DTR!AD$4,FALSE)),0)</f>
        <v>0</v>
      </c>
      <c r="AE980" s="239">
        <f>IFERROR((HLOOKUP($AH980,Target_monthwise!$D$24:$O$40,DTR!AE$4,FALSE)),0)</f>
        <v>0</v>
      </c>
      <c r="AF980" s="239">
        <f>IFERROR((HLOOKUP($AH980,Target_monthwise!$D$24:$O$40,DTR!AF$4,FALSE)),0)</f>
        <v>0</v>
      </c>
      <c r="AG980" s="172">
        <f>IFERROR((HLOOKUP($AH980,Target_monthwise!$D$24:$O$40,DTR!AG$4,FALSE)),0)</f>
        <v>0</v>
      </c>
      <c r="AH980" s="253">
        <f t="shared" si="17"/>
        <v>202411</v>
      </c>
    </row>
    <row r="981" spans="3:34" ht="15.75" hidden="1">
      <c r="C981" s="235">
        <v>45624</v>
      </c>
      <c r="D981" s="141">
        <f>IFERROR((HLOOKUP($AH981,Target_monthwise!$D$4:$O$20,DTR!D$4,FALSE))*1000,0)</f>
        <v>0</v>
      </c>
      <c r="E981" s="141">
        <f>IFERROR((HLOOKUP($AH981,Target_monthwise!$D$4:$O$20,DTR!E$4,FALSE))*1000,0)</f>
        <v>0</v>
      </c>
      <c r="F981" s="141">
        <f>IFERROR((HLOOKUP($AH981,Target_monthwise!$D$4:$O$20,DTR!F$4,FALSE))*1000,0)</f>
        <v>0</v>
      </c>
      <c r="G981" s="141">
        <f>IFERROR((HLOOKUP($AH981,Target_monthwise!$D$4:$O$20,DTR!G$4,FALSE))*1000,0)</f>
        <v>0</v>
      </c>
      <c r="H981" s="141">
        <f>IFERROR((HLOOKUP($AH981,Target_monthwise!$D$4:$O$20,DTR!H$4,FALSE))*1000,0)</f>
        <v>0</v>
      </c>
      <c r="I981" s="141">
        <f>IFERROR((HLOOKUP($AH981,Target_monthwise!$D$4:$O$20,DTR!I$4,FALSE))*1000,0)</f>
        <v>0</v>
      </c>
      <c r="J981" s="141">
        <f>IFERROR((HLOOKUP($AH981,Target_monthwise!$D$4:$O$20,DTR!J$4,FALSE))*1000,0)</f>
        <v>0</v>
      </c>
      <c r="K981" s="141">
        <f>IFERROR((HLOOKUP($AH981,Target_monthwise!$D$4:$O$20,DTR!K$4,FALSE))*1000,0)</f>
        <v>0</v>
      </c>
      <c r="L981" s="141">
        <f>IFERROR((HLOOKUP($AH981,Target_monthwise!$D$4:$O$20,DTR!L$4,FALSE))*1000,0)</f>
        <v>0</v>
      </c>
      <c r="M981" s="141">
        <f>IFERROR((HLOOKUP($AH981,Target_monthwise!$D$4:$O$20,DTR!M$4,FALSE))*1000,0)</f>
        <v>0</v>
      </c>
      <c r="N981" s="141">
        <f>IFERROR((HLOOKUP($AH981,Target_monthwise!$D$4:$O$20,DTR!N$4,FALSE))*1000,0)</f>
        <v>0</v>
      </c>
      <c r="O981" s="141">
        <f>IFERROR((HLOOKUP($AH981,Target_monthwise!$D$4:$O$20,DTR!O$4,FALSE))*1000,0)</f>
        <v>0</v>
      </c>
      <c r="P981" s="141">
        <f>IFERROR((HLOOKUP($AH981,Target_monthwise!$D$4:$O$20,DTR!P$4,FALSE))*1000,0)</f>
        <v>0</v>
      </c>
      <c r="Q981" s="141">
        <f>IFERROR((HLOOKUP($AH981,Target_monthwise!$D$4:$O$20,DTR!Q$4,FALSE))*1000,0)</f>
        <v>0</v>
      </c>
      <c r="R981" s="167">
        <f>IFERROR((HLOOKUP($AH981,Target_monthwise!$D$4:$O$20,DTR!R$4,FALSE))*1000,0)</f>
        <v>0</v>
      </c>
      <c r="S981" s="147">
        <f>IFERROR((HLOOKUP($AH981,Target_monthwise!$D$24:$O$40,DTR!S$4,FALSE)),0)</f>
        <v>0</v>
      </c>
      <c r="T981" s="147">
        <f>IFERROR((HLOOKUP($AH981,Target_monthwise!$D$24:$O$40,DTR!T$4,FALSE)),0)</f>
        <v>0</v>
      </c>
      <c r="U981" s="147">
        <f>IFERROR((HLOOKUP($AH981,Target_monthwise!$D$24:$O$40,DTR!U$4,FALSE)),0)</f>
        <v>0</v>
      </c>
      <c r="V981" s="147">
        <f>IFERROR((HLOOKUP($AH981,Target_monthwise!$D$24:$O$40,DTR!V$4,FALSE)),0)</f>
        <v>0</v>
      </c>
      <c r="W981" s="147">
        <f>IFERROR((HLOOKUP($AH981,Target_monthwise!$D$24:$O$40,DTR!W$4,FALSE)),0)</f>
        <v>0</v>
      </c>
      <c r="X981" s="147">
        <f>IFERROR((HLOOKUP($AH981,Target_monthwise!$D$24:$O$40,DTR!X$4,FALSE)),0)</f>
        <v>0</v>
      </c>
      <c r="Y981" s="147">
        <f>IFERROR((HLOOKUP($AH981,Target_monthwise!$D$24:$O$40,DTR!Y$4,FALSE)),0)</f>
        <v>0</v>
      </c>
      <c r="Z981" s="147">
        <f>IFERROR((HLOOKUP($AH981,Target_monthwise!$D$24:$O$40,DTR!Z$4,FALSE)),0)</f>
        <v>0</v>
      </c>
      <c r="AA981" s="147">
        <f>IFERROR((HLOOKUP($AH981,Target_monthwise!$D$24:$O$40,DTR!AA$4,FALSE)),0)</f>
        <v>0</v>
      </c>
      <c r="AB981" s="147">
        <f>IFERROR((HLOOKUP($AH981,Target_monthwise!$D$24:$O$40,DTR!AB$4,FALSE)),0)</f>
        <v>0</v>
      </c>
      <c r="AC981" s="147">
        <f>IFERROR((HLOOKUP($AH981,Target_monthwise!$D$24:$O$40,DTR!AC$4,FALSE)),0)</f>
        <v>0</v>
      </c>
      <c r="AD981" s="147">
        <f>IFERROR((HLOOKUP($AH981,Target_monthwise!$D$24:$O$40,DTR!AD$4,FALSE)),0)</f>
        <v>0</v>
      </c>
      <c r="AE981" s="147">
        <f>IFERROR((HLOOKUP($AH981,Target_monthwise!$D$24:$O$40,DTR!AE$4,FALSE)),0)</f>
        <v>0</v>
      </c>
      <c r="AF981" s="147">
        <f>IFERROR((HLOOKUP($AH981,Target_monthwise!$D$24:$O$40,DTR!AF$4,FALSE)),0)</f>
        <v>0</v>
      </c>
      <c r="AG981" s="172">
        <f>IFERROR((HLOOKUP($AH981,Target_monthwise!$D$24:$O$40,DTR!AG$4,FALSE)),0)</f>
        <v>0</v>
      </c>
      <c r="AH981" s="253">
        <f t="shared" si="17"/>
        <v>202411</v>
      </c>
    </row>
    <row r="982" spans="3:34" ht="15.75" hidden="1">
      <c r="C982" s="237">
        <v>45625</v>
      </c>
      <c r="D982" s="238">
        <f>IFERROR((HLOOKUP($AH982,Target_monthwise!$D$4:$O$20,DTR!D$4,FALSE))*1000,0)</f>
        <v>0</v>
      </c>
      <c r="E982" s="238">
        <f>IFERROR((HLOOKUP($AH982,Target_monthwise!$D$4:$O$20,DTR!E$4,FALSE))*1000,0)</f>
        <v>0</v>
      </c>
      <c r="F982" s="238">
        <f>IFERROR((HLOOKUP($AH982,Target_monthwise!$D$4:$O$20,DTR!F$4,FALSE))*1000,0)</f>
        <v>0</v>
      </c>
      <c r="G982" s="238">
        <f>IFERROR((HLOOKUP($AH982,Target_monthwise!$D$4:$O$20,DTR!G$4,FALSE))*1000,0)</f>
        <v>0</v>
      </c>
      <c r="H982" s="238">
        <f>IFERROR((HLOOKUP($AH982,Target_monthwise!$D$4:$O$20,DTR!H$4,FALSE))*1000,0)</f>
        <v>0</v>
      </c>
      <c r="I982" s="238">
        <f>IFERROR((HLOOKUP($AH982,Target_monthwise!$D$4:$O$20,DTR!I$4,FALSE))*1000,0)</f>
        <v>0</v>
      </c>
      <c r="J982" s="238">
        <f>IFERROR((HLOOKUP($AH982,Target_monthwise!$D$4:$O$20,DTR!J$4,FALSE))*1000,0)</f>
        <v>0</v>
      </c>
      <c r="K982" s="238">
        <f>IFERROR((HLOOKUP($AH982,Target_monthwise!$D$4:$O$20,DTR!K$4,FALSE))*1000,0)</f>
        <v>0</v>
      </c>
      <c r="L982" s="238">
        <f>IFERROR((HLOOKUP($AH982,Target_monthwise!$D$4:$O$20,DTR!L$4,FALSE))*1000,0)</f>
        <v>0</v>
      </c>
      <c r="M982" s="238">
        <f>IFERROR((HLOOKUP($AH982,Target_monthwise!$D$4:$O$20,DTR!M$4,FALSE))*1000,0)</f>
        <v>0</v>
      </c>
      <c r="N982" s="238">
        <f>IFERROR((HLOOKUP($AH982,Target_monthwise!$D$4:$O$20,DTR!N$4,FALSE))*1000,0)</f>
        <v>0</v>
      </c>
      <c r="O982" s="238">
        <f>IFERROR((HLOOKUP($AH982,Target_monthwise!$D$4:$O$20,DTR!O$4,FALSE))*1000,0)</f>
        <v>0</v>
      </c>
      <c r="P982" s="238">
        <f>IFERROR((HLOOKUP($AH982,Target_monthwise!$D$4:$O$20,DTR!P$4,FALSE))*1000,0)</f>
        <v>0</v>
      </c>
      <c r="Q982" s="141">
        <f>IFERROR((HLOOKUP($AH982,Target_monthwise!$D$4:$O$20,DTR!Q$4,FALSE))*1000,0)</f>
        <v>0</v>
      </c>
      <c r="R982" s="167">
        <f>IFERROR((HLOOKUP($AH982,Target_monthwise!$D$4:$O$20,DTR!R$4,FALSE))*1000,0)</f>
        <v>0</v>
      </c>
      <c r="S982" s="239">
        <f>IFERROR((HLOOKUP($AH982,Target_monthwise!$D$24:$O$40,DTR!S$4,FALSE)),0)</f>
        <v>0</v>
      </c>
      <c r="T982" s="239">
        <f>IFERROR((HLOOKUP($AH982,Target_monthwise!$D$24:$O$40,DTR!T$4,FALSE)),0)</f>
        <v>0</v>
      </c>
      <c r="U982" s="239">
        <f>IFERROR((HLOOKUP($AH982,Target_monthwise!$D$24:$O$40,DTR!U$4,FALSE)),0)</f>
        <v>0</v>
      </c>
      <c r="V982" s="239">
        <f>IFERROR((HLOOKUP($AH982,Target_monthwise!$D$24:$O$40,DTR!V$4,FALSE)),0)</f>
        <v>0</v>
      </c>
      <c r="W982" s="239">
        <f>IFERROR((HLOOKUP($AH982,Target_monthwise!$D$24:$O$40,DTR!W$4,FALSE)),0)</f>
        <v>0</v>
      </c>
      <c r="X982" s="239">
        <f>IFERROR((HLOOKUP($AH982,Target_monthwise!$D$24:$O$40,DTR!X$4,FALSE)),0)</f>
        <v>0</v>
      </c>
      <c r="Y982" s="239">
        <f>IFERROR((HLOOKUP($AH982,Target_monthwise!$D$24:$O$40,DTR!Y$4,FALSE)),0)</f>
        <v>0</v>
      </c>
      <c r="Z982" s="147">
        <f>IFERROR((HLOOKUP($AH982,Target_monthwise!$D$24:$O$40,DTR!Z$4,FALSE)),0)</f>
        <v>0</v>
      </c>
      <c r="AA982" s="147">
        <f>IFERROR((HLOOKUP($AH982,Target_monthwise!$D$24:$O$40,DTR!AA$4,FALSE)),0)</f>
        <v>0</v>
      </c>
      <c r="AB982" s="147">
        <f>IFERROR((HLOOKUP($AH982,Target_monthwise!$D$24:$O$40,DTR!AB$4,FALSE)),0)</f>
        <v>0</v>
      </c>
      <c r="AC982" s="239">
        <f>IFERROR((HLOOKUP($AH982,Target_monthwise!$D$24:$O$40,DTR!AC$4,FALSE)),0)</f>
        <v>0</v>
      </c>
      <c r="AD982" s="239">
        <f>IFERROR((HLOOKUP($AH982,Target_monthwise!$D$24:$O$40,DTR!AD$4,FALSE)),0)</f>
        <v>0</v>
      </c>
      <c r="AE982" s="239">
        <f>IFERROR((HLOOKUP($AH982,Target_monthwise!$D$24:$O$40,DTR!AE$4,FALSE)),0)</f>
        <v>0</v>
      </c>
      <c r="AF982" s="239">
        <f>IFERROR((HLOOKUP($AH982,Target_monthwise!$D$24:$O$40,DTR!AF$4,FALSE)),0)</f>
        <v>0</v>
      </c>
      <c r="AG982" s="172">
        <f>IFERROR((HLOOKUP($AH982,Target_monthwise!$D$24:$O$40,DTR!AG$4,FALSE)),0)</f>
        <v>0</v>
      </c>
      <c r="AH982" s="253">
        <f t="shared" si="17"/>
        <v>202411</v>
      </c>
    </row>
    <row r="983" spans="3:34" ht="15.75" hidden="1">
      <c r="C983" s="235">
        <v>45626</v>
      </c>
      <c r="D983" s="141">
        <f>IFERROR((HLOOKUP($AH983,Target_monthwise!$D$4:$O$20,DTR!D$4,FALSE))*1000,0)</f>
        <v>0</v>
      </c>
      <c r="E983" s="141">
        <f>IFERROR((HLOOKUP($AH983,Target_monthwise!$D$4:$O$20,DTR!E$4,FALSE))*1000,0)</f>
        <v>0</v>
      </c>
      <c r="F983" s="141">
        <f>IFERROR((HLOOKUP($AH983,Target_monthwise!$D$4:$O$20,DTR!F$4,FALSE))*1000,0)</f>
        <v>0</v>
      </c>
      <c r="G983" s="141">
        <f>IFERROR((HLOOKUP($AH983,Target_monthwise!$D$4:$O$20,DTR!G$4,FALSE))*1000,0)</f>
        <v>0</v>
      </c>
      <c r="H983" s="141">
        <f>IFERROR((HLOOKUP($AH983,Target_monthwise!$D$4:$O$20,DTR!H$4,FALSE))*1000,0)</f>
        <v>0</v>
      </c>
      <c r="I983" s="141">
        <f>IFERROR((HLOOKUP($AH983,Target_monthwise!$D$4:$O$20,DTR!I$4,FALSE))*1000,0)</f>
        <v>0</v>
      </c>
      <c r="J983" s="141">
        <f>IFERROR((HLOOKUP($AH983,Target_monthwise!$D$4:$O$20,DTR!J$4,FALSE))*1000,0)</f>
        <v>0</v>
      </c>
      <c r="K983" s="141">
        <f>IFERROR((HLOOKUP($AH983,Target_monthwise!$D$4:$O$20,DTR!K$4,FALSE))*1000,0)</f>
        <v>0</v>
      </c>
      <c r="L983" s="141">
        <f>IFERROR((HLOOKUP($AH983,Target_monthwise!$D$4:$O$20,DTR!L$4,FALSE))*1000,0)</f>
        <v>0</v>
      </c>
      <c r="M983" s="141">
        <f>IFERROR((HLOOKUP($AH983,Target_monthwise!$D$4:$O$20,DTR!M$4,FALSE))*1000,0)</f>
        <v>0</v>
      </c>
      <c r="N983" s="141">
        <f>IFERROR((HLOOKUP($AH983,Target_monthwise!$D$4:$O$20,DTR!N$4,FALSE))*1000,0)</f>
        <v>0</v>
      </c>
      <c r="O983" s="141">
        <f>IFERROR((HLOOKUP($AH983,Target_monthwise!$D$4:$O$20,DTR!O$4,FALSE))*1000,0)</f>
        <v>0</v>
      </c>
      <c r="P983" s="141">
        <f>IFERROR((HLOOKUP($AH983,Target_monthwise!$D$4:$O$20,DTR!P$4,FALSE))*1000,0)</f>
        <v>0</v>
      </c>
      <c r="Q983" s="141">
        <f>IFERROR((HLOOKUP($AH983,Target_monthwise!$D$4:$O$20,DTR!Q$4,FALSE))*1000,0)</f>
        <v>0</v>
      </c>
      <c r="R983" s="167">
        <f>IFERROR((HLOOKUP($AH983,Target_monthwise!$D$4:$O$20,DTR!R$4,FALSE))*1000,0)</f>
        <v>0</v>
      </c>
      <c r="S983" s="147">
        <f>IFERROR((HLOOKUP($AH983,Target_monthwise!$D$24:$O$40,DTR!S$4,FALSE)),0)</f>
        <v>0</v>
      </c>
      <c r="T983" s="147">
        <f>IFERROR((HLOOKUP($AH983,Target_monthwise!$D$24:$O$40,DTR!T$4,FALSE)),0)</f>
        <v>0</v>
      </c>
      <c r="U983" s="147">
        <f>IFERROR((HLOOKUP($AH983,Target_monthwise!$D$24:$O$40,DTR!U$4,FALSE)),0)</f>
        <v>0</v>
      </c>
      <c r="V983" s="147">
        <f>IFERROR((HLOOKUP($AH983,Target_monthwise!$D$24:$O$40,DTR!V$4,FALSE)),0)</f>
        <v>0</v>
      </c>
      <c r="W983" s="147">
        <f>IFERROR((HLOOKUP($AH983,Target_monthwise!$D$24:$O$40,DTR!W$4,FALSE)),0)</f>
        <v>0</v>
      </c>
      <c r="X983" s="147">
        <f>IFERROR((HLOOKUP($AH983,Target_monthwise!$D$24:$O$40,DTR!X$4,FALSE)),0)</f>
        <v>0</v>
      </c>
      <c r="Y983" s="147">
        <f>IFERROR((HLOOKUP($AH983,Target_monthwise!$D$24:$O$40,DTR!Y$4,FALSE)),0)</f>
        <v>0</v>
      </c>
      <c r="Z983" s="147">
        <f>IFERROR((HLOOKUP($AH983,Target_monthwise!$D$24:$O$40,DTR!Z$4,FALSE)),0)</f>
        <v>0</v>
      </c>
      <c r="AA983" s="147">
        <f>IFERROR((HLOOKUP($AH983,Target_monthwise!$D$24:$O$40,DTR!AA$4,FALSE)),0)</f>
        <v>0</v>
      </c>
      <c r="AB983" s="147">
        <f>IFERROR((HLOOKUP($AH983,Target_monthwise!$D$24:$O$40,DTR!AB$4,FALSE)),0)</f>
        <v>0</v>
      </c>
      <c r="AC983" s="147">
        <f>IFERROR((HLOOKUP($AH983,Target_monthwise!$D$24:$O$40,DTR!AC$4,FALSE)),0)</f>
        <v>0</v>
      </c>
      <c r="AD983" s="147">
        <f>IFERROR((HLOOKUP($AH983,Target_monthwise!$D$24:$O$40,DTR!AD$4,FALSE)),0)</f>
        <v>0</v>
      </c>
      <c r="AE983" s="147">
        <f>IFERROR((HLOOKUP($AH983,Target_monthwise!$D$24:$O$40,DTR!AE$4,FALSE)),0)</f>
        <v>0</v>
      </c>
      <c r="AF983" s="147">
        <f>IFERROR((HLOOKUP($AH983,Target_monthwise!$D$24:$O$40,DTR!AF$4,FALSE)),0)</f>
        <v>0</v>
      </c>
      <c r="AG983" s="172">
        <f>IFERROR((HLOOKUP($AH983,Target_monthwise!$D$24:$O$40,DTR!AG$4,FALSE)),0)</f>
        <v>0</v>
      </c>
      <c r="AH983" s="253">
        <f t="shared" si="17"/>
        <v>202411</v>
      </c>
    </row>
    <row r="984" spans="3:34" ht="15.75" hidden="1">
      <c r="C984" s="237">
        <v>45627</v>
      </c>
      <c r="D984" s="238">
        <f>IFERROR((HLOOKUP($AH984,Target_monthwise!$D$4:$O$20,DTR!D$4,FALSE))*1000,0)</f>
        <v>0</v>
      </c>
      <c r="E984" s="238">
        <f>IFERROR((HLOOKUP($AH984,Target_monthwise!$D$4:$O$20,DTR!E$4,FALSE))*1000,0)</f>
        <v>0</v>
      </c>
      <c r="F984" s="238">
        <f>IFERROR((HLOOKUP($AH984,Target_monthwise!$D$4:$O$20,DTR!F$4,FALSE))*1000,0)</f>
        <v>0</v>
      </c>
      <c r="G984" s="238">
        <f>IFERROR((HLOOKUP($AH984,Target_monthwise!$D$4:$O$20,DTR!G$4,FALSE))*1000,0)</f>
        <v>0</v>
      </c>
      <c r="H984" s="238">
        <f>IFERROR((HLOOKUP($AH984,Target_monthwise!$D$4:$O$20,DTR!H$4,FALSE))*1000,0)</f>
        <v>0</v>
      </c>
      <c r="I984" s="238">
        <f>IFERROR((HLOOKUP($AH984,Target_monthwise!$D$4:$O$20,DTR!I$4,FALSE))*1000,0)</f>
        <v>0</v>
      </c>
      <c r="J984" s="238">
        <f>IFERROR((HLOOKUP($AH984,Target_monthwise!$D$4:$O$20,DTR!J$4,FALSE))*1000,0)</f>
        <v>0</v>
      </c>
      <c r="K984" s="238">
        <f>IFERROR((HLOOKUP($AH984,Target_monthwise!$D$4:$O$20,DTR!K$4,FALSE))*1000,0)</f>
        <v>0</v>
      </c>
      <c r="L984" s="238">
        <f>IFERROR((HLOOKUP($AH984,Target_monthwise!$D$4:$O$20,DTR!L$4,FALSE))*1000,0)</f>
        <v>0</v>
      </c>
      <c r="M984" s="238">
        <f>IFERROR((HLOOKUP($AH984,Target_monthwise!$D$4:$O$20,DTR!M$4,FALSE))*1000,0)</f>
        <v>0</v>
      </c>
      <c r="N984" s="238">
        <f>IFERROR((HLOOKUP($AH984,Target_monthwise!$D$4:$O$20,DTR!N$4,FALSE))*1000,0)</f>
        <v>0</v>
      </c>
      <c r="O984" s="238">
        <f>IFERROR((HLOOKUP($AH984,Target_monthwise!$D$4:$O$20,DTR!O$4,FALSE))*1000,0)</f>
        <v>0</v>
      </c>
      <c r="P984" s="238">
        <f>IFERROR((HLOOKUP($AH984,Target_monthwise!$D$4:$O$20,DTR!P$4,FALSE))*1000,0)</f>
        <v>0</v>
      </c>
      <c r="Q984" s="141">
        <f>IFERROR((HLOOKUP($AH984,Target_monthwise!$D$4:$O$20,DTR!Q$4,FALSE))*1000,0)</f>
        <v>0</v>
      </c>
      <c r="R984" s="167">
        <f>IFERROR((HLOOKUP($AH984,Target_monthwise!$D$4:$O$20,DTR!R$4,FALSE))*1000,0)</f>
        <v>0</v>
      </c>
      <c r="S984" s="239">
        <f>IFERROR((HLOOKUP($AH984,Target_monthwise!$D$24:$O$40,DTR!S$4,FALSE)),0)</f>
        <v>0</v>
      </c>
      <c r="T984" s="239">
        <f>IFERROR((HLOOKUP($AH984,Target_monthwise!$D$24:$O$40,DTR!T$4,FALSE)),0)</f>
        <v>0</v>
      </c>
      <c r="U984" s="239">
        <f>IFERROR((HLOOKUP($AH984,Target_monthwise!$D$24:$O$40,DTR!U$4,FALSE)),0)</f>
        <v>0</v>
      </c>
      <c r="V984" s="239">
        <f>IFERROR((HLOOKUP($AH984,Target_monthwise!$D$24:$O$40,DTR!V$4,FALSE)),0)</f>
        <v>0</v>
      </c>
      <c r="W984" s="239">
        <f>IFERROR((HLOOKUP($AH984,Target_monthwise!$D$24:$O$40,DTR!W$4,FALSE)),0)</f>
        <v>0</v>
      </c>
      <c r="X984" s="239">
        <f>IFERROR((HLOOKUP($AH984,Target_monthwise!$D$24:$O$40,DTR!X$4,FALSE)),0)</f>
        <v>0</v>
      </c>
      <c r="Y984" s="239">
        <f>IFERROR((HLOOKUP($AH984,Target_monthwise!$D$24:$O$40,DTR!Y$4,FALSE)),0)</f>
        <v>0</v>
      </c>
      <c r="Z984" s="147">
        <f>IFERROR((HLOOKUP($AH984,Target_monthwise!$D$24:$O$40,DTR!Z$4,FALSE)),0)</f>
        <v>0</v>
      </c>
      <c r="AA984" s="147">
        <f>IFERROR((HLOOKUP($AH984,Target_monthwise!$D$24:$O$40,DTR!AA$4,FALSE)),0)</f>
        <v>0</v>
      </c>
      <c r="AB984" s="147">
        <f>IFERROR((HLOOKUP($AH984,Target_monthwise!$D$24:$O$40,DTR!AB$4,FALSE)),0)</f>
        <v>0</v>
      </c>
      <c r="AC984" s="239">
        <f>IFERROR((HLOOKUP($AH984,Target_monthwise!$D$24:$O$40,DTR!AC$4,FALSE)),0)</f>
        <v>0</v>
      </c>
      <c r="AD984" s="239">
        <f>IFERROR((HLOOKUP($AH984,Target_monthwise!$D$24:$O$40,DTR!AD$4,FALSE)),0)</f>
        <v>0</v>
      </c>
      <c r="AE984" s="239">
        <f>IFERROR((HLOOKUP($AH984,Target_monthwise!$D$24:$O$40,DTR!AE$4,FALSE)),0)</f>
        <v>0</v>
      </c>
      <c r="AF984" s="239">
        <f>IFERROR((HLOOKUP($AH984,Target_monthwise!$D$24:$O$40,DTR!AF$4,FALSE)),0)</f>
        <v>0</v>
      </c>
      <c r="AG984" s="172">
        <f>IFERROR((HLOOKUP($AH984,Target_monthwise!$D$24:$O$40,DTR!AG$4,FALSE)),0)</f>
        <v>0</v>
      </c>
      <c r="AH984" s="253">
        <f t="shared" si="17"/>
        <v>202412</v>
      </c>
    </row>
    <row r="985" spans="3:34" ht="15.75" hidden="1">
      <c r="C985" s="235">
        <v>45628</v>
      </c>
      <c r="D985" s="141">
        <f>IFERROR((HLOOKUP($AH985,Target_monthwise!$D$4:$O$20,DTR!D$4,FALSE))*1000,0)</f>
        <v>0</v>
      </c>
      <c r="E985" s="141">
        <f>IFERROR((HLOOKUP($AH985,Target_monthwise!$D$4:$O$20,DTR!E$4,FALSE))*1000,0)</f>
        <v>0</v>
      </c>
      <c r="F985" s="141">
        <f>IFERROR((HLOOKUP($AH985,Target_monthwise!$D$4:$O$20,DTR!F$4,FALSE))*1000,0)</f>
        <v>0</v>
      </c>
      <c r="G985" s="141">
        <f>IFERROR((HLOOKUP($AH985,Target_monthwise!$D$4:$O$20,DTR!G$4,FALSE))*1000,0)</f>
        <v>0</v>
      </c>
      <c r="H985" s="141">
        <f>IFERROR((HLOOKUP($AH985,Target_monthwise!$D$4:$O$20,DTR!H$4,FALSE))*1000,0)</f>
        <v>0</v>
      </c>
      <c r="I985" s="141">
        <f>IFERROR((HLOOKUP($AH985,Target_monthwise!$D$4:$O$20,DTR!I$4,FALSE))*1000,0)</f>
        <v>0</v>
      </c>
      <c r="J985" s="141">
        <f>IFERROR((HLOOKUP($AH985,Target_monthwise!$D$4:$O$20,DTR!J$4,FALSE))*1000,0)</f>
        <v>0</v>
      </c>
      <c r="K985" s="141">
        <f>IFERROR((HLOOKUP($AH985,Target_monthwise!$D$4:$O$20,DTR!K$4,FALSE))*1000,0)</f>
        <v>0</v>
      </c>
      <c r="L985" s="141">
        <f>IFERROR((HLOOKUP($AH985,Target_monthwise!$D$4:$O$20,DTR!L$4,FALSE))*1000,0)</f>
        <v>0</v>
      </c>
      <c r="M985" s="141">
        <f>IFERROR((HLOOKUP($AH985,Target_monthwise!$D$4:$O$20,DTR!M$4,FALSE))*1000,0)</f>
        <v>0</v>
      </c>
      <c r="N985" s="141">
        <f>IFERROR((HLOOKUP($AH985,Target_monthwise!$D$4:$O$20,DTR!N$4,FALSE))*1000,0)</f>
        <v>0</v>
      </c>
      <c r="O985" s="141">
        <f>IFERROR((HLOOKUP($AH985,Target_monthwise!$D$4:$O$20,DTR!O$4,FALSE))*1000,0)</f>
        <v>0</v>
      </c>
      <c r="P985" s="141">
        <f>IFERROR((HLOOKUP($AH985,Target_monthwise!$D$4:$O$20,DTR!P$4,FALSE))*1000,0)</f>
        <v>0</v>
      </c>
      <c r="Q985" s="141">
        <f>IFERROR((HLOOKUP($AH985,Target_monthwise!$D$4:$O$20,DTR!Q$4,FALSE))*1000,0)</f>
        <v>0</v>
      </c>
      <c r="R985" s="167">
        <f>IFERROR((HLOOKUP($AH985,Target_monthwise!$D$4:$O$20,DTR!R$4,FALSE))*1000,0)</f>
        <v>0</v>
      </c>
      <c r="S985" s="147">
        <f>IFERROR((HLOOKUP($AH985,Target_monthwise!$D$24:$O$40,DTR!S$4,FALSE)),0)</f>
        <v>0</v>
      </c>
      <c r="T985" s="147">
        <f>IFERROR((HLOOKUP($AH985,Target_monthwise!$D$24:$O$40,DTR!T$4,FALSE)),0)</f>
        <v>0</v>
      </c>
      <c r="U985" s="147">
        <f>IFERROR((HLOOKUP($AH985,Target_monthwise!$D$24:$O$40,DTR!U$4,FALSE)),0)</f>
        <v>0</v>
      </c>
      <c r="V985" s="147">
        <f>IFERROR((HLOOKUP($AH985,Target_monthwise!$D$24:$O$40,DTR!V$4,FALSE)),0)</f>
        <v>0</v>
      </c>
      <c r="W985" s="147">
        <f>IFERROR((HLOOKUP($AH985,Target_monthwise!$D$24:$O$40,DTR!W$4,FALSE)),0)</f>
        <v>0</v>
      </c>
      <c r="X985" s="147">
        <f>IFERROR((HLOOKUP($AH985,Target_monthwise!$D$24:$O$40,DTR!X$4,FALSE)),0)</f>
        <v>0</v>
      </c>
      <c r="Y985" s="147">
        <f>IFERROR((HLOOKUP($AH985,Target_monthwise!$D$24:$O$40,DTR!Y$4,FALSE)),0)</f>
        <v>0</v>
      </c>
      <c r="Z985" s="147">
        <f>IFERROR((HLOOKUP($AH985,Target_monthwise!$D$24:$O$40,DTR!Z$4,FALSE)),0)</f>
        <v>0</v>
      </c>
      <c r="AA985" s="147">
        <f>IFERROR((HLOOKUP($AH985,Target_monthwise!$D$24:$O$40,DTR!AA$4,FALSE)),0)</f>
        <v>0</v>
      </c>
      <c r="AB985" s="147">
        <f>IFERROR((HLOOKUP($AH985,Target_monthwise!$D$24:$O$40,DTR!AB$4,FALSE)),0)</f>
        <v>0</v>
      </c>
      <c r="AC985" s="147">
        <f>IFERROR((HLOOKUP($AH985,Target_monthwise!$D$24:$O$40,DTR!AC$4,FALSE)),0)</f>
        <v>0</v>
      </c>
      <c r="AD985" s="147">
        <f>IFERROR((HLOOKUP($AH985,Target_monthwise!$D$24:$O$40,DTR!AD$4,FALSE)),0)</f>
        <v>0</v>
      </c>
      <c r="AE985" s="147">
        <f>IFERROR((HLOOKUP($AH985,Target_monthwise!$D$24:$O$40,DTR!AE$4,FALSE)),0)</f>
        <v>0</v>
      </c>
      <c r="AF985" s="147">
        <f>IFERROR((HLOOKUP($AH985,Target_monthwise!$D$24:$O$40,DTR!AF$4,FALSE)),0)</f>
        <v>0</v>
      </c>
      <c r="AG985" s="172">
        <f>IFERROR((HLOOKUP($AH985,Target_monthwise!$D$24:$O$40,DTR!AG$4,FALSE)),0)</f>
        <v>0</v>
      </c>
      <c r="AH985" s="253">
        <f t="shared" si="17"/>
        <v>202412</v>
      </c>
    </row>
    <row r="986" spans="3:34" ht="15.75" hidden="1">
      <c r="C986" s="237">
        <v>45629</v>
      </c>
      <c r="D986" s="238">
        <f>IFERROR((HLOOKUP($AH986,Target_monthwise!$D$4:$O$20,DTR!D$4,FALSE))*1000,0)</f>
        <v>0</v>
      </c>
      <c r="E986" s="238">
        <f>IFERROR((HLOOKUP($AH986,Target_monthwise!$D$4:$O$20,DTR!E$4,FALSE))*1000,0)</f>
        <v>0</v>
      </c>
      <c r="F986" s="238">
        <f>IFERROR((HLOOKUP($AH986,Target_monthwise!$D$4:$O$20,DTR!F$4,FALSE))*1000,0)</f>
        <v>0</v>
      </c>
      <c r="G986" s="238">
        <f>IFERROR((HLOOKUP($AH986,Target_monthwise!$D$4:$O$20,DTR!G$4,FALSE))*1000,0)</f>
        <v>0</v>
      </c>
      <c r="H986" s="238">
        <f>IFERROR((HLOOKUP($AH986,Target_monthwise!$D$4:$O$20,DTR!H$4,FALSE))*1000,0)</f>
        <v>0</v>
      </c>
      <c r="I986" s="238">
        <f>IFERROR((HLOOKUP($AH986,Target_monthwise!$D$4:$O$20,DTR!I$4,FALSE))*1000,0)</f>
        <v>0</v>
      </c>
      <c r="J986" s="238">
        <f>IFERROR((HLOOKUP($AH986,Target_monthwise!$D$4:$O$20,DTR!J$4,FALSE))*1000,0)</f>
        <v>0</v>
      </c>
      <c r="K986" s="238">
        <f>IFERROR((HLOOKUP($AH986,Target_monthwise!$D$4:$O$20,DTR!K$4,FALSE))*1000,0)</f>
        <v>0</v>
      </c>
      <c r="L986" s="238">
        <f>IFERROR((HLOOKUP($AH986,Target_monthwise!$D$4:$O$20,DTR!L$4,FALSE))*1000,0)</f>
        <v>0</v>
      </c>
      <c r="M986" s="238">
        <f>IFERROR((HLOOKUP($AH986,Target_monthwise!$D$4:$O$20,DTR!M$4,FALSE))*1000,0)</f>
        <v>0</v>
      </c>
      <c r="N986" s="238">
        <f>IFERROR((HLOOKUP($AH986,Target_monthwise!$D$4:$O$20,DTR!N$4,FALSE))*1000,0)</f>
        <v>0</v>
      </c>
      <c r="O986" s="238">
        <f>IFERROR((HLOOKUP($AH986,Target_monthwise!$D$4:$O$20,DTR!O$4,FALSE))*1000,0)</f>
        <v>0</v>
      </c>
      <c r="P986" s="238">
        <f>IFERROR((HLOOKUP($AH986,Target_monthwise!$D$4:$O$20,DTR!P$4,FALSE))*1000,0)</f>
        <v>0</v>
      </c>
      <c r="Q986" s="141">
        <f>IFERROR((HLOOKUP($AH986,Target_monthwise!$D$4:$O$20,DTR!Q$4,FALSE))*1000,0)</f>
        <v>0</v>
      </c>
      <c r="R986" s="167">
        <f>IFERROR((HLOOKUP($AH986,Target_monthwise!$D$4:$O$20,DTR!R$4,FALSE))*1000,0)</f>
        <v>0</v>
      </c>
      <c r="S986" s="239">
        <f>IFERROR((HLOOKUP($AH986,Target_monthwise!$D$24:$O$40,DTR!S$4,FALSE)),0)</f>
        <v>0</v>
      </c>
      <c r="T986" s="239">
        <f>IFERROR((HLOOKUP($AH986,Target_monthwise!$D$24:$O$40,DTR!T$4,FALSE)),0)</f>
        <v>0</v>
      </c>
      <c r="U986" s="239">
        <f>IFERROR((HLOOKUP($AH986,Target_monthwise!$D$24:$O$40,DTR!U$4,FALSE)),0)</f>
        <v>0</v>
      </c>
      <c r="V986" s="239">
        <f>IFERROR((HLOOKUP($AH986,Target_monthwise!$D$24:$O$40,DTR!V$4,FALSE)),0)</f>
        <v>0</v>
      </c>
      <c r="W986" s="239">
        <f>IFERROR((HLOOKUP($AH986,Target_monthwise!$D$24:$O$40,DTR!W$4,FALSE)),0)</f>
        <v>0</v>
      </c>
      <c r="X986" s="239">
        <f>IFERROR((HLOOKUP($AH986,Target_monthwise!$D$24:$O$40,DTR!X$4,FALSE)),0)</f>
        <v>0</v>
      </c>
      <c r="Y986" s="239">
        <f>IFERROR((HLOOKUP($AH986,Target_monthwise!$D$24:$O$40,DTR!Y$4,FALSE)),0)</f>
        <v>0</v>
      </c>
      <c r="Z986" s="147">
        <f>IFERROR((HLOOKUP($AH986,Target_monthwise!$D$24:$O$40,DTR!Z$4,FALSE)),0)</f>
        <v>0</v>
      </c>
      <c r="AA986" s="147">
        <f>IFERROR((HLOOKUP($AH986,Target_monthwise!$D$24:$O$40,DTR!AA$4,FALSE)),0)</f>
        <v>0</v>
      </c>
      <c r="AB986" s="147">
        <f>IFERROR((HLOOKUP($AH986,Target_monthwise!$D$24:$O$40,DTR!AB$4,FALSE)),0)</f>
        <v>0</v>
      </c>
      <c r="AC986" s="239">
        <f>IFERROR((HLOOKUP($AH986,Target_monthwise!$D$24:$O$40,DTR!AC$4,FALSE)),0)</f>
        <v>0</v>
      </c>
      <c r="AD986" s="239">
        <f>IFERROR((HLOOKUP($AH986,Target_monthwise!$D$24:$O$40,DTR!AD$4,FALSE)),0)</f>
        <v>0</v>
      </c>
      <c r="AE986" s="239">
        <f>IFERROR((HLOOKUP($AH986,Target_monthwise!$D$24:$O$40,DTR!AE$4,FALSE)),0)</f>
        <v>0</v>
      </c>
      <c r="AF986" s="239">
        <f>IFERROR((HLOOKUP($AH986,Target_monthwise!$D$24:$O$40,DTR!AF$4,FALSE)),0)</f>
        <v>0</v>
      </c>
      <c r="AG986" s="172">
        <f>IFERROR((HLOOKUP($AH986,Target_monthwise!$D$24:$O$40,DTR!AG$4,FALSE)),0)</f>
        <v>0</v>
      </c>
      <c r="AH986" s="253">
        <f t="shared" si="17"/>
        <v>202412</v>
      </c>
    </row>
    <row r="987" spans="3:34" ht="15.75" hidden="1">
      <c r="C987" s="235">
        <v>45630</v>
      </c>
      <c r="D987" s="141">
        <f>IFERROR((HLOOKUP($AH987,Target_monthwise!$D$4:$O$20,DTR!D$4,FALSE))*1000,0)</f>
        <v>0</v>
      </c>
      <c r="E987" s="141">
        <f>IFERROR((HLOOKUP($AH987,Target_monthwise!$D$4:$O$20,DTR!E$4,FALSE))*1000,0)</f>
        <v>0</v>
      </c>
      <c r="F987" s="141">
        <f>IFERROR((HLOOKUP($AH987,Target_monthwise!$D$4:$O$20,DTR!F$4,FALSE))*1000,0)</f>
        <v>0</v>
      </c>
      <c r="G987" s="141">
        <f>IFERROR((HLOOKUP($AH987,Target_monthwise!$D$4:$O$20,DTR!G$4,FALSE))*1000,0)</f>
        <v>0</v>
      </c>
      <c r="H987" s="141">
        <f>IFERROR((HLOOKUP($AH987,Target_monthwise!$D$4:$O$20,DTR!H$4,FALSE))*1000,0)</f>
        <v>0</v>
      </c>
      <c r="I987" s="141">
        <f>IFERROR((HLOOKUP($AH987,Target_monthwise!$D$4:$O$20,DTR!I$4,FALSE))*1000,0)</f>
        <v>0</v>
      </c>
      <c r="J987" s="141">
        <f>IFERROR((HLOOKUP($AH987,Target_monthwise!$D$4:$O$20,DTR!J$4,FALSE))*1000,0)</f>
        <v>0</v>
      </c>
      <c r="K987" s="141">
        <f>IFERROR((HLOOKUP($AH987,Target_monthwise!$D$4:$O$20,DTR!K$4,FALSE))*1000,0)</f>
        <v>0</v>
      </c>
      <c r="L987" s="141">
        <f>IFERROR((HLOOKUP($AH987,Target_monthwise!$D$4:$O$20,DTR!L$4,FALSE))*1000,0)</f>
        <v>0</v>
      </c>
      <c r="M987" s="141">
        <f>IFERROR((HLOOKUP($AH987,Target_monthwise!$D$4:$O$20,DTR!M$4,FALSE))*1000,0)</f>
        <v>0</v>
      </c>
      <c r="N987" s="141">
        <f>IFERROR((HLOOKUP($AH987,Target_monthwise!$D$4:$O$20,DTR!N$4,FALSE))*1000,0)</f>
        <v>0</v>
      </c>
      <c r="O987" s="141">
        <f>IFERROR((HLOOKUP($AH987,Target_monthwise!$D$4:$O$20,DTR!O$4,FALSE))*1000,0)</f>
        <v>0</v>
      </c>
      <c r="P987" s="141">
        <f>IFERROR((HLOOKUP($AH987,Target_monthwise!$D$4:$O$20,DTR!P$4,FALSE))*1000,0)</f>
        <v>0</v>
      </c>
      <c r="Q987" s="141">
        <f>IFERROR((HLOOKUP($AH987,Target_monthwise!$D$4:$O$20,DTR!Q$4,FALSE))*1000,0)</f>
        <v>0</v>
      </c>
      <c r="R987" s="167">
        <f>IFERROR((HLOOKUP($AH987,Target_monthwise!$D$4:$O$20,DTR!R$4,FALSE))*1000,0)</f>
        <v>0</v>
      </c>
      <c r="S987" s="147">
        <f>IFERROR((HLOOKUP($AH987,Target_monthwise!$D$24:$O$40,DTR!S$4,FALSE)),0)</f>
        <v>0</v>
      </c>
      <c r="T987" s="147">
        <f>IFERROR((HLOOKUP($AH987,Target_monthwise!$D$24:$O$40,DTR!T$4,FALSE)),0)</f>
        <v>0</v>
      </c>
      <c r="U987" s="147">
        <f>IFERROR((HLOOKUP($AH987,Target_monthwise!$D$24:$O$40,DTR!U$4,FALSE)),0)</f>
        <v>0</v>
      </c>
      <c r="V987" s="147">
        <f>IFERROR((HLOOKUP($AH987,Target_monthwise!$D$24:$O$40,DTR!V$4,FALSE)),0)</f>
        <v>0</v>
      </c>
      <c r="W987" s="147">
        <f>IFERROR((HLOOKUP($AH987,Target_monthwise!$D$24:$O$40,DTR!W$4,FALSE)),0)</f>
        <v>0</v>
      </c>
      <c r="X987" s="147">
        <f>IFERROR((HLOOKUP($AH987,Target_monthwise!$D$24:$O$40,DTR!X$4,FALSE)),0)</f>
        <v>0</v>
      </c>
      <c r="Y987" s="147">
        <f>IFERROR((HLOOKUP($AH987,Target_monthwise!$D$24:$O$40,DTR!Y$4,FALSE)),0)</f>
        <v>0</v>
      </c>
      <c r="Z987" s="147">
        <f>IFERROR((HLOOKUP($AH987,Target_monthwise!$D$24:$O$40,DTR!Z$4,FALSE)),0)</f>
        <v>0</v>
      </c>
      <c r="AA987" s="147">
        <f>IFERROR((HLOOKUP($AH987,Target_monthwise!$D$24:$O$40,DTR!AA$4,FALSE)),0)</f>
        <v>0</v>
      </c>
      <c r="AB987" s="147">
        <f>IFERROR((HLOOKUP($AH987,Target_monthwise!$D$24:$O$40,DTR!AB$4,FALSE)),0)</f>
        <v>0</v>
      </c>
      <c r="AC987" s="147">
        <f>IFERROR((HLOOKUP($AH987,Target_monthwise!$D$24:$O$40,DTR!AC$4,FALSE)),0)</f>
        <v>0</v>
      </c>
      <c r="AD987" s="147">
        <f>IFERROR((HLOOKUP($AH987,Target_monthwise!$D$24:$O$40,DTR!AD$4,FALSE)),0)</f>
        <v>0</v>
      </c>
      <c r="AE987" s="147">
        <f>IFERROR((HLOOKUP($AH987,Target_monthwise!$D$24:$O$40,DTR!AE$4,FALSE)),0)</f>
        <v>0</v>
      </c>
      <c r="AF987" s="147">
        <f>IFERROR((HLOOKUP($AH987,Target_monthwise!$D$24:$O$40,DTR!AF$4,FALSE)),0)</f>
        <v>0</v>
      </c>
      <c r="AG987" s="172">
        <f>IFERROR((HLOOKUP($AH987,Target_monthwise!$D$24:$O$40,DTR!AG$4,FALSE)),0)</f>
        <v>0</v>
      </c>
      <c r="AH987" s="253">
        <f t="shared" si="17"/>
        <v>202412</v>
      </c>
    </row>
    <row r="988" spans="3:34" ht="15.75" hidden="1">
      <c r="C988" s="237">
        <v>45631</v>
      </c>
      <c r="D988" s="238">
        <f>IFERROR((HLOOKUP($AH988,Target_monthwise!$D$4:$O$20,DTR!D$4,FALSE))*1000,0)</f>
        <v>0</v>
      </c>
      <c r="E988" s="238">
        <f>IFERROR((HLOOKUP($AH988,Target_monthwise!$D$4:$O$20,DTR!E$4,FALSE))*1000,0)</f>
        <v>0</v>
      </c>
      <c r="F988" s="238">
        <f>IFERROR((HLOOKUP($AH988,Target_monthwise!$D$4:$O$20,DTR!F$4,FALSE))*1000,0)</f>
        <v>0</v>
      </c>
      <c r="G988" s="238">
        <f>IFERROR((HLOOKUP($AH988,Target_monthwise!$D$4:$O$20,DTR!G$4,FALSE))*1000,0)</f>
        <v>0</v>
      </c>
      <c r="H988" s="238">
        <f>IFERROR((HLOOKUP($AH988,Target_monthwise!$D$4:$O$20,DTR!H$4,FALSE))*1000,0)</f>
        <v>0</v>
      </c>
      <c r="I988" s="238">
        <f>IFERROR((HLOOKUP($AH988,Target_monthwise!$D$4:$O$20,DTR!I$4,FALSE))*1000,0)</f>
        <v>0</v>
      </c>
      <c r="J988" s="238">
        <f>IFERROR((HLOOKUP($AH988,Target_monthwise!$D$4:$O$20,DTR!J$4,FALSE))*1000,0)</f>
        <v>0</v>
      </c>
      <c r="K988" s="238">
        <f>IFERROR((HLOOKUP($AH988,Target_monthwise!$D$4:$O$20,DTR!K$4,FALSE))*1000,0)</f>
        <v>0</v>
      </c>
      <c r="L988" s="238">
        <f>IFERROR((HLOOKUP($AH988,Target_monthwise!$D$4:$O$20,DTR!L$4,FALSE))*1000,0)</f>
        <v>0</v>
      </c>
      <c r="M988" s="238">
        <f>IFERROR((HLOOKUP($AH988,Target_monthwise!$D$4:$O$20,DTR!M$4,FALSE))*1000,0)</f>
        <v>0</v>
      </c>
      <c r="N988" s="238">
        <f>IFERROR((HLOOKUP($AH988,Target_monthwise!$D$4:$O$20,DTR!N$4,FALSE))*1000,0)</f>
        <v>0</v>
      </c>
      <c r="O988" s="238">
        <f>IFERROR((HLOOKUP($AH988,Target_monthwise!$D$4:$O$20,DTR!O$4,FALSE))*1000,0)</f>
        <v>0</v>
      </c>
      <c r="P988" s="238">
        <f>IFERROR((HLOOKUP($AH988,Target_monthwise!$D$4:$O$20,DTR!P$4,FALSE))*1000,0)</f>
        <v>0</v>
      </c>
      <c r="Q988" s="141">
        <f>IFERROR((HLOOKUP($AH988,Target_monthwise!$D$4:$O$20,DTR!Q$4,FALSE))*1000,0)</f>
        <v>0</v>
      </c>
      <c r="R988" s="167">
        <f>IFERROR((HLOOKUP($AH988,Target_monthwise!$D$4:$O$20,DTR!R$4,FALSE))*1000,0)</f>
        <v>0</v>
      </c>
      <c r="S988" s="239">
        <f>IFERROR((HLOOKUP($AH988,Target_monthwise!$D$24:$O$40,DTR!S$4,FALSE)),0)</f>
        <v>0</v>
      </c>
      <c r="T988" s="239">
        <f>IFERROR((HLOOKUP($AH988,Target_monthwise!$D$24:$O$40,DTR!T$4,FALSE)),0)</f>
        <v>0</v>
      </c>
      <c r="U988" s="239">
        <f>IFERROR((HLOOKUP($AH988,Target_monthwise!$D$24:$O$40,DTR!U$4,FALSE)),0)</f>
        <v>0</v>
      </c>
      <c r="V988" s="239">
        <f>IFERROR((HLOOKUP($AH988,Target_monthwise!$D$24:$O$40,DTR!V$4,FALSE)),0)</f>
        <v>0</v>
      </c>
      <c r="W988" s="239">
        <f>IFERROR((HLOOKUP($AH988,Target_monthwise!$D$24:$O$40,DTR!W$4,FALSE)),0)</f>
        <v>0</v>
      </c>
      <c r="X988" s="239">
        <f>IFERROR((HLOOKUP($AH988,Target_monthwise!$D$24:$O$40,DTR!X$4,FALSE)),0)</f>
        <v>0</v>
      </c>
      <c r="Y988" s="239">
        <f>IFERROR((HLOOKUP($AH988,Target_monthwise!$D$24:$O$40,DTR!Y$4,FALSE)),0)</f>
        <v>0</v>
      </c>
      <c r="Z988" s="147">
        <f>IFERROR((HLOOKUP($AH988,Target_monthwise!$D$24:$O$40,DTR!Z$4,FALSE)),0)</f>
        <v>0</v>
      </c>
      <c r="AA988" s="147">
        <f>IFERROR((HLOOKUP($AH988,Target_monthwise!$D$24:$O$40,DTR!AA$4,FALSE)),0)</f>
        <v>0</v>
      </c>
      <c r="AB988" s="147">
        <f>IFERROR((HLOOKUP($AH988,Target_monthwise!$D$24:$O$40,DTR!AB$4,FALSE)),0)</f>
        <v>0</v>
      </c>
      <c r="AC988" s="239">
        <f>IFERROR((HLOOKUP($AH988,Target_monthwise!$D$24:$O$40,DTR!AC$4,FALSE)),0)</f>
        <v>0</v>
      </c>
      <c r="AD988" s="239">
        <f>IFERROR((HLOOKUP($AH988,Target_monthwise!$D$24:$O$40,DTR!AD$4,FALSE)),0)</f>
        <v>0</v>
      </c>
      <c r="AE988" s="239">
        <f>IFERROR((HLOOKUP($AH988,Target_monthwise!$D$24:$O$40,DTR!AE$4,FALSE)),0)</f>
        <v>0</v>
      </c>
      <c r="AF988" s="239">
        <f>IFERROR((HLOOKUP($AH988,Target_monthwise!$D$24:$O$40,DTR!AF$4,FALSE)),0)</f>
        <v>0</v>
      </c>
      <c r="AG988" s="172">
        <f>IFERROR((HLOOKUP($AH988,Target_monthwise!$D$24:$O$40,DTR!AG$4,FALSE)),0)</f>
        <v>0</v>
      </c>
      <c r="AH988" s="253">
        <f t="shared" si="17"/>
        <v>202412</v>
      </c>
    </row>
    <row r="989" spans="3:34" ht="15.75" hidden="1">
      <c r="C989" s="235">
        <v>45632</v>
      </c>
      <c r="D989" s="141">
        <f>IFERROR((HLOOKUP($AH989,Target_monthwise!$D$4:$O$20,DTR!D$4,FALSE))*1000,0)</f>
        <v>0</v>
      </c>
      <c r="E989" s="141">
        <f>IFERROR((HLOOKUP($AH989,Target_monthwise!$D$4:$O$20,DTR!E$4,FALSE))*1000,0)</f>
        <v>0</v>
      </c>
      <c r="F989" s="141">
        <f>IFERROR((HLOOKUP($AH989,Target_monthwise!$D$4:$O$20,DTR!F$4,FALSE))*1000,0)</f>
        <v>0</v>
      </c>
      <c r="G989" s="141">
        <f>IFERROR((HLOOKUP($AH989,Target_monthwise!$D$4:$O$20,DTR!G$4,FALSE))*1000,0)</f>
        <v>0</v>
      </c>
      <c r="H989" s="141">
        <f>IFERROR((HLOOKUP($AH989,Target_monthwise!$D$4:$O$20,DTR!H$4,FALSE))*1000,0)</f>
        <v>0</v>
      </c>
      <c r="I989" s="141">
        <f>IFERROR((HLOOKUP($AH989,Target_monthwise!$D$4:$O$20,DTR!I$4,FALSE))*1000,0)</f>
        <v>0</v>
      </c>
      <c r="J989" s="141">
        <f>IFERROR((HLOOKUP($AH989,Target_monthwise!$D$4:$O$20,DTR!J$4,FALSE))*1000,0)</f>
        <v>0</v>
      </c>
      <c r="K989" s="141">
        <f>IFERROR((HLOOKUP($AH989,Target_monthwise!$D$4:$O$20,DTR!K$4,FALSE))*1000,0)</f>
        <v>0</v>
      </c>
      <c r="L989" s="141">
        <f>IFERROR((HLOOKUP($AH989,Target_monthwise!$D$4:$O$20,DTR!L$4,FALSE))*1000,0)</f>
        <v>0</v>
      </c>
      <c r="M989" s="141">
        <f>IFERROR((HLOOKUP($AH989,Target_monthwise!$D$4:$O$20,DTR!M$4,FALSE))*1000,0)</f>
        <v>0</v>
      </c>
      <c r="N989" s="141">
        <f>IFERROR((HLOOKUP($AH989,Target_monthwise!$D$4:$O$20,DTR!N$4,FALSE))*1000,0)</f>
        <v>0</v>
      </c>
      <c r="O989" s="141">
        <f>IFERROR((HLOOKUP($AH989,Target_monthwise!$D$4:$O$20,DTR!O$4,FALSE))*1000,0)</f>
        <v>0</v>
      </c>
      <c r="P989" s="141">
        <f>IFERROR((HLOOKUP($AH989,Target_monthwise!$D$4:$O$20,DTR!P$4,FALSE))*1000,0)</f>
        <v>0</v>
      </c>
      <c r="Q989" s="141">
        <f>IFERROR((HLOOKUP($AH989,Target_monthwise!$D$4:$O$20,DTR!Q$4,FALSE))*1000,0)</f>
        <v>0</v>
      </c>
      <c r="R989" s="167">
        <f>IFERROR((HLOOKUP($AH989,Target_monthwise!$D$4:$O$20,DTR!R$4,FALSE))*1000,0)</f>
        <v>0</v>
      </c>
      <c r="S989" s="147">
        <f>IFERROR((HLOOKUP($AH989,Target_monthwise!$D$24:$O$40,DTR!S$4,FALSE)),0)</f>
        <v>0</v>
      </c>
      <c r="T989" s="147">
        <f>IFERROR((HLOOKUP($AH989,Target_monthwise!$D$24:$O$40,DTR!T$4,FALSE)),0)</f>
        <v>0</v>
      </c>
      <c r="U989" s="147">
        <f>IFERROR((HLOOKUP($AH989,Target_monthwise!$D$24:$O$40,DTR!U$4,FALSE)),0)</f>
        <v>0</v>
      </c>
      <c r="V989" s="147">
        <f>IFERROR((HLOOKUP($AH989,Target_monthwise!$D$24:$O$40,DTR!V$4,FALSE)),0)</f>
        <v>0</v>
      </c>
      <c r="W989" s="147">
        <f>IFERROR((HLOOKUP($AH989,Target_monthwise!$D$24:$O$40,DTR!W$4,FALSE)),0)</f>
        <v>0</v>
      </c>
      <c r="X989" s="147">
        <f>IFERROR((HLOOKUP($AH989,Target_monthwise!$D$24:$O$40,DTR!X$4,FALSE)),0)</f>
        <v>0</v>
      </c>
      <c r="Y989" s="147">
        <f>IFERROR((HLOOKUP($AH989,Target_monthwise!$D$24:$O$40,DTR!Y$4,FALSE)),0)</f>
        <v>0</v>
      </c>
      <c r="Z989" s="147">
        <f>IFERROR((HLOOKUP($AH989,Target_monthwise!$D$24:$O$40,DTR!Z$4,FALSE)),0)</f>
        <v>0</v>
      </c>
      <c r="AA989" s="147">
        <f>IFERROR((HLOOKUP($AH989,Target_monthwise!$D$24:$O$40,DTR!AA$4,FALSE)),0)</f>
        <v>0</v>
      </c>
      <c r="AB989" s="147">
        <f>IFERROR((HLOOKUP($AH989,Target_monthwise!$D$24:$O$40,DTR!AB$4,FALSE)),0)</f>
        <v>0</v>
      </c>
      <c r="AC989" s="147">
        <f>IFERROR((HLOOKUP($AH989,Target_monthwise!$D$24:$O$40,DTR!AC$4,FALSE)),0)</f>
        <v>0</v>
      </c>
      <c r="AD989" s="147">
        <f>IFERROR((HLOOKUP($AH989,Target_monthwise!$D$24:$O$40,DTR!AD$4,FALSE)),0)</f>
        <v>0</v>
      </c>
      <c r="AE989" s="147">
        <f>IFERROR((HLOOKUP($AH989,Target_monthwise!$D$24:$O$40,DTR!AE$4,FALSE)),0)</f>
        <v>0</v>
      </c>
      <c r="AF989" s="147">
        <f>IFERROR((HLOOKUP($AH989,Target_monthwise!$D$24:$O$40,DTR!AF$4,FALSE)),0)</f>
        <v>0</v>
      </c>
      <c r="AG989" s="172">
        <f>IFERROR((HLOOKUP($AH989,Target_monthwise!$D$24:$O$40,DTR!AG$4,FALSE)),0)</f>
        <v>0</v>
      </c>
      <c r="AH989" s="253">
        <f t="shared" si="17"/>
        <v>202412</v>
      </c>
    </row>
    <row r="990" spans="3:34" ht="15.75" hidden="1">
      <c r="C990" s="237">
        <v>45633</v>
      </c>
      <c r="D990" s="238">
        <f>IFERROR((HLOOKUP($AH990,Target_monthwise!$D$4:$O$20,DTR!D$4,FALSE))*1000,0)</f>
        <v>0</v>
      </c>
      <c r="E990" s="238">
        <f>IFERROR((HLOOKUP($AH990,Target_monthwise!$D$4:$O$20,DTR!E$4,FALSE))*1000,0)</f>
        <v>0</v>
      </c>
      <c r="F990" s="238">
        <f>IFERROR((HLOOKUP($AH990,Target_monthwise!$D$4:$O$20,DTR!F$4,FALSE))*1000,0)</f>
        <v>0</v>
      </c>
      <c r="G990" s="238">
        <f>IFERROR((HLOOKUP($AH990,Target_monthwise!$D$4:$O$20,DTR!G$4,FALSE))*1000,0)</f>
        <v>0</v>
      </c>
      <c r="H990" s="238">
        <f>IFERROR((HLOOKUP($AH990,Target_monthwise!$D$4:$O$20,DTR!H$4,FALSE))*1000,0)</f>
        <v>0</v>
      </c>
      <c r="I990" s="238">
        <f>IFERROR((HLOOKUP($AH990,Target_monthwise!$D$4:$O$20,DTR!I$4,FALSE))*1000,0)</f>
        <v>0</v>
      </c>
      <c r="J990" s="238">
        <f>IFERROR((HLOOKUP($AH990,Target_monthwise!$D$4:$O$20,DTR!J$4,FALSE))*1000,0)</f>
        <v>0</v>
      </c>
      <c r="K990" s="238">
        <f>IFERROR((HLOOKUP($AH990,Target_monthwise!$D$4:$O$20,DTR!K$4,FALSE))*1000,0)</f>
        <v>0</v>
      </c>
      <c r="L990" s="238">
        <f>IFERROR((HLOOKUP($AH990,Target_monthwise!$D$4:$O$20,DTR!L$4,FALSE))*1000,0)</f>
        <v>0</v>
      </c>
      <c r="M990" s="238">
        <f>IFERROR((HLOOKUP($AH990,Target_monthwise!$D$4:$O$20,DTR!M$4,FALSE))*1000,0)</f>
        <v>0</v>
      </c>
      <c r="N990" s="238">
        <f>IFERROR((HLOOKUP($AH990,Target_monthwise!$D$4:$O$20,DTR!N$4,FALSE))*1000,0)</f>
        <v>0</v>
      </c>
      <c r="O990" s="238">
        <f>IFERROR((HLOOKUP($AH990,Target_monthwise!$D$4:$O$20,DTR!O$4,FALSE))*1000,0)</f>
        <v>0</v>
      </c>
      <c r="P990" s="238">
        <f>IFERROR((HLOOKUP($AH990,Target_monthwise!$D$4:$O$20,DTR!P$4,FALSE))*1000,0)</f>
        <v>0</v>
      </c>
      <c r="Q990" s="141">
        <f>IFERROR((HLOOKUP($AH990,Target_monthwise!$D$4:$O$20,DTR!Q$4,FALSE))*1000,0)</f>
        <v>0</v>
      </c>
      <c r="R990" s="167">
        <f>IFERROR((HLOOKUP($AH990,Target_monthwise!$D$4:$O$20,DTR!R$4,FALSE))*1000,0)</f>
        <v>0</v>
      </c>
      <c r="S990" s="239">
        <f>IFERROR((HLOOKUP($AH990,Target_monthwise!$D$24:$O$40,DTR!S$4,FALSE)),0)</f>
        <v>0</v>
      </c>
      <c r="T990" s="239">
        <f>IFERROR((HLOOKUP($AH990,Target_monthwise!$D$24:$O$40,DTR!T$4,FALSE)),0)</f>
        <v>0</v>
      </c>
      <c r="U990" s="239">
        <f>IFERROR((HLOOKUP($AH990,Target_monthwise!$D$24:$O$40,DTR!U$4,FALSE)),0)</f>
        <v>0</v>
      </c>
      <c r="V990" s="239">
        <f>IFERROR((HLOOKUP($AH990,Target_monthwise!$D$24:$O$40,DTR!V$4,FALSE)),0)</f>
        <v>0</v>
      </c>
      <c r="W990" s="239">
        <f>IFERROR((HLOOKUP($AH990,Target_monthwise!$D$24:$O$40,DTR!W$4,FALSE)),0)</f>
        <v>0</v>
      </c>
      <c r="X990" s="239">
        <f>IFERROR((HLOOKUP($AH990,Target_monthwise!$D$24:$O$40,DTR!X$4,FALSE)),0)</f>
        <v>0</v>
      </c>
      <c r="Y990" s="239">
        <f>IFERROR((HLOOKUP($AH990,Target_monthwise!$D$24:$O$40,DTR!Y$4,FALSE)),0)</f>
        <v>0</v>
      </c>
      <c r="Z990" s="147">
        <f>IFERROR((HLOOKUP($AH990,Target_monthwise!$D$24:$O$40,DTR!Z$4,FALSE)),0)</f>
        <v>0</v>
      </c>
      <c r="AA990" s="147">
        <f>IFERROR((HLOOKUP($AH990,Target_monthwise!$D$24:$O$40,DTR!AA$4,FALSE)),0)</f>
        <v>0</v>
      </c>
      <c r="AB990" s="147">
        <f>IFERROR((HLOOKUP($AH990,Target_monthwise!$D$24:$O$40,DTR!AB$4,FALSE)),0)</f>
        <v>0</v>
      </c>
      <c r="AC990" s="239">
        <f>IFERROR((HLOOKUP($AH990,Target_monthwise!$D$24:$O$40,DTR!AC$4,FALSE)),0)</f>
        <v>0</v>
      </c>
      <c r="AD990" s="239">
        <f>IFERROR((HLOOKUP($AH990,Target_monthwise!$D$24:$O$40,DTR!AD$4,FALSE)),0)</f>
        <v>0</v>
      </c>
      <c r="AE990" s="239">
        <f>IFERROR((HLOOKUP($AH990,Target_monthwise!$D$24:$O$40,DTR!AE$4,FALSE)),0)</f>
        <v>0</v>
      </c>
      <c r="AF990" s="239">
        <f>IFERROR((HLOOKUP($AH990,Target_monthwise!$D$24:$O$40,DTR!AF$4,FALSE)),0)</f>
        <v>0</v>
      </c>
      <c r="AG990" s="172">
        <f>IFERROR((HLOOKUP($AH990,Target_monthwise!$D$24:$O$40,DTR!AG$4,FALSE)),0)</f>
        <v>0</v>
      </c>
      <c r="AH990" s="253">
        <f t="shared" si="17"/>
        <v>202412</v>
      </c>
    </row>
    <row r="991" spans="3:34" ht="15.75" hidden="1">
      <c r="C991" s="235">
        <v>45634</v>
      </c>
      <c r="D991" s="141">
        <f>IFERROR((HLOOKUP($AH991,Target_monthwise!$D$4:$O$20,DTR!D$4,FALSE))*1000,0)</f>
        <v>0</v>
      </c>
      <c r="E991" s="141">
        <f>IFERROR((HLOOKUP($AH991,Target_monthwise!$D$4:$O$20,DTR!E$4,FALSE))*1000,0)</f>
        <v>0</v>
      </c>
      <c r="F991" s="141">
        <f>IFERROR((HLOOKUP($AH991,Target_monthwise!$D$4:$O$20,DTR!F$4,FALSE))*1000,0)</f>
        <v>0</v>
      </c>
      <c r="G991" s="141">
        <f>IFERROR((HLOOKUP($AH991,Target_monthwise!$D$4:$O$20,DTR!G$4,FALSE))*1000,0)</f>
        <v>0</v>
      </c>
      <c r="H991" s="141">
        <f>IFERROR((HLOOKUP($AH991,Target_monthwise!$D$4:$O$20,DTR!H$4,FALSE))*1000,0)</f>
        <v>0</v>
      </c>
      <c r="I991" s="141">
        <f>IFERROR((HLOOKUP($AH991,Target_monthwise!$D$4:$O$20,DTR!I$4,FALSE))*1000,0)</f>
        <v>0</v>
      </c>
      <c r="J991" s="141">
        <f>IFERROR((HLOOKUP($AH991,Target_monthwise!$D$4:$O$20,DTR!J$4,FALSE))*1000,0)</f>
        <v>0</v>
      </c>
      <c r="K991" s="141">
        <f>IFERROR((HLOOKUP($AH991,Target_monthwise!$D$4:$O$20,DTR!K$4,FALSE))*1000,0)</f>
        <v>0</v>
      </c>
      <c r="L991" s="141">
        <f>IFERROR((HLOOKUP($AH991,Target_monthwise!$D$4:$O$20,DTR!L$4,FALSE))*1000,0)</f>
        <v>0</v>
      </c>
      <c r="M991" s="141">
        <f>IFERROR((HLOOKUP($AH991,Target_monthwise!$D$4:$O$20,DTR!M$4,FALSE))*1000,0)</f>
        <v>0</v>
      </c>
      <c r="N991" s="141">
        <f>IFERROR((HLOOKUP($AH991,Target_monthwise!$D$4:$O$20,DTR!N$4,FALSE))*1000,0)</f>
        <v>0</v>
      </c>
      <c r="O991" s="141">
        <f>IFERROR((HLOOKUP($AH991,Target_monthwise!$D$4:$O$20,DTR!O$4,FALSE))*1000,0)</f>
        <v>0</v>
      </c>
      <c r="P991" s="141">
        <f>IFERROR((HLOOKUP($AH991,Target_monthwise!$D$4:$O$20,DTR!P$4,FALSE))*1000,0)</f>
        <v>0</v>
      </c>
      <c r="Q991" s="141">
        <f>IFERROR((HLOOKUP($AH991,Target_monthwise!$D$4:$O$20,DTR!Q$4,FALSE))*1000,0)</f>
        <v>0</v>
      </c>
      <c r="R991" s="167">
        <f>IFERROR((HLOOKUP($AH991,Target_monthwise!$D$4:$O$20,DTR!R$4,FALSE))*1000,0)</f>
        <v>0</v>
      </c>
      <c r="S991" s="147">
        <f>IFERROR((HLOOKUP($AH991,Target_monthwise!$D$24:$O$40,DTR!S$4,FALSE)),0)</f>
        <v>0</v>
      </c>
      <c r="T991" s="147">
        <f>IFERROR((HLOOKUP($AH991,Target_monthwise!$D$24:$O$40,DTR!T$4,FALSE)),0)</f>
        <v>0</v>
      </c>
      <c r="U991" s="147">
        <f>IFERROR((HLOOKUP($AH991,Target_monthwise!$D$24:$O$40,DTR!U$4,FALSE)),0)</f>
        <v>0</v>
      </c>
      <c r="V991" s="147">
        <f>IFERROR((HLOOKUP($AH991,Target_monthwise!$D$24:$O$40,DTR!V$4,FALSE)),0)</f>
        <v>0</v>
      </c>
      <c r="W991" s="147">
        <f>IFERROR((HLOOKUP($AH991,Target_monthwise!$D$24:$O$40,DTR!W$4,FALSE)),0)</f>
        <v>0</v>
      </c>
      <c r="X991" s="147">
        <f>IFERROR((HLOOKUP($AH991,Target_monthwise!$D$24:$O$40,DTR!X$4,FALSE)),0)</f>
        <v>0</v>
      </c>
      <c r="Y991" s="147">
        <f>IFERROR((HLOOKUP($AH991,Target_monthwise!$D$24:$O$40,DTR!Y$4,FALSE)),0)</f>
        <v>0</v>
      </c>
      <c r="Z991" s="147">
        <f>IFERROR((HLOOKUP($AH991,Target_monthwise!$D$24:$O$40,DTR!Z$4,FALSE)),0)</f>
        <v>0</v>
      </c>
      <c r="AA991" s="147">
        <f>IFERROR((HLOOKUP($AH991,Target_monthwise!$D$24:$O$40,DTR!AA$4,FALSE)),0)</f>
        <v>0</v>
      </c>
      <c r="AB991" s="147">
        <f>IFERROR((HLOOKUP($AH991,Target_monthwise!$D$24:$O$40,DTR!AB$4,FALSE)),0)</f>
        <v>0</v>
      </c>
      <c r="AC991" s="147">
        <f>IFERROR((HLOOKUP($AH991,Target_monthwise!$D$24:$O$40,DTR!AC$4,FALSE)),0)</f>
        <v>0</v>
      </c>
      <c r="AD991" s="147">
        <f>IFERROR((HLOOKUP($AH991,Target_monthwise!$D$24:$O$40,DTR!AD$4,FALSE)),0)</f>
        <v>0</v>
      </c>
      <c r="AE991" s="147">
        <f>IFERROR((HLOOKUP($AH991,Target_monthwise!$D$24:$O$40,DTR!AE$4,FALSE)),0)</f>
        <v>0</v>
      </c>
      <c r="AF991" s="147">
        <f>IFERROR((HLOOKUP($AH991,Target_monthwise!$D$24:$O$40,DTR!AF$4,FALSE)),0)</f>
        <v>0</v>
      </c>
      <c r="AG991" s="172">
        <f>IFERROR((HLOOKUP($AH991,Target_monthwise!$D$24:$O$40,DTR!AG$4,FALSE)),0)</f>
        <v>0</v>
      </c>
      <c r="AH991" s="253">
        <f t="shared" si="17"/>
        <v>202412</v>
      </c>
    </row>
    <row r="992" spans="3:34" ht="15.75" hidden="1">
      <c r="C992" s="237">
        <v>45635</v>
      </c>
      <c r="D992" s="238">
        <f>IFERROR((HLOOKUP($AH992,Target_monthwise!$D$4:$O$20,DTR!D$4,FALSE))*1000,0)</f>
        <v>0</v>
      </c>
      <c r="E992" s="238">
        <f>IFERROR((HLOOKUP($AH992,Target_monthwise!$D$4:$O$20,DTR!E$4,FALSE))*1000,0)</f>
        <v>0</v>
      </c>
      <c r="F992" s="238">
        <f>IFERROR((HLOOKUP($AH992,Target_monthwise!$D$4:$O$20,DTR!F$4,FALSE))*1000,0)</f>
        <v>0</v>
      </c>
      <c r="G992" s="238">
        <f>IFERROR((HLOOKUP($AH992,Target_monthwise!$D$4:$O$20,DTR!G$4,FALSE))*1000,0)</f>
        <v>0</v>
      </c>
      <c r="H992" s="238">
        <f>IFERROR((HLOOKUP($AH992,Target_monthwise!$D$4:$O$20,DTR!H$4,FALSE))*1000,0)</f>
        <v>0</v>
      </c>
      <c r="I992" s="238">
        <f>IFERROR((HLOOKUP($AH992,Target_monthwise!$D$4:$O$20,DTR!I$4,FALSE))*1000,0)</f>
        <v>0</v>
      </c>
      <c r="J992" s="238">
        <f>IFERROR((HLOOKUP($AH992,Target_monthwise!$D$4:$O$20,DTR!J$4,FALSE))*1000,0)</f>
        <v>0</v>
      </c>
      <c r="K992" s="238">
        <f>IFERROR((HLOOKUP($AH992,Target_monthwise!$D$4:$O$20,DTR!K$4,FALSE))*1000,0)</f>
        <v>0</v>
      </c>
      <c r="L992" s="238">
        <f>IFERROR((HLOOKUP($AH992,Target_monthwise!$D$4:$O$20,DTR!L$4,FALSE))*1000,0)</f>
        <v>0</v>
      </c>
      <c r="M992" s="238">
        <f>IFERROR((HLOOKUP($AH992,Target_monthwise!$D$4:$O$20,DTR!M$4,FALSE))*1000,0)</f>
        <v>0</v>
      </c>
      <c r="N992" s="238">
        <f>IFERROR((HLOOKUP($AH992,Target_monthwise!$D$4:$O$20,DTR!N$4,FALSE))*1000,0)</f>
        <v>0</v>
      </c>
      <c r="O992" s="238">
        <f>IFERROR((HLOOKUP($AH992,Target_monthwise!$D$4:$O$20,DTR!O$4,FALSE))*1000,0)</f>
        <v>0</v>
      </c>
      <c r="P992" s="238">
        <f>IFERROR((HLOOKUP($AH992,Target_monthwise!$D$4:$O$20,DTR!P$4,FALSE))*1000,0)</f>
        <v>0</v>
      </c>
      <c r="Q992" s="141">
        <f>IFERROR((HLOOKUP($AH992,Target_monthwise!$D$4:$O$20,DTR!Q$4,FALSE))*1000,0)</f>
        <v>0</v>
      </c>
      <c r="R992" s="167">
        <f>IFERROR((HLOOKUP($AH992,Target_monthwise!$D$4:$O$20,DTR!R$4,FALSE))*1000,0)</f>
        <v>0</v>
      </c>
      <c r="S992" s="239">
        <f>IFERROR((HLOOKUP($AH992,Target_monthwise!$D$24:$O$40,DTR!S$4,FALSE)),0)</f>
        <v>0</v>
      </c>
      <c r="T992" s="239">
        <f>IFERROR((HLOOKUP($AH992,Target_monthwise!$D$24:$O$40,DTR!T$4,FALSE)),0)</f>
        <v>0</v>
      </c>
      <c r="U992" s="239">
        <f>IFERROR((HLOOKUP($AH992,Target_monthwise!$D$24:$O$40,DTR!U$4,FALSE)),0)</f>
        <v>0</v>
      </c>
      <c r="V992" s="239">
        <f>IFERROR((HLOOKUP($AH992,Target_monthwise!$D$24:$O$40,DTR!V$4,FALSE)),0)</f>
        <v>0</v>
      </c>
      <c r="W992" s="239">
        <f>IFERROR((HLOOKUP($AH992,Target_monthwise!$D$24:$O$40,DTR!W$4,FALSE)),0)</f>
        <v>0</v>
      </c>
      <c r="X992" s="239">
        <f>IFERROR((HLOOKUP($AH992,Target_monthwise!$D$24:$O$40,DTR!X$4,FALSE)),0)</f>
        <v>0</v>
      </c>
      <c r="Y992" s="239">
        <f>IFERROR((HLOOKUP($AH992,Target_monthwise!$D$24:$O$40,DTR!Y$4,FALSE)),0)</f>
        <v>0</v>
      </c>
      <c r="Z992" s="147">
        <f>IFERROR((HLOOKUP($AH992,Target_monthwise!$D$24:$O$40,DTR!Z$4,FALSE)),0)</f>
        <v>0</v>
      </c>
      <c r="AA992" s="147">
        <f>IFERROR((HLOOKUP($AH992,Target_monthwise!$D$24:$O$40,DTR!AA$4,FALSE)),0)</f>
        <v>0</v>
      </c>
      <c r="AB992" s="147">
        <f>IFERROR((HLOOKUP($AH992,Target_monthwise!$D$24:$O$40,DTR!AB$4,FALSE)),0)</f>
        <v>0</v>
      </c>
      <c r="AC992" s="239">
        <f>IFERROR((HLOOKUP($AH992,Target_monthwise!$D$24:$O$40,DTR!AC$4,FALSE)),0)</f>
        <v>0</v>
      </c>
      <c r="AD992" s="239">
        <f>IFERROR((HLOOKUP($AH992,Target_monthwise!$D$24:$O$40,DTR!AD$4,FALSE)),0)</f>
        <v>0</v>
      </c>
      <c r="AE992" s="239">
        <f>IFERROR((HLOOKUP($AH992,Target_monthwise!$D$24:$O$40,DTR!AE$4,FALSE)),0)</f>
        <v>0</v>
      </c>
      <c r="AF992" s="239">
        <f>IFERROR((HLOOKUP($AH992,Target_monthwise!$D$24:$O$40,DTR!AF$4,FALSE)),0)</f>
        <v>0</v>
      </c>
      <c r="AG992" s="172">
        <f>IFERROR((HLOOKUP($AH992,Target_monthwise!$D$24:$O$40,DTR!AG$4,FALSE)),0)</f>
        <v>0</v>
      </c>
      <c r="AH992" s="253">
        <f t="shared" si="17"/>
        <v>202412</v>
      </c>
    </row>
    <row r="993" spans="3:34" ht="15.75" hidden="1">
      <c r="C993" s="235">
        <v>45636</v>
      </c>
      <c r="D993" s="141">
        <f>IFERROR((HLOOKUP($AH993,Target_monthwise!$D$4:$O$20,DTR!D$4,FALSE))*1000,0)</f>
        <v>0</v>
      </c>
      <c r="E993" s="141">
        <f>IFERROR((HLOOKUP($AH993,Target_monthwise!$D$4:$O$20,DTR!E$4,FALSE))*1000,0)</f>
        <v>0</v>
      </c>
      <c r="F993" s="141">
        <f>IFERROR((HLOOKUP($AH993,Target_monthwise!$D$4:$O$20,DTR!F$4,FALSE))*1000,0)</f>
        <v>0</v>
      </c>
      <c r="G993" s="141">
        <f>IFERROR((HLOOKUP($AH993,Target_monthwise!$D$4:$O$20,DTR!G$4,FALSE))*1000,0)</f>
        <v>0</v>
      </c>
      <c r="H993" s="141">
        <f>IFERROR((HLOOKUP($AH993,Target_monthwise!$D$4:$O$20,DTR!H$4,FALSE))*1000,0)</f>
        <v>0</v>
      </c>
      <c r="I993" s="141">
        <f>IFERROR((HLOOKUP($AH993,Target_monthwise!$D$4:$O$20,DTR!I$4,FALSE))*1000,0)</f>
        <v>0</v>
      </c>
      <c r="J993" s="141">
        <f>IFERROR((HLOOKUP($AH993,Target_monthwise!$D$4:$O$20,DTR!J$4,FALSE))*1000,0)</f>
        <v>0</v>
      </c>
      <c r="K993" s="141">
        <f>IFERROR((HLOOKUP($AH993,Target_monthwise!$D$4:$O$20,DTR!K$4,FALSE))*1000,0)</f>
        <v>0</v>
      </c>
      <c r="L993" s="141">
        <f>IFERROR((HLOOKUP($AH993,Target_monthwise!$D$4:$O$20,DTR!L$4,FALSE))*1000,0)</f>
        <v>0</v>
      </c>
      <c r="M993" s="141">
        <f>IFERROR((HLOOKUP($AH993,Target_monthwise!$D$4:$O$20,DTR!M$4,FALSE))*1000,0)</f>
        <v>0</v>
      </c>
      <c r="N993" s="141">
        <f>IFERROR((HLOOKUP($AH993,Target_monthwise!$D$4:$O$20,DTR!N$4,FALSE))*1000,0)</f>
        <v>0</v>
      </c>
      <c r="O993" s="141">
        <f>IFERROR((HLOOKUP($AH993,Target_monthwise!$D$4:$O$20,DTR!O$4,FALSE))*1000,0)</f>
        <v>0</v>
      </c>
      <c r="P993" s="141">
        <f>IFERROR((HLOOKUP($AH993,Target_monthwise!$D$4:$O$20,DTR!P$4,FALSE))*1000,0)</f>
        <v>0</v>
      </c>
      <c r="Q993" s="141">
        <f>IFERROR((HLOOKUP($AH993,Target_monthwise!$D$4:$O$20,DTR!Q$4,FALSE))*1000,0)</f>
        <v>0</v>
      </c>
      <c r="R993" s="167">
        <f>IFERROR((HLOOKUP($AH993,Target_monthwise!$D$4:$O$20,DTR!R$4,FALSE))*1000,0)</f>
        <v>0</v>
      </c>
      <c r="S993" s="147">
        <f>IFERROR((HLOOKUP($AH993,Target_monthwise!$D$24:$O$40,DTR!S$4,FALSE)),0)</f>
        <v>0</v>
      </c>
      <c r="T993" s="147">
        <f>IFERROR((HLOOKUP($AH993,Target_monthwise!$D$24:$O$40,DTR!T$4,FALSE)),0)</f>
        <v>0</v>
      </c>
      <c r="U993" s="147">
        <f>IFERROR((HLOOKUP($AH993,Target_monthwise!$D$24:$O$40,DTR!U$4,FALSE)),0)</f>
        <v>0</v>
      </c>
      <c r="V993" s="147">
        <f>IFERROR((HLOOKUP($AH993,Target_monthwise!$D$24:$O$40,DTR!V$4,FALSE)),0)</f>
        <v>0</v>
      </c>
      <c r="W993" s="147">
        <f>IFERROR((HLOOKUP($AH993,Target_monthwise!$D$24:$O$40,DTR!W$4,FALSE)),0)</f>
        <v>0</v>
      </c>
      <c r="X993" s="147">
        <f>IFERROR((HLOOKUP($AH993,Target_monthwise!$D$24:$O$40,DTR!X$4,FALSE)),0)</f>
        <v>0</v>
      </c>
      <c r="Y993" s="147">
        <f>IFERROR((HLOOKUP($AH993,Target_monthwise!$D$24:$O$40,DTR!Y$4,FALSE)),0)</f>
        <v>0</v>
      </c>
      <c r="Z993" s="147">
        <f>IFERROR((HLOOKUP($AH993,Target_monthwise!$D$24:$O$40,DTR!Z$4,FALSE)),0)</f>
        <v>0</v>
      </c>
      <c r="AA993" s="147">
        <f>IFERROR((HLOOKUP($AH993,Target_monthwise!$D$24:$O$40,DTR!AA$4,FALSE)),0)</f>
        <v>0</v>
      </c>
      <c r="AB993" s="147">
        <f>IFERROR((HLOOKUP($AH993,Target_monthwise!$D$24:$O$40,DTR!AB$4,FALSE)),0)</f>
        <v>0</v>
      </c>
      <c r="AC993" s="147">
        <f>IFERROR((HLOOKUP($AH993,Target_monthwise!$D$24:$O$40,DTR!AC$4,FALSE)),0)</f>
        <v>0</v>
      </c>
      <c r="AD993" s="147">
        <f>IFERROR((HLOOKUP($AH993,Target_monthwise!$D$24:$O$40,DTR!AD$4,FALSE)),0)</f>
        <v>0</v>
      </c>
      <c r="AE993" s="147">
        <f>IFERROR((HLOOKUP($AH993,Target_monthwise!$D$24:$O$40,DTR!AE$4,FALSE)),0)</f>
        <v>0</v>
      </c>
      <c r="AF993" s="147">
        <f>IFERROR((HLOOKUP($AH993,Target_monthwise!$D$24:$O$40,DTR!AF$4,FALSE)),0)</f>
        <v>0</v>
      </c>
      <c r="AG993" s="172">
        <f>IFERROR((HLOOKUP($AH993,Target_monthwise!$D$24:$O$40,DTR!AG$4,FALSE)),0)</f>
        <v>0</v>
      </c>
      <c r="AH993" s="253">
        <f t="shared" si="17"/>
        <v>202412</v>
      </c>
    </row>
    <row r="994" spans="3:34" ht="15.75" hidden="1">
      <c r="C994" s="237">
        <v>45637</v>
      </c>
      <c r="D994" s="238">
        <f>IFERROR((HLOOKUP($AH994,Target_monthwise!$D$4:$O$20,DTR!D$4,FALSE))*1000,0)</f>
        <v>0</v>
      </c>
      <c r="E994" s="238">
        <f>IFERROR((HLOOKUP($AH994,Target_monthwise!$D$4:$O$20,DTR!E$4,FALSE))*1000,0)</f>
        <v>0</v>
      </c>
      <c r="F994" s="238">
        <f>IFERROR((HLOOKUP($AH994,Target_monthwise!$D$4:$O$20,DTR!F$4,FALSE))*1000,0)</f>
        <v>0</v>
      </c>
      <c r="G994" s="238">
        <f>IFERROR((HLOOKUP($AH994,Target_monthwise!$D$4:$O$20,DTR!G$4,FALSE))*1000,0)</f>
        <v>0</v>
      </c>
      <c r="H994" s="238">
        <f>IFERROR((HLOOKUP($AH994,Target_monthwise!$D$4:$O$20,DTR!H$4,FALSE))*1000,0)</f>
        <v>0</v>
      </c>
      <c r="I994" s="238">
        <f>IFERROR((HLOOKUP($AH994,Target_monthwise!$D$4:$O$20,DTR!I$4,FALSE))*1000,0)</f>
        <v>0</v>
      </c>
      <c r="J994" s="238">
        <f>IFERROR((HLOOKUP($AH994,Target_monthwise!$D$4:$O$20,DTR!J$4,FALSE))*1000,0)</f>
        <v>0</v>
      </c>
      <c r="K994" s="238">
        <f>IFERROR((HLOOKUP($AH994,Target_monthwise!$D$4:$O$20,DTR!K$4,FALSE))*1000,0)</f>
        <v>0</v>
      </c>
      <c r="L994" s="238">
        <f>IFERROR((HLOOKUP($AH994,Target_monthwise!$D$4:$O$20,DTR!L$4,FALSE))*1000,0)</f>
        <v>0</v>
      </c>
      <c r="M994" s="238">
        <f>IFERROR((HLOOKUP($AH994,Target_monthwise!$D$4:$O$20,DTR!M$4,FALSE))*1000,0)</f>
        <v>0</v>
      </c>
      <c r="N994" s="238">
        <f>IFERROR((HLOOKUP($AH994,Target_monthwise!$D$4:$O$20,DTR!N$4,FALSE))*1000,0)</f>
        <v>0</v>
      </c>
      <c r="O994" s="238">
        <f>IFERROR((HLOOKUP($AH994,Target_monthwise!$D$4:$O$20,DTR!O$4,FALSE))*1000,0)</f>
        <v>0</v>
      </c>
      <c r="P994" s="238">
        <f>IFERROR((HLOOKUP($AH994,Target_monthwise!$D$4:$O$20,DTR!P$4,FALSE))*1000,0)</f>
        <v>0</v>
      </c>
      <c r="Q994" s="141">
        <f>IFERROR((HLOOKUP($AH994,Target_monthwise!$D$4:$O$20,DTR!Q$4,FALSE))*1000,0)</f>
        <v>0</v>
      </c>
      <c r="R994" s="167">
        <f>IFERROR((HLOOKUP($AH994,Target_monthwise!$D$4:$O$20,DTR!R$4,FALSE))*1000,0)</f>
        <v>0</v>
      </c>
      <c r="S994" s="239">
        <f>IFERROR((HLOOKUP($AH994,Target_monthwise!$D$24:$O$40,DTR!S$4,FALSE)),0)</f>
        <v>0</v>
      </c>
      <c r="T994" s="239">
        <f>IFERROR((HLOOKUP($AH994,Target_monthwise!$D$24:$O$40,DTR!T$4,FALSE)),0)</f>
        <v>0</v>
      </c>
      <c r="U994" s="239">
        <f>IFERROR((HLOOKUP($AH994,Target_monthwise!$D$24:$O$40,DTR!U$4,FALSE)),0)</f>
        <v>0</v>
      </c>
      <c r="V994" s="239">
        <f>IFERROR((HLOOKUP($AH994,Target_monthwise!$D$24:$O$40,DTR!V$4,FALSE)),0)</f>
        <v>0</v>
      </c>
      <c r="W994" s="239">
        <f>IFERROR((HLOOKUP($AH994,Target_monthwise!$D$24:$O$40,DTR!W$4,FALSE)),0)</f>
        <v>0</v>
      </c>
      <c r="X994" s="239">
        <f>IFERROR((HLOOKUP($AH994,Target_monthwise!$D$24:$O$40,DTR!X$4,FALSE)),0)</f>
        <v>0</v>
      </c>
      <c r="Y994" s="239">
        <f>IFERROR((HLOOKUP($AH994,Target_monthwise!$D$24:$O$40,DTR!Y$4,FALSE)),0)</f>
        <v>0</v>
      </c>
      <c r="Z994" s="147">
        <f>IFERROR((HLOOKUP($AH994,Target_monthwise!$D$24:$O$40,DTR!Z$4,FALSE)),0)</f>
        <v>0</v>
      </c>
      <c r="AA994" s="147">
        <f>IFERROR((HLOOKUP($AH994,Target_monthwise!$D$24:$O$40,DTR!AA$4,FALSE)),0)</f>
        <v>0</v>
      </c>
      <c r="AB994" s="147">
        <f>IFERROR((HLOOKUP($AH994,Target_monthwise!$D$24:$O$40,DTR!AB$4,FALSE)),0)</f>
        <v>0</v>
      </c>
      <c r="AC994" s="239">
        <f>IFERROR((HLOOKUP($AH994,Target_monthwise!$D$24:$O$40,DTR!AC$4,FALSE)),0)</f>
        <v>0</v>
      </c>
      <c r="AD994" s="239">
        <f>IFERROR((HLOOKUP($AH994,Target_monthwise!$D$24:$O$40,DTR!AD$4,FALSE)),0)</f>
        <v>0</v>
      </c>
      <c r="AE994" s="239">
        <f>IFERROR((HLOOKUP($AH994,Target_monthwise!$D$24:$O$40,DTR!AE$4,FALSE)),0)</f>
        <v>0</v>
      </c>
      <c r="AF994" s="239">
        <f>IFERROR((HLOOKUP($AH994,Target_monthwise!$D$24:$O$40,DTR!AF$4,FALSE)),0)</f>
        <v>0</v>
      </c>
      <c r="AG994" s="172">
        <f>IFERROR((HLOOKUP($AH994,Target_monthwise!$D$24:$O$40,DTR!AG$4,FALSE)),0)</f>
        <v>0</v>
      </c>
      <c r="AH994" s="253">
        <f t="shared" si="17"/>
        <v>202412</v>
      </c>
    </row>
    <row r="995" spans="3:34" ht="15.75" hidden="1">
      <c r="C995" s="235">
        <v>45638</v>
      </c>
      <c r="D995" s="141">
        <f>IFERROR((HLOOKUP($AH995,Target_monthwise!$D$4:$O$20,DTR!D$4,FALSE))*1000,0)</f>
        <v>0</v>
      </c>
      <c r="E995" s="141">
        <f>IFERROR((HLOOKUP($AH995,Target_monthwise!$D$4:$O$20,DTR!E$4,FALSE))*1000,0)</f>
        <v>0</v>
      </c>
      <c r="F995" s="141">
        <f>IFERROR((HLOOKUP($AH995,Target_monthwise!$D$4:$O$20,DTR!F$4,FALSE))*1000,0)</f>
        <v>0</v>
      </c>
      <c r="G995" s="141">
        <f>IFERROR((HLOOKUP($AH995,Target_monthwise!$D$4:$O$20,DTR!G$4,FALSE))*1000,0)</f>
        <v>0</v>
      </c>
      <c r="H995" s="141">
        <f>IFERROR((HLOOKUP($AH995,Target_monthwise!$D$4:$O$20,DTR!H$4,FALSE))*1000,0)</f>
        <v>0</v>
      </c>
      <c r="I995" s="141">
        <f>IFERROR((HLOOKUP($AH995,Target_monthwise!$D$4:$O$20,DTR!I$4,FALSE))*1000,0)</f>
        <v>0</v>
      </c>
      <c r="J995" s="141">
        <f>IFERROR((HLOOKUP($AH995,Target_monthwise!$D$4:$O$20,DTR!J$4,FALSE))*1000,0)</f>
        <v>0</v>
      </c>
      <c r="K995" s="141">
        <f>IFERROR((HLOOKUP($AH995,Target_monthwise!$D$4:$O$20,DTR!K$4,FALSE))*1000,0)</f>
        <v>0</v>
      </c>
      <c r="L995" s="141">
        <f>IFERROR((HLOOKUP($AH995,Target_monthwise!$D$4:$O$20,DTR!L$4,FALSE))*1000,0)</f>
        <v>0</v>
      </c>
      <c r="M995" s="141">
        <f>IFERROR((HLOOKUP($AH995,Target_monthwise!$D$4:$O$20,DTR!M$4,FALSE))*1000,0)</f>
        <v>0</v>
      </c>
      <c r="N995" s="141">
        <f>IFERROR((HLOOKUP($AH995,Target_monthwise!$D$4:$O$20,DTR!N$4,FALSE))*1000,0)</f>
        <v>0</v>
      </c>
      <c r="O995" s="141">
        <f>IFERROR((HLOOKUP($AH995,Target_monthwise!$D$4:$O$20,DTR!O$4,FALSE))*1000,0)</f>
        <v>0</v>
      </c>
      <c r="P995" s="141">
        <f>IFERROR((HLOOKUP($AH995,Target_monthwise!$D$4:$O$20,DTR!P$4,FALSE))*1000,0)</f>
        <v>0</v>
      </c>
      <c r="Q995" s="141">
        <f>IFERROR((HLOOKUP($AH995,Target_monthwise!$D$4:$O$20,DTR!Q$4,FALSE))*1000,0)</f>
        <v>0</v>
      </c>
      <c r="R995" s="167">
        <f>IFERROR((HLOOKUP($AH995,Target_monthwise!$D$4:$O$20,DTR!R$4,FALSE))*1000,0)</f>
        <v>0</v>
      </c>
      <c r="S995" s="147">
        <f>IFERROR((HLOOKUP($AH995,Target_monthwise!$D$24:$O$40,DTR!S$4,FALSE)),0)</f>
        <v>0</v>
      </c>
      <c r="T995" s="147">
        <f>IFERROR((HLOOKUP($AH995,Target_monthwise!$D$24:$O$40,DTR!T$4,FALSE)),0)</f>
        <v>0</v>
      </c>
      <c r="U995" s="147">
        <f>IFERROR((HLOOKUP($AH995,Target_monthwise!$D$24:$O$40,DTR!U$4,FALSE)),0)</f>
        <v>0</v>
      </c>
      <c r="V995" s="147">
        <f>IFERROR((HLOOKUP($AH995,Target_monthwise!$D$24:$O$40,DTR!V$4,FALSE)),0)</f>
        <v>0</v>
      </c>
      <c r="W995" s="147">
        <f>IFERROR((HLOOKUP($AH995,Target_monthwise!$D$24:$O$40,DTR!W$4,FALSE)),0)</f>
        <v>0</v>
      </c>
      <c r="X995" s="147">
        <f>IFERROR((HLOOKUP($AH995,Target_monthwise!$D$24:$O$40,DTR!X$4,FALSE)),0)</f>
        <v>0</v>
      </c>
      <c r="Y995" s="147">
        <f>IFERROR((HLOOKUP($AH995,Target_monthwise!$D$24:$O$40,DTR!Y$4,FALSE)),0)</f>
        <v>0</v>
      </c>
      <c r="Z995" s="147">
        <f>IFERROR((HLOOKUP($AH995,Target_monthwise!$D$24:$O$40,DTR!Z$4,FALSE)),0)</f>
        <v>0</v>
      </c>
      <c r="AA995" s="147">
        <f>IFERROR((HLOOKUP($AH995,Target_monthwise!$D$24:$O$40,DTR!AA$4,FALSE)),0)</f>
        <v>0</v>
      </c>
      <c r="AB995" s="147">
        <f>IFERROR((HLOOKUP($AH995,Target_monthwise!$D$24:$O$40,DTR!AB$4,FALSE)),0)</f>
        <v>0</v>
      </c>
      <c r="AC995" s="147">
        <f>IFERROR((HLOOKUP($AH995,Target_monthwise!$D$24:$O$40,DTR!AC$4,FALSE)),0)</f>
        <v>0</v>
      </c>
      <c r="AD995" s="147">
        <f>IFERROR((HLOOKUP($AH995,Target_monthwise!$D$24:$O$40,DTR!AD$4,FALSE)),0)</f>
        <v>0</v>
      </c>
      <c r="AE995" s="147">
        <f>IFERROR((HLOOKUP($AH995,Target_monthwise!$D$24:$O$40,DTR!AE$4,FALSE)),0)</f>
        <v>0</v>
      </c>
      <c r="AF995" s="147">
        <f>IFERROR((HLOOKUP($AH995,Target_monthwise!$D$24:$O$40,DTR!AF$4,FALSE)),0)</f>
        <v>0</v>
      </c>
      <c r="AG995" s="172">
        <f>IFERROR((HLOOKUP($AH995,Target_monthwise!$D$24:$O$40,DTR!AG$4,FALSE)),0)</f>
        <v>0</v>
      </c>
      <c r="AH995" s="253">
        <f t="shared" si="17"/>
        <v>202412</v>
      </c>
    </row>
    <row r="996" spans="3:34" ht="15.75" hidden="1">
      <c r="C996" s="237">
        <v>45639</v>
      </c>
      <c r="D996" s="238">
        <f>IFERROR((HLOOKUP($AH996,Target_monthwise!$D$4:$O$20,DTR!D$4,FALSE))*1000,0)</f>
        <v>0</v>
      </c>
      <c r="E996" s="238">
        <f>IFERROR((HLOOKUP($AH996,Target_monthwise!$D$4:$O$20,DTR!E$4,FALSE))*1000,0)</f>
        <v>0</v>
      </c>
      <c r="F996" s="238">
        <f>IFERROR((HLOOKUP($AH996,Target_monthwise!$D$4:$O$20,DTR!F$4,FALSE))*1000,0)</f>
        <v>0</v>
      </c>
      <c r="G996" s="238">
        <f>IFERROR((HLOOKUP($AH996,Target_monthwise!$D$4:$O$20,DTR!G$4,FALSE))*1000,0)</f>
        <v>0</v>
      </c>
      <c r="H996" s="238">
        <f>IFERROR((HLOOKUP($AH996,Target_monthwise!$D$4:$O$20,DTR!H$4,FALSE))*1000,0)</f>
        <v>0</v>
      </c>
      <c r="I996" s="238">
        <f>IFERROR((HLOOKUP($AH996,Target_monthwise!$D$4:$O$20,DTR!I$4,FALSE))*1000,0)</f>
        <v>0</v>
      </c>
      <c r="J996" s="238">
        <f>IFERROR((HLOOKUP($AH996,Target_monthwise!$D$4:$O$20,DTR!J$4,FALSE))*1000,0)</f>
        <v>0</v>
      </c>
      <c r="K996" s="238">
        <f>IFERROR((HLOOKUP($AH996,Target_monthwise!$D$4:$O$20,DTR!K$4,FALSE))*1000,0)</f>
        <v>0</v>
      </c>
      <c r="L996" s="238">
        <f>IFERROR((HLOOKUP($AH996,Target_monthwise!$D$4:$O$20,DTR!L$4,FALSE))*1000,0)</f>
        <v>0</v>
      </c>
      <c r="M996" s="238">
        <f>IFERROR((HLOOKUP($AH996,Target_monthwise!$D$4:$O$20,DTR!M$4,FALSE))*1000,0)</f>
        <v>0</v>
      </c>
      <c r="N996" s="238">
        <f>IFERROR((HLOOKUP($AH996,Target_monthwise!$D$4:$O$20,DTR!N$4,FALSE))*1000,0)</f>
        <v>0</v>
      </c>
      <c r="O996" s="238">
        <f>IFERROR((HLOOKUP($AH996,Target_monthwise!$D$4:$O$20,DTR!O$4,FALSE))*1000,0)</f>
        <v>0</v>
      </c>
      <c r="P996" s="238">
        <f>IFERROR((HLOOKUP($AH996,Target_monthwise!$D$4:$O$20,DTR!P$4,FALSE))*1000,0)</f>
        <v>0</v>
      </c>
      <c r="Q996" s="141">
        <f>IFERROR((HLOOKUP($AH996,Target_monthwise!$D$4:$O$20,DTR!Q$4,FALSE))*1000,0)</f>
        <v>0</v>
      </c>
      <c r="R996" s="167">
        <f>IFERROR((HLOOKUP($AH996,Target_monthwise!$D$4:$O$20,DTR!R$4,FALSE))*1000,0)</f>
        <v>0</v>
      </c>
      <c r="S996" s="239">
        <f>IFERROR((HLOOKUP($AH996,Target_monthwise!$D$24:$O$40,DTR!S$4,FALSE)),0)</f>
        <v>0</v>
      </c>
      <c r="T996" s="239">
        <f>IFERROR((HLOOKUP($AH996,Target_monthwise!$D$24:$O$40,DTR!T$4,FALSE)),0)</f>
        <v>0</v>
      </c>
      <c r="U996" s="239">
        <f>IFERROR((HLOOKUP($AH996,Target_monthwise!$D$24:$O$40,DTR!U$4,FALSE)),0)</f>
        <v>0</v>
      </c>
      <c r="V996" s="239">
        <f>IFERROR((HLOOKUP($AH996,Target_monthwise!$D$24:$O$40,DTR!V$4,FALSE)),0)</f>
        <v>0</v>
      </c>
      <c r="W996" s="239">
        <f>IFERROR((HLOOKUP($AH996,Target_monthwise!$D$24:$O$40,DTR!W$4,FALSE)),0)</f>
        <v>0</v>
      </c>
      <c r="X996" s="239">
        <f>IFERROR((HLOOKUP($AH996,Target_monthwise!$D$24:$O$40,DTR!X$4,FALSE)),0)</f>
        <v>0</v>
      </c>
      <c r="Y996" s="239">
        <f>IFERROR((HLOOKUP($AH996,Target_monthwise!$D$24:$O$40,DTR!Y$4,FALSE)),0)</f>
        <v>0</v>
      </c>
      <c r="Z996" s="147">
        <f>IFERROR((HLOOKUP($AH996,Target_monthwise!$D$24:$O$40,DTR!Z$4,FALSE)),0)</f>
        <v>0</v>
      </c>
      <c r="AA996" s="147">
        <f>IFERROR((HLOOKUP($AH996,Target_monthwise!$D$24:$O$40,DTR!AA$4,FALSE)),0)</f>
        <v>0</v>
      </c>
      <c r="AB996" s="147">
        <f>IFERROR((HLOOKUP($AH996,Target_monthwise!$D$24:$O$40,DTR!AB$4,FALSE)),0)</f>
        <v>0</v>
      </c>
      <c r="AC996" s="239">
        <f>IFERROR((HLOOKUP($AH996,Target_monthwise!$D$24:$O$40,DTR!AC$4,FALSE)),0)</f>
        <v>0</v>
      </c>
      <c r="AD996" s="239">
        <f>IFERROR((HLOOKUP($AH996,Target_monthwise!$D$24:$O$40,DTR!AD$4,FALSE)),0)</f>
        <v>0</v>
      </c>
      <c r="AE996" s="239">
        <f>IFERROR((HLOOKUP($AH996,Target_monthwise!$D$24:$O$40,DTR!AE$4,FALSE)),0)</f>
        <v>0</v>
      </c>
      <c r="AF996" s="239">
        <f>IFERROR((HLOOKUP($AH996,Target_monthwise!$D$24:$O$40,DTR!AF$4,FALSE)),0)</f>
        <v>0</v>
      </c>
      <c r="AG996" s="172">
        <f>IFERROR((HLOOKUP($AH996,Target_monthwise!$D$24:$O$40,DTR!AG$4,FALSE)),0)</f>
        <v>0</v>
      </c>
      <c r="AH996" s="253">
        <f t="shared" si="17"/>
        <v>202412</v>
      </c>
    </row>
    <row r="997" spans="3:34" ht="15.75" hidden="1">
      <c r="C997" s="235">
        <v>45640</v>
      </c>
      <c r="D997" s="141">
        <f>IFERROR((HLOOKUP($AH997,Target_monthwise!$D$4:$O$20,DTR!D$4,FALSE))*1000,0)</f>
        <v>0</v>
      </c>
      <c r="E997" s="141">
        <f>IFERROR((HLOOKUP($AH997,Target_monthwise!$D$4:$O$20,DTR!E$4,FALSE))*1000,0)</f>
        <v>0</v>
      </c>
      <c r="F997" s="141">
        <f>IFERROR((HLOOKUP($AH997,Target_monthwise!$D$4:$O$20,DTR!F$4,FALSE))*1000,0)</f>
        <v>0</v>
      </c>
      <c r="G997" s="141">
        <f>IFERROR((HLOOKUP($AH997,Target_monthwise!$D$4:$O$20,DTR!G$4,FALSE))*1000,0)</f>
        <v>0</v>
      </c>
      <c r="H997" s="141">
        <f>IFERROR((HLOOKUP($AH997,Target_monthwise!$D$4:$O$20,DTR!H$4,FALSE))*1000,0)</f>
        <v>0</v>
      </c>
      <c r="I997" s="141">
        <f>IFERROR((HLOOKUP($AH997,Target_monthwise!$D$4:$O$20,DTR!I$4,FALSE))*1000,0)</f>
        <v>0</v>
      </c>
      <c r="J997" s="141">
        <f>IFERROR((HLOOKUP($AH997,Target_monthwise!$D$4:$O$20,DTR!J$4,FALSE))*1000,0)</f>
        <v>0</v>
      </c>
      <c r="K997" s="141">
        <f>IFERROR((HLOOKUP($AH997,Target_monthwise!$D$4:$O$20,DTR!K$4,FALSE))*1000,0)</f>
        <v>0</v>
      </c>
      <c r="L997" s="141">
        <f>IFERROR((HLOOKUP($AH997,Target_monthwise!$D$4:$O$20,DTR!L$4,FALSE))*1000,0)</f>
        <v>0</v>
      </c>
      <c r="M997" s="141">
        <f>IFERROR((HLOOKUP($AH997,Target_monthwise!$D$4:$O$20,DTR!M$4,FALSE))*1000,0)</f>
        <v>0</v>
      </c>
      <c r="N997" s="141">
        <f>IFERROR((HLOOKUP($AH997,Target_monthwise!$D$4:$O$20,DTR!N$4,FALSE))*1000,0)</f>
        <v>0</v>
      </c>
      <c r="O997" s="141">
        <f>IFERROR((HLOOKUP($AH997,Target_monthwise!$D$4:$O$20,DTR!O$4,FALSE))*1000,0)</f>
        <v>0</v>
      </c>
      <c r="P997" s="141">
        <f>IFERROR((HLOOKUP($AH997,Target_monthwise!$D$4:$O$20,DTR!P$4,FALSE))*1000,0)</f>
        <v>0</v>
      </c>
      <c r="Q997" s="141">
        <f>IFERROR((HLOOKUP($AH997,Target_monthwise!$D$4:$O$20,DTR!Q$4,FALSE))*1000,0)</f>
        <v>0</v>
      </c>
      <c r="R997" s="167">
        <f>IFERROR((HLOOKUP($AH997,Target_monthwise!$D$4:$O$20,DTR!R$4,FALSE))*1000,0)</f>
        <v>0</v>
      </c>
      <c r="S997" s="147">
        <f>IFERROR((HLOOKUP($AH997,Target_monthwise!$D$24:$O$40,DTR!S$4,FALSE)),0)</f>
        <v>0</v>
      </c>
      <c r="T997" s="147">
        <f>IFERROR((HLOOKUP($AH997,Target_monthwise!$D$24:$O$40,DTR!T$4,FALSE)),0)</f>
        <v>0</v>
      </c>
      <c r="U997" s="147">
        <f>IFERROR((HLOOKUP($AH997,Target_monthwise!$D$24:$O$40,DTR!U$4,FALSE)),0)</f>
        <v>0</v>
      </c>
      <c r="V997" s="147">
        <f>IFERROR((HLOOKUP($AH997,Target_monthwise!$D$24:$O$40,DTR!V$4,FALSE)),0)</f>
        <v>0</v>
      </c>
      <c r="W997" s="147">
        <f>IFERROR((HLOOKUP($AH997,Target_monthwise!$D$24:$O$40,DTR!W$4,FALSE)),0)</f>
        <v>0</v>
      </c>
      <c r="X997" s="147">
        <f>IFERROR((HLOOKUP($AH997,Target_monthwise!$D$24:$O$40,DTR!X$4,FALSE)),0)</f>
        <v>0</v>
      </c>
      <c r="Y997" s="147">
        <f>IFERROR((HLOOKUP($AH997,Target_monthwise!$D$24:$O$40,DTR!Y$4,FALSE)),0)</f>
        <v>0</v>
      </c>
      <c r="Z997" s="147">
        <f>IFERROR((HLOOKUP($AH997,Target_monthwise!$D$24:$O$40,DTR!Z$4,FALSE)),0)</f>
        <v>0</v>
      </c>
      <c r="AA997" s="147">
        <f>IFERROR((HLOOKUP($AH997,Target_monthwise!$D$24:$O$40,DTR!AA$4,FALSE)),0)</f>
        <v>0</v>
      </c>
      <c r="AB997" s="147">
        <f>IFERROR((HLOOKUP($AH997,Target_monthwise!$D$24:$O$40,DTR!AB$4,FALSE)),0)</f>
        <v>0</v>
      </c>
      <c r="AC997" s="147">
        <f>IFERROR((HLOOKUP($AH997,Target_monthwise!$D$24:$O$40,DTR!AC$4,FALSE)),0)</f>
        <v>0</v>
      </c>
      <c r="AD997" s="147">
        <f>IFERROR((HLOOKUP($AH997,Target_monthwise!$D$24:$O$40,DTR!AD$4,FALSE)),0)</f>
        <v>0</v>
      </c>
      <c r="AE997" s="147">
        <f>IFERROR((HLOOKUP($AH997,Target_monthwise!$D$24:$O$40,DTR!AE$4,FALSE)),0)</f>
        <v>0</v>
      </c>
      <c r="AF997" s="147">
        <f>IFERROR((HLOOKUP($AH997,Target_monthwise!$D$24:$O$40,DTR!AF$4,FALSE)),0)</f>
        <v>0</v>
      </c>
      <c r="AG997" s="172">
        <f>IFERROR((HLOOKUP($AH997,Target_monthwise!$D$24:$O$40,DTR!AG$4,FALSE)),0)</f>
        <v>0</v>
      </c>
      <c r="AH997" s="253">
        <f t="shared" si="17"/>
        <v>202412</v>
      </c>
    </row>
    <row r="998" spans="3:34" ht="15.75" hidden="1">
      <c r="C998" s="237">
        <v>45641</v>
      </c>
      <c r="D998" s="238">
        <f>IFERROR((HLOOKUP($AH998,Target_monthwise!$D$4:$O$20,DTR!D$4,FALSE))*1000,0)</f>
        <v>0</v>
      </c>
      <c r="E998" s="238">
        <f>IFERROR((HLOOKUP($AH998,Target_monthwise!$D$4:$O$20,DTR!E$4,FALSE))*1000,0)</f>
        <v>0</v>
      </c>
      <c r="F998" s="238">
        <f>IFERROR((HLOOKUP($AH998,Target_monthwise!$D$4:$O$20,DTR!F$4,FALSE))*1000,0)</f>
        <v>0</v>
      </c>
      <c r="G998" s="238">
        <f>IFERROR((HLOOKUP($AH998,Target_monthwise!$D$4:$O$20,DTR!G$4,FALSE))*1000,0)</f>
        <v>0</v>
      </c>
      <c r="H998" s="238">
        <f>IFERROR((HLOOKUP($AH998,Target_monthwise!$D$4:$O$20,DTR!H$4,FALSE))*1000,0)</f>
        <v>0</v>
      </c>
      <c r="I998" s="238">
        <f>IFERROR((HLOOKUP($AH998,Target_monthwise!$D$4:$O$20,DTR!I$4,FALSE))*1000,0)</f>
        <v>0</v>
      </c>
      <c r="J998" s="238">
        <f>IFERROR((HLOOKUP($AH998,Target_monthwise!$D$4:$O$20,DTR!J$4,FALSE))*1000,0)</f>
        <v>0</v>
      </c>
      <c r="K998" s="238">
        <f>IFERROR((HLOOKUP($AH998,Target_monthwise!$D$4:$O$20,DTR!K$4,FALSE))*1000,0)</f>
        <v>0</v>
      </c>
      <c r="L998" s="238">
        <f>IFERROR((HLOOKUP($AH998,Target_monthwise!$D$4:$O$20,DTR!L$4,FALSE))*1000,0)</f>
        <v>0</v>
      </c>
      <c r="M998" s="238">
        <f>IFERROR((HLOOKUP($AH998,Target_monthwise!$D$4:$O$20,DTR!M$4,FALSE))*1000,0)</f>
        <v>0</v>
      </c>
      <c r="N998" s="238">
        <f>IFERROR((HLOOKUP($AH998,Target_monthwise!$D$4:$O$20,DTR!N$4,FALSE))*1000,0)</f>
        <v>0</v>
      </c>
      <c r="O998" s="238">
        <f>IFERROR((HLOOKUP($AH998,Target_monthwise!$D$4:$O$20,DTR!O$4,FALSE))*1000,0)</f>
        <v>0</v>
      </c>
      <c r="P998" s="238">
        <f>IFERROR((HLOOKUP($AH998,Target_monthwise!$D$4:$O$20,DTR!P$4,FALSE))*1000,0)</f>
        <v>0</v>
      </c>
      <c r="Q998" s="141">
        <f>IFERROR((HLOOKUP($AH998,Target_monthwise!$D$4:$O$20,DTR!Q$4,FALSE))*1000,0)</f>
        <v>0</v>
      </c>
      <c r="R998" s="167">
        <f>IFERROR((HLOOKUP($AH998,Target_monthwise!$D$4:$O$20,DTR!R$4,FALSE))*1000,0)</f>
        <v>0</v>
      </c>
      <c r="S998" s="239">
        <f>IFERROR((HLOOKUP($AH998,Target_monthwise!$D$24:$O$40,DTR!S$4,FALSE)),0)</f>
        <v>0</v>
      </c>
      <c r="T998" s="239">
        <f>IFERROR((HLOOKUP($AH998,Target_monthwise!$D$24:$O$40,DTR!T$4,FALSE)),0)</f>
        <v>0</v>
      </c>
      <c r="U998" s="239">
        <f>IFERROR((HLOOKUP($AH998,Target_monthwise!$D$24:$O$40,DTR!U$4,FALSE)),0)</f>
        <v>0</v>
      </c>
      <c r="V998" s="239">
        <f>IFERROR((HLOOKUP($AH998,Target_monthwise!$D$24:$O$40,DTR!V$4,FALSE)),0)</f>
        <v>0</v>
      </c>
      <c r="W998" s="239">
        <f>IFERROR((HLOOKUP($AH998,Target_monthwise!$D$24:$O$40,DTR!W$4,FALSE)),0)</f>
        <v>0</v>
      </c>
      <c r="X998" s="239">
        <f>IFERROR((HLOOKUP($AH998,Target_monthwise!$D$24:$O$40,DTR!X$4,FALSE)),0)</f>
        <v>0</v>
      </c>
      <c r="Y998" s="239">
        <f>IFERROR((HLOOKUP($AH998,Target_monthwise!$D$24:$O$40,DTR!Y$4,FALSE)),0)</f>
        <v>0</v>
      </c>
      <c r="Z998" s="147">
        <f>IFERROR((HLOOKUP($AH998,Target_monthwise!$D$24:$O$40,DTR!Z$4,FALSE)),0)</f>
        <v>0</v>
      </c>
      <c r="AA998" s="147">
        <f>IFERROR((HLOOKUP($AH998,Target_monthwise!$D$24:$O$40,DTR!AA$4,FALSE)),0)</f>
        <v>0</v>
      </c>
      <c r="AB998" s="147">
        <f>IFERROR((HLOOKUP($AH998,Target_monthwise!$D$24:$O$40,DTR!AB$4,FALSE)),0)</f>
        <v>0</v>
      </c>
      <c r="AC998" s="239">
        <f>IFERROR((HLOOKUP($AH998,Target_monthwise!$D$24:$O$40,DTR!AC$4,FALSE)),0)</f>
        <v>0</v>
      </c>
      <c r="AD998" s="239">
        <f>IFERROR((HLOOKUP($AH998,Target_monthwise!$D$24:$O$40,DTR!AD$4,FALSE)),0)</f>
        <v>0</v>
      </c>
      <c r="AE998" s="239">
        <f>IFERROR((HLOOKUP($AH998,Target_monthwise!$D$24:$O$40,DTR!AE$4,FALSE)),0)</f>
        <v>0</v>
      </c>
      <c r="AF998" s="239">
        <f>IFERROR((HLOOKUP($AH998,Target_monthwise!$D$24:$O$40,DTR!AF$4,FALSE)),0)</f>
        <v>0</v>
      </c>
      <c r="AG998" s="172">
        <f>IFERROR((HLOOKUP($AH998,Target_monthwise!$D$24:$O$40,DTR!AG$4,FALSE)),0)</f>
        <v>0</v>
      </c>
      <c r="AH998" s="253">
        <f t="shared" si="17"/>
        <v>202412</v>
      </c>
    </row>
    <row r="999" spans="3:34" ht="15.75" hidden="1">
      <c r="C999" s="235">
        <v>45642</v>
      </c>
      <c r="D999" s="141">
        <f>IFERROR((HLOOKUP($AH999,Target_monthwise!$D$4:$O$20,DTR!D$4,FALSE))*1000,0)</f>
        <v>0</v>
      </c>
      <c r="E999" s="141">
        <f>IFERROR((HLOOKUP($AH999,Target_monthwise!$D$4:$O$20,DTR!E$4,FALSE))*1000,0)</f>
        <v>0</v>
      </c>
      <c r="F999" s="141">
        <f>IFERROR((HLOOKUP($AH999,Target_monthwise!$D$4:$O$20,DTR!F$4,FALSE))*1000,0)</f>
        <v>0</v>
      </c>
      <c r="G999" s="141">
        <f>IFERROR((HLOOKUP($AH999,Target_monthwise!$D$4:$O$20,DTR!G$4,FALSE))*1000,0)</f>
        <v>0</v>
      </c>
      <c r="H999" s="141">
        <f>IFERROR((HLOOKUP($AH999,Target_monthwise!$D$4:$O$20,DTR!H$4,FALSE))*1000,0)</f>
        <v>0</v>
      </c>
      <c r="I999" s="141">
        <f>IFERROR((HLOOKUP($AH999,Target_monthwise!$D$4:$O$20,DTR!I$4,FALSE))*1000,0)</f>
        <v>0</v>
      </c>
      <c r="J999" s="141">
        <f>IFERROR((HLOOKUP($AH999,Target_monthwise!$D$4:$O$20,DTR!J$4,FALSE))*1000,0)</f>
        <v>0</v>
      </c>
      <c r="K999" s="141">
        <f>IFERROR((HLOOKUP($AH999,Target_monthwise!$D$4:$O$20,DTR!K$4,FALSE))*1000,0)</f>
        <v>0</v>
      </c>
      <c r="L999" s="141">
        <f>IFERROR((HLOOKUP($AH999,Target_monthwise!$D$4:$O$20,DTR!L$4,FALSE))*1000,0)</f>
        <v>0</v>
      </c>
      <c r="M999" s="141">
        <f>IFERROR((HLOOKUP($AH999,Target_monthwise!$D$4:$O$20,DTR!M$4,FALSE))*1000,0)</f>
        <v>0</v>
      </c>
      <c r="N999" s="141">
        <f>IFERROR((HLOOKUP($AH999,Target_monthwise!$D$4:$O$20,DTR!N$4,FALSE))*1000,0)</f>
        <v>0</v>
      </c>
      <c r="O999" s="141">
        <f>IFERROR((HLOOKUP($AH999,Target_monthwise!$D$4:$O$20,DTR!O$4,FALSE))*1000,0)</f>
        <v>0</v>
      </c>
      <c r="P999" s="141">
        <f>IFERROR((HLOOKUP($AH999,Target_monthwise!$D$4:$O$20,DTR!P$4,FALSE))*1000,0)</f>
        <v>0</v>
      </c>
      <c r="Q999" s="141">
        <f>IFERROR((HLOOKUP($AH999,Target_monthwise!$D$4:$O$20,DTR!Q$4,FALSE))*1000,0)</f>
        <v>0</v>
      </c>
      <c r="R999" s="167">
        <f>IFERROR((HLOOKUP($AH999,Target_monthwise!$D$4:$O$20,DTR!R$4,FALSE))*1000,0)</f>
        <v>0</v>
      </c>
      <c r="S999" s="147">
        <f>IFERROR((HLOOKUP($AH999,Target_monthwise!$D$24:$O$40,DTR!S$4,FALSE)),0)</f>
        <v>0</v>
      </c>
      <c r="T999" s="147">
        <f>IFERROR((HLOOKUP($AH999,Target_monthwise!$D$24:$O$40,DTR!T$4,FALSE)),0)</f>
        <v>0</v>
      </c>
      <c r="U999" s="147">
        <f>IFERROR((HLOOKUP($AH999,Target_monthwise!$D$24:$O$40,DTR!U$4,FALSE)),0)</f>
        <v>0</v>
      </c>
      <c r="V999" s="147">
        <f>IFERROR((HLOOKUP($AH999,Target_monthwise!$D$24:$O$40,DTR!V$4,FALSE)),0)</f>
        <v>0</v>
      </c>
      <c r="W999" s="147">
        <f>IFERROR((HLOOKUP($AH999,Target_monthwise!$D$24:$O$40,DTR!W$4,FALSE)),0)</f>
        <v>0</v>
      </c>
      <c r="X999" s="147">
        <f>IFERROR((HLOOKUP($AH999,Target_monthwise!$D$24:$O$40,DTR!X$4,FALSE)),0)</f>
        <v>0</v>
      </c>
      <c r="Y999" s="147">
        <f>IFERROR((HLOOKUP($AH999,Target_monthwise!$D$24:$O$40,DTR!Y$4,FALSE)),0)</f>
        <v>0</v>
      </c>
      <c r="Z999" s="147">
        <f>IFERROR((HLOOKUP($AH999,Target_monthwise!$D$24:$O$40,DTR!Z$4,FALSE)),0)</f>
        <v>0</v>
      </c>
      <c r="AA999" s="147">
        <f>IFERROR((HLOOKUP($AH999,Target_monthwise!$D$24:$O$40,DTR!AA$4,FALSE)),0)</f>
        <v>0</v>
      </c>
      <c r="AB999" s="147">
        <f>IFERROR((HLOOKUP($AH999,Target_monthwise!$D$24:$O$40,DTR!AB$4,FALSE)),0)</f>
        <v>0</v>
      </c>
      <c r="AC999" s="147">
        <f>IFERROR((HLOOKUP($AH999,Target_monthwise!$D$24:$O$40,DTR!AC$4,FALSE)),0)</f>
        <v>0</v>
      </c>
      <c r="AD999" s="147">
        <f>IFERROR((HLOOKUP($AH999,Target_monthwise!$D$24:$O$40,DTR!AD$4,FALSE)),0)</f>
        <v>0</v>
      </c>
      <c r="AE999" s="147">
        <f>IFERROR((HLOOKUP($AH999,Target_monthwise!$D$24:$O$40,DTR!AE$4,FALSE)),0)</f>
        <v>0</v>
      </c>
      <c r="AF999" s="147">
        <f>IFERROR((HLOOKUP($AH999,Target_monthwise!$D$24:$O$40,DTR!AF$4,FALSE)),0)</f>
        <v>0</v>
      </c>
      <c r="AG999" s="172">
        <f>IFERROR((HLOOKUP($AH999,Target_monthwise!$D$24:$O$40,DTR!AG$4,FALSE)),0)</f>
        <v>0</v>
      </c>
      <c r="AH999" s="253">
        <f t="shared" si="17"/>
        <v>202412</v>
      </c>
    </row>
    <row r="1000" spans="3:34" ht="15.75" hidden="1">
      <c r="C1000" s="237">
        <v>45643</v>
      </c>
      <c r="D1000" s="238">
        <f>IFERROR((HLOOKUP($AH1000,Target_monthwise!$D$4:$O$20,DTR!D$4,FALSE))*1000,0)</f>
        <v>0</v>
      </c>
      <c r="E1000" s="238">
        <f>IFERROR((HLOOKUP($AH1000,Target_monthwise!$D$4:$O$20,DTR!E$4,FALSE))*1000,0)</f>
        <v>0</v>
      </c>
      <c r="F1000" s="238">
        <f>IFERROR((HLOOKUP($AH1000,Target_monthwise!$D$4:$O$20,DTR!F$4,FALSE))*1000,0)</f>
        <v>0</v>
      </c>
      <c r="G1000" s="238">
        <f>IFERROR((HLOOKUP($AH1000,Target_monthwise!$D$4:$O$20,DTR!G$4,FALSE))*1000,0)</f>
        <v>0</v>
      </c>
      <c r="H1000" s="238">
        <f>IFERROR((HLOOKUP($AH1000,Target_monthwise!$D$4:$O$20,DTR!H$4,FALSE))*1000,0)</f>
        <v>0</v>
      </c>
      <c r="I1000" s="238">
        <f>IFERROR((HLOOKUP($AH1000,Target_monthwise!$D$4:$O$20,DTR!I$4,FALSE))*1000,0)</f>
        <v>0</v>
      </c>
      <c r="J1000" s="238">
        <f>IFERROR((HLOOKUP($AH1000,Target_monthwise!$D$4:$O$20,DTR!J$4,FALSE))*1000,0)</f>
        <v>0</v>
      </c>
      <c r="K1000" s="238">
        <f>IFERROR((HLOOKUP($AH1000,Target_monthwise!$D$4:$O$20,DTR!K$4,FALSE))*1000,0)</f>
        <v>0</v>
      </c>
      <c r="L1000" s="238">
        <f>IFERROR((HLOOKUP($AH1000,Target_monthwise!$D$4:$O$20,DTR!L$4,FALSE))*1000,0)</f>
        <v>0</v>
      </c>
      <c r="M1000" s="238">
        <f>IFERROR((HLOOKUP($AH1000,Target_monthwise!$D$4:$O$20,DTR!M$4,FALSE))*1000,0)</f>
        <v>0</v>
      </c>
      <c r="N1000" s="238">
        <f>IFERROR((HLOOKUP($AH1000,Target_monthwise!$D$4:$O$20,DTR!N$4,FALSE))*1000,0)</f>
        <v>0</v>
      </c>
      <c r="O1000" s="238">
        <f>IFERROR((HLOOKUP($AH1000,Target_monthwise!$D$4:$O$20,DTR!O$4,FALSE))*1000,0)</f>
        <v>0</v>
      </c>
      <c r="P1000" s="238">
        <f>IFERROR((HLOOKUP($AH1000,Target_monthwise!$D$4:$O$20,DTR!P$4,FALSE))*1000,0)</f>
        <v>0</v>
      </c>
      <c r="Q1000" s="141">
        <f>IFERROR((HLOOKUP($AH1000,Target_monthwise!$D$4:$O$20,DTR!Q$4,FALSE))*1000,0)</f>
        <v>0</v>
      </c>
      <c r="R1000" s="167">
        <f>IFERROR((HLOOKUP($AH1000,Target_monthwise!$D$4:$O$20,DTR!R$4,FALSE))*1000,0)</f>
        <v>0</v>
      </c>
      <c r="S1000" s="239">
        <f>IFERROR((HLOOKUP($AH1000,Target_monthwise!$D$24:$O$40,DTR!S$4,FALSE)),0)</f>
        <v>0</v>
      </c>
      <c r="T1000" s="239">
        <f>IFERROR((HLOOKUP($AH1000,Target_monthwise!$D$24:$O$40,DTR!T$4,FALSE)),0)</f>
        <v>0</v>
      </c>
      <c r="U1000" s="239">
        <f>IFERROR((HLOOKUP($AH1000,Target_monthwise!$D$24:$O$40,DTR!U$4,FALSE)),0)</f>
        <v>0</v>
      </c>
      <c r="V1000" s="239">
        <f>IFERROR((HLOOKUP($AH1000,Target_monthwise!$D$24:$O$40,DTR!V$4,FALSE)),0)</f>
        <v>0</v>
      </c>
      <c r="W1000" s="239">
        <f>IFERROR((HLOOKUP($AH1000,Target_monthwise!$D$24:$O$40,DTR!W$4,FALSE)),0)</f>
        <v>0</v>
      </c>
      <c r="X1000" s="239">
        <f>IFERROR((HLOOKUP($AH1000,Target_monthwise!$D$24:$O$40,DTR!X$4,FALSE)),0)</f>
        <v>0</v>
      </c>
      <c r="Y1000" s="239">
        <f>IFERROR((HLOOKUP($AH1000,Target_monthwise!$D$24:$O$40,DTR!Y$4,FALSE)),0)</f>
        <v>0</v>
      </c>
      <c r="Z1000" s="147">
        <f>IFERROR((HLOOKUP($AH1000,Target_monthwise!$D$24:$O$40,DTR!Z$4,FALSE)),0)</f>
        <v>0</v>
      </c>
      <c r="AA1000" s="147">
        <f>IFERROR((HLOOKUP($AH1000,Target_monthwise!$D$24:$O$40,DTR!AA$4,FALSE)),0)</f>
        <v>0</v>
      </c>
      <c r="AB1000" s="147">
        <f>IFERROR((HLOOKUP($AH1000,Target_monthwise!$D$24:$O$40,DTR!AB$4,FALSE)),0)</f>
        <v>0</v>
      </c>
      <c r="AC1000" s="239">
        <f>IFERROR((HLOOKUP($AH1000,Target_monthwise!$D$24:$O$40,DTR!AC$4,FALSE)),0)</f>
        <v>0</v>
      </c>
      <c r="AD1000" s="239">
        <f>IFERROR((HLOOKUP($AH1000,Target_monthwise!$D$24:$O$40,DTR!AD$4,FALSE)),0)</f>
        <v>0</v>
      </c>
      <c r="AE1000" s="239">
        <f>IFERROR((HLOOKUP($AH1000,Target_monthwise!$D$24:$O$40,DTR!AE$4,FALSE)),0)</f>
        <v>0</v>
      </c>
      <c r="AF1000" s="239">
        <f>IFERROR((HLOOKUP($AH1000,Target_monthwise!$D$24:$O$40,DTR!AF$4,FALSE)),0)</f>
        <v>0</v>
      </c>
      <c r="AG1000" s="172">
        <f>IFERROR((HLOOKUP($AH1000,Target_monthwise!$D$24:$O$40,DTR!AG$4,FALSE)),0)</f>
        <v>0</v>
      </c>
      <c r="AH1000" s="253">
        <f t="shared" si="17"/>
        <v>202412</v>
      </c>
    </row>
    <row r="1001" spans="3:34" ht="15.75" hidden="1">
      <c r="C1001" s="235">
        <v>45644</v>
      </c>
      <c r="D1001" s="141">
        <f>IFERROR((HLOOKUP($AH1001,Target_monthwise!$D$4:$O$20,DTR!D$4,FALSE))*1000,0)</f>
        <v>0</v>
      </c>
      <c r="E1001" s="141">
        <f>IFERROR((HLOOKUP($AH1001,Target_monthwise!$D$4:$O$20,DTR!E$4,FALSE))*1000,0)</f>
        <v>0</v>
      </c>
      <c r="F1001" s="141">
        <f>IFERROR((HLOOKUP($AH1001,Target_monthwise!$D$4:$O$20,DTR!F$4,FALSE))*1000,0)</f>
        <v>0</v>
      </c>
      <c r="G1001" s="141">
        <f>IFERROR((HLOOKUP($AH1001,Target_monthwise!$D$4:$O$20,DTR!G$4,FALSE))*1000,0)</f>
        <v>0</v>
      </c>
      <c r="H1001" s="141">
        <f>IFERROR((HLOOKUP($AH1001,Target_monthwise!$D$4:$O$20,DTR!H$4,FALSE))*1000,0)</f>
        <v>0</v>
      </c>
      <c r="I1001" s="141">
        <f>IFERROR((HLOOKUP($AH1001,Target_monthwise!$D$4:$O$20,DTR!I$4,FALSE))*1000,0)</f>
        <v>0</v>
      </c>
      <c r="J1001" s="141">
        <f>IFERROR((HLOOKUP($AH1001,Target_monthwise!$D$4:$O$20,DTR!J$4,FALSE))*1000,0)</f>
        <v>0</v>
      </c>
      <c r="K1001" s="141">
        <f>IFERROR((HLOOKUP($AH1001,Target_monthwise!$D$4:$O$20,DTR!K$4,FALSE))*1000,0)</f>
        <v>0</v>
      </c>
      <c r="L1001" s="141">
        <f>IFERROR((HLOOKUP($AH1001,Target_monthwise!$D$4:$O$20,DTR!L$4,FALSE))*1000,0)</f>
        <v>0</v>
      </c>
      <c r="M1001" s="141">
        <f>IFERROR((HLOOKUP($AH1001,Target_monthwise!$D$4:$O$20,DTR!M$4,FALSE))*1000,0)</f>
        <v>0</v>
      </c>
      <c r="N1001" s="141">
        <f>IFERROR((HLOOKUP($AH1001,Target_monthwise!$D$4:$O$20,DTR!N$4,FALSE))*1000,0)</f>
        <v>0</v>
      </c>
      <c r="O1001" s="141">
        <f>IFERROR((HLOOKUP($AH1001,Target_monthwise!$D$4:$O$20,DTR!O$4,FALSE))*1000,0)</f>
        <v>0</v>
      </c>
      <c r="P1001" s="141">
        <f>IFERROR((HLOOKUP($AH1001,Target_monthwise!$D$4:$O$20,DTR!P$4,FALSE))*1000,0)</f>
        <v>0</v>
      </c>
      <c r="Q1001" s="141">
        <f>IFERROR((HLOOKUP($AH1001,Target_monthwise!$D$4:$O$20,DTR!Q$4,FALSE))*1000,0)</f>
        <v>0</v>
      </c>
      <c r="R1001" s="167">
        <f>IFERROR((HLOOKUP($AH1001,Target_monthwise!$D$4:$O$20,DTR!R$4,FALSE))*1000,0)</f>
        <v>0</v>
      </c>
      <c r="S1001" s="147">
        <f>IFERROR((HLOOKUP($AH1001,Target_monthwise!$D$24:$O$40,DTR!S$4,FALSE)),0)</f>
        <v>0</v>
      </c>
      <c r="T1001" s="147">
        <f>IFERROR((HLOOKUP($AH1001,Target_monthwise!$D$24:$O$40,DTR!T$4,FALSE)),0)</f>
        <v>0</v>
      </c>
      <c r="U1001" s="147">
        <f>IFERROR((HLOOKUP($AH1001,Target_monthwise!$D$24:$O$40,DTR!U$4,FALSE)),0)</f>
        <v>0</v>
      </c>
      <c r="V1001" s="147">
        <f>IFERROR((HLOOKUP($AH1001,Target_monthwise!$D$24:$O$40,DTR!V$4,FALSE)),0)</f>
        <v>0</v>
      </c>
      <c r="W1001" s="147">
        <f>IFERROR((HLOOKUP($AH1001,Target_monthwise!$D$24:$O$40,DTR!W$4,FALSE)),0)</f>
        <v>0</v>
      </c>
      <c r="X1001" s="147">
        <f>IFERROR((HLOOKUP($AH1001,Target_monthwise!$D$24:$O$40,DTR!X$4,FALSE)),0)</f>
        <v>0</v>
      </c>
      <c r="Y1001" s="147">
        <f>IFERROR((HLOOKUP($AH1001,Target_monthwise!$D$24:$O$40,DTR!Y$4,FALSE)),0)</f>
        <v>0</v>
      </c>
      <c r="Z1001" s="147">
        <f>IFERROR((HLOOKUP($AH1001,Target_monthwise!$D$24:$O$40,DTR!Z$4,FALSE)),0)</f>
        <v>0</v>
      </c>
      <c r="AA1001" s="147">
        <f>IFERROR((HLOOKUP($AH1001,Target_monthwise!$D$24:$O$40,DTR!AA$4,FALSE)),0)</f>
        <v>0</v>
      </c>
      <c r="AB1001" s="147">
        <f>IFERROR((HLOOKUP($AH1001,Target_monthwise!$D$24:$O$40,DTR!AB$4,FALSE)),0)</f>
        <v>0</v>
      </c>
      <c r="AC1001" s="147">
        <f>IFERROR((HLOOKUP($AH1001,Target_monthwise!$D$24:$O$40,DTR!AC$4,FALSE)),0)</f>
        <v>0</v>
      </c>
      <c r="AD1001" s="147">
        <f>IFERROR((HLOOKUP($AH1001,Target_monthwise!$D$24:$O$40,DTR!AD$4,FALSE)),0)</f>
        <v>0</v>
      </c>
      <c r="AE1001" s="147">
        <f>IFERROR((HLOOKUP($AH1001,Target_monthwise!$D$24:$O$40,DTR!AE$4,FALSE)),0)</f>
        <v>0</v>
      </c>
      <c r="AF1001" s="147">
        <f>IFERROR((HLOOKUP($AH1001,Target_monthwise!$D$24:$O$40,DTR!AF$4,FALSE)),0)</f>
        <v>0</v>
      </c>
      <c r="AG1001" s="172">
        <f>IFERROR((HLOOKUP($AH1001,Target_monthwise!$D$24:$O$40,DTR!AG$4,FALSE)),0)</f>
        <v>0</v>
      </c>
      <c r="AH1001" s="253">
        <f t="shared" si="17"/>
        <v>202412</v>
      </c>
    </row>
    <row r="1002" spans="3:34" ht="15.75" hidden="1">
      <c r="C1002" s="237">
        <v>45645</v>
      </c>
      <c r="D1002" s="238">
        <f>IFERROR((HLOOKUP($AH1002,Target_monthwise!$D$4:$O$20,DTR!D$4,FALSE))*1000,0)</f>
        <v>0</v>
      </c>
      <c r="E1002" s="238">
        <f>IFERROR((HLOOKUP($AH1002,Target_monthwise!$D$4:$O$20,DTR!E$4,FALSE))*1000,0)</f>
        <v>0</v>
      </c>
      <c r="F1002" s="238">
        <f>IFERROR((HLOOKUP($AH1002,Target_monthwise!$D$4:$O$20,DTR!F$4,FALSE))*1000,0)</f>
        <v>0</v>
      </c>
      <c r="G1002" s="238">
        <f>IFERROR((HLOOKUP($AH1002,Target_monthwise!$D$4:$O$20,DTR!G$4,FALSE))*1000,0)</f>
        <v>0</v>
      </c>
      <c r="H1002" s="238">
        <f>IFERROR((HLOOKUP($AH1002,Target_monthwise!$D$4:$O$20,DTR!H$4,FALSE))*1000,0)</f>
        <v>0</v>
      </c>
      <c r="I1002" s="238">
        <f>IFERROR((HLOOKUP($AH1002,Target_monthwise!$D$4:$O$20,DTR!I$4,FALSE))*1000,0)</f>
        <v>0</v>
      </c>
      <c r="J1002" s="238">
        <f>IFERROR((HLOOKUP($AH1002,Target_monthwise!$D$4:$O$20,DTR!J$4,FALSE))*1000,0)</f>
        <v>0</v>
      </c>
      <c r="K1002" s="238">
        <f>IFERROR((HLOOKUP($AH1002,Target_monthwise!$D$4:$O$20,DTR!K$4,FALSE))*1000,0)</f>
        <v>0</v>
      </c>
      <c r="L1002" s="238">
        <f>IFERROR((HLOOKUP($AH1002,Target_monthwise!$D$4:$O$20,DTR!L$4,FALSE))*1000,0)</f>
        <v>0</v>
      </c>
      <c r="M1002" s="238">
        <f>IFERROR((HLOOKUP($AH1002,Target_monthwise!$D$4:$O$20,DTR!M$4,FALSE))*1000,0)</f>
        <v>0</v>
      </c>
      <c r="N1002" s="238">
        <f>IFERROR((HLOOKUP($AH1002,Target_monthwise!$D$4:$O$20,DTR!N$4,FALSE))*1000,0)</f>
        <v>0</v>
      </c>
      <c r="O1002" s="238">
        <f>IFERROR((HLOOKUP($AH1002,Target_monthwise!$D$4:$O$20,DTR!O$4,FALSE))*1000,0)</f>
        <v>0</v>
      </c>
      <c r="P1002" s="238">
        <f>IFERROR((HLOOKUP($AH1002,Target_monthwise!$D$4:$O$20,DTR!P$4,FALSE))*1000,0)</f>
        <v>0</v>
      </c>
      <c r="Q1002" s="141">
        <f>IFERROR((HLOOKUP($AH1002,Target_monthwise!$D$4:$O$20,DTR!Q$4,FALSE))*1000,0)</f>
        <v>0</v>
      </c>
      <c r="R1002" s="167">
        <f>IFERROR((HLOOKUP($AH1002,Target_monthwise!$D$4:$O$20,DTR!R$4,FALSE))*1000,0)</f>
        <v>0</v>
      </c>
      <c r="S1002" s="239">
        <f>IFERROR((HLOOKUP($AH1002,Target_monthwise!$D$24:$O$40,DTR!S$4,FALSE)),0)</f>
        <v>0</v>
      </c>
      <c r="T1002" s="239">
        <f>IFERROR((HLOOKUP($AH1002,Target_monthwise!$D$24:$O$40,DTR!T$4,FALSE)),0)</f>
        <v>0</v>
      </c>
      <c r="U1002" s="239">
        <f>IFERROR((HLOOKUP($AH1002,Target_monthwise!$D$24:$O$40,DTR!U$4,FALSE)),0)</f>
        <v>0</v>
      </c>
      <c r="V1002" s="239">
        <f>IFERROR((HLOOKUP($AH1002,Target_monthwise!$D$24:$O$40,DTR!V$4,FALSE)),0)</f>
        <v>0</v>
      </c>
      <c r="W1002" s="239">
        <f>IFERROR((HLOOKUP($AH1002,Target_monthwise!$D$24:$O$40,DTR!W$4,FALSE)),0)</f>
        <v>0</v>
      </c>
      <c r="X1002" s="239">
        <f>IFERROR((HLOOKUP($AH1002,Target_monthwise!$D$24:$O$40,DTR!X$4,FALSE)),0)</f>
        <v>0</v>
      </c>
      <c r="Y1002" s="239">
        <f>IFERROR((HLOOKUP($AH1002,Target_monthwise!$D$24:$O$40,DTR!Y$4,FALSE)),0)</f>
        <v>0</v>
      </c>
      <c r="Z1002" s="147">
        <f>IFERROR((HLOOKUP($AH1002,Target_monthwise!$D$24:$O$40,DTR!Z$4,FALSE)),0)</f>
        <v>0</v>
      </c>
      <c r="AA1002" s="147">
        <f>IFERROR((HLOOKUP($AH1002,Target_monthwise!$D$24:$O$40,DTR!AA$4,FALSE)),0)</f>
        <v>0</v>
      </c>
      <c r="AB1002" s="147">
        <f>IFERROR((HLOOKUP($AH1002,Target_monthwise!$D$24:$O$40,DTR!AB$4,FALSE)),0)</f>
        <v>0</v>
      </c>
      <c r="AC1002" s="239">
        <f>IFERROR((HLOOKUP($AH1002,Target_monthwise!$D$24:$O$40,DTR!AC$4,FALSE)),0)</f>
        <v>0</v>
      </c>
      <c r="AD1002" s="239">
        <f>IFERROR((HLOOKUP($AH1002,Target_monthwise!$D$24:$O$40,DTR!AD$4,FALSE)),0)</f>
        <v>0</v>
      </c>
      <c r="AE1002" s="239">
        <f>IFERROR((HLOOKUP($AH1002,Target_monthwise!$D$24:$O$40,DTR!AE$4,FALSE)),0)</f>
        <v>0</v>
      </c>
      <c r="AF1002" s="239">
        <f>IFERROR((HLOOKUP($AH1002,Target_monthwise!$D$24:$O$40,DTR!AF$4,FALSE)),0)</f>
        <v>0</v>
      </c>
      <c r="AG1002" s="172">
        <f>IFERROR((HLOOKUP($AH1002,Target_monthwise!$D$24:$O$40,DTR!AG$4,FALSE)),0)</f>
        <v>0</v>
      </c>
      <c r="AH1002" s="253">
        <f t="shared" si="17"/>
        <v>202412</v>
      </c>
    </row>
    <row r="1003" spans="3:34" ht="15.75" hidden="1">
      <c r="C1003" s="235">
        <v>45646</v>
      </c>
      <c r="D1003" s="141">
        <f>IFERROR((HLOOKUP($AH1003,Target_monthwise!$D$4:$O$20,DTR!D$4,FALSE))*1000,0)</f>
        <v>0</v>
      </c>
      <c r="E1003" s="141">
        <f>IFERROR((HLOOKUP($AH1003,Target_monthwise!$D$4:$O$20,DTR!E$4,FALSE))*1000,0)</f>
        <v>0</v>
      </c>
      <c r="F1003" s="141">
        <f>IFERROR((HLOOKUP($AH1003,Target_monthwise!$D$4:$O$20,DTR!F$4,FALSE))*1000,0)</f>
        <v>0</v>
      </c>
      <c r="G1003" s="141">
        <f>IFERROR((HLOOKUP($AH1003,Target_monthwise!$D$4:$O$20,DTR!G$4,FALSE))*1000,0)</f>
        <v>0</v>
      </c>
      <c r="H1003" s="141">
        <f>IFERROR((HLOOKUP($AH1003,Target_monthwise!$D$4:$O$20,DTR!H$4,FALSE))*1000,0)</f>
        <v>0</v>
      </c>
      <c r="I1003" s="141">
        <f>IFERROR((HLOOKUP($AH1003,Target_monthwise!$D$4:$O$20,DTR!I$4,FALSE))*1000,0)</f>
        <v>0</v>
      </c>
      <c r="J1003" s="141">
        <f>IFERROR((HLOOKUP($AH1003,Target_monthwise!$D$4:$O$20,DTR!J$4,FALSE))*1000,0)</f>
        <v>0</v>
      </c>
      <c r="K1003" s="141">
        <f>IFERROR((HLOOKUP($AH1003,Target_monthwise!$D$4:$O$20,DTR!K$4,FALSE))*1000,0)</f>
        <v>0</v>
      </c>
      <c r="L1003" s="141">
        <f>IFERROR((HLOOKUP($AH1003,Target_monthwise!$D$4:$O$20,DTR!L$4,FALSE))*1000,0)</f>
        <v>0</v>
      </c>
      <c r="M1003" s="141">
        <f>IFERROR((HLOOKUP($AH1003,Target_monthwise!$D$4:$O$20,DTR!M$4,FALSE))*1000,0)</f>
        <v>0</v>
      </c>
      <c r="N1003" s="141">
        <f>IFERROR((HLOOKUP($AH1003,Target_monthwise!$D$4:$O$20,DTR!N$4,FALSE))*1000,0)</f>
        <v>0</v>
      </c>
      <c r="O1003" s="141">
        <f>IFERROR((HLOOKUP($AH1003,Target_monthwise!$D$4:$O$20,DTR!O$4,FALSE))*1000,0)</f>
        <v>0</v>
      </c>
      <c r="P1003" s="141">
        <f>IFERROR((HLOOKUP($AH1003,Target_monthwise!$D$4:$O$20,DTR!P$4,FALSE))*1000,0)</f>
        <v>0</v>
      </c>
      <c r="Q1003" s="141">
        <f>IFERROR((HLOOKUP($AH1003,Target_monthwise!$D$4:$O$20,DTR!Q$4,FALSE))*1000,0)</f>
        <v>0</v>
      </c>
      <c r="R1003" s="167">
        <f>IFERROR((HLOOKUP($AH1003,Target_monthwise!$D$4:$O$20,DTR!R$4,FALSE))*1000,0)</f>
        <v>0</v>
      </c>
      <c r="S1003" s="147">
        <f>IFERROR((HLOOKUP($AH1003,Target_monthwise!$D$24:$O$40,DTR!S$4,FALSE)),0)</f>
        <v>0</v>
      </c>
      <c r="T1003" s="147">
        <f>IFERROR((HLOOKUP($AH1003,Target_monthwise!$D$24:$O$40,DTR!T$4,FALSE)),0)</f>
        <v>0</v>
      </c>
      <c r="U1003" s="147">
        <f>IFERROR((HLOOKUP($AH1003,Target_monthwise!$D$24:$O$40,DTR!U$4,FALSE)),0)</f>
        <v>0</v>
      </c>
      <c r="V1003" s="147">
        <f>IFERROR((HLOOKUP($AH1003,Target_monthwise!$D$24:$O$40,DTR!V$4,FALSE)),0)</f>
        <v>0</v>
      </c>
      <c r="W1003" s="147">
        <f>IFERROR((HLOOKUP($AH1003,Target_monthwise!$D$24:$O$40,DTR!W$4,FALSE)),0)</f>
        <v>0</v>
      </c>
      <c r="X1003" s="147">
        <f>IFERROR((HLOOKUP($AH1003,Target_monthwise!$D$24:$O$40,DTR!X$4,FALSE)),0)</f>
        <v>0</v>
      </c>
      <c r="Y1003" s="147">
        <f>IFERROR((HLOOKUP($AH1003,Target_monthwise!$D$24:$O$40,DTR!Y$4,FALSE)),0)</f>
        <v>0</v>
      </c>
      <c r="Z1003" s="147">
        <f>IFERROR((HLOOKUP($AH1003,Target_monthwise!$D$24:$O$40,DTR!Z$4,FALSE)),0)</f>
        <v>0</v>
      </c>
      <c r="AA1003" s="147">
        <f>IFERROR((HLOOKUP($AH1003,Target_monthwise!$D$24:$O$40,DTR!AA$4,FALSE)),0)</f>
        <v>0</v>
      </c>
      <c r="AB1003" s="147">
        <f>IFERROR((HLOOKUP($AH1003,Target_monthwise!$D$24:$O$40,DTR!AB$4,FALSE)),0)</f>
        <v>0</v>
      </c>
      <c r="AC1003" s="147">
        <f>IFERROR((HLOOKUP($AH1003,Target_monthwise!$D$24:$O$40,DTR!AC$4,FALSE)),0)</f>
        <v>0</v>
      </c>
      <c r="AD1003" s="147">
        <f>IFERROR((HLOOKUP($AH1003,Target_monthwise!$D$24:$O$40,DTR!AD$4,FALSE)),0)</f>
        <v>0</v>
      </c>
      <c r="AE1003" s="147">
        <f>IFERROR((HLOOKUP($AH1003,Target_monthwise!$D$24:$O$40,DTR!AE$4,FALSE)),0)</f>
        <v>0</v>
      </c>
      <c r="AF1003" s="147">
        <f>IFERROR((HLOOKUP($AH1003,Target_monthwise!$D$24:$O$40,DTR!AF$4,FALSE)),0)</f>
        <v>0</v>
      </c>
      <c r="AG1003" s="172">
        <f>IFERROR((HLOOKUP($AH1003,Target_monthwise!$D$24:$O$40,DTR!AG$4,FALSE)),0)</f>
        <v>0</v>
      </c>
      <c r="AH1003" s="253">
        <f t="shared" si="17"/>
        <v>202412</v>
      </c>
    </row>
    <row r="1004" spans="3:34" ht="15.75" hidden="1">
      <c r="C1004" s="237">
        <v>45647</v>
      </c>
      <c r="D1004" s="238">
        <f>IFERROR((HLOOKUP($AH1004,Target_monthwise!$D$4:$O$20,DTR!D$4,FALSE))*1000,0)</f>
        <v>0</v>
      </c>
      <c r="E1004" s="238">
        <f>IFERROR((HLOOKUP($AH1004,Target_monthwise!$D$4:$O$20,DTR!E$4,FALSE))*1000,0)</f>
        <v>0</v>
      </c>
      <c r="F1004" s="238">
        <f>IFERROR((HLOOKUP($AH1004,Target_monthwise!$D$4:$O$20,DTR!F$4,FALSE))*1000,0)</f>
        <v>0</v>
      </c>
      <c r="G1004" s="238">
        <f>IFERROR((HLOOKUP($AH1004,Target_monthwise!$D$4:$O$20,DTR!G$4,FALSE))*1000,0)</f>
        <v>0</v>
      </c>
      <c r="H1004" s="238">
        <f>IFERROR((HLOOKUP($AH1004,Target_monthwise!$D$4:$O$20,DTR!H$4,FALSE))*1000,0)</f>
        <v>0</v>
      </c>
      <c r="I1004" s="238">
        <f>IFERROR((HLOOKUP($AH1004,Target_monthwise!$D$4:$O$20,DTR!I$4,FALSE))*1000,0)</f>
        <v>0</v>
      </c>
      <c r="J1004" s="238">
        <f>IFERROR((HLOOKUP($AH1004,Target_monthwise!$D$4:$O$20,DTR!J$4,FALSE))*1000,0)</f>
        <v>0</v>
      </c>
      <c r="K1004" s="238">
        <f>IFERROR((HLOOKUP($AH1004,Target_monthwise!$D$4:$O$20,DTR!K$4,FALSE))*1000,0)</f>
        <v>0</v>
      </c>
      <c r="L1004" s="238">
        <f>IFERROR((HLOOKUP($AH1004,Target_monthwise!$D$4:$O$20,DTR!L$4,FALSE))*1000,0)</f>
        <v>0</v>
      </c>
      <c r="M1004" s="238">
        <f>IFERROR((HLOOKUP($AH1004,Target_monthwise!$D$4:$O$20,DTR!M$4,FALSE))*1000,0)</f>
        <v>0</v>
      </c>
      <c r="N1004" s="238">
        <f>IFERROR((HLOOKUP($AH1004,Target_monthwise!$D$4:$O$20,DTR!N$4,FALSE))*1000,0)</f>
        <v>0</v>
      </c>
      <c r="O1004" s="238">
        <f>IFERROR((HLOOKUP($AH1004,Target_monthwise!$D$4:$O$20,DTR!O$4,FALSE))*1000,0)</f>
        <v>0</v>
      </c>
      <c r="P1004" s="238">
        <f>IFERROR((HLOOKUP($AH1004,Target_monthwise!$D$4:$O$20,DTR!P$4,FALSE))*1000,0)</f>
        <v>0</v>
      </c>
      <c r="Q1004" s="141">
        <f>IFERROR((HLOOKUP($AH1004,Target_monthwise!$D$4:$O$20,DTR!Q$4,FALSE))*1000,0)</f>
        <v>0</v>
      </c>
      <c r="R1004" s="167">
        <f>IFERROR((HLOOKUP($AH1004,Target_monthwise!$D$4:$O$20,DTR!R$4,FALSE))*1000,0)</f>
        <v>0</v>
      </c>
      <c r="S1004" s="239">
        <f>IFERROR((HLOOKUP($AH1004,Target_monthwise!$D$24:$O$40,DTR!S$4,FALSE)),0)</f>
        <v>0</v>
      </c>
      <c r="T1004" s="239">
        <f>IFERROR((HLOOKUP($AH1004,Target_monthwise!$D$24:$O$40,DTR!T$4,FALSE)),0)</f>
        <v>0</v>
      </c>
      <c r="U1004" s="239">
        <f>IFERROR((HLOOKUP($AH1004,Target_monthwise!$D$24:$O$40,DTR!U$4,FALSE)),0)</f>
        <v>0</v>
      </c>
      <c r="V1004" s="239">
        <f>IFERROR((HLOOKUP($AH1004,Target_monthwise!$D$24:$O$40,DTR!V$4,FALSE)),0)</f>
        <v>0</v>
      </c>
      <c r="W1004" s="239">
        <f>IFERROR((HLOOKUP($AH1004,Target_monthwise!$D$24:$O$40,DTR!W$4,FALSE)),0)</f>
        <v>0</v>
      </c>
      <c r="X1004" s="239">
        <f>IFERROR((HLOOKUP($AH1004,Target_monthwise!$D$24:$O$40,DTR!X$4,FALSE)),0)</f>
        <v>0</v>
      </c>
      <c r="Y1004" s="239">
        <f>IFERROR((HLOOKUP($AH1004,Target_monthwise!$D$24:$O$40,DTR!Y$4,FALSE)),0)</f>
        <v>0</v>
      </c>
      <c r="Z1004" s="147">
        <f>IFERROR((HLOOKUP($AH1004,Target_monthwise!$D$24:$O$40,DTR!Z$4,FALSE)),0)</f>
        <v>0</v>
      </c>
      <c r="AA1004" s="147">
        <f>IFERROR((HLOOKUP($AH1004,Target_monthwise!$D$24:$O$40,DTR!AA$4,FALSE)),0)</f>
        <v>0</v>
      </c>
      <c r="AB1004" s="147">
        <f>IFERROR((HLOOKUP($AH1004,Target_monthwise!$D$24:$O$40,DTR!AB$4,FALSE)),0)</f>
        <v>0</v>
      </c>
      <c r="AC1004" s="239">
        <f>IFERROR((HLOOKUP($AH1004,Target_monthwise!$D$24:$O$40,DTR!AC$4,FALSE)),0)</f>
        <v>0</v>
      </c>
      <c r="AD1004" s="239">
        <f>IFERROR((HLOOKUP($AH1004,Target_monthwise!$D$24:$O$40,DTR!AD$4,FALSE)),0)</f>
        <v>0</v>
      </c>
      <c r="AE1004" s="239">
        <f>IFERROR((HLOOKUP($AH1004,Target_monthwise!$D$24:$O$40,DTR!AE$4,FALSE)),0)</f>
        <v>0</v>
      </c>
      <c r="AF1004" s="239">
        <f>IFERROR((HLOOKUP($AH1004,Target_monthwise!$D$24:$O$40,DTR!AF$4,FALSE)),0)</f>
        <v>0</v>
      </c>
      <c r="AG1004" s="172">
        <f>IFERROR((HLOOKUP($AH1004,Target_monthwise!$D$24:$O$40,DTR!AG$4,FALSE)),0)</f>
        <v>0</v>
      </c>
      <c r="AH1004" s="253">
        <f t="shared" si="17"/>
        <v>202412</v>
      </c>
    </row>
    <row r="1005" spans="3:34" ht="15.75" hidden="1">
      <c r="C1005" s="235">
        <v>45648</v>
      </c>
      <c r="D1005" s="141">
        <f>IFERROR((HLOOKUP($AH1005,Target_monthwise!$D$4:$O$20,DTR!D$4,FALSE))*1000,0)</f>
        <v>0</v>
      </c>
      <c r="E1005" s="141">
        <f>IFERROR((HLOOKUP($AH1005,Target_monthwise!$D$4:$O$20,DTR!E$4,FALSE))*1000,0)</f>
        <v>0</v>
      </c>
      <c r="F1005" s="141">
        <f>IFERROR((HLOOKUP($AH1005,Target_monthwise!$D$4:$O$20,DTR!F$4,FALSE))*1000,0)</f>
        <v>0</v>
      </c>
      <c r="G1005" s="141">
        <f>IFERROR((HLOOKUP($AH1005,Target_monthwise!$D$4:$O$20,DTR!G$4,FALSE))*1000,0)</f>
        <v>0</v>
      </c>
      <c r="H1005" s="141">
        <f>IFERROR((HLOOKUP($AH1005,Target_monthwise!$D$4:$O$20,DTR!H$4,FALSE))*1000,0)</f>
        <v>0</v>
      </c>
      <c r="I1005" s="141">
        <f>IFERROR((HLOOKUP($AH1005,Target_monthwise!$D$4:$O$20,DTR!I$4,FALSE))*1000,0)</f>
        <v>0</v>
      </c>
      <c r="J1005" s="141">
        <f>IFERROR((HLOOKUP($AH1005,Target_monthwise!$D$4:$O$20,DTR!J$4,FALSE))*1000,0)</f>
        <v>0</v>
      </c>
      <c r="K1005" s="141">
        <f>IFERROR((HLOOKUP($AH1005,Target_monthwise!$D$4:$O$20,DTR!K$4,FALSE))*1000,0)</f>
        <v>0</v>
      </c>
      <c r="L1005" s="141">
        <f>IFERROR((HLOOKUP($AH1005,Target_monthwise!$D$4:$O$20,DTR!L$4,FALSE))*1000,0)</f>
        <v>0</v>
      </c>
      <c r="M1005" s="141">
        <f>IFERROR((HLOOKUP($AH1005,Target_monthwise!$D$4:$O$20,DTR!M$4,FALSE))*1000,0)</f>
        <v>0</v>
      </c>
      <c r="N1005" s="141">
        <f>IFERROR((HLOOKUP($AH1005,Target_monthwise!$D$4:$O$20,DTR!N$4,FALSE))*1000,0)</f>
        <v>0</v>
      </c>
      <c r="O1005" s="141">
        <f>IFERROR((HLOOKUP($AH1005,Target_monthwise!$D$4:$O$20,DTR!O$4,FALSE))*1000,0)</f>
        <v>0</v>
      </c>
      <c r="P1005" s="141">
        <f>IFERROR((HLOOKUP($AH1005,Target_monthwise!$D$4:$O$20,DTR!P$4,FALSE))*1000,0)</f>
        <v>0</v>
      </c>
      <c r="Q1005" s="141">
        <f>IFERROR((HLOOKUP($AH1005,Target_monthwise!$D$4:$O$20,DTR!Q$4,FALSE))*1000,0)</f>
        <v>0</v>
      </c>
      <c r="R1005" s="167">
        <f>IFERROR((HLOOKUP($AH1005,Target_monthwise!$D$4:$O$20,DTR!R$4,FALSE))*1000,0)</f>
        <v>0</v>
      </c>
      <c r="S1005" s="147">
        <f>IFERROR((HLOOKUP($AH1005,Target_monthwise!$D$24:$O$40,DTR!S$4,FALSE)),0)</f>
        <v>0</v>
      </c>
      <c r="T1005" s="147">
        <f>IFERROR((HLOOKUP($AH1005,Target_monthwise!$D$24:$O$40,DTR!T$4,FALSE)),0)</f>
        <v>0</v>
      </c>
      <c r="U1005" s="147">
        <f>IFERROR((HLOOKUP($AH1005,Target_monthwise!$D$24:$O$40,DTR!U$4,FALSE)),0)</f>
        <v>0</v>
      </c>
      <c r="V1005" s="147">
        <f>IFERROR((HLOOKUP($AH1005,Target_monthwise!$D$24:$O$40,DTR!V$4,FALSE)),0)</f>
        <v>0</v>
      </c>
      <c r="W1005" s="147">
        <f>IFERROR((HLOOKUP($AH1005,Target_monthwise!$D$24:$O$40,DTR!W$4,FALSE)),0)</f>
        <v>0</v>
      </c>
      <c r="X1005" s="147">
        <f>IFERROR((HLOOKUP($AH1005,Target_monthwise!$D$24:$O$40,DTR!X$4,FALSE)),0)</f>
        <v>0</v>
      </c>
      <c r="Y1005" s="147">
        <f>IFERROR((HLOOKUP($AH1005,Target_monthwise!$D$24:$O$40,DTR!Y$4,FALSE)),0)</f>
        <v>0</v>
      </c>
      <c r="Z1005" s="147">
        <f>IFERROR((HLOOKUP($AH1005,Target_monthwise!$D$24:$O$40,DTR!Z$4,FALSE)),0)</f>
        <v>0</v>
      </c>
      <c r="AA1005" s="147">
        <f>IFERROR((HLOOKUP($AH1005,Target_monthwise!$D$24:$O$40,DTR!AA$4,FALSE)),0)</f>
        <v>0</v>
      </c>
      <c r="AB1005" s="147">
        <f>IFERROR((HLOOKUP($AH1005,Target_monthwise!$D$24:$O$40,DTR!AB$4,FALSE)),0)</f>
        <v>0</v>
      </c>
      <c r="AC1005" s="147">
        <f>IFERROR((HLOOKUP($AH1005,Target_monthwise!$D$24:$O$40,DTR!AC$4,FALSE)),0)</f>
        <v>0</v>
      </c>
      <c r="AD1005" s="147">
        <f>IFERROR((HLOOKUP($AH1005,Target_monthwise!$D$24:$O$40,DTR!AD$4,FALSE)),0)</f>
        <v>0</v>
      </c>
      <c r="AE1005" s="147">
        <f>IFERROR((HLOOKUP($AH1005,Target_monthwise!$D$24:$O$40,DTR!AE$4,FALSE)),0)</f>
        <v>0</v>
      </c>
      <c r="AF1005" s="147">
        <f>IFERROR((HLOOKUP($AH1005,Target_monthwise!$D$24:$O$40,DTR!AF$4,FALSE)),0)</f>
        <v>0</v>
      </c>
      <c r="AG1005" s="172">
        <f>IFERROR((HLOOKUP($AH1005,Target_monthwise!$D$24:$O$40,DTR!AG$4,FALSE)),0)</f>
        <v>0</v>
      </c>
      <c r="AH1005" s="253">
        <f t="shared" si="17"/>
        <v>202412</v>
      </c>
    </row>
    <row r="1006" spans="3:34" ht="15.75" hidden="1">
      <c r="C1006" s="237">
        <v>45649</v>
      </c>
      <c r="D1006" s="238">
        <f>IFERROR((HLOOKUP($AH1006,Target_monthwise!$D$4:$O$20,DTR!D$4,FALSE))*1000,0)</f>
        <v>0</v>
      </c>
      <c r="E1006" s="238">
        <f>IFERROR((HLOOKUP($AH1006,Target_monthwise!$D$4:$O$20,DTR!E$4,FALSE))*1000,0)</f>
        <v>0</v>
      </c>
      <c r="F1006" s="238">
        <f>IFERROR((HLOOKUP($AH1006,Target_monthwise!$D$4:$O$20,DTR!F$4,FALSE))*1000,0)</f>
        <v>0</v>
      </c>
      <c r="G1006" s="238">
        <f>IFERROR((HLOOKUP($AH1006,Target_monthwise!$D$4:$O$20,DTR!G$4,FALSE))*1000,0)</f>
        <v>0</v>
      </c>
      <c r="H1006" s="238">
        <f>IFERROR((HLOOKUP($AH1006,Target_monthwise!$D$4:$O$20,DTR!H$4,FALSE))*1000,0)</f>
        <v>0</v>
      </c>
      <c r="I1006" s="238">
        <f>IFERROR((HLOOKUP($AH1006,Target_monthwise!$D$4:$O$20,DTR!I$4,FALSE))*1000,0)</f>
        <v>0</v>
      </c>
      <c r="J1006" s="238">
        <f>IFERROR((HLOOKUP($AH1006,Target_monthwise!$D$4:$O$20,DTR!J$4,FALSE))*1000,0)</f>
        <v>0</v>
      </c>
      <c r="K1006" s="238">
        <f>IFERROR((HLOOKUP($AH1006,Target_monthwise!$D$4:$O$20,DTR!K$4,FALSE))*1000,0)</f>
        <v>0</v>
      </c>
      <c r="L1006" s="238">
        <f>IFERROR((HLOOKUP($AH1006,Target_monthwise!$D$4:$O$20,DTR!L$4,FALSE))*1000,0)</f>
        <v>0</v>
      </c>
      <c r="M1006" s="238">
        <f>IFERROR((HLOOKUP($AH1006,Target_monthwise!$D$4:$O$20,DTR!M$4,FALSE))*1000,0)</f>
        <v>0</v>
      </c>
      <c r="N1006" s="238">
        <f>IFERROR((HLOOKUP($AH1006,Target_monthwise!$D$4:$O$20,DTR!N$4,FALSE))*1000,0)</f>
        <v>0</v>
      </c>
      <c r="O1006" s="238">
        <f>IFERROR((HLOOKUP($AH1006,Target_monthwise!$D$4:$O$20,DTR!O$4,FALSE))*1000,0)</f>
        <v>0</v>
      </c>
      <c r="P1006" s="238">
        <f>IFERROR((HLOOKUP($AH1006,Target_monthwise!$D$4:$O$20,DTR!P$4,FALSE))*1000,0)</f>
        <v>0</v>
      </c>
      <c r="Q1006" s="141">
        <f>IFERROR((HLOOKUP($AH1006,Target_monthwise!$D$4:$O$20,DTR!Q$4,FALSE))*1000,0)</f>
        <v>0</v>
      </c>
      <c r="R1006" s="167">
        <f>IFERROR((HLOOKUP($AH1006,Target_monthwise!$D$4:$O$20,DTR!R$4,FALSE))*1000,0)</f>
        <v>0</v>
      </c>
      <c r="S1006" s="239">
        <f>IFERROR((HLOOKUP($AH1006,Target_monthwise!$D$24:$O$40,DTR!S$4,FALSE)),0)</f>
        <v>0</v>
      </c>
      <c r="T1006" s="239">
        <f>IFERROR((HLOOKUP($AH1006,Target_monthwise!$D$24:$O$40,DTR!T$4,FALSE)),0)</f>
        <v>0</v>
      </c>
      <c r="U1006" s="239">
        <f>IFERROR((HLOOKUP($AH1006,Target_monthwise!$D$24:$O$40,DTR!U$4,FALSE)),0)</f>
        <v>0</v>
      </c>
      <c r="V1006" s="239">
        <f>IFERROR((HLOOKUP($AH1006,Target_monthwise!$D$24:$O$40,DTR!V$4,FALSE)),0)</f>
        <v>0</v>
      </c>
      <c r="W1006" s="239">
        <f>IFERROR((HLOOKUP($AH1006,Target_monthwise!$D$24:$O$40,DTR!W$4,FALSE)),0)</f>
        <v>0</v>
      </c>
      <c r="X1006" s="239">
        <f>IFERROR((HLOOKUP($AH1006,Target_monthwise!$D$24:$O$40,DTR!X$4,FALSE)),0)</f>
        <v>0</v>
      </c>
      <c r="Y1006" s="239">
        <f>IFERROR((HLOOKUP($AH1006,Target_monthwise!$D$24:$O$40,DTR!Y$4,FALSE)),0)</f>
        <v>0</v>
      </c>
      <c r="Z1006" s="147">
        <f>IFERROR((HLOOKUP($AH1006,Target_monthwise!$D$24:$O$40,DTR!Z$4,FALSE)),0)</f>
        <v>0</v>
      </c>
      <c r="AA1006" s="147">
        <f>IFERROR((HLOOKUP($AH1006,Target_monthwise!$D$24:$O$40,DTR!AA$4,FALSE)),0)</f>
        <v>0</v>
      </c>
      <c r="AB1006" s="147">
        <f>IFERROR((HLOOKUP($AH1006,Target_monthwise!$D$24:$O$40,DTR!AB$4,FALSE)),0)</f>
        <v>0</v>
      </c>
      <c r="AC1006" s="239">
        <f>IFERROR((HLOOKUP($AH1006,Target_monthwise!$D$24:$O$40,DTR!AC$4,FALSE)),0)</f>
        <v>0</v>
      </c>
      <c r="AD1006" s="239">
        <f>IFERROR((HLOOKUP($AH1006,Target_monthwise!$D$24:$O$40,DTR!AD$4,FALSE)),0)</f>
        <v>0</v>
      </c>
      <c r="AE1006" s="239">
        <f>IFERROR((HLOOKUP($AH1006,Target_monthwise!$D$24:$O$40,DTR!AE$4,FALSE)),0)</f>
        <v>0</v>
      </c>
      <c r="AF1006" s="239">
        <f>IFERROR((HLOOKUP($AH1006,Target_monthwise!$D$24:$O$40,DTR!AF$4,FALSE)),0)</f>
        <v>0</v>
      </c>
      <c r="AG1006" s="172">
        <f>IFERROR((HLOOKUP($AH1006,Target_monthwise!$D$24:$O$40,DTR!AG$4,FALSE)),0)</f>
        <v>0</v>
      </c>
      <c r="AH1006" s="253">
        <f t="shared" si="17"/>
        <v>202412</v>
      </c>
    </row>
    <row r="1007" spans="3:34" ht="15.75" hidden="1">
      <c r="C1007" s="235">
        <v>45650</v>
      </c>
      <c r="D1007" s="141">
        <f>IFERROR((HLOOKUP($AH1007,Target_monthwise!$D$4:$O$20,DTR!D$4,FALSE))*1000,0)</f>
        <v>0</v>
      </c>
      <c r="E1007" s="141">
        <f>IFERROR((HLOOKUP($AH1007,Target_monthwise!$D$4:$O$20,DTR!E$4,FALSE))*1000,0)</f>
        <v>0</v>
      </c>
      <c r="F1007" s="141">
        <f>IFERROR((HLOOKUP($AH1007,Target_monthwise!$D$4:$O$20,DTR!F$4,FALSE))*1000,0)</f>
        <v>0</v>
      </c>
      <c r="G1007" s="141">
        <f>IFERROR((HLOOKUP($AH1007,Target_monthwise!$D$4:$O$20,DTR!G$4,FALSE))*1000,0)</f>
        <v>0</v>
      </c>
      <c r="H1007" s="141">
        <f>IFERROR((HLOOKUP($AH1007,Target_monthwise!$D$4:$O$20,DTR!H$4,FALSE))*1000,0)</f>
        <v>0</v>
      </c>
      <c r="I1007" s="141">
        <f>IFERROR((HLOOKUP($AH1007,Target_monthwise!$D$4:$O$20,DTR!I$4,FALSE))*1000,0)</f>
        <v>0</v>
      </c>
      <c r="J1007" s="141">
        <f>IFERROR((HLOOKUP($AH1007,Target_monthwise!$D$4:$O$20,DTR!J$4,FALSE))*1000,0)</f>
        <v>0</v>
      </c>
      <c r="K1007" s="141">
        <f>IFERROR((HLOOKUP($AH1007,Target_monthwise!$D$4:$O$20,DTR!K$4,FALSE))*1000,0)</f>
        <v>0</v>
      </c>
      <c r="L1007" s="141">
        <f>IFERROR((HLOOKUP($AH1007,Target_monthwise!$D$4:$O$20,DTR!L$4,FALSE))*1000,0)</f>
        <v>0</v>
      </c>
      <c r="M1007" s="141">
        <f>IFERROR((HLOOKUP($AH1007,Target_monthwise!$D$4:$O$20,DTR!M$4,FALSE))*1000,0)</f>
        <v>0</v>
      </c>
      <c r="N1007" s="141">
        <f>IFERROR((HLOOKUP($AH1007,Target_monthwise!$D$4:$O$20,DTR!N$4,FALSE))*1000,0)</f>
        <v>0</v>
      </c>
      <c r="O1007" s="141">
        <f>IFERROR((HLOOKUP($AH1007,Target_monthwise!$D$4:$O$20,DTR!O$4,FALSE))*1000,0)</f>
        <v>0</v>
      </c>
      <c r="P1007" s="141">
        <f>IFERROR((HLOOKUP($AH1007,Target_monthwise!$D$4:$O$20,DTR!P$4,FALSE))*1000,0)</f>
        <v>0</v>
      </c>
      <c r="Q1007" s="141">
        <f>IFERROR((HLOOKUP($AH1007,Target_monthwise!$D$4:$O$20,DTR!Q$4,FALSE))*1000,0)</f>
        <v>0</v>
      </c>
      <c r="R1007" s="167">
        <f>IFERROR((HLOOKUP($AH1007,Target_monthwise!$D$4:$O$20,DTR!R$4,FALSE))*1000,0)</f>
        <v>0</v>
      </c>
      <c r="S1007" s="147">
        <f>IFERROR((HLOOKUP($AH1007,Target_monthwise!$D$24:$O$40,DTR!S$4,FALSE)),0)</f>
        <v>0</v>
      </c>
      <c r="T1007" s="147">
        <f>IFERROR((HLOOKUP($AH1007,Target_monthwise!$D$24:$O$40,DTR!T$4,FALSE)),0)</f>
        <v>0</v>
      </c>
      <c r="U1007" s="147">
        <f>IFERROR((HLOOKUP($AH1007,Target_monthwise!$D$24:$O$40,DTR!U$4,FALSE)),0)</f>
        <v>0</v>
      </c>
      <c r="V1007" s="147">
        <f>IFERROR((HLOOKUP($AH1007,Target_monthwise!$D$24:$O$40,DTR!V$4,FALSE)),0)</f>
        <v>0</v>
      </c>
      <c r="W1007" s="147">
        <f>IFERROR((HLOOKUP($AH1007,Target_monthwise!$D$24:$O$40,DTR!W$4,FALSE)),0)</f>
        <v>0</v>
      </c>
      <c r="X1007" s="147">
        <f>IFERROR((HLOOKUP($AH1007,Target_monthwise!$D$24:$O$40,DTR!X$4,FALSE)),0)</f>
        <v>0</v>
      </c>
      <c r="Y1007" s="147">
        <f>IFERROR((HLOOKUP($AH1007,Target_monthwise!$D$24:$O$40,DTR!Y$4,FALSE)),0)</f>
        <v>0</v>
      </c>
      <c r="Z1007" s="147">
        <f>IFERROR((HLOOKUP($AH1007,Target_monthwise!$D$24:$O$40,DTR!Z$4,FALSE)),0)</f>
        <v>0</v>
      </c>
      <c r="AA1007" s="147">
        <f>IFERROR((HLOOKUP($AH1007,Target_monthwise!$D$24:$O$40,DTR!AA$4,FALSE)),0)</f>
        <v>0</v>
      </c>
      <c r="AB1007" s="147">
        <f>IFERROR((HLOOKUP($AH1007,Target_monthwise!$D$24:$O$40,DTR!AB$4,FALSE)),0)</f>
        <v>0</v>
      </c>
      <c r="AC1007" s="147">
        <f>IFERROR((HLOOKUP($AH1007,Target_monthwise!$D$24:$O$40,DTR!AC$4,FALSE)),0)</f>
        <v>0</v>
      </c>
      <c r="AD1007" s="147">
        <f>IFERROR((HLOOKUP($AH1007,Target_monthwise!$D$24:$O$40,DTR!AD$4,FALSE)),0)</f>
        <v>0</v>
      </c>
      <c r="AE1007" s="147">
        <f>IFERROR((HLOOKUP($AH1007,Target_monthwise!$D$24:$O$40,DTR!AE$4,FALSE)),0)</f>
        <v>0</v>
      </c>
      <c r="AF1007" s="147">
        <f>IFERROR((HLOOKUP($AH1007,Target_monthwise!$D$24:$O$40,DTR!AF$4,FALSE)),0)</f>
        <v>0</v>
      </c>
      <c r="AG1007" s="172">
        <f>IFERROR((HLOOKUP($AH1007,Target_monthwise!$D$24:$O$40,DTR!AG$4,FALSE)),0)</f>
        <v>0</v>
      </c>
      <c r="AH1007" s="253">
        <f t="shared" si="17"/>
        <v>202412</v>
      </c>
    </row>
    <row r="1008" spans="3:34" ht="15.75" hidden="1">
      <c r="C1008" s="237">
        <v>45651</v>
      </c>
      <c r="D1008" s="238">
        <f>IFERROR((HLOOKUP($AH1008,Target_monthwise!$D$4:$O$20,DTR!D$4,FALSE))*1000,0)</f>
        <v>0</v>
      </c>
      <c r="E1008" s="238">
        <f>IFERROR((HLOOKUP($AH1008,Target_monthwise!$D$4:$O$20,DTR!E$4,FALSE))*1000,0)</f>
        <v>0</v>
      </c>
      <c r="F1008" s="238">
        <f>IFERROR((HLOOKUP($AH1008,Target_monthwise!$D$4:$O$20,DTR!F$4,FALSE))*1000,0)</f>
        <v>0</v>
      </c>
      <c r="G1008" s="238">
        <f>IFERROR((HLOOKUP($AH1008,Target_monthwise!$D$4:$O$20,DTR!G$4,FALSE))*1000,0)</f>
        <v>0</v>
      </c>
      <c r="H1008" s="238">
        <f>IFERROR((HLOOKUP($AH1008,Target_monthwise!$D$4:$O$20,DTR!H$4,FALSE))*1000,0)</f>
        <v>0</v>
      </c>
      <c r="I1008" s="238">
        <f>IFERROR((HLOOKUP($AH1008,Target_monthwise!$D$4:$O$20,DTR!I$4,FALSE))*1000,0)</f>
        <v>0</v>
      </c>
      <c r="J1008" s="238">
        <f>IFERROR((HLOOKUP($AH1008,Target_monthwise!$D$4:$O$20,DTR!J$4,FALSE))*1000,0)</f>
        <v>0</v>
      </c>
      <c r="K1008" s="238">
        <f>IFERROR((HLOOKUP($AH1008,Target_monthwise!$D$4:$O$20,DTR!K$4,FALSE))*1000,0)</f>
        <v>0</v>
      </c>
      <c r="L1008" s="238">
        <f>IFERROR((HLOOKUP($AH1008,Target_monthwise!$D$4:$O$20,DTR!L$4,FALSE))*1000,0)</f>
        <v>0</v>
      </c>
      <c r="M1008" s="238">
        <f>IFERROR((HLOOKUP($AH1008,Target_monthwise!$D$4:$O$20,DTR!M$4,FALSE))*1000,0)</f>
        <v>0</v>
      </c>
      <c r="N1008" s="238">
        <f>IFERROR((HLOOKUP($AH1008,Target_monthwise!$D$4:$O$20,DTR!N$4,FALSE))*1000,0)</f>
        <v>0</v>
      </c>
      <c r="O1008" s="238">
        <f>IFERROR((HLOOKUP($AH1008,Target_monthwise!$D$4:$O$20,DTR!O$4,FALSE))*1000,0)</f>
        <v>0</v>
      </c>
      <c r="P1008" s="238">
        <f>IFERROR((HLOOKUP($AH1008,Target_monthwise!$D$4:$O$20,DTR!P$4,FALSE))*1000,0)</f>
        <v>0</v>
      </c>
      <c r="Q1008" s="141">
        <f>IFERROR((HLOOKUP($AH1008,Target_monthwise!$D$4:$O$20,DTR!Q$4,FALSE))*1000,0)</f>
        <v>0</v>
      </c>
      <c r="R1008" s="167">
        <f>IFERROR((HLOOKUP($AH1008,Target_monthwise!$D$4:$O$20,DTR!R$4,FALSE))*1000,0)</f>
        <v>0</v>
      </c>
      <c r="S1008" s="239">
        <f>IFERROR((HLOOKUP($AH1008,Target_monthwise!$D$24:$O$40,DTR!S$4,FALSE)),0)</f>
        <v>0</v>
      </c>
      <c r="T1008" s="239">
        <f>IFERROR((HLOOKUP($AH1008,Target_monthwise!$D$24:$O$40,DTR!T$4,FALSE)),0)</f>
        <v>0</v>
      </c>
      <c r="U1008" s="239">
        <f>IFERROR((HLOOKUP($AH1008,Target_monthwise!$D$24:$O$40,DTR!U$4,FALSE)),0)</f>
        <v>0</v>
      </c>
      <c r="V1008" s="239">
        <f>IFERROR((HLOOKUP($AH1008,Target_monthwise!$D$24:$O$40,DTR!V$4,FALSE)),0)</f>
        <v>0</v>
      </c>
      <c r="W1008" s="239">
        <f>IFERROR((HLOOKUP($AH1008,Target_monthwise!$D$24:$O$40,DTR!W$4,FALSE)),0)</f>
        <v>0</v>
      </c>
      <c r="X1008" s="239">
        <f>IFERROR((HLOOKUP($AH1008,Target_monthwise!$D$24:$O$40,DTR!X$4,FALSE)),0)</f>
        <v>0</v>
      </c>
      <c r="Y1008" s="239">
        <f>IFERROR((HLOOKUP($AH1008,Target_monthwise!$D$24:$O$40,DTR!Y$4,FALSE)),0)</f>
        <v>0</v>
      </c>
      <c r="Z1008" s="147">
        <f>IFERROR((HLOOKUP($AH1008,Target_monthwise!$D$24:$O$40,DTR!Z$4,FALSE)),0)</f>
        <v>0</v>
      </c>
      <c r="AA1008" s="147">
        <f>IFERROR((HLOOKUP($AH1008,Target_monthwise!$D$24:$O$40,DTR!AA$4,FALSE)),0)</f>
        <v>0</v>
      </c>
      <c r="AB1008" s="147">
        <f>IFERROR((HLOOKUP($AH1008,Target_monthwise!$D$24:$O$40,DTR!AB$4,FALSE)),0)</f>
        <v>0</v>
      </c>
      <c r="AC1008" s="239">
        <f>IFERROR((HLOOKUP($AH1008,Target_monthwise!$D$24:$O$40,DTR!AC$4,FALSE)),0)</f>
        <v>0</v>
      </c>
      <c r="AD1008" s="239">
        <f>IFERROR((HLOOKUP($AH1008,Target_monthwise!$D$24:$O$40,DTR!AD$4,FALSE)),0)</f>
        <v>0</v>
      </c>
      <c r="AE1008" s="239">
        <f>IFERROR((HLOOKUP($AH1008,Target_monthwise!$D$24:$O$40,DTR!AE$4,FALSE)),0)</f>
        <v>0</v>
      </c>
      <c r="AF1008" s="239">
        <f>IFERROR((HLOOKUP($AH1008,Target_monthwise!$D$24:$O$40,DTR!AF$4,FALSE)),0)</f>
        <v>0</v>
      </c>
      <c r="AG1008" s="172">
        <f>IFERROR((HLOOKUP($AH1008,Target_monthwise!$D$24:$O$40,DTR!AG$4,FALSE)),0)</f>
        <v>0</v>
      </c>
      <c r="AH1008" s="253">
        <f t="shared" si="17"/>
        <v>202412</v>
      </c>
    </row>
    <row r="1009" spans="3:34" ht="15.75" hidden="1">
      <c r="C1009" s="235">
        <v>45652</v>
      </c>
      <c r="D1009" s="141">
        <f>IFERROR((HLOOKUP($AH1009,Target_monthwise!$D$4:$O$20,DTR!D$4,FALSE))*1000,0)</f>
        <v>0</v>
      </c>
      <c r="E1009" s="141">
        <f>IFERROR((HLOOKUP($AH1009,Target_monthwise!$D$4:$O$20,DTR!E$4,FALSE))*1000,0)</f>
        <v>0</v>
      </c>
      <c r="F1009" s="141">
        <f>IFERROR((HLOOKUP($AH1009,Target_monthwise!$D$4:$O$20,DTR!F$4,FALSE))*1000,0)</f>
        <v>0</v>
      </c>
      <c r="G1009" s="141">
        <f>IFERROR((HLOOKUP($AH1009,Target_monthwise!$D$4:$O$20,DTR!G$4,FALSE))*1000,0)</f>
        <v>0</v>
      </c>
      <c r="H1009" s="141">
        <f>IFERROR((HLOOKUP($AH1009,Target_monthwise!$D$4:$O$20,DTR!H$4,FALSE))*1000,0)</f>
        <v>0</v>
      </c>
      <c r="I1009" s="141">
        <f>IFERROR((HLOOKUP($AH1009,Target_monthwise!$D$4:$O$20,DTR!I$4,FALSE))*1000,0)</f>
        <v>0</v>
      </c>
      <c r="J1009" s="141">
        <f>IFERROR((HLOOKUP($AH1009,Target_monthwise!$D$4:$O$20,DTR!J$4,FALSE))*1000,0)</f>
        <v>0</v>
      </c>
      <c r="K1009" s="141">
        <f>IFERROR((HLOOKUP($AH1009,Target_monthwise!$D$4:$O$20,DTR!K$4,FALSE))*1000,0)</f>
        <v>0</v>
      </c>
      <c r="L1009" s="141">
        <f>IFERROR((HLOOKUP($AH1009,Target_monthwise!$D$4:$O$20,DTR!L$4,FALSE))*1000,0)</f>
        <v>0</v>
      </c>
      <c r="M1009" s="141">
        <f>IFERROR((HLOOKUP($AH1009,Target_monthwise!$D$4:$O$20,DTR!M$4,FALSE))*1000,0)</f>
        <v>0</v>
      </c>
      <c r="N1009" s="141">
        <f>IFERROR((HLOOKUP($AH1009,Target_monthwise!$D$4:$O$20,DTR!N$4,FALSE))*1000,0)</f>
        <v>0</v>
      </c>
      <c r="O1009" s="141">
        <f>IFERROR((HLOOKUP($AH1009,Target_monthwise!$D$4:$O$20,DTR!O$4,FALSE))*1000,0)</f>
        <v>0</v>
      </c>
      <c r="P1009" s="141">
        <f>IFERROR((HLOOKUP($AH1009,Target_monthwise!$D$4:$O$20,DTR!P$4,FALSE))*1000,0)</f>
        <v>0</v>
      </c>
      <c r="Q1009" s="141">
        <f>IFERROR((HLOOKUP($AH1009,Target_monthwise!$D$4:$O$20,DTR!Q$4,FALSE))*1000,0)</f>
        <v>0</v>
      </c>
      <c r="R1009" s="167">
        <f>IFERROR((HLOOKUP($AH1009,Target_monthwise!$D$4:$O$20,DTR!R$4,FALSE))*1000,0)</f>
        <v>0</v>
      </c>
      <c r="S1009" s="147">
        <f>IFERROR((HLOOKUP($AH1009,Target_monthwise!$D$24:$O$40,DTR!S$4,FALSE)),0)</f>
        <v>0</v>
      </c>
      <c r="T1009" s="147">
        <f>IFERROR((HLOOKUP($AH1009,Target_monthwise!$D$24:$O$40,DTR!T$4,FALSE)),0)</f>
        <v>0</v>
      </c>
      <c r="U1009" s="147">
        <f>IFERROR((HLOOKUP($AH1009,Target_monthwise!$D$24:$O$40,DTR!U$4,FALSE)),0)</f>
        <v>0</v>
      </c>
      <c r="V1009" s="147">
        <f>IFERROR((HLOOKUP($AH1009,Target_monthwise!$D$24:$O$40,DTR!V$4,FALSE)),0)</f>
        <v>0</v>
      </c>
      <c r="W1009" s="147">
        <f>IFERROR((HLOOKUP($AH1009,Target_monthwise!$D$24:$O$40,DTR!W$4,FALSE)),0)</f>
        <v>0</v>
      </c>
      <c r="X1009" s="147">
        <f>IFERROR((HLOOKUP($AH1009,Target_monthwise!$D$24:$O$40,DTR!X$4,FALSE)),0)</f>
        <v>0</v>
      </c>
      <c r="Y1009" s="147">
        <f>IFERROR((HLOOKUP($AH1009,Target_monthwise!$D$24:$O$40,DTR!Y$4,FALSE)),0)</f>
        <v>0</v>
      </c>
      <c r="Z1009" s="147">
        <f>IFERROR((HLOOKUP($AH1009,Target_monthwise!$D$24:$O$40,DTR!Z$4,FALSE)),0)</f>
        <v>0</v>
      </c>
      <c r="AA1009" s="147">
        <f>IFERROR((HLOOKUP($AH1009,Target_monthwise!$D$24:$O$40,DTR!AA$4,FALSE)),0)</f>
        <v>0</v>
      </c>
      <c r="AB1009" s="147">
        <f>IFERROR((HLOOKUP($AH1009,Target_monthwise!$D$24:$O$40,DTR!AB$4,FALSE)),0)</f>
        <v>0</v>
      </c>
      <c r="AC1009" s="147">
        <f>IFERROR((HLOOKUP($AH1009,Target_monthwise!$D$24:$O$40,DTR!AC$4,FALSE)),0)</f>
        <v>0</v>
      </c>
      <c r="AD1009" s="147">
        <f>IFERROR((HLOOKUP($AH1009,Target_monthwise!$D$24:$O$40,DTR!AD$4,FALSE)),0)</f>
        <v>0</v>
      </c>
      <c r="AE1009" s="147">
        <f>IFERROR((HLOOKUP($AH1009,Target_monthwise!$D$24:$O$40,DTR!AE$4,FALSE)),0)</f>
        <v>0</v>
      </c>
      <c r="AF1009" s="147">
        <f>IFERROR((HLOOKUP($AH1009,Target_monthwise!$D$24:$O$40,DTR!AF$4,FALSE)),0)</f>
        <v>0</v>
      </c>
      <c r="AG1009" s="172">
        <f>IFERROR((HLOOKUP($AH1009,Target_monthwise!$D$24:$O$40,DTR!AG$4,FALSE)),0)</f>
        <v>0</v>
      </c>
      <c r="AH1009" s="253">
        <f t="shared" si="17"/>
        <v>202412</v>
      </c>
    </row>
    <row r="1010" spans="3:34" ht="15.75" hidden="1">
      <c r="C1010" s="237">
        <v>45653</v>
      </c>
      <c r="D1010" s="238">
        <f>IFERROR((HLOOKUP($AH1010,Target_monthwise!$D$4:$O$20,DTR!D$4,FALSE))*1000,0)</f>
        <v>0</v>
      </c>
      <c r="E1010" s="238">
        <f>IFERROR((HLOOKUP($AH1010,Target_monthwise!$D$4:$O$20,DTR!E$4,FALSE))*1000,0)</f>
        <v>0</v>
      </c>
      <c r="F1010" s="238">
        <f>IFERROR((HLOOKUP($AH1010,Target_monthwise!$D$4:$O$20,DTR!F$4,FALSE))*1000,0)</f>
        <v>0</v>
      </c>
      <c r="G1010" s="238">
        <f>IFERROR((HLOOKUP($AH1010,Target_monthwise!$D$4:$O$20,DTR!G$4,FALSE))*1000,0)</f>
        <v>0</v>
      </c>
      <c r="H1010" s="238">
        <f>IFERROR((HLOOKUP($AH1010,Target_monthwise!$D$4:$O$20,DTR!H$4,FALSE))*1000,0)</f>
        <v>0</v>
      </c>
      <c r="I1010" s="238">
        <f>IFERROR((HLOOKUP($AH1010,Target_monthwise!$D$4:$O$20,DTR!I$4,FALSE))*1000,0)</f>
        <v>0</v>
      </c>
      <c r="J1010" s="238">
        <f>IFERROR((HLOOKUP($AH1010,Target_monthwise!$D$4:$O$20,DTR!J$4,FALSE))*1000,0)</f>
        <v>0</v>
      </c>
      <c r="K1010" s="238">
        <f>IFERROR((HLOOKUP($AH1010,Target_monthwise!$D$4:$O$20,DTR!K$4,FALSE))*1000,0)</f>
        <v>0</v>
      </c>
      <c r="L1010" s="238">
        <f>IFERROR((HLOOKUP($AH1010,Target_monthwise!$D$4:$O$20,DTR!L$4,FALSE))*1000,0)</f>
        <v>0</v>
      </c>
      <c r="M1010" s="238">
        <f>IFERROR((HLOOKUP($AH1010,Target_monthwise!$D$4:$O$20,DTR!M$4,FALSE))*1000,0)</f>
        <v>0</v>
      </c>
      <c r="N1010" s="238">
        <f>IFERROR((HLOOKUP($AH1010,Target_monthwise!$D$4:$O$20,DTR!N$4,FALSE))*1000,0)</f>
        <v>0</v>
      </c>
      <c r="O1010" s="238">
        <f>IFERROR((HLOOKUP($AH1010,Target_monthwise!$D$4:$O$20,DTR!O$4,FALSE))*1000,0)</f>
        <v>0</v>
      </c>
      <c r="P1010" s="238">
        <f>IFERROR((HLOOKUP($AH1010,Target_monthwise!$D$4:$O$20,DTR!P$4,FALSE))*1000,0)</f>
        <v>0</v>
      </c>
      <c r="Q1010" s="141">
        <f>IFERROR((HLOOKUP($AH1010,Target_monthwise!$D$4:$O$20,DTR!Q$4,FALSE))*1000,0)</f>
        <v>0</v>
      </c>
      <c r="R1010" s="167">
        <f>IFERROR((HLOOKUP($AH1010,Target_monthwise!$D$4:$O$20,DTR!R$4,FALSE))*1000,0)</f>
        <v>0</v>
      </c>
      <c r="S1010" s="239">
        <f>IFERROR((HLOOKUP($AH1010,Target_monthwise!$D$24:$O$40,DTR!S$4,FALSE)),0)</f>
        <v>0</v>
      </c>
      <c r="T1010" s="239">
        <f>IFERROR((HLOOKUP($AH1010,Target_monthwise!$D$24:$O$40,DTR!T$4,FALSE)),0)</f>
        <v>0</v>
      </c>
      <c r="U1010" s="239">
        <f>IFERROR((HLOOKUP($AH1010,Target_monthwise!$D$24:$O$40,DTR!U$4,FALSE)),0)</f>
        <v>0</v>
      </c>
      <c r="V1010" s="239">
        <f>IFERROR((HLOOKUP($AH1010,Target_monthwise!$D$24:$O$40,DTR!V$4,FALSE)),0)</f>
        <v>0</v>
      </c>
      <c r="W1010" s="239">
        <f>IFERROR((HLOOKUP($AH1010,Target_monthwise!$D$24:$O$40,DTR!W$4,FALSE)),0)</f>
        <v>0</v>
      </c>
      <c r="X1010" s="239">
        <f>IFERROR((HLOOKUP($AH1010,Target_monthwise!$D$24:$O$40,DTR!X$4,FALSE)),0)</f>
        <v>0</v>
      </c>
      <c r="Y1010" s="239">
        <f>IFERROR((HLOOKUP($AH1010,Target_monthwise!$D$24:$O$40,DTR!Y$4,FALSE)),0)</f>
        <v>0</v>
      </c>
      <c r="Z1010" s="147">
        <f>IFERROR((HLOOKUP($AH1010,Target_monthwise!$D$24:$O$40,DTR!Z$4,FALSE)),0)</f>
        <v>0</v>
      </c>
      <c r="AA1010" s="147">
        <f>IFERROR((HLOOKUP($AH1010,Target_monthwise!$D$24:$O$40,DTR!AA$4,FALSE)),0)</f>
        <v>0</v>
      </c>
      <c r="AB1010" s="147">
        <f>IFERROR((HLOOKUP($AH1010,Target_monthwise!$D$24:$O$40,DTR!AB$4,FALSE)),0)</f>
        <v>0</v>
      </c>
      <c r="AC1010" s="239">
        <f>IFERROR((HLOOKUP($AH1010,Target_monthwise!$D$24:$O$40,DTR!AC$4,FALSE)),0)</f>
        <v>0</v>
      </c>
      <c r="AD1010" s="239">
        <f>IFERROR((HLOOKUP($AH1010,Target_monthwise!$D$24:$O$40,DTR!AD$4,FALSE)),0)</f>
        <v>0</v>
      </c>
      <c r="AE1010" s="239">
        <f>IFERROR((HLOOKUP($AH1010,Target_monthwise!$D$24:$O$40,DTR!AE$4,FALSE)),0)</f>
        <v>0</v>
      </c>
      <c r="AF1010" s="239">
        <f>IFERROR((HLOOKUP($AH1010,Target_monthwise!$D$24:$O$40,DTR!AF$4,FALSE)),0)</f>
        <v>0</v>
      </c>
      <c r="AG1010" s="172">
        <f>IFERROR((HLOOKUP($AH1010,Target_monthwise!$D$24:$O$40,DTR!AG$4,FALSE)),0)</f>
        <v>0</v>
      </c>
      <c r="AH1010" s="253">
        <f t="shared" si="17"/>
        <v>202412</v>
      </c>
    </row>
    <row r="1011" spans="3:34" ht="15.75" hidden="1">
      <c r="C1011" s="235">
        <v>45654</v>
      </c>
      <c r="D1011" s="141">
        <f>IFERROR((HLOOKUP($AH1011,Target_monthwise!$D$4:$O$20,DTR!D$4,FALSE))*1000,0)</f>
        <v>0</v>
      </c>
      <c r="E1011" s="141">
        <f>IFERROR((HLOOKUP($AH1011,Target_monthwise!$D$4:$O$20,DTR!E$4,FALSE))*1000,0)</f>
        <v>0</v>
      </c>
      <c r="F1011" s="141">
        <f>IFERROR((HLOOKUP($AH1011,Target_monthwise!$D$4:$O$20,DTR!F$4,FALSE))*1000,0)</f>
        <v>0</v>
      </c>
      <c r="G1011" s="141">
        <f>IFERROR((HLOOKUP($AH1011,Target_monthwise!$D$4:$O$20,DTR!G$4,FALSE))*1000,0)</f>
        <v>0</v>
      </c>
      <c r="H1011" s="141">
        <f>IFERROR((HLOOKUP($AH1011,Target_monthwise!$D$4:$O$20,DTR!H$4,FALSE))*1000,0)</f>
        <v>0</v>
      </c>
      <c r="I1011" s="141">
        <f>IFERROR((HLOOKUP($AH1011,Target_monthwise!$D$4:$O$20,DTR!I$4,FALSE))*1000,0)</f>
        <v>0</v>
      </c>
      <c r="J1011" s="141">
        <f>IFERROR((HLOOKUP($AH1011,Target_monthwise!$D$4:$O$20,DTR!J$4,FALSE))*1000,0)</f>
        <v>0</v>
      </c>
      <c r="K1011" s="141">
        <f>IFERROR((HLOOKUP($AH1011,Target_monthwise!$D$4:$O$20,DTR!K$4,FALSE))*1000,0)</f>
        <v>0</v>
      </c>
      <c r="L1011" s="141">
        <f>IFERROR((HLOOKUP($AH1011,Target_monthwise!$D$4:$O$20,DTR!L$4,FALSE))*1000,0)</f>
        <v>0</v>
      </c>
      <c r="M1011" s="141">
        <f>IFERROR((HLOOKUP($AH1011,Target_monthwise!$D$4:$O$20,DTR!M$4,FALSE))*1000,0)</f>
        <v>0</v>
      </c>
      <c r="N1011" s="141">
        <f>IFERROR((HLOOKUP($AH1011,Target_monthwise!$D$4:$O$20,DTR!N$4,FALSE))*1000,0)</f>
        <v>0</v>
      </c>
      <c r="O1011" s="141">
        <f>IFERROR((HLOOKUP($AH1011,Target_monthwise!$D$4:$O$20,DTR!O$4,FALSE))*1000,0)</f>
        <v>0</v>
      </c>
      <c r="P1011" s="141">
        <f>IFERROR((HLOOKUP($AH1011,Target_monthwise!$D$4:$O$20,DTR!P$4,FALSE))*1000,0)</f>
        <v>0</v>
      </c>
      <c r="Q1011" s="141">
        <f>IFERROR((HLOOKUP($AH1011,Target_monthwise!$D$4:$O$20,DTR!Q$4,FALSE))*1000,0)</f>
        <v>0</v>
      </c>
      <c r="R1011" s="167">
        <f>IFERROR((HLOOKUP($AH1011,Target_monthwise!$D$4:$O$20,DTR!R$4,FALSE))*1000,0)</f>
        <v>0</v>
      </c>
      <c r="S1011" s="147">
        <f>IFERROR((HLOOKUP($AH1011,Target_monthwise!$D$24:$O$40,DTR!S$4,FALSE)),0)</f>
        <v>0</v>
      </c>
      <c r="T1011" s="147">
        <f>IFERROR((HLOOKUP($AH1011,Target_monthwise!$D$24:$O$40,DTR!T$4,FALSE)),0)</f>
        <v>0</v>
      </c>
      <c r="U1011" s="147">
        <f>IFERROR((HLOOKUP($AH1011,Target_monthwise!$D$24:$O$40,DTR!U$4,FALSE)),0)</f>
        <v>0</v>
      </c>
      <c r="V1011" s="147">
        <f>IFERROR((HLOOKUP($AH1011,Target_monthwise!$D$24:$O$40,DTR!V$4,FALSE)),0)</f>
        <v>0</v>
      </c>
      <c r="W1011" s="147">
        <f>IFERROR((HLOOKUP($AH1011,Target_monthwise!$D$24:$O$40,DTR!W$4,FALSE)),0)</f>
        <v>0</v>
      </c>
      <c r="X1011" s="147">
        <f>IFERROR((HLOOKUP($AH1011,Target_monthwise!$D$24:$O$40,DTR!X$4,FALSE)),0)</f>
        <v>0</v>
      </c>
      <c r="Y1011" s="147">
        <f>IFERROR((HLOOKUP($AH1011,Target_monthwise!$D$24:$O$40,DTR!Y$4,FALSE)),0)</f>
        <v>0</v>
      </c>
      <c r="Z1011" s="147">
        <f>IFERROR((HLOOKUP($AH1011,Target_monthwise!$D$24:$O$40,DTR!Z$4,FALSE)),0)</f>
        <v>0</v>
      </c>
      <c r="AA1011" s="147">
        <f>IFERROR((HLOOKUP($AH1011,Target_monthwise!$D$24:$O$40,DTR!AA$4,FALSE)),0)</f>
        <v>0</v>
      </c>
      <c r="AB1011" s="147">
        <f>IFERROR((HLOOKUP($AH1011,Target_monthwise!$D$24:$O$40,DTR!AB$4,FALSE)),0)</f>
        <v>0</v>
      </c>
      <c r="AC1011" s="147">
        <f>IFERROR((HLOOKUP($AH1011,Target_monthwise!$D$24:$O$40,DTR!AC$4,FALSE)),0)</f>
        <v>0</v>
      </c>
      <c r="AD1011" s="147">
        <f>IFERROR((HLOOKUP($AH1011,Target_monthwise!$D$24:$O$40,DTR!AD$4,FALSE)),0)</f>
        <v>0</v>
      </c>
      <c r="AE1011" s="147">
        <f>IFERROR((HLOOKUP($AH1011,Target_monthwise!$D$24:$O$40,DTR!AE$4,FALSE)),0)</f>
        <v>0</v>
      </c>
      <c r="AF1011" s="147">
        <f>IFERROR((HLOOKUP($AH1011,Target_monthwise!$D$24:$O$40,DTR!AF$4,FALSE)),0)</f>
        <v>0</v>
      </c>
      <c r="AG1011" s="172">
        <f>IFERROR((HLOOKUP($AH1011,Target_monthwise!$D$24:$O$40,DTR!AG$4,FALSE)),0)</f>
        <v>0</v>
      </c>
      <c r="AH1011" s="253">
        <f t="shared" ref="AH1011:AH1074" si="18">YEAR(C1011)*100+MONTH(C1011)</f>
        <v>202412</v>
      </c>
    </row>
    <row r="1012" spans="3:34" ht="15.75" hidden="1">
      <c r="C1012" s="237">
        <v>45655</v>
      </c>
      <c r="D1012" s="238">
        <f>IFERROR((HLOOKUP($AH1012,Target_monthwise!$D$4:$O$20,DTR!D$4,FALSE))*1000,0)</f>
        <v>0</v>
      </c>
      <c r="E1012" s="238">
        <f>IFERROR((HLOOKUP($AH1012,Target_monthwise!$D$4:$O$20,DTR!E$4,FALSE))*1000,0)</f>
        <v>0</v>
      </c>
      <c r="F1012" s="238">
        <f>IFERROR((HLOOKUP($AH1012,Target_monthwise!$D$4:$O$20,DTR!F$4,FALSE))*1000,0)</f>
        <v>0</v>
      </c>
      <c r="G1012" s="238">
        <f>IFERROR((HLOOKUP($AH1012,Target_monthwise!$D$4:$O$20,DTR!G$4,FALSE))*1000,0)</f>
        <v>0</v>
      </c>
      <c r="H1012" s="238">
        <f>IFERROR((HLOOKUP($AH1012,Target_monthwise!$D$4:$O$20,DTR!H$4,FALSE))*1000,0)</f>
        <v>0</v>
      </c>
      <c r="I1012" s="238">
        <f>IFERROR((HLOOKUP($AH1012,Target_monthwise!$D$4:$O$20,DTR!I$4,FALSE))*1000,0)</f>
        <v>0</v>
      </c>
      <c r="J1012" s="238">
        <f>IFERROR((HLOOKUP($AH1012,Target_monthwise!$D$4:$O$20,DTR!J$4,FALSE))*1000,0)</f>
        <v>0</v>
      </c>
      <c r="K1012" s="238">
        <f>IFERROR((HLOOKUP($AH1012,Target_monthwise!$D$4:$O$20,DTR!K$4,FALSE))*1000,0)</f>
        <v>0</v>
      </c>
      <c r="L1012" s="238">
        <f>IFERROR((HLOOKUP($AH1012,Target_monthwise!$D$4:$O$20,DTR!L$4,FALSE))*1000,0)</f>
        <v>0</v>
      </c>
      <c r="M1012" s="238">
        <f>IFERROR((HLOOKUP($AH1012,Target_monthwise!$D$4:$O$20,DTR!M$4,FALSE))*1000,0)</f>
        <v>0</v>
      </c>
      <c r="N1012" s="238">
        <f>IFERROR((HLOOKUP($AH1012,Target_monthwise!$D$4:$O$20,DTR!N$4,FALSE))*1000,0)</f>
        <v>0</v>
      </c>
      <c r="O1012" s="238">
        <f>IFERROR((HLOOKUP($AH1012,Target_monthwise!$D$4:$O$20,DTR!O$4,FALSE))*1000,0)</f>
        <v>0</v>
      </c>
      <c r="P1012" s="238">
        <f>IFERROR((HLOOKUP($AH1012,Target_monthwise!$D$4:$O$20,DTR!P$4,FALSE))*1000,0)</f>
        <v>0</v>
      </c>
      <c r="Q1012" s="141">
        <f>IFERROR((HLOOKUP($AH1012,Target_monthwise!$D$4:$O$20,DTR!Q$4,FALSE))*1000,0)</f>
        <v>0</v>
      </c>
      <c r="R1012" s="167">
        <f>IFERROR((HLOOKUP($AH1012,Target_monthwise!$D$4:$O$20,DTR!R$4,FALSE))*1000,0)</f>
        <v>0</v>
      </c>
      <c r="S1012" s="239">
        <f>IFERROR((HLOOKUP($AH1012,Target_monthwise!$D$24:$O$40,DTR!S$4,FALSE)),0)</f>
        <v>0</v>
      </c>
      <c r="T1012" s="239">
        <f>IFERROR((HLOOKUP($AH1012,Target_monthwise!$D$24:$O$40,DTR!T$4,FALSE)),0)</f>
        <v>0</v>
      </c>
      <c r="U1012" s="239">
        <f>IFERROR((HLOOKUP($AH1012,Target_monthwise!$D$24:$O$40,DTR!U$4,FALSE)),0)</f>
        <v>0</v>
      </c>
      <c r="V1012" s="239">
        <f>IFERROR((HLOOKUP($AH1012,Target_monthwise!$D$24:$O$40,DTR!V$4,FALSE)),0)</f>
        <v>0</v>
      </c>
      <c r="W1012" s="239">
        <f>IFERROR((HLOOKUP($AH1012,Target_monthwise!$D$24:$O$40,DTR!W$4,FALSE)),0)</f>
        <v>0</v>
      </c>
      <c r="X1012" s="239">
        <f>IFERROR((HLOOKUP($AH1012,Target_monthwise!$D$24:$O$40,DTR!X$4,FALSE)),0)</f>
        <v>0</v>
      </c>
      <c r="Y1012" s="239">
        <f>IFERROR((HLOOKUP($AH1012,Target_monthwise!$D$24:$O$40,DTR!Y$4,FALSE)),0)</f>
        <v>0</v>
      </c>
      <c r="Z1012" s="147">
        <f>IFERROR((HLOOKUP($AH1012,Target_monthwise!$D$24:$O$40,DTR!Z$4,FALSE)),0)</f>
        <v>0</v>
      </c>
      <c r="AA1012" s="147">
        <f>IFERROR((HLOOKUP($AH1012,Target_monthwise!$D$24:$O$40,DTR!AA$4,FALSE)),0)</f>
        <v>0</v>
      </c>
      <c r="AB1012" s="147">
        <f>IFERROR((HLOOKUP($AH1012,Target_monthwise!$D$24:$O$40,DTR!AB$4,FALSE)),0)</f>
        <v>0</v>
      </c>
      <c r="AC1012" s="239">
        <f>IFERROR((HLOOKUP($AH1012,Target_monthwise!$D$24:$O$40,DTR!AC$4,FALSE)),0)</f>
        <v>0</v>
      </c>
      <c r="AD1012" s="239">
        <f>IFERROR((HLOOKUP($AH1012,Target_monthwise!$D$24:$O$40,DTR!AD$4,FALSE)),0)</f>
        <v>0</v>
      </c>
      <c r="AE1012" s="239">
        <f>IFERROR((HLOOKUP($AH1012,Target_monthwise!$D$24:$O$40,DTR!AE$4,FALSE)),0)</f>
        <v>0</v>
      </c>
      <c r="AF1012" s="239">
        <f>IFERROR((HLOOKUP($AH1012,Target_monthwise!$D$24:$O$40,DTR!AF$4,FALSE)),0)</f>
        <v>0</v>
      </c>
      <c r="AG1012" s="172">
        <f>IFERROR((HLOOKUP($AH1012,Target_monthwise!$D$24:$O$40,DTR!AG$4,FALSE)),0)</f>
        <v>0</v>
      </c>
      <c r="AH1012" s="253">
        <f t="shared" si="18"/>
        <v>202412</v>
      </c>
    </row>
    <row r="1013" spans="3:34" ht="15.75" hidden="1">
      <c r="C1013" s="235">
        <v>45656</v>
      </c>
      <c r="D1013" s="141">
        <f>IFERROR((HLOOKUP($AH1013,Target_monthwise!$D$4:$O$20,DTR!D$4,FALSE))*1000,0)</f>
        <v>0</v>
      </c>
      <c r="E1013" s="141">
        <f>IFERROR((HLOOKUP($AH1013,Target_monthwise!$D$4:$O$20,DTR!E$4,FALSE))*1000,0)</f>
        <v>0</v>
      </c>
      <c r="F1013" s="141">
        <f>IFERROR((HLOOKUP($AH1013,Target_monthwise!$D$4:$O$20,DTR!F$4,FALSE))*1000,0)</f>
        <v>0</v>
      </c>
      <c r="G1013" s="141">
        <f>IFERROR((HLOOKUP($AH1013,Target_monthwise!$D$4:$O$20,DTR!G$4,FALSE))*1000,0)</f>
        <v>0</v>
      </c>
      <c r="H1013" s="141">
        <f>IFERROR((HLOOKUP($AH1013,Target_monthwise!$D$4:$O$20,DTR!H$4,FALSE))*1000,0)</f>
        <v>0</v>
      </c>
      <c r="I1013" s="141">
        <f>IFERROR((HLOOKUP($AH1013,Target_monthwise!$D$4:$O$20,DTR!I$4,FALSE))*1000,0)</f>
        <v>0</v>
      </c>
      <c r="J1013" s="141">
        <f>IFERROR((HLOOKUP($AH1013,Target_monthwise!$D$4:$O$20,DTR!J$4,FALSE))*1000,0)</f>
        <v>0</v>
      </c>
      <c r="K1013" s="141">
        <f>IFERROR((HLOOKUP($AH1013,Target_monthwise!$D$4:$O$20,DTR!K$4,FALSE))*1000,0)</f>
        <v>0</v>
      </c>
      <c r="L1013" s="141">
        <f>IFERROR((HLOOKUP($AH1013,Target_monthwise!$D$4:$O$20,DTR!L$4,FALSE))*1000,0)</f>
        <v>0</v>
      </c>
      <c r="M1013" s="141">
        <f>IFERROR((HLOOKUP($AH1013,Target_monthwise!$D$4:$O$20,DTR!M$4,FALSE))*1000,0)</f>
        <v>0</v>
      </c>
      <c r="N1013" s="141">
        <f>IFERROR((HLOOKUP($AH1013,Target_monthwise!$D$4:$O$20,DTR!N$4,FALSE))*1000,0)</f>
        <v>0</v>
      </c>
      <c r="O1013" s="141">
        <f>IFERROR((HLOOKUP($AH1013,Target_monthwise!$D$4:$O$20,DTR!O$4,FALSE))*1000,0)</f>
        <v>0</v>
      </c>
      <c r="P1013" s="141">
        <f>IFERROR((HLOOKUP($AH1013,Target_monthwise!$D$4:$O$20,DTR!P$4,FALSE))*1000,0)</f>
        <v>0</v>
      </c>
      <c r="Q1013" s="141">
        <f>IFERROR((HLOOKUP($AH1013,Target_monthwise!$D$4:$O$20,DTR!Q$4,FALSE))*1000,0)</f>
        <v>0</v>
      </c>
      <c r="R1013" s="167">
        <f>IFERROR((HLOOKUP($AH1013,Target_monthwise!$D$4:$O$20,DTR!R$4,FALSE))*1000,0)</f>
        <v>0</v>
      </c>
      <c r="S1013" s="147">
        <f>IFERROR((HLOOKUP($AH1013,Target_monthwise!$D$24:$O$40,DTR!S$4,FALSE)),0)</f>
        <v>0</v>
      </c>
      <c r="T1013" s="147">
        <f>IFERROR((HLOOKUP($AH1013,Target_monthwise!$D$24:$O$40,DTR!T$4,FALSE)),0)</f>
        <v>0</v>
      </c>
      <c r="U1013" s="147">
        <f>IFERROR((HLOOKUP($AH1013,Target_monthwise!$D$24:$O$40,DTR!U$4,FALSE)),0)</f>
        <v>0</v>
      </c>
      <c r="V1013" s="147">
        <f>IFERROR((HLOOKUP($AH1013,Target_monthwise!$D$24:$O$40,DTR!V$4,FALSE)),0)</f>
        <v>0</v>
      </c>
      <c r="W1013" s="147">
        <f>IFERROR((HLOOKUP($AH1013,Target_monthwise!$D$24:$O$40,DTR!W$4,FALSE)),0)</f>
        <v>0</v>
      </c>
      <c r="X1013" s="147">
        <f>IFERROR((HLOOKUP($AH1013,Target_monthwise!$D$24:$O$40,DTR!X$4,FALSE)),0)</f>
        <v>0</v>
      </c>
      <c r="Y1013" s="147">
        <f>IFERROR((HLOOKUP($AH1013,Target_monthwise!$D$24:$O$40,DTR!Y$4,FALSE)),0)</f>
        <v>0</v>
      </c>
      <c r="Z1013" s="147">
        <f>IFERROR((HLOOKUP($AH1013,Target_monthwise!$D$24:$O$40,DTR!Z$4,FALSE)),0)</f>
        <v>0</v>
      </c>
      <c r="AA1013" s="147">
        <f>IFERROR((HLOOKUP($AH1013,Target_monthwise!$D$24:$O$40,DTR!AA$4,FALSE)),0)</f>
        <v>0</v>
      </c>
      <c r="AB1013" s="147">
        <f>IFERROR((HLOOKUP($AH1013,Target_monthwise!$D$24:$O$40,DTR!AB$4,FALSE)),0)</f>
        <v>0</v>
      </c>
      <c r="AC1013" s="147">
        <f>IFERROR((HLOOKUP($AH1013,Target_monthwise!$D$24:$O$40,DTR!AC$4,FALSE)),0)</f>
        <v>0</v>
      </c>
      <c r="AD1013" s="147">
        <f>IFERROR((HLOOKUP($AH1013,Target_monthwise!$D$24:$O$40,DTR!AD$4,FALSE)),0)</f>
        <v>0</v>
      </c>
      <c r="AE1013" s="147">
        <f>IFERROR((HLOOKUP($AH1013,Target_monthwise!$D$24:$O$40,DTR!AE$4,FALSE)),0)</f>
        <v>0</v>
      </c>
      <c r="AF1013" s="147">
        <f>IFERROR((HLOOKUP($AH1013,Target_monthwise!$D$24:$O$40,DTR!AF$4,FALSE)),0)</f>
        <v>0</v>
      </c>
      <c r="AG1013" s="172">
        <f>IFERROR((HLOOKUP($AH1013,Target_monthwise!$D$24:$O$40,DTR!AG$4,FALSE)),0)</f>
        <v>0</v>
      </c>
      <c r="AH1013" s="253">
        <f t="shared" si="18"/>
        <v>202412</v>
      </c>
    </row>
    <row r="1014" spans="3:34" ht="15.75" hidden="1">
      <c r="C1014" s="237">
        <v>45657</v>
      </c>
      <c r="D1014" s="238">
        <f>IFERROR((HLOOKUP($AH1014,Target_monthwise!$D$4:$O$20,DTR!D$4,FALSE))*1000,0)</f>
        <v>0</v>
      </c>
      <c r="E1014" s="238">
        <f>IFERROR((HLOOKUP($AH1014,Target_monthwise!$D$4:$O$20,DTR!E$4,FALSE))*1000,0)</f>
        <v>0</v>
      </c>
      <c r="F1014" s="238">
        <f>IFERROR((HLOOKUP($AH1014,Target_monthwise!$D$4:$O$20,DTR!F$4,FALSE))*1000,0)</f>
        <v>0</v>
      </c>
      <c r="G1014" s="238">
        <f>IFERROR((HLOOKUP($AH1014,Target_monthwise!$D$4:$O$20,DTR!G$4,FALSE))*1000,0)</f>
        <v>0</v>
      </c>
      <c r="H1014" s="238">
        <f>IFERROR((HLOOKUP($AH1014,Target_monthwise!$D$4:$O$20,DTR!H$4,FALSE))*1000,0)</f>
        <v>0</v>
      </c>
      <c r="I1014" s="238">
        <f>IFERROR((HLOOKUP($AH1014,Target_monthwise!$D$4:$O$20,DTR!I$4,FALSE))*1000,0)</f>
        <v>0</v>
      </c>
      <c r="J1014" s="238">
        <f>IFERROR((HLOOKUP($AH1014,Target_monthwise!$D$4:$O$20,DTR!J$4,FALSE))*1000,0)</f>
        <v>0</v>
      </c>
      <c r="K1014" s="238">
        <f>IFERROR((HLOOKUP($AH1014,Target_monthwise!$D$4:$O$20,DTR!K$4,FALSE))*1000,0)</f>
        <v>0</v>
      </c>
      <c r="L1014" s="238">
        <f>IFERROR((HLOOKUP($AH1014,Target_monthwise!$D$4:$O$20,DTR!L$4,FALSE))*1000,0)</f>
        <v>0</v>
      </c>
      <c r="M1014" s="238">
        <f>IFERROR((HLOOKUP($AH1014,Target_monthwise!$D$4:$O$20,DTR!M$4,FALSE))*1000,0)</f>
        <v>0</v>
      </c>
      <c r="N1014" s="238">
        <f>IFERROR((HLOOKUP($AH1014,Target_monthwise!$D$4:$O$20,DTR!N$4,FALSE))*1000,0)</f>
        <v>0</v>
      </c>
      <c r="O1014" s="238">
        <f>IFERROR((HLOOKUP($AH1014,Target_monthwise!$D$4:$O$20,DTR!O$4,FALSE))*1000,0)</f>
        <v>0</v>
      </c>
      <c r="P1014" s="238">
        <f>IFERROR((HLOOKUP($AH1014,Target_monthwise!$D$4:$O$20,DTR!P$4,FALSE))*1000,0)</f>
        <v>0</v>
      </c>
      <c r="Q1014" s="141">
        <f>IFERROR((HLOOKUP($AH1014,Target_monthwise!$D$4:$O$20,DTR!Q$4,FALSE))*1000,0)</f>
        <v>0</v>
      </c>
      <c r="R1014" s="167">
        <f>IFERROR((HLOOKUP($AH1014,Target_monthwise!$D$4:$O$20,DTR!R$4,FALSE))*1000,0)</f>
        <v>0</v>
      </c>
      <c r="S1014" s="239">
        <f>IFERROR((HLOOKUP($AH1014,Target_monthwise!$D$24:$O$40,DTR!S$4,FALSE)),0)</f>
        <v>0</v>
      </c>
      <c r="T1014" s="239">
        <f>IFERROR((HLOOKUP($AH1014,Target_monthwise!$D$24:$O$40,DTR!T$4,FALSE)),0)</f>
        <v>0</v>
      </c>
      <c r="U1014" s="239">
        <f>IFERROR((HLOOKUP($AH1014,Target_monthwise!$D$24:$O$40,DTR!U$4,FALSE)),0)</f>
        <v>0</v>
      </c>
      <c r="V1014" s="239">
        <f>IFERROR((HLOOKUP($AH1014,Target_monthwise!$D$24:$O$40,DTR!V$4,FALSE)),0)</f>
        <v>0</v>
      </c>
      <c r="W1014" s="239">
        <f>IFERROR((HLOOKUP($AH1014,Target_monthwise!$D$24:$O$40,DTR!W$4,FALSE)),0)</f>
        <v>0</v>
      </c>
      <c r="X1014" s="239">
        <f>IFERROR((HLOOKUP($AH1014,Target_monthwise!$D$24:$O$40,DTR!X$4,FALSE)),0)</f>
        <v>0</v>
      </c>
      <c r="Y1014" s="239">
        <f>IFERROR((HLOOKUP($AH1014,Target_monthwise!$D$24:$O$40,DTR!Y$4,FALSE)),0)</f>
        <v>0</v>
      </c>
      <c r="Z1014" s="147">
        <f>IFERROR((HLOOKUP($AH1014,Target_monthwise!$D$24:$O$40,DTR!Z$4,FALSE)),0)</f>
        <v>0</v>
      </c>
      <c r="AA1014" s="147">
        <f>IFERROR((HLOOKUP($AH1014,Target_monthwise!$D$24:$O$40,DTR!AA$4,FALSE)),0)</f>
        <v>0</v>
      </c>
      <c r="AB1014" s="147">
        <f>IFERROR((HLOOKUP($AH1014,Target_monthwise!$D$24:$O$40,DTR!AB$4,FALSE)),0)</f>
        <v>0</v>
      </c>
      <c r="AC1014" s="239">
        <f>IFERROR((HLOOKUP($AH1014,Target_monthwise!$D$24:$O$40,DTR!AC$4,FALSE)),0)</f>
        <v>0</v>
      </c>
      <c r="AD1014" s="239">
        <f>IFERROR((HLOOKUP($AH1014,Target_monthwise!$D$24:$O$40,DTR!AD$4,FALSE)),0)</f>
        <v>0</v>
      </c>
      <c r="AE1014" s="239">
        <f>IFERROR((HLOOKUP($AH1014,Target_monthwise!$D$24:$O$40,DTR!AE$4,FALSE)),0)</f>
        <v>0</v>
      </c>
      <c r="AF1014" s="239">
        <f>IFERROR((HLOOKUP($AH1014,Target_monthwise!$D$24:$O$40,DTR!AF$4,FALSE)),0)</f>
        <v>0</v>
      </c>
      <c r="AG1014" s="172">
        <f>IFERROR((HLOOKUP($AH1014,Target_monthwise!$D$24:$O$40,DTR!AG$4,FALSE)),0)</f>
        <v>0</v>
      </c>
      <c r="AH1014" s="253">
        <f t="shared" si="18"/>
        <v>202412</v>
      </c>
    </row>
    <row r="1015" spans="3:34" ht="15.75" hidden="1">
      <c r="C1015" s="235">
        <v>45658</v>
      </c>
      <c r="D1015" s="141">
        <f>IFERROR((HLOOKUP($AH1015,Target_monthwise!$D$4:$O$20,DTR!D$4,FALSE))*1000,0)</f>
        <v>0</v>
      </c>
      <c r="E1015" s="141">
        <f>IFERROR((HLOOKUP($AH1015,Target_monthwise!$D$4:$O$20,DTR!E$4,FALSE))*1000,0)</f>
        <v>0</v>
      </c>
      <c r="F1015" s="141">
        <f>IFERROR((HLOOKUP($AH1015,Target_monthwise!$D$4:$O$20,DTR!F$4,FALSE))*1000,0)</f>
        <v>0</v>
      </c>
      <c r="G1015" s="141">
        <f>IFERROR((HLOOKUP($AH1015,Target_monthwise!$D$4:$O$20,DTR!G$4,FALSE))*1000,0)</f>
        <v>0</v>
      </c>
      <c r="H1015" s="141">
        <f>IFERROR((HLOOKUP($AH1015,Target_monthwise!$D$4:$O$20,DTR!H$4,FALSE))*1000,0)</f>
        <v>0</v>
      </c>
      <c r="I1015" s="141">
        <f>IFERROR((HLOOKUP($AH1015,Target_monthwise!$D$4:$O$20,DTR!I$4,FALSE))*1000,0)</f>
        <v>0</v>
      </c>
      <c r="J1015" s="141">
        <f>IFERROR((HLOOKUP($AH1015,Target_monthwise!$D$4:$O$20,DTR!J$4,FALSE))*1000,0)</f>
        <v>0</v>
      </c>
      <c r="K1015" s="141">
        <f>IFERROR((HLOOKUP($AH1015,Target_monthwise!$D$4:$O$20,DTR!K$4,FALSE))*1000,0)</f>
        <v>0</v>
      </c>
      <c r="L1015" s="141">
        <f>IFERROR((HLOOKUP($AH1015,Target_monthwise!$D$4:$O$20,DTR!L$4,FALSE))*1000,0)</f>
        <v>0</v>
      </c>
      <c r="M1015" s="141">
        <f>IFERROR((HLOOKUP($AH1015,Target_monthwise!$D$4:$O$20,DTR!M$4,FALSE))*1000,0)</f>
        <v>0</v>
      </c>
      <c r="N1015" s="141">
        <f>IFERROR((HLOOKUP($AH1015,Target_monthwise!$D$4:$O$20,DTR!N$4,FALSE))*1000,0)</f>
        <v>0</v>
      </c>
      <c r="O1015" s="141">
        <f>IFERROR((HLOOKUP($AH1015,Target_monthwise!$D$4:$O$20,DTR!O$4,FALSE))*1000,0)</f>
        <v>0</v>
      </c>
      <c r="P1015" s="141">
        <f>IFERROR((HLOOKUP($AH1015,Target_monthwise!$D$4:$O$20,DTR!P$4,FALSE))*1000,0)</f>
        <v>0</v>
      </c>
      <c r="Q1015" s="141">
        <f>IFERROR((HLOOKUP($AH1015,Target_monthwise!$D$4:$O$20,DTR!Q$4,FALSE))*1000,0)</f>
        <v>0</v>
      </c>
      <c r="R1015" s="167">
        <f>IFERROR((HLOOKUP($AH1015,Target_monthwise!$D$4:$O$20,DTR!R$4,FALSE))*1000,0)</f>
        <v>0</v>
      </c>
      <c r="S1015" s="147">
        <f>IFERROR((HLOOKUP($AH1015,Target_monthwise!$D$24:$O$40,DTR!S$4,FALSE)),0)</f>
        <v>0</v>
      </c>
      <c r="T1015" s="147">
        <f>IFERROR((HLOOKUP($AH1015,Target_monthwise!$D$24:$O$40,DTR!T$4,FALSE)),0)</f>
        <v>0</v>
      </c>
      <c r="U1015" s="147">
        <f>IFERROR((HLOOKUP($AH1015,Target_monthwise!$D$24:$O$40,DTR!U$4,FALSE)),0)</f>
        <v>0</v>
      </c>
      <c r="V1015" s="147">
        <f>IFERROR((HLOOKUP($AH1015,Target_monthwise!$D$24:$O$40,DTR!V$4,FALSE)),0)</f>
        <v>0</v>
      </c>
      <c r="W1015" s="147">
        <f>IFERROR((HLOOKUP($AH1015,Target_monthwise!$D$24:$O$40,DTR!W$4,FALSE)),0)</f>
        <v>0</v>
      </c>
      <c r="X1015" s="147">
        <f>IFERROR((HLOOKUP($AH1015,Target_monthwise!$D$24:$O$40,DTR!X$4,FALSE)),0)</f>
        <v>0</v>
      </c>
      <c r="Y1015" s="147">
        <f>IFERROR((HLOOKUP($AH1015,Target_monthwise!$D$24:$O$40,DTR!Y$4,FALSE)),0)</f>
        <v>0</v>
      </c>
      <c r="Z1015" s="147">
        <f>IFERROR((HLOOKUP($AH1015,Target_monthwise!$D$24:$O$40,DTR!Z$4,FALSE)),0)</f>
        <v>0</v>
      </c>
      <c r="AA1015" s="147">
        <f>IFERROR((HLOOKUP($AH1015,Target_monthwise!$D$24:$O$40,DTR!AA$4,FALSE)),0)</f>
        <v>0</v>
      </c>
      <c r="AB1015" s="147">
        <f>IFERROR((HLOOKUP($AH1015,Target_monthwise!$D$24:$O$40,DTR!AB$4,FALSE)),0)</f>
        <v>0</v>
      </c>
      <c r="AC1015" s="147">
        <f>IFERROR((HLOOKUP($AH1015,Target_monthwise!$D$24:$O$40,DTR!AC$4,FALSE)),0)</f>
        <v>0</v>
      </c>
      <c r="AD1015" s="147">
        <f>IFERROR((HLOOKUP($AH1015,Target_monthwise!$D$24:$O$40,DTR!AD$4,FALSE)),0)</f>
        <v>0</v>
      </c>
      <c r="AE1015" s="147">
        <f>IFERROR((HLOOKUP($AH1015,Target_monthwise!$D$24:$O$40,DTR!AE$4,FALSE)),0)</f>
        <v>0</v>
      </c>
      <c r="AF1015" s="147">
        <f>IFERROR((HLOOKUP($AH1015,Target_monthwise!$D$24:$O$40,DTR!AF$4,FALSE)),0)</f>
        <v>0</v>
      </c>
      <c r="AG1015" s="172">
        <f>IFERROR((HLOOKUP($AH1015,Target_monthwise!$D$24:$O$40,DTR!AG$4,FALSE)),0)</f>
        <v>0</v>
      </c>
      <c r="AH1015" s="253">
        <f t="shared" si="18"/>
        <v>202501</v>
      </c>
    </row>
    <row r="1016" spans="3:34" ht="15.75" hidden="1">
      <c r="C1016" s="237">
        <v>45659</v>
      </c>
      <c r="D1016" s="238">
        <f>IFERROR((HLOOKUP($AH1016,Target_monthwise!$D$4:$O$20,DTR!D$4,FALSE))*1000,0)</f>
        <v>0</v>
      </c>
      <c r="E1016" s="238">
        <f>IFERROR((HLOOKUP($AH1016,Target_monthwise!$D$4:$O$20,DTR!E$4,FALSE))*1000,0)</f>
        <v>0</v>
      </c>
      <c r="F1016" s="238">
        <f>IFERROR((HLOOKUP($AH1016,Target_monthwise!$D$4:$O$20,DTR!F$4,FALSE))*1000,0)</f>
        <v>0</v>
      </c>
      <c r="G1016" s="238">
        <f>IFERROR((HLOOKUP($AH1016,Target_monthwise!$D$4:$O$20,DTR!G$4,FALSE))*1000,0)</f>
        <v>0</v>
      </c>
      <c r="H1016" s="238">
        <f>IFERROR((HLOOKUP($AH1016,Target_monthwise!$D$4:$O$20,DTR!H$4,FALSE))*1000,0)</f>
        <v>0</v>
      </c>
      <c r="I1016" s="238">
        <f>IFERROR((HLOOKUP($AH1016,Target_monthwise!$D$4:$O$20,DTR!I$4,FALSE))*1000,0)</f>
        <v>0</v>
      </c>
      <c r="J1016" s="238">
        <f>IFERROR((HLOOKUP($AH1016,Target_monthwise!$D$4:$O$20,DTR!J$4,FALSE))*1000,0)</f>
        <v>0</v>
      </c>
      <c r="K1016" s="238">
        <f>IFERROR((HLOOKUP($AH1016,Target_monthwise!$D$4:$O$20,DTR!K$4,FALSE))*1000,0)</f>
        <v>0</v>
      </c>
      <c r="L1016" s="238">
        <f>IFERROR((HLOOKUP($AH1016,Target_monthwise!$D$4:$O$20,DTR!L$4,FALSE))*1000,0)</f>
        <v>0</v>
      </c>
      <c r="M1016" s="238">
        <f>IFERROR((HLOOKUP($AH1016,Target_monthwise!$D$4:$O$20,DTR!M$4,FALSE))*1000,0)</f>
        <v>0</v>
      </c>
      <c r="N1016" s="238">
        <f>IFERROR((HLOOKUP($AH1016,Target_monthwise!$D$4:$O$20,DTR!N$4,FALSE))*1000,0)</f>
        <v>0</v>
      </c>
      <c r="O1016" s="238">
        <f>IFERROR((HLOOKUP($AH1016,Target_monthwise!$D$4:$O$20,DTR!O$4,FALSE))*1000,0)</f>
        <v>0</v>
      </c>
      <c r="P1016" s="238">
        <f>IFERROR((HLOOKUP($AH1016,Target_monthwise!$D$4:$O$20,DTR!P$4,FALSE))*1000,0)</f>
        <v>0</v>
      </c>
      <c r="Q1016" s="141">
        <f>IFERROR((HLOOKUP($AH1016,Target_monthwise!$D$4:$O$20,DTR!Q$4,FALSE))*1000,0)</f>
        <v>0</v>
      </c>
      <c r="R1016" s="167">
        <f>IFERROR((HLOOKUP($AH1016,Target_monthwise!$D$4:$O$20,DTR!R$4,FALSE))*1000,0)</f>
        <v>0</v>
      </c>
      <c r="S1016" s="239">
        <f>IFERROR((HLOOKUP($AH1016,Target_monthwise!$D$24:$O$40,DTR!S$4,FALSE)),0)</f>
        <v>0</v>
      </c>
      <c r="T1016" s="239">
        <f>IFERROR((HLOOKUP($AH1016,Target_monthwise!$D$24:$O$40,DTR!T$4,FALSE)),0)</f>
        <v>0</v>
      </c>
      <c r="U1016" s="239">
        <f>IFERROR((HLOOKUP($AH1016,Target_monthwise!$D$24:$O$40,DTR!U$4,FALSE)),0)</f>
        <v>0</v>
      </c>
      <c r="V1016" s="239">
        <f>IFERROR((HLOOKUP($AH1016,Target_monthwise!$D$24:$O$40,DTR!V$4,FALSE)),0)</f>
        <v>0</v>
      </c>
      <c r="W1016" s="239">
        <f>IFERROR((HLOOKUP($AH1016,Target_monthwise!$D$24:$O$40,DTR!W$4,FALSE)),0)</f>
        <v>0</v>
      </c>
      <c r="X1016" s="239">
        <f>IFERROR((HLOOKUP($AH1016,Target_monthwise!$D$24:$O$40,DTR!X$4,FALSE)),0)</f>
        <v>0</v>
      </c>
      <c r="Y1016" s="239">
        <f>IFERROR((HLOOKUP($AH1016,Target_monthwise!$D$24:$O$40,DTR!Y$4,FALSE)),0)</f>
        <v>0</v>
      </c>
      <c r="Z1016" s="147">
        <f>IFERROR((HLOOKUP($AH1016,Target_monthwise!$D$24:$O$40,DTR!Z$4,FALSE)),0)</f>
        <v>0</v>
      </c>
      <c r="AA1016" s="147">
        <f>IFERROR((HLOOKUP($AH1016,Target_monthwise!$D$24:$O$40,DTR!AA$4,FALSE)),0)</f>
        <v>0</v>
      </c>
      <c r="AB1016" s="147">
        <f>IFERROR((HLOOKUP($AH1016,Target_monthwise!$D$24:$O$40,DTR!AB$4,FALSE)),0)</f>
        <v>0</v>
      </c>
      <c r="AC1016" s="239">
        <f>IFERROR((HLOOKUP($AH1016,Target_monthwise!$D$24:$O$40,DTR!AC$4,FALSE)),0)</f>
        <v>0</v>
      </c>
      <c r="AD1016" s="239">
        <f>IFERROR((HLOOKUP($AH1016,Target_monthwise!$D$24:$O$40,DTR!AD$4,FALSE)),0)</f>
        <v>0</v>
      </c>
      <c r="AE1016" s="239">
        <f>IFERROR((HLOOKUP($AH1016,Target_monthwise!$D$24:$O$40,DTR!AE$4,FALSE)),0)</f>
        <v>0</v>
      </c>
      <c r="AF1016" s="239">
        <f>IFERROR((HLOOKUP($AH1016,Target_monthwise!$D$24:$O$40,DTR!AF$4,FALSE)),0)</f>
        <v>0</v>
      </c>
      <c r="AG1016" s="172">
        <f>IFERROR((HLOOKUP($AH1016,Target_monthwise!$D$24:$O$40,DTR!AG$4,FALSE)),0)</f>
        <v>0</v>
      </c>
      <c r="AH1016" s="253">
        <f t="shared" si="18"/>
        <v>202501</v>
      </c>
    </row>
    <row r="1017" spans="3:34" ht="15.75" hidden="1">
      <c r="C1017" s="235">
        <v>45660</v>
      </c>
      <c r="D1017" s="141">
        <f>IFERROR((HLOOKUP($AH1017,Target_monthwise!$D$4:$O$20,DTR!D$4,FALSE))*1000,0)</f>
        <v>0</v>
      </c>
      <c r="E1017" s="141">
        <f>IFERROR((HLOOKUP($AH1017,Target_monthwise!$D$4:$O$20,DTR!E$4,FALSE))*1000,0)</f>
        <v>0</v>
      </c>
      <c r="F1017" s="141">
        <f>IFERROR((HLOOKUP($AH1017,Target_monthwise!$D$4:$O$20,DTR!F$4,FALSE))*1000,0)</f>
        <v>0</v>
      </c>
      <c r="G1017" s="141">
        <f>IFERROR((HLOOKUP($AH1017,Target_monthwise!$D$4:$O$20,DTR!G$4,FALSE))*1000,0)</f>
        <v>0</v>
      </c>
      <c r="H1017" s="141">
        <f>IFERROR((HLOOKUP($AH1017,Target_monthwise!$D$4:$O$20,DTR!H$4,FALSE))*1000,0)</f>
        <v>0</v>
      </c>
      <c r="I1017" s="141">
        <f>IFERROR((HLOOKUP($AH1017,Target_monthwise!$D$4:$O$20,DTR!I$4,FALSE))*1000,0)</f>
        <v>0</v>
      </c>
      <c r="J1017" s="141">
        <f>IFERROR((HLOOKUP($AH1017,Target_monthwise!$D$4:$O$20,DTR!J$4,FALSE))*1000,0)</f>
        <v>0</v>
      </c>
      <c r="K1017" s="141">
        <f>IFERROR((HLOOKUP($AH1017,Target_monthwise!$D$4:$O$20,DTR!K$4,FALSE))*1000,0)</f>
        <v>0</v>
      </c>
      <c r="L1017" s="141">
        <f>IFERROR((HLOOKUP($AH1017,Target_monthwise!$D$4:$O$20,DTR!L$4,FALSE))*1000,0)</f>
        <v>0</v>
      </c>
      <c r="M1017" s="141">
        <f>IFERROR((HLOOKUP($AH1017,Target_monthwise!$D$4:$O$20,DTR!M$4,FALSE))*1000,0)</f>
        <v>0</v>
      </c>
      <c r="N1017" s="141">
        <f>IFERROR((HLOOKUP($AH1017,Target_monthwise!$D$4:$O$20,DTR!N$4,FALSE))*1000,0)</f>
        <v>0</v>
      </c>
      <c r="O1017" s="141">
        <f>IFERROR((HLOOKUP($AH1017,Target_monthwise!$D$4:$O$20,DTR!O$4,FALSE))*1000,0)</f>
        <v>0</v>
      </c>
      <c r="P1017" s="141">
        <f>IFERROR((HLOOKUP($AH1017,Target_monthwise!$D$4:$O$20,DTR!P$4,FALSE))*1000,0)</f>
        <v>0</v>
      </c>
      <c r="Q1017" s="141">
        <f>IFERROR((HLOOKUP($AH1017,Target_monthwise!$D$4:$O$20,DTR!Q$4,FALSE))*1000,0)</f>
        <v>0</v>
      </c>
      <c r="R1017" s="167">
        <f>IFERROR((HLOOKUP($AH1017,Target_monthwise!$D$4:$O$20,DTR!R$4,FALSE))*1000,0)</f>
        <v>0</v>
      </c>
      <c r="S1017" s="147">
        <f>IFERROR((HLOOKUP($AH1017,Target_monthwise!$D$24:$O$40,DTR!S$4,FALSE)),0)</f>
        <v>0</v>
      </c>
      <c r="T1017" s="147">
        <f>IFERROR((HLOOKUP($AH1017,Target_monthwise!$D$24:$O$40,DTR!T$4,FALSE)),0)</f>
        <v>0</v>
      </c>
      <c r="U1017" s="147">
        <f>IFERROR((HLOOKUP($AH1017,Target_monthwise!$D$24:$O$40,DTR!U$4,FALSE)),0)</f>
        <v>0</v>
      </c>
      <c r="V1017" s="147">
        <f>IFERROR((HLOOKUP($AH1017,Target_monthwise!$D$24:$O$40,DTR!V$4,FALSE)),0)</f>
        <v>0</v>
      </c>
      <c r="W1017" s="147">
        <f>IFERROR((HLOOKUP($AH1017,Target_monthwise!$D$24:$O$40,DTR!W$4,FALSE)),0)</f>
        <v>0</v>
      </c>
      <c r="X1017" s="147">
        <f>IFERROR((HLOOKUP($AH1017,Target_monthwise!$D$24:$O$40,DTR!X$4,FALSE)),0)</f>
        <v>0</v>
      </c>
      <c r="Y1017" s="147">
        <f>IFERROR((HLOOKUP($AH1017,Target_monthwise!$D$24:$O$40,DTR!Y$4,FALSE)),0)</f>
        <v>0</v>
      </c>
      <c r="Z1017" s="147">
        <f>IFERROR((HLOOKUP($AH1017,Target_monthwise!$D$24:$O$40,DTR!Z$4,FALSE)),0)</f>
        <v>0</v>
      </c>
      <c r="AA1017" s="147">
        <f>IFERROR((HLOOKUP($AH1017,Target_monthwise!$D$24:$O$40,DTR!AA$4,FALSE)),0)</f>
        <v>0</v>
      </c>
      <c r="AB1017" s="147">
        <f>IFERROR((HLOOKUP($AH1017,Target_monthwise!$D$24:$O$40,DTR!AB$4,FALSE)),0)</f>
        <v>0</v>
      </c>
      <c r="AC1017" s="147">
        <f>IFERROR((HLOOKUP($AH1017,Target_monthwise!$D$24:$O$40,DTR!AC$4,FALSE)),0)</f>
        <v>0</v>
      </c>
      <c r="AD1017" s="147">
        <f>IFERROR((HLOOKUP($AH1017,Target_monthwise!$D$24:$O$40,DTR!AD$4,FALSE)),0)</f>
        <v>0</v>
      </c>
      <c r="AE1017" s="147">
        <f>IFERROR((HLOOKUP($AH1017,Target_monthwise!$D$24:$O$40,DTR!AE$4,FALSE)),0)</f>
        <v>0</v>
      </c>
      <c r="AF1017" s="147">
        <f>IFERROR((HLOOKUP($AH1017,Target_monthwise!$D$24:$O$40,DTR!AF$4,FALSE)),0)</f>
        <v>0</v>
      </c>
      <c r="AG1017" s="172">
        <f>IFERROR((HLOOKUP($AH1017,Target_monthwise!$D$24:$O$40,DTR!AG$4,FALSE)),0)</f>
        <v>0</v>
      </c>
      <c r="AH1017" s="253">
        <f t="shared" si="18"/>
        <v>202501</v>
      </c>
    </row>
    <row r="1018" spans="3:34" ht="15.75" hidden="1">
      <c r="C1018" s="237">
        <v>45661</v>
      </c>
      <c r="D1018" s="238">
        <f>IFERROR((HLOOKUP($AH1018,Target_monthwise!$D$4:$O$20,DTR!D$4,FALSE))*1000,0)</f>
        <v>0</v>
      </c>
      <c r="E1018" s="238">
        <f>IFERROR((HLOOKUP($AH1018,Target_monthwise!$D$4:$O$20,DTR!E$4,FALSE))*1000,0)</f>
        <v>0</v>
      </c>
      <c r="F1018" s="238">
        <f>IFERROR((HLOOKUP($AH1018,Target_monthwise!$D$4:$O$20,DTR!F$4,FALSE))*1000,0)</f>
        <v>0</v>
      </c>
      <c r="G1018" s="238">
        <f>IFERROR((HLOOKUP($AH1018,Target_monthwise!$D$4:$O$20,DTR!G$4,FALSE))*1000,0)</f>
        <v>0</v>
      </c>
      <c r="H1018" s="238">
        <f>IFERROR((HLOOKUP($AH1018,Target_monthwise!$D$4:$O$20,DTR!H$4,FALSE))*1000,0)</f>
        <v>0</v>
      </c>
      <c r="I1018" s="238">
        <f>IFERROR((HLOOKUP($AH1018,Target_monthwise!$D$4:$O$20,DTR!I$4,FALSE))*1000,0)</f>
        <v>0</v>
      </c>
      <c r="J1018" s="238">
        <f>IFERROR((HLOOKUP($AH1018,Target_monthwise!$D$4:$O$20,DTR!J$4,FALSE))*1000,0)</f>
        <v>0</v>
      </c>
      <c r="K1018" s="238">
        <f>IFERROR((HLOOKUP($AH1018,Target_monthwise!$D$4:$O$20,DTR!K$4,FALSE))*1000,0)</f>
        <v>0</v>
      </c>
      <c r="L1018" s="238">
        <f>IFERROR((HLOOKUP($AH1018,Target_monthwise!$D$4:$O$20,DTR!L$4,FALSE))*1000,0)</f>
        <v>0</v>
      </c>
      <c r="M1018" s="238">
        <f>IFERROR((HLOOKUP($AH1018,Target_monthwise!$D$4:$O$20,DTR!M$4,FALSE))*1000,0)</f>
        <v>0</v>
      </c>
      <c r="N1018" s="238">
        <f>IFERROR((HLOOKUP($AH1018,Target_monthwise!$D$4:$O$20,DTR!N$4,FALSE))*1000,0)</f>
        <v>0</v>
      </c>
      <c r="O1018" s="238">
        <f>IFERROR((HLOOKUP($AH1018,Target_monthwise!$D$4:$O$20,DTR!O$4,FALSE))*1000,0)</f>
        <v>0</v>
      </c>
      <c r="P1018" s="238">
        <f>IFERROR((HLOOKUP($AH1018,Target_monthwise!$D$4:$O$20,DTR!P$4,FALSE))*1000,0)</f>
        <v>0</v>
      </c>
      <c r="Q1018" s="141">
        <f>IFERROR((HLOOKUP($AH1018,Target_monthwise!$D$4:$O$20,DTR!Q$4,FALSE))*1000,0)</f>
        <v>0</v>
      </c>
      <c r="R1018" s="167">
        <f>IFERROR((HLOOKUP($AH1018,Target_monthwise!$D$4:$O$20,DTR!R$4,FALSE))*1000,0)</f>
        <v>0</v>
      </c>
      <c r="S1018" s="239">
        <f>IFERROR((HLOOKUP($AH1018,Target_monthwise!$D$24:$O$40,DTR!S$4,FALSE)),0)</f>
        <v>0</v>
      </c>
      <c r="T1018" s="239">
        <f>IFERROR((HLOOKUP($AH1018,Target_monthwise!$D$24:$O$40,DTR!T$4,FALSE)),0)</f>
        <v>0</v>
      </c>
      <c r="U1018" s="239">
        <f>IFERROR((HLOOKUP($AH1018,Target_monthwise!$D$24:$O$40,DTR!U$4,FALSE)),0)</f>
        <v>0</v>
      </c>
      <c r="V1018" s="239">
        <f>IFERROR((HLOOKUP($AH1018,Target_monthwise!$D$24:$O$40,DTR!V$4,FALSE)),0)</f>
        <v>0</v>
      </c>
      <c r="W1018" s="239">
        <f>IFERROR((HLOOKUP($AH1018,Target_monthwise!$D$24:$O$40,DTR!W$4,FALSE)),0)</f>
        <v>0</v>
      </c>
      <c r="X1018" s="239">
        <f>IFERROR((HLOOKUP($AH1018,Target_monthwise!$D$24:$O$40,DTR!X$4,FALSE)),0)</f>
        <v>0</v>
      </c>
      <c r="Y1018" s="239">
        <f>IFERROR((HLOOKUP($AH1018,Target_monthwise!$D$24:$O$40,DTR!Y$4,FALSE)),0)</f>
        <v>0</v>
      </c>
      <c r="Z1018" s="147">
        <f>IFERROR((HLOOKUP($AH1018,Target_monthwise!$D$24:$O$40,DTR!Z$4,FALSE)),0)</f>
        <v>0</v>
      </c>
      <c r="AA1018" s="147">
        <f>IFERROR((HLOOKUP($AH1018,Target_monthwise!$D$24:$O$40,DTR!AA$4,FALSE)),0)</f>
        <v>0</v>
      </c>
      <c r="AB1018" s="147">
        <f>IFERROR((HLOOKUP($AH1018,Target_monthwise!$D$24:$O$40,DTR!AB$4,FALSE)),0)</f>
        <v>0</v>
      </c>
      <c r="AC1018" s="239">
        <f>IFERROR((HLOOKUP($AH1018,Target_monthwise!$D$24:$O$40,DTR!AC$4,FALSE)),0)</f>
        <v>0</v>
      </c>
      <c r="AD1018" s="239">
        <f>IFERROR((HLOOKUP($AH1018,Target_monthwise!$D$24:$O$40,DTR!AD$4,FALSE)),0)</f>
        <v>0</v>
      </c>
      <c r="AE1018" s="239">
        <f>IFERROR((HLOOKUP($AH1018,Target_monthwise!$D$24:$O$40,DTR!AE$4,FALSE)),0)</f>
        <v>0</v>
      </c>
      <c r="AF1018" s="239">
        <f>IFERROR((HLOOKUP($AH1018,Target_monthwise!$D$24:$O$40,DTR!AF$4,FALSE)),0)</f>
        <v>0</v>
      </c>
      <c r="AG1018" s="172">
        <f>IFERROR((HLOOKUP($AH1018,Target_monthwise!$D$24:$O$40,DTR!AG$4,FALSE)),0)</f>
        <v>0</v>
      </c>
      <c r="AH1018" s="253">
        <f t="shared" si="18"/>
        <v>202501</v>
      </c>
    </row>
    <row r="1019" spans="3:34" ht="15.75" hidden="1">
      <c r="C1019" s="235">
        <v>45662</v>
      </c>
      <c r="D1019" s="141">
        <f>IFERROR((HLOOKUP($AH1019,Target_monthwise!$D$4:$O$20,DTR!D$4,FALSE))*1000,0)</f>
        <v>0</v>
      </c>
      <c r="E1019" s="141">
        <f>IFERROR((HLOOKUP($AH1019,Target_monthwise!$D$4:$O$20,DTR!E$4,FALSE))*1000,0)</f>
        <v>0</v>
      </c>
      <c r="F1019" s="141">
        <f>IFERROR((HLOOKUP($AH1019,Target_monthwise!$D$4:$O$20,DTR!F$4,FALSE))*1000,0)</f>
        <v>0</v>
      </c>
      <c r="G1019" s="141">
        <f>IFERROR((HLOOKUP($AH1019,Target_monthwise!$D$4:$O$20,DTR!G$4,FALSE))*1000,0)</f>
        <v>0</v>
      </c>
      <c r="H1019" s="141">
        <f>IFERROR((HLOOKUP($AH1019,Target_monthwise!$D$4:$O$20,DTR!H$4,FALSE))*1000,0)</f>
        <v>0</v>
      </c>
      <c r="I1019" s="141">
        <f>IFERROR((HLOOKUP($AH1019,Target_monthwise!$D$4:$O$20,DTR!I$4,FALSE))*1000,0)</f>
        <v>0</v>
      </c>
      <c r="J1019" s="141">
        <f>IFERROR((HLOOKUP($AH1019,Target_monthwise!$D$4:$O$20,DTR!J$4,FALSE))*1000,0)</f>
        <v>0</v>
      </c>
      <c r="K1019" s="141">
        <f>IFERROR((HLOOKUP($AH1019,Target_monthwise!$D$4:$O$20,DTR!K$4,FALSE))*1000,0)</f>
        <v>0</v>
      </c>
      <c r="L1019" s="141">
        <f>IFERROR((HLOOKUP($AH1019,Target_monthwise!$D$4:$O$20,DTR!L$4,FALSE))*1000,0)</f>
        <v>0</v>
      </c>
      <c r="M1019" s="141">
        <f>IFERROR((HLOOKUP($AH1019,Target_monthwise!$D$4:$O$20,DTR!M$4,FALSE))*1000,0)</f>
        <v>0</v>
      </c>
      <c r="N1019" s="141">
        <f>IFERROR((HLOOKUP($AH1019,Target_monthwise!$D$4:$O$20,DTR!N$4,FALSE))*1000,0)</f>
        <v>0</v>
      </c>
      <c r="O1019" s="141">
        <f>IFERROR((HLOOKUP($AH1019,Target_monthwise!$D$4:$O$20,DTR!O$4,FALSE))*1000,0)</f>
        <v>0</v>
      </c>
      <c r="P1019" s="141">
        <f>IFERROR((HLOOKUP($AH1019,Target_monthwise!$D$4:$O$20,DTR!P$4,FALSE))*1000,0)</f>
        <v>0</v>
      </c>
      <c r="Q1019" s="141">
        <f>IFERROR((HLOOKUP($AH1019,Target_monthwise!$D$4:$O$20,DTR!Q$4,FALSE))*1000,0)</f>
        <v>0</v>
      </c>
      <c r="R1019" s="167">
        <f>IFERROR((HLOOKUP($AH1019,Target_monthwise!$D$4:$O$20,DTR!R$4,FALSE))*1000,0)</f>
        <v>0</v>
      </c>
      <c r="S1019" s="147">
        <f>IFERROR((HLOOKUP($AH1019,Target_monthwise!$D$24:$O$40,DTR!S$4,FALSE)),0)</f>
        <v>0</v>
      </c>
      <c r="T1019" s="147">
        <f>IFERROR((HLOOKUP($AH1019,Target_monthwise!$D$24:$O$40,DTR!T$4,FALSE)),0)</f>
        <v>0</v>
      </c>
      <c r="U1019" s="147">
        <f>IFERROR((HLOOKUP($AH1019,Target_monthwise!$D$24:$O$40,DTR!U$4,FALSE)),0)</f>
        <v>0</v>
      </c>
      <c r="V1019" s="147">
        <f>IFERROR((HLOOKUP($AH1019,Target_monthwise!$D$24:$O$40,DTR!V$4,FALSE)),0)</f>
        <v>0</v>
      </c>
      <c r="W1019" s="147">
        <f>IFERROR((HLOOKUP($AH1019,Target_monthwise!$D$24:$O$40,DTR!W$4,FALSE)),0)</f>
        <v>0</v>
      </c>
      <c r="X1019" s="147">
        <f>IFERROR((HLOOKUP($AH1019,Target_monthwise!$D$24:$O$40,DTR!X$4,FALSE)),0)</f>
        <v>0</v>
      </c>
      <c r="Y1019" s="147">
        <f>IFERROR((HLOOKUP($AH1019,Target_monthwise!$D$24:$O$40,DTR!Y$4,FALSE)),0)</f>
        <v>0</v>
      </c>
      <c r="Z1019" s="147">
        <f>IFERROR((HLOOKUP($AH1019,Target_monthwise!$D$24:$O$40,DTR!Z$4,FALSE)),0)</f>
        <v>0</v>
      </c>
      <c r="AA1019" s="147">
        <f>IFERROR((HLOOKUP($AH1019,Target_monthwise!$D$24:$O$40,DTR!AA$4,FALSE)),0)</f>
        <v>0</v>
      </c>
      <c r="AB1019" s="147">
        <f>IFERROR((HLOOKUP($AH1019,Target_monthwise!$D$24:$O$40,DTR!AB$4,FALSE)),0)</f>
        <v>0</v>
      </c>
      <c r="AC1019" s="147">
        <f>IFERROR((HLOOKUP($AH1019,Target_monthwise!$D$24:$O$40,DTR!AC$4,FALSE)),0)</f>
        <v>0</v>
      </c>
      <c r="AD1019" s="147">
        <f>IFERROR((HLOOKUP($AH1019,Target_monthwise!$D$24:$O$40,DTR!AD$4,FALSE)),0)</f>
        <v>0</v>
      </c>
      <c r="AE1019" s="147">
        <f>IFERROR((HLOOKUP($AH1019,Target_monthwise!$D$24:$O$40,DTR!AE$4,FALSE)),0)</f>
        <v>0</v>
      </c>
      <c r="AF1019" s="147">
        <f>IFERROR((HLOOKUP($AH1019,Target_monthwise!$D$24:$O$40,DTR!AF$4,FALSE)),0)</f>
        <v>0</v>
      </c>
      <c r="AG1019" s="172">
        <f>IFERROR((HLOOKUP($AH1019,Target_monthwise!$D$24:$O$40,DTR!AG$4,FALSE)),0)</f>
        <v>0</v>
      </c>
      <c r="AH1019" s="253">
        <f t="shared" si="18"/>
        <v>202501</v>
      </c>
    </row>
    <row r="1020" spans="3:34" ht="15.75" hidden="1">
      <c r="C1020" s="237">
        <v>45663</v>
      </c>
      <c r="D1020" s="238">
        <f>IFERROR((HLOOKUP($AH1020,Target_monthwise!$D$4:$O$20,DTR!D$4,FALSE))*1000,0)</f>
        <v>0</v>
      </c>
      <c r="E1020" s="238">
        <f>IFERROR((HLOOKUP($AH1020,Target_monthwise!$D$4:$O$20,DTR!E$4,FALSE))*1000,0)</f>
        <v>0</v>
      </c>
      <c r="F1020" s="238">
        <f>IFERROR((HLOOKUP($AH1020,Target_monthwise!$D$4:$O$20,DTR!F$4,FALSE))*1000,0)</f>
        <v>0</v>
      </c>
      <c r="G1020" s="238">
        <f>IFERROR((HLOOKUP($AH1020,Target_monthwise!$D$4:$O$20,DTR!G$4,FALSE))*1000,0)</f>
        <v>0</v>
      </c>
      <c r="H1020" s="238">
        <f>IFERROR((HLOOKUP($AH1020,Target_monthwise!$D$4:$O$20,DTR!H$4,FALSE))*1000,0)</f>
        <v>0</v>
      </c>
      <c r="I1020" s="238">
        <f>IFERROR((HLOOKUP($AH1020,Target_monthwise!$D$4:$O$20,DTR!I$4,FALSE))*1000,0)</f>
        <v>0</v>
      </c>
      <c r="J1020" s="238">
        <f>IFERROR((HLOOKUP($AH1020,Target_monthwise!$D$4:$O$20,DTR!J$4,FALSE))*1000,0)</f>
        <v>0</v>
      </c>
      <c r="K1020" s="238">
        <f>IFERROR((HLOOKUP($AH1020,Target_monthwise!$D$4:$O$20,DTR!K$4,FALSE))*1000,0)</f>
        <v>0</v>
      </c>
      <c r="L1020" s="238">
        <f>IFERROR((HLOOKUP($AH1020,Target_monthwise!$D$4:$O$20,DTR!L$4,FALSE))*1000,0)</f>
        <v>0</v>
      </c>
      <c r="M1020" s="238">
        <f>IFERROR((HLOOKUP($AH1020,Target_monthwise!$D$4:$O$20,DTR!M$4,FALSE))*1000,0)</f>
        <v>0</v>
      </c>
      <c r="N1020" s="238">
        <f>IFERROR((HLOOKUP($AH1020,Target_monthwise!$D$4:$O$20,DTR!N$4,FALSE))*1000,0)</f>
        <v>0</v>
      </c>
      <c r="O1020" s="238">
        <f>IFERROR((HLOOKUP($AH1020,Target_monthwise!$D$4:$O$20,DTR!O$4,FALSE))*1000,0)</f>
        <v>0</v>
      </c>
      <c r="P1020" s="238">
        <f>IFERROR((HLOOKUP($AH1020,Target_monthwise!$D$4:$O$20,DTR!P$4,FALSE))*1000,0)</f>
        <v>0</v>
      </c>
      <c r="Q1020" s="141">
        <f>IFERROR((HLOOKUP($AH1020,Target_monthwise!$D$4:$O$20,DTR!Q$4,FALSE))*1000,0)</f>
        <v>0</v>
      </c>
      <c r="R1020" s="167">
        <f>IFERROR((HLOOKUP($AH1020,Target_monthwise!$D$4:$O$20,DTR!R$4,FALSE))*1000,0)</f>
        <v>0</v>
      </c>
      <c r="S1020" s="239">
        <f>IFERROR((HLOOKUP($AH1020,Target_monthwise!$D$24:$O$40,DTR!S$4,FALSE)),0)</f>
        <v>0</v>
      </c>
      <c r="T1020" s="239">
        <f>IFERROR((HLOOKUP($AH1020,Target_monthwise!$D$24:$O$40,DTR!T$4,FALSE)),0)</f>
        <v>0</v>
      </c>
      <c r="U1020" s="239">
        <f>IFERROR((HLOOKUP($AH1020,Target_monthwise!$D$24:$O$40,DTR!U$4,FALSE)),0)</f>
        <v>0</v>
      </c>
      <c r="V1020" s="239">
        <f>IFERROR((HLOOKUP($AH1020,Target_monthwise!$D$24:$O$40,DTR!V$4,FALSE)),0)</f>
        <v>0</v>
      </c>
      <c r="W1020" s="239">
        <f>IFERROR((HLOOKUP($AH1020,Target_monthwise!$D$24:$O$40,DTR!W$4,FALSE)),0)</f>
        <v>0</v>
      </c>
      <c r="X1020" s="239">
        <f>IFERROR((HLOOKUP($AH1020,Target_monthwise!$D$24:$O$40,DTR!X$4,FALSE)),0)</f>
        <v>0</v>
      </c>
      <c r="Y1020" s="239">
        <f>IFERROR((HLOOKUP($AH1020,Target_monthwise!$D$24:$O$40,DTR!Y$4,FALSE)),0)</f>
        <v>0</v>
      </c>
      <c r="Z1020" s="147">
        <f>IFERROR((HLOOKUP($AH1020,Target_monthwise!$D$24:$O$40,DTR!Z$4,FALSE)),0)</f>
        <v>0</v>
      </c>
      <c r="AA1020" s="147">
        <f>IFERROR((HLOOKUP($AH1020,Target_monthwise!$D$24:$O$40,DTR!AA$4,FALSE)),0)</f>
        <v>0</v>
      </c>
      <c r="AB1020" s="147">
        <f>IFERROR((HLOOKUP($AH1020,Target_monthwise!$D$24:$O$40,DTR!AB$4,FALSE)),0)</f>
        <v>0</v>
      </c>
      <c r="AC1020" s="239">
        <f>IFERROR((HLOOKUP($AH1020,Target_monthwise!$D$24:$O$40,DTR!AC$4,FALSE)),0)</f>
        <v>0</v>
      </c>
      <c r="AD1020" s="239">
        <f>IFERROR((HLOOKUP($AH1020,Target_monthwise!$D$24:$O$40,DTR!AD$4,FALSE)),0)</f>
        <v>0</v>
      </c>
      <c r="AE1020" s="239">
        <f>IFERROR((HLOOKUP($AH1020,Target_monthwise!$D$24:$O$40,DTR!AE$4,FALSE)),0)</f>
        <v>0</v>
      </c>
      <c r="AF1020" s="239">
        <f>IFERROR((HLOOKUP($AH1020,Target_monthwise!$D$24:$O$40,DTR!AF$4,FALSE)),0)</f>
        <v>0</v>
      </c>
      <c r="AG1020" s="172">
        <f>IFERROR((HLOOKUP($AH1020,Target_monthwise!$D$24:$O$40,DTR!AG$4,FALSE)),0)</f>
        <v>0</v>
      </c>
      <c r="AH1020" s="253">
        <f t="shared" si="18"/>
        <v>202501</v>
      </c>
    </row>
    <row r="1021" spans="3:34" ht="15.75" hidden="1">
      <c r="C1021" s="235">
        <v>45664</v>
      </c>
      <c r="D1021" s="141">
        <f>IFERROR((HLOOKUP($AH1021,Target_monthwise!$D$4:$O$20,DTR!D$4,FALSE))*1000,0)</f>
        <v>0</v>
      </c>
      <c r="E1021" s="141">
        <f>IFERROR((HLOOKUP($AH1021,Target_monthwise!$D$4:$O$20,DTR!E$4,FALSE))*1000,0)</f>
        <v>0</v>
      </c>
      <c r="F1021" s="141">
        <f>IFERROR((HLOOKUP($AH1021,Target_monthwise!$D$4:$O$20,DTR!F$4,FALSE))*1000,0)</f>
        <v>0</v>
      </c>
      <c r="G1021" s="141">
        <f>IFERROR((HLOOKUP($AH1021,Target_monthwise!$D$4:$O$20,DTR!G$4,FALSE))*1000,0)</f>
        <v>0</v>
      </c>
      <c r="H1021" s="141">
        <f>IFERROR((HLOOKUP($AH1021,Target_monthwise!$D$4:$O$20,DTR!H$4,FALSE))*1000,0)</f>
        <v>0</v>
      </c>
      <c r="I1021" s="141">
        <f>IFERROR((HLOOKUP($AH1021,Target_monthwise!$D$4:$O$20,DTR!I$4,FALSE))*1000,0)</f>
        <v>0</v>
      </c>
      <c r="J1021" s="141">
        <f>IFERROR((HLOOKUP($AH1021,Target_monthwise!$D$4:$O$20,DTR!J$4,FALSE))*1000,0)</f>
        <v>0</v>
      </c>
      <c r="K1021" s="141">
        <f>IFERROR((HLOOKUP($AH1021,Target_monthwise!$D$4:$O$20,DTR!K$4,FALSE))*1000,0)</f>
        <v>0</v>
      </c>
      <c r="L1021" s="141">
        <f>IFERROR((HLOOKUP($AH1021,Target_monthwise!$D$4:$O$20,DTR!L$4,FALSE))*1000,0)</f>
        <v>0</v>
      </c>
      <c r="M1021" s="141">
        <f>IFERROR((HLOOKUP($AH1021,Target_monthwise!$D$4:$O$20,DTR!M$4,FALSE))*1000,0)</f>
        <v>0</v>
      </c>
      <c r="N1021" s="141">
        <f>IFERROR((HLOOKUP($AH1021,Target_monthwise!$D$4:$O$20,DTR!N$4,FALSE))*1000,0)</f>
        <v>0</v>
      </c>
      <c r="O1021" s="141">
        <f>IFERROR((HLOOKUP($AH1021,Target_monthwise!$D$4:$O$20,DTR!O$4,FALSE))*1000,0)</f>
        <v>0</v>
      </c>
      <c r="P1021" s="141">
        <f>IFERROR((HLOOKUP($AH1021,Target_monthwise!$D$4:$O$20,DTR!P$4,FALSE))*1000,0)</f>
        <v>0</v>
      </c>
      <c r="Q1021" s="141">
        <f>IFERROR((HLOOKUP($AH1021,Target_monthwise!$D$4:$O$20,DTR!Q$4,FALSE))*1000,0)</f>
        <v>0</v>
      </c>
      <c r="R1021" s="167">
        <f>IFERROR((HLOOKUP($AH1021,Target_monthwise!$D$4:$O$20,DTR!R$4,FALSE))*1000,0)</f>
        <v>0</v>
      </c>
      <c r="S1021" s="147">
        <f>IFERROR((HLOOKUP($AH1021,Target_monthwise!$D$24:$O$40,DTR!S$4,FALSE)),0)</f>
        <v>0</v>
      </c>
      <c r="T1021" s="147">
        <f>IFERROR((HLOOKUP($AH1021,Target_monthwise!$D$24:$O$40,DTR!T$4,FALSE)),0)</f>
        <v>0</v>
      </c>
      <c r="U1021" s="147">
        <f>IFERROR((HLOOKUP($AH1021,Target_monthwise!$D$24:$O$40,DTR!U$4,FALSE)),0)</f>
        <v>0</v>
      </c>
      <c r="V1021" s="147">
        <f>IFERROR((HLOOKUP($AH1021,Target_monthwise!$D$24:$O$40,DTR!V$4,FALSE)),0)</f>
        <v>0</v>
      </c>
      <c r="W1021" s="147">
        <f>IFERROR((HLOOKUP($AH1021,Target_monthwise!$D$24:$O$40,DTR!W$4,FALSE)),0)</f>
        <v>0</v>
      </c>
      <c r="X1021" s="147">
        <f>IFERROR((HLOOKUP($AH1021,Target_monthwise!$D$24:$O$40,DTR!X$4,FALSE)),0)</f>
        <v>0</v>
      </c>
      <c r="Y1021" s="147">
        <f>IFERROR((HLOOKUP($AH1021,Target_monthwise!$D$24:$O$40,DTR!Y$4,FALSE)),0)</f>
        <v>0</v>
      </c>
      <c r="Z1021" s="147">
        <f>IFERROR((HLOOKUP($AH1021,Target_monthwise!$D$24:$O$40,DTR!Z$4,FALSE)),0)</f>
        <v>0</v>
      </c>
      <c r="AA1021" s="147">
        <f>IFERROR((HLOOKUP($AH1021,Target_monthwise!$D$24:$O$40,DTR!AA$4,FALSE)),0)</f>
        <v>0</v>
      </c>
      <c r="AB1021" s="147">
        <f>IFERROR((HLOOKUP($AH1021,Target_monthwise!$D$24:$O$40,DTR!AB$4,FALSE)),0)</f>
        <v>0</v>
      </c>
      <c r="AC1021" s="147">
        <f>IFERROR((HLOOKUP($AH1021,Target_monthwise!$D$24:$O$40,DTR!AC$4,FALSE)),0)</f>
        <v>0</v>
      </c>
      <c r="AD1021" s="147">
        <f>IFERROR((HLOOKUP($AH1021,Target_monthwise!$D$24:$O$40,DTR!AD$4,FALSE)),0)</f>
        <v>0</v>
      </c>
      <c r="AE1021" s="147">
        <f>IFERROR((HLOOKUP($AH1021,Target_monthwise!$D$24:$O$40,DTR!AE$4,FALSE)),0)</f>
        <v>0</v>
      </c>
      <c r="AF1021" s="147">
        <f>IFERROR((HLOOKUP($AH1021,Target_monthwise!$D$24:$O$40,DTR!AF$4,FALSE)),0)</f>
        <v>0</v>
      </c>
      <c r="AG1021" s="172">
        <f>IFERROR((HLOOKUP($AH1021,Target_monthwise!$D$24:$O$40,DTR!AG$4,FALSE)),0)</f>
        <v>0</v>
      </c>
      <c r="AH1021" s="253">
        <f t="shared" si="18"/>
        <v>202501</v>
      </c>
    </row>
    <row r="1022" spans="3:34" ht="15.75" hidden="1">
      <c r="C1022" s="237">
        <v>45665</v>
      </c>
      <c r="D1022" s="238">
        <f>IFERROR((HLOOKUP($AH1022,Target_monthwise!$D$4:$O$20,DTR!D$4,FALSE))*1000,0)</f>
        <v>0</v>
      </c>
      <c r="E1022" s="238">
        <f>IFERROR((HLOOKUP($AH1022,Target_monthwise!$D$4:$O$20,DTR!E$4,FALSE))*1000,0)</f>
        <v>0</v>
      </c>
      <c r="F1022" s="238">
        <f>IFERROR((HLOOKUP($AH1022,Target_monthwise!$D$4:$O$20,DTR!F$4,FALSE))*1000,0)</f>
        <v>0</v>
      </c>
      <c r="G1022" s="238">
        <f>IFERROR((HLOOKUP($AH1022,Target_monthwise!$D$4:$O$20,DTR!G$4,FALSE))*1000,0)</f>
        <v>0</v>
      </c>
      <c r="H1022" s="238">
        <f>IFERROR((HLOOKUP($AH1022,Target_monthwise!$D$4:$O$20,DTR!H$4,FALSE))*1000,0)</f>
        <v>0</v>
      </c>
      <c r="I1022" s="238">
        <f>IFERROR((HLOOKUP($AH1022,Target_monthwise!$D$4:$O$20,DTR!I$4,FALSE))*1000,0)</f>
        <v>0</v>
      </c>
      <c r="J1022" s="238">
        <f>IFERROR((HLOOKUP($AH1022,Target_monthwise!$D$4:$O$20,DTR!J$4,FALSE))*1000,0)</f>
        <v>0</v>
      </c>
      <c r="K1022" s="238">
        <f>IFERROR((HLOOKUP($AH1022,Target_monthwise!$D$4:$O$20,DTR!K$4,FALSE))*1000,0)</f>
        <v>0</v>
      </c>
      <c r="L1022" s="238">
        <f>IFERROR((HLOOKUP($AH1022,Target_monthwise!$D$4:$O$20,DTR!L$4,FALSE))*1000,0)</f>
        <v>0</v>
      </c>
      <c r="M1022" s="238">
        <f>IFERROR((HLOOKUP($AH1022,Target_monthwise!$D$4:$O$20,DTR!M$4,FALSE))*1000,0)</f>
        <v>0</v>
      </c>
      <c r="N1022" s="238">
        <f>IFERROR((HLOOKUP($AH1022,Target_monthwise!$D$4:$O$20,DTR!N$4,FALSE))*1000,0)</f>
        <v>0</v>
      </c>
      <c r="O1022" s="238">
        <f>IFERROR((HLOOKUP($AH1022,Target_monthwise!$D$4:$O$20,DTR!O$4,FALSE))*1000,0)</f>
        <v>0</v>
      </c>
      <c r="P1022" s="238">
        <f>IFERROR((HLOOKUP($AH1022,Target_monthwise!$D$4:$O$20,DTR!P$4,FALSE))*1000,0)</f>
        <v>0</v>
      </c>
      <c r="Q1022" s="141">
        <f>IFERROR((HLOOKUP($AH1022,Target_monthwise!$D$4:$O$20,DTR!Q$4,FALSE))*1000,0)</f>
        <v>0</v>
      </c>
      <c r="R1022" s="167">
        <f>IFERROR((HLOOKUP($AH1022,Target_monthwise!$D$4:$O$20,DTR!R$4,FALSE))*1000,0)</f>
        <v>0</v>
      </c>
      <c r="S1022" s="239">
        <f>IFERROR((HLOOKUP($AH1022,Target_monthwise!$D$24:$O$40,DTR!S$4,FALSE)),0)</f>
        <v>0</v>
      </c>
      <c r="T1022" s="239">
        <f>IFERROR((HLOOKUP($AH1022,Target_monthwise!$D$24:$O$40,DTR!T$4,FALSE)),0)</f>
        <v>0</v>
      </c>
      <c r="U1022" s="239">
        <f>IFERROR((HLOOKUP($AH1022,Target_monthwise!$D$24:$O$40,DTR!U$4,FALSE)),0)</f>
        <v>0</v>
      </c>
      <c r="V1022" s="239">
        <f>IFERROR((HLOOKUP($AH1022,Target_monthwise!$D$24:$O$40,DTR!V$4,FALSE)),0)</f>
        <v>0</v>
      </c>
      <c r="W1022" s="239">
        <f>IFERROR((HLOOKUP($AH1022,Target_monthwise!$D$24:$O$40,DTR!W$4,FALSE)),0)</f>
        <v>0</v>
      </c>
      <c r="X1022" s="239">
        <f>IFERROR((HLOOKUP($AH1022,Target_monthwise!$D$24:$O$40,DTR!X$4,FALSE)),0)</f>
        <v>0</v>
      </c>
      <c r="Y1022" s="239">
        <f>IFERROR((HLOOKUP($AH1022,Target_monthwise!$D$24:$O$40,DTR!Y$4,FALSE)),0)</f>
        <v>0</v>
      </c>
      <c r="Z1022" s="147">
        <f>IFERROR((HLOOKUP($AH1022,Target_monthwise!$D$24:$O$40,DTR!Z$4,FALSE)),0)</f>
        <v>0</v>
      </c>
      <c r="AA1022" s="147">
        <f>IFERROR((HLOOKUP($AH1022,Target_monthwise!$D$24:$O$40,DTR!AA$4,FALSE)),0)</f>
        <v>0</v>
      </c>
      <c r="AB1022" s="147">
        <f>IFERROR((HLOOKUP($AH1022,Target_monthwise!$D$24:$O$40,DTR!AB$4,FALSE)),0)</f>
        <v>0</v>
      </c>
      <c r="AC1022" s="239">
        <f>IFERROR((HLOOKUP($AH1022,Target_monthwise!$D$24:$O$40,DTR!AC$4,FALSE)),0)</f>
        <v>0</v>
      </c>
      <c r="AD1022" s="239">
        <f>IFERROR((HLOOKUP($AH1022,Target_monthwise!$D$24:$O$40,DTR!AD$4,FALSE)),0)</f>
        <v>0</v>
      </c>
      <c r="AE1022" s="239">
        <f>IFERROR((HLOOKUP($AH1022,Target_monthwise!$D$24:$O$40,DTR!AE$4,FALSE)),0)</f>
        <v>0</v>
      </c>
      <c r="AF1022" s="239">
        <f>IFERROR((HLOOKUP($AH1022,Target_monthwise!$D$24:$O$40,DTR!AF$4,FALSE)),0)</f>
        <v>0</v>
      </c>
      <c r="AG1022" s="172">
        <f>IFERROR((HLOOKUP($AH1022,Target_monthwise!$D$24:$O$40,DTR!AG$4,FALSE)),0)</f>
        <v>0</v>
      </c>
      <c r="AH1022" s="253">
        <f t="shared" si="18"/>
        <v>202501</v>
      </c>
    </row>
    <row r="1023" spans="3:34" ht="15.75" hidden="1">
      <c r="C1023" s="235">
        <v>45666</v>
      </c>
      <c r="D1023" s="141">
        <f>IFERROR((HLOOKUP($AH1023,Target_monthwise!$D$4:$O$20,DTR!D$4,FALSE))*1000,0)</f>
        <v>0</v>
      </c>
      <c r="E1023" s="141">
        <f>IFERROR((HLOOKUP($AH1023,Target_monthwise!$D$4:$O$20,DTR!E$4,FALSE))*1000,0)</f>
        <v>0</v>
      </c>
      <c r="F1023" s="141">
        <f>IFERROR((HLOOKUP($AH1023,Target_monthwise!$D$4:$O$20,DTR!F$4,FALSE))*1000,0)</f>
        <v>0</v>
      </c>
      <c r="G1023" s="141">
        <f>IFERROR((HLOOKUP($AH1023,Target_monthwise!$D$4:$O$20,DTR!G$4,FALSE))*1000,0)</f>
        <v>0</v>
      </c>
      <c r="H1023" s="141">
        <f>IFERROR((HLOOKUP($AH1023,Target_monthwise!$D$4:$O$20,DTR!H$4,FALSE))*1000,0)</f>
        <v>0</v>
      </c>
      <c r="I1023" s="141">
        <f>IFERROR((HLOOKUP($AH1023,Target_monthwise!$D$4:$O$20,DTR!I$4,FALSE))*1000,0)</f>
        <v>0</v>
      </c>
      <c r="J1023" s="141">
        <f>IFERROR((HLOOKUP($AH1023,Target_monthwise!$D$4:$O$20,DTR!J$4,FALSE))*1000,0)</f>
        <v>0</v>
      </c>
      <c r="K1023" s="141">
        <f>IFERROR((HLOOKUP($AH1023,Target_monthwise!$D$4:$O$20,DTR!K$4,FALSE))*1000,0)</f>
        <v>0</v>
      </c>
      <c r="L1023" s="141">
        <f>IFERROR((HLOOKUP($AH1023,Target_monthwise!$D$4:$O$20,DTR!L$4,FALSE))*1000,0)</f>
        <v>0</v>
      </c>
      <c r="M1023" s="141">
        <f>IFERROR((HLOOKUP($AH1023,Target_monthwise!$D$4:$O$20,DTR!M$4,FALSE))*1000,0)</f>
        <v>0</v>
      </c>
      <c r="N1023" s="141">
        <f>IFERROR((HLOOKUP($AH1023,Target_monthwise!$D$4:$O$20,DTR!N$4,FALSE))*1000,0)</f>
        <v>0</v>
      </c>
      <c r="O1023" s="141">
        <f>IFERROR((HLOOKUP($AH1023,Target_monthwise!$D$4:$O$20,DTR!O$4,FALSE))*1000,0)</f>
        <v>0</v>
      </c>
      <c r="P1023" s="141">
        <f>IFERROR((HLOOKUP($AH1023,Target_monthwise!$D$4:$O$20,DTR!P$4,FALSE))*1000,0)</f>
        <v>0</v>
      </c>
      <c r="Q1023" s="141">
        <f>IFERROR((HLOOKUP($AH1023,Target_monthwise!$D$4:$O$20,DTR!Q$4,FALSE))*1000,0)</f>
        <v>0</v>
      </c>
      <c r="R1023" s="167">
        <f>IFERROR((HLOOKUP($AH1023,Target_monthwise!$D$4:$O$20,DTR!R$4,FALSE))*1000,0)</f>
        <v>0</v>
      </c>
      <c r="S1023" s="147">
        <f>IFERROR((HLOOKUP($AH1023,Target_monthwise!$D$24:$O$40,DTR!S$4,FALSE)),0)</f>
        <v>0</v>
      </c>
      <c r="T1023" s="147">
        <f>IFERROR((HLOOKUP($AH1023,Target_monthwise!$D$24:$O$40,DTR!T$4,FALSE)),0)</f>
        <v>0</v>
      </c>
      <c r="U1023" s="147">
        <f>IFERROR((HLOOKUP($AH1023,Target_monthwise!$D$24:$O$40,DTR!U$4,FALSE)),0)</f>
        <v>0</v>
      </c>
      <c r="V1023" s="147">
        <f>IFERROR((HLOOKUP($AH1023,Target_monthwise!$D$24:$O$40,DTR!V$4,FALSE)),0)</f>
        <v>0</v>
      </c>
      <c r="W1023" s="147">
        <f>IFERROR((HLOOKUP($AH1023,Target_monthwise!$D$24:$O$40,DTR!W$4,FALSE)),0)</f>
        <v>0</v>
      </c>
      <c r="X1023" s="147">
        <f>IFERROR((HLOOKUP($AH1023,Target_monthwise!$D$24:$O$40,DTR!X$4,FALSE)),0)</f>
        <v>0</v>
      </c>
      <c r="Y1023" s="147">
        <f>IFERROR((HLOOKUP($AH1023,Target_monthwise!$D$24:$O$40,DTR!Y$4,FALSE)),0)</f>
        <v>0</v>
      </c>
      <c r="Z1023" s="147">
        <f>IFERROR((HLOOKUP($AH1023,Target_monthwise!$D$24:$O$40,DTR!Z$4,FALSE)),0)</f>
        <v>0</v>
      </c>
      <c r="AA1023" s="147">
        <f>IFERROR((HLOOKUP($AH1023,Target_monthwise!$D$24:$O$40,DTR!AA$4,FALSE)),0)</f>
        <v>0</v>
      </c>
      <c r="AB1023" s="147">
        <f>IFERROR((HLOOKUP($AH1023,Target_monthwise!$D$24:$O$40,DTR!AB$4,FALSE)),0)</f>
        <v>0</v>
      </c>
      <c r="AC1023" s="147">
        <f>IFERROR((HLOOKUP($AH1023,Target_monthwise!$D$24:$O$40,DTR!AC$4,FALSE)),0)</f>
        <v>0</v>
      </c>
      <c r="AD1023" s="147">
        <f>IFERROR((HLOOKUP($AH1023,Target_monthwise!$D$24:$O$40,DTR!AD$4,FALSE)),0)</f>
        <v>0</v>
      </c>
      <c r="AE1023" s="147">
        <f>IFERROR((HLOOKUP($AH1023,Target_monthwise!$D$24:$O$40,DTR!AE$4,FALSE)),0)</f>
        <v>0</v>
      </c>
      <c r="AF1023" s="147">
        <f>IFERROR((HLOOKUP($AH1023,Target_monthwise!$D$24:$O$40,DTR!AF$4,FALSE)),0)</f>
        <v>0</v>
      </c>
      <c r="AG1023" s="172">
        <f>IFERROR((HLOOKUP($AH1023,Target_monthwise!$D$24:$O$40,DTR!AG$4,FALSE)),0)</f>
        <v>0</v>
      </c>
      <c r="AH1023" s="253">
        <f t="shared" si="18"/>
        <v>202501</v>
      </c>
    </row>
    <row r="1024" spans="3:34" ht="15.75" hidden="1">
      <c r="C1024" s="237">
        <v>45667</v>
      </c>
      <c r="D1024" s="238">
        <f>IFERROR((HLOOKUP($AH1024,Target_monthwise!$D$4:$O$20,DTR!D$4,FALSE))*1000,0)</f>
        <v>0</v>
      </c>
      <c r="E1024" s="238">
        <f>IFERROR((HLOOKUP($AH1024,Target_monthwise!$D$4:$O$20,DTR!E$4,FALSE))*1000,0)</f>
        <v>0</v>
      </c>
      <c r="F1024" s="238">
        <f>IFERROR((HLOOKUP($AH1024,Target_monthwise!$D$4:$O$20,DTR!F$4,FALSE))*1000,0)</f>
        <v>0</v>
      </c>
      <c r="G1024" s="238">
        <f>IFERROR((HLOOKUP($AH1024,Target_monthwise!$D$4:$O$20,DTR!G$4,FALSE))*1000,0)</f>
        <v>0</v>
      </c>
      <c r="H1024" s="238">
        <f>IFERROR((HLOOKUP($AH1024,Target_monthwise!$D$4:$O$20,DTR!H$4,FALSE))*1000,0)</f>
        <v>0</v>
      </c>
      <c r="I1024" s="238">
        <f>IFERROR((HLOOKUP($AH1024,Target_monthwise!$D$4:$O$20,DTR!I$4,FALSE))*1000,0)</f>
        <v>0</v>
      </c>
      <c r="J1024" s="238">
        <f>IFERROR((HLOOKUP($AH1024,Target_monthwise!$D$4:$O$20,DTR!J$4,FALSE))*1000,0)</f>
        <v>0</v>
      </c>
      <c r="K1024" s="238">
        <f>IFERROR((HLOOKUP($AH1024,Target_monthwise!$D$4:$O$20,DTR!K$4,FALSE))*1000,0)</f>
        <v>0</v>
      </c>
      <c r="L1024" s="238">
        <f>IFERROR((HLOOKUP($AH1024,Target_monthwise!$D$4:$O$20,DTR!L$4,FALSE))*1000,0)</f>
        <v>0</v>
      </c>
      <c r="M1024" s="238">
        <f>IFERROR((HLOOKUP($AH1024,Target_monthwise!$D$4:$O$20,DTR!M$4,FALSE))*1000,0)</f>
        <v>0</v>
      </c>
      <c r="N1024" s="238">
        <f>IFERROR((HLOOKUP($AH1024,Target_monthwise!$D$4:$O$20,DTR!N$4,FALSE))*1000,0)</f>
        <v>0</v>
      </c>
      <c r="O1024" s="238">
        <f>IFERROR((HLOOKUP($AH1024,Target_monthwise!$D$4:$O$20,DTR!O$4,FALSE))*1000,0)</f>
        <v>0</v>
      </c>
      <c r="P1024" s="238">
        <f>IFERROR((HLOOKUP($AH1024,Target_monthwise!$D$4:$O$20,DTR!P$4,FALSE))*1000,0)</f>
        <v>0</v>
      </c>
      <c r="Q1024" s="141">
        <f>IFERROR((HLOOKUP($AH1024,Target_monthwise!$D$4:$O$20,DTR!Q$4,FALSE))*1000,0)</f>
        <v>0</v>
      </c>
      <c r="R1024" s="167">
        <f>IFERROR((HLOOKUP($AH1024,Target_monthwise!$D$4:$O$20,DTR!R$4,FALSE))*1000,0)</f>
        <v>0</v>
      </c>
      <c r="S1024" s="239">
        <f>IFERROR((HLOOKUP($AH1024,Target_monthwise!$D$24:$O$40,DTR!S$4,FALSE)),0)</f>
        <v>0</v>
      </c>
      <c r="T1024" s="239">
        <f>IFERROR((HLOOKUP($AH1024,Target_monthwise!$D$24:$O$40,DTR!T$4,FALSE)),0)</f>
        <v>0</v>
      </c>
      <c r="U1024" s="239">
        <f>IFERROR((HLOOKUP($AH1024,Target_monthwise!$D$24:$O$40,DTR!U$4,FALSE)),0)</f>
        <v>0</v>
      </c>
      <c r="V1024" s="239">
        <f>IFERROR((HLOOKUP($AH1024,Target_monthwise!$D$24:$O$40,DTR!V$4,FALSE)),0)</f>
        <v>0</v>
      </c>
      <c r="W1024" s="239">
        <f>IFERROR((HLOOKUP($AH1024,Target_monthwise!$D$24:$O$40,DTR!W$4,FALSE)),0)</f>
        <v>0</v>
      </c>
      <c r="X1024" s="239">
        <f>IFERROR((HLOOKUP($AH1024,Target_monthwise!$D$24:$O$40,DTR!X$4,FALSE)),0)</f>
        <v>0</v>
      </c>
      <c r="Y1024" s="239">
        <f>IFERROR((HLOOKUP($AH1024,Target_monthwise!$D$24:$O$40,DTR!Y$4,FALSE)),0)</f>
        <v>0</v>
      </c>
      <c r="Z1024" s="147">
        <f>IFERROR((HLOOKUP($AH1024,Target_monthwise!$D$24:$O$40,DTR!Z$4,FALSE)),0)</f>
        <v>0</v>
      </c>
      <c r="AA1024" s="147">
        <f>IFERROR((HLOOKUP($AH1024,Target_monthwise!$D$24:$O$40,DTR!AA$4,FALSE)),0)</f>
        <v>0</v>
      </c>
      <c r="AB1024" s="147">
        <f>IFERROR((HLOOKUP($AH1024,Target_monthwise!$D$24:$O$40,DTR!AB$4,FALSE)),0)</f>
        <v>0</v>
      </c>
      <c r="AC1024" s="239">
        <f>IFERROR((HLOOKUP($AH1024,Target_monthwise!$D$24:$O$40,DTR!AC$4,FALSE)),0)</f>
        <v>0</v>
      </c>
      <c r="AD1024" s="239">
        <f>IFERROR((HLOOKUP($AH1024,Target_monthwise!$D$24:$O$40,DTR!AD$4,FALSE)),0)</f>
        <v>0</v>
      </c>
      <c r="AE1024" s="239">
        <f>IFERROR((HLOOKUP($AH1024,Target_monthwise!$D$24:$O$40,DTR!AE$4,FALSE)),0)</f>
        <v>0</v>
      </c>
      <c r="AF1024" s="239">
        <f>IFERROR((HLOOKUP($AH1024,Target_monthwise!$D$24:$O$40,DTR!AF$4,FALSE)),0)</f>
        <v>0</v>
      </c>
      <c r="AG1024" s="172">
        <f>IFERROR((HLOOKUP($AH1024,Target_monthwise!$D$24:$O$40,DTR!AG$4,FALSE)),0)</f>
        <v>0</v>
      </c>
      <c r="AH1024" s="253">
        <f t="shared" si="18"/>
        <v>202501</v>
      </c>
    </row>
    <row r="1025" spans="3:34" ht="15.75" hidden="1">
      <c r="C1025" s="235">
        <v>45668</v>
      </c>
      <c r="D1025" s="141">
        <f>IFERROR((HLOOKUP($AH1025,Target_monthwise!$D$4:$O$20,DTR!D$4,FALSE))*1000,0)</f>
        <v>0</v>
      </c>
      <c r="E1025" s="141">
        <f>IFERROR((HLOOKUP($AH1025,Target_monthwise!$D$4:$O$20,DTR!E$4,FALSE))*1000,0)</f>
        <v>0</v>
      </c>
      <c r="F1025" s="141">
        <f>IFERROR((HLOOKUP($AH1025,Target_monthwise!$D$4:$O$20,DTR!F$4,FALSE))*1000,0)</f>
        <v>0</v>
      </c>
      <c r="G1025" s="141">
        <f>IFERROR((HLOOKUP($AH1025,Target_monthwise!$D$4:$O$20,DTR!G$4,FALSE))*1000,0)</f>
        <v>0</v>
      </c>
      <c r="H1025" s="141">
        <f>IFERROR((HLOOKUP($AH1025,Target_monthwise!$D$4:$O$20,DTR!H$4,FALSE))*1000,0)</f>
        <v>0</v>
      </c>
      <c r="I1025" s="141">
        <f>IFERROR((HLOOKUP($AH1025,Target_monthwise!$D$4:$O$20,DTR!I$4,FALSE))*1000,0)</f>
        <v>0</v>
      </c>
      <c r="J1025" s="141">
        <f>IFERROR((HLOOKUP($AH1025,Target_monthwise!$D$4:$O$20,DTR!J$4,FALSE))*1000,0)</f>
        <v>0</v>
      </c>
      <c r="K1025" s="141">
        <f>IFERROR((HLOOKUP($AH1025,Target_monthwise!$D$4:$O$20,DTR!K$4,FALSE))*1000,0)</f>
        <v>0</v>
      </c>
      <c r="L1025" s="141">
        <f>IFERROR((HLOOKUP($AH1025,Target_monthwise!$D$4:$O$20,DTR!L$4,FALSE))*1000,0)</f>
        <v>0</v>
      </c>
      <c r="M1025" s="141">
        <f>IFERROR((HLOOKUP($AH1025,Target_monthwise!$D$4:$O$20,DTR!M$4,FALSE))*1000,0)</f>
        <v>0</v>
      </c>
      <c r="N1025" s="141">
        <f>IFERROR((HLOOKUP($AH1025,Target_monthwise!$D$4:$O$20,DTR!N$4,FALSE))*1000,0)</f>
        <v>0</v>
      </c>
      <c r="O1025" s="141">
        <f>IFERROR((HLOOKUP($AH1025,Target_monthwise!$D$4:$O$20,DTR!O$4,FALSE))*1000,0)</f>
        <v>0</v>
      </c>
      <c r="P1025" s="141">
        <f>IFERROR((HLOOKUP($AH1025,Target_monthwise!$D$4:$O$20,DTR!P$4,FALSE))*1000,0)</f>
        <v>0</v>
      </c>
      <c r="Q1025" s="141">
        <f>IFERROR((HLOOKUP($AH1025,Target_monthwise!$D$4:$O$20,DTR!Q$4,FALSE))*1000,0)</f>
        <v>0</v>
      </c>
      <c r="R1025" s="167">
        <f>IFERROR((HLOOKUP($AH1025,Target_monthwise!$D$4:$O$20,DTR!R$4,FALSE))*1000,0)</f>
        <v>0</v>
      </c>
      <c r="S1025" s="147">
        <f>IFERROR((HLOOKUP($AH1025,Target_monthwise!$D$24:$O$40,DTR!S$4,FALSE)),0)</f>
        <v>0</v>
      </c>
      <c r="T1025" s="147">
        <f>IFERROR((HLOOKUP($AH1025,Target_monthwise!$D$24:$O$40,DTR!T$4,FALSE)),0)</f>
        <v>0</v>
      </c>
      <c r="U1025" s="147">
        <f>IFERROR((HLOOKUP($AH1025,Target_monthwise!$D$24:$O$40,DTR!U$4,FALSE)),0)</f>
        <v>0</v>
      </c>
      <c r="V1025" s="147">
        <f>IFERROR((HLOOKUP($AH1025,Target_monthwise!$D$24:$O$40,DTR!V$4,FALSE)),0)</f>
        <v>0</v>
      </c>
      <c r="W1025" s="147">
        <f>IFERROR((HLOOKUP($AH1025,Target_monthwise!$D$24:$O$40,DTR!W$4,FALSE)),0)</f>
        <v>0</v>
      </c>
      <c r="X1025" s="147">
        <f>IFERROR((HLOOKUP($AH1025,Target_monthwise!$D$24:$O$40,DTR!X$4,FALSE)),0)</f>
        <v>0</v>
      </c>
      <c r="Y1025" s="147">
        <f>IFERROR((HLOOKUP($AH1025,Target_monthwise!$D$24:$O$40,DTR!Y$4,FALSE)),0)</f>
        <v>0</v>
      </c>
      <c r="Z1025" s="147">
        <f>IFERROR((HLOOKUP($AH1025,Target_monthwise!$D$24:$O$40,DTR!Z$4,FALSE)),0)</f>
        <v>0</v>
      </c>
      <c r="AA1025" s="147">
        <f>IFERROR((HLOOKUP($AH1025,Target_monthwise!$D$24:$O$40,DTR!AA$4,FALSE)),0)</f>
        <v>0</v>
      </c>
      <c r="AB1025" s="147">
        <f>IFERROR((HLOOKUP($AH1025,Target_monthwise!$D$24:$O$40,DTR!AB$4,FALSE)),0)</f>
        <v>0</v>
      </c>
      <c r="AC1025" s="147">
        <f>IFERROR((HLOOKUP($AH1025,Target_monthwise!$D$24:$O$40,DTR!AC$4,FALSE)),0)</f>
        <v>0</v>
      </c>
      <c r="AD1025" s="147">
        <f>IFERROR((HLOOKUP($AH1025,Target_monthwise!$D$24:$O$40,DTR!AD$4,FALSE)),0)</f>
        <v>0</v>
      </c>
      <c r="AE1025" s="147">
        <f>IFERROR((HLOOKUP($AH1025,Target_monthwise!$D$24:$O$40,DTR!AE$4,FALSE)),0)</f>
        <v>0</v>
      </c>
      <c r="AF1025" s="147">
        <f>IFERROR((HLOOKUP($AH1025,Target_monthwise!$D$24:$O$40,DTR!AF$4,FALSE)),0)</f>
        <v>0</v>
      </c>
      <c r="AG1025" s="172">
        <f>IFERROR((HLOOKUP($AH1025,Target_monthwise!$D$24:$O$40,DTR!AG$4,FALSE)),0)</f>
        <v>0</v>
      </c>
      <c r="AH1025" s="253">
        <f t="shared" si="18"/>
        <v>202501</v>
      </c>
    </row>
    <row r="1026" spans="3:34" ht="15.75" hidden="1">
      <c r="C1026" s="237">
        <v>45669</v>
      </c>
      <c r="D1026" s="238">
        <f>IFERROR((HLOOKUP($AH1026,Target_monthwise!$D$4:$O$20,DTR!D$4,FALSE))*1000,0)</f>
        <v>0</v>
      </c>
      <c r="E1026" s="238">
        <f>IFERROR((HLOOKUP($AH1026,Target_monthwise!$D$4:$O$20,DTR!E$4,FALSE))*1000,0)</f>
        <v>0</v>
      </c>
      <c r="F1026" s="238">
        <f>IFERROR((HLOOKUP($AH1026,Target_monthwise!$D$4:$O$20,DTR!F$4,FALSE))*1000,0)</f>
        <v>0</v>
      </c>
      <c r="G1026" s="238">
        <f>IFERROR((HLOOKUP($AH1026,Target_monthwise!$D$4:$O$20,DTR!G$4,FALSE))*1000,0)</f>
        <v>0</v>
      </c>
      <c r="H1026" s="238">
        <f>IFERROR((HLOOKUP($AH1026,Target_monthwise!$D$4:$O$20,DTR!H$4,FALSE))*1000,0)</f>
        <v>0</v>
      </c>
      <c r="I1026" s="238">
        <f>IFERROR((HLOOKUP($AH1026,Target_monthwise!$D$4:$O$20,DTR!I$4,FALSE))*1000,0)</f>
        <v>0</v>
      </c>
      <c r="J1026" s="238">
        <f>IFERROR((HLOOKUP($AH1026,Target_monthwise!$D$4:$O$20,DTR!J$4,FALSE))*1000,0)</f>
        <v>0</v>
      </c>
      <c r="K1026" s="238">
        <f>IFERROR((HLOOKUP($AH1026,Target_monthwise!$D$4:$O$20,DTR!K$4,FALSE))*1000,0)</f>
        <v>0</v>
      </c>
      <c r="L1026" s="238">
        <f>IFERROR((HLOOKUP($AH1026,Target_monthwise!$D$4:$O$20,DTR!L$4,FALSE))*1000,0)</f>
        <v>0</v>
      </c>
      <c r="M1026" s="238">
        <f>IFERROR((HLOOKUP($AH1026,Target_monthwise!$D$4:$O$20,DTR!M$4,FALSE))*1000,0)</f>
        <v>0</v>
      </c>
      <c r="N1026" s="238">
        <f>IFERROR((HLOOKUP($AH1026,Target_monthwise!$D$4:$O$20,DTR!N$4,FALSE))*1000,0)</f>
        <v>0</v>
      </c>
      <c r="O1026" s="238">
        <f>IFERROR((HLOOKUP($AH1026,Target_monthwise!$D$4:$O$20,DTR!O$4,FALSE))*1000,0)</f>
        <v>0</v>
      </c>
      <c r="P1026" s="238">
        <f>IFERROR((HLOOKUP($AH1026,Target_monthwise!$D$4:$O$20,DTR!P$4,FALSE))*1000,0)</f>
        <v>0</v>
      </c>
      <c r="Q1026" s="141">
        <f>IFERROR((HLOOKUP($AH1026,Target_monthwise!$D$4:$O$20,DTR!Q$4,FALSE))*1000,0)</f>
        <v>0</v>
      </c>
      <c r="R1026" s="167">
        <f>IFERROR((HLOOKUP($AH1026,Target_monthwise!$D$4:$O$20,DTR!R$4,FALSE))*1000,0)</f>
        <v>0</v>
      </c>
      <c r="S1026" s="239">
        <f>IFERROR((HLOOKUP($AH1026,Target_monthwise!$D$24:$O$40,DTR!S$4,FALSE)),0)</f>
        <v>0</v>
      </c>
      <c r="T1026" s="239">
        <f>IFERROR((HLOOKUP($AH1026,Target_monthwise!$D$24:$O$40,DTR!T$4,FALSE)),0)</f>
        <v>0</v>
      </c>
      <c r="U1026" s="239">
        <f>IFERROR((HLOOKUP($AH1026,Target_monthwise!$D$24:$O$40,DTR!U$4,FALSE)),0)</f>
        <v>0</v>
      </c>
      <c r="V1026" s="239">
        <f>IFERROR((HLOOKUP($AH1026,Target_monthwise!$D$24:$O$40,DTR!V$4,FALSE)),0)</f>
        <v>0</v>
      </c>
      <c r="W1026" s="239">
        <f>IFERROR((HLOOKUP($AH1026,Target_monthwise!$D$24:$O$40,DTR!W$4,FALSE)),0)</f>
        <v>0</v>
      </c>
      <c r="X1026" s="239">
        <f>IFERROR((HLOOKUP($AH1026,Target_monthwise!$D$24:$O$40,DTR!X$4,FALSE)),0)</f>
        <v>0</v>
      </c>
      <c r="Y1026" s="239">
        <f>IFERROR((HLOOKUP($AH1026,Target_monthwise!$D$24:$O$40,DTR!Y$4,FALSE)),0)</f>
        <v>0</v>
      </c>
      <c r="Z1026" s="147">
        <f>IFERROR((HLOOKUP($AH1026,Target_monthwise!$D$24:$O$40,DTR!Z$4,FALSE)),0)</f>
        <v>0</v>
      </c>
      <c r="AA1026" s="147">
        <f>IFERROR((HLOOKUP($AH1026,Target_monthwise!$D$24:$O$40,DTR!AA$4,FALSE)),0)</f>
        <v>0</v>
      </c>
      <c r="AB1026" s="147">
        <f>IFERROR((HLOOKUP($AH1026,Target_monthwise!$D$24:$O$40,DTR!AB$4,FALSE)),0)</f>
        <v>0</v>
      </c>
      <c r="AC1026" s="239">
        <f>IFERROR((HLOOKUP($AH1026,Target_monthwise!$D$24:$O$40,DTR!AC$4,FALSE)),0)</f>
        <v>0</v>
      </c>
      <c r="AD1026" s="239">
        <f>IFERROR((HLOOKUP($AH1026,Target_monthwise!$D$24:$O$40,DTR!AD$4,FALSE)),0)</f>
        <v>0</v>
      </c>
      <c r="AE1026" s="239">
        <f>IFERROR((HLOOKUP($AH1026,Target_monthwise!$D$24:$O$40,DTR!AE$4,FALSE)),0)</f>
        <v>0</v>
      </c>
      <c r="AF1026" s="239">
        <f>IFERROR((HLOOKUP($AH1026,Target_monthwise!$D$24:$O$40,DTR!AF$4,FALSE)),0)</f>
        <v>0</v>
      </c>
      <c r="AG1026" s="172">
        <f>IFERROR((HLOOKUP($AH1026,Target_monthwise!$D$24:$O$40,DTR!AG$4,FALSE)),0)</f>
        <v>0</v>
      </c>
      <c r="AH1026" s="253">
        <f t="shared" si="18"/>
        <v>202501</v>
      </c>
    </row>
    <row r="1027" spans="3:34" ht="15.75" hidden="1">
      <c r="C1027" s="235">
        <v>45670</v>
      </c>
      <c r="D1027" s="141">
        <f>IFERROR((HLOOKUP($AH1027,Target_monthwise!$D$4:$O$20,DTR!D$4,FALSE))*1000,0)</f>
        <v>0</v>
      </c>
      <c r="E1027" s="141">
        <f>IFERROR((HLOOKUP($AH1027,Target_monthwise!$D$4:$O$20,DTR!E$4,FALSE))*1000,0)</f>
        <v>0</v>
      </c>
      <c r="F1027" s="141">
        <f>IFERROR((HLOOKUP($AH1027,Target_monthwise!$D$4:$O$20,DTR!F$4,FALSE))*1000,0)</f>
        <v>0</v>
      </c>
      <c r="G1027" s="141">
        <f>IFERROR((HLOOKUP($AH1027,Target_monthwise!$D$4:$O$20,DTR!G$4,FALSE))*1000,0)</f>
        <v>0</v>
      </c>
      <c r="H1027" s="141">
        <f>IFERROR((HLOOKUP($AH1027,Target_monthwise!$D$4:$O$20,DTR!H$4,FALSE))*1000,0)</f>
        <v>0</v>
      </c>
      <c r="I1027" s="141">
        <f>IFERROR((HLOOKUP($AH1027,Target_monthwise!$D$4:$O$20,DTR!I$4,FALSE))*1000,0)</f>
        <v>0</v>
      </c>
      <c r="J1027" s="141">
        <f>IFERROR((HLOOKUP($AH1027,Target_monthwise!$D$4:$O$20,DTR!J$4,FALSE))*1000,0)</f>
        <v>0</v>
      </c>
      <c r="K1027" s="141">
        <f>IFERROR((HLOOKUP($AH1027,Target_monthwise!$D$4:$O$20,DTR!K$4,FALSE))*1000,0)</f>
        <v>0</v>
      </c>
      <c r="L1027" s="141">
        <f>IFERROR((HLOOKUP($AH1027,Target_monthwise!$D$4:$O$20,DTR!L$4,FALSE))*1000,0)</f>
        <v>0</v>
      </c>
      <c r="M1027" s="141">
        <f>IFERROR((HLOOKUP($AH1027,Target_monthwise!$D$4:$O$20,DTR!M$4,FALSE))*1000,0)</f>
        <v>0</v>
      </c>
      <c r="N1027" s="141">
        <f>IFERROR((HLOOKUP($AH1027,Target_monthwise!$D$4:$O$20,DTR!N$4,FALSE))*1000,0)</f>
        <v>0</v>
      </c>
      <c r="O1027" s="141">
        <f>IFERROR((HLOOKUP($AH1027,Target_monthwise!$D$4:$O$20,DTR!O$4,FALSE))*1000,0)</f>
        <v>0</v>
      </c>
      <c r="P1027" s="141">
        <f>IFERROR((HLOOKUP($AH1027,Target_monthwise!$D$4:$O$20,DTR!P$4,FALSE))*1000,0)</f>
        <v>0</v>
      </c>
      <c r="Q1027" s="141">
        <f>IFERROR((HLOOKUP($AH1027,Target_monthwise!$D$4:$O$20,DTR!Q$4,FALSE))*1000,0)</f>
        <v>0</v>
      </c>
      <c r="R1027" s="167">
        <f>IFERROR((HLOOKUP($AH1027,Target_monthwise!$D$4:$O$20,DTR!R$4,FALSE))*1000,0)</f>
        <v>0</v>
      </c>
      <c r="S1027" s="147">
        <f>IFERROR((HLOOKUP($AH1027,Target_monthwise!$D$24:$O$40,DTR!S$4,FALSE)),0)</f>
        <v>0</v>
      </c>
      <c r="T1027" s="147">
        <f>IFERROR((HLOOKUP($AH1027,Target_monthwise!$D$24:$O$40,DTR!T$4,FALSE)),0)</f>
        <v>0</v>
      </c>
      <c r="U1027" s="147">
        <f>IFERROR((HLOOKUP($AH1027,Target_monthwise!$D$24:$O$40,DTR!U$4,FALSE)),0)</f>
        <v>0</v>
      </c>
      <c r="V1027" s="147">
        <f>IFERROR((HLOOKUP($AH1027,Target_monthwise!$D$24:$O$40,DTR!V$4,FALSE)),0)</f>
        <v>0</v>
      </c>
      <c r="W1027" s="147">
        <f>IFERROR((HLOOKUP($AH1027,Target_monthwise!$D$24:$O$40,DTR!W$4,FALSE)),0)</f>
        <v>0</v>
      </c>
      <c r="X1027" s="147">
        <f>IFERROR((HLOOKUP($AH1027,Target_monthwise!$D$24:$O$40,DTR!X$4,FALSE)),0)</f>
        <v>0</v>
      </c>
      <c r="Y1027" s="147">
        <f>IFERROR((HLOOKUP($AH1027,Target_monthwise!$D$24:$O$40,DTR!Y$4,FALSE)),0)</f>
        <v>0</v>
      </c>
      <c r="Z1027" s="147">
        <f>IFERROR((HLOOKUP($AH1027,Target_monthwise!$D$24:$O$40,DTR!Z$4,FALSE)),0)</f>
        <v>0</v>
      </c>
      <c r="AA1027" s="147">
        <f>IFERROR((HLOOKUP($AH1027,Target_monthwise!$D$24:$O$40,DTR!AA$4,FALSE)),0)</f>
        <v>0</v>
      </c>
      <c r="AB1027" s="147">
        <f>IFERROR((HLOOKUP($AH1027,Target_monthwise!$D$24:$O$40,DTR!AB$4,FALSE)),0)</f>
        <v>0</v>
      </c>
      <c r="AC1027" s="147">
        <f>IFERROR((HLOOKUP($AH1027,Target_monthwise!$D$24:$O$40,DTR!AC$4,FALSE)),0)</f>
        <v>0</v>
      </c>
      <c r="AD1027" s="147">
        <f>IFERROR((HLOOKUP($AH1027,Target_monthwise!$D$24:$O$40,DTR!AD$4,FALSE)),0)</f>
        <v>0</v>
      </c>
      <c r="AE1027" s="147">
        <f>IFERROR((HLOOKUP($AH1027,Target_monthwise!$D$24:$O$40,DTR!AE$4,FALSE)),0)</f>
        <v>0</v>
      </c>
      <c r="AF1027" s="147">
        <f>IFERROR((HLOOKUP($AH1027,Target_monthwise!$D$24:$O$40,DTR!AF$4,FALSE)),0)</f>
        <v>0</v>
      </c>
      <c r="AG1027" s="172">
        <f>IFERROR((HLOOKUP($AH1027,Target_monthwise!$D$24:$O$40,DTR!AG$4,FALSE)),0)</f>
        <v>0</v>
      </c>
      <c r="AH1027" s="253">
        <f t="shared" si="18"/>
        <v>202501</v>
      </c>
    </row>
    <row r="1028" spans="3:34" ht="15.75" hidden="1">
      <c r="C1028" s="237">
        <v>45671</v>
      </c>
      <c r="D1028" s="238">
        <f>IFERROR((HLOOKUP($AH1028,Target_monthwise!$D$4:$O$20,DTR!D$4,FALSE))*1000,0)</f>
        <v>0</v>
      </c>
      <c r="E1028" s="238">
        <f>IFERROR((HLOOKUP($AH1028,Target_monthwise!$D$4:$O$20,DTR!E$4,FALSE))*1000,0)</f>
        <v>0</v>
      </c>
      <c r="F1028" s="238">
        <f>IFERROR((HLOOKUP($AH1028,Target_monthwise!$D$4:$O$20,DTR!F$4,FALSE))*1000,0)</f>
        <v>0</v>
      </c>
      <c r="G1028" s="238">
        <f>IFERROR((HLOOKUP($AH1028,Target_monthwise!$D$4:$O$20,DTR!G$4,FALSE))*1000,0)</f>
        <v>0</v>
      </c>
      <c r="H1028" s="238">
        <f>IFERROR((HLOOKUP($AH1028,Target_monthwise!$D$4:$O$20,DTR!H$4,FALSE))*1000,0)</f>
        <v>0</v>
      </c>
      <c r="I1028" s="238">
        <f>IFERROR((HLOOKUP($AH1028,Target_monthwise!$D$4:$O$20,DTR!I$4,FALSE))*1000,0)</f>
        <v>0</v>
      </c>
      <c r="J1028" s="238">
        <f>IFERROR((HLOOKUP($AH1028,Target_monthwise!$D$4:$O$20,DTR!J$4,FALSE))*1000,0)</f>
        <v>0</v>
      </c>
      <c r="K1028" s="238">
        <f>IFERROR((HLOOKUP($AH1028,Target_monthwise!$D$4:$O$20,DTR!K$4,FALSE))*1000,0)</f>
        <v>0</v>
      </c>
      <c r="L1028" s="238">
        <f>IFERROR((HLOOKUP($AH1028,Target_monthwise!$D$4:$O$20,DTR!L$4,FALSE))*1000,0)</f>
        <v>0</v>
      </c>
      <c r="M1028" s="238">
        <f>IFERROR((HLOOKUP($AH1028,Target_monthwise!$D$4:$O$20,DTR!M$4,FALSE))*1000,0)</f>
        <v>0</v>
      </c>
      <c r="N1028" s="238">
        <f>IFERROR((HLOOKUP($AH1028,Target_monthwise!$D$4:$O$20,DTR!N$4,FALSE))*1000,0)</f>
        <v>0</v>
      </c>
      <c r="O1028" s="238">
        <f>IFERROR((HLOOKUP($AH1028,Target_monthwise!$D$4:$O$20,DTR!O$4,FALSE))*1000,0)</f>
        <v>0</v>
      </c>
      <c r="P1028" s="238">
        <f>IFERROR((HLOOKUP($AH1028,Target_monthwise!$D$4:$O$20,DTR!P$4,FALSE))*1000,0)</f>
        <v>0</v>
      </c>
      <c r="Q1028" s="141">
        <f>IFERROR((HLOOKUP($AH1028,Target_monthwise!$D$4:$O$20,DTR!Q$4,FALSE))*1000,0)</f>
        <v>0</v>
      </c>
      <c r="R1028" s="167">
        <f>IFERROR((HLOOKUP($AH1028,Target_monthwise!$D$4:$O$20,DTR!R$4,FALSE))*1000,0)</f>
        <v>0</v>
      </c>
      <c r="S1028" s="239">
        <f>IFERROR((HLOOKUP($AH1028,Target_monthwise!$D$24:$O$40,DTR!S$4,FALSE)),0)</f>
        <v>0</v>
      </c>
      <c r="T1028" s="239">
        <f>IFERROR((HLOOKUP($AH1028,Target_monthwise!$D$24:$O$40,DTR!T$4,FALSE)),0)</f>
        <v>0</v>
      </c>
      <c r="U1028" s="239">
        <f>IFERROR((HLOOKUP($AH1028,Target_monthwise!$D$24:$O$40,DTR!U$4,FALSE)),0)</f>
        <v>0</v>
      </c>
      <c r="V1028" s="239">
        <f>IFERROR((HLOOKUP($AH1028,Target_monthwise!$D$24:$O$40,DTR!V$4,FALSE)),0)</f>
        <v>0</v>
      </c>
      <c r="W1028" s="239">
        <f>IFERROR((HLOOKUP($AH1028,Target_monthwise!$D$24:$O$40,DTR!W$4,FALSE)),0)</f>
        <v>0</v>
      </c>
      <c r="X1028" s="239">
        <f>IFERROR((HLOOKUP($AH1028,Target_monthwise!$D$24:$O$40,DTR!X$4,FALSE)),0)</f>
        <v>0</v>
      </c>
      <c r="Y1028" s="239">
        <f>IFERROR((HLOOKUP($AH1028,Target_monthwise!$D$24:$O$40,DTR!Y$4,FALSE)),0)</f>
        <v>0</v>
      </c>
      <c r="Z1028" s="147">
        <f>IFERROR((HLOOKUP($AH1028,Target_monthwise!$D$24:$O$40,DTR!Z$4,FALSE)),0)</f>
        <v>0</v>
      </c>
      <c r="AA1028" s="147">
        <f>IFERROR((HLOOKUP($AH1028,Target_monthwise!$D$24:$O$40,DTR!AA$4,FALSE)),0)</f>
        <v>0</v>
      </c>
      <c r="AB1028" s="147">
        <f>IFERROR((HLOOKUP($AH1028,Target_monthwise!$D$24:$O$40,DTR!AB$4,FALSE)),0)</f>
        <v>0</v>
      </c>
      <c r="AC1028" s="239">
        <f>IFERROR((HLOOKUP($AH1028,Target_monthwise!$D$24:$O$40,DTR!AC$4,FALSE)),0)</f>
        <v>0</v>
      </c>
      <c r="AD1028" s="239">
        <f>IFERROR((HLOOKUP($AH1028,Target_monthwise!$D$24:$O$40,DTR!AD$4,FALSE)),0)</f>
        <v>0</v>
      </c>
      <c r="AE1028" s="239">
        <f>IFERROR((HLOOKUP($AH1028,Target_monthwise!$D$24:$O$40,DTR!AE$4,FALSE)),0)</f>
        <v>0</v>
      </c>
      <c r="AF1028" s="239">
        <f>IFERROR((HLOOKUP($AH1028,Target_monthwise!$D$24:$O$40,DTR!AF$4,FALSE)),0)</f>
        <v>0</v>
      </c>
      <c r="AG1028" s="172">
        <f>IFERROR((HLOOKUP($AH1028,Target_monthwise!$D$24:$O$40,DTR!AG$4,FALSE)),0)</f>
        <v>0</v>
      </c>
      <c r="AH1028" s="253">
        <f t="shared" si="18"/>
        <v>202501</v>
      </c>
    </row>
    <row r="1029" spans="3:34" ht="15.75" hidden="1">
      <c r="C1029" s="235">
        <v>45672</v>
      </c>
      <c r="D1029" s="141">
        <f>IFERROR((HLOOKUP($AH1029,Target_monthwise!$D$4:$O$20,DTR!D$4,FALSE))*1000,0)</f>
        <v>0</v>
      </c>
      <c r="E1029" s="141">
        <f>IFERROR((HLOOKUP($AH1029,Target_monthwise!$D$4:$O$20,DTR!E$4,FALSE))*1000,0)</f>
        <v>0</v>
      </c>
      <c r="F1029" s="141">
        <f>IFERROR((HLOOKUP($AH1029,Target_monthwise!$D$4:$O$20,DTR!F$4,FALSE))*1000,0)</f>
        <v>0</v>
      </c>
      <c r="G1029" s="141">
        <f>IFERROR((HLOOKUP($AH1029,Target_monthwise!$D$4:$O$20,DTR!G$4,FALSE))*1000,0)</f>
        <v>0</v>
      </c>
      <c r="H1029" s="141">
        <f>IFERROR((HLOOKUP($AH1029,Target_monthwise!$D$4:$O$20,DTR!H$4,FALSE))*1000,0)</f>
        <v>0</v>
      </c>
      <c r="I1029" s="141">
        <f>IFERROR((HLOOKUP($AH1029,Target_monthwise!$D$4:$O$20,DTR!I$4,FALSE))*1000,0)</f>
        <v>0</v>
      </c>
      <c r="J1029" s="141">
        <f>IFERROR((HLOOKUP($AH1029,Target_monthwise!$D$4:$O$20,DTR!J$4,FALSE))*1000,0)</f>
        <v>0</v>
      </c>
      <c r="K1029" s="141">
        <f>IFERROR((HLOOKUP($AH1029,Target_monthwise!$D$4:$O$20,DTR!K$4,FALSE))*1000,0)</f>
        <v>0</v>
      </c>
      <c r="L1029" s="141">
        <f>IFERROR((HLOOKUP($AH1029,Target_monthwise!$D$4:$O$20,DTR!L$4,FALSE))*1000,0)</f>
        <v>0</v>
      </c>
      <c r="M1029" s="141">
        <f>IFERROR((HLOOKUP($AH1029,Target_monthwise!$D$4:$O$20,DTR!M$4,FALSE))*1000,0)</f>
        <v>0</v>
      </c>
      <c r="N1029" s="141">
        <f>IFERROR((HLOOKUP($AH1029,Target_monthwise!$D$4:$O$20,DTR!N$4,FALSE))*1000,0)</f>
        <v>0</v>
      </c>
      <c r="O1029" s="141">
        <f>IFERROR((HLOOKUP($AH1029,Target_monthwise!$D$4:$O$20,DTR!O$4,FALSE))*1000,0)</f>
        <v>0</v>
      </c>
      <c r="P1029" s="141">
        <f>IFERROR((HLOOKUP($AH1029,Target_monthwise!$D$4:$O$20,DTR!P$4,FALSE))*1000,0)</f>
        <v>0</v>
      </c>
      <c r="Q1029" s="141">
        <f>IFERROR((HLOOKUP($AH1029,Target_monthwise!$D$4:$O$20,DTR!Q$4,FALSE))*1000,0)</f>
        <v>0</v>
      </c>
      <c r="R1029" s="167">
        <f>IFERROR((HLOOKUP($AH1029,Target_monthwise!$D$4:$O$20,DTR!R$4,FALSE))*1000,0)</f>
        <v>0</v>
      </c>
      <c r="S1029" s="147">
        <f>IFERROR((HLOOKUP($AH1029,Target_monthwise!$D$24:$O$40,DTR!S$4,FALSE)),0)</f>
        <v>0</v>
      </c>
      <c r="T1029" s="147">
        <f>IFERROR((HLOOKUP($AH1029,Target_monthwise!$D$24:$O$40,DTR!T$4,FALSE)),0)</f>
        <v>0</v>
      </c>
      <c r="U1029" s="147">
        <f>IFERROR((HLOOKUP($AH1029,Target_monthwise!$D$24:$O$40,DTR!U$4,FALSE)),0)</f>
        <v>0</v>
      </c>
      <c r="V1029" s="147">
        <f>IFERROR((HLOOKUP($AH1029,Target_monthwise!$D$24:$O$40,DTR!V$4,FALSE)),0)</f>
        <v>0</v>
      </c>
      <c r="W1029" s="147">
        <f>IFERROR((HLOOKUP($AH1029,Target_monthwise!$D$24:$O$40,DTR!W$4,FALSE)),0)</f>
        <v>0</v>
      </c>
      <c r="X1029" s="147">
        <f>IFERROR((HLOOKUP($AH1029,Target_monthwise!$D$24:$O$40,DTR!X$4,FALSE)),0)</f>
        <v>0</v>
      </c>
      <c r="Y1029" s="147">
        <f>IFERROR((HLOOKUP($AH1029,Target_monthwise!$D$24:$O$40,DTR!Y$4,FALSE)),0)</f>
        <v>0</v>
      </c>
      <c r="Z1029" s="147">
        <f>IFERROR((HLOOKUP($AH1029,Target_monthwise!$D$24:$O$40,DTR!Z$4,FALSE)),0)</f>
        <v>0</v>
      </c>
      <c r="AA1029" s="147">
        <f>IFERROR((HLOOKUP($AH1029,Target_monthwise!$D$24:$O$40,DTR!AA$4,FALSE)),0)</f>
        <v>0</v>
      </c>
      <c r="AB1029" s="147">
        <f>IFERROR((HLOOKUP($AH1029,Target_monthwise!$D$24:$O$40,DTR!AB$4,FALSE)),0)</f>
        <v>0</v>
      </c>
      <c r="AC1029" s="147">
        <f>IFERROR((HLOOKUP($AH1029,Target_monthwise!$D$24:$O$40,DTR!AC$4,FALSE)),0)</f>
        <v>0</v>
      </c>
      <c r="AD1029" s="147">
        <f>IFERROR((HLOOKUP($AH1029,Target_monthwise!$D$24:$O$40,DTR!AD$4,FALSE)),0)</f>
        <v>0</v>
      </c>
      <c r="AE1029" s="147">
        <f>IFERROR((HLOOKUP($AH1029,Target_monthwise!$D$24:$O$40,DTR!AE$4,FALSE)),0)</f>
        <v>0</v>
      </c>
      <c r="AF1029" s="147">
        <f>IFERROR((HLOOKUP($AH1029,Target_monthwise!$D$24:$O$40,DTR!AF$4,FALSE)),0)</f>
        <v>0</v>
      </c>
      <c r="AG1029" s="172">
        <f>IFERROR((HLOOKUP($AH1029,Target_monthwise!$D$24:$O$40,DTR!AG$4,FALSE)),0)</f>
        <v>0</v>
      </c>
      <c r="AH1029" s="253">
        <f t="shared" si="18"/>
        <v>202501</v>
      </c>
    </row>
    <row r="1030" spans="3:34" ht="15.75" hidden="1">
      <c r="C1030" s="237">
        <v>45673</v>
      </c>
      <c r="D1030" s="238">
        <f>IFERROR((HLOOKUP($AH1030,Target_monthwise!$D$4:$O$20,DTR!D$4,FALSE))*1000,0)</f>
        <v>0</v>
      </c>
      <c r="E1030" s="238">
        <f>IFERROR((HLOOKUP($AH1030,Target_monthwise!$D$4:$O$20,DTR!E$4,FALSE))*1000,0)</f>
        <v>0</v>
      </c>
      <c r="F1030" s="238">
        <f>IFERROR((HLOOKUP($AH1030,Target_monthwise!$D$4:$O$20,DTR!F$4,FALSE))*1000,0)</f>
        <v>0</v>
      </c>
      <c r="G1030" s="238">
        <f>IFERROR((HLOOKUP($AH1030,Target_monthwise!$D$4:$O$20,DTR!G$4,FALSE))*1000,0)</f>
        <v>0</v>
      </c>
      <c r="H1030" s="238">
        <f>IFERROR((HLOOKUP($AH1030,Target_monthwise!$D$4:$O$20,DTR!H$4,FALSE))*1000,0)</f>
        <v>0</v>
      </c>
      <c r="I1030" s="238">
        <f>IFERROR((HLOOKUP($AH1030,Target_monthwise!$D$4:$O$20,DTR!I$4,FALSE))*1000,0)</f>
        <v>0</v>
      </c>
      <c r="J1030" s="238">
        <f>IFERROR((HLOOKUP($AH1030,Target_monthwise!$D$4:$O$20,DTR!J$4,FALSE))*1000,0)</f>
        <v>0</v>
      </c>
      <c r="K1030" s="238">
        <f>IFERROR((HLOOKUP($AH1030,Target_monthwise!$D$4:$O$20,DTR!K$4,FALSE))*1000,0)</f>
        <v>0</v>
      </c>
      <c r="L1030" s="238">
        <f>IFERROR((HLOOKUP($AH1030,Target_monthwise!$D$4:$O$20,DTR!L$4,FALSE))*1000,0)</f>
        <v>0</v>
      </c>
      <c r="M1030" s="238">
        <f>IFERROR((HLOOKUP($AH1030,Target_monthwise!$D$4:$O$20,DTR!M$4,FALSE))*1000,0)</f>
        <v>0</v>
      </c>
      <c r="N1030" s="238">
        <f>IFERROR((HLOOKUP($AH1030,Target_monthwise!$D$4:$O$20,DTR!N$4,FALSE))*1000,0)</f>
        <v>0</v>
      </c>
      <c r="O1030" s="238">
        <f>IFERROR((HLOOKUP($AH1030,Target_monthwise!$D$4:$O$20,DTR!O$4,FALSE))*1000,0)</f>
        <v>0</v>
      </c>
      <c r="P1030" s="238">
        <f>IFERROR((HLOOKUP($AH1030,Target_monthwise!$D$4:$O$20,DTR!P$4,FALSE))*1000,0)</f>
        <v>0</v>
      </c>
      <c r="Q1030" s="141">
        <f>IFERROR((HLOOKUP($AH1030,Target_monthwise!$D$4:$O$20,DTR!Q$4,FALSE))*1000,0)</f>
        <v>0</v>
      </c>
      <c r="R1030" s="167">
        <f>IFERROR((HLOOKUP($AH1030,Target_monthwise!$D$4:$O$20,DTR!R$4,FALSE))*1000,0)</f>
        <v>0</v>
      </c>
      <c r="S1030" s="239">
        <f>IFERROR((HLOOKUP($AH1030,Target_monthwise!$D$24:$O$40,DTR!S$4,FALSE)),0)</f>
        <v>0</v>
      </c>
      <c r="T1030" s="239">
        <f>IFERROR((HLOOKUP($AH1030,Target_monthwise!$D$24:$O$40,DTR!T$4,FALSE)),0)</f>
        <v>0</v>
      </c>
      <c r="U1030" s="239">
        <f>IFERROR((HLOOKUP($AH1030,Target_monthwise!$D$24:$O$40,DTR!U$4,FALSE)),0)</f>
        <v>0</v>
      </c>
      <c r="V1030" s="239">
        <f>IFERROR((HLOOKUP($AH1030,Target_monthwise!$D$24:$O$40,DTR!V$4,FALSE)),0)</f>
        <v>0</v>
      </c>
      <c r="W1030" s="239">
        <f>IFERROR((HLOOKUP($AH1030,Target_monthwise!$D$24:$O$40,DTR!W$4,FALSE)),0)</f>
        <v>0</v>
      </c>
      <c r="X1030" s="239">
        <f>IFERROR((HLOOKUP($AH1030,Target_monthwise!$D$24:$O$40,DTR!X$4,FALSE)),0)</f>
        <v>0</v>
      </c>
      <c r="Y1030" s="239">
        <f>IFERROR((HLOOKUP($AH1030,Target_monthwise!$D$24:$O$40,DTR!Y$4,FALSE)),0)</f>
        <v>0</v>
      </c>
      <c r="Z1030" s="147">
        <f>IFERROR((HLOOKUP($AH1030,Target_monthwise!$D$24:$O$40,DTR!Z$4,FALSE)),0)</f>
        <v>0</v>
      </c>
      <c r="AA1030" s="147">
        <f>IFERROR((HLOOKUP($AH1030,Target_monthwise!$D$24:$O$40,DTR!AA$4,FALSE)),0)</f>
        <v>0</v>
      </c>
      <c r="AB1030" s="147">
        <f>IFERROR((HLOOKUP($AH1030,Target_monthwise!$D$24:$O$40,DTR!AB$4,FALSE)),0)</f>
        <v>0</v>
      </c>
      <c r="AC1030" s="239">
        <f>IFERROR((HLOOKUP($AH1030,Target_monthwise!$D$24:$O$40,DTR!AC$4,FALSE)),0)</f>
        <v>0</v>
      </c>
      <c r="AD1030" s="239">
        <f>IFERROR((HLOOKUP($AH1030,Target_monthwise!$D$24:$O$40,DTR!AD$4,FALSE)),0)</f>
        <v>0</v>
      </c>
      <c r="AE1030" s="239">
        <f>IFERROR((HLOOKUP($AH1030,Target_monthwise!$D$24:$O$40,DTR!AE$4,FALSE)),0)</f>
        <v>0</v>
      </c>
      <c r="AF1030" s="239">
        <f>IFERROR((HLOOKUP($AH1030,Target_monthwise!$D$24:$O$40,DTR!AF$4,FALSE)),0)</f>
        <v>0</v>
      </c>
      <c r="AG1030" s="172">
        <f>IFERROR((HLOOKUP($AH1030,Target_monthwise!$D$24:$O$40,DTR!AG$4,FALSE)),0)</f>
        <v>0</v>
      </c>
      <c r="AH1030" s="253">
        <f t="shared" si="18"/>
        <v>202501</v>
      </c>
    </row>
    <row r="1031" spans="3:34" ht="15.75" hidden="1">
      <c r="C1031" s="235">
        <v>45674</v>
      </c>
      <c r="D1031" s="141">
        <f>IFERROR((HLOOKUP($AH1031,Target_monthwise!$D$4:$O$20,DTR!D$4,FALSE))*1000,0)</f>
        <v>0</v>
      </c>
      <c r="E1031" s="141">
        <f>IFERROR((HLOOKUP($AH1031,Target_monthwise!$D$4:$O$20,DTR!E$4,FALSE))*1000,0)</f>
        <v>0</v>
      </c>
      <c r="F1031" s="141">
        <f>IFERROR((HLOOKUP($AH1031,Target_monthwise!$D$4:$O$20,DTR!F$4,FALSE))*1000,0)</f>
        <v>0</v>
      </c>
      <c r="G1031" s="141">
        <f>IFERROR((HLOOKUP($AH1031,Target_monthwise!$D$4:$O$20,DTR!G$4,FALSE))*1000,0)</f>
        <v>0</v>
      </c>
      <c r="H1031" s="141">
        <f>IFERROR((HLOOKUP($AH1031,Target_monthwise!$D$4:$O$20,DTR!H$4,FALSE))*1000,0)</f>
        <v>0</v>
      </c>
      <c r="I1031" s="141">
        <f>IFERROR((HLOOKUP($AH1031,Target_monthwise!$D$4:$O$20,DTR!I$4,FALSE))*1000,0)</f>
        <v>0</v>
      </c>
      <c r="J1031" s="141">
        <f>IFERROR((HLOOKUP($AH1031,Target_monthwise!$D$4:$O$20,DTR!J$4,FALSE))*1000,0)</f>
        <v>0</v>
      </c>
      <c r="K1031" s="141">
        <f>IFERROR((HLOOKUP($AH1031,Target_monthwise!$D$4:$O$20,DTR!K$4,FALSE))*1000,0)</f>
        <v>0</v>
      </c>
      <c r="L1031" s="141">
        <f>IFERROR((HLOOKUP($AH1031,Target_monthwise!$D$4:$O$20,DTR!L$4,FALSE))*1000,0)</f>
        <v>0</v>
      </c>
      <c r="M1031" s="141">
        <f>IFERROR((HLOOKUP($AH1031,Target_monthwise!$D$4:$O$20,DTR!M$4,FALSE))*1000,0)</f>
        <v>0</v>
      </c>
      <c r="N1031" s="141">
        <f>IFERROR((HLOOKUP($AH1031,Target_monthwise!$D$4:$O$20,DTR!N$4,FALSE))*1000,0)</f>
        <v>0</v>
      </c>
      <c r="O1031" s="141">
        <f>IFERROR((HLOOKUP($AH1031,Target_monthwise!$D$4:$O$20,DTR!O$4,FALSE))*1000,0)</f>
        <v>0</v>
      </c>
      <c r="P1031" s="141">
        <f>IFERROR((HLOOKUP($AH1031,Target_monthwise!$D$4:$O$20,DTR!P$4,FALSE))*1000,0)</f>
        <v>0</v>
      </c>
      <c r="Q1031" s="141">
        <f>IFERROR((HLOOKUP($AH1031,Target_monthwise!$D$4:$O$20,DTR!Q$4,FALSE))*1000,0)</f>
        <v>0</v>
      </c>
      <c r="R1031" s="167">
        <f>IFERROR((HLOOKUP($AH1031,Target_monthwise!$D$4:$O$20,DTR!R$4,FALSE))*1000,0)</f>
        <v>0</v>
      </c>
      <c r="S1031" s="147">
        <f>IFERROR((HLOOKUP($AH1031,Target_monthwise!$D$24:$O$40,DTR!S$4,FALSE)),0)</f>
        <v>0</v>
      </c>
      <c r="T1031" s="147">
        <f>IFERROR((HLOOKUP($AH1031,Target_monthwise!$D$24:$O$40,DTR!T$4,FALSE)),0)</f>
        <v>0</v>
      </c>
      <c r="U1031" s="147">
        <f>IFERROR((HLOOKUP($AH1031,Target_monthwise!$D$24:$O$40,DTR!U$4,FALSE)),0)</f>
        <v>0</v>
      </c>
      <c r="V1031" s="147">
        <f>IFERROR((HLOOKUP($AH1031,Target_monthwise!$D$24:$O$40,DTR!V$4,FALSE)),0)</f>
        <v>0</v>
      </c>
      <c r="W1031" s="147">
        <f>IFERROR((HLOOKUP($AH1031,Target_monthwise!$D$24:$O$40,DTR!W$4,FALSE)),0)</f>
        <v>0</v>
      </c>
      <c r="X1031" s="147">
        <f>IFERROR((HLOOKUP($AH1031,Target_monthwise!$D$24:$O$40,DTR!X$4,FALSE)),0)</f>
        <v>0</v>
      </c>
      <c r="Y1031" s="147">
        <f>IFERROR((HLOOKUP($AH1031,Target_monthwise!$D$24:$O$40,DTR!Y$4,FALSE)),0)</f>
        <v>0</v>
      </c>
      <c r="Z1031" s="147">
        <f>IFERROR((HLOOKUP($AH1031,Target_monthwise!$D$24:$O$40,DTR!Z$4,FALSE)),0)</f>
        <v>0</v>
      </c>
      <c r="AA1031" s="147">
        <f>IFERROR((HLOOKUP($AH1031,Target_monthwise!$D$24:$O$40,DTR!AA$4,FALSE)),0)</f>
        <v>0</v>
      </c>
      <c r="AB1031" s="147">
        <f>IFERROR((HLOOKUP($AH1031,Target_monthwise!$D$24:$O$40,DTR!AB$4,FALSE)),0)</f>
        <v>0</v>
      </c>
      <c r="AC1031" s="147">
        <f>IFERROR((HLOOKUP($AH1031,Target_monthwise!$D$24:$O$40,DTR!AC$4,FALSE)),0)</f>
        <v>0</v>
      </c>
      <c r="AD1031" s="147">
        <f>IFERROR((HLOOKUP($AH1031,Target_monthwise!$D$24:$O$40,DTR!AD$4,FALSE)),0)</f>
        <v>0</v>
      </c>
      <c r="AE1031" s="147">
        <f>IFERROR((HLOOKUP($AH1031,Target_monthwise!$D$24:$O$40,DTR!AE$4,FALSE)),0)</f>
        <v>0</v>
      </c>
      <c r="AF1031" s="147">
        <f>IFERROR((HLOOKUP($AH1031,Target_monthwise!$D$24:$O$40,DTR!AF$4,FALSE)),0)</f>
        <v>0</v>
      </c>
      <c r="AG1031" s="172">
        <f>IFERROR((HLOOKUP($AH1031,Target_monthwise!$D$24:$O$40,DTR!AG$4,FALSE)),0)</f>
        <v>0</v>
      </c>
      <c r="AH1031" s="253">
        <f t="shared" si="18"/>
        <v>202501</v>
      </c>
    </row>
    <row r="1032" spans="3:34" ht="15.75" hidden="1">
      <c r="C1032" s="237">
        <v>45675</v>
      </c>
      <c r="D1032" s="238">
        <f>IFERROR((HLOOKUP($AH1032,Target_monthwise!$D$4:$O$20,DTR!D$4,FALSE))*1000,0)</f>
        <v>0</v>
      </c>
      <c r="E1032" s="238">
        <f>IFERROR((HLOOKUP($AH1032,Target_monthwise!$D$4:$O$20,DTR!E$4,FALSE))*1000,0)</f>
        <v>0</v>
      </c>
      <c r="F1032" s="238">
        <f>IFERROR((HLOOKUP($AH1032,Target_monthwise!$D$4:$O$20,DTR!F$4,FALSE))*1000,0)</f>
        <v>0</v>
      </c>
      <c r="G1032" s="238">
        <f>IFERROR((HLOOKUP($AH1032,Target_monthwise!$D$4:$O$20,DTR!G$4,FALSE))*1000,0)</f>
        <v>0</v>
      </c>
      <c r="H1032" s="238">
        <f>IFERROR((HLOOKUP($AH1032,Target_monthwise!$D$4:$O$20,DTR!H$4,FALSE))*1000,0)</f>
        <v>0</v>
      </c>
      <c r="I1032" s="238">
        <f>IFERROR((HLOOKUP($AH1032,Target_monthwise!$D$4:$O$20,DTR!I$4,FALSE))*1000,0)</f>
        <v>0</v>
      </c>
      <c r="J1032" s="238">
        <f>IFERROR((HLOOKUP($AH1032,Target_monthwise!$D$4:$O$20,DTR!J$4,FALSE))*1000,0)</f>
        <v>0</v>
      </c>
      <c r="K1032" s="238">
        <f>IFERROR((HLOOKUP($AH1032,Target_monthwise!$D$4:$O$20,DTR!K$4,FALSE))*1000,0)</f>
        <v>0</v>
      </c>
      <c r="L1032" s="238">
        <f>IFERROR((HLOOKUP($AH1032,Target_monthwise!$D$4:$O$20,DTR!L$4,FALSE))*1000,0)</f>
        <v>0</v>
      </c>
      <c r="M1032" s="238">
        <f>IFERROR((HLOOKUP($AH1032,Target_monthwise!$D$4:$O$20,DTR!M$4,FALSE))*1000,0)</f>
        <v>0</v>
      </c>
      <c r="N1032" s="238">
        <f>IFERROR((HLOOKUP($AH1032,Target_monthwise!$D$4:$O$20,DTR!N$4,FALSE))*1000,0)</f>
        <v>0</v>
      </c>
      <c r="O1032" s="238">
        <f>IFERROR((HLOOKUP($AH1032,Target_monthwise!$D$4:$O$20,DTR!O$4,FALSE))*1000,0)</f>
        <v>0</v>
      </c>
      <c r="P1032" s="238">
        <f>IFERROR((HLOOKUP($AH1032,Target_monthwise!$D$4:$O$20,DTR!P$4,FALSE))*1000,0)</f>
        <v>0</v>
      </c>
      <c r="Q1032" s="141">
        <f>IFERROR((HLOOKUP($AH1032,Target_monthwise!$D$4:$O$20,DTR!Q$4,FALSE))*1000,0)</f>
        <v>0</v>
      </c>
      <c r="R1032" s="167">
        <f>IFERROR((HLOOKUP($AH1032,Target_monthwise!$D$4:$O$20,DTR!R$4,FALSE))*1000,0)</f>
        <v>0</v>
      </c>
      <c r="S1032" s="239">
        <f>IFERROR((HLOOKUP($AH1032,Target_monthwise!$D$24:$O$40,DTR!S$4,FALSE)),0)</f>
        <v>0</v>
      </c>
      <c r="T1032" s="239">
        <f>IFERROR((HLOOKUP($AH1032,Target_monthwise!$D$24:$O$40,DTR!T$4,FALSE)),0)</f>
        <v>0</v>
      </c>
      <c r="U1032" s="239">
        <f>IFERROR((HLOOKUP($AH1032,Target_monthwise!$D$24:$O$40,DTR!U$4,FALSE)),0)</f>
        <v>0</v>
      </c>
      <c r="V1032" s="239">
        <f>IFERROR((HLOOKUP($AH1032,Target_monthwise!$D$24:$O$40,DTR!V$4,FALSE)),0)</f>
        <v>0</v>
      </c>
      <c r="W1032" s="239">
        <f>IFERROR((HLOOKUP($AH1032,Target_monthwise!$D$24:$O$40,DTR!W$4,FALSE)),0)</f>
        <v>0</v>
      </c>
      <c r="X1032" s="239">
        <f>IFERROR((HLOOKUP($AH1032,Target_monthwise!$D$24:$O$40,DTR!X$4,FALSE)),0)</f>
        <v>0</v>
      </c>
      <c r="Y1032" s="239">
        <f>IFERROR((HLOOKUP($AH1032,Target_monthwise!$D$24:$O$40,DTR!Y$4,FALSE)),0)</f>
        <v>0</v>
      </c>
      <c r="Z1032" s="147">
        <f>IFERROR((HLOOKUP($AH1032,Target_monthwise!$D$24:$O$40,DTR!Z$4,FALSE)),0)</f>
        <v>0</v>
      </c>
      <c r="AA1032" s="147">
        <f>IFERROR((HLOOKUP($AH1032,Target_monthwise!$D$24:$O$40,DTR!AA$4,FALSE)),0)</f>
        <v>0</v>
      </c>
      <c r="AB1032" s="147">
        <f>IFERROR((HLOOKUP($AH1032,Target_monthwise!$D$24:$O$40,DTR!AB$4,FALSE)),0)</f>
        <v>0</v>
      </c>
      <c r="AC1032" s="239">
        <f>IFERROR((HLOOKUP($AH1032,Target_monthwise!$D$24:$O$40,DTR!AC$4,FALSE)),0)</f>
        <v>0</v>
      </c>
      <c r="AD1032" s="239">
        <f>IFERROR((HLOOKUP($AH1032,Target_monthwise!$D$24:$O$40,DTR!AD$4,FALSE)),0)</f>
        <v>0</v>
      </c>
      <c r="AE1032" s="239">
        <f>IFERROR((HLOOKUP($AH1032,Target_monthwise!$D$24:$O$40,DTR!AE$4,FALSE)),0)</f>
        <v>0</v>
      </c>
      <c r="AF1032" s="239">
        <f>IFERROR((HLOOKUP($AH1032,Target_monthwise!$D$24:$O$40,DTR!AF$4,FALSE)),0)</f>
        <v>0</v>
      </c>
      <c r="AG1032" s="172">
        <f>IFERROR((HLOOKUP($AH1032,Target_monthwise!$D$24:$O$40,DTR!AG$4,FALSE)),0)</f>
        <v>0</v>
      </c>
      <c r="AH1032" s="253">
        <f t="shared" si="18"/>
        <v>202501</v>
      </c>
    </row>
    <row r="1033" spans="3:34" ht="15.75" hidden="1">
      <c r="C1033" s="235">
        <v>45676</v>
      </c>
      <c r="D1033" s="141">
        <f>IFERROR((HLOOKUP($AH1033,Target_monthwise!$D$4:$O$20,DTR!D$4,FALSE))*1000,0)</f>
        <v>0</v>
      </c>
      <c r="E1033" s="141">
        <f>IFERROR((HLOOKUP($AH1033,Target_monthwise!$D$4:$O$20,DTR!E$4,FALSE))*1000,0)</f>
        <v>0</v>
      </c>
      <c r="F1033" s="141">
        <f>IFERROR((HLOOKUP($AH1033,Target_monthwise!$D$4:$O$20,DTR!F$4,FALSE))*1000,0)</f>
        <v>0</v>
      </c>
      <c r="G1033" s="141">
        <f>IFERROR((HLOOKUP($AH1033,Target_monthwise!$D$4:$O$20,DTR!G$4,FALSE))*1000,0)</f>
        <v>0</v>
      </c>
      <c r="H1033" s="141">
        <f>IFERROR((HLOOKUP($AH1033,Target_monthwise!$D$4:$O$20,DTR!H$4,FALSE))*1000,0)</f>
        <v>0</v>
      </c>
      <c r="I1033" s="141">
        <f>IFERROR((HLOOKUP($AH1033,Target_monthwise!$D$4:$O$20,DTR!I$4,FALSE))*1000,0)</f>
        <v>0</v>
      </c>
      <c r="J1033" s="141">
        <f>IFERROR((HLOOKUP($AH1033,Target_monthwise!$D$4:$O$20,DTR!J$4,FALSE))*1000,0)</f>
        <v>0</v>
      </c>
      <c r="K1033" s="141">
        <f>IFERROR((HLOOKUP($AH1033,Target_monthwise!$D$4:$O$20,DTR!K$4,FALSE))*1000,0)</f>
        <v>0</v>
      </c>
      <c r="L1033" s="141">
        <f>IFERROR((HLOOKUP($AH1033,Target_monthwise!$D$4:$O$20,DTR!L$4,FALSE))*1000,0)</f>
        <v>0</v>
      </c>
      <c r="M1033" s="141">
        <f>IFERROR((HLOOKUP($AH1033,Target_monthwise!$D$4:$O$20,DTR!M$4,FALSE))*1000,0)</f>
        <v>0</v>
      </c>
      <c r="N1033" s="141">
        <f>IFERROR((HLOOKUP($AH1033,Target_monthwise!$D$4:$O$20,DTR!N$4,FALSE))*1000,0)</f>
        <v>0</v>
      </c>
      <c r="O1033" s="141">
        <f>IFERROR((HLOOKUP($AH1033,Target_monthwise!$D$4:$O$20,DTR!O$4,FALSE))*1000,0)</f>
        <v>0</v>
      </c>
      <c r="P1033" s="141">
        <f>IFERROR((HLOOKUP($AH1033,Target_monthwise!$D$4:$O$20,DTR!P$4,FALSE))*1000,0)</f>
        <v>0</v>
      </c>
      <c r="Q1033" s="141">
        <f>IFERROR((HLOOKUP($AH1033,Target_monthwise!$D$4:$O$20,DTR!Q$4,FALSE))*1000,0)</f>
        <v>0</v>
      </c>
      <c r="R1033" s="167">
        <f>IFERROR((HLOOKUP($AH1033,Target_monthwise!$D$4:$O$20,DTR!R$4,FALSE))*1000,0)</f>
        <v>0</v>
      </c>
      <c r="S1033" s="147">
        <f>IFERROR((HLOOKUP($AH1033,Target_monthwise!$D$24:$O$40,DTR!S$4,FALSE)),0)</f>
        <v>0</v>
      </c>
      <c r="T1033" s="147">
        <f>IFERROR((HLOOKUP($AH1033,Target_monthwise!$D$24:$O$40,DTR!T$4,FALSE)),0)</f>
        <v>0</v>
      </c>
      <c r="U1033" s="147">
        <f>IFERROR((HLOOKUP($AH1033,Target_monthwise!$D$24:$O$40,DTR!U$4,FALSE)),0)</f>
        <v>0</v>
      </c>
      <c r="V1033" s="147">
        <f>IFERROR((HLOOKUP($AH1033,Target_monthwise!$D$24:$O$40,DTR!V$4,FALSE)),0)</f>
        <v>0</v>
      </c>
      <c r="W1033" s="147">
        <f>IFERROR((HLOOKUP($AH1033,Target_monthwise!$D$24:$O$40,DTR!W$4,FALSE)),0)</f>
        <v>0</v>
      </c>
      <c r="X1033" s="147">
        <f>IFERROR((HLOOKUP($AH1033,Target_monthwise!$D$24:$O$40,DTR!X$4,FALSE)),0)</f>
        <v>0</v>
      </c>
      <c r="Y1033" s="147">
        <f>IFERROR((HLOOKUP($AH1033,Target_monthwise!$D$24:$O$40,DTR!Y$4,FALSE)),0)</f>
        <v>0</v>
      </c>
      <c r="Z1033" s="147">
        <f>IFERROR((HLOOKUP($AH1033,Target_monthwise!$D$24:$O$40,DTR!Z$4,FALSE)),0)</f>
        <v>0</v>
      </c>
      <c r="AA1033" s="147">
        <f>IFERROR((HLOOKUP($AH1033,Target_monthwise!$D$24:$O$40,DTR!AA$4,FALSE)),0)</f>
        <v>0</v>
      </c>
      <c r="AB1033" s="147">
        <f>IFERROR((HLOOKUP($AH1033,Target_monthwise!$D$24:$O$40,DTR!AB$4,FALSE)),0)</f>
        <v>0</v>
      </c>
      <c r="AC1033" s="147">
        <f>IFERROR((HLOOKUP($AH1033,Target_monthwise!$D$24:$O$40,DTR!AC$4,FALSE)),0)</f>
        <v>0</v>
      </c>
      <c r="AD1033" s="147">
        <f>IFERROR((HLOOKUP($AH1033,Target_monthwise!$D$24:$O$40,DTR!AD$4,FALSE)),0)</f>
        <v>0</v>
      </c>
      <c r="AE1033" s="147">
        <f>IFERROR((HLOOKUP($AH1033,Target_monthwise!$D$24:$O$40,DTR!AE$4,FALSE)),0)</f>
        <v>0</v>
      </c>
      <c r="AF1033" s="147">
        <f>IFERROR((HLOOKUP($AH1033,Target_monthwise!$D$24:$O$40,DTR!AF$4,FALSE)),0)</f>
        <v>0</v>
      </c>
      <c r="AG1033" s="172">
        <f>IFERROR((HLOOKUP($AH1033,Target_monthwise!$D$24:$O$40,DTR!AG$4,FALSE)),0)</f>
        <v>0</v>
      </c>
      <c r="AH1033" s="253">
        <f t="shared" si="18"/>
        <v>202501</v>
      </c>
    </row>
    <row r="1034" spans="3:34" ht="15.75" hidden="1">
      <c r="C1034" s="237">
        <v>45677</v>
      </c>
      <c r="D1034" s="238">
        <f>IFERROR((HLOOKUP($AH1034,Target_monthwise!$D$4:$O$20,DTR!D$4,FALSE))*1000,0)</f>
        <v>0</v>
      </c>
      <c r="E1034" s="238">
        <f>IFERROR((HLOOKUP($AH1034,Target_monthwise!$D$4:$O$20,DTR!E$4,FALSE))*1000,0)</f>
        <v>0</v>
      </c>
      <c r="F1034" s="238">
        <f>IFERROR((HLOOKUP($AH1034,Target_monthwise!$D$4:$O$20,DTR!F$4,FALSE))*1000,0)</f>
        <v>0</v>
      </c>
      <c r="G1034" s="238">
        <f>IFERROR((HLOOKUP($AH1034,Target_monthwise!$D$4:$O$20,DTR!G$4,FALSE))*1000,0)</f>
        <v>0</v>
      </c>
      <c r="H1034" s="238">
        <f>IFERROR((HLOOKUP($AH1034,Target_monthwise!$D$4:$O$20,DTR!H$4,FALSE))*1000,0)</f>
        <v>0</v>
      </c>
      <c r="I1034" s="238">
        <f>IFERROR((HLOOKUP($AH1034,Target_monthwise!$D$4:$O$20,DTR!I$4,FALSE))*1000,0)</f>
        <v>0</v>
      </c>
      <c r="J1034" s="238">
        <f>IFERROR((HLOOKUP($AH1034,Target_monthwise!$D$4:$O$20,DTR!J$4,FALSE))*1000,0)</f>
        <v>0</v>
      </c>
      <c r="K1034" s="238">
        <f>IFERROR((HLOOKUP($AH1034,Target_monthwise!$D$4:$O$20,DTR!K$4,FALSE))*1000,0)</f>
        <v>0</v>
      </c>
      <c r="L1034" s="238">
        <f>IFERROR((HLOOKUP($AH1034,Target_monthwise!$D$4:$O$20,DTR!L$4,FALSE))*1000,0)</f>
        <v>0</v>
      </c>
      <c r="M1034" s="238">
        <f>IFERROR((HLOOKUP($AH1034,Target_monthwise!$D$4:$O$20,DTR!M$4,FALSE))*1000,0)</f>
        <v>0</v>
      </c>
      <c r="N1034" s="238">
        <f>IFERROR((HLOOKUP($AH1034,Target_monthwise!$D$4:$O$20,DTR!N$4,FALSE))*1000,0)</f>
        <v>0</v>
      </c>
      <c r="O1034" s="238">
        <f>IFERROR((HLOOKUP($AH1034,Target_monthwise!$D$4:$O$20,DTR!O$4,FALSE))*1000,0)</f>
        <v>0</v>
      </c>
      <c r="P1034" s="238">
        <f>IFERROR((HLOOKUP($AH1034,Target_monthwise!$D$4:$O$20,DTR!P$4,FALSE))*1000,0)</f>
        <v>0</v>
      </c>
      <c r="Q1034" s="141">
        <f>IFERROR((HLOOKUP($AH1034,Target_monthwise!$D$4:$O$20,DTR!Q$4,FALSE))*1000,0)</f>
        <v>0</v>
      </c>
      <c r="R1034" s="167">
        <f>IFERROR((HLOOKUP($AH1034,Target_monthwise!$D$4:$O$20,DTR!R$4,FALSE))*1000,0)</f>
        <v>0</v>
      </c>
      <c r="S1034" s="239">
        <f>IFERROR((HLOOKUP($AH1034,Target_monthwise!$D$24:$O$40,DTR!S$4,FALSE)),0)</f>
        <v>0</v>
      </c>
      <c r="T1034" s="239">
        <f>IFERROR((HLOOKUP($AH1034,Target_monthwise!$D$24:$O$40,DTR!T$4,FALSE)),0)</f>
        <v>0</v>
      </c>
      <c r="U1034" s="239">
        <f>IFERROR((HLOOKUP($AH1034,Target_monthwise!$D$24:$O$40,DTR!U$4,FALSE)),0)</f>
        <v>0</v>
      </c>
      <c r="V1034" s="239">
        <f>IFERROR((HLOOKUP($AH1034,Target_monthwise!$D$24:$O$40,DTR!V$4,FALSE)),0)</f>
        <v>0</v>
      </c>
      <c r="W1034" s="239">
        <f>IFERROR((HLOOKUP($AH1034,Target_monthwise!$D$24:$O$40,DTR!W$4,FALSE)),0)</f>
        <v>0</v>
      </c>
      <c r="X1034" s="239">
        <f>IFERROR((HLOOKUP($AH1034,Target_monthwise!$D$24:$O$40,DTR!X$4,FALSE)),0)</f>
        <v>0</v>
      </c>
      <c r="Y1034" s="239">
        <f>IFERROR((HLOOKUP($AH1034,Target_monthwise!$D$24:$O$40,DTR!Y$4,FALSE)),0)</f>
        <v>0</v>
      </c>
      <c r="Z1034" s="147">
        <f>IFERROR((HLOOKUP($AH1034,Target_monthwise!$D$24:$O$40,DTR!Z$4,FALSE)),0)</f>
        <v>0</v>
      </c>
      <c r="AA1034" s="147">
        <f>IFERROR((HLOOKUP($AH1034,Target_monthwise!$D$24:$O$40,DTR!AA$4,FALSE)),0)</f>
        <v>0</v>
      </c>
      <c r="AB1034" s="147">
        <f>IFERROR((HLOOKUP($AH1034,Target_monthwise!$D$24:$O$40,DTR!AB$4,FALSE)),0)</f>
        <v>0</v>
      </c>
      <c r="AC1034" s="239">
        <f>IFERROR((HLOOKUP($AH1034,Target_monthwise!$D$24:$O$40,DTR!AC$4,FALSE)),0)</f>
        <v>0</v>
      </c>
      <c r="AD1034" s="239">
        <f>IFERROR((HLOOKUP($AH1034,Target_monthwise!$D$24:$O$40,DTR!AD$4,FALSE)),0)</f>
        <v>0</v>
      </c>
      <c r="AE1034" s="239">
        <f>IFERROR((HLOOKUP($AH1034,Target_monthwise!$D$24:$O$40,DTR!AE$4,FALSE)),0)</f>
        <v>0</v>
      </c>
      <c r="AF1034" s="239">
        <f>IFERROR((HLOOKUP($AH1034,Target_monthwise!$D$24:$O$40,DTR!AF$4,FALSE)),0)</f>
        <v>0</v>
      </c>
      <c r="AG1034" s="172">
        <f>IFERROR((HLOOKUP($AH1034,Target_monthwise!$D$24:$O$40,DTR!AG$4,FALSE)),0)</f>
        <v>0</v>
      </c>
      <c r="AH1034" s="253">
        <f t="shared" si="18"/>
        <v>202501</v>
      </c>
    </row>
    <row r="1035" spans="3:34" ht="15.75" hidden="1">
      <c r="C1035" s="235">
        <v>45678</v>
      </c>
      <c r="D1035" s="141">
        <f>IFERROR((HLOOKUP($AH1035,Target_monthwise!$D$4:$O$20,DTR!D$4,FALSE))*1000,0)</f>
        <v>0</v>
      </c>
      <c r="E1035" s="141">
        <f>IFERROR((HLOOKUP($AH1035,Target_monthwise!$D$4:$O$20,DTR!E$4,FALSE))*1000,0)</f>
        <v>0</v>
      </c>
      <c r="F1035" s="141">
        <f>IFERROR((HLOOKUP($AH1035,Target_monthwise!$D$4:$O$20,DTR!F$4,FALSE))*1000,0)</f>
        <v>0</v>
      </c>
      <c r="G1035" s="141">
        <f>IFERROR((HLOOKUP($AH1035,Target_monthwise!$D$4:$O$20,DTR!G$4,FALSE))*1000,0)</f>
        <v>0</v>
      </c>
      <c r="H1035" s="141">
        <f>IFERROR((HLOOKUP($AH1035,Target_monthwise!$D$4:$O$20,DTR!H$4,FALSE))*1000,0)</f>
        <v>0</v>
      </c>
      <c r="I1035" s="141">
        <f>IFERROR((HLOOKUP($AH1035,Target_monthwise!$D$4:$O$20,DTR!I$4,FALSE))*1000,0)</f>
        <v>0</v>
      </c>
      <c r="J1035" s="141">
        <f>IFERROR((HLOOKUP($AH1035,Target_monthwise!$D$4:$O$20,DTR!J$4,FALSE))*1000,0)</f>
        <v>0</v>
      </c>
      <c r="K1035" s="141">
        <f>IFERROR((HLOOKUP($AH1035,Target_monthwise!$D$4:$O$20,DTR!K$4,FALSE))*1000,0)</f>
        <v>0</v>
      </c>
      <c r="L1035" s="141">
        <f>IFERROR((HLOOKUP($AH1035,Target_monthwise!$D$4:$O$20,DTR!L$4,FALSE))*1000,0)</f>
        <v>0</v>
      </c>
      <c r="M1035" s="141">
        <f>IFERROR((HLOOKUP($AH1035,Target_monthwise!$D$4:$O$20,DTR!M$4,FALSE))*1000,0)</f>
        <v>0</v>
      </c>
      <c r="N1035" s="141">
        <f>IFERROR((HLOOKUP($AH1035,Target_monthwise!$D$4:$O$20,DTR!N$4,FALSE))*1000,0)</f>
        <v>0</v>
      </c>
      <c r="O1035" s="141">
        <f>IFERROR((HLOOKUP($AH1035,Target_monthwise!$D$4:$O$20,DTR!O$4,FALSE))*1000,0)</f>
        <v>0</v>
      </c>
      <c r="P1035" s="141">
        <f>IFERROR((HLOOKUP($AH1035,Target_monthwise!$D$4:$O$20,DTR!P$4,FALSE))*1000,0)</f>
        <v>0</v>
      </c>
      <c r="Q1035" s="141">
        <f>IFERROR((HLOOKUP($AH1035,Target_monthwise!$D$4:$O$20,DTR!Q$4,FALSE))*1000,0)</f>
        <v>0</v>
      </c>
      <c r="R1035" s="167">
        <f>IFERROR((HLOOKUP($AH1035,Target_monthwise!$D$4:$O$20,DTR!R$4,FALSE))*1000,0)</f>
        <v>0</v>
      </c>
      <c r="S1035" s="147">
        <f>IFERROR((HLOOKUP($AH1035,Target_monthwise!$D$24:$O$40,DTR!S$4,FALSE)),0)</f>
        <v>0</v>
      </c>
      <c r="T1035" s="147">
        <f>IFERROR((HLOOKUP($AH1035,Target_monthwise!$D$24:$O$40,DTR!T$4,FALSE)),0)</f>
        <v>0</v>
      </c>
      <c r="U1035" s="147">
        <f>IFERROR((HLOOKUP($AH1035,Target_monthwise!$D$24:$O$40,DTR!U$4,FALSE)),0)</f>
        <v>0</v>
      </c>
      <c r="V1035" s="147">
        <f>IFERROR((HLOOKUP($AH1035,Target_monthwise!$D$24:$O$40,DTR!V$4,FALSE)),0)</f>
        <v>0</v>
      </c>
      <c r="W1035" s="147">
        <f>IFERROR((HLOOKUP($AH1035,Target_monthwise!$D$24:$O$40,DTR!W$4,FALSE)),0)</f>
        <v>0</v>
      </c>
      <c r="X1035" s="147">
        <f>IFERROR((HLOOKUP($AH1035,Target_monthwise!$D$24:$O$40,DTR!X$4,FALSE)),0)</f>
        <v>0</v>
      </c>
      <c r="Y1035" s="147">
        <f>IFERROR((HLOOKUP($AH1035,Target_monthwise!$D$24:$O$40,DTR!Y$4,FALSE)),0)</f>
        <v>0</v>
      </c>
      <c r="Z1035" s="147">
        <f>IFERROR((HLOOKUP($AH1035,Target_monthwise!$D$24:$O$40,DTR!Z$4,FALSE)),0)</f>
        <v>0</v>
      </c>
      <c r="AA1035" s="147">
        <f>IFERROR((HLOOKUP($AH1035,Target_monthwise!$D$24:$O$40,DTR!AA$4,FALSE)),0)</f>
        <v>0</v>
      </c>
      <c r="AB1035" s="147">
        <f>IFERROR((HLOOKUP($AH1035,Target_monthwise!$D$24:$O$40,DTR!AB$4,FALSE)),0)</f>
        <v>0</v>
      </c>
      <c r="AC1035" s="147">
        <f>IFERROR((HLOOKUP($AH1035,Target_monthwise!$D$24:$O$40,DTR!AC$4,FALSE)),0)</f>
        <v>0</v>
      </c>
      <c r="AD1035" s="147">
        <f>IFERROR((HLOOKUP($AH1035,Target_monthwise!$D$24:$O$40,DTR!AD$4,FALSE)),0)</f>
        <v>0</v>
      </c>
      <c r="AE1035" s="147">
        <f>IFERROR((HLOOKUP($AH1035,Target_monthwise!$D$24:$O$40,DTR!AE$4,FALSE)),0)</f>
        <v>0</v>
      </c>
      <c r="AF1035" s="147">
        <f>IFERROR((HLOOKUP($AH1035,Target_monthwise!$D$24:$O$40,DTR!AF$4,FALSE)),0)</f>
        <v>0</v>
      </c>
      <c r="AG1035" s="172">
        <f>IFERROR((HLOOKUP($AH1035,Target_monthwise!$D$24:$O$40,DTR!AG$4,FALSE)),0)</f>
        <v>0</v>
      </c>
      <c r="AH1035" s="253">
        <f t="shared" si="18"/>
        <v>202501</v>
      </c>
    </row>
    <row r="1036" spans="3:34" ht="15.75" hidden="1">
      <c r="C1036" s="237">
        <v>45679</v>
      </c>
      <c r="D1036" s="238">
        <f>IFERROR((HLOOKUP($AH1036,Target_monthwise!$D$4:$O$20,DTR!D$4,FALSE))*1000,0)</f>
        <v>0</v>
      </c>
      <c r="E1036" s="238">
        <f>IFERROR((HLOOKUP($AH1036,Target_monthwise!$D$4:$O$20,DTR!E$4,FALSE))*1000,0)</f>
        <v>0</v>
      </c>
      <c r="F1036" s="238">
        <f>IFERROR((HLOOKUP($AH1036,Target_monthwise!$D$4:$O$20,DTR!F$4,FALSE))*1000,0)</f>
        <v>0</v>
      </c>
      <c r="G1036" s="238">
        <f>IFERROR((HLOOKUP($AH1036,Target_monthwise!$D$4:$O$20,DTR!G$4,FALSE))*1000,0)</f>
        <v>0</v>
      </c>
      <c r="H1036" s="238">
        <f>IFERROR((HLOOKUP($AH1036,Target_monthwise!$D$4:$O$20,DTR!H$4,FALSE))*1000,0)</f>
        <v>0</v>
      </c>
      <c r="I1036" s="238">
        <f>IFERROR((HLOOKUP($AH1036,Target_monthwise!$D$4:$O$20,DTR!I$4,FALSE))*1000,0)</f>
        <v>0</v>
      </c>
      <c r="J1036" s="238">
        <f>IFERROR((HLOOKUP($AH1036,Target_monthwise!$D$4:$O$20,DTR!J$4,FALSE))*1000,0)</f>
        <v>0</v>
      </c>
      <c r="K1036" s="238">
        <f>IFERROR((HLOOKUP($AH1036,Target_monthwise!$D$4:$O$20,DTR!K$4,FALSE))*1000,0)</f>
        <v>0</v>
      </c>
      <c r="L1036" s="238">
        <f>IFERROR((HLOOKUP($AH1036,Target_monthwise!$D$4:$O$20,DTR!L$4,FALSE))*1000,0)</f>
        <v>0</v>
      </c>
      <c r="M1036" s="238">
        <f>IFERROR((HLOOKUP($AH1036,Target_monthwise!$D$4:$O$20,DTR!M$4,FALSE))*1000,0)</f>
        <v>0</v>
      </c>
      <c r="N1036" s="238">
        <f>IFERROR((HLOOKUP($AH1036,Target_monthwise!$D$4:$O$20,DTR!N$4,FALSE))*1000,0)</f>
        <v>0</v>
      </c>
      <c r="O1036" s="238">
        <f>IFERROR((HLOOKUP($AH1036,Target_monthwise!$D$4:$O$20,DTR!O$4,FALSE))*1000,0)</f>
        <v>0</v>
      </c>
      <c r="P1036" s="238">
        <f>IFERROR((HLOOKUP($AH1036,Target_monthwise!$D$4:$O$20,DTR!P$4,FALSE))*1000,0)</f>
        <v>0</v>
      </c>
      <c r="Q1036" s="141">
        <f>IFERROR((HLOOKUP($AH1036,Target_monthwise!$D$4:$O$20,DTR!Q$4,FALSE))*1000,0)</f>
        <v>0</v>
      </c>
      <c r="R1036" s="167">
        <f>IFERROR((HLOOKUP($AH1036,Target_monthwise!$D$4:$O$20,DTR!R$4,FALSE))*1000,0)</f>
        <v>0</v>
      </c>
      <c r="S1036" s="239">
        <f>IFERROR((HLOOKUP($AH1036,Target_monthwise!$D$24:$O$40,DTR!S$4,FALSE)),0)</f>
        <v>0</v>
      </c>
      <c r="T1036" s="239">
        <f>IFERROR((HLOOKUP($AH1036,Target_monthwise!$D$24:$O$40,DTR!T$4,FALSE)),0)</f>
        <v>0</v>
      </c>
      <c r="U1036" s="239">
        <f>IFERROR((HLOOKUP($AH1036,Target_monthwise!$D$24:$O$40,DTR!U$4,FALSE)),0)</f>
        <v>0</v>
      </c>
      <c r="V1036" s="239">
        <f>IFERROR((HLOOKUP($AH1036,Target_monthwise!$D$24:$O$40,DTR!V$4,FALSE)),0)</f>
        <v>0</v>
      </c>
      <c r="W1036" s="239">
        <f>IFERROR((HLOOKUP($AH1036,Target_monthwise!$D$24:$O$40,DTR!W$4,FALSE)),0)</f>
        <v>0</v>
      </c>
      <c r="X1036" s="239">
        <f>IFERROR((HLOOKUP($AH1036,Target_monthwise!$D$24:$O$40,DTR!X$4,FALSE)),0)</f>
        <v>0</v>
      </c>
      <c r="Y1036" s="239">
        <f>IFERROR((HLOOKUP($AH1036,Target_monthwise!$D$24:$O$40,DTR!Y$4,FALSE)),0)</f>
        <v>0</v>
      </c>
      <c r="Z1036" s="147">
        <f>IFERROR((HLOOKUP($AH1036,Target_monthwise!$D$24:$O$40,DTR!Z$4,FALSE)),0)</f>
        <v>0</v>
      </c>
      <c r="AA1036" s="147">
        <f>IFERROR((HLOOKUP($AH1036,Target_monthwise!$D$24:$O$40,DTR!AA$4,FALSE)),0)</f>
        <v>0</v>
      </c>
      <c r="AB1036" s="147">
        <f>IFERROR((HLOOKUP($AH1036,Target_monthwise!$D$24:$O$40,DTR!AB$4,FALSE)),0)</f>
        <v>0</v>
      </c>
      <c r="AC1036" s="239">
        <f>IFERROR((HLOOKUP($AH1036,Target_monthwise!$D$24:$O$40,DTR!AC$4,FALSE)),0)</f>
        <v>0</v>
      </c>
      <c r="AD1036" s="239">
        <f>IFERROR((HLOOKUP($AH1036,Target_monthwise!$D$24:$O$40,DTR!AD$4,FALSE)),0)</f>
        <v>0</v>
      </c>
      <c r="AE1036" s="239">
        <f>IFERROR((HLOOKUP($AH1036,Target_monthwise!$D$24:$O$40,DTR!AE$4,FALSE)),0)</f>
        <v>0</v>
      </c>
      <c r="AF1036" s="239">
        <f>IFERROR((HLOOKUP($AH1036,Target_monthwise!$D$24:$O$40,DTR!AF$4,FALSE)),0)</f>
        <v>0</v>
      </c>
      <c r="AG1036" s="172">
        <f>IFERROR((HLOOKUP($AH1036,Target_monthwise!$D$24:$O$40,DTR!AG$4,FALSE)),0)</f>
        <v>0</v>
      </c>
      <c r="AH1036" s="253">
        <f t="shared" si="18"/>
        <v>202501</v>
      </c>
    </row>
    <row r="1037" spans="3:34" ht="15.75" hidden="1">
      <c r="C1037" s="235">
        <v>45680</v>
      </c>
      <c r="D1037" s="141">
        <f>IFERROR((HLOOKUP($AH1037,Target_monthwise!$D$4:$O$20,DTR!D$4,FALSE))*1000,0)</f>
        <v>0</v>
      </c>
      <c r="E1037" s="141">
        <f>IFERROR((HLOOKUP($AH1037,Target_monthwise!$D$4:$O$20,DTR!E$4,FALSE))*1000,0)</f>
        <v>0</v>
      </c>
      <c r="F1037" s="141">
        <f>IFERROR((HLOOKUP($AH1037,Target_monthwise!$D$4:$O$20,DTR!F$4,FALSE))*1000,0)</f>
        <v>0</v>
      </c>
      <c r="G1037" s="141">
        <f>IFERROR((HLOOKUP($AH1037,Target_monthwise!$D$4:$O$20,DTR!G$4,FALSE))*1000,0)</f>
        <v>0</v>
      </c>
      <c r="H1037" s="141">
        <f>IFERROR((HLOOKUP($AH1037,Target_monthwise!$D$4:$O$20,DTR!H$4,FALSE))*1000,0)</f>
        <v>0</v>
      </c>
      <c r="I1037" s="141">
        <f>IFERROR((HLOOKUP($AH1037,Target_monthwise!$D$4:$O$20,DTR!I$4,FALSE))*1000,0)</f>
        <v>0</v>
      </c>
      <c r="J1037" s="141">
        <f>IFERROR((HLOOKUP($AH1037,Target_monthwise!$D$4:$O$20,DTR!J$4,FALSE))*1000,0)</f>
        <v>0</v>
      </c>
      <c r="K1037" s="141">
        <f>IFERROR((HLOOKUP($AH1037,Target_monthwise!$D$4:$O$20,DTR!K$4,FALSE))*1000,0)</f>
        <v>0</v>
      </c>
      <c r="L1037" s="141">
        <f>IFERROR((HLOOKUP($AH1037,Target_monthwise!$D$4:$O$20,DTR!L$4,FALSE))*1000,0)</f>
        <v>0</v>
      </c>
      <c r="M1037" s="141">
        <f>IFERROR((HLOOKUP($AH1037,Target_monthwise!$D$4:$O$20,DTR!M$4,FALSE))*1000,0)</f>
        <v>0</v>
      </c>
      <c r="N1037" s="141">
        <f>IFERROR((HLOOKUP($AH1037,Target_monthwise!$D$4:$O$20,DTR!N$4,FALSE))*1000,0)</f>
        <v>0</v>
      </c>
      <c r="O1037" s="141">
        <f>IFERROR((HLOOKUP($AH1037,Target_monthwise!$D$4:$O$20,DTR!O$4,FALSE))*1000,0)</f>
        <v>0</v>
      </c>
      <c r="P1037" s="141">
        <f>IFERROR((HLOOKUP($AH1037,Target_monthwise!$D$4:$O$20,DTR!P$4,FALSE))*1000,0)</f>
        <v>0</v>
      </c>
      <c r="Q1037" s="141">
        <f>IFERROR((HLOOKUP($AH1037,Target_monthwise!$D$4:$O$20,DTR!Q$4,FALSE))*1000,0)</f>
        <v>0</v>
      </c>
      <c r="R1037" s="167">
        <f>IFERROR((HLOOKUP($AH1037,Target_monthwise!$D$4:$O$20,DTR!R$4,FALSE))*1000,0)</f>
        <v>0</v>
      </c>
      <c r="S1037" s="147">
        <f>IFERROR((HLOOKUP($AH1037,Target_monthwise!$D$24:$O$40,DTR!S$4,FALSE)),0)</f>
        <v>0</v>
      </c>
      <c r="T1037" s="147">
        <f>IFERROR((HLOOKUP($AH1037,Target_monthwise!$D$24:$O$40,DTR!T$4,FALSE)),0)</f>
        <v>0</v>
      </c>
      <c r="U1037" s="147">
        <f>IFERROR((HLOOKUP($AH1037,Target_monthwise!$D$24:$O$40,DTR!U$4,FALSE)),0)</f>
        <v>0</v>
      </c>
      <c r="V1037" s="147">
        <f>IFERROR((HLOOKUP($AH1037,Target_monthwise!$D$24:$O$40,DTR!V$4,FALSE)),0)</f>
        <v>0</v>
      </c>
      <c r="W1037" s="147">
        <f>IFERROR((HLOOKUP($AH1037,Target_monthwise!$D$24:$O$40,DTR!W$4,FALSE)),0)</f>
        <v>0</v>
      </c>
      <c r="X1037" s="147">
        <f>IFERROR((HLOOKUP($AH1037,Target_monthwise!$D$24:$O$40,DTR!X$4,FALSE)),0)</f>
        <v>0</v>
      </c>
      <c r="Y1037" s="147">
        <f>IFERROR((HLOOKUP($AH1037,Target_monthwise!$D$24:$O$40,DTR!Y$4,FALSE)),0)</f>
        <v>0</v>
      </c>
      <c r="Z1037" s="147">
        <f>IFERROR((HLOOKUP($AH1037,Target_monthwise!$D$24:$O$40,DTR!Z$4,FALSE)),0)</f>
        <v>0</v>
      </c>
      <c r="AA1037" s="147">
        <f>IFERROR((HLOOKUP($AH1037,Target_monthwise!$D$24:$O$40,DTR!AA$4,FALSE)),0)</f>
        <v>0</v>
      </c>
      <c r="AB1037" s="147">
        <f>IFERROR((HLOOKUP($AH1037,Target_monthwise!$D$24:$O$40,DTR!AB$4,FALSE)),0)</f>
        <v>0</v>
      </c>
      <c r="AC1037" s="147">
        <f>IFERROR((HLOOKUP($AH1037,Target_monthwise!$D$24:$O$40,DTR!AC$4,FALSE)),0)</f>
        <v>0</v>
      </c>
      <c r="AD1037" s="147">
        <f>IFERROR((HLOOKUP($AH1037,Target_monthwise!$D$24:$O$40,DTR!AD$4,FALSE)),0)</f>
        <v>0</v>
      </c>
      <c r="AE1037" s="147">
        <f>IFERROR((HLOOKUP($AH1037,Target_monthwise!$D$24:$O$40,DTR!AE$4,FALSE)),0)</f>
        <v>0</v>
      </c>
      <c r="AF1037" s="147">
        <f>IFERROR((HLOOKUP($AH1037,Target_monthwise!$D$24:$O$40,DTR!AF$4,FALSE)),0)</f>
        <v>0</v>
      </c>
      <c r="AG1037" s="172">
        <f>IFERROR((HLOOKUP($AH1037,Target_monthwise!$D$24:$O$40,DTR!AG$4,FALSE)),0)</f>
        <v>0</v>
      </c>
      <c r="AH1037" s="253">
        <f t="shared" si="18"/>
        <v>202501</v>
      </c>
    </row>
    <row r="1038" spans="3:34" ht="15.75" hidden="1">
      <c r="C1038" s="237">
        <v>45681</v>
      </c>
      <c r="D1038" s="238">
        <f>IFERROR((HLOOKUP($AH1038,Target_monthwise!$D$4:$O$20,DTR!D$4,FALSE))*1000,0)</f>
        <v>0</v>
      </c>
      <c r="E1038" s="238">
        <f>IFERROR((HLOOKUP($AH1038,Target_monthwise!$D$4:$O$20,DTR!E$4,FALSE))*1000,0)</f>
        <v>0</v>
      </c>
      <c r="F1038" s="238">
        <f>IFERROR((HLOOKUP($AH1038,Target_monthwise!$D$4:$O$20,DTR!F$4,FALSE))*1000,0)</f>
        <v>0</v>
      </c>
      <c r="G1038" s="238">
        <f>IFERROR((HLOOKUP($AH1038,Target_monthwise!$D$4:$O$20,DTR!G$4,FALSE))*1000,0)</f>
        <v>0</v>
      </c>
      <c r="H1038" s="238">
        <f>IFERROR((HLOOKUP($AH1038,Target_monthwise!$D$4:$O$20,DTR!H$4,FALSE))*1000,0)</f>
        <v>0</v>
      </c>
      <c r="I1038" s="238">
        <f>IFERROR((HLOOKUP($AH1038,Target_monthwise!$D$4:$O$20,DTR!I$4,FALSE))*1000,0)</f>
        <v>0</v>
      </c>
      <c r="J1038" s="238">
        <f>IFERROR((HLOOKUP($AH1038,Target_monthwise!$D$4:$O$20,DTR!J$4,FALSE))*1000,0)</f>
        <v>0</v>
      </c>
      <c r="K1038" s="238">
        <f>IFERROR((HLOOKUP($AH1038,Target_monthwise!$D$4:$O$20,DTR!K$4,FALSE))*1000,0)</f>
        <v>0</v>
      </c>
      <c r="L1038" s="238">
        <f>IFERROR((HLOOKUP($AH1038,Target_monthwise!$D$4:$O$20,DTR!L$4,FALSE))*1000,0)</f>
        <v>0</v>
      </c>
      <c r="M1038" s="238">
        <f>IFERROR((HLOOKUP($AH1038,Target_monthwise!$D$4:$O$20,DTR!M$4,FALSE))*1000,0)</f>
        <v>0</v>
      </c>
      <c r="N1038" s="238">
        <f>IFERROR((HLOOKUP($AH1038,Target_monthwise!$D$4:$O$20,DTR!N$4,FALSE))*1000,0)</f>
        <v>0</v>
      </c>
      <c r="O1038" s="238">
        <f>IFERROR((HLOOKUP($AH1038,Target_monthwise!$D$4:$O$20,DTR!O$4,FALSE))*1000,0)</f>
        <v>0</v>
      </c>
      <c r="P1038" s="238">
        <f>IFERROR((HLOOKUP($AH1038,Target_monthwise!$D$4:$O$20,DTR!P$4,FALSE))*1000,0)</f>
        <v>0</v>
      </c>
      <c r="Q1038" s="141">
        <f>IFERROR((HLOOKUP($AH1038,Target_monthwise!$D$4:$O$20,DTR!Q$4,FALSE))*1000,0)</f>
        <v>0</v>
      </c>
      <c r="R1038" s="167">
        <f>IFERROR((HLOOKUP($AH1038,Target_monthwise!$D$4:$O$20,DTR!R$4,FALSE))*1000,0)</f>
        <v>0</v>
      </c>
      <c r="S1038" s="239">
        <f>IFERROR((HLOOKUP($AH1038,Target_monthwise!$D$24:$O$40,DTR!S$4,FALSE)),0)</f>
        <v>0</v>
      </c>
      <c r="T1038" s="239">
        <f>IFERROR((HLOOKUP($AH1038,Target_monthwise!$D$24:$O$40,DTR!T$4,FALSE)),0)</f>
        <v>0</v>
      </c>
      <c r="U1038" s="239">
        <f>IFERROR((HLOOKUP($AH1038,Target_monthwise!$D$24:$O$40,DTR!U$4,FALSE)),0)</f>
        <v>0</v>
      </c>
      <c r="V1038" s="239">
        <f>IFERROR((HLOOKUP($AH1038,Target_monthwise!$D$24:$O$40,DTR!V$4,FALSE)),0)</f>
        <v>0</v>
      </c>
      <c r="W1038" s="239">
        <f>IFERROR((HLOOKUP($AH1038,Target_monthwise!$D$24:$O$40,DTR!W$4,FALSE)),0)</f>
        <v>0</v>
      </c>
      <c r="X1038" s="239">
        <f>IFERROR((HLOOKUP($AH1038,Target_monthwise!$D$24:$O$40,DTR!X$4,FALSE)),0)</f>
        <v>0</v>
      </c>
      <c r="Y1038" s="239">
        <f>IFERROR((HLOOKUP($AH1038,Target_monthwise!$D$24:$O$40,DTR!Y$4,FALSE)),0)</f>
        <v>0</v>
      </c>
      <c r="Z1038" s="147">
        <f>IFERROR((HLOOKUP($AH1038,Target_monthwise!$D$24:$O$40,DTR!Z$4,FALSE)),0)</f>
        <v>0</v>
      </c>
      <c r="AA1038" s="147">
        <f>IFERROR((HLOOKUP($AH1038,Target_monthwise!$D$24:$O$40,DTR!AA$4,FALSE)),0)</f>
        <v>0</v>
      </c>
      <c r="AB1038" s="147">
        <f>IFERROR((HLOOKUP($AH1038,Target_monthwise!$D$24:$O$40,DTR!AB$4,FALSE)),0)</f>
        <v>0</v>
      </c>
      <c r="AC1038" s="239">
        <f>IFERROR((HLOOKUP($AH1038,Target_monthwise!$D$24:$O$40,DTR!AC$4,FALSE)),0)</f>
        <v>0</v>
      </c>
      <c r="AD1038" s="239">
        <f>IFERROR((HLOOKUP($AH1038,Target_monthwise!$D$24:$O$40,DTR!AD$4,FALSE)),0)</f>
        <v>0</v>
      </c>
      <c r="AE1038" s="239">
        <f>IFERROR((HLOOKUP($AH1038,Target_monthwise!$D$24:$O$40,DTR!AE$4,FALSE)),0)</f>
        <v>0</v>
      </c>
      <c r="AF1038" s="239">
        <f>IFERROR((HLOOKUP($AH1038,Target_monthwise!$D$24:$O$40,DTR!AF$4,FALSE)),0)</f>
        <v>0</v>
      </c>
      <c r="AG1038" s="172">
        <f>IFERROR((HLOOKUP($AH1038,Target_monthwise!$D$24:$O$40,DTR!AG$4,FALSE)),0)</f>
        <v>0</v>
      </c>
      <c r="AH1038" s="253">
        <f t="shared" si="18"/>
        <v>202501</v>
      </c>
    </row>
    <row r="1039" spans="3:34" ht="15.75" hidden="1">
      <c r="C1039" s="235">
        <v>45682</v>
      </c>
      <c r="D1039" s="141">
        <f>IFERROR((HLOOKUP($AH1039,Target_monthwise!$D$4:$O$20,DTR!D$4,FALSE))*1000,0)</f>
        <v>0</v>
      </c>
      <c r="E1039" s="141">
        <f>IFERROR((HLOOKUP($AH1039,Target_monthwise!$D$4:$O$20,DTR!E$4,FALSE))*1000,0)</f>
        <v>0</v>
      </c>
      <c r="F1039" s="141">
        <f>IFERROR((HLOOKUP($AH1039,Target_monthwise!$D$4:$O$20,DTR!F$4,FALSE))*1000,0)</f>
        <v>0</v>
      </c>
      <c r="G1039" s="141">
        <f>IFERROR((HLOOKUP($AH1039,Target_monthwise!$D$4:$O$20,DTR!G$4,FALSE))*1000,0)</f>
        <v>0</v>
      </c>
      <c r="H1039" s="141">
        <f>IFERROR((HLOOKUP($AH1039,Target_monthwise!$D$4:$O$20,DTR!H$4,FALSE))*1000,0)</f>
        <v>0</v>
      </c>
      <c r="I1039" s="141">
        <f>IFERROR((HLOOKUP($AH1039,Target_monthwise!$D$4:$O$20,DTR!I$4,FALSE))*1000,0)</f>
        <v>0</v>
      </c>
      <c r="J1039" s="141">
        <f>IFERROR((HLOOKUP($AH1039,Target_monthwise!$D$4:$O$20,DTR!J$4,FALSE))*1000,0)</f>
        <v>0</v>
      </c>
      <c r="K1039" s="141">
        <f>IFERROR((HLOOKUP($AH1039,Target_monthwise!$D$4:$O$20,DTR!K$4,FALSE))*1000,0)</f>
        <v>0</v>
      </c>
      <c r="L1039" s="141">
        <f>IFERROR((HLOOKUP($AH1039,Target_monthwise!$D$4:$O$20,DTR!L$4,FALSE))*1000,0)</f>
        <v>0</v>
      </c>
      <c r="M1039" s="141">
        <f>IFERROR((HLOOKUP($AH1039,Target_monthwise!$D$4:$O$20,DTR!M$4,FALSE))*1000,0)</f>
        <v>0</v>
      </c>
      <c r="N1039" s="141">
        <f>IFERROR((HLOOKUP($AH1039,Target_monthwise!$D$4:$O$20,DTR!N$4,FALSE))*1000,0)</f>
        <v>0</v>
      </c>
      <c r="O1039" s="141">
        <f>IFERROR((HLOOKUP($AH1039,Target_monthwise!$D$4:$O$20,DTR!O$4,FALSE))*1000,0)</f>
        <v>0</v>
      </c>
      <c r="P1039" s="141">
        <f>IFERROR((HLOOKUP($AH1039,Target_monthwise!$D$4:$O$20,DTR!P$4,FALSE))*1000,0)</f>
        <v>0</v>
      </c>
      <c r="Q1039" s="141">
        <f>IFERROR((HLOOKUP($AH1039,Target_monthwise!$D$4:$O$20,DTR!Q$4,FALSE))*1000,0)</f>
        <v>0</v>
      </c>
      <c r="R1039" s="167">
        <f>IFERROR((HLOOKUP($AH1039,Target_monthwise!$D$4:$O$20,DTR!R$4,FALSE))*1000,0)</f>
        <v>0</v>
      </c>
      <c r="S1039" s="147">
        <f>IFERROR((HLOOKUP($AH1039,Target_monthwise!$D$24:$O$40,DTR!S$4,FALSE)),0)</f>
        <v>0</v>
      </c>
      <c r="T1039" s="147">
        <f>IFERROR((HLOOKUP($AH1039,Target_monthwise!$D$24:$O$40,DTR!T$4,FALSE)),0)</f>
        <v>0</v>
      </c>
      <c r="U1039" s="147">
        <f>IFERROR((HLOOKUP($AH1039,Target_monthwise!$D$24:$O$40,DTR!U$4,FALSE)),0)</f>
        <v>0</v>
      </c>
      <c r="V1039" s="147">
        <f>IFERROR((HLOOKUP($AH1039,Target_monthwise!$D$24:$O$40,DTR!V$4,FALSE)),0)</f>
        <v>0</v>
      </c>
      <c r="W1039" s="147">
        <f>IFERROR((HLOOKUP($AH1039,Target_monthwise!$D$24:$O$40,DTR!W$4,FALSE)),0)</f>
        <v>0</v>
      </c>
      <c r="X1039" s="147">
        <f>IFERROR((HLOOKUP($AH1039,Target_monthwise!$D$24:$O$40,DTR!X$4,FALSE)),0)</f>
        <v>0</v>
      </c>
      <c r="Y1039" s="147">
        <f>IFERROR((HLOOKUP($AH1039,Target_monthwise!$D$24:$O$40,DTR!Y$4,FALSE)),0)</f>
        <v>0</v>
      </c>
      <c r="Z1039" s="147">
        <f>IFERROR((HLOOKUP($AH1039,Target_monthwise!$D$24:$O$40,DTR!Z$4,FALSE)),0)</f>
        <v>0</v>
      </c>
      <c r="AA1039" s="147">
        <f>IFERROR((HLOOKUP($AH1039,Target_monthwise!$D$24:$O$40,DTR!AA$4,FALSE)),0)</f>
        <v>0</v>
      </c>
      <c r="AB1039" s="147">
        <f>IFERROR((HLOOKUP($AH1039,Target_monthwise!$D$24:$O$40,DTR!AB$4,FALSE)),0)</f>
        <v>0</v>
      </c>
      <c r="AC1039" s="147">
        <f>IFERROR((HLOOKUP($AH1039,Target_monthwise!$D$24:$O$40,DTR!AC$4,FALSE)),0)</f>
        <v>0</v>
      </c>
      <c r="AD1039" s="147">
        <f>IFERROR((HLOOKUP($AH1039,Target_monthwise!$D$24:$O$40,DTR!AD$4,FALSE)),0)</f>
        <v>0</v>
      </c>
      <c r="AE1039" s="147">
        <f>IFERROR((HLOOKUP($AH1039,Target_monthwise!$D$24:$O$40,DTR!AE$4,FALSE)),0)</f>
        <v>0</v>
      </c>
      <c r="AF1039" s="147">
        <f>IFERROR((HLOOKUP($AH1039,Target_monthwise!$D$24:$O$40,DTR!AF$4,FALSE)),0)</f>
        <v>0</v>
      </c>
      <c r="AG1039" s="172">
        <f>IFERROR((HLOOKUP($AH1039,Target_monthwise!$D$24:$O$40,DTR!AG$4,FALSE)),0)</f>
        <v>0</v>
      </c>
      <c r="AH1039" s="253">
        <f t="shared" si="18"/>
        <v>202501</v>
      </c>
    </row>
    <row r="1040" spans="3:34" ht="15.75" hidden="1">
      <c r="C1040" s="237">
        <v>45683</v>
      </c>
      <c r="D1040" s="238">
        <f>IFERROR((HLOOKUP($AH1040,Target_monthwise!$D$4:$O$20,DTR!D$4,FALSE))*1000,0)</f>
        <v>0</v>
      </c>
      <c r="E1040" s="238">
        <f>IFERROR((HLOOKUP($AH1040,Target_monthwise!$D$4:$O$20,DTR!E$4,FALSE))*1000,0)</f>
        <v>0</v>
      </c>
      <c r="F1040" s="238">
        <f>IFERROR((HLOOKUP($AH1040,Target_monthwise!$D$4:$O$20,DTR!F$4,FALSE))*1000,0)</f>
        <v>0</v>
      </c>
      <c r="G1040" s="238">
        <f>IFERROR((HLOOKUP($AH1040,Target_monthwise!$D$4:$O$20,DTR!G$4,FALSE))*1000,0)</f>
        <v>0</v>
      </c>
      <c r="H1040" s="238">
        <f>IFERROR((HLOOKUP($AH1040,Target_monthwise!$D$4:$O$20,DTR!H$4,FALSE))*1000,0)</f>
        <v>0</v>
      </c>
      <c r="I1040" s="238">
        <f>IFERROR((HLOOKUP($AH1040,Target_monthwise!$D$4:$O$20,DTR!I$4,FALSE))*1000,0)</f>
        <v>0</v>
      </c>
      <c r="J1040" s="238">
        <f>IFERROR((HLOOKUP($AH1040,Target_monthwise!$D$4:$O$20,DTR!J$4,FALSE))*1000,0)</f>
        <v>0</v>
      </c>
      <c r="K1040" s="238">
        <f>IFERROR((HLOOKUP($AH1040,Target_monthwise!$D$4:$O$20,DTR!K$4,FALSE))*1000,0)</f>
        <v>0</v>
      </c>
      <c r="L1040" s="238">
        <f>IFERROR((HLOOKUP($AH1040,Target_monthwise!$D$4:$O$20,DTR!L$4,FALSE))*1000,0)</f>
        <v>0</v>
      </c>
      <c r="M1040" s="238">
        <f>IFERROR((HLOOKUP($AH1040,Target_monthwise!$D$4:$O$20,DTR!M$4,FALSE))*1000,0)</f>
        <v>0</v>
      </c>
      <c r="N1040" s="238">
        <f>IFERROR((HLOOKUP($AH1040,Target_monthwise!$D$4:$O$20,DTR!N$4,FALSE))*1000,0)</f>
        <v>0</v>
      </c>
      <c r="O1040" s="238">
        <f>IFERROR((HLOOKUP($AH1040,Target_monthwise!$D$4:$O$20,DTR!O$4,FALSE))*1000,0)</f>
        <v>0</v>
      </c>
      <c r="P1040" s="238">
        <f>IFERROR((HLOOKUP($AH1040,Target_monthwise!$D$4:$O$20,DTR!P$4,FALSE))*1000,0)</f>
        <v>0</v>
      </c>
      <c r="Q1040" s="141">
        <f>IFERROR((HLOOKUP($AH1040,Target_monthwise!$D$4:$O$20,DTR!Q$4,FALSE))*1000,0)</f>
        <v>0</v>
      </c>
      <c r="R1040" s="167">
        <f>IFERROR((HLOOKUP($AH1040,Target_monthwise!$D$4:$O$20,DTR!R$4,FALSE))*1000,0)</f>
        <v>0</v>
      </c>
      <c r="S1040" s="239">
        <f>IFERROR((HLOOKUP($AH1040,Target_monthwise!$D$24:$O$40,DTR!S$4,FALSE)),0)</f>
        <v>0</v>
      </c>
      <c r="T1040" s="239">
        <f>IFERROR((HLOOKUP($AH1040,Target_monthwise!$D$24:$O$40,DTR!T$4,FALSE)),0)</f>
        <v>0</v>
      </c>
      <c r="U1040" s="239">
        <f>IFERROR((HLOOKUP($AH1040,Target_monthwise!$D$24:$O$40,DTR!U$4,FALSE)),0)</f>
        <v>0</v>
      </c>
      <c r="V1040" s="239">
        <f>IFERROR((HLOOKUP($AH1040,Target_monthwise!$D$24:$O$40,DTR!V$4,FALSE)),0)</f>
        <v>0</v>
      </c>
      <c r="W1040" s="239">
        <f>IFERROR((HLOOKUP($AH1040,Target_monthwise!$D$24:$O$40,DTR!W$4,FALSE)),0)</f>
        <v>0</v>
      </c>
      <c r="X1040" s="239">
        <f>IFERROR((HLOOKUP($AH1040,Target_monthwise!$D$24:$O$40,DTR!X$4,FALSE)),0)</f>
        <v>0</v>
      </c>
      <c r="Y1040" s="239">
        <f>IFERROR((HLOOKUP($AH1040,Target_monthwise!$D$24:$O$40,DTR!Y$4,FALSE)),0)</f>
        <v>0</v>
      </c>
      <c r="Z1040" s="147">
        <f>IFERROR((HLOOKUP($AH1040,Target_monthwise!$D$24:$O$40,DTR!Z$4,FALSE)),0)</f>
        <v>0</v>
      </c>
      <c r="AA1040" s="147">
        <f>IFERROR((HLOOKUP($AH1040,Target_monthwise!$D$24:$O$40,DTR!AA$4,FALSE)),0)</f>
        <v>0</v>
      </c>
      <c r="AB1040" s="147">
        <f>IFERROR((HLOOKUP($AH1040,Target_monthwise!$D$24:$O$40,DTR!AB$4,FALSE)),0)</f>
        <v>0</v>
      </c>
      <c r="AC1040" s="239">
        <f>IFERROR((HLOOKUP($AH1040,Target_monthwise!$D$24:$O$40,DTR!AC$4,FALSE)),0)</f>
        <v>0</v>
      </c>
      <c r="AD1040" s="239">
        <f>IFERROR((HLOOKUP($AH1040,Target_monthwise!$D$24:$O$40,DTR!AD$4,FALSE)),0)</f>
        <v>0</v>
      </c>
      <c r="AE1040" s="239">
        <f>IFERROR((HLOOKUP($AH1040,Target_monthwise!$D$24:$O$40,DTR!AE$4,FALSE)),0)</f>
        <v>0</v>
      </c>
      <c r="AF1040" s="239">
        <f>IFERROR((HLOOKUP($AH1040,Target_monthwise!$D$24:$O$40,DTR!AF$4,FALSE)),0)</f>
        <v>0</v>
      </c>
      <c r="AG1040" s="172">
        <f>IFERROR((HLOOKUP($AH1040,Target_monthwise!$D$24:$O$40,DTR!AG$4,FALSE)),0)</f>
        <v>0</v>
      </c>
      <c r="AH1040" s="253">
        <f t="shared" si="18"/>
        <v>202501</v>
      </c>
    </row>
    <row r="1041" spans="3:34" ht="15.75" hidden="1">
      <c r="C1041" s="235">
        <v>45684</v>
      </c>
      <c r="D1041" s="141">
        <f>IFERROR((HLOOKUP($AH1041,Target_monthwise!$D$4:$O$20,DTR!D$4,FALSE))*1000,0)</f>
        <v>0</v>
      </c>
      <c r="E1041" s="141">
        <f>IFERROR((HLOOKUP($AH1041,Target_monthwise!$D$4:$O$20,DTR!E$4,FALSE))*1000,0)</f>
        <v>0</v>
      </c>
      <c r="F1041" s="141">
        <f>IFERROR((HLOOKUP($AH1041,Target_monthwise!$D$4:$O$20,DTR!F$4,FALSE))*1000,0)</f>
        <v>0</v>
      </c>
      <c r="G1041" s="141">
        <f>IFERROR((HLOOKUP($AH1041,Target_monthwise!$D$4:$O$20,DTR!G$4,FALSE))*1000,0)</f>
        <v>0</v>
      </c>
      <c r="H1041" s="141">
        <f>IFERROR((HLOOKUP($AH1041,Target_monthwise!$D$4:$O$20,DTR!H$4,FALSE))*1000,0)</f>
        <v>0</v>
      </c>
      <c r="I1041" s="141">
        <f>IFERROR((HLOOKUP($AH1041,Target_monthwise!$D$4:$O$20,DTR!I$4,FALSE))*1000,0)</f>
        <v>0</v>
      </c>
      <c r="J1041" s="141">
        <f>IFERROR((HLOOKUP($AH1041,Target_monthwise!$D$4:$O$20,DTR!J$4,FALSE))*1000,0)</f>
        <v>0</v>
      </c>
      <c r="K1041" s="141">
        <f>IFERROR((HLOOKUP($AH1041,Target_monthwise!$D$4:$O$20,DTR!K$4,FALSE))*1000,0)</f>
        <v>0</v>
      </c>
      <c r="L1041" s="141">
        <f>IFERROR((HLOOKUP($AH1041,Target_monthwise!$D$4:$O$20,DTR!L$4,FALSE))*1000,0)</f>
        <v>0</v>
      </c>
      <c r="M1041" s="141">
        <f>IFERROR((HLOOKUP($AH1041,Target_monthwise!$D$4:$O$20,DTR!M$4,FALSE))*1000,0)</f>
        <v>0</v>
      </c>
      <c r="N1041" s="141">
        <f>IFERROR((HLOOKUP($AH1041,Target_monthwise!$D$4:$O$20,DTR!N$4,FALSE))*1000,0)</f>
        <v>0</v>
      </c>
      <c r="O1041" s="141">
        <f>IFERROR((HLOOKUP($AH1041,Target_monthwise!$D$4:$O$20,DTR!O$4,FALSE))*1000,0)</f>
        <v>0</v>
      </c>
      <c r="P1041" s="141">
        <f>IFERROR((HLOOKUP($AH1041,Target_monthwise!$D$4:$O$20,DTR!P$4,FALSE))*1000,0)</f>
        <v>0</v>
      </c>
      <c r="Q1041" s="141">
        <f>IFERROR((HLOOKUP($AH1041,Target_monthwise!$D$4:$O$20,DTR!Q$4,FALSE))*1000,0)</f>
        <v>0</v>
      </c>
      <c r="R1041" s="167">
        <f>IFERROR((HLOOKUP($AH1041,Target_monthwise!$D$4:$O$20,DTR!R$4,FALSE))*1000,0)</f>
        <v>0</v>
      </c>
      <c r="S1041" s="147">
        <f>IFERROR((HLOOKUP($AH1041,Target_monthwise!$D$24:$O$40,DTR!S$4,FALSE)),0)</f>
        <v>0</v>
      </c>
      <c r="T1041" s="147">
        <f>IFERROR((HLOOKUP($AH1041,Target_monthwise!$D$24:$O$40,DTR!T$4,FALSE)),0)</f>
        <v>0</v>
      </c>
      <c r="U1041" s="147">
        <f>IFERROR((HLOOKUP($AH1041,Target_monthwise!$D$24:$O$40,DTR!U$4,FALSE)),0)</f>
        <v>0</v>
      </c>
      <c r="V1041" s="147">
        <f>IFERROR((HLOOKUP($AH1041,Target_monthwise!$D$24:$O$40,DTR!V$4,FALSE)),0)</f>
        <v>0</v>
      </c>
      <c r="W1041" s="147">
        <f>IFERROR((HLOOKUP($AH1041,Target_monthwise!$D$24:$O$40,DTR!W$4,FALSE)),0)</f>
        <v>0</v>
      </c>
      <c r="X1041" s="147">
        <f>IFERROR((HLOOKUP($AH1041,Target_monthwise!$D$24:$O$40,DTR!X$4,FALSE)),0)</f>
        <v>0</v>
      </c>
      <c r="Y1041" s="147">
        <f>IFERROR((HLOOKUP($AH1041,Target_monthwise!$D$24:$O$40,DTR!Y$4,FALSE)),0)</f>
        <v>0</v>
      </c>
      <c r="Z1041" s="147">
        <f>IFERROR((HLOOKUP($AH1041,Target_monthwise!$D$24:$O$40,DTR!Z$4,FALSE)),0)</f>
        <v>0</v>
      </c>
      <c r="AA1041" s="147">
        <f>IFERROR((HLOOKUP($AH1041,Target_monthwise!$D$24:$O$40,DTR!AA$4,FALSE)),0)</f>
        <v>0</v>
      </c>
      <c r="AB1041" s="147">
        <f>IFERROR((HLOOKUP($AH1041,Target_monthwise!$D$24:$O$40,DTR!AB$4,FALSE)),0)</f>
        <v>0</v>
      </c>
      <c r="AC1041" s="147">
        <f>IFERROR((HLOOKUP($AH1041,Target_monthwise!$D$24:$O$40,DTR!AC$4,FALSE)),0)</f>
        <v>0</v>
      </c>
      <c r="AD1041" s="147">
        <f>IFERROR((HLOOKUP($AH1041,Target_monthwise!$D$24:$O$40,DTR!AD$4,FALSE)),0)</f>
        <v>0</v>
      </c>
      <c r="AE1041" s="147">
        <f>IFERROR((HLOOKUP($AH1041,Target_monthwise!$D$24:$O$40,DTR!AE$4,FALSE)),0)</f>
        <v>0</v>
      </c>
      <c r="AF1041" s="147">
        <f>IFERROR((HLOOKUP($AH1041,Target_monthwise!$D$24:$O$40,DTR!AF$4,FALSE)),0)</f>
        <v>0</v>
      </c>
      <c r="AG1041" s="172">
        <f>IFERROR((HLOOKUP($AH1041,Target_monthwise!$D$24:$O$40,DTR!AG$4,FALSE)),0)</f>
        <v>0</v>
      </c>
      <c r="AH1041" s="253">
        <f t="shared" si="18"/>
        <v>202501</v>
      </c>
    </row>
    <row r="1042" spans="3:34" ht="15.75" hidden="1">
      <c r="C1042" s="237">
        <v>45685</v>
      </c>
      <c r="D1042" s="238">
        <f>IFERROR((HLOOKUP($AH1042,Target_monthwise!$D$4:$O$20,DTR!D$4,FALSE))*1000,0)</f>
        <v>0</v>
      </c>
      <c r="E1042" s="238">
        <f>IFERROR((HLOOKUP($AH1042,Target_monthwise!$D$4:$O$20,DTR!E$4,FALSE))*1000,0)</f>
        <v>0</v>
      </c>
      <c r="F1042" s="238">
        <f>IFERROR((HLOOKUP($AH1042,Target_monthwise!$D$4:$O$20,DTR!F$4,FALSE))*1000,0)</f>
        <v>0</v>
      </c>
      <c r="G1042" s="238">
        <f>IFERROR((HLOOKUP($AH1042,Target_monthwise!$D$4:$O$20,DTR!G$4,FALSE))*1000,0)</f>
        <v>0</v>
      </c>
      <c r="H1042" s="238">
        <f>IFERROR((HLOOKUP($AH1042,Target_monthwise!$D$4:$O$20,DTR!H$4,FALSE))*1000,0)</f>
        <v>0</v>
      </c>
      <c r="I1042" s="238">
        <f>IFERROR((HLOOKUP($AH1042,Target_monthwise!$D$4:$O$20,DTR!I$4,FALSE))*1000,0)</f>
        <v>0</v>
      </c>
      <c r="J1042" s="238">
        <f>IFERROR((HLOOKUP($AH1042,Target_monthwise!$D$4:$O$20,DTR!J$4,FALSE))*1000,0)</f>
        <v>0</v>
      </c>
      <c r="K1042" s="238">
        <f>IFERROR((HLOOKUP($AH1042,Target_monthwise!$D$4:$O$20,DTR!K$4,FALSE))*1000,0)</f>
        <v>0</v>
      </c>
      <c r="L1042" s="238">
        <f>IFERROR((HLOOKUP($AH1042,Target_monthwise!$D$4:$O$20,DTR!L$4,FALSE))*1000,0)</f>
        <v>0</v>
      </c>
      <c r="M1042" s="238">
        <f>IFERROR((HLOOKUP($AH1042,Target_monthwise!$D$4:$O$20,DTR!M$4,FALSE))*1000,0)</f>
        <v>0</v>
      </c>
      <c r="N1042" s="238">
        <f>IFERROR((HLOOKUP($AH1042,Target_monthwise!$D$4:$O$20,DTR!N$4,FALSE))*1000,0)</f>
        <v>0</v>
      </c>
      <c r="O1042" s="238">
        <f>IFERROR((HLOOKUP($AH1042,Target_monthwise!$D$4:$O$20,DTR!O$4,FALSE))*1000,0)</f>
        <v>0</v>
      </c>
      <c r="P1042" s="238">
        <f>IFERROR((HLOOKUP($AH1042,Target_monthwise!$D$4:$O$20,DTR!P$4,FALSE))*1000,0)</f>
        <v>0</v>
      </c>
      <c r="Q1042" s="141">
        <f>IFERROR((HLOOKUP($AH1042,Target_monthwise!$D$4:$O$20,DTR!Q$4,FALSE))*1000,0)</f>
        <v>0</v>
      </c>
      <c r="R1042" s="167">
        <f>IFERROR((HLOOKUP($AH1042,Target_monthwise!$D$4:$O$20,DTR!R$4,FALSE))*1000,0)</f>
        <v>0</v>
      </c>
      <c r="S1042" s="239">
        <f>IFERROR((HLOOKUP($AH1042,Target_monthwise!$D$24:$O$40,DTR!S$4,FALSE)),0)</f>
        <v>0</v>
      </c>
      <c r="T1042" s="239">
        <f>IFERROR((HLOOKUP($AH1042,Target_monthwise!$D$24:$O$40,DTR!T$4,FALSE)),0)</f>
        <v>0</v>
      </c>
      <c r="U1042" s="239">
        <f>IFERROR((HLOOKUP($AH1042,Target_monthwise!$D$24:$O$40,DTR!U$4,FALSE)),0)</f>
        <v>0</v>
      </c>
      <c r="V1042" s="239">
        <f>IFERROR((HLOOKUP($AH1042,Target_monthwise!$D$24:$O$40,DTR!V$4,FALSE)),0)</f>
        <v>0</v>
      </c>
      <c r="W1042" s="239">
        <f>IFERROR((HLOOKUP($AH1042,Target_monthwise!$D$24:$O$40,DTR!W$4,FALSE)),0)</f>
        <v>0</v>
      </c>
      <c r="X1042" s="239">
        <f>IFERROR((HLOOKUP($AH1042,Target_monthwise!$D$24:$O$40,DTR!X$4,FALSE)),0)</f>
        <v>0</v>
      </c>
      <c r="Y1042" s="239">
        <f>IFERROR((HLOOKUP($AH1042,Target_monthwise!$D$24:$O$40,DTR!Y$4,FALSE)),0)</f>
        <v>0</v>
      </c>
      <c r="Z1042" s="147">
        <f>IFERROR((HLOOKUP($AH1042,Target_monthwise!$D$24:$O$40,DTR!Z$4,FALSE)),0)</f>
        <v>0</v>
      </c>
      <c r="AA1042" s="147">
        <f>IFERROR((HLOOKUP($AH1042,Target_monthwise!$D$24:$O$40,DTR!AA$4,FALSE)),0)</f>
        <v>0</v>
      </c>
      <c r="AB1042" s="147">
        <f>IFERROR((HLOOKUP($AH1042,Target_monthwise!$D$24:$O$40,DTR!AB$4,FALSE)),0)</f>
        <v>0</v>
      </c>
      <c r="AC1042" s="239">
        <f>IFERROR((HLOOKUP($AH1042,Target_monthwise!$D$24:$O$40,DTR!AC$4,FALSE)),0)</f>
        <v>0</v>
      </c>
      <c r="AD1042" s="239">
        <f>IFERROR((HLOOKUP($AH1042,Target_monthwise!$D$24:$O$40,DTR!AD$4,FALSE)),0)</f>
        <v>0</v>
      </c>
      <c r="AE1042" s="239">
        <f>IFERROR((HLOOKUP($AH1042,Target_monthwise!$D$24:$O$40,DTR!AE$4,FALSE)),0)</f>
        <v>0</v>
      </c>
      <c r="AF1042" s="239">
        <f>IFERROR((HLOOKUP($AH1042,Target_monthwise!$D$24:$O$40,DTR!AF$4,FALSE)),0)</f>
        <v>0</v>
      </c>
      <c r="AG1042" s="172">
        <f>IFERROR((HLOOKUP($AH1042,Target_monthwise!$D$24:$O$40,DTR!AG$4,FALSE)),0)</f>
        <v>0</v>
      </c>
      <c r="AH1042" s="253">
        <f t="shared" si="18"/>
        <v>202501</v>
      </c>
    </row>
    <row r="1043" spans="3:34" ht="15.75" hidden="1">
      <c r="C1043" s="235">
        <v>45686</v>
      </c>
      <c r="D1043" s="141">
        <f>IFERROR((HLOOKUP($AH1043,Target_monthwise!$D$4:$O$20,DTR!D$4,FALSE))*1000,0)</f>
        <v>0</v>
      </c>
      <c r="E1043" s="141">
        <f>IFERROR((HLOOKUP($AH1043,Target_monthwise!$D$4:$O$20,DTR!E$4,FALSE))*1000,0)</f>
        <v>0</v>
      </c>
      <c r="F1043" s="141">
        <f>IFERROR((HLOOKUP($AH1043,Target_monthwise!$D$4:$O$20,DTR!F$4,FALSE))*1000,0)</f>
        <v>0</v>
      </c>
      <c r="G1043" s="141">
        <f>IFERROR((HLOOKUP($AH1043,Target_monthwise!$D$4:$O$20,DTR!G$4,FALSE))*1000,0)</f>
        <v>0</v>
      </c>
      <c r="H1043" s="141">
        <f>IFERROR((HLOOKUP($AH1043,Target_monthwise!$D$4:$O$20,DTR!H$4,FALSE))*1000,0)</f>
        <v>0</v>
      </c>
      <c r="I1043" s="141">
        <f>IFERROR((HLOOKUP($AH1043,Target_monthwise!$D$4:$O$20,DTR!I$4,FALSE))*1000,0)</f>
        <v>0</v>
      </c>
      <c r="J1043" s="141">
        <f>IFERROR((HLOOKUP($AH1043,Target_monthwise!$D$4:$O$20,DTR!J$4,FALSE))*1000,0)</f>
        <v>0</v>
      </c>
      <c r="K1043" s="141">
        <f>IFERROR((HLOOKUP($AH1043,Target_monthwise!$D$4:$O$20,DTR!K$4,FALSE))*1000,0)</f>
        <v>0</v>
      </c>
      <c r="L1043" s="141">
        <f>IFERROR((HLOOKUP($AH1043,Target_monthwise!$D$4:$O$20,DTR!L$4,FALSE))*1000,0)</f>
        <v>0</v>
      </c>
      <c r="M1043" s="141">
        <f>IFERROR((HLOOKUP($AH1043,Target_monthwise!$D$4:$O$20,DTR!M$4,FALSE))*1000,0)</f>
        <v>0</v>
      </c>
      <c r="N1043" s="141">
        <f>IFERROR((HLOOKUP($AH1043,Target_monthwise!$D$4:$O$20,DTR!N$4,FALSE))*1000,0)</f>
        <v>0</v>
      </c>
      <c r="O1043" s="141">
        <f>IFERROR((HLOOKUP($AH1043,Target_monthwise!$D$4:$O$20,DTR!O$4,FALSE))*1000,0)</f>
        <v>0</v>
      </c>
      <c r="P1043" s="141">
        <f>IFERROR((HLOOKUP($AH1043,Target_monthwise!$D$4:$O$20,DTR!P$4,FALSE))*1000,0)</f>
        <v>0</v>
      </c>
      <c r="Q1043" s="141">
        <f>IFERROR((HLOOKUP($AH1043,Target_monthwise!$D$4:$O$20,DTR!Q$4,FALSE))*1000,0)</f>
        <v>0</v>
      </c>
      <c r="R1043" s="167">
        <f>IFERROR((HLOOKUP($AH1043,Target_monthwise!$D$4:$O$20,DTR!R$4,FALSE))*1000,0)</f>
        <v>0</v>
      </c>
      <c r="S1043" s="147">
        <f>IFERROR((HLOOKUP($AH1043,Target_monthwise!$D$24:$O$40,DTR!S$4,FALSE)),0)</f>
        <v>0</v>
      </c>
      <c r="T1043" s="147">
        <f>IFERROR((HLOOKUP($AH1043,Target_monthwise!$D$24:$O$40,DTR!T$4,FALSE)),0)</f>
        <v>0</v>
      </c>
      <c r="U1043" s="147">
        <f>IFERROR((HLOOKUP($AH1043,Target_monthwise!$D$24:$O$40,DTR!U$4,FALSE)),0)</f>
        <v>0</v>
      </c>
      <c r="V1043" s="147">
        <f>IFERROR((HLOOKUP($AH1043,Target_monthwise!$D$24:$O$40,DTR!V$4,FALSE)),0)</f>
        <v>0</v>
      </c>
      <c r="W1043" s="147">
        <f>IFERROR((HLOOKUP($AH1043,Target_monthwise!$D$24:$O$40,DTR!W$4,FALSE)),0)</f>
        <v>0</v>
      </c>
      <c r="X1043" s="147">
        <f>IFERROR((HLOOKUP($AH1043,Target_monthwise!$D$24:$O$40,DTR!X$4,FALSE)),0)</f>
        <v>0</v>
      </c>
      <c r="Y1043" s="147">
        <f>IFERROR((HLOOKUP($AH1043,Target_monthwise!$D$24:$O$40,DTR!Y$4,FALSE)),0)</f>
        <v>0</v>
      </c>
      <c r="Z1043" s="147">
        <f>IFERROR((HLOOKUP($AH1043,Target_monthwise!$D$24:$O$40,DTR!Z$4,FALSE)),0)</f>
        <v>0</v>
      </c>
      <c r="AA1043" s="147">
        <f>IFERROR((HLOOKUP($AH1043,Target_monthwise!$D$24:$O$40,DTR!AA$4,FALSE)),0)</f>
        <v>0</v>
      </c>
      <c r="AB1043" s="147">
        <f>IFERROR((HLOOKUP($AH1043,Target_monthwise!$D$24:$O$40,DTR!AB$4,FALSE)),0)</f>
        <v>0</v>
      </c>
      <c r="AC1043" s="147">
        <f>IFERROR((HLOOKUP($AH1043,Target_monthwise!$D$24:$O$40,DTR!AC$4,FALSE)),0)</f>
        <v>0</v>
      </c>
      <c r="AD1043" s="147">
        <f>IFERROR((HLOOKUP($AH1043,Target_monthwise!$D$24:$O$40,DTR!AD$4,FALSE)),0)</f>
        <v>0</v>
      </c>
      <c r="AE1043" s="147">
        <f>IFERROR((HLOOKUP($AH1043,Target_monthwise!$D$24:$O$40,DTR!AE$4,FALSE)),0)</f>
        <v>0</v>
      </c>
      <c r="AF1043" s="147">
        <f>IFERROR((HLOOKUP($AH1043,Target_monthwise!$D$24:$O$40,DTR!AF$4,FALSE)),0)</f>
        <v>0</v>
      </c>
      <c r="AG1043" s="172">
        <f>IFERROR((HLOOKUP($AH1043,Target_monthwise!$D$24:$O$40,DTR!AG$4,FALSE)),0)</f>
        <v>0</v>
      </c>
      <c r="AH1043" s="253">
        <f t="shared" si="18"/>
        <v>202501</v>
      </c>
    </row>
    <row r="1044" spans="3:34" ht="15.75" hidden="1">
      <c r="C1044" s="237">
        <v>45687</v>
      </c>
      <c r="D1044" s="238">
        <f>IFERROR((HLOOKUP($AH1044,Target_monthwise!$D$4:$O$20,DTR!D$4,FALSE))*1000,0)</f>
        <v>0</v>
      </c>
      <c r="E1044" s="238">
        <f>IFERROR((HLOOKUP($AH1044,Target_monthwise!$D$4:$O$20,DTR!E$4,FALSE))*1000,0)</f>
        <v>0</v>
      </c>
      <c r="F1044" s="238">
        <f>IFERROR((HLOOKUP($AH1044,Target_monthwise!$D$4:$O$20,DTR!F$4,FALSE))*1000,0)</f>
        <v>0</v>
      </c>
      <c r="G1044" s="238">
        <f>IFERROR((HLOOKUP($AH1044,Target_monthwise!$D$4:$O$20,DTR!G$4,FALSE))*1000,0)</f>
        <v>0</v>
      </c>
      <c r="H1044" s="238">
        <f>IFERROR((HLOOKUP($AH1044,Target_monthwise!$D$4:$O$20,DTR!H$4,FALSE))*1000,0)</f>
        <v>0</v>
      </c>
      <c r="I1044" s="238">
        <f>IFERROR((HLOOKUP($AH1044,Target_monthwise!$D$4:$O$20,DTR!I$4,FALSE))*1000,0)</f>
        <v>0</v>
      </c>
      <c r="J1044" s="238">
        <f>IFERROR((HLOOKUP($AH1044,Target_monthwise!$D$4:$O$20,DTR!J$4,FALSE))*1000,0)</f>
        <v>0</v>
      </c>
      <c r="K1044" s="238">
        <f>IFERROR((HLOOKUP($AH1044,Target_monthwise!$D$4:$O$20,DTR!K$4,FALSE))*1000,0)</f>
        <v>0</v>
      </c>
      <c r="L1044" s="238">
        <f>IFERROR((HLOOKUP($AH1044,Target_monthwise!$D$4:$O$20,DTR!L$4,FALSE))*1000,0)</f>
        <v>0</v>
      </c>
      <c r="M1044" s="238">
        <f>IFERROR((HLOOKUP($AH1044,Target_monthwise!$D$4:$O$20,DTR!M$4,FALSE))*1000,0)</f>
        <v>0</v>
      </c>
      <c r="N1044" s="238">
        <f>IFERROR((HLOOKUP($AH1044,Target_monthwise!$D$4:$O$20,DTR!N$4,FALSE))*1000,0)</f>
        <v>0</v>
      </c>
      <c r="O1044" s="238">
        <f>IFERROR((HLOOKUP($AH1044,Target_monthwise!$D$4:$O$20,DTR!O$4,FALSE))*1000,0)</f>
        <v>0</v>
      </c>
      <c r="P1044" s="238">
        <f>IFERROR((HLOOKUP($AH1044,Target_monthwise!$D$4:$O$20,DTR!P$4,FALSE))*1000,0)</f>
        <v>0</v>
      </c>
      <c r="Q1044" s="141">
        <f>IFERROR((HLOOKUP($AH1044,Target_monthwise!$D$4:$O$20,DTR!Q$4,FALSE))*1000,0)</f>
        <v>0</v>
      </c>
      <c r="R1044" s="167">
        <f>IFERROR((HLOOKUP($AH1044,Target_monthwise!$D$4:$O$20,DTR!R$4,FALSE))*1000,0)</f>
        <v>0</v>
      </c>
      <c r="S1044" s="239">
        <f>IFERROR((HLOOKUP($AH1044,Target_monthwise!$D$24:$O$40,DTR!S$4,FALSE)),0)</f>
        <v>0</v>
      </c>
      <c r="T1044" s="239">
        <f>IFERROR((HLOOKUP($AH1044,Target_monthwise!$D$24:$O$40,DTR!T$4,FALSE)),0)</f>
        <v>0</v>
      </c>
      <c r="U1044" s="239">
        <f>IFERROR((HLOOKUP($AH1044,Target_monthwise!$D$24:$O$40,DTR!U$4,FALSE)),0)</f>
        <v>0</v>
      </c>
      <c r="V1044" s="239">
        <f>IFERROR((HLOOKUP($AH1044,Target_monthwise!$D$24:$O$40,DTR!V$4,FALSE)),0)</f>
        <v>0</v>
      </c>
      <c r="W1044" s="239">
        <f>IFERROR((HLOOKUP($AH1044,Target_monthwise!$D$24:$O$40,DTR!W$4,FALSE)),0)</f>
        <v>0</v>
      </c>
      <c r="X1044" s="239">
        <f>IFERROR((HLOOKUP($AH1044,Target_monthwise!$D$24:$O$40,DTR!X$4,FALSE)),0)</f>
        <v>0</v>
      </c>
      <c r="Y1044" s="239">
        <f>IFERROR((HLOOKUP($AH1044,Target_monthwise!$D$24:$O$40,DTR!Y$4,FALSE)),0)</f>
        <v>0</v>
      </c>
      <c r="Z1044" s="147">
        <f>IFERROR((HLOOKUP($AH1044,Target_monthwise!$D$24:$O$40,DTR!Z$4,FALSE)),0)</f>
        <v>0</v>
      </c>
      <c r="AA1044" s="147">
        <f>IFERROR((HLOOKUP($AH1044,Target_monthwise!$D$24:$O$40,DTR!AA$4,FALSE)),0)</f>
        <v>0</v>
      </c>
      <c r="AB1044" s="147">
        <f>IFERROR((HLOOKUP($AH1044,Target_monthwise!$D$24:$O$40,DTR!AB$4,FALSE)),0)</f>
        <v>0</v>
      </c>
      <c r="AC1044" s="239">
        <f>IFERROR((HLOOKUP($AH1044,Target_monthwise!$D$24:$O$40,DTR!AC$4,FALSE)),0)</f>
        <v>0</v>
      </c>
      <c r="AD1044" s="239">
        <f>IFERROR((HLOOKUP($AH1044,Target_monthwise!$D$24:$O$40,DTR!AD$4,FALSE)),0)</f>
        <v>0</v>
      </c>
      <c r="AE1044" s="239">
        <f>IFERROR((HLOOKUP($AH1044,Target_monthwise!$D$24:$O$40,DTR!AE$4,FALSE)),0)</f>
        <v>0</v>
      </c>
      <c r="AF1044" s="239">
        <f>IFERROR((HLOOKUP($AH1044,Target_monthwise!$D$24:$O$40,DTR!AF$4,FALSE)),0)</f>
        <v>0</v>
      </c>
      <c r="AG1044" s="172">
        <f>IFERROR((HLOOKUP($AH1044,Target_monthwise!$D$24:$O$40,DTR!AG$4,FALSE)),0)</f>
        <v>0</v>
      </c>
      <c r="AH1044" s="253">
        <f t="shared" si="18"/>
        <v>202501</v>
      </c>
    </row>
    <row r="1045" spans="3:34" ht="15.75" hidden="1">
      <c r="C1045" s="235">
        <v>45688</v>
      </c>
      <c r="D1045" s="141">
        <f>IFERROR((HLOOKUP($AH1045,Target_monthwise!$D$4:$O$20,DTR!D$4,FALSE))*1000,0)</f>
        <v>0</v>
      </c>
      <c r="E1045" s="141">
        <f>IFERROR((HLOOKUP($AH1045,Target_monthwise!$D$4:$O$20,DTR!E$4,FALSE))*1000,0)</f>
        <v>0</v>
      </c>
      <c r="F1045" s="141">
        <f>IFERROR((HLOOKUP($AH1045,Target_monthwise!$D$4:$O$20,DTR!F$4,FALSE))*1000,0)</f>
        <v>0</v>
      </c>
      <c r="G1045" s="141">
        <f>IFERROR((HLOOKUP($AH1045,Target_monthwise!$D$4:$O$20,DTR!G$4,FALSE))*1000,0)</f>
        <v>0</v>
      </c>
      <c r="H1045" s="141">
        <f>IFERROR((HLOOKUP($AH1045,Target_monthwise!$D$4:$O$20,DTR!H$4,FALSE))*1000,0)</f>
        <v>0</v>
      </c>
      <c r="I1045" s="141">
        <f>IFERROR((HLOOKUP($AH1045,Target_monthwise!$D$4:$O$20,DTR!I$4,FALSE))*1000,0)</f>
        <v>0</v>
      </c>
      <c r="J1045" s="141">
        <f>IFERROR((HLOOKUP($AH1045,Target_monthwise!$D$4:$O$20,DTR!J$4,FALSE))*1000,0)</f>
        <v>0</v>
      </c>
      <c r="K1045" s="141">
        <f>IFERROR((HLOOKUP($AH1045,Target_monthwise!$D$4:$O$20,DTR!K$4,FALSE))*1000,0)</f>
        <v>0</v>
      </c>
      <c r="L1045" s="141">
        <f>IFERROR((HLOOKUP($AH1045,Target_monthwise!$D$4:$O$20,DTR!L$4,FALSE))*1000,0)</f>
        <v>0</v>
      </c>
      <c r="M1045" s="141">
        <f>IFERROR((HLOOKUP($AH1045,Target_monthwise!$D$4:$O$20,DTR!M$4,FALSE))*1000,0)</f>
        <v>0</v>
      </c>
      <c r="N1045" s="141">
        <f>IFERROR((HLOOKUP($AH1045,Target_monthwise!$D$4:$O$20,DTR!N$4,FALSE))*1000,0)</f>
        <v>0</v>
      </c>
      <c r="O1045" s="141">
        <f>IFERROR((HLOOKUP($AH1045,Target_monthwise!$D$4:$O$20,DTR!O$4,FALSE))*1000,0)</f>
        <v>0</v>
      </c>
      <c r="P1045" s="141">
        <f>IFERROR((HLOOKUP($AH1045,Target_monthwise!$D$4:$O$20,DTR!P$4,FALSE))*1000,0)</f>
        <v>0</v>
      </c>
      <c r="Q1045" s="141">
        <f>IFERROR((HLOOKUP($AH1045,Target_monthwise!$D$4:$O$20,DTR!Q$4,FALSE))*1000,0)</f>
        <v>0</v>
      </c>
      <c r="R1045" s="167">
        <f>IFERROR((HLOOKUP($AH1045,Target_monthwise!$D$4:$O$20,DTR!R$4,FALSE))*1000,0)</f>
        <v>0</v>
      </c>
      <c r="S1045" s="147">
        <f>IFERROR((HLOOKUP($AH1045,Target_monthwise!$D$24:$O$40,DTR!S$4,FALSE)),0)</f>
        <v>0</v>
      </c>
      <c r="T1045" s="147">
        <f>IFERROR((HLOOKUP($AH1045,Target_monthwise!$D$24:$O$40,DTR!T$4,FALSE)),0)</f>
        <v>0</v>
      </c>
      <c r="U1045" s="147">
        <f>IFERROR((HLOOKUP($AH1045,Target_monthwise!$D$24:$O$40,DTR!U$4,FALSE)),0)</f>
        <v>0</v>
      </c>
      <c r="V1045" s="147">
        <f>IFERROR((HLOOKUP($AH1045,Target_monthwise!$D$24:$O$40,DTR!V$4,FALSE)),0)</f>
        <v>0</v>
      </c>
      <c r="W1045" s="147">
        <f>IFERROR((HLOOKUP($AH1045,Target_monthwise!$D$24:$O$40,DTR!W$4,FALSE)),0)</f>
        <v>0</v>
      </c>
      <c r="X1045" s="147">
        <f>IFERROR((HLOOKUP($AH1045,Target_monthwise!$D$24:$O$40,DTR!X$4,FALSE)),0)</f>
        <v>0</v>
      </c>
      <c r="Y1045" s="147">
        <f>IFERROR((HLOOKUP($AH1045,Target_monthwise!$D$24:$O$40,DTR!Y$4,FALSE)),0)</f>
        <v>0</v>
      </c>
      <c r="Z1045" s="147">
        <f>IFERROR((HLOOKUP($AH1045,Target_monthwise!$D$24:$O$40,DTR!Z$4,FALSE)),0)</f>
        <v>0</v>
      </c>
      <c r="AA1045" s="147">
        <f>IFERROR((HLOOKUP($AH1045,Target_monthwise!$D$24:$O$40,DTR!AA$4,FALSE)),0)</f>
        <v>0</v>
      </c>
      <c r="AB1045" s="147">
        <f>IFERROR((HLOOKUP($AH1045,Target_monthwise!$D$24:$O$40,DTR!AB$4,FALSE)),0)</f>
        <v>0</v>
      </c>
      <c r="AC1045" s="147">
        <f>IFERROR((HLOOKUP($AH1045,Target_monthwise!$D$24:$O$40,DTR!AC$4,FALSE)),0)</f>
        <v>0</v>
      </c>
      <c r="AD1045" s="147">
        <f>IFERROR((HLOOKUP($AH1045,Target_monthwise!$D$24:$O$40,DTR!AD$4,FALSE)),0)</f>
        <v>0</v>
      </c>
      <c r="AE1045" s="147">
        <f>IFERROR((HLOOKUP($AH1045,Target_monthwise!$D$24:$O$40,DTR!AE$4,FALSE)),0)</f>
        <v>0</v>
      </c>
      <c r="AF1045" s="147">
        <f>IFERROR((HLOOKUP($AH1045,Target_monthwise!$D$24:$O$40,DTR!AF$4,FALSE)),0)</f>
        <v>0</v>
      </c>
      <c r="AG1045" s="172">
        <f>IFERROR((HLOOKUP($AH1045,Target_monthwise!$D$24:$O$40,DTR!AG$4,FALSE)),0)</f>
        <v>0</v>
      </c>
      <c r="AH1045" s="253">
        <f t="shared" si="18"/>
        <v>202501</v>
      </c>
    </row>
    <row r="1046" spans="3:34" ht="15.75" hidden="1">
      <c r="C1046" s="237">
        <v>45689</v>
      </c>
      <c r="D1046" s="238">
        <f>IFERROR((HLOOKUP($AH1046,Target_monthwise!$D$4:$O$20,DTR!D$4,FALSE))*1000,0)</f>
        <v>0</v>
      </c>
      <c r="E1046" s="238">
        <f>IFERROR((HLOOKUP($AH1046,Target_monthwise!$D$4:$O$20,DTR!E$4,FALSE))*1000,0)</f>
        <v>0</v>
      </c>
      <c r="F1046" s="238">
        <f>IFERROR((HLOOKUP($AH1046,Target_monthwise!$D$4:$O$20,DTR!F$4,FALSE))*1000,0)</f>
        <v>0</v>
      </c>
      <c r="G1046" s="238">
        <f>IFERROR((HLOOKUP($AH1046,Target_monthwise!$D$4:$O$20,DTR!G$4,FALSE))*1000,0)</f>
        <v>0</v>
      </c>
      <c r="H1046" s="238">
        <f>IFERROR((HLOOKUP($AH1046,Target_monthwise!$D$4:$O$20,DTR!H$4,FALSE))*1000,0)</f>
        <v>0</v>
      </c>
      <c r="I1046" s="238">
        <f>IFERROR((HLOOKUP($AH1046,Target_monthwise!$D$4:$O$20,DTR!I$4,FALSE))*1000,0)</f>
        <v>0</v>
      </c>
      <c r="J1046" s="238">
        <f>IFERROR((HLOOKUP($AH1046,Target_monthwise!$D$4:$O$20,DTR!J$4,FALSE))*1000,0)</f>
        <v>0</v>
      </c>
      <c r="K1046" s="238">
        <f>IFERROR((HLOOKUP($AH1046,Target_monthwise!$D$4:$O$20,DTR!K$4,FALSE))*1000,0)</f>
        <v>0</v>
      </c>
      <c r="L1046" s="238">
        <f>IFERROR((HLOOKUP($AH1046,Target_monthwise!$D$4:$O$20,DTR!L$4,FALSE))*1000,0)</f>
        <v>0</v>
      </c>
      <c r="M1046" s="238">
        <f>IFERROR((HLOOKUP($AH1046,Target_monthwise!$D$4:$O$20,DTR!M$4,FALSE))*1000,0)</f>
        <v>0</v>
      </c>
      <c r="N1046" s="238">
        <f>IFERROR((HLOOKUP($AH1046,Target_monthwise!$D$4:$O$20,DTR!N$4,FALSE))*1000,0)</f>
        <v>0</v>
      </c>
      <c r="O1046" s="238">
        <f>IFERROR((HLOOKUP($AH1046,Target_monthwise!$D$4:$O$20,DTR!O$4,FALSE))*1000,0)</f>
        <v>0</v>
      </c>
      <c r="P1046" s="238">
        <f>IFERROR((HLOOKUP($AH1046,Target_monthwise!$D$4:$O$20,DTR!P$4,FALSE))*1000,0)</f>
        <v>0</v>
      </c>
      <c r="Q1046" s="141">
        <f>IFERROR((HLOOKUP($AH1046,Target_monthwise!$D$4:$O$20,DTR!Q$4,FALSE))*1000,0)</f>
        <v>0</v>
      </c>
      <c r="R1046" s="167">
        <f>IFERROR((HLOOKUP($AH1046,Target_monthwise!$D$4:$O$20,DTR!R$4,FALSE))*1000,0)</f>
        <v>0</v>
      </c>
      <c r="S1046" s="239">
        <f>IFERROR((HLOOKUP($AH1046,Target_monthwise!$D$24:$O$40,DTR!S$4,FALSE)),0)</f>
        <v>0</v>
      </c>
      <c r="T1046" s="239">
        <f>IFERROR((HLOOKUP($AH1046,Target_monthwise!$D$24:$O$40,DTR!T$4,FALSE)),0)</f>
        <v>0</v>
      </c>
      <c r="U1046" s="239">
        <f>IFERROR((HLOOKUP($AH1046,Target_monthwise!$D$24:$O$40,DTR!U$4,FALSE)),0)</f>
        <v>0</v>
      </c>
      <c r="V1046" s="239">
        <f>IFERROR((HLOOKUP($AH1046,Target_monthwise!$D$24:$O$40,DTR!V$4,FALSE)),0)</f>
        <v>0</v>
      </c>
      <c r="W1046" s="239">
        <f>IFERROR((HLOOKUP($AH1046,Target_monthwise!$D$24:$O$40,DTR!W$4,FALSE)),0)</f>
        <v>0</v>
      </c>
      <c r="X1046" s="239">
        <f>IFERROR((HLOOKUP($AH1046,Target_monthwise!$D$24:$O$40,DTR!X$4,FALSE)),0)</f>
        <v>0</v>
      </c>
      <c r="Y1046" s="239">
        <f>IFERROR((HLOOKUP($AH1046,Target_monthwise!$D$24:$O$40,DTR!Y$4,FALSE)),0)</f>
        <v>0</v>
      </c>
      <c r="Z1046" s="147">
        <f>IFERROR((HLOOKUP($AH1046,Target_monthwise!$D$24:$O$40,DTR!Z$4,FALSE)),0)</f>
        <v>0</v>
      </c>
      <c r="AA1046" s="147">
        <f>IFERROR((HLOOKUP($AH1046,Target_monthwise!$D$24:$O$40,DTR!AA$4,FALSE)),0)</f>
        <v>0</v>
      </c>
      <c r="AB1046" s="147">
        <f>IFERROR((HLOOKUP($AH1046,Target_monthwise!$D$24:$O$40,DTR!AB$4,FALSE)),0)</f>
        <v>0</v>
      </c>
      <c r="AC1046" s="239">
        <f>IFERROR((HLOOKUP($AH1046,Target_monthwise!$D$24:$O$40,DTR!AC$4,FALSE)),0)</f>
        <v>0</v>
      </c>
      <c r="AD1046" s="239">
        <f>IFERROR((HLOOKUP($AH1046,Target_monthwise!$D$24:$O$40,DTR!AD$4,FALSE)),0)</f>
        <v>0</v>
      </c>
      <c r="AE1046" s="239">
        <f>IFERROR((HLOOKUP($AH1046,Target_monthwise!$D$24:$O$40,DTR!AE$4,FALSE)),0)</f>
        <v>0</v>
      </c>
      <c r="AF1046" s="239">
        <f>IFERROR((HLOOKUP($AH1046,Target_monthwise!$D$24:$O$40,DTR!AF$4,FALSE)),0)</f>
        <v>0</v>
      </c>
      <c r="AG1046" s="172">
        <f>IFERROR((HLOOKUP($AH1046,Target_monthwise!$D$24:$O$40,DTR!AG$4,FALSE)),0)</f>
        <v>0</v>
      </c>
      <c r="AH1046" s="253">
        <f t="shared" si="18"/>
        <v>202502</v>
      </c>
    </row>
    <row r="1047" spans="3:34" ht="15.75" hidden="1">
      <c r="C1047" s="235">
        <v>45690</v>
      </c>
      <c r="D1047" s="141">
        <f>IFERROR((HLOOKUP($AH1047,Target_monthwise!$D$4:$O$20,DTR!D$4,FALSE))*1000,0)</f>
        <v>0</v>
      </c>
      <c r="E1047" s="141">
        <f>IFERROR((HLOOKUP($AH1047,Target_monthwise!$D$4:$O$20,DTR!E$4,FALSE))*1000,0)</f>
        <v>0</v>
      </c>
      <c r="F1047" s="141">
        <f>IFERROR((HLOOKUP($AH1047,Target_monthwise!$D$4:$O$20,DTR!F$4,FALSE))*1000,0)</f>
        <v>0</v>
      </c>
      <c r="G1047" s="141">
        <f>IFERROR((HLOOKUP($AH1047,Target_monthwise!$D$4:$O$20,DTR!G$4,FALSE))*1000,0)</f>
        <v>0</v>
      </c>
      <c r="H1047" s="141">
        <f>IFERROR((HLOOKUP($AH1047,Target_monthwise!$D$4:$O$20,DTR!H$4,FALSE))*1000,0)</f>
        <v>0</v>
      </c>
      <c r="I1047" s="141">
        <f>IFERROR((HLOOKUP($AH1047,Target_monthwise!$D$4:$O$20,DTR!I$4,FALSE))*1000,0)</f>
        <v>0</v>
      </c>
      <c r="J1047" s="141">
        <f>IFERROR((HLOOKUP($AH1047,Target_monthwise!$D$4:$O$20,DTR!J$4,FALSE))*1000,0)</f>
        <v>0</v>
      </c>
      <c r="K1047" s="141">
        <f>IFERROR((HLOOKUP($AH1047,Target_monthwise!$D$4:$O$20,DTR!K$4,FALSE))*1000,0)</f>
        <v>0</v>
      </c>
      <c r="L1047" s="141">
        <f>IFERROR((HLOOKUP($AH1047,Target_monthwise!$D$4:$O$20,DTR!L$4,FALSE))*1000,0)</f>
        <v>0</v>
      </c>
      <c r="M1047" s="141">
        <f>IFERROR((HLOOKUP($AH1047,Target_monthwise!$D$4:$O$20,DTR!M$4,FALSE))*1000,0)</f>
        <v>0</v>
      </c>
      <c r="N1047" s="141">
        <f>IFERROR((HLOOKUP($AH1047,Target_monthwise!$D$4:$O$20,DTR!N$4,FALSE))*1000,0)</f>
        <v>0</v>
      </c>
      <c r="O1047" s="141">
        <f>IFERROR((HLOOKUP($AH1047,Target_monthwise!$D$4:$O$20,DTR!O$4,FALSE))*1000,0)</f>
        <v>0</v>
      </c>
      <c r="P1047" s="141">
        <f>IFERROR((HLOOKUP($AH1047,Target_monthwise!$D$4:$O$20,DTR!P$4,FALSE))*1000,0)</f>
        <v>0</v>
      </c>
      <c r="Q1047" s="141">
        <f>IFERROR((HLOOKUP($AH1047,Target_monthwise!$D$4:$O$20,DTR!Q$4,FALSE))*1000,0)</f>
        <v>0</v>
      </c>
      <c r="R1047" s="167">
        <f>IFERROR((HLOOKUP($AH1047,Target_monthwise!$D$4:$O$20,DTR!R$4,FALSE))*1000,0)</f>
        <v>0</v>
      </c>
      <c r="S1047" s="147">
        <f>IFERROR((HLOOKUP($AH1047,Target_monthwise!$D$24:$O$40,DTR!S$4,FALSE)),0)</f>
        <v>0</v>
      </c>
      <c r="T1047" s="147">
        <f>IFERROR((HLOOKUP($AH1047,Target_monthwise!$D$24:$O$40,DTR!T$4,FALSE)),0)</f>
        <v>0</v>
      </c>
      <c r="U1047" s="147">
        <f>IFERROR((HLOOKUP($AH1047,Target_monthwise!$D$24:$O$40,DTR!U$4,FALSE)),0)</f>
        <v>0</v>
      </c>
      <c r="V1047" s="147">
        <f>IFERROR((HLOOKUP($AH1047,Target_monthwise!$D$24:$O$40,DTR!V$4,FALSE)),0)</f>
        <v>0</v>
      </c>
      <c r="W1047" s="147">
        <f>IFERROR((HLOOKUP($AH1047,Target_monthwise!$D$24:$O$40,DTR!W$4,FALSE)),0)</f>
        <v>0</v>
      </c>
      <c r="X1047" s="147">
        <f>IFERROR((HLOOKUP($AH1047,Target_monthwise!$D$24:$O$40,DTR!X$4,FALSE)),0)</f>
        <v>0</v>
      </c>
      <c r="Y1047" s="147">
        <f>IFERROR((HLOOKUP($AH1047,Target_monthwise!$D$24:$O$40,DTR!Y$4,FALSE)),0)</f>
        <v>0</v>
      </c>
      <c r="Z1047" s="147">
        <f>IFERROR((HLOOKUP($AH1047,Target_monthwise!$D$24:$O$40,DTR!Z$4,FALSE)),0)</f>
        <v>0</v>
      </c>
      <c r="AA1047" s="147">
        <f>IFERROR((HLOOKUP($AH1047,Target_monthwise!$D$24:$O$40,DTR!AA$4,FALSE)),0)</f>
        <v>0</v>
      </c>
      <c r="AB1047" s="147">
        <f>IFERROR((HLOOKUP($AH1047,Target_monthwise!$D$24:$O$40,DTR!AB$4,FALSE)),0)</f>
        <v>0</v>
      </c>
      <c r="AC1047" s="147">
        <f>IFERROR((HLOOKUP($AH1047,Target_monthwise!$D$24:$O$40,DTR!AC$4,FALSE)),0)</f>
        <v>0</v>
      </c>
      <c r="AD1047" s="147">
        <f>IFERROR((HLOOKUP($AH1047,Target_monthwise!$D$24:$O$40,DTR!AD$4,FALSE)),0)</f>
        <v>0</v>
      </c>
      <c r="AE1047" s="147">
        <f>IFERROR((HLOOKUP($AH1047,Target_monthwise!$D$24:$O$40,DTR!AE$4,FALSE)),0)</f>
        <v>0</v>
      </c>
      <c r="AF1047" s="147">
        <f>IFERROR((HLOOKUP($AH1047,Target_monthwise!$D$24:$O$40,DTR!AF$4,FALSE)),0)</f>
        <v>0</v>
      </c>
      <c r="AG1047" s="172">
        <f>IFERROR((HLOOKUP($AH1047,Target_monthwise!$D$24:$O$40,DTR!AG$4,FALSE)),0)</f>
        <v>0</v>
      </c>
      <c r="AH1047" s="253">
        <f t="shared" si="18"/>
        <v>202502</v>
      </c>
    </row>
    <row r="1048" spans="3:34" ht="15.75" hidden="1">
      <c r="C1048" s="237">
        <v>45691</v>
      </c>
      <c r="D1048" s="238">
        <f>IFERROR((HLOOKUP($AH1048,Target_monthwise!$D$4:$O$20,DTR!D$4,FALSE))*1000,0)</f>
        <v>0</v>
      </c>
      <c r="E1048" s="238">
        <f>IFERROR((HLOOKUP($AH1048,Target_monthwise!$D$4:$O$20,DTR!E$4,FALSE))*1000,0)</f>
        <v>0</v>
      </c>
      <c r="F1048" s="238">
        <f>IFERROR((HLOOKUP($AH1048,Target_monthwise!$D$4:$O$20,DTR!F$4,FALSE))*1000,0)</f>
        <v>0</v>
      </c>
      <c r="G1048" s="238">
        <f>IFERROR((HLOOKUP($AH1048,Target_monthwise!$D$4:$O$20,DTR!G$4,FALSE))*1000,0)</f>
        <v>0</v>
      </c>
      <c r="H1048" s="238">
        <f>IFERROR((HLOOKUP($AH1048,Target_monthwise!$D$4:$O$20,DTR!H$4,FALSE))*1000,0)</f>
        <v>0</v>
      </c>
      <c r="I1048" s="238">
        <f>IFERROR((HLOOKUP($AH1048,Target_monthwise!$D$4:$O$20,DTR!I$4,FALSE))*1000,0)</f>
        <v>0</v>
      </c>
      <c r="J1048" s="238">
        <f>IFERROR((HLOOKUP($AH1048,Target_monthwise!$D$4:$O$20,DTR!J$4,FALSE))*1000,0)</f>
        <v>0</v>
      </c>
      <c r="K1048" s="238">
        <f>IFERROR((HLOOKUP($AH1048,Target_monthwise!$D$4:$O$20,DTR!K$4,FALSE))*1000,0)</f>
        <v>0</v>
      </c>
      <c r="L1048" s="238">
        <f>IFERROR((HLOOKUP($AH1048,Target_monthwise!$D$4:$O$20,DTR!L$4,FALSE))*1000,0)</f>
        <v>0</v>
      </c>
      <c r="M1048" s="238">
        <f>IFERROR((HLOOKUP($AH1048,Target_monthwise!$D$4:$O$20,DTR!M$4,FALSE))*1000,0)</f>
        <v>0</v>
      </c>
      <c r="N1048" s="238">
        <f>IFERROR((HLOOKUP($AH1048,Target_monthwise!$D$4:$O$20,DTR!N$4,FALSE))*1000,0)</f>
        <v>0</v>
      </c>
      <c r="O1048" s="238">
        <f>IFERROR((HLOOKUP($AH1048,Target_monthwise!$D$4:$O$20,DTR!O$4,FALSE))*1000,0)</f>
        <v>0</v>
      </c>
      <c r="P1048" s="238">
        <f>IFERROR((HLOOKUP($AH1048,Target_monthwise!$D$4:$O$20,DTR!P$4,FALSE))*1000,0)</f>
        <v>0</v>
      </c>
      <c r="Q1048" s="141">
        <f>IFERROR((HLOOKUP($AH1048,Target_monthwise!$D$4:$O$20,DTR!Q$4,FALSE))*1000,0)</f>
        <v>0</v>
      </c>
      <c r="R1048" s="167">
        <f>IFERROR((HLOOKUP($AH1048,Target_monthwise!$D$4:$O$20,DTR!R$4,FALSE))*1000,0)</f>
        <v>0</v>
      </c>
      <c r="S1048" s="239">
        <f>IFERROR((HLOOKUP($AH1048,Target_monthwise!$D$24:$O$40,DTR!S$4,FALSE)),0)</f>
        <v>0</v>
      </c>
      <c r="T1048" s="239">
        <f>IFERROR((HLOOKUP($AH1048,Target_monthwise!$D$24:$O$40,DTR!T$4,FALSE)),0)</f>
        <v>0</v>
      </c>
      <c r="U1048" s="239">
        <f>IFERROR((HLOOKUP($AH1048,Target_monthwise!$D$24:$O$40,DTR!U$4,FALSE)),0)</f>
        <v>0</v>
      </c>
      <c r="V1048" s="239">
        <f>IFERROR((HLOOKUP($AH1048,Target_monthwise!$D$24:$O$40,DTR!V$4,FALSE)),0)</f>
        <v>0</v>
      </c>
      <c r="W1048" s="239">
        <f>IFERROR((HLOOKUP($AH1048,Target_monthwise!$D$24:$O$40,DTR!W$4,FALSE)),0)</f>
        <v>0</v>
      </c>
      <c r="X1048" s="239">
        <f>IFERROR((HLOOKUP($AH1048,Target_monthwise!$D$24:$O$40,DTR!X$4,FALSE)),0)</f>
        <v>0</v>
      </c>
      <c r="Y1048" s="239">
        <f>IFERROR((HLOOKUP($AH1048,Target_monthwise!$D$24:$O$40,DTR!Y$4,FALSE)),0)</f>
        <v>0</v>
      </c>
      <c r="Z1048" s="147">
        <f>IFERROR((HLOOKUP($AH1048,Target_monthwise!$D$24:$O$40,DTR!Z$4,FALSE)),0)</f>
        <v>0</v>
      </c>
      <c r="AA1048" s="147">
        <f>IFERROR((HLOOKUP($AH1048,Target_monthwise!$D$24:$O$40,DTR!AA$4,FALSE)),0)</f>
        <v>0</v>
      </c>
      <c r="AB1048" s="147">
        <f>IFERROR((HLOOKUP($AH1048,Target_monthwise!$D$24:$O$40,DTR!AB$4,FALSE)),0)</f>
        <v>0</v>
      </c>
      <c r="AC1048" s="239">
        <f>IFERROR((HLOOKUP($AH1048,Target_monthwise!$D$24:$O$40,DTR!AC$4,FALSE)),0)</f>
        <v>0</v>
      </c>
      <c r="AD1048" s="239">
        <f>IFERROR((HLOOKUP($AH1048,Target_monthwise!$D$24:$O$40,DTR!AD$4,FALSE)),0)</f>
        <v>0</v>
      </c>
      <c r="AE1048" s="239">
        <f>IFERROR((HLOOKUP($AH1048,Target_monthwise!$D$24:$O$40,DTR!AE$4,FALSE)),0)</f>
        <v>0</v>
      </c>
      <c r="AF1048" s="239">
        <f>IFERROR((HLOOKUP($AH1048,Target_monthwise!$D$24:$O$40,DTR!AF$4,FALSE)),0)</f>
        <v>0</v>
      </c>
      <c r="AG1048" s="172">
        <f>IFERROR((HLOOKUP($AH1048,Target_monthwise!$D$24:$O$40,DTR!AG$4,FALSE)),0)</f>
        <v>0</v>
      </c>
      <c r="AH1048" s="253">
        <f t="shared" si="18"/>
        <v>202502</v>
      </c>
    </row>
    <row r="1049" spans="3:34" ht="15.75" hidden="1">
      <c r="C1049" s="235">
        <v>45692</v>
      </c>
      <c r="D1049" s="141">
        <f>IFERROR((HLOOKUP($AH1049,Target_monthwise!$D$4:$O$20,DTR!D$4,FALSE))*1000,0)</f>
        <v>0</v>
      </c>
      <c r="E1049" s="141">
        <f>IFERROR((HLOOKUP($AH1049,Target_monthwise!$D$4:$O$20,DTR!E$4,FALSE))*1000,0)</f>
        <v>0</v>
      </c>
      <c r="F1049" s="141">
        <f>IFERROR((HLOOKUP($AH1049,Target_monthwise!$D$4:$O$20,DTR!F$4,FALSE))*1000,0)</f>
        <v>0</v>
      </c>
      <c r="G1049" s="141">
        <f>IFERROR((HLOOKUP($AH1049,Target_monthwise!$D$4:$O$20,DTR!G$4,FALSE))*1000,0)</f>
        <v>0</v>
      </c>
      <c r="H1049" s="141">
        <f>IFERROR((HLOOKUP($AH1049,Target_monthwise!$D$4:$O$20,DTR!H$4,FALSE))*1000,0)</f>
        <v>0</v>
      </c>
      <c r="I1049" s="141">
        <f>IFERROR((HLOOKUP($AH1049,Target_monthwise!$D$4:$O$20,DTR!I$4,FALSE))*1000,0)</f>
        <v>0</v>
      </c>
      <c r="J1049" s="141">
        <f>IFERROR((HLOOKUP($AH1049,Target_monthwise!$D$4:$O$20,DTR!J$4,FALSE))*1000,0)</f>
        <v>0</v>
      </c>
      <c r="K1049" s="141">
        <f>IFERROR((HLOOKUP($AH1049,Target_monthwise!$D$4:$O$20,DTR!K$4,FALSE))*1000,0)</f>
        <v>0</v>
      </c>
      <c r="L1049" s="141">
        <f>IFERROR((HLOOKUP($AH1049,Target_monthwise!$D$4:$O$20,DTR!L$4,FALSE))*1000,0)</f>
        <v>0</v>
      </c>
      <c r="M1049" s="141">
        <f>IFERROR((HLOOKUP($AH1049,Target_monthwise!$D$4:$O$20,DTR!M$4,FALSE))*1000,0)</f>
        <v>0</v>
      </c>
      <c r="N1049" s="141">
        <f>IFERROR((HLOOKUP($AH1049,Target_monthwise!$D$4:$O$20,DTR!N$4,FALSE))*1000,0)</f>
        <v>0</v>
      </c>
      <c r="O1049" s="141">
        <f>IFERROR((HLOOKUP($AH1049,Target_monthwise!$D$4:$O$20,DTR!O$4,FALSE))*1000,0)</f>
        <v>0</v>
      </c>
      <c r="P1049" s="141">
        <f>IFERROR((HLOOKUP($AH1049,Target_monthwise!$D$4:$O$20,DTR!P$4,FALSE))*1000,0)</f>
        <v>0</v>
      </c>
      <c r="Q1049" s="141">
        <f>IFERROR((HLOOKUP($AH1049,Target_monthwise!$D$4:$O$20,DTR!Q$4,FALSE))*1000,0)</f>
        <v>0</v>
      </c>
      <c r="R1049" s="167">
        <f>IFERROR((HLOOKUP($AH1049,Target_monthwise!$D$4:$O$20,DTR!R$4,FALSE))*1000,0)</f>
        <v>0</v>
      </c>
      <c r="S1049" s="147">
        <f>IFERROR((HLOOKUP($AH1049,Target_monthwise!$D$24:$O$40,DTR!S$4,FALSE)),0)</f>
        <v>0</v>
      </c>
      <c r="T1049" s="147">
        <f>IFERROR((HLOOKUP($AH1049,Target_monthwise!$D$24:$O$40,DTR!T$4,FALSE)),0)</f>
        <v>0</v>
      </c>
      <c r="U1049" s="147">
        <f>IFERROR((HLOOKUP($AH1049,Target_monthwise!$D$24:$O$40,DTR!U$4,FALSE)),0)</f>
        <v>0</v>
      </c>
      <c r="V1049" s="147">
        <f>IFERROR((HLOOKUP($AH1049,Target_monthwise!$D$24:$O$40,DTR!V$4,FALSE)),0)</f>
        <v>0</v>
      </c>
      <c r="W1049" s="147">
        <f>IFERROR((HLOOKUP($AH1049,Target_monthwise!$D$24:$O$40,DTR!W$4,FALSE)),0)</f>
        <v>0</v>
      </c>
      <c r="X1049" s="147">
        <f>IFERROR((HLOOKUP($AH1049,Target_monthwise!$D$24:$O$40,DTR!X$4,FALSE)),0)</f>
        <v>0</v>
      </c>
      <c r="Y1049" s="147">
        <f>IFERROR((HLOOKUP($AH1049,Target_monthwise!$D$24:$O$40,DTR!Y$4,FALSE)),0)</f>
        <v>0</v>
      </c>
      <c r="Z1049" s="147">
        <f>IFERROR((HLOOKUP($AH1049,Target_monthwise!$D$24:$O$40,DTR!Z$4,FALSE)),0)</f>
        <v>0</v>
      </c>
      <c r="AA1049" s="147">
        <f>IFERROR((HLOOKUP($AH1049,Target_monthwise!$D$24:$O$40,DTR!AA$4,FALSE)),0)</f>
        <v>0</v>
      </c>
      <c r="AB1049" s="147">
        <f>IFERROR((HLOOKUP($AH1049,Target_monthwise!$D$24:$O$40,DTR!AB$4,FALSE)),0)</f>
        <v>0</v>
      </c>
      <c r="AC1049" s="147">
        <f>IFERROR((HLOOKUP($AH1049,Target_monthwise!$D$24:$O$40,DTR!AC$4,FALSE)),0)</f>
        <v>0</v>
      </c>
      <c r="AD1049" s="147">
        <f>IFERROR((HLOOKUP($AH1049,Target_monthwise!$D$24:$O$40,DTR!AD$4,FALSE)),0)</f>
        <v>0</v>
      </c>
      <c r="AE1049" s="147">
        <f>IFERROR((HLOOKUP($AH1049,Target_monthwise!$D$24:$O$40,DTR!AE$4,FALSE)),0)</f>
        <v>0</v>
      </c>
      <c r="AF1049" s="147">
        <f>IFERROR((HLOOKUP($AH1049,Target_monthwise!$D$24:$O$40,DTR!AF$4,FALSE)),0)</f>
        <v>0</v>
      </c>
      <c r="AG1049" s="172">
        <f>IFERROR((HLOOKUP($AH1049,Target_monthwise!$D$24:$O$40,DTR!AG$4,FALSE)),0)</f>
        <v>0</v>
      </c>
      <c r="AH1049" s="253">
        <f t="shared" si="18"/>
        <v>202502</v>
      </c>
    </row>
    <row r="1050" spans="3:34" ht="15.75" hidden="1">
      <c r="C1050" s="237">
        <v>45693</v>
      </c>
      <c r="D1050" s="238">
        <f>IFERROR((HLOOKUP($AH1050,Target_monthwise!$D$4:$O$20,DTR!D$4,FALSE))*1000,0)</f>
        <v>0</v>
      </c>
      <c r="E1050" s="238">
        <f>IFERROR((HLOOKUP($AH1050,Target_monthwise!$D$4:$O$20,DTR!E$4,FALSE))*1000,0)</f>
        <v>0</v>
      </c>
      <c r="F1050" s="238">
        <f>IFERROR((HLOOKUP($AH1050,Target_monthwise!$D$4:$O$20,DTR!F$4,FALSE))*1000,0)</f>
        <v>0</v>
      </c>
      <c r="G1050" s="238">
        <f>IFERROR((HLOOKUP($AH1050,Target_monthwise!$D$4:$O$20,DTR!G$4,FALSE))*1000,0)</f>
        <v>0</v>
      </c>
      <c r="H1050" s="238">
        <f>IFERROR((HLOOKUP($AH1050,Target_monthwise!$D$4:$O$20,DTR!H$4,FALSE))*1000,0)</f>
        <v>0</v>
      </c>
      <c r="I1050" s="238">
        <f>IFERROR((HLOOKUP($AH1050,Target_monthwise!$D$4:$O$20,DTR!I$4,FALSE))*1000,0)</f>
        <v>0</v>
      </c>
      <c r="J1050" s="238">
        <f>IFERROR((HLOOKUP($AH1050,Target_monthwise!$D$4:$O$20,DTR!J$4,FALSE))*1000,0)</f>
        <v>0</v>
      </c>
      <c r="K1050" s="238">
        <f>IFERROR((HLOOKUP($AH1050,Target_monthwise!$D$4:$O$20,DTR!K$4,FALSE))*1000,0)</f>
        <v>0</v>
      </c>
      <c r="L1050" s="238">
        <f>IFERROR((HLOOKUP($AH1050,Target_monthwise!$D$4:$O$20,DTR!L$4,FALSE))*1000,0)</f>
        <v>0</v>
      </c>
      <c r="M1050" s="238">
        <f>IFERROR((HLOOKUP($AH1050,Target_monthwise!$D$4:$O$20,DTR!M$4,FALSE))*1000,0)</f>
        <v>0</v>
      </c>
      <c r="N1050" s="238">
        <f>IFERROR((HLOOKUP($AH1050,Target_monthwise!$D$4:$O$20,DTR!N$4,FALSE))*1000,0)</f>
        <v>0</v>
      </c>
      <c r="O1050" s="238">
        <f>IFERROR((HLOOKUP($AH1050,Target_monthwise!$D$4:$O$20,DTR!O$4,FALSE))*1000,0)</f>
        <v>0</v>
      </c>
      <c r="P1050" s="238">
        <f>IFERROR((HLOOKUP($AH1050,Target_monthwise!$D$4:$O$20,DTR!P$4,FALSE))*1000,0)</f>
        <v>0</v>
      </c>
      <c r="Q1050" s="141">
        <f>IFERROR((HLOOKUP($AH1050,Target_monthwise!$D$4:$O$20,DTR!Q$4,FALSE))*1000,0)</f>
        <v>0</v>
      </c>
      <c r="R1050" s="167">
        <f>IFERROR((HLOOKUP($AH1050,Target_monthwise!$D$4:$O$20,DTR!R$4,FALSE))*1000,0)</f>
        <v>0</v>
      </c>
      <c r="S1050" s="239">
        <f>IFERROR((HLOOKUP($AH1050,Target_monthwise!$D$24:$O$40,DTR!S$4,FALSE)),0)</f>
        <v>0</v>
      </c>
      <c r="T1050" s="239">
        <f>IFERROR((HLOOKUP($AH1050,Target_monthwise!$D$24:$O$40,DTR!T$4,FALSE)),0)</f>
        <v>0</v>
      </c>
      <c r="U1050" s="239">
        <f>IFERROR((HLOOKUP($AH1050,Target_monthwise!$D$24:$O$40,DTR!U$4,FALSE)),0)</f>
        <v>0</v>
      </c>
      <c r="V1050" s="239">
        <f>IFERROR((HLOOKUP($AH1050,Target_monthwise!$D$24:$O$40,DTR!V$4,FALSE)),0)</f>
        <v>0</v>
      </c>
      <c r="W1050" s="239">
        <f>IFERROR((HLOOKUP($AH1050,Target_monthwise!$D$24:$O$40,DTR!W$4,FALSE)),0)</f>
        <v>0</v>
      </c>
      <c r="X1050" s="239">
        <f>IFERROR((HLOOKUP($AH1050,Target_monthwise!$D$24:$O$40,DTR!X$4,FALSE)),0)</f>
        <v>0</v>
      </c>
      <c r="Y1050" s="239">
        <f>IFERROR((HLOOKUP($AH1050,Target_monthwise!$D$24:$O$40,DTR!Y$4,FALSE)),0)</f>
        <v>0</v>
      </c>
      <c r="Z1050" s="147">
        <f>IFERROR((HLOOKUP($AH1050,Target_monthwise!$D$24:$O$40,DTR!Z$4,FALSE)),0)</f>
        <v>0</v>
      </c>
      <c r="AA1050" s="147">
        <f>IFERROR((HLOOKUP($AH1050,Target_monthwise!$D$24:$O$40,DTR!AA$4,FALSE)),0)</f>
        <v>0</v>
      </c>
      <c r="AB1050" s="147">
        <f>IFERROR((HLOOKUP($AH1050,Target_monthwise!$D$24:$O$40,DTR!AB$4,FALSE)),0)</f>
        <v>0</v>
      </c>
      <c r="AC1050" s="239">
        <f>IFERROR((HLOOKUP($AH1050,Target_monthwise!$D$24:$O$40,DTR!AC$4,FALSE)),0)</f>
        <v>0</v>
      </c>
      <c r="AD1050" s="239">
        <f>IFERROR((HLOOKUP($AH1050,Target_monthwise!$D$24:$O$40,DTR!AD$4,FALSE)),0)</f>
        <v>0</v>
      </c>
      <c r="AE1050" s="239">
        <f>IFERROR((HLOOKUP($AH1050,Target_monthwise!$D$24:$O$40,DTR!AE$4,FALSE)),0)</f>
        <v>0</v>
      </c>
      <c r="AF1050" s="239">
        <f>IFERROR((HLOOKUP($AH1050,Target_monthwise!$D$24:$O$40,DTR!AF$4,FALSE)),0)</f>
        <v>0</v>
      </c>
      <c r="AG1050" s="172">
        <f>IFERROR((HLOOKUP($AH1050,Target_monthwise!$D$24:$O$40,DTR!AG$4,FALSE)),0)</f>
        <v>0</v>
      </c>
      <c r="AH1050" s="253">
        <f t="shared" si="18"/>
        <v>202502</v>
      </c>
    </row>
    <row r="1051" spans="3:34" ht="15.75" hidden="1">
      <c r="C1051" s="235">
        <v>45694</v>
      </c>
      <c r="D1051" s="141">
        <f>IFERROR((HLOOKUP($AH1051,Target_monthwise!$D$4:$O$20,DTR!D$4,FALSE))*1000,0)</f>
        <v>0</v>
      </c>
      <c r="E1051" s="141">
        <f>IFERROR((HLOOKUP($AH1051,Target_monthwise!$D$4:$O$20,DTR!E$4,FALSE))*1000,0)</f>
        <v>0</v>
      </c>
      <c r="F1051" s="141">
        <f>IFERROR((HLOOKUP($AH1051,Target_monthwise!$D$4:$O$20,DTR!F$4,FALSE))*1000,0)</f>
        <v>0</v>
      </c>
      <c r="G1051" s="141">
        <f>IFERROR((HLOOKUP($AH1051,Target_monthwise!$D$4:$O$20,DTR!G$4,FALSE))*1000,0)</f>
        <v>0</v>
      </c>
      <c r="H1051" s="141">
        <f>IFERROR((HLOOKUP($AH1051,Target_monthwise!$D$4:$O$20,DTR!H$4,FALSE))*1000,0)</f>
        <v>0</v>
      </c>
      <c r="I1051" s="141">
        <f>IFERROR((HLOOKUP($AH1051,Target_monthwise!$D$4:$O$20,DTR!I$4,FALSE))*1000,0)</f>
        <v>0</v>
      </c>
      <c r="J1051" s="141">
        <f>IFERROR((HLOOKUP($AH1051,Target_monthwise!$D$4:$O$20,DTR!J$4,FALSE))*1000,0)</f>
        <v>0</v>
      </c>
      <c r="K1051" s="141">
        <f>IFERROR((HLOOKUP($AH1051,Target_monthwise!$D$4:$O$20,DTR!K$4,FALSE))*1000,0)</f>
        <v>0</v>
      </c>
      <c r="L1051" s="141">
        <f>IFERROR((HLOOKUP($AH1051,Target_monthwise!$D$4:$O$20,DTR!L$4,FALSE))*1000,0)</f>
        <v>0</v>
      </c>
      <c r="M1051" s="141">
        <f>IFERROR((HLOOKUP($AH1051,Target_monthwise!$D$4:$O$20,DTR!M$4,FALSE))*1000,0)</f>
        <v>0</v>
      </c>
      <c r="N1051" s="141">
        <f>IFERROR((HLOOKUP($AH1051,Target_monthwise!$D$4:$O$20,DTR!N$4,FALSE))*1000,0)</f>
        <v>0</v>
      </c>
      <c r="O1051" s="141">
        <f>IFERROR((HLOOKUP($AH1051,Target_monthwise!$D$4:$O$20,DTR!O$4,FALSE))*1000,0)</f>
        <v>0</v>
      </c>
      <c r="P1051" s="141">
        <f>IFERROR((HLOOKUP($AH1051,Target_monthwise!$D$4:$O$20,DTR!P$4,FALSE))*1000,0)</f>
        <v>0</v>
      </c>
      <c r="Q1051" s="141">
        <f>IFERROR((HLOOKUP($AH1051,Target_monthwise!$D$4:$O$20,DTR!Q$4,FALSE))*1000,0)</f>
        <v>0</v>
      </c>
      <c r="R1051" s="167">
        <f>IFERROR((HLOOKUP($AH1051,Target_monthwise!$D$4:$O$20,DTR!R$4,FALSE))*1000,0)</f>
        <v>0</v>
      </c>
      <c r="S1051" s="147">
        <f>IFERROR((HLOOKUP($AH1051,Target_monthwise!$D$24:$O$40,DTR!S$4,FALSE)),0)</f>
        <v>0</v>
      </c>
      <c r="T1051" s="147">
        <f>IFERROR((HLOOKUP($AH1051,Target_monthwise!$D$24:$O$40,DTR!T$4,FALSE)),0)</f>
        <v>0</v>
      </c>
      <c r="U1051" s="147">
        <f>IFERROR((HLOOKUP($AH1051,Target_monthwise!$D$24:$O$40,DTR!U$4,FALSE)),0)</f>
        <v>0</v>
      </c>
      <c r="V1051" s="147">
        <f>IFERROR((HLOOKUP($AH1051,Target_monthwise!$D$24:$O$40,DTR!V$4,FALSE)),0)</f>
        <v>0</v>
      </c>
      <c r="W1051" s="147">
        <f>IFERROR((HLOOKUP($AH1051,Target_monthwise!$D$24:$O$40,DTR!W$4,FALSE)),0)</f>
        <v>0</v>
      </c>
      <c r="X1051" s="147">
        <f>IFERROR((HLOOKUP($AH1051,Target_monthwise!$D$24:$O$40,DTR!X$4,FALSE)),0)</f>
        <v>0</v>
      </c>
      <c r="Y1051" s="147">
        <f>IFERROR((HLOOKUP($AH1051,Target_monthwise!$D$24:$O$40,DTR!Y$4,FALSE)),0)</f>
        <v>0</v>
      </c>
      <c r="Z1051" s="147">
        <f>IFERROR((HLOOKUP($AH1051,Target_monthwise!$D$24:$O$40,DTR!Z$4,FALSE)),0)</f>
        <v>0</v>
      </c>
      <c r="AA1051" s="147">
        <f>IFERROR((HLOOKUP($AH1051,Target_monthwise!$D$24:$O$40,DTR!AA$4,FALSE)),0)</f>
        <v>0</v>
      </c>
      <c r="AB1051" s="147">
        <f>IFERROR((HLOOKUP($AH1051,Target_monthwise!$D$24:$O$40,DTR!AB$4,FALSE)),0)</f>
        <v>0</v>
      </c>
      <c r="AC1051" s="147">
        <f>IFERROR((HLOOKUP($AH1051,Target_monthwise!$D$24:$O$40,DTR!AC$4,FALSE)),0)</f>
        <v>0</v>
      </c>
      <c r="AD1051" s="147">
        <f>IFERROR((HLOOKUP($AH1051,Target_monthwise!$D$24:$O$40,DTR!AD$4,FALSE)),0)</f>
        <v>0</v>
      </c>
      <c r="AE1051" s="147">
        <f>IFERROR((HLOOKUP($AH1051,Target_monthwise!$D$24:$O$40,DTR!AE$4,FALSE)),0)</f>
        <v>0</v>
      </c>
      <c r="AF1051" s="147">
        <f>IFERROR((HLOOKUP($AH1051,Target_monthwise!$D$24:$O$40,DTR!AF$4,FALSE)),0)</f>
        <v>0</v>
      </c>
      <c r="AG1051" s="172">
        <f>IFERROR((HLOOKUP($AH1051,Target_monthwise!$D$24:$O$40,DTR!AG$4,FALSE)),0)</f>
        <v>0</v>
      </c>
      <c r="AH1051" s="253">
        <f t="shared" si="18"/>
        <v>202502</v>
      </c>
    </row>
    <row r="1052" spans="3:34" ht="15.75" hidden="1">
      <c r="C1052" s="237">
        <v>45695</v>
      </c>
      <c r="D1052" s="238">
        <f>IFERROR((HLOOKUP($AH1052,Target_monthwise!$D$4:$O$20,DTR!D$4,FALSE))*1000,0)</f>
        <v>0</v>
      </c>
      <c r="E1052" s="238">
        <f>IFERROR((HLOOKUP($AH1052,Target_monthwise!$D$4:$O$20,DTR!E$4,FALSE))*1000,0)</f>
        <v>0</v>
      </c>
      <c r="F1052" s="238">
        <f>IFERROR((HLOOKUP($AH1052,Target_monthwise!$D$4:$O$20,DTR!F$4,FALSE))*1000,0)</f>
        <v>0</v>
      </c>
      <c r="G1052" s="238">
        <f>IFERROR((HLOOKUP($AH1052,Target_monthwise!$D$4:$O$20,DTR!G$4,FALSE))*1000,0)</f>
        <v>0</v>
      </c>
      <c r="H1052" s="238">
        <f>IFERROR((HLOOKUP($AH1052,Target_monthwise!$D$4:$O$20,DTR!H$4,FALSE))*1000,0)</f>
        <v>0</v>
      </c>
      <c r="I1052" s="238">
        <f>IFERROR((HLOOKUP($AH1052,Target_monthwise!$D$4:$O$20,DTR!I$4,FALSE))*1000,0)</f>
        <v>0</v>
      </c>
      <c r="J1052" s="238">
        <f>IFERROR((HLOOKUP($AH1052,Target_monthwise!$D$4:$O$20,DTR!J$4,FALSE))*1000,0)</f>
        <v>0</v>
      </c>
      <c r="K1052" s="238">
        <f>IFERROR((HLOOKUP($AH1052,Target_monthwise!$D$4:$O$20,DTR!K$4,FALSE))*1000,0)</f>
        <v>0</v>
      </c>
      <c r="L1052" s="238">
        <f>IFERROR((HLOOKUP($AH1052,Target_monthwise!$D$4:$O$20,DTR!L$4,FALSE))*1000,0)</f>
        <v>0</v>
      </c>
      <c r="M1052" s="238">
        <f>IFERROR((HLOOKUP($AH1052,Target_monthwise!$D$4:$O$20,DTR!M$4,FALSE))*1000,0)</f>
        <v>0</v>
      </c>
      <c r="N1052" s="238">
        <f>IFERROR((HLOOKUP($AH1052,Target_monthwise!$D$4:$O$20,DTR!N$4,FALSE))*1000,0)</f>
        <v>0</v>
      </c>
      <c r="O1052" s="238">
        <f>IFERROR((HLOOKUP($AH1052,Target_monthwise!$D$4:$O$20,DTR!O$4,FALSE))*1000,0)</f>
        <v>0</v>
      </c>
      <c r="P1052" s="238">
        <f>IFERROR((HLOOKUP($AH1052,Target_monthwise!$D$4:$O$20,DTR!P$4,FALSE))*1000,0)</f>
        <v>0</v>
      </c>
      <c r="Q1052" s="141">
        <f>IFERROR((HLOOKUP($AH1052,Target_monthwise!$D$4:$O$20,DTR!Q$4,FALSE))*1000,0)</f>
        <v>0</v>
      </c>
      <c r="R1052" s="167">
        <f>IFERROR((HLOOKUP($AH1052,Target_monthwise!$D$4:$O$20,DTR!R$4,FALSE))*1000,0)</f>
        <v>0</v>
      </c>
      <c r="S1052" s="239">
        <f>IFERROR((HLOOKUP($AH1052,Target_monthwise!$D$24:$O$40,DTR!S$4,FALSE)),0)</f>
        <v>0</v>
      </c>
      <c r="T1052" s="239">
        <f>IFERROR((HLOOKUP($AH1052,Target_monthwise!$D$24:$O$40,DTR!T$4,FALSE)),0)</f>
        <v>0</v>
      </c>
      <c r="U1052" s="239">
        <f>IFERROR((HLOOKUP($AH1052,Target_monthwise!$D$24:$O$40,DTR!U$4,FALSE)),0)</f>
        <v>0</v>
      </c>
      <c r="V1052" s="239">
        <f>IFERROR((HLOOKUP($AH1052,Target_monthwise!$D$24:$O$40,DTR!V$4,FALSE)),0)</f>
        <v>0</v>
      </c>
      <c r="W1052" s="239">
        <f>IFERROR((HLOOKUP($AH1052,Target_monthwise!$D$24:$O$40,DTR!W$4,FALSE)),0)</f>
        <v>0</v>
      </c>
      <c r="X1052" s="239">
        <f>IFERROR((HLOOKUP($AH1052,Target_monthwise!$D$24:$O$40,DTR!X$4,FALSE)),0)</f>
        <v>0</v>
      </c>
      <c r="Y1052" s="239">
        <f>IFERROR((HLOOKUP($AH1052,Target_monthwise!$D$24:$O$40,DTR!Y$4,FALSE)),0)</f>
        <v>0</v>
      </c>
      <c r="Z1052" s="147">
        <f>IFERROR((HLOOKUP($AH1052,Target_monthwise!$D$24:$O$40,DTR!Z$4,FALSE)),0)</f>
        <v>0</v>
      </c>
      <c r="AA1052" s="147">
        <f>IFERROR((HLOOKUP($AH1052,Target_monthwise!$D$24:$O$40,DTR!AA$4,FALSE)),0)</f>
        <v>0</v>
      </c>
      <c r="AB1052" s="147">
        <f>IFERROR((HLOOKUP($AH1052,Target_monthwise!$D$24:$O$40,DTR!AB$4,FALSE)),0)</f>
        <v>0</v>
      </c>
      <c r="AC1052" s="239">
        <f>IFERROR((HLOOKUP($AH1052,Target_monthwise!$D$24:$O$40,DTR!AC$4,FALSE)),0)</f>
        <v>0</v>
      </c>
      <c r="AD1052" s="239">
        <f>IFERROR((HLOOKUP($AH1052,Target_monthwise!$D$24:$O$40,DTR!AD$4,FALSE)),0)</f>
        <v>0</v>
      </c>
      <c r="AE1052" s="239">
        <f>IFERROR((HLOOKUP($AH1052,Target_monthwise!$D$24:$O$40,DTR!AE$4,FALSE)),0)</f>
        <v>0</v>
      </c>
      <c r="AF1052" s="239">
        <f>IFERROR((HLOOKUP($AH1052,Target_monthwise!$D$24:$O$40,DTR!AF$4,FALSE)),0)</f>
        <v>0</v>
      </c>
      <c r="AG1052" s="172">
        <f>IFERROR((HLOOKUP($AH1052,Target_monthwise!$D$24:$O$40,DTR!AG$4,FALSE)),0)</f>
        <v>0</v>
      </c>
      <c r="AH1052" s="253">
        <f t="shared" si="18"/>
        <v>202502</v>
      </c>
    </row>
    <row r="1053" spans="3:34" ht="15.75" hidden="1">
      <c r="C1053" s="235">
        <v>45696</v>
      </c>
      <c r="D1053" s="141">
        <f>IFERROR((HLOOKUP($AH1053,Target_monthwise!$D$4:$O$20,DTR!D$4,FALSE))*1000,0)</f>
        <v>0</v>
      </c>
      <c r="E1053" s="141">
        <f>IFERROR((HLOOKUP($AH1053,Target_monthwise!$D$4:$O$20,DTR!E$4,FALSE))*1000,0)</f>
        <v>0</v>
      </c>
      <c r="F1053" s="141">
        <f>IFERROR((HLOOKUP($AH1053,Target_monthwise!$D$4:$O$20,DTR!F$4,FALSE))*1000,0)</f>
        <v>0</v>
      </c>
      <c r="G1053" s="141">
        <f>IFERROR((HLOOKUP($AH1053,Target_monthwise!$D$4:$O$20,DTR!G$4,FALSE))*1000,0)</f>
        <v>0</v>
      </c>
      <c r="H1053" s="141">
        <f>IFERROR((HLOOKUP($AH1053,Target_monthwise!$D$4:$O$20,DTR!H$4,FALSE))*1000,0)</f>
        <v>0</v>
      </c>
      <c r="I1053" s="141">
        <f>IFERROR((HLOOKUP($AH1053,Target_monthwise!$D$4:$O$20,DTR!I$4,FALSE))*1000,0)</f>
        <v>0</v>
      </c>
      <c r="J1053" s="141">
        <f>IFERROR((HLOOKUP($AH1053,Target_monthwise!$D$4:$O$20,DTR!J$4,FALSE))*1000,0)</f>
        <v>0</v>
      </c>
      <c r="K1053" s="141">
        <f>IFERROR((HLOOKUP($AH1053,Target_monthwise!$D$4:$O$20,DTR!K$4,FALSE))*1000,0)</f>
        <v>0</v>
      </c>
      <c r="L1053" s="141">
        <f>IFERROR((HLOOKUP($AH1053,Target_monthwise!$D$4:$O$20,DTR!L$4,FALSE))*1000,0)</f>
        <v>0</v>
      </c>
      <c r="M1053" s="141">
        <f>IFERROR((HLOOKUP($AH1053,Target_monthwise!$D$4:$O$20,DTR!M$4,FALSE))*1000,0)</f>
        <v>0</v>
      </c>
      <c r="N1053" s="141">
        <f>IFERROR((HLOOKUP($AH1053,Target_monthwise!$D$4:$O$20,DTR!N$4,FALSE))*1000,0)</f>
        <v>0</v>
      </c>
      <c r="O1053" s="141">
        <f>IFERROR((HLOOKUP($AH1053,Target_monthwise!$D$4:$O$20,DTR!O$4,FALSE))*1000,0)</f>
        <v>0</v>
      </c>
      <c r="P1053" s="141">
        <f>IFERROR((HLOOKUP($AH1053,Target_monthwise!$D$4:$O$20,DTR!P$4,FALSE))*1000,0)</f>
        <v>0</v>
      </c>
      <c r="Q1053" s="141">
        <f>IFERROR((HLOOKUP($AH1053,Target_monthwise!$D$4:$O$20,DTR!Q$4,FALSE))*1000,0)</f>
        <v>0</v>
      </c>
      <c r="R1053" s="167">
        <f>IFERROR((HLOOKUP($AH1053,Target_monthwise!$D$4:$O$20,DTR!R$4,FALSE))*1000,0)</f>
        <v>0</v>
      </c>
      <c r="S1053" s="147">
        <f>IFERROR((HLOOKUP($AH1053,Target_monthwise!$D$24:$O$40,DTR!S$4,FALSE)),0)</f>
        <v>0</v>
      </c>
      <c r="T1053" s="147">
        <f>IFERROR((HLOOKUP($AH1053,Target_monthwise!$D$24:$O$40,DTR!T$4,FALSE)),0)</f>
        <v>0</v>
      </c>
      <c r="U1053" s="147">
        <f>IFERROR((HLOOKUP($AH1053,Target_monthwise!$D$24:$O$40,DTR!U$4,FALSE)),0)</f>
        <v>0</v>
      </c>
      <c r="V1053" s="147">
        <f>IFERROR((HLOOKUP($AH1053,Target_monthwise!$D$24:$O$40,DTR!V$4,FALSE)),0)</f>
        <v>0</v>
      </c>
      <c r="W1053" s="147">
        <f>IFERROR((HLOOKUP($AH1053,Target_monthwise!$D$24:$O$40,DTR!W$4,FALSE)),0)</f>
        <v>0</v>
      </c>
      <c r="X1053" s="147">
        <f>IFERROR((HLOOKUP($AH1053,Target_monthwise!$D$24:$O$40,DTR!X$4,FALSE)),0)</f>
        <v>0</v>
      </c>
      <c r="Y1053" s="147">
        <f>IFERROR((HLOOKUP($AH1053,Target_monthwise!$D$24:$O$40,DTR!Y$4,FALSE)),0)</f>
        <v>0</v>
      </c>
      <c r="Z1053" s="147">
        <f>IFERROR((HLOOKUP($AH1053,Target_monthwise!$D$24:$O$40,DTR!Z$4,FALSE)),0)</f>
        <v>0</v>
      </c>
      <c r="AA1053" s="147">
        <f>IFERROR((HLOOKUP($AH1053,Target_monthwise!$D$24:$O$40,DTR!AA$4,FALSE)),0)</f>
        <v>0</v>
      </c>
      <c r="AB1053" s="147">
        <f>IFERROR((HLOOKUP($AH1053,Target_monthwise!$D$24:$O$40,DTR!AB$4,FALSE)),0)</f>
        <v>0</v>
      </c>
      <c r="AC1053" s="147">
        <f>IFERROR((HLOOKUP($AH1053,Target_monthwise!$D$24:$O$40,DTR!AC$4,FALSE)),0)</f>
        <v>0</v>
      </c>
      <c r="AD1053" s="147">
        <f>IFERROR((HLOOKUP($AH1053,Target_monthwise!$D$24:$O$40,DTR!AD$4,FALSE)),0)</f>
        <v>0</v>
      </c>
      <c r="AE1053" s="147">
        <f>IFERROR((HLOOKUP($AH1053,Target_monthwise!$D$24:$O$40,DTR!AE$4,FALSE)),0)</f>
        <v>0</v>
      </c>
      <c r="AF1053" s="147">
        <f>IFERROR((HLOOKUP($AH1053,Target_monthwise!$D$24:$O$40,DTR!AF$4,FALSE)),0)</f>
        <v>0</v>
      </c>
      <c r="AG1053" s="172">
        <f>IFERROR((HLOOKUP($AH1053,Target_monthwise!$D$24:$O$40,DTR!AG$4,FALSE)),0)</f>
        <v>0</v>
      </c>
      <c r="AH1053" s="253">
        <f t="shared" si="18"/>
        <v>202502</v>
      </c>
    </row>
    <row r="1054" spans="3:34" ht="15.75" hidden="1">
      <c r="C1054" s="237">
        <v>45697</v>
      </c>
      <c r="D1054" s="238">
        <f>IFERROR((HLOOKUP($AH1054,Target_monthwise!$D$4:$O$20,DTR!D$4,FALSE))*1000,0)</f>
        <v>0</v>
      </c>
      <c r="E1054" s="238">
        <f>IFERROR((HLOOKUP($AH1054,Target_monthwise!$D$4:$O$20,DTR!E$4,FALSE))*1000,0)</f>
        <v>0</v>
      </c>
      <c r="F1054" s="238">
        <f>IFERROR((HLOOKUP($AH1054,Target_monthwise!$D$4:$O$20,DTR!F$4,FALSE))*1000,0)</f>
        <v>0</v>
      </c>
      <c r="G1054" s="238">
        <f>IFERROR((HLOOKUP($AH1054,Target_monthwise!$D$4:$O$20,DTR!G$4,FALSE))*1000,0)</f>
        <v>0</v>
      </c>
      <c r="H1054" s="238">
        <f>IFERROR((HLOOKUP($AH1054,Target_monthwise!$D$4:$O$20,DTR!H$4,FALSE))*1000,0)</f>
        <v>0</v>
      </c>
      <c r="I1054" s="238">
        <f>IFERROR((HLOOKUP($AH1054,Target_monthwise!$D$4:$O$20,DTR!I$4,FALSE))*1000,0)</f>
        <v>0</v>
      </c>
      <c r="J1054" s="238">
        <f>IFERROR((HLOOKUP($AH1054,Target_monthwise!$D$4:$O$20,DTR!J$4,FALSE))*1000,0)</f>
        <v>0</v>
      </c>
      <c r="K1054" s="238">
        <f>IFERROR((HLOOKUP($AH1054,Target_monthwise!$D$4:$O$20,DTR!K$4,FALSE))*1000,0)</f>
        <v>0</v>
      </c>
      <c r="L1054" s="238">
        <f>IFERROR((HLOOKUP($AH1054,Target_monthwise!$D$4:$O$20,DTR!L$4,FALSE))*1000,0)</f>
        <v>0</v>
      </c>
      <c r="M1054" s="238">
        <f>IFERROR((HLOOKUP($AH1054,Target_monthwise!$D$4:$O$20,DTR!M$4,FALSE))*1000,0)</f>
        <v>0</v>
      </c>
      <c r="N1054" s="238">
        <f>IFERROR((HLOOKUP($AH1054,Target_monthwise!$D$4:$O$20,DTR!N$4,FALSE))*1000,0)</f>
        <v>0</v>
      </c>
      <c r="O1054" s="238">
        <f>IFERROR((HLOOKUP($AH1054,Target_monthwise!$D$4:$O$20,DTR!O$4,FALSE))*1000,0)</f>
        <v>0</v>
      </c>
      <c r="P1054" s="238">
        <f>IFERROR((HLOOKUP($AH1054,Target_monthwise!$D$4:$O$20,DTR!P$4,FALSE))*1000,0)</f>
        <v>0</v>
      </c>
      <c r="Q1054" s="141">
        <f>IFERROR((HLOOKUP($AH1054,Target_monthwise!$D$4:$O$20,DTR!Q$4,FALSE))*1000,0)</f>
        <v>0</v>
      </c>
      <c r="R1054" s="167">
        <f>IFERROR((HLOOKUP($AH1054,Target_monthwise!$D$4:$O$20,DTR!R$4,FALSE))*1000,0)</f>
        <v>0</v>
      </c>
      <c r="S1054" s="239">
        <f>IFERROR((HLOOKUP($AH1054,Target_monthwise!$D$24:$O$40,DTR!S$4,FALSE)),0)</f>
        <v>0</v>
      </c>
      <c r="T1054" s="239">
        <f>IFERROR((HLOOKUP($AH1054,Target_monthwise!$D$24:$O$40,DTR!T$4,FALSE)),0)</f>
        <v>0</v>
      </c>
      <c r="U1054" s="239">
        <f>IFERROR((HLOOKUP($AH1054,Target_monthwise!$D$24:$O$40,DTR!U$4,FALSE)),0)</f>
        <v>0</v>
      </c>
      <c r="V1054" s="239">
        <f>IFERROR((HLOOKUP($AH1054,Target_monthwise!$D$24:$O$40,DTR!V$4,FALSE)),0)</f>
        <v>0</v>
      </c>
      <c r="W1054" s="239">
        <f>IFERROR((HLOOKUP($AH1054,Target_monthwise!$D$24:$O$40,DTR!W$4,FALSE)),0)</f>
        <v>0</v>
      </c>
      <c r="X1054" s="239">
        <f>IFERROR((HLOOKUP($AH1054,Target_monthwise!$D$24:$O$40,DTR!X$4,FALSE)),0)</f>
        <v>0</v>
      </c>
      <c r="Y1054" s="239">
        <f>IFERROR((HLOOKUP($AH1054,Target_monthwise!$D$24:$O$40,DTR!Y$4,FALSE)),0)</f>
        <v>0</v>
      </c>
      <c r="Z1054" s="147">
        <f>IFERROR((HLOOKUP($AH1054,Target_monthwise!$D$24:$O$40,DTR!Z$4,FALSE)),0)</f>
        <v>0</v>
      </c>
      <c r="AA1054" s="147">
        <f>IFERROR((HLOOKUP($AH1054,Target_monthwise!$D$24:$O$40,DTR!AA$4,FALSE)),0)</f>
        <v>0</v>
      </c>
      <c r="AB1054" s="147">
        <f>IFERROR((HLOOKUP($AH1054,Target_monthwise!$D$24:$O$40,DTR!AB$4,FALSE)),0)</f>
        <v>0</v>
      </c>
      <c r="AC1054" s="239">
        <f>IFERROR((HLOOKUP($AH1054,Target_monthwise!$D$24:$O$40,DTR!AC$4,FALSE)),0)</f>
        <v>0</v>
      </c>
      <c r="AD1054" s="239">
        <f>IFERROR((HLOOKUP($AH1054,Target_monthwise!$D$24:$O$40,DTR!AD$4,FALSE)),0)</f>
        <v>0</v>
      </c>
      <c r="AE1054" s="239">
        <f>IFERROR((HLOOKUP($AH1054,Target_monthwise!$D$24:$O$40,DTR!AE$4,FALSE)),0)</f>
        <v>0</v>
      </c>
      <c r="AF1054" s="239">
        <f>IFERROR((HLOOKUP($AH1054,Target_monthwise!$D$24:$O$40,DTR!AF$4,FALSE)),0)</f>
        <v>0</v>
      </c>
      <c r="AG1054" s="172">
        <f>IFERROR((HLOOKUP($AH1054,Target_monthwise!$D$24:$O$40,DTR!AG$4,FALSE)),0)</f>
        <v>0</v>
      </c>
      <c r="AH1054" s="253">
        <f t="shared" si="18"/>
        <v>202502</v>
      </c>
    </row>
    <row r="1055" spans="3:34" ht="15.75" hidden="1">
      <c r="C1055" s="235">
        <v>45698</v>
      </c>
      <c r="D1055" s="141">
        <f>IFERROR((HLOOKUP($AH1055,Target_monthwise!$D$4:$O$20,DTR!D$4,FALSE))*1000,0)</f>
        <v>0</v>
      </c>
      <c r="E1055" s="141">
        <f>IFERROR((HLOOKUP($AH1055,Target_monthwise!$D$4:$O$20,DTR!E$4,FALSE))*1000,0)</f>
        <v>0</v>
      </c>
      <c r="F1055" s="141">
        <f>IFERROR((HLOOKUP($AH1055,Target_monthwise!$D$4:$O$20,DTR!F$4,FALSE))*1000,0)</f>
        <v>0</v>
      </c>
      <c r="G1055" s="141">
        <f>IFERROR((HLOOKUP($AH1055,Target_monthwise!$D$4:$O$20,DTR!G$4,FALSE))*1000,0)</f>
        <v>0</v>
      </c>
      <c r="H1055" s="141">
        <f>IFERROR((HLOOKUP($AH1055,Target_monthwise!$D$4:$O$20,DTR!H$4,FALSE))*1000,0)</f>
        <v>0</v>
      </c>
      <c r="I1055" s="141">
        <f>IFERROR((HLOOKUP($AH1055,Target_monthwise!$D$4:$O$20,DTR!I$4,FALSE))*1000,0)</f>
        <v>0</v>
      </c>
      <c r="J1055" s="141">
        <f>IFERROR((HLOOKUP($AH1055,Target_monthwise!$D$4:$O$20,DTR!J$4,FALSE))*1000,0)</f>
        <v>0</v>
      </c>
      <c r="K1055" s="141">
        <f>IFERROR((HLOOKUP($AH1055,Target_monthwise!$D$4:$O$20,DTR!K$4,FALSE))*1000,0)</f>
        <v>0</v>
      </c>
      <c r="L1055" s="141">
        <f>IFERROR((HLOOKUP($AH1055,Target_monthwise!$D$4:$O$20,DTR!L$4,FALSE))*1000,0)</f>
        <v>0</v>
      </c>
      <c r="M1055" s="141">
        <f>IFERROR((HLOOKUP($AH1055,Target_monthwise!$D$4:$O$20,DTR!M$4,FALSE))*1000,0)</f>
        <v>0</v>
      </c>
      <c r="N1055" s="141">
        <f>IFERROR((HLOOKUP($AH1055,Target_monthwise!$D$4:$O$20,DTR!N$4,FALSE))*1000,0)</f>
        <v>0</v>
      </c>
      <c r="O1055" s="141">
        <f>IFERROR((HLOOKUP($AH1055,Target_monthwise!$D$4:$O$20,DTR!O$4,FALSE))*1000,0)</f>
        <v>0</v>
      </c>
      <c r="P1055" s="141">
        <f>IFERROR((HLOOKUP($AH1055,Target_monthwise!$D$4:$O$20,DTR!P$4,FALSE))*1000,0)</f>
        <v>0</v>
      </c>
      <c r="Q1055" s="141">
        <f>IFERROR((HLOOKUP($AH1055,Target_monthwise!$D$4:$O$20,DTR!Q$4,FALSE))*1000,0)</f>
        <v>0</v>
      </c>
      <c r="R1055" s="167">
        <f>IFERROR((HLOOKUP($AH1055,Target_monthwise!$D$4:$O$20,DTR!R$4,FALSE))*1000,0)</f>
        <v>0</v>
      </c>
      <c r="S1055" s="147">
        <f>IFERROR((HLOOKUP($AH1055,Target_monthwise!$D$24:$O$40,DTR!S$4,FALSE)),0)</f>
        <v>0</v>
      </c>
      <c r="T1055" s="147">
        <f>IFERROR((HLOOKUP($AH1055,Target_monthwise!$D$24:$O$40,DTR!T$4,FALSE)),0)</f>
        <v>0</v>
      </c>
      <c r="U1055" s="147">
        <f>IFERROR((HLOOKUP($AH1055,Target_monthwise!$D$24:$O$40,DTR!U$4,FALSE)),0)</f>
        <v>0</v>
      </c>
      <c r="V1055" s="147">
        <f>IFERROR((HLOOKUP($AH1055,Target_monthwise!$D$24:$O$40,DTR!V$4,FALSE)),0)</f>
        <v>0</v>
      </c>
      <c r="W1055" s="147">
        <f>IFERROR((HLOOKUP($AH1055,Target_monthwise!$D$24:$O$40,DTR!W$4,FALSE)),0)</f>
        <v>0</v>
      </c>
      <c r="X1055" s="147">
        <f>IFERROR((HLOOKUP($AH1055,Target_monthwise!$D$24:$O$40,DTR!X$4,FALSE)),0)</f>
        <v>0</v>
      </c>
      <c r="Y1055" s="147">
        <f>IFERROR((HLOOKUP($AH1055,Target_monthwise!$D$24:$O$40,DTR!Y$4,FALSE)),0)</f>
        <v>0</v>
      </c>
      <c r="Z1055" s="147">
        <f>IFERROR((HLOOKUP($AH1055,Target_monthwise!$D$24:$O$40,DTR!Z$4,FALSE)),0)</f>
        <v>0</v>
      </c>
      <c r="AA1055" s="147">
        <f>IFERROR((HLOOKUP($AH1055,Target_monthwise!$D$24:$O$40,DTR!AA$4,FALSE)),0)</f>
        <v>0</v>
      </c>
      <c r="AB1055" s="147">
        <f>IFERROR((HLOOKUP($AH1055,Target_monthwise!$D$24:$O$40,DTR!AB$4,FALSE)),0)</f>
        <v>0</v>
      </c>
      <c r="AC1055" s="147">
        <f>IFERROR((HLOOKUP($AH1055,Target_monthwise!$D$24:$O$40,DTR!AC$4,FALSE)),0)</f>
        <v>0</v>
      </c>
      <c r="AD1055" s="147">
        <f>IFERROR((HLOOKUP($AH1055,Target_monthwise!$D$24:$O$40,DTR!AD$4,FALSE)),0)</f>
        <v>0</v>
      </c>
      <c r="AE1055" s="147">
        <f>IFERROR((HLOOKUP($AH1055,Target_monthwise!$D$24:$O$40,DTR!AE$4,FALSE)),0)</f>
        <v>0</v>
      </c>
      <c r="AF1055" s="147">
        <f>IFERROR((HLOOKUP($AH1055,Target_monthwise!$D$24:$O$40,DTR!AF$4,FALSE)),0)</f>
        <v>0</v>
      </c>
      <c r="AG1055" s="172">
        <f>IFERROR((HLOOKUP($AH1055,Target_monthwise!$D$24:$O$40,DTR!AG$4,FALSE)),0)</f>
        <v>0</v>
      </c>
      <c r="AH1055" s="253">
        <f t="shared" si="18"/>
        <v>202502</v>
      </c>
    </row>
    <row r="1056" spans="3:34" ht="15.75" hidden="1">
      <c r="C1056" s="237">
        <v>45699</v>
      </c>
      <c r="D1056" s="238">
        <f>IFERROR((HLOOKUP($AH1056,Target_monthwise!$D$4:$O$20,DTR!D$4,FALSE))*1000,0)</f>
        <v>0</v>
      </c>
      <c r="E1056" s="238">
        <f>IFERROR((HLOOKUP($AH1056,Target_monthwise!$D$4:$O$20,DTR!E$4,FALSE))*1000,0)</f>
        <v>0</v>
      </c>
      <c r="F1056" s="238">
        <f>IFERROR((HLOOKUP($AH1056,Target_monthwise!$D$4:$O$20,DTR!F$4,FALSE))*1000,0)</f>
        <v>0</v>
      </c>
      <c r="G1056" s="238">
        <f>IFERROR((HLOOKUP($AH1056,Target_monthwise!$D$4:$O$20,DTR!G$4,FALSE))*1000,0)</f>
        <v>0</v>
      </c>
      <c r="H1056" s="238">
        <f>IFERROR((HLOOKUP($AH1056,Target_monthwise!$D$4:$O$20,DTR!H$4,FALSE))*1000,0)</f>
        <v>0</v>
      </c>
      <c r="I1056" s="238">
        <f>IFERROR((HLOOKUP($AH1056,Target_monthwise!$D$4:$O$20,DTR!I$4,FALSE))*1000,0)</f>
        <v>0</v>
      </c>
      <c r="J1056" s="238">
        <f>IFERROR((HLOOKUP($AH1056,Target_monthwise!$D$4:$O$20,DTR!J$4,FALSE))*1000,0)</f>
        <v>0</v>
      </c>
      <c r="K1056" s="238">
        <f>IFERROR((HLOOKUP($AH1056,Target_monthwise!$D$4:$O$20,DTR!K$4,FALSE))*1000,0)</f>
        <v>0</v>
      </c>
      <c r="L1056" s="238">
        <f>IFERROR((HLOOKUP($AH1056,Target_monthwise!$D$4:$O$20,DTR!L$4,FALSE))*1000,0)</f>
        <v>0</v>
      </c>
      <c r="M1056" s="238">
        <f>IFERROR((HLOOKUP($AH1056,Target_monthwise!$D$4:$O$20,DTR!M$4,FALSE))*1000,0)</f>
        <v>0</v>
      </c>
      <c r="N1056" s="238">
        <f>IFERROR((HLOOKUP($AH1056,Target_monthwise!$D$4:$O$20,DTR!N$4,FALSE))*1000,0)</f>
        <v>0</v>
      </c>
      <c r="O1056" s="238">
        <f>IFERROR((HLOOKUP($AH1056,Target_monthwise!$D$4:$O$20,DTR!O$4,FALSE))*1000,0)</f>
        <v>0</v>
      </c>
      <c r="P1056" s="238">
        <f>IFERROR((HLOOKUP($AH1056,Target_monthwise!$D$4:$O$20,DTR!P$4,FALSE))*1000,0)</f>
        <v>0</v>
      </c>
      <c r="Q1056" s="141">
        <f>IFERROR((HLOOKUP($AH1056,Target_monthwise!$D$4:$O$20,DTR!Q$4,FALSE))*1000,0)</f>
        <v>0</v>
      </c>
      <c r="R1056" s="167">
        <f>IFERROR((HLOOKUP($AH1056,Target_monthwise!$D$4:$O$20,DTR!R$4,FALSE))*1000,0)</f>
        <v>0</v>
      </c>
      <c r="S1056" s="239">
        <f>IFERROR((HLOOKUP($AH1056,Target_monthwise!$D$24:$O$40,DTR!S$4,FALSE)),0)</f>
        <v>0</v>
      </c>
      <c r="T1056" s="239">
        <f>IFERROR((HLOOKUP($AH1056,Target_monthwise!$D$24:$O$40,DTR!T$4,FALSE)),0)</f>
        <v>0</v>
      </c>
      <c r="U1056" s="239">
        <f>IFERROR((HLOOKUP($AH1056,Target_monthwise!$D$24:$O$40,DTR!U$4,FALSE)),0)</f>
        <v>0</v>
      </c>
      <c r="V1056" s="239">
        <f>IFERROR((HLOOKUP($AH1056,Target_monthwise!$D$24:$O$40,DTR!V$4,FALSE)),0)</f>
        <v>0</v>
      </c>
      <c r="W1056" s="239">
        <f>IFERROR((HLOOKUP($AH1056,Target_monthwise!$D$24:$O$40,DTR!W$4,FALSE)),0)</f>
        <v>0</v>
      </c>
      <c r="X1056" s="239">
        <f>IFERROR((HLOOKUP($AH1056,Target_monthwise!$D$24:$O$40,DTR!X$4,FALSE)),0)</f>
        <v>0</v>
      </c>
      <c r="Y1056" s="239">
        <f>IFERROR((HLOOKUP($AH1056,Target_monthwise!$D$24:$O$40,DTR!Y$4,FALSE)),0)</f>
        <v>0</v>
      </c>
      <c r="Z1056" s="147">
        <f>IFERROR((HLOOKUP($AH1056,Target_monthwise!$D$24:$O$40,DTR!Z$4,FALSE)),0)</f>
        <v>0</v>
      </c>
      <c r="AA1056" s="147">
        <f>IFERROR((HLOOKUP($AH1056,Target_monthwise!$D$24:$O$40,DTR!AA$4,FALSE)),0)</f>
        <v>0</v>
      </c>
      <c r="AB1056" s="147">
        <f>IFERROR((HLOOKUP($AH1056,Target_monthwise!$D$24:$O$40,DTR!AB$4,FALSE)),0)</f>
        <v>0</v>
      </c>
      <c r="AC1056" s="239">
        <f>IFERROR((HLOOKUP($AH1056,Target_monthwise!$D$24:$O$40,DTR!AC$4,FALSE)),0)</f>
        <v>0</v>
      </c>
      <c r="AD1056" s="239">
        <f>IFERROR((HLOOKUP($AH1056,Target_monthwise!$D$24:$O$40,DTR!AD$4,FALSE)),0)</f>
        <v>0</v>
      </c>
      <c r="AE1056" s="239">
        <f>IFERROR((HLOOKUP($AH1056,Target_monthwise!$D$24:$O$40,DTR!AE$4,FALSE)),0)</f>
        <v>0</v>
      </c>
      <c r="AF1056" s="239">
        <f>IFERROR((HLOOKUP($AH1056,Target_monthwise!$D$24:$O$40,DTR!AF$4,FALSE)),0)</f>
        <v>0</v>
      </c>
      <c r="AG1056" s="172">
        <f>IFERROR((HLOOKUP($AH1056,Target_monthwise!$D$24:$O$40,DTR!AG$4,FALSE)),0)</f>
        <v>0</v>
      </c>
      <c r="AH1056" s="253">
        <f t="shared" si="18"/>
        <v>202502</v>
      </c>
    </row>
    <row r="1057" spans="3:34" ht="15.75" hidden="1">
      <c r="C1057" s="235">
        <v>45700</v>
      </c>
      <c r="D1057" s="141">
        <f>IFERROR((HLOOKUP($AH1057,Target_monthwise!$D$4:$O$20,DTR!D$4,FALSE))*1000,0)</f>
        <v>0</v>
      </c>
      <c r="E1057" s="141">
        <f>IFERROR((HLOOKUP($AH1057,Target_monthwise!$D$4:$O$20,DTR!E$4,FALSE))*1000,0)</f>
        <v>0</v>
      </c>
      <c r="F1057" s="141">
        <f>IFERROR((HLOOKUP($AH1057,Target_monthwise!$D$4:$O$20,DTR!F$4,FALSE))*1000,0)</f>
        <v>0</v>
      </c>
      <c r="G1057" s="141">
        <f>IFERROR((HLOOKUP($AH1057,Target_monthwise!$D$4:$O$20,DTR!G$4,FALSE))*1000,0)</f>
        <v>0</v>
      </c>
      <c r="H1057" s="141">
        <f>IFERROR((HLOOKUP($AH1057,Target_monthwise!$D$4:$O$20,DTR!H$4,FALSE))*1000,0)</f>
        <v>0</v>
      </c>
      <c r="I1057" s="141">
        <f>IFERROR((HLOOKUP($AH1057,Target_monthwise!$D$4:$O$20,DTR!I$4,FALSE))*1000,0)</f>
        <v>0</v>
      </c>
      <c r="J1057" s="141">
        <f>IFERROR((HLOOKUP($AH1057,Target_monthwise!$D$4:$O$20,DTR!J$4,FALSE))*1000,0)</f>
        <v>0</v>
      </c>
      <c r="K1057" s="141">
        <f>IFERROR((HLOOKUP($AH1057,Target_monthwise!$D$4:$O$20,DTR!K$4,FALSE))*1000,0)</f>
        <v>0</v>
      </c>
      <c r="L1057" s="141">
        <f>IFERROR((HLOOKUP($AH1057,Target_monthwise!$D$4:$O$20,DTR!L$4,FALSE))*1000,0)</f>
        <v>0</v>
      </c>
      <c r="M1057" s="141">
        <f>IFERROR((HLOOKUP($AH1057,Target_monthwise!$D$4:$O$20,DTR!M$4,FALSE))*1000,0)</f>
        <v>0</v>
      </c>
      <c r="N1057" s="141">
        <f>IFERROR((HLOOKUP($AH1057,Target_monthwise!$D$4:$O$20,DTR!N$4,FALSE))*1000,0)</f>
        <v>0</v>
      </c>
      <c r="O1057" s="141">
        <f>IFERROR((HLOOKUP($AH1057,Target_monthwise!$D$4:$O$20,DTR!O$4,FALSE))*1000,0)</f>
        <v>0</v>
      </c>
      <c r="P1057" s="141">
        <f>IFERROR((HLOOKUP($AH1057,Target_monthwise!$D$4:$O$20,DTR!P$4,FALSE))*1000,0)</f>
        <v>0</v>
      </c>
      <c r="Q1057" s="141">
        <f>IFERROR((HLOOKUP($AH1057,Target_monthwise!$D$4:$O$20,DTR!Q$4,FALSE))*1000,0)</f>
        <v>0</v>
      </c>
      <c r="R1057" s="167">
        <f>IFERROR((HLOOKUP($AH1057,Target_monthwise!$D$4:$O$20,DTR!R$4,FALSE))*1000,0)</f>
        <v>0</v>
      </c>
      <c r="S1057" s="147">
        <f>IFERROR((HLOOKUP($AH1057,Target_monthwise!$D$24:$O$40,DTR!S$4,FALSE)),0)</f>
        <v>0</v>
      </c>
      <c r="T1057" s="147">
        <f>IFERROR((HLOOKUP($AH1057,Target_monthwise!$D$24:$O$40,DTR!T$4,FALSE)),0)</f>
        <v>0</v>
      </c>
      <c r="U1057" s="147">
        <f>IFERROR((HLOOKUP($AH1057,Target_monthwise!$D$24:$O$40,DTR!U$4,FALSE)),0)</f>
        <v>0</v>
      </c>
      <c r="V1057" s="147">
        <f>IFERROR((HLOOKUP($AH1057,Target_monthwise!$D$24:$O$40,DTR!V$4,FALSE)),0)</f>
        <v>0</v>
      </c>
      <c r="W1057" s="147">
        <f>IFERROR((HLOOKUP($AH1057,Target_monthwise!$D$24:$O$40,DTR!W$4,FALSE)),0)</f>
        <v>0</v>
      </c>
      <c r="X1057" s="147">
        <f>IFERROR((HLOOKUP($AH1057,Target_monthwise!$D$24:$O$40,DTR!X$4,FALSE)),0)</f>
        <v>0</v>
      </c>
      <c r="Y1057" s="147">
        <f>IFERROR((HLOOKUP($AH1057,Target_monthwise!$D$24:$O$40,DTR!Y$4,FALSE)),0)</f>
        <v>0</v>
      </c>
      <c r="Z1057" s="147">
        <f>IFERROR((HLOOKUP($AH1057,Target_monthwise!$D$24:$O$40,DTR!Z$4,FALSE)),0)</f>
        <v>0</v>
      </c>
      <c r="AA1057" s="147">
        <f>IFERROR((HLOOKUP($AH1057,Target_monthwise!$D$24:$O$40,DTR!AA$4,FALSE)),0)</f>
        <v>0</v>
      </c>
      <c r="AB1057" s="147">
        <f>IFERROR((HLOOKUP($AH1057,Target_monthwise!$D$24:$O$40,DTR!AB$4,FALSE)),0)</f>
        <v>0</v>
      </c>
      <c r="AC1057" s="147">
        <f>IFERROR((HLOOKUP($AH1057,Target_monthwise!$D$24:$O$40,DTR!AC$4,FALSE)),0)</f>
        <v>0</v>
      </c>
      <c r="AD1057" s="147">
        <f>IFERROR((HLOOKUP($AH1057,Target_monthwise!$D$24:$O$40,DTR!AD$4,FALSE)),0)</f>
        <v>0</v>
      </c>
      <c r="AE1057" s="147">
        <f>IFERROR((HLOOKUP($AH1057,Target_monthwise!$D$24:$O$40,DTR!AE$4,FALSE)),0)</f>
        <v>0</v>
      </c>
      <c r="AF1057" s="147">
        <f>IFERROR((HLOOKUP($AH1057,Target_monthwise!$D$24:$O$40,DTR!AF$4,FALSE)),0)</f>
        <v>0</v>
      </c>
      <c r="AG1057" s="172">
        <f>IFERROR((HLOOKUP($AH1057,Target_monthwise!$D$24:$O$40,DTR!AG$4,FALSE)),0)</f>
        <v>0</v>
      </c>
      <c r="AH1057" s="253">
        <f t="shared" si="18"/>
        <v>202502</v>
      </c>
    </row>
    <row r="1058" spans="3:34" ht="15.75" hidden="1">
      <c r="C1058" s="237">
        <v>45701</v>
      </c>
      <c r="D1058" s="238">
        <f>IFERROR((HLOOKUP($AH1058,Target_monthwise!$D$4:$O$20,DTR!D$4,FALSE))*1000,0)</f>
        <v>0</v>
      </c>
      <c r="E1058" s="238">
        <f>IFERROR((HLOOKUP($AH1058,Target_monthwise!$D$4:$O$20,DTR!E$4,FALSE))*1000,0)</f>
        <v>0</v>
      </c>
      <c r="F1058" s="238">
        <f>IFERROR((HLOOKUP($AH1058,Target_monthwise!$D$4:$O$20,DTR!F$4,FALSE))*1000,0)</f>
        <v>0</v>
      </c>
      <c r="G1058" s="238">
        <f>IFERROR((HLOOKUP($AH1058,Target_monthwise!$D$4:$O$20,DTR!G$4,FALSE))*1000,0)</f>
        <v>0</v>
      </c>
      <c r="H1058" s="238">
        <f>IFERROR((HLOOKUP($AH1058,Target_monthwise!$D$4:$O$20,DTR!H$4,FALSE))*1000,0)</f>
        <v>0</v>
      </c>
      <c r="I1058" s="238">
        <f>IFERROR((HLOOKUP($AH1058,Target_monthwise!$D$4:$O$20,DTR!I$4,FALSE))*1000,0)</f>
        <v>0</v>
      </c>
      <c r="J1058" s="238">
        <f>IFERROR((HLOOKUP($AH1058,Target_monthwise!$D$4:$O$20,DTR!J$4,FALSE))*1000,0)</f>
        <v>0</v>
      </c>
      <c r="K1058" s="238">
        <f>IFERROR((HLOOKUP($AH1058,Target_monthwise!$D$4:$O$20,DTR!K$4,FALSE))*1000,0)</f>
        <v>0</v>
      </c>
      <c r="L1058" s="238">
        <f>IFERROR((HLOOKUP($AH1058,Target_monthwise!$D$4:$O$20,DTR!L$4,FALSE))*1000,0)</f>
        <v>0</v>
      </c>
      <c r="M1058" s="238">
        <f>IFERROR((HLOOKUP($AH1058,Target_monthwise!$D$4:$O$20,DTR!M$4,FALSE))*1000,0)</f>
        <v>0</v>
      </c>
      <c r="N1058" s="238">
        <f>IFERROR((HLOOKUP($AH1058,Target_monthwise!$D$4:$O$20,DTR!N$4,FALSE))*1000,0)</f>
        <v>0</v>
      </c>
      <c r="O1058" s="238">
        <f>IFERROR((HLOOKUP($AH1058,Target_monthwise!$D$4:$O$20,DTR!O$4,FALSE))*1000,0)</f>
        <v>0</v>
      </c>
      <c r="P1058" s="238">
        <f>IFERROR((HLOOKUP($AH1058,Target_monthwise!$D$4:$O$20,DTR!P$4,FALSE))*1000,0)</f>
        <v>0</v>
      </c>
      <c r="Q1058" s="141">
        <f>IFERROR((HLOOKUP($AH1058,Target_monthwise!$D$4:$O$20,DTR!Q$4,FALSE))*1000,0)</f>
        <v>0</v>
      </c>
      <c r="R1058" s="167">
        <f>IFERROR((HLOOKUP($AH1058,Target_monthwise!$D$4:$O$20,DTR!R$4,FALSE))*1000,0)</f>
        <v>0</v>
      </c>
      <c r="S1058" s="239">
        <f>IFERROR((HLOOKUP($AH1058,Target_monthwise!$D$24:$O$40,DTR!S$4,FALSE)),0)</f>
        <v>0</v>
      </c>
      <c r="T1058" s="239">
        <f>IFERROR((HLOOKUP($AH1058,Target_monthwise!$D$24:$O$40,DTR!T$4,FALSE)),0)</f>
        <v>0</v>
      </c>
      <c r="U1058" s="239">
        <f>IFERROR((HLOOKUP($AH1058,Target_monthwise!$D$24:$O$40,DTR!U$4,FALSE)),0)</f>
        <v>0</v>
      </c>
      <c r="V1058" s="239">
        <f>IFERROR((HLOOKUP($AH1058,Target_monthwise!$D$24:$O$40,DTR!V$4,FALSE)),0)</f>
        <v>0</v>
      </c>
      <c r="W1058" s="239">
        <f>IFERROR((HLOOKUP($AH1058,Target_monthwise!$D$24:$O$40,DTR!W$4,FALSE)),0)</f>
        <v>0</v>
      </c>
      <c r="X1058" s="239">
        <f>IFERROR((HLOOKUP($AH1058,Target_monthwise!$D$24:$O$40,DTR!X$4,FALSE)),0)</f>
        <v>0</v>
      </c>
      <c r="Y1058" s="239">
        <f>IFERROR((HLOOKUP($AH1058,Target_monthwise!$D$24:$O$40,DTR!Y$4,FALSE)),0)</f>
        <v>0</v>
      </c>
      <c r="Z1058" s="147">
        <f>IFERROR((HLOOKUP($AH1058,Target_monthwise!$D$24:$O$40,DTR!Z$4,FALSE)),0)</f>
        <v>0</v>
      </c>
      <c r="AA1058" s="147">
        <f>IFERROR((HLOOKUP($AH1058,Target_monthwise!$D$24:$O$40,DTR!AA$4,FALSE)),0)</f>
        <v>0</v>
      </c>
      <c r="AB1058" s="147">
        <f>IFERROR((HLOOKUP($AH1058,Target_monthwise!$D$24:$O$40,DTR!AB$4,FALSE)),0)</f>
        <v>0</v>
      </c>
      <c r="AC1058" s="239">
        <f>IFERROR((HLOOKUP($AH1058,Target_monthwise!$D$24:$O$40,DTR!AC$4,FALSE)),0)</f>
        <v>0</v>
      </c>
      <c r="AD1058" s="239">
        <f>IFERROR((HLOOKUP($AH1058,Target_monthwise!$D$24:$O$40,DTR!AD$4,FALSE)),0)</f>
        <v>0</v>
      </c>
      <c r="AE1058" s="239">
        <f>IFERROR((HLOOKUP($AH1058,Target_monthwise!$D$24:$O$40,DTR!AE$4,FALSE)),0)</f>
        <v>0</v>
      </c>
      <c r="AF1058" s="239">
        <f>IFERROR((HLOOKUP($AH1058,Target_monthwise!$D$24:$O$40,DTR!AF$4,FALSE)),0)</f>
        <v>0</v>
      </c>
      <c r="AG1058" s="172">
        <f>IFERROR((HLOOKUP($AH1058,Target_monthwise!$D$24:$O$40,DTR!AG$4,FALSE)),0)</f>
        <v>0</v>
      </c>
      <c r="AH1058" s="253">
        <f t="shared" si="18"/>
        <v>202502</v>
      </c>
    </row>
    <row r="1059" spans="3:34" ht="15.75" hidden="1">
      <c r="C1059" s="235">
        <v>45702</v>
      </c>
      <c r="D1059" s="141">
        <f>IFERROR((HLOOKUP($AH1059,Target_monthwise!$D$4:$O$20,DTR!D$4,FALSE))*1000,0)</f>
        <v>0</v>
      </c>
      <c r="E1059" s="141">
        <f>IFERROR((HLOOKUP($AH1059,Target_monthwise!$D$4:$O$20,DTR!E$4,FALSE))*1000,0)</f>
        <v>0</v>
      </c>
      <c r="F1059" s="141">
        <f>IFERROR((HLOOKUP($AH1059,Target_monthwise!$D$4:$O$20,DTR!F$4,FALSE))*1000,0)</f>
        <v>0</v>
      </c>
      <c r="G1059" s="141">
        <f>IFERROR((HLOOKUP($AH1059,Target_monthwise!$D$4:$O$20,DTR!G$4,FALSE))*1000,0)</f>
        <v>0</v>
      </c>
      <c r="H1059" s="141">
        <f>IFERROR((HLOOKUP($AH1059,Target_monthwise!$D$4:$O$20,DTR!H$4,FALSE))*1000,0)</f>
        <v>0</v>
      </c>
      <c r="I1059" s="141">
        <f>IFERROR((HLOOKUP($AH1059,Target_monthwise!$D$4:$O$20,DTR!I$4,FALSE))*1000,0)</f>
        <v>0</v>
      </c>
      <c r="J1059" s="141">
        <f>IFERROR((HLOOKUP($AH1059,Target_monthwise!$D$4:$O$20,DTR!J$4,FALSE))*1000,0)</f>
        <v>0</v>
      </c>
      <c r="K1059" s="141">
        <f>IFERROR((HLOOKUP($AH1059,Target_monthwise!$D$4:$O$20,DTR!K$4,FALSE))*1000,0)</f>
        <v>0</v>
      </c>
      <c r="L1059" s="141">
        <f>IFERROR((HLOOKUP($AH1059,Target_monthwise!$D$4:$O$20,DTR!L$4,FALSE))*1000,0)</f>
        <v>0</v>
      </c>
      <c r="M1059" s="141">
        <f>IFERROR((HLOOKUP($AH1059,Target_monthwise!$D$4:$O$20,DTR!M$4,FALSE))*1000,0)</f>
        <v>0</v>
      </c>
      <c r="N1059" s="141">
        <f>IFERROR((HLOOKUP($AH1059,Target_monthwise!$D$4:$O$20,DTR!N$4,FALSE))*1000,0)</f>
        <v>0</v>
      </c>
      <c r="O1059" s="141">
        <f>IFERROR((HLOOKUP($AH1059,Target_monthwise!$D$4:$O$20,DTR!O$4,FALSE))*1000,0)</f>
        <v>0</v>
      </c>
      <c r="P1059" s="141">
        <f>IFERROR((HLOOKUP($AH1059,Target_monthwise!$D$4:$O$20,DTR!P$4,FALSE))*1000,0)</f>
        <v>0</v>
      </c>
      <c r="Q1059" s="141">
        <f>IFERROR((HLOOKUP($AH1059,Target_monthwise!$D$4:$O$20,DTR!Q$4,FALSE))*1000,0)</f>
        <v>0</v>
      </c>
      <c r="R1059" s="167">
        <f>IFERROR((HLOOKUP($AH1059,Target_monthwise!$D$4:$O$20,DTR!R$4,FALSE))*1000,0)</f>
        <v>0</v>
      </c>
      <c r="S1059" s="147">
        <f>IFERROR((HLOOKUP($AH1059,Target_monthwise!$D$24:$O$40,DTR!S$4,FALSE)),0)</f>
        <v>0</v>
      </c>
      <c r="T1059" s="147">
        <f>IFERROR((HLOOKUP($AH1059,Target_monthwise!$D$24:$O$40,DTR!T$4,FALSE)),0)</f>
        <v>0</v>
      </c>
      <c r="U1059" s="147">
        <f>IFERROR((HLOOKUP($AH1059,Target_monthwise!$D$24:$O$40,DTR!U$4,FALSE)),0)</f>
        <v>0</v>
      </c>
      <c r="V1059" s="147">
        <f>IFERROR((HLOOKUP($AH1059,Target_monthwise!$D$24:$O$40,DTR!V$4,FALSE)),0)</f>
        <v>0</v>
      </c>
      <c r="W1059" s="147">
        <f>IFERROR((HLOOKUP($AH1059,Target_monthwise!$D$24:$O$40,DTR!W$4,FALSE)),0)</f>
        <v>0</v>
      </c>
      <c r="X1059" s="147">
        <f>IFERROR((HLOOKUP($AH1059,Target_monthwise!$D$24:$O$40,DTR!X$4,FALSE)),0)</f>
        <v>0</v>
      </c>
      <c r="Y1059" s="147">
        <f>IFERROR((HLOOKUP($AH1059,Target_monthwise!$D$24:$O$40,DTR!Y$4,FALSE)),0)</f>
        <v>0</v>
      </c>
      <c r="Z1059" s="147">
        <f>IFERROR((HLOOKUP($AH1059,Target_monthwise!$D$24:$O$40,DTR!Z$4,FALSE)),0)</f>
        <v>0</v>
      </c>
      <c r="AA1059" s="147">
        <f>IFERROR((HLOOKUP($AH1059,Target_monthwise!$D$24:$O$40,DTR!AA$4,FALSE)),0)</f>
        <v>0</v>
      </c>
      <c r="AB1059" s="147">
        <f>IFERROR((HLOOKUP($AH1059,Target_monthwise!$D$24:$O$40,DTR!AB$4,FALSE)),0)</f>
        <v>0</v>
      </c>
      <c r="AC1059" s="147">
        <f>IFERROR((HLOOKUP($AH1059,Target_monthwise!$D$24:$O$40,DTR!AC$4,FALSE)),0)</f>
        <v>0</v>
      </c>
      <c r="AD1059" s="147">
        <f>IFERROR((HLOOKUP($AH1059,Target_monthwise!$D$24:$O$40,DTR!AD$4,FALSE)),0)</f>
        <v>0</v>
      </c>
      <c r="AE1059" s="147">
        <f>IFERROR((HLOOKUP($AH1059,Target_monthwise!$D$24:$O$40,DTR!AE$4,FALSE)),0)</f>
        <v>0</v>
      </c>
      <c r="AF1059" s="147">
        <f>IFERROR((HLOOKUP($AH1059,Target_monthwise!$D$24:$O$40,DTR!AF$4,FALSE)),0)</f>
        <v>0</v>
      </c>
      <c r="AG1059" s="172">
        <f>IFERROR((HLOOKUP($AH1059,Target_monthwise!$D$24:$O$40,DTR!AG$4,FALSE)),0)</f>
        <v>0</v>
      </c>
      <c r="AH1059" s="253">
        <f t="shared" si="18"/>
        <v>202502</v>
      </c>
    </row>
    <row r="1060" spans="3:34" ht="15.75" hidden="1">
      <c r="C1060" s="237">
        <v>45703</v>
      </c>
      <c r="D1060" s="238">
        <f>IFERROR((HLOOKUP($AH1060,Target_monthwise!$D$4:$O$20,DTR!D$4,FALSE))*1000,0)</f>
        <v>0</v>
      </c>
      <c r="E1060" s="238">
        <f>IFERROR((HLOOKUP($AH1060,Target_monthwise!$D$4:$O$20,DTR!E$4,FALSE))*1000,0)</f>
        <v>0</v>
      </c>
      <c r="F1060" s="238">
        <f>IFERROR((HLOOKUP($AH1060,Target_monthwise!$D$4:$O$20,DTR!F$4,FALSE))*1000,0)</f>
        <v>0</v>
      </c>
      <c r="G1060" s="238">
        <f>IFERROR((HLOOKUP($AH1060,Target_monthwise!$D$4:$O$20,DTR!G$4,FALSE))*1000,0)</f>
        <v>0</v>
      </c>
      <c r="H1060" s="238">
        <f>IFERROR((HLOOKUP($AH1060,Target_monthwise!$D$4:$O$20,DTR!H$4,FALSE))*1000,0)</f>
        <v>0</v>
      </c>
      <c r="I1060" s="238">
        <f>IFERROR((HLOOKUP($AH1060,Target_monthwise!$D$4:$O$20,DTR!I$4,FALSE))*1000,0)</f>
        <v>0</v>
      </c>
      <c r="J1060" s="238">
        <f>IFERROR((HLOOKUP($AH1060,Target_monthwise!$D$4:$O$20,DTR!J$4,FALSE))*1000,0)</f>
        <v>0</v>
      </c>
      <c r="K1060" s="238">
        <f>IFERROR((HLOOKUP($AH1060,Target_monthwise!$D$4:$O$20,DTR!K$4,FALSE))*1000,0)</f>
        <v>0</v>
      </c>
      <c r="L1060" s="238">
        <f>IFERROR((HLOOKUP($AH1060,Target_monthwise!$D$4:$O$20,DTR!L$4,FALSE))*1000,0)</f>
        <v>0</v>
      </c>
      <c r="M1060" s="238">
        <f>IFERROR((HLOOKUP($AH1060,Target_monthwise!$D$4:$O$20,DTR!M$4,FALSE))*1000,0)</f>
        <v>0</v>
      </c>
      <c r="N1060" s="238">
        <f>IFERROR((HLOOKUP($AH1060,Target_monthwise!$D$4:$O$20,DTR!N$4,FALSE))*1000,0)</f>
        <v>0</v>
      </c>
      <c r="O1060" s="238">
        <f>IFERROR((HLOOKUP($AH1060,Target_monthwise!$D$4:$O$20,DTR!O$4,FALSE))*1000,0)</f>
        <v>0</v>
      </c>
      <c r="P1060" s="238">
        <f>IFERROR((HLOOKUP($AH1060,Target_monthwise!$D$4:$O$20,DTR!P$4,FALSE))*1000,0)</f>
        <v>0</v>
      </c>
      <c r="Q1060" s="141">
        <f>IFERROR((HLOOKUP($AH1060,Target_monthwise!$D$4:$O$20,DTR!Q$4,FALSE))*1000,0)</f>
        <v>0</v>
      </c>
      <c r="R1060" s="167">
        <f>IFERROR((HLOOKUP($AH1060,Target_monthwise!$D$4:$O$20,DTR!R$4,FALSE))*1000,0)</f>
        <v>0</v>
      </c>
      <c r="S1060" s="239">
        <f>IFERROR((HLOOKUP($AH1060,Target_monthwise!$D$24:$O$40,DTR!S$4,FALSE)),0)</f>
        <v>0</v>
      </c>
      <c r="T1060" s="239">
        <f>IFERROR((HLOOKUP($AH1060,Target_monthwise!$D$24:$O$40,DTR!T$4,FALSE)),0)</f>
        <v>0</v>
      </c>
      <c r="U1060" s="239">
        <f>IFERROR((HLOOKUP($AH1060,Target_monthwise!$D$24:$O$40,DTR!U$4,FALSE)),0)</f>
        <v>0</v>
      </c>
      <c r="V1060" s="239">
        <f>IFERROR((HLOOKUP($AH1060,Target_monthwise!$D$24:$O$40,DTR!V$4,FALSE)),0)</f>
        <v>0</v>
      </c>
      <c r="W1060" s="239">
        <f>IFERROR((HLOOKUP($AH1060,Target_monthwise!$D$24:$O$40,DTR!W$4,FALSE)),0)</f>
        <v>0</v>
      </c>
      <c r="X1060" s="239">
        <f>IFERROR((HLOOKUP($AH1060,Target_monthwise!$D$24:$O$40,DTR!X$4,FALSE)),0)</f>
        <v>0</v>
      </c>
      <c r="Y1060" s="239">
        <f>IFERROR((HLOOKUP($AH1060,Target_monthwise!$D$24:$O$40,DTR!Y$4,FALSE)),0)</f>
        <v>0</v>
      </c>
      <c r="Z1060" s="147">
        <f>IFERROR((HLOOKUP($AH1060,Target_monthwise!$D$24:$O$40,DTR!Z$4,FALSE)),0)</f>
        <v>0</v>
      </c>
      <c r="AA1060" s="147">
        <f>IFERROR((HLOOKUP($AH1060,Target_monthwise!$D$24:$O$40,DTR!AA$4,FALSE)),0)</f>
        <v>0</v>
      </c>
      <c r="AB1060" s="147">
        <f>IFERROR((HLOOKUP($AH1060,Target_monthwise!$D$24:$O$40,DTR!AB$4,FALSE)),0)</f>
        <v>0</v>
      </c>
      <c r="AC1060" s="239">
        <f>IFERROR((HLOOKUP($AH1060,Target_monthwise!$D$24:$O$40,DTR!AC$4,FALSE)),0)</f>
        <v>0</v>
      </c>
      <c r="AD1060" s="239">
        <f>IFERROR((HLOOKUP($AH1060,Target_monthwise!$D$24:$O$40,DTR!AD$4,FALSE)),0)</f>
        <v>0</v>
      </c>
      <c r="AE1060" s="239">
        <f>IFERROR((HLOOKUP($AH1060,Target_monthwise!$D$24:$O$40,DTR!AE$4,FALSE)),0)</f>
        <v>0</v>
      </c>
      <c r="AF1060" s="239">
        <f>IFERROR((HLOOKUP($AH1060,Target_monthwise!$D$24:$O$40,DTR!AF$4,FALSE)),0)</f>
        <v>0</v>
      </c>
      <c r="AG1060" s="172">
        <f>IFERROR((HLOOKUP($AH1060,Target_monthwise!$D$24:$O$40,DTR!AG$4,FALSE)),0)</f>
        <v>0</v>
      </c>
      <c r="AH1060" s="253">
        <f t="shared" si="18"/>
        <v>202502</v>
      </c>
    </row>
    <row r="1061" spans="3:34" ht="15.75" hidden="1">
      <c r="C1061" s="235">
        <v>45704</v>
      </c>
      <c r="D1061" s="141">
        <f>IFERROR((HLOOKUP($AH1061,Target_monthwise!$D$4:$O$20,DTR!D$4,FALSE))*1000,0)</f>
        <v>0</v>
      </c>
      <c r="E1061" s="141">
        <f>IFERROR((HLOOKUP($AH1061,Target_monthwise!$D$4:$O$20,DTR!E$4,FALSE))*1000,0)</f>
        <v>0</v>
      </c>
      <c r="F1061" s="141">
        <f>IFERROR((HLOOKUP($AH1061,Target_monthwise!$D$4:$O$20,DTR!F$4,FALSE))*1000,0)</f>
        <v>0</v>
      </c>
      <c r="G1061" s="141">
        <f>IFERROR((HLOOKUP($AH1061,Target_monthwise!$D$4:$O$20,DTR!G$4,FALSE))*1000,0)</f>
        <v>0</v>
      </c>
      <c r="H1061" s="141">
        <f>IFERROR((HLOOKUP($AH1061,Target_monthwise!$D$4:$O$20,DTR!H$4,FALSE))*1000,0)</f>
        <v>0</v>
      </c>
      <c r="I1061" s="141">
        <f>IFERROR((HLOOKUP($AH1061,Target_monthwise!$D$4:$O$20,DTR!I$4,FALSE))*1000,0)</f>
        <v>0</v>
      </c>
      <c r="J1061" s="141">
        <f>IFERROR((HLOOKUP($AH1061,Target_monthwise!$D$4:$O$20,DTR!J$4,FALSE))*1000,0)</f>
        <v>0</v>
      </c>
      <c r="K1061" s="141">
        <f>IFERROR((HLOOKUP($AH1061,Target_monthwise!$D$4:$O$20,DTR!K$4,FALSE))*1000,0)</f>
        <v>0</v>
      </c>
      <c r="L1061" s="141">
        <f>IFERROR((HLOOKUP($AH1061,Target_monthwise!$D$4:$O$20,DTR!L$4,FALSE))*1000,0)</f>
        <v>0</v>
      </c>
      <c r="M1061" s="141">
        <f>IFERROR((HLOOKUP($AH1061,Target_monthwise!$D$4:$O$20,DTR!M$4,FALSE))*1000,0)</f>
        <v>0</v>
      </c>
      <c r="N1061" s="141">
        <f>IFERROR((HLOOKUP($AH1061,Target_monthwise!$D$4:$O$20,DTR!N$4,FALSE))*1000,0)</f>
        <v>0</v>
      </c>
      <c r="O1061" s="141">
        <f>IFERROR((HLOOKUP($AH1061,Target_monthwise!$D$4:$O$20,DTR!O$4,FALSE))*1000,0)</f>
        <v>0</v>
      </c>
      <c r="P1061" s="141">
        <f>IFERROR((HLOOKUP($AH1061,Target_monthwise!$D$4:$O$20,DTR!P$4,FALSE))*1000,0)</f>
        <v>0</v>
      </c>
      <c r="Q1061" s="141">
        <f>IFERROR((HLOOKUP($AH1061,Target_monthwise!$D$4:$O$20,DTR!Q$4,FALSE))*1000,0)</f>
        <v>0</v>
      </c>
      <c r="R1061" s="167">
        <f>IFERROR((HLOOKUP($AH1061,Target_monthwise!$D$4:$O$20,DTR!R$4,FALSE))*1000,0)</f>
        <v>0</v>
      </c>
      <c r="S1061" s="147">
        <f>IFERROR((HLOOKUP($AH1061,Target_monthwise!$D$24:$O$40,DTR!S$4,FALSE)),0)</f>
        <v>0</v>
      </c>
      <c r="T1061" s="147">
        <f>IFERROR((HLOOKUP($AH1061,Target_monthwise!$D$24:$O$40,DTR!T$4,FALSE)),0)</f>
        <v>0</v>
      </c>
      <c r="U1061" s="147">
        <f>IFERROR((HLOOKUP($AH1061,Target_monthwise!$D$24:$O$40,DTR!U$4,FALSE)),0)</f>
        <v>0</v>
      </c>
      <c r="V1061" s="147">
        <f>IFERROR((HLOOKUP($AH1061,Target_monthwise!$D$24:$O$40,DTR!V$4,FALSE)),0)</f>
        <v>0</v>
      </c>
      <c r="W1061" s="147">
        <f>IFERROR((HLOOKUP($AH1061,Target_monthwise!$D$24:$O$40,DTR!W$4,FALSE)),0)</f>
        <v>0</v>
      </c>
      <c r="X1061" s="147">
        <f>IFERROR((HLOOKUP($AH1061,Target_monthwise!$D$24:$O$40,DTR!X$4,FALSE)),0)</f>
        <v>0</v>
      </c>
      <c r="Y1061" s="147">
        <f>IFERROR((HLOOKUP($AH1061,Target_monthwise!$D$24:$O$40,DTR!Y$4,FALSE)),0)</f>
        <v>0</v>
      </c>
      <c r="Z1061" s="147">
        <f>IFERROR((HLOOKUP($AH1061,Target_monthwise!$D$24:$O$40,DTR!Z$4,FALSE)),0)</f>
        <v>0</v>
      </c>
      <c r="AA1061" s="147">
        <f>IFERROR((HLOOKUP($AH1061,Target_monthwise!$D$24:$O$40,DTR!AA$4,FALSE)),0)</f>
        <v>0</v>
      </c>
      <c r="AB1061" s="147">
        <f>IFERROR((HLOOKUP($AH1061,Target_monthwise!$D$24:$O$40,DTR!AB$4,FALSE)),0)</f>
        <v>0</v>
      </c>
      <c r="AC1061" s="147">
        <f>IFERROR((HLOOKUP($AH1061,Target_monthwise!$D$24:$O$40,DTR!AC$4,FALSE)),0)</f>
        <v>0</v>
      </c>
      <c r="AD1061" s="147">
        <f>IFERROR((HLOOKUP($AH1061,Target_monthwise!$D$24:$O$40,DTR!AD$4,FALSE)),0)</f>
        <v>0</v>
      </c>
      <c r="AE1061" s="147">
        <f>IFERROR((HLOOKUP($AH1061,Target_monthwise!$D$24:$O$40,DTR!AE$4,FALSE)),0)</f>
        <v>0</v>
      </c>
      <c r="AF1061" s="147">
        <f>IFERROR((HLOOKUP($AH1061,Target_monthwise!$D$24:$O$40,DTR!AF$4,FALSE)),0)</f>
        <v>0</v>
      </c>
      <c r="AG1061" s="172">
        <f>IFERROR((HLOOKUP($AH1061,Target_monthwise!$D$24:$O$40,DTR!AG$4,FALSE)),0)</f>
        <v>0</v>
      </c>
      <c r="AH1061" s="253">
        <f t="shared" si="18"/>
        <v>202502</v>
      </c>
    </row>
    <row r="1062" spans="3:34" ht="15.75" hidden="1">
      <c r="C1062" s="237">
        <v>45705</v>
      </c>
      <c r="D1062" s="238">
        <f>IFERROR((HLOOKUP($AH1062,Target_monthwise!$D$4:$O$20,DTR!D$4,FALSE))*1000,0)</f>
        <v>0</v>
      </c>
      <c r="E1062" s="238">
        <f>IFERROR((HLOOKUP($AH1062,Target_monthwise!$D$4:$O$20,DTR!E$4,FALSE))*1000,0)</f>
        <v>0</v>
      </c>
      <c r="F1062" s="238">
        <f>IFERROR((HLOOKUP($AH1062,Target_monthwise!$D$4:$O$20,DTR!F$4,FALSE))*1000,0)</f>
        <v>0</v>
      </c>
      <c r="G1062" s="238">
        <f>IFERROR((HLOOKUP($AH1062,Target_monthwise!$D$4:$O$20,DTR!G$4,FALSE))*1000,0)</f>
        <v>0</v>
      </c>
      <c r="H1062" s="238">
        <f>IFERROR((HLOOKUP($AH1062,Target_monthwise!$D$4:$O$20,DTR!H$4,FALSE))*1000,0)</f>
        <v>0</v>
      </c>
      <c r="I1062" s="238">
        <f>IFERROR((HLOOKUP($AH1062,Target_monthwise!$D$4:$O$20,DTR!I$4,FALSE))*1000,0)</f>
        <v>0</v>
      </c>
      <c r="J1062" s="238">
        <f>IFERROR((HLOOKUP($AH1062,Target_monthwise!$D$4:$O$20,DTR!J$4,FALSE))*1000,0)</f>
        <v>0</v>
      </c>
      <c r="K1062" s="238">
        <f>IFERROR((HLOOKUP($AH1062,Target_monthwise!$D$4:$O$20,DTR!K$4,FALSE))*1000,0)</f>
        <v>0</v>
      </c>
      <c r="L1062" s="238">
        <f>IFERROR((HLOOKUP($AH1062,Target_monthwise!$D$4:$O$20,DTR!L$4,FALSE))*1000,0)</f>
        <v>0</v>
      </c>
      <c r="M1062" s="238">
        <f>IFERROR((HLOOKUP($AH1062,Target_monthwise!$D$4:$O$20,DTR!M$4,FALSE))*1000,0)</f>
        <v>0</v>
      </c>
      <c r="N1062" s="238">
        <f>IFERROR((HLOOKUP($AH1062,Target_monthwise!$D$4:$O$20,DTR!N$4,FALSE))*1000,0)</f>
        <v>0</v>
      </c>
      <c r="O1062" s="238">
        <f>IFERROR((HLOOKUP($AH1062,Target_monthwise!$D$4:$O$20,DTR!O$4,FALSE))*1000,0)</f>
        <v>0</v>
      </c>
      <c r="P1062" s="238">
        <f>IFERROR((HLOOKUP($AH1062,Target_monthwise!$D$4:$O$20,DTR!P$4,FALSE))*1000,0)</f>
        <v>0</v>
      </c>
      <c r="Q1062" s="141">
        <f>IFERROR((HLOOKUP($AH1062,Target_monthwise!$D$4:$O$20,DTR!Q$4,FALSE))*1000,0)</f>
        <v>0</v>
      </c>
      <c r="R1062" s="167">
        <f>IFERROR((HLOOKUP($AH1062,Target_monthwise!$D$4:$O$20,DTR!R$4,FALSE))*1000,0)</f>
        <v>0</v>
      </c>
      <c r="S1062" s="239">
        <f>IFERROR((HLOOKUP($AH1062,Target_monthwise!$D$24:$O$40,DTR!S$4,FALSE)),0)</f>
        <v>0</v>
      </c>
      <c r="T1062" s="239">
        <f>IFERROR((HLOOKUP($AH1062,Target_monthwise!$D$24:$O$40,DTR!T$4,FALSE)),0)</f>
        <v>0</v>
      </c>
      <c r="U1062" s="239">
        <f>IFERROR((HLOOKUP($AH1062,Target_monthwise!$D$24:$O$40,DTR!U$4,FALSE)),0)</f>
        <v>0</v>
      </c>
      <c r="V1062" s="239">
        <f>IFERROR((HLOOKUP($AH1062,Target_monthwise!$D$24:$O$40,DTR!V$4,FALSE)),0)</f>
        <v>0</v>
      </c>
      <c r="W1062" s="239">
        <f>IFERROR((HLOOKUP($AH1062,Target_monthwise!$D$24:$O$40,DTR!W$4,FALSE)),0)</f>
        <v>0</v>
      </c>
      <c r="X1062" s="239">
        <f>IFERROR((HLOOKUP($AH1062,Target_monthwise!$D$24:$O$40,DTR!X$4,FALSE)),0)</f>
        <v>0</v>
      </c>
      <c r="Y1062" s="239">
        <f>IFERROR((HLOOKUP($AH1062,Target_monthwise!$D$24:$O$40,DTR!Y$4,FALSE)),0)</f>
        <v>0</v>
      </c>
      <c r="Z1062" s="147">
        <f>IFERROR((HLOOKUP($AH1062,Target_monthwise!$D$24:$O$40,DTR!Z$4,FALSE)),0)</f>
        <v>0</v>
      </c>
      <c r="AA1062" s="147">
        <f>IFERROR((HLOOKUP($AH1062,Target_monthwise!$D$24:$O$40,DTR!AA$4,FALSE)),0)</f>
        <v>0</v>
      </c>
      <c r="AB1062" s="147">
        <f>IFERROR((HLOOKUP($AH1062,Target_monthwise!$D$24:$O$40,DTR!AB$4,FALSE)),0)</f>
        <v>0</v>
      </c>
      <c r="AC1062" s="239">
        <f>IFERROR((HLOOKUP($AH1062,Target_monthwise!$D$24:$O$40,DTR!AC$4,FALSE)),0)</f>
        <v>0</v>
      </c>
      <c r="AD1062" s="239">
        <f>IFERROR((HLOOKUP($AH1062,Target_monthwise!$D$24:$O$40,DTR!AD$4,FALSE)),0)</f>
        <v>0</v>
      </c>
      <c r="AE1062" s="239">
        <f>IFERROR((HLOOKUP($AH1062,Target_monthwise!$D$24:$O$40,DTR!AE$4,FALSE)),0)</f>
        <v>0</v>
      </c>
      <c r="AF1062" s="239">
        <f>IFERROR((HLOOKUP($AH1062,Target_monthwise!$D$24:$O$40,DTR!AF$4,FALSE)),0)</f>
        <v>0</v>
      </c>
      <c r="AG1062" s="172">
        <f>IFERROR((HLOOKUP($AH1062,Target_monthwise!$D$24:$O$40,DTR!AG$4,FALSE)),0)</f>
        <v>0</v>
      </c>
      <c r="AH1062" s="253">
        <f t="shared" si="18"/>
        <v>202502</v>
      </c>
    </row>
    <row r="1063" spans="3:34" ht="15.75" hidden="1">
      <c r="C1063" s="235">
        <v>45706</v>
      </c>
      <c r="D1063" s="141">
        <f>IFERROR((HLOOKUP($AH1063,Target_monthwise!$D$4:$O$20,DTR!D$4,FALSE))*1000,0)</f>
        <v>0</v>
      </c>
      <c r="E1063" s="141">
        <f>IFERROR((HLOOKUP($AH1063,Target_monthwise!$D$4:$O$20,DTR!E$4,FALSE))*1000,0)</f>
        <v>0</v>
      </c>
      <c r="F1063" s="141">
        <f>IFERROR((HLOOKUP($AH1063,Target_monthwise!$D$4:$O$20,DTR!F$4,FALSE))*1000,0)</f>
        <v>0</v>
      </c>
      <c r="G1063" s="141">
        <f>IFERROR((HLOOKUP($AH1063,Target_monthwise!$D$4:$O$20,DTR!G$4,FALSE))*1000,0)</f>
        <v>0</v>
      </c>
      <c r="H1063" s="141">
        <f>IFERROR((HLOOKUP($AH1063,Target_monthwise!$D$4:$O$20,DTR!H$4,FALSE))*1000,0)</f>
        <v>0</v>
      </c>
      <c r="I1063" s="141">
        <f>IFERROR((HLOOKUP($AH1063,Target_monthwise!$D$4:$O$20,DTR!I$4,FALSE))*1000,0)</f>
        <v>0</v>
      </c>
      <c r="J1063" s="141">
        <f>IFERROR((HLOOKUP($AH1063,Target_monthwise!$D$4:$O$20,DTR!J$4,FALSE))*1000,0)</f>
        <v>0</v>
      </c>
      <c r="K1063" s="141">
        <f>IFERROR((HLOOKUP($AH1063,Target_monthwise!$D$4:$O$20,DTR!K$4,FALSE))*1000,0)</f>
        <v>0</v>
      </c>
      <c r="L1063" s="141">
        <f>IFERROR((HLOOKUP($AH1063,Target_monthwise!$D$4:$O$20,DTR!L$4,FALSE))*1000,0)</f>
        <v>0</v>
      </c>
      <c r="M1063" s="141">
        <f>IFERROR((HLOOKUP($AH1063,Target_monthwise!$D$4:$O$20,DTR!M$4,FALSE))*1000,0)</f>
        <v>0</v>
      </c>
      <c r="N1063" s="141">
        <f>IFERROR((HLOOKUP($AH1063,Target_monthwise!$D$4:$O$20,DTR!N$4,FALSE))*1000,0)</f>
        <v>0</v>
      </c>
      <c r="O1063" s="141">
        <f>IFERROR((HLOOKUP($AH1063,Target_monthwise!$D$4:$O$20,DTR!O$4,FALSE))*1000,0)</f>
        <v>0</v>
      </c>
      <c r="P1063" s="141">
        <f>IFERROR((HLOOKUP($AH1063,Target_monthwise!$D$4:$O$20,DTR!P$4,FALSE))*1000,0)</f>
        <v>0</v>
      </c>
      <c r="Q1063" s="141">
        <f>IFERROR((HLOOKUP($AH1063,Target_monthwise!$D$4:$O$20,DTR!Q$4,FALSE))*1000,0)</f>
        <v>0</v>
      </c>
      <c r="R1063" s="167">
        <f>IFERROR((HLOOKUP($AH1063,Target_monthwise!$D$4:$O$20,DTR!R$4,FALSE))*1000,0)</f>
        <v>0</v>
      </c>
      <c r="S1063" s="147">
        <f>IFERROR((HLOOKUP($AH1063,Target_monthwise!$D$24:$O$40,DTR!S$4,FALSE)),0)</f>
        <v>0</v>
      </c>
      <c r="T1063" s="147">
        <f>IFERROR((HLOOKUP($AH1063,Target_monthwise!$D$24:$O$40,DTR!T$4,FALSE)),0)</f>
        <v>0</v>
      </c>
      <c r="U1063" s="147">
        <f>IFERROR((HLOOKUP($AH1063,Target_monthwise!$D$24:$O$40,DTR!U$4,FALSE)),0)</f>
        <v>0</v>
      </c>
      <c r="V1063" s="147">
        <f>IFERROR((HLOOKUP($AH1063,Target_monthwise!$D$24:$O$40,DTR!V$4,FALSE)),0)</f>
        <v>0</v>
      </c>
      <c r="W1063" s="147">
        <f>IFERROR((HLOOKUP($AH1063,Target_monthwise!$D$24:$O$40,DTR!W$4,FALSE)),0)</f>
        <v>0</v>
      </c>
      <c r="X1063" s="147">
        <f>IFERROR((HLOOKUP($AH1063,Target_monthwise!$D$24:$O$40,DTR!X$4,FALSE)),0)</f>
        <v>0</v>
      </c>
      <c r="Y1063" s="147">
        <f>IFERROR((HLOOKUP($AH1063,Target_monthwise!$D$24:$O$40,DTR!Y$4,FALSE)),0)</f>
        <v>0</v>
      </c>
      <c r="Z1063" s="147">
        <f>IFERROR((HLOOKUP($AH1063,Target_monthwise!$D$24:$O$40,DTR!Z$4,FALSE)),0)</f>
        <v>0</v>
      </c>
      <c r="AA1063" s="147">
        <f>IFERROR((HLOOKUP($AH1063,Target_monthwise!$D$24:$O$40,DTR!AA$4,FALSE)),0)</f>
        <v>0</v>
      </c>
      <c r="AB1063" s="147">
        <f>IFERROR((HLOOKUP($AH1063,Target_monthwise!$D$24:$O$40,DTR!AB$4,FALSE)),0)</f>
        <v>0</v>
      </c>
      <c r="AC1063" s="147">
        <f>IFERROR((HLOOKUP($AH1063,Target_monthwise!$D$24:$O$40,DTR!AC$4,FALSE)),0)</f>
        <v>0</v>
      </c>
      <c r="AD1063" s="147">
        <f>IFERROR((HLOOKUP($AH1063,Target_monthwise!$D$24:$O$40,DTR!AD$4,FALSE)),0)</f>
        <v>0</v>
      </c>
      <c r="AE1063" s="147">
        <f>IFERROR((HLOOKUP($AH1063,Target_monthwise!$D$24:$O$40,DTR!AE$4,FALSE)),0)</f>
        <v>0</v>
      </c>
      <c r="AF1063" s="147">
        <f>IFERROR((HLOOKUP($AH1063,Target_monthwise!$D$24:$O$40,DTR!AF$4,FALSE)),0)</f>
        <v>0</v>
      </c>
      <c r="AG1063" s="172">
        <f>IFERROR((HLOOKUP($AH1063,Target_monthwise!$D$24:$O$40,DTR!AG$4,FALSE)),0)</f>
        <v>0</v>
      </c>
      <c r="AH1063" s="253">
        <f t="shared" si="18"/>
        <v>202502</v>
      </c>
    </row>
    <row r="1064" spans="3:34" ht="15.75" hidden="1">
      <c r="C1064" s="237">
        <v>45707</v>
      </c>
      <c r="D1064" s="238">
        <f>IFERROR((HLOOKUP($AH1064,Target_monthwise!$D$4:$O$20,DTR!D$4,FALSE))*1000,0)</f>
        <v>0</v>
      </c>
      <c r="E1064" s="238">
        <f>IFERROR((HLOOKUP($AH1064,Target_monthwise!$D$4:$O$20,DTR!E$4,FALSE))*1000,0)</f>
        <v>0</v>
      </c>
      <c r="F1064" s="238">
        <f>IFERROR((HLOOKUP($AH1064,Target_monthwise!$D$4:$O$20,DTR!F$4,FALSE))*1000,0)</f>
        <v>0</v>
      </c>
      <c r="G1064" s="238">
        <f>IFERROR((HLOOKUP($AH1064,Target_monthwise!$D$4:$O$20,DTR!G$4,FALSE))*1000,0)</f>
        <v>0</v>
      </c>
      <c r="H1064" s="238">
        <f>IFERROR((HLOOKUP($AH1064,Target_monthwise!$D$4:$O$20,DTR!H$4,FALSE))*1000,0)</f>
        <v>0</v>
      </c>
      <c r="I1064" s="238">
        <f>IFERROR((HLOOKUP($AH1064,Target_monthwise!$D$4:$O$20,DTR!I$4,FALSE))*1000,0)</f>
        <v>0</v>
      </c>
      <c r="J1064" s="238">
        <f>IFERROR((HLOOKUP($AH1064,Target_monthwise!$D$4:$O$20,DTR!J$4,FALSE))*1000,0)</f>
        <v>0</v>
      </c>
      <c r="K1064" s="238">
        <f>IFERROR((HLOOKUP($AH1064,Target_monthwise!$D$4:$O$20,DTR!K$4,FALSE))*1000,0)</f>
        <v>0</v>
      </c>
      <c r="L1064" s="238">
        <f>IFERROR((HLOOKUP($AH1064,Target_monthwise!$D$4:$O$20,DTR!L$4,FALSE))*1000,0)</f>
        <v>0</v>
      </c>
      <c r="M1064" s="238">
        <f>IFERROR((HLOOKUP($AH1064,Target_monthwise!$D$4:$O$20,DTR!M$4,FALSE))*1000,0)</f>
        <v>0</v>
      </c>
      <c r="N1064" s="238">
        <f>IFERROR((HLOOKUP($AH1064,Target_monthwise!$D$4:$O$20,DTR!N$4,FALSE))*1000,0)</f>
        <v>0</v>
      </c>
      <c r="O1064" s="238">
        <f>IFERROR((HLOOKUP($AH1064,Target_monthwise!$D$4:$O$20,DTR!O$4,FALSE))*1000,0)</f>
        <v>0</v>
      </c>
      <c r="P1064" s="238">
        <f>IFERROR((HLOOKUP($AH1064,Target_monthwise!$D$4:$O$20,DTR!P$4,FALSE))*1000,0)</f>
        <v>0</v>
      </c>
      <c r="Q1064" s="141">
        <f>IFERROR((HLOOKUP($AH1064,Target_monthwise!$D$4:$O$20,DTR!Q$4,FALSE))*1000,0)</f>
        <v>0</v>
      </c>
      <c r="R1064" s="167">
        <f>IFERROR((HLOOKUP($AH1064,Target_monthwise!$D$4:$O$20,DTR!R$4,FALSE))*1000,0)</f>
        <v>0</v>
      </c>
      <c r="S1064" s="239">
        <f>IFERROR((HLOOKUP($AH1064,Target_monthwise!$D$24:$O$40,DTR!S$4,FALSE)),0)</f>
        <v>0</v>
      </c>
      <c r="T1064" s="239">
        <f>IFERROR((HLOOKUP($AH1064,Target_monthwise!$D$24:$O$40,DTR!T$4,FALSE)),0)</f>
        <v>0</v>
      </c>
      <c r="U1064" s="239">
        <f>IFERROR((HLOOKUP($AH1064,Target_monthwise!$D$24:$O$40,DTR!U$4,FALSE)),0)</f>
        <v>0</v>
      </c>
      <c r="V1064" s="239">
        <f>IFERROR((HLOOKUP($AH1064,Target_monthwise!$D$24:$O$40,DTR!V$4,FALSE)),0)</f>
        <v>0</v>
      </c>
      <c r="W1064" s="239">
        <f>IFERROR((HLOOKUP($AH1064,Target_monthwise!$D$24:$O$40,DTR!W$4,FALSE)),0)</f>
        <v>0</v>
      </c>
      <c r="X1064" s="239">
        <f>IFERROR((HLOOKUP($AH1064,Target_monthwise!$D$24:$O$40,DTR!X$4,FALSE)),0)</f>
        <v>0</v>
      </c>
      <c r="Y1064" s="239">
        <f>IFERROR((HLOOKUP($AH1064,Target_monthwise!$D$24:$O$40,DTR!Y$4,FALSE)),0)</f>
        <v>0</v>
      </c>
      <c r="Z1064" s="147">
        <f>IFERROR((HLOOKUP($AH1064,Target_monthwise!$D$24:$O$40,DTR!Z$4,FALSE)),0)</f>
        <v>0</v>
      </c>
      <c r="AA1064" s="147">
        <f>IFERROR((HLOOKUP($AH1064,Target_monthwise!$D$24:$O$40,DTR!AA$4,FALSE)),0)</f>
        <v>0</v>
      </c>
      <c r="AB1064" s="147">
        <f>IFERROR((HLOOKUP($AH1064,Target_monthwise!$D$24:$O$40,DTR!AB$4,FALSE)),0)</f>
        <v>0</v>
      </c>
      <c r="AC1064" s="239">
        <f>IFERROR((HLOOKUP($AH1064,Target_monthwise!$D$24:$O$40,DTR!AC$4,FALSE)),0)</f>
        <v>0</v>
      </c>
      <c r="AD1064" s="239">
        <f>IFERROR((HLOOKUP($AH1064,Target_monthwise!$D$24:$O$40,DTR!AD$4,FALSE)),0)</f>
        <v>0</v>
      </c>
      <c r="AE1064" s="239">
        <f>IFERROR((HLOOKUP($AH1064,Target_monthwise!$D$24:$O$40,DTR!AE$4,FALSE)),0)</f>
        <v>0</v>
      </c>
      <c r="AF1064" s="239">
        <f>IFERROR((HLOOKUP($AH1064,Target_monthwise!$D$24:$O$40,DTR!AF$4,FALSE)),0)</f>
        <v>0</v>
      </c>
      <c r="AG1064" s="172">
        <f>IFERROR((HLOOKUP($AH1064,Target_monthwise!$D$24:$O$40,DTR!AG$4,FALSE)),0)</f>
        <v>0</v>
      </c>
      <c r="AH1064" s="253">
        <f t="shared" si="18"/>
        <v>202502</v>
      </c>
    </row>
    <row r="1065" spans="3:34" ht="15.75" hidden="1">
      <c r="C1065" s="235">
        <v>45708</v>
      </c>
      <c r="D1065" s="141">
        <f>IFERROR((HLOOKUP($AH1065,Target_monthwise!$D$4:$O$20,DTR!D$4,FALSE))*1000,0)</f>
        <v>0</v>
      </c>
      <c r="E1065" s="141">
        <f>IFERROR((HLOOKUP($AH1065,Target_monthwise!$D$4:$O$20,DTR!E$4,FALSE))*1000,0)</f>
        <v>0</v>
      </c>
      <c r="F1065" s="141">
        <f>IFERROR((HLOOKUP($AH1065,Target_monthwise!$D$4:$O$20,DTR!F$4,FALSE))*1000,0)</f>
        <v>0</v>
      </c>
      <c r="G1065" s="141">
        <f>IFERROR((HLOOKUP($AH1065,Target_monthwise!$D$4:$O$20,DTR!G$4,FALSE))*1000,0)</f>
        <v>0</v>
      </c>
      <c r="H1065" s="141">
        <f>IFERROR((HLOOKUP($AH1065,Target_monthwise!$D$4:$O$20,DTR!H$4,FALSE))*1000,0)</f>
        <v>0</v>
      </c>
      <c r="I1065" s="141">
        <f>IFERROR((HLOOKUP($AH1065,Target_monthwise!$D$4:$O$20,DTR!I$4,FALSE))*1000,0)</f>
        <v>0</v>
      </c>
      <c r="J1065" s="141">
        <f>IFERROR((HLOOKUP($AH1065,Target_monthwise!$D$4:$O$20,DTR!J$4,FALSE))*1000,0)</f>
        <v>0</v>
      </c>
      <c r="K1065" s="141">
        <f>IFERROR((HLOOKUP($AH1065,Target_monthwise!$D$4:$O$20,DTR!K$4,FALSE))*1000,0)</f>
        <v>0</v>
      </c>
      <c r="L1065" s="141">
        <f>IFERROR((HLOOKUP($AH1065,Target_monthwise!$D$4:$O$20,DTR!L$4,FALSE))*1000,0)</f>
        <v>0</v>
      </c>
      <c r="M1065" s="141">
        <f>IFERROR((HLOOKUP($AH1065,Target_monthwise!$D$4:$O$20,DTR!M$4,FALSE))*1000,0)</f>
        <v>0</v>
      </c>
      <c r="N1065" s="141">
        <f>IFERROR((HLOOKUP($AH1065,Target_monthwise!$D$4:$O$20,DTR!N$4,FALSE))*1000,0)</f>
        <v>0</v>
      </c>
      <c r="O1065" s="141">
        <f>IFERROR((HLOOKUP($AH1065,Target_monthwise!$D$4:$O$20,DTR!O$4,FALSE))*1000,0)</f>
        <v>0</v>
      </c>
      <c r="P1065" s="141">
        <f>IFERROR((HLOOKUP($AH1065,Target_monthwise!$D$4:$O$20,DTR!P$4,FALSE))*1000,0)</f>
        <v>0</v>
      </c>
      <c r="Q1065" s="141">
        <f>IFERROR((HLOOKUP($AH1065,Target_monthwise!$D$4:$O$20,DTR!Q$4,FALSE))*1000,0)</f>
        <v>0</v>
      </c>
      <c r="R1065" s="167">
        <f>IFERROR((HLOOKUP($AH1065,Target_monthwise!$D$4:$O$20,DTR!R$4,FALSE))*1000,0)</f>
        <v>0</v>
      </c>
      <c r="S1065" s="147">
        <f>IFERROR((HLOOKUP($AH1065,Target_monthwise!$D$24:$O$40,DTR!S$4,FALSE)),0)</f>
        <v>0</v>
      </c>
      <c r="T1065" s="147">
        <f>IFERROR((HLOOKUP($AH1065,Target_monthwise!$D$24:$O$40,DTR!T$4,FALSE)),0)</f>
        <v>0</v>
      </c>
      <c r="U1065" s="147">
        <f>IFERROR((HLOOKUP($AH1065,Target_monthwise!$D$24:$O$40,DTR!U$4,FALSE)),0)</f>
        <v>0</v>
      </c>
      <c r="V1065" s="147">
        <f>IFERROR((HLOOKUP($AH1065,Target_monthwise!$D$24:$O$40,DTR!V$4,FALSE)),0)</f>
        <v>0</v>
      </c>
      <c r="W1065" s="147">
        <f>IFERROR((HLOOKUP($AH1065,Target_monthwise!$D$24:$O$40,DTR!W$4,FALSE)),0)</f>
        <v>0</v>
      </c>
      <c r="X1065" s="147">
        <f>IFERROR((HLOOKUP($AH1065,Target_monthwise!$D$24:$O$40,DTR!X$4,FALSE)),0)</f>
        <v>0</v>
      </c>
      <c r="Y1065" s="147">
        <f>IFERROR((HLOOKUP($AH1065,Target_monthwise!$D$24:$O$40,DTR!Y$4,FALSE)),0)</f>
        <v>0</v>
      </c>
      <c r="Z1065" s="147">
        <f>IFERROR((HLOOKUP($AH1065,Target_monthwise!$D$24:$O$40,DTR!Z$4,FALSE)),0)</f>
        <v>0</v>
      </c>
      <c r="AA1065" s="147">
        <f>IFERROR((HLOOKUP($AH1065,Target_monthwise!$D$24:$O$40,DTR!AA$4,FALSE)),0)</f>
        <v>0</v>
      </c>
      <c r="AB1065" s="147">
        <f>IFERROR((HLOOKUP($AH1065,Target_monthwise!$D$24:$O$40,DTR!AB$4,FALSE)),0)</f>
        <v>0</v>
      </c>
      <c r="AC1065" s="147">
        <f>IFERROR((HLOOKUP($AH1065,Target_monthwise!$D$24:$O$40,DTR!AC$4,FALSE)),0)</f>
        <v>0</v>
      </c>
      <c r="AD1065" s="147">
        <f>IFERROR((HLOOKUP($AH1065,Target_monthwise!$D$24:$O$40,DTR!AD$4,FALSE)),0)</f>
        <v>0</v>
      </c>
      <c r="AE1065" s="147">
        <f>IFERROR((HLOOKUP($AH1065,Target_monthwise!$D$24:$O$40,DTR!AE$4,FALSE)),0)</f>
        <v>0</v>
      </c>
      <c r="AF1065" s="147">
        <f>IFERROR((HLOOKUP($AH1065,Target_monthwise!$D$24:$O$40,DTR!AF$4,FALSE)),0)</f>
        <v>0</v>
      </c>
      <c r="AG1065" s="172">
        <f>IFERROR((HLOOKUP($AH1065,Target_monthwise!$D$24:$O$40,DTR!AG$4,FALSE)),0)</f>
        <v>0</v>
      </c>
      <c r="AH1065" s="253">
        <f t="shared" si="18"/>
        <v>202502</v>
      </c>
    </row>
    <row r="1066" spans="3:34" ht="15.75" hidden="1">
      <c r="C1066" s="237">
        <v>45709</v>
      </c>
      <c r="D1066" s="238">
        <f>IFERROR((HLOOKUP($AH1066,Target_monthwise!$D$4:$O$20,DTR!D$4,FALSE))*1000,0)</f>
        <v>0</v>
      </c>
      <c r="E1066" s="238">
        <f>IFERROR((HLOOKUP($AH1066,Target_monthwise!$D$4:$O$20,DTR!E$4,FALSE))*1000,0)</f>
        <v>0</v>
      </c>
      <c r="F1066" s="238">
        <f>IFERROR((HLOOKUP($AH1066,Target_monthwise!$D$4:$O$20,DTR!F$4,FALSE))*1000,0)</f>
        <v>0</v>
      </c>
      <c r="G1066" s="238">
        <f>IFERROR((HLOOKUP($AH1066,Target_monthwise!$D$4:$O$20,DTR!G$4,FALSE))*1000,0)</f>
        <v>0</v>
      </c>
      <c r="H1066" s="238">
        <f>IFERROR((HLOOKUP($AH1066,Target_monthwise!$D$4:$O$20,DTR!H$4,FALSE))*1000,0)</f>
        <v>0</v>
      </c>
      <c r="I1066" s="238">
        <f>IFERROR((HLOOKUP($AH1066,Target_monthwise!$D$4:$O$20,DTR!I$4,FALSE))*1000,0)</f>
        <v>0</v>
      </c>
      <c r="J1066" s="238">
        <f>IFERROR((HLOOKUP($AH1066,Target_monthwise!$D$4:$O$20,DTR!J$4,FALSE))*1000,0)</f>
        <v>0</v>
      </c>
      <c r="K1066" s="238">
        <f>IFERROR((HLOOKUP($AH1066,Target_monthwise!$D$4:$O$20,DTR!K$4,FALSE))*1000,0)</f>
        <v>0</v>
      </c>
      <c r="L1066" s="238">
        <f>IFERROR((HLOOKUP($AH1066,Target_monthwise!$D$4:$O$20,DTR!L$4,FALSE))*1000,0)</f>
        <v>0</v>
      </c>
      <c r="M1066" s="238">
        <f>IFERROR((HLOOKUP($AH1066,Target_monthwise!$D$4:$O$20,DTR!M$4,FALSE))*1000,0)</f>
        <v>0</v>
      </c>
      <c r="N1066" s="238">
        <f>IFERROR((HLOOKUP($AH1066,Target_monthwise!$D$4:$O$20,DTR!N$4,FALSE))*1000,0)</f>
        <v>0</v>
      </c>
      <c r="O1066" s="238">
        <f>IFERROR((HLOOKUP($AH1066,Target_monthwise!$D$4:$O$20,DTR!O$4,FALSE))*1000,0)</f>
        <v>0</v>
      </c>
      <c r="P1066" s="238">
        <f>IFERROR((HLOOKUP($AH1066,Target_monthwise!$D$4:$O$20,DTR!P$4,FALSE))*1000,0)</f>
        <v>0</v>
      </c>
      <c r="Q1066" s="141">
        <f>IFERROR((HLOOKUP($AH1066,Target_monthwise!$D$4:$O$20,DTR!Q$4,FALSE))*1000,0)</f>
        <v>0</v>
      </c>
      <c r="R1066" s="167">
        <f>IFERROR((HLOOKUP($AH1066,Target_monthwise!$D$4:$O$20,DTR!R$4,FALSE))*1000,0)</f>
        <v>0</v>
      </c>
      <c r="S1066" s="239">
        <f>IFERROR((HLOOKUP($AH1066,Target_monthwise!$D$24:$O$40,DTR!S$4,FALSE)),0)</f>
        <v>0</v>
      </c>
      <c r="T1066" s="239">
        <f>IFERROR((HLOOKUP($AH1066,Target_monthwise!$D$24:$O$40,DTR!T$4,FALSE)),0)</f>
        <v>0</v>
      </c>
      <c r="U1066" s="239">
        <f>IFERROR((HLOOKUP($AH1066,Target_monthwise!$D$24:$O$40,DTR!U$4,FALSE)),0)</f>
        <v>0</v>
      </c>
      <c r="V1066" s="239">
        <f>IFERROR((HLOOKUP($AH1066,Target_monthwise!$D$24:$O$40,DTR!V$4,FALSE)),0)</f>
        <v>0</v>
      </c>
      <c r="W1066" s="239">
        <f>IFERROR((HLOOKUP($AH1066,Target_monthwise!$D$24:$O$40,DTR!W$4,FALSE)),0)</f>
        <v>0</v>
      </c>
      <c r="X1066" s="239">
        <f>IFERROR((HLOOKUP($AH1066,Target_monthwise!$D$24:$O$40,DTR!X$4,FALSE)),0)</f>
        <v>0</v>
      </c>
      <c r="Y1066" s="239">
        <f>IFERROR((HLOOKUP($AH1066,Target_monthwise!$D$24:$O$40,DTR!Y$4,FALSE)),0)</f>
        <v>0</v>
      </c>
      <c r="Z1066" s="147">
        <f>IFERROR((HLOOKUP($AH1066,Target_monthwise!$D$24:$O$40,DTR!Z$4,FALSE)),0)</f>
        <v>0</v>
      </c>
      <c r="AA1066" s="147">
        <f>IFERROR((HLOOKUP($AH1066,Target_monthwise!$D$24:$O$40,DTR!AA$4,FALSE)),0)</f>
        <v>0</v>
      </c>
      <c r="AB1066" s="147">
        <f>IFERROR((HLOOKUP($AH1066,Target_monthwise!$D$24:$O$40,DTR!AB$4,FALSE)),0)</f>
        <v>0</v>
      </c>
      <c r="AC1066" s="239">
        <f>IFERROR((HLOOKUP($AH1066,Target_monthwise!$D$24:$O$40,DTR!AC$4,FALSE)),0)</f>
        <v>0</v>
      </c>
      <c r="AD1066" s="239">
        <f>IFERROR((HLOOKUP($AH1066,Target_monthwise!$D$24:$O$40,DTR!AD$4,FALSE)),0)</f>
        <v>0</v>
      </c>
      <c r="AE1066" s="239">
        <f>IFERROR((HLOOKUP($AH1066,Target_monthwise!$D$24:$O$40,DTR!AE$4,FALSE)),0)</f>
        <v>0</v>
      </c>
      <c r="AF1066" s="239">
        <f>IFERROR((HLOOKUP($AH1066,Target_monthwise!$D$24:$O$40,DTR!AF$4,FALSE)),0)</f>
        <v>0</v>
      </c>
      <c r="AG1066" s="172">
        <f>IFERROR((HLOOKUP($AH1066,Target_monthwise!$D$24:$O$40,DTR!AG$4,FALSE)),0)</f>
        <v>0</v>
      </c>
      <c r="AH1066" s="253">
        <f t="shared" si="18"/>
        <v>202502</v>
      </c>
    </row>
    <row r="1067" spans="3:34" ht="15.75" hidden="1">
      <c r="C1067" s="235">
        <v>45710</v>
      </c>
      <c r="D1067" s="141">
        <f>IFERROR((HLOOKUP($AH1067,Target_monthwise!$D$4:$O$20,DTR!D$4,FALSE))*1000,0)</f>
        <v>0</v>
      </c>
      <c r="E1067" s="141">
        <f>IFERROR((HLOOKUP($AH1067,Target_monthwise!$D$4:$O$20,DTR!E$4,FALSE))*1000,0)</f>
        <v>0</v>
      </c>
      <c r="F1067" s="141">
        <f>IFERROR((HLOOKUP($AH1067,Target_monthwise!$D$4:$O$20,DTR!F$4,FALSE))*1000,0)</f>
        <v>0</v>
      </c>
      <c r="G1067" s="141">
        <f>IFERROR((HLOOKUP($AH1067,Target_monthwise!$D$4:$O$20,DTR!G$4,FALSE))*1000,0)</f>
        <v>0</v>
      </c>
      <c r="H1067" s="141">
        <f>IFERROR((HLOOKUP($AH1067,Target_monthwise!$D$4:$O$20,DTR!H$4,FALSE))*1000,0)</f>
        <v>0</v>
      </c>
      <c r="I1067" s="141">
        <f>IFERROR((HLOOKUP($AH1067,Target_monthwise!$D$4:$O$20,DTR!I$4,FALSE))*1000,0)</f>
        <v>0</v>
      </c>
      <c r="J1067" s="141">
        <f>IFERROR((HLOOKUP($AH1067,Target_monthwise!$D$4:$O$20,DTR!J$4,FALSE))*1000,0)</f>
        <v>0</v>
      </c>
      <c r="K1067" s="141">
        <f>IFERROR((HLOOKUP($AH1067,Target_monthwise!$D$4:$O$20,DTR!K$4,FALSE))*1000,0)</f>
        <v>0</v>
      </c>
      <c r="L1067" s="141">
        <f>IFERROR((HLOOKUP($AH1067,Target_monthwise!$D$4:$O$20,DTR!L$4,FALSE))*1000,0)</f>
        <v>0</v>
      </c>
      <c r="M1067" s="141">
        <f>IFERROR((HLOOKUP($AH1067,Target_monthwise!$D$4:$O$20,DTR!M$4,FALSE))*1000,0)</f>
        <v>0</v>
      </c>
      <c r="N1067" s="141">
        <f>IFERROR((HLOOKUP($AH1067,Target_monthwise!$D$4:$O$20,DTR!N$4,FALSE))*1000,0)</f>
        <v>0</v>
      </c>
      <c r="O1067" s="141">
        <f>IFERROR((HLOOKUP($AH1067,Target_monthwise!$D$4:$O$20,DTR!O$4,FALSE))*1000,0)</f>
        <v>0</v>
      </c>
      <c r="P1067" s="141">
        <f>IFERROR((HLOOKUP($AH1067,Target_monthwise!$D$4:$O$20,DTR!P$4,FALSE))*1000,0)</f>
        <v>0</v>
      </c>
      <c r="Q1067" s="141">
        <f>IFERROR((HLOOKUP($AH1067,Target_monthwise!$D$4:$O$20,DTR!Q$4,FALSE))*1000,0)</f>
        <v>0</v>
      </c>
      <c r="R1067" s="167">
        <f>IFERROR((HLOOKUP($AH1067,Target_monthwise!$D$4:$O$20,DTR!R$4,FALSE))*1000,0)</f>
        <v>0</v>
      </c>
      <c r="S1067" s="147">
        <f>IFERROR((HLOOKUP($AH1067,Target_monthwise!$D$24:$O$40,DTR!S$4,FALSE)),0)</f>
        <v>0</v>
      </c>
      <c r="T1067" s="147">
        <f>IFERROR((HLOOKUP($AH1067,Target_monthwise!$D$24:$O$40,DTR!T$4,FALSE)),0)</f>
        <v>0</v>
      </c>
      <c r="U1067" s="147">
        <f>IFERROR((HLOOKUP($AH1067,Target_monthwise!$D$24:$O$40,DTR!U$4,FALSE)),0)</f>
        <v>0</v>
      </c>
      <c r="V1067" s="147">
        <f>IFERROR((HLOOKUP($AH1067,Target_monthwise!$D$24:$O$40,DTR!V$4,FALSE)),0)</f>
        <v>0</v>
      </c>
      <c r="W1067" s="147">
        <f>IFERROR((HLOOKUP($AH1067,Target_monthwise!$D$24:$O$40,DTR!W$4,FALSE)),0)</f>
        <v>0</v>
      </c>
      <c r="X1067" s="147">
        <f>IFERROR((HLOOKUP($AH1067,Target_monthwise!$D$24:$O$40,DTR!X$4,FALSE)),0)</f>
        <v>0</v>
      </c>
      <c r="Y1067" s="147">
        <f>IFERROR((HLOOKUP($AH1067,Target_monthwise!$D$24:$O$40,DTR!Y$4,FALSE)),0)</f>
        <v>0</v>
      </c>
      <c r="Z1067" s="147">
        <f>IFERROR((HLOOKUP($AH1067,Target_monthwise!$D$24:$O$40,DTR!Z$4,FALSE)),0)</f>
        <v>0</v>
      </c>
      <c r="AA1067" s="147">
        <f>IFERROR((HLOOKUP($AH1067,Target_monthwise!$D$24:$O$40,DTR!AA$4,FALSE)),0)</f>
        <v>0</v>
      </c>
      <c r="AB1067" s="147">
        <f>IFERROR((HLOOKUP($AH1067,Target_monthwise!$D$24:$O$40,DTR!AB$4,FALSE)),0)</f>
        <v>0</v>
      </c>
      <c r="AC1067" s="147">
        <f>IFERROR((HLOOKUP($AH1067,Target_monthwise!$D$24:$O$40,DTR!AC$4,FALSE)),0)</f>
        <v>0</v>
      </c>
      <c r="AD1067" s="147">
        <f>IFERROR((HLOOKUP($AH1067,Target_monthwise!$D$24:$O$40,DTR!AD$4,FALSE)),0)</f>
        <v>0</v>
      </c>
      <c r="AE1067" s="147">
        <f>IFERROR((HLOOKUP($AH1067,Target_monthwise!$D$24:$O$40,DTR!AE$4,FALSE)),0)</f>
        <v>0</v>
      </c>
      <c r="AF1067" s="147">
        <f>IFERROR((HLOOKUP($AH1067,Target_monthwise!$D$24:$O$40,DTR!AF$4,FALSE)),0)</f>
        <v>0</v>
      </c>
      <c r="AG1067" s="172">
        <f>IFERROR((HLOOKUP($AH1067,Target_monthwise!$D$24:$O$40,DTR!AG$4,FALSE)),0)</f>
        <v>0</v>
      </c>
      <c r="AH1067" s="253">
        <f t="shared" si="18"/>
        <v>202502</v>
      </c>
    </row>
    <row r="1068" spans="3:34" ht="15.75" hidden="1">
      <c r="C1068" s="237">
        <v>45711</v>
      </c>
      <c r="D1068" s="238">
        <f>IFERROR((HLOOKUP($AH1068,Target_monthwise!$D$4:$O$20,DTR!D$4,FALSE))*1000,0)</f>
        <v>0</v>
      </c>
      <c r="E1068" s="238">
        <f>IFERROR((HLOOKUP($AH1068,Target_monthwise!$D$4:$O$20,DTR!E$4,FALSE))*1000,0)</f>
        <v>0</v>
      </c>
      <c r="F1068" s="238">
        <f>IFERROR((HLOOKUP($AH1068,Target_monthwise!$D$4:$O$20,DTR!F$4,FALSE))*1000,0)</f>
        <v>0</v>
      </c>
      <c r="G1068" s="238">
        <f>IFERROR((HLOOKUP($AH1068,Target_monthwise!$D$4:$O$20,DTR!G$4,FALSE))*1000,0)</f>
        <v>0</v>
      </c>
      <c r="H1068" s="238">
        <f>IFERROR((HLOOKUP($AH1068,Target_monthwise!$D$4:$O$20,DTR!H$4,FALSE))*1000,0)</f>
        <v>0</v>
      </c>
      <c r="I1068" s="238">
        <f>IFERROR((HLOOKUP($AH1068,Target_monthwise!$D$4:$O$20,DTR!I$4,FALSE))*1000,0)</f>
        <v>0</v>
      </c>
      <c r="J1068" s="238">
        <f>IFERROR((HLOOKUP($AH1068,Target_monthwise!$D$4:$O$20,DTR!J$4,FALSE))*1000,0)</f>
        <v>0</v>
      </c>
      <c r="K1068" s="238">
        <f>IFERROR((HLOOKUP($AH1068,Target_monthwise!$D$4:$O$20,DTR!K$4,FALSE))*1000,0)</f>
        <v>0</v>
      </c>
      <c r="L1068" s="238">
        <f>IFERROR((HLOOKUP($AH1068,Target_monthwise!$D$4:$O$20,DTR!L$4,FALSE))*1000,0)</f>
        <v>0</v>
      </c>
      <c r="M1068" s="238">
        <f>IFERROR((HLOOKUP($AH1068,Target_monthwise!$D$4:$O$20,DTR!M$4,FALSE))*1000,0)</f>
        <v>0</v>
      </c>
      <c r="N1068" s="238">
        <f>IFERROR((HLOOKUP($AH1068,Target_monthwise!$D$4:$O$20,DTR!N$4,FALSE))*1000,0)</f>
        <v>0</v>
      </c>
      <c r="O1068" s="238">
        <f>IFERROR((HLOOKUP($AH1068,Target_monthwise!$D$4:$O$20,DTR!O$4,FALSE))*1000,0)</f>
        <v>0</v>
      </c>
      <c r="P1068" s="238">
        <f>IFERROR((HLOOKUP($AH1068,Target_monthwise!$D$4:$O$20,DTR!P$4,FALSE))*1000,0)</f>
        <v>0</v>
      </c>
      <c r="Q1068" s="141">
        <f>IFERROR((HLOOKUP($AH1068,Target_monthwise!$D$4:$O$20,DTR!Q$4,FALSE))*1000,0)</f>
        <v>0</v>
      </c>
      <c r="R1068" s="167">
        <f>IFERROR((HLOOKUP($AH1068,Target_monthwise!$D$4:$O$20,DTR!R$4,FALSE))*1000,0)</f>
        <v>0</v>
      </c>
      <c r="S1068" s="239">
        <f>IFERROR((HLOOKUP($AH1068,Target_monthwise!$D$24:$O$40,DTR!S$4,FALSE)),0)</f>
        <v>0</v>
      </c>
      <c r="T1068" s="239">
        <f>IFERROR((HLOOKUP($AH1068,Target_monthwise!$D$24:$O$40,DTR!T$4,FALSE)),0)</f>
        <v>0</v>
      </c>
      <c r="U1068" s="239">
        <f>IFERROR((HLOOKUP($AH1068,Target_monthwise!$D$24:$O$40,DTR!U$4,FALSE)),0)</f>
        <v>0</v>
      </c>
      <c r="V1068" s="239">
        <f>IFERROR((HLOOKUP($AH1068,Target_monthwise!$D$24:$O$40,DTR!V$4,FALSE)),0)</f>
        <v>0</v>
      </c>
      <c r="W1068" s="239">
        <f>IFERROR((HLOOKUP($AH1068,Target_monthwise!$D$24:$O$40,DTR!W$4,FALSE)),0)</f>
        <v>0</v>
      </c>
      <c r="X1068" s="239">
        <f>IFERROR((HLOOKUP($AH1068,Target_monthwise!$D$24:$O$40,DTR!X$4,FALSE)),0)</f>
        <v>0</v>
      </c>
      <c r="Y1068" s="239">
        <f>IFERROR((HLOOKUP($AH1068,Target_monthwise!$D$24:$O$40,DTR!Y$4,FALSE)),0)</f>
        <v>0</v>
      </c>
      <c r="Z1068" s="147">
        <f>IFERROR((HLOOKUP($AH1068,Target_monthwise!$D$24:$O$40,DTR!Z$4,FALSE)),0)</f>
        <v>0</v>
      </c>
      <c r="AA1068" s="147">
        <f>IFERROR((HLOOKUP($AH1068,Target_monthwise!$D$24:$O$40,DTR!AA$4,FALSE)),0)</f>
        <v>0</v>
      </c>
      <c r="AB1068" s="147">
        <f>IFERROR((HLOOKUP($AH1068,Target_monthwise!$D$24:$O$40,DTR!AB$4,FALSE)),0)</f>
        <v>0</v>
      </c>
      <c r="AC1068" s="239">
        <f>IFERROR((HLOOKUP($AH1068,Target_monthwise!$D$24:$O$40,DTR!AC$4,FALSE)),0)</f>
        <v>0</v>
      </c>
      <c r="AD1068" s="239">
        <f>IFERROR((HLOOKUP($AH1068,Target_monthwise!$D$24:$O$40,DTR!AD$4,FALSE)),0)</f>
        <v>0</v>
      </c>
      <c r="AE1068" s="239">
        <f>IFERROR((HLOOKUP($AH1068,Target_monthwise!$D$24:$O$40,DTR!AE$4,FALSE)),0)</f>
        <v>0</v>
      </c>
      <c r="AF1068" s="239">
        <f>IFERROR((HLOOKUP($AH1068,Target_monthwise!$D$24:$O$40,DTR!AF$4,FALSE)),0)</f>
        <v>0</v>
      </c>
      <c r="AG1068" s="172">
        <f>IFERROR((HLOOKUP($AH1068,Target_monthwise!$D$24:$O$40,DTR!AG$4,FALSE)),0)</f>
        <v>0</v>
      </c>
      <c r="AH1068" s="253">
        <f t="shared" si="18"/>
        <v>202502</v>
      </c>
    </row>
    <row r="1069" spans="3:34" ht="15.75" hidden="1">
      <c r="C1069" s="235">
        <v>45712</v>
      </c>
      <c r="D1069" s="141">
        <f>IFERROR((HLOOKUP($AH1069,Target_monthwise!$D$4:$O$20,DTR!D$4,FALSE))*1000,0)</f>
        <v>0</v>
      </c>
      <c r="E1069" s="141">
        <f>IFERROR((HLOOKUP($AH1069,Target_monthwise!$D$4:$O$20,DTR!E$4,FALSE))*1000,0)</f>
        <v>0</v>
      </c>
      <c r="F1069" s="141">
        <f>IFERROR((HLOOKUP($AH1069,Target_monthwise!$D$4:$O$20,DTR!F$4,FALSE))*1000,0)</f>
        <v>0</v>
      </c>
      <c r="G1069" s="141">
        <f>IFERROR((HLOOKUP($AH1069,Target_monthwise!$D$4:$O$20,DTR!G$4,FALSE))*1000,0)</f>
        <v>0</v>
      </c>
      <c r="H1069" s="141">
        <f>IFERROR((HLOOKUP($AH1069,Target_monthwise!$D$4:$O$20,DTR!H$4,FALSE))*1000,0)</f>
        <v>0</v>
      </c>
      <c r="I1069" s="141">
        <f>IFERROR((HLOOKUP($AH1069,Target_monthwise!$D$4:$O$20,DTR!I$4,FALSE))*1000,0)</f>
        <v>0</v>
      </c>
      <c r="J1069" s="141">
        <f>IFERROR((HLOOKUP($AH1069,Target_monthwise!$D$4:$O$20,DTR!J$4,FALSE))*1000,0)</f>
        <v>0</v>
      </c>
      <c r="K1069" s="141">
        <f>IFERROR((HLOOKUP($AH1069,Target_monthwise!$D$4:$O$20,DTR!K$4,FALSE))*1000,0)</f>
        <v>0</v>
      </c>
      <c r="L1069" s="141">
        <f>IFERROR((HLOOKUP($AH1069,Target_monthwise!$D$4:$O$20,DTR!L$4,FALSE))*1000,0)</f>
        <v>0</v>
      </c>
      <c r="M1069" s="141">
        <f>IFERROR((HLOOKUP($AH1069,Target_monthwise!$D$4:$O$20,DTR!M$4,FALSE))*1000,0)</f>
        <v>0</v>
      </c>
      <c r="N1069" s="141">
        <f>IFERROR((HLOOKUP($AH1069,Target_monthwise!$D$4:$O$20,DTR!N$4,FALSE))*1000,0)</f>
        <v>0</v>
      </c>
      <c r="O1069" s="141">
        <f>IFERROR((HLOOKUP($AH1069,Target_monthwise!$D$4:$O$20,DTR!O$4,FALSE))*1000,0)</f>
        <v>0</v>
      </c>
      <c r="P1069" s="141">
        <f>IFERROR((HLOOKUP($AH1069,Target_monthwise!$D$4:$O$20,DTR!P$4,FALSE))*1000,0)</f>
        <v>0</v>
      </c>
      <c r="Q1069" s="141">
        <f>IFERROR((HLOOKUP($AH1069,Target_monthwise!$D$4:$O$20,DTR!Q$4,FALSE))*1000,0)</f>
        <v>0</v>
      </c>
      <c r="R1069" s="167">
        <f>IFERROR((HLOOKUP($AH1069,Target_monthwise!$D$4:$O$20,DTR!R$4,FALSE))*1000,0)</f>
        <v>0</v>
      </c>
      <c r="S1069" s="147">
        <f>IFERROR((HLOOKUP($AH1069,Target_monthwise!$D$24:$O$40,DTR!S$4,FALSE)),0)</f>
        <v>0</v>
      </c>
      <c r="T1069" s="147">
        <f>IFERROR((HLOOKUP($AH1069,Target_monthwise!$D$24:$O$40,DTR!T$4,FALSE)),0)</f>
        <v>0</v>
      </c>
      <c r="U1069" s="147">
        <f>IFERROR((HLOOKUP($AH1069,Target_monthwise!$D$24:$O$40,DTR!U$4,FALSE)),0)</f>
        <v>0</v>
      </c>
      <c r="V1069" s="147">
        <f>IFERROR((HLOOKUP($AH1069,Target_monthwise!$D$24:$O$40,DTR!V$4,FALSE)),0)</f>
        <v>0</v>
      </c>
      <c r="W1069" s="147">
        <f>IFERROR((HLOOKUP($AH1069,Target_monthwise!$D$24:$O$40,DTR!W$4,FALSE)),0)</f>
        <v>0</v>
      </c>
      <c r="X1069" s="147">
        <f>IFERROR((HLOOKUP($AH1069,Target_monthwise!$D$24:$O$40,DTR!X$4,FALSE)),0)</f>
        <v>0</v>
      </c>
      <c r="Y1069" s="147">
        <f>IFERROR((HLOOKUP($AH1069,Target_monthwise!$D$24:$O$40,DTR!Y$4,FALSE)),0)</f>
        <v>0</v>
      </c>
      <c r="Z1069" s="147">
        <f>IFERROR((HLOOKUP($AH1069,Target_monthwise!$D$24:$O$40,DTR!Z$4,FALSE)),0)</f>
        <v>0</v>
      </c>
      <c r="AA1069" s="147">
        <f>IFERROR((HLOOKUP($AH1069,Target_monthwise!$D$24:$O$40,DTR!AA$4,FALSE)),0)</f>
        <v>0</v>
      </c>
      <c r="AB1069" s="147">
        <f>IFERROR((HLOOKUP($AH1069,Target_monthwise!$D$24:$O$40,DTR!AB$4,FALSE)),0)</f>
        <v>0</v>
      </c>
      <c r="AC1069" s="147">
        <f>IFERROR((HLOOKUP($AH1069,Target_monthwise!$D$24:$O$40,DTR!AC$4,FALSE)),0)</f>
        <v>0</v>
      </c>
      <c r="AD1069" s="147">
        <f>IFERROR((HLOOKUP($AH1069,Target_monthwise!$D$24:$O$40,DTR!AD$4,FALSE)),0)</f>
        <v>0</v>
      </c>
      <c r="AE1069" s="147">
        <f>IFERROR((HLOOKUP($AH1069,Target_monthwise!$D$24:$O$40,DTR!AE$4,FALSE)),0)</f>
        <v>0</v>
      </c>
      <c r="AF1069" s="147">
        <f>IFERROR((HLOOKUP($AH1069,Target_monthwise!$D$24:$O$40,DTR!AF$4,FALSE)),0)</f>
        <v>0</v>
      </c>
      <c r="AG1069" s="172">
        <f>IFERROR((HLOOKUP($AH1069,Target_monthwise!$D$24:$O$40,DTR!AG$4,FALSE)),0)</f>
        <v>0</v>
      </c>
      <c r="AH1069" s="253">
        <f t="shared" si="18"/>
        <v>202502</v>
      </c>
    </row>
    <row r="1070" spans="3:34" ht="15.75" hidden="1">
      <c r="C1070" s="237">
        <v>45713</v>
      </c>
      <c r="D1070" s="238">
        <f>IFERROR((HLOOKUP($AH1070,Target_monthwise!$D$4:$O$20,DTR!D$4,FALSE))*1000,0)</f>
        <v>0</v>
      </c>
      <c r="E1070" s="238">
        <f>IFERROR((HLOOKUP($AH1070,Target_monthwise!$D$4:$O$20,DTR!E$4,FALSE))*1000,0)</f>
        <v>0</v>
      </c>
      <c r="F1070" s="238">
        <f>IFERROR((HLOOKUP($AH1070,Target_monthwise!$D$4:$O$20,DTR!F$4,FALSE))*1000,0)</f>
        <v>0</v>
      </c>
      <c r="G1070" s="238">
        <f>IFERROR((HLOOKUP($AH1070,Target_monthwise!$D$4:$O$20,DTR!G$4,FALSE))*1000,0)</f>
        <v>0</v>
      </c>
      <c r="H1070" s="238">
        <f>IFERROR((HLOOKUP($AH1070,Target_monthwise!$D$4:$O$20,DTR!H$4,FALSE))*1000,0)</f>
        <v>0</v>
      </c>
      <c r="I1070" s="238">
        <f>IFERROR((HLOOKUP($AH1070,Target_monthwise!$D$4:$O$20,DTR!I$4,FALSE))*1000,0)</f>
        <v>0</v>
      </c>
      <c r="J1070" s="238">
        <f>IFERROR((HLOOKUP($AH1070,Target_monthwise!$D$4:$O$20,DTR!J$4,FALSE))*1000,0)</f>
        <v>0</v>
      </c>
      <c r="K1070" s="238">
        <f>IFERROR((HLOOKUP($AH1070,Target_monthwise!$D$4:$O$20,DTR!K$4,FALSE))*1000,0)</f>
        <v>0</v>
      </c>
      <c r="L1070" s="238">
        <f>IFERROR((HLOOKUP($AH1070,Target_monthwise!$D$4:$O$20,DTR!L$4,FALSE))*1000,0)</f>
        <v>0</v>
      </c>
      <c r="M1070" s="238">
        <f>IFERROR((HLOOKUP($AH1070,Target_monthwise!$D$4:$O$20,DTR!M$4,FALSE))*1000,0)</f>
        <v>0</v>
      </c>
      <c r="N1070" s="238">
        <f>IFERROR((HLOOKUP($AH1070,Target_monthwise!$D$4:$O$20,DTR!N$4,FALSE))*1000,0)</f>
        <v>0</v>
      </c>
      <c r="O1070" s="238">
        <f>IFERROR((HLOOKUP($AH1070,Target_monthwise!$D$4:$O$20,DTR!O$4,FALSE))*1000,0)</f>
        <v>0</v>
      </c>
      <c r="P1070" s="238">
        <f>IFERROR((HLOOKUP($AH1070,Target_monthwise!$D$4:$O$20,DTR!P$4,FALSE))*1000,0)</f>
        <v>0</v>
      </c>
      <c r="Q1070" s="141">
        <f>IFERROR((HLOOKUP($AH1070,Target_monthwise!$D$4:$O$20,DTR!Q$4,FALSE))*1000,0)</f>
        <v>0</v>
      </c>
      <c r="R1070" s="167">
        <f>IFERROR((HLOOKUP($AH1070,Target_monthwise!$D$4:$O$20,DTR!R$4,FALSE))*1000,0)</f>
        <v>0</v>
      </c>
      <c r="S1070" s="239">
        <f>IFERROR((HLOOKUP($AH1070,Target_monthwise!$D$24:$O$40,DTR!S$4,FALSE)),0)</f>
        <v>0</v>
      </c>
      <c r="T1070" s="239">
        <f>IFERROR((HLOOKUP($AH1070,Target_monthwise!$D$24:$O$40,DTR!T$4,FALSE)),0)</f>
        <v>0</v>
      </c>
      <c r="U1070" s="239">
        <f>IFERROR((HLOOKUP($AH1070,Target_monthwise!$D$24:$O$40,DTR!U$4,FALSE)),0)</f>
        <v>0</v>
      </c>
      <c r="V1070" s="239">
        <f>IFERROR((HLOOKUP($AH1070,Target_monthwise!$D$24:$O$40,DTR!V$4,FALSE)),0)</f>
        <v>0</v>
      </c>
      <c r="W1070" s="239">
        <f>IFERROR((HLOOKUP($AH1070,Target_monthwise!$D$24:$O$40,DTR!W$4,FALSE)),0)</f>
        <v>0</v>
      </c>
      <c r="X1070" s="239">
        <f>IFERROR((HLOOKUP($AH1070,Target_monthwise!$D$24:$O$40,DTR!X$4,FALSE)),0)</f>
        <v>0</v>
      </c>
      <c r="Y1070" s="239">
        <f>IFERROR((HLOOKUP($AH1070,Target_monthwise!$D$24:$O$40,DTR!Y$4,FALSE)),0)</f>
        <v>0</v>
      </c>
      <c r="Z1070" s="147">
        <f>IFERROR((HLOOKUP($AH1070,Target_monthwise!$D$24:$O$40,DTR!Z$4,FALSE)),0)</f>
        <v>0</v>
      </c>
      <c r="AA1070" s="147">
        <f>IFERROR((HLOOKUP($AH1070,Target_monthwise!$D$24:$O$40,DTR!AA$4,FALSE)),0)</f>
        <v>0</v>
      </c>
      <c r="AB1070" s="147">
        <f>IFERROR((HLOOKUP($AH1070,Target_monthwise!$D$24:$O$40,DTR!AB$4,FALSE)),0)</f>
        <v>0</v>
      </c>
      <c r="AC1070" s="239">
        <f>IFERROR((HLOOKUP($AH1070,Target_monthwise!$D$24:$O$40,DTR!AC$4,FALSE)),0)</f>
        <v>0</v>
      </c>
      <c r="AD1070" s="239">
        <f>IFERROR((HLOOKUP($AH1070,Target_monthwise!$D$24:$O$40,DTR!AD$4,FALSE)),0)</f>
        <v>0</v>
      </c>
      <c r="AE1070" s="239">
        <f>IFERROR((HLOOKUP($AH1070,Target_monthwise!$D$24:$O$40,DTR!AE$4,FALSE)),0)</f>
        <v>0</v>
      </c>
      <c r="AF1070" s="239">
        <f>IFERROR((HLOOKUP($AH1070,Target_monthwise!$D$24:$O$40,DTR!AF$4,FALSE)),0)</f>
        <v>0</v>
      </c>
      <c r="AG1070" s="172">
        <f>IFERROR((HLOOKUP($AH1070,Target_monthwise!$D$24:$O$40,DTR!AG$4,FALSE)),0)</f>
        <v>0</v>
      </c>
      <c r="AH1070" s="253">
        <f t="shared" si="18"/>
        <v>202502</v>
      </c>
    </row>
    <row r="1071" spans="3:34" ht="15.75" hidden="1">
      <c r="C1071" s="235">
        <v>45714</v>
      </c>
      <c r="D1071" s="141">
        <f>IFERROR((HLOOKUP($AH1071,Target_monthwise!$D$4:$O$20,DTR!D$4,FALSE))*1000,0)</f>
        <v>0</v>
      </c>
      <c r="E1071" s="141">
        <f>IFERROR((HLOOKUP($AH1071,Target_monthwise!$D$4:$O$20,DTR!E$4,FALSE))*1000,0)</f>
        <v>0</v>
      </c>
      <c r="F1071" s="141">
        <f>IFERROR((HLOOKUP($AH1071,Target_monthwise!$D$4:$O$20,DTR!F$4,FALSE))*1000,0)</f>
        <v>0</v>
      </c>
      <c r="G1071" s="141">
        <f>IFERROR((HLOOKUP($AH1071,Target_monthwise!$D$4:$O$20,DTR!G$4,FALSE))*1000,0)</f>
        <v>0</v>
      </c>
      <c r="H1071" s="141">
        <f>IFERROR((HLOOKUP($AH1071,Target_monthwise!$D$4:$O$20,DTR!H$4,FALSE))*1000,0)</f>
        <v>0</v>
      </c>
      <c r="I1071" s="141">
        <f>IFERROR((HLOOKUP($AH1071,Target_monthwise!$D$4:$O$20,DTR!I$4,FALSE))*1000,0)</f>
        <v>0</v>
      </c>
      <c r="J1071" s="141">
        <f>IFERROR((HLOOKUP($AH1071,Target_monthwise!$D$4:$O$20,DTR!J$4,FALSE))*1000,0)</f>
        <v>0</v>
      </c>
      <c r="K1071" s="141">
        <f>IFERROR((HLOOKUP($AH1071,Target_monthwise!$D$4:$O$20,DTR!K$4,FALSE))*1000,0)</f>
        <v>0</v>
      </c>
      <c r="L1071" s="141">
        <f>IFERROR((HLOOKUP($AH1071,Target_monthwise!$D$4:$O$20,DTR!L$4,FALSE))*1000,0)</f>
        <v>0</v>
      </c>
      <c r="M1071" s="141">
        <f>IFERROR((HLOOKUP($AH1071,Target_monthwise!$D$4:$O$20,DTR!M$4,FALSE))*1000,0)</f>
        <v>0</v>
      </c>
      <c r="N1071" s="141">
        <f>IFERROR((HLOOKUP($AH1071,Target_monthwise!$D$4:$O$20,DTR!N$4,FALSE))*1000,0)</f>
        <v>0</v>
      </c>
      <c r="O1071" s="141">
        <f>IFERROR((HLOOKUP($AH1071,Target_monthwise!$D$4:$O$20,DTR!O$4,FALSE))*1000,0)</f>
        <v>0</v>
      </c>
      <c r="P1071" s="141">
        <f>IFERROR((HLOOKUP($AH1071,Target_monthwise!$D$4:$O$20,DTR!P$4,FALSE))*1000,0)</f>
        <v>0</v>
      </c>
      <c r="Q1071" s="141">
        <f>IFERROR((HLOOKUP($AH1071,Target_monthwise!$D$4:$O$20,DTR!Q$4,FALSE))*1000,0)</f>
        <v>0</v>
      </c>
      <c r="R1071" s="167">
        <f>IFERROR((HLOOKUP($AH1071,Target_monthwise!$D$4:$O$20,DTR!R$4,FALSE))*1000,0)</f>
        <v>0</v>
      </c>
      <c r="S1071" s="147">
        <f>IFERROR((HLOOKUP($AH1071,Target_monthwise!$D$24:$O$40,DTR!S$4,FALSE)),0)</f>
        <v>0</v>
      </c>
      <c r="T1071" s="147">
        <f>IFERROR((HLOOKUP($AH1071,Target_monthwise!$D$24:$O$40,DTR!T$4,FALSE)),0)</f>
        <v>0</v>
      </c>
      <c r="U1071" s="147">
        <f>IFERROR((HLOOKUP($AH1071,Target_monthwise!$D$24:$O$40,DTR!U$4,FALSE)),0)</f>
        <v>0</v>
      </c>
      <c r="V1071" s="147">
        <f>IFERROR((HLOOKUP($AH1071,Target_monthwise!$D$24:$O$40,DTR!V$4,FALSE)),0)</f>
        <v>0</v>
      </c>
      <c r="W1071" s="147">
        <f>IFERROR((HLOOKUP($AH1071,Target_monthwise!$D$24:$O$40,DTR!W$4,FALSE)),0)</f>
        <v>0</v>
      </c>
      <c r="X1071" s="147">
        <f>IFERROR((HLOOKUP($AH1071,Target_monthwise!$D$24:$O$40,DTR!X$4,FALSE)),0)</f>
        <v>0</v>
      </c>
      <c r="Y1071" s="147">
        <f>IFERROR((HLOOKUP($AH1071,Target_monthwise!$D$24:$O$40,DTR!Y$4,FALSE)),0)</f>
        <v>0</v>
      </c>
      <c r="Z1071" s="147">
        <f>IFERROR((HLOOKUP($AH1071,Target_monthwise!$D$24:$O$40,DTR!Z$4,FALSE)),0)</f>
        <v>0</v>
      </c>
      <c r="AA1071" s="147">
        <f>IFERROR((HLOOKUP($AH1071,Target_monthwise!$D$24:$O$40,DTR!AA$4,FALSE)),0)</f>
        <v>0</v>
      </c>
      <c r="AB1071" s="147">
        <f>IFERROR((HLOOKUP($AH1071,Target_monthwise!$D$24:$O$40,DTR!AB$4,FALSE)),0)</f>
        <v>0</v>
      </c>
      <c r="AC1071" s="147">
        <f>IFERROR((HLOOKUP($AH1071,Target_monthwise!$D$24:$O$40,DTR!AC$4,FALSE)),0)</f>
        <v>0</v>
      </c>
      <c r="AD1071" s="147">
        <f>IFERROR((HLOOKUP($AH1071,Target_monthwise!$D$24:$O$40,DTR!AD$4,FALSE)),0)</f>
        <v>0</v>
      </c>
      <c r="AE1071" s="147">
        <f>IFERROR((HLOOKUP($AH1071,Target_monthwise!$D$24:$O$40,DTR!AE$4,FALSE)),0)</f>
        <v>0</v>
      </c>
      <c r="AF1071" s="147">
        <f>IFERROR((HLOOKUP($AH1071,Target_monthwise!$D$24:$O$40,DTR!AF$4,FALSE)),0)</f>
        <v>0</v>
      </c>
      <c r="AG1071" s="172">
        <f>IFERROR((HLOOKUP($AH1071,Target_monthwise!$D$24:$O$40,DTR!AG$4,FALSE)),0)</f>
        <v>0</v>
      </c>
      <c r="AH1071" s="253">
        <f t="shared" si="18"/>
        <v>202502</v>
      </c>
    </row>
    <row r="1072" spans="3:34" ht="15.75" hidden="1">
      <c r="C1072" s="237">
        <v>45715</v>
      </c>
      <c r="D1072" s="238">
        <f>IFERROR((HLOOKUP($AH1072,Target_monthwise!$D$4:$O$20,DTR!D$4,FALSE))*1000,0)</f>
        <v>0</v>
      </c>
      <c r="E1072" s="238">
        <f>IFERROR((HLOOKUP($AH1072,Target_monthwise!$D$4:$O$20,DTR!E$4,FALSE))*1000,0)</f>
        <v>0</v>
      </c>
      <c r="F1072" s="238">
        <f>IFERROR((HLOOKUP($AH1072,Target_monthwise!$D$4:$O$20,DTR!F$4,FALSE))*1000,0)</f>
        <v>0</v>
      </c>
      <c r="G1072" s="238">
        <f>IFERROR((HLOOKUP($AH1072,Target_monthwise!$D$4:$O$20,DTR!G$4,FALSE))*1000,0)</f>
        <v>0</v>
      </c>
      <c r="H1072" s="238">
        <f>IFERROR((HLOOKUP($AH1072,Target_monthwise!$D$4:$O$20,DTR!H$4,FALSE))*1000,0)</f>
        <v>0</v>
      </c>
      <c r="I1072" s="238">
        <f>IFERROR((HLOOKUP($AH1072,Target_monthwise!$D$4:$O$20,DTR!I$4,FALSE))*1000,0)</f>
        <v>0</v>
      </c>
      <c r="J1072" s="238">
        <f>IFERROR((HLOOKUP($AH1072,Target_monthwise!$D$4:$O$20,DTR!J$4,FALSE))*1000,0)</f>
        <v>0</v>
      </c>
      <c r="K1072" s="238">
        <f>IFERROR((HLOOKUP($AH1072,Target_monthwise!$D$4:$O$20,DTR!K$4,FALSE))*1000,0)</f>
        <v>0</v>
      </c>
      <c r="L1072" s="238">
        <f>IFERROR((HLOOKUP($AH1072,Target_monthwise!$D$4:$O$20,DTR!L$4,FALSE))*1000,0)</f>
        <v>0</v>
      </c>
      <c r="M1072" s="238">
        <f>IFERROR((HLOOKUP($AH1072,Target_monthwise!$D$4:$O$20,DTR!M$4,FALSE))*1000,0)</f>
        <v>0</v>
      </c>
      <c r="N1072" s="238">
        <f>IFERROR((HLOOKUP($AH1072,Target_monthwise!$D$4:$O$20,DTR!N$4,FALSE))*1000,0)</f>
        <v>0</v>
      </c>
      <c r="O1072" s="238">
        <f>IFERROR((HLOOKUP($AH1072,Target_monthwise!$D$4:$O$20,DTR!O$4,FALSE))*1000,0)</f>
        <v>0</v>
      </c>
      <c r="P1072" s="238">
        <f>IFERROR((HLOOKUP($AH1072,Target_monthwise!$D$4:$O$20,DTR!P$4,FALSE))*1000,0)</f>
        <v>0</v>
      </c>
      <c r="Q1072" s="141">
        <f>IFERROR((HLOOKUP($AH1072,Target_monthwise!$D$4:$O$20,DTR!Q$4,FALSE))*1000,0)</f>
        <v>0</v>
      </c>
      <c r="R1072" s="167">
        <f>IFERROR((HLOOKUP($AH1072,Target_monthwise!$D$4:$O$20,DTR!R$4,FALSE))*1000,0)</f>
        <v>0</v>
      </c>
      <c r="S1072" s="239">
        <f>IFERROR((HLOOKUP($AH1072,Target_monthwise!$D$24:$O$40,DTR!S$4,FALSE)),0)</f>
        <v>0</v>
      </c>
      <c r="T1072" s="239">
        <f>IFERROR((HLOOKUP($AH1072,Target_monthwise!$D$24:$O$40,DTR!T$4,FALSE)),0)</f>
        <v>0</v>
      </c>
      <c r="U1072" s="239">
        <f>IFERROR((HLOOKUP($AH1072,Target_monthwise!$D$24:$O$40,DTR!U$4,FALSE)),0)</f>
        <v>0</v>
      </c>
      <c r="V1072" s="239">
        <f>IFERROR((HLOOKUP($AH1072,Target_monthwise!$D$24:$O$40,DTR!V$4,FALSE)),0)</f>
        <v>0</v>
      </c>
      <c r="W1072" s="239">
        <f>IFERROR((HLOOKUP($AH1072,Target_monthwise!$D$24:$O$40,DTR!W$4,FALSE)),0)</f>
        <v>0</v>
      </c>
      <c r="X1072" s="239">
        <f>IFERROR((HLOOKUP($AH1072,Target_monthwise!$D$24:$O$40,DTR!X$4,FALSE)),0)</f>
        <v>0</v>
      </c>
      <c r="Y1072" s="239">
        <f>IFERROR((HLOOKUP($AH1072,Target_monthwise!$D$24:$O$40,DTR!Y$4,FALSE)),0)</f>
        <v>0</v>
      </c>
      <c r="Z1072" s="147">
        <f>IFERROR((HLOOKUP($AH1072,Target_monthwise!$D$24:$O$40,DTR!Z$4,FALSE)),0)</f>
        <v>0</v>
      </c>
      <c r="AA1072" s="147">
        <f>IFERROR((HLOOKUP($AH1072,Target_monthwise!$D$24:$O$40,DTR!AA$4,FALSE)),0)</f>
        <v>0</v>
      </c>
      <c r="AB1072" s="147">
        <f>IFERROR((HLOOKUP($AH1072,Target_monthwise!$D$24:$O$40,DTR!AB$4,FALSE)),0)</f>
        <v>0</v>
      </c>
      <c r="AC1072" s="239">
        <f>IFERROR((HLOOKUP($AH1072,Target_monthwise!$D$24:$O$40,DTR!AC$4,FALSE)),0)</f>
        <v>0</v>
      </c>
      <c r="AD1072" s="239">
        <f>IFERROR((HLOOKUP($AH1072,Target_monthwise!$D$24:$O$40,DTR!AD$4,FALSE)),0)</f>
        <v>0</v>
      </c>
      <c r="AE1072" s="239">
        <f>IFERROR((HLOOKUP($AH1072,Target_monthwise!$D$24:$O$40,DTR!AE$4,FALSE)),0)</f>
        <v>0</v>
      </c>
      <c r="AF1072" s="239">
        <f>IFERROR((HLOOKUP($AH1072,Target_monthwise!$D$24:$O$40,DTR!AF$4,FALSE)),0)</f>
        <v>0</v>
      </c>
      <c r="AG1072" s="172">
        <f>IFERROR((HLOOKUP($AH1072,Target_monthwise!$D$24:$O$40,DTR!AG$4,FALSE)),0)</f>
        <v>0</v>
      </c>
      <c r="AH1072" s="253">
        <f t="shared" si="18"/>
        <v>202502</v>
      </c>
    </row>
    <row r="1073" spans="3:34" ht="15.75" hidden="1">
      <c r="C1073" s="235">
        <v>45716</v>
      </c>
      <c r="D1073" s="141">
        <f>IFERROR((HLOOKUP($AH1073,Target_monthwise!$D$4:$O$20,DTR!D$4,FALSE))*1000,0)</f>
        <v>0</v>
      </c>
      <c r="E1073" s="141">
        <f>IFERROR((HLOOKUP($AH1073,Target_monthwise!$D$4:$O$20,DTR!E$4,FALSE))*1000,0)</f>
        <v>0</v>
      </c>
      <c r="F1073" s="141">
        <f>IFERROR((HLOOKUP($AH1073,Target_monthwise!$D$4:$O$20,DTR!F$4,FALSE))*1000,0)</f>
        <v>0</v>
      </c>
      <c r="G1073" s="141">
        <f>IFERROR((HLOOKUP($AH1073,Target_monthwise!$D$4:$O$20,DTR!G$4,FALSE))*1000,0)</f>
        <v>0</v>
      </c>
      <c r="H1073" s="141">
        <f>IFERROR((HLOOKUP($AH1073,Target_monthwise!$D$4:$O$20,DTR!H$4,FALSE))*1000,0)</f>
        <v>0</v>
      </c>
      <c r="I1073" s="141">
        <f>IFERROR((HLOOKUP($AH1073,Target_monthwise!$D$4:$O$20,DTR!I$4,FALSE))*1000,0)</f>
        <v>0</v>
      </c>
      <c r="J1073" s="141">
        <f>IFERROR((HLOOKUP($AH1073,Target_monthwise!$D$4:$O$20,DTR!J$4,FALSE))*1000,0)</f>
        <v>0</v>
      </c>
      <c r="K1073" s="141">
        <f>IFERROR((HLOOKUP($AH1073,Target_monthwise!$D$4:$O$20,DTR!K$4,FALSE))*1000,0)</f>
        <v>0</v>
      </c>
      <c r="L1073" s="141">
        <f>IFERROR((HLOOKUP($AH1073,Target_monthwise!$D$4:$O$20,DTR!L$4,FALSE))*1000,0)</f>
        <v>0</v>
      </c>
      <c r="M1073" s="141">
        <f>IFERROR((HLOOKUP($AH1073,Target_monthwise!$D$4:$O$20,DTR!M$4,FALSE))*1000,0)</f>
        <v>0</v>
      </c>
      <c r="N1073" s="141">
        <f>IFERROR((HLOOKUP($AH1073,Target_monthwise!$D$4:$O$20,DTR!N$4,FALSE))*1000,0)</f>
        <v>0</v>
      </c>
      <c r="O1073" s="141">
        <f>IFERROR((HLOOKUP($AH1073,Target_monthwise!$D$4:$O$20,DTR!O$4,FALSE))*1000,0)</f>
        <v>0</v>
      </c>
      <c r="P1073" s="141">
        <f>IFERROR((HLOOKUP($AH1073,Target_monthwise!$D$4:$O$20,DTR!P$4,FALSE))*1000,0)</f>
        <v>0</v>
      </c>
      <c r="Q1073" s="141">
        <f>IFERROR((HLOOKUP($AH1073,Target_monthwise!$D$4:$O$20,DTR!Q$4,FALSE))*1000,0)</f>
        <v>0</v>
      </c>
      <c r="R1073" s="167">
        <f>IFERROR((HLOOKUP($AH1073,Target_monthwise!$D$4:$O$20,DTR!R$4,FALSE))*1000,0)</f>
        <v>0</v>
      </c>
      <c r="S1073" s="147">
        <f>IFERROR((HLOOKUP($AH1073,Target_monthwise!$D$24:$O$40,DTR!S$4,FALSE)),0)</f>
        <v>0</v>
      </c>
      <c r="T1073" s="147">
        <f>IFERROR((HLOOKUP($AH1073,Target_monthwise!$D$24:$O$40,DTR!T$4,FALSE)),0)</f>
        <v>0</v>
      </c>
      <c r="U1073" s="147">
        <f>IFERROR((HLOOKUP($AH1073,Target_monthwise!$D$24:$O$40,DTR!U$4,FALSE)),0)</f>
        <v>0</v>
      </c>
      <c r="V1073" s="147">
        <f>IFERROR((HLOOKUP($AH1073,Target_monthwise!$D$24:$O$40,DTR!V$4,FALSE)),0)</f>
        <v>0</v>
      </c>
      <c r="W1073" s="147">
        <f>IFERROR((HLOOKUP($AH1073,Target_monthwise!$D$24:$O$40,DTR!W$4,FALSE)),0)</f>
        <v>0</v>
      </c>
      <c r="X1073" s="147">
        <f>IFERROR((HLOOKUP($AH1073,Target_monthwise!$D$24:$O$40,DTR!X$4,FALSE)),0)</f>
        <v>0</v>
      </c>
      <c r="Y1073" s="147">
        <f>IFERROR((HLOOKUP($AH1073,Target_monthwise!$D$24:$O$40,DTR!Y$4,FALSE)),0)</f>
        <v>0</v>
      </c>
      <c r="Z1073" s="147">
        <f>IFERROR((HLOOKUP($AH1073,Target_monthwise!$D$24:$O$40,DTR!Z$4,FALSE)),0)</f>
        <v>0</v>
      </c>
      <c r="AA1073" s="147">
        <f>IFERROR((HLOOKUP($AH1073,Target_monthwise!$D$24:$O$40,DTR!AA$4,FALSE)),0)</f>
        <v>0</v>
      </c>
      <c r="AB1073" s="147">
        <f>IFERROR((HLOOKUP($AH1073,Target_monthwise!$D$24:$O$40,DTR!AB$4,FALSE)),0)</f>
        <v>0</v>
      </c>
      <c r="AC1073" s="147">
        <f>IFERROR((HLOOKUP($AH1073,Target_monthwise!$D$24:$O$40,DTR!AC$4,FALSE)),0)</f>
        <v>0</v>
      </c>
      <c r="AD1073" s="147">
        <f>IFERROR((HLOOKUP($AH1073,Target_monthwise!$D$24:$O$40,DTR!AD$4,FALSE)),0)</f>
        <v>0</v>
      </c>
      <c r="AE1073" s="147">
        <f>IFERROR((HLOOKUP($AH1073,Target_monthwise!$D$24:$O$40,DTR!AE$4,FALSE)),0)</f>
        <v>0</v>
      </c>
      <c r="AF1073" s="147">
        <f>IFERROR((HLOOKUP($AH1073,Target_monthwise!$D$24:$O$40,DTR!AF$4,FALSE)),0)</f>
        <v>0</v>
      </c>
      <c r="AG1073" s="172">
        <f>IFERROR((HLOOKUP($AH1073,Target_monthwise!$D$24:$O$40,DTR!AG$4,FALSE)),0)</f>
        <v>0</v>
      </c>
      <c r="AH1073" s="253">
        <f t="shared" si="18"/>
        <v>202502</v>
      </c>
    </row>
    <row r="1074" spans="3:34" ht="15.75" hidden="1">
      <c r="C1074" s="237">
        <v>45717</v>
      </c>
      <c r="D1074" s="238">
        <f>IFERROR((HLOOKUP($AH1074,Target_monthwise!$D$4:$O$20,DTR!D$4,FALSE))*1000,0)</f>
        <v>0</v>
      </c>
      <c r="E1074" s="238">
        <f>IFERROR((HLOOKUP($AH1074,Target_monthwise!$D$4:$O$20,DTR!E$4,FALSE))*1000,0)</f>
        <v>0</v>
      </c>
      <c r="F1074" s="238">
        <f>IFERROR((HLOOKUP($AH1074,Target_monthwise!$D$4:$O$20,DTR!F$4,FALSE))*1000,0)</f>
        <v>0</v>
      </c>
      <c r="G1074" s="238">
        <f>IFERROR((HLOOKUP($AH1074,Target_monthwise!$D$4:$O$20,DTR!G$4,FALSE))*1000,0)</f>
        <v>0</v>
      </c>
      <c r="H1074" s="238">
        <f>IFERROR((HLOOKUP($AH1074,Target_monthwise!$D$4:$O$20,DTR!H$4,FALSE))*1000,0)</f>
        <v>0</v>
      </c>
      <c r="I1074" s="238">
        <f>IFERROR((HLOOKUP($AH1074,Target_monthwise!$D$4:$O$20,DTR!I$4,FALSE))*1000,0)</f>
        <v>0</v>
      </c>
      <c r="J1074" s="238">
        <f>IFERROR((HLOOKUP($AH1074,Target_monthwise!$D$4:$O$20,DTR!J$4,FALSE))*1000,0)</f>
        <v>0</v>
      </c>
      <c r="K1074" s="238">
        <f>IFERROR((HLOOKUP($AH1074,Target_monthwise!$D$4:$O$20,DTR!K$4,FALSE))*1000,0)</f>
        <v>0</v>
      </c>
      <c r="L1074" s="238">
        <f>IFERROR((HLOOKUP($AH1074,Target_monthwise!$D$4:$O$20,DTR!L$4,FALSE))*1000,0)</f>
        <v>0</v>
      </c>
      <c r="M1074" s="238">
        <f>IFERROR((HLOOKUP($AH1074,Target_monthwise!$D$4:$O$20,DTR!M$4,FALSE))*1000,0)</f>
        <v>0</v>
      </c>
      <c r="N1074" s="238">
        <f>IFERROR((HLOOKUP($AH1074,Target_monthwise!$D$4:$O$20,DTR!N$4,FALSE))*1000,0)</f>
        <v>0</v>
      </c>
      <c r="O1074" s="238">
        <f>IFERROR((HLOOKUP($AH1074,Target_monthwise!$D$4:$O$20,DTR!O$4,FALSE))*1000,0)</f>
        <v>0</v>
      </c>
      <c r="P1074" s="238">
        <f>IFERROR((HLOOKUP($AH1074,Target_monthwise!$D$4:$O$20,DTR!P$4,FALSE))*1000,0)</f>
        <v>0</v>
      </c>
      <c r="Q1074" s="141">
        <f>IFERROR((HLOOKUP($AH1074,Target_monthwise!$D$4:$O$20,DTR!Q$4,FALSE))*1000,0)</f>
        <v>0</v>
      </c>
      <c r="R1074" s="167">
        <f>IFERROR((HLOOKUP($AH1074,Target_monthwise!$D$4:$O$20,DTR!R$4,FALSE))*1000,0)</f>
        <v>0</v>
      </c>
      <c r="S1074" s="239">
        <f>IFERROR((HLOOKUP($AH1074,Target_monthwise!$D$24:$O$40,DTR!S$4,FALSE)),0)</f>
        <v>0</v>
      </c>
      <c r="T1074" s="239">
        <f>IFERROR((HLOOKUP($AH1074,Target_monthwise!$D$24:$O$40,DTR!T$4,FALSE)),0)</f>
        <v>0</v>
      </c>
      <c r="U1074" s="239">
        <f>IFERROR((HLOOKUP($AH1074,Target_monthwise!$D$24:$O$40,DTR!U$4,FALSE)),0)</f>
        <v>0</v>
      </c>
      <c r="V1074" s="239">
        <f>IFERROR((HLOOKUP($AH1074,Target_monthwise!$D$24:$O$40,DTR!V$4,FALSE)),0)</f>
        <v>0</v>
      </c>
      <c r="W1074" s="239">
        <f>IFERROR((HLOOKUP($AH1074,Target_monthwise!$D$24:$O$40,DTR!W$4,FALSE)),0)</f>
        <v>0</v>
      </c>
      <c r="X1074" s="239">
        <f>IFERROR((HLOOKUP($AH1074,Target_monthwise!$D$24:$O$40,DTR!X$4,FALSE)),0)</f>
        <v>0</v>
      </c>
      <c r="Y1074" s="239">
        <f>IFERROR((HLOOKUP($AH1074,Target_monthwise!$D$24:$O$40,DTR!Y$4,FALSE)),0)</f>
        <v>0</v>
      </c>
      <c r="Z1074" s="147">
        <f>IFERROR((HLOOKUP($AH1074,Target_monthwise!$D$24:$O$40,DTR!Z$4,FALSE)),0)</f>
        <v>0</v>
      </c>
      <c r="AA1074" s="147">
        <f>IFERROR((HLOOKUP($AH1074,Target_monthwise!$D$24:$O$40,DTR!AA$4,FALSE)),0)</f>
        <v>0</v>
      </c>
      <c r="AB1074" s="147">
        <f>IFERROR((HLOOKUP($AH1074,Target_monthwise!$D$24:$O$40,DTR!AB$4,FALSE)),0)</f>
        <v>0</v>
      </c>
      <c r="AC1074" s="239">
        <f>IFERROR((HLOOKUP($AH1074,Target_monthwise!$D$24:$O$40,DTR!AC$4,FALSE)),0)</f>
        <v>0</v>
      </c>
      <c r="AD1074" s="239">
        <f>IFERROR((HLOOKUP($AH1074,Target_monthwise!$D$24:$O$40,DTR!AD$4,FALSE)),0)</f>
        <v>0</v>
      </c>
      <c r="AE1074" s="239">
        <f>IFERROR((HLOOKUP($AH1074,Target_monthwise!$D$24:$O$40,DTR!AE$4,FALSE)),0)</f>
        <v>0</v>
      </c>
      <c r="AF1074" s="239">
        <f>IFERROR((HLOOKUP($AH1074,Target_monthwise!$D$24:$O$40,DTR!AF$4,FALSE)),0)</f>
        <v>0</v>
      </c>
      <c r="AG1074" s="172">
        <f>IFERROR((HLOOKUP($AH1074,Target_monthwise!$D$24:$O$40,DTR!AG$4,FALSE)),0)</f>
        <v>0</v>
      </c>
      <c r="AH1074" s="253">
        <f t="shared" si="18"/>
        <v>202503</v>
      </c>
    </row>
    <row r="1075" spans="3:34" ht="15.75" hidden="1">
      <c r="C1075" s="235">
        <v>45718</v>
      </c>
      <c r="D1075" s="141">
        <f>IFERROR((HLOOKUP($AH1075,Target_monthwise!$D$4:$O$20,DTR!D$4,FALSE))*1000,0)</f>
        <v>0</v>
      </c>
      <c r="E1075" s="141">
        <f>IFERROR((HLOOKUP($AH1075,Target_monthwise!$D$4:$O$20,DTR!E$4,FALSE))*1000,0)</f>
        <v>0</v>
      </c>
      <c r="F1075" s="141">
        <f>IFERROR((HLOOKUP($AH1075,Target_monthwise!$D$4:$O$20,DTR!F$4,FALSE))*1000,0)</f>
        <v>0</v>
      </c>
      <c r="G1075" s="141">
        <f>IFERROR((HLOOKUP($AH1075,Target_monthwise!$D$4:$O$20,DTR!G$4,FALSE))*1000,0)</f>
        <v>0</v>
      </c>
      <c r="H1075" s="141">
        <f>IFERROR((HLOOKUP($AH1075,Target_monthwise!$D$4:$O$20,DTR!H$4,FALSE))*1000,0)</f>
        <v>0</v>
      </c>
      <c r="I1075" s="141">
        <f>IFERROR((HLOOKUP($AH1075,Target_monthwise!$D$4:$O$20,DTR!I$4,FALSE))*1000,0)</f>
        <v>0</v>
      </c>
      <c r="J1075" s="141">
        <f>IFERROR((HLOOKUP($AH1075,Target_monthwise!$D$4:$O$20,DTR!J$4,FALSE))*1000,0)</f>
        <v>0</v>
      </c>
      <c r="K1075" s="141">
        <f>IFERROR((HLOOKUP($AH1075,Target_monthwise!$D$4:$O$20,DTR!K$4,FALSE))*1000,0)</f>
        <v>0</v>
      </c>
      <c r="L1075" s="141">
        <f>IFERROR((HLOOKUP($AH1075,Target_monthwise!$D$4:$O$20,DTR!L$4,FALSE))*1000,0)</f>
        <v>0</v>
      </c>
      <c r="M1075" s="141">
        <f>IFERROR((HLOOKUP($AH1075,Target_monthwise!$D$4:$O$20,DTR!M$4,FALSE))*1000,0)</f>
        <v>0</v>
      </c>
      <c r="N1075" s="141">
        <f>IFERROR((HLOOKUP($AH1075,Target_monthwise!$D$4:$O$20,DTR!N$4,FALSE))*1000,0)</f>
        <v>0</v>
      </c>
      <c r="O1075" s="141">
        <f>IFERROR((HLOOKUP($AH1075,Target_monthwise!$D$4:$O$20,DTR!O$4,FALSE))*1000,0)</f>
        <v>0</v>
      </c>
      <c r="P1075" s="141">
        <f>IFERROR((HLOOKUP($AH1075,Target_monthwise!$D$4:$O$20,DTR!P$4,FALSE))*1000,0)</f>
        <v>0</v>
      </c>
      <c r="Q1075" s="141">
        <f>IFERROR((HLOOKUP($AH1075,Target_monthwise!$D$4:$O$20,DTR!Q$4,FALSE))*1000,0)</f>
        <v>0</v>
      </c>
      <c r="R1075" s="167">
        <f>IFERROR((HLOOKUP($AH1075,Target_monthwise!$D$4:$O$20,DTR!R$4,FALSE))*1000,0)</f>
        <v>0</v>
      </c>
      <c r="S1075" s="147">
        <f>IFERROR((HLOOKUP($AH1075,Target_monthwise!$D$24:$O$40,DTR!S$4,FALSE)),0)</f>
        <v>0</v>
      </c>
      <c r="T1075" s="147">
        <f>IFERROR((HLOOKUP($AH1075,Target_monthwise!$D$24:$O$40,DTR!T$4,FALSE)),0)</f>
        <v>0</v>
      </c>
      <c r="U1075" s="147">
        <f>IFERROR((HLOOKUP($AH1075,Target_monthwise!$D$24:$O$40,DTR!U$4,FALSE)),0)</f>
        <v>0</v>
      </c>
      <c r="V1075" s="147">
        <f>IFERROR((HLOOKUP($AH1075,Target_monthwise!$D$24:$O$40,DTR!V$4,FALSE)),0)</f>
        <v>0</v>
      </c>
      <c r="W1075" s="147">
        <f>IFERROR((HLOOKUP($AH1075,Target_monthwise!$D$24:$O$40,DTR!W$4,FALSE)),0)</f>
        <v>0</v>
      </c>
      <c r="X1075" s="147">
        <f>IFERROR((HLOOKUP($AH1075,Target_monthwise!$D$24:$O$40,DTR!X$4,FALSE)),0)</f>
        <v>0</v>
      </c>
      <c r="Y1075" s="147">
        <f>IFERROR((HLOOKUP($AH1075,Target_monthwise!$D$24:$O$40,DTR!Y$4,FALSE)),0)</f>
        <v>0</v>
      </c>
      <c r="Z1075" s="147">
        <f>IFERROR((HLOOKUP($AH1075,Target_monthwise!$D$24:$O$40,DTR!Z$4,FALSE)),0)</f>
        <v>0</v>
      </c>
      <c r="AA1075" s="147">
        <f>IFERROR((HLOOKUP($AH1075,Target_monthwise!$D$24:$O$40,DTR!AA$4,FALSE)),0)</f>
        <v>0</v>
      </c>
      <c r="AB1075" s="147">
        <f>IFERROR((HLOOKUP($AH1075,Target_monthwise!$D$24:$O$40,DTR!AB$4,FALSE)),0)</f>
        <v>0</v>
      </c>
      <c r="AC1075" s="147">
        <f>IFERROR((HLOOKUP($AH1075,Target_monthwise!$D$24:$O$40,DTR!AC$4,FALSE)),0)</f>
        <v>0</v>
      </c>
      <c r="AD1075" s="147">
        <f>IFERROR((HLOOKUP($AH1075,Target_monthwise!$D$24:$O$40,DTR!AD$4,FALSE)),0)</f>
        <v>0</v>
      </c>
      <c r="AE1075" s="147">
        <f>IFERROR((HLOOKUP($AH1075,Target_monthwise!$D$24:$O$40,DTR!AE$4,FALSE)),0)</f>
        <v>0</v>
      </c>
      <c r="AF1075" s="147">
        <f>IFERROR((HLOOKUP($AH1075,Target_monthwise!$D$24:$O$40,DTR!AF$4,FALSE)),0)</f>
        <v>0</v>
      </c>
      <c r="AG1075" s="172">
        <f>IFERROR((HLOOKUP($AH1075,Target_monthwise!$D$24:$O$40,DTR!AG$4,FALSE)),0)</f>
        <v>0</v>
      </c>
      <c r="AH1075" s="253">
        <f t="shared" ref="AH1075:AH1104" si="19">YEAR(C1075)*100+MONTH(C1075)</f>
        <v>202503</v>
      </c>
    </row>
    <row r="1076" spans="3:34" ht="15.75" hidden="1">
      <c r="C1076" s="237">
        <v>45719</v>
      </c>
      <c r="D1076" s="238">
        <f>IFERROR((HLOOKUP($AH1076,Target_monthwise!$D$4:$O$20,DTR!D$4,FALSE))*1000,0)</f>
        <v>0</v>
      </c>
      <c r="E1076" s="238">
        <f>IFERROR((HLOOKUP($AH1076,Target_monthwise!$D$4:$O$20,DTR!E$4,FALSE))*1000,0)</f>
        <v>0</v>
      </c>
      <c r="F1076" s="238">
        <f>IFERROR((HLOOKUP($AH1076,Target_monthwise!$D$4:$O$20,DTR!F$4,FALSE))*1000,0)</f>
        <v>0</v>
      </c>
      <c r="G1076" s="238">
        <f>IFERROR((HLOOKUP($AH1076,Target_monthwise!$D$4:$O$20,DTR!G$4,FALSE))*1000,0)</f>
        <v>0</v>
      </c>
      <c r="H1076" s="238">
        <f>IFERROR((HLOOKUP($AH1076,Target_monthwise!$D$4:$O$20,DTR!H$4,FALSE))*1000,0)</f>
        <v>0</v>
      </c>
      <c r="I1076" s="238">
        <f>IFERROR((HLOOKUP($AH1076,Target_monthwise!$D$4:$O$20,DTR!I$4,FALSE))*1000,0)</f>
        <v>0</v>
      </c>
      <c r="J1076" s="238">
        <f>IFERROR((HLOOKUP($AH1076,Target_monthwise!$D$4:$O$20,DTR!J$4,FALSE))*1000,0)</f>
        <v>0</v>
      </c>
      <c r="K1076" s="238">
        <f>IFERROR((HLOOKUP($AH1076,Target_monthwise!$D$4:$O$20,DTR!K$4,FALSE))*1000,0)</f>
        <v>0</v>
      </c>
      <c r="L1076" s="238">
        <f>IFERROR((HLOOKUP($AH1076,Target_monthwise!$D$4:$O$20,DTR!L$4,FALSE))*1000,0)</f>
        <v>0</v>
      </c>
      <c r="M1076" s="238">
        <f>IFERROR((HLOOKUP($AH1076,Target_monthwise!$D$4:$O$20,DTR!M$4,FALSE))*1000,0)</f>
        <v>0</v>
      </c>
      <c r="N1076" s="238">
        <f>IFERROR((HLOOKUP($AH1076,Target_monthwise!$D$4:$O$20,DTR!N$4,FALSE))*1000,0)</f>
        <v>0</v>
      </c>
      <c r="O1076" s="238">
        <f>IFERROR((HLOOKUP($AH1076,Target_monthwise!$D$4:$O$20,DTR!O$4,FALSE))*1000,0)</f>
        <v>0</v>
      </c>
      <c r="P1076" s="238">
        <f>IFERROR((HLOOKUP($AH1076,Target_monthwise!$D$4:$O$20,DTR!P$4,FALSE))*1000,0)</f>
        <v>0</v>
      </c>
      <c r="Q1076" s="141">
        <f>IFERROR((HLOOKUP($AH1076,Target_monthwise!$D$4:$O$20,DTR!Q$4,FALSE))*1000,0)</f>
        <v>0</v>
      </c>
      <c r="R1076" s="167">
        <f>IFERROR((HLOOKUP($AH1076,Target_monthwise!$D$4:$O$20,DTR!R$4,FALSE))*1000,0)</f>
        <v>0</v>
      </c>
      <c r="S1076" s="239">
        <f>IFERROR((HLOOKUP($AH1076,Target_monthwise!$D$24:$O$40,DTR!S$4,FALSE)),0)</f>
        <v>0</v>
      </c>
      <c r="T1076" s="239">
        <f>IFERROR((HLOOKUP($AH1076,Target_monthwise!$D$24:$O$40,DTR!T$4,FALSE)),0)</f>
        <v>0</v>
      </c>
      <c r="U1076" s="239">
        <f>IFERROR((HLOOKUP($AH1076,Target_monthwise!$D$24:$O$40,DTR!U$4,FALSE)),0)</f>
        <v>0</v>
      </c>
      <c r="V1076" s="239">
        <f>IFERROR((HLOOKUP($AH1076,Target_monthwise!$D$24:$O$40,DTR!V$4,FALSE)),0)</f>
        <v>0</v>
      </c>
      <c r="W1076" s="239">
        <f>IFERROR((HLOOKUP($AH1076,Target_monthwise!$D$24:$O$40,DTR!W$4,FALSE)),0)</f>
        <v>0</v>
      </c>
      <c r="X1076" s="239">
        <f>IFERROR((HLOOKUP($AH1076,Target_monthwise!$D$24:$O$40,DTR!X$4,FALSE)),0)</f>
        <v>0</v>
      </c>
      <c r="Y1076" s="239">
        <f>IFERROR((HLOOKUP($AH1076,Target_monthwise!$D$24:$O$40,DTR!Y$4,FALSE)),0)</f>
        <v>0</v>
      </c>
      <c r="Z1076" s="147">
        <f>IFERROR((HLOOKUP($AH1076,Target_monthwise!$D$24:$O$40,DTR!Z$4,FALSE)),0)</f>
        <v>0</v>
      </c>
      <c r="AA1076" s="147">
        <f>IFERROR((HLOOKUP($AH1076,Target_monthwise!$D$24:$O$40,DTR!AA$4,FALSE)),0)</f>
        <v>0</v>
      </c>
      <c r="AB1076" s="147">
        <f>IFERROR((HLOOKUP($AH1076,Target_monthwise!$D$24:$O$40,DTR!AB$4,FALSE)),0)</f>
        <v>0</v>
      </c>
      <c r="AC1076" s="239">
        <f>IFERROR((HLOOKUP($AH1076,Target_monthwise!$D$24:$O$40,DTR!AC$4,FALSE)),0)</f>
        <v>0</v>
      </c>
      <c r="AD1076" s="239">
        <f>IFERROR((HLOOKUP($AH1076,Target_monthwise!$D$24:$O$40,DTR!AD$4,FALSE)),0)</f>
        <v>0</v>
      </c>
      <c r="AE1076" s="239">
        <f>IFERROR((HLOOKUP($AH1076,Target_monthwise!$D$24:$O$40,DTR!AE$4,FALSE)),0)</f>
        <v>0</v>
      </c>
      <c r="AF1076" s="239">
        <f>IFERROR((HLOOKUP($AH1076,Target_monthwise!$D$24:$O$40,DTR!AF$4,FALSE)),0)</f>
        <v>0</v>
      </c>
      <c r="AG1076" s="172">
        <f>IFERROR((HLOOKUP($AH1076,Target_monthwise!$D$24:$O$40,DTR!AG$4,FALSE)),0)</f>
        <v>0</v>
      </c>
      <c r="AH1076" s="253">
        <f t="shared" si="19"/>
        <v>202503</v>
      </c>
    </row>
    <row r="1077" spans="3:34" ht="15.75" hidden="1">
      <c r="C1077" s="235">
        <v>45720</v>
      </c>
      <c r="D1077" s="141">
        <f>IFERROR((HLOOKUP($AH1077,Target_monthwise!$D$4:$O$20,DTR!D$4,FALSE))*1000,0)</f>
        <v>0</v>
      </c>
      <c r="E1077" s="141">
        <f>IFERROR((HLOOKUP($AH1077,Target_monthwise!$D$4:$O$20,DTR!E$4,FALSE))*1000,0)</f>
        <v>0</v>
      </c>
      <c r="F1077" s="141">
        <f>IFERROR((HLOOKUP($AH1077,Target_monthwise!$D$4:$O$20,DTR!F$4,FALSE))*1000,0)</f>
        <v>0</v>
      </c>
      <c r="G1077" s="141">
        <f>IFERROR((HLOOKUP($AH1077,Target_monthwise!$D$4:$O$20,DTR!G$4,FALSE))*1000,0)</f>
        <v>0</v>
      </c>
      <c r="H1077" s="141">
        <f>IFERROR((HLOOKUP($AH1077,Target_monthwise!$D$4:$O$20,DTR!H$4,FALSE))*1000,0)</f>
        <v>0</v>
      </c>
      <c r="I1077" s="141">
        <f>IFERROR((HLOOKUP($AH1077,Target_monthwise!$D$4:$O$20,DTR!I$4,FALSE))*1000,0)</f>
        <v>0</v>
      </c>
      <c r="J1077" s="141">
        <f>IFERROR((HLOOKUP($AH1077,Target_monthwise!$D$4:$O$20,DTR!J$4,FALSE))*1000,0)</f>
        <v>0</v>
      </c>
      <c r="K1077" s="141">
        <f>IFERROR((HLOOKUP($AH1077,Target_monthwise!$D$4:$O$20,DTR!K$4,FALSE))*1000,0)</f>
        <v>0</v>
      </c>
      <c r="L1077" s="141">
        <f>IFERROR((HLOOKUP($AH1077,Target_monthwise!$D$4:$O$20,DTR!L$4,FALSE))*1000,0)</f>
        <v>0</v>
      </c>
      <c r="M1077" s="141">
        <f>IFERROR((HLOOKUP($AH1077,Target_monthwise!$D$4:$O$20,DTR!M$4,FALSE))*1000,0)</f>
        <v>0</v>
      </c>
      <c r="N1077" s="141">
        <f>IFERROR((HLOOKUP($AH1077,Target_monthwise!$D$4:$O$20,DTR!N$4,FALSE))*1000,0)</f>
        <v>0</v>
      </c>
      <c r="O1077" s="141">
        <f>IFERROR((HLOOKUP($AH1077,Target_monthwise!$D$4:$O$20,DTR!O$4,FALSE))*1000,0)</f>
        <v>0</v>
      </c>
      <c r="P1077" s="141">
        <f>IFERROR((HLOOKUP($AH1077,Target_monthwise!$D$4:$O$20,DTR!P$4,FALSE))*1000,0)</f>
        <v>0</v>
      </c>
      <c r="Q1077" s="141">
        <f>IFERROR((HLOOKUP($AH1077,Target_monthwise!$D$4:$O$20,DTR!Q$4,FALSE))*1000,0)</f>
        <v>0</v>
      </c>
      <c r="R1077" s="167">
        <f>IFERROR((HLOOKUP($AH1077,Target_monthwise!$D$4:$O$20,DTR!R$4,FALSE))*1000,0)</f>
        <v>0</v>
      </c>
      <c r="S1077" s="147">
        <f>IFERROR((HLOOKUP($AH1077,Target_monthwise!$D$24:$O$40,DTR!S$4,FALSE)),0)</f>
        <v>0</v>
      </c>
      <c r="T1077" s="147">
        <f>IFERROR((HLOOKUP($AH1077,Target_monthwise!$D$24:$O$40,DTR!T$4,FALSE)),0)</f>
        <v>0</v>
      </c>
      <c r="U1077" s="147">
        <f>IFERROR((HLOOKUP($AH1077,Target_monthwise!$D$24:$O$40,DTR!U$4,FALSE)),0)</f>
        <v>0</v>
      </c>
      <c r="V1077" s="147">
        <f>IFERROR((HLOOKUP($AH1077,Target_monthwise!$D$24:$O$40,DTR!V$4,FALSE)),0)</f>
        <v>0</v>
      </c>
      <c r="W1077" s="147">
        <f>IFERROR((HLOOKUP($AH1077,Target_monthwise!$D$24:$O$40,DTR!W$4,FALSE)),0)</f>
        <v>0</v>
      </c>
      <c r="X1077" s="147">
        <f>IFERROR((HLOOKUP($AH1077,Target_monthwise!$D$24:$O$40,DTR!X$4,FALSE)),0)</f>
        <v>0</v>
      </c>
      <c r="Y1077" s="147">
        <f>IFERROR((HLOOKUP($AH1077,Target_monthwise!$D$24:$O$40,DTR!Y$4,FALSE)),0)</f>
        <v>0</v>
      </c>
      <c r="Z1077" s="147">
        <f>IFERROR((HLOOKUP($AH1077,Target_monthwise!$D$24:$O$40,DTR!Z$4,FALSE)),0)</f>
        <v>0</v>
      </c>
      <c r="AA1077" s="147">
        <f>IFERROR((HLOOKUP($AH1077,Target_monthwise!$D$24:$O$40,DTR!AA$4,FALSE)),0)</f>
        <v>0</v>
      </c>
      <c r="AB1077" s="147">
        <f>IFERROR((HLOOKUP($AH1077,Target_monthwise!$D$24:$O$40,DTR!AB$4,FALSE)),0)</f>
        <v>0</v>
      </c>
      <c r="AC1077" s="147">
        <f>IFERROR((HLOOKUP($AH1077,Target_monthwise!$D$24:$O$40,DTR!AC$4,FALSE)),0)</f>
        <v>0</v>
      </c>
      <c r="AD1077" s="147">
        <f>IFERROR((HLOOKUP($AH1077,Target_monthwise!$D$24:$O$40,DTR!AD$4,FALSE)),0)</f>
        <v>0</v>
      </c>
      <c r="AE1077" s="147">
        <f>IFERROR((HLOOKUP($AH1077,Target_monthwise!$D$24:$O$40,DTR!AE$4,FALSE)),0)</f>
        <v>0</v>
      </c>
      <c r="AF1077" s="147">
        <f>IFERROR((HLOOKUP($AH1077,Target_monthwise!$D$24:$O$40,DTR!AF$4,FALSE)),0)</f>
        <v>0</v>
      </c>
      <c r="AG1077" s="172">
        <f>IFERROR((HLOOKUP($AH1077,Target_monthwise!$D$24:$O$40,DTR!AG$4,FALSE)),0)</f>
        <v>0</v>
      </c>
      <c r="AH1077" s="253">
        <f t="shared" si="19"/>
        <v>202503</v>
      </c>
    </row>
    <row r="1078" spans="3:34" ht="15.75" hidden="1">
      <c r="C1078" s="237">
        <v>45721</v>
      </c>
      <c r="D1078" s="238">
        <f>IFERROR((HLOOKUP($AH1078,Target_monthwise!$D$4:$O$20,DTR!D$4,FALSE))*1000,0)</f>
        <v>0</v>
      </c>
      <c r="E1078" s="238">
        <f>IFERROR((HLOOKUP($AH1078,Target_monthwise!$D$4:$O$20,DTR!E$4,FALSE))*1000,0)</f>
        <v>0</v>
      </c>
      <c r="F1078" s="238">
        <f>IFERROR((HLOOKUP($AH1078,Target_monthwise!$D$4:$O$20,DTR!F$4,FALSE))*1000,0)</f>
        <v>0</v>
      </c>
      <c r="G1078" s="238">
        <f>IFERROR((HLOOKUP($AH1078,Target_monthwise!$D$4:$O$20,DTR!G$4,FALSE))*1000,0)</f>
        <v>0</v>
      </c>
      <c r="H1078" s="238">
        <f>IFERROR((HLOOKUP($AH1078,Target_monthwise!$D$4:$O$20,DTR!H$4,FALSE))*1000,0)</f>
        <v>0</v>
      </c>
      <c r="I1078" s="238">
        <f>IFERROR((HLOOKUP($AH1078,Target_monthwise!$D$4:$O$20,DTR!I$4,FALSE))*1000,0)</f>
        <v>0</v>
      </c>
      <c r="J1078" s="238">
        <f>IFERROR((HLOOKUP($AH1078,Target_monthwise!$D$4:$O$20,DTR!J$4,FALSE))*1000,0)</f>
        <v>0</v>
      </c>
      <c r="K1078" s="238">
        <f>IFERROR((HLOOKUP($AH1078,Target_monthwise!$D$4:$O$20,DTR!K$4,FALSE))*1000,0)</f>
        <v>0</v>
      </c>
      <c r="L1078" s="238">
        <f>IFERROR((HLOOKUP($AH1078,Target_monthwise!$D$4:$O$20,DTR!L$4,FALSE))*1000,0)</f>
        <v>0</v>
      </c>
      <c r="M1078" s="238">
        <f>IFERROR((HLOOKUP($AH1078,Target_monthwise!$D$4:$O$20,DTR!M$4,FALSE))*1000,0)</f>
        <v>0</v>
      </c>
      <c r="N1078" s="238">
        <f>IFERROR((HLOOKUP($AH1078,Target_monthwise!$D$4:$O$20,DTR!N$4,FALSE))*1000,0)</f>
        <v>0</v>
      </c>
      <c r="O1078" s="238">
        <f>IFERROR((HLOOKUP($AH1078,Target_monthwise!$D$4:$O$20,DTR!O$4,FALSE))*1000,0)</f>
        <v>0</v>
      </c>
      <c r="P1078" s="238">
        <f>IFERROR((HLOOKUP($AH1078,Target_monthwise!$D$4:$O$20,DTR!P$4,FALSE))*1000,0)</f>
        <v>0</v>
      </c>
      <c r="Q1078" s="141">
        <f>IFERROR((HLOOKUP($AH1078,Target_monthwise!$D$4:$O$20,DTR!Q$4,FALSE))*1000,0)</f>
        <v>0</v>
      </c>
      <c r="R1078" s="167">
        <f>IFERROR((HLOOKUP($AH1078,Target_monthwise!$D$4:$O$20,DTR!R$4,FALSE))*1000,0)</f>
        <v>0</v>
      </c>
      <c r="S1078" s="239">
        <f>IFERROR((HLOOKUP($AH1078,Target_monthwise!$D$24:$O$40,DTR!S$4,FALSE)),0)</f>
        <v>0</v>
      </c>
      <c r="T1078" s="239">
        <f>IFERROR((HLOOKUP($AH1078,Target_monthwise!$D$24:$O$40,DTR!T$4,FALSE)),0)</f>
        <v>0</v>
      </c>
      <c r="U1078" s="239">
        <f>IFERROR((HLOOKUP($AH1078,Target_monthwise!$D$24:$O$40,DTR!U$4,FALSE)),0)</f>
        <v>0</v>
      </c>
      <c r="V1078" s="239">
        <f>IFERROR((HLOOKUP($AH1078,Target_monthwise!$D$24:$O$40,DTR!V$4,FALSE)),0)</f>
        <v>0</v>
      </c>
      <c r="W1078" s="239">
        <f>IFERROR((HLOOKUP($AH1078,Target_monthwise!$D$24:$O$40,DTR!W$4,FALSE)),0)</f>
        <v>0</v>
      </c>
      <c r="X1078" s="239">
        <f>IFERROR((HLOOKUP($AH1078,Target_monthwise!$D$24:$O$40,DTR!X$4,FALSE)),0)</f>
        <v>0</v>
      </c>
      <c r="Y1078" s="239">
        <f>IFERROR((HLOOKUP($AH1078,Target_monthwise!$D$24:$O$40,DTR!Y$4,FALSE)),0)</f>
        <v>0</v>
      </c>
      <c r="Z1078" s="147">
        <f>IFERROR((HLOOKUP($AH1078,Target_monthwise!$D$24:$O$40,DTR!Z$4,FALSE)),0)</f>
        <v>0</v>
      </c>
      <c r="AA1078" s="147">
        <f>IFERROR((HLOOKUP($AH1078,Target_monthwise!$D$24:$O$40,DTR!AA$4,FALSE)),0)</f>
        <v>0</v>
      </c>
      <c r="AB1078" s="147">
        <f>IFERROR((HLOOKUP($AH1078,Target_monthwise!$D$24:$O$40,DTR!AB$4,FALSE)),0)</f>
        <v>0</v>
      </c>
      <c r="AC1078" s="239">
        <f>IFERROR((HLOOKUP($AH1078,Target_monthwise!$D$24:$O$40,DTR!AC$4,FALSE)),0)</f>
        <v>0</v>
      </c>
      <c r="AD1078" s="239">
        <f>IFERROR((HLOOKUP($AH1078,Target_monthwise!$D$24:$O$40,DTR!AD$4,FALSE)),0)</f>
        <v>0</v>
      </c>
      <c r="AE1078" s="239">
        <f>IFERROR((HLOOKUP($AH1078,Target_monthwise!$D$24:$O$40,DTR!AE$4,FALSE)),0)</f>
        <v>0</v>
      </c>
      <c r="AF1078" s="239">
        <f>IFERROR((HLOOKUP($AH1078,Target_monthwise!$D$24:$O$40,DTR!AF$4,FALSE)),0)</f>
        <v>0</v>
      </c>
      <c r="AG1078" s="172">
        <f>IFERROR((HLOOKUP($AH1078,Target_monthwise!$D$24:$O$40,DTR!AG$4,FALSE)),0)</f>
        <v>0</v>
      </c>
      <c r="AH1078" s="253">
        <f t="shared" si="19"/>
        <v>202503</v>
      </c>
    </row>
    <row r="1079" spans="3:34" ht="15.75" hidden="1">
      <c r="C1079" s="235">
        <v>45722</v>
      </c>
      <c r="D1079" s="141">
        <f>IFERROR((HLOOKUP($AH1079,Target_monthwise!$D$4:$O$20,DTR!D$4,FALSE))*1000,0)</f>
        <v>0</v>
      </c>
      <c r="E1079" s="141">
        <f>IFERROR((HLOOKUP($AH1079,Target_monthwise!$D$4:$O$20,DTR!E$4,FALSE))*1000,0)</f>
        <v>0</v>
      </c>
      <c r="F1079" s="141">
        <f>IFERROR((HLOOKUP($AH1079,Target_monthwise!$D$4:$O$20,DTR!F$4,FALSE))*1000,0)</f>
        <v>0</v>
      </c>
      <c r="G1079" s="141">
        <f>IFERROR((HLOOKUP($AH1079,Target_monthwise!$D$4:$O$20,DTR!G$4,FALSE))*1000,0)</f>
        <v>0</v>
      </c>
      <c r="H1079" s="141">
        <f>IFERROR((HLOOKUP($AH1079,Target_monthwise!$D$4:$O$20,DTR!H$4,FALSE))*1000,0)</f>
        <v>0</v>
      </c>
      <c r="I1079" s="141">
        <f>IFERROR((HLOOKUP($AH1079,Target_monthwise!$D$4:$O$20,DTR!I$4,FALSE))*1000,0)</f>
        <v>0</v>
      </c>
      <c r="J1079" s="141">
        <f>IFERROR((HLOOKUP($AH1079,Target_monthwise!$D$4:$O$20,DTR!J$4,FALSE))*1000,0)</f>
        <v>0</v>
      </c>
      <c r="K1079" s="141">
        <f>IFERROR((HLOOKUP($AH1079,Target_monthwise!$D$4:$O$20,DTR!K$4,FALSE))*1000,0)</f>
        <v>0</v>
      </c>
      <c r="L1079" s="141">
        <f>IFERROR((HLOOKUP($AH1079,Target_monthwise!$D$4:$O$20,DTR!L$4,FALSE))*1000,0)</f>
        <v>0</v>
      </c>
      <c r="M1079" s="141">
        <f>IFERROR((HLOOKUP($AH1079,Target_monthwise!$D$4:$O$20,DTR!M$4,FALSE))*1000,0)</f>
        <v>0</v>
      </c>
      <c r="N1079" s="141">
        <f>IFERROR((HLOOKUP($AH1079,Target_monthwise!$D$4:$O$20,DTR!N$4,FALSE))*1000,0)</f>
        <v>0</v>
      </c>
      <c r="O1079" s="141">
        <f>IFERROR((HLOOKUP($AH1079,Target_monthwise!$D$4:$O$20,DTR!O$4,FALSE))*1000,0)</f>
        <v>0</v>
      </c>
      <c r="P1079" s="141">
        <f>IFERROR((HLOOKUP($AH1079,Target_monthwise!$D$4:$O$20,DTR!P$4,FALSE))*1000,0)</f>
        <v>0</v>
      </c>
      <c r="Q1079" s="141">
        <f>IFERROR((HLOOKUP($AH1079,Target_monthwise!$D$4:$O$20,DTR!Q$4,FALSE))*1000,0)</f>
        <v>0</v>
      </c>
      <c r="R1079" s="167">
        <f>IFERROR((HLOOKUP($AH1079,Target_monthwise!$D$4:$O$20,DTR!R$4,FALSE))*1000,0)</f>
        <v>0</v>
      </c>
      <c r="S1079" s="147">
        <f>IFERROR((HLOOKUP($AH1079,Target_monthwise!$D$24:$O$40,DTR!S$4,FALSE)),0)</f>
        <v>0</v>
      </c>
      <c r="T1079" s="147">
        <f>IFERROR((HLOOKUP($AH1079,Target_monthwise!$D$24:$O$40,DTR!T$4,FALSE)),0)</f>
        <v>0</v>
      </c>
      <c r="U1079" s="147">
        <f>IFERROR((HLOOKUP($AH1079,Target_monthwise!$D$24:$O$40,DTR!U$4,FALSE)),0)</f>
        <v>0</v>
      </c>
      <c r="V1079" s="147">
        <f>IFERROR((HLOOKUP($AH1079,Target_monthwise!$D$24:$O$40,DTR!V$4,FALSE)),0)</f>
        <v>0</v>
      </c>
      <c r="W1079" s="147">
        <f>IFERROR((HLOOKUP($AH1079,Target_monthwise!$D$24:$O$40,DTR!W$4,FALSE)),0)</f>
        <v>0</v>
      </c>
      <c r="X1079" s="147">
        <f>IFERROR((HLOOKUP($AH1079,Target_monthwise!$D$24:$O$40,DTR!X$4,FALSE)),0)</f>
        <v>0</v>
      </c>
      <c r="Y1079" s="147">
        <f>IFERROR((HLOOKUP($AH1079,Target_monthwise!$D$24:$O$40,DTR!Y$4,FALSE)),0)</f>
        <v>0</v>
      </c>
      <c r="Z1079" s="147">
        <f>IFERROR((HLOOKUP($AH1079,Target_monthwise!$D$24:$O$40,DTR!Z$4,FALSE)),0)</f>
        <v>0</v>
      </c>
      <c r="AA1079" s="147">
        <f>IFERROR((HLOOKUP($AH1079,Target_monthwise!$D$24:$O$40,DTR!AA$4,FALSE)),0)</f>
        <v>0</v>
      </c>
      <c r="AB1079" s="147">
        <f>IFERROR((HLOOKUP($AH1079,Target_monthwise!$D$24:$O$40,DTR!AB$4,FALSE)),0)</f>
        <v>0</v>
      </c>
      <c r="AC1079" s="147">
        <f>IFERROR((HLOOKUP($AH1079,Target_monthwise!$D$24:$O$40,DTR!AC$4,FALSE)),0)</f>
        <v>0</v>
      </c>
      <c r="AD1079" s="147">
        <f>IFERROR((HLOOKUP($AH1079,Target_monthwise!$D$24:$O$40,DTR!AD$4,FALSE)),0)</f>
        <v>0</v>
      </c>
      <c r="AE1079" s="147">
        <f>IFERROR((HLOOKUP($AH1079,Target_monthwise!$D$24:$O$40,DTR!AE$4,FALSE)),0)</f>
        <v>0</v>
      </c>
      <c r="AF1079" s="147">
        <f>IFERROR((HLOOKUP($AH1079,Target_monthwise!$D$24:$O$40,DTR!AF$4,FALSE)),0)</f>
        <v>0</v>
      </c>
      <c r="AG1079" s="172">
        <f>IFERROR((HLOOKUP($AH1079,Target_monthwise!$D$24:$O$40,DTR!AG$4,FALSE)),0)</f>
        <v>0</v>
      </c>
      <c r="AH1079" s="253">
        <f t="shared" si="19"/>
        <v>202503</v>
      </c>
    </row>
    <row r="1080" spans="3:34" ht="15.75" hidden="1">
      <c r="C1080" s="237">
        <v>45723</v>
      </c>
      <c r="D1080" s="238">
        <f>IFERROR((HLOOKUP($AH1080,Target_monthwise!$D$4:$O$20,DTR!D$4,FALSE))*1000,0)</f>
        <v>0</v>
      </c>
      <c r="E1080" s="238">
        <f>IFERROR((HLOOKUP($AH1080,Target_monthwise!$D$4:$O$20,DTR!E$4,FALSE))*1000,0)</f>
        <v>0</v>
      </c>
      <c r="F1080" s="238">
        <f>IFERROR((HLOOKUP($AH1080,Target_monthwise!$D$4:$O$20,DTR!F$4,FALSE))*1000,0)</f>
        <v>0</v>
      </c>
      <c r="G1080" s="238">
        <f>IFERROR((HLOOKUP($AH1080,Target_monthwise!$D$4:$O$20,DTR!G$4,FALSE))*1000,0)</f>
        <v>0</v>
      </c>
      <c r="H1080" s="238">
        <f>IFERROR((HLOOKUP($AH1080,Target_monthwise!$D$4:$O$20,DTR!H$4,FALSE))*1000,0)</f>
        <v>0</v>
      </c>
      <c r="I1080" s="238">
        <f>IFERROR((HLOOKUP($AH1080,Target_monthwise!$D$4:$O$20,DTR!I$4,FALSE))*1000,0)</f>
        <v>0</v>
      </c>
      <c r="J1080" s="238">
        <f>IFERROR((HLOOKUP($AH1080,Target_monthwise!$D$4:$O$20,DTR!J$4,FALSE))*1000,0)</f>
        <v>0</v>
      </c>
      <c r="K1080" s="238">
        <f>IFERROR((HLOOKUP($AH1080,Target_monthwise!$D$4:$O$20,DTR!K$4,FALSE))*1000,0)</f>
        <v>0</v>
      </c>
      <c r="L1080" s="238">
        <f>IFERROR((HLOOKUP($AH1080,Target_monthwise!$D$4:$O$20,DTR!L$4,FALSE))*1000,0)</f>
        <v>0</v>
      </c>
      <c r="M1080" s="238">
        <f>IFERROR((HLOOKUP($AH1080,Target_monthwise!$D$4:$O$20,DTR!M$4,FALSE))*1000,0)</f>
        <v>0</v>
      </c>
      <c r="N1080" s="238">
        <f>IFERROR((HLOOKUP($AH1080,Target_monthwise!$D$4:$O$20,DTR!N$4,FALSE))*1000,0)</f>
        <v>0</v>
      </c>
      <c r="O1080" s="238">
        <f>IFERROR((HLOOKUP($AH1080,Target_monthwise!$D$4:$O$20,DTR!O$4,FALSE))*1000,0)</f>
        <v>0</v>
      </c>
      <c r="P1080" s="238">
        <f>IFERROR((HLOOKUP($AH1080,Target_monthwise!$D$4:$O$20,DTR!P$4,FALSE))*1000,0)</f>
        <v>0</v>
      </c>
      <c r="Q1080" s="141">
        <f>IFERROR((HLOOKUP($AH1080,Target_monthwise!$D$4:$O$20,DTR!Q$4,FALSE))*1000,0)</f>
        <v>0</v>
      </c>
      <c r="R1080" s="167">
        <f>IFERROR((HLOOKUP($AH1080,Target_monthwise!$D$4:$O$20,DTR!R$4,FALSE))*1000,0)</f>
        <v>0</v>
      </c>
      <c r="S1080" s="239">
        <f>IFERROR((HLOOKUP($AH1080,Target_monthwise!$D$24:$O$40,DTR!S$4,FALSE)),0)</f>
        <v>0</v>
      </c>
      <c r="T1080" s="239">
        <f>IFERROR((HLOOKUP($AH1080,Target_monthwise!$D$24:$O$40,DTR!T$4,FALSE)),0)</f>
        <v>0</v>
      </c>
      <c r="U1080" s="239">
        <f>IFERROR((HLOOKUP($AH1080,Target_monthwise!$D$24:$O$40,DTR!U$4,FALSE)),0)</f>
        <v>0</v>
      </c>
      <c r="V1080" s="239">
        <f>IFERROR((HLOOKUP($AH1080,Target_monthwise!$D$24:$O$40,DTR!V$4,FALSE)),0)</f>
        <v>0</v>
      </c>
      <c r="W1080" s="239">
        <f>IFERROR((HLOOKUP($AH1080,Target_monthwise!$D$24:$O$40,DTR!W$4,FALSE)),0)</f>
        <v>0</v>
      </c>
      <c r="X1080" s="239">
        <f>IFERROR((HLOOKUP($AH1080,Target_monthwise!$D$24:$O$40,DTR!X$4,FALSE)),0)</f>
        <v>0</v>
      </c>
      <c r="Y1080" s="239">
        <f>IFERROR((HLOOKUP($AH1080,Target_monthwise!$D$24:$O$40,DTR!Y$4,FALSE)),0)</f>
        <v>0</v>
      </c>
      <c r="Z1080" s="147">
        <f>IFERROR((HLOOKUP($AH1080,Target_monthwise!$D$24:$O$40,DTR!Z$4,FALSE)),0)</f>
        <v>0</v>
      </c>
      <c r="AA1080" s="147">
        <f>IFERROR((HLOOKUP($AH1080,Target_monthwise!$D$24:$O$40,DTR!AA$4,FALSE)),0)</f>
        <v>0</v>
      </c>
      <c r="AB1080" s="147">
        <f>IFERROR((HLOOKUP($AH1080,Target_monthwise!$D$24:$O$40,DTR!AB$4,FALSE)),0)</f>
        <v>0</v>
      </c>
      <c r="AC1080" s="239">
        <f>IFERROR((HLOOKUP($AH1080,Target_monthwise!$D$24:$O$40,DTR!AC$4,FALSE)),0)</f>
        <v>0</v>
      </c>
      <c r="AD1080" s="239">
        <f>IFERROR((HLOOKUP($AH1080,Target_monthwise!$D$24:$O$40,DTR!AD$4,FALSE)),0)</f>
        <v>0</v>
      </c>
      <c r="AE1080" s="239">
        <f>IFERROR((HLOOKUP($AH1080,Target_monthwise!$D$24:$O$40,DTR!AE$4,FALSE)),0)</f>
        <v>0</v>
      </c>
      <c r="AF1080" s="239">
        <f>IFERROR((HLOOKUP($AH1080,Target_monthwise!$D$24:$O$40,DTR!AF$4,FALSE)),0)</f>
        <v>0</v>
      </c>
      <c r="AG1080" s="172">
        <f>IFERROR((HLOOKUP($AH1080,Target_monthwise!$D$24:$O$40,DTR!AG$4,FALSE)),0)</f>
        <v>0</v>
      </c>
      <c r="AH1080" s="253">
        <f t="shared" si="19"/>
        <v>202503</v>
      </c>
    </row>
    <row r="1081" spans="3:34" ht="15.75" hidden="1">
      <c r="C1081" s="235">
        <v>45724</v>
      </c>
      <c r="D1081" s="141">
        <f>IFERROR((HLOOKUP($AH1081,Target_monthwise!$D$4:$O$20,DTR!D$4,FALSE))*1000,0)</f>
        <v>0</v>
      </c>
      <c r="E1081" s="141">
        <f>IFERROR((HLOOKUP($AH1081,Target_monthwise!$D$4:$O$20,DTR!E$4,FALSE))*1000,0)</f>
        <v>0</v>
      </c>
      <c r="F1081" s="141">
        <f>IFERROR((HLOOKUP($AH1081,Target_monthwise!$D$4:$O$20,DTR!F$4,FALSE))*1000,0)</f>
        <v>0</v>
      </c>
      <c r="G1081" s="141">
        <f>IFERROR((HLOOKUP($AH1081,Target_monthwise!$D$4:$O$20,DTR!G$4,FALSE))*1000,0)</f>
        <v>0</v>
      </c>
      <c r="H1081" s="141">
        <f>IFERROR((HLOOKUP($AH1081,Target_monthwise!$D$4:$O$20,DTR!H$4,FALSE))*1000,0)</f>
        <v>0</v>
      </c>
      <c r="I1081" s="141">
        <f>IFERROR((HLOOKUP($AH1081,Target_monthwise!$D$4:$O$20,DTR!I$4,FALSE))*1000,0)</f>
        <v>0</v>
      </c>
      <c r="J1081" s="141">
        <f>IFERROR((HLOOKUP($AH1081,Target_monthwise!$D$4:$O$20,DTR!J$4,FALSE))*1000,0)</f>
        <v>0</v>
      </c>
      <c r="K1081" s="141">
        <f>IFERROR((HLOOKUP($AH1081,Target_monthwise!$D$4:$O$20,DTR!K$4,FALSE))*1000,0)</f>
        <v>0</v>
      </c>
      <c r="L1081" s="141">
        <f>IFERROR((HLOOKUP($AH1081,Target_monthwise!$D$4:$O$20,DTR!L$4,FALSE))*1000,0)</f>
        <v>0</v>
      </c>
      <c r="M1081" s="141">
        <f>IFERROR((HLOOKUP($AH1081,Target_monthwise!$D$4:$O$20,DTR!M$4,FALSE))*1000,0)</f>
        <v>0</v>
      </c>
      <c r="N1081" s="141">
        <f>IFERROR((HLOOKUP($AH1081,Target_monthwise!$D$4:$O$20,DTR!N$4,FALSE))*1000,0)</f>
        <v>0</v>
      </c>
      <c r="O1081" s="141">
        <f>IFERROR((HLOOKUP($AH1081,Target_monthwise!$D$4:$O$20,DTR!O$4,FALSE))*1000,0)</f>
        <v>0</v>
      </c>
      <c r="P1081" s="141">
        <f>IFERROR((HLOOKUP($AH1081,Target_monthwise!$D$4:$O$20,DTR!P$4,FALSE))*1000,0)</f>
        <v>0</v>
      </c>
      <c r="Q1081" s="141">
        <f>IFERROR((HLOOKUP($AH1081,Target_monthwise!$D$4:$O$20,DTR!Q$4,FALSE))*1000,0)</f>
        <v>0</v>
      </c>
      <c r="R1081" s="167">
        <f>IFERROR((HLOOKUP($AH1081,Target_monthwise!$D$4:$O$20,DTR!R$4,FALSE))*1000,0)</f>
        <v>0</v>
      </c>
      <c r="S1081" s="147">
        <f>IFERROR((HLOOKUP($AH1081,Target_monthwise!$D$24:$O$40,DTR!S$4,FALSE)),0)</f>
        <v>0</v>
      </c>
      <c r="T1081" s="147">
        <f>IFERROR((HLOOKUP($AH1081,Target_monthwise!$D$24:$O$40,DTR!T$4,FALSE)),0)</f>
        <v>0</v>
      </c>
      <c r="U1081" s="147">
        <f>IFERROR((HLOOKUP($AH1081,Target_monthwise!$D$24:$O$40,DTR!U$4,FALSE)),0)</f>
        <v>0</v>
      </c>
      <c r="V1081" s="147">
        <f>IFERROR((HLOOKUP($AH1081,Target_monthwise!$D$24:$O$40,DTR!V$4,FALSE)),0)</f>
        <v>0</v>
      </c>
      <c r="W1081" s="147">
        <f>IFERROR((HLOOKUP($AH1081,Target_monthwise!$D$24:$O$40,DTR!W$4,FALSE)),0)</f>
        <v>0</v>
      </c>
      <c r="X1081" s="147">
        <f>IFERROR((HLOOKUP($AH1081,Target_monthwise!$D$24:$O$40,DTR!X$4,FALSE)),0)</f>
        <v>0</v>
      </c>
      <c r="Y1081" s="147">
        <f>IFERROR((HLOOKUP($AH1081,Target_monthwise!$D$24:$O$40,DTR!Y$4,FALSE)),0)</f>
        <v>0</v>
      </c>
      <c r="Z1081" s="147">
        <f>IFERROR((HLOOKUP($AH1081,Target_monthwise!$D$24:$O$40,DTR!Z$4,FALSE)),0)</f>
        <v>0</v>
      </c>
      <c r="AA1081" s="147">
        <f>IFERROR((HLOOKUP($AH1081,Target_monthwise!$D$24:$O$40,DTR!AA$4,FALSE)),0)</f>
        <v>0</v>
      </c>
      <c r="AB1081" s="147">
        <f>IFERROR((HLOOKUP($AH1081,Target_monthwise!$D$24:$O$40,DTR!AB$4,FALSE)),0)</f>
        <v>0</v>
      </c>
      <c r="AC1081" s="147">
        <f>IFERROR((HLOOKUP($AH1081,Target_monthwise!$D$24:$O$40,DTR!AC$4,FALSE)),0)</f>
        <v>0</v>
      </c>
      <c r="AD1081" s="147">
        <f>IFERROR((HLOOKUP($AH1081,Target_monthwise!$D$24:$O$40,DTR!AD$4,FALSE)),0)</f>
        <v>0</v>
      </c>
      <c r="AE1081" s="147">
        <f>IFERROR((HLOOKUP($AH1081,Target_monthwise!$D$24:$O$40,DTR!AE$4,FALSE)),0)</f>
        <v>0</v>
      </c>
      <c r="AF1081" s="147">
        <f>IFERROR((HLOOKUP($AH1081,Target_monthwise!$D$24:$O$40,DTR!AF$4,FALSE)),0)</f>
        <v>0</v>
      </c>
      <c r="AG1081" s="172">
        <f>IFERROR((HLOOKUP($AH1081,Target_monthwise!$D$24:$O$40,DTR!AG$4,FALSE)),0)</f>
        <v>0</v>
      </c>
      <c r="AH1081" s="253">
        <f t="shared" si="19"/>
        <v>202503</v>
      </c>
    </row>
    <row r="1082" spans="3:34" ht="15.75" hidden="1">
      <c r="C1082" s="237">
        <v>45725</v>
      </c>
      <c r="D1082" s="238">
        <f>IFERROR((HLOOKUP($AH1082,Target_monthwise!$D$4:$O$20,DTR!D$4,FALSE))*1000,0)</f>
        <v>0</v>
      </c>
      <c r="E1082" s="238">
        <f>IFERROR((HLOOKUP($AH1082,Target_monthwise!$D$4:$O$20,DTR!E$4,FALSE))*1000,0)</f>
        <v>0</v>
      </c>
      <c r="F1082" s="238">
        <f>IFERROR((HLOOKUP($AH1082,Target_monthwise!$D$4:$O$20,DTR!F$4,FALSE))*1000,0)</f>
        <v>0</v>
      </c>
      <c r="G1082" s="238">
        <f>IFERROR((HLOOKUP($AH1082,Target_monthwise!$D$4:$O$20,DTR!G$4,FALSE))*1000,0)</f>
        <v>0</v>
      </c>
      <c r="H1082" s="238">
        <f>IFERROR((HLOOKUP($AH1082,Target_monthwise!$D$4:$O$20,DTR!H$4,FALSE))*1000,0)</f>
        <v>0</v>
      </c>
      <c r="I1082" s="238">
        <f>IFERROR((HLOOKUP($AH1082,Target_monthwise!$D$4:$O$20,DTR!I$4,FALSE))*1000,0)</f>
        <v>0</v>
      </c>
      <c r="J1082" s="238">
        <f>IFERROR((HLOOKUP($AH1082,Target_monthwise!$D$4:$O$20,DTR!J$4,FALSE))*1000,0)</f>
        <v>0</v>
      </c>
      <c r="K1082" s="238">
        <f>IFERROR((HLOOKUP($AH1082,Target_monthwise!$D$4:$O$20,DTR!K$4,FALSE))*1000,0)</f>
        <v>0</v>
      </c>
      <c r="L1082" s="238">
        <f>IFERROR((HLOOKUP($AH1082,Target_monthwise!$D$4:$O$20,DTR!L$4,FALSE))*1000,0)</f>
        <v>0</v>
      </c>
      <c r="M1082" s="238">
        <f>IFERROR((HLOOKUP($AH1082,Target_monthwise!$D$4:$O$20,DTR!M$4,FALSE))*1000,0)</f>
        <v>0</v>
      </c>
      <c r="N1082" s="238">
        <f>IFERROR((HLOOKUP($AH1082,Target_monthwise!$D$4:$O$20,DTR!N$4,FALSE))*1000,0)</f>
        <v>0</v>
      </c>
      <c r="O1082" s="238">
        <f>IFERROR((HLOOKUP($AH1082,Target_monthwise!$D$4:$O$20,DTR!O$4,FALSE))*1000,0)</f>
        <v>0</v>
      </c>
      <c r="P1082" s="238">
        <f>IFERROR((HLOOKUP($AH1082,Target_monthwise!$D$4:$O$20,DTR!P$4,FALSE))*1000,0)</f>
        <v>0</v>
      </c>
      <c r="Q1082" s="141">
        <f>IFERROR((HLOOKUP($AH1082,Target_monthwise!$D$4:$O$20,DTR!Q$4,FALSE))*1000,0)</f>
        <v>0</v>
      </c>
      <c r="R1082" s="167">
        <f>IFERROR((HLOOKUP($AH1082,Target_monthwise!$D$4:$O$20,DTR!R$4,FALSE))*1000,0)</f>
        <v>0</v>
      </c>
      <c r="S1082" s="239">
        <f>IFERROR((HLOOKUP($AH1082,Target_monthwise!$D$24:$O$40,DTR!S$4,FALSE)),0)</f>
        <v>0</v>
      </c>
      <c r="T1082" s="239">
        <f>IFERROR((HLOOKUP($AH1082,Target_monthwise!$D$24:$O$40,DTR!T$4,FALSE)),0)</f>
        <v>0</v>
      </c>
      <c r="U1082" s="239">
        <f>IFERROR((HLOOKUP($AH1082,Target_monthwise!$D$24:$O$40,DTR!U$4,FALSE)),0)</f>
        <v>0</v>
      </c>
      <c r="V1082" s="239">
        <f>IFERROR((HLOOKUP($AH1082,Target_monthwise!$D$24:$O$40,DTR!V$4,FALSE)),0)</f>
        <v>0</v>
      </c>
      <c r="W1082" s="239">
        <f>IFERROR((HLOOKUP($AH1082,Target_monthwise!$D$24:$O$40,DTR!W$4,FALSE)),0)</f>
        <v>0</v>
      </c>
      <c r="X1082" s="239">
        <f>IFERROR((HLOOKUP($AH1082,Target_monthwise!$D$24:$O$40,DTR!X$4,FALSE)),0)</f>
        <v>0</v>
      </c>
      <c r="Y1082" s="239">
        <f>IFERROR((HLOOKUP($AH1082,Target_monthwise!$D$24:$O$40,DTR!Y$4,FALSE)),0)</f>
        <v>0</v>
      </c>
      <c r="Z1082" s="147">
        <f>IFERROR((HLOOKUP($AH1082,Target_monthwise!$D$24:$O$40,DTR!Z$4,FALSE)),0)</f>
        <v>0</v>
      </c>
      <c r="AA1082" s="147">
        <f>IFERROR((HLOOKUP($AH1082,Target_monthwise!$D$24:$O$40,DTR!AA$4,FALSE)),0)</f>
        <v>0</v>
      </c>
      <c r="AB1082" s="147">
        <f>IFERROR((HLOOKUP($AH1082,Target_monthwise!$D$24:$O$40,DTR!AB$4,FALSE)),0)</f>
        <v>0</v>
      </c>
      <c r="AC1082" s="239">
        <f>IFERROR((HLOOKUP($AH1082,Target_monthwise!$D$24:$O$40,DTR!AC$4,FALSE)),0)</f>
        <v>0</v>
      </c>
      <c r="AD1082" s="239">
        <f>IFERROR((HLOOKUP($AH1082,Target_monthwise!$D$24:$O$40,DTR!AD$4,FALSE)),0)</f>
        <v>0</v>
      </c>
      <c r="AE1082" s="239">
        <f>IFERROR((HLOOKUP($AH1082,Target_monthwise!$D$24:$O$40,DTR!AE$4,FALSE)),0)</f>
        <v>0</v>
      </c>
      <c r="AF1082" s="239">
        <f>IFERROR((HLOOKUP($AH1082,Target_monthwise!$D$24:$O$40,DTR!AF$4,FALSE)),0)</f>
        <v>0</v>
      </c>
      <c r="AG1082" s="172">
        <f>IFERROR((HLOOKUP($AH1082,Target_monthwise!$D$24:$O$40,DTR!AG$4,FALSE)),0)</f>
        <v>0</v>
      </c>
      <c r="AH1082" s="253">
        <f t="shared" si="19"/>
        <v>202503</v>
      </c>
    </row>
    <row r="1083" spans="3:34" ht="15.75" hidden="1">
      <c r="C1083" s="235">
        <v>45726</v>
      </c>
      <c r="D1083" s="141">
        <f>IFERROR((HLOOKUP($AH1083,Target_monthwise!$D$4:$O$20,DTR!D$4,FALSE))*1000,0)</f>
        <v>0</v>
      </c>
      <c r="E1083" s="141">
        <f>IFERROR((HLOOKUP($AH1083,Target_monthwise!$D$4:$O$20,DTR!E$4,FALSE))*1000,0)</f>
        <v>0</v>
      </c>
      <c r="F1083" s="141">
        <f>IFERROR((HLOOKUP($AH1083,Target_monthwise!$D$4:$O$20,DTR!F$4,FALSE))*1000,0)</f>
        <v>0</v>
      </c>
      <c r="G1083" s="141">
        <f>IFERROR((HLOOKUP($AH1083,Target_monthwise!$D$4:$O$20,DTR!G$4,FALSE))*1000,0)</f>
        <v>0</v>
      </c>
      <c r="H1083" s="141">
        <f>IFERROR((HLOOKUP($AH1083,Target_monthwise!$D$4:$O$20,DTR!H$4,FALSE))*1000,0)</f>
        <v>0</v>
      </c>
      <c r="I1083" s="141">
        <f>IFERROR((HLOOKUP($AH1083,Target_monthwise!$D$4:$O$20,DTR!I$4,FALSE))*1000,0)</f>
        <v>0</v>
      </c>
      <c r="J1083" s="141">
        <f>IFERROR((HLOOKUP($AH1083,Target_monthwise!$D$4:$O$20,DTR!J$4,FALSE))*1000,0)</f>
        <v>0</v>
      </c>
      <c r="K1083" s="141">
        <f>IFERROR((HLOOKUP($AH1083,Target_monthwise!$D$4:$O$20,DTR!K$4,FALSE))*1000,0)</f>
        <v>0</v>
      </c>
      <c r="L1083" s="141">
        <f>IFERROR((HLOOKUP($AH1083,Target_monthwise!$D$4:$O$20,DTR!L$4,FALSE))*1000,0)</f>
        <v>0</v>
      </c>
      <c r="M1083" s="141">
        <f>IFERROR((HLOOKUP($AH1083,Target_monthwise!$D$4:$O$20,DTR!M$4,FALSE))*1000,0)</f>
        <v>0</v>
      </c>
      <c r="N1083" s="141">
        <f>IFERROR((HLOOKUP($AH1083,Target_monthwise!$D$4:$O$20,DTR!N$4,FALSE))*1000,0)</f>
        <v>0</v>
      </c>
      <c r="O1083" s="141">
        <f>IFERROR((HLOOKUP($AH1083,Target_monthwise!$D$4:$O$20,DTR!O$4,FALSE))*1000,0)</f>
        <v>0</v>
      </c>
      <c r="P1083" s="141">
        <f>IFERROR((HLOOKUP($AH1083,Target_monthwise!$D$4:$O$20,DTR!P$4,FALSE))*1000,0)</f>
        <v>0</v>
      </c>
      <c r="Q1083" s="141">
        <f>IFERROR((HLOOKUP($AH1083,Target_monthwise!$D$4:$O$20,DTR!Q$4,FALSE))*1000,0)</f>
        <v>0</v>
      </c>
      <c r="R1083" s="167">
        <f>IFERROR((HLOOKUP($AH1083,Target_monthwise!$D$4:$O$20,DTR!R$4,FALSE))*1000,0)</f>
        <v>0</v>
      </c>
      <c r="S1083" s="147">
        <f>IFERROR((HLOOKUP($AH1083,Target_monthwise!$D$24:$O$40,DTR!S$4,FALSE)),0)</f>
        <v>0</v>
      </c>
      <c r="T1083" s="147">
        <f>IFERROR((HLOOKUP($AH1083,Target_monthwise!$D$24:$O$40,DTR!T$4,FALSE)),0)</f>
        <v>0</v>
      </c>
      <c r="U1083" s="147">
        <f>IFERROR((HLOOKUP($AH1083,Target_monthwise!$D$24:$O$40,DTR!U$4,FALSE)),0)</f>
        <v>0</v>
      </c>
      <c r="V1083" s="147">
        <f>IFERROR((HLOOKUP($AH1083,Target_monthwise!$D$24:$O$40,DTR!V$4,FALSE)),0)</f>
        <v>0</v>
      </c>
      <c r="W1083" s="147">
        <f>IFERROR((HLOOKUP($AH1083,Target_monthwise!$D$24:$O$40,DTR!W$4,FALSE)),0)</f>
        <v>0</v>
      </c>
      <c r="X1083" s="147">
        <f>IFERROR((HLOOKUP($AH1083,Target_monthwise!$D$24:$O$40,DTR!X$4,FALSE)),0)</f>
        <v>0</v>
      </c>
      <c r="Y1083" s="147">
        <f>IFERROR((HLOOKUP($AH1083,Target_monthwise!$D$24:$O$40,DTR!Y$4,FALSE)),0)</f>
        <v>0</v>
      </c>
      <c r="Z1083" s="147">
        <f>IFERROR((HLOOKUP($AH1083,Target_monthwise!$D$24:$O$40,DTR!Z$4,FALSE)),0)</f>
        <v>0</v>
      </c>
      <c r="AA1083" s="147">
        <f>IFERROR((HLOOKUP($AH1083,Target_monthwise!$D$24:$O$40,DTR!AA$4,FALSE)),0)</f>
        <v>0</v>
      </c>
      <c r="AB1083" s="147">
        <f>IFERROR((HLOOKUP($AH1083,Target_monthwise!$D$24:$O$40,DTR!AB$4,FALSE)),0)</f>
        <v>0</v>
      </c>
      <c r="AC1083" s="147">
        <f>IFERROR((HLOOKUP($AH1083,Target_monthwise!$D$24:$O$40,DTR!AC$4,FALSE)),0)</f>
        <v>0</v>
      </c>
      <c r="AD1083" s="147">
        <f>IFERROR((HLOOKUP($AH1083,Target_monthwise!$D$24:$O$40,DTR!AD$4,FALSE)),0)</f>
        <v>0</v>
      </c>
      <c r="AE1083" s="147">
        <f>IFERROR((HLOOKUP($AH1083,Target_monthwise!$D$24:$O$40,DTR!AE$4,FALSE)),0)</f>
        <v>0</v>
      </c>
      <c r="AF1083" s="147">
        <f>IFERROR((HLOOKUP($AH1083,Target_monthwise!$D$24:$O$40,DTR!AF$4,FALSE)),0)</f>
        <v>0</v>
      </c>
      <c r="AG1083" s="172">
        <f>IFERROR((HLOOKUP($AH1083,Target_monthwise!$D$24:$O$40,DTR!AG$4,FALSE)),0)</f>
        <v>0</v>
      </c>
      <c r="AH1083" s="253">
        <f t="shared" si="19"/>
        <v>202503</v>
      </c>
    </row>
    <row r="1084" spans="3:34" ht="15.75" hidden="1">
      <c r="C1084" s="237">
        <v>45727</v>
      </c>
      <c r="D1084" s="238">
        <f>IFERROR((HLOOKUP($AH1084,Target_monthwise!$D$4:$O$20,DTR!D$4,FALSE))*1000,0)</f>
        <v>0</v>
      </c>
      <c r="E1084" s="238">
        <f>IFERROR((HLOOKUP($AH1084,Target_monthwise!$D$4:$O$20,DTR!E$4,FALSE))*1000,0)</f>
        <v>0</v>
      </c>
      <c r="F1084" s="238">
        <f>IFERROR((HLOOKUP($AH1084,Target_monthwise!$D$4:$O$20,DTR!F$4,FALSE))*1000,0)</f>
        <v>0</v>
      </c>
      <c r="G1084" s="238">
        <f>IFERROR((HLOOKUP($AH1084,Target_monthwise!$D$4:$O$20,DTR!G$4,FALSE))*1000,0)</f>
        <v>0</v>
      </c>
      <c r="H1084" s="238">
        <f>IFERROR((HLOOKUP($AH1084,Target_monthwise!$D$4:$O$20,DTR!H$4,FALSE))*1000,0)</f>
        <v>0</v>
      </c>
      <c r="I1084" s="238">
        <f>IFERROR((HLOOKUP($AH1084,Target_monthwise!$D$4:$O$20,DTR!I$4,FALSE))*1000,0)</f>
        <v>0</v>
      </c>
      <c r="J1084" s="238">
        <f>IFERROR((HLOOKUP($AH1084,Target_monthwise!$D$4:$O$20,DTR!J$4,FALSE))*1000,0)</f>
        <v>0</v>
      </c>
      <c r="K1084" s="238">
        <f>IFERROR((HLOOKUP($AH1084,Target_monthwise!$D$4:$O$20,DTR!K$4,FALSE))*1000,0)</f>
        <v>0</v>
      </c>
      <c r="L1084" s="238">
        <f>IFERROR((HLOOKUP($AH1084,Target_monthwise!$D$4:$O$20,DTR!L$4,FALSE))*1000,0)</f>
        <v>0</v>
      </c>
      <c r="M1084" s="238">
        <f>IFERROR((HLOOKUP($AH1084,Target_monthwise!$D$4:$O$20,DTR!M$4,FALSE))*1000,0)</f>
        <v>0</v>
      </c>
      <c r="N1084" s="238">
        <f>IFERROR((HLOOKUP($AH1084,Target_monthwise!$D$4:$O$20,DTR!N$4,FALSE))*1000,0)</f>
        <v>0</v>
      </c>
      <c r="O1084" s="238">
        <f>IFERROR((HLOOKUP($AH1084,Target_monthwise!$D$4:$O$20,DTR!O$4,FALSE))*1000,0)</f>
        <v>0</v>
      </c>
      <c r="P1084" s="238">
        <f>IFERROR((HLOOKUP($AH1084,Target_monthwise!$D$4:$O$20,DTR!P$4,FALSE))*1000,0)</f>
        <v>0</v>
      </c>
      <c r="Q1084" s="141">
        <f>IFERROR((HLOOKUP($AH1084,Target_monthwise!$D$4:$O$20,DTR!Q$4,FALSE))*1000,0)</f>
        <v>0</v>
      </c>
      <c r="R1084" s="167">
        <f>IFERROR((HLOOKUP($AH1084,Target_monthwise!$D$4:$O$20,DTR!R$4,FALSE))*1000,0)</f>
        <v>0</v>
      </c>
      <c r="S1084" s="239">
        <f>IFERROR((HLOOKUP($AH1084,Target_monthwise!$D$24:$O$40,DTR!S$4,FALSE)),0)</f>
        <v>0</v>
      </c>
      <c r="T1084" s="239">
        <f>IFERROR((HLOOKUP($AH1084,Target_monthwise!$D$24:$O$40,DTR!T$4,FALSE)),0)</f>
        <v>0</v>
      </c>
      <c r="U1084" s="239">
        <f>IFERROR((HLOOKUP($AH1084,Target_monthwise!$D$24:$O$40,DTR!U$4,FALSE)),0)</f>
        <v>0</v>
      </c>
      <c r="V1084" s="239">
        <f>IFERROR((HLOOKUP($AH1084,Target_monthwise!$D$24:$O$40,DTR!V$4,FALSE)),0)</f>
        <v>0</v>
      </c>
      <c r="W1084" s="239">
        <f>IFERROR((HLOOKUP($AH1084,Target_monthwise!$D$24:$O$40,DTR!W$4,FALSE)),0)</f>
        <v>0</v>
      </c>
      <c r="X1084" s="239">
        <f>IFERROR((HLOOKUP($AH1084,Target_monthwise!$D$24:$O$40,DTR!X$4,FALSE)),0)</f>
        <v>0</v>
      </c>
      <c r="Y1084" s="239">
        <f>IFERROR((HLOOKUP($AH1084,Target_monthwise!$D$24:$O$40,DTR!Y$4,FALSE)),0)</f>
        <v>0</v>
      </c>
      <c r="Z1084" s="147">
        <f>IFERROR((HLOOKUP($AH1084,Target_monthwise!$D$24:$O$40,DTR!Z$4,FALSE)),0)</f>
        <v>0</v>
      </c>
      <c r="AA1084" s="147">
        <f>IFERROR((HLOOKUP($AH1084,Target_monthwise!$D$24:$O$40,DTR!AA$4,FALSE)),0)</f>
        <v>0</v>
      </c>
      <c r="AB1084" s="147">
        <f>IFERROR((HLOOKUP($AH1084,Target_monthwise!$D$24:$O$40,DTR!AB$4,FALSE)),0)</f>
        <v>0</v>
      </c>
      <c r="AC1084" s="239">
        <f>IFERROR((HLOOKUP($AH1084,Target_monthwise!$D$24:$O$40,DTR!AC$4,FALSE)),0)</f>
        <v>0</v>
      </c>
      <c r="AD1084" s="239">
        <f>IFERROR((HLOOKUP($AH1084,Target_monthwise!$D$24:$O$40,DTR!AD$4,FALSE)),0)</f>
        <v>0</v>
      </c>
      <c r="AE1084" s="239">
        <f>IFERROR((HLOOKUP($AH1084,Target_monthwise!$D$24:$O$40,DTR!AE$4,FALSE)),0)</f>
        <v>0</v>
      </c>
      <c r="AF1084" s="239">
        <f>IFERROR((HLOOKUP($AH1084,Target_monthwise!$D$24:$O$40,DTR!AF$4,FALSE)),0)</f>
        <v>0</v>
      </c>
      <c r="AG1084" s="172">
        <f>IFERROR((HLOOKUP($AH1084,Target_monthwise!$D$24:$O$40,DTR!AG$4,FALSE)),0)</f>
        <v>0</v>
      </c>
      <c r="AH1084" s="253">
        <f t="shared" si="19"/>
        <v>202503</v>
      </c>
    </row>
    <row r="1085" spans="3:34" ht="15.75" hidden="1">
      <c r="C1085" s="235">
        <v>45728</v>
      </c>
      <c r="D1085" s="141">
        <f>IFERROR((HLOOKUP($AH1085,Target_monthwise!$D$4:$O$20,DTR!D$4,FALSE))*1000,0)</f>
        <v>0</v>
      </c>
      <c r="E1085" s="141">
        <f>IFERROR((HLOOKUP($AH1085,Target_monthwise!$D$4:$O$20,DTR!E$4,FALSE))*1000,0)</f>
        <v>0</v>
      </c>
      <c r="F1085" s="141">
        <f>IFERROR((HLOOKUP($AH1085,Target_monthwise!$D$4:$O$20,DTR!F$4,FALSE))*1000,0)</f>
        <v>0</v>
      </c>
      <c r="G1085" s="141">
        <f>IFERROR((HLOOKUP($AH1085,Target_monthwise!$D$4:$O$20,DTR!G$4,FALSE))*1000,0)</f>
        <v>0</v>
      </c>
      <c r="H1085" s="141">
        <f>IFERROR((HLOOKUP($AH1085,Target_monthwise!$D$4:$O$20,DTR!H$4,FALSE))*1000,0)</f>
        <v>0</v>
      </c>
      <c r="I1085" s="141">
        <f>IFERROR((HLOOKUP($AH1085,Target_monthwise!$D$4:$O$20,DTR!I$4,FALSE))*1000,0)</f>
        <v>0</v>
      </c>
      <c r="J1085" s="141">
        <f>IFERROR((HLOOKUP($AH1085,Target_monthwise!$D$4:$O$20,DTR!J$4,FALSE))*1000,0)</f>
        <v>0</v>
      </c>
      <c r="K1085" s="141">
        <f>IFERROR((HLOOKUP($AH1085,Target_monthwise!$D$4:$O$20,DTR!K$4,FALSE))*1000,0)</f>
        <v>0</v>
      </c>
      <c r="L1085" s="141">
        <f>IFERROR((HLOOKUP($AH1085,Target_monthwise!$D$4:$O$20,DTR!L$4,FALSE))*1000,0)</f>
        <v>0</v>
      </c>
      <c r="M1085" s="141">
        <f>IFERROR((HLOOKUP($AH1085,Target_monthwise!$D$4:$O$20,DTR!M$4,FALSE))*1000,0)</f>
        <v>0</v>
      </c>
      <c r="N1085" s="141">
        <f>IFERROR((HLOOKUP($AH1085,Target_monthwise!$D$4:$O$20,DTR!N$4,FALSE))*1000,0)</f>
        <v>0</v>
      </c>
      <c r="O1085" s="141">
        <f>IFERROR((HLOOKUP($AH1085,Target_monthwise!$D$4:$O$20,DTR!O$4,FALSE))*1000,0)</f>
        <v>0</v>
      </c>
      <c r="P1085" s="141">
        <f>IFERROR((HLOOKUP($AH1085,Target_monthwise!$D$4:$O$20,DTR!P$4,FALSE))*1000,0)</f>
        <v>0</v>
      </c>
      <c r="Q1085" s="141">
        <f>IFERROR((HLOOKUP($AH1085,Target_monthwise!$D$4:$O$20,DTR!Q$4,FALSE))*1000,0)</f>
        <v>0</v>
      </c>
      <c r="R1085" s="167">
        <f>IFERROR((HLOOKUP($AH1085,Target_monthwise!$D$4:$O$20,DTR!R$4,FALSE))*1000,0)</f>
        <v>0</v>
      </c>
      <c r="S1085" s="147">
        <f>IFERROR((HLOOKUP($AH1085,Target_monthwise!$D$24:$O$40,DTR!S$4,FALSE)),0)</f>
        <v>0</v>
      </c>
      <c r="T1085" s="147">
        <f>IFERROR((HLOOKUP($AH1085,Target_monthwise!$D$24:$O$40,DTR!T$4,FALSE)),0)</f>
        <v>0</v>
      </c>
      <c r="U1085" s="147">
        <f>IFERROR((HLOOKUP($AH1085,Target_monthwise!$D$24:$O$40,DTR!U$4,FALSE)),0)</f>
        <v>0</v>
      </c>
      <c r="V1085" s="147">
        <f>IFERROR((HLOOKUP($AH1085,Target_monthwise!$D$24:$O$40,DTR!V$4,FALSE)),0)</f>
        <v>0</v>
      </c>
      <c r="W1085" s="147">
        <f>IFERROR((HLOOKUP($AH1085,Target_monthwise!$D$24:$O$40,DTR!W$4,FALSE)),0)</f>
        <v>0</v>
      </c>
      <c r="X1085" s="147">
        <f>IFERROR((HLOOKUP($AH1085,Target_monthwise!$D$24:$O$40,DTR!X$4,FALSE)),0)</f>
        <v>0</v>
      </c>
      <c r="Y1085" s="147">
        <f>IFERROR((HLOOKUP($AH1085,Target_monthwise!$D$24:$O$40,DTR!Y$4,FALSE)),0)</f>
        <v>0</v>
      </c>
      <c r="Z1085" s="147">
        <f>IFERROR((HLOOKUP($AH1085,Target_monthwise!$D$24:$O$40,DTR!Z$4,FALSE)),0)</f>
        <v>0</v>
      </c>
      <c r="AA1085" s="147">
        <f>IFERROR((HLOOKUP($AH1085,Target_monthwise!$D$24:$O$40,DTR!AA$4,FALSE)),0)</f>
        <v>0</v>
      </c>
      <c r="AB1085" s="147">
        <f>IFERROR((HLOOKUP($AH1085,Target_monthwise!$D$24:$O$40,DTR!AB$4,FALSE)),0)</f>
        <v>0</v>
      </c>
      <c r="AC1085" s="147">
        <f>IFERROR((HLOOKUP($AH1085,Target_monthwise!$D$24:$O$40,DTR!AC$4,FALSE)),0)</f>
        <v>0</v>
      </c>
      <c r="AD1085" s="147">
        <f>IFERROR((HLOOKUP($AH1085,Target_monthwise!$D$24:$O$40,DTR!AD$4,FALSE)),0)</f>
        <v>0</v>
      </c>
      <c r="AE1085" s="147">
        <f>IFERROR((HLOOKUP($AH1085,Target_monthwise!$D$24:$O$40,DTR!AE$4,FALSE)),0)</f>
        <v>0</v>
      </c>
      <c r="AF1085" s="147">
        <f>IFERROR((HLOOKUP($AH1085,Target_monthwise!$D$24:$O$40,DTR!AF$4,FALSE)),0)</f>
        <v>0</v>
      </c>
      <c r="AG1085" s="172">
        <f>IFERROR((HLOOKUP($AH1085,Target_monthwise!$D$24:$O$40,DTR!AG$4,FALSE)),0)</f>
        <v>0</v>
      </c>
      <c r="AH1085" s="253">
        <f t="shared" si="19"/>
        <v>202503</v>
      </c>
    </row>
    <row r="1086" spans="3:34" ht="15.75" hidden="1">
      <c r="C1086" s="237">
        <v>45729</v>
      </c>
      <c r="D1086" s="238">
        <f>IFERROR((HLOOKUP($AH1086,Target_monthwise!$D$4:$O$20,DTR!D$4,FALSE))*1000,0)</f>
        <v>0</v>
      </c>
      <c r="E1086" s="238">
        <f>IFERROR((HLOOKUP($AH1086,Target_monthwise!$D$4:$O$20,DTR!E$4,FALSE))*1000,0)</f>
        <v>0</v>
      </c>
      <c r="F1086" s="238">
        <f>IFERROR((HLOOKUP($AH1086,Target_monthwise!$D$4:$O$20,DTR!F$4,FALSE))*1000,0)</f>
        <v>0</v>
      </c>
      <c r="G1086" s="238">
        <f>IFERROR((HLOOKUP($AH1086,Target_monthwise!$D$4:$O$20,DTR!G$4,FALSE))*1000,0)</f>
        <v>0</v>
      </c>
      <c r="H1086" s="238">
        <f>IFERROR((HLOOKUP($AH1086,Target_monthwise!$D$4:$O$20,DTR!H$4,FALSE))*1000,0)</f>
        <v>0</v>
      </c>
      <c r="I1086" s="238">
        <f>IFERROR((HLOOKUP($AH1086,Target_monthwise!$D$4:$O$20,DTR!I$4,FALSE))*1000,0)</f>
        <v>0</v>
      </c>
      <c r="J1086" s="238">
        <f>IFERROR((HLOOKUP($AH1086,Target_monthwise!$D$4:$O$20,DTR!J$4,FALSE))*1000,0)</f>
        <v>0</v>
      </c>
      <c r="K1086" s="238">
        <f>IFERROR((HLOOKUP($AH1086,Target_monthwise!$D$4:$O$20,DTR!K$4,FALSE))*1000,0)</f>
        <v>0</v>
      </c>
      <c r="L1086" s="238">
        <f>IFERROR((HLOOKUP($AH1086,Target_monthwise!$D$4:$O$20,DTR!L$4,FALSE))*1000,0)</f>
        <v>0</v>
      </c>
      <c r="M1086" s="238">
        <f>IFERROR((HLOOKUP($AH1086,Target_monthwise!$D$4:$O$20,DTR!M$4,FALSE))*1000,0)</f>
        <v>0</v>
      </c>
      <c r="N1086" s="238">
        <f>IFERROR((HLOOKUP($AH1086,Target_monthwise!$D$4:$O$20,DTR!N$4,FALSE))*1000,0)</f>
        <v>0</v>
      </c>
      <c r="O1086" s="238">
        <f>IFERROR((HLOOKUP($AH1086,Target_monthwise!$D$4:$O$20,DTR!O$4,FALSE))*1000,0)</f>
        <v>0</v>
      </c>
      <c r="P1086" s="238">
        <f>IFERROR((HLOOKUP($AH1086,Target_monthwise!$D$4:$O$20,DTR!P$4,FALSE))*1000,0)</f>
        <v>0</v>
      </c>
      <c r="Q1086" s="141">
        <f>IFERROR((HLOOKUP($AH1086,Target_monthwise!$D$4:$O$20,DTR!Q$4,FALSE))*1000,0)</f>
        <v>0</v>
      </c>
      <c r="R1086" s="167">
        <f>IFERROR((HLOOKUP($AH1086,Target_monthwise!$D$4:$O$20,DTR!R$4,FALSE))*1000,0)</f>
        <v>0</v>
      </c>
      <c r="S1086" s="239">
        <f>IFERROR((HLOOKUP($AH1086,Target_monthwise!$D$24:$O$40,DTR!S$4,FALSE)),0)</f>
        <v>0</v>
      </c>
      <c r="T1086" s="239">
        <f>IFERROR((HLOOKUP($AH1086,Target_monthwise!$D$24:$O$40,DTR!T$4,FALSE)),0)</f>
        <v>0</v>
      </c>
      <c r="U1086" s="239">
        <f>IFERROR((HLOOKUP($AH1086,Target_monthwise!$D$24:$O$40,DTR!U$4,FALSE)),0)</f>
        <v>0</v>
      </c>
      <c r="V1086" s="239">
        <f>IFERROR((HLOOKUP($AH1086,Target_monthwise!$D$24:$O$40,DTR!V$4,FALSE)),0)</f>
        <v>0</v>
      </c>
      <c r="W1086" s="239">
        <f>IFERROR((HLOOKUP($AH1086,Target_monthwise!$D$24:$O$40,DTR!W$4,FALSE)),0)</f>
        <v>0</v>
      </c>
      <c r="X1086" s="239">
        <f>IFERROR((HLOOKUP($AH1086,Target_monthwise!$D$24:$O$40,DTR!X$4,FALSE)),0)</f>
        <v>0</v>
      </c>
      <c r="Y1086" s="239">
        <f>IFERROR((HLOOKUP($AH1086,Target_monthwise!$D$24:$O$40,DTR!Y$4,FALSE)),0)</f>
        <v>0</v>
      </c>
      <c r="Z1086" s="147">
        <f>IFERROR((HLOOKUP($AH1086,Target_monthwise!$D$24:$O$40,DTR!Z$4,FALSE)),0)</f>
        <v>0</v>
      </c>
      <c r="AA1086" s="147">
        <f>IFERROR((HLOOKUP($AH1086,Target_monthwise!$D$24:$O$40,DTR!AA$4,FALSE)),0)</f>
        <v>0</v>
      </c>
      <c r="AB1086" s="147">
        <f>IFERROR((HLOOKUP($AH1086,Target_monthwise!$D$24:$O$40,DTR!AB$4,FALSE)),0)</f>
        <v>0</v>
      </c>
      <c r="AC1086" s="239">
        <f>IFERROR((HLOOKUP($AH1086,Target_monthwise!$D$24:$O$40,DTR!AC$4,FALSE)),0)</f>
        <v>0</v>
      </c>
      <c r="AD1086" s="239">
        <f>IFERROR((HLOOKUP($AH1086,Target_monthwise!$D$24:$O$40,DTR!AD$4,FALSE)),0)</f>
        <v>0</v>
      </c>
      <c r="AE1086" s="239">
        <f>IFERROR((HLOOKUP($AH1086,Target_monthwise!$D$24:$O$40,DTR!AE$4,FALSE)),0)</f>
        <v>0</v>
      </c>
      <c r="AF1086" s="239">
        <f>IFERROR((HLOOKUP($AH1086,Target_monthwise!$D$24:$O$40,DTR!AF$4,FALSE)),0)</f>
        <v>0</v>
      </c>
      <c r="AG1086" s="172">
        <f>IFERROR((HLOOKUP($AH1086,Target_monthwise!$D$24:$O$40,DTR!AG$4,FALSE)),0)</f>
        <v>0</v>
      </c>
      <c r="AH1086" s="253">
        <f t="shared" si="19"/>
        <v>202503</v>
      </c>
    </row>
    <row r="1087" spans="3:34" ht="15.75" hidden="1">
      <c r="C1087" s="235">
        <v>45730</v>
      </c>
      <c r="D1087" s="141">
        <f>IFERROR((HLOOKUP($AH1087,Target_monthwise!$D$4:$O$20,DTR!D$4,FALSE))*1000,0)</f>
        <v>0</v>
      </c>
      <c r="E1087" s="141">
        <f>IFERROR((HLOOKUP($AH1087,Target_monthwise!$D$4:$O$20,DTR!E$4,FALSE))*1000,0)</f>
        <v>0</v>
      </c>
      <c r="F1087" s="141">
        <f>IFERROR((HLOOKUP($AH1087,Target_monthwise!$D$4:$O$20,DTR!F$4,FALSE))*1000,0)</f>
        <v>0</v>
      </c>
      <c r="G1087" s="141">
        <f>IFERROR((HLOOKUP($AH1087,Target_monthwise!$D$4:$O$20,DTR!G$4,FALSE))*1000,0)</f>
        <v>0</v>
      </c>
      <c r="H1087" s="141">
        <f>IFERROR((HLOOKUP($AH1087,Target_monthwise!$D$4:$O$20,DTR!H$4,FALSE))*1000,0)</f>
        <v>0</v>
      </c>
      <c r="I1087" s="141">
        <f>IFERROR((HLOOKUP($AH1087,Target_monthwise!$D$4:$O$20,DTR!I$4,FALSE))*1000,0)</f>
        <v>0</v>
      </c>
      <c r="J1087" s="141">
        <f>IFERROR((HLOOKUP($AH1087,Target_monthwise!$D$4:$O$20,DTR!J$4,FALSE))*1000,0)</f>
        <v>0</v>
      </c>
      <c r="K1087" s="141">
        <f>IFERROR((HLOOKUP($AH1087,Target_monthwise!$D$4:$O$20,DTR!K$4,FALSE))*1000,0)</f>
        <v>0</v>
      </c>
      <c r="L1087" s="141">
        <f>IFERROR((HLOOKUP($AH1087,Target_monthwise!$D$4:$O$20,DTR!L$4,FALSE))*1000,0)</f>
        <v>0</v>
      </c>
      <c r="M1087" s="141">
        <f>IFERROR((HLOOKUP($AH1087,Target_monthwise!$D$4:$O$20,DTR!M$4,FALSE))*1000,0)</f>
        <v>0</v>
      </c>
      <c r="N1087" s="141">
        <f>IFERROR((HLOOKUP($AH1087,Target_monthwise!$D$4:$O$20,DTR!N$4,FALSE))*1000,0)</f>
        <v>0</v>
      </c>
      <c r="O1087" s="141">
        <f>IFERROR((HLOOKUP($AH1087,Target_monthwise!$D$4:$O$20,DTR!O$4,FALSE))*1000,0)</f>
        <v>0</v>
      </c>
      <c r="P1087" s="141">
        <f>IFERROR((HLOOKUP($AH1087,Target_monthwise!$D$4:$O$20,DTR!P$4,FALSE))*1000,0)</f>
        <v>0</v>
      </c>
      <c r="Q1087" s="141">
        <f>IFERROR((HLOOKUP($AH1087,Target_monthwise!$D$4:$O$20,DTR!Q$4,FALSE))*1000,0)</f>
        <v>0</v>
      </c>
      <c r="R1087" s="167">
        <f>IFERROR((HLOOKUP($AH1087,Target_monthwise!$D$4:$O$20,DTR!R$4,FALSE))*1000,0)</f>
        <v>0</v>
      </c>
      <c r="S1087" s="147">
        <f>IFERROR((HLOOKUP($AH1087,Target_monthwise!$D$24:$O$40,DTR!S$4,FALSE)),0)</f>
        <v>0</v>
      </c>
      <c r="T1087" s="147">
        <f>IFERROR((HLOOKUP($AH1087,Target_monthwise!$D$24:$O$40,DTR!T$4,FALSE)),0)</f>
        <v>0</v>
      </c>
      <c r="U1087" s="147">
        <f>IFERROR((HLOOKUP($AH1087,Target_monthwise!$D$24:$O$40,DTR!U$4,FALSE)),0)</f>
        <v>0</v>
      </c>
      <c r="V1087" s="147">
        <f>IFERROR((HLOOKUP($AH1087,Target_monthwise!$D$24:$O$40,DTR!V$4,FALSE)),0)</f>
        <v>0</v>
      </c>
      <c r="W1087" s="147">
        <f>IFERROR((HLOOKUP($AH1087,Target_monthwise!$D$24:$O$40,DTR!W$4,FALSE)),0)</f>
        <v>0</v>
      </c>
      <c r="X1087" s="147">
        <f>IFERROR((HLOOKUP($AH1087,Target_monthwise!$D$24:$O$40,DTR!X$4,FALSE)),0)</f>
        <v>0</v>
      </c>
      <c r="Y1087" s="147">
        <f>IFERROR((HLOOKUP($AH1087,Target_monthwise!$D$24:$O$40,DTR!Y$4,FALSE)),0)</f>
        <v>0</v>
      </c>
      <c r="Z1087" s="147">
        <f>IFERROR((HLOOKUP($AH1087,Target_monthwise!$D$24:$O$40,DTR!Z$4,FALSE)),0)</f>
        <v>0</v>
      </c>
      <c r="AA1087" s="147">
        <f>IFERROR((HLOOKUP($AH1087,Target_monthwise!$D$24:$O$40,DTR!AA$4,FALSE)),0)</f>
        <v>0</v>
      </c>
      <c r="AB1087" s="147">
        <f>IFERROR((HLOOKUP($AH1087,Target_monthwise!$D$24:$O$40,DTR!AB$4,FALSE)),0)</f>
        <v>0</v>
      </c>
      <c r="AC1087" s="147">
        <f>IFERROR((HLOOKUP($AH1087,Target_monthwise!$D$24:$O$40,DTR!AC$4,FALSE)),0)</f>
        <v>0</v>
      </c>
      <c r="AD1087" s="147">
        <f>IFERROR((HLOOKUP($AH1087,Target_monthwise!$D$24:$O$40,DTR!AD$4,FALSE)),0)</f>
        <v>0</v>
      </c>
      <c r="AE1087" s="147">
        <f>IFERROR((HLOOKUP($AH1087,Target_monthwise!$D$24:$O$40,DTR!AE$4,FALSE)),0)</f>
        <v>0</v>
      </c>
      <c r="AF1087" s="147">
        <f>IFERROR((HLOOKUP($AH1087,Target_monthwise!$D$24:$O$40,DTR!AF$4,FALSE)),0)</f>
        <v>0</v>
      </c>
      <c r="AG1087" s="172">
        <f>IFERROR((HLOOKUP($AH1087,Target_monthwise!$D$24:$O$40,DTR!AG$4,FALSE)),0)</f>
        <v>0</v>
      </c>
      <c r="AH1087" s="253">
        <f t="shared" si="19"/>
        <v>202503</v>
      </c>
    </row>
    <row r="1088" spans="3:34" ht="15.75" hidden="1">
      <c r="C1088" s="237">
        <v>45731</v>
      </c>
      <c r="D1088" s="238">
        <f>IFERROR((HLOOKUP($AH1088,Target_monthwise!$D$4:$O$20,DTR!D$4,FALSE))*1000,0)</f>
        <v>0</v>
      </c>
      <c r="E1088" s="238">
        <f>IFERROR((HLOOKUP($AH1088,Target_monthwise!$D$4:$O$20,DTR!E$4,FALSE))*1000,0)</f>
        <v>0</v>
      </c>
      <c r="F1088" s="238">
        <f>IFERROR((HLOOKUP($AH1088,Target_monthwise!$D$4:$O$20,DTR!F$4,FALSE))*1000,0)</f>
        <v>0</v>
      </c>
      <c r="G1088" s="238">
        <f>IFERROR((HLOOKUP($AH1088,Target_monthwise!$D$4:$O$20,DTR!G$4,FALSE))*1000,0)</f>
        <v>0</v>
      </c>
      <c r="H1088" s="238">
        <f>IFERROR((HLOOKUP($AH1088,Target_monthwise!$D$4:$O$20,DTR!H$4,FALSE))*1000,0)</f>
        <v>0</v>
      </c>
      <c r="I1088" s="238">
        <f>IFERROR((HLOOKUP($AH1088,Target_monthwise!$D$4:$O$20,DTR!I$4,FALSE))*1000,0)</f>
        <v>0</v>
      </c>
      <c r="J1088" s="238">
        <f>IFERROR((HLOOKUP($AH1088,Target_monthwise!$D$4:$O$20,DTR!J$4,FALSE))*1000,0)</f>
        <v>0</v>
      </c>
      <c r="K1088" s="238">
        <f>IFERROR((HLOOKUP($AH1088,Target_monthwise!$D$4:$O$20,DTR!K$4,FALSE))*1000,0)</f>
        <v>0</v>
      </c>
      <c r="L1088" s="238">
        <f>IFERROR((HLOOKUP($AH1088,Target_monthwise!$D$4:$O$20,DTR!L$4,FALSE))*1000,0)</f>
        <v>0</v>
      </c>
      <c r="M1088" s="238">
        <f>IFERROR((HLOOKUP($AH1088,Target_monthwise!$D$4:$O$20,DTR!M$4,FALSE))*1000,0)</f>
        <v>0</v>
      </c>
      <c r="N1088" s="238">
        <f>IFERROR((HLOOKUP($AH1088,Target_monthwise!$D$4:$O$20,DTR!N$4,FALSE))*1000,0)</f>
        <v>0</v>
      </c>
      <c r="O1088" s="238">
        <f>IFERROR((HLOOKUP($AH1088,Target_monthwise!$D$4:$O$20,DTR!O$4,FALSE))*1000,0)</f>
        <v>0</v>
      </c>
      <c r="P1088" s="238">
        <f>IFERROR((HLOOKUP($AH1088,Target_monthwise!$D$4:$O$20,DTR!P$4,FALSE))*1000,0)</f>
        <v>0</v>
      </c>
      <c r="Q1088" s="141">
        <f>IFERROR((HLOOKUP($AH1088,Target_monthwise!$D$4:$O$20,DTR!Q$4,FALSE))*1000,0)</f>
        <v>0</v>
      </c>
      <c r="R1088" s="167">
        <f>IFERROR((HLOOKUP($AH1088,Target_monthwise!$D$4:$O$20,DTR!R$4,FALSE))*1000,0)</f>
        <v>0</v>
      </c>
      <c r="S1088" s="239">
        <f>IFERROR((HLOOKUP($AH1088,Target_monthwise!$D$24:$O$40,DTR!S$4,FALSE)),0)</f>
        <v>0</v>
      </c>
      <c r="T1088" s="239">
        <f>IFERROR((HLOOKUP($AH1088,Target_monthwise!$D$24:$O$40,DTR!T$4,FALSE)),0)</f>
        <v>0</v>
      </c>
      <c r="U1088" s="239">
        <f>IFERROR((HLOOKUP($AH1088,Target_monthwise!$D$24:$O$40,DTR!U$4,FALSE)),0)</f>
        <v>0</v>
      </c>
      <c r="V1088" s="239">
        <f>IFERROR((HLOOKUP($AH1088,Target_monthwise!$D$24:$O$40,DTR!V$4,FALSE)),0)</f>
        <v>0</v>
      </c>
      <c r="W1088" s="239">
        <f>IFERROR((HLOOKUP($AH1088,Target_monthwise!$D$24:$O$40,DTR!W$4,FALSE)),0)</f>
        <v>0</v>
      </c>
      <c r="X1088" s="239">
        <f>IFERROR((HLOOKUP($AH1088,Target_monthwise!$D$24:$O$40,DTR!X$4,FALSE)),0)</f>
        <v>0</v>
      </c>
      <c r="Y1088" s="239">
        <f>IFERROR((HLOOKUP($AH1088,Target_monthwise!$D$24:$O$40,DTR!Y$4,FALSE)),0)</f>
        <v>0</v>
      </c>
      <c r="Z1088" s="147">
        <f>IFERROR((HLOOKUP($AH1088,Target_monthwise!$D$24:$O$40,DTR!Z$4,FALSE)),0)</f>
        <v>0</v>
      </c>
      <c r="AA1088" s="147">
        <f>IFERROR((HLOOKUP($AH1088,Target_monthwise!$D$24:$O$40,DTR!AA$4,FALSE)),0)</f>
        <v>0</v>
      </c>
      <c r="AB1088" s="147">
        <f>IFERROR((HLOOKUP($AH1088,Target_monthwise!$D$24:$O$40,DTR!AB$4,FALSE)),0)</f>
        <v>0</v>
      </c>
      <c r="AC1088" s="239">
        <f>IFERROR((HLOOKUP($AH1088,Target_monthwise!$D$24:$O$40,DTR!AC$4,FALSE)),0)</f>
        <v>0</v>
      </c>
      <c r="AD1088" s="239">
        <f>IFERROR((HLOOKUP($AH1088,Target_monthwise!$D$24:$O$40,DTR!AD$4,FALSE)),0)</f>
        <v>0</v>
      </c>
      <c r="AE1088" s="239">
        <f>IFERROR((HLOOKUP($AH1088,Target_monthwise!$D$24:$O$40,DTR!AE$4,FALSE)),0)</f>
        <v>0</v>
      </c>
      <c r="AF1088" s="239">
        <f>IFERROR((HLOOKUP($AH1088,Target_monthwise!$D$24:$O$40,DTR!AF$4,FALSE)),0)</f>
        <v>0</v>
      </c>
      <c r="AG1088" s="172">
        <f>IFERROR((HLOOKUP($AH1088,Target_monthwise!$D$24:$O$40,DTR!AG$4,FALSE)),0)</f>
        <v>0</v>
      </c>
      <c r="AH1088" s="253">
        <f t="shared" si="19"/>
        <v>202503</v>
      </c>
    </row>
    <row r="1089" spans="3:34" ht="15.75" hidden="1">
      <c r="C1089" s="235">
        <v>45732</v>
      </c>
      <c r="D1089" s="141">
        <f>IFERROR((HLOOKUP($AH1089,Target_monthwise!$D$4:$O$20,DTR!D$4,FALSE))*1000,0)</f>
        <v>0</v>
      </c>
      <c r="E1089" s="141">
        <f>IFERROR((HLOOKUP($AH1089,Target_monthwise!$D$4:$O$20,DTR!E$4,FALSE))*1000,0)</f>
        <v>0</v>
      </c>
      <c r="F1089" s="141">
        <f>IFERROR((HLOOKUP($AH1089,Target_monthwise!$D$4:$O$20,DTR!F$4,FALSE))*1000,0)</f>
        <v>0</v>
      </c>
      <c r="G1089" s="141">
        <f>IFERROR((HLOOKUP($AH1089,Target_monthwise!$D$4:$O$20,DTR!G$4,FALSE))*1000,0)</f>
        <v>0</v>
      </c>
      <c r="H1089" s="141">
        <f>IFERROR((HLOOKUP($AH1089,Target_monthwise!$D$4:$O$20,DTR!H$4,FALSE))*1000,0)</f>
        <v>0</v>
      </c>
      <c r="I1089" s="141">
        <f>IFERROR((HLOOKUP($AH1089,Target_monthwise!$D$4:$O$20,DTR!I$4,FALSE))*1000,0)</f>
        <v>0</v>
      </c>
      <c r="J1089" s="141">
        <f>IFERROR((HLOOKUP($AH1089,Target_monthwise!$D$4:$O$20,DTR!J$4,FALSE))*1000,0)</f>
        <v>0</v>
      </c>
      <c r="K1089" s="141">
        <f>IFERROR((HLOOKUP($AH1089,Target_monthwise!$D$4:$O$20,DTR!K$4,FALSE))*1000,0)</f>
        <v>0</v>
      </c>
      <c r="L1089" s="141">
        <f>IFERROR((HLOOKUP($AH1089,Target_monthwise!$D$4:$O$20,DTR!L$4,FALSE))*1000,0)</f>
        <v>0</v>
      </c>
      <c r="M1089" s="141">
        <f>IFERROR((HLOOKUP($AH1089,Target_monthwise!$D$4:$O$20,DTR!M$4,FALSE))*1000,0)</f>
        <v>0</v>
      </c>
      <c r="N1089" s="141">
        <f>IFERROR((HLOOKUP($AH1089,Target_monthwise!$D$4:$O$20,DTR!N$4,FALSE))*1000,0)</f>
        <v>0</v>
      </c>
      <c r="O1089" s="141">
        <f>IFERROR((HLOOKUP($AH1089,Target_monthwise!$D$4:$O$20,DTR!O$4,FALSE))*1000,0)</f>
        <v>0</v>
      </c>
      <c r="P1089" s="141">
        <f>IFERROR((HLOOKUP($AH1089,Target_monthwise!$D$4:$O$20,DTR!P$4,FALSE))*1000,0)</f>
        <v>0</v>
      </c>
      <c r="Q1089" s="141">
        <f>IFERROR((HLOOKUP($AH1089,Target_monthwise!$D$4:$O$20,DTR!Q$4,FALSE))*1000,0)</f>
        <v>0</v>
      </c>
      <c r="R1089" s="167">
        <f>IFERROR((HLOOKUP($AH1089,Target_monthwise!$D$4:$O$20,DTR!R$4,FALSE))*1000,0)</f>
        <v>0</v>
      </c>
      <c r="S1089" s="147">
        <f>IFERROR((HLOOKUP($AH1089,Target_monthwise!$D$24:$O$40,DTR!S$4,FALSE)),0)</f>
        <v>0</v>
      </c>
      <c r="T1089" s="147">
        <f>IFERROR((HLOOKUP($AH1089,Target_monthwise!$D$24:$O$40,DTR!T$4,FALSE)),0)</f>
        <v>0</v>
      </c>
      <c r="U1089" s="147">
        <f>IFERROR((HLOOKUP($AH1089,Target_monthwise!$D$24:$O$40,DTR!U$4,FALSE)),0)</f>
        <v>0</v>
      </c>
      <c r="V1089" s="147">
        <f>IFERROR((HLOOKUP($AH1089,Target_monthwise!$D$24:$O$40,DTR!V$4,FALSE)),0)</f>
        <v>0</v>
      </c>
      <c r="W1089" s="147">
        <f>IFERROR((HLOOKUP($AH1089,Target_monthwise!$D$24:$O$40,DTR!W$4,FALSE)),0)</f>
        <v>0</v>
      </c>
      <c r="X1089" s="147">
        <f>IFERROR((HLOOKUP($AH1089,Target_monthwise!$D$24:$O$40,DTR!X$4,FALSE)),0)</f>
        <v>0</v>
      </c>
      <c r="Y1089" s="147">
        <f>IFERROR((HLOOKUP($AH1089,Target_monthwise!$D$24:$O$40,DTR!Y$4,FALSE)),0)</f>
        <v>0</v>
      </c>
      <c r="Z1089" s="147">
        <f>IFERROR((HLOOKUP($AH1089,Target_monthwise!$D$24:$O$40,DTR!Z$4,FALSE)),0)</f>
        <v>0</v>
      </c>
      <c r="AA1089" s="147">
        <f>IFERROR((HLOOKUP($AH1089,Target_monthwise!$D$24:$O$40,DTR!AA$4,FALSE)),0)</f>
        <v>0</v>
      </c>
      <c r="AB1089" s="147">
        <f>IFERROR((HLOOKUP($AH1089,Target_monthwise!$D$24:$O$40,DTR!AB$4,FALSE)),0)</f>
        <v>0</v>
      </c>
      <c r="AC1089" s="147">
        <f>IFERROR((HLOOKUP($AH1089,Target_monthwise!$D$24:$O$40,DTR!AC$4,FALSE)),0)</f>
        <v>0</v>
      </c>
      <c r="AD1089" s="147">
        <f>IFERROR((HLOOKUP($AH1089,Target_monthwise!$D$24:$O$40,DTR!AD$4,FALSE)),0)</f>
        <v>0</v>
      </c>
      <c r="AE1089" s="147">
        <f>IFERROR((HLOOKUP($AH1089,Target_monthwise!$D$24:$O$40,DTR!AE$4,FALSE)),0)</f>
        <v>0</v>
      </c>
      <c r="AF1089" s="147">
        <f>IFERROR((HLOOKUP($AH1089,Target_monthwise!$D$24:$O$40,DTR!AF$4,FALSE)),0)</f>
        <v>0</v>
      </c>
      <c r="AG1089" s="172">
        <f>IFERROR((HLOOKUP($AH1089,Target_monthwise!$D$24:$O$40,DTR!AG$4,FALSE)),0)</f>
        <v>0</v>
      </c>
      <c r="AH1089" s="253">
        <f t="shared" si="19"/>
        <v>202503</v>
      </c>
    </row>
    <row r="1090" spans="3:34" ht="15.75" hidden="1">
      <c r="C1090" s="237">
        <v>45733</v>
      </c>
      <c r="D1090" s="238">
        <f>IFERROR((HLOOKUP($AH1090,Target_monthwise!$D$4:$O$20,DTR!D$4,FALSE))*1000,0)</f>
        <v>0</v>
      </c>
      <c r="E1090" s="238">
        <f>IFERROR((HLOOKUP($AH1090,Target_monthwise!$D$4:$O$20,DTR!E$4,FALSE))*1000,0)</f>
        <v>0</v>
      </c>
      <c r="F1090" s="238">
        <f>IFERROR((HLOOKUP($AH1090,Target_monthwise!$D$4:$O$20,DTR!F$4,FALSE))*1000,0)</f>
        <v>0</v>
      </c>
      <c r="G1090" s="238">
        <f>IFERROR((HLOOKUP($AH1090,Target_monthwise!$D$4:$O$20,DTR!G$4,FALSE))*1000,0)</f>
        <v>0</v>
      </c>
      <c r="H1090" s="238">
        <f>IFERROR((HLOOKUP($AH1090,Target_monthwise!$D$4:$O$20,DTR!H$4,FALSE))*1000,0)</f>
        <v>0</v>
      </c>
      <c r="I1090" s="238">
        <f>IFERROR((HLOOKUP($AH1090,Target_monthwise!$D$4:$O$20,DTR!I$4,FALSE))*1000,0)</f>
        <v>0</v>
      </c>
      <c r="J1090" s="238">
        <f>IFERROR((HLOOKUP($AH1090,Target_monthwise!$D$4:$O$20,DTR!J$4,FALSE))*1000,0)</f>
        <v>0</v>
      </c>
      <c r="K1090" s="238">
        <f>IFERROR((HLOOKUP($AH1090,Target_monthwise!$D$4:$O$20,DTR!K$4,FALSE))*1000,0)</f>
        <v>0</v>
      </c>
      <c r="L1090" s="238">
        <f>IFERROR((HLOOKUP($AH1090,Target_monthwise!$D$4:$O$20,DTR!L$4,FALSE))*1000,0)</f>
        <v>0</v>
      </c>
      <c r="M1090" s="238">
        <f>IFERROR((HLOOKUP($AH1090,Target_monthwise!$D$4:$O$20,DTR!M$4,FALSE))*1000,0)</f>
        <v>0</v>
      </c>
      <c r="N1090" s="238">
        <f>IFERROR((HLOOKUP($AH1090,Target_monthwise!$D$4:$O$20,DTR!N$4,FALSE))*1000,0)</f>
        <v>0</v>
      </c>
      <c r="O1090" s="238">
        <f>IFERROR((HLOOKUP($AH1090,Target_monthwise!$D$4:$O$20,DTR!O$4,FALSE))*1000,0)</f>
        <v>0</v>
      </c>
      <c r="P1090" s="238">
        <f>IFERROR((HLOOKUP($AH1090,Target_monthwise!$D$4:$O$20,DTR!P$4,FALSE))*1000,0)</f>
        <v>0</v>
      </c>
      <c r="Q1090" s="141">
        <f>IFERROR((HLOOKUP($AH1090,Target_monthwise!$D$4:$O$20,DTR!Q$4,FALSE))*1000,0)</f>
        <v>0</v>
      </c>
      <c r="R1090" s="167">
        <f>IFERROR((HLOOKUP($AH1090,Target_monthwise!$D$4:$O$20,DTR!R$4,FALSE))*1000,0)</f>
        <v>0</v>
      </c>
      <c r="S1090" s="239">
        <f>IFERROR((HLOOKUP($AH1090,Target_monthwise!$D$24:$O$40,DTR!S$4,FALSE)),0)</f>
        <v>0</v>
      </c>
      <c r="T1090" s="239">
        <f>IFERROR((HLOOKUP($AH1090,Target_monthwise!$D$24:$O$40,DTR!T$4,FALSE)),0)</f>
        <v>0</v>
      </c>
      <c r="U1090" s="239">
        <f>IFERROR((HLOOKUP($AH1090,Target_monthwise!$D$24:$O$40,DTR!U$4,FALSE)),0)</f>
        <v>0</v>
      </c>
      <c r="V1090" s="239">
        <f>IFERROR((HLOOKUP($AH1090,Target_monthwise!$D$24:$O$40,DTR!V$4,FALSE)),0)</f>
        <v>0</v>
      </c>
      <c r="W1090" s="239">
        <f>IFERROR((HLOOKUP($AH1090,Target_monthwise!$D$24:$O$40,DTR!W$4,FALSE)),0)</f>
        <v>0</v>
      </c>
      <c r="X1090" s="239">
        <f>IFERROR((HLOOKUP($AH1090,Target_monthwise!$D$24:$O$40,DTR!X$4,FALSE)),0)</f>
        <v>0</v>
      </c>
      <c r="Y1090" s="239">
        <f>IFERROR((HLOOKUP($AH1090,Target_monthwise!$D$24:$O$40,DTR!Y$4,FALSE)),0)</f>
        <v>0</v>
      </c>
      <c r="Z1090" s="147">
        <f>IFERROR((HLOOKUP($AH1090,Target_monthwise!$D$24:$O$40,DTR!Z$4,FALSE)),0)</f>
        <v>0</v>
      </c>
      <c r="AA1090" s="147">
        <f>IFERROR((HLOOKUP($AH1090,Target_monthwise!$D$24:$O$40,DTR!AA$4,FALSE)),0)</f>
        <v>0</v>
      </c>
      <c r="AB1090" s="147">
        <f>IFERROR((HLOOKUP($AH1090,Target_monthwise!$D$24:$O$40,DTR!AB$4,FALSE)),0)</f>
        <v>0</v>
      </c>
      <c r="AC1090" s="239">
        <f>IFERROR((HLOOKUP($AH1090,Target_monthwise!$D$24:$O$40,DTR!AC$4,FALSE)),0)</f>
        <v>0</v>
      </c>
      <c r="AD1090" s="239">
        <f>IFERROR((HLOOKUP($AH1090,Target_monthwise!$D$24:$O$40,DTR!AD$4,FALSE)),0)</f>
        <v>0</v>
      </c>
      <c r="AE1090" s="239">
        <f>IFERROR((HLOOKUP($AH1090,Target_monthwise!$D$24:$O$40,DTR!AE$4,FALSE)),0)</f>
        <v>0</v>
      </c>
      <c r="AF1090" s="239">
        <f>IFERROR((HLOOKUP($AH1090,Target_monthwise!$D$24:$O$40,DTR!AF$4,FALSE)),0)</f>
        <v>0</v>
      </c>
      <c r="AG1090" s="172">
        <f>IFERROR((HLOOKUP($AH1090,Target_monthwise!$D$24:$O$40,DTR!AG$4,FALSE)),0)</f>
        <v>0</v>
      </c>
      <c r="AH1090" s="253">
        <f t="shared" si="19"/>
        <v>202503</v>
      </c>
    </row>
    <row r="1091" spans="3:34" ht="15.75" hidden="1">
      <c r="C1091" s="235">
        <v>45734</v>
      </c>
      <c r="D1091" s="141">
        <f>IFERROR((HLOOKUP($AH1091,Target_monthwise!$D$4:$O$20,DTR!D$4,FALSE))*1000,0)</f>
        <v>0</v>
      </c>
      <c r="E1091" s="141">
        <f>IFERROR((HLOOKUP($AH1091,Target_monthwise!$D$4:$O$20,DTR!E$4,FALSE))*1000,0)</f>
        <v>0</v>
      </c>
      <c r="F1091" s="141">
        <f>IFERROR((HLOOKUP($AH1091,Target_monthwise!$D$4:$O$20,DTR!F$4,FALSE))*1000,0)</f>
        <v>0</v>
      </c>
      <c r="G1091" s="141">
        <f>IFERROR((HLOOKUP($AH1091,Target_monthwise!$D$4:$O$20,DTR!G$4,FALSE))*1000,0)</f>
        <v>0</v>
      </c>
      <c r="H1091" s="141">
        <f>IFERROR((HLOOKUP($AH1091,Target_monthwise!$D$4:$O$20,DTR!H$4,FALSE))*1000,0)</f>
        <v>0</v>
      </c>
      <c r="I1091" s="141">
        <f>IFERROR((HLOOKUP($AH1091,Target_monthwise!$D$4:$O$20,DTR!I$4,FALSE))*1000,0)</f>
        <v>0</v>
      </c>
      <c r="J1091" s="141">
        <f>IFERROR((HLOOKUP($AH1091,Target_monthwise!$D$4:$O$20,DTR!J$4,FALSE))*1000,0)</f>
        <v>0</v>
      </c>
      <c r="K1091" s="141">
        <f>IFERROR((HLOOKUP($AH1091,Target_monthwise!$D$4:$O$20,DTR!K$4,FALSE))*1000,0)</f>
        <v>0</v>
      </c>
      <c r="L1091" s="141">
        <f>IFERROR((HLOOKUP($AH1091,Target_monthwise!$D$4:$O$20,DTR!L$4,FALSE))*1000,0)</f>
        <v>0</v>
      </c>
      <c r="M1091" s="141">
        <f>IFERROR((HLOOKUP($AH1091,Target_monthwise!$D$4:$O$20,DTR!M$4,FALSE))*1000,0)</f>
        <v>0</v>
      </c>
      <c r="N1091" s="141">
        <f>IFERROR((HLOOKUP($AH1091,Target_monthwise!$D$4:$O$20,DTR!N$4,FALSE))*1000,0)</f>
        <v>0</v>
      </c>
      <c r="O1091" s="141">
        <f>IFERROR((HLOOKUP($AH1091,Target_monthwise!$D$4:$O$20,DTR!O$4,FALSE))*1000,0)</f>
        <v>0</v>
      </c>
      <c r="P1091" s="141">
        <f>IFERROR((HLOOKUP($AH1091,Target_monthwise!$D$4:$O$20,DTR!P$4,FALSE))*1000,0)</f>
        <v>0</v>
      </c>
      <c r="Q1091" s="141">
        <f>IFERROR((HLOOKUP($AH1091,Target_monthwise!$D$4:$O$20,DTR!Q$4,FALSE))*1000,0)</f>
        <v>0</v>
      </c>
      <c r="R1091" s="167">
        <f>IFERROR((HLOOKUP($AH1091,Target_monthwise!$D$4:$O$20,DTR!R$4,FALSE))*1000,0)</f>
        <v>0</v>
      </c>
      <c r="S1091" s="147">
        <f>IFERROR((HLOOKUP($AH1091,Target_monthwise!$D$24:$O$40,DTR!S$4,FALSE)),0)</f>
        <v>0</v>
      </c>
      <c r="T1091" s="147">
        <f>IFERROR((HLOOKUP($AH1091,Target_monthwise!$D$24:$O$40,DTR!T$4,FALSE)),0)</f>
        <v>0</v>
      </c>
      <c r="U1091" s="147">
        <f>IFERROR((HLOOKUP($AH1091,Target_monthwise!$D$24:$O$40,DTR!U$4,FALSE)),0)</f>
        <v>0</v>
      </c>
      <c r="V1091" s="147">
        <f>IFERROR((HLOOKUP($AH1091,Target_monthwise!$D$24:$O$40,DTR!V$4,FALSE)),0)</f>
        <v>0</v>
      </c>
      <c r="W1091" s="147">
        <f>IFERROR((HLOOKUP($AH1091,Target_monthwise!$D$24:$O$40,DTR!W$4,FALSE)),0)</f>
        <v>0</v>
      </c>
      <c r="X1091" s="147">
        <f>IFERROR((HLOOKUP($AH1091,Target_monthwise!$D$24:$O$40,DTR!X$4,FALSE)),0)</f>
        <v>0</v>
      </c>
      <c r="Y1091" s="147">
        <f>IFERROR((HLOOKUP($AH1091,Target_monthwise!$D$24:$O$40,DTR!Y$4,FALSE)),0)</f>
        <v>0</v>
      </c>
      <c r="Z1091" s="147">
        <f>IFERROR((HLOOKUP($AH1091,Target_monthwise!$D$24:$O$40,DTR!Z$4,FALSE)),0)</f>
        <v>0</v>
      </c>
      <c r="AA1091" s="147">
        <f>IFERROR((HLOOKUP($AH1091,Target_monthwise!$D$24:$O$40,DTR!AA$4,FALSE)),0)</f>
        <v>0</v>
      </c>
      <c r="AB1091" s="147">
        <f>IFERROR((HLOOKUP($AH1091,Target_monthwise!$D$24:$O$40,DTR!AB$4,FALSE)),0)</f>
        <v>0</v>
      </c>
      <c r="AC1091" s="147">
        <f>IFERROR((HLOOKUP($AH1091,Target_monthwise!$D$24:$O$40,DTR!AC$4,FALSE)),0)</f>
        <v>0</v>
      </c>
      <c r="AD1091" s="147">
        <f>IFERROR((HLOOKUP($AH1091,Target_monthwise!$D$24:$O$40,DTR!AD$4,FALSE)),0)</f>
        <v>0</v>
      </c>
      <c r="AE1091" s="147">
        <f>IFERROR((HLOOKUP($AH1091,Target_monthwise!$D$24:$O$40,DTR!AE$4,FALSE)),0)</f>
        <v>0</v>
      </c>
      <c r="AF1091" s="147">
        <f>IFERROR((HLOOKUP($AH1091,Target_monthwise!$D$24:$O$40,DTR!AF$4,FALSE)),0)</f>
        <v>0</v>
      </c>
      <c r="AG1091" s="172">
        <f>IFERROR((HLOOKUP($AH1091,Target_monthwise!$D$24:$O$40,DTR!AG$4,FALSE)),0)</f>
        <v>0</v>
      </c>
      <c r="AH1091" s="253">
        <f t="shared" si="19"/>
        <v>202503</v>
      </c>
    </row>
    <row r="1092" spans="3:34" ht="15.75" hidden="1">
      <c r="C1092" s="237">
        <v>45735</v>
      </c>
      <c r="D1092" s="238">
        <f>IFERROR((HLOOKUP($AH1092,Target_monthwise!$D$4:$O$20,DTR!D$4,FALSE))*1000,0)</f>
        <v>0</v>
      </c>
      <c r="E1092" s="238">
        <f>IFERROR((HLOOKUP($AH1092,Target_monthwise!$D$4:$O$20,DTR!E$4,FALSE))*1000,0)</f>
        <v>0</v>
      </c>
      <c r="F1092" s="238">
        <f>IFERROR((HLOOKUP($AH1092,Target_monthwise!$D$4:$O$20,DTR!F$4,FALSE))*1000,0)</f>
        <v>0</v>
      </c>
      <c r="G1092" s="238">
        <f>IFERROR((HLOOKUP($AH1092,Target_monthwise!$D$4:$O$20,DTR!G$4,FALSE))*1000,0)</f>
        <v>0</v>
      </c>
      <c r="H1092" s="238">
        <f>IFERROR((HLOOKUP($AH1092,Target_monthwise!$D$4:$O$20,DTR!H$4,FALSE))*1000,0)</f>
        <v>0</v>
      </c>
      <c r="I1092" s="238">
        <f>IFERROR((HLOOKUP($AH1092,Target_monthwise!$D$4:$O$20,DTR!I$4,FALSE))*1000,0)</f>
        <v>0</v>
      </c>
      <c r="J1092" s="238">
        <f>IFERROR((HLOOKUP($AH1092,Target_monthwise!$D$4:$O$20,DTR!J$4,FALSE))*1000,0)</f>
        <v>0</v>
      </c>
      <c r="K1092" s="238">
        <f>IFERROR((HLOOKUP($AH1092,Target_monthwise!$D$4:$O$20,DTR!K$4,FALSE))*1000,0)</f>
        <v>0</v>
      </c>
      <c r="L1092" s="238">
        <f>IFERROR((HLOOKUP($AH1092,Target_monthwise!$D$4:$O$20,DTR!L$4,FALSE))*1000,0)</f>
        <v>0</v>
      </c>
      <c r="M1092" s="238">
        <f>IFERROR((HLOOKUP($AH1092,Target_monthwise!$D$4:$O$20,DTR!M$4,FALSE))*1000,0)</f>
        <v>0</v>
      </c>
      <c r="N1092" s="238">
        <f>IFERROR((HLOOKUP($AH1092,Target_monthwise!$D$4:$O$20,DTR!N$4,FALSE))*1000,0)</f>
        <v>0</v>
      </c>
      <c r="O1092" s="238">
        <f>IFERROR((HLOOKUP($AH1092,Target_monthwise!$D$4:$O$20,DTR!O$4,FALSE))*1000,0)</f>
        <v>0</v>
      </c>
      <c r="P1092" s="238">
        <f>IFERROR((HLOOKUP($AH1092,Target_monthwise!$D$4:$O$20,DTR!P$4,FALSE))*1000,0)</f>
        <v>0</v>
      </c>
      <c r="Q1092" s="141">
        <f>IFERROR((HLOOKUP($AH1092,Target_monthwise!$D$4:$O$20,DTR!Q$4,FALSE))*1000,0)</f>
        <v>0</v>
      </c>
      <c r="R1092" s="167">
        <f>IFERROR((HLOOKUP($AH1092,Target_monthwise!$D$4:$O$20,DTR!R$4,FALSE))*1000,0)</f>
        <v>0</v>
      </c>
      <c r="S1092" s="239">
        <f>IFERROR((HLOOKUP($AH1092,Target_monthwise!$D$24:$O$40,DTR!S$4,FALSE)),0)</f>
        <v>0</v>
      </c>
      <c r="T1092" s="239">
        <f>IFERROR((HLOOKUP($AH1092,Target_monthwise!$D$24:$O$40,DTR!T$4,FALSE)),0)</f>
        <v>0</v>
      </c>
      <c r="U1092" s="239">
        <f>IFERROR((HLOOKUP($AH1092,Target_monthwise!$D$24:$O$40,DTR!U$4,FALSE)),0)</f>
        <v>0</v>
      </c>
      <c r="V1092" s="239">
        <f>IFERROR((HLOOKUP($AH1092,Target_monthwise!$D$24:$O$40,DTR!V$4,FALSE)),0)</f>
        <v>0</v>
      </c>
      <c r="W1092" s="239">
        <f>IFERROR((HLOOKUP($AH1092,Target_monthwise!$D$24:$O$40,DTR!W$4,FALSE)),0)</f>
        <v>0</v>
      </c>
      <c r="X1092" s="239">
        <f>IFERROR((HLOOKUP($AH1092,Target_monthwise!$D$24:$O$40,DTR!X$4,FALSE)),0)</f>
        <v>0</v>
      </c>
      <c r="Y1092" s="239">
        <f>IFERROR((HLOOKUP($AH1092,Target_monthwise!$D$24:$O$40,DTR!Y$4,FALSE)),0)</f>
        <v>0</v>
      </c>
      <c r="Z1092" s="147">
        <f>IFERROR((HLOOKUP($AH1092,Target_monthwise!$D$24:$O$40,DTR!Z$4,FALSE)),0)</f>
        <v>0</v>
      </c>
      <c r="AA1092" s="147">
        <f>IFERROR((HLOOKUP($AH1092,Target_monthwise!$D$24:$O$40,DTR!AA$4,FALSE)),0)</f>
        <v>0</v>
      </c>
      <c r="AB1092" s="147">
        <f>IFERROR((HLOOKUP($AH1092,Target_monthwise!$D$24:$O$40,DTR!AB$4,FALSE)),0)</f>
        <v>0</v>
      </c>
      <c r="AC1092" s="239">
        <f>IFERROR((HLOOKUP($AH1092,Target_monthwise!$D$24:$O$40,DTR!AC$4,FALSE)),0)</f>
        <v>0</v>
      </c>
      <c r="AD1092" s="239">
        <f>IFERROR((HLOOKUP($AH1092,Target_monthwise!$D$24:$O$40,DTR!AD$4,FALSE)),0)</f>
        <v>0</v>
      </c>
      <c r="AE1092" s="239">
        <f>IFERROR((HLOOKUP($AH1092,Target_monthwise!$D$24:$O$40,DTR!AE$4,FALSE)),0)</f>
        <v>0</v>
      </c>
      <c r="AF1092" s="239">
        <f>IFERROR((HLOOKUP($AH1092,Target_monthwise!$D$24:$O$40,DTR!AF$4,FALSE)),0)</f>
        <v>0</v>
      </c>
      <c r="AG1092" s="172">
        <f>IFERROR((HLOOKUP($AH1092,Target_monthwise!$D$24:$O$40,DTR!AG$4,FALSE)),0)</f>
        <v>0</v>
      </c>
      <c r="AH1092" s="253">
        <f t="shared" si="19"/>
        <v>202503</v>
      </c>
    </row>
    <row r="1093" spans="3:34" ht="15.75" hidden="1">
      <c r="C1093" s="235">
        <v>45736</v>
      </c>
      <c r="D1093" s="141">
        <f>IFERROR((HLOOKUP($AH1093,Target_monthwise!$D$4:$O$20,DTR!D$4,FALSE))*1000,0)</f>
        <v>0</v>
      </c>
      <c r="E1093" s="141">
        <f>IFERROR((HLOOKUP($AH1093,Target_monthwise!$D$4:$O$20,DTR!E$4,FALSE))*1000,0)</f>
        <v>0</v>
      </c>
      <c r="F1093" s="141">
        <f>IFERROR((HLOOKUP($AH1093,Target_monthwise!$D$4:$O$20,DTR!F$4,FALSE))*1000,0)</f>
        <v>0</v>
      </c>
      <c r="G1093" s="141">
        <f>IFERROR((HLOOKUP($AH1093,Target_monthwise!$D$4:$O$20,DTR!G$4,FALSE))*1000,0)</f>
        <v>0</v>
      </c>
      <c r="H1093" s="141">
        <f>IFERROR((HLOOKUP($AH1093,Target_monthwise!$D$4:$O$20,DTR!H$4,FALSE))*1000,0)</f>
        <v>0</v>
      </c>
      <c r="I1093" s="141">
        <f>IFERROR((HLOOKUP($AH1093,Target_monthwise!$D$4:$O$20,DTR!I$4,FALSE))*1000,0)</f>
        <v>0</v>
      </c>
      <c r="J1093" s="141">
        <f>IFERROR((HLOOKUP($AH1093,Target_monthwise!$D$4:$O$20,DTR!J$4,FALSE))*1000,0)</f>
        <v>0</v>
      </c>
      <c r="K1093" s="141">
        <f>IFERROR((HLOOKUP($AH1093,Target_monthwise!$D$4:$O$20,DTR!K$4,FALSE))*1000,0)</f>
        <v>0</v>
      </c>
      <c r="L1093" s="141">
        <f>IFERROR((HLOOKUP($AH1093,Target_monthwise!$D$4:$O$20,DTR!L$4,FALSE))*1000,0)</f>
        <v>0</v>
      </c>
      <c r="M1093" s="141">
        <f>IFERROR((HLOOKUP($AH1093,Target_monthwise!$D$4:$O$20,DTR!M$4,FALSE))*1000,0)</f>
        <v>0</v>
      </c>
      <c r="N1093" s="141">
        <f>IFERROR((HLOOKUP($AH1093,Target_monthwise!$D$4:$O$20,DTR!N$4,FALSE))*1000,0)</f>
        <v>0</v>
      </c>
      <c r="O1093" s="141">
        <f>IFERROR((HLOOKUP($AH1093,Target_monthwise!$D$4:$O$20,DTR!O$4,FALSE))*1000,0)</f>
        <v>0</v>
      </c>
      <c r="P1093" s="141">
        <f>IFERROR((HLOOKUP($AH1093,Target_monthwise!$D$4:$O$20,DTR!P$4,FALSE))*1000,0)</f>
        <v>0</v>
      </c>
      <c r="Q1093" s="141">
        <f>IFERROR((HLOOKUP($AH1093,Target_monthwise!$D$4:$O$20,DTR!Q$4,FALSE))*1000,0)</f>
        <v>0</v>
      </c>
      <c r="R1093" s="167">
        <f>IFERROR((HLOOKUP($AH1093,Target_monthwise!$D$4:$O$20,DTR!R$4,FALSE))*1000,0)</f>
        <v>0</v>
      </c>
      <c r="S1093" s="147">
        <f>IFERROR((HLOOKUP($AH1093,Target_monthwise!$D$24:$O$40,DTR!S$4,FALSE)),0)</f>
        <v>0</v>
      </c>
      <c r="T1093" s="147">
        <f>IFERROR((HLOOKUP($AH1093,Target_monthwise!$D$24:$O$40,DTR!T$4,FALSE)),0)</f>
        <v>0</v>
      </c>
      <c r="U1093" s="147">
        <f>IFERROR((HLOOKUP($AH1093,Target_monthwise!$D$24:$O$40,DTR!U$4,FALSE)),0)</f>
        <v>0</v>
      </c>
      <c r="V1093" s="147">
        <f>IFERROR((HLOOKUP($AH1093,Target_monthwise!$D$24:$O$40,DTR!V$4,FALSE)),0)</f>
        <v>0</v>
      </c>
      <c r="W1093" s="147">
        <f>IFERROR((HLOOKUP($AH1093,Target_monthwise!$D$24:$O$40,DTR!W$4,FALSE)),0)</f>
        <v>0</v>
      </c>
      <c r="X1093" s="147">
        <f>IFERROR((HLOOKUP($AH1093,Target_monthwise!$D$24:$O$40,DTR!X$4,FALSE)),0)</f>
        <v>0</v>
      </c>
      <c r="Y1093" s="147">
        <f>IFERROR((HLOOKUP($AH1093,Target_monthwise!$D$24:$O$40,DTR!Y$4,FALSE)),0)</f>
        <v>0</v>
      </c>
      <c r="Z1093" s="147">
        <f>IFERROR((HLOOKUP($AH1093,Target_monthwise!$D$24:$O$40,DTR!Z$4,FALSE)),0)</f>
        <v>0</v>
      </c>
      <c r="AA1093" s="147">
        <f>IFERROR((HLOOKUP($AH1093,Target_monthwise!$D$24:$O$40,DTR!AA$4,FALSE)),0)</f>
        <v>0</v>
      </c>
      <c r="AB1093" s="147">
        <f>IFERROR((HLOOKUP($AH1093,Target_monthwise!$D$24:$O$40,DTR!AB$4,FALSE)),0)</f>
        <v>0</v>
      </c>
      <c r="AC1093" s="147">
        <f>IFERROR((HLOOKUP($AH1093,Target_monthwise!$D$24:$O$40,DTR!AC$4,FALSE)),0)</f>
        <v>0</v>
      </c>
      <c r="AD1093" s="147">
        <f>IFERROR((HLOOKUP($AH1093,Target_monthwise!$D$24:$O$40,DTR!AD$4,FALSE)),0)</f>
        <v>0</v>
      </c>
      <c r="AE1093" s="147">
        <f>IFERROR((HLOOKUP($AH1093,Target_monthwise!$D$24:$O$40,DTR!AE$4,FALSE)),0)</f>
        <v>0</v>
      </c>
      <c r="AF1093" s="147">
        <f>IFERROR((HLOOKUP($AH1093,Target_monthwise!$D$24:$O$40,DTR!AF$4,FALSE)),0)</f>
        <v>0</v>
      </c>
      <c r="AG1093" s="172">
        <f>IFERROR((HLOOKUP($AH1093,Target_monthwise!$D$24:$O$40,DTR!AG$4,FALSE)),0)</f>
        <v>0</v>
      </c>
      <c r="AH1093" s="253">
        <f t="shared" si="19"/>
        <v>202503</v>
      </c>
    </row>
    <row r="1094" spans="3:34" ht="15.75" hidden="1">
      <c r="C1094" s="237">
        <v>45737</v>
      </c>
      <c r="D1094" s="238">
        <f>IFERROR((HLOOKUP($AH1094,Target_monthwise!$D$4:$O$20,DTR!D$4,FALSE))*1000,0)</f>
        <v>0</v>
      </c>
      <c r="E1094" s="238">
        <f>IFERROR((HLOOKUP($AH1094,Target_monthwise!$D$4:$O$20,DTR!E$4,FALSE))*1000,0)</f>
        <v>0</v>
      </c>
      <c r="F1094" s="238">
        <f>IFERROR((HLOOKUP($AH1094,Target_monthwise!$D$4:$O$20,DTR!F$4,FALSE))*1000,0)</f>
        <v>0</v>
      </c>
      <c r="G1094" s="238">
        <f>IFERROR((HLOOKUP($AH1094,Target_monthwise!$D$4:$O$20,DTR!G$4,FALSE))*1000,0)</f>
        <v>0</v>
      </c>
      <c r="H1094" s="238">
        <f>IFERROR((HLOOKUP($AH1094,Target_monthwise!$D$4:$O$20,DTR!H$4,FALSE))*1000,0)</f>
        <v>0</v>
      </c>
      <c r="I1094" s="238">
        <f>IFERROR((HLOOKUP($AH1094,Target_monthwise!$D$4:$O$20,DTR!I$4,FALSE))*1000,0)</f>
        <v>0</v>
      </c>
      <c r="J1094" s="238">
        <f>IFERROR((HLOOKUP($AH1094,Target_monthwise!$D$4:$O$20,DTR!J$4,FALSE))*1000,0)</f>
        <v>0</v>
      </c>
      <c r="K1094" s="238">
        <f>IFERROR((HLOOKUP($AH1094,Target_monthwise!$D$4:$O$20,DTR!K$4,FALSE))*1000,0)</f>
        <v>0</v>
      </c>
      <c r="L1094" s="238">
        <f>IFERROR((HLOOKUP($AH1094,Target_monthwise!$D$4:$O$20,DTR!L$4,FALSE))*1000,0)</f>
        <v>0</v>
      </c>
      <c r="M1094" s="238">
        <f>IFERROR((HLOOKUP($AH1094,Target_monthwise!$D$4:$O$20,DTR!M$4,FALSE))*1000,0)</f>
        <v>0</v>
      </c>
      <c r="N1094" s="238">
        <f>IFERROR((HLOOKUP($AH1094,Target_monthwise!$D$4:$O$20,DTR!N$4,FALSE))*1000,0)</f>
        <v>0</v>
      </c>
      <c r="O1094" s="238">
        <f>IFERROR((HLOOKUP($AH1094,Target_monthwise!$D$4:$O$20,DTR!O$4,FALSE))*1000,0)</f>
        <v>0</v>
      </c>
      <c r="P1094" s="238">
        <f>IFERROR((HLOOKUP($AH1094,Target_monthwise!$D$4:$O$20,DTR!P$4,FALSE))*1000,0)</f>
        <v>0</v>
      </c>
      <c r="Q1094" s="141">
        <f>IFERROR((HLOOKUP($AH1094,Target_monthwise!$D$4:$O$20,DTR!Q$4,FALSE))*1000,0)</f>
        <v>0</v>
      </c>
      <c r="R1094" s="167">
        <f>IFERROR((HLOOKUP($AH1094,Target_monthwise!$D$4:$O$20,DTR!R$4,FALSE))*1000,0)</f>
        <v>0</v>
      </c>
      <c r="S1094" s="239">
        <f>IFERROR((HLOOKUP($AH1094,Target_monthwise!$D$24:$O$40,DTR!S$4,FALSE)),0)</f>
        <v>0</v>
      </c>
      <c r="T1094" s="239">
        <f>IFERROR((HLOOKUP($AH1094,Target_monthwise!$D$24:$O$40,DTR!T$4,FALSE)),0)</f>
        <v>0</v>
      </c>
      <c r="U1094" s="239">
        <f>IFERROR((HLOOKUP($AH1094,Target_monthwise!$D$24:$O$40,DTR!U$4,FALSE)),0)</f>
        <v>0</v>
      </c>
      <c r="V1094" s="239">
        <f>IFERROR((HLOOKUP($AH1094,Target_monthwise!$D$24:$O$40,DTR!V$4,FALSE)),0)</f>
        <v>0</v>
      </c>
      <c r="W1094" s="239">
        <f>IFERROR((HLOOKUP($AH1094,Target_monthwise!$D$24:$O$40,DTR!W$4,FALSE)),0)</f>
        <v>0</v>
      </c>
      <c r="X1094" s="239">
        <f>IFERROR((HLOOKUP($AH1094,Target_monthwise!$D$24:$O$40,DTR!X$4,FALSE)),0)</f>
        <v>0</v>
      </c>
      <c r="Y1094" s="239">
        <f>IFERROR((HLOOKUP($AH1094,Target_monthwise!$D$24:$O$40,DTR!Y$4,FALSE)),0)</f>
        <v>0</v>
      </c>
      <c r="Z1094" s="147">
        <f>IFERROR((HLOOKUP($AH1094,Target_monthwise!$D$24:$O$40,DTR!Z$4,FALSE)),0)</f>
        <v>0</v>
      </c>
      <c r="AA1094" s="147">
        <f>IFERROR((HLOOKUP($AH1094,Target_monthwise!$D$24:$O$40,DTR!AA$4,FALSE)),0)</f>
        <v>0</v>
      </c>
      <c r="AB1094" s="147">
        <f>IFERROR((HLOOKUP($AH1094,Target_monthwise!$D$24:$O$40,DTR!AB$4,FALSE)),0)</f>
        <v>0</v>
      </c>
      <c r="AC1094" s="239">
        <f>IFERROR((HLOOKUP($AH1094,Target_monthwise!$D$24:$O$40,DTR!AC$4,FALSE)),0)</f>
        <v>0</v>
      </c>
      <c r="AD1094" s="239">
        <f>IFERROR((HLOOKUP($AH1094,Target_monthwise!$D$24:$O$40,DTR!AD$4,FALSE)),0)</f>
        <v>0</v>
      </c>
      <c r="AE1094" s="239">
        <f>IFERROR((HLOOKUP($AH1094,Target_monthwise!$D$24:$O$40,DTR!AE$4,FALSE)),0)</f>
        <v>0</v>
      </c>
      <c r="AF1094" s="239">
        <f>IFERROR((HLOOKUP($AH1094,Target_monthwise!$D$24:$O$40,DTR!AF$4,FALSE)),0)</f>
        <v>0</v>
      </c>
      <c r="AG1094" s="172">
        <f>IFERROR((HLOOKUP($AH1094,Target_monthwise!$D$24:$O$40,DTR!AG$4,FALSE)),0)</f>
        <v>0</v>
      </c>
      <c r="AH1094" s="253">
        <f t="shared" si="19"/>
        <v>202503</v>
      </c>
    </row>
    <row r="1095" spans="3:34" ht="15.75" hidden="1">
      <c r="C1095" s="235">
        <v>45738</v>
      </c>
      <c r="D1095" s="141">
        <f>IFERROR((HLOOKUP($AH1095,Target_monthwise!$D$4:$O$20,DTR!D$4,FALSE))*1000,0)</f>
        <v>0</v>
      </c>
      <c r="E1095" s="141">
        <f>IFERROR((HLOOKUP($AH1095,Target_monthwise!$D$4:$O$20,DTR!E$4,FALSE))*1000,0)</f>
        <v>0</v>
      </c>
      <c r="F1095" s="141">
        <f>IFERROR((HLOOKUP($AH1095,Target_monthwise!$D$4:$O$20,DTR!F$4,FALSE))*1000,0)</f>
        <v>0</v>
      </c>
      <c r="G1095" s="141">
        <f>IFERROR((HLOOKUP($AH1095,Target_monthwise!$D$4:$O$20,DTR!G$4,FALSE))*1000,0)</f>
        <v>0</v>
      </c>
      <c r="H1095" s="141">
        <f>IFERROR((HLOOKUP($AH1095,Target_monthwise!$D$4:$O$20,DTR!H$4,FALSE))*1000,0)</f>
        <v>0</v>
      </c>
      <c r="I1095" s="141">
        <f>IFERROR((HLOOKUP($AH1095,Target_monthwise!$D$4:$O$20,DTR!I$4,FALSE))*1000,0)</f>
        <v>0</v>
      </c>
      <c r="J1095" s="141">
        <f>IFERROR((HLOOKUP($AH1095,Target_monthwise!$D$4:$O$20,DTR!J$4,FALSE))*1000,0)</f>
        <v>0</v>
      </c>
      <c r="K1095" s="141">
        <f>IFERROR((HLOOKUP($AH1095,Target_monthwise!$D$4:$O$20,DTR!K$4,FALSE))*1000,0)</f>
        <v>0</v>
      </c>
      <c r="L1095" s="141">
        <f>IFERROR((HLOOKUP($AH1095,Target_monthwise!$D$4:$O$20,DTR!L$4,FALSE))*1000,0)</f>
        <v>0</v>
      </c>
      <c r="M1095" s="141">
        <f>IFERROR((HLOOKUP($AH1095,Target_monthwise!$D$4:$O$20,DTR!M$4,FALSE))*1000,0)</f>
        <v>0</v>
      </c>
      <c r="N1095" s="141">
        <f>IFERROR((HLOOKUP($AH1095,Target_monthwise!$D$4:$O$20,DTR!N$4,FALSE))*1000,0)</f>
        <v>0</v>
      </c>
      <c r="O1095" s="141">
        <f>IFERROR((HLOOKUP($AH1095,Target_monthwise!$D$4:$O$20,DTR!O$4,FALSE))*1000,0)</f>
        <v>0</v>
      </c>
      <c r="P1095" s="141">
        <f>IFERROR((HLOOKUP($AH1095,Target_monthwise!$D$4:$O$20,DTR!P$4,FALSE))*1000,0)</f>
        <v>0</v>
      </c>
      <c r="Q1095" s="141">
        <f>IFERROR((HLOOKUP($AH1095,Target_monthwise!$D$4:$O$20,DTR!Q$4,FALSE))*1000,0)</f>
        <v>0</v>
      </c>
      <c r="R1095" s="167">
        <f>IFERROR((HLOOKUP($AH1095,Target_monthwise!$D$4:$O$20,DTR!R$4,FALSE))*1000,0)</f>
        <v>0</v>
      </c>
      <c r="S1095" s="147">
        <f>IFERROR((HLOOKUP($AH1095,Target_monthwise!$D$24:$O$40,DTR!S$4,FALSE)),0)</f>
        <v>0</v>
      </c>
      <c r="T1095" s="147">
        <f>IFERROR((HLOOKUP($AH1095,Target_monthwise!$D$24:$O$40,DTR!T$4,FALSE)),0)</f>
        <v>0</v>
      </c>
      <c r="U1095" s="147">
        <f>IFERROR((HLOOKUP($AH1095,Target_monthwise!$D$24:$O$40,DTR!U$4,FALSE)),0)</f>
        <v>0</v>
      </c>
      <c r="V1095" s="147">
        <f>IFERROR((HLOOKUP($AH1095,Target_monthwise!$D$24:$O$40,DTR!V$4,FALSE)),0)</f>
        <v>0</v>
      </c>
      <c r="W1095" s="147">
        <f>IFERROR((HLOOKUP($AH1095,Target_monthwise!$D$24:$O$40,DTR!W$4,FALSE)),0)</f>
        <v>0</v>
      </c>
      <c r="X1095" s="147">
        <f>IFERROR((HLOOKUP($AH1095,Target_monthwise!$D$24:$O$40,DTR!X$4,FALSE)),0)</f>
        <v>0</v>
      </c>
      <c r="Y1095" s="147">
        <f>IFERROR((HLOOKUP($AH1095,Target_monthwise!$D$24:$O$40,DTR!Y$4,FALSE)),0)</f>
        <v>0</v>
      </c>
      <c r="Z1095" s="147">
        <f>IFERROR((HLOOKUP($AH1095,Target_monthwise!$D$24:$O$40,DTR!Z$4,FALSE)),0)</f>
        <v>0</v>
      </c>
      <c r="AA1095" s="147">
        <f>IFERROR((HLOOKUP($AH1095,Target_monthwise!$D$24:$O$40,DTR!AA$4,FALSE)),0)</f>
        <v>0</v>
      </c>
      <c r="AB1095" s="147">
        <f>IFERROR((HLOOKUP($AH1095,Target_monthwise!$D$24:$O$40,DTR!AB$4,FALSE)),0)</f>
        <v>0</v>
      </c>
      <c r="AC1095" s="147">
        <f>IFERROR((HLOOKUP($AH1095,Target_monthwise!$D$24:$O$40,DTR!AC$4,FALSE)),0)</f>
        <v>0</v>
      </c>
      <c r="AD1095" s="147">
        <f>IFERROR((HLOOKUP($AH1095,Target_monthwise!$D$24:$O$40,DTR!AD$4,FALSE)),0)</f>
        <v>0</v>
      </c>
      <c r="AE1095" s="147">
        <f>IFERROR((HLOOKUP($AH1095,Target_monthwise!$D$24:$O$40,DTR!AE$4,FALSE)),0)</f>
        <v>0</v>
      </c>
      <c r="AF1095" s="147">
        <f>IFERROR((HLOOKUP($AH1095,Target_monthwise!$D$24:$O$40,DTR!AF$4,FALSE)),0)</f>
        <v>0</v>
      </c>
      <c r="AG1095" s="172">
        <f>IFERROR((HLOOKUP($AH1095,Target_monthwise!$D$24:$O$40,DTR!AG$4,FALSE)),0)</f>
        <v>0</v>
      </c>
      <c r="AH1095" s="253">
        <f t="shared" si="19"/>
        <v>202503</v>
      </c>
    </row>
    <row r="1096" spans="3:34" ht="15.75" hidden="1">
      <c r="C1096" s="237">
        <v>45739</v>
      </c>
      <c r="D1096" s="238">
        <f>IFERROR((HLOOKUP($AH1096,Target_monthwise!$D$4:$O$20,DTR!D$4,FALSE))*1000,0)</f>
        <v>0</v>
      </c>
      <c r="E1096" s="238">
        <f>IFERROR((HLOOKUP($AH1096,Target_monthwise!$D$4:$O$20,DTR!E$4,FALSE))*1000,0)</f>
        <v>0</v>
      </c>
      <c r="F1096" s="238">
        <f>IFERROR((HLOOKUP($AH1096,Target_monthwise!$D$4:$O$20,DTR!F$4,FALSE))*1000,0)</f>
        <v>0</v>
      </c>
      <c r="G1096" s="238">
        <f>IFERROR((HLOOKUP($AH1096,Target_monthwise!$D$4:$O$20,DTR!G$4,FALSE))*1000,0)</f>
        <v>0</v>
      </c>
      <c r="H1096" s="238">
        <f>IFERROR((HLOOKUP($AH1096,Target_monthwise!$D$4:$O$20,DTR!H$4,FALSE))*1000,0)</f>
        <v>0</v>
      </c>
      <c r="I1096" s="238">
        <f>IFERROR((HLOOKUP($AH1096,Target_monthwise!$D$4:$O$20,DTR!I$4,FALSE))*1000,0)</f>
        <v>0</v>
      </c>
      <c r="J1096" s="238">
        <f>IFERROR((HLOOKUP($AH1096,Target_monthwise!$D$4:$O$20,DTR!J$4,FALSE))*1000,0)</f>
        <v>0</v>
      </c>
      <c r="K1096" s="238">
        <f>IFERROR((HLOOKUP($AH1096,Target_monthwise!$D$4:$O$20,DTR!K$4,FALSE))*1000,0)</f>
        <v>0</v>
      </c>
      <c r="L1096" s="238">
        <f>IFERROR((HLOOKUP($AH1096,Target_monthwise!$D$4:$O$20,DTR!L$4,FALSE))*1000,0)</f>
        <v>0</v>
      </c>
      <c r="M1096" s="238">
        <f>IFERROR((HLOOKUP($AH1096,Target_monthwise!$D$4:$O$20,DTR!M$4,FALSE))*1000,0)</f>
        <v>0</v>
      </c>
      <c r="N1096" s="238">
        <f>IFERROR((HLOOKUP($AH1096,Target_monthwise!$D$4:$O$20,DTR!N$4,FALSE))*1000,0)</f>
        <v>0</v>
      </c>
      <c r="O1096" s="238">
        <f>IFERROR((HLOOKUP($AH1096,Target_monthwise!$D$4:$O$20,DTR!O$4,FALSE))*1000,0)</f>
        <v>0</v>
      </c>
      <c r="P1096" s="238">
        <f>IFERROR((HLOOKUP($AH1096,Target_monthwise!$D$4:$O$20,DTR!P$4,FALSE))*1000,0)</f>
        <v>0</v>
      </c>
      <c r="Q1096" s="141">
        <f>IFERROR((HLOOKUP($AH1096,Target_monthwise!$D$4:$O$20,DTR!Q$4,FALSE))*1000,0)</f>
        <v>0</v>
      </c>
      <c r="R1096" s="167">
        <f>IFERROR((HLOOKUP($AH1096,Target_monthwise!$D$4:$O$20,DTR!R$4,FALSE))*1000,0)</f>
        <v>0</v>
      </c>
      <c r="S1096" s="239">
        <f>IFERROR((HLOOKUP($AH1096,Target_monthwise!$D$24:$O$40,DTR!S$4,FALSE)),0)</f>
        <v>0</v>
      </c>
      <c r="T1096" s="239">
        <f>IFERROR((HLOOKUP($AH1096,Target_monthwise!$D$24:$O$40,DTR!T$4,FALSE)),0)</f>
        <v>0</v>
      </c>
      <c r="U1096" s="239">
        <f>IFERROR((HLOOKUP($AH1096,Target_monthwise!$D$24:$O$40,DTR!U$4,FALSE)),0)</f>
        <v>0</v>
      </c>
      <c r="V1096" s="239">
        <f>IFERROR((HLOOKUP($AH1096,Target_monthwise!$D$24:$O$40,DTR!V$4,FALSE)),0)</f>
        <v>0</v>
      </c>
      <c r="W1096" s="239">
        <f>IFERROR((HLOOKUP($AH1096,Target_monthwise!$D$24:$O$40,DTR!W$4,FALSE)),0)</f>
        <v>0</v>
      </c>
      <c r="X1096" s="239">
        <f>IFERROR((HLOOKUP($AH1096,Target_monthwise!$D$24:$O$40,DTR!X$4,FALSE)),0)</f>
        <v>0</v>
      </c>
      <c r="Y1096" s="239">
        <f>IFERROR((HLOOKUP($AH1096,Target_monthwise!$D$24:$O$40,DTR!Y$4,FALSE)),0)</f>
        <v>0</v>
      </c>
      <c r="Z1096" s="147">
        <f>IFERROR((HLOOKUP($AH1096,Target_monthwise!$D$24:$O$40,DTR!Z$4,FALSE)),0)</f>
        <v>0</v>
      </c>
      <c r="AA1096" s="147">
        <f>IFERROR((HLOOKUP($AH1096,Target_monthwise!$D$24:$O$40,DTR!AA$4,FALSE)),0)</f>
        <v>0</v>
      </c>
      <c r="AB1096" s="147">
        <f>IFERROR((HLOOKUP($AH1096,Target_monthwise!$D$24:$O$40,DTR!AB$4,FALSE)),0)</f>
        <v>0</v>
      </c>
      <c r="AC1096" s="239">
        <f>IFERROR((HLOOKUP($AH1096,Target_monthwise!$D$24:$O$40,DTR!AC$4,FALSE)),0)</f>
        <v>0</v>
      </c>
      <c r="AD1096" s="239">
        <f>IFERROR((HLOOKUP($AH1096,Target_monthwise!$D$24:$O$40,DTR!AD$4,FALSE)),0)</f>
        <v>0</v>
      </c>
      <c r="AE1096" s="239">
        <f>IFERROR((HLOOKUP($AH1096,Target_monthwise!$D$24:$O$40,DTR!AE$4,FALSE)),0)</f>
        <v>0</v>
      </c>
      <c r="AF1096" s="239">
        <f>IFERROR((HLOOKUP($AH1096,Target_monthwise!$D$24:$O$40,DTR!AF$4,FALSE)),0)</f>
        <v>0</v>
      </c>
      <c r="AG1096" s="172">
        <f>IFERROR((HLOOKUP($AH1096,Target_monthwise!$D$24:$O$40,DTR!AG$4,FALSE)),0)</f>
        <v>0</v>
      </c>
      <c r="AH1096" s="253">
        <f t="shared" si="19"/>
        <v>202503</v>
      </c>
    </row>
    <row r="1097" spans="3:34" ht="15.75" hidden="1">
      <c r="C1097" s="235">
        <v>45740</v>
      </c>
      <c r="D1097" s="141">
        <f>IFERROR((HLOOKUP($AH1097,Target_monthwise!$D$4:$O$20,DTR!D$4,FALSE))*1000,0)</f>
        <v>0</v>
      </c>
      <c r="E1097" s="141">
        <f>IFERROR((HLOOKUP($AH1097,Target_monthwise!$D$4:$O$20,DTR!E$4,FALSE))*1000,0)</f>
        <v>0</v>
      </c>
      <c r="F1097" s="141">
        <f>IFERROR((HLOOKUP($AH1097,Target_monthwise!$D$4:$O$20,DTR!F$4,FALSE))*1000,0)</f>
        <v>0</v>
      </c>
      <c r="G1097" s="141">
        <f>IFERROR((HLOOKUP($AH1097,Target_monthwise!$D$4:$O$20,DTR!G$4,FALSE))*1000,0)</f>
        <v>0</v>
      </c>
      <c r="H1097" s="141">
        <f>IFERROR((HLOOKUP($AH1097,Target_monthwise!$D$4:$O$20,DTR!H$4,FALSE))*1000,0)</f>
        <v>0</v>
      </c>
      <c r="I1097" s="141">
        <f>IFERROR((HLOOKUP($AH1097,Target_monthwise!$D$4:$O$20,DTR!I$4,FALSE))*1000,0)</f>
        <v>0</v>
      </c>
      <c r="J1097" s="141">
        <f>IFERROR((HLOOKUP($AH1097,Target_monthwise!$D$4:$O$20,DTR!J$4,FALSE))*1000,0)</f>
        <v>0</v>
      </c>
      <c r="K1097" s="141">
        <f>IFERROR((HLOOKUP($AH1097,Target_monthwise!$D$4:$O$20,DTR!K$4,FALSE))*1000,0)</f>
        <v>0</v>
      </c>
      <c r="L1097" s="141">
        <f>IFERROR((HLOOKUP($AH1097,Target_monthwise!$D$4:$O$20,DTR!L$4,FALSE))*1000,0)</f>
        <v>0</v>
      </c>
      <c r="M1097" s="141">
        <f>IFERROR((HLOOKUP($AH1097,Target_monthwise!$D$4:$O$20,DTR!M$4,FALSE))*1000,0)</f>
        <v>0</v>
      </c>
      <c r="N1097" s="141">
        <f>IFERROR((HLOOKUP($AH1097,Target_monthwise!$D$4:$O$20,DTR!N$4,FALSE))*1000,0)</f>
        <v>0</v>
      </c>
      <c r="O1097" s="141">
        <f>IFERROR((HLOOKUP($AH1097,Target_monthwise!$D$4:$O$20,DTR!O$4,FALSE))*1000,0)</f>
        <v>0</v>
      </c>
      <c r="P1097" s="141">
        <f>IFERROR((HLOOKUP($AH1097,Target_monthwise!$D$4:$O$20,DTR!P$4,FALSE))*1000,0)</f>
        <v>0</v>
      </c>
      <c r="Q1097" s="141">
        <f>IFERROR((HLOOKUP($AH1097,Target_monthwise!$D$4:$O$20,DTR!Q$4,FALSE))*1000,0)</f>
        <v>0</v>
      </c>
      <c r="R1097" s="167">
        <f>IFERROR((HLOOKUP($AH1097,Target_monthwise!$D$4:$O$20,DTR!R$4,FALSE))*1000,0)</f>
        <v>0</v>
      </c>
      <c r="S1097" s="147">
        <f>IFERROR((HLOOKUP($AH1097,Target_monthwise!$D$24:$O$40,DTR!S$4,FALSE)),0)</f>
        <v>0</v>
      </c>
      <c r="T1097" s="147">
        <f>IFERROR((HLOOKUP($AH1097,Target_monthwise!$D$24:$O$40,DTR!T$4,FALSE)),0)</f>
        <v>0</v>
      </c>
      <c r="U1097" s="147">
        <f>IFERROR((HLOOKUP($AH1097,Target_monthwise!$D$24:$O$40,DTR!U$4,FALSE)),0)</f>
        <v>0</v>
      </c>
      <c r="V1097" s="147">
        <f>IFERROR((HLOOKUP($AH1097,Target_monthwise!$D$24:$O$40,DTR!V$4,FALSE)),0)</f>
        <v>0</v>
      </c>
      <c r="W1097" s="147">
        <f>IFERROR((HLOOKUP($AH1097,Target_monthwise!$D$24:$O$40,DTR!W$4,FALSE)),0)</f>
        <v>0</v>
      </c>
      <c r="X1097" s="147">
        <f>IFERROR((HLOOKUP($AH1097,Target_monthwise!$D$24:$O$40,DTR!X$4,FALSE)),0)</f>
        <v>0</v>
      </c>
      <c r="Y1097" s="147">
        <f>IFERROR((HLOOKUP($AH1097,Target_monthwise!$D$24:$O$40,DTR!Y$4,FALSE)),0)</f>
        <v>0</v>
      </c>
      <c r="Z1097" s="147">
        <f>IFERROR((HLOOKUP($AH1097,Target_monthwise!$D$24:$O$40,DTR!Z$4,FALSE)),0)</f>
        <v>0</v>
      </c>
      <c r="AA1097" s="147">
        <f>IFERROR((HLOOKUP($AH1097,Target_monthwise!$D$24:$O$40,DTR!AA$4,FALSE)),0)</f>
        <v>0</v>
      </c>
      <c r="AB1097" s="147">
        <f>IFERROR((HLOOKUP($AH1097,Target_monthwise!$D$24:$O$40,DTR!AB$4,FALSE)),0)</f>
        <v>0</v>
      </c>
      <c r="AC1097" s="147">
        <f>IFERROR((HLOOKUP($AH1097,Target_monthwise!$D$24:$O$40,DTR!AC$4,FALSE)),0)</f>
        <v>0</v>
      </c>
      <c r="AD1097" s="147">
        <f>IFERROR((HLOOKUP($AH1097,Target_monthwise!$D$24:$O$40,DTR!AD$4,FALSE)),0)</f>
        <v>0</v>
      </c>
      <c r="AE1097" s="147">
        <f>IFERROR((HLOOKUP($AH1097,Target_monthwise!$D$24:$O$40,DTR!AE$4,FALSE)),0)</f>
        <v>0</v>
      </c>
      <c r="AF1097" s="147">
        <f>IFERROR((HLOOKUP($AH1097,Target_monthwise!$D$24:$O$40,DTR!AF$4,FALSE)),0)</f>
        <v>0</v>
      </c>
      <c r="AG1097" s="172">
        <f>IFERROR((HLOOKUP($AH1097,Target_monthwise!$D$24:$O$40,DTR!AG$4,FALSE)),0)</f>
        <v>0</v>
      </c>
      <c r="AH1097" s="253">
        <f t="shared" si="19"/>
        <v>202503</v>
      </c>
    </row>
    <row r="1098" spans="3:34" ht="15.75" hidden="1">
      <c r="C1098" s="237">
        <v>45741</v>
      </c>
      <c r="D1098" s="238">
        <f>IFERROR((HLOOKUP($AH1098,Target_monthwise!$D$4:$O$20,DTR!D$4,FALSE))*1000,0)</f>
        <v>0</v>
      </c>
      <c r="E1098" s="238">
        <f>IFERROR((HLOOKUP($AH1098,Target_monthwise!$D$4:$O$20,DTR!E$4,FALSE))*1000,0)</f>
        <v>0</v>
      </c>
      <c r="F1098" s="238">
        <f>IFERROR((HLOOKUP($AH1098,Target_monthwise!$D$4:$O$20,DTR!F$4,FALSE))*1000,0)</f>
        <v>0</v>
      </c>
      <c r="G1098" s="238">
        <f>IFERROR((HLOOKUP($AH1098,Target_monthwise!$D$4:$O$20,DTR!G$4,FALSE))*1000,0)</f>
        <v>0</v>
      </c>
      <c r="H1098" s="238">
        <f>IFERROR((HLOOKUP($AH1098,Target_monthwise!$D$4:$O$20,DTR!H$4,FALSE))*1000,0)</f>
        <v>0</v>
      </c>
      <c r="I1098" s="238">
        <f>IFERROR((HLOOKUP($AH1098,Target_monthwise!$D$4:$O$20,DTR!I$4,FALSE))*1000,0)</f>
        <v>0</v>
      </c>
      <c r="J1098" s="238">
        <f>IFERROR((HLOOKUP($AH1098,Target_monthwise!$D$4:$O$20,DTR!J$4,FALSE))*1000,0)</f>
        <v>0</v>
      </c>
      <c r="K1098" s="238">
        <f>IFERROR((HLOOKUP($AH1098,Target_monthwise!$D$4:$O$20,DTR!K$4,FALSE))*1000,0)</f>
        <v>0</v>
      </c>
      <c r="L1098" s="238">
        <f>IFERROR((HLOOKUP($AH1098,Target_monthwise!$D$4:$O$20,DTR!L$4,FALSE))*1000,0)</f>
        <v>0</v>
      </c>
      <c r="M1098" s="238">
        <f>IFERROR((HLOOKUP($AH1098,Target_monthwise!$D$4:$O$20,DTR!M$4,FALSE))*1000,0)</f>
        <v>0</v>
      </c>
      <c r="N1098" s="238">
        <f>IFERROR((HLOOKUP($AH1098,Target_monthwise!$D$4:$O$20,DTR!N$4,FALSE))*1000,0)</f>
        <v>0</v>
      </c>
      <c r="O1098" s="238">
        <f>IFERROR((HLOOKUP($AH1098,Target_monthwise!$D$4:$O$20,DTR!O$4,FALSE))*1000,0)</f>
        <v>0</v>
      </c>
      <c r="P1098" s="238">
        <f>IFERROR((HLOOKUP($AH1098,Target_monthwise!$D$4:$O$20,DTR!P$4,FALSE))*1000,0)</f>
        <v>0</v>
      </c>
      <c r="Q1098" s="141">
        <f>IFERROR((HLOOKUP($AH1098,Target_monthwise!$D$4:$O$20,DTR!Q$4,FALSE))*1000,0)</f>
        <v>0</v>
      </c>
      <c r="R1098" s="167">
        <f>IFERROR((HLOOKUP($AH1098,Target_monthwise!$D$4:$O$20,DTR!R$4,FALSE))*1000,0)</f>
        <v>0</v>
      </c>
      <c r="S1098" s="239">
        <f>IFERROR((HLOOKUP($AH1098,Target_monthwise!$D$24:$O$40,DTR!S$4,FALSE)),0)</f>
        <v>0</v>
      </c>
      <c r="T1098" s="239">
        <f>IFERROR((HLOOKUP($AH1098,Target_monthwise!$D$24:$O$40,DTR!T$4,FALSE)),0)</f>
        <v>0</v>
      </c>
      <c r="U1098" s="239">
        <f>IFERROR((HLOOKUP($AH1098,Target_monthwise!$D$24:$O$40,DTR!U$4,FALSE)),0)</f>
        <v>0</v>
      </c>
      <c r="V1098" s="239">
        <f>IFERROR((HLOOKUP($AH1098,Target_monthwise!$D$24:$O$40,DTR!V$4,FALSE)),0)</f>
        <v>0</v>
      </c>
      <c r="W1098" s="239">
        <f>IFERROR((HLOOKUP($AH1098,Target_monthwise!$D$24:$O$40,DTR!W$4,FALSE)),0)</f>
        <v>0</v>
      </c>
      <c r="X1098" s="239">
        <f>IFERROR((HLOOKUP($AH1098,Target_monthwise!$D$24:$O$40,DTR!X$4,FALSE)),0)</f>
        <v>0</v>
      </c>
      <c r="Y1098" s="239">
        <f>IFERROR((HLOOKUP($AH1098,Target_monthwise!$D$24:$O$40,DTR!Y$4,FALSE)),0)</f>
        <v>0</v>
      </c>
      <c r="Z1098" s="147">
        <f>IFERROR((HLOOKUP($AH1098,Target_monthwise!$D$24:$O$40,DTR!Z$4,FALSE)),0)</f>
        <v>0</v>
      </c>
      <c r="AA1098" s="147">
        <f>IFERROR((HLOOKUP($AH1098,Target_monthwise!$D$24:$O$40,DTR!AA$4,FALSE)),0)</f>
        <v>0</v>
      </c>
      <c r="AB1098" s="147">
        <f>IFERROR((HLOOKUP($AH1098,Target_monthwise!$D$24:$O$40,DTR!AB$4,FALSE)),0)</f>
        <v>0</v>
      </c>
      <c r="AC1098" s="239">
        <f>IFERROR((HLOOKUP($AH1098,Target_monthwise!$D$24:$O$40,DTR!AC$4,FALSE)),0)</f>
        <v>0</v>
      </c>
      <c r="AD1098" s="239">
        <f>IFERROR((HLOOKUP($AH1098,Target_monthwise!$D$24:$O$40,DTR!AD$4,FALSE)),0)</f>
        <v>0</v>
      </c>
      <c r="AE1098" s="239">
        <f>IFERROR((HLOOKUP($AH1098,Target_monthwise!$D$24:$O$40,DTR!AE$4,FALSE)),0)</f>
        <v>0</v>
      </c>
      <c r="AF1098" s="239">
        <f>IFERROR((HLOOKUP($AH1098,Target_monthwise!$D$24:$O$40,DTR!AF$4,FALSE)),0)</f>
        <v>0</v>
      </c>
      <c r="AG1098" s="172">
        <f>IFERROR((HLOOKUP($AH1098,Target_monthwise!$D$24:$O$40,DTR!AG$4,FALSE)),0)</f>
        <v>0</v>
      </c>
      <c r="AH1098" s="253">
        <f t="shared" si="19"/>
        <v>202503</v>
      </c>
    </row>
    <row r="1099" spans="3:34" ht="15.75" hidden="1">
      <c r="C1099" s="235">
        <v>45742</v>
      </c>
      <c r="D1099" s="141">
        <f>IFERROR((HLOOKUP($AH1099,Target_monthwise!$D$4:$O$20,DTR!D$4,FALSE))*1000,0)</f>
        <v>0</v>
      </c>
      <c r="E1099" s="141">
        <f>IFERROR((HLOOKUP($AH1099,Target_monthwise!$D$4:$O$20,DTR!E$4,FALSE))*1000,0)</f>
        <v>0</v>
      </c>
      <c r="F1099" s="141">
        <f>IFERROR((HLOOKUP($AH1099,Target_monthwise!$D$4:$O$20,DTR!F$4,FALSE))*1000,0)</f>
        <v>0</v>
      </c>
      <c r="G1099" s="141">
        <f>IFERROR((HLOOKUP($AH1099,Target_monthwise!$D$4:$O$20,DTR!G$4,FALSE))*1000,0)</f>
        <v>0</v>
      </c>
      <c r="H1099" s="141">
        <f>IFERROR((HLOOKUP($AH1099,Target_monthwise!$D$4:$O$20,DTR!H$4,FALSE))*1000,0)</f>
        <v>0</v>
      </c>
      <c r="I1099" s="141">
        <f>IFERROR((HLOOKUP($AH1099,Target_monthwise!$D$4:$O$20,DTR!I$4,FALSE))*1000,0)</f>
        <v>0</v>
      </c>
      <c r="J1099" s="141">
        <f>IFERROR((HLOOKUP($AH1099,Target_monthwise!$D$4:$O$20,DTR!J$4,FALSE))*1000,0)</f>
        <v>0</v>
      </c>
      <c r="K1099" s="141">
        <f>IFERROR((HLOOKUP($AH1099,Target_monthwise!$D$4:$O$20,DTR!K$4,FALSE))*1000,0)</f>
        <v>0</v>
      </c>
      <c r="L1099" s="141">
        <f>IFERROR((HLOOKUP($AH1099,Target_monthwise!$D$4:$O$20,DTR!L$4,FALSE))*1000,0)</f>
        <v>0</v>
      </c>
      <c r="M1099" s="141">
        <f>IFERROR((HLOOKUP($AH1099,Target_monthwise!$D$4:$O$20,DTR!M$4,FALSE))*1000,0)</f>
        <v>0</v>
      </c>
      <c r="N1099" s="141">
        <f>IFERROR((HLOOKUP($AH1099,Target_monthwise!$D$4:$O$20,DTR!N$4,FALSE))*1000,0)</f>
        <v>0</v>
      </c>
      <c r="O1099" s="141">
        <f>IFERROR((HLOOKUP($AH1099,Target_monthwise!$D$4:$O$20,DTR!O$4,FALSE))*1000,0)</f>
        <v>0</v>
      </c>
      <c r="P1099" s="141">
        <f>IFERROR((HLOOKUP($AH1099,Target_monthwise!$D$4:$O$20,DTR!P$4,FALSE))*1000,0)</f>
        <v>0</v>
      </c>
      <c r="Q1099" s="141">
        <f>IFERROR((HLOOKUP($AH1099,Target_monthwise!$D$4:$O$20,DTR!Q$4,FALSE))*1000,0)</f>
        <v>0</v>
      </c>
      <c r="R1099" s="167">
        <f>IFERROR((HLOOKUP($AH1099,Target_monthwise!$D$4:$O$20,DTR!R$4,FALSE))*1000,0)</f>
        <v>0</v>
      </c>
      <c r="S1099" s="147">
        <f>IFERROR((HLOOKUP($AH1099,Target_monthwise!$D$24:$O$40,DTR!S$4,FALSE)),0)</f>
        <v>0</v>
      </c>
      <c r="T1099" s="147">
        <f>IFERROR((HLOOKUP($AH1099,Target_monthwise!$D$24:$O$40,DTR!T$4,FALSE)),0)</f>
        <v>0</v>
      </c>
      <c r="U1099" s="147">
        <f>IFERROR((HLOOKUP($AH1099,Target_monthwise!$D$24:$O$40,DTR!U$4,FALSE)),0)</f>
        <v>0</v>
      </c>
      <c r="V1099" s="147">
        <f>IFERROR((HLOOKUP($AH1099,Target_monthwise!$D$24:$O$40,DTR!V$4,FALSE)),0)</f>
        <v>0</v>
      </c>
      <c r="W1099" s="147">
        <f>IFERROR((HLOOKUP($AH1099,Target_monthwise!$D$24:$O$40,DTR!W$4,FALSE)),0)</f>
        <v>0</v>
      </c>
      <c r="X1099" s="147">
        <f>IFERROR((HLOOKUP($AH1099,Target_monthwise!$D$24:$O$40,DTR!X$4,FALSE)),0)</f>
        <v>0</v>
      </c>
      <c r="Y1099" s="147">
        <f>IFERROR((HLOOKUP($AH1099,Target_monthwise!$D$24:$O$40,DTR!Y$4,FALSE)),0)</f>
        <v>0</v>
      </c>
      <c r="Z1099" s="147">
        <f>IFERROR((HLOOKUP($AH1099,Target_monthwise!$D$24:$O$40,DTR!Z$4,FALSE)),0)</f>
        <v>0</v>
      </c>
      <c r="AA1099" s="147">
        <f>IFERROR((HLOOKUP($AH1099,Target_monthwise!$D$24:$O$40,DTR!AA$4,FALSE)),0)</f>
        <v>0</v>
      </c>
      <c r="AB1099" s="147">
        <f>IFERROR((HLOOKUP($AH1099,Target_monthwise!$D$24:$O$40,DTR!AB$4,FALSE)),0)</f>
        <v>0</v>
      </c>
      <c r="AC1099" s="147">
        <f>IFERROR((HLOOKUP($AH1099,Target_monthwise!$D$24:$O$40,DTR!AC$4,FALSE)),0)</f>
        <v>0</v>
      </c>
      <c r="AD1099" s="147">
        <f>IFERROR((HLOOKUP($AH1099,Target_monthwise!$D$24:$O$40,DTR!AD$4,FALSE)),0)</f>
        <v>0</v>
      </c>
      <c r="AE1099" s="147">
        <f>IFERROR((HLOOKUP($AH1099,Target_monthwise!$D$24:$O$40,DTR!AE$4,FALSE)),0)</f>
        <v>0</v>
      </c>
      <c r="AF1099" s="147">
        <f>IFERROR((HLOOKUP($AH1099,Target_monthwise!$D$24:$O$40,DTR!AF$4,FALSE)),0)</f>
        <v>0</v>
      </c>
      <c r="AG1099" s="172">
        <f>IFERROR((HLOOKUP($AH1099,Target_monthwise!$D$24:$O$40,DTR!AG$4,FALSE)),0)</f>
        <v>0</v>
      </c>
      <c r="AH1099" s="253">
        <f t="shared" si="19"/>
        <v>202503</v>
      </c>
    </row>
    <row r="1100" spans="3:34" ht="15.75" hidden="1">
      <c r="C1100" s="237">
        <v>45743</v>
      </c>
      <c r="D1100" s="238">
        <f>IFERROR((HLOOKUP($AH1100,Target_monthwise!$D$4:$O$20,DTR!D$4,FALSE))*1000,0)</f>
        <v>0</v>
      </c>
      <c r="E1100" s="238">
        <f>IFERROR((HLOOKUP($AH1100,Target_monthwise!$D$4:$O$20,DTR!E$4,FALSE))*1000,0)</f>
        <v>0</v>
      </c>
      <c r="F1100" s="238">
        <f>IFERROR((HLOOKUP($AH1100,Target_monthwise!$D$4:$O$20,DTR!F$4,FALSE))*1000,0)</f>
        <v>0</v>
      </c>
      <c r="G1100" s="238">
        <f>IFERROR((HLOOKUP($AH1100,Target_monthwise!$D$4:$O$20,DTR!G$4,FALSE))*1000,0)</f>
        <v>0</v>
      </c>
      <c r="H1100" s="238">
        <f>IFERROR((HLOOKUP($AH1100,Target_monthwise!$D$4:$O$20,DTR!H$4,FALSE))*1000,0)</f>
        <v>0</v>
      </c>
      <c r="I1100" s="238">
        <f>IFERROR((HLOOKUP($AH1100,Target_monthwise!$D$4:$O$20,DTR!I$4,FALSE))*1000,0)</f>
        <v>0</v>
      </c>
      <c r="J1100" s="238">
        <f>IFERROR((HLOOKUP($AH1100,Target_monthwise!$D$4:$O$20,DTR!J$4,FALSE))*1000,0)</f>
        <v>0</v>
      </c>
      <c r="K1100" s="238">
        <f>IFERROR((HLOOKUP($AH1100,Target_monthwise!$D$4:$O$20,DTR!K$4,FALSE))*1000,0)</f>
        <v>0</v>
      </c>
      <c r="L1100" s="238">
        <f>IFERROR((HLOOKUP($AH1100,Target_monthwise!$D$4:$O$20,DTR!L$4,FALSE))*1000,0)</f>
        <v>0</v>
      </c>
      <c r="M1100" s="238">
        <f>IFERROR((HLOOKUP($AH1100,Target_monthwise!$D$4:$O$20,DTR!M$4,FALSE))*1000,0)</f>
        <v>0</v>
      </c>
      <c r="N1100" s="238">
        <f>IFERROR((HLOOKUP($AH1100,Target_monthwise!$D$4:$O$20,DTR!N$4,FALSE))*1000,0)</f>
        <v>0</v>
      </c>
      <c r="O1100" s="238">
        <f>IFERROR((HLOOKUP($AH1100,Target_monthwise!$D$4:$O$20,DTR!O$4,FALSE))*1000,0)</f>
        <v>0</v>
      </c>
      <c r="P1100" s="238">
        <f>IFERROR((HLOOKUP($AH1100,Target_monthwise!$D$4:$O$20,DTR!P$4,FALSE))*1000,0)</f>
        <v>0</v>
      </c>
      <c r="Q1100" s="141">
        <f>IFERROR((HLOOKUP($AH1100,Target_monthwise!$D$4:$O$20,DTR!Q$4,FALSE))*1000,0)</f>
        <v>0</v>
      </c>
      <c r="R1100" s="167">
        <f>IFERROR((HLOOKUP($AH1100,Target_monthwise!$D$4:$O$20,DTR!R$4,FALSE))*1000,0)</f>
        <v>0</v>
      </c>
      <c r="S1100" s="239">
        <f>IFERROR((HLOOKUP($AH1100,Target_monthwise!$D$24:$O$40,DTR!S$4,FALSE)),0)</f>
        <v>0</v>
      </c>
      <c r="T1100" s="239">
        <f>IFERROR((HLOOKUP($AH1100,Target_monthwise!$D$24:$O$40,DTR!T$4,FALSE)),0)</f>
        <v>0</v>
      </c>
      <c r="U1100" s="239">
        <f>IFERROR((HLOOKUP($AH1100,Target_monthwise!$D$24:$O$40,DTR!U$4,FALSE)),0)</f>
        <v>0</v>
      </c>
      <c r="V1100" s="239">
        <f>IFERROR((HLOOKUP($AH1100,Target_monthwise!$D$24:$O$40,DTR!V$4,FALSE)),0)</f>
        <v>0</v>
      </c>
      <c r="W1100" s="239">
        <f>IFERROR((HLOOKUP($AH1100,Target_monthwise!$D$24:$O$40,DTR!W$4,FALSE)),0)</f>
        <v>0</v>
      </c>
      <c r="X1100" s="239">
        <f>IFERROR((HLOOKUP($AH1100,Target_monthwise!$D$24:$O$40,DTR!X$4,FALSE)),0)</f>
        <v>0</v>
      </c>
      <c r="Y1100" s="239">
        <f>IFERROR((HLOOKUP($AH1100,Target_monthwise!$D$24:$O$40,DTR!Y$4,FALSE)),0)</f>
        <v>0</v>
      </c>
      <c r="Z1100" s="147">
        <f>IFERROR((HLOOKUP($AH1100,Target_monthwise!$D$24:$O$40,DTR!Z$4,FALSE)),0)</f>
        <v>0</v>
      </c>
      <c r="AA1100" s="147">
        <f>IFERROR((HLOOKUP($AH1100,Target_monthwise!$D$24:$O$40,DTR!AA$4,FALSE)),0)</f>
        <v>0</v>
      </c>
      <c r="AB1100" s="147">
        <f>IFERROR((HLOOKUP($AH1100,Target_monthwise!$D$24:$O$40,DTR!AB$4,FALSE)),0)</f>
        <v>0</v>
      </c>
      <c r="AC1100" s="239">
        <f>IFERROR((HLOOKUP($AH1100,Target_monthwise!$D$24:$O$40,DTR!AC$4,FALSE)),0)</f>
        <v>0</v>
      </c>
      <c r="AD1100" s="239">
        <f>IFERROR((HLOOKUP($AH1100,Target_monthwise!$D$24:$O$40,DTR!AD$4,FALSE)),0)</f>
        <v>0</v>
      </c>
      <c r="AE1100" s="239">
        <f>IFERROR((HLOOKUP($AH1100,Target_monthwise!$D$24:$O$40,DTR!AE$4,FALSE)),0)</f>
        <v>0</v>
      </c>
      <c r="AF1100" s="239">
        <f>IFERROR((HLOOKUP($AH1100,Target_monthwise!$D$24:$O$40,DTR!AF$4,FALSE)),0)</f>
        <v>0</v>
      </c>
      <c r="AG1100" s="172">
        <f>IFERROR((HLOOKUP($AH1100,Target_monthwise!$D$24:$O$40,DTR!AG$4,FALSE)),0)</f>
        <v>0</v>
      </c>
      <c r="AH1100" s="253">
        <f t="shared" si="19"/>
        <v>202503</v>
      </c>
    </row>
    <row r="1101" spans="3:34" ht="15.75" hidden="1">
      <c r="C1101" s="235">
        <v>45744</v>
      </c>
      <c r="D1101" s="141">
        <f>IFERROR((HLOOKUP($AH1101,Target_monthwise!$D$4:$O$20,DTR!D$4,FALSE))*1000,0)</f>
        <v>0</v>
      </c>
      <c r="E1101" s="141">
        <f>IFERROR((HLOOKUP($AH1101,Target_monthwise!$D$4:$O$20,DTR!E$4,FALSE))*1000,0)</f>
        <v>0</v>
      </c>
      <c r="F1101" s="141">
        <f>IFERROR((HLOOKUP($AH1101,Target_monthwise!$D$4:$O$20,DTR!F$4,FALSE))*1000,0)</f>
        <v>0</v>
      </c>
      <c r="G1101" s="141">
        <f>IFERROR((HLOOKUP($AH1101,Target_monthwise!$D$4:$O$20,DTR!G$4,FALSE))*1000,0)</f>
        <v>0</v>
      </c>
      <c r="H1101" s="141">
        <f>IFERROR((HLOOKUP($AH1101,Target_monthwise!$D$4:$O$20,DTR!H$4,FALSE))*1000,0)</f>
        <v>0</v>
      </c>
      <c r="I1101" s="141">
        <f>IFERROR((HLOOKUP($AH1101,Target_monthwise!$D$4:$O$20,DTR!I$4,FALSE))*1000,0)</f>
        <v>0</v>
      </c>
      <c r="J1101" s="141">
        <f>IFERROR((HLOOKUP($AH1101,Target_monthwise!$D$4:$O$20,DTR!J$4,FALSE))*1000,0)</f>
        <v>0</v>
      </c>
      <c r="K1101" s="141">
        <f>IFERROR((HLOOKUP($AH1101,Target_monthwise!$D$4:$O$20,DTR!K$4,FALSE))*1000,0)</f>
        <v>0</v>
      </c>
      <c r="L1101" s="141">
        <f>IFERROR((HLOOKUP($AH1101,Target_monthwise!$D$4:$O$20,DTR!L$4,FALSE))*1000,0)</f>
        <v>0</v>
      </c>
      <c r="M1101" s="141">
        <f>IFERROR((HLOOKUP($AH1101,Target_monthwise!$D$4:$O$20,DTR!M$4,FALSE))*1000,0)</f>
        <v>0</v>
      </c>
      <c r="N1101" s="141">
        <f>IFERROR((HLOOKUP($AH1101,Target_monthwise!$D$4:$O$20,DTR!N$4,FALSE))*1000,0)</f>
        <v>0</v>
      </c>
      <c r="O1101" s="141">
        <f>IFERROR((HLOOKUP($AH1101,Target_monthwise!$D$4:$O$20,DTR!O$4,FALSE))*1000,0)</f>
        <v>0</v>
      </c>
      <c r="P1101" s="141">
        <f>IFERROR((HLOOKUP($AH1101,Target_monthwise!$D$4:$O$20,DTR!P$4,FALSE))*1000,0)</f>
        <v>0</v>
      </c>
      <c r="Q1101" s="141">
        <f>IFERROR((HLOOKUP($AH1101,Target_monthwise!$D$4:$O$20,DTR!Q$4,FALSE))*1000,0)</f>
        <v>0</v>
      </c>
      <c r="R1101" s="167">
        <f>IFERROR((HLOOKUP($AH1101,Target_monthwise!$D$4:$O$20,DTR!R$4,FALSE))*1000,0)</f>
        <v>0</v>
      </c>
      <c r="S1101" s="147">
        <f>IFERROR((HLOOKUP($AH1101,Target_monthwise!$D$24:$O$40,DTR!S$4,FALSE)),0)</f>
        <v>0</v>
      </c>
      <c r="T1101" s="147">
        <f>IFERROR((HLOOKUP($AH1101,Target_monthwise!$D$24:$O$40,DTR!T$4,FALSE)),0)</f>
        <v>0</v>
      </c>
      <c r="U1101" s="147">
        <f>IFERROR((HLOOKUP($AH1101,Target_monthwise!$D$24:$O$40,DTR!U$4,FALSE)),0)</f>
        <v>0</v>
      </c>
      <c r="V1101" s="147">
        <f>IFERROR((HLOOKUP($AH1101,Target_monthwise!$D$24:$O$40,DTR!V$4,FALSE)),0)</f>
        <v>0</v>
      </c>
      <c r="W1101" s="147">
        <f>IFERROR((HLOOKUP($AH1101,Target_monthwise!$D$24:$O$40,DTR!W$4,FALSE)),0)</f>
        <v>0</v>
      </c>
      <c r="X1101" s="147">
        <f>IFERROR((HLOOKUP($AH1101,Target_monthwise!$D$24:$O$40,DTR!X$4,FALSE)),0)</f>
        <v>0</v>
      </c>
      <c r="Y1101" s="147">
        <f>IFERROR((HLOOKUP($AH1101,Target_monthwise!$D$24:$O$40,DTR!Y$4,FALSE)),0)</f>
        <v>0</v>
      </c>
      <c r="Z1101" s="147">
        <f>IFERROR((HLOOKUP($AH1101,Target_monthwise!$D$24:$O$40,DTR!Z$4,FALSE)),0)</f>
        <v>0</v>
      </c>
      <c r="AA1101" s="147">
        <f>IFERROR((HLOOKUP($AH1101,Target_monthwise!$D$24:$O$40,DTR!AA$4,FALSE)),0)</f>
        <v>0</v>
      </c>
      <c r="AB1101" s="147">
        <f>IFERROR((HLOOKUP($AH1101,Target_monthwise!$D$24:$O$40,DTR!AB$4,FALSE)),0)</f>
        <v>0</v>
      </c>
      <c r="AC1101" s="147">
        <f>IFERROR((HLOOKUP($AH1101,Target_monthwise!$D$24:$O$40,DTR!AC$4,FALSE)),0)</f>
        <v>0</v>
      </c>
      <c r="AD1101" s="147">
        <f>IFERROR((HLOOKUP($AH1101,Target_monthwise!$D$24:$O$40,DTR!AD$4,FALSE)),0)</f>
        <v>0</v>
      </c>
      <c r="AE1101" s="147">
        <f>IFERROR((HLOOKUP($AH1101,Target_monthwise!$D$24:$O$40,DTR!AE$4,FALSE)),0)</f>
        <v>0</v>
      </c>
      <c r="AF1101" s="147">
        <f>IFERROR((HLOOKUP($AH1101,Target_monthwise!$D$24:$O$40,DTR!AF$4,FALSE)),0)</f>
        <v>0</v>
      </c>
      <c r="AG1101" s="172">
        <f>IFERROR((HLOOKUP($AH1101,Target_monthwise!$D$24:$O$40,DTR!AG$4,FALSE)),0)</f>
        <v>0</v>
      </c>
      <c r="AH1101" s="253">
        <f t="shared" si="19"/>
        <v>202503</v>
      </c>
    </row>
    <row r="1102" spans="3:34" ht="15.75" hidden="1">
      <c r="C1102" s="237">
        <v>45745</v>
      </c>
      <c r="D1102" s="238">
        <f>IFERROR((HLOOKUP($AH1102,Target_monthwise!$D$4:$O$20,DTR!D$4,FALSE))*1000,0)</f>
        <v>0</v>
      </c>
      <c r="E1102" s="238">
        <f>IFERROR((HLOOKUP($AH1102,Target_monthwise!$D$4:$O$20,DTR!E$4,FALSE))*1000,0)</f>
        <v>0</v>
      </c>
      <c r="F1102" s="238">
        <f>IFERROR((HLOOKUP($AH1102,Target_monthwise!$D$4:$O$20,DTR!F$4,FALSE))*1000,0)</f>
        <v>0</v>
      </c>
      <c r="G1102" s="238">
        <f>IFERROR((HLOOKUP($AH1102,Target_monthwise!$D$4:$O$20,DTR!G$4,FALSE))*1000,0)</f>
        <v>0</v>
      </c>
      <c r="H1102" s="238">
        <f>IFERROR((HLOOKUP($AH1102,Target_monthwise!$D$4:$O$20,DTR!H$4,FALSE))*1000,0)</f>
        <v>0</v>
      </c>
      <c r="I1102" s="238">
        <f>IFERROR((HLOOKUP($AH1102,Target_monthwise!$D$4:$O$20,DTR!I$4,FALSE))*1000,0)</f>
        <v>0</v>
      </c>
      <c r="J1102" s="238">
        <f>IFERROR((HLOOKUP($AH1102,Target_monthwise!$D$4:$O$20,DTR!J$4,FALSE))*1000,0)</f>
        <v>0</v>
      </c>
      <c r="K1102" s="238">
        <f>IFERROR((HLOOKUP($AH1102,Target_monthwise!$D$4:$O$20,DTR!K$4,FALSE))*1000,0)</f>
        <v>0</v>
      </c>
      <c r="L1102" s="238">
        <f>IFERROR((HLOOKUP($AH1102,Target_monthwise!$D$4:$O$20,DTR!L$4,FALSE))*1000,0)</f>
        <v>0</v>
      </c>
      <c r="M1102" s="238">
        <f>IFERROR((HLOOKUP($AH1102,Target_monthwise!$D$4:$O$20,DTR!M$4,FALSE))*1000,0)</f>
        <v>0</v>
      </c>
      <c r="N1102" s="238">
        <f>IFERROR((HLOOKUP($AH1102,Target_monthwise!$D$4:$O$20,DTR!N$4,FALSE))*1000,0)</f>
        <v>0</v>
      </c>
      <c r="O1102" s="238">
        <f>IFERROR((HLOOKUP($AH1102,Target_monthwise!$D$4:$O$20,DTR!O$4,FALSE))*1000,0)</f>
        <v>0</v>
      </c>
      <c r="P1102" s="238">
        <f>IFERROR((HLOOKUP($AH1102,Target_monthwise!$D$4:$O$20,DTR!P$4,FALSE))*1000,0)</f>
        <v>0</v>
      </c>
      <c r="Q1102" s="141">
        <f>IFERROR((HLOOKUP($AH1102,Target_monthwise!$D$4:$O$20,DTR!Q$4,FALSE))*1000,0)</f>
        <v>0</v>
      </c>
      <c r="R1102" s="167">
        <f>IFERROR((HLOOKUP($AH1102,Target_monthwise!$D$4:$O$20,DTR!R$4,FALSE))*1000,0)</f>
        <v>0</v>
      </c>
      <c r="S1102" s="239">
        <f>IFERROR((HLOOKUP($AH1102,Target_monthwise!$D$24:$O$40,DTR!S$4,FALSE)),0)</f>
        <v>0</v>
      </c>
      <c r="T1102" s="239">
        <f>IFERROR((HLOOKUP($AH1102,Target_monthwise!$D$24:$O$40,DTR!T$4,FALSE)),0)</f>
        <v>0</v>
      </c>
      <c r="U1102" s="239">
        <f>IFERROR((HLOOKUP($AH1102,Target_monthwise!$D$24:$O$40,DTR!U$4,FALSE)),0)</f>
        <v>0</v>
      </c>
      <c r="V1102" s="239">
        <f>IFERROR((HLOOKUP($AH1102,Target_monthwise!$D$24:$O$40,DTR!V$4,FALSE)),0)</f>
        <v>0</v>
      </c>
      <c r="W1102" s="239">
        <f>IFERROR((HLOOKUP($AH1102,Target_monthwise!$D$24:$O$40,DTR!W$4,FALSE)),0)</f>
        <v>0</v>
      </c>
      <c r="X1102" s="239">
        <f>IFERROR((HLOOKUP($AH1102,Target_monthwise!$D$24:$O$40,DTR!X$4,FALSE)),0)</f>
        <v>0</v>
      </c>
      <c r="Y1102" s="239">
        <f>IFERROR((HLOOKUP($AH1102,Target_monthwise!$D$24:$O$40,DTR!Y$4,FALSE)),0)</f>
        <v>0</v>
      </c>
      <c r="Z1102" s="147">
        <f>IFERROR((HLOOKUP($AH1102,Target_monthwise!$D$24:$O$40,DTR!Z$4,FALSE)),0)</f>
        <v>0</v>
      </c>
      <c r="AA1102" s="147">
        <f>IFERROR((HLOOKUP($AH1102,Target_monthwise!$D$24:$O$40,DTR!AA$4,FALSE)),0)</f>
        <v>0</v>
      </c>
      <c r="AB1102" s="147">
        <f>IFERROR((HLOOKUP($AH1102,Target_monthwise!$D$24:$O$40,DTR!AB$4,FALSE)),0)</f>
        <v>0</v>
      </c>
      <c r="AC1102" s="239">
        <f>IFERROR((HLOOKUP($AH1102,Target_monthwise!$D$24:$O$40,DTR!AC$4,FALSE)),0)</f>
        <v>0</v>
      </c>
      <c r="AD1102" s="239">
        <f>IFERROR((HLOOKUP($AH1102,Target_monthwise!$D$24:$O$40,DTR!AD$4,FALSE)),0)</f>
        <v>0</v>
      </c>
      <c r="AE1102" s="239">
        <f>IFERROR((HLOOKUP($AH1102,Target_monthwise!$D$24:$O$40,DTR!AE$4,FALSE)),0)</f>
        <v>0</v>
      </c>
      <c r="AF1102" s="239">
        <f>IFERROR((HLOOKUP($AH1102,Target_monthwise!$D$24:$O$40,DTR!AF$4,FALSE)),0)</f>
        <v>0</v>
      </c>
      <c r="AG1102" s="172">
        <f>IFERROR((HLOOKUP($AH1102,Target_monthwise!$D$24:$O$40,DTR!AG$4,FALSE)),0)</f>
        <v>0</v>
      </c>
      <c r="AH1102" s="253">
        <f t="shared" si="19"/>
        <v>202503</v>
      </c>
    </row>
    <row r="1103" spans="3:34" ht="15.75" hidden="1">
      <c r="C1103" s="235">
        <v>45746</v>
      </c>
      <c r="D1103" s="141">
        <f>IFERROR((HLOOKUP($AH1103,Target_monthwise!$D$4:$O$20,DTR!D$4,FALSE))*1000,0)</f>
        <v>0</v>
      </c>
      <c r="E1103" s="141">
        <f>IFERROR((HLOOKUP($AH1103,Target_monthwise!$D$4:$O$20,DTR!E$4,FALSE))*1000,0)</f>
        <v>0</v>
      </c>
      <c r="F1103" s="141">
        <f>IFERROR((HLOOKUP($AH1103,Target_monthwise!$D$4:$O$20,DTR!F$4,FALSE))*1000,0)</f>
        <v>0</v>
      </c>
      <c r="G1103" s="141">
        <f>IFERROR((HLOOKUP($AH1103,Target_monthwise!$D$4:$O$20,DTR!G$4,FALSE))*1000,0)</f>
        <v>0</v>
      </c>
      <c r="H1103" s="141">
        <f>IFERROR((HLOOKUP($AH1103,Target_monthwise!$D$4:$O$20,DTR!H$4,FALSE))*1000,0)</f>
        <v>0</v>
      </c>
      <c r="I1103" s="141">
        <f>IFERROR((HLOOKUP($AH1103,Target_monthwise!$D$4:$O$20,DTR!I$4,FALSE))*1000,0)</f>
        <v>0</v>
      </c>
      <c r="J1103" s="141">
        <f>IFERROR((HLOOKUP($AH1103,Target_monthwise!$D$4:$O$20,DTR!J$4,FALSE))*1000,0)</f>
        <v>0</v>
      </c>
      <c r="K1103" s="141">
        <f>IFERROR((HLOOKUP($AH1103,Target_monthwise!$D$4:$O$20,DTR!K$4,FALSE))*1000,0)</f>
        <v>0</v>
      </c>
      <c r="L1103" s="141">
        <f>IFERROR((HLOOKUP($AH1103,Target_monthwise!$D$4:$O$20,DTR!L$4,FALSE))*1000,0)</f>
        <v>0</v>
      </c>
      <c r="M1103" s="141">
        <f>IFERROR((HLOOKUP($AH1103,Target_monthwise!$D$4:$O$20,DTR!M$4,FALSE))*1000,0)</f>
        <v>0</v>
      </c>
      <c r="N1103" s="141">
        <f>IFERROR((HLOOKUP($AH1103,Target_monthwise!$D$4:$O$20,DTR!N$4,FALSE))*1000,0)</f>
        <v>0</v>
      </c>
      <c r="O1103" s="141">
        <f>IFERROR((HLOOKUP($AH1103,Target_monthwise!$D$4:$O$20,DTR!O$4,FALSE))*1000,0)</f>
        <v>0</v>
      </c>
      <c r="P1103" s="141">
        <f>IFERROR((HLOOKUP($AH1103,Target_monthwise!$D$4:$O$20,DTR!P$4,FALSE))*1000,0)</f>
        <v>0</v>
      </c>
      <c r="Q1103" s="141">
        <f>IFERROR((HLOOKUP($AH1103,Target_monthwise!$D$4:$O$20,DTR!Q$4,FALSE))*1000,0)</f>
        <v>0</v>
      </c>
      <c r="R1103" s="167">
        <f>IFERROR((HLOOKUP($AH1103,Target_monthwise!$D$4:$O$20,DTR!R$4,FALSE))*1000,0)</f>
        <v>0</v>
      </c>
      <c r="S1103" s="147">
        <f>IFERROR((HLOOKUP($AH1103,Target_monthwise!$D$24:$O$40,DTR!S$4,FALSE)),0)</f>
        <v>0</v>
      </c>
      <c r="T1103" s="147">
        <f>IFERROR((HLOOKUP($AH1103,Target_monthwise!$D$24:$O$40,DTR!T$4,FALSE)),0)</f>
        <v>0</v>
      </c>
      <c r="U1103" s="147">
        <f>IFERROR((HLOOKUP($AH1103,Target_monthwise!$D$24:$O$40,DTR!U$4,FALSE)),0)</f>
        <v>0</v>
      </c>
      <c r="V1103" s="147">
        <f>IFERROR((HLOOKUP($AH1103,Target_monthwise!$D$24:$O$40,DTR!V$4,FALSE)),0)</f>
        <v>0</v>
      </c>
      <c r="W1103" s="147">
        <f>IFERROR((HLOOKUP($AH1103,Target_monthwise!$D$24:$O$40,DTR!W$4,FALSE)),0)</f>
        <v>0</v>
      </c>
      <c r="X1103" s="147">
        <f>IFERROR((HLOOKUP($AH1103,Target_monthwise!$D$24:$O$40,DTR!X$4,FALSE)),0)</f>
        <v>0</v>
      </c>
      <c r="Y1103" s="147">
        <f>IFERROR((HLOOKUP($AH1103,Target_monthwise!$D$24:$O$40,DTR!Y$4,FALSE)),0)</f>
        <v>0</v>
      </c>
      <c r="Z1103" s="147">
        <f>IFERROR((HLOOKUP($AH1103,Target_monthwise!$D$24:$O$40,DTR!Z$4,FALSE)),0)</f>
        <v>0</v>
      </c>
      <c r="AA1103" s="147">
        <f>IFERROR((HLOOKUP($AH1103,Target_monthwise!$D$24:$O$40,DTR!AA$4,FALSE)),0)</f>
        <v>0</v>
      </c>
      <c r="AB1103" s="147">
        <f>IFERROR((HLOOKUP($AH1103,Target_monthwise!$D$24:$O$40,DTR!AB$4,FALSE)),0)</f>
        <v>0</v>
      </c>
      <c r="AC1103" s="147">
        <f>IFERROR((HLOOKUP($AH1103,Target_monthwise!$D$24:$O$40,DTR!AC$4,FALSE)),0)</f>
        <v>0</v>
      </c>
      <c r="AD1103" s="147">
        <f>IFERROR((HLOOKUP($AH1103,Target_monthwise!$D$24:$O$40,DTR!AD$4,FALSE)),0)</f>
        <v>0</v>
      </c>
      <c r="AE1103" s="147">
        <f>IFERROR((HLOOKUP($AH1103,Target_monthwise!$D$24:$O$40,DTR!AE$4,FALSE)),0)</f>
        <v>0</v>
      </c>
      <c r="AF1103" s="147">
        <f>IFERROR((HLOOKUP($AH1103,Target_monthwise!$D$24:$O$40,DTR!AF$4,FALSE)),0)</f>
        <v>0</v>
      </c>
      <c r="AG1103" s="172">
        <f>IFERROR((HLOOKUP($AH1103,Target_monthwise!$D$24:$O$40,DTR!AG$4,FALSE)),0)</f>
        <v>0</v>
      </c>
      <c r="AH1103" s="253">
        <f t="shared" si="19"/>
        <v>202503</v>
      </c>
    </row>
    <row r="1104" spans="3:34" ht="15.75" hidden="1">
      <c r="C1104" s="237">
        <v>45747</v>
      </c>
      <c r="D1104" s="238">
        <f>IFERROR((HLOOKUP($AH1104,Target_monthwise!$D$4:$O$20,DTR!D$4,FALSE))*1000,0)</f>
        <v>0</v>
      </c>
      <c r="E1104" s="238">
        <f>IFERROR((HLOOKUP($AH1104,Target_monthwise!$D$4:$O$20,DTR!E$4,FALSE))*1000,0)</f>
        <v>0</v>
      </c>
      <c r="F1104" s="238">
        <f>IFERROR((HLOOKUP($AH1104,Target_monthwise!$D$4:$O$20,DTR!F$4,FALSE))*1000,0)</f>
        <v>0</v>
      </c>
      <c r="G1104" s="238">
        <f>IFERROR((HLOOKUP($AH1104,Target_monthwise!$D$4:$O$20,DTR!G$4,FALSE))*1000,0)</f>
        <v>0</v>
      </c>
      <c r="H1104" s="238">
        <f>IFERROR((HLOOKUP($AH1104,Target_monthwise!$D$4:$O$20,DTR!H$4,FALSE))*1000,0)</f>
        <v>0</v>
      </c>
      <c r="I1104" s="238">
        <f>IFERROR((HLOOKUP($AH1104,Target_monthwise!$D$4:$O$20,DTR!I$4,FALSE))*1000,0)</f>
        <v>0</v>
      </c>
      <c r="J1104" s="238">
        <f>IFERROR((HLOOKUP($AH1104,Target_monthwise!$D$4:$O$20,DTR!J$4,FALSE))*1000,0)</f>
        <v>0</v>
      </c>
      <c r="K1104" s="238">
        <f>IFERROR((HLOOKUP($AH1104,Target_monthwise!$D$4:$O$20,DTR!K$4,FALSE))*1000,0)</f>
        <v>0</v>
      </c>
      <c r="L1104" s="238">
        <f>IFERROR((HLOOKUP($AH1104,Target_monthwise!$D$4:$O$20,DTR!L$4,FALSE))*1000,0)</f>
        <v>0</v>
      </c>
      <c r="M1104" s="238">
        <f>IFERROR((HLOOKUP($AH1104,Target_monthwise!$D$4:$O$20,DTR!M$4,FALSE))*1000,0)</f>
        <v>0</v>
      </c>
      <c r="N1104" s="238">
        <f>IFERROR((HLOOKUP($AH1104,Target_monthwise!$D$4:$O$20,DTR!N$4,FALSE))*1000,0)</f>
        <v>0</v>
      </c>
      <c r="O1104" s="238">
        <f>IFERROR((HLOOKUP($AH1104,Target_monthwise!$D$4:$O$20,DTR!O$4,FALSE))*1000,0)</f>
        <v>0</v>
      </c>
      <c r="P1104" s="238">
        <f>IFERROR((HLOOKUP($AH1104,Target_monthwise!$D$4:$O$20,DTR!P$4,FALSE))*1000,0)</f>
        <v>0</v>
      </c>
      <c r="Q1104" s="141">
        <f>IFERROR((HLOOKUP($AH1104,Target_monthwise!$D$4:$O$20,DTR!Q$4,FALSE))*1000,0)</f>
        <v>0</v>
      </c>
      <c r="R1104" s="167">
        <f>IFERROR((HLOOKUP($AH1104,Target_monthwise!$D$4:$O$20,DTR!R$4,FALSE))*1000,0)</f>
        <v>0</v>
      </c>
      <c r="S1104" s="239">
        <f>IFERROR((HLOOKUP($AH1104,Target_monthwise!$D$24:$O$40,DTR!S$4,FALSE)),0)</f>
        <v>0</v>
      </c>
      <c r="T1104" s="239">
        <f>IFERROR((HLOOKUP($AH1104,Target_monthwise!$D$24:$O$40,DTR!T$4,FALSE)),0)</f>
        <v>0</v>
      </c>
      <c r="U1104" s="239">
        <f>IFERROR((HLOOKUP($AH1104,Target_monthwise!$D$24:$O$40,DTR!U$4,FALSE)),0)</f>
        <v>0</v>
      </c>
      <c r="V1104" s="239">
        <f>IFERROR((HLOOKUP($AH1104,Target_monthwise!$D$24:$O$40,DTR!V$4,FALSE)),0)</f>
        <v>0</v>
      </c>
      <c r="W1104" s="239">
        <f>IFERROR((HLOOKUP($AH1104,Target_monthwise!$D$24:$O$40,DTR!W$4,FALSE)),0)</f>
        <v>0</v>
      </c>
      <c r="X1104" s="239">
        <f>IFERROR((HLOOKUP($AH1104,Target_monthwise!$D$24:$O$40,DTR!X$4,FALSE)),0)</f>
        <v>0</v>
      </c>
      <c r="Y1104" s="239">
        <f>IFERROR((HLOOKUP($AH1104,Target_monthwise!$D$24:$O$40,DTR!Y$4,FALSE)),0)</f>
        <v>0</v>
      </c>
      <c r="Z1104" s="147">
        <f>IFERROR((HLOOKUP($AH1104,Target_monthwise!$D$24:$O$40,DTR!Z$4,FALSE)),0)</f>
        <v>0</v>
      </c>
      <c r="AA1104" s="147">
        <f>IFERROR((HLOOKUP($AH1104,Target_monthwise!$D$24:$O$40,DTR!AA$4,FALSE)),0)</f>
        <v>0</v>
      </c>
      <c r="AB1104" s="147">
        <f>IFERROR((HLOOKUP($AH1104,Target_monthwise!$D$24:$O$40,DTR!AB$4,FALSE)),0)</f>
        <v>0</v>
      </c>
      <c r="AC1104" s="239">
        <f>IFERROR((HLOOKUP($AH1104,Target_monthwise!$D$24:$O$40,DTR!AC$4,FALSE)),0)</f>
        <v>0</v>
      </c>
      <c r="AD1104" s="239">
        <f>IFERROR((HLOOKUP($AH1104,Target_monthwise!$D$24:$O$40,DTR!AD$4,FALSE)),0)</f>
        <v>0</v>
      </c>
      <c r="AE1104" s="239">
        <f>IFERROR((HLOOKUP($AH1104,Target_monthwise!$D$24:$O$40,DTR!AE$4,FALSE)),0)</f>
        <v>0</v>
      </c>
      <c r="AF1104" s="239">
        <f>IFERROR((HLOOKUP($AH1104,Target_monthwise!$D$24:$O$40,DTR!AF$4,FALSE)),0)</f>
        <v>0</v>
      </c>
      <c r="AG1104" s="172">
        <f>IFERROR((HLOOKUP($AH1104,Target_monthwise!$D$24:$O$40,DTR!AG$4,FALSE)),0)</f>
        <v>0</v>
      </c>
      <c r="AH1104" s="253">
        <f t="shared" si="19"/>
        <v>202503</v>
      </c>
    </row>
    <row r="1105" hidden="1"/>
    <row r="1106" hidden="1"/>
    <row r="1107" hidden="1"/>
    <row r="1108" hidden="1"/>
    <row r="1109" hidden="1"/>
    <row r="1110" hidden="1"/>
    <row r="1111" hidden="1"/>
    <row r="1112" hidden="1"/>
    <row r="1113" hidden="1"/>
    <row r="1114" hidden="1"/>
    <row r="1115" hidden="1"/>
    <row r="1116" hidden="1"/>
    <row r="1117" hidden="1"/>
    <row r="1118" hidden="1"/>
    <row r="1119" hidden="1"/>
    <row r="1120" hidden="1"/>
    <row r="1121" hidden="1"/>
    <row r="1122" hidden="1"/>
    <row r="1123" hidden="1"/>
    <row r="1124" hidden="1"/>
    <row r="1125" hidden="1"/>
    <row r="1126" hidden="1"/>
    <row r="1127" hidden="1"/>
    <row r="1128" hidden="1"/>
    <row r="1129" hidden="1"/>
    <row r="1130" hidden="1"/>
    <row r="1131" hidden="1"/>
    <row r="1132" hidden="1"/>
    <row r="1133" hidden="1"/>
    <row r="1134" hidden="1"/>
    <row r="1135" hidden="1"/>
    <row r="1136" hidden="1"/>
    <row r="1137" hidden="1"/>
    <row r="1138" hidden="1"/>
    <row r="1139" hidden="1"/>
    <row r="1140" hidden="1"/>
    <row r="1141" hidden="1"/>
    <row r="1142" hidden="1"/>
    <row r="1143" hidden="1"/>
    <row r="1144" hidden="1"/>
    <row r="1145" hidden="1"/>
    <row r="1146" hidden="1"/>
    <row r="1147" hidden="1"/>
    <row r="1148" hidden="1"/>
    <row r="1149" hidden="1"/>
    <row r="1150" hidden="1"/>
    <row r="1151" hidden="1"/>
    <row r="1152" hidden="1"/>
    <row r="1153" hidden="1"/>
    <row r="1154" hidden="1"/>
    <row r="1155" hidden="1"/>
    <row r="1156" hidden="1"/>
    <row r="1157" hidden="1"/>
    <row r="1158" hidden="1"/>
    <row r="1159" hidden="1"/>
    <row r="1160" hidden="1"/>
    <row r="1161" hidden="1"/>
    <row r="1162" hidden="1"/>
    <row r="1163" hidden="1"/>
    <row r="1164" hidden="1"/>
    <row r="1165" hidden="1"/>
    <row r="1166" hidden="1"/>
    <row r="1167" hidden="1"/>
    <row r="1168" hidden="1"/>
    <row r="1169" hidden="1"/>
    <row r="1170" hidden="1"/>
    <row r="1171" hidden="1"/>
    <row r="1172" hidden="1"/>
    <row r="1173" hidden="1"/>
    <row r="1174" hidden="1"/>
    <row r="1175" hidden="1"/>
    <row r="1176" hidden="1"/>
    <row r="1177" hidden="1"/>
    <row r="1178" hidden="1"/>
    <row r="1179" hidden="1"/>
    <row r="1180" hidden="1"/>
    <row r="1181" hidden="1"/>
    <row r="1182" hidden="1"/>
    <row r="1183" hidden="1"/>
    <row r="1184" hidden="1"/>
    <row r="1185" hidden="1"/>
    <row r="1186" hidden="1"/>
    <row r="1187" hidden="1"/>
    <row r="1188" hidden="1"/>
    <row r="1189" hidden="1"/>
    <row r="1190" hidden="1"/>
    <row r="1191" hidden="1"/>
    <row r="1192" hidden="1"/>
    <row r="1193" hidden="1"/>
    <row r="1194" hidden="1"/>
    <row r="1195" hidden="1"/>
    <row r="1196" hidden="1"/>
    <row r="1197" hidden="1"/>
    <row r="1198" hidden="1"/>
    <row r="1199" hidden="1"/>
    <row r="1200" hidden="1"/>
    <row r="1201" hidden="1"/>
    <row r="1202" hidden="1"/>
    <row r="1203" hidden="1"/>
    <row r="1204" hidden="1"/>
    <row r="1205" hidden="1"/>
    <row r="1206" hidden="1"/>
    <row r="1207" hidden="1"/>
    <row r="1208" hidden="1"/>
    <row r="1209" hidden="1"/>
    <row r="1210" hidden="1"/>
    <row r="1211" hidden="1"/>
    <row r="1243" hidden="1"/>
    <row r="1244" hidden="1"/>
    <row r="1245" hidden="1"/>
    <row r="1246" hidden="1"/>
    <row r="1247" hidden="1"/>
    <row r="1248" hidden="1"/>
    <row r="1249" hidden="1"/>
    <row r="1250" hidden="1"/>
    <row r="1251" hidden="1"/>
    <row r="1252" hidden="1"/>
    <row r="1253" hidden="1"/>
    <row r="1254" hidden="1"/>
    <row r="1255" hidden="1"/>
    <row r="1256" hidden="1"/>
    <row r="1257" hidden="1"/>
    <row r="1258" hidden="1"/>
    <row r="1259" hidden="1"/>
    <row r="1260" hidden="1"/>
    <row r="1261" hidden="1"/>
    <row r="1262" hidden="1"/>
    <row r="1263" hidden="1"/>
    <row r="1264" hidden="1"/>
    <row r="1265" hidden="1"/>
    <row r="1266" hidden="1"/>
    <row r="1267" hidden="1"/>
    <row r="1268" hidden="1"/>
    <row r="1269" hidden="1"/>
    <row r="1270" hidden="1"/>
    <row r="1271" hidden="1"/>
    <row r="1272" hidden="1"/>
    <row r="1273" hidden="1"/>
    <row r="1274" hidden="1"/>
    <row r="1275" hidden="1"/>
    <row r="1276" hidden="1"/>
    <row r="1277" hidden="1"/>
    <row r="1278" hidden="1"/>
    <row r="1279" hidden="1"/>
    <row r="1280" hidden="1"/>
    <row r="1281" hidden="1"/>
    <row r="1282" hidden="1"/>
    <row r="1283" hidden="1"/>
    <row r="1284" hidden="1"/>
    <row r="1285" hidden="1"/>
    <row r="1286" hidden="1"/>
    <row r="1287" hidden="1"/>
    <row r="1288" hidden="1"/>
    <row r="1289" hidden="1"/>
    <row r="1290" hidden="1"/>
    <row r="1291" hidden="1"/>
    <row r="1292" hidden="1"/>
    <row r="1293" hidden="1"/>
    <row r="1294" hidden="1"/>
    <row r="1295" hidden="1"/>
    <row r="1296" hidden="1"/>
    <row r="1297" hidden="1"/>
    <row r="1298" hidden="1"/>
    <row r="1299" hidden="1"/>
    <row r="1300" hidden="1"/>
    <row r="1301" hidden="1"/>
    <row r="1302" hidden="1"/>
    <row r="1303" hidden="1"/>
    <row r="1304" hidden="1"/>
    <row r="1305" hidden="1"/>
    <row r="1306" hidden="1"/>
    <row r="1307" hidden="1"/>
    <row r="1308" hidden="1"/>
    <row r="1309" hidden="1"/>
    <row r="1310" hidden="1"/>
    <row r="1311" hidden="1"/>
    <row r="1312" hidden="1"/>
    <row r="1313" hidden="1"/>
    <row r="1314" hidden="1"/>
    <row r="1315" hidden="1"/>
    <row r="1316" hidden="1"/>
    <row r="1317" hidden="1"/>
    <row r="1318" hidden="1"/>
    <row r="1319" hidden="1"/>
    <row r="1320" hidden="1"/>
    <row r="1321" hidden="1"/>
    <row r="1322" hidden="1"/>
    <row r="1323" hidden="1"/>
    <row r="1324" hidden="1"/>
    <row r="1325" hidden="1"/>
    <row r="1326" hidden="1"/>
    <row r="1327" hidden="1"/>
    <row r="1328" hidden="1"/>
    <row r="1329" hidden="1"/>
    <row r="1330" hidden="1"/>
    <row r="1331" hidden="1"/>
    <row r="1332" hidden="1"/>
    <row r="1333" hidden="1"/>
    <row r="1334" hidden="1"/>
    <row r="1335" hidden="1"/>
    <row r="1336" hidden="1"/>
    <row r="1337" hidden="1"/>
    <row r="1338" hidden="1"/>
    <row r="1339" hidden="1"/>
    <row r="1340" hidden="1"/>
    <row r="1341" hidden="1"/>
    <row r="1342" hidden="1"/>
    <row r="1343" hidden="1"/>
    <row r="1344" hidden="1"/>
    <row r="1345" hidden="1"/>
    <row r="1346" hidden="1"/>
    <row r="1347" hidden="1"/>
    <row r="1348" hidden="1"/>
    <row r="1349" hidden="1"/>
    <row r="1350" hidden="1"/>
    <row r="1351" hidden="1"/>
    <row r="1352" hidden="1"/>
    <row r="1353" hidden="1"/>
    <row r="1354" hidden="1"/>
    <row r="1355" hidden="1"/>
    <row r="1356" hidden="1"/>
    <row r="1357" hidden="1"/>
    <row r="1358" hidden="1"/>
    <row r="1359" hidden="1"/>
    <row r="1360" hidden="1"/>
    <row r="1361" hidden="1"/>
    <row r="1362" hidden="1"/>
    <row r="1363" hidden="1"/>
    <row r="1364" hidden="1"/>
    <row r="1365" hidden="1"/>
    <row r="1366" hidden="1"/>
    <row r="1367" hidden="1"/>
    <row r="1368" hidden="1"/>
    <row r="1369" hidden="1"/>
    <row r="1370" hidden="1"/>
    <row r="1371" hidden="1"/>
    <row r="1372" hidden="1"/>
    <row r="1373" hidden="1"/>
    <row r="1374" hidden="1"/>
    <row r="1375" hidden="1"/>
    <row r="1376" hidden="1"/>
    <row r="1377" hidden="1"/>
    <row r="1378" hidden="1"/>
    <row r="1379" hidden="1"/>
    <row r="1380" hidden="1"/>
    <row r="1381" hidden="1"/>
    <row r="1382" hidden="1"/>
    <row r="1383" hidden="1"/>
    <row r="1384" hidden="1"/>
    <row r="1385" hidden="1"/>
    <row r="1386" hidden="1"/>
    <row r="1387" hidden="1"/>
    <row r="1388" hidden="1"/>
    <row r="1389" hidden="1"/>
    <row r="1390" hidden="1"/>
    <row r="1391" hidden="1"/>
    <row r="1392" hidden="1"/>
    <row r="1393" hidden="1"/>
    <row r="1394" hidden="1"/>
    <row r="1395" hidden="1"/>
    <row r="1396" hidden="1"/>
    <row r="1397" hidden="1"/>
    <row r="1398" hidden="1"/>
    <row r="1399" hidden="1"/>
    <row r="1400" hidden="1"/>
    <row r="1401" hidden="1"/>
    <row r="1402" hidden="1"/>
    <row r="1403" hidden="1"/>
    <row r="1404" hidden="1"/>
    <row r="1405" hidden="1"/>
    <row r="1406" hidden="1"/>
    <row r="1407" hidden="1"/>
    <row r="1408" hidden="1"/>
    <row r="1409" hidden="1"/>
    <row r="1410" hidden="1"/>
    <row r="1411" hidden="1"/>
    <row r="1412" hidden="1"/>
    <row r="1413" hidden="1"/>
    <row r="1414" hidden="1"/>
    <row r="1415" hidden="1"/>
    <row r="1416" hidden="1"/>
    <row r="1417" hidden="1"/>
    <row r="1418" hidden="1"/>
    <row r="1419" hidden="1"/>
    <row r="1420" hidden="1"/>
    <row r="1421" hidden="1"/>
    <row r="1422" hidden="1"/>
    <row r="1423" hidden="1"/>
    <row r="1424" hidden="1"/>
    <row r="1425" hidden="1"/>
    <row r="1426" hidden="1"/>
    <row r="1427" hidden="1"/>
    <row r="1428" hidden="1"/>
    <row r="1429" hidden="1"/>
    <row r="1430" hidden="1"/>
    <row r="1431" hidden="1"/>
    <row r="1432" hidden="1"/>
    <row r="1433" hidden="1"/>
    <row r="1434" hidden="1"/>
    <row r="1435" hidden="1"/>
    <row r="1436" hidden="1"/>
    <row r="1437" hidden="1"/>
    <row r="1438" hidden="1"/>
    <row r="1439" hidden="1"/>
    <row r="1440" hidden="1"/>
    <row r="1441" hidden="1"/>
    <row r="1442" hidden="1"/>
    <row r="1443" hidden="1"/>
    <row r="1444" hidden="1"/>
    <row r="1445" hidden="1"/>
    <row r="1446" hidden="1"/>
    <row r="1447" hidden="1"/>
    <row r="1448" hidden="1"/>
    <row r="1449" hidden="1"/>
    <row r="1450" hidden="1"/>
    <row r="1451" hidden="1"/>
    <row r="1452" hidden="1"/>
    <row r="1453" hidden="1"/>
    <row r="1454" hidden="1"/>
    <row r="1455" hidden="1"/>
    <row r="1456" hidden="1"/>
    <row r="1457" hidden="1"/>
    <row r="1458" hidden="1"/>
    <row r="1459" hidden="1"/>
    <row r="1460" hidden="1"/>
    <row r="1461" hidden="1"/>
    <row r="1462" hidden="1"/>
    <row r="1463" hidden="1"/>
    <row r="1464" hidden="1"/>
    <row r="1465" hidden="1"/>
    <row r="1466" hidden="1"/>
    <row r="1467" hidden="1"/>
    <row r="1468" hidden="1"/>
    <row r="1469" hidden="1"/>
  </sheetData>
  <sheetProtection sheet="1" objects="1" scenarios="1" formatColumns="0" formatRows="0"/>
  <mergeCells count="4">
    <mergeCell ref="D5:R5"/>
    <mergeCell ref="S5:AG5"/>
    <mergeCell ref="R7:R8"/>
    <mergeCell ref="AG7:AG8"/>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rgb="FF7030A0"/>
  </sheetPr>
  <dimension ref="A1:O700"/>
  <sheetViews>
    <sheetView workbookViewId="0"/>
  </sheetViews>
  <sheetFormatPr defaultColWidth="8.85546875" defaultRowHeight="15"/>
  <cols>
    <col min="1" max="1" width="13.42578125" bestFit="1" customWidth="1"/>
    <col min="3" max="3" width="27.42578125" bestFit="1" customWidth="1"/>
    <col min="4" max="4" width="11" customWidth="1"/>
    <col min="5" max="15" width="12.42578125" bestFit="1" customWidth="1"/>
  </cols>
  <sheetData>
    <row r="1" spans="1:15">
      <c r="A1" t="str">
        <f>Dropdowns!C123</f>
        <v>BE</v>
      </c>
      <c r="C1" s="507" t="str">
        <f>interFY_transition!D20</f>
        <v>2026-27</v>
      </c>
      <c r="D1" t="s">
        <v>862</v>
      </c>
    </row>
    <row r="2" spans="1:15">
      <c r="A2" s="286" t="str">
        <f>CONCATENATE(A1,B2)</f>
        <v>BE(kBOPD)</v>
      </c>
      <c r="B2" t="s">
        <v>300</v>
      </c>
    </row>
    <row r="3" spans="1:15">
      <c r="E3" t="s">
        <v>270</v>
      </c>
    </row>
    <row r="6" spans="1:15">
      <c r="C6" s="184" t="s">
        <v>256</v>
      </c>
      <c r="D6" s="184" t="str">
        <f>interFY_transition!J20</f>
        <v>Apr'26</v>
      </c>
      <c r="E6" s="184" t="str">
        <f>interFY_transition!K20</f>
        <v>May'26</v>
      </c>
      <c r="F6" s="184" t="str">
        <f>interFY_transition!L20</f>
        <v>June'26</v>
      </c>
      <c r="G6" s="184" t="str">
        <f>interFY_transition!M20</f>
        <v>July'26</v>
      </c>
      <c r="H6" s="184" t="str">
        <f>interFY_transition!N20</f>
        <v>Aug'26</v>
      </c>
      <c r="I6" s="184" t="str">
        <f>interFY_transition!O20</f>
        <v>Sep'26</v>
      </c>
      <c r="J6" s="184" t="str">
        <f>interFY_transition!P20</f>
        <v>Oct'26</v>
      </c>
      <c r="K6" s="184" t="str">
        <f>interFY_transition!Q20</f>
        <v>Nov'26</v>
      </c>
      <c r="L6" s="184" t="str">
        <f>interFY_transition!R20</f>
        <v>Dec'26</v>
      </c>
      <c r="M6" s="184" t="str">
        <f>interFY_transition!S20</f>
        <v>Jan'27</v>
      </c>
      <c r="N6" s="184" t="str">
        <f>interFY_transition!T20</f>
        <v>Feb'27</v>
      </c>
      <c r="O6" s="184" t="str">
        <f>interFY_transition!U20</f>
        <v>Mar'27</v>
      </c>
    </row>
    <row r="7" spans="1:15">
      <c r="C7" s="184" t="str">
        <f>$A$2</f>
        <v>BE(kBOPD)</v>
      </c>
      <c r="D7" s="266">
        <f>Target_monthwise!D6</f>
        <v>141.64166666666665</v>
      </c>
      <c r="E7" s="266">
        <f>Target_monthwise!E6</f>
        <v>140.64838709677417</v>
      </c>
      <c r="F7" s="266">
        <f>Target_monthwise!F6</f>
        <v>140.41</v>
      </c>
      <c r="G7" s="266">
        <f>Target_monthwise!G6</f>
        <v>140.64838709677417</v>
      </c>
      <c r="H7" s="266">
        <f>Target_monthwise!H6</f>
        <v>139.45645161290321</v>
      </c>
      <c r="I7" s="266">
        <f>Target_monthwise!I6</f>
        <v>141.64166666666665</v>
      </c>
      <c r="J7" s="266">
        <f>Target_monthwise!J6</f>
        <v>139.45645161290321</v>
      </c>
      <c r="K7" s="266">
        <f>Target_monthwise!K6</f>
        <v>137.94666666666666</v>
      </c>
      <c r="L7" s="266">
        <f>Target_monthwise!L6</f>
        <v>135.88064516129035</v>
      </c>
      <c r="M7" s="266">
        <f>Target_monthwise!M6</f>
        <v>134.68870967741935</v>
      </c>
      <c r="N7" s="266">
        <f>Target_monthwise!N6</f>
        <v>135.92321428571424</v>
      </c>
      <c r="O7" s="266">
        <f>Target_monthwise!O6</f>
        <v>134.68870967741935</v>
      </c>
    </row>
    <row r="8" spans="1:15">
      <c r="C8" s="184" t="s">
        <v>29</v>
      </c>
      <c r="D8" s="266">
        <f>prod_compiled!D6/1000</f>
        <v>189.20396666666667</v>
      </c>
      <c r="E8" s="266">
        <f>prod_compiled!E6/1000</f>
        <v>184.26229032290323</v>
      </c>
      <c r="F8" s="266">
        <f>prod_compiled!F6/1000</f>
        <v>169.19610000066666</v>
      </c>
      <c r="G8" s="266">
        <f>prod_compiled!G6/1000</f>
        <v>187.26155464516128</v>
      </c>
      <c r="H8" s="266">
        <f>prod_compiled!H6/1000</f>
        <v>183.34116129032259</v>
      </c>
      <c r="I8" s="266">
        <f>prod_compiled!I6/1000</f>
        <v>0</v>
      </c>
      <c r="J8" s="266">
        <f>prod_compiled!J6/1000</f>
        <v>0</v>
      </c>
      <c r="K8" s="266">
        <f>prod_compiled!K6/1000</f>
        <v>0</v>
      </c>
      <c r="L8" s="266">
        <f>prod_compiled!L6/1000</f>
        <v>0</v>
      </c>
      <c r="M8" s="266">
        <f>prod_compiled!M6/1000</f>
        <v>0</v>
      </c>
      <c r="N8" s="266">
        <f>prod_compiled!N6/1000</f>
        <v>0</v>
      </c>
      <c r="O8" s="266">
        <f>prod_compiled!O6/1000</f>
        <v>0</v>
      </c>
    </row>
    <row r="15" spans="1:15" s="187" customFormat="1"/>
    <row r="17" spans="3:15">
      <c r="C17" s="184" t="s">
        <v>257</v>
      </c>
      <c r="D17" s="184" t="str">
        <f>interFY_transition!J20</f>
        <v>Apr'26</v>
      </c>
      <c r="E17" s="184" t="str">
        <f>interFY_transition!K20</f>
        <v>May'26</v>
      </c>
      <c r="F17" s="184" t="str">
        <f>interFY_transition!L20</f>
        <v>June'26</v>
      </c>
      <c r="G17" s="184" t="str">
        <f>interFY_transition!M20</f>
        <v>July'26</v>
      </c>
      <c r="H17" s="184" t="str">
        <f>interFY_transition!N20</f>
        <v>Aug'26</v>
      </c>
      <c r="I17" s="184" t="str">
        <f>interFY_transition!O20</f>
        <v>Sep'26</v>
      </c>
      <c r="J17" s="184" t="str">
        <f>interFY_transition!P20</f>
        <v>Oct'26</v>
      </c>
      <c r="K17" s="184" t="str">
        <f>interFY_transition!Q20</f>
        <v>Nov'26</v>
      </c>
      <c r="L17" s="184" t="str">
        <f>interFY_transition!R20</f>
        <v>Dec'26</v>
      </c>
      <c r="M17" s="184" t="str">
        <f>interFY_transition!S20</f>
        <v>Jan'27</v>
      </c>
      <c r="N17" s="184" t="str">
        <f>interFY_transition!T20</f>
        <v>Feb'27</v>
      </c>
      <c r="O17" s="184" t="str">
        <f>interFY_transition!U20</f>
        <v>Mar'27</v>
      </c>
    </row>
    <row r="18" spans="3:15">
      <c r="C18" s="184" t="str">
        <f>$A$2</f>
        <v>BE(kBOPD)</v>
      </c>
      <c r="D18" s="266">
        <f>Target_monthwise!D7</f>
        <v>174.55384615384614</v>
      </c>
      <c r="E18" s="266">
        <f>Target_monthwise!E7</f>
        <v>174.46153846153845</v>
      </c>
      <c r="F18" s="266">
        <f>Target_monthwise!F7</f>
        <v>175.50769230769231</v>
      </c>
      <c r="G18" s="266">
        <f>Target_monthwise!G7</f>
        <v>174.46153846153845</v>
      </c>
      <c r="H18" s="266">
        <f>Target_monthwise!H7</f>
        <v>174.46153846153845</v>
      </c>
      <c r="I18" s="266">
        <f>Target_monthwise!I7</f>
        <v>174.55384615384614</v>
      </c>
      <c r="J18" s="266">
        <f>Target_monthwise!J7</f>
        <v>174.46153846153845</v>
      </c>
      <c r="K18" s="266">
        <f>Target_monthwise!K7</f>
        <v>174.55384615384614</v>
      </c>
      <c r="L18" s="266">
        <f>Target_monthwise!L7</f>
        <v>174.46153846153845</v>
      </c>
      <c r="M18" s="266">
        <f>Target_monthwise!M7</f>
        <v>174.46153846153845</v>
      </c>
      <c r="N18" s="266">
        <f>Target_monthwise!N7</f>
        <v>174.75824175824175</v>
      </c>
      <c r="O18" s="266">
        <f>Target_monthwise!O7</f>
        <v>174.46153846153845</v>
      </c>
    </row>
    <row r="19" spans="3:15">
      <c r="C19" s="184" t="s">
        <v>29</v>
      </c>
      <c r="D19" s="266">
        <f>prod_compiled!D7/1000</f>
        <v>155.67312433366666</v>
      </c>
      <c r="E19" s="266">
        <f>prod_compiled!E7/1000</f>
        <v>155.54670022645158</v>
      </c>
      <c r="F19" s="266">
        <f>prod_compiled!F7/1000</f>
        <v>155.21486819966665</v>
      </c>
      <c r="G19" s="266">
        <f>prod_compiled!G7/1000</f>
        <v>156.31407406483871</v>
      </c>
      <c r="H19" s="266">
        <f>prod_compiled!H7/1000</f>
        <v>156.57838709677418</v>
      </c>
      <c r="I19" s="266">
        <f>prod_compiled!I7/1000</f>
        <v>0</v>
      </c>
      <c r="J19" s="266">
        <f>prod_compiled!J7/1000</f>
        <v>0</v>
      </c>
      <c r="K19" s="266">
        <f>prod_compiled!K7/1000</f>
        <v>0</v>
      </c>
      <c r="L19" s="266">
        <f>prod_compiled!L7/1000</f>
        <v>0</v>
      </c>
      <c r="M19" s="266">
        <f>prod_compiled!M7/1000</f>
        <v>0</v>
      </c>
      <c r="N19" s="266">
        <f>prod_compiled!N7/1000</f>
        <v>0</v>
      </c>
      <c r="O19" s="266">
        <f>prod_compiled!O7/1000</f>
        <v>0</v>
      </c>
    </row>
    <row r="29" spans="3:15" s="187" customFormat="1"/>
    <row r="31" spans="3:15">
      <c r="C31" s="184" t="s">
        <v>258</v>
      </c>
      <c r="D31" s="184" t="str">
        <f>interFY_transition!J20</f>
        <v>Apr'26</v>
      </c>
      <c r="E31" s="184" t="str">
        <f>interFY_transition!K20</f>
        <v>May'26</v>
      </c>
      <c r="F31" s="184" t="str">
        <f>interFY_transition!L20</f>
        <v>June'26</v>
      </c>
      <c r="G31" s="184" t="str">
        <f>interFY_transition!M20</f>
        <v>July'26</v>
      </c>
      <c r="H31" s="184" t="str">
        <f>interFY_transition!N20</f>
        <v>Aug'26</v>
      </c>
      <c r="I31" s="184" t="str">
        <f>interFY_transition!O20</f>
        <v>Sep'26</v>
      </c>
      <c r="J31" s="184" t="str">
        <f>interFY_transition!P20</f>
        <v>Oct'26</v>
      </c>
      <c r="K31" s="184" t="str">
        <f>interFY_transition!Q20</f>
        <v>Nov'26</v>
      </c>
      <c r="L31" s="184" t="str">
        <f>interFY_transition!R20</f>
        <v>Dec'26</v>
      </c>
      <c r="M31" s="184" t="str">
        <f>interFY_transition!S20</f>
        <v>Jan'27</v>
      </c>
      <c r="N31" s="184" t="str">
        <f>interFY_transition!T20</f>
        <v>Feb'27</v>
      </c>
      <c r="O31" s="184" t="str">
        <f>interFY_transition!U20</f>
        <v>Mar'27</v>
      </c>
    </row>
    <row r="32" spans="3:15">
      <c r="C32" s="184" t="str">
        <f>$A$2</f>
        <v>BE(kBOPD)</v>
      </c>
      <c r="D32" s="267">
        <f>Target_monthwise!D8</f>
        <v>2.0266666666666668</v>
      </c>
      <c r="E32" s="267">
        <f>Target_monthwise!E8</f>
        <v>1.9612903225806451</v>
      </c>
      <c r="F32" s="267">
        <f>Target_monthwise!F8</f>
        <v>2.0266666666666668</v>
      </c>
      <c r="G32" s="267">
        <f>Target_monthwise!G8</f>
        <v>2.2064516129032259</v>
      </c>
      <c r="H32" s="267">
        <f>Target_monthwise!H8</f>
        <v>2.2064516129032259</v>
      </c>
      <c r="I32" s="267">
        <f>Target_monthwise!I8</f>
        <v>2.0266666666666668</v>
      </c>
      <c r="J32" s="267">
        <f>Target_monthwise!J8</f>
        <v>2.2064516129032259</v>
      </c>
      <c r="K32" s="267">
        <f>Target_monthwise!K8</f>
        <v>2.0266666666666668</v>
      </c>
      <c r="L32" s="267">
        <f>Target_monthwise!L8</f>
        <v>1.9612903225806451</v>
      </c>
      <c r="M32" s="267">
        <f>Target_monthwise!M8</f>
        <v>2.2064516129032259</v>
      </c>
      <c r="N32" s="267">
        <f>Target_monthwise!N8</f>
        <v>2.1714285714285713</v>
      </c>
      <c r="O32" s="267">
        <f>Target_monthwise!O8</f>
        <v>2.2064516129032259</v>
      </c>
    </row>
    <row r="33" spans="3:15">
      <c r="C33" s="184" t="s">
        <v>29</v>
      </c>
      <c r="D33" s="267">
        <f>prod_compiled!D8/1000</f>
        <v>1.9671666666666667</v>
      </c>
      <c r="E33" s="267">
        <f>prod_compiled!E8/1000</f>
        <v>1.8688709658064517</v>
      </c>
      <c r="F33" s="267">
        <f>prod_compiled!F8/1000</f>
        <v>1.9767666666666666</v>
      </c>
      <c r="G33" s="267">
        <f>prod_compiled!G8/1000</f>
        <v>1.9129999990322581</v>
      </c>
      <c r="H33" s="267">
        <f>prod_compiled!H8/1000</f>
        <v>1.856483870967742</v>
      </c>
      <c r="I33" s="267">
        <f>prod_compiled!I8/1000</f>
        <v>0</v>
      </c>
      <c r="J33" s="267">
        <f>prod_compiled!J8/1000</f>
        <v>0</v>
      </c>
      <c r="K33" s="267">
        <f>prod_compiled!K8/1000</f>
        <v>0</v>
      </c>
      <c r="L33" s="267">
        <f>prod_compiled!L8/1000</f>
        <v>0</v>
      </c>
      <c r="M33" s="267">
        <f>prod_compiled!M8/1000</f>
        <v>0</v>
      </c>
      <c r="N33" s="267">
        <f>prod_compiled!N8/1000</f>
        <v>0</v>
      </c>
      <c r="O33" s="267">
        <f>prod_compiled!O8/1000</f>
        <v>0</v>
      </c>
    </row>
    <row r="43" spans="3:15" s="187" customFormat="1"/>
    <row r="45" spans="3:15">
      <c r="C45" s="184" t="s">
        <v>259</v>
      </c>
      <c r="D45" s="184" t="str">
        <f>interFY_transition!J20</f>
        <v>Apr'26</v>
      </c>
      <c r="E45" s="184" t="str">
        <f>interFY_transition!K20</f>
        <v>May'26</v>
      </c>
      <c r="F45" s="184" t="str">
        <f>interFY_transition!L20</f>
        <v>June'26</v>
      </c>
      <c r="G45" s="184" t="str">
        <f>interFY_transition!M20</f>
        <v>July'26</v>
      </c>
      <c r="H45" s="184" t="str">
        <f>interFY_transition!N20</f>
        <v>Aug'26</v>
      </c>
      <c r="I45" s="184" t="str">
        <f>interFY_transition!O20</f>
        <v>Sep'26</v>
      </c>
      <c r="J45" s="184" t="str">
        <f>interFY_transition!P20</f>
        <v>Oct'26</v>
      </c>
      <c r="K45" s="184" t="str">
        <f>interFY_transition!Q20</f>
        <v>Nov'26</v>
      </c>
      <c r="L45" s="184" t="str">
        <f>interFY_transition!R20</f>
        <v>Dec'26</v>
      </c>
      <c r="M45" s="184" t="str">
        <f>interFY_transition!S20</f>
        <v>Jan'27</v>
      </c>
      <c r="N45" s="184" t="str">
        <f>interFY_transition!T20</f>
        <v>Feb'27</v>
      </c>
      <c r="O45" s="184" t="str">
        <f>interFY_transition!U20</f>
        <v>Mar'27</v>
      </c>
    </row>
    <row r="46" spans="3:15">
      <c r="C46" s="184" t="str">
        <f>$A$2</f>
        <v>BE(kBOPD)</v>
      </c>
      <c r="D46" s="266">
        <f>Target_monthwise!D9</f>
        <v>329.77777777777777</v>
      </c>
      <c r="E46" s="266">
        <f>Target_monthwise!E9</f>
        <v>327.32285635511437</v>
      </c>
      <c r="F46" s="266">
        <f>Target_monthwise!F9</f>
        <v>329.77777777777777</v>
      </c>
      <c r="G46" s="266">
        <f>Target_monthwise!G9</f>
        <v>327.32285635511437</v>
      </c>
      <c r="H46" s="266">
        <f>Target_monthwise!H9</f>
        <v>327.32285635511437</v>
      </c>
      <c r="I46" s="266">
        <f>Target_monthwise!I9</f>
        <v>329.77777777777777</v>
      </c>
      <c r="J46" s="266">
        <f>Target_monthwise!J9</f>
        <v>319.13978494623655</v>
      </c>
      <c r="K46" s="266">
        <f>Target_monthwise!K9</f>
        <v>329.77777777777777</v>
      </c>
      <c r="L46" s="266">
        <f>Target_monthwise!L9</f>
        <v>327.32285635511437</v>
      </c>
      <c r="M46" s="266">
        <f>Target_monthwise!M9</f>
        <v>327.32285635511437</v>
      </c>
      <c r="N46" s="266">
        <f>Target_monthwise!N9</f>
        <v>326.15384615384608</v>
      </c>
      <c r="O46" s="266">
        <f>Target_monthwise!O9</f>
        <v>327.32285635511437</v>
      </c>
    </row>
    <row r="47" spans="3:15">
      <c r="C47" s="184" t="s">
        <v>29</v>
      </c>
      <c r="D47" s="266">
        <f>prod_compiled!D9/1000</f>
        <v>321.91663333333338</v>
      </c>
      <c r="E47" s="266">
        <f>prod_compiled!E9/1000</f>
        <v>318.39219354806448</v>
      </c>
      <c r="F47" s="266">
        <f>prod_compiled!F9/1000</f>
        <v>322.59596666833335</v>
      </c>
      <c r="G47" s="266">
        <f>prod_compiled!G9/1000</f>
        <v>323.38748387387091</v>
      </c>
      <c r="H47" s="266">
        <f>prod_compiled!H9/1000</f>
        <v>301.86641935483874</v>
      </c>
      <c r="I47" s="266">
        <f>prod_compiled!I9/1000</f>
        <v>0</v>
      </c>
      <c r="J47" s="266">
        <f>prod_compiled!J9/1000</f>
        <v>0</v>
      </c>
      <c r="K47" s="266">
        <f>prod_compiled!K9/1000</f>
        <v>0</v>
      </c>
      <c r="L47" s="266">
        <f>prod_compiled!L9/1000</f>
        <v>0</v>
      </c>
      <c r="M47" s="266">
        <f>prod_compiled!M9/1000</f>
        <v>0</v>
      </c>
      <c r="N47" s="266">
        <f>prod_compiled!N9/1000</f>
        <v>0</v>
      </c>
      <c r="O47" s="266">
        <f>prod_compiled!O9/1000</f>
        <v>0</v>
      </c>
    </row>
    <row r="57" spans="3:15" s="187" customFormat="1"/>
    <row r="59" spans="3:15">
      <c r="C59" s="184" t="s">
        <v>260</v>
      </c>
      <c r="D59" s="184" t="str">
        <f>interFY_transition!J20</f>
        <v>Apr'26</v>
      </c>
      <c r="E59" s="184" t="str">
        <f>interFY_transition!K20</f>
        <v>May'26</v>
      </c>
      <c r="F59" s="184" t="str">
        <f>interFY_transition!L20</f>
        <v>June'26</v>
      </c>
      <c r="G59" s="184" t="str">
        <f>interFY_transition!M20</f>
        <v>July'26</v>
      </c>
      <c r="H59" s="184" t="str">
        <f>interFY_transition!N20</f>
        <v>Aug'26</v>
      </c>
      <c r="I59" s="184" t="str">
        <f>interFY_transition!O20</f>
        <v>Sep'26</v>
      </c>
      <c r="J59" s="184" t="str">
        <f>interFY_transition!P20</f>
        <v>Oct'26</v>
      </c>
      <c r="K59" s="184" t="str">
        <f>interFY_transition!Q20</f>
        <v>Nov'26</v>
      </c>
      <c r="L59" s="184" t="str">
        <f>interFY_transition!R20</f>
        <v>Dec'26</v>
      </c>
      <c r="M59" s="184" t="str">
        <f>interFY_transition!S20</f>
        <v>Jan'27</v>
      </c>
      <c r="N59" s="184" t="str">
        <f>interFY_transition!T20</f>
        <v>Feb'27</v>
      </c>
      <c r="O59" s="184" t="str">
        <f>interFY_transition!U20</f>
        <v>Mar'27</v>
      </c>
    </row>
    <row r="60" spans="3:15">
      <c r="C60" s="184" t="str">
        <f>$A$2</f>
        <v>BE(kBOPD)</v>
      </c>
      <c r="D60" s="267">
        <f>Target_monthwise!D10</f>
        <v>23.826543209876544</v>
      </c>
      <c r="E60" s="267">
        <f>Target_monthwise!E10</f>
        <v>23.057945041816012</v>
      </c>
      <c r="F60" s="267">
        <f>Target_monthwise!F10</f>
        <v>23.826543209876544</v>
      </c>
      <c r="G60" s="267">
        <f>Target_monthwise!G10</f>
        <v>23.853046594982079</v>
      </c>
      <c r="H60" s="267">
        <f>Target_monthwise!H10</f>
        <v>23.057945041816012</v>
      </c>
      <c r="I60" s="267">
        <f>Target_monthwise!I10</f>
        <v>23.826543209876544</v>
      </c>
      <c r="J60" s="267">
        <f>Target_monthwise!J10</f>
        <v>23.853046594982079</v>
      </c>
      <c r="K60" s="267">
        <f>Target_monthwise!K10</f>
        <v>23.826543209876544</v>
      </c>
      <c r="L60" s="267">
        <f>Target_monthwise!L10</f>
        <v>23.853046594982079</v>
      </c>
      <c r="M60" s="267">
        <f>Target_monthwise!M10</f>
        <v>23.853046594982079</v>
      </c>
      <c r="N60" s="267">
        <f>Target_monthwise!N10</f>
        <v>23.767857142857139</v>
      </c>
      <c r="O60" s="267">
        <f>Target_monthwise!O10</f>
        <v>23.057945041816012</v>
      </c>
    </row>
    <row r="61" spans="3:15">
      <c r="C61" s="184" t="s">
        <v>29</v>
      </c>
      <c r="D61" s="267">
        <f>prod_compiled!D10/1000</f>
        <v>35.545783334333336</v>
      </c>
      <c r="E61" s="267">
        <f>prod_compiled!E10/1000</f>
        <v>28.023939678064519</v>
      </c>
      <c r="F61" s="267">
        <f>prod_compiled!F10/1000</f>
        <v>32.279925667666667</v>
      </c>
      <c r="G61" s="267">
        <f>prod_compiled!G10/1000</f>
        <v>26.900451613225808</v>
      </c>
      <c r="H61" s="267">
        <f>prod_compiled!H10/1000</f>
        <v>35.350548387096772</v>
      </c>
      <c r="I61" s="267">
        <f>prod_compiled!I10/1000</f>
        <v>0</v>
      </c>
      <c r="J61" s="267">
        <f>prod_compiled!J10/1000</f>
        <v>0</v>
      </c>
      <c r="K61" s="267">
        <f>prod_compiled!K10/1000</f>
        <v>0</v>
      </c>
      <c r="L61" s="267">
        <f>prod_compiled!L10/1000</f>
        <v>0</v>
      </c>
      <c r="M61" s="267">
        <f>prod_compiled!M10/1000</f>
        <v>0</v>
      </c>
      <c r="N61" s="267">
        <f>prod_compiled!N10/1000</f>
        <v>0</v>
      </c>
      <c r="O61" s="267">
        <f>prod_compiled!O10/1000</f>
        <v>0</v>
      </c>
    </row>
    <row r="71" spans="3:15" s="187" customFormat="1"/>
    <row r="73" spans="3:15">
      <c r="C73" s="184" t="s">
        <v>261</v>
      </c>
      <c r="D73" s="184" t="str">
        <f>interFY_transition!J20</f>
        <v>Apr'26</v>
      </c>
      <c r="E73" s="184" t="str">
        <f>interFY_transition!K20</f>
        <v>May'26</v>
      </c>
      <c r="F73" s="184" t="str">
        <f>interFY_transition!L20</f>
        <v>June'26</v>
      </c>
      <c r="G73" s="184" t="str">
        <f>interFY_transition!M20</f>
        <v>July'26</v>
      </c>
      <c r="H73" s="184" t="str">
        <f>interFY_transition!N20</f>
        <v>Aug'26</v>
      </c>
      <c r="I73" s="184" t="str">
        <f>interFY_transition!O20</f>
        <v>Sep'26</v>
      </c>
      <c r="J73" s="184" t="str">
        <f>interFY_transition!P20</f>
        <v>Oct'26</v>
      </c>
      <c r="K73" s="184" t="str">
        <f>interFY_transition!Q20</f>
        <v>Nov'26</v>
      </c>
      <c r="L73" s="184" t="str">
        <f>interFY_transition!R20</f>
        <v>Dec'26</v>
      </c>
      <c r="M73" s="184" t="str">
        <f>interFY_transition!S20</f>
        <v>Jan'27</v>
      </c>
      <c r="N73" s="184" t="str">
        <f>interFY_transition!T20</f>
        <v>Feb'27</v>
      </c>
      <c r="O73" s="184" t="str">
        <f>interFY_transition!U20</f>
        <v>Mar'27</v>
      </c>
    </row>
    <row r="74" spans="3:15">
      <c r="C74" s="184" t="str">
        <f>$A$2</f>
        <v>BE(kBOPD)</v>
      </c>
      <c r="D74" s="267">
        <f>Target_monthwise!D11</f>
        <v>5.4240000000000004</v>
      </c>
      <c r="E74" s="267">
        <f>Target_monthwise!E11</f>
        <v>5.2490322580645161</v>
      </c>
      <c r="F74" s="267">
        <f>Target_monthwise!F11</f>
        <v>5.4240000000000004</v>
      </c>
      <c r="G74" s="267">
        <f>Target_monthwise!G11</f>
        <v>5.6864516129032259</v>
      </c>
      <c r="H74" s="267">
        <f>Target_monthwise!H11</f>
        <v>5.6864516129032259</v>
      </c>
      <c r="I74" s="267">
        <f>Target_monthwise!I11</f>
        <v>5.4240000000000004</v>
      </c>
      <c r="J74" s="267">
        <f>Target_monthwise!J11</f>
        <v>5.2490322580645161</v>
      </c>
      <c r="K74" s="267">
        <f>Target_monthwise!K11</f>
        <v>5.4240000000000004</v>
      </c>
      <c r="L74" s="267">
        <f>Target_monthwise!L11</f>
        <v>5.6864516129032259</v>
      </c>
      <c r="M74" s="267">
        <f>Target_monthwise!M11</f>
        <v>5.6864516129032259</v>
      </c>
      <c r="N74" s="267">
        <f>Target_monthwise!N11</f>
        <v>5.3271428571428574</v>
      </c>
      <c r="O74" s="267">
        <f>Target_monthwise!O11</f>
        <v>5.2490322580645161</v>
      </c>
    </row>
    <row r="75" spans="3:15">
      <c r="C75" s="184" t="s">
        <v>29</v>
      </c>
      <c r="D75" s="267">
        <f>prod_compiled!D11/1000</f>
        <v>4.4825666663333337</v>
      </c>
      <c r="E75" s="267">
        <f>prod_compiled!E11/1000</f>
        <v>4.4497741938709678</v>
      </c>
      <c r="F75" s="267">
        <f>prod_compiled!F11/1000</f>
        <v>4.7953000000000001</v>
      </c>
      <c r="G75" s="267">
        <f>prod_compiled!G11/1000</f>
        <v>4.8724838709677414</v>
      </c>
      <c r="H75" s="267">
        <f>prod_compiled!H11/1000</f>
        <v>4.9768387096774198</v>
      </c>
      <c r="I75" s="267">
        <f>prod_compiled!I11/1000</f>
        <v>0</v>
      </c>
      <c r="J75" s="267">
        <f>prod_compiled!J11/1000</f>
        <v>0</v>
      </c>
      <c r="K75" s="267">
        <f>prod_compiled!K11/1000</f>
        <v>0</v>
      </c>
      <c r="L75" s="267">
        <f>prod_compiled!L11/1000</f>
        <v>0</v>
      </c>
      <c r="M75" s="267">
        <f>prod_compiled!M11/1000</f>
        <v>0</v>
      </c>
      <c r="N75" s="267">
        <f>prod_compiled!N11/1000</f>
        <v>0</v>
      </c>
      <c r="O75" s="267">
        <f>prod_compiled!O11/1000</f>
        <v>0</v>
      </c>
    </row>
    <row r="85" spans="3:15" s="187" customFormat="1"/>
    <row r="87" spans="3:15">
      <c r="C87" s="184" t="s">
        <v>262</v>
      </c>
      <c r="D87" s="184" t="str">
        <f>interFY_transition!J20</f>
        <v>Apr'26</v>
      </c>
      <c r="E87" s="184" t="str">
        <f>interFY_transition!K20</f>
        <v>May'26</v>
      </c>
      <c r="F87" s="184" t="str">
        <f>interFY_transition!L20</f>
        <v>June'26</v>
      </c>
      <c r="G87" s="184" t="str">
        <f>interFY_transition!M20</f>
        <v>July'26</v>
      </c>
      <c r="H87" s="184" t="str">
        <f>interFY_transition!N20</f>
        <v>Aug'26</v>
      </c>
      <c r="I87" s="184" t="str">
        <f>interFY_transition!O20</f>
        <v>Sep'26</v>
      </c>
      <c r="J87" s="184" t="str">
        <f>interFY_transition!P20</f>
        <v>Oct'26</v>
      </c>
      <c r="K87" s="184" t="str">
        <f>interFY_transition!Q20</f>
        <v>Nov'26</v>
      </c>
      <c r="L87" s="184" t="str">
        <f>interFY_transition!R20</f>
        <v>Dec'26</v>
      </c>
      <c r="M87" s="184" t="str">
        <f>interFY_transition!S20</f>
        <v>Jan'27</v>
      </c>
      <c r="N87" s="184" t="str">
        <f>interFY_transition!T20</f>
        <v>Feb'27</v>
      </c>
      <c r="O87" s="184" t="str">
        <f>interFY_transition!U20</f>
        <v>Mar'27</v>
      </c>
    </row>
    <row r="88" spans="3:15">
      <c r="C88" s="184" t="str">
        <f>$A$2</f>
        <v>BE(kBOPD)</v>
      </c>
      <c r="D88" s="267">
        <f>Target_monthwise!D12</f>
        <v>22.200000000000003</v>
      </c>
      <c r="E88" s="267">
        <f>Target_monthwise!E12</f>
        <v>22.16589861751152</v>
      </c>
      <c r="F88" s="267">
        <f>Target_monthwise!F12</f>
        <v>22.552380952380958</v>
      </c>
      <c r="G88" s="267">
        <f>Target_monthwise!G12</f>
        <v>22.16589861751152</v>
      </c>
      <c r="H88" s="267">
        <f>Target_monthwise!H12</f>
        <v>22.16589861751152</v>
      </c>
      <c r="I88" s="267">
        <f>Target_monthwise!I12</f>
        <v>22.552380952380958</v>
      </c>
      <c r="J88" s="267">
        <f>Target_monthwise!J12</f>
        <v>22.16589861751152</v>
      </c>
      <c r="K88" s="267">
        <f>Target_monthwise!K12</f>
        <v>22.200000000000003</v>
      </c>
      <c r="L88" s="267">
        <f>Target_monthwise!L12</f>
        <v>22.16589861751152</v>
      </c>
      <c r="M88" s="267">
        <f>Target_monthwise!M12</f>
        <v>22.16589861751152</v>
      </c>
      <c r="N88" s="267">
        <f>Target_monthwise!N12</f>
        <v>22.653061224489797</v>
      </c>
      <c r="O88" s="267">
        <f>Target_monthwise!O12</f>
        <v>22.506912442396317</v>
      </c>
    </row>
    <row r="89" spans="3:15">
      <c r="C89" s="184" t="s">
        <v>29</v>
      </c>
      <c r="D89" s="267">
        <f>prod_compiled!D12/1000</f>
        <v>18.270500001000002</v>
      </c>
      <c r="E89" s="267">
        <f>prod_compiled!E12/1000</f>
        <v>21.726806451612902</v>
      </c>
      <c r="F89" s="267">
        <f>prod_compiled!F12/1000</f>
        <v>21.278499999000001</v>
      </c>
      <c r="G89" s="267">
        <f>prod_compiled!G12/1000</f>
        <v>20.944516129677421</v>
      </c>
      <c r="H89" s="267">
        <f>prod_compiled!H12/1000</f>
        <v>21.588691290322583</v>
      </c>
      <c r="I89" s="267">
        <f>prod_compiled!I12/1000</f>
        <v>0</v>
      </c>
      <c r="J89" s="267">
        <f>prod_compiled!J12/1000</f>
        <v>0</v>
      </c>
      <c r="K89" s="267">
        <f>prod_compiled!K12/1000</f>
        <v>0</v>
      </c>
      <c r="L89" s="267">
        <f>prod_compiled!L12/1000</f>
        <v>0</v>
      </c>
      <c r="M89" s="267">
        <f>prod_compiled!M12/1000</f>
        <v>0</v>
      </c>
      <c r="N89" s="267">
        <f>prod_compiled!N12/1000</f>
        <v>0</v>
      </c>
      <c r="O89" s="267">
        <f>prod_compiled!O12/1000</f>
        <v>0</v>
      </c>
    </row>
    <row r="99" spans="3:15" s="187" customFormat="1"/>
    <row r="101" spans="3:15">
      <c r="C101" s="184" t="s">
        <v>263</v>
      </c>
      <c r="D101" s="184" t="str">
        <f>interFY_transition!J20</f>
        <v>Apr'26</v>
      </c>
      <c r="E101" s="184" t="str">
        <f>interFY_transition!K20</f>
        <v>May'26</v>
      </c>
      <c r="F101" s="184" t="str">
        <f>interFY_transition!L20</f>
        <v>June'26</v>
      </c>
      <c r="G101" s="184" t="str">
        <f>interFY_transition!M20</f>
        <v>July'26</v>
      </c>
      <c r="H101" s="184" t="str">
        <f>interFY_transition!N20</f>
        <v>Aug'26</v>
      </c>
      <c r="I101" s="184" t="str">
        <f>interFY_transition!O20</f>
        <v>Sep'26</v>
      </c>
      <c r="J101" s="184" t="str">
        <f>interFY_transition!P20</f>
        <v>Oct'26</v>
      </c>
      <c r="K101" s="184" t="str">
        <f>interFY_transition!Q20</f>
        <v>Nov'26</v>
      </c>
      <c r="L101" s="184" t="str">
        <f>interFY_transition!R20</f>
        <v>Dec'26</v>
      </c>
      <c r="M101" s="184" t="str">
        <f>interFY_transition!S20</f>
        <v>Jan'27</v>
      </c>
      <c r="N101" s="184" t="str">
        <f>interFY_transition!T20</f>
        <v>Feb'27</v>
      </c>
      <c r="O101" s="184" t="str">
        <f>interFY_transition!U20</f>
        <v>Mar'27</v>
      </c>
    </row>
    <row r="102" spans="3:15">
      <c r="C102" s="184" t="str">
        <f>$A$2</f>
        <v>BE(kBOPD)</v>
      </c>
      <c r="D102" s="267">
        <f>Target_monthwise!D13</f>
        <v>7.5636363636363635</v>
      </c>
      <c r="E102" s="267">
        <f>Target_monthwise!E13</f>
        <v>9.1495601173020535</v>
      </c>
      <c r="F102" s="267">
        <f>Target_monthwise!F13</f>
        <v>7.5636363636363635</v>
      </c>
      <c r="G102" s="267">
        <f>Target_monthwise!G13</f>
        <v>7.3196480938416411</v>
      </c>
      <c r="H102" s="267">
        <f>Target_monthwise!H13</f>
        <v>9.1495601173020535</v>
      </c>
      <c r="I102" s="267">
        <f>Target_monthwise!I13</f>
        <v>7.5636363636363635</v>
      </c>
      <c r="J102" s="267">
        <f>Target_monthwise!J13</f>
        <v>7.3196480938416411</v>
      </c>
      <c r="K102" s="267">
        <f>Target_monthwise!K13</f>
        <v>7.5636363636363635</v>
      </c>
      <c r="L102" s="267">
        <f>Target_monthwise!L13</f>
        <v>7.3196480938416411</v>
      </c>
      <c r="M102" s="267">
        <f>Target_monthwise!M13</f>
        <v>7.3196480938416411</v>
      </c>
      <c r="N102" s="267">
        <f>Target_monthwise!N13</f>
        <v>8.103896103896103</v>
      </c>
      <c r="O102" s="267">
        <f>Target_monthwise!O13</f>
        <v>7.3196480938416411</v>
      </c>
    </row>
    <row r="103" spans="3:15">
      <c r="C103" s="184" t="s">
        <v>29</v>
      </c>
      <c r="D103" s="267">
        <f>prod_compiled!D13/1000</f>
        <v>7.0230999993333336</v>
      </c>
      <c r="E103" s="267">
        <f>prod_compiled!E13/1000</f>
        <v>6.9520645158064518</v>
      </c>
      <c r="F103" s="267">
        <f>prod_compiled!F13/1000</f>
        <v>6.9692999993333329</v>
      </c>
      <c r="G103" s="267">
        <f>prod_compiled!G13/1000</f>
        <v>6.9548064516129031</v>
      </c>
      <c r="H103" s="267">
        <f>prod_compiled!H13/1000</f>
        <v>6.9134193548387097</v>
      </c>
      <c r="I103" s="267">
        <f>prod_compiled!I13/1000</f>
        <v>0</v>
      </c>
      <c r="J103" s="267">
        <f>prod_compiled!J13/1000</f>
        <v>0</v>
      </c>
      <c r="K103" s="267">
        <f>prod_compiled!K13/1000</f>
        <v>0</v>
      </c>
      <c r="L103" s="267">
        <f>prod_compiled!L13/1000</f>
        <v>0</v>
      </c>
      <c r="M103" s="267">
        <f>prod_compiled!M13/1000</f>
        <v>0</v>
      </c>
      <c r="N103" s="267">
        <f>prod_compiled!N13/1000</f>
        <v>0</v>
      </c>
      <c r="O103" s="267">
        <f>prod_compiled!O13/1000</f>
        <v>0</v>
      </c>
    </row>
    <row r="113" spans="3:15" s="187" customFormat="1"/>
    <row r="115" spans="3:15">
      <c r="C115" s="184" t="s">
        <v>264</v>
      </c>
      <c r="D115" s="184" t="str">
        <f>interFY_transition!J20</f>
        <v>Apr'26</v>
      </c>
      <c r="E115" s="184" t="str">
        <f>interFY_transition!K20</f>
        <v>May'26</v>
      </c>
      <c r="F115" s="184" t="str">
        <f>interFY_transition!L20</f>
        <v>June'26</v>
      </c>
      <c r="G115" s="184" t="str">
        <f>interFY_transition!M20</f>
        <v>July'26</v>
      </c>
      <c r="H115" s="184" t="str">
        <f>interFY_transition!N20</f>
        <v>Aug'26</v>
      </c>
      <c r="I115" s="184" t="str">
        <f>interFY_transition!O20</f>
        <v>Sep'26</v>
      </c>
      <c r="J115" s="184" t="str">
        <f>interFY_transition!P20</f>
        <v>Oct'26</v>
      </c>
      <c r="K115" s="184" t="str">
        <f>interFY_transition!Q20</f>
        <v>Nov'26</v>
      </c>
      <c r="L115" s="184" t="str">
        <f>interFY_transition!R20</f>
        <v>Dec'26</v>
      </c>
      <c r="M115" s="184" t="str">
        <f>interFY_transition!S20</f>
        <v>Jan'27</v>
      </c>
      <c r="N115" s="184" t="str">
        <f>interFY_transition!T20</f>
        <v>Feb'27</v>
      </c>
      <c r="O115" s="184" t="str">
        <f>interFY_transition!U20</f>
        <v>Mar'27</v>
      </c>
    </row>
    <row r="116" spans="3:15">
      <c r="C116" s="184" t="str">
        <f>$A$2</f>
        <v>BE(kBOPD)</v>
      </c>
      <c r="D116" s="267">
        <f>Target_monthwise!D14</f>
        <v>4.9274999999999993</v>
      </c>
      <c r="E116" s="267">
        <f>Target_monthwise!E14</f>
        <v>5.2983870967741922</v>
      </c>
      <c r="F116" s="267">
        <f>Target_monthwise!F14</f>
        <v>5.4749999999999996</v>
      </c>
      <c r="G116" s="267">
        <f>Target_monthwise!G14</f>
        <v>5.2983870967741922</v>
      </c>
      <c r="H116" s="267" t="e">
        <f>Target_monthwise!H14</f>
        <v>#VALUE!</v>
      </c>
      <c r="I116" s="267">
        <f>Target_monthwise!I14</f>
        <v>4.9274999999999993</v>
      </c>
      <c r="J116" s="267">
        <f>Target_monthwise!J14</f>
        <v>5.2983870967741922</v>
      </c>
      <c r="K116" s="267">
        <f>Target_monthwise!K14</f>
        <v>4.9274999999999993</v>
      </c>
      <c r="L116" s="267">
        <f>Target_monthwise!L14</f>
        <v>5.2983870967741922</v>
      </c>
      <c r="M116" s="267">
        <f>Target_monthwise!M14</f>
        <v>5.2983870967741922</v>
      </c>
      <c r="N116" s="267">
        <f>Target_monthwise!N14</f>
        <v>5.2794642857142842</v>
      </c>
      <c r="O116" s="267">
        <f>Target_monthwise!O14</f>
        <v>5.2983870967741922</v>
      </c>
    </row>
    <row r="117" spans="3:15">
      <c r="C117" s="184" t="s">
        <v>29</v>
      </c>
      <c r="D117" s="267">
        <f>prod_compiled!D14/1000</f>
        <v>4.3300000003333334</v>
      </c>
      <c r="E117" s="267">
        <f>prod_compiled!E14/1000</f>
        <v>5.3851612909677424</v>
      </c>
      <c r="F117" s="267">
        <f>prod_compiled!F14/1000</f>
        <v>5.6411333330000009</v>
      </c>
      <c r="G117" s="267">
        <f>prod_compiled!G14/1000</f>
        <v>5.7013870974193548</v>
      </c>
      <c r="H117" s="267">
        <f>prod_compiled!H14/1000</f>
        <v>5.7077419354838712</v>
      </c>
      <c r="I117" s="267">
        <f>prod_compiled!I14/1000</f>
        <v>0</v>
      </c>
      <c r="J117" s="267">
        <f>prod_compiled!J14/1000</f>
        <v>0</v>
      </c>
      <c r="K117" s="267">
        <f>prod_compiled!K14/1000</f>
        <v>0</v>
      </c>
      <c r="L117" s="267">
        <f>prod_compiled!L14/1000</f>
        <v>0</v>
      </c>
      <c r="M117" s="267">
        <f>prod_compiled!M14/1000</f>
        <v>0</v>
      </c>
      <c r="N117" s="267">
        <f>prod_compiled!N14/1000</f>
        <v>0</v>
      </c>
      <c r="O117" s="267">
        <f>prod_compiled!O14/1000</f>
        <v>0</v>
      </c>
    </row>
    <row r="127" spans="3:15" s="187" customFormat="1"/>
    <row r="129" spans="3:15">
      <c r="C129" s="184" t="s">
        <v>265</v>
      </c>
      <c r="D129" s="184" t="str">
        <f>interFY_transition!J20</f>
        <v>Apr'26</v>
      </c>
      <c r="E129" s="184" t="str">
        <f>interFY_transition!K20</f>
        <v>May'26</v>
      </c>
      <c r="F129" s="184" t="str">
        <f>interFY_transition!L20</f>
        <v>June'26</v>
      </c>
      <c r="G129" s="184" t="str">
        <f>interFY_transition!M20</f>
        <v>July'26</v>
      </c>
      <c r="H129" s="184" t="str">
        <f>interFY_transition!N20</f>
        <v>Aug'26</v>
      </c>
      <c r="I129" s="184" t="str">
        <f>interFY_transition!O20</f>
        <v>Sep'26</v>
      </c>
      <c r="J129" s="184" t="str">
        <f>interFY_transition!P20</f>
        <v>Oct'26</v>
      </c>
      <c r="K129" s="184" t="str">
        <f>interFY_transition!Q20</f>
        <v>Nov'26</v>
      </c>
      <c r="L129" s="184" t="str">
        <f>interFY_transition!R20</f>
        <v>Dec'26</v>
      </c>
      <c r="M129" s="184" t="str">
        <f>interFY_transition!S20</f>
        <v>Jan'27</v>
      </c>
      <c r="N129" s="184" t="str">
        <f>interFY_transition!T20</f>
        <v>Feb'27</v>
      </c>
      <c r="O129" s="184" t="str">
        <f>interFY_transition!U20</f>
        <v>Mar'27</v>
      </c>
    </row>
    <row r="130" spans="3:15">
      <c r="C130" s="184" t="str">
        <f>$A$2</f>
        <v>BE(kBOPD)</v>
      </c>
      <c r="D130" s="266">
        <f>Target_monthwise!D15</f>
        <v>431.80000000000007</v>
      </c>
      <c r="E130" s="266">
        <f>Target_monthwise!E15</f>
        <v>430.16129032258067</v>
      </c>
      <c r="F130" s="266">
        <f>Target_monthwise!F15</f>
        <v>431.80000000000007</v>
      </c>
      <c r="G130" s="266">
        <f>Target_monthwise!G15</f>
        <v>430.16129032258067</v>
      </c>
      <c r="H130" s="266">
        <f>Target_monthwise!H15</f>
        <v>430.16129032258067</v>
      </c>
      <c r="I130" s="266">
        <f>Target_monthwise!I15</f>
        <v>431.80000000000007</v>
      </c>
      <c r="J130" s="266">
        <f>Target_monthwise!J15</f>
        <v>430.16129032258067</v>
      </c>
      <c r="K130" s="266">
        <f>Target_monthwise!K15</f>
        <v>431.80000000000007</v>
      </c>
      <c r="L130" s="266">
        <f>Target_monthwise!L15</f>
        <v>430.16129032258067</v>
      </c>
      <c r="M130" s="266">
        <f>Target_monthwise!M15</f>
        <v>430.16129032258067</v>
      </c>
      <c r="N130" s="266">
        <f>Target_monthwise!N15</f>
        <v>435.42857142857144</v>
      </c>
      <c r="O130" s="266">
        <f>Target_monthwise!O15</f>
        <v>430.16129032258067</v>
      </c>
    </row>
    <row r="131" spans="3:15">
      <c r="C131" s="184" t="s">
        <v>29</v>
      </c>
      <c r="D131" s="266">
        <f>prod_compiled!D15/1000</f>
        <v>240.53903333333332</v>
      </c>
      <c r="E131" s="266">
        <f>prod_compiled!E15/1000</f>
        <v>270.01238709645168</v>
      </c>
      <c r="F131" s="266">
        <f>prod_compiled!F15/1000</f>
        <v>426.92896666666667</v>
      </c>
      <c r="G131" s="266">
        <f>prod_compiled!G15/1000</f>
        <v>330.22616128967741</v>
      </c>
      <c r="H131" s="266">
        <f>prod_compiled!H15/1000</f>
        <v>431.15499999999997</v>
      </c>
      <c r="I131" s="266">
        <f>prod_compiled!I15/1000</f>
        <v>0</v>
      </c>
      <c r="J131" s="266">
        <f>prod_compiled!J15/1000</f>
        <v>0</v>
      </c>
      <c r="K131" s="266">
        <f>prod_compiled!K15/1000</f>
        <v>0</v>
      </c>
      <c r="L131" s="266">
        <f>prod_compiled!L15/1000</f>
        <v>0</v>
      </c>
      <c r="M131" s="266">
        <f>prod_compiled!M15/1000</f>
        <v>0</v>
      </c>
      <c r="N131" s="266">
        <f>prod_compiled!N15/1000</f>
        <v>0</v>
      </c>
      <c r="O131" s="266">
        <f>prod_compiled!O15/1000</f>
        <v>0</v>
      </c>
    </row>
    <row r="141" spans="3:15" s="187" customFormat="1"/>
    <row r="143" spans="3:15">
      <c r="C143" s="184" t="s">
        <v>266</v>
      </c>
      <c r="D143" s="184" t="str">
        <f>interFY_transition!J20</f>
        <v>Apr'26</v>
      </c>
      <c r="E143" s="184" t="str">
        <f>interFY_transition!K20</f>
        <v>May'26</v>
      </c>
      <c r="F143" s="184" t="str">
        <f>interFY_transition!L20</f>
        <v>June'26</v>
      </c>
      <c r="G143" s="184" t="str">
        <f>interFY_transition!M20</f>
        <v>July'26</v>
      </c>
      <c r="H143" s="184" t="str">
        <f>interFY_transition!N20</f>
        <v>Aug'26</v>
      </c>
      <c r="I143" s="184" t="str">
        <f>interFY_transition!O20</f>
        <v>Sep'26</v>
      </c>
      <c r="J143" s="184" t="str">
        <f>interFY_transition!P20</f>
        <v>Oct'26</v>
      </c>
      <c r="K143" s="184" t="str">
        <f>interFY_transition!Q20</f>
        <v>Nov'26</v>
      </c>
      <c r="L143" s="184" t="str">
        <f>interFY_transition!R20</f>
        <v>Dec'26</v>
      </c>
      <c r="M143" s="184" t="str">
        <f>interFY_transition!S20</f>
        <v>Jan'27</v>
      </c>
      <c r="N143" s="184" t="str">
        <f>interFY_transition!T20</f>
        <v>Feb'27</v>
      </c>
      <c r="O143" s="184" t="str">
        <f>interFY_transition!U20</f>
        <v>Mar'27</v>
      </c>
    </row>
    <row r="144" spans="3:15">
      <c r="C144" s="184" t="str">
        <f>$A$2</f>
        <v>BE(kBOPD)</v>
      </c>
      <c r="D144" s="267">
        <f>Target_monthwise!D16</f>
        <v>52.56</v>
      </c>
      <c r="E144" s="267">
        <f>Target_monthwise!E16</f>
        <v>52.748387096774188</v>
      </c>
      <c r="F144" s="267">
        <f>Target_monthwise!F16</f>
        <v>52.56</v>
      </c>
      <c r="G144" s="267">
        <f>Target_monthwise!G16</f>
        <v>51.806451612903231</v>
      </c>
      <c r="H144" s="267">
        <f>Target_monthwise!H16</f>
        <v>52.748387096774188</v>
      </c>
      <c r="I144" s="267">
        <f>Target_monthwise!I16</f>
        <v>52.56</v>
      </c>
      <c r="J144" s="267">
        <f>Target_monthwise!J16</f>
        <v>52.748387096774188</v>
      </c>
      <c r="K144" s="267">
        <f>Target_monthwise!K16</f>
        <v>52.56</v>
      </c>
      <c r="L144" s="267">
        <f>Target_monthwise!L16</f>
        <v>52.748387096774188</v>
      </c>
      <c r="M144" s="267">
        <f>Target_monthwise!M16</f>
        <v>50.86451612903226</v>
      </c>
      <c r="N144" s="267">
        <f>Target_monthwise!N16</f>
        <v>52.142857142857139</v>
      </c>
      <c r="O144" s="267">
        <f>Target_monthwise!O16</f>
        <v>52.748387096774188</v>
      </c>
    </row>
    <row r="145" spans="3:15">
      <c r="C145" s="184" t="s">
        <v>29</v>
      </c>
      <c r="D145" s="267">
        <f>prod_compiled!D16/1000</f>
        <v>53.730633333</v>
      </c>
      <c r="E145" s="267">
        <f>prod_compiled!E16/1000</f>
        <v>53.451677419032251</v>
      </c>
      <c r="F145" s="267">
        <f>prod_compiled!F16/1000</f>
        <v>50.960200000999997</v>
      </c>
      <c r="G145" s="267">
        <f>prod_compiled!G16/1000</f>
        <v>55.934419356129041</v>
      </c>
      <c r="H145" s="267">
        <f>prod_compiled!H16/1000</f>
        <v>54.08593193548387</v>
      </c>
      <c r="I145" s="267">
        <f>prod_compiled!I16/1000</f>
        <v>0</v>
      </c>
      <c r="J145" s="267">
        <f>prod_compiled!J16/1000</f>
        <v>0</v>
      </c>
      <c r="K145" s="267">
        <f>prod_compiled!K16/1000</f>
        <v>0</v>
      </c>
      <c r="L145" s="267">
        <f>prod_compiled!L16/1000</f>
        <v>0</v>
      </c>
      <c r="M145" s="267">
        <f>prod_compiled!M16/1000</f>
        <v>0</v>
      </c>
      <c r="N145" s="267">
        <f>prod_compiled!N16/1000</f>
        <v>0</v>
      </c>
      <c r="O145" s="267">
        <f>prod_compiled!O16/1000</f>
        <v>0</v>
      </c>
    </row>
    <row r="155" spans="3:15" s="187" customFormat="1"/>
    <row r="157" spans="3:15">
      <c r="C157" s="184" t="s">
        <v>267</v>
      </c>
      <c r="D157" s="184" t="str">
        <f>interFY_transition!J20</f>
        <v>Apr'26</v>
      </c>
      <c r="E157" s="184" t="str">
        <f>interFY_transition!K20</f>
        <v>May'26</v>
      </c>
      <c r="F157" s="184" t="str">
        <f>interFY_transition!L20</f>
        <v>June'26</v>
      </c>
      <c r="G157" s="184" t="str">
        <f>interFY_transition!M20</f>
        <v>July'26</v>
      </c>
      <c r="H157" s="184" t="str">
        <f>interFY_transition!N20</f>
        <v>Aug'26</v>
      </c>
      <c r="I157" s="184" t="str">
        <f>interFY_transition!O20</f>
        <v>Sep'26</v>
      </c>
      <c r="J157" s="184" t="str">
        <f>interFY_transition!P20</f>
        <v>Oct'26</v>
      </c>
      <c r="K157" s="184" t="str">
        <f>interFY_transition!Q20</f>
        <v>Nov'26</v>
      </c>
      <c r="L157" s="184" t="str">
        <f>interFY_transition!R20</f>
        <v>Dec'26</v>
      </c>
      <c r="M157" s="184" t="str">
        <f>interFY_transition!S20</f>
        <v>Jan'27</v>
      </c>
      <c r="N157" s="184" t="str">
        <f>interFY_transition!T20</f>
        <v>Feb'27</v>
      </c>
      <c r="O157" s="184" t="str">
        <f>interFY_transition!U20</f>
        <v>Mar'27</v>
      </c>
    </row>
    <row r="158" spans="3:15">
      <c r="C158" s="184" t="str">
        <f>$A$2</f>
        <v>BE(kBOPD)</v>
      </c>
      <c r="D158" s="267">
        <f>Target_monthwise!D17</f>
        <v>13.153713298791022</v>
      </c>
      <c r="E158" s="267">
        <f>Target_monthwise!E17</f>
        <v>12.729399966571956</v>
      </c>
      <c r="F158" s="267">
        <f>Target_monthwise!F17</f>
        <v>13.153713298791022</v>
      </c>
      <c r="G158" s="267">
        <f>Target_monthwise!G17</f>
        <v>13.638642821327092</v>
      </c>
      <c r="H158" s="267">
        <f>Target_monthwise!H17</f>
        <v>12.729399966571956</v>
      </c>
      <c r="I158" s="267">
        <f>Target_monthwise!I17</f>
        <v>13.153713298791022</v>
      </c>
      <c r="J158" s="267">
        <f>Target_monthwise!J17</f>
        <v>13.638642821327092</v>
      </c>
      <c r="K158" s="267">
        <f>Target_monthwise!K17</f>
        <v>13.153713298791022</v>
      </c>
      <c r="L158" s="267">
        <f>Target_monthwise!L17</f>
        <v>13.638642821327092</v>
      </c>
      <c r="M158" s="267">
        <f>Target_monthwise!M17</f>
        <v>12.729399966571956</v>
      </c>
      <c r="N158" s="267">
        <f>Target_monthwise!N17</f>
        <v>13.086602516654329</v>
      </c>
      <c r="O158" s="267">
        <f>Target_monthwise!O17</f>
        <v>12.729399966571956</v>
      </c>
    </row>
    <row r="159" spans="3:15">
      <c r="C159" s="184" t="s">
        <v>29</v>
      </c>
      <c r="D159" s="267">
        <f>prod_compiled!D17/1000</f>
        <v>13.140733333</v>
      </c>
      <c r="E159" s="267">
        <f>prod_compiled!E17/1000</f>
        <v>12.289032258387097</v>
      </c>
      <c r="F159" s="267">
        <f>prod_compiled!F17/1000</f>
        <v>12.269733333999998</v>
      </c>
      <c r="G159" s="267">
        <f>prod_compiled!G17/1000</f>
        <v>11.924967742580645</v>
      </c>
      <c r="H159" s="267">
        <f>prod_compiled!H17/1000</f>
        <v>12.320806451612903</v>
      </c>
      <c r="I159" s="267">
        <f>prod_compiled!I17/1000</f>
        <v>0</v>
      </c>
      <c r="J159" s="267">
        <f>prod_compiled!J17/1000</f>
        <v>0</v>
      </c>
      <c r="K159" s="267">
        <f>prod_compiled!K17/1000</f>
        <v>0</v>
      </c>
      <c r="L159" s="267">
        <f>prod_compiled!L17/1000</f>
        <v>0</v>
      </c>
      <c r="M159" s="267">
        <f>prod_compiled!M17/1000</f>
        <v>0</v>
      </c>
      <c r="N159" s="267">
        <f>prod_compiled!N17/1000</f>
        <v>0</v>
      </c>
      <c r="O159" s="267">
        <f>prod_compiled!O17/1000</f>
        <v>0</v>
      </c>
    </row>
    <row r="169" spans="3:15" s="187" customFormat="1"/>
    <row r="171" spans="3:15">
      <c r="C171" s="184" t="s">
        <v>268</v>
      </c>
      <c r="D171" s="184" t="str">
        <f>interFY_transition!J20</f>
        <v>Apr'26</v>
      </c>
      <c r="E171" s="184" t="str">
        <f>interFY_transition!K20</f>
        <v>May'26</v>
      </c>
      <c r="F171" s="184" t="str">
        <f>interFY_transition!L20</f>
        <v>June'26</v>
      </c>
      <c r="G171" s="184" t="str">
        <f>interFY_transition!M20</f>
        <v>July'26</v>
      </c>
      <c r="H171" s="184" t="str">
        <f>interFY_transition!N20</f>
        <v>Aug'26</v>
      </c>
      <c r="I171" s="184" t="str">
        <f>interFY_transition!O20</f>
        <v>Sep'26</v>
      </c>
      <c r="J171" s="184" t="str">
        <f>interFY_transition!P20</f>
        <v>Oct'26</v>
      </c>
      <c r="K171" s="184" t="str">
        <f>interFY_transition!Q20</f>
        <v>Nov'26</v>
      </c>
      <c r="L171" s="184" t="str">
        <f>interFY_transition!R20</f>
        <v>Dec'26</v>
      </c>
      <c r="M171" s="184" t="str">
        <f>interFY_transition!S20</f>
        <v>Jan'27</v>
      </c>
      <c r="N171" s="184" t="str">
        <f>interFY_transition!T20</f>
        <v>Feb'27</v>
      </c>
      <c r="O171" s="184" t="str">
        <f>interFY_transition!U20</f>
        <v>Mar'27</v>
      </c>
    </row>
    <row r="172" spans="3:15">
      <c r="C172" s="184" t="str">
        <f>$A$2</f>
        <v>BE(kBOPD)</v>
      </c>
      <c r="D172" s="267">
        <f>Target_monthwise!D18</f>
        <v>0</v>
      </c>
      <c r="E172" s="267">
        <f>Target_monthwise!E18</f>
        <v>0</v>
      </c>
      <c r="F172" s="267">
        <f>Target_monthwise!F18</f>
        <v>0</v>
      </c>
      <c r="G172" s="267">
        <f>Target_monthwise!G18</f>
        <v>0</v>
      </c>
      <c r="H172" s="267">
        <f>Target_monthwise!H18</f>
        <v>0</v>
      </c>
      <c r="I172" s="267">
        <f>Target_monthwise!I18</f>
        <v>0</v>
      </c>
      <c r="J172" s="267">
        <f>Target_monthwise!J18</f>
        <v>0</v>
      </c>
      <c r="K172" s="267">
        <f>Target_monthwise!K18</f>
        <v>0</v>
      </c>
      <c r="L172" s="267">
        <f>Target_monthwise!L18</f>
        <v>0</v>
      </c>
      <c r="M172" s="267">
        <f>Target_monthwise!M18</f>
        <v>0</v>
      </c>
      <c r="N172" s="267">
        <f>Target_monthwise!N18</f>
        <v>0</v>
      </c>
      <c r="O172" s="267">
        <f>Target_monthwise!O18</f>
        <v>0</v>
      </c>
    </row>
    <row r="173" spans="3:15">
      <c r="C173" s="184" t="s">
        <v>29</v>
      </c>
      <c r="D173" s="267">
        <f>prod_compiled!D18/1000</f>
        <v>0</v>
      </c>
      <c r="E173" s="267">
        <f>prod_compiled!E18/1000</f>
        <v>0</v>
      </c>
      <c r="F173" s="267">
        <f>prod_compiled!F18/1000</f>
        <v>0</v>
      </c>
      <c r="G173" s="267">
        <f>prod_compiled!G18/1000</f>
        <v>0</v>
      </c>
      <c r="H173" s="267">
        <f>prod_compiled!H18/1000</f>
        <v>0</v>
      </c>
      <c r="I173" s="267">
        <f>prod_compiled!I18/1000</f>
        <v>0</v>
      </c>
      <c r="J173" s="267">
        <f>prod_compiled!J18/1000</f>
        <v>0</v>
      </c>
      <c r="K173" s="267">
        <f>prod_compiled!K18/1000</f>
        <v>0</v>
      </c>
      <c r="L173" s="267">
        <f>prod_compiled!L18/1000</f>
        <v>0</v>
      </c>
      <c r="M173" s="267">
        <f>prod_compiled!M18/1000</f>
        <v>0</v>
      </c>
      <c r="N173" s="267">
        <f>prod_compiled!N18/1000</f>
        <v>0</v>
      </c>
      <c r="O173" s="267">
        <f>prod_compiled!O18/1000</f>
        <v>0</v>
      </c>
    </row>
    <row r="190" spans="3:15" hidden="1"/>
    <row r="191" spans="3:15" hidden="1"/>
    <row r="192" spans="3:15" hidden="1">
      <c r="C192" s="184" t="s">
        <v>269</v>
      </c>
      <c r="D192" s="184" t="str">
        <f>interFY_transition!J20</f>
        <v>Apr'26</v>
      </c>
      <c r="E192" s="184" t="str">
        <f>interFY_transition!K20</f>
        <v>May'26</v>
      </c>
      <c r="F192" s="184" t="str">
        <f>interFY_transition!L20</f>
        <v>June'26</v>
      </c>
      <c r="G192" s="184" t="str">
        <f>interFY_transition!M20</f>
        <v>July'26</v>
      </c>
      <c r="H192" s="184" t="str">
        <f>interFY_transition!N20</f>
        <v>Aug'26</v>
      </c>
      <c r="I192" s="184" t="str">
        <f>interFY_transition!O20</f>
        <v>Sep'26</v>
      </c>
      <c r="J192" s="184" t="str">
        <f>interFY_transition!P20</f>
        <v>Oct'26</v>
      </c>
      <c r="K192" s="184" t="str">
        <f>interFY_transition!Q20</f>
        <v>Nov'26</v>
      </c>
      <c r="L192" s="184" t="str">
        <f>interFY_transition!R20</f>
        <v>Dec'26</v>
      </c>
      <c r="M192" s="184" t="str">
        <f>interFY_transition!S20</f>
        <v>Jan'27</v>
      </c>
      <c r="N192" s="184" t="str">
        <f>interFY_transition!T20</f>
        <v>Feb'27</v>
      </c>
      <c r="O192" s="184" t="str">
        <f>interFY_transition!U20</f>
        <v>Mar'27</v>
      </c>
    </row>
    <row r="193" spans="3:15" hidden="1">
      <c r="C193" s="184" t="str">
        <f>$A$2</f>
        <v>BE(kBOPD)</v>
      </c>
      <c r="D193" s="266">
        <f>Target_monthwise!D19</f>
        <v>0</v>
      </c>
      <c r="E193" s="266">
        <f>Target_monthwise!E19</f>
        <v>0</v>
      </c>
      <c r="F193" s="266">
        <f>Target_monthwise!F19</f>
        <v>0</v>
      </c>
      <c r="G193" s="266">
        <f>Target_monthwise!G19</f>
        <v>0</v>
      </c>
      <c r="H193" s="266">
        <f>Target_monthwise!H19</f>
        <v>0</v>
      </c>
      <c r="I193" s="266">
        <f>Target_monthwise!I19</f>
        <v>0</v>
      </c>
      <c r="J193" s="266">
        <f>Target_monthwise!J19</f>
        <v>0</v>
      </c>
      <c r="K193" s="266">
        <f>Target_monthwise!K19</f>
        <v>0</v>
      </c>
      <c r="L193" s="266">
        <f>Target_monthwise!L19</f>
        <v>0</v>
      </c>
      <c r="M193" s="266">
        <f>Target_monthwise!M19</f>
        <v>0</v>
      </c>
      <c r="N193" s="266">
        <f>Target_monthwise!N19</f>
        <v>0</v>
      </c>
      <c r="O193" s="266">
        <f>Target_monthwise!O19</f>
        <v>0</v>
      </c>
    </row>
    <row r="194" spans="3:15" hidden="1">
      <c r="C194" s="184" t="s">
        <v>29</v>
      </c>
      <c r="D194" s="266">
        <f>prod_compiled!D19/1000</f>
        <v>0</v>
      </c>
      <c r="E194" s="266">
        <f>prod_compiled!E19/1000</f>
        <v>0</v>
      </c>
      <c r="F194" s="266">
        <f>prod_compiled!F19/1000</f>
        <v>0</v>
      </c>
      <c r="G194" s="266">
        <f>prod_compiled!G19/1000</f>
        <v>0</v>
      </c>
      <c r="H194" s="266">
        <f>prod_compiled!H19/1000</f>
        <v>0</v>
      </c>
      <c r="I194" s="266">
        <f>prod_compiled!I19/1000</f>
        <v>0</v>
      </c>
      <c r="J194" s="266">
        <f>prod_compiled!J19/1000</f>
        <v>0</v>
      </c>
      <c r="K194" s="266">
        <f>prod_compiled!K19/1000</f>
        <v>0</v>
      </c>
      <c r="L194" s="266">
        <f>prod_compiled!L19/1000</f>
        <v>0</v>
      </c>
      <c r="M194" s="266">
        <f>prod_compiled!M19/1000</f>
        <v>0</v>
      </c>
      <c r="N194" s="266">
        <f>prod_compiled!N19/1000</f>
        <v>0</v>
      </c>
      <c r="O194" s="266">
        <f>prod_compiled!O19/1000</f>
        <v>0</v>
      </c>
    </row>
    <row r="195" spans="3:15" hidden="1"/>
    <row r="196" spans="3:15" hidden="1"/>
    <row r="197" spans="3:15" hidden="1"/>
    <row r="198" spans="3:15" s="268" customFormat="1"/>
    <row r="200" spans="3:15">
      <c r="C200" s="184" t="s">
        <v>213</v>
      </c>
      <c r="D200" s="184" t="str">
        <f>interFY_transition!J20</f>
        <v>Apr'26</v>
      </c>
      <c r="E200" s="184" t="str">
        <f>interFY_transition!K20</f>
        <v>May'26</v>
      </c>
      <c r="F200" s="184" t="str">
        <f>interFY_transition!L20</f>
        <v>June'26</v>
      </c>
      <c r="G200" s="184" t="str">
        <f>interFY_transition!M20</f>
        <v>July'26</v>
      </c>
      <c r="H200" s="184" t="str">
        <f>interFY_transition!N20</f>
        <v>Aug'26</v>
      </c>
      <c r="I200" s="184" t="str">
        <f>interFY_transition!O20</f>
        <v>Sep'26</v>
      </c>
      <c r="J200" s="184" t="str">
        <f>interFY_transition!P20</f>
        <v>Oct'26</v>
      </c>
      <c r="K200" s="184" t="str">
        <f>interFY_transition!Q20</f>
        <v>Nov'26</v>
      </c>
      <c r="L200" s="184" t="str">
        <f>interFY_transition!R20</f>
        <v>Dec'26</v>
      </c>
      <c r="M200" s="184" t="str">
        <f>interFY_transition!S20</f>
        <v>Jan'27</v>
      </c>
      <c r="N200" s="184" t="str">
        <f>interFY_transition!T20</f>
        <v>Feb'27</v>
      </c>
      <c r="O200" s="184" t="str">
        <f>interFY_transition!U20</f>
        <v>Mar'27</v>
      </c>
    </row>
    <row r="201" spans="3:15">
      <c r="C201" s="184" t="str">
        <f>A213</f>
        <v>BE(mmscmd)</v>
      </c>
      <c r="D201" s="266">
        <f>Target_monthwise!D26</f>
        <v>8.1666666666666661</v>
      </c>
      <c r="E201" s="266">
        <f>Target_monthwise!E26</f>
        <v>8.064516129032258</v>
      </c>
      <c r="F201" s="266">
        <f>Target_monthwise!F26</f>
        <v>8</v>
      </c>
      <c r="G201" s="266">
        <f>Target_monthwise!G26</f>
        <v>8.2258064516129004</v>
      </c>
      <c r="H201" s="266">
        <f>Target_monthwise!H26</f>
        <v>8.064516129032258</v>
      </c>
      <c r="I201" s="266">
        <f>Target_monthwise!I26</f>
        <v>8.1666666666666661</v>
      </c>
      <c r="J201" s="266">
        <f>Target_monthwise!J26</f>
        <v>8.3870967741935463</v>
      </c>
      <c r="K201" s="266">
        <f>Target_monthwise!K26</f>
        <v>8.8333333333333321</v>
      </c>
      <c r="L201" s="266">
        <f>Target_monthwise!L26</f>
        <v>8.7096774193548363</v>
      </c>
      <c r="M201" s="266">
        <f>Target_monthwise!M26</f>
        <v>9.0322580645161263</v>
      </c>
      <c r="N201" s="266">
        <f>Target_monthwise!N26</f>
        <v>9.1071428571428541</v>
      </c>
      <c r="O201" s="266">
        <f>Target_monthwise!O26</f>
        <v>9.0322580645161263</v>
      </c>
    </row>
    <row r="202" spans="3:15">
      <c r="C202" s="184" t="s">
        <v>29</v>
      </c>
      <c r="D202" s="266">
        <f>prod_compiled!D23</f>
        <v>9.7017673333333327</v>
      </c>
      <c r="E202" s="266">
        <f>prod_compiled!E23</f>
        <v>8.3419374193548386</v>
      </c>
      <c r="F202" s="266">
        <f>prod_compiled!F23</f>
        <v>7.6709000000000005</v>
      </c>
      <c r="G202" s="266">
        <f>prod_compiled!G23</f>
        <v>7.3924512903225805</v>
      </c>
      <c r="H202" s="266">
        <f>prod_compiled!H23</f>
        <v>6.9239309443193591</v>
      </c>
      <c r="I202" s="266">
        <f>prod_compiled!I23</f>
        <v>0</v>
      </c>
      <c r="J202" s="266">
        <f>prod_compiled!J23</f>
        <v>0</v>
      </c>
      <c r="K202" s="266">
        <f>prod_compiled!K23</f>
        <v>0</v>
      </c>
      <c r="L202" s="266">
        <f>prod_compiled!L23</f>
        <v>0</v>
      </c>
      <c r="M202" s="266">
        <f>prod_compiled!M23</f>
        <v>0</v>
      </c>
      <c r="N202" s="266">
        <f>prod_compiled!N23</f>
        <v>0</v>
      </c>
      <c r="O202" s="266">
        <f>prod_compiled!O23</f>
        <v>0</v>
      </c>
    </row>
    <row r="212" spans="1:15" s="187" customFormat="1"/>
    <row r="213" spans="1:15">
      <c r="A213" s="286" t="str">
        <f>CONCATENATE(A1,B213)</f>
        <v>BE(mmscmd)</v>
      </c>
      <c r="B213" t="s">
        <v>301</v>
      </c>
    </row>
    <row r="214" spans="1:15">
      <c r="C214" s="184" t="s">
        <v>214</v>
      </c>
      <c r="D214" s="184" t="str">
        <f>interFY_transition!J$20</f>
        <v>Apr'26</v>
      </c>
      <c r="E214" s="184" t="str">
        <f>interFY_transition!K$20</f>
        <v>May'26</v>
      </c>
      <c r="F214" s="184" t="str">
        <f>interFY_transition!L$20</f>
        <v>June'26</v>
      </c>
      <c r="G214" s="184" t="str">
        <f>interFY_transition!M$20</f>
        <v>July'26</v>
      </c>
      <c r="H214" s="184" t="str">
        <f>interFY_transition!N$20</f>
        <v>Aug'26</v>
      </c>
      <c r="I214" s="184" t="str">
        <f>interFY_transition!O$20</f>
        <v>Sep'26</v>
      </c>
      <c r="J214" s="184" t="str">
        <f>interFY_transition!P$20</f>
        <v>Oct'26</v>
      </c>
      <c r="K214" s="184" t="str">
        <f>interFY_transition!Q$20</f>
        <v>Nov'26</v>
      </c>
      <c r="L214" s="184" t="str">
        <f>interFY_transition!R$20</f>
        <v>Dec'26</v>
      </c>
      <c r="M214" s="184" t="str">
        <f>interFY_transition!S$20</f>
        <v>Jan'27</v>
      </c>
      <c r="N214" s="184" t="str">
        <f>interFY_transition!T$20</f>
        <v>Feb'27</v>
      </c>
      <c r="O214" s="184" t="str">
        <f>interFY_transition!U$20</f>
        <v>Mar'27</v>
      </c>
    </row>
    <row r="215" spans="1:15">
      <c r="C215" s="184" t="str">
        <f>$A$213</f>
        <v>BE(mmscmd)</v>
      </c>
      <c r="D215" s="266">
        <f>Target_monthwise!D27</f>
        <v>8.4615384615384617</v>
      </c>
      <c r="E215" s="266">
        <f>Target_monthwise!E27</f>
        <v>8.4367245657568244</v>
      </c>
      <c r="F215" s="266">
        <f>Target_monthwise!F27</f>
        <v>8.4615384615384617</v>
      </c>
      <c r="G215" s="266">
        <f>Target_monthwise!G27</f>
        <v>8.4367245657568244</v>
      </c>
      <c r="H215" s="266">
        <f>Target_monthwise!H27</f>
        <v>8.4367245657568244</v>
      </c>
      <c r="I215" s="266">
        <f>Target_monthwise!I27</f>
        <v>8.4615384615384617</v>
      </c>
      <c r="J215" s="266">
        <f>Target_monthwise!J27</f>
        <v>8.4299262381454163</v>
      </c>
      <c r="K215" s="266">
        <f>Target_monthwise!K27</f>
        <v>8.4615384615384617</v>
      </c>
      <c r="L215" s="266">
        <f>Target_monthwise!L27</f>
        <v>8.4367245657568244</v>
      </c>
      <c r="M215" s="266">
        <f>Target_monthwise!M27</f>
        <v>8.4367245657568244</v>
      </c>
      <c r="N215" s="266">
        <f>Target_monthwise!N27</f>
        <v>8.2417582417582409</v>
      </c>
      <c r="O215" s="266">
        <f>Target_monthwise!O27</f>
        <v>8.4367245657568244</v>
      </c>
    </row>
    <row r="216" spans="1:15">
      <c r="C216" s="184" t="s">
        <v>29</v>
      </c>
      <c r="D216" s="266">
        <f>prod_compiled!D24</f>
        <v>9.9731976666666657</v>
      </c>
      <c r="E216" s="266">
        <f>prod_compiled!E24</f>
        <v>9.9403735483870967</v>
      </c>
      <c r="F216" s="266">
        <f>prod_compiled!F24</f>
        <v>9.7900666666666663</v>
      </c>
      <c r="G216" s="266">
        <f>prod_compiled!G24</f>
        <v>8.8381954838709671</v>
      </c>
      <c r="H216" s="266">
        <f>prod_compiled!H24</f>
        <v>10.128309225806449</v>
      </c>
      <c r="I216" s="266">
        <f>prod_compiled!I24</f>
        <v>0</v>
      </c>
      <c r="J216" s="266">
        <f>prod_compiled!J24</f>
        <v>0</v>
      </c>
      <c r="K216" s="266">
        <f>prod_compiled!K24</f>
        <v>0</v>
      </c>
      <c r="L216" s="266">
        <f>prod_compiled!L24</f>
        <v>0</v>
      </c>
      <c r="M216" s="266">
        <f>prod_compiled!M24</f>
        <v>0</v>
      </c>
      <c r="N216" s="266">
        <f>prod_compiled!N24</f>
        <v>0</v>
      </c>
      <c r="O216" s="266">
        <f>prod_compiled!O24</f>
        <v>0</v>
      </c>
    </row>
    <row r="226" spans="3:15" s="187" customFormat="1"/>
    <row r="228" spans="3:15">
      <c r="C228" s="184" t="s">
        <v>215</v>
      </c>
      <c r="D228" s="184" t="str">
        <f>interFY_transition!J$20</f>
        <v>Apr'26</v>
      </c>
      <c r="E228" s="184" t="str">
        <f>interFY_transition!K$20</f>
        <v>May'26</v>
      </c>
      <c r="F228" s="184" t="str">
        <f>interFY_transition!L$20</f>
        <v>June'26</v>
      </c>
      <c r="G228" s="184" t="str">
        <f>interFY_transition!M$20</f>
        <v>July'26</v>
      </c>
      <c r="H228" s="184" t="str">
        <f>interFY_transition!N$20</f>
        <v>Aug'26</v>
      </c>
      <c r="I228" s="184" t="str">
        <f>interFY_transition!O$20</f>
        <v>Sep'26</v>
      </c>
      <c r="J228" s="184" t="str">
        <f>interFY_transition!P$20</f>
        <v>Oct'26</v>
      </c>
      <c r="K228" s="184" t="str">
        <f>interFY_transition!Q$20</f>
        <v>Nov'26</v>
      </c>
      <c r="L228" s="184" t="str">
        <f>interFY_transition!R$20</f>
        <v>Dec'26</v>
      </c>
      <c r="M228" s="184" t="str">
        <f>interFY_transition!S$20</f>
        <v>Jan'27</v>
      </c>
      <c r="N228" s="184" t="str">
        <f>interFY_transition!T$20</f>
        <v>Feb'27</v>
      </c>
      <c r="O228" s="184" t="str">
        <f>interFY_transition!U$20</f>
        <v>Mar'27</v>
      </c>
    </row>
    <row r="229" spans="3:15">
      <c r="C229" s="184" t="str">
        <f>$A$213</f>
        <v>BE(mmscmd)</v>
      </c>
      <c r="D229" s="267">
        <f>Target_monthwise!D28</f>
        <v>0.26666666666666666</v>
      </c>
      <c r="E229" s="267">
        <f>Target_monthwise!E28</f>
        <v>0.25806451612903225</v>
      </c>
      <c r="F229" s="267">
        <f>Target_monthwise!F28</f>
        <v>0.26666666666666666</v>
      </c>
      <c r="G229" s="267">
        <f>Target_monthwise!G28</f>
        <v>0.25806451612903225</v>
      </c>
      <c r="H229" s="267">
        <f>Target_monthwise!H28</f>
        <v>0.25806451612903225</v>
      </c>
      <c r="I229" s="267">
        <f>Target_monthwise!I28</f>
        <v>0.26666666666666666</v>
      </c>
      <c r="J229" s="267">
        <f>Target_monthwise!J28</f>
        <v>0.25753424657534246</v>
      </c>
      <c r="K229" s="267">
        <f>Target_monthwise!K28</f>
        <v>0.26666666666666666</v>
      </c>
      <c r="L229" s="267">
        <f>Target_monthwise!L28</f>
        <v>0.25806451612903225</v>
      </c>
      <c r="M229" s="267">
        <f>Target_monthwise!M28</f>
        <v>0.25806451612903225</v>
      </c>
      <c r="N229" s="267">
        <f>Target_monthwise!N28</f>
        <v>0.21428571428571427</v>
      </c>
      <c r="O229" s="267">
        <f>Target_monthwise!O28</f>
        <v>0.25806451612903225</v>
      </c>
    </row>
    <row r="230" spans="3:15">
      <c r="C230" s="184" t="s">
        <v>29</v>
      </c>
      <c r="D230" s="267">
        <f>prod_compiled!D25</f>
        <v>0.27867500000000001</v>
      </c>
      <c r="E230" s="267">
        <f>prod_compiled!E25</f>
        <v>0.24100064516129033</v>
      </c>
      <c r="F230" s="267">
        <f>prod_compiled!F25</f>
        <v>0.261299</v>
      </c>
      <c r="G230" s="267">
        <f>prod_compiled!G25</f>
        <v>0.24090483870967741</v>
      </c>
      <c r="H230" s="267">
        <f>prod_compiled!H25</f>
        <v>0.24677316129032253</v>
      </c>
      <c r="I230" s="267">
        <f>prod_compiled!I25</f>
        <v>0</v>
      </c>
      <c r="J230" s="267">
        <f>prod_compiled!J25</f>
        <v>0</v>
      </c>
      <c r="K230" s="267">
        <f>prod_compiled!K25</f>
        <v>0</v>
      </c>
      <c r="L230" s="267">
        <f>prod_compiled!L25</f>
        <v>0</v>
      </c>
      <c r="M230" s="267">
        <f>prod_compiled!M25</f>
        <v>0</v>
      </c>
      <c r="N230" s="267">
        <f>prod_compiled!N25</f>
        <v>0</v>
      </c>
      <c r="O230" s="267">
        <f>prod_compiled!O25</f>
        <v>0</v>
      </c>
    </row>
    <row r="240" spans="3:15" s="187" customFormat="1"/>
    <row r="242" spans="3:15">
      <c r="C242" s="184" t="s">
        <v>216</v>
      </c>
      <c r="D242" s="184" t="str">
        <f>interFY_transition!J$20</f>
        <v>Apr'26</v>
      </c>
      <c r="E242" s="184" t="str">
        <f>interFY_transition!K$20</f>
        <v>May'26</v>
      </c>
      <c r="F242" s="184" t="str">
        <f>interFY_transition!L$20</f>
        <v>June'26</v>
      </c>
      <c r="G242" s="184" t="str">
        <f>interFY_transition!M$20</f>
        <v>July'26</v>
      </c>
      <c r="H242" s="184" t="str">
        <f>interFY_transition!N$20</f>
        <v>Aug'26</v>
      </c>
      <c r="I242" s="184" t="str">
        <f>interFY_transition!O$20</f>
        <v>Sep'26</v>
      </c>
      <c r="J242" s="184" t="str">
        <f>interFY_transition!P$20</f>
        <v>Oct'26</v>
      </c>
      <c r="K242" s="184" t="str">
        <f>interFY_transition!Q$20</f>
        <v>Nov'26</v>
      </c>
      <c r="L242" s="184" t="str">
        <f>interFY_transition!R$20</f>
        <v>Dec'26</v>
      </c>
      <c r="M242" s="184" t="str">
        <f>interFY_transition!S$20</f>
        <v>Jan'27</v>
      </c>
      <c r="N242" s="184" t="str">
        <f>interFY_transition!T$20</f>
        <v>Feb'27</v>
      </c>
      <c r="O242" s="184" t="str">
        <f>interFY_transition!U$20</f>
        <v>Mar'27</v>
      </c>
    </row>
    <row r="243" spans="3:15">
      <c r="C243" s="184" t="str">
        <f>$A$213</f>
        <v>BE(mmscmd)</v>
      </c>
      <c r="D243" s="266">
        <f>Target_monthwise!D29</f>
        <v>11.396011396011396</v>
      </c>
      <c r="E243" s="266">
        <f>Target_monthwise!E29</f>
        <v>11.028398125172318</v>
      </c>
      <c r="F243" s="266">
        <f>Target_monthwise!F29</f>
        <v>11.396011396011396</v>
      </c>
      <c r="G243" s="266">
        <f>Target_monthwise!G29</f>
        <v>11.028398125172318</v>
      </c>
      <c r="H243" s="266">
        <f>Target_monthwise!H29</f>
        <v>11.028398125172318</v>
      </c>
      <c r="I243" s="266">
        <f>Target_monthwise!I29</f>
        <v>11.396011396011396</v>
      </c>
      <c r="J243" s="266">
        <f>Target_monthwise!J29</f>
        <v>10.865238262498535</v>
      </c>
      <c r="K243" s="266">
        <f>Target_monthwise!K29</f>
        <v>11.396011396011396</v>
      </c>
      <c r="L243" s="266">
        <f>Target_monthwise!L29</f>
        <v>11.028398125172318</v>
      </c>
      <c r="M243" s="266">
        <f>Target_monthwise!M29</f>
        <v>11.028398125172318</v>
      </c>
      <c r="N243" s="266">
        <f>Target_monthwise!N29</f>
        <v>7.3260073260073248</v>
      </c>
      <c r="O243" s="266">
        <f>Target_monthwise!O29</f>
        <v>11.028398125172318</v>
      </c>
    </row>
    <row r="244" spans="3:15">
      <c r="C244" s="184" t="s">
        <v>29</v>
      </c>
      <c r="D244" s="266">
        <f>prod_compiled!D26</f>
        <v>14.437598333333334</v>
      </c>
      <c r="E244" s="266">
        <f>prod_compiled!E26</f>
        <v>13.815902258064517</v>
      </c>
      <c r="F244" s="266">
        <f>prod_compiled!F26</f>
        <v>12.623732333333333</v>
      </c>
      <c r="G244" s="266">
        <f>prod_compiled!G26</f>
        <v>8.2639664516129034</v>
      </c>
      <c r="H244" s="266">
        <f>prod_compiled!H26</f>
        <v>7.9886590222823228</v>
      </c>
      <c r="I244" s="266">
        <f>prod_compiled!I26</f>
        <v>0</v>
      </c>
      <c r="J244" s="266">
        <f>prod_compiled!J26</f>
        <v>0</v>
      </c>
      <c r="K244" s="266">
        <f>prod_compiled!K26</f>
        <v>0</v>
      </c>
      <c r="L244" s="266">
        <f>prod_compiled!L26</f>
        <v>0</v>
      </c>
      <c r="M244" s="266">
        <f>prod_compiled!M26</f>
        <v>0</v>
      </c>
      <c r="N244" s="266">
        <f>prod_compiled!N26</f>
        <v>0</v>
      </c>
      <c r="O244" s="266">
        <f>prod_compiled!O26</f>
        <v>0</v>
      </c>
    </row>
    <row r="255" spans="3:15" s="187" customFormat="1"/>
    <row r="256" spans="3:15" hidden="1">
      <c r="C256" s="184" t="s">
        <v>217</v>
      </c>
      <c r="D256" s="184" t="str">
        <f>interFY_transition!J$20</f>
        <v>Apr'26</v>
      </c>
      <c r="E256" s="184" t="str">
        <f>interFY_transition!K$20</f>
        <v>May'26</v>
      </c>
      <c r="F256" s="184" t="str">
        <f>interFY_transition!L$20</f>
        <v>June'26</v>
      </c>
      <c r="G256" s="184" t="str">
        <f>interFY_transition!M$20</f>
        <v>July'26</v>
      </c>
      <c r="H256" s="184" t="str">
        <f>interFY_transition!N$20</f>
        <v>Aug'26</v>
      </c>
      <c r="I256" s="184" t="str">
        <f>interFY_transition!O$20</f>
        <v>Sep'26</v>
      </c>
      <c r="J256" s="184" t="str">
        <f>interFY_transition!P$20</f>
        <v>Oct'26</v>
      </c>
      <c r="K256" s="184" t="str">
        <f>interFY_transition!Q$20</f>
        <v>Nov'26</v>
      </c>
      <c r="L256" s="184" t="str">
        <f>interFY_transition!R$20</f>
        <v>Dec'26</v>
      </c>
      <c r="M256" s="184" t="str">
        <f>interFY_transition!S$20</f>
        <v>Jan'27</v>
      </c>
      <c r="N256" s="184" t="str">
        <f>interFY_transition!T$20</f>
        <v>Feb'27</v>
      </c>
      <c r="O256" s="184" t="str">
        <f>interFY_transition!U$20</f>
        <v>Mar'27</v>
      </c>
    </row>
    <row r="257" spans="3:15" hidden="1">
      <c r="C257" s="184" t="str">
        <f>$A$213</f>
        <v>BE(mmscmd)</v>
      </c>
      <c r="D257" s="266">
        <f>Target_monthwise!D30</f>
        <v>0.24691358024691354</v>
      </c>
      <c r="E257" s="266">
        <f>Target_monthwise!E30</f>
        <v>0.23894862604540021</v>
      </c>
      <c r="F257" s="266">
        <f>Target_monthwise!F30</f>
        <v>0.24691358024691354</v>
      </c>
      <c r="G257" s="266">
        <f>Target_monthwise!G30</f>
        <v>0.23894862604540021</v>
      </c>
      <c r="H257" s="266">
        <f>Target_monthwise!H30</f>
        <v>0.23894862604540021</v>
      </c>
      <c r="I257" s="266">
        <f>Target_monthwise!I30</f>
        <v>0.24691358024691354</v>
      </c>
      <c r="J257" s="266">
        <f>Target_monthwise!J30</f>
        <v>0.25367833587011673</v>
      </c>
      <c r="K257" s="266">
        <f>Target_monthwise!K30</f>
        <v>0.24691358024691354</v>
      </c>
      <c r="L257" s="266">
        <f>Target_monthwise!L30</f>
        <v>0.23894862604540021</v>
      </c>
      <c r="M257" s="266">
        <f>Target_monthwise!M30</f>
        <v>0.23894862604540021</v>
      </c>
      <c r="N257" s="266">
        <f>Target_monthwise!N30</f>
        <v>0.39682539682539675</v>
      </c>
      <c r="O257" s="266">
        <f>Target_monthwise!O30</f>
        <v>0.23894862604540021</v>
      </c>
    </row>
    <row r="258" spans="3:15" hidden="1">
      <c r="C258" s="184" t="s">
        <v>29</v>
      </c>
      <c r="D258" s="266">
        <f>prod_compiled!D27</f>
        <v>0.45333333333333331</v>
      </c>
      <c r="E258" s="266">
        <f>prod_compiled!E27</f>
        <v>0.2992258064516129</v>
      </c>
      <c r="F258" s="266">
        <f>prod_compiled!F27</f>
        <v>0.465667</v>
      </c>
      <c r="G258" s="266">
        <f>prod_compiled!G27</f>
        <v>0.35741999999999996</v>
      </c>
      <c r="H258" s="266">
        <f>prod_compiled!H27</f>
        <v>0.51485241935483883</v>
      </c>
      <c r="I258" s="266">
        <f>prod_compiled!I27</f>
        <v>0</v>
      </c>
      <c r="J258" s="266">
        <f>prod_compiled!J27</f>
        <v>0</v>
      </c>
      <c r="K258" s="266">
        <f>prod_compiled!K27</f>
        <v>0</v>
      </c>
      <c r="L258" s="266">
        <f>prod_compiled!L27</f>
        <v>0</v>
      </c>
      <c r="M258" s="266">
        <f>prod_compiled!M27</f>
        <v>0</v>
      </c>
      <c r="N258" s="266">
        <f>prod_compiled!N27</f>
        <v>0</v>
      </c>
      <c r="O258" s="266">
        <f>prod_compiled!O27</f>
        <v>0</v>
      </c>
    </row>
    <row r="259" spans="3:15" hidden="1"/>
    <row r="260" spans="3:15" hidden="1"/>
    <row r="261" spans="3:15" hidden="1"/>
    <row r="262" spans="3:15" hidden="1"/>
    <row r="263" spans="3:15" hidden="1">
      <c r="C263" s="184" t="s">
        <v>218</v>
      </c>
      <c r="D263" s="184" t="str">
        <f>interFY_transition!J$20</f>
        <v>Apr'26</v>
      </c>
      <c r="E263" s="184" t="str">
        <f>interFY_transition!K$20</f>
        <v>May'26</v>
      </c>
      <c r="F263" s="184" t="str">
        <f>interFY_transition!L$20</f>
        <v>June'26</v>
      </c>
      <c r="G263" s="184" t="str">
        <f>interFY_transition!M$20</f>
        <v>July'26</v>
      </c>
      <c r="H263" s="184" t="str">
        <f>interFY_transition!N$20</f>
        <v>Aug'26</v>
      </c>
      <c r="I263" s="184" t="str">
        <f>interFY_transition!O$20</f>
        <v>Sep'26</v>
      </c>
      <c r="J263" s="184" t="str">
        <f>interFY_transition!P$20</f>
        <v>Oct'26</v>
      </c>
      <c r="K263" s="184" t="str">
        <f>interFY_transition!Q$20</f>
        <v>Nov'26</v>
      </c>
      <c r="L263" s="184" t="str">
        <f>interFY_transition!R$20</f>
        <v>Dec'26</v>
      </c>
      <c r="M263" s="184" t="str">
        <f>interFY_transition!S$20</f>
        <v>Jan'27</v>
      </c>
      <c r="N263" s="184" t="str">
        <f>interFY_transition!T$20</f>
        <v>Feb'27</v>
      </c>
      <c r="O263" s="184" t="str">
        <f>interFY_transition!U$20</f>
        <v>Mar'27</v>
      </c>
    </row>
    <row r="264" spans="3:15" hidden="1">
      <c r="C264" s="184" t="str">
        <f>$A$213</f>
        <v>BE(mmscmd)</v>
      </c>
      <c r="D264" s="266">
        <f>Target_monthwise!D31</f>
        <v>0</v>
      </c>
      <c r="E264" s="266">
        <f>Target_monthwise!E31</f>
        <v>0</v>
      </c>
      <c r="F264" s="266">
        <f>Target_monthwise!F31</f>
        <v>6.6666666666666666E-2</v>
      </c>
      <c r="G264" s="266">
        <f>Target_monthwise!G31</f>
        <v>0</v>
      </c>
      <c r="H264" s="266">
        <f>Target_monthwise!H31</f>
        <v>0</v>
      </c>
      <c r="I264" s="266">
        <f>Target_monthwise!I31</f>
        <v>6.6666666666666666E-2</v>
      </c>
      <c r="J264" s="266">
        <f>Target_monthwise!J31</f>
        <v>0</v>
      </c>
      <c r="K264" s="266">
        <f>Target_monthwise!K31</f>
        <v>0</v>
      </c>
      <c r="L264" s="266">
        <f>Target_monthwise!L31</f>
        <v>6.4516129032258063E-2</v>
      </c>
      <c r="M264" s="266">
        <f>Target_monthwise!M31</f>
        <v>0</v>
      </c>
      <c r="N264" s="266">
        <f>Target_monthwise!N31</f>
        <v>0</v>
      </c>
      <c r="O264" s="266">
        <f>Target_monthwise!O31</f>
        <v>6.4516129032258063E-2</v>
      </c>
    </row>
    <row r="265" spans="3:15" hidden="1">
      <c r="C265" s="184" t="s">
        <v>29</v>
      </c>
      <c r="D265" s="266">
        <f>prod_compiled!D28</f>
        <v>2.8069999999999998E-2</v>
      </c>
      <c r="E265" s="266">
        <f>prod_compiled!E28</f>
        <v>2.2259999999999999E-2</v>
      </c>
      <c r="F265" s="266">
        <f>prod_compiled!F28</f>
        <v>2.563E-2</v>
      </c>
      <c r="G265" s="266">
        <f>prod_compiled!G28</f>
        <v>2.5769999999999998E-2</v>
      </c>
      <c r="H265" s="266">
        <f>prod_compiled!H28</f>
        <v>2.4838709677419371E-2</v>
      </c>
      <c r="I265" s="266">
        <f>prod_compiled!I28</f>
        <v>0</v>
      </c>
      <c r="J265" s="266">
        <f>prod_compiled!J28</f>
        <v>0</v>
      </c>
      <c r="K265" s="266">
        <f>prod_compiled!K28</f>
        <v>0</v>
      </c>
      <c r="L265" s="266">
        <f>prod_compiled!L28</f>
        <v>0</v>
      </c>
      <c r="M265" s="266">
        <f>prod_compiled!M28</f>
        <v>0</v>
      </c>
      <c r="N265" s="266">
        <f>prod_compiled!N28</f>
        <v>0</v>
      </c>
      <c r="O265" s="266">
        <f>prod_compiled!O28</f>
        <v>0</v>
      </c>
    </row>
    <row r="266" spans="3:15" hidden="1"/>
    <row r="267" spans="3:15" hidden="1"/>
    <row r="268" spans="3:15" hidden="1"/>
    <row r="269" spans="3:15" hidden="1"/>
    <row r="270" spans="3:15" hidden="1">
      <c r="C270" s="184" t="s">
        <v>219</v>
      </c>
      <c r="D270" s="184" t="str">
        <f>interFY_transition!J$20</f>
        <v>Apr'26</v>
      </c>
      <c r="E270" s="184" t="str">
        <f>interFY_transition!K$20</f>
        <v>May'26</v>
      </c>
      <c r="F270" s="184" t="str">
        <f>interFY_transition!L$20</f>
        <v>June'26</v>
      </c>
      <c r="G270" s="184" t="str">
        <f>interFY_transition!M$20</f>
        <v>July'26</v>
      </c>
      <c r="H270" s="184" t="str">
        <f>interFY_transition!N$20</f>
        <v>Aug'26</v>
      </c>
      <c r="I270" s="184" t="str">
        <f>interFY_transition!O$20</f>
        <v>Sep'26</v>
      </c>
      <c r="J270" s="184" t="str">
        <f>interFY_transition!P$20</f>
        <v>Oct'26</v>
      </c>
      <c r="K270" s="184" t="str">
        <f>interFY_transition!Q$20</f>
        <v>Nov'26</v>
      </c>
      <c r="L270" s="184" t="str">
        <f>interFY_transition!R$20</f>
        <v>Dec'26</v>
      </c>
      <c r="M270" s="184" t="str">
        <f>interFY_transition!S$20</f>
        <v>Jan'27</v>
      </c>
      <c r="N270" s="184" t="str">
        <f>interFY_transition!T$20</f>
        <v>Feb'27</v>
      </c>
      <c r="O270" s="184" t="str">
        <f>interFY_transition!U$20</f>
        <v>Mar'27</v>
      </c>
    </row>
    <row r="271" spans="3:15" hidden="1">
      <c r="C271" s="184" t="str">
        <f>$A$213</f>
        <v>BE(mmscmd)</v>
      </c>
      <c r="D271" s="266">
        <f>Target_monthwise!D32</f>
        <v>0</v>
      </c>
      <c r="E271" s="266">
        <f>Target_monthwise!E32</f>
        <v>0</v>
      </c>
      <c r="F271" s="266">
        <f>Target_monthwise!F32</f>
        <v>0</v>
      </c>
      <c r="G271" s="266">
        <f>Target_monthwise!G32</f>
        <v>0</v>
      </c>
      <c r="H271" s="266">
        <f>Target_monthwise!H32</f>
        <v>0</v>
      </c>
      <c r="I271" s="266">
        <f>Target_monthwise!I32</f>
        <v>0</v>
      </c>
      <c r="J271" s="266">
        <f>Target_monthwise!J32</f>
        <v>0</v>
      </c>
      <c r="K271" s="266">
        <f>Target_monthwise!K32</f>
        <v>0</v>
      </c>
      <c r="L271" s="266">
        <f>Target_monthwise!L32</f>
        <v>0</v>
      </c>
      <c r="M271" s="266">
        <f>Target_monthwise!M32</f>
        <v>0</v>
      </c>
      <c r="N271" s="266">
        <f>Target_monthwise!N32</f>
        <v>5.1020408163265314E-2</v>
      </c>
      <c r="O271" s="266">
        <f>Target_monthwise!O32</f>
        <v>0</v>
      </c>
    </row>
    <row r="272" spans="3:15" hidden="1">
      <c r="C272" s="184" t="s">
        <v>29</v>
      </c>
      <c r="D272" s="266">
        <f>prod_compiled!D29</f>
        <v>2.9666666666666665E-3</v>
      </c>
      <c r="E272" s="266">
        <f>prod_compiled!E29</f>
        <v>3.3861290322580642E-3</v>
      </c>
      <c r="F272" s="266">
        <f>prod_compiled!F29</f>
        <v>3.4336666666666669E-3</v>
      </c>
      <c r="G272" s="266">
        <f>prod_compiled!G29</f>
        <v>3.4519354838709678E-3</v>
      </c>
      <c r="H272" s="266">
        <f>prod_compiled!H29</f>
        <v>4.2675274492747555E-3</v>
      </c>
      <c r="I272" s="266">
        <f>prod_compiled!I29</f>
        <v>0</v>
      </c>
      <c r="J272" s="266">
        <f>prod_compiled!J29</f>
        <v>0</v>
      </c>
      <c r="K272" s="266">
        <f>prod_compiled!K29</f>
        <v>0</v>
      </c>
      <c r="L272" s="266">
        <f>prod_compiled!L29</f>
        <v>0</v>
      </c>
      <c r="M272" s="266">
        <f>prod_compiled!M29</f>
        <v>0</v>
      </c>
      <c r="N272" s="266">
        <f>prod_compiled!N29</f>
        <v>0</v>
      </c>
      <c r="O272" s="266">
        <f>prod_compiled!O29</f>
        <v>0</v>
      </c>
    </row>
    <row r="273" spans="3:15" hidden="1"/>
    <row r="274" spans="3:15" hidden="1"/>
    <row r="275" spans="3:15" hidden="1"/>
    <row r="276" spans="3:15" hidden="1"/>
    <row r="277" spans="3:15" hidden="1">
      <c r="C277" s="184" t="s">
        <v>220</v>
      </c>
      <c r="D277" s="184" t="str">
        <f>interFY_transition!J$20</f>
        <v>Apr'26</v>
      </c>
      <c r="E277" s="184" t="str">
        <f>interFY_transition!K$20</f>
        <v>May'26</v>
      </c>
      <c r="F277" s="184" t="str">
        <f>interFY_transition!L$20</f>
        <v>June'26</v>
      </c>
      <c r="G277" s="184" t="str">
        <f>interFY_transition!M$20</f>
        <v>July'26</v>
      </c>
      <c r="H277" s="184" t="str">
        <f>interFY_transition!N$20</f>
        <v>Aug'26</v>
      </c>
      <c r="I277" s="184" t="str">
        <f>interFY_transition!O$20</f>
        <v>Sep'26</v>
      </c>
      <c r="J277" s="184" t="str">
        <f>interFY_transition!P$20</f>
        <v>Oct'26</v>
      </c>
      <c r="K277" s="184" t="str">
        <f>interFY_transition!Q$20</f>
        <v>Nov'26</v>
      </c>
      <c r="L277" s="184" t="str">
        <f>interFY_transition!R$20</f>
        <v>Dec'26</v>
      </c>
      <c r="M277" s="184" t="str">
        <f>interFY_transition!S$20</f>
        <v>Jan'27</v>
      </c>
      <c r="N277" s="184" t="str">
        <f>interFY_transition!T$20</f>
        <v>Feb'27</v>
      </c>
      <c r="O277" s="184" t="str">
        <f>interFY_transition!U$20</f>
        <v>Mar'27</v>
      </c>
    </row>
    <row r="278" spans="3:15" hidden="1">
      <c r="C278" s="184" t="str">
        <f>$A$213</f>
        <v>BE(mmscmd)</v>
      </c>
      <c r="D278" s="266">
        <f>Target_monthwise!D33</f>
        <v>0.30303030303030298</v>
      </c>
      <c r="E278" s="266">
        <f>Target_monthwise!E33</f>
        <v>0.29325513196480935</v>
      </c>
      <c r="F278" s="266">
        <f>Target_monthwise!F33</f>
        <v>0</v>
      </c>
      <c r="G278" s="266">
        <f>Target_monthwise!G33</f>
        <v>0.29325513196480935</v>
      </c>
      <c r="H278" s="266">
        <f>Target_monthwise!H33</f>
        <v>0.29325513196480935</v>
      </c>
      <c r="I278" s="266">
        <f>Target_monthwise!I33</f>
        <v>0.30303030303030298</v>
      </c>
      <c r="J278" s="266">
        <f>Target_monthwise!J33</f>
        <v>0.22415940224159403</v>
      </c>
      <c r="K278" s="266">
        <f>Target_monthwise!K33</f>
        <v>0</v>
      </c>
      <c r="L278" s="266">
        <f>Target_monthwise!L33</f>
        <v>0.29325513196480935</v>
      </c>
      <c r="M278" s="266">
        <f>Target_monthwise!M33</f>
        <v>0.29325513196480935</v>
      </c>
      <c r="N278" s="266">
        <f>Target_monthwise!N33</f>
        <v>0</v>
      </c>
      <c r="O278" s="266">
        <f>Target_monthwise!O33</f>
        <v>0.29325513196480935</v>
      </c>
    </row>
    <row r="279" spans="3:15" hidden="1">
      <c r="C279" s="184" t="s">
        <v>29</v>
      </c>
      <c r="D279" s="266">
        <f>prod_compiled!D30</f>
        <v>0.20245600000000002</v>
      </c>
      <c r="E279" s="266">
        <f>prod_compiled!E30</f>
        <v>0.19437000000000001</v>
      </c>
      <c r="F279" s="266">
        <f>prod_compiled!F30</f>
        <v>0.19165266666666667</v>
      </c>
      <c r="G279" s="266">
        <f>prod_compiled!G30</f>
        <v>0.19517483870967742</v>
      </c>
      <c r="H279" s="266">
        <f>prod_compiled!H30</f>
        <v>0.19382406504026423</v>
      </c>
      <c r="I279" s="266">
        <f>prod_compiled!I30</f>
        <v>0</v>
      </c>
      <c r="J279" s="266">
        <f>prod_compiled!J30</f>
        <v>0</v>
      </c>
      <c r="K279" s="266">
        <f>prod_compiled!K30</f>
        <v>0</v>
      </c>
      <c r="L279" s="266">
        <f>prod_compiled!L30</f>
        <v>0</v>
      </c>
      <c r="M279" s="266">
        <f>prod_compiled!M30</f>
        <v>0</v>
      </c>
      <c r="N279" s="266">
        <f>prod_compiled!N30</f>
        <v>0</v>
      </c>
      <c r="O279" s="266">
        <f>prod_compiled!O30</f>
        <v>0</v>
      </c>
    </row>
    <row r="280" spans="3:15" hidden="1"/>
    <row r="281" spans="3:15" hidden="1"/>
    <row r="282" spans="3:15" hidden="1"/>
    <row r="283" spans="3:15" hidden="1"/>
    <row r="284" spans="3:15" hidden="1">
      <c r="C284" s="184" t="s">
        <v>221</v>
      </c>
      <c r="D284" s="184" t="str">
        <f>interFY_transition!J$20</f>
        <v>Apr'26</v>
      </c>
      <c r="E284" s="184" t="str">
        <f>interFY_transition!K$20</f>
        <v>May'26</v>
      </c>
      <c r="F284" s="184" t="str">
        <f>interFY_transition!L$20</f>
        <v>June'26</v>
      </c>
      <c r="G284" s="184" t="str">
        <f>interFY_transition!M$20</f>
        <v>July'26</v>
      </c>
      <c r="H284" s="184" t="str">
        <f>interFY_transition!N$20</f>
        <v>Aug'26</v>
      </c>
      <c r="I284" s="184" t="str">
        <f>interFY_transition!O$20</f>
        <v>Sep'26</v>
      </c>
      <c r="J284" s="184" t="str">
        <f>interFY_transition!P$20</f>
        <v>Oct'26</v>
      </c>
      <c r="K284" s="184" t="str">
        <f>interFY_transition!Q$20</f>
        <v>Nov'26</v>
      </c>
      <c r="L284" s="184" t="str">
        <f>interFY_transition!R$20</f>
        <v>Dec'26</v>
      </c>
      <c r="M284" s="184" t="str">
        <f>interFY_transition!S$20</f>
        <v>Jan'27</v>
      </c>
      <c r="N284" s="184" t="str">
        <f>interFY_transition!T$20</f>
        <v>Feb'27</v>
      </c>
      <c r="O284" s="184" t="str">
        <f>interFY_transition!U$20</f>
        <v>Mar'27</v>
      </c>
    </row>
    <row r="285" spans="3:15" hidden="1">
      <c r="C285" s="184" t="str">
        <f>$A$213</f>
        <v>BE(mmscmd)</v>
      </c>
      <c r="D285" s="266">
        <f>Target_monthwise!D34</f>
        <v>0.16666666666666666</v>
      </c>
      <c r="E285" s="266">
        <f>Target_monthwise!E34</f>
        <v>0.24193548387096775</v>
      </c>
      <c r="F285" s="266">
        <f>Target_monthwise!F34</f>
        <v>0.25</v>
      </c>
      <c r="G285" s="266">
        <f>Target_monthwise!G34</f>
        <v>0.24193548387096775</v>
      </c>
      <c r="H285" s="266">
        <f>Target_monthwise!H34</f>
        <v>0.24193548387096775</v>
      </c>
      <c r="I285" s="266">
        <f>Target_monthwise!I34</f>
        <v>0.25</v>
      </c>
      <c r="J285" s="266">
        <f>Target_monthwise!J34</f>
        <v>0.21917808219178084</v>
      </c>
      <c r="K285" s="266">
        <f>Target_monthwise!K34</f>
        <v>0.25</v>
      </c>
      <c r="L285" s="266">
        <f>Target_monthwise!L34</f>
        <v>0.24193548387096775</v>
      </c>
      <c r="M285" s="266">
        <f>Target_monthwise!M34</f>
        <v>0.24193548387096775</v>
      </c>
      <c r="N285" s="266">
        <f>Target_monthwise!N34</f>
        <v>0.17857142857142855</v>
      </c>
      <c r="O285" s="266">
        <f>Target_monthwise!O34</f>
        <v>8.0645161290322578E-2</v>
      </c>
    </row>
    <row r="286" spans="3:15" hidden="1">
      <c r="C286" s="184" t="s">
        <v>29</v>
      </c>
      <c r="D286" s="266">
        <f>prod_compiled!D31</f>
        <v>9.3833E-2</v>
      </c>
      <c r="E286" s="266">
        <f>prod_compiled!E31</f>
        <v>9.2815806451612901E-2</v>
      </c>
      <c r="F286" s="266">
        <f>prod_compiled!F31</f>
        <v>8.6883666666666665E-2</v>
      </c>
      <c r="G286" s="266">
        <f>prod_compiled!G31</f>
        <v>9.5066774193548392E-2</v>
      </c>
      <c r="H286" s="266">
        <f>prod_compiled!H31</f>
        <v>8.5725975210725086E-2</v>
      </c>
      <c r="I286" s="266">
        <f>prod_compiled!I31</f>
        <v>0</v>
      </c>
      <c r="J286" s="266">
        <f>prod_compiled!J31</f>
        <v>0</v>
      </c>
      <c r="K286" s="266">
        <f>prod_compiled!K31</f>
        <v>0</v>
      </c>
      <c r="L286" s="266">
        <f>prod_compiled!L31</f>
        <v>0</v>
      </c>
      <c r="M286" s="266">
        <f>prod_compiled!M31</f>
        <v>0</v>
      </c>
      <c r="N286" s="266">
        <f>prod_compiled!N31</f>
        <v>0</v>
      </c>
      <c r="O286" s="266">
        <f>prod_compiled!O31</f>
        <v>0</v>
      </c>
    </row>
    <row r="287" spans="3:15" hidden="1"/>
    <row r="288" spans="3:15" hidden="1"/>
    <row r="289" spans="3:15" hidden="1"/>
    <row r="290" spans="3:15" hidden="1"/>
    <row r="291" spans="3:15" hidden="1">
      <c r="C291" s="184" t="s">
        <v>222</v>
      </c>
      <c r="D291" s="184" t="str">
        <f>interFY_transition!J$20</f>
        <v>Apr'26</v>
      </c>
      <c r="E291" s="184" t="str">
        <f>interFY_transition!K$20</f>
        <v>May'26</v>
      </c>
      <c r="F291" s="184" t="str">
        <f>interFY_transition!L$20</f>
        <v>June'26</v>
      </c>
      <c r="G291" s="184" t="str">
        <f>interFY_transition!M$20</f>
        <v>July'26</v>
      </c>
      <c r="H291" s="184" t="str">
        <f>interFY_transition!N$20</f>
        <v>Aug'26</v>
      </c>
      <c r="I291" s="184" t="str">
        <f>interFY_transition!O$20</f>
        <v>Sep'26</v>
      </c>
      <c r="J291" s="184" t="str">
        <f>interFY_transition!P$20</f>
        <v>Oct'26</v>
      </c>
      <c r="K291" s="184" t="str">
        <f>interFY_transition!Q$20</f>
        <v>Nov'26</v>
      </c>
      <c r="L291" s="184" t="str">
        <f>interFY_transition!R$20</f>
        <v>Dec'26</v>
      </c>
      <c r="M291" s="184" t="str">
        <f>interFY_transition!S$20</f>
        <v>Jan'27</v>
      </c>
      <c r="N291" s="184" t="str">
        <f>interFY_transition!T$20</f>
        <v>Feb'27</v>
      </c>
      <c r="O291" s="184" t="str">
        <f>interFY_transition!U$20</f>
        <v>Mar'27</v>
      </c>
    </row>
    <row r="292" spans="3:15" hidden="1">
      <c r="C292" s="184" t="str">
        <f>$A$213</f>
        <v>BE(mmscmd)</v>
      </c>
      <c r="D292" s="266">
        <f>Target_monthwise!D35</f>
        <v>0</v>
      </c>
      <c r="E292" s="266">
        <f>Target_monthwise!E35</f>
        <v>0</v>
      </c>
      <c r="F292" s="266">
        <f>Target_monthwise!F35</f>
        <v>0</v>
      </c>
      <c r="G292" s="266">
        <f>Target_monthwise!G35</f>
        <v>0</v>
      </c>
      <c r="H292" s="266">
        <f>Target_monthwise!H35</f>
        <v>0</v>
      </c>
      <c r="I292" s="266">
        <f>Target_monthwise!I35</f>
        <v>0</v>
      </c>
      <c r="J292" s="266">
        <f>Target_monthwise!J35</f>
        <v>0</v>
      </c>
      <c r="K292" s="266">
        <f>Target_monthwise!K35</f>
        <v>0</v>
      </c>
      <c r="L292" s="266">
        <f>Target_monthwise!L35</f>
        <v>0</v>
      </c>
      <c r="M292" s="266">
        <f>Target_monthwise!M35</f>
        <v>0</v>
      </c>
      <c r="N292" s="266">
        <f>Target_monthwise!N35</f>
        <v>0</v>
      </c>
      <c r="O292" s="266">
        <f>Target_monthwise!O35</f>
        <v>0</v>
      </c>
    </row>
    <row r="293" spans="3:15" hidden="1">
      <c r="C293" s="184" t="s">
        <v>29</v>
      </c>
      <c r="D293" s="266">
        <f>prod_compiled!D32</f>
        <v>0</v>
      </c>
      <c r="E293" s="266">
        <f>prod_compiled!E32</f>
        <v>0</v>
      </c>
      <c r="F293" s="266">
        <f>prod_compiled!F32</f>
        <v>0</v>
      </c>
      <c r="G293" s="266">
        <f>prod_compiled!G32</f>
        <v>0</v>
      </c>
      <c r="H293" s="266">
        <f>prod_compiled!H32</f>
        <v>0</v>
      </c>
      <c r="I293" s="266">
        <f>prod_compiled!I32</f>
        <v>0</v>
      </c>
      <c r="J293" s="266">
        <f>prod_compiled!J32</f>
        <v>0</v>
      </c>
      <c r="K293" s="266">
        <f>prod_compiled!K32</f>
        <v>0</v>
      </c>
      <c r="L293" s="266">
        <f>prod_compiled!L32</f>
        <v>0</v>
      </c>
      <c r="M293" s="266">
        <f>prod_compiled!M32</f>
        <v>0</v>
      </c>
      <c r="N293" s="266">
        <f>prod_compiled!N32</f>
        <v>0</v>
      </c>
      <c r="O293" s="266">
        <f>prod_compiled!O32</f>
        <v>0</v>
      </c>
    </row>
    <row r="294" spans="3:15" hidden="1"/>
    <row r="295" spans="3:15" hidden="1"/>
    <row r="296" spans="3:15" hidden="1"/>
    <row r="297" spans="3:15" hidden="1"/>
    <row r="298" spans="3:15" hidden="1">
      <c r="C298" s="184" t="s">
        <v>223</v>
      </c>
      <c r="D298" s="184" t="str">
        <f>interFY_transition!J$20</f>
        <v>Apr'26</v>
      </c>
      <c r="E298" s="184" t="str">
        <f>interFY_transition!K$20</f>
        <v>May'26</v>
      </c>
      <c r="F298" s="184" t="str">
        <f>interFY_transition!L$20</f>
        <v>June'26</v>
      </c>
      <c r="G298" s="184" t="str">
        <f>interFY_transition!M$20</f>
        <v>July'26</v>
      </c>
      <c r="H298" s="184" t="str">
        <f>interFY_transition!N$20</f>
        <v>Aug'26</v>
      </c>
      <c r="I298" s="184" t="str">
        <f>interFY_transition!O$20</f>
        <v>Sep'26</v>
      </c>
      <c r="J298" s="184" t="str">
        <f>interFY_transition!P$20</f>
        <v>Oct'26</v>
      </c>
      <c r="K298" s="184" t="str">
        <f>interFY_transition!Q$20</f>
        <v>Nov'26</v>
      </c>
      <c r="L298" s="184" t="str">
        <f>interFY_transition!R$20</f>
        <v>Dec'26</v>
      </c>
      <c r="M298" s="184" t="str">
        <f>interFY_transition!S$20</f>
        <v>Jan'27</v>
      </c>
      <c r="N298" s="184" t="str">
        <f>interFY_transition!T$20</f>
        <v>Feb'27</v>
      </c>
      <c r="O298" s="184" t="str">
        <f>interFY_transition!U$20</f>
        <v>Mar'27</v>
      </c>
    </row>
    <row r="299" spans="3:15" hidden="1">
      <c r="C299" s="184" t="str">
        <f>$A$213</f>
        <v>BE(mmscmd)</v>
      </c>
      <c r="D299" s="266">
        <f>Target_monthwise!D36</f>
        <v>0</v>
      </c>
      <c r="E299" s="266">
        <f>Target_monthwise!E36</f>
        <v>0</v>
      </c>
      <c r="F299" s="266">
        <f>Target_monthwise!F36</f>
        <v>0</v>
      </c>
      <c r="G299" s="266">
        <f>Target_monthwise!G36</f>
        <v>0</v>
      </c>
      <c r="H299" s="266">
        <f>Target_monthwise!H36</f>
        <v>0</v>
      </c>
      <c r="I299" s="266">
        <f>Target_monthwise!I36</f>
        <v>0</v>
      </c>
      <c r="J299" s="266">
        <f>Target_monthwise!J36</f>
        <v>0</v>
      </c>
      <c r="K299" s="266">
        <f>Target_monthwise!K36</f>
        <v>0</v>
      </c>
      <c r="L299" s="266">
        <f>Target_monthwise!L36</f>
        <v>0</v>
      </c>
      <c r="M299" s="266">
        <f>Target_monthwise!M36</f>
        <v>0</v>
      </c>
      <c r="N299" s="266">
        <f>Target_monthwise!N36</f>
        <v>0</v>
      </c>
      <c r="O299" s="266">
        <f>Target_monthwise!O36</f>
        <v>0</v>
      </c>
    </row>
    <row r="300" spans="3:15" hidden="1">
      <c r="C300" s="184" t="s">
        <v>29</v>
      </c>
      <c r="D300" s="266">
        <f>prod_compiled!D33</f>
        <v>0</v>
      </c>
      <c r="E300" s="266">
        <f>prod_compiled!E33</f>
        <v>0</v>
      </c>
      <c r="F300" s="266">
        <f>prod_compiled!F33</f>
        <v>0</v>
      </c>
      <c r="G300" s="266">
        <f>prod_compiled!G33</f>
        <v>0</v>
      </c>
      <c r="H300" s="266">
        <f>prod_compiled!H33</f>
        <v>0</v>
      </c>
      <c r="I300" s="266">
        <f>prod_compiled!I33</f>
        <v>0</v>
      </c>
      <c r="J300" s="266">
        <f>prod_compiled!J33</f>
        <v>0</v>
      </c>
      <c r="K300" s="266">
        <f>prod_compiled!K33</f>
        <v>0</v>
      </c>
      <c r="L300" s="266">
        <f>prod_compiled!L33</f>
        <v>0</v>
      </c>
      <c r="M300" s="266">
        <f>prod_compiled!M33</f>
        <v>0</v>
      </c>
      <c r="N300" s="266">
        <f>prod_compiled!N33</f>
        <v>0</v>
      </c>
      <c r="O300" s="266">
        <f>prod_compiled!O33</f>
        <v>0</v>
      </c>
    </row>
    <row r="301" spans="3:15" hidden="1"/>
    <row r="302" spans="3:15" hidden="1"/>
    <row r="303" spans="3:15" hidden="1"/>
    <row r="304" spans="3:15" hidden="1"/>
    <row r="305" spans="3:15" hidden="1">
      <c r="C305" s="184" t="s">
        <v>224</v>
      </c>
      <c r="D305" s="184" t="str">
        <f>interFY_transition!J$20</f>
        <v>Apr'26</v>
      </c>
      <c r="E305" s="184" t="str">
        <f>interFY_transition!K$20</f>
        <v>May'26</v>
      </c>
      <c r="F305" s="184" t="str">
        <f>interFY_transition!L$20</f>
        <v>June'26</v>
      </c>
      <c r="G305" s="184" t="str">
        <f>interFY_transition!M$20</f>
        <v>July'26</v>
      </c>
      <c r="H305" s="184" t="str">
        <f>interFY_transition!N$20</f>
        <v>Aug'26</v>
      </c>
      <c r="I305" s="184" t="str">
        <f>interFY_transition!O$20</f>
        <v>Sep'26</v>
      </c>
      <c r="J305" s="184" t="str">
        <f>interFY_transition!P$20</f>
        <v>Oct'26</v>
      </c>
      <c r="K305" s="184" t="str">
        <f>interFY_transition!Q$20</f>
        <v>Nov'26</v>
      </c>
      <c r="L305" s="184" t="str">
        <f>interFY_transition!R$20</f>
        <v>Dec'26</v>
      </c>
      <c r="M305" s="184" t="str">
        <f>interFY_transition!S$20</f>
        <v>Jan'27</v>
      </c>
      <c r="N305" s="184" t="str">
        <f>interFY_transition!T$20</f>
        <v>Feb'27</v>
      </c>
      <c r="O305" s="184" t="str">
        <f>interFY_transition!U$20</f>
        <v>Mar'27</v>
      </c>
    </row>
    <row r="306" spans="3:15" hidden="1">
      <c r="C306" s="184" t="str">
        <f>$A$213</f>
        <v>BE(mmscmd)</v>
      </c>
      <c r="D306" s="266">
        <f>Target_monthwise!D37</f>
        <v>0</v>
      </c>
      <c r="E306" s="266">
        <f>Target_monthwise!E37</f>
        <v>0</v>
      </c>
      <c r="F306" s="266">
        <f>Target_monthwise!F37</f>
        <v>0</v>
      </c>
      <c r="G306" s="266">
        <f>Target_monthwise!G37</f>
        <v>0</v>
      </c>
      <c r="H306" s="266">
        <f>Target_monthwise!H37</f>
        <v>0</v>
      </c>
      <c r="I306" s="266">
        <f>Target_monthwise!I37</f>
        <v>0</v>
      </c>
      <c r="J306" s="266">
        <f>Target_monthwise!J37</f>
        <v>0</v>
      </c>
      <c r="K306" s="266">
        <f>Target_monthwise!K37</f>
        <v>0</v>
      </c>
      <c r="L306" s="266">
        <f>Target_monthwise!L37</f>
        <v>0</v>
      </c>
      <c r="M306" s="266">
        <f>Target_monthwise!M37</f>
        <v>0</v>
      </c>
      <c r="N306" s="266">
        <f>Target_monthwise!N37</f>
        <v>0</v>
      </c>
      <c r="O306" s="266">
        <f>Target_monthwise!O37</f>
        <v>0</v>
      </c>
    </row>
    <row r="307" spans="3:15" hidden="1">
      <c r="C307" s="184" t="s">
        <v>29</v>
      </c>
      <c r="D307" s="266">
        <f>prod_compiled!D34</f>
        <v>0</v>
      </c>
      <c r="E307" s="266">
        <f>prod_compiled!E34</f>
        <v>0</v>
      </c>
      <c r="F307" s="266">
        <f>prod_compiled!F34</f>
        <v>0</v>
      </c>
      <c r="G307" s="266">
        <f>prod_compiled!G34</f>
        <v>0</v>
      </c>
      <c r="H307" s="266">
        <f>prod_compiled!H34</f>
        <v>0</v>
      </c>
      <c r="I307" s="266">
        <f>prod_compiled!I34</f>
        <v>0</v>
      </c>
      <c r="J307" s="266">
        <f>prod_compiled!J34</f>
        <v>0</v>
      </c>
      <c r="K307" s="266">
        <f>prod_compiled!K34</f>
        <v>0</v>
      </c>
      <c r="L307" s="266">
        <f>prod_compiled!L34</f>
        <v>0</v>
      </c>
      <c r="M307" s="266">
        <f>prod_compiled!M34</f>
        <v>0</v>
      </c>
      <c r="N307" s="266">
        <f>prod_compiled!N34</f>
        <v>0</v>
      </c>
      <c r="O307" s="266">
        <f>prod_compiled!O34</f>
        <v>0</v>
      </c>
    </row>
    <row r="308" spans="3:15" hidden="1"/>
    <row r="309" spans="3:15" hidden="1"/>
    <row r="310" spans="3:15" hidden="1"/>
    <row r="312" spans="3:15">
      <c r="C312" s="184" t="s">
        <v>225</v>
      </c>
      <c r="D312" s="184" t="str">
        <f>interFY_transition!J$20</f>
        <v>Apr'26</v>
      </c>
      <c r="E312" s="184" t="str">
        <f>interFY_transition!K$20</f>
        <v>May'26</v>
      </c>
      <c r="F312" s="184" t="str">
        <f>interFY_transition!L$20</f>
        <v>June'26</v>
      </c>
      <c r="G312" s="184" t="str">
        <f>interFY_transition!M$20</f>
        <v>July'26</v>
      </c>
      <c r="H312" s="184" t="str">
        <f>interFY_transition!N$20</f>
        <v>Aug'26</v>
      </c>
      <c r="I312" s="184" t="str">
        <f>interFY_transition!O$20</f>
        <v>Sep'26</v>
      </c>
      <c r="J312" s="184" t="str">
        <f>interFY_transition!P$20</f>
        <v>Oct'26</v>
      </c>
      <c r="K312" s="184" t="str">
        <f>interFY_transition!Q$20</f>
        <v>Nov'26</v>
      </c>
      <c r="L312" s="184" t="str">
        <f>interFY_transition!R$20</f>
        <v>Dec'26</v>
      </c>
      <c r="M312" s="184" t="str">
        <f>interFY_transition!S$20</f>
        <v>Jan'27</v>
      </c>
      <c r="N312" s="184" t="str">
        <f>interFY_transition!T$20</f>
        <v>Feb'27</v>
      </c>
      <c r="O312" s="184" t="str">
        <f>interFY_transition!U$20</f>
        <v>Mar'27</v>
      </c>
    </row>
    <row r="313" spans="3:15">
      <c r="C313" s="184" t="str">
        <f>$A$213</f>
        <v>BE(mmscmd)</v>
      </c>
      <c r="D313" s="266">
        <f>Target_monthwise!D38</f>
        <v>0</v>
      </c>
      <c r="E313" s="266">
        <f>Target_monthwise!E38</f>
        <v>0</v>
      </c>
      <c r="F313" s="266">
        <f>Target_monthwise!F38</f>
        <v>0</v>
      </c>
      <c r="G313" s="266">
        <f>Target_monthwise!G38</f>
        <v>0</v>
      </c>
      <c r="H313" s="266">
        <f>Target_monthwise!H38</f>
        <v>0</v>
      </c>
      <c r="I313" s="266">
        <f>Target_monthwise!I38</f>
        <v>0</v>
      </c>
      <c r="J313" s="266">
        <f>Target_monthwise!J38</f>
        <v>0</v>
      </c>
      <c r="K313" s="266">
        <f>Target_monthwise!K38</f>
        <v>0</v>
      </c>
      <c r="L313" s="266">
        <f>Target_monthwise!L38</f>
        <v>0</v>
      </c>
      <c r="M313" s="266">
        <f>Target_monthwise!M38</f>
        <v>0</v>
      </c>
      <c r="N313" s="266">
        <f>Target_monthwise!N38</f>
        <v>0</v>
      </c>
      <c r="O313" s="266">
        <f>Target_monthwise!O38</f>
        <v>0</v>
      </c>
    </row>
    <row r="314" spans="3:15">
      <c r="C314" s="184" t="s">
        <v>29</v>
      </c>
      <c r="D314" s="266">
        <f>prod_compiled!D35</f>
        <v>0</v>
      </c>
      <c r="E314" s="266">
        <f>prod_compiled!E35</f>
        <v>0</v>
      </c>
      <c r="F314" s="266">
        <f>prod_compiled!F35</f>
        <v>0</v>
      </c>
      <c r="G314" s="266">
        <f>prod_compiled!G35</f>
        <v>0</v>
      </c>
      <c r="H314" s="266">
        <f>prod_compiled!H35</f>
        <v>0</v>
      </c>
      <c r="I314" s="266">
        <f>prod_compiled!I35</f>
        <v>0</v>
      </c>
      <c r="J314" s="266">
        <f>prod_compiled!J35</f>
        <v>0</v>
      </c>
      <c r="K314" s="266">
        <f>prod_compiled!K35</f>
        <v>0</v>
      </c>
      <c r="L314" s="266">
        <f>prod_compiled!L35</f>
        <v>0</v>
      </c>
      <c r="M314" s="266">
        <f>prod_compiled!M35</f>
        <v>0</v>
      </c>
      <c r="N314" s="266">
        <f>prod_compiled!N35</f>
        <v>0</v>
      </c>
      <c r="O314" s="266">
        <f>prod_compiled!O35</f>
        <v>0</v>
      </c>
    </row>
    <row r="324" spans="3:15" s="187" customFormat="1"/>
    <row r="326" spans="3:15">
      <c r="C326" s="184" t="s">
        <v>226</v>
      </c>
      <c r="D326" s="184" t="str">
        <f>interFY_transition!J$20</f>
        <v>Apr'26</v>
      </c>
      <c r="E326" s="184" t="str">
        <f>interFY_transition!K$20</f>
        <v>May'26</v>
      </c>
      <c r="F326" s="184" t="str">
        <f>interFY_transition!L$20</f>
        <v>June'26</v>
      </c>
      <c r="G326" s="184" t="str">
        <f>interFY_transition!M$20</f>
        <v>July'26</v>
      </c>
      <c r="H326" s="184" t="str">
        <f>interFY_transition!N$20</f>
        <v>Aug'26</v>
      </c>
      <c r="I326" s="184" t="str">
        <f>interFY_transition!O$20</f>
        <v>Sep'26</v>
      </c>
      <c r="J326" s="184" t="str">
        <f>interFY_transition!P$20</f>
        <v>Oct'26</v>
      </c>
      <c r="K326" s="184" t="str">
        <f>interFY_transition!Q$20</f>
        <v>Nov'26</v>
      </c>
      <c r="L326" s="184" t="str">
        <f>interFY_transition!R$20</f>
        <v>Dec'26</v>
      </c>
      <c r="M326" s="184" t="str">
        <f>interFY_transition!S$20</f>
        <v>Jan'27</v>
      </c>
      <c r="N326" s="184" t="str">
        <f>interFY_transition!T$20</f>
        <v>Feb'27</v>
      </c>
      <c r="O326" s="184" t="str">
        <f>interFY_transition!U$20</f>
        <v>Mar'27</v>
      </c>
    </row>
    <row r="327" spans="3:15">
      <c r="C327" s="184" t="str">
        <f>$A$213</f>
        <v>BE(mmscmd)</v>
      </c>
      <c r="D327" s="266">
        <f>Target_monthwise!D39</f>
        <v>14.117647058823527</v>
      </c>
      <c r="E327" s="266">
        <f>Target_monthwise!E39</f>
        <v>14.041745730550282</v>
      </c>
      <c r="F327" s="266">
        <f>Target_monthwise!F39</f>
        <v>14.117647058823527</v>
      </c>
      <c r="G327" s="266">
        <f>Target_monthwise!G39</f>
        <v>14.041745730550282</v>
      </c>
      <c r="H327" s="266">
        <f>Target_monthwise!H39</f>
        <v>14.041745730550282</v>
      </c>
      <c r="I327" s="266">
        <f>Target_monthwise!I39</f>
        <v>14.117647058823527</v>
      </c>
      <c r="J327" s="266">
        <f>Target_monthwise!J39</f>
        <v>14.085414987912973</v>
      </c>
      <c r="K327" s="266">
        <f>Target_monthwise!K39</f>
        <v>14.117647058823527</v>
      </c>
      <c r="L327" s="266">
        <f>Target_monthwise!L39</f>
        <v>14.041745730550282</v>
      </c>
      <c r="M327" s="266">
        <f>Target_monthwise!M39</f>
        <v>14.041745730550282</v>
      </c>
      <c r="N327" s="266">
        <f>Target_monthwise!N39</f>
        <v>14.285714285714285</v>
      </c>
      <c r="O327" s="266">
        <f>Target_monthwise!O39</f>
        <v>14.041745730550282</v>
      </c>
    </row>
    <row r="328" spans="3:15">
      <c r="C328" s="184" t="s">
        <v>29</v>
      </c>
      <c r="D328" s="266">
        <f>prod_compiled!D36</f>
        <v>13.193331000000001</v>
      </c>
      <c r="E328" s="266">
        <f>prod_compiled!E36</f>
        <v>13.75741935483871</v>
      </c>
      <c r="F328" s="266">
        <f>prod_compiled!F36</f>
        <v>14.452372</v>
      </c>
      <c r="G328" s="266">
        <f>prod_compiled!G36</f>
        <v>14.21812129032258</v>
      </c>
      <c r="H328" s="266">
        <f>prod_compiled!H36</f>
        <v>14.07202995152252</v>
      </c>
      <c r="I328" s="266">
        <f>prod_compiled!I36</f>
        <v>0</v>
      </c>
      <c r="J328" s="266">
        <f>prod_compiled!J36</f>
        <v>0</v>
      </c>
      <c r="K328" s="266">
        <f>prod_compiled!K36</f>
        <v>0</v>
      </c>
      <c r="L328" s="266">
        <f>prod_compiled!L36</f>
        <v>0</v>
      </c>
      <c r="M328" s="266">
        <f>prod_compiled!M36</f>
        <v>0</v>
      </c>
      <c r="N328" s="266">
        <f>prod_compiled!N36</f>
        <v>0</v>
      </c>
      <c r="O328" s="266">
        <f>prod_compiled!O36</f>
        <v>0</v>
      </c>
    </row>
    <row r="339" spans="1:15" s="268" customFormat="1"/>
    <row r="340" spans="1:15">
      <c r="A340" s="286" t="str">
        <f>CONCATENATE(A1,B340)</f>
        <v>BE(MMT)</v>
      </c>
      <c r="B340" t="s">
        <v>302</v>
      </c>
    </row>
    <row r="341" spans="1:15">
      <c r="C341" s="184" t="s">
        <v>227</v>
      </c>
      <c r="D341" s="184" t="str">
        <f>interFY_transition!J$20</f>
        <v>Apr'26</v>
      </c>
      <c r="E341" s="184" t="str">
        <f>interFY_transition!K$20</f>
        <v>May'26</v>
      </c>
      <c r="F341" s="184" t="str">
        <f>interFY_transition!L$20</f>
        <v>June'26</v>
      </c>
      <c r="G341" s="184" t="str">
        <f>interFY_transition!M$20</f>
        <v>July'26</v>
      </c>
      <c r="H341" s="184" t="str">
        <f>interFY_transition!N$20</f>
        <v>Aug'26</v>
      </c>
      <c r="I341" s="184" t="str">
        <f>interFY_transition!O$20</f>
        <v>Sep'26</v>
      </c>
      <c r="J341" s="184" t="str">
        <f>interFY_transition!P$20</f>
        <v>Oct'26</v>
      </c>
      <c r="K341" s="184" t="str">
        <f>interFY_transition!Q$20</f>
        <v>Nov'26</v>
      </c>
      <c r="L341" s="184" t="str">
        <f>interFY_transition!R$20</f>
        <v>Dec'26</v>
      </c>
      <c r="M341" s="184" t="str">
        <f>interFY_transition!S$20</f>
        <v>Jan'27</v>
      </c>
      <c r="N341" s="184" t="str">
        <f>interFY_transition!T$20</f>
        <v>Feb'27</v>
      </c>
      <c r="O341" s="184" t="str">
        <f>interFY_transition!U$20</f>
        <v>Mar'27</v>
      </c>
    </row>
    <row r="342" spans="1:15">
      <c r="C342" s="184" t="str">
        <f>$A$340</f>
        <v>BE(MMT)</v>
      </c>
      <c r="D342" s="267">
        <f>Target_monthwise!D47</f>
        <v>0.115</v>
      </c>
      <c r="E342" s="267">
        <f>Target_monthwise!E47</f>
        <v>0.11799999999999999</v>
      </c>
      <c r="F342" s="267">
        <f>Target_monthwise!F47</f>
        <v>0.114</v>
      </c>
      <c r="G342" s="267">
        <f>Target_monthwise!G47</f>
        <v>0.11799999999999999</v>
      </c>
      <c r="H342" s="267">
        <f>Target_monthwise!H47</f>
        <v>0.11700000000000001</v>
      </c>
      <c r="I342" s="267">
        <f>Target_monthwise!I47</f>
        <v>0.115</v>
      </c>
      <c r="J342" s="267">
        <f>Target_monthwise!J47</f>
        <v>0.11700000000000001</v>
      </c>
      <c r="K342" s="267">
        <f>Target_monthwise!K47</f>
        <v>0.112</v>
      </c>
      <c r="L342" s="267">
        <f>Target_monthwise!L47</f>
        <v>0.114</v>
      </c>
      <c r="M342" s="267">
        <f>Target_monthwise!M47</f>
        <v>0.113</v>
      </c>
      <c r="N342" s="267">
        <f>Target_monthwise!N47</f>
        <v>0.10299999999999999</v>
      </c>
      <c r="O342" s="267">
        <f>Target_monthwise!O47</f>
        <v>0.113</v>
      </c>
    </row>
    <row r="343" spans="1:15">
      <c r="C343" s="184" t="s">
        <v>29</v>
      </c>
      <c r="D343" s="267">
        <f>prod_compiled!D41</f>
        <v>0.155</v>
      </c>
      <c r="E343" s="267">
        <f>prod_compiled!E41</f>
        <v>0.156</v>
      </c>
      <c r="F343" s="267">
        <f>prod_compiled!F41</f>
        <v>0.13400000000000001</v>
      </c>
      <c r="G343" s="267">
        <f>prod_compiled!G41</f>
        <v>0.158</v>
      </c>
      <c r="H343" s="267">
        <f>prod_compiled!H41</f>
        <v>0.15496189729712831</v>
      </c>
      <c r="I343" s="267">
        <f>prod_compiled!I41</f>
        <v>0</v>
      </c>
      <c r="J343" s="267">
        <f>prod_compiled!J41</f>
        <v>0</v>
      </c>
      <c r="K343" s="267">
        <f>prod_compiled!K41</f>
        <v>0</v>
      </c>
      <c r="L343" s="267">
        <f>prod_compiled!L41</f>
        <v>0</v>
      </c>
      <c r="M343" s="267">
        <f>prod_compiled!M41</f>
        <v>0</v>
      </c>
      <c r="N343" s="267">
        <f>prod_compiled!N41</f>
        <v>0</v>
      </c>
      <c r="O343" s="267">
        <f>prod_compiled!O41</f>
        <v>0</v>
      </c>
    </row>
    <row r="353" spans="3:15" s="187" customFormat="1"/>
    <row r="355" spans="3:15">
      <c r="C355" s="184" t="s">
        <v>228</v>
      </c>
      <c r="D355" s="184" t="str">
        <f>interFY_transition!J$20</f>
        <v>Apr'26</v>
      </c>
      <c r="E355" s="184" t="str">
        <f>interFY_transition!K$20</f>
        <v>May'26</v>
      </c>
      <c r="F355" s="184" t="str">
        <f>interFY_transition!L$20</f>
        <v>June'26</v>
      </c>
      <c r="G355" s="184" t="str">
        <f>interFY_transition!M$20</f>
        <v>July'26</v>
      </c>
      <c r="H355" s="184" t="str">
        <f>interFY_transition!N$20</f>
        <v>Aug'26</v>
      </c>
      <c r="I355" s="184" t="str">
        <f>interFY_transition!O$20</f>
        <v>Sep'26</v>
      </c>
      <c r="J355" s="184" t="str">
        <f>interFY_transition!P$20</f>
        <v>Oct'26</v>
      </c>
      <c r="K355" s="184" t="str">
        <f>interFY_transition!Q$20</f>
        <v>Nov'26</v>
      </c>
      <c r="L355" s="184" t="str">
        <f>interFY_transition!R$20</f>
        <v>Dec'26</v>
      </c>
      <c r="M355" s="184" t="str">
        <f>interFY_transition!S$20</f>
        <v>Jan'27</v>
      </c>
      <c r="N355" s="184" t="str">
        <f>interFY_transition!T$20</f>
        <v>Feb'27</v>
      </c>
      <c r="O355" s="184" t="str">
        <f>interFY_transition!U$20</f>
        <v>Mar'27</v>
      </c>
    </row>
    <row r="356" spans="3:15">
      <c r="C356" s="184" t="str">
        <f>$A$340</f>
        <v>BE(MMT)</v>
      </c>
      <c r="D356" s="267">
        <f>Target_monthwise!D48</f>
        <v>0.183</v>
      </c>
      <c r="E356" s="267">
        <f>Target_monthwise!E48</f>
        <v>0.189</v>
      </c>
      <c r="F356" s="267">
        <f>Target_monthwise!F48</f>
        <v>0.184</v>
      </c>
      <c r="G356" s="267">
        <f>Target_monthwise!G48</f>
        <v>0.189</v>
      </c>
      <c r="H356" s="267">
        <f>Target_monthwise!H48</f>
        <v>0.189</v>
      </c>
      <c r="I356" s="267">
        <f>Target_monthwise!I48</f>
        <v>0.183</v>
      </c>
      <c r="J356" s="267">
        <f>Target_monthwise!J48</f>
        <v>0.189</v>
      </c>
      <c r="K356" s="267">
        <f>Target_monthwise!K48</f>
        <v>0.183</v>
      </c>
      <c r="L356" s="267">
        <f>Target_monthwise!L48</f>
        <v>0.189</v>
      </c>
      <c r="M356" s="267">
        <f>Target_monthwise!M48</f>
        <v>0.189</v>
      </c>
      <c r="N356" s="267">
        <f>Target_monthwise!N48</f>
        <v>0.17100000000000001</v>
      </c>
      <c r="O356" s="267">
        <f>Target_monthwise!O48</f>
        <v>0.189</v>
      </c>
    </row>
    <row r="357" spans="3:15">
      <c r="C357" s="184" t="s">
        <v>29</v>
      </c>
      <c r="D357" s="267">
        <f>prod_compiled!D42</f>
        <v>0.16300000000000001</v>
      </c>
      <c r="E357" s="267">
        <f>prod_compiled!E42</f>
        <v>0.16900000000000001</v>
      </c>
      <c r="F357" s="267">
        <f>prod_compiled!F42</f>
        <v>0.16300000000000001</v>
      </c>
      <c r="G357" s="267">
        <f>prod_compiled!G42</f>
        <v>0.16900000000000001</v>
      </c>
      <c r="H357" s="267">
        <f>prod_compiled!H42</f>
        <v>0.16962658602794101</v>
      </c>
      <c r="I357" s="267">
        <f>prod_compiled!I42</f>
        <v>0</v>
      </c>
      <c r="J357" s="267">
        <f>prod_compiled!J42</f>
        <v>0</v>
      </c>
      <c r="K357" s="267">
        <f>prod_compiled!K42</f>
        <v>0</v>
      </c>
      <c r="L357" s="267">
        <f>prod_compiled!L42</f>
        <v>0</v>
      </c>
      <c r="M357" s="267">
        <f>prod_compiled!M42</f>
        <v>0</v>
      </c>
      <c r="N357" s="267">
        <f>prod_compiled!N42</f>
        <v>0</v>
      </c>
      <c r="O357" s="267">
        <f>prod_compiled!O42</f>
        <v>0</v>
      </c>
    </row>
    <row r="367" spans="3:15" s="187" customFormat="1"/>
    <row r="369" spans="3:15">
      <c r="C369" s="184" t="s">
        <v>229</v>
      </c>
      <c r="D369" s="184" t="str">
        <f>interFY_transition!J$20</f>
        <v>Apr'26</v>
      </c>
      <c r="E369" s="184" t="str">
        <f>interFY_transition!K$20</f>
        <v>May'26</v>
      </c>
      <c r="F369" s="184" t="str">
        <f>interFY_transition!L$20</f>
        <v>June'26</v>
      </c>
      <c r="G369" s="184" t="str">
        <f>interFY_transition!M$20</f>
        <v>July'26</v>
      </c>
      <c r="H369" s="184" t="str">
        <f>interFY_transition!N$20</f>
        <v>Aug'26</v>
      </c>
      <c r="I369" s="184" t="str">
        <f>interFY_transition!O$20</f>
        <v>Sep'26</v>
      </c>
      <c r="J369" s="184" t="str">
        <f>interFY_transition!P$20</f>
        <v>Oct'26</v>
      </c>
      <c r="K369" s="184" t="str">
        <f>interFY_transition!Q$20</f>
        <v>Nov'26</v>
      </c>
      <c r="L369" s="184" t="str">
        <f>interFY_transition!R$20</f>
        <v>Dec'26</v>
      </c>
      <c r="M369" s="184" t="str">
        <f>interFY_transition!S$20</f>
        <v>Jan'27</v>
      </c>
      <c r="N369" s="184" t="str">
        <f>interFY_transition!T$20</f>
        <v>Feb'27</v>
      </c>
      <c r="O369" s="184" t="str">
        <f>interFY_transition!U$20</f>
        <v>Mar'27</v>
      </c>
    </row>
    <row r="370" spans="3:15">
      <c r="C370" s="184" t="str">
        <f>$A$340</f>
        <v>BE(MMT)</v>
      </c>
      <c r="D370" s="267">
        <f>Target_monthwise!D49</f>
        <v>8.0000000000000002E-3</v>
      </c>
      <c r="E370" s="267">
        <f>Target_monthwise!E49</f>
        <v>8.0000000000000002E-3</v>
      </c>
      <c r="F370" s="267">
        <f>Target_monthwise!F49</f>
        <v>8.0000000000000002E-3</v>
      </c>
      <c r="G370" s="267">
        <f>Target_monthwise!G49</f>
        <v>8.9999999999999993E-3</v>
      </c>
      <c r="H370" s="267">
        <f>Target_monthwise!H49</f>
        <v>8.9999999999999993E-3</v>
      </c>
      <c r="I370" s="267">
        <f>Target_monthwise!I49</f>
        <v>8.0000000000000002E-3</v>
      </c>
      <c r="J370" s="267">
        <f>Target_monthwise!J49</f>
        <v>8.9999999999999993E-3</v>
      </c>
      <c r="K370" s="267">
        <f>Target_monthwise!K49</f>
        <v>8.0000000000000002E-3</v>
      </c>
      <c r="L370" s="267">
        <f>Target_monthwise!L49</f>
        <v>8.0000000000000002E-3</v>
      </c>
      <c r="M370" s="267">
        <f>Target_monthwise!M49</f>
        <v>8.9999999999999993E-3</v>
      </c>
      <c r="N370" s="267">
        <f>Target_monthwise!N49</f>
        <v>8.0000000000000002E-3</v>
      </c>
      <c r="O370" s="267">
        <f>Target_monthwise!O49</f>
        <v>8.9999999999999993E-3</v>
      </c>
    </row>
    <row r="371" spans="3:15">
      <c r="C371" s="184" t="s">
        <v>29</v>
      </c>
      <c r="D371" s="267">
        <f>prod_compiled!D43</f>
        <v>8.0000000000000002E-3</v>
      </c>
      <c r="E371" s="267">
        <f>prod_compiled!E43</f>
        <v>7.0000000000000001E-3</v>
      </c>
      <c r="F371" s="267">
        <f>prod_compiled!F43</f>
        <v>8.0000000000000002E-3</v>
      </c>
      <c r="G371" s="267">
        <f>prod_compiled!G43</f>
        <v>8.0000000000000002E-3</v>
      </c>
      <c r="H371" s="267">
        <f>prod_compiled!H43</f>
        <v>7.4579606204879826E-3</v>
      </c>
      <c r="I371" s="267">
        <f>prod_compiled!I43</f>
        <v>0</v>
      </c>
      <c r="J371" s="267">
        <f>prod_compiled!J43</f>
        <v>0</v>
      </c>
      <c r="K371" s="267">
        <f>prod_compiled!K43</f>
        <v>0</v>
      </c>
      <c r="L371" s="267">
        <f>prod_compiled!L43</f>
        <v>0</v>
      </c>
      <c r="M371" s="267">
        <f>prod_compiled!M43</f>
        <v>0</v>
      </c>
      <c r="N371" s="267">
        <f>prod_compiled!N43</f>
        <v>0</v>
      </c>
      <c r="O371" s="267">
        <f>prod_compiled!O43</f>
        <v>0</v>
      </c>
    </row>
    <row r="381" spans="3:15" s="187" customFormat="1"/>
    <row r="383" spans="3:15">
      <c r="C383" s="184" t="s">
        <v>230</v>
      </c>
      <c r="D383" s="184" t="str">
        <f>interFY_transition!J$20</f>
        <v>Apr'26</v>
      </c>
      <c r="E383" s="184" t="str">
        <f>interFY_transition!K$20</f>
        <v>May'26</v>
      </c>
      <c r="F383" s="184" t="str">
        <f>interFY_transition!L$20</f>
        <v>June'26</v>
      </c>
      <c r="G383" s="184" t="str">
        <f>interFY_transition!M$20</f>
        <v>July'26</v>
      </c>
      <c r="H383" s="184" t="str">
        <f>interFY_transition!N$20</f>
        <v>Aug'26</v>
      </c>
      <c r="I383" s="184" t="str">
        <f>interFY_transition!O$20</f>
        <v>Sep'26</v>
      </c>
      <c r="J383" s="184" t="str">
        <f>interFY_transition!P$20</f>
        <v>Oct'26</v>
      </c>
      <c r="K383" s="184" t="str">
        <f>interFY_transition!Q$20</f>
        <v>Nov'26</v>
      </c>
      <c r="L383" s="184" t="str">
        <f>interFY_transition!R$20</f>
        <v>Dec'26</v>
      </c>
      <c r="M383" s="184" t="str">
        <f>interFY_transition!S$20</f>
        <v>Jan'27</v>
      </c>
      <c r="N383" s="184" t="str">
        <f>interFY_transition!T$20</f>
        <v>Feb'27</v>
      </c>
      <c r="O383" s="184" t="str">
        <f>interFY_transition!U$20</f>
        <v>Mar'27</v>
      </c>
    </row>
    <row r="384" spans="3:15">
      <c r="C384" s="184" t="str">
        <f>$A$340</f>
        <v>BE(MMT)</v>
      </c>
      <c r="D384" s="267">
        <f>Target_monthwise!D50</f>
        <v>3.9E-2</v>
      </c>
      <c r="E384" s="267">
        <f>Target_monthwise!E50</f>
        <v>0.04</v>
      </c>
      <c r="F384" s="267">
        <f>Target_monthwise!F50</f>
        <v>3.9E-2</v>
      </c>
      <c r="G384" s="267">
        <f>Target_monthwise!G50</f>
        <v>0.04</v>
      </c>
      <c r="H384" s="267">
        <f>Target_monthwise!H50</f>
        <v>0.04</v>
      </c>
      <c r="I384" s="267">
        <f>Target_monthwise!I50</f>
        <v>3.9E-2</v>
      </c>
      <c r="J384" s="267">
        <f>Target_monthwise!J50</f>
        <v>3.9E-2</v>
      </c>
      <c r="K384" s="267">
        <f>Target_monthwise!K50</f>
        <v>3.9E-2</v>
      </c>
      <c r="L384" s="267">
        <f>Target_monthwise!L50</f>
        <v>0.04</v>
      </c>
      <c r="M384" s="267">
        <f>Target_monthwise!M50</f>
        <v>0.04</v>
      </c>
      <c r="N384" s="267">
        <f>Target_monthwise!N50</f>
        <v>3.5999999999999997E-2</v>
      </c>
      <c r="O384" s="267">
        <f>Target_monthwise!O50</f>
        <v>0.04</v>
      </c>
    </row>
    <row r="385" spans="3:15">
      <c r="C385" s="184" t="s">
        <v>29</v>
      </c>
      <c r="D385" s="267">
        <f>prod_compiled!D44</f>
        <v>3.7999999999999999E-2</v>
      </c>
      <c r="E385" s="267">
        <f>prod_compiled!E44</f>
        <v>3.9E-2</v>
      </c>
      <c r="F385" s="267">
        <f>prod_compiled!F44</f>
        <v>3.7999999999999999E-2</v>
      </c>
      <c r="G385" s="267">
        <f>prod_compiled!G44</f>
        <v>0.04</v>
      </c>
      <c r="H385" s="267">
        <f>prod_compiled!H44</f>
        <v>3.6889161648039209E-2</v>
      </c>
      <c r="I385" s="267">
        <f>prod_compiled!I44</f>
        <v>0</v>
      </c>
      <c r="J385" s="267">
        <f>prod_compiled!J44</f>
        <v>0</v>
      </c>
      <c r="K385" s="267">
        <f>prod_compiled!K44</f>
        <v>0</v>
      </c>
      <c r="L385" s="267">
        <f>prod_compiled!L44</f>
        <v>0</v>
      </c>
      <c r="M385" s="267">
        <f>prod_compiled!M44</f>
        <v>0</v>
      </c>
      <c r="N385" s="267">
        <f>prod_compiled!N44</f>
        <v>0</v>
      </c>
      <c r="O385" s="267">
        <f>prod_compiled!O44</f>
        <v>0</v>
      </c>
    </row>
    <row r="395" spans="3:15" s="187" customFormat="1"/>
    <row r="397" spans="3:15">
      <c r="C397" s="184" t="s">
        <v>231</v>
      </c>
      <c r="D397" s="184" t="str">
        <f>interFY_transition!J$20</f>
        <v>Apr'26</v>
      </c>
      <c r="E397" s="184" t="str">
        <f>interFY_transition!K$20</f>
        <v>May'26</v>
      </c>
      <c r="F397" s="184" t="str">
        <f>interFY_transition!L$20</f>
        <v>June'26</v>
      </c>
      <c r="G397" s="184" t="str">
        <f>interFY_transition!M$20</f>
        <v>July'26</v>
      </c>
      <c r="H397" s="184" t="str">
        <f>interFY_transition!N$20</f>
        <v>Aug'26</v>
      </c>
      <c r="I397" s="184" t="str">
        <f>interFY_transition!O$20</f>
        <v>Sep'26</v>
      </c>
      <c r="J397" s="184" t="str">
        <f>interFY_transition!P$20</f>
        <v>Oct'26</v>
      </c>
      <c r="K397" s="184" t="str">
        <f>interFY_transition!Q$20</f>
        <v>Nov'26</v>
      </c>
      <c r="L397" s="184" t="str">
        <f>interFY_transition!R$20</f>
        <v>Dec'26</v>
      </c>
      <c r="M397" s="184" t="str">
        <f>interFY_transition!S$20</f>
        <v>Jan'27</v>
      </c>
      <c r="N397" s="184" t="str">
        <f>interFY_transition!T$20</f>
        <v>Feb'27</v>
      </c>
      <c r="O397" s="184" t="str">
        <f>interFY_transition!U$20</f>
        <v>Mar'27</v>
      </c>
    </row>
    <row r="398" spans="3:15">
      <c r="C398" s="184" t="str">
        <f>$A$340</f>
        <v>BE(MMT)</v>
      </c>
      <c r="D398" s="267">
        <f>Target_monthwise!D51</f>
        <v>2.9000000000000001E-2</v>
      </c>
      <c r="E398" s="267">
        <f>Target_monthwise!E51</f>
        <v>2.9000000000000001E-2</v>
      </c>
      <c r="F398" s="267">
        <f>Target_monthwise!F51</f>
        <v>2.9000000000000001E-2</v>
      </c>
      <c r="G398" s="267">
        <f>Target_monthwise!G51</f>
        <v>0.03</v>
      </c>
      <c r="H398" s="267">
        <f>Target_monthwise!H51</f>
        <v>2.9000000000000001E-2</v>
      </c>
      <c r="I398" s="267">
        <f>Target_monthwise!I51</f>
        <v>2.9000000000000001E-2</v>
      </c>
      <c r="J398" s="267">
        <f>Target_monthwise!J51</f>
        <v>0.03</v>
      </c>
      <c r="K398" s="267">
        <f>Target_monthwise!K51</f>
        <v>2.9000000000000001E-2</v>
      </c>
      <c r="L398" s="267">
        <f>Target_monthwise!L51</f>
        <v>0.03</v>
      </c>
      <c r="M398" s="267">
        <f>Target_monthwise!M51</f>
        <v>0.03</v>
      </c>
      <c r="N398" s="267">
        <f>Target_monthwise!N51</f>
        <v>2.7E-2</v>
      </c>
      <c r="O398" s="267">
        <f>Target_monthwise!O51</f>
        <v>2.9000000000000001E-2</v>
      </c>
    </row>
    <row r="399" spans="3:15">
      <c r="C399" s="184" t="s">
        <v>29</v>
      </c>
      <c r="D399" s="267">
        <f>prod_compiled!D45</f>
        <v>4.2999999999999997E-2</v>
      </c>
      <c r="E399" s="267">
        <f>prod_compiled!E45</f>
        <v>3.6999999999999998E-2</v>
      </c>
      <c r="F399" s="267">
        <f>prod_compiled!F45</f>
        <v>3.9E-2</v>
      </c>
      <c r="G399" s="267">
        <f>prod_compiled!G45</f>
        <v>3.4000000000000002E-2</v>
      </c>
      <c r="H399" s="267">
        <f>prod_compiled!H45</f>
        <v>4.4524521924801316E-2</v>
      </c>
      <c r="I399" s="267">
        <f>prod_compiled!I45</f>
        <v>0</v>
      </c>
      <c r="J399" s="267">
        <f>prod_compiled!J45</f>
        <v>0</v>
      </c>
      <c r="K399" s="267">
        <f>prod_compiled!K45</f>
        <v>0</v>
      </c>
      <c r="L399" s="267">
        <f>prod_compiled!L45</f>
        <v>0</v>
      </c>
      <c r="M399" s="267">
        <f>prod_compiled!M45</f>
        <v>0</v>
      </c>
      <c r="N399" s="267">
        <f>prod_compiled!N45</f>
        <v>0</v>
      </c>
      <c r="O399" s="267">
        <f>prod_compiled!O45</f>
        <v>0</v>
      </c>
    </row>
    <row r="409" spans="3:15" s="187" customFormat="1"/>
    <row r="411" spans="3:15">
      <c r="C411" s="184" t="s">
        <v>232</v>
      </c>
      <c r="D411" s="184" t="str">
        <f>interFY_transition!J$20</f>
        <v>Apr'26</v>
      </c>
      <c r="E411" s="184" t="str">
        <f>interFY_transition!K$20</f>
        <v>May'26</v>
      </c>
      <c r="F411" s="184" t="str">
        <f>interFY_transition!L$20</f>
        <v>June'26</v>
      </c>
      <c r="G411" s="184" t="str">
        <f>interFY_transition!M$20</f>
        <v>July'26</v>
      </c>
      <c r="H411" s="184" t="str">
        <f>interFY_transition!N$20</f>
        <v>Aug'26</v>
      </c>
      <c r="I411" s="184" t="str">
        <f>interFY_transition!O$20</f>
        <v>Sep'26</v>
      </c>
      <c r="J411" s="184" t="str">
        <f>interFY_transition!P$20</f>
        <v>Oct'26</v>
      </c>
      <c r="K411" s="184" t="str">
        <f>interFY_transition!Q$20</f>
        <v>Nov'26</v>
      </c>
      <c r="L411" s="184" t="str">
        <f>interFY_transition!R$20</f>
        <v>Dec'26</v>
      </c>
      <c r="M411" s="184" t="str">
        <f>interFY_transition!S$20</f>
        <v>Jan'27</v>
      </c>
      <c r="N411" s="184" t="str">
        <f>interFY_transition!T$20</f>
        <v>Feb'27</v>
      </c>
      <c r="O411" s="184" t="str">
        <f>interFY_transition!U$20</f>
        <v>Mar'27</v>
      </c>
    </row>
    <row r="412" spans="3:15">
      <c r="C412" s="184" t="str">
        <f>$A$340</f>
        <v>BE(MMT)</v>
      </c>
      <c r="D412" s="267">
        <f>Target_monthwise!D52</f>
        <v>1.2E-2</v>
      </c>
      <c r="E412" s="267">
        <f>Target_monthwise!E52</f>
        <v>1.2E-2</v>
      </c>
      <c r="F412" s="267">
        <f>Target_monthwise!F52</f>
        <v>1.2E-2</v>
      </c>
      <c r="G412" s="267">
        <f>Target_monthwise!G52</f>
        <v>1.2999999999999999E-2</v>
      </c>
      <c r="H412" s="267">
        <f>Target_monthwise!H52</f>
        <v>1.2999999999999999E-2</v>
      </c>
      <c r="I412" s="267">
        <f>Target_monthwise!I52</f>
        <v>1.2E-2</v>
      </c>
      <c r="J412" s="267">
        <f>Target_monthwise!J52</f>
        <v>1.2E-2</v>
      </c>
      <c r="K412" s="267">
        <f>Target_monthwise!K52</f>
        <v>1.2E-2</v>
      </c>
      <c r="L412" s="267">
        <f>Target_monthwise!L52</f>
        <v>1.2999999999999999E-2</v>
      </c>
      <c r="M412" s="267">
        <f>Target_monthwise!M52</f>
        <v>1.2999999999999999E-2</v>
      </c>
      <c r="N412" s="267">
        <f>Target_monthwise!N52</f>
        <v>1.0999999999999999E-2</v>
      </c>
      <c r="O412" s="267">
        <f>Target_monthwise!O52</f>
        <v>1.2E-2</v>
      </c>
    </row>
    <row r="413" spans="3:15">
      <c r="C413" s="184" t="s">
        <v>29</v>
      </c>
      <c r="D413" s="267">
        <f>prod_compiled!D46</f>
        <v>0.01</v>
      </c>
      <c r="E413" s="267">
        <f>prod_compiled!E46</f>
        <v>0.01</v>
      </c>
      <c r="F413" s="267">
        <f>prod_compiled!F46</f>
        <v>1.0999999999999999E-2</v>
      </c>
      <c r="G413" s="267">
        <f>prod_compiled!G46</f>
        <v>1.0999999999999999E-2</v>
      </c>
      <c r="H413" s="267">
        <f>prod_compiled!H46</f>
        <v>1.1377565889520215E-2</v>
      </c>
      <c r="I413" s="267">
        <f>prod_compiled!I46</f>
        <v>0</v>
      </c>
      <c r="J413" s="267">
        <f>prod_compiled!J46</f>
        <v>0</v>
      </c>
      <c r="K413" s="267">
        <f>prod_compiled!K46</f>
        <v>0</v>
      </c>
      <c r="L413" s="267">
        <f>prod_compiled!L46</f>
        <v>0</v>
      </c>
      <c r="M413" s="267">
        <f>prod_compiled!M46</f>
        <v>0</v>
      </c>
      <c r="N413" s="267">
        <f>prod_compiled!N46</f>
        <v>0</v>
      </c>
      <c r="O413" s="267">
        <f>prod_compiled!O46</f>
        <v>0</v>
      </c>
    </row>
    <row r="423" spans="3:15" s="187" customFormat="1"/>
    <row r="425" spans="3:15">
      <c r="C425" s="184" t="s">
        <v>233</v>
      </c>
      <c r="D425" s="184" t="str">
        <f>interFY_transition!J$20</f>
        <v>Apr'26</v>
      </c>
      <c r="E425" s="184" t="str">
        <f>interFY_transition!K$20</f>
        <v>May'26</v>
      </c>
      <c r="F425" s="184" t="str">
        <f>interFY_transition!L$20</f>
        <v>June'26</v>
      </c>
      <c r="G425" s="184" t="str">
        <f>interFY_transition!M$20</f>
        <v>July'26</v>
      </c>
      <c r="H425" s="184" t="str">
        <f>interFY_transition!N$20</f>
        <v>Aug'26</v>
      </c>
      <c r="I425" s="184" t="str">
        <f>interFY_transition!O$20</f>
        <v>Sep'26</v>
      </c>
      <c r="J425" s="184" t="str">
        <f>interFY_transition!P$20</f>
        <v>Oct'26</v>
      </c>
      <c r="K425" s="184" t="str">
        <f>interFY_transition!Q$20</f>
        <v>Nov'26</v>
      </c>
      <c r="L425" s="184" t="str">
        <f>interFY_transition!R$20</f>
        <v>Dec'26</v>
      </c>
      <c r="M425" s="184" t="str">
        <f>interFY_transition!S$20</f>
        <v>Jan'27</v>
      </c>
      <c r="N425" s="184" t="str">
        <f>interFY_transition!T$20</f>
        <v>Feb'27</v>
      </c>
      <c r="O425" s="184" t="str">
        <f>interFY_transition!U$20</f>
        <v>Mar'27</v>
      </c>
    </row>
    <row r="426" spans="3:15">
      <c r="C426" s="184" t="str">
        <f>$A$340</f>
        <v>BE(MMT)</v>
      </c>
      <c r="D426" s="267">
        <f>Target_monthwise!D53</f>
        <v>6.3E-2</v>
      </c>
      <c r="E426" s="267">
        <f>Target_monthwise!E53</f>
        <v>6.5000000000000002E-2</v>
      </c>
      <c r="F426" s="267">
        <f>Target_monthwise!F53</f>
        <v>6.4000000000000001E-2</v>
      </c>
      <c r="G426" s="267">
        <f>Target_monthwise!G53</f>
        <v>6.5000000000000002E-2</v>
      </c>
      <c r="H426" s="267">
        <f>Target_monthwise!H53</f>
        <v>6.5000000000000002E-2</v>
      </c>
      <c r="I426" s="267">
        <f>Target_monthwise!I53</f>
        <v>6.4000000000000001E-2</v>
      </c>
      <c r="J426" s="267">
        <f>Target_monthwise!J53</f>
        <v>6.5000000000000002E-2</v>
      </c>
      <c r="K426" s="267">
        <f>Target_monthwise!K53</f>
        <v>6.3E-2</v>
      </c>
      <c r="L426" s="267">
        <f>Target_monthwise!L53</f>
        <v>6.5000000000000002E-2</v>
      </c>
      <c r="M426" s="267">
        <f>Target_monthwise!M53</f>
        <v>6.5000000000000002E-2</v>
      </c>
      <c r="N426" s="267">
        <f>Target_monthwise!N53</f>
        <v>0.06</v>
      </c>
      <c r="O426" s="267">
        <f>Target_monthwise!O53</f>
        <v>6.6000000000000003E-2</v>
      </c>
    </row>
    <row r="427" spans="3:15">
      <c r="C427" s="184" t="s">
        <v>29</v>
      </c>
      <c r="D427" s="267">
        <f>prod_compiled!D47</f>
        <v>5.1999999999999998E-2</v>
      </c>
      <c r="E427" s="267">
        <f>prod_compiled!E47</f>
        <v>6.4000000000000001E-2</v>
      </c>
      <c r="F427" s="267">
        <f>prod_compiled!F47</f>
        <v>6.0999999999999999E-2</v>
      </c>
      <c r="G427" s="267">
        <f>prod_compiled!G47</f>
        <v>0.06</v>
      </c>
      <c r="H427" s="267">
        <f>prod_compiled!H47</f>
        <v>6.2181402660837964E-2</v>
      </c>
      <c r="I427" s="267">
        <f>prod_compiled!I47</f>
        <v>0</v>
      </c>
      <c r="J427" s="267">
        <f>prod_compiled!J47</f>
        <v>0</v>
      </c>
      <c r="K427" s="267">
        <f>prod_compiled!K47</f>
        <v>0</v>
      </c>
      <c r="L427" s="267">
        <f>prod_compiled!L47</f>
        <v>0</v>
      </c>
      <c r="M427" s="267">
        <f>prod_compiled!M47</f>
        <v>0</v>
      </c>
      <c r="N427" s="267">
        <f>prod_compiled!N47</f>
        <v>0</v>
      </c>
      <c r="O427" s="267">
        <f>prod_compiled!O47</f>
        <v>0</v>
      </c>
    </row>
    <row r="437" spans="3:15" s="187" customFormat="1"/>
    <row r="439" spans="3:15">
      <c r="C439" s="184" t="s">
        <v>234</v>
      </c>
      <c r="D439" s="184" t="str">
        <f>interFY_transition!J$20</f>
        <v>Apr'26</v>
      </c>
      <c r="E439" s="184" t="str">
        <f>interFY_transition!K$20</f>
        <v>May'26</v>
      </c>
      <c r="F439" s="184" t="str">
        <f>interFY_transition!L$20</f>
        <v>June'26</v>
      </c>
      <c r="G439" s="184" t="str">
        <f>interFY_transition!M$20</f>
        <v>July'26</v>
      </c>
      <c r="H439" s="184" t="str">
        <f>interFY_transition!N$20</f>
        <v>Aug'26</v>
      </c>
      <c r="I439" s="184" t="str">
        <f>interFY_transition!O$20</f>
        <v>Sep'26</v>
      </c>
      <c r="J439" s="184" t="str">
        <f>interFY_transition!P$20</f>
        <v>Oct'26</v>
      </c>
      <c r="K439" s="184" t="str">
        <f>interFY_transition!Q$20</f>
        <v>Nov'26</v>
      </c>
      <c r="L439" s="184" t="str">
        <f>interFY_transition!R$20</f>
        <v>Dec'26</v>
      </c>
      <c r="M439" s="184" t="str">
        <f>interFY_transition!S$20</f>
        <v>Jan'27</v>
      </c>
      <c r="N439" s="184" t="str">
        <f>interFY_transition!T$20</f>
        <v>Feb'27</v>
      </c>
      <c r="O439" s="184" t="str">
        <f>interFY_transition!U$20</f>
        <v>Mar'27</v>
      </c>
    </row>
    <row r="440" spans="3:15">
      <c r="C440" s="184" t="str">
        <f>$A$340</f>
        <v>BE(MMT)</v>
      </c>
      <c r="D440" s="267">
        <f>Target_monthwise!D54</f>
        <v>4.0000000000000001E-3</v>
      </c>
      <c r="E440" s="267">
        <f>Target_monthwise!E54</f>
        <v>5.0000000000000001E-3</v>
      </c>
      <c r="F440" s="267">
        <f>Target_monthwise!F54</f>
        <v>4.0000000000000001E-3</v>
      </c>
      <c r="G440" s="267">
        <f>Target_monthwise!G54</f>
        <v>4.0000000000000001E-3</v>
      </c>
      <c r="H440" s="267">
        <f>Target_monthwise!H54</f>
        <v>5.0000000000000001E-3</v>
      </c>
      <c r="I440" s="267">
        <f>Target_monthwise!I54</f>
        <v>4.0000000000000001E-3</v>
      </c>
      <c r="J440" s="267">
        <f>Target_monthwise!J54</f>
        <v>4.0000000000000001E-3</v>
      </c>
      <c r="K440" s="267">
        <f>Target_monthwise!K54</f>
        <v>4.0000000000000001E-3</v>
      </c>
      <c r="L440" s="267">
        <f>Target_monthwise!L54</f>
        <v>4.0000000000000001E-3</v>
      </c>
      <c r="M440" s="267">
        <f>Target_monthwise!M54</f>
        <v>4.0000000000000001E-3</v>
      </c>
      <c r="N440" s="267">
        <f>Target_monthwise!N54</f>
        <v>4.0000000000000001E-3</v>
      </c>
      <c r="O440" s="267">
        <f>Target_monthwise!O54</f>
        <v>4.0000000000000001E-3</v>
      </c>
    </row>
    <row r="441" spans="3:15">
      <c r="C441" s="184" t="s">
        <v>29</v>
      </c>
      <c r="D441" s="267">
        <f>prod_compiled!D48</f>
        <v>4.0000000000000001E-3</v>
      </c>
      <c r="E441" s="267">
        <f>prod_compiled!E48</f>
        <v>4.0000000000000001E-3</v>
      </c>
      <c r="F441" s="267">
        <f>prod_compiled!F48</f>
        <v>3.0000000000000001E-3</v>
      </c>
      <c r="G441" s="267">
        <f>prod_compiled!G48</f>
        <v>4.0000000000000001E-3</v>
      </c>
      <c r="H441" s="267">
        <f>prod_compiled!H48</f>
        <v>3.7780063432218142E-3</v>
      </c>
      <c r="I441" s="267">
        <f>prod_compiled!I48</f>
        <v>0</v>
      </c>
      <c r="J441" s="267">
        <f>prod_compiled!J48</f>
        <v>0</v>
      </c>
      <c r="K441" s="267">
        <f>prod_compiled!K48</f>
        <v>0</v>
      </c>
      <c r="L441" s="267">
        <f>prod_compiled!L48</f>
        <v>0</v>
      </c>
      <c r="M441" s="267">
        <f>prod_compiled!M48</f>
        <v>0</v>
      </c>
      <c r="N441" s="267">
        <f>prod_compiled!N48</f>
        <v>0</v>
      </c>
      <c r="O441" s="267">
        <f>prod_compiled!O48</f>
        <v>0</v>
      </c>
    </row>
    <row r="451" spans="3:15" s="187" customFormat="1"/>
    <row r="453" spans="3:15">
      <c r="C453" s="184" t="s">
        <v>235</v>
      </c>
      <c r="D453" s="184" t="str">
        <f>interFY_transition!J$20</f>
        <v>Apr'26</v>
      </c>
      <c r="E453" s="184" t="str">
        <f>interFY_transition!K$20</f>
        <v>May'26</v>
      </c>
      <c r="F453" s="184" t="str">
        <f>interFY_transition!L$20</f>
        <v>June'26</v>
      </c>
      <c r="G453" s="184" t="str">
        <f>interFY_transition!M$20</f>
        <v>July'26</v>
      </c>
      <c r="H453" s="184" t="str">
        <f>interFY_transition!N$20</f>
        <v>Aug'26</v>
      </c>
      <c r="I453" s="184" t="str">
        <f>interFY_transition!O$20</f>
        <v>Sep'26</v>
      </c>
      <c r="J453" s="184" t="str">
        <f>interFY_transition!P$20</f>
        <v>Oct'26</v>
      </c>
      <c r="K453" s="184" t="str">
        <f>interFY_transition!Q$20</f>
        <v>Nov'26</v>
      </c>
      <c r="L453" s="184" t="str">
        <f>interFY_transition!R$20</f>
        <v>Dec'26</v>
      </c>
      <c r="M453" s="184" t="str">
        <f>interFY_transition!S$20</f>
        <v>Jan'27</v>
      </c>
      <c r="N453" s="184" t="str">
        <f>interFY_transition!T$20</f>
        <v>Feb'27</v>
      </c>
      <c r="O453" s="184" t="str">
        <f>interFY_transition!U$20</f>
        <v>Mar'27</v>
      </c>
    </row>
    <row r="454" spans="3:15">
      <c r="C454" s="184" t="str">
        <f>$A$340</f>
        <v>BE(MMT)</v>
      </c>
      <c r="D454" s="267">
        <f>Target_monthwise!D55</f>
        <v>8.9999999999999993E-3</v>
      </c>
      <c r="E454" s="267">
        <f>Target_monthwise!E55</f>
        <v>0.01</v>
      </c>
      <c r="F454" s="267">
        <f>Target_monthwise!F55</f>
        <v>0.01</v>
      </c>
      <c r="G454" s="267">
        <f>Target_monthwise!G55</f>
        <v>0.01</v>
      </c>
      <c r="H454" s="267">
        <f>Target_monthwise!H55</f>
        <v>0.01</v>
      </c>
      <c r="I454" s="267">
        <f>Target_monthwise!I55</f>
        <v>8.9999999999999993E-3</v>
      </c>
      <c r="J454" s="267">
        <f>Target_monthwise!J55</f>
        <v>0.01</v>
      </c>
      <c r="K454" s="267">
        <f>Target_monthwise!K55</f>
        <v>8.9999999999999993E-3</v>
      </c>
      <c r="L454" s="267">
        <f>Target_monthwise!L55</f>
        <v>0.01</v>
      </c>
      <c r="M454" s="267">
        <f>Target_monthwise!M55</f>
        <v>0.01</v>
      </c>
      <c r="N454" s="267">
        <f>Target_monthwise!N55</f>
        <v>8.9999999999999993E-3</v>
      </c>
      <c r="O454" s="267">
        <f>Target_monthwise!O55</f>
        <v>0.01</v>
      </c>
    </row>
    <row r="455" spans="3:15">
      <c r="C455" s="184" t="s">
        <v>29</v>
      </c>
      <c r="D455" s="267">
        <f>prod_compiled!D49</f>
        <v>8.0000000000000002E-3</v>
      </c>
      <c r="E455" s="267">
        <f>prod_compiled!E49</f>
        <v>0.01</v>
      </c>
      <c r="F455" s="267">
        <f>prod_compiled!F49</f>
        <v>0.01</v>
      </c>
      <c r="G455" s="267">
        <f>prod_compiled!G49</f>
        <v>1.0999999999999999E-2</v>
      </c>
      <c r="H455" s="267">
        <f>prod_compiled!H49</f>
        <v>1.0772601919589167E-2</v>
      </c>
      <c r="I455" s="267">
        <f>prod_compiled!I49</f>
        <v>0</v>
      </c>
      <c r="J455" s="267">
        <f>prod_compiled!J49</f>
        <v>0</v>
      </c>
      <c r="K455" s="267">
        <f>prod_compiled!K49</f>
        <v>0</v>
      </c>
      <c r="L455" s="267">
        <f>prod_compiled!L49</f>
        <v>0</v>
      </c>
      <c r="M455" s="267">
        <f>prod_compiled!M49</f>
        <v>0</v>
      </c>
      <c r="N455" s="267">
        <f>prod_compiled!N49</f>
        <v>0</v>
      </c>
      <c r="O455" s="267">
        <f>prod_compiled!O49</f>
        <v>0</v>
      </c>
    </row>
    <row r="465" spans="3:15" s="187" customFormat="1"/>
    <row r="467" spans="3:15">
      <c r="C467" s="184" t="s">
        <v>236</v>
      </c>
      <c r="D467" s="184" t="str">
        <f>interFY_transition!J$20</f>
        <v>Apr'26</v>
      </c>
      <c r="E467" s="184" t="str">
        <f>interFY_transition!K$20</f>
        <v>May'26</v>
      </c>
      <c r="F467" s="184" t="str">
        <f>interFY_transition!L$20</f>
        <v>June'26</v>
      </c>
      <c r="G467" s="184" t="str">
        <f>interFY_transition!M$20</f>
        <v>July'26</v>
      </c>
      <c r="H467" s="184" t="str">
        <f>interFY_transition!N$20</f>
        <v>Aug'26</v>
      </c>
      <c r="I467" s="184" t="str">
        <f>interFY_transition!O$20</f>
        <v>Sep'26</v>
      </c>
      <c r="J467" s="184" t="str">
        <f>interFY_transition!P$20</f>
        <v>Oct'26</v>
      </c>
      <c r="K467" s="184" t="str">
        <f>interFY_transition!Q$20</f>
        <v>Nov'26</v>
      </c>
      <c r="L467" s="184" t="str">
        <f>interFY_transition!R$20</f>
        <v>Dec'26</v>
      </c>
      <c r="M467" s="184" t="str">
        <f>interFY_transition!S$20</f>
        <v>Jan'27</v>
      </c>
      <c r="N467" s="184" t="str">
        <f>interFY_transition!T$20</f>
        <v>Feb'27</v>
      </c>
      <c r="O467" s="184" t="str">
        <f>interFY_transition!U$20</f>
        <v>Mar'27</v>
      </c>
    </row>
    <row r="468" spans="3:15">
      <c r="C468" s="184" t="str">
        <f>$A$340</f>
        <v>BE(MMT)</v>
      </c>
      <c r="D468" s="267">
        <f>Target_monthwise!D56</f>
        <v>6.8000000000000005E-2</v>
      </c>
      <c r="E468" s="267">
        <f>Target_monthwise!E56</f>
        <v>7.0000000000000007E-2</v>
      </c>
      <c r="F468" s="267">
        <f>Target_monthwise!F56</f>
        <v>6.8000000000000005E-2</v>
      </c>
      <c r="G468" s="267">
        <f>Target_monthwise!G56</f>
        <v>7.0000000000000007E-2</v>
      </c>
      <c r="H468" s="267">
        <f>Target_monthwise!H56</f>
        <v>7.0000000000000007E-2</v>
      </c>
      <c r="I468" s="267">
        <f>Target_monthwise!I56</f>
        <v>6.8000000000000005E-2</v>
      </c>
      <c r="J468" s="267">
        <f>Target_monthwise!J56</f>
        <v>7.0000000000000007E-2</v>
      </c>
      <c r="K468" s="267">
        <f>Target_monthwise!K56</f>
        <v>6.8000000000000005E-2</v>
      </c>
      <c r="L468" s="267">
        <f>Target_monthwise!L56</f>
        <v>7.0000000000000007E-2</v>
      </c>
      <c r="M468" s="267">
        <f>Target_monthwise!M56</f>
        <v>7.0000000000000007E-2</v>
      </c>
      <c r="N468" s="267">
        <f>Target_monthwise!N56</f>
        <v>6.4000000000000001E-2</v>
      </c>
      <c r="O468" s="267">
        <f>Target_monthwise!O56</f>
        <v>7.0000000000000007E-2</v>
      </c>
    </row>
    <row r="469" spans="3:15">
      <c r="C469" s="184" t="s">
        <v>29</v>
      </c>
      <c r="D469" s="267">
        <f>prod_compiled!D50</f>
        <v>3.7999999999999999E-2</v>
      </c>
      <c r="E469" s="267">
        <f>prod_compiled!E50</f>
        <v>4.3999999999999997E-2</v>
      </c>
      <c r="F469" s="267">
        <f>prod_compiled!F50</f>
        <v>6.7000000000000004E-2</v>
      </c>
      <c r="G469" s="267">
        <f>prod_compiled!G50</f>
        <v>5.3999999999999999E-2</v>
      </c>
      <c r="H469" s="267">
        <f>prod_compiled!H50</f>
        <v>7.0161706048396735E-2</v>
      </c>
      <c r="I469" s="267">
        <f>prod_compiled!I50</f>
        <v>0</v>
      </c>
      <c r="J469" s="267">
        <f>prod_compiled!J50</f>
        <v>0</v>
      </c>
      <c r="K469" s="267">
        <f>prod_compiled!K50</f>
        <v>0</v>
      </c>
      <c r="L469" s="267">
        <f>prod_compiled!L50</f>
        <v>0</v>
      </c>
      <c r="M469" s="267">
        <f>prod_compiled!M50</f>
        <v>0</v>
      </c>
      <c r="N469" s="267">
        <f>prod_compiled!N50</f>
        <v>0</v>
      </c>
      <c r="O469" s="267">
        <f>prod_compiled!O50</f>
        <v>0</v>
      </c>
    </row>
    <row r="479" spans="3:15" s="187" customFormat="1"/>
    <row r="481" spans="3:15">
      <c r="C481" s="184" t="s">
        <v>237</v>
      </c>
      <c r="D481" s="184" t="str">
        <f>interFY_transition!J$20</f>
        <v>Apr'26</v>
      </c>
      <c r="E481" s="184" t="str">
        <f>interFY_transition!K$20</f>
        <v>May'26</v>
      </c>
      <c r="F481" s="184" t="str">
        <f>interFY_transition!L$20</f>
        <v>June'26</v>
      </c>
      <c r="G481" s="184" t="str">
        <f>interFY_transition!M$20</f>
        <v>July'26</v>
      </c>
      <c r="H481" s="184" t="str">
        <f>interFY_transition!N$20</f>
        <v>Aug'26</v>
      </c>
      <c r="I481" s="184" t="str">
        <f>interFY_transition!O$20</f>
        <v>Sep'26</v>
      </c>
      <c r="J481" s="184" t="str">
        <f>interFY_transition!P$20</f>
        <v>Oct'26</v>
      </c>
      <c r="K481" s="184" t="str">
        <f>interFY_transition!Q$20</f>
        <v>Nov'26</v>
      </c>
      <c r="L481" s="184" t="str">
        <f>interFY_transition!R$20</f>
        <v>Dec'26</v>
      </c>
      <c r="M481" s="184" t="str">
        <f>interFY_transition!S$20</f>
        <v>Jan'27</v>
      </c>
      <c r="N481" s="184" t="str">
        <f>interFY_transition!T$20</f>
        <v>Feb'27</v>
      </c>
      <c r="O481" s="184" t="str">
        <f>interFY_transition!U$20</f>
        <v>Mar'27</v>
      </c>
    </row>
    <row r="482" spans="3:15">
      <c r="C482" s="184" t="str">
        <f>$A$340</f>
        <v>BE(MMT)</v>
      </c>
      <c r="D482" s="267">
        <f>Target_monthwise!D57</f>
        <v>5.3999999999999999E-2</v>
      </c>
      <c r="E482" s="267">
        <f>Target_monthwise!E57</f>
        <v>5.6000000000000001E-2</v>
      </c>
      <c r="F482" s="267">
        <f>Target_monthwise!F57</f>
        <v>5.3999999999999999E-2</v>
      </c>
      <c r="G482" s="267">
        <f>Target_monthwise!G57</f>
        <v>5.5E-2</v>
      </c>
      <c r="H482" s="267">
        <f>Target_monthwise!H57</f>
        <v>5.6000000000000001E-2</v>
      </c>
      <c r="I482" s="267">
        <f>Target_monthwise!I57</f>
        <v>5.3999999999999999E-2</v>
      </c>
      <c r="J482" s="267">
        <f>Target_monthwise!J57</f>
        <v>5.6000000000000001E-2</v>
      </c>
      <c r="K482" s="267">
        <f>Target_monthwise!K57</f>
        <v>5.3999999999999999E-2</v>
      </c>
      <c r="L482" s="267">
        <f>Target_monthwise!L57</f>
        <v>5.6000000000000001E-2</v>
      </c>
      <c r="M482" s="267">
        <f>Target_monthwise!M57</f>
        <v>5.3999999999999999E-2</v>
      </c>
      <c r="N482" s="267">
        <f>Target_monthwise!N57</f>
        <v>0.05</v>
      </c>
      <c r="O482" s="267">
        <f>Target_monthwise!O57</f>
        <v>5.6000000000000001E-2</v>
      </c>
    </row>
    <row r="483" spans="3:15">
      <c r="C483" s="184" t="s">
        <v>29</v>
      </c>
      <c r="D483" s="267">
        <f>prod_compiled!D51</f>
        <v>5.5E-2</v>
      </c>
      <c r="E483" s="267">
        <f>prod_compiled!E51</f>
        <v>5.7000000000000002E-2</v>
      </c>
      <c r="F483" s="267">
        <f>prod_compiled!F51</f>
        <v>5.1999999999999998E-2</v>
      </c>
      <c r="G483" s="267">
        <f>prod_compiled!G51</f>
        <v>5.8999999999999997E-2</v>
      </c>
      <c r="H483" s="267">
        <f>prod_compiled!H51</f>
        <v>5.741999622492916E-2</v>
      </c>
      <c r="I483" s="267">
        <f>prod_compiled!I51</f>
        <v>0</v>
      </c>
      <c r="J483" s="267">
        <f>prod_compiled!J51</f>
        <v>0</v>
      </c>
      <c r="K483" s="267">
        <f>prod_compiled!K51</f>
        <v>0</v>
      </c>
      <c r="L483" s="267">
        <f>prod_compiled!L51</f>
        <v>0</v>
      </c>
      <c r="M483" s="267">
        <f>prod_compiled!M51</f>
        <v>0</v>
      </c>
      <c r="N483" s="267">
        <f>prod_compiled!N51</f>
        <v>0</v>
      </c>
      <c r="O483" s="267">
        <f>prod_compiled!O51</f>
        <v>0</v>
      </c>
    </row>
    <row r="493" spans="3:15" s="187" customFormat="1"/>
    <row r="495" spans="3:15">
      <c r="C495" s="184" t="s">
        <v>238</v>
      </c>
      <c r="D495" s="184" t="str">
        <f>interFY_transition!J$20</f>
        <v>Apr'26</v>
      </c>
      <c r="E495" s="184" t="str">
        <f>interFY_transition!K$20</f>
        <v>May'26</v>
      </c>
      <c r="F495" s="184" t="str">
        <f>interFY_transition!L$20</f>
        <v>June'26</v>
      </c>
      <c r="G495" s="184" t="str">
        <f>interFY_transition!M$20</f>
        <v>July'26</v>
      </c>
      <c r="H495" s="184" t="str">
        <f>interFY_transition!N$20</f>
        <v>Aug'26</v>
      </c>
      <c r="I495" s="184" t="str">
        <f>interFY_transition!O$20</f>
        <v>Sep'26</v>
      </c>
      <c r="J495" s="184" t="str">
        <f>interFY_transition!P$20</f>
        <v>Oct'26</v>
      </c>
      <c r="K495" s="184" t="str">
        <f>interFY_transition!Q$20</f>
        <v>Nov'26</v>
      </c>
      <c r="L495" s="184" t="str">
        <f>interFY_transition!R$20</f>
        <v>Dec'26</v>
      </c>
      <c r="M495" s="184" t="str">
        <f>interFY_transition!S$20</f>
        <v>Jan'27</v>
      </c>
      <c r="N495" s="184" t="str">
        <f>interFY_transition!T$20</f>
        <v>Feb'27</v>
      </c>
      <c r="O495" s="184" t="str">
        <f>interFY_transition!U$20</f>
        <v>Mar'27</v>
      </c>
    </row>
    <row r="496" spans="3:15">
      <c r="C496" s="184" t="str">
        <f>$A$340</f>
        <v>BE(MMT)</v>
      </c>
      <c r="D496" s="267">
        <f>Target_monthwise!D58</f>
        <v>1.4E-2</v>
      </c>
      <c r="E496" s="267">
        <f>Target_monthwise!E58</f>
        <v>1.4E-2</v>
      </c>
      <c r="F496" s="267">
        <f>Target_monthwise!F58</f>
        <v>1.4E-2</v>
      </c>
      <c r="G496" s="267">
        <f>Target_monthwise!G58</f>
        <v>1.4999999999999999E-2</v>
      </c>
      <c r="H496" s="267">
        <f>Target_monthwise!H58</f>
        <v>1.4E-2</v>
      </c>
      <c r="I496" s="267">
        <f>Target_monthwise!I58</f>
        <v>1.4E-2</v>
      </c>
      <c r="J496" s="267">
        <f>Target_monthwise!J58</f>
        <v>1.4999999999999999E-2</v>
      </c>
      <c r="K496" s="267">
        <f>Target_monthwise!K58</f>
        <v>1.4E-2</v>
      </c>
      <c r="L496" s="267">
        <f>Target_monthwise!L58</f>
        <v>1.4999999999999999E-2</v>
      </c>
      <c r="M496" s="267">
        <f>Target_monthwise!M58</f>
        <v>1.4E-2</v>
      </c>
      <c r="N496" s="267">
        <f>Target_monthwise!N58</f>
        <v>1.2999999999999999E-2</v>
      </c>
      <c r="O496" s="267">
        <f>Target_monthwise!O58</f>
        <v>1.4E-2</v>
      </c>
    </row>
    <row r="497" spans="3:15">
      <c r="C497" s="184" t="s">
        <v>29</v>
      </c>
      <c r="D497" s="267">
        <f>prod_compiled!D52</f>
        <v>1.4E-2</v>
      </c>
      <c r="E497" s="267">
        <f>prod_compiled!E52</f>
        <v>1.4E-2</v>
      </c>
      <c r="F497" s="267">
        <f>prod_compiled!F52</f>
        <v>1.2999999999999999E-2</v>
      </c>
      <c r="G497" s="267">
        <f>prod_compiled!G52</f>
        <v>1.2999999999999999E-2</v>
      </c>
      <c r="H497" s="267">
        <f>prod_compiled!H52</f>
        <v>1.3550622111245282E-2</v>
      </c>
      <c r="I497" s="267">
        <f>prod_compiled!I52</f>
        <v>0</v>
      </c>
      <c r="J497" s="267">
        <f>prod_compiled!J52</f>
        <v>0</v>
      </c>
      <c r="K497" s="267">
        <f>prod_compiled!K52</f>
        <v>0</v>
      </c>
      <c r="L497" s="267">
        <f>prod_compiled!L52</f>
        <v>0</v>
      </c>
      <c r="M497" s="267">
        <f>prod_compiled!M52</f>
        <v>0</v>
      </c>
      <c r="N497" s="267">
        <f>prod_compiled!N52</f>
        <v>0</v>
      </c>
      <c r="O497" s="267">
        <f>prod_compiled!O52</f>
        <v>0</v>
      </c>
    </row>
    <row r="507" spans="3:15" s="187" customFormat="1"/>
    <row r="509" spans="3:15">
      <c r="C509" s="184" t="s">
        <v>239</v>
      </c>
      <c r="D509" s="184" t="str">
        <f>interFY_transition!J$20</f>
        <v>Apr'26</v>
      </c>
      <c r="E509" s="184" t="str">
        <f>interFY_transition!K$20</f>
        <v>May'26</v>
      </c>
      <c r="F509" s="184" t="str">
        <f>interFY_transition!L$20</f>
        <v>June'26</v>
      </c>
      <c r="G509" s="184" t="str">
        <f>interFY_transition!M$20</f>
        <v>July'26</v>
      </c>
      <c r="H509" s="184" t="str">
        <f>interFY_transition!N$20</f>
        <v>Aug'26</v>
      </c>
      <c r="I509" s="184" t="str">
        <f>interFY_transition!O$20</f>
        <v>Sep'26</v>
      </c>
      <c r="J509" s="184" t="str">
        <f>interFY_transition!P$20</f>
        <v>Oct'26</v>
      </c>
      <c r="K509" s="184" t="str">
        <f>interFY_transition!Q$20</f>
        <v>Nov'26</v>
      </c>
      <c r="L509" s="184" t="str">
        <f>interFY_transition!R$20</f>
        <v>Dec'26</v>
      </c>
      <c r="M509" s="184" t="str">
        <f>interFY_transition!S$20</f>
        <v>Jan'27</v>
      </c>
      <c r="N509" s="184" t="str">
        <f>interFY_transition!T$20</f>
        <v>Feb'27</v>
      </c>
      <c r="O509" s="184" t="str">
        <f>interFY_transition!U$20</f>
        <v>Mar'27</v>
      </c>
    </row>
    <row r="510" spans="3:15">
      <c r="C510" s="184" t="str">
        <f>$A$340</f>
        <v>BE(MMT)</v>
      </c>
      <c r="D510" s="267">
        <f>Target_monthwise!D59</f>
        <v>0</v>
      </c>
      <c r="E510" s="267">
        <f>Target_monthwise!E59</f>
        <v>0</v>
      </c>
      <c r="F510" s="267">
        <f>Target_monthwise!F59</f>
        <v>0</v>
      </c>
      <c r="G510" s="267">
        <f>Target_monthwise!G59</f>
        <v>0</v>
      </c>
      <c r="H510" s="267">
        <f>Target_monthwise!H59</f>
        <v>0</v>
      </c>
      <c r="I510" s="267">
        <f>Target_monthwise!I59</f>
        <v>0</v>
      </c>
      <c r="J510" s="267">
        <f>Target_monthwise!J59</f>
        <v>0</v>
      </c>
      <c r="K510" s="267">
        <f>Target_monthwise!K59</f>
        <v>0</v>
      </c>
      <c r="L510" s="267">
        <f>Target_monthwise!L59</f>
        <v>0</v>
      </c>
      <c r="M510" s="267">
        <f>Target_monthwise!M59</f>
        <v>0</v>
      </c>
      <c r="N510" s="267">
        <f>Target_monthwise!N59</f>
        <v>0</v>
      </c>
      <c r="O510" s="267">
        <f>Target_monthwise!O59</f>
        <v>0</v>
      </c>
    </row>
    <row r="511" spans="3:15">
      <c r="C511" s="184" t="s">
        <v>29</v>
      </c>
      <c r="D511" s="267">
        <f>prod_compiled!D53</f>
        <v>0</v>
      </c>
      <c r="E511" s="267">
        <f>prod_compiled!E53</f>
        <v>0</v>
      </c>
      <c r="F511" s="267">
        <f>prod_compiled!F53</f>
        <v>0</v>
      </c>
      <c r="G511" s="267">
        <f>prod_compiled!G53</f>
        <v>0</v>
      </c>
      <c r="H511" s="267">
        <f>prod_compiled!H53</f>
        <v>0</v>
      </c>
      <c r="I511" s="267">
        <f>prod_compiled!I53</f>
        <v>0</v>
      </c>
      <c r="J511" s="267">
        <f>prod_compiled!J53</f>
        <v>0</v>
      </c>
      <c r="K511" s="267">
        <f>prod_compiled!K53</f>
        <v>0</v>
      </c>
      <c r="L511" s="267">
        <f>prod_compiled!L53</f>
        <v>0</v>
      </c>
      <c r="M511" s="267">
        <f>prod_compiled!M53</f>
        <v>0</v>
      </c>
      <c r="N511" s="267">
        <f>prod_compiled!N53</f>
        <v>0</v>
      </c>
      <c r="O511" s="267">
        <f>prod_compiled!O53</f>
        <v>0</v>
      </c>
    </row>
    <row r="522" spans="3:15" s="268" customFormat="1"/>
    <row r="523" spans="3:15" hidden="1">
      <c r="C523" s="184" t="s">
        <v>240</v>
      </c>
      <c r="D523" s="184" t="str">
        <f>interFY_transition!J$20</f>
        <v>Apr'26</v>
      </c>
      <c r="E523" s="184" t="str">
        <f>interFY_transition!K$20</f>
        <v>May'26</v>
      </c>
      <c r="F523" s="184" t="str">
        <f>interFY_transition!L$20</f>
        <v>June'26</v>
      </c>
      <c r="G523" s="184" t="str">
        <f>interFY_transition!M$20</f>
        <v>July'26</v>
      </c>
      <c r="H523" s="184" t="str">
        <f>interFY_transition!N$20</f>
        <v>Aug'26</v>
      </c>
      <c r="I523" s="184" t="str">
        <f>interFY_transition!O$20</f>
        <v>Sep'26</v>
      </c>
      <c r="J523" s="184" t="str">
        <f>interFY_transition!P$20</f>
        <v>Oct'26</v>
      </c>
      <c r="K523" s="184" t="str">
        <f>interFY_transition!Q$20</f>
        <v>Nov'26</v>
      </c>
      <c r="L523" s="184" t="str">
        <f>interFY_transition!R$20</f>
        <v>Dec'26</v>
      </c>
      <c r="M523" s="184" t="str">
        <f>interFY_transition!S$20</f>
        <v>Jan'27</v>
      </c>
      <c r="N523" s="184" t="str">
        <f>interFY_transition!T$20</f>
        <v>Feb'27</v>
      </c>
      <c r="O523" s="184" t="str">
        <f>interFY_transition!U$20</f>
        <v>Mar'27</v>
      </c>
    </row>
    <row r="524" spans="3:15" hidden="1">
      <c r="C524" s="184" t="str">
        <f>$A$340</f>
        <v>BE(MMT)</v>
      </c>
      <c r="D524" s="267">
        <f>Target_monthwise!D60</f>
        <v>0</v>
      </c>
      <c r="E524" s="267">
        <f>Target_monthwise!E60</f>
        <v>0</v>
      </c>
      <c r="F524" s="267">
        <f>Target_monthwise!F60</f>
        <v>0</v>
      </c>
      <c r="G524" s="267">
        <f>Target_monthwise!G60</f>
        <v>0</v>
      </c>
      <c r="H524" s="267">
        <f>Target_monthwise!H60</f>
        <v>0</v>
      </c>
      <c r="I524" s="267">
        <f>Target_monthwise!I60</f>
        <v>0</v>
      </c>
      <c r="J524" s="267">
        <f>Target_monthwise!J60</f>
        <v>0</v>
      </c>
      <c r="K524" s="267">
        <f>Target_monthwise!K60</f>
        <v>0</v>
      </c>
      <c r="L524" s="267">
        <f>Target_monthwise!L60</f>
        <v>0</v>
      </c>
      <c r="M524" s="267">
        <f>Target_monthwise!M60</f>
        <v>0</v>
      </c>
      <c r="N524" s="267">
        <f>Target_monthwise!N60</f>
        <v>0</v>
      </c>
      <c r="O524" s="267">
        <f>Target_monthwise!O60</f>
        <v>0</v>
      </c>
    </row>
    <row r="525" spans="3:15" hidden="1">
      <c r="C525" s="184" t="s">
        <v>29</v>
      </c>
      <c r="D525" s="267">
        <f>prod_compiled!D54</f>
        <v>0</v>
      </c>
      <c r="E525" s="267">
        <f>prod_compiled!E54</f>
        <v>0</v>
      </c>
      <c r="F525" s="267">
        <f>prod_compiled!F54</f>
        <v>0</v>
      </c>
      <c r="G525" s="267">
        <f>prod_compiled!G54</f>
        <v>0</v>
      </c>
      <c r="H525" s="267">
        <f>prod_compiled!H54</f>
        <v>0</v>
      </c>
      <c r="I525" s="267">
        <f>prod_compiled!I54</f>
        <v>0</v>
      </c>
      <c r="J525" s="267">
        <f>prod_compiled!J54</f>
        <v>0</v>
      </c>
      <c r="K525" s="267">
        <f>prod_compiled!K54</f>
        <v>0</v>
      </c>
      <c r="L525" s="267">
        <f>prod_compiled!L54</f>
        <v>0</v>
      </c>
      <c r="M525" s="267">
        <f>prod_compiled!M54</f>
        <v>0</v>
      </c>
      <c r="N525" s="267">
        <f>prod_compiled!N54</f>
        <v>0</v>
      </c>
      <c r="O525" s="267">
        <f>prod_compiled!O54</f>
        <v>0</v>
      </c>
    </row>
    <row r="526" spans="3:15" hidden="1"/>
    <row r="527" spans="3:15" hidden="1"/>
    <row r="528" spans="3:15" hidden="1"/>
    <row r="529" spans="1:15">
      <c r="A529" s="286" t="str">
        <f>CONCATENATE(A1,B529)</f>
        <v>BE(BCM)</v>
      </c>
      <c r="B529" t="s">
        <v>303</v>
      </c>
    </row>
    <row r="531" spans="1:15">
      <c r="C531" s="184" t="s">
        <v>241</v>
      </c>
      <c r="D531" s="184" t="str">
        <f>interFY_transition!J$20</f>
        <v>Apr'26</v>
      </c>
      <c r="E531" s="184" t="str">
        <f>interFY_transition!K$20</f>
        <v>May'26</v>
      </c>
      <c r="F531" s="184" t="str">
        <f>interFY_transition!L$20</f>
        <v>June'26</v>
      </c>
      <c r="G531" s="184" t="str">
        <f>interFY_transition!M$20</f>
        <v>July'26</v>
      </c>
      <c r="H531" s="184" t="str">
        <f>interFY_transition!N$20</f>
        <v>Aug'26</v>
      </c>
      <c r="I531" s="184" t="str">
        <f>interFY_transition!O$20</f>
        <v>Sep'26</v>
      </c>
      <c r="J531" s="184" t="str">
        <f>interFY_transition!P$20</f>
        <v>Oct'26</v>
      </c>
      <c r="K531" s="184" t="str">
        <f>interFY_transition!Q$20</f>
        <v>Nov'26</v>
      </c>
      <c r="L531" s="184" t="str">
        <f>interFY_transition!R$20</f>
        <v>Dec'26</v>
      </c>
      <c r="M531" s="184" t="str">
        <f>interFY_transition!S$20</f>
        <v>Jan'27</v>
      </c>
      <c r="N531" s="184" t="str">
        <f>interFY_transition!T$20</f>
        <v>Feb'27</v>
      </c>
      <c r="O531" s="184" t="str">
        <f>interFY_transition!U$20</f>
        <v>Mar'27</v>
      </c>
    </row>
    <row r="532" spans="1:15">
      <c r="C532" s="184" t="str">
        <f>$A$529</f>
        <v>BE(BCM)</v>
      </c>
      <c r="D532" s="267">
        <f>Target_monthwise!D67</f>
        <v>4.9000000000000002E-2</v>
      </c>
      <c r="E532" s="267">
        <f>Target_monthwise!E67</f>
        <v>0.05</v>
      </c>
      <c r="F532" s="267">
        <f>Target_monthwise!F67</f>
        <v>4.8000000000000001E-2</v>
      </c>
      <c r="G532" s="267">
        <f>Target_monthwise!G67</f>
        <v>5.0999999999999997E-2</v>
      </c>
      <c r="H532" s="267">
        <f>Target_monthwise!H67</f>
        <v>0.05</v>
      </c>
      <c r="I532" s="267">
        <f>Target_monthwise!I67</f>
        <v>4.9000000000000002E-2</v>
      </c>
      <c r="J532" s="267">
        <f>Target_monthwise!J67</f>
        <v>5.1999999999999998E-2</v>
      </c>
      <c r="K532" s="267">
        <f>Target_monthwise!K67</f>
        <v>5.2999999999999999E-2</v>
      </c>
      <c r="L532" s="267">
        <f>Target_monthwise!L67</f>
        <v>5.3999999999999999E-2</v>
      </c>
      <c r="M532" s="267">
        <f>Target_monthwise!M67</f>
        <v>5.6000000000000001E-2</v>
      </c>
      <c r="N532" s="267">
        <f>Target_monthwise!N67</f>
        <v>5.0999999999999997E-2</v>
      </c>
      <c r="O532" s="267">
        <f>Target_monthwise!O67</f>
        <v>5.6000000000000001E-2</v>
      </c>
    </row>
    <row r="533" spans="1:15">
      <c r="C533" s="184" t="s">
        <v>29</v>
      </c>
      <c r="D533" s="267">
        <f>prod_compiled!D58</f>
        <v>5.8000000000000003E-2</v>
      </c>
      <c r="E533" s="267">
        <f>prod_compiled!E58</f>
        <v>5.1999999999999998E-2</v>
      </c>
      <c r="F533" s="267">
        <f>prod_compiled!F58</f>
        <v>4.5999999999999999E-2</v>
      </c>
      <c r="G533" s="267">
        <f>prod_compiled!G58</f>
        <v>4.5999999999999999E-2</v>
      </c>
      <c r="H533" s="267">
        <f>prod_compiled!H58</f>
        <v>4.2928371854780031E-2</v>
      </c>
      <c r="I533" s="267">
        <f>prod_compiled!I58</f>
        <v>0</v>
      </c>
      <c r="J533" s="267">
        <f>prod_compiled!J58</f>
        <v>0</v>
      </c>
      <c r="K533" s="267">
        <f>prod_compiled!K58</f>
        <v>0</v>
      </c>
      <c r="L533" s="267">
        <f>prod_compiled!L58</f>
        <v>0</v>
      </c>
      <c r="M533" s="267">
        <f>prod_compiled!M58</f>
        <v>0</v>
      </c>
      <c r="N533" s="267">
        <f>prod_compiled!N58</f>
        <v>0</v>
      </c>
      <c r="O533" s="267">
        <f>prod_compiled!O58</f>
        <v>0</v>
      </c>
    </row>
    <row r="543" spans="1:15" s="187" customFormat="1"/>
    <row r="545" spans="3:15">
      <c r="C545" s="184" t="s">
        <v>242</v>
      </c>
      <c r="D545" s="184" t="str">
        <f>interFY_transition!J$20</f>
        <v>Apr'26</v>
      </c>
      <c r="E545" s="184" t="str">
        <f>interFY_transition!K$20</f>
        <v>May'26</v>
      </c>
      <c r="F545" s="184" t="str">
        <f>interFY_transition!L$20</f>
        <v>June'26</v>
      </c>
      <c r="G545" s="184" t="str">
        <f>interFY_transition!M$20</f>
        <v>July'26</v>
      </c>
      <c r="H545" s="184" t="str">
        <f>interFY_transition!N$20</f>
        <v>Aug'26</v>
      </c>
      <c r="I545" s="184" t="str">
        <f>interFY_transition!O$20</f>
        <v>Sep'26</v>
      </c>
      <c r="J545" s="184" t="str">
        <f>interFY_transition!P$20</f>
        <v>Oct'26</v>
      </c>
      <c r="K545" s="184" t="str">
        <f>interFY_transition!Q$20</f>
        <v>Nov'26</v>
      </c>
      <c r="L545" s="184" t="str">
        <f>interFY_transition!R$20</f>
        <v>Dec'26</v>
      </c>
      <c r="M545" s="184" t="str">
        <f>interFY_transition!S$20</f>
        <v>Jan'27</v>
      </c>
      <c r="N545" s="184" t="str">
        <f>interFY_transition!T$20</f>
        <v>Feb'27</v>
      </c>
      <c r="O545" s="184" t="str">
        <f>interFY_transition!U$20</f>
        <v>Mar'27</v>
      </c>
    </row>
    <row r="546" spans="3:15">
      <c r="C546" s="184" t="str">
        <f>$A$529</f>
        <v>BE(BCM)</v>
      </c>
      <c r="D546" s="267">
        <f>Target_monthwise!D68</f>
        <v>6.6000000000000003E-2</v>
      </c>
      <c r="E546" s="267">
        <f>Target_monthwise!E68</f>
        <v>6.8000000000000005E-2</v>
      </c>
      <c r="F546" s="267">
        <f>Target_monthwise!F68</f>
        <v>6.6000000000000003E-2</v>
      </c>
      <c r="G546" s="267">
        <f>Target_monthwise!G68</f>
        <v>6.8000000000000005E-2</v>
      </c>
      <c r="H546" s="267">
        <f>Target_monthwise!H68</f>
        <v>6.8000000000000005E-2</v>
      </c>
      <c r="I546" s="267">
        <f>Target_monthwise!I68</f>
        <v>6.6000000000000003E-2</v>
      </c>
      <c r="J546" s="267">
        <f>Target_monthwise!J68</f>
        <v>6.794520547945207E-2</v>
      </c>
      <c r="K546" s="267">
        <f>Target_monthwise!K68</f>
        <v>6.6000000000000003E-2</v>
      </c>
      <c r="L546" s="267">
        <f>Target_monthwise!L68</f>
        <v>6.8000000000000005E-2</v>
      </c>
      <c r="M546" s="267">
        <f>Target_monthwise!M68</f>
        <v>6.8000000000000005E-2</v>
      </c>
      <c r="N546" s="267">
        <f>Target_monthwise!N68</f>
        <v>0.06</v>
      </c>
      <c r="O546" s="267">
        <f>Target_monthwise!O68</f>
        <v>6.8000000000000005E-2</v>
      </c>
    </row>
    <row r="547" spans="3:15">
      <c r="C547" s="184" t="s">
        <v>29</v>
      </c>
      <c r="D547" s="267">
        <f>prod_compiled!D59</f>
        <v>7.8E-2</v>
      </c>
      <c r="E547" s="267">
        <f>prod_compiled!E59</f>
        <v>0.08</v>
      </c>
      <c r="F547" s="267">
        <f>prod_compiled!F59</f>
        <v>7.5999999999999998E-2</v>
      </c>
      <c r="G547" s="267">
        <f>prod_compiled!G59</f>
        <v>7.0999999999999994E-2</v>
      </c>
      <c r="H547" s="267">
        <f>prod_compiled!H59</f>
        <v>8.1634172359999979E-2</v>
      </c>
      <c r="I547" s="267">
        <f>prod_compiled!I59</f>
        <v>0</v>
      </c>
      <c r="J547" s="267">
        <f>prod_compiled!J59</f>
        <v>0</v>
      </c>
      <c r="K547" s="267">
        <f>prod_compiled!K59</f>
        <v>0</v>
      </c>
      <c r="L547" s="267">
        <f>prod_compiled!L59</f>
        <v>0</v>
      </c>
      <c r="M547" s="267">
        <f>prod_compiled!M59</f>
        <v>0</v>
      </c>
      <c r="N547" s="267">
        <f>prod_compiled!N59</f>
        <v>0</v>
      </c>
      <c r="O547" s="267">
        <f>prod_compiled!O59</f>
        <v>0</v>
      </c>
    </row>
    <row r="557" spans="3:15" s="187" customFormat="1"/>
    <row r="559" spans="3:15">
      <c r="C559" s="184" t="s">
        <v>243</v>
      </c>
      <c r="D559" s="184" t="str">
        <f>interFY_transition!J$20</f>
        <v>Apr'26</v>
      </c>
      <c r="E559" s="184" t="str">
        <f>interFY_transition!K$20</f>
        <v>May'26</v>
      </c>
      <c r="F559" s="184" t="str">
        <f>interFY_transition!L$20</f>
        <v>June'26</v>
      </c>
      <c r="G559" s="184" t="str">
        <f>interFY_transition!M$20</f>
        <v>July'26</v>
      </c>
      <c r="H559" s="184" t="str">
        <f>interFY_transition!N$20</f>
        <v>Aug'26</v>
      </c>
      <c r="I559" s="184" t="str">
        <f>interFY_transition!O$20</f>
        <v>Sep'26</v>
      </c>
      <c r="J559" s="184" t="str">
        <f>interFY_transition!P$20</f>
        <v>Oct'26</v>
      </c>
      <c r="K559" s="184" t="str">
        <f>interFY_transition!Q$20</f>
        <v>Nov'26</v>
      </c>
      <c r="L559" s="184" t="str">
        <f>interFY_transition!R$20</f>
        <v>Dec'26</v>
      </c>
      <c r="M559" s="184" t="str">
        <f>interFY_transition!S$20</f>
        <v>Jan'27</v>
      </c>
      <c r="N559" s="184" t="str">
        <f>interFY_transition!T$20</f>
        <v>Feb'27</v>
      </c>
      <c r="O559" s="184" t="str">
        <f>interFY_transition!U$20</f>
        <v>Mar'27</v>
      </c>
    </row>
    <row r="560" spans="3:15">
      <c r="C560" s="184" t="str">
        <f>$A$529</f>
        <v>BE(BCM)</v>
      </c>
      <c r="D560" s="267">
        <f>Target_monthwise!D69</f>
        <v>8.0000000000000002E-3</v>
      </c>
      <c r="E560" s="267">
        <f>Target_monthwise!E69</f>
        <v>8.0000000000000002E-3</v>
      </c>
      <c r="F560" s="267">
        <f>Target_monthwise!F69</f>
        <v>8.0000000000000002E-3</v>
      </c>
      <c r="G560" s="267">
        <f>Target_monthwise!G69</f>
        <v>8.0000000000000002E-3</v>
      </c>
      <c r="H560" s="267">
        <f>Target_monthwise!H69</f>
        <v>8.0000000000000002E-3</v>
      </c>
      <c r="I560" s="267">
        <f>Target_monthwise!I69</f>
        <v>8.0000000000000002E-3</v>
      </c>
      <c r="J560" s="267">
        <f>Target_monthwise!J69</f>
        <v>7.9835616438356169E-3</v>
      </c>
      <c r="K560" s="267">
        <f>Target_monthwise!K69</f>
        <v>8.0000000000000002E-3</v>
      </c>
      <c r="L560" s="267">
        <f>Target_monthwise!L69</f>
        <v>8.0000000000000002E-3</v>
      </c>
      <c r="M560" s="267">
        <f>Target_monthwise!M69</f>
        <v>8.0000000000000002E-3</v>
      </c>
      <c r="N560" s="267">
        <f>Target_monthwise!N69</f>
        <v>6.0000000000000001E-3</v>
      </c>
      <c r="O560" s="267">
        <f>Target_monthwise!O69</f>
        <v>8.0000000000000002E-3</v>
      </c>
    </row>
    <row r="561" spans="3:15">
      <c r="C561" s="184" t="s">
        <v>29</v>
      </c>
      <c r="D561" s="267">
        <f>prod_compiled!D60</f>
        <v>8.0000000000000002E-3</v>
      </c>
      <c r="E561" s="267">
        <f>prod_compiled!E60</f>
        <v>7.0000000000000001E-3</v>
      </c>
      <c r="F561" s="267">
        <f>prod_compiled!F60</f>
        <v>8.9999999999999993E-3</v>
      </c>
      <c r="G561" s="267">
        <f>prod_compiled!G60</f>
        <v>7.0000000000000001E-3</v>
      </c>
      <c r="H561" s="267">
        <f>prod_compiled!H60</f>
        <v>7.6499679999999983E-3</v>
      </c>
      <c r="I561" s="267">
        <f>prod_compiled!I60</f>
        <v>0</v>
      </c>
      <c r="J561" s="267">
        <f>prod_compiled!J60</f>
        <v>0</v>
      </c>
      <c r="K561" s="267">
        <f>prod_compiled!K60</f>
        <v>0</v>
      </c>
      <c r="L561" s="267">
        <f>prod_compiled!L60</f>
        <v>0</v>
      </c>
      <c r="M561" s="267">
        <f>prod_compiled!M60</f>
        <v>0</v>
      </c>
      <c r="N561" s="267">
        <f>prod_compiled!N60</f>
        <v>0</v>
      </c>
      <c r="O561" s="267">
        <f>prod_compiled!O60</f>
        <v>0</v>
      </c>
    </row>
    <row r="571" spans="3:15" s="187" customFormat="1"/>
    <row r="573" spans="3:15">
      <c r="C573" s="184" t="s">
        <v>244</v>
      </c>
      <c r="D573" s="184" t="str">
        <f>interFY_transition!J$20</f>
        <v>Apr'26</v>
      </c>
      <c r="E573" s="184" t="str">
        <f>interFY_transition!K$20</f>
        <v>May'26</v>
      </c>
      <c r="F573" s="184" t="str">
        <f>interFY_transition!L$20</f>
        <v>June'26</v>
      </c>
      <c r="G573" s="184" t="str">
        <f>interFY_transition!M$20</f>
        <v>July'26</v>
      </c>
      <c r="H573" s="184" t="str">
        <f>interFY_transition!N$20</f>
        <v>Aug'26</v>
      </c>
      <c r="I573" s="184" t="str">
        <f>interFY_transition!O$20</f>
        <v>Sep'26</v>
      </c>
      <c r="J573" s="184" t="str">
        <f>interFY_transition!P$20</f>
        <v>Oct'26</v>
      </c>
      <c r="K573" s="184" t="str">
        <f>interFY_transition!Q$20</f>
        <v>Nov'26</v>
      </c>
      <c r="L573" s="184" t="str">
        <f>interFY_transition!R$20</f>
        <v>Dec'26</v>
      </c>
      <c r="M573" s="184" t="str">
        <f>interFY_transition!S$20</f>
        <v>Jan'27</v>
      </c>
      <c r="N573" s="184" t="str">
        <f>interFY_transition!T$20</f>
        <v>Feb'27</v>
      </c>
      <c r="O573" s="184" t="str">
        <f>interFY_transition!U$20</f>
        <v>Mar'27</v>
      </c>
    </row>
    <row r="574" spans="3:15">
      <c r="C574" s="184" t="str">
        <f>$A$529</f>
        <v>BE(BCM)</v>
      </c>
      <c r="D574" s="267">
        <f>Target_monthwise!D70</f>
        <v>0.01</v>
      </c>
      <c r="E574" s="267">
        <f>Target_monthwise!E70</f>
        <v>0.01</v>
      </c>
      <c r="F574" s="267">
        <f>Target_monthwise!F70</f>
        <v>0.01</v>
      </c>
      <c r="G574" s="267">
        <f>Target_monthwise!G70</f>
        <v>0.01</v>
      </c>
      <c r="H574" s="267">
        <f>Target_monthwise!H70</f>
        <v>0.01</v>
      </c>
      <c r="I574" s="267">
        <f>Target_monthwise!I70</f>
        <v>0.01</v>
      </c>
      <c r="J574" s="267">
        <f>Target_monthwise!J70</f>
        <v>9.8520547945205473E-3</v>
      </c>
      <c r="K574" s="267">
        <f>Target_monthwise!K70</f>
        <v>0.01</v>
      </c>
      <c r="L574" s="267">
        <f>Target_monthwise!L70</f>
        <v>0.01</v>
      </c>
      <c r="M574" s="267">
        <f>Target_monthwise!M70</f>
        <v>0.01</v>
      </c>
      <c r="N574" s="267">
        <f>Target_monthwise!N70</f>
        <v>6.0000000000000001E-3</v>
      </c>
      <c r="O574" s="267">
        <f>Target_monthwise!O70</f>
        <v>0.01</v>
      </c>
    </row>
    <row r="575" spans="3:15">
      <c r="C575" s="184" t="s">
        <v>29</v>
      </c>
      <c r="D575" s="267">
        <f>prod_compiled!D61</f>
        <v>1.2999999999999999E-2</v>
      </c>
      <c r="E575" s="267">
        <f>prod_compiled!E61</f>
        <v>1.2999999999999999E-2</v>
      </c>
      <c r="F575" s="267">
        <f>prod_compiled!F61</f>
        <v>0.01</v>
      </c>
      <c r="G575" s="267">
        <f>prod_compiled!G61</f>
        <v>8.0000000000000002E-3</v>
      </c>
      <c r="H575" s="267">
        <f>prod_compiled!H61</f>
        <v>7.2437165684544969E-3</v>
      </c>
      <c r="I575" s="267">
        <f>prod_compiled!I61</f>
        <v>0</v>
      </c>
      <c r="J575" s="267">
        <f>prod_compiled!J61</f>
        <v>0</v>
      </c>
      <c r="K575" s="267">
        <f>prod_compiled!K61</f>
        <v>0</v>
      </c>
      <c r="L575" s="267">
        <f>prod_compiled!L61</f>
        <v>0</v>
      </c>
      <c r="M575" s="267">
        <f>prod_compiled!M61</f>
        <v>0</v>
      </c>
      <c r="N575" s="267">
        <f>prod_compiled!N61</f>
        <v>0</v>
      </c>
      <c r="O575" s="267">
        <f>prod_compiled!O61</f>
        <v>0</v>
      </c>
    </row>
    <row r="586" spans="3:15" s="187" customFormat="1"/>
    <row r="587" spans="3:15" hidden="1">
      <c r="C587" s="184" t="s">
        <v>245</v>
      </c>
      <c r="D587" s="184" t="str">
        <f>interFY_transition!J$20</f>
        <v>Apr'26</v>
      </c>
      <c r="E587" s="184" t="str">
        <f>interFY_transition!K$20</f>
        <v>May'26</v>
      </c>
      <c r="F587" s="184" t="str">
        <f>interFY_transition!L$20</f>
        <v>June'26</v>
      </c>
      <c r="G587" s="184" t="str">
        <f>interFY_transition!M$20</f>
        <v>July'26</v>
      </c>
      <c r="H587" s="184" t="str">
        <f>interFY_transition!N$20</f>
        <v>Aug'26</v>
      </c>
      <c r="I587" s="184" t="str">
        <f>interFY_transition!O$20</f>
        <v>Sep'26</v>
      </c>
      <c r="J587" s="184" t="str">
        <f>interFY_transition!P$20</f>
        <v>Oct'26</v>
      </c>
      <c r="K587" s="184" t="str">
        <f>interFY_transition!Q$20</f>
        <v>Nov'26</v>
      </c>
      <c r="L587" s="184" t="str">
        <f>interFY_transition!R$20</f>
        <v>Dec'26</v>
      </c>
      <c r="M587" s="184" t="str">
        <f>interFY_transition!S$20</f>
        <v>Jan'27</v>
      </c>
      <c r="N587" s="184" t="str">
        <f>interFY_transition!T$20</f>
        <v>Feb'27</v>
      </c>
      <c r="O587" s="184" t="str">
        <f>interFY_transition!U$20</f>
        <v>Mar'27</v>
      </c>
    </row>
    <row r="588" spans="3:15" hidden="1">
      <c r="C588" s="184" t="str">
        <f>$A$529</f>
        <v>BE(BCM)</v>
      </c>
      <c r="D588" s="267">
        <f>Target_monthwise!D71</f>
        <v>2E-3</v>
      </c>
      <c r="E588" s="267">
        <f>Target_monthwise!E71</f>
        <v>2E-3</v>
      </c>
      <c r="F588" s="267">
        <f>Target_monthwise!F71</f>
        <v>2E-3</v>
      </c>
      <c r="G588" s="267">
        <f>Target_monthwise!G71</f>
        <v>2E-3</v>
      </c>
      <c r="H588" s="267">
        <f>Target_monthwise!H71</f>
        <v>2E-3</v>
      </c>
      <c r="I588" s="267">
        <f>Target_monthwise!I71</f>
        <v>2E-3</v>
      </c>
      <c r="J588" s="267">
        <f>Target_monthwise!J71</f>
        <v>2.1232876712328772E-3</v>
      </c>
      <c r="K588" s="267">
        <f>Target_monthwise!K71</f>
        <v>2E-3</v>
      </c>
      <c r="L588" s="267">
        <f>Target_monthwise!L71</f>
        <v>2E-3</v>
      </c>
      <c r="M588" s="267">
        <f>Target_monthwise!M71</f>
        <v>2E-3</v>
      </c>
      <c r="N588" s="267">
        <f>Target_monthwise!N71</f>
        <v>3.0000000000000001E-3</v>
      </c>
      <c r="O588" s="267">
        <f>Target_monthwise!O71</f>
        <v>2E-3</v>
      </c>
    </row>
    <row r="589" spans="3:15" hidden="1">
      <c r="C589" s="184" t="s">
        <v>29</v>
      </c>
      <c r="D589" s="267">
        <f>prod_compiled!D62</f>
        <v>4.0000000000000001E-3</v>
      </c>
      <c r="E589" s="267">
        <f>prod_compiled!E62</f>
        <v>2E-3</v>
      </c>
      <c r="F589" s="267">
        <f>prod_compiled!F62</f>
        <v>4.0000000000000001E-3</v>
      </c>
      <c r="G589" s="267">
        <f>prod_compiled!G62</f>
        <v>3.0000000000000001E-3</v>
      </c>
      <c r="H589" s="267">
        <f>prod_compiled!H62</f>
        <v>4.3093147500000012E-3</v>
      </c>
      <c r="I589" s="267">
        <f>prod_compiled!I62</f>
        <v>0</v>
      </c>
      <c r="J589" s="267">
        <f>prod_compiled!J62</f>
        <v>0</v>
      </c>
      <c r="K589" s="267">
        <f>prod_compiled!K62</f>
        <v>0</v>
      </c>
      <c r="L589" s="267">
        <f>prod_compiled!L62</f>
        <v>0</v>
      </c>
      <c r="M589" s="267">
        <f>prod_compiled!M62</f>
        <v>0</v>
      </c>
      <c r="N589" s="267">
        <f>prod_compiled!N62</f>
        <v>0</v>
      </c>
      <c r="O589" s="267">
        <f>prod_compiled!O62</f>
        <v>0</v>
      </c>
    </row>
    <row r="590" spans="3:15" hidden="1"/>
    <row r="591" spans="3:15" hidden="1"/>
    <row r="592" spans="3:15" hidden="1"/>
    <row r="593" spans="3:15" hidden="1"/>
    <row r="594" spans="3:15" hidden="1">
      <c r="C594" s="184" t="s">
        <v>246</v>
      </c>
      <c r="D594" s="184" t="str">
        <f>interFY_transition!J$20</f>
        <v>Apr'26</v>
      </c>
      <c r="E594" s="184" t="str">
        <f>interFY_transition!K$20</f>
        <v>May'26</v>
      </c>
      <c r="F594" s="184" t="str">
        <f>interFY_transition!L$20</f>
        <v>June'26</v>
      </c>
      <c r="G594" s="184" t="str">
        <f>interFY_transition!M$20</f>
        <v>July'26</v>
      </c>
      <c r="H594" s="184" t="str">
        <f>interFY_transition!N$20</f>
        <v>Aug'26</v>
      </c>
      <c r="I594" s="184" t="str">
        <f>interFY_transition!O$20</f>
        <v>Sep'26</v>
      </c>
      <c r="J594" s="184" t="str">
        <f>interFY_transition!P$20</f>
        <v>Oct'26</v>
      </c>
      <c r="K594" s="184" t="str">
        <f>interFY_transition!Q$20</f>
        <v>Nov'26</v>
      </c>
      <c r="L594" s="184" t="str">
        <f>interFY_transition!R$20</f>
        <v>Dec'26</v>
      </c>
      <c r="M594" s="184" t="str">
        <f>interFY_transition!S$20</f>
        <v>Jan'27</v>
      </c>
      <c r="N594" s="184" t="str">
        <f>interFY_transition!T$20</f>
        <v>Feb'27</v>
      </c>
      <c r="O594" s="184" t="str">
        <f>interFY_transition!U$20</f>
        <v>Mar'27</v>
      </c>
    </row>
    <row r="595" spans="3:15" hidden="1">
      <c r="C595" s="184" t="str">
        <f>$A$529</f>
        <v>BE(BCM)</v>
      </c>
      <c r="D595" s="267">
        <f>Target_monthwise!D72</f>
        <v>0</v>
      </c>
      <c r="E595" s="267">
        <f>Target_monthwise!E72</f>
        <v>0</v>
      </c>
      <c r="F595" s="267">
        <f>Target_monthwise!F72</f>
        <v>1E-3</v>
      </c>
      <c r="G595" s="267">
        <f>Target_monthwise!G72</f>
        <v>0</v>
      </c>
      <c r="H595" s="267">
        <f>Target_monthwise!H72</f>
        <v>0</v>
      </c>
      <c r="I595" s="267">
        <f>Target_monthwise!I72</f>
        <v>1E-3</v>
      </c>
      <c r="J595" s="267">
        <f>Target_monthwise!J72</f>
        <v>0</v>
      </c>
      <c r="K595" s="267">
        <f>Target_monthwise!K72</f>
        <v>0</v>
      </c>
      <c r="L595" s="267">
        <f>Target_monthwise!L72</f>
        <v>1E-3</v>
      </c>
      <c r="M595" s="267">
        <f>Target_monthwise!M72</f>
        <v>0</v>
      </c>
      <c r="N595" s="267">
        <f>Target_monthwise!N72</f>
        <v>0</v>
      </c>
      <c r="O595" s="267">
        <f>Target_monthwise!O72</f>
        <v>1E-3</v>
      </c>
    </row>
    <row r="596" spans="3:15" hidden="1">
      <c r="C596" s="184" t="s">
        <v>29</v>
      </c>
      <c r="D596" s="267">
        <f>prod_compiled!D63</f>
        <v>0</v>
      </c>
      <c r="E596" s="267">
        <f>prod_compiled!E63</f>
        <v>0</v>
      </c>
      <c r="F596" s="267">
        <f>prod_compiled!F63</f>
        <v>1E-3</v>
      </c>
      <c r="G596" s="267">
        <f>prod_compiled!G63</f>
        <v>0</v>
      </c>
      <c r="H596" s="267">
        <f>prod_compiled!H63</f>
        <v>3.8500000000000025E-4</v>
      </c>
      <c r="I596" s="267">
        <f>prod_compiled!I63</f>
        <v>0</v>
      </c>
      <c r="J596" s="267">
        <f>prod_compiled!J63</f>
        <v>0</v>
      </c>
      <c r="K596" s="267">
        <f>prod_compiled!K63</f>
        <v>0</v>
      </c>
      <c r="L596" s="267">
        <f>prod_compiled!L63</f>
        <v>0</v>
      </c>
      <c r="M596" s="267">
        <f>prod_compiled!M63</f>
        <v>0</v>
      </c>
      <c r="N596" s="267">
        <f>prod_compiled!N63</f>
        <v>0</v>
      </c>
      <c r="O596" s="267">
        <f>prod_compiled!O63</f>
        <v>0</v>
      </c>
    </row>
    <row r="597" spans="3:15" hidden="1"/>
    <row r="598" spans="3:15" hidden="1"/>
    <row r="599" spans="3:15" hidden="1"/>
    <row r="600" spans="3:15" hidden="1"/>
    <row r="601" spans="3:15" hidden="1">
      <c r="C601" s="184" t="s">
        <v>247</v>
      </c>
      <c r="D601" s="184" t="str">
        <f>interFY_transition!J$20</f>
        <v>Apr'26</v>
      </c>
      <c r="E601" s="184" t="str">
        <f>interFY_transition!K$20</f>
        <v>May'26</v>
      </c>
      <c r="F601" s="184" t="str">
        <f>interFY_transition!L$20</f>
        <v>June'26</v>
      </c>
      <c r="G601" s="184" t="str">
        <f>interFY_transition!M$20</f>
        <v>July'26</v>
      </c>
      <c r="H601" s="184" t="str">
        <f>interFY_transition!N$20</f>
        <v>Aug'26</v>
      </c>
      <c r="I601" s="184" t="str">
        <f>interFY_transition!O$20</f>
        <v>Sep'26</v>
      </c>
      <c r="J601" s="184" t="str">
        <f>interFY_transition!P$20</f>
        <v>Oct'26</v>
      </c>
      <c r="K601" s="184" t="str">
        <f>interFY_transition!Q$20</f>
        <v>Nov'26</v>
      </c>
      <c r="L601" s="184" t="str">
        <f>interFY_transition!R$20</f>
        <v>Dec'26</v>
      </c>
      <c r="M601" s="184" t="str">
        <f>interFY_transition!S$20</f>
        <v>Jan'27</v>
      </c>
      <c r="N601" s="184" t="str">
        <f>interFY_transition!T$20</f>
        <v>Feb'27</v>
      </c>
      <c r="O601" s="184" t="str">
        <f>interFY_transition!U$20</f>
        <v>Mar'27</v>
      </c>
    </row>
    <row r="602" spans="3:15" hidden="1">
      <c r="C602" s="184" t="str">
        <f>$A$529</f>
        <v>BE(BCM)</v>
      </c>
      <c r="D602" s="267">
        <f>Target_monthwise!D73</f>
        <v>0</v>
      </c>
      <c r="E602" s="267">
        <f>Target_monthwise!E73</f>
        <v>0</v>
      </c>
      <c r="F602" s="267">
        <f>Target_monthwise!F73</f>
        <v>0</v>
      </c>
      <c r="G602" s="267">
        <f>Target_monthwise!G73</f>
        <v>0</v>
      </c>
      <c r="H602" s="267">
        <f>Target_monthwise!H73</f>
        <v>0</v>
      </c>
      <c r="I602" s="267">
        <f>Target_monthwise!I73</f>
        <v>0</v>
      </c>
      <c r="J602" s="267">
        <f>Target_monthwise!J73</f>
        <v>0</v>
      </c>
      <c r="K602" s="267">
        <f>Target_monthwise!K73</f>
        <v>0</v>
      </c>
      <c r="L602" s="267">
        <f>Target_monthwise!L73</f>
        <v>0</v>
      </c>
      <c r="M602" s="267">
        <f>Target_monthwise!M73</f>
        <v>0</v>
      </c>
      <c r="N602" s="267">
        <f>Target_monthwise!N73</f>
        <v>1E-3</v>
      </c>
      <c r="O602" s="267">
        <f>Target_monthwise!O73</f>
        <v>0</v>
      </c>
    </row>
    <row r="603" spans="3:15" hidden="1">
      <c r="C603" s="184" t="s">
        <v>29</v>
      </c>
      <c r="D603" s="267">
        <f>prod_compiled!D64</f>
        <v>0</v>
      </c>
      <c r="E603" s="267">
        <f>prod_compiled!E64</f>
        <v>0</v>
      </c>
      <c r="F603" s="267">
        <f>prod_compiled!F64</f>
        <v>0</v>
      </c>
      <c r="G603" s="267">
        <f>prod_compiled!G64</f>
        <v>8.0000000000000002E-3</v>
      </c>
      <c r="H603" s="267">
        <f>prod_compiled!H64</f>
        <v>9.2605345649262195E-5</v>
      </c>
      <c r="I603" s="267">
        <f>prod_compiled!I64</f>
        <v>0</v>
      </c>
      <c r="J603" s="267">
        <f>prod_compiled!J64</f>
        <v>0</v>
      </c>
      <c r="K603" s="267">
        <f>prod_compiled!K64</f>
        <v>0</v>
      </c>
      <c r="L603" s="267">
        <f>prod_compiled!L64</f>
        <v>0</v>
      </c>
      <c r="M603" s="267">
        <f>prod_compiled!M64</f>
        <v>0</v>
      </c>
      <c r="N603" s="267">
        <f>prod_compiled!N64</f>
        <v>0</v>
      </c>
      <c r="O603" s="267">
        <f>prod_compiled!O64</f>
        <v>0</v>
      </c>
    </row>
    <row r="604" spans="3:15" hidden="1"/>
    <row r="605" spans="3:15" hidden="1"/>
    <row r="606" spans="3:15" hidden="1"/>
    <row r="607" spans="3:15" hidden="1"/>
    <row r="608" spans="3:15" hidden="1">
      <c r="C608" s="184" t="s">
        <v>248</v>
      </c>
      <c r="D608" s="184" t="str">
        <f>interFY_transition!J$20</f>
        <v>Apr'26</v>
      </c>
      <c r="E608" s="184" t="str">
        <f>interFY_transition!K$20</f>
        <v>May'26</v>
      </c>
      <c r="F608" s="184" t="str">
        <f>interFY_transition!L$20</f>
        <v>June'26</v>
      </c>
      <c r="G608" s="184" t="str">
        <f>interFY_transition!M$20</f>
        <v>July'26</v>
      </c>
      <c r="H608" s="184" t="str">
        <f>interFY_transition!N$20</f>
        <v>Aug'26</v>
      </c>
      <c r="I608" s="184" t="str">
        <f>interFY_transition!O$20</f>
        <v>Sep'26</v>
      </c>
      <c r="J608" s="184" t="str">
        <f>interFY_transition!P$20</f>
        <v>Oct'26</v>
      </c>
      <c r="K608" s="184" t="str">
        <f>interFY_transition!Q$20</f>
        <v>Nov'26</v>
      </c>
      <c r="L608" s="184" t="str">
        <f>interFY_transition!R$20</f>
        <v>Dec'26</v>
      </c>
      <c r="M608" s="184" t="str">
        <f>interFY_transition!S$20</f>
        <v>Jan'27</v>
      </c>
      <c r="N608" s="184" t="str">
        <f>interFY_transition!T$20</f>
        <v>Feb'27</v>
      </c>
      <c r="O608" s="184" t="str">
        <f>interFY_transition!U$20</f>
        <v>Mar'27</v>
      </c>
    </row>
    <row r="609" spans="3:15" hidden="1">
      <c r="C609" s="184" t="str">
        <f>$A$529</f>
        <v>BE(BCM)</v>
      </c>
      <c r="D609" s="267">
        <f>Target_monthwise!D74</f>
        <v>1E-3</v>
      </c>
      <c r="E609" s="267">
        <f>Target_monthwise!E74</f>
        <v>1E-3</v>
      </c>
      <c r="F609" s="267">
        <f>Target_monthwise!F74</f>
        <v>0</v>
      </c>
      <c r="G609" s="267">
        <f>Target_monthwise!G74</f>
        <v>1E-3</v>
      </c>
      <c r="H609" s="267">
        <f>Target_monthwise!H74</f>
        <v>1E-3</v>
      </c>
      <c r="I609" s="267">
        <f>Target_monthwise!I74</f>
        <v>1E-3</v>
      </c>
      <c r="J609" s="267">
        <f>Target_monthwise!J74</f>
        <v>7.643835616438356E-4</v>
      </c>
      <c r="K609" s="267">
        <f>Target_monthwise!K74</f>
        <v>0</v>
      </c>
      <c r="L609" s="267">
        <f>Target_monthwise!L74</f>
        <v>1E-3</v>
      </c>
      <c r="M609" s="267">
        <f>Target_monthwise!M74</f>
        <v>1E-3</v>
      </c>
      <c r="N609" s="267">
        <f>Target_monthwise!N74</f>
        <v>0</v>
      </c>
      <c r="O609" s="267">
        <f>Target_monthwise!O74</f>
        <v>1E-3</v>
      </c>
    </row>
    <row r="610" spans="3:15" hidden="1">
      <c r="C610" s="184" t="s">
        <v>29</v>
      </c>
      <c r="D610" s="267">
        <f>prod_compiled!D65</f>
        <v>1E-3</v>
      </c>
      <c r="E610" s="267">
        <f>prod_compiled!E65</f>
        <v>1E-3</v>
      </c>
      <c r="F610" s="267">
        <f>prod_compiled!F65</f>
        <v>1E-3</v>
      </c>
      <c r="G610" s="267">
        <f>prod_compiled!G65</f>
        <v>1E-3</v>
      </c>
      <c r="H610" s="267">
        <f>prod_compiled!H65</f>
        <v>6.6094006178730102E-4</v>
      </c>
      <c r="I610" s="267">
        <f>prod_compiled!I65</f>
        <v>0</v>
      </c>
      <c r="J610" s="267">
        <f>prod_compiled!J65</f>
        <v>0</v>
      </c>
      <c r="K610" s="267">
        <f>prod_compiled!K65</f>
        <v>0</v>
      </c>
      <c r="L610" s="267">
        <f>prod_compiled!L65</f>
        <v>0</v>
      </c>
      <c r="M610" s="267">
        <f>prod_compiled!M65</f>
        <v>0</v>
      </c>
      <c r="N610" s="267">
        <f>prod_compiled!N65</f>
        <v>0</v>
      </c>
      <c r="O610" s="267">
        <f>prod_compiled!O65</f>
        <v>0</v>
      </c>
    </row>
    <row r="611" spans="3:15" hidden="1"/>
    <row r="612" spans="3:15" hidden="1"/>
    <row r="613" spans="3:15" hidden="1"/>
    <row r="614" spans="3:15" hidden="1"/>
    <row r="615" spans="3:15" hidden="1">
      <c r="C615" s="184" t="s">
        <v>249</v>
      </c>
      <c r="D615" s="184" t="str">
        <f>interFY_transition!J$20</f>
        <v>Apr'26</v>
      </c>
      <c r="E615" s="184" t="str">
        <f>interFY_transition!K$20</f>
        <v>May'26</v>
      </c>
      <c r="F615" s="184" t="str">
        <f>interFY_transition!L$20</f>
        <v>June'26</v>
      </c>
      <c r="G615" s="184" t="str">
        <f>interFY_transition!M$20</f>
        <v>July'26</v>
      </c>
      <c r="H615" s="184" t="str">
        <f>interFY_transition!N$20</f>
        <v>Aug'26</v>
      </c>
      <c r="I615" s="184" t="str">
        <f>interFY_transition!O$20</f>
        <v>Sep'26</v>
      </c>
      <c r="J615" s="184" t="str">
        <f>interFY_transition!P$20</f>
        <v>Oct'26</v>
      </c>
      <c r="K615" s="184" t="str">
        <f>interFY_transition!Q$20</f>
        <v>Nov'26</v>
      </c>
      <c r="L615" s="184" t="str">
        <f>interFY_transition!R$20</f>
        <v>Dec'26</v>
      </c>
      <c r="M615" s="184" t="str">
        <f>interFY_transition!S$20</f>
        <v>Jan'27</v>
      </c>
      <c r="N615" s="184" t="str">
        <f>interFY_transition!T$20</f>
        <v>Feb'27</v>
      </c>
      <c r="O615" s="184" t="str">
        <f>interFY_transition!U$20</f>
        <v>Mar'27</v>
      </c>
    </row>
    <row r="616" spans="3:15" hidden="1">
      <c r="C616" s="184" t="str">
        <f>$A$529</f>
        <v>BE(BCM)</v>
      </c>
      <c r="D616" s="267">
        <f>Target_monthwise!D75</f>
        <v>2E-3</v>
      </c>
      <c r="E616" s="267">
        <f>Target_monthwise!E75</f>
        <v>3.0000000000000001E-3</v>
      </c>
      <c r="F616" s="267">
        <f>Target_monthwise!F75</f>
        <v>3.0000000000000001E-3</v>
      </c>
      <c r="G616" s="267">
        <f>Target_monthwise!G75</f>
        <v>3.0000000000000001E-3</v>
      </c>
      <c r="H616" s="267">
        <f>Target_monthwise!H75</f>
        <v>3.0000000000000001E-3</v>
      </c>
      <c r="I616" s="267">
        <f>Target_monthwise!I75</f>
        <v>3.0000000000000001E-3</v>
      </c>
      <c r="J616" s="267">
        <f>Target_monthwise!J75</f>
        <v>2.7178082191780823E-3</v>
      </c>
      <c r="K616" s="267">
        <f>Target_monthwise!K75</f>
        <v>3.0000000000000001E-3</v>
      </c>
      <c r="L616" s="267">
        <f>Target_monthwise!L75</f>
        <v>3.0000000000000001E-3</v>
      </c>
      <c r="M616" s="267">
        <f>Target_monthwise!M75</f>
        <v>3.0000000000000001E-3</v>
      </c>
      <c r="N616" s="267">
        <f>Target_monthwise!N75</f>
        <v>2E-3</v>
      </c>
      <c r="O616" s="267">
        <f>Target_monthwise!O75</f>
        <v>1E-3</v>
      </c>
    </row>
    <row r="617" spans="3:15" hidden="1">
      <c r="C617" s="184" t="s">
        <v>29</v>
      </c>
      <c r="D617" s="267">
        <f>prod_compiled!D66</f>
        <v>1E-3</v>
      </c>
      <c r="E617" s="267">
        <f>prod_compiled!E66</f>
        <v>1E-3</v>
      </c>
      <c r="F617" s="267">
        <f>prod_compiled!F66</f>
        <v>1E-3</v>
      </c>
      <c r="G617" s="267">
        <f>prod_compiled!G66</f>
        <v>2E-3</v>
      </c>
      <c r="H617" s="267">
        <f>prod_compiled!H66</f>
        <v>1.063002092612991E-3</v>
      </c>
      <c r="I617" s="267">
        <f>prod_compiled!I66</f>
        <v>0</v>
      </c>
      <c r="J617" s="267">
        <f>prod_compiled!J66</f>
        <v>0</v>
      </c>
      <c r="K617" s="267">
        <f>prod_compiled!K66</f>
        <v>0</v>
      </c>
      <c r="L617" s="267">
        <f>prod_compiled!L66</f>
        <v>0</v>
      </c>
      <c r="M617" s="267">
        <f>prod_compiled!M66</f>
        <v>0</v>
      </c>
      <c r="N617" s="267">
        <f>prod_compiled!N66</f>
        <v>0</v>
      </c>
      <c r="O617" s="267">
        <f>prod_compiled!O66</f>
        <v>0</v>
      </c>
    </row>
    <row r="618" spans="3:15" hidden="1"/>
    <row r="619" spans="3:15" hidden="1"/>
    <row r="620" spans="3:15" hidden="1"/>
    <row r="621" spans="3:15" hidden="1"/>
    <row r="622" spans="3:15" hidden="1">
      <c r="C622" s="184" t="s">
        <v>250</v>
      </c>
      <c r="D622" s="184" t="str">
        <f>interFY_transition!J$20</f>
        <v>Apr'26</v>
      </c>
      <c r="E622" s="184" t="str">
        <f>interFY_transition!K$20</f>
        <v>May'26</v>
      </c>
      <c r="F622" s="184" t="str">
        <f>interFY_transition!L$20</f>
        <v>June'26</v>
      </c>
      <c r="G622" s="184" t="str">
        <f>interFY_transition!M$20</f>
        <v>July'26</v>
      </c>
      <c r="H622" s="184" t="str">
        <f>interFY_transition!N$20</f>
        <v>Aug'26</v>
      </c>
      <c r="I622" s="184" t="str">
        <f>interFY_transition!O$20</f>
        <v>Sep'26</v>
      </c>
      <c r="J622" s="184" t="str">
        <f>interFY_transition!P$20</f>
        <v>Oct'26</v>
      </c>
      <c r="K622" s="184" t="str">
        <f>interFY_transition!Q$20</f>
        <v>Nov'26</v>
      </c>
      <c r="L622" s="184" t="str">
        <f>interFY_transition!R$20</f>
        <v>Dec'26</v>
      </c>
      <c r="M622" s="184" t="str">
        <f>interFY_transition!S$20</f>
        <v>Jan'27</v>
      </c>
      <c r="N622" s="184" t="str">
        <f>interFY_transition!T$20</f>
        <v>Feb'27</v>
      </c>
      <c r="O622" s="184" t="str">
        <f>interFY_transition!U$20</f>
        <v>Mar'27</v>
      </c>
    </row>
    <row r="623" spans="3:15" hidden="1">
      <c r="C623" s="184" t="str">
        <f>$A$529</f>
        <v>BE(BCM)</v>
      </c>
      <c r="D623" s="267">
        <f>Target_monthwise!D76</f>
        <v>0</v>
      </c>
      <c r="E623" s="267">
        <f>Target_monthwise!E76</f>
        <v>0</v>
      </c>
      <c r="F623" s="267">
        <f>Target_monthwise!F76</f>
        <v>0</v>
      </c>
      <c r="G623" s="267">
        <f>Target_monthwise!G76</f>
        <v>0</v>
      </c>
      <c r="H623" s="267">
        <f>Target_monthwise!H76</f>
        <v>0</v>
      </c>
      <c r="I623" s="267">
        <f>Target_monthwise!I76</f>
        <v>0</v>
      </c>
      <c r="J623" s="267">
        <f>Target_monthwise!J76</f>
        <v>0</v>
      </c>
      <c r="K623" s="267">
        <f>Target_monthwise!K76</f>
        <v>0</v>
      </c>
      <c r="L623" s="267">
        <f>Target_monthwise!L76</f>
        <v>0</v>
      </c>
      <c r="M623" s="267">
        <f>Target_monthwise!M76</f>
        <v>0</v>
      </c>
      <c r="N623" s="267">
        <f>Target_monthwise!N76</f>
        <v>0</v>
      </c>
      <c r="O623" s="267">
        <f>Target_monthwise!O76</f>
        <v>0</v>
      </c>
    </row>
    <row r="624" spans="3:15" hidden="1">
      <c r="C624" s="184" t="s">
        <v>29</v>
      </c>
      <c r="D624" s="267">
        <f>prod_compiled!D67</f>
        <v>0</v>
      </c>
      <c r="E624" s="267">
        <f>prod_compiled!E67</f>
        <v>0</v>
      </c>
      <c r="F624" s="267">
        <f>prod_compiled!F67</f>
        <v>0</v>
      </c>
      <c r="G624" s="267">
        <f>prod_compiled!G67</f>
        <v>0</v>
      </c>
      <c r="H624" s="267">
        <f>prod_compiled!H67</f>
        <v>0</v>
      </c>
      <c r="I624" s="267">
        <f>prod_compiled!I67</f>
        <v>0</v>
      </c>
      <c r="J624" s="267">
        <f>prod_compiled!J67</f>
        <v>0</v>
      </c>
      <c r="K624" s="267">
        <f>prod_compiled!K67</f>
        <v>0</v>
      </c>
      <c r="L624" s="267">
        <f>prod_compiled!L67</f>
        <v>0</v>
      </c>
      <c r="M624" s="267">
        <f>prod_compiled!M67</f>
        <v>0</v>
      </c>
      <c r="N624" s="267">
        <f>prod_compiled!N67</f>
        <v>0</v>
      </c>
      <c r="O624" s="267">
        <f>prod_compiled!O67</f>
        <v>0</v>
      </c>
    </row>
    <row r="625" spans="3:15" hidden="1"/>
    <row r="626" spans="3:15" hidden="1"/>
    <row r="627" spans="3:15" hidden="1"/>
    <row r="628" spans="3:15" hidden="1"/>
    <row r="629" spans="3:15" hidden="1">
      <c r="C629" s="184" t="s">
        <v>251</v>
      </c>
      <c r="D629" s="184" t="str">
        <f>interFY_transition!J$20</f>
        <v>Apr'26</v>
      </c>
      <c r="E629" s="184" t="str">
        <f>interFY_transition!K$20</f>
        <v>May'26</v>
      </c>
      <c r="F629" s="184" t="str">
        <f>interFY_transition!L$20</f>
        <v>June'26</v>
      </c>
      <c r="G629" s="184" t="str">
        <f>interFY_transition!M$20</f>
        <v>July'26</v>
      </c>
      <c r="H629" s="184" t="str">
        <f>interFY_transition!N$20</f>
        <v>Aug'26</v>
      </c>
      <c r="I629" s="184" t="str">
        <f>interFY_transition!O$20</f>
        <v>Sep'26</v>
      </c>
      <c r="J629" s="184" t="str">
        <f>interFY_transition!P$20</f>
        <v>Oct'26</v>
      </c>
      <c r="K629" s="184" t="str">
        <f>interFY_transition!Q$20</f>
        <v>Nov'26</v>
      </c>
      <c r="L629" s="184" t="str">
        <f>interFY_transition!R$20</f>
        <v>Dec'26</v>
      </c>
      <c r="M629" s="184" t="str">
        <f>interFY_transition!S$20</f>
        <v>Jan'27</v>
      </c>
      <c r="N629" s="184" t="str">
        <f>interFY_transition!T$20</f>
        <v>Feb'27</v>
      </c>
      <c r="O629" s="184" t="str">
        <f>interFY_transition!U$20</f>
        <v>Mar'27</v>
      </c>
    </row>
    <row r="630" spans="3:15" hidden="1">
      <c r="C630" s="184" t="str">
        <f>$A$529</f>
        <v>BE(BCM)</v>
      </c>
      <c r="D630" s="267">
        <f>Target_monthwise!D77</f>
        <v>0</v>
      </c>
      <c r="E630" s="267">
        <f>Target_monthwise!E77</f>
        <v>0</v>
      </c>
      <c r="F630" s="267">
        <f>Target_monthwise!F77</f>
        <v>0</v>
      </c>
      <c r="G630" s="267">
        <f>Target_monthwise!G77</f>
        <v>0</v>
      </c>
      <c r="H630" s="267">
        <f>Target_monthwise!H77</f>
        <v>0</v>
      </c>
      <c r="I630" s="267">
        <f>Target_monthwise!I77</f>
        <v>0</v>
      </c>
      <c r="J630" s="267">
        <f>Target_monthwise!J77</f>
        <v>0</v>
      </c>
      <c r="K630" s="267">
        <f>Target_monthwise!K77</f>
        <v>0</v>
      </c>
      <c r="L630" s="267">
        <f>Target_monthwise!L77</f>
        <v>0</v>
      </c>
      <c r="M630" s="267">
        <f>Target_monthwise!M77</f>
        <v>0</v>
      </c>
      <c r="N630" s="267">
        <f>Target_monthwise!N77</f>
        <v>0</v>
      </c>
      <c r="O630" s="267">
        <f>Target_monthwise!O77</f>
        <v>0</v>
      </c>
    </row>
    <row r="631" spans="3:15" hidden="1">
      <c r="C631" s="184" t="s">
        <v>29</v>
      </c>
      <c r="D631" s="267">
        <f>prod_compiled!D68</f>
        <v>0</v>
      </c>
      <c r="E631" s="267">
        <f>prod_compiled!E68</f>
        <v>0</v>
      </c>
      <c r="F631" s="267">
        <f>prod_compiled!F68</f>
        <v>0</v>
      </c>
      <c r="G631" s="267">
        <f>prod_compiled!G68</f>
        <v>0</v>
      </c>
      <c r="H631" s="267">
        <f>prod_compiled!H68</f>
        <v>0</v>
      </c>
      <c r="I631" s="267">
        <f>prod_compiled!I68</f>
        <v>0</v>
      </c>
      <c r="J631" s="267">
        <f>prod_compiled!J68</f>
        <v>0</v>
      </c>
      <c r="K631" s="267">
        <f>prod_compiled!K68</f>
        <v>0</v>
      </c>
      <c r="L631" s="267">
        <f>prod_compiled!L68</f>
        <v>0</v>
      </c>
      <c r="M631" s="267">
        <f>prod_compiled!M68</f>
        <v>0</v>
      </c>
      <c r="N631" s="267">
        <f>prod_compiled!N68</f>
        <v>0</v>
      </c>
      <c r="O631" s="267">
        <f>prod_compiled!O68</f>
        <v>0</v>
      </c>
    </row>
    <row r="632" spans="3:15" hidden="1"/>
    <row r="633" spans="3:15" hidden="1"/>
    <row r="634" spans="3:15" hidden="1"/>
    <row r="635" spans="3:15" hidden="1"/>
    <row r="636" spans="3:15" hidden="1">
      <c r="C636" s="184" t="s">
        <v>252</v>
      </c>
      <c r="D636" s="184" t="str">
        <f>interFY_transition!J$20</f>
        <v>Apr'26</v>
      </c>
      <c r="E636" s="184" t="str">
        <f>interFY_transition!K$20</f>
        <v>May'26</v>
      </c>
      <c r="F636" s="184" t="str">
        <f>interFY_transition!L$20</f>
        <v>June'26</v>
      </c>
      <c r="G636" s="184" t="str">
        <f>interFY_transition!M$20</f>
        <v>July'26</v>
      </c>
      <c r="H636" s="184" t="str">
        <f>interFY_transition!N$20</f>
        <v>Aug'26</v>
      </c>
      <c r="I636" s="184" t="str">
        <f>interFY_transition!O$20</f>
        <v>Sep'26</v>
      </c>
      <c r="J636" s="184" t="str">
        <f>interFY_transition!P$20</f>
        <v>Oct'26</v>
      </c>
      <c r="K636" s="184" t="str">
        <f>interFY_transition!Q$20</f>
        <v>Nov'26</v>
      </c>
      <c r="L636" s="184" t="str">
        <f>interFY_transition!R$20</f>
        <v>Dec'26</v>
      </c>
      <c r="M636" s="184" t="str">
        <f>interFY_transition!S$20</f>
        <v>Jan'27</v>
      </c>
      <c r="N636" s="184" t="str">
        <f>interFY_transition!T$20</f>
        <v>Feb'27</v>
      </c>
      <c r="O636" s="184" t="str">
        <f>interFY_transition!U$20</f>
        <v>Mar'27</v>
      </c>
    </row>
    <row r="637" spans="3:15" hidden="1">
      <c r="C637" s="184" t="str">
        <f>$A$529</f>
        <v>BE(BCM)</v>
      </c>
      <c r="D637" s="267">
        <f>Target_monthwise!D78</f>
        <v>0</v>
      </c>
      <c r="E637" s="267">
        <f>Target_monthwise!E78</f>
        <v>0</v>
      </c>
      <c r="F637" s="267">
        <f>Target_monthwise!F78</f>
        <v>0</v>
      </c>
      <c r="G637" s="267">
        <f>Target_monthwise!G78</f>
        <v>0</v>
      </c>
      <c r="H637" s="267">
        <f>Target_monthwise!H78</f>
        <v>0</v>
      </c>
      <c r="I637" s="267">
        <f>Target_monthwise!I78</f>
        <v>0</v>
      </c>
      <c r="J637" s="267">
        <f>Target_monthwise!J78</f>
        <v>0</v>
      </c>
      <c r="K637" s="267">
        <f>Target_monthwise!K78</f>
        <v>0</v>
      </c>
      <c r="L637" s="267">
        <f>Target_monthwise!L78</f>
        <v>0</v>
      </c>
      <c r="M637" s="267">
        <f>Target_monthwise!M78</f>
        <v>0</v>
      </c>
      <c r="N637" s="267">
        <f>Target_monthwise!N78</f>
        <v>0</v>
      </c>
      <c r="O637" s="267">
        <f>Target_monthwise!O78</f>
        <v>0</v>
      </c>
    </row>
    <row r="638" spans="3:15" hidden="1">
      <c r="C638" s="184" t="s">
        <v>29</v>
      </c>
      <c r="D638" s="267">
        <f>prod_compiled!D69</f>
        <v>0</v>
      </c>
      <c r="E638" s="267">
        <f>prod_compiled!E69</f>
        <v>0</v>
      </c>
      <c r="F638" s="267">
        <f>prod_compiled!F69</f>
        <v>0</v>
      </c>
      <c r="G638" s="267">
        <f>prod_compiled!G69</f>
        <v>0</v>
      </c>
      <c r="H638" s="267">
        <f>prod_compiled!H69</f>
        <v>0</v>
      </c>
      <c r="I638" s="267">
        <f>prod_compiled!I69</f>
        <v>0</v>
      </c>
      <c r="J638" s="267">
        <f>prod_compiled!J69</f>
        <v>0</v>
      </c>
      <c r="K638" s="267">
        <f>prod_compiled!K69</f>
        <v>0</v>
      </c>
      <c r="L638" s="267">
        <f>prod_compiled!L69</f>
        <v>0</v>
      </c>
      <c r="M638" s="267">
        <f>prod_compiled!M69</f>
        <v>0</v>
      </c>
      <c r="N638" s="267">
        <f>prod_compiled!N69</f>
        <v>0</v>
      </c>
      <c r="O638" s="267">
        <f>prod_compiled!O69</f>
        <v>0</v>
      </c>
    </row>
    <row r="639" spans="3:15" hidden="1"/>
    <row r="640" spans="3:15" hidden="1"/>
    <row r="643" spans="3:15">
      <c r="C643" s="184" t="s">
        <v>253</v>
      </c>
      <c r="D643" s="184" t="str">
        <f>interFY_transition!J$20</f>
        <v>Apr'26</v>
      </c>
      <c r="E643" s="184" t="str">
        <f>interFY_transition!K$20</f>
        <v>May'26</v>
      </c>
      <c r="F643" s="184" t="str">
        <f>interFY_transition!L$20</f>
        <v>June'26</v>
      </c>
      <c r="G643" s="184" t="str">
        <f>interFY_transition!M$20</f>
        <v>July'26</v>
      </c>
      <c r="H643" s="184" t="str">
        <f>interFY_transition!N$20</f>
        <v>Aug'26</v>
      </c>
      <c r="I643" s="184" t="str">
        <f>interFY_transition!O$20</f>
        <v>Sep'26</v>
      </c>
      <c r="J643" s="184" t="str">
        <f>interFY_transition!P$20</f>
        <v>Oct'26</v>
      </c>
      <c r="K643" s="184" t="str">
        <f>interFY_transition!Q$20</f>
        <v>Nov'26</v>
      </c>
      <c r="L643" s="184" t="str">
        <f>interFY_transition!R$20</f>
        <v>Dec'26</v>
      </c>
      <c r="M643" s="184" t="str">
        <f>interFY_transition!S$20</f>
        <v>Jan'27</v>
      </c>
      <c r="N643" s="184" t="str">
        <f>interFY_transition!T$20</f>
        <v>Feb'27</v>
      </c>
      <c r="O643" s="184" t="str">
        <f>interFY_transition!U$20</f>
        <v>Mar'27</v>
      </c>
    </row>
    <row r="644" spans="3:15">
      <c r="C644" s="184" t="str">
        <f>$A$529</f>
        <v>BE(BCM)</v>
      </c>
      <c r="D644" s="267">
        <f>Target_monthwise!D79</f>
        <v>0</v>
      </c>
      <c r="E644" s="267">
        <f>Target_monthwise!E79</f>
        <v>0</v>
      </c>
      <c r="F644" s="267">
        <f>Target_monthwise!F79</f>
        <v>0</v>
      </c>
      <c r="G644" s="267">
        <f>Target_monthwise!G79</f>
        <v>0</v>
      </c>
      <c r="H644" s="267">
        <f>Target_monthwise!H79</f>
        <v>0</v>
      </c>
      <c r="I644" s="267">
        <f>Target_monthwise!I79</f>
        <v>0</v>
      </c>
      <c r="J644" s="267">
        <f>Target_monthwise!J79</f>
        <v>0</v>
      </c>
      <c r="K644" s="267">
        <f>Target_monthwise!K79</f>
        <v>0</v>
      </c>
      <c r="L644" s="267">
        <f>Target_monthwise!L79</f>
        <v>0</v>
      </c>
      <c r="M644" s="267">
        <f>Target_monthwise!M79</f>
        <v>0</v>
      </c>
      <c r="N644" s="267">
        <f>Target_monthwise!N79</f>
        <v>0</v>
      </c>
      <c r="O644" s="267">
        <f>Target_monthwise!O79</f>
        <v>0</v>
      </c>
    </row>
    <row r="645" spans="3:15">
      <c r="C645" s="184" t="s">
        <v>29</v>
      </c>
      <c r="D645" s="267">
        <f>prod_compiled!D70</f>
        <v>0</v>
      </c>
      <c r="E645" s="267">
        <f>prod_compiled!E70</f>
        <v>0</v>
      </c>
      <c r="F645" s="267">
        <f>prod_compiled!F70</f>
        <v>0</v>
      </c>
      <c r="G645" s="267">
        <f>prod_compiled!G70</f>
        <v>0</v>
      </c>
      <c r="H645" s="267">
        <f>prod_compiled!H70</f>
        <v>0</v>
      </c>
      <c r="I645" s="267">
        <f>prod_compiled!I70</f>
        <v>0</v>
      </c>
      <c r="J645" s="267">
        <f>prod_compiled!J70</f>
        <v>0</v>
      </c>
      <c r="K645" s="267">
        <f>prod_compiled!K70</f>
        <v>0</v>
      </c>
      <c r="L645" s="267">
        <f>prod_compiled!L70</f>
        <v>0</v>
      </c>
      <c r="M645" s="267">
        <f>prod_compiled!M70</f>
        <v>0</v>
      </c>
      <c r="N645" s="267">
        <f>prod_compiled!N70</f>
        <v>0</v>
      </c>
      <c r="O645" s="267">
        <f>prod_compiled!O70</f>
        <v>0</v>
      </c>
    </row>
    <row r="655" spans="3:15" s="187" customFormat="1"/>
    <row r="657" spans="1:15">
      <c r="C657" s="184" t="s">
        <v>254</v>
      </c>
      <c r="D657" s="184" t="str">
        <f>interFY_transition!J$20</f>
        <v>Apr'26</v>
      </c>
      <c r="E657" s="184" t="str">
        <f>interFY_transition!K$20</f>
        <v>May'26</v>
      </c>
      <c r="F657" s="184" t="str">
        <f>interFY_transition!L$20</f>
        <v>June'26</v>
      </c>
      <c r="G657" s="184" t="str">
        <f>interFY_transition!M$20</f>
        <v>July'26</v>
      </c>
      <c r="H657" s="184" t="str">
        <f>interFY_transition!N$20</f>
        <v>Aug'26</v>
      </c>
      <c r="I657" s="184" t="str">
        <f>interFY_transition!O$20</f>
        <v>Sep'26</v>
      </c>
      <c r="J657" s="184" t="str">
        <f>interFY_transition!P$20</f>
        <v>Oct'26</v>
      </c>
      <c r="K657" s="184" t="str">
        <f>interFY_transition!Q$20</f>
        <v>Nov'26</v>
      </c>
      <c r="L657" s="184" t="str">
        <f>interFY_transition!R$20</f>
        <v>Dec'26</v>
      </c>
      <c r="M657" s="184" t="str">
        <f>interFY_transition!S$20</f>
        <v>Jan'27</v>
      </c>
      <c r="N657" s="184" t="str">
        <f>interFY_transition!T$20</f>
        <v>Feb'27</v>
      </c>
      <c r="O657" s="184" t="str">
        <f>interFY_transition!U$20</f>
        <v>Mar'27</v>
      </c>
    </row>
    <row r="658" spans="1:15">
      <c r="C658" s="184" t="str">
        <f>$A$529</f>
        <v>BE(BCM)</v>
      </c>
      <c r="D658" s="267">
        <f>Target_monthwise!D80</f>
        <v>7.1999999999999995E-2</v>
      </c>
      <c r="E658" s="267">
        <f>Target_monthwise!E80</f>
        <v>7.3999999999999996E-2</v>
      </c>
      <c r="F658" s="267">
        <f>Target_monthwise!F80</f>
        <v>7.1999999999999995E-2</v>
      </c>
      <c r="G658" s="267">
        <f>Target_monthwise!G80</f>
        <v>7.3999999999999996E-2</v>
      </c>
      <c r="H658" s="267">
        <f>Target_monthwise!H80</f>
        <v>7.3999999999999996E-2</v>
      </c>
      <c r="I658" s="267">
        <f>Target_monthwise!I80</f>
        <v>7.1999999999999995E-2</v>
      </c>
      <c r="J658" s="267">
        <f>Target_monthwise!J80</f>
        <v>7.4230136986301376E-2</v>
      </c>
      <c r="K658" s="267">
        <f>Target_monthwise!K80</f>
        <v>7.1999999999999995E-2</v>
      </c>
      <c r="L658" s="267">
        <f>Target_monthwise!L80</f>
        <v>7.3999999999999996E-2</v>
      </c>
      <c r="M658" s="267">
        <f>Target_monthwise!M80</f>
        <v>7.3999999999999996E-2</v>
      </c>
      <c r="N658" s="267">
        <f>Target_monthwise!N80</f>
        <v>6.8000000000000005E-2</v>
      </c>
      <c r="O658" s="267">
        <f>Target_monthwise!O80</f>
        <v>7.3999999999999996E-2</v>
      </c>
    </row>
    <row r="659" spans="1:15">
      <c r="C659" s="184" t="s">
        <v>29</v>
      </c>
      <c r="D659" s="267">
        <f>prod_compiled!D71</f>
        <v>6.7000000000000004E-2</v>
      </c>
      <c r="E659" s="267">
        <f>prod_compiled!E71</f>
        <v>7.2999999999999995E-2</v>
      </c>
      <c r="F659" s="267">
        <f>prod_compiled!F71</f>
        <v>7.3999999999999996E-2</v>
      </c>
      <c r="G659" s="267">
        <f>prod_compiled!G71</f>
        <v>7.4999999999999997E-2</v>
      </c>
      <c r="H659" s="267">
        <f>prod_compiled!H71</f>
        <v>7.4159597844523695E-2</v>
      </c>
      <c r="I659" s="267">
        <f>prod_compiled!I71</f>
        <v>0</v>
      </c>
      <c r="J659" s="267">
        <f>prod_compiled!J71</f>
        <v>0</v>
      </c>
      <c r="K659" s="267">
        <f>prod_compiled!K71</f>
        <v>0</v>
      </c>
      <c r="L659" s="267">
        <f>prod_compiled!L71</f>
        <v>0</v>
      </c>
      <c r="M659" s="267">
        <f>prod_compiled!M71</f>
        <v>0</v>
      </c>
      <c r="N659" s="267">
        <f>prod_compiled!N71</f>
        <v>0</v>
      </c>
      <c r="O659" s="267">
        <f>prod_compiled!O71</f>
        <v>0</v>
      </c>
    </row>
    <row r="670" spans="1:15" s="268" customFormat="1"/>
    <row r="672" spans="1:15">
      <c r="A672" t="s">
        <v>279</v>
      </c>
    </row>
    <row r="673" spans="1:15">
      <c r="A673" s="286" t="str">
        <f>CONCATENATE($A$1,B673)</f>
        <v>BE(MMT)</v>
      </c>
      <c r="B673" t="s">
        <v>302</v>
      </c>
    </row>
    <row r="674" spans="1:15">
      <c r="A674" s="286" t="str">
        <f>CONCATENATE($A$1,B674)</f>
        <v>BE(BCM)</v>
      </c>
      <c r="B674" t="s">
        <v>303</v>
      </c>
    </row>
    <row r="675" spans="1:15">
      <c r="A675" s="286" t="str">
        <f>CONCATENATE($A$1,B675)</f>
        <v>BE(MMToE)</v>
      </c>
      <c r="B675" t="s">
        <v>304</v>
      </c>
      <c r="C675" s="184" t="s">
        <v>281</v>
      </c>
      <c r="D675" s="184" t="str">
        <f>interFY_transition!J$20</f>
        <v>Apr'26</v>
      </c>
      <c r="E675" s="184" t="str">
        <f>interFY_transition!K$20</f>
        <v>May'26</v>
      </c>
      <c r="F675" s="184" t="str">
        <f>interFY_transition!L$20</f>
        <v>June'26</v>
      </c>
      <c r="G675" s="184" t="str">
        <f>interFY_transition!M$20</f>
        <v>July'26</v>
      </c>
      <c r="H675" s="184" t="str">
        <f>interFY_transition!N$20</f>
        <v>Aug'26</v>
      </c>
      <c r="I675" s="184" t="str">
        <f>interFY_transition!O$20</f>
        <v>Sep'26</v>
      </c>
      <c r="J675" s="184" t="str">
        <f>interFY_transition!P$20</f>
        <v>Oct'26</v>
      </c>
      <c r="K675" s="184" t="str">
        <f>interFY_transition!Q$20</f>
        <v>Nov'26</v>
      </c>
      <c r="L675" s="184" t="str">
        <f>interFY_transition!R$20</f>
        <v>Dec'26</v>
      </c>
      <c r="M675" s="184" t="str">
        <f>interFY_transition!S$20</f>
        <v>Jan'27</v>
      </c>
      <c r="N675" s="184" t="str">
        <f>interFY_transition!T$20</f>
        <v>Feb'27</v>
      </c>
      <c r="O675" s="184" t="str">
        <f>interFY_transition!U$20</f>
        <v>Mar'27</v>
      </c>
    </row>
    <row r="676" spans="1:15">
      <c r="A676" s="286" t="str">
        <f>CONCATENATE($A$1,B676)</f>
        <v>BE cumulative</v>
      </c>
      <c r="B676" t="s">
        <v>305</v>
      </c>
      <c r="C676" s="184" t="str">
        <f>A673</f>
        <v>BE(MMT)</v>
      </c>
      <c r="D676" s="267">
        <f>Target_monthwise!D61</f>
        <v>0.59800000000000009</v>
      </c>
      <c r="E676" s="267">
        <f>Target_monthwise!E61</f>
        <v>0.6160000000000001</v>
      </c>
      <c r="F676" s="267">
        <f>Target_monthwise!F61</f>
        <v>0.60000000000000009</v>
      </c>
      <c r="G676" s="267">
        <f>Target_monthwise!G61</f>
        <v>0.6180000000000001</v>
      </c>
      <c r="H676" s="267">
        <f>Target_monthwise!H61</f>
        <v>0.6170000000000001</v>
      </c>
      <c r="I676" s="267">
        <f>Target_monthwise!I61</f>
        <v>0.59900000000000009</v>
      </c>
      <c r="J676" s="267">
        <f>Target_monthwise!J61</f>
        <v>0.6160000000000001</v>
      </c>
      <c r="K676" s="267">
        <f>Target_monthwise!K61</f>
        <v>0.59500000000000008</v>
      </c>
      <c r="L676" s="267">
        <f>Target_monthwise!L61</f>
        <v>0.6140000000000001</v>
      </c>
      <c r="M676" s="267">
        <f>Target_monthwise!M61</f>
        <v>0.6110000000000001</v>
      </c>
      <c r="N676" s="267">
        <f>Target_monthwise!N61</f>
        <v>0.55600000000000005</v>
      </c>
      <c r="O676" s="267">
        <f>Target_monthwise!O61</f>
        <v>0.6120000000000001</v>
      </c>
    </row>
    <row r="677" spans="1:15">
      <c r="C677" s="184" t="s">
        <v>282</v>
      </c>
      <c r="D677" s="267">
        <f>prod_compiled!D55</f>
        <v>0.58800000000000008</v>
      </c>
      <c r="E677" s="267">
        <f>prod_compiled!E55</f>
        <v>0.6110000000000001</v>
      </c>
      <c r="F677" s="267">
        <f>prod_compiled!F55</f>
        <v>0.59900000000000009</v>
      </c>
      <c r="G677" s="267">
        <f>prod_compiled!G55</f>
        <v>0.62100000000000011</v>
      </c>
      <c r="H677" s="267">
        <f>prod_compiled!H55</f>
        <v>0.64270202871613813</v>
      </c>
      <c r="I677" s="267">
        <f>prod_compiled!I55</f>
        <v>0</v>
      </c>
      <c r="J677" s="267">
        <f>prod_compiled!J55</f>
        <v>0</v>
      </c>
      <c r="K677" s="267">
        <f>prod_compiled!K55</f>
        <v>0</v>
      </c>
      <c r="L677" s="267">
        <f>prod_compiled!L55</f>
        <v>0</v>
      </c>
      <c r="M677" s="267">
        <f>prod_compiled!M55</f>
        <v>0</v>
      </c>
      <c r="N677" s="267">
        <f>prod_compiled!N55</f>
        <v>0</v>
      </c>
      <c r="O677" s="267">
        <f>prod_compiled!O55</f>
        <v>0</v>
      </c>
    </row>
    <row r="683" spans="1:15">
      <c r="C683" s="184" t="s">
        <v>283</v>
      </c>
      <c r="D683" s="184" t="str">
        <f>interFY_transition!J$20</f>
        <v>Apr'26</v>
      </c>
      <c r="E683" s="184" t="str">
        <f>interFY_transition!K$20</f>
        <v>May'26</v>
      </c>
      <c r="F683" s="184" t="str">
        <f>interFY_transition!L$20</f>
        <v>June'26</v>
      </c>
      <c r="G683" s="184" t="str">
        <f>interFY_transition!M$20</f>
        <v>July'26</v>
      </c>
      <c r="H683" s="184" t="str">
        <f>interFY_transition!N$20</f>
        <v>Aug'26</v>
      </c>
      <c r="I683" s="184" t="str">
        <f>interFY_transition!O$20</f>
        <v>Sep'26</v>
      </c>
      <c r="J683" s="184" t="str">
        <f>interFY_transition!P$20</f>
        <v>Oct'26</v>
      </c>
      <c r="K683" s="184" t="str">
        <f>interFY_transition!Q$20</f>
        <v>Nov'26</v>
      </c>
      <c r="L683" s="184" t="str">
        <f>interFY_transition!R$20</f>
        <v>Dec'26</v>
      </c>
      <c r="M683" s="184" t="str">
        <f>interFY_transition!S$20</f>
        <v>Jan'27</v>
      </c>
      <c r="N683" s="184" t="str">
        <f>interFY_transition!T$20</f>
        <v>Feb'27</v>
      </c>
      <c r="O683" s="184" t="str">
        <f>interFY_transition!U$20</f>
        <v>Mar'27</v>
      </c>
    </row>
    <row r="684" spans="1:15">
      <c r="C684" s="184" t="str">
        <f>A674</f>
        <v>BE(BCM)</v>
      </c>
      <c r="D684" s="267">
        <f>Target_monthwise!D81</f>
        <v>0.21000000000000002</v>
      </c>
      <c r="E684" s="267">
        <f>Target_monthwise!E81</f>
        <v>0.21600000000000003</v>
      </c>
      <c r="F684" s="267">
        <f>Target_monthwise!F81</f>
        <v>0.21000000000000002</v>
      </c>
      <c r="G684" s="267">
        <f>Target_monthwise!G81</f>
        <v>0.21700000000000003</v>
      </c>
      <c r="H684" s="267">
        <f>Target_monthwise!H81</f>
        <v>0.21600000000000003</v>
      </c>
      <c r="I684" s="267">
        <f>Target_monthwise!I81</f>
        <v>0.21200000000000002</v>
      </c>
      <c r="J684" s="267">
        <f>Target_monthwise!J81</f>
        <v>0.2176164383561644</v>
      </c>
      <c r="K684" s="267">
        <f>Target_monthwise!K81</f>
        <v>0.21400000000000002</v>
      </c>
      <c r="L684" s="267">
        <f>Target_monthwise!L81</f>
        <v>0.22100000000000003</v>
      </c>
      <c r="M684" s="267">
        <f>Target_monthwise!M81</f>
        <v>0.22200000000000003</v>
      </c>
      <c r="N684" s="267">
        <f>Target_monthwise!N81</f>
        <v>0.19700000000000001</v>
      </c>
      <c r="O684" s="267">
        <f>Target_monthwise!O81</f>
        <v>0.22100000000000003</v>
      </c>
    </row>
    <row r="685" spans="1:15">
      <c r="C685" s="184" t="s">
        <v>282</v>
      </c>
      <c r="D685" s="267">
        <f>prod_compiled!D72</f>
        <v>0.23000000000000004</v>
      </c>
      <c r="E685" s="267">
        <f>prod_compiled!E72</f>
        <v>0.22900000000000004</v>
      </c>
      <c r="F685" s="267">
        <f>prod_compiled!F72</f>
        <v>0.22200000000000003</v>
      </c>
      <c r="G685" s="267">
        <f>prod_compiled!G72</f>
        <v>0.22100000000000003</v>
      </c>
      <c r="H685" s="267">
        <f>prod_compiled!H72</f>
        <v>0.22012668887780773</v>
      </c>
      <c r="I685" s="267">
        <f>prod_compiled!I72</f>
        <v>0</v>
      </c>
      <c r="J685" s="267">
        <f>prod_compiled!J72</f>
        <v>0</v>
      </c>
      <c r="K685" s="267">
        <f>prod_compiled!K72</f>
        <v>0</v>
      </c>
      <c r="L685" s="267">
        <f>prod_compiled!L72</f>
        <v>0</v>
      </c>
      <c r="M685" s="267">
        <f>prod_compiled!M72</f>
        <v>0</v>
      </c>
      <c r="N685" s="267">
        <f>prod_compiled!N72</f>
        <v>0</v>
      </c>
      <c r="O685" s="267">
        <f>prod_compiled!O72</f>
        <v>0</v>
      </c>
    </row>
    <row r="690" spans="3:15">
      <c r="C690" s="184" t="s">
        <v>284</v>
      </c>
      <c r="D690" s="184" t="str">
        <f>interFY_transition!J$20</f>
        <v>Apr'26</v>
      </c>
      <c r="E690" s="184" t="str">
        <f>interFY_transition!K$20</f>
        <v>May'26</v>
      </c>
      <c r="F690" s="184" t="str">
        <f>interFY_transition!L$20</f>
        <v>June'26</v>
      </c>
      <c r="G690" s="184" t="str">
        <f>interFY_transition!M$20</f>
        <v>July'26</v>
      </c>
      <c r="H690" s="184" t="str">
        <f>interFY_transition!N$20</f>
        <v>Aug'26</v>
      </c>
      <c r="I690" s="184" t="str">
        <f>interFY_transition!O$20</f>
        <v>Sep'26</v>
      </c>
      <c r="J690" s="184" t="str">
        <f>interFY_transition!P$20</f>
        <v>Oct'26</v>
      </c>
      <c r="K690" s="184" t="str">
        <f>interFY_transition!Q$20</f>
        <v>Nov'26</v>
      </c>
      <c r="L690" s="184" t="str">
        <f>interFY_transition!R$20</f>
        <v>Dec'26</v>
      </c>
      <c r="M690" s="184" t="str">
        <f>interFY_transition!S$20</f>
        <v>Jan'27</v>
      </c>
      <c r="N690" s="184" t="str">
        <f>interFY_transition!T$20</f>
        <v>Feb'27</v>
      </c>
      <c r="O690" s="184" t="str">
        <f>interFY_transition!U$20</f>
        <v>Mar'27</v>
      </c>
    </row>
    <row r="691" spans="3:15">
      <c r="C691" s="184" t="str">
        <f>A675</f>
        <v>BE(MMToE)</v>
      </c>
      <c r="D691" s="267">
        <f>Target_monthwise!D103</f>
        <v>0.80800000000000016</v>
      </c>
      <c r="E691" s="267">
        <f>Target_monthwise!E103</f>
        <v>0.83199999999999996</v>
      </c>
      <c r="F691" s="267">
        <f>Target_monthwise!F103</f>
        <v>0.80999999999999994</v>
      </c>
      <c r="G691" s="267">
        <f>Target_monthwise!G103</f>
        <v>0.83500000000000008</v>
      </c>
      <c r="H691" s="267">
        <f>Target_monthwise!H103</f>
        <v>0.83300000000000007</v>
      </c>
      <c r="I691" s="267">
        <f>Target_monthwise!I103</f>
        <v>0.81100000000000005</v>
      </c>
      <c r="J691" s="267">
        <f>Target_monthwise!J103</f>
        <v>0.83361643835616461</v>
      </c>
      <c r="K691" s="267">
        <f>Target_monthwise!K103</f>
        <v>0.80900000000000005</v>
      </c>
      <c r="L691" s="267">
        <f>Target_monthwise!L103</f>
        <v>0.83500000000000019</v>
      </c>
      <c r="M691" s="267">
        <f>Target_monthwise!M103</f>
        <v>0.83300000000000007</v>
      </c>
      <c r="N691" s="267">
        <f>Target_monthwise!N103</f>
        <v>0.75299999999999989</v>
      </c>
      <c r="O691" s="267">
        <f>Target_monthwise!O103</f>
        <v>0.83300000000000007</v>
      </c>
    </row>
    <row r="692" spans="3:15">
      <c r="C692" s="184" t="s">
        <v>282</v>
      </c>
      <c r="D692" s="267">
        <f>D677+D685</f>
        <v>0.81800000000000006</v>
      </c>
      <c r="E692" s="267">
        <f t="shared" ref="E692:O692" si="0">E677+E685</f>
        <v>0.84000000000000008</v>
      </c>
      <c r="F692" s="267">
        <f t="shared" si="0"/>
        <v>0.82100000000000017</v>
      </c>
      <c r="G692" s="267">
        <f t="shared" si="0"/>
        <v>0.84200000000000008</v>
      </c>
      <c r="H692" s="267">
        <f t="shared" si="0"/>
        <v>0.86282871759394586</v>
      </c>
      <c r="I692" s="267">
        <f t="shared" si="0"/>
        <v>0</v>
      </c>
      <c r="J692" s="267">
        <f t="shared" si="0"/>
        <v>0</v>
      </c>
      <c r="K692" s="267">
        <f t="shared" si="0"/>
        <v>0</v>
      </c>
      <c r="L692" s="267">
        <f t="shared" si="0"/>
        <v>0</v>
      </c>
      <c r="M692" s="267">
        <f t="shared" si="0"/>
        <v>0</v>
      </c>
      <c r="N692" s="267">
        <f t="shared" si="0"/>
        <v>0</v>
      </c>
      <c r="O692" s="267">
        <f t="shared" si="0"/>
        <v>0</v>
      </c>
    </row>
    <row r="698" spans="3:15">
      <c r="C698" s="184" t="s">
        <v>284</v>
      </c>
      <c r="D698" s="184" t="str">
        <f>interFY_transition!J$20</f>
        <v>Apr'26</v>
      </c>
      <c r="E698" s="184" t="str">
        <f>interFY_transition!K$20</f>
        <v>May'26</v>
      </c>
      <c r="F698" s="184" t="str">
        <f>interFY_transition!L$20</f>
        <v>June'26</v>
      </c>
      <c r="G698" s="184" t="str">
        <f>interFY_transition!M$20</f>
        <v>July'26</v>
      </c>
      <c r="H698" s="184" t="str">
        <f>interFY_transition!N$20</f>
        <v>Aug'26</v>
      </c>
      <c r="I698" s="184" t="str">
        <f>interFY_transition!O$20</f>
        <v>Sep'26</v>
      </c>
      <c r="J698" s="184" t="str">
        <f>interFY_transition!P$20</f>
        <v>Oct'26</v>
      </c>
      <c r="K698" s="184" t="str">
        <f>interFY_transition!Q$20</f>
        <v>Nov'26</v>
      </c>
      <c r="L698" s="184" t="str">
        <f>interFY_transition!R$20</f>
        <v>Dec'26</v>
      </c>
      <c r="M698" s="184" t="str">
        <f>interFY_transition!S$20</f>
        <v>Jan'27</v>
      </c>
      <c r="N698" s="184" t="str">
        <f>interFY_transition!T$20</f>
        <v>Feb'27</v>
      </c>
      <c r="O698" s="184" t="str">
        <f>interFY_transition!U$20</f>
        <v>Mar'27</v>
      </c>
    </row>
    <row r="699" spans="3:15">
      <c r="C699" s="184" t="str">
        <f>A676</f>
        <v>BE cumulative</v>
      </c>
      <c r="D699" s="267">
        <f>D691</f>
        <v>0.80800000000000016</v>
      </c>
      <c r="E699" s="267">
        <f>E691+D699</f>
        <v>1.6400000000000001</v>
      </c>
      <c r="F699" s="267">
        <f t="shared" ref="F699:O699" si="1">F691+E699</f>
        <v>2.4500000000000002</v>
      </c>
      <c r="G699" s="267">
        <f t="shared" si="1"/>
        <v>3.2850000000000001</v>
      </c>
      <c r="H699" s="267">
        <f t="shared" si="1"/>
        <v>4.1180000000000003</v>
      </c>
      <c r="I699" s="267">
        <f t="shared" si="1"/>
        <v>4.9290000000000003</v>
      </c>
      <c r="J699" s="267">
        <f t="shared" si="1"/>
        <v>5.7626164383561651</v>
      </c>
      <c r="K699" s="267">
        <f t="shared" si="1"/>
        <v>6.5716164383561653</v>
      </c>
      <c r="L699" s="267">
        <f t="shared" si="1"/>
        <v>7.4066164383561652</v>
      </c>
      <c r="M699" s="267">
        <f t="shared" si="1"/>
        <v>8.2396164383561654</v>
      </c>
      <c r="N699" s="267">
        <f t="shared" si="1"/>
        <v>8.9926164383561655</v>
      </c>
      <c r="O699" s="267">
        <f t="shared" si="1"/>
        <v>9.8256164383561657</v>
      </c>
    </row>
    <row r="700" spans="3:15">
      <c r="C700" s="184" t="s">
        <v>285</v>
      </c>
      <c r="D700" s="267">
        <f>D692</f>
        <v>0.81800000000000006</v>
      </c>
      <c r="E700" s="267">
        <f>IF(E692=0," ",E692+D700)</f>
        <v>1.6580000000000001</v>
      </c>
      <c r="F700" s="267">
        <f t="shared" ref="F700:O700" si="2">IF(F692=0," ",F692+E700)</f>
        <v>2.4790000000000001</v>
      </c>
      <c r="G700" s="267">
        <f t="shared" si="2"/>
        <v>3.3210000000000002</v>
      </c>
      <c r="H700" s="267">
        <f t="shared" si="2"/>
        <v>4.1838287175939461</v>
      </c>
      <c r="I700" s="267" t="str">
        <f t="shared" si="2"/>
        <v xml:space="preserve"> </v>
      </c>
      <c r="J700" s="267" t="str">
        <f t="shared" si="2"/>
        <v xml:space="preserve"> </v>
      </c>
      <c r="K700" s="267" t="str">
        <f t="shared" si="2"/>
        <v xml:space="preserve"> </v>
      </c>
      <c r="L700" s="267" t="str">
        <f t="shared" si="2"/>
        <v xml:space="preserve"> </v>
      </c>
      <c r="M700" s="267" t="str">
        <f t="shared" si="2"/>
        <v xml:space="preserve"> </v>
      </c>
      <c r="N700" s="267" t="str">
        <f t="shared" si="2"/>
        <v xml:space="preserve"> </v>
      </c>
      <c r="O700" s="267" t="str">
        <f t="shared" si="2"/>
        <v xml:space="preserve"> </v>
      </c>
    </row>
  </sheetData>
  <sheetProtection algorithmName="SHA-512" hashValue="jcWumP3s0DQZh/L+DB88WpAYj0JkhPJG4vTes9DHeH1vGJkxs54w8Z6JRdu7PQYiP8d3c/4oE2Adq/uYsmquaA==" saltValue="3cYjcg09tw4g1wbR+xHAyw==" spinCount="100000" sheet="1" objects="1" scenarios="1"/>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rgb="FF92D050"/>
  </sheetPr>
  <dimension ref="A3:Y38"/>
  <sheetViews>
    <sheetView workbookViewId="0"/>
  </sheetViews>
  <sheetFormatPr defaultColWidth="8.85546875" defaultRowHeight="15"/>
  <cols>
    <col min="16" max="16" width="10.140625" bestFit="1" customWidth="1"/>
  </cols>
  <sheetData>
    <row r="3" spans="1:25">
      <c r="A3" s="280"/>
      <c r="B3" s="270"/>
      <c r="C3" s="270"/>
      <c r="D3" s="270"/>
      <c r="E3" s="270"/>
      <c r="F3" s="270"/>
      <c r="G3" s="270"/>
      <c r="H3" s="270"/>
      <c r="I3" s="270"/>
      <c r="J3" s="270"/>
      <c r="K3" s="270"/>
      <c r="L3" s="270"/>
      <c r="M3" s="270"/>
      <c r="N3" s="270"/>
      <c r="O3" s="270"/>
      <c r="P3" s="270"/>
      <c r="Q3" s="270"/>
      <c r="R3" s="270"/>
      <c r="S3" s="270"/>
      <c r="T3" s="270"/>
      <c r="U3" s="270"/>
      <c r="V3" s="270"/>
      <c r="W3" s="270"/>
      <c r="X3" s="270"/>
      <c r="Y3" s="271"/>
    </row>
    <row r="4" spans="1:25" ht="23.25">
      <c r="A4" s="272"/>
      <c r="K4" s="231" t="s">
        <v>286</v>
      </c>
      <c r="P4" s="277" t="s">
        <v>288</v>
      </c>
      <c r="T4" s="285"/>
      <c r="U4" s="285"/>
      <c r="V4" s="285"/>
      <c r="W4" s="285"/>
      <c r="Y4" s="273"/>
    </row>
    <row r="5" spans="1:25" ht="15.75">
      <c r="A5" s="272"/>
      <c r="M5" s="508" t="str">
        <f>interFY_transition!D20</f>
        <v>2026-27</v>
      </c>
      <c r="P5" s="278">
        <f>Dashboard!$D$3</f>
        <v>46265</v>
      </c>
      <c r="Y5" s="273"/>
    </row>
    <row r="6" spans="1:25">
      <c r="A6" s="272"/>
      <c r="Y6" s="273"/>
    </row>
    <row r="7" spans="1:25">
      <c r="A7" s="272"/>
      <c r="Y7" s="273"/>
    </row>
    <row r="8" spans="1:25">
      <c r="A8" s="272"/>
      <c r="Y8" s="273"/>
    </row>
    <row r="9" spans="1:25">
      <c r="A9" s="272"/>
      <c r="Y9" s="273"/>
    </row>
    <row r="10" spans="1:25">
      <c r="A10" s="272"/>
      <c r="Y10" s="273"/>
    </row>
    <row r="11" spans="1:25">
      <c r="A11" s="272"/>
      <c r="Y11" s="273"/>
    </row>
    <row r="12" spans="1:25">
      <c r="A12" s="272"/>
      <c r="Y12" s="273"/>
    </row>
    <row r="13" spans="1:25">
      <c r="A13" s="272"/>
      <c r="Y13" s="273"/>
    </row>
    <row r="14" spans="1:25">
      <c r="A14" s="272"/>
      <c r="Y14" s="273"/>
    </row>
    <row r="15" spans="1:25">
      <c r="A15" s="272"/>
      <c r="Y15" s="273"/>
    </row>
    <row r="16" spans="1:25">
      <c r="A16" s="272"/>
      <c r="Y16" s="273"/>
    </row>
    <row r="17" spans="1:25">
      <c r="A17" s="272"/>
      <c r="Y17" s="273"/>
    </row>
    <row r="18" spans="1:25">
      <c r="A18" s="272"/>
      <c r="Y18" s="273"/>
    </row>
    <row r="19" spans="1:25">
      <c r="A19" s="272"/>
      <c r="Y19" s="273"/>
    </row>
    <row r="20" spans="1:25">
      <c r="A20" s="272"/>
      <c r="Y20" s="273"/>
    </row>
    <row r="21" spans="1:25">
      <c r="A21" s="272"/>
      <c r="Y21" s="273"/>
    </row>
    <row r="22" spans="1:25">
      <c r="A22" s="272"/>
      <c r="Y22" s="273"/>
    </row>
    <row r="23" spans="1:25">
      <c r="A23" s="272"/>
      <c r="Y23" s="273"/>
    </row>
    <row r="24" spans="1:25">
      <c r="A24" s="272"/>
      <c r="Y24" s="273"/>
    </row>
    <row r="25" spans="1:25">
      <c r="A25" s="272"/>
      <c r="Y25" s="273"/>
    </row>
    <row r="26" spans="1:25">
      <c r="A26" s="272"/>
      <c r="Y26" s="273"/>
    </row>
    <row r="27" spans="1:25">
      <c r="A27" s="272"/>
      <c r="Y27" s="273"/>
    </row>
    <row r="28" spans="1:25">
      <c r="A28" s="272"/>
      <c r="Y28" s="273"/>
    </row>
    <row r="29" spans="1:25">
      <c r="A29" s="272"/>
      <c r="Y29" s="273"/>
    </row>
    <row r="30" spans="1:25">
      <c r="A30" s="272"/>
      <c r="Y30" s="273"/>
    </row>
    <row r="31" spans="1:25">
      <c r="A31" s="272"/>
      <c r="Y31" s="273"/>
    </row>
    <row r="32" spans="1:25">
      <c r="A32" s="272"/>
      <c r="Y32" s="273"/>
    </row>
    <row r="33" spans="1:25">
      <c r="A33" s="272"/>
      <c r="Y33" s="273"/>
    </row>
    <row r="34" spans="1:25">
      <c r="A34" s="272"/>
      <c r="Y34" s="273"/>
    </row>
    <row r="35" spans="1:25">
      <c r="A35" s="272"/>
      <c r="Y35" s="273"/>
    </row>
    <row r="36" spans="1:25">
      <c r="A36" s="272"/>
      <c r="Y36" s="273"/>
    </row>
    <row r="37" spans="1:25">
      <c r="A37" s="272"/>
      <c r="Y37" s="273"/>
    </row>
    <row r="38" spans="1:25">
      <c r="A38" s="281"/>
      <c r="B38" s="282"/>
      <c r="C38" s="282"/>
      <c r="D38" s="282"/>
      <c r="E38" s="282"/>
      <c r="F38" s="282"/>
      <c r="G38" s="282"/>
      <c r="H38" s="282"/>
      <c r="I38" s="282"/>
      <c r="J38" s="282"/>
      <c r="K38" s="282"/>
      <c r="L38" s="282"/>
      <c r="M38" s="282"/>
      <c r="N38" s="282"/>
      <c r="O38" s="282"/>
      <c r="P38" s="282"/>
      <c r="Q38" s="282"/>
      <c r="R38" s="282"/>
      <c r="S38" s="282"/>
      <c r="T38" s="282"/>
      <c r="U38" s="282"/>
      <c r="V38" s="282"/>
      <c r="W38" s="282"/>
      <c r="X38" s="282"/>
      <c r="Y38" s="283"/>
    </row>
  </sheetData>
  <sheetProtection algorithmName="SHA-512" hashValue="R1ErwF49jFOKHOSiLNas2pxzcjHxYkRgEayyvg4eCRMUnQuBnZReh74Nw3DtCjG2iiHRHQlUMDDdr3R3fWra+g==" saltValue="DhJX4yojjj2snXBSZGPSFw==" spinCount="100000" sheet="1" objects="1" scenarios="1"/>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6" r:id="rId4" name="Button 2">
              <controlPr defaultSize="0" print="0" autoFill="0" autoPict="0" macro="[0]!prntcmnd">
                <anchor moveWithCells="1" sizeWithCells="1">
                  <from>
                    <xdr:col>5</xdr:col>
                    <xdr:colOff>409575</xdr:colOff>
                    <xdr:row>3</xdr:row>
                    <xdr:rowOff>28575</xdr:rowOff>
                  </from>
                  <to>
                    <xdr:col>8</xdr:col>
                    <xdr:colOff>238125</xdr:colOff>
                    <xdr:row>5</xdr:row>
                    <xdr:rowOff>47625</xdr:rowOff>
                  </to>
                </anchor>
              </controlPr>
            </control>
          </mc:Choice>
        </mc:AlternateContent>
        <mc:AlternateContent xmlns:mc="http://schemas.openxmlformats.org/markup-compatibility/2006">
          <mc:Choice Requires="x14">
            <control shapeId="36867" r:id="rId5" name="Button 3">
              <controlPr defaultSize="0" print="0" autoFill="0" autoPict="0" macro="[0]!YTD_ach_Button3_Click">
                <anchor moveWithCells="1" sizeWithCells="1">
                  <from>
                    <xdr:col>2</xdr:col>
                    <xdr:colOff>409575</xdr:colOff>
                    <xdr:row>3</xdr:row>
                    <xdr:rowOff>28575</xdr:rowOff>
                  </from>
                  <to>
                    <xdr:col>5</xdr:col>
                    <xdr:colOff>238125</xdr:colOff>
                    <xdr:row>5</xdr:row>
                    <xdr:rowOff>38100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tabColor rgb="FF92D050"/>
  </sheetPr>
  <dimension ref="J3:W4"/>
  <sheetViews>
    <sheetView workbookViewId="0"/>
  </sheetViews>
  <sheetFormatPr defaultColWidth="8.85546875" defaultRowHeight="15"/>
  <cols>
    <col min="14" max="14" width="11.42578125" bestFit="1" customWidth="1"/>
    <col min="21" max="21" width="9.140625" customWidth="1"/>
  </cols>
  <sheetData>
    <row r="3" spans="10:23">
      <c r="N3" s="277" t="s">
        <v>288</v>
      </c>
    </row>
    <row r="4" spans="10:23" ht="18.75" customHeight="1">
      <c r="J4" s="508" t="str">
        <f>interFY_transition!D20</f>
        <v>2026-27</v>
      </c>
      <c r="L4" s="231" t="s">
        <v>132</v>
      </c>
      <c r="N4" s="278">
        <f>Dashboard!$D$3</f>
        <v>46265</v>
      </c>
      <c r="T4" s="285"/>
      <c r="U4" s="285"/>
      <c r="V4" s="285"/>
      <c r="W4" s="285"/>
    </row>
  </sheetData>
  <sheetProtection algorithmName="SHA-512" hashValue="EdM8onSxtZO1MP5N6YNUE2c1AFZR/aI5UsKWLiY2hNiqTCd2KgDyISDMAAt9T8vrLlrvw9GHiDDG08qTEcZO9Q==" saltValue="76e3yjeyrFCLBEfQoSrNEg==" spinCount="100000" sheet="1" objects="1" scenarios="1"/>
  <pageMargins left="0.7" right="0.7" top="0.75" bottom="0.75" header="0.3" footer="0.3"/>
  <pageSetup scale="4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prntcmnd">
                <anchor moveWithCells="1" sizeWithCells="1">
                  <from>
                    <xdr:col>11</xdr:col>
                    <xdr:colOff>495300</xdr:colOff>
                    <xdr:row>35</xdr:row>
                    <xdr:rowOff>47625</xdr:rowOff>
                  </from>
                  <to>
                    <xdr:col>14</xdr:col>
                    <xdr:colOff>142875</xdr:colOff>
                    <xdr:row>37</xdr:row>
                    <xdr:rowOff>180975</xdr:rowOff>
                  </to>
                </anchor>
              </controlPr>
            </control>
          </mc:Choice>
        </mc:AlternateContent>
        <mc:AlternateContent xmlns:mc="http://schemas.openxmlformats.org/markup-compatibility/2006">
          <mc:Choice Requires="x14">
            <control shapeId="2051" r:id="rId5" name="Button 3">
              <controlPr defaultSize="0" print="0" autoFill="0" autoPict="0" macro="[0]!YTD_ach_Button3_Click">
                <anchor moveWithCells="1" sizeWithCells="1">
                  <from>
                    <xdr:col>8</xdr:col>
                    <xdr:colOff>466725</xdr:colOff>
                    <xdr:row>35</xdr:row>
                    <xdr:rowOff>66675</xdr:rowOff>
                  </from>
                  <to>
                    <xdr:col>11</xdr:col>
                    <xdr:colOff>276225</xdr:colOff>
                    <xdr:row>37</xdr:row>
                    <xdr:rowOff>180975</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tabColor rgb="FF92D050"/>
  </sheetPr>
  <dimension ref="J2:X3"/>
  <sheetViews>
    <sheetView workbookViewId="0"/>
  </sheetViews>
  <sheetFormatPr defaultColWidth="8.85546875" defaultRowHeight="15"/>
  <cols>
    <col min="16" max="16" width="11.28515625" customWidth="1"/>
  </cols>
  <sheetData>
    <row r="2" spans="10:24" ht="23.25">
      <c r="J2" s="508" t="str">
        <f>interFY_transition!D20</f>
        <v>2026-27</v>
      </c>
      <c r="M2" s="231" t="s">
        <v>271</v>
      </c>
      <c r="P2" s="277" t="s">
        <v>288</v>
      </c>
      <c r="U2" s="285"/>
      <c r="V2" s="285"/>
      <c r="W2" s="285"/>
      <c r="X2" s="285"/>
    </row>
    <row r="3" spans="10:24">
      <c r="P3" s="278">
        <f>Dashboard!$D$3</f>
        <v>46265</v>
      </c>
    </row>
  </sheetData>
  <sheetProtection algorithmName="SHA-512" hashValue="SI0yuSJcrtte/lsBshsObNPdxrNuKY24eUh58VrkxchyDx9ZqIegwoxr0zPShHf4eB3NTUhS7MYMaz2mmWfXwg==" saltValue="rtqJych7A0eFrE0ZUzo9Iw==" spinCount="100000" sheet="1" objects="1" scenarios="1"/>
  <pageMargins left="0.7" right="0.7" top="0.75" bottom="0.75" header="0.3" footer="0.3"/>
  <pageSetup scale="4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prntcmnd">
                <anchor moveWithCells="1" sizeWithCells="1">
                  <from>
                    <xdr:col>2</xdr:col>
                    <xdr:colOff>542925</xdr:colOff>
                    <xdr:row>37</xdr:row>
                    <xdr:rowOff>180975</xdr:rowOff>
                  </from>
                  <to>
                    <xdr:col>5</xdr:col>
                    <xdr:colOff>371475</xdr:colOff>
                    <xdr:row>40</xdr:row>
                    <xdr:rowOff>123825</xdr:rowOff>
                  </to>
                </anchor>
              </controlPr>
            </control>
          </mc:Choice>
        </mc:AlternateContent>
        <mc:AlternateContent xmlns:mc="http://schemas.openxmlformats.org/markup-compatibility/2006">
          <mc:Choice Requires="x14">
            <control shapeId="3075" r:id="rId5" name="Button 3">
              <controlPr defaultSize="0" print="0" autoFill="0" autoPict="0" macro="[0]!YTD_ach_Button3_Click">
                <anchor moveWithCells="1" sizeWithCells="1">
                  <from>
                    <xdr:col>2</xdr:col>
                    <xdr:colOff>533400</xdr:colOff>
                    <xdr:row>40</xdr:row>
                    <xdr:rowOff>142875</xdr:rowOff>
                  </from>
                  <to>
                    <xdr:col>5</xdr:col>
                    <xdr:colOff>371475</xdr:colOff>
                    <xdr:row>44</xdr:row>
                    <xdr:rowOff>142875</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rgb="FF92D050"/>
  </sheetPr>
  <dimension ref="F2:N3"/>
  <sheetViews>
    <sheetView workbookViewId="0"/>
  </sheetViews>
  <sheetFormatPr defaultColWidth="8.85546875" defaultRowHeight="15"/>
  <cols>
    <col min="10" max="10" width="11.7109375" customWidth="1"/>
  </cols>
  <sheetData>
    <row r="2" spans="6:14" ht="21">
      <c r="F2" s="509" t="str">
        <f>interFY_transition!D20</f>
        <v>2026-27</v>
      </c>
      <c r="H2" s="231" t="s">
        <v>131</v>
      </c>
      <c r="J2" s="277" t="s">
        <v>288</v>
      </c>
      <c r="K2" s="284"/>
      <c r="L2" s="284"/>
      <c r="M2" s="284"/>
      <c r="N2" s="284"/>
    </row>
    <row r="3" spans="6:14">
      <c r="J3" s="278">
        <f>Dashboard!$D$3</f>
        <v>46265</v>
      </c>
    </row>
  </sheetData>
  <sheetProtection algorithmName="SHA-512" hashValue="03NWypgVPcA1POj5j5k4QJxmRYvn3QuWJQGjvA+05dGF1bofVSFK6q3ESfEsHDN20MWDmoPnHmgRgKq3lqxypw==" saltValue="fgdZm2jzEhvxbYyKYer/7A==" spinCount="100000" sheet="1" objects="1" scenarios="1"/>
  <pageMargins left="0.7" right="0.7" top="0.75" bottom="0.75" header="0.3" footer="0.3"/>
  <pageSetup scale="8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prntcmnd">
                <anchor moveWithCells="1" sizeWithCells="1">
                  <from>
                    <xdr:col>8</xdr:col>
                    <xdr:colOff>266700</xdr:colOff>
                    <xdr:row>33</xdr:row>
                    <xdr:rowOff>28575</xdr:rowOff>
                  </from>
                  <to>
                    <xdr:col>10</xdr:col>
                    <xdr:colOff>523875</xdr:colOff>
                    <xdr:row>35</xdr:row>
                    <xdr:rowOff>152400</xdr:rowOff>
                  </to>
                </anchor>
              </controlPr>
            </control>
          </mc:Choice>
        </mc:AlternateContent>
        <mc:AlternateContent xmlns:mc="http://schemas.openxmlformats.org/markup-compatibility/2006">
          <mc:Choice Requires="x14">
            <control shapeId="4099" r:id="rId5" name="Button 3">
              <controlPr defaultSize="0" print="0" autoFill="0" autoPict="0" macro="[0]!YTD_ach_Button3_Click">
                <anchor moveWithCells="1" sizeWithCells="1">
                  <from>
                    <xdr:col>5</xdr:col>
                    <xdr:colOff>428625</xdr:colOff>
                    <xdr:row>33</xdr:row>
                    <xdr:rowOff>28575</xdr:rowOff>
                  </from>
                  <to>
                    <xdr:col>8</xdr:col>
                    <xdr:colOff>228600</xdr:colOff>
                    <xdr:row>35</xdr:row>
                    <xdr:rowOff>152400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rgb="FF92D050"/>
  </sheetPr>
  <dimension ref="J1:T2"/>
  <sheetViews>
    <sheetView topLeftCell="A3" workbookViewId="0"/>
  </sheetViews>
  <sheetFormatPr defaultColWidth="8.85546875" defaultRowHeight="15"/>
  <cols>
    <col min="14" max="14" width="12.140625" customWidth="1"/>
  </cols>
  <sheetData>
    <row r="1" spans="10:20">
      <c r="N1" s="277" t="s">
        <v>288</v>
      </c>
    </row>
    <row r="2" spans="10:20" ht="21">
      <c r="J2" s="509" t="str">
        <f>interFY_transition!D20</f>
        <v>2026-27</v>
      </c>
      <c r="L2" s="269" t="s">
        <v>128</v>
      </c>
      <c r="N2" s="278">
        <f>Dashboard!$D$3</f>
        <v>46265</v>
      </c>
      <c r="Q2" s="284"/>
      <c r="R2" s="284"/>
      <c r="S2" s="284"/>
      <c r="T2" s="284"/>
    </row>
  </sheetData>
  <sheetProtection algorithmName="SHA-512" hashValue="x+G8KvHUP5InnWPLwsAeNdPrwthrec9Rher3EcQcdaALDMDLibvujg2dmDZUNFVKni4LQad6dbmNOAQwWxzuFQ==" saltValue="bAKRiWRvrWfFNL8shfwQHg==" spinCount="100000" sheet="1" objects="1" scenarios="1"/>
  <pageMargins left="0.7" right="0.7" top="0.75" bottom="0.75" header="0.3" footer="0.3"/>
  <pageSetup scale="3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prntcmnd">
                <anchor moveWithCells="1" sizeWithCells="1">
                  <from>
                    <xdr:col>3</xdr:col>
                    <xdr:colOff>504825</xdr:colOff>
                    <xdr:row>0</xdr:row>
                    <xdr:rowOff>66675</xdr:rowOff>
                  </from>
                  <to>
                    <xdr:col>6</xdr:col>
                    <xdr:colOff>333375</xdr:colOff>
                    <xdr:row>2</xdr:row>
                    <xdr:rowOff>104775</xdr:rowOff>
                  </to>
                </anchor>
              </controlPr>
            </control>
          </mc:Choice>
        </mc:AlternateContent>
        <mc:AlternateContent xmlns:mc="http://schemas.openxmlformats.org/markup-compatibility/2006">
          <mc:Choice Requires="x14">
            <control shapeId="5123" r:id="rId5" name="Button 3">
              <controlPr defaultSize="0" print="0" autoFill="0" autoPict="0" macro="[0]!YTD_ach_Button3_Click">
                <anchor moveWithCells="1" sizeWithCells="1">
                  <from>
                    <xdr:col>0</xdr:col>
                    <xdr:colOff>466725</xdr:colOff>
                    <xdr:row>0</xdr:row>
                    <xdr:rowOff>66675</xdr:rowOff>
                  </from>
                  <to>
                    <xdr:col>3</xdr:col>
                    <xdr:colOff>295275</xdr:colOff>
                    <xdr:row>2</xdr:row>
                    <xdr:rowOff>114300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7030A0"/>
  </sheetPr>
  <dimension ref="A1:AG85"/>
  <sheetViews>
    <sheetView workbookViewId="0">
      <selection activeCell="G41" sqref="G41"/>
    </sheetView>
  </sheetViews>
  <sheetFormatPr defaultColWidth="8.85546875" defaultRowHeight="15"/>
  <cols>
    <col min="4" max="4" width="9.5703125" bestFit="1" customWidth="1"/>
    <col min="11" max="11" width="9.42578125" customWidth="1"/>
    <col min="13" max="13" width="10.42578125" bestFit="1" customWidth="1"/>
    <col min="14" max="14" width="9.85546875" bestFit="1" customWidth="1"/>
    <col min="15" max="15" width="9.140625" customWidth="1"/>
    <col min="16" max="16" width="12.42578125" customWidth="1"/>
    <col min="18" max="18" width="9.42578125" bestFit="1" customWidth="1"/>
    <col min="19" max="20" width="9.7109375" bestFit="1" customWidth="1"/>
    <col min="21" max="21" width="13.5703125" customWidth="1"/>
    <col min="27" max="27" width="9.7109375" bestFit="1" customWidth="1"/>
    <col min="29" max="29" width="9.85546875" bestFit="1" customWidth="1"/>
    <col min="31" max="31" width="12.7109375" customWidth="1"/>
  </cols>
  <sheetData>
    <row r="1" spans="1:33">
      <c r="N1" s="246"/>
      <c r="O1" s="246"/>
      <c r="P1" s="247"/>
    </row>
    <row r="2" spans="1:33">
      <c r="A2" s="482" t="str">
        <f>interFY_transition!D20</f>
        <v>2026-27</v>
      </c>
      <c r="B2" t="s">
        <v>867</v>
      </c>
      <c r="F2" t="s">
        <v>157</v>
      </c>
      <c r="G2" t="s">
        <v>154</v>
      </c>
      <c r="K2" t="s">
        <v>155</v>
      </c>
      <c r="M2" t="str">
        <f>CF_lat!E2</f>
        <v>July'26</v>
      </c>
      <c r="O2" t="s">
        <v>57</v>
      </c>
      <c r="P2" s="247" t="s">
        <v>143</v>
      </c>
      <c r="Q2" s="247" t="s">
        <v>84</v>
      </c>
      <c r="R2" s="247" t="s">
        <v>48</v>
      </c>
      <c r="S2" s="247" t="s">
        <v>87</v>
      </c>
      <c r="T2" s="247" t="s">
        <v>157</v>
      </c>
      <c r="U2" s="184" t="s">
        <v>85</v>
      </c>
      <c r="V2" s="247" t="s">
        <v>1821</v>
      </c>
    </row>
    <row r="3" spans="1:33">
      <c r="K3" t="s">
        <v>156</v>
      </c>
      <c r="M3" s="246">
        <f>DPRavg!A1</f>
        <v>46265</v>
      </c>
      <c r="P3" s="247">
        <v>349987</v>
      </c>
      <c r="Q3" s="247">
        <f>IFERROR((J9*J$85+P3*K$85+L9*L$85)/T$85,0)</f>
        <v>0</v>
      </c>
      <c r="R3" s="247">
        <f>IFERROR((Q3*T$85+U9*U$85)/W$85,0)</f>
        <v>0</v>
      </c>
      <c r="S3" s="247">
        <f ca="1">IFERROR((V9*V$85+R3*W$85)/Y$85,0)</f>
        <v>0</v>
      </c>
      <c r="T3" s="247">
        <f ca="1">S3</f>
        <v>0</v>
      </c>
      <c r="U3">
        <f ca="1">IFERROR((Q3*T$85+V9*V$85)/X$85,0)</f>
        <v>0</v>
      </c>
      <c r="V3" t="s">
        <v>320</v>
      </c>
    </row>
    <row r="4" spans="1:33">
      <c r="H4" t="s">
        <v>353</v>
      </c>
      <c r="T4" t="s">
        <v>324</v>
      </c>
    </row>
    <row r="5" spans="1:33">
      <c r="D5" s="184" t="s">
        <v>30</v>
      </c>
      <c r="E5" s="184" t="s">
        <v>71</v>
      </c>
      <c r="F5" s="184" t="s">
        <v>72</v>
      </c>
      <c r="G5" s="184" t="s">
        <v>73</v>
      </c>
      <c r="H5" s="184" t="s">
        <v>140</v>
      </c>
      <c r="I5" s="184" t="s">
        <v>141</v>
      </c>
      <c r="J5" s="184" t="s">
        <v>142</v>
      </c>
      <c r="K5" s="184" t="s">
        <v>143</v>
      </c>
      <c r="L5" s="184" t="s">
        <v>42</v>
      </c>
      <c r="M5" s="184" t="s">
        <v>339</v>
      </c>
      <c r="N5" s="184" t="s">
        <v>340</v>
      </c>
      <c r="O5" s="184" t="s">
        <v>341</v>
      </c>
      <c r="R5" s="184" t="s">
        <v>82</v>
      </c>
      <c r="S5" s="184" t="s">
        <v>83</v>
      </c>
      <c r="T5" s="184" t="s">
        <v>84</v>
      </c>
      <c r="U5" s="184" t="s">
        <v>86</v>
      </c>
      <c r="V5" s="184" t="s">
        <v>39</v>
      </c>
      <c r="W5" s="184" t="s">
        <v>48</v>
      </c>
      <c r="X5" s="184" t="s">
        <v>85</v>
      </c>
      <c r="Y5" s="184" t="s">
        <v>87</v>
      </c>
      <c r="Z5" s="184"/>
      <c r="AA5" s="184" t="s">
        <v>157</v>
      </c>
      <c r="AB5" s="184" t="s">
        <v>159</v>
      </c>
      <c r="AC5" s="184" t="s">
        <v>158</v>
      </c>
      <c r="AE5" t="s">
        <v>338</v>
      </c>
      <c r="AF5" t="s">
        <v>342</v>
      </c>
      <c r="AG5" t="s">
        <v>344</v>
      </c>
    </row>
    <row r="6" spans="1:33">
      <c r="C6" s="209" t="s">
        <v>60</v>
      </c>
      <c r="D6" s="184">
        <f>'non-reconprod'!D6*'non-reconprod'!D$76+'non-reconprod'!W6*'non-reconprod'!W$76</f>
        <v>189203.96666666667</v>
      </c>
      <c r="E6" s="184">
        <f>'non-reconprod'!E6*'non-reconprod'!E$76+'non-reconprod'!X6*'non-reconprod'!X$76</f>
        <v>184262.29032290322</v>
      </c>
      <c r="F6" s="184">
        <f>'non-reconprod'!F6*'non-reconprod'!F$76+'non-reconprod'!Y6*'non-reconprod'!Y$76</f>
        <v>169196.10000066666</v>
      </c>
      <c r="G6" s="184">
        <f>'non-reconprod'!G6*'non-reconprod'!G$76+'non-reconprod'!Z6*'non-reconprod'!Z$76</f>
        <v>187261.55464516129</v>
      </c>
      <c r="H6" s="184">
        <f>'non-reconprod'!H6*'non-reconprod'!H$76+'non-reconprod'!AA6*'non-reconprod'!AA$76</f>
        <v>183341.16129032258</v>
      </c>
      <c r="I6" s="184">
        <f>'non-reconprod'!I6*'non-reconprod'!I$76+'non-reconprod'!AB6*'non-reconprod'!AB$76</f>
        <v>0</v>
      </c>
      <c r="J6" s="184">
        <f>'non-reconprod'!J6*'non-reconprod'!J$76+'non-reconprod'!AC6*'non-reconprod'!AC$76</f>
        <v>0</v>
      </c>
      <c r="K6" s="184">
        <f>'non-reconprod'!K6*'non-reconprod'!K$76+'non-reconprod'!AD6*'non-reconprod'!AD$76</f>
        <v>0</v>
      </c>
      <c r="L6" s="184">
        <f>'non-reconprod'!L6*'non-reconprod'!L$76+'non-reconprod'!AE6*'non-reconprod'!AE$76</f>
        <v>0</v>
      </c>
      <c r="M6" s="184">
        <f>'non-reconprod'!M6*'non-reconprod'!M$76+'non-reconprod'!AF6*'non-reconprod'!AF$76</f>
        <v>0</v>
      </c>
      <c r="N6" s="184">
        <f>'non-reconprod'!N6*'non-reconprod'!N$76+'non-reconprod'!AG6*'non-reconprod'!AG$76</f>
        <v>0</v>
      </c>
      <c r="O6" s="184">
        <f>'non-reconprod'!O6*'non-reconprod'!O$76+'non-reconprod'!AH6*'non-reconprod'!AH$76</f>
        <v>0</v>
      </c>
      <c r="R6" s="184">
        <f>IFERROR((D6*D$85+E6*E$85+F6*F$85)/R$85,0)</f>
        <v>180924.53846186813</v>
      </c>
      <c r="S6" s="184">
        <f ca="1">IFERROR((G6*G$85+H6*H$85+I6*I$85)/S$85,0)</f>
        <v>0</v>
      </c>
      <c r="T6" s="184">
        <f>IFERROR((J6*J$85+K6*K$85+L6*L$85)/T$85,0)</f>
        <v>0</v>
      </c>
      <c r="U6" s="184">
        <f>IFERROR((M6*M$85+N6*N$85+O6*O$85)/U$85,0)</f>
        <v>0</v>
      </c>
      <c r="V6" s="184">
        <f ca="1">IFERROR((R6*R$85+S6*S$85)/V$85,0)</f>
        <v>0</v>
      </c>
      <c r="W6" s="184">
        <f>IFERROR((T6*T$85+U6*U$85)/W$85,0)</f>
        <v>0</v>
      </c>
      <c r="X6" s="184">
        <f ca="1">IFERROR((T6*T$85+V6*V$85)/X$85,0)</f>
        <v>0</v>
      </c>
      <c r="Y6" s="184">
        <f ca="1">IFERROR((V6*V$85+W6*W$85)/Y$85,0)</f>
        <v>0</v>
      </c>
      <c r="Z6" s="184"/>
      <c r="AA6" s="184">
        <f ca="1">Y6</f>
        <v>0</v>
      </c>
      <c r="AB6" s="184">
        <f ca="1">SUMIF(R$82:U$82,$AA$79,R6:U6)</f>
        <v>0</v>
      </c>
      <c r="AC6" s="184">
        <f>SUMIF(D$82:O$82,$AA$78,D6:O6)</f>
        <v>183341.16129032258</v>
      </c>
      <c r="AE6">
        <f>IF($AA$78=1,'Previous year'!T6,SUMIF($D$82:$O$82,$AA$83,$D6:$O6))</f>
        <v>187261.55464516129</v>
      </c>
      <c r="AF6">
        <f>IF($AA$79=1,'Previous year'!U6,SUMIF(prod_compiled!$R$82:$U$82,prod_compiled!$AA$84,prod_compiled!$R6:$U6))</f>
        <v>180924.53846186813</v>
      </c>
      <c r="AG6">
        <f>'Previous year'!V6</f>
        <v>127290.62739726028</v>
      </c>
    </row>
    <row r="7" spans="1:33">
      <c r="C7" s="209" t="s">
        <v>61</v>
      </c>
      <c r="D7" s="184">
        <f>'non-reconprod'!D7*'non-reconprod'!D$76+'non-reconprod'!W7*'non-reconprod'!W$76</f>
        <v>155673.12433366667</v>
      </c>
      <c r="E7" s="184">
        <f>'non-reconprod'!E7*'non-reconprod'!E$76+'non-reconprod'!X7*'non-reconprod'!X$76</f>
        <v>155546.70022645159</v>
      </c>
      <c r="F7" s="184">
        <f>'non-reconprod'!F7*'non-reconprod'!F$76+'non-reconprod'!Y7*'non-reconprod'!Y$76</f>
        <v>155214.86819966664</v>
      </c>
      <c r="G7" s="184">
        <f>'non-reconprod'!G7*'non-reconprod'!G$76+'non-reconprod'!Z7*'non-reconprod'!Z$76</f>
        <v>156314.0740648387</v>
      </c>
      <c r="H7" s="184">
        <f>'non-reconprod'!H7*'non-reconprod'!H$76+'non-reconprod'!AA7*'non-reconprod'!AA$76</f>
        <v>156578.38709677418</v>
      </c>
      <c r="I7" s="184">
        <f>'non-reconprod'!I7*'non-reconprod'!I$76+'non-reconprod'!AB7*'non-reconprod'!AB$76</f>
        <v>0</v>
      </c>
      <c r="J7" s="184">
        <f>'non-reconprod'!J7*'non-reconprod'!J$76+'non-reconprod'!AC7*'non-reconprod'!AC$76</f>
        <v>0</v>
      </c>
      <c r="K7" s="184">
        <f>'non-reconprod'!K7*'non-reconprod'!K$76+'non-reconprod'!AD7*'non-reconprod'!AD$76</f>
        <v>0</v>
      </c>
      <c r="L7" s="184">
        <f>'non-reconprod'!L7*'non-reconprod'!L$76+'non-reconprod'!AE7*'non-reconprod'!AE$76</f>
        <v>0</v>
      </c>
      <c r="M7" s="184">
        <f>'non-reconprod'!M7*'non-reconprod'!M$76+'non-reconprod'!AF7*'non-reconprod'!AF$76</f>
        <v>0</v>
      </c>
      <c r="N7" s="184">
        <f>'non-reconprod'!N7*'non-reconprod'!N$76+'non-reconprod'!AG7*'non-reconprod'!AG$76</f>
        <v>0</v>
      </c>
      <c r="O7" s="184">
        <f>'non-reconprod'!O7*'non-reconprod'!O$76+'non-reconprod'!AH7*'non-reconprod'!AH$76</f>
        <v>0</v>
      </c>
      <c r="R7" s="184">
        <f t="shared" ref="R7:R19" si="0">IFERROR((D7*D$85+E7*E$85+F7*F$85)/R$85,0)</f>
        <v>155478.98332989009</v>
      </c>
      <c r="S7" s="184">
        <f t="shared" ref="S7:S19" ca="1" si="1">IFERROR((G7*G$85+H7*H$85+I7*I$85)/S$85,0)</f>
        <v>0</v>
      </c>
      <c r="T7" s="184">
        <f t="shared" ref="T7:T19" si="2">IFERROR((J7*J$85+K7*K$85+L7*L$85)/T$85,0)</f>
        <v>0</v>
      </c>
      <c r="U7" s="184">
        <f t="shared" ref="U7:U19" si="3">IFERROR((M7*M$85+N7*N$85+O7*O$85)/U$85,0)</f>
        <v>0</v>
      </c>
      <c r="V7" s="184">
        <f t="shared" ref="V7:V19" ca="1" si="4">IFERROR((R7*R$85+S7*S$85)/V$85,0)</f>
        <v>0</v>
      </c>
      <c r="W7" s="184">
        <f t="shared" ref="W7:W19" si="5">IFERROR((T7*T$85+U7*U$85)/W$85,0)</f>
        <v>0</v>
      </c>
      <c r="X7" s="184">
        <f t="shared" ref="X7:X19" ca="1" si="6">IFERROR((T7*T$85+V7*V$85)/X$85,0)</f>
        <v>0</v>
      </c>
      <c r="Y7" s="184">
        <f t="shared" ref="Y7:Y19" ca="1" si="7">IFERROR((V7*V$85+W7*W$85)/Y$85,0)</f>
        <v>0</v>
      </c>
      <c r="Z7" s="184"/>
      <c r="AA7" s="184">
        <f t="shared" ref="AA7:AA19" ca="1" si="8">Y7</f>
        <v>0</v>
      </c>
      <c r="AB7" s="184">
        <f t="shared" ref="AB7:AB19" ca="1" si="9">SUMIF(R$82:U$82,$AA$79,R7:U7)</f>
        <v>0</v>
      </c>
      <c r="AC7" s="184">
        <f t="shared" ref="AC7:AC19" si="10">SUMIF(D$82:O$82,$AA$78,D7:O7)</f>
        <v>156578.38709677418</v>
      </c>
      <c r="AE7">
        <f>IF($AA$78=1,'Previous year'!T7,SUMIF($D$82:$O$82,$AA$83,$D7:$O7))</f>
        <v>156314.0740648387</v>
      </c>
      <c r="AF7">
        <f>IF($AA$79=1,'Previous year'!U7,SUMIF(prod_compiled!$R$82:$U$82,prod_compiled!$AA$84,prod_compiled!$R7:$U7))</f>
        <v>155478.98332989009</v>
      </c>
      <c r="AG7">
        <f>'Previous year'!V7</f>
        <v>151081.79999999999</v>
      </c>
    </row>
    <row r="8" spans="1:33">
      <c r="C8" s="209" t="s">
        <v>62</v>
      </c>
      <c r="D8" s="184">
        <f>'non-reconprod'!D8*'non-reconprod'!D$76+'non-reconprod'!W8*'non-reconprod'!W$76</f>
        <v>1967.1666666666667</v>
      </c>
      <c r="E8" s="184">
        <f>'non-reconprod'!E8*'non-reconprod'!E$76+'non-reconprod'!X8*'non-reconprod'!X$76</f>
        <v>1868.8709658064517</v>
      </c>
      <c r="F8" s="184">
        <f>'non-reconprod'!F8*'non-reconprod'!F$76+'non-reconprod'!Y8*'non-reconprod'!Y$76</f>
        <v>1976.7666666666667</v>
      </c>
      <c r="G8" s="184">
        <f>'non-reconprod'!G8*'non-reconprod'!G$76+'non-reconprod'!Z8*'non-reconprod'!Z$76</f>
        <v>1912.9999990322581</v>
      </c>
      <c r="H8" s="184">
        <f>'non-reconprod'!H8*'non-reconprod'!H$76+'non-reconprod'!AA8*'non-reconprod'!AA$76</f>
        <v>1856.483870967742</v>
      </c>
      <c r="I8" s="184">
        <f>'non-reconprod'!I8*'non-reconprod'!I$76+'non-reconprod'!AB8*'non-reconprod'!AB$76</f>
        <v>0</v>
      </c>
      <c r="J8" s="184">
        <f>'non-reconprod'!J8*'non-reconprod'!J$76+'non-reconprod'!AC8*'non-reconprod'!AC$76</f>
        <v>0</v>
      </c>
      <c r="K8" s="184">
        <f>'non-reconprod'!K8*'non-reconprod'!K$76+'non-reconprod'!AD8*'non-reconprod'!AD$76</f>
        <v>0</v>
      </c>
      <c r="L8" s="184">
        <f>'non-reconprod'!L8*'non-reconprod'!L$76+'non-reconprod'!AE8*'non-reconprod'!AE$76</f>
        <v>0</v>
      </c>
      <c r="M8" s="184">
        <f>'non-reconprod'!M8*'non-reconprod'!M$76+'non-reconprod'!AF8*'non-reconprod'!AF$76</f>
        <v>0</v>
      </c>
      <c r="N8" s="184">
        <f>'non-reconprod'!N8*'non-reconprod'!N$76+'non-reconprod'!AG8*'non-reconprod'!AG$76</f>
        <v>0</v>
      </c>
      <c r="O8" s="184">
        <f>'non-reconprod'!O8*'non-reconprod'!O$76+'non-reconprod'!AH8*'non-reconprod'!AH$76</f>
        <v>0</v>
      </c>
      <c r="R8" s="184">
        <f t="shared" si="0"/>
        <v>1936.8461531868134</v>
      </c>
      <c r="S8" s="184">
        <f t="shared" ca="1" si="1"/>
        <v>0</v>
      </c>
      <c r="T8" s="184">
        <f>IFERROR((J8*J$85+K8*K$85+L8*L$85)/T$85,0)</f>
        <v>0</v>
      </c>
      <c r="U8" s="184">
        <f t="shared" si="3"/>
        <v>0</v>
      </c>
      <c r="V8" s="184">
        <f t="shared" ca="1" si="4"/>
        <v>0</v>
      </c>
      <c r="W8" s="184">
        <f>IFERROR((T8*T$85+U8*U$85)/W$85,0)</f>
        <v>0</v>
      </c>
      <c r="X8" s="184">
        <f t="shared" ca="1" si="6"/>
        <v>0</v>
      </c>
      <c r="Y8" s="184">
        <f t="shared" ca="1" si="7"/>
        <v>0</v>
      </c>
      <c r="Z8" s="184"/>
      <c r="AA8" s="184">
        <f t="shared" ca="1" si="8"/>
        <v>0</v>
      </c>
      <c r="AB8" s="184">
        <f t="shared" ca="1" si="9"/>
        <v>0</v>
      </c>
      <c r="AC8" s="184">
        <f t="shared" si="10"/>
        <v>1856.483870967742</v>
      </c>
      <c r="AE8">
        <f>IF($AA$78=1,'Previous year'!T8,SUMIF($D$82:$O$82,$AA$83,$D8:$O8))</f>
        <v>1912.9999990322581</v>
      </c>
      <c r="AF8">
        <f>IF($AA$79=1,'Previous year'!U8,SUMIF(prod_compiled!$R$82:$U$82,prod_compiled!$AA$84,prod_compiled!$R8:$U8))</f>
        <v>1936.8461531868134</v>
      </c>
      <c r="AG8">
        <f>'Previous year'!V8</f>
        <v>1994.4465753424658</v>
      </c>
    </row>
    <row r="9" spans="1:33">
      <c r="C9" s="209" t="s">
        <v>57</v>
      </c>
      <c r="D9" s="184">
        <f>'non-reconprod'!D9*'non-reconprod'!D$76+'non-reconprod'!W9*'non-reconprod'!W$76</f>
        <v>321916.63333333336</v>
      </c>
      <c r="E9" s="184">
        <f>'non-reconprod'!E9*'non-reconprod'!E$76+'non-reconprod'!X9*'non-reconprod'!X$76</f>
        <v>318392.1935480645</v>
      </c>
      <c r="F9" s="184">
        <f>'non-reconprod'!F9*'non-reconprod'!F$76+'non-reconprod'!Y9*'non-reconprod'!Y$76</f>
        <v>322595.96666833333</v>
      </c>
      <c r="G9" s="184">
        <f>'non-reconprod'!G9*'non-reconprod'!G$76+'non-reconprod'!Z9*'non-reconprod'!Z$76</f>
        <v>323387.48387387092</v>
      </c>
      <c r="H9" s="184">
        <f>'non-reconprod'!H9*'non-reconprod'!H$76+'non-reconprod'!AA9*'non-reconprod'!AA$76</f>
        <v>301866.41935483873</v>
      </c>
      <c r="I9" s="184">
        <f>'non-reconprod'!I9*'non-reconprod'!I$76+'non-reconprod'!AB9*'non-reconprod'!AB$76</f>
        <v>0</v>
      </c>
      <c r="J9" s="184">
        <f>'non-reconprod'!J9*'non-reconprod'!J$76+'non-reconprod'!AC9*'non-reconprod'!AC$76</f>
        <v>0</v>
      </c>
      <c r="K9" s="184">
        <f>IF($A$20=1,$P$3,'non-reconprod'!K9*'non-reconprod'!K$76+'non-reconprod'!AD9*'non-reconprod'!AD$76)</f>
        <v>0</v>
      </c>
      <c r="L9" s="184">
        <f>'non-reconprod'!L9*'non-reconprod'!L$76+'non-reconprod'!AE9*'non-reconprod'!AE$76</f>
        <v>0</v>
      </c>
      <c r="M9" s="184">
        <f>'non-reconprod'!M9*'non-reconprod'!M$76+'non-reconprod'!AF9*'non-reconprod'!AF$76</f>
        <v>0</v>
      </c>
      <c r="N9" s="184">
        <f>'non-reconprod'!N9*'non-reconprod'!N$76+'non-reconprod'!AG9*'non-reconprod'!AG$76</f>
        <v>0</v>
      </c>
      <c r="O9" s="184">
        <f>'non-reconprod'!O9*'non-reconprod'!O$76+'non-reconprod'!AH9*'non-reconprod'!AH$76</f>
        <v>0</v>
      </c>
      <c r="R9" s="184">
        <f t="shared" si="0"/>
        <v>320939.95604439563</v>
      </c>
      <c r="S9" s="184">
        <f t="shared" ca="1" si="1"/>
        <v>0</v>
      </c>
      <c r="T9" s="184">
        <f>IFERROR((J9*J$85+K9*K$85+L9*L$85)/T$85,0)</f>
        <v>0</v>
      </c>
      <c r="U9" s="184">
        <f>IFERROR((M9*M$85+N9*N$85+O9*O$85)/U$85,0)</f>
        <v>0</v>
      </c>
      <c r="V9" s="184">
        <f ca="1">IFERROR((R9*R$85+S9*S$85)/V$85,0)</f>
        <v>0</v>
      </c>
      <c r="W9" s="184">
        <f>IFERROR((T9*T$85+U9*U$85)/W$85,0)</f>
        <v>0</v>
      </c>
      <c r="X9" s="184">
        <f ca="1">IFERROR((T9*T$85+V9*V$85)/X$85,0)</f>
        <v>0</v>
      </c>
      <c r="Y9" s="184">
        <f ca="1">IFERROR((V9*V$85+W9*W$85)/Y$85,0)</f>
        <v>0</v>
      </c>
      <c r="Z9" s="184"/>
      <c r="AA9" s="184">
        <f ca="1">Y9</f>
        <v>0</v>
      </c>
      <c r="AB9" s="184">
        <f ca="1">SUMIF(R$82:U$82,$AA$79,R9:U9)</f>
        <v>0</v>
      </c>
      <c r="AC9" s="184">
        <f t="shared" si="10"/>
        <v>301866.41935483873</v>
      </c>
      <c r="AE9">
        <f>IF($AA$78=1,'Previous year'!T9,SUMIF($D$82:$O$82,$AA$83,$D9:$O9))</f>
        <v>323387.48387387092</v>
      </c>
      <c r="AF9">
        <f>IF($AA$79=1,'Previous year'!U9,SUMIF(prod_compiled!$R$82:$U$82,prod_compiled!$AA$84,prod_compiled!$R9:$U9))</f>
        <v>320939.95604439563</v>
      </c>
      <c r="AG9">
        <f>'Previous year'!V9</f>
        <v>300844.03013698629</v>
      </c>
    </row>
    <row r="10" spans="1:33">
      <c r="C10" s="209" t="s">
        <v>58</v>
      </c>
      <c r="D10" s="184">
        <f>'non-reconprod'!D10*'non-reconprod'!D$76+'non-reconprod'!W10*'non-reconprod'!W$76</f>
        <v>35545.783334333333</v>
      </c>
      <c r="E10" s="184">
        <f>'non-reconprod'!E10*'non-reconprod'!E$76+'non-reconprod'!X10*'non-reconprod'!X$76</f>
        <v>28023.939678064518</v>
      </c>
      <c r="F10" s="184">
        <f>'non-reconprod'!F10*'non-reconprod'!F$76+'non-reconprod'!Y10*'non-reconprod'!Y$76</f>
        <v>32279.925667666666</v>
      </c>
      <c r="G10" s="184">
        <f>'non-reconprod'!G10*'non-reconprod'!G$76+'non-reconprod'!Z10*'non-reconprod'!Z$76</f>
        <v>26900.451613225807</v>
      </c>
      <c r="H10" s="184">
        <f>'non-reconprod'!H10*'non-reconprod'!H$76+'non-reconprod'!AA10*'non-reconprod'!AA$76</f>
        <v>35350.548387096773</v>
      </c>
      <c r="I10" s="184">
        <f>'non-reconprod'!I10*'non-reconprod'!I$76+'non-reconprod'!AB10*'non-reconprod'!AB$76</f>
        <v>0</v>
      </c>
      <c r="J10" s="184">
        <f>'non-reconprod'!J10*'non-reconprod'!J$76+'non-reconprod'!AC10*'non-reconprod'!AC$76</f>
        <v>0</v>
      </c>
      <c r="K10" s="184">
        <f>'non-reconprod'!K10*'non-reconprod'!K$76+'non-reconprod'!AD10*'non-reconprod'!AD$76</f>
        <v>0</v>
      </c>
      <c r="L10" s="184">
        <f>'non-reconprod'!L10*'non-reconprod'!L$76+'non-reconprod'!AE10*'non-reconprod'!AE$76</f>
        <v>0</v>
      </c>
      <c r="M10" s="184">
        <f>'non-reconprod'!M10*'non-reconprod'!M$76+'non-reconprod'!AF10*'non-reconprod'!AF$76</f>
        <v>0</v>
      </c>
      <c r="N10" s="184">
        <f>'non-reconprod'!N10*'non-reconprod'!N$76+'non-reconprod'!AG10*'non-reconprod'!AG$76</f>
        <v>0</v>
      </c>
      <c r="O10" s="184">
        <f>'non-reconprod'!O10*'non-reconprod'!O$76+'non-reconprod'!AH10*'non-reconprod'!AH$76</f>
        <v>0</v>
      </c>
      <c r="R10" s="184">
        <f t="shared" si="0"/>
        <v>31906.740660219781</v>
      </c>
      <c r="S10" s="184">
        <f t="shared" ca="1" si="1"/>
        <v>0</v>
      </c>
      <c r="T10" s="184">
        <f t="shared" si="2"/>
        <v>0</v>
      </c>
      <c r="U10" s="184">
        <f t="shared" si="3"/>
        <v>0</v>
      </c>
      <c r="V10" s="184">
        <f t="shared" ca="1" si="4"/>
        <v>0</v>
      </c>
      <c r="W10" s="184">
        <f t="shared" si="5"/>
        <v>0</v>
      </c>
      <c r="X10" s="184">
        <f t="shared" ca="1" si="6"/>
        <v>0</v>
      </c>
      <c r="Y10" s="184">
        <f t="shared" ca="1" si="7"/>
        <v>0</v>
      </c>
      <c r="Z10" s="184"/>
      <c r="AA10" s="184">
        <f t="shared" ca="1" si="8"/>
        <v>0</v>
      </c>
      <c r="AB10" s="184">
        <f t="shared" ca="1" si="9"/>
        <v>0</v>
      </c>
      <c r="AC10" s="184">
        <f t="shared" si="10"/>
        <v>35350.548387096773</v>
      </c>
      <c r="AE10">
        <f>IF($AA$78=1,'Previous year'!T10,SUMIF($D$82:$O$82,$AA$83,$D10:$O10))</f>
        <v>26900.451613225807</v>
      </c>
      <c r="AF10">
        <f>IF($AA$79=1,'Previous year'!U10,SUMIF(prod_compiled!$R$82:$U$82,prod_compiled!$AA$84,prod_compiled!$R10:$U10))</f>
        <v>31906.740660219781</v>
      </c>
      <c r="AG10">
        <f>'Previous year'!V10</f>
        <v>21099.605479452053</v>
      </c>
    </row>
    <row r="11" spans="1:33">
      <c r="C11" s="209" t="s">
        <v>59</v>
      </c>
      <c r="D11" s="184">
        <f>'non-reconprod'!D11*'non-reconprod'!D$76+'non-reconprod'!W11*'non-reconprod'!W$76</f>
        <v>4482.5666663333341</v>
      </c>
      <c r="E11" s="184">
        <f>'non-reconprod'!E11*'non-reconprod'!E$76+'non-reconprod'!X11*'non-reconprod'!X$76</f>
        <v>4449.7741938709678</v>
      </c>
      <c r="F11" s="184">
        <f>'non-reconprod'!F11*'non-reconprod'!F$76+'non-reconprod'!Y11*'non-reconprod'!Y$76</f>
        <v>4795.3</v>
      </c>
      <c r="G11" s="184">
        <f>'non-reconprod'!G11*'non-reconprod'!G$76+'non-reconprod'!Z11*'non-reconprod'!Z$76</f>
        <v>4872.4838709677415</v>
      </c>
      <c r="H11" s="184">
        <f>'non-reconprod'!H11*'non-reconprod'!H$76+'non-reconprod'!AA11*'non-reconprod'!AA$76</f>
        <v>4976.8387096774195</v>
      </c>
      <c r="I11" s="184">
        <f>'non-reconprod'!I11*'non-reconprod'!I$76+'non-reconprod'!AB11*'non-reconprod'!AB$76</f>
        <v>0</v>
      </c>
      <c r="J11" s="184">
        <f>'non-reconprod'!J11*'non-reconprod'!J$76+'non-reconprod'!AC11*'non-reconprod'!AC$76</f>
        <v>0</v>
      </c>
      <c r="K11" s="184">
        <f>'non-reconprod'!K11*'non-reconprod'!K$76+'non-reconprod'!AD11*'non-reconprod'!AD$76</f>
        <v>0</v>
      </c>
      <c r="L11" s="184">
        <f>'non-reconprod'!L11*'non-reconprod'!L$76+'non-reconprod'!AE11*'non-reconprod'!AE$76</f>
        <v>0</v>
      </c>
      <c r="M11" s="184">
        <f>'non-reconprod'!M11*'non-reconprod'!M$76+'non-reconprod'!AF11*'non-reconprod'!AF$76</f>
        <v>0</v>
      </c>
      <c r="N11" s="184">
        <f>'non-reconprod'!N11*'non-reconprod'!N$76+'non-reconprod'!AG11*'non-reconprod'!AG$76</f>
        <v>0</v>
      </c>
      <c r="O11" s="184">
        <f>'non-reconprod'!O11*'non-reconprod'!O$76+'non-reconprod'!AH11*'non-reconprod'!AH$76</f>
        <v>0</v>
      </c>
      <c r="R11" s="184">
        <f t="shared" si="0"/>
        <v>4574.4945054945056</v>
      </c>
      <c r="S11" s="184">
        <f t="shared" ca="1" si="1"/>
        <v>0</v>
      </c>
      <c r="T11" s="184">
        <f t="shared" si="2"/>
        <v>0</v>
      </c>
      <c r="U11" s="184">
        <f t="shared" si="3"/>
        <v>0</v>
      </c>
      <c r="V11" s="184">
        <f t="shared" ca="1" si="4"/>
        <v>0</v>
      </c>
      <c r="W11" s="184">
        <f t="shared" si="5"/>
        <v>0</v>
      </c>
      <c r="X11" s="184">
        <f t="shared" ca="1" si="6"/>
        <v>0</v>
      </c>
      <c r="Y11" s="184">
        <f t="shared" ca="1" si="7"/>
        <v>0</v>
      </c>
      <c r="Z11" s="184"/>
      <c r="AA11" s="184">
        <f t="shared" ca="1" si="8"/>
        <v>0</v>
      </c>
      <c r="AB11" s="184">
        <f t="shared" ca="1" si="9"/>
        <v>0</v>
      </c>
      <c r="AC11" s="184">
        <f t="shared" si="10"/>
        <v>4976.8387096774195</v>
      </c>
      <c r="AE11">
        <f>IF($AA$78=1,'Previous year'!T11,SUMIF($D$82:$O$82,$AA$83,$D11:$O11))</f>
        <v>4872.4838709677415</v>
      </c>
      <c r="AF11">
        <f>IF($AA$79=1,'Previous year'!U11,SUMIF(prod_compiled!$R$82:$U$82,prod_compiled!$AA$84,prod_compiled!$R11:$U11))</f>
        <v>4574.4945054945056</v>
      </c>
      <c r="AG11">
        <f>'Previous year'!V11</f>
        <v>4460.8410958904105</v>
      </c>
    </row>
    <row r="12" spans="1:33">
      <c r="C12" s="209" t="s">
        <v>63</v>
      </c>
      <c r="D12" s="184">
        <f>'non-reconprod'!D12*'non-reconprod'!D$76+'non-reconprod'!W12*'non-reconprod'!W$76</f>
        <v>18270.500001</v>
      </c>
      <c r="E12" s="184">
        <f>'non-reconprod'!E12*'non-reconprod'!E$76+'non-reconprod'!X12*'non-reconprod'!X$76</f>
        <v>21726.806451612902</v>
      </c>
      <c r="F12" s="184">
        <f>'non-reconprod'!F12*'non-reconprod'!F$76+'non-reconprod'!Y12*'non-reconprod'!Y$76</f>
        <v>21278.499999</v>
      </c>
      <c r="G12" s="184">
        <f>'non-reconprod'!G12*'non-reconprod'!G$76+'non-reconprod'!Z12*'non-reconprod'!Z$76</f>
        <v>20944.51612967742</v>
      </c>
      <c r="H12" s="184">
        <f>'non-reconprod'!H12*'non-reconprod'!H$76+'non-reconprod'!AA12*'non-reconprod'!AA$76</f>
        <v>21588.691290322582</v>
      </c>
      <c r="I12" s="184">
        <f>'non-reconprod'!I12*'non-reconprod'!I$76+'non-reconprod'!AB12*'non-reconprod'!AB$76</f>
        <v>0</v>
      </c>
      <c r="J12" s="184">
        <f>'non-reconprod'!J12*'non-reconprod'!J$76+'non-reconprod'!AC12*'non-reconprod'!AC$76</f>
        <v>0</v>
      </c>
      <c r="K12" s="184">
        <f>'non-reconprod'!K12*'non-reconprod'!K$76+'non-reconprod'!AD12*'non-reconprod'!AD$76</f>
        <v>0</v>
      </c>
      <c r="L12" s="184">
        <f>'non-reconprod'!L12*'non-reconprod'!L$76+'non-reconprod'!AE12*'non-reconprod'!AE$76</f>
        <v>0</v>
      </c>
      <c r="M12" s="184">
        <f>'non-reconprod'!M12*'non-reconprod'!M$76+'non-reconprod'!AF12*'non-reconprod'!AF$76</f>
        <v>0</v>
      </c>
      <c r="N12" s="184">
        <f>'non-reconprod'!N12*'non-reconprod'!N$76+'non-reconprod'!AG12*'non-reconprod'!AG$76</f>
        <v>0</v>
      </c>
      <c r="O12" s="184">
        <f>'non-reconprod'!O12*'non-reconprod'!O$76+'non-reconprod'!AH12*'non-reconprod'!AH$76</f>
        <v>0</v>
      </c>
      <c r="R12" s="184">
        <f t="shared" si="0"/>
        <v>20439.571428571428</v>
      </c>
      <c r="S12" s="184">
        <f t="shared" ca="1" si="1"/>
        <v>0</v>
      </c>
      <c r="T12" s="184">
        <f t="shared" si="2"/>
        <v>0</v>
      </c>
      <c r="U12" s="184">
        <f t="shared" si="3"/>
        <v>0</v>
      </c>
      <c r="V12" s="184">
        <f t="shared" ca="1" si="4"/>
        <v>0</v>
      </c>
      <c r="W12" s="184">
        <f t="shared" si="5"/>
        <v>0</v>
      </c>
      <c r="X12" s="184">
        <f t="shared" ca="1" si="6"/>
        <v>0</v>
      </c>
      <c r="Y12" s="184">
        <f t="shared" ca="1" si="7"/>
        <v>0</v>
      </c>
      <c r="Z12" s="184"/>
      <c r="AA12" s="184">
        <f t="shared" ca="1" si="8"/>
        <v>0</v>
      </c>
      <c r="AB12" s="184">
        <f t="shared" ca="1" si="9"/>
        <v>0</v>
      </c>
      <c r="AC12" s="184">
        <f t="shared" si="10"/>
        <v>21588.691290322582</v>
      </c>
      <c r="AE12">
        <f>IF($AA$78=1,'Previous year'!T12,SUMIF($D$82:$O$82,$AA$83,$D12:$O12))</f>
        <v>20944.51612967742</v>
      </c>
      <c r="AF12">
        <f>IF($AA$79=1,'Previous year'!U12,SUMIF(prod_compiled!$R$82:$U$82,prod_compiled!$AA$84,prod_compiled!$R12:$U12))</f>
        <v>20439.571428571428</v>
      </c>
      <c r="AG12">
        <f>'Previous year'!V12</f>
        <v>19280.553424657533</v>
      </c>
    </row>
    <row r="13" spans="1:33">
      <c r="C13" s="209" t="s">
        <v>64</v>
      </c>
      <c r="D13" s="184">
        <f>'non-reconprod'!D13*'non-reconprod'!D$76+'non-reconprod'!W13*'non-reconprod'!W$76</f>
        <v>7023.0999993333335</v>
      </c>
      <c r="E13" s="184">
        <f>'non-reconprod'!E13*'non-reconprod'!E$76+'non-reconprod'!X13*'non-reconprod'!X$76</f>
        <v>6952.0645158064517</v>
      </c>
      <c r="F13" s="184">
        <f>'non-reconprod'!F13*'non-reconprod'!F$76+'non-reconprod'!Y13*'non-reconprod'!Y$76</f>
        <v>6969.2999993333333</v>
      </c>
      <c r="G13" s="184">
        <f>'non-reconprod'!G13*'non-reconprod'!G$76+'non-reconprod'!Z13*'non-reconprod'!Z$76</f>
        <v>6954.8064516129034</v>
      </c>
      <c r="H13" s="184">
        <f>'non-reconprod'!H13*'non-reconprod'!H$76+'non-reconprod'!AA13*'non-reconprod'!AA$76</f>
        <v>6913.4193548387093</v>
      </c>
      <c r="I13" s="184">
        <f>'non-reconprod'!I13*'non-reconprod'!I$76+'non-reconprod'!AB13*'non-reconprod'!AB$76</f>
        <v>0</v>
      </c>
      <c r="J13" s="184">
        <f>'non-reconprod'!J13*'non-reconprod'!J$76+'non-reconprod'!AC13*'non-reconprod'!AC$76</f>
        <v>0</v>
      </c>
      <c r="K13" s="184">
        <f>'non-reconprod'!K13*'non-reconprod'!K$76+'non-reconprod'!AD13*'non-reconprod'!AD$76</f>
        <v>0</v>
      </c>
      <c r="L13" s="184">
        <f>'non-reconprod'!L13*'non-reconprod'!L$76+'non-reconprod'!AE13*'non-reconprod'!AE$76</f>
        <v>0</v>
      </c>
      <c r="M13" s="184">
        <f>'non-reconprod'!M13*'non-reconprod'!M$76+'non-reconprod'!AF13*'non-reconprod'!AF$76</f>
        <v>0</v>
      </c>
      <c r="N13" s="184">
        <f>'non-reconprod'!N13*'non-reconprod'!N$76+'non-reconprod'!AG13*'non-reconprod'!AG$76</f>
        <v>0</v>
      </c>
      <c r="O13" s="184">
        <f>'non-reconprod'!O13*'non-reconprod'!O$76+'non-reconprod'!AH13*'non-reconprod'!AH$76</f>
        <v>0</v>
      </c>
      <c r="R13" s="184">
        <f t="shared" si="0"/>
        <v>6981.1648346153843</v>
      </c>
      <c r="S13" s="184">
        <f t="shared" ca="1" si="1"/>
        <v>0</v>
      </c>
      <c r="T13" s="184">
        <f t="shared" si="2"/>
        <v>0</v>
      </c>
      <c r="U13" s="184">
        <f t="shared" si="3"/>
        <v>0</v>
      </c>
      <c r="V13" s="184">
        <f t="shared" ca="1" si="4"/>
        <v>0</v>
      </c>
      <c r="W13" s="184">
        <f t="shared" si="5"/>
        <v>0</v>
      </c>
      <c r="X13" s="184">
        <f t="shared" ca="1" si="6"/>
        <v>0</v>
      </c>
      <c r="Y13" s="184">
        <f t="shared" ca="1" si="7"/>
        <v>0</v>
      </c>
      <c r="Z13" s="184"/>
      <c r="AA13" s="184">
        <f t="shared" ca="1" si="8"/>
        <v>0</v>
      </c>
      <c r="AB13" s="184">
        <f t="shared" ca="1" si="9"/>
        <v>0</v>
      </c>
      <c r="AC13" s="184">
        <f t="shared" si="10"/>
        <v>6913.4193548387093</v>
      </c>
      <c r="AE13">
        <f>IF($AA$78=1,'Previous year'!T13,SUMIF($D$82:$O$82,$AA$83,$D13:$O13))</f>
        <v>6954.8064516129034</v>
      </c>
      <c r="AF13">
        <f>IF($AA$79=1,'Previous year'!U13,SUMIF(prod_compiled!$R$82:$U$82,prod_compiled!$AA$84,prod_compiled!$R13:$U13))</f>
        <v>6981.1648346153843</v>
      </c>
      <c r="AG13">
        <f>'Previous year'!V13</f>
        <v>6095.0164383561641</v>
      </c>
    </row>
    <row r="14" spans="1:33">
      <c r="C14" s="209" t="s">
        <v>65</v>
      </c>
      <c r="D14" s="184">
        <f>'non-reconprod'!D14*'non-reconprod'!D$76+'non-reconprod'!W14*'non-reconprod'!W$76</f>
        <v>4330.0000003333334</v>
      </c>
      <c r="E14" s="184">
        <f>'non-reconprod'!E14*'non-reconprod'!E$76+'non-reconprod'!X14*'non-reconprod'!X$76</f>
        <v>5385.1612909677424</v>
      </c>
      <c r="F14" s="184">
        <f>'non-reconprod'!F14*'non-reconprod'!F$76+'non-reconprod'!Y14*'non-reconprod'!Y$76</f>
        <v>5641.1333330000007</v>
      </c>
      <c r="G14" s="184">
        <f>'non-reconprod'!G14*'non-reconprod'!G$76+'non-reconprod'!Z14*'non-reconprod'!Z$76</f>
        <v>5701.3870974193551</v>
      </c>
      <c r="H14" s="184">
        <f>'non-reconprod'!H14*'non-reconprod'!H$76+'non-reconprod'!AA14*'non-reconprod'!AA$76</f>
        <v>5707.7419354838712</v>
      </c>
      <c r="I14" s="184">
        <f>'non-reconprod'!I14*'non-reconprod'!I$76+'non-reconprod'!AB14*'non-reconprod'!AB$76</f>
        <v>0</v>
      </c>
      <c r="J14" s="184">
        <f>'non-reconprod'!J14*'non-reconprod'!J$76+'non-reconprod'!AC14*'non-reconprod'!AC$76</f>
        <v>0</v>
      </c>
      <c r="K14" s="184">
        <f>'non-reconprod'!K14*'non-reconprod'!K$76+'non-reconprod'!AD14*'non-reconprod'!AD$76</f>
        <v>0</v>
      </c>
      <c r="L14" s="184">
        <f>'non-reconprod'!L14*'non-reconprod'!L$76+'non-reconprod'!AE14*'non-reconprod'!AE$76</f>
        <v>0</v>
      </c>
      <c r="M14" s="184">
        <f>'non-reconprod'!M14*'non-reconprod'!M$76+'non-reconprod'!AF14*'non-reconprod'!AF$76</f>
        <v>0</v>
      </c>
      <c r="N14" s="184">
        <f>'non-reconprod'!N14*'non-reconprod'!N$76+'non-reconprod'!AG14*'non-reconprod'!AG$76</f>
        <v>0</v>
      </c>
      <c r="O14" s="184">
        <f>'non-reconprod'!O14*'non-reconprod'!O$76+'non-reconprod'!AH14*'non-reconprod'!AH$76</f>
        <v>0</v>
      </c>
      <c r="R14" s="184">
        <f t="shared" si="0"/>
        <v>5121.6923079120879</v>
      </c>
      <c r="S14" s="184">
        <f t="shared" ca="1" si="1"/>
        <v>0</v>
      </c>
      <c r="T14" s="184">
        <f t="shared" si="2"/>
        <v>0</v>
      </c>
      <c r="U14" s="184">
        <f t="shared" si="3"/>
        <v>0</v>
      </c>
      <c r="V14" s="184">
        <f t="shared" ca="1" si="4"/>
        <v>0</v>
      </c>
      <c r="W14" s="184">
        <f t="shared" si="5"/>
        <v>0</v>
      </c>
      <c r="X14" s="184">
        <f t="shared" ca="1" si="6"/>
        <v>0</v>
      </c>
      <c r="Y14" s="184">
        <f t="shared" ca="1" si="7"/>
        <v>0</v>
      </c>
      <c r="Z14" s="184"/>
      <c r="AA14" s="184">
        <f t="shared" ca="1" si="8"/>
        <v>0</v>
      </c>
      <c r="AB14" s="184">
        <f t="shared" ca="1" si="9"/>
        <v>0</v>
      </c>
      <c r="AC14" s="184">
        <f t="shared" si="10"/>
        <v>5707.7419354838712</v>
      </c>
      <c r="AE14">
        <f>IF($AA$78=1,'Previous year'!T14,SUMIF($D$82:$O$82,$AA$83,$D14:$O14))</f>
        <v>5701.3870974193551</v>
      </c>
      <c r="AF14">
        <f>IF($AA$79=1,'Previous year'!U14,SUMIF(prod_compiled!$R$82:$U$82,prod_compiled!$AA$84,prod_compiled!$R14:$U14))</f>
        <v>5121.6923079120879</v>
      </c>
      <c r="AG14">
        <f>'Previous year'!V14</f>
        <v>3914.1369863013697</v>
      </c>
    </row>
    <row r="15" spans="1:33">
      <c r="C15" s="209" t="s">
        <v>66</v>
      </c>
      <c r="D15" s="184">
        <f>'non-reconprod'!D15*'non-reconprod'!D$76+'non-reconprod'!W15*'non-reconprod'!W$76</f>
        <v>240539.03333333333</v>
      </c>
      <c r="E15" s="184">
        <f>'non-reconprod'!E15*'non-reconprod'!E$76+'non-reconprod'!X15*'non-reconprod'!X$76</f>
        <v>270012.38709645165</v>
      </c>
      <c r="F15" s="184">
        <f>'non-reconprod'!F15*'non-reconprod'!F$76+'non-reconprod'!Y15*'non-reconprod'!Y$76</f>
        <v>426928.96666666667</v>
      </c>
      <c r="G15" s="184">
        <f>'non-reconprod'!G15*'non-reconprod'!G$76+'non-reconprod'!Z15*'non-reconprod'!Z$76</f>
        <v>330226.16128967743</v>
      </c>
      <c r="H15" s="184">
        <f>'non-reconprod'!H15*'non-reconprod'!H$76+'non-reconprod'!AA15*'non-reconprod'!AA$76</f>
        <v>431155</v>
      </c>
      <c r="I15" s="184">
        <f>'non-reconprod'!I15*'non-reconprod'!I$76+'non-reconprod'!AB15*'non-reconprod'!AB$76</f>
        <v>0</v>
      </c>
      <c r="J15" s="184">
        <f>'non-reconprod'!J15*'non-reconprod'!J$76+'non-reconprod'!AC15*'non-reconprod'!AC$76</f>
        <v>0</v>
      </c>
      <c r="K15" s="184">
        <f>'non-reconprod'!K15*'non-reconprod'!K$76+'non-reconprod'!AD15*'non-reconprod'!AD$76</f>
        <v>0</v>
      </c>
      <c r="L15" s="184">
        <f>'non-reconprod'!L15*'non-reconprod'!L$76+'non-reconprod'!AE15*'non-reconprod'!AE$76</f>
        <v>0</v>
      </c>
      <c r="M15" s="184">
        <f>'non-reconprod'!M15*'non-reconprod'!M$76+'non-reconprod'!AF15*'non-reconprod'!AF$76</f>
        <v>0</v>
      </c>
      <c r="N15" s="184">
        <f>'non-reconprod'!N15*'non-reconprod'!N$76+'non-reconprod'!AG15*'non-reconprod'!AG$76</f>
        <v>0</v>
      </c>
      <c r="O15" s="184">
        <f>'non-reconprod'!O15*'non-reconprod'!O$76+'non-reconprod'!AH15*'non-reconprod'!AH$76</f>
        <v>0</v>
      </c>
      <c r="R15" s="184">
        <f t="shared" si="0"/>
        <v>312026.63736252749</v>
      </c>
      <c r="S15" s="184">
        <f t="shared" ca="1" si="1"/>
        <v>0</v>
      </c>
      <c r="T15" s="184">
        <f t="shared" si="2"/>
        <v>0</v>
      </c>
      <c r="U15" s="184">
        <f t="shared" si="3"/>
        <v>0</v>
      </c>
      <c r="V15" s="184">
        <f t="shared" ca="1" si="4"/>
        <v>0</v>
      </c>
      <c r="W15" s="184">
        <f t="shared" si="5"/>
        <v>0</v>
      </c>
      <c r="X15" s="184">
        <f t="shared" ca="1" si="6"/>
        <v>0</v>
      </c>
      <c r="Y15" s="184">
        <f t="shared" ca="1" si="7"/>
        <v>0</v>
      </c>
      <c r="Z15" s="184"/>
      <c r="AA15" s="184">
        <f t="shared" ca="1" si="8"/>
        <v>0</v>
      </c>
      <c r="AB15" s="184">
        <f t="shared" ca="1" si="9"/>
        <v>0</v>
      </c>
      <c r="AC15" s="184">
        <f t="shared" si="10"/>
        <v>431155</v>
      </c>
      <c r="AE15">
        <f>IF($AA$78=1,'Previous year'!T15,SUMIF($D$82:$O$82,$AA$83,$D15:$O15))</f>
        <v>330226.16128967743</v>
      </c>
      <c r="AF15">
        <f>IF($AA$79=1,'Previous year'!U15,SUMIF(prod_compiled!$R$82:$U$82,prod_compiled!$AA$84,prod_compiled!$R15:$U15))</f>
        <v>312026.63736252749</v>
      </c>
      <c r="AG15">
        <f>'Previous year'!V15</f>
        <v>381571.53424657532</v>
      </c>
    </row>
    <row r="16" spans="1:33">
      <c r="C16" s="209" t="s">
        <v>67</v>
      </c>
      <c r="D16" s="184">
        <f>'non-reconprod'!D16*'non-reconprod'!D$76+'non-reconprod'!W16*'non-reconprod'!W$76</f>
        <v>53730.633332999998</v>
      </c>
      <c r="E16" s="184">
        <f>'non-reconprod'!E16*'non-reconprod'!E$76+'non-reconprod'!X16*'non-reconprod'!X$76</f>
        <v>53451.677419032254</v>
      </c>
      <c r="F16" s="184">
        <f>'non-reconprod'!F16*'non-reconprod'!F$76+'non-reconprod'!Y16*'non-reconprod'!Y$76</f>
        <v>50960.200000999997</v>
      </c>
      <c r="G16" s="184">
        <f>'non-reconprod'!G16*'non-reconprod'!G$76+'non-reconprod'!Z16*'non-reconprod'!Z$76</f>
        <v>55934.419356129038</v>
      </c>
      <c r="H16" s="184">
        <f>'non-reconprod'!H16*'non-reconprod'!H$76+'non-reconprod'!AA16*'non-reconprod'!AA$76</f>
        <v>54085.931935483874</v>
      </c>
      <c r="I16" s="184">
        <f>'non-reconprod'!I16*'non-reconprod'!I$76+'non-reconprod'!AB16*'non-reconprod'!AB$76</f>
        <v>0</v>
      </c>
      <c r="J16" s="184">
        <f>'non-reconprod'!J16*'non-reconprod'!J$76+'non-reconprod'!AC16*'non-reconprod'!AC$76</f>
        <v>0</v>
      </c>
      <c r="K16" s="184">
        <f>'non-reconprod'!K16*'non-reconprod'!K$76+'non-reconprod'!AD16*'non-reconprod'!AD$76</f>
        <v>0</v>
      </c>
      <c r="L16" s="184">
        <f>'non-reconprod'!L16*'non-reconprod'!L$76+'non-reconprod'!AE16*'non-reconprod'!AE$76</f>
        <v>0</v>
      </c>
      <c r="M16" s="184">
        <f>'non-reconprod'!M16*'non-reconprod'!M$76+'non-reconprod'!AF16*'non-reconprod'!AF$76</f>
        <v>0</v>
      </c>
      <c r="N16" s="184">
        <f>'non-reconprod'!N16*'non-reconprod'!N$76+'non-reconprod'!AG16*'non-reconprod'!AG$76</f>
        <v>0</v>
      </c>
      <c r="O16" s="184">
        <f>'non-reconprod'!O16*'non-reconprod'!O$76+'non-reconprod'!AH16*'non-reconprod'!AH$76</f>
        <v>0</v>
      </c>
      <c r="R16" s="184">
        <f t="shared" si="0"/>
        <v>52722.27472538461</v>
      </c>
      <c r="S16" s="184">
        <f t="shared" ca="1" si="1"/>
        <v>0</v>
      </c>
      <c r="T16" s="184">
        <f t="shared" si="2"/>
        <v>0</v>
      </c>
      <c r="U16" s="184">
        <f t="shared" si="3"/>
        <v>0</v>
      </c>
      <c r="V16" s="184">
        <f t="shared" ca="1" si="4"/>
        <v>0</v>
      </c>
      <c r="W16" s="184">
        <f t="shared" si="5"/>
        <v>0</v>
      </c>
      <c r="X16" s="184">
        <f t="shared" ca="1" si="6"/>
        <v>0</v>
      </c>
      <c r="Y16" s="184">
        <f t="shared" ca="1" si="7"/>
        <v>0</v>
      </c>
      <c r="Z16" s="184"/>
      <c r="AA16" s="184">
        <f t="shared" ca="1" si="8"/>
        <v>0</v>
      </c>
      <c r="AB16" s="184">
        <f t="shared" ca="1" si="9"/>
        <v>0</v>
      </c>
      <c r="AC16" s="184">
        <f t="shared" si="10"/>
        <v>54085.931935483874</v>
      </c>
      <c r="AE16">
        <f>IF($AA$78=1,'Previous year'!T16,SUMIF($D$82:$O$82,$AA$83,$D16:$O16))</f>
        <v>55934.419356129038</v>
      </c>
      <c r="AF16">
        <f>IF($AA$79=1,'Previous year'!U16,SUMIF(prod_compiled!$R$82:$U$82,prod_compiled!$AA$84,prod_compiled!$R16:$U16))</f>
        <v>52722.27472538461</v>
      </c>
      <c r="AG16">
        <f>'Previous year'!V16</f>
        <v>41545</v>
      </c>
    </row>
    <row r="17" spans="1:33">
      <c r="C17" s="209" t="s">
        <v>68</v>
      </c>
      <c r="D17" s="184">
        <f>'non-reconprod'!D17*'non-reconprod'!D$76+'non-reconprod'!W17*'non-reconprod'!W$76</f>
        <v>13140.733333</v>
      </c>
      <c r="E17" s="184">
        <f>'non-reconprod'!E17*'non-reconprod'!E$76+'non-reconprod'!X17*'non-reconprod'!X$76</f>
        <v>12289.032258387097</v>
      </c>
      <c r="F17" s="184">
        <f>'non-reconprod'!F17*'non-reconprod'!F$76+'non-reconprod'!Y17*'non-reconprod'!Y$76</f>
        <v>12269.733333999999</v>
      </c>
      <c r="G17" s="184">
        <f>'non-reconprod'!G17*'non-reconprod'!G$76+'non-reconprod'!Z17*'non-reconprod'!Z$76</f>
        <v>11924.967742580644</v>
      </c>
      <c r="H17" s="184">
        <f>'non-reconprod'!H17*'non-reconprod'!H$76+'non-reconprod'!AA17*'non-reconprod'!AA$76</f>
        <v>12320.806451612903</v>
      </c>
      <c r="I17" s="184">
        <f>'non-reconprod'!I17*'non-reconprod'!I$76+'non-reconprod'!AB17*'non-reconprod'!AB$76</f>
        <v>0</v>
      </c>
      <c r="J17" s="184">
        <f>'non-reconprod'!J17*'non-reconprod'!J$76+'non-reconprod'!AC17*'non-reconprod'!AC$76</f>
        <v>0</v>
      </c>
      <c r="K17" s="184">
        <f>'non-reconprod'!K17*'non-reconprod'!K$76+'non-reconprod'!AD17*'non-reconprod'!AD$76</f>
        <v>0</v>
      </c>
      <c r="L17" s="184">
        <f>'non-reconprod'!L17*'non-reconprod'!L$76+'non-reconprod'!AE17*'non-reconprod'!AE$76</f>
        <v>0</v>
      </c>
      <c r="M17" s="184">
        <f>'non-reconprod'!M17*'non-reconprod'!M$76+'non-reconprod'!AF17*'non-reconprod'!AF$76</f>
        <v>0</v>
      </c>
      <c r="N17" s="184">
        <f>'non-reconprod'!N17*'non-reconprod'!N$76+'non-reconprod'!AG17*'non-reconprod'!AG$76</f>
        <v>0</v>
      </c>
      <c r="O17" s="184">
        <f>'non-reconprod'!O17*'non-reconprod'!O$76+'non-reconprod'!AH17*'non-reconprod'!AH$76</f>
        <v>0</v>
      </c>
      <c r="R17" s="184">
        <f t="shared" si="0"/>
        <v>12563.45054967033</v>
      </c>
      <c r="S17" s="184">
        <f t="shared" ca="1" si="1"/>
        <v>0</v>
      </c>
      <c r="T17" s="184">
        <f t="shared" si="2"/>
        <v>0</v>
      </c>
      <c r="U17" s="184">
        <f t="shared" si="3"/>
        <v>0</v>
      </c>
      <c r="V17" s="184">
        <f t="shared" ca="1" si="4"/>
        <v>0</v>
      </c>
      <c r="W17" s="184">
        <f t="shared" si="5"/>
        <v>0</v>
      </c>
      <c r="X17" s="184">
        <f t="shared" ca="1" si="6"/>
        <v>0</v>
      </c>
      <c r="Y17" s="184">
        <f t="shared" ca="1" si="7"/>
        <v>0</v>
      </c>
      <c r="Z17" s="184"/>
      <c r="AA17" s="184">
        <f t="shared" ca="1" si="8"/>
        <v>0</v>
      </c>
      <c r="AB17" s="184">
        <f t="shared" ca="1" si="9"/>
        <v>0</v>
      </c>
      <c r="AC17" s="184">
        <f t="shared" si="10"/>
        <v>12320.806451612903</v>
      </c>
      <c r="AE17">
        <f>IF($AA$78=1,'Previous year'!T17,SUMIF($D$82:$O$82,$AA$83,$D17:$O17))</f>
        <v>11924.967742580644</v>
      </c>
      <c r="AF17">
        <f>IF($AA$79=1,'Previous year'!U17,SUMIF(prod_compiled!$R$82:$U$82,prod_compiled!$AA$84,prod_compiled!$R17:$U17))</f>
        <v>12563.45054967033</v>
      </c>
      <c r="AG17">
        <f>'Previous year'!V17</f>
        <v>9596.3123287671224</v>
      </c>
    </row>
    <row r="18" spans="1:33">
      <c r="C18" s="209" t="s">
        <v>69</v>
      </c>
      <c r="D18" s="184">
        <f>'non-reconprod'!D18*'non-reconprod'!D$76+'non-reconprod'!W18*'non-reconprod'!W$76</f>
        <v>0</v>
      </c>
      <c r="E18" s="184">
        <f>'non-reconprod'!E18*'non-reconprod'!E$76+'non-reconprod'!X18*'non-reconprod'!X$76</f>
        <v>0</v>
      </c>
      <c r="F18" s="184">
        <f>'non-reconprod'!F18*'non-reconprod'!F$76+'non-reconprod'!Y18*'non-reconprod'!Y$76</f>
        <v>0</v>
      </c>
      <c r="G18" s="184">
        <f>'non-reconprod'!G18*'non-reconprod'!G$76+'non-reconprod'!Z18*'non-reconprod'!Z$76</f>
        <v>0</v>
      </c>
      <c r="H18" s="184">
        <f>'non-reconprod'!H18*'non-reconprod'!H$76+'non-reconprod'!AA18*'non-reconprod'!AA$76</f>
        <v>0</v>
      </c>
      <c r="I18" s="184">
        <f>'non-reconprod'!I18*'non-reconprod'!I$76+'non-reconprod'!AB18*'non-reconprod'!AB$76</f>
        <v>0</v>
      </c>
      <c r="J18" s="184">
        <f>'non-reconprod'!J18*'non-reconprod'!J$76+'non-reconprod'!AC18*'non-reconprod'!AC$76</f>
        <v>0</v>
      </c>
      <c r="K18" s="184">
        <f>'non-reconprod'!K18*'non-reconprod'!K$76+'non-reconprod'!AD18*'non-reconprod'!AD$76</f>
        <v>0</v>
      </c>
      <c r="L18" s="184">
        <f>'non-reconprod'!L18*'non-reconprod'!L$76+'non-reconprod'!AE18*'non-reconprod'!AE$76</f>
        <v>0</v>
      </c>
      <c r="M18" s="184">
        <f>'non-reconprod'!M18*'non-reconprod'!M$76+'non-reconprod'!AF18*'non-reconprod'!AF$76</f>
        <v>0</v>
      </c>
      <c r="N18" s="184">
        <f>'non-reconprod'!N18*'non-reconprod'!N$76+'non-reconprod'!AG18*'non-reconprod'!AG$76</f>
        <v>0</v>
      </c>
      <c r="O18" s="184">
        <f>'non-reconprod'!O18*'non-reconprod'!O$76+'non-reconprod'!AH18*'non-reconprod'!AH$76</f>
        <v>0</v>
      </c>
      <c r="R18" s="184">
        <f t="shared" si="0"/>
        <v>0</v>
      </c>
      <c r="S18" s="184">
        <f t="shared" ca="1" si="1"/>
        <v>0</v>
      </c>
      <c r="T18" s="184">
        <f t="shared" si="2"/>
        <v>0</v>
      </c>
      <c r="U18" s="184">
        <f t="shared" si="3"/>
        <v>0</v>
      </c>
      <c r="V18" s="184">
        <f t="shared" ca="1" si="4"/>
        <v>0</v>
      </c>
      <c r="W18" s="184">
        <f t="shared" si="5"/>
        <v>0</v>
      </c>
      <c r="X18" s="184">
        <f t="shared" ca="1" si="6"/>
        <v>0</v>
      </c>
      <c r="Y18" s="184">
        <f t="shared" ca="1" si="7"/>
        <v>0</v>
      </c>
      <c r="Z18" s="184"/>
      <c r="AA18" s="184">
        <f t="shared" ca="1" si="8"/>
        <v>0</v>
      </c>
      <c r="AB18" s="184">
        <f t="shared" ca="1" si="9"/>
        <v>0</v>
      </c>
      <c r="AC18" s="184">
        <f t="shared" si="10"/>
        <v>0</v>
      </c>
      <c r="AE18">
        <f>IF($AA$78=1,'Previous year'!T18,SUMIF($D$82:$O$82,$AA$83,$D18:$O18))</f>
        <v>0</v>
      </c>
      <c r="AF18">
        <f>IF($AA$79=1,'Previous year'!U18,SUMIF(prod_compiled!$R$82:$U$82,prod_compiled!$AA$84,prod_compiled!$R18:$U18))</f>
        <v>0</v>
      </c>
      <c r="AG18">
        <f>'Previous year'!V18</f>
        <v>33.441095890410956</v>
      </c>
    </row>
    <row r="19" spans="1:33">
      <c r="C19" s="209" t="s">
        <v>70</v>
      </c>
      <c r="D19" s="184">
        <f>'non-reconprod'!D19*'non-reconprod'!D$76+'non-reconprod'!W19*'non-reconprod'!W$76</f>
        <v>0</v>
      </c>
      <c r="E19" s="184">
        <f>'non-reconprod'!E19*'non-reconprod'!E$76+'non-reconprod'!X19*'non-reconprod'!X$76</f>
        <v>0</v>
      </c>
      <c r="F19" s="184">
        <f>'non-reconprod'!F19*'non-reconprod'!F$76+'non-reconprod'!Y19*'non-reconprod'!Y$76</f>
        <v>0</v>
      </c>
      <c r="G19" s="184">
        <f>'non-reconprod'!G19*'non-reconprod'!G$76+'non-reconprod'!Z19*'non-reconprod'!Z$76</f>
        <v>0</v>
      </c>
      <c r="H19" s="184">
        <f>'non-reconprod'!H19*'non-reconprod'!H$76+'non-reconprod'!AA19*'non-reconprod'!AA$76</f>
        <v>0</v>
      </c>
      <c r="I19" s="184">
        <f>'non-reconprod'!I19*'non-reconprod'!I$76+'non-reconprod'!AB19*'non-reconprod'!AB$76</f>
        <v>0</v>
      </c>
      <c r="J19" s="184">
        <f>'non-reconprod'!J19*'non-reconprod'!J$76+'non-reconprod'!AC19*'non-reconprod'!AC$76</f>
        <v>0</v>
      </c>
      <c r="K19" s="184">
        <f>'non-reconprod'!K19*'non-reconprod'!K$76+'non-reconprod'!AD19*'non-reconprod'!AD$76</f>
        <v>0</v>
      </c>
      <c r="L19" s="184">
        <f>'non-reconprod'!L19*'non-reconprod'!L$76+'non-reconprod'!AE19*'non-reconprod'!AE$76</f>
        <v>0</v>
      </c>
      <c r="M19" s="184">
        <f>'non-reconprod'!M19*'non-reconprod'!M$76+'non-reconprod'!AF19*'non-reconprod'!AF$76</f>
        <v>0</v>
      </c>
      <c r="N19" s="184">
        <f>'non-reconprod'!N19*'non-reconprod'!N$76+'non-reconprod'!AG19*'non-reconprod'!AG$76</f>
        <v>0</v>
      </c>
      <c r="O19" s="184">
        <f>'non-reconprod'!O19*'non-reconprod'!O$76+'non-reconprod'!AH19*'non-reconprod'!AH$76</f>
        <v>0</v>
      </c>
      <c r="P19" s="247" t="s">
        <v>720</v>
      </c>
      <c r="R19" s="184">
        <f t="shared" si="0"/>
        <v>0</v>
      </c>
      <c r="S19" s="184">
        <f t="shared" ca="1" si="1"/>
        <v>0</v>
      </c>
      <c r="T19" s="184">
        <f t="shared" si="2"/>
        <v>0</v>
      </c>
      <c r="U19" s="184">
        <f t="shared" si="3"/>
        <v>0</v>
      </c>
      <c r="V19" s="184">
        <f t="shared" ca="1" si="4"/>
        <v>0</v>
      </c>
      <c r="W19" s="184">
        <f t="shared" si="5"/>
        <v>0</v>
      </c>
      <c r="X19" s="184">
        <f t="shared" ca="1" si="6"/>
        <v>0</v>
      </c>
      <c r="Y19" s="184">
        <f t="shared" ca="1" si="7"/>
        <v>0</v>
      </c>
      <c r="Z19" s="184"/>
      <c r="AA19" s="184">
        <f t="shared" ca="1" si="8"/>
        <v>0</v>
      </c>
      <c r="AB19" s="184">
        <f t="shared" ca="1" si="9"/>
        <v>0</v>
      </c>
      <c r="AC19" s="184">
        <f t="shared" si="10"/>
        <v>0</v>
      </c>
      <c r="AE19">
        <f>IF($AA$78=1,'Previous year'!T19,SUMIF($D$82:$O$82,$AA$83,$D19:$O19))</f>
        <v>0</v>
      </c>
      <c r="AF19">
        <f>IF($AA$79=1,'Previous year'!U19,SUMIF(prod_compiled!$R$82:$U$82,prod_compiled!$AA$84,prod_compiled!$R19:$U19))</f>
        <v>0</v>
      </c>
      <c r="AG19">
        <f>'Previous year'!V19</f>
        <v>0</v>
      </c>
    </row>
    <row r="20" spans="1:33">
      <c r="A20" s="247">
        <f>IF($A$2=$P$1,1,0)</f>
        <v>0</v>
      </c>
      <c r="O20" t="s">
        <v>57</v>
      </c>
      <c r="P20" s="247" t="s">
        <v>143</v>
      </c>
      <c r="Q20" s="247" t="s">
        <v>84</v>
      </c>
      <c r="R20" s="247" t="s">
        <v>48</v>
      </c>
      <c r="S20" s="247" t="s">
        <v>87</v>
      </c>
      <c r="T20" s="247" t="s">
        <v>157</v>
      </c>
      <c r="U20" s="184" t="s">
        <v>85</v>
      </c>
      <c r="V20" s="247" t="s">
        <v>1821</v>
      </c>
    </row>
    <row r="21" spans="1:33">
      <c r="I21" t="s">
        <v>145</v>
      </c>
      <c r="P21" s="568">
        <v>11.858796766666668</v>
      </c>
      <c r="Q21" s="247">
        <f>IFERROR((J26*J$85+P21*K$85+L26*L$85)/T$85,0)</f>
        <v>0</v>
      </c>
      <c r="R21" s="247">
        <f>IFERROR((Q21*T$85+U26*U$85)/W$85,0)</f>
        <v>0</v>
      </c>
      <c r="S21" s="247">
        <f ca="1">IFERROR((V26*V$85+R21*W$85)/Y$85,0)</f>
        <v>0</v>
      </c>
      <c r="T21" s="247">
        <f ca="1">S21</f>
        <v>0</v>
      </c>
      <c r="U21">
        <f ca="1">IFERROR((Q21*T$85+V26*V$85)/X$85,0)</f>
        <v>0</v>
      </c>
    </row>
    <row r="22" spans="1:33">
      <c r="D22" s="184" t="s">
        <v>30</v>
      </c>
      <c r="E22" s="184" t="s">
        <v>71</v>
      </c>
      <c r="F22" s="184" t="s">
        <v>72</v>
      </c>
      <c r="G22" s="184" t="s">
        <v>73</v>
      </c>
      <c r="H22" s="184" t="s">
        <v>140</v>
      </c>
      <c r="I22" s="184" t="s">
        <v>141</v>
      </c>
      <c r="J22" s="184" t="s">
        <v>142</v>
      </c>
      <c r="K22" s="184" t="s">
        <v>143</v>
      </c>
      <c r="L22" s="184" t="s">
        <v>42</v>
      </c>
      <c r="M22" s="184" t="s">
        <v>339</v>
      </c>
      <c r="N22" s="184" t="s">
        <v>340</v>
      </c>
      <c r="O22" s="184" t="s">
        <v>341</v>
      </c>
      <c r="R22" s="184" t="s">
        <v>82</v>
      </c>
      <c r="S22" s="184" t="s">
        <v>83</v>
      </c>
      <c r="T22" s="184" t="s">
        <v>84</v>
      </c>
      <c r="U22" s="184" t="s">
        <v>86</v>
      </c>
      <c r="V22" s="184" t="s">
        <v>39</v>
      </c>
      <c r="W22" s="184" t="s">
        <v>48</v>
      </c>
      <c r="X22" s="184" t="s">
        <v>85</v>
      </c>
      <c r="Y22" s="184" t="s">
        <v>87</v>
      </c>
      <c r="Z22" s="184"/>
      <c r="AA22" s="184" t="s">
        <v>157</v>
      </c>
      <c r="AB22" s="184" t="s">
        <v>159</v>
      </c>
      <c r="AC22" s="184" t="s">
        <v>158</v>
      </c>
      <c r="AE22" t="s">
        <v>338</v>
      </c>
      <c r="AF22" t="s">
        <v>342</v>
      </c>
      <c r="AG22" t="s">
        <v>344</v>
      </c>
    </row>
    <row r="23" spans="1:33">
      <c r="C23" s="144" t="s">
        <v>60</v>
      </c>
      <c r="D23" s="184">
        <f>'non-reconprod'!D23*'non-reconprod'!D$76+'non-reconprod'!W23*'non-reconprod'!W$76</f>
        <v>9.7017673333333327</v>
      </c>
      <c r="E23" s="184">
        <f>'non-reconprod'!E23*'non-reconprod'!E$76+'non-reconprod'!X23*'non-reconprod'!X$76</f>
        <v>8.3419374193548386</v>
      </c>
      <c r="F23" s="184">
        <f>'non-reconprod'!F23*'non-reconprod'!F$76+'non-reconprod'!Y23*'non-reconprod'!Y$76</f>
        <v>7.6709000000000005</v>
      </c>
      <c r="G23" s="184">
        <f>'non-reconprod'!G23*'non-reconprod'!G$76+'non-reconprod'!Z23*'non-reconprod'!Z$76</f>
        <v>7.3924512903225805</v>
      </c>
      <c r="H23" s="184">
        <f>'non-reconprod'!H23*'non-reconprod'!H$76+'non-reconprod'!AA23*'non-reconprod'!AA$76</f>
        <v>6.9239309443193591</v>
      </c>
      <c r="I23" s="184">
        <f>'non-reconprod'!I23*'non-reconprod'!I$76+'non-reconprod'!AB23*'non-reconprod'!AB$76</f>
        <v>0</v>
      </c>
      <c r="J23" s="184">
        <f>'non-reconprod'!J23*'non-reconprod'!J$76+'non-reconprod'!AC23*'non-reconprod'!AC$76</f>
        <v>0</v>
      </c>
      <c r="K23" s="184">
        <f>'non-reconprod'!K23*'non-reconprod'!K$76+'non-reconprod'!AD23*'non-reconprod'!AD$76</f>
        <v>0</v>
      </c>
      <c r="L23" s="184">
        <f>'non-reconprod'!L23*'non-reconprod'!L$76+'non-reconprod'!AE23*'non-reconprod'!AE$76</f>
        <v>0</v>
      </c>
      <c r="M23" s="184">
        <f>'non-reconprod'!M23*'non-reconprod'!M$76+'non-reconprod'!AF23*'non-reconprod'!AF$76</f>
        <v>0</v>
      </c>
      <c r="N23" s="184">
        <f>'non-reconprod'!N23*'non-reconprod'!N$76+'non-reconprod'!AG23*'non-reconprod'!AG$76</f>
        <v>0</v>
      </c>
      <c r="O23" s="184">
        <f>'non-reconprod'!O23*'non-reconprod'!O$76+'non-reconprod'!AH23*'non-reconprod'!AH$76</f>
        <v>0</v>
      </c>
      <c r="R23" s="184">
        <f>IFERROR((D23*D$85+E23*E$85+F23*F$85)/R$85,0)</f>
        <v>8.5690118681318683</v>
      </c>
      <c r="S23" s="184">
        <f ca="1">IFERROR((G23*G$85+H23*H$85+I23*I$85)/S$85,0)</f>
        <v>0</v>
      </c>
      <c r="T23" s="184">
        <f>IFERROR((J23*J$85+K23*K$85+L23*L$85)/T$85,0)</f>
        <v>0</v>
      </c>
      <c r="U23" s="184">
        <f>IFERROR((M23*M$85+N23*N$85+O23*O$85)/U$85,0)</f>
        <v>0</v>
      </c>
      <c r="V23" s="184">
        <f ca="1">IFERROR((R23*R$85+S23*S$85)/V$85,0)</f>
        <v>0</v>
      </c>
      <c r="W23" s="184">
        <f>IFERROR((T23*T$85+U23*U$85)/W$85,0)</f>
        <v>0</v>
      </c>
      <c r="X23" s="184">
        <f ca="1">IFERROR((T23*T$85+V23*V$85)/X$85,0)</f>
        <v>0</v>
      </c>
      <c r="Y23" s="184">
        <f ca="1">IFERROR((V23*V$85+W23*W$85)/Y$85,0)</f>
        <v>0</v>
      </c>
      <c r="Z23" s="184"/>
      <c r="AA23" s="184">
        <f ca="1">Y23</f>
        <v>0</v>
      </c>
      <c r="AB23" s="184">
        <f ca="1">SUMIF(R$82:U$82,$AA$79,R23:U23)</f>
        <v>0</v>
      </c>
      <c r="AC23" s="184">
        <f>SUMIF(D$82:O$82,$AA$78,D23:O23)</f>
        <v>6.9239309443193591</v>
      </c>
      <c r="AE23">
        <f>IF($AA$78=1,'Previous year'!T24,SUMIF($D$82:$O$82,$AA$83,$D23:$O23))</f>
        <v>7.3924512903225805</v>
      </c>
      <c r="AF23">
        <f>IF($AA$79=1,'Previous year'!U24,SUMIF(prod_compiled!$R$82:$U$82,prod_compiled!$AA$84,prod_compiled!$R23:$U23))</f>
        <v>8.5690118681318683</v>
      </c>
      <c r="AG23">
        <f>'Previous year'!V24</f>
        <v>7.3841835616438356</v>
      </c>
    </row>
    <row r="24" spans="1:33">
      <c r="C24" s="144" t="s">
        <v>61</v>
      </c>
      <c r="D24" s="184">
        <f>'non-reconprod'!D24*'non-reconprod'!D$76+'non-reconprod'!W24*'non-reconprod'!W$76</f>
        <v>9.9731976666666657</v>
      </c>
      <c r="E24" s="184">
        <f>'non-reconprod'!E24*'non-reconprod'!E$76+'non-reconprod'!X24*'non-reconprod'!X$76</f>
        <v>9.9403735483870967</v>
      </c>
      <c r="F24" s="184">
        <f>'non-reconprod'!F24*'non-reconprod'!F$76+'non-reconprod'!Y24*'non-reconprod'!Y$76</f>
        <v>9.7900666666666663</v>
      </c>
      <c r="G24" s="184">
        <f>'non-reconprod'!G24*'non-reconprod'!G$76+'non-reconprod'!Z24*'non-reconprod'!Z$76</f>
        <v>8.8381954838709671</v>
      </c>
      <c r="H24" s="184">
        <f>'non-reconprod'!H24*'non-reconprod'!H$76+'non-reconprod'!AA24*'non-reconprod'!AA$76</f>
        <v>10.128309225806449</v>
      </c>
      <c r="I24" s="184">
        <f>'non-reconprod'!I24*'non-reconprod'!I$76+'non-reconprod'!AB24*'non-reconprod'!AB$76</f>
        <v>0</v>
      </c>
      <c r="J24" s="184">
        <f>'non-reconprod'!J24*'non-reconprod'!J$76+'non-reconprod'!AC24*'non-reconprod'!AC$76</f>
        <v>0</v>
      </c>
      <c r="K24" s="184">
        <f>'non-reconprod'!K24*'non-reconprod'!K$76+'non-reconprod'!AD24*'non-reconprod'!AD$76</f>
        <v>0</v>
      </c>
      <c r="L24" s="184">
        <f>'non-reconprod'!L24*'non-reconprod'!L$76+'non-reconprod'!AE24*'non-reconprod'!AE$76</f>
        <v>0</v>
      </c>
      <c r="M24" s="184">
        <f>'non-reconprod'!M24*'non-reconprod'!M$76+'non-reconprod'!AF24*'non-reconprod'!AF$76</f>
        <v>0</v>
      </c>
      <c r="N24" s="184">
        <f>'non-reconprod'!N24*'non-reconprod'!N$76+'non-reconprod'!AG24*'non-reconprod'!AG$76</f>
        <v>0</v>
      </c>
      <c r="O24" s="184">
        <f>'non-reconprod'!O24*'non-reconprod'!O$76+'non-reconprod'!AH24*'non-reconprod'!AH$76</f>
        <v>0</v>
      </c>
      <c r="R24" s="184">
        <f>IFERROR((D24*D$85+E24*E$85+F24*F$85)/R$85,0)</f>
        <v>9.9016429670329682</v>
      </c>
      <c r="S24" s="184">
        <f ca="1">IFERROR((G24*G$85+H24*H$85+I24*I$85)/S$85,0)</f>
        <v>0</v>
      </c>
      <c r="T24" s="184">
        <f>IFERROR((J24*J$85+K24*K$85+L24*L$85)/T$85,0)</f>
        <v>0</v>
      </c>
      <c r="U24" s="184">
        <f>IFERROR((M24*M$85+N24*N$85+O24*O$85)/U$85,0)</f>
        <v>0</v>
      </c>
      <c r="V24" s="184">
        <f ca="1">IFERROR((R24*R$85+S24*S$85)/V$85,0)</f>
        <v>0</v>
      </c>
      <c r="W24" s="184">
        <f>IFERROR((T24*T$85+U24*U$85)/W$85,0)</f>
        <v>0</v>
      </c>
      <c r="X24" s="184">
        <f ca="1">IFERROR((T24*T$85+V24*V$85)/X$85,0)</f>
        <v>0</v>
      </c>
      <c r="Y24" s="184">
        <f ca="1">IFERROR((V24*V$85+W24*W$85)/Y$85,0)</f>
        <v>0</v>
      </c>
      <c r="Z24" s="184"/>
      <c r="AA24" s="184">
        <f t="shared" ref="AA24:AA36" ca="1" si="11">Y24</f>
        <v>0</v>
      </c>
      <c r="AB24" s="184">
        <f t="shared" ref="AB24:AB36" ca="1" si="12">SUMIF(R$82:U$82,$AA$79,R24:U24)</f>
        <v>0</v>
      </c>
      <c r="AC24" s="184">
        <f t="shared" ref="AC24:AC36" si="13">SUMIF(D$82:O$82,$AA$78,D24:O24)</f>
        <v>10.128309225806449</v>
      </c>
      <c r="AE24">
        <f>IF($AA$78=1,'Previous year'!T25,SUMIF($D$82:$O$82,$AA$83,$D24:$O24))</f>
        <v>8.8381954838709671</v>
      </c>
      <c r="AF24">
        <f>IF($AA$79=1,'Previous year'!U25,SUMIF(prod_compiled!$R$82:$U$82,prod_compiled!$AA$84,prod_compiled!$R24:$U24))</f>
        <v>9.9016429670329682</v>
      </c>
      <c r="AG24">
        <f>'Previous year'!V25</f>
        <v>8.6038904109589041</v>
      </c>
    </row>
    <row r="25" spans="1:33">
      <c r="C25" s="144" t="s">
        <v>62</v>
      </c>
      <c r="D25" s="184">
        <f>'non-reconprod'!D25*'non-reconprod'!D$76+'non-reconprod'!W25*'non-reconprod'!W$76</f>
        <v>0.27867500000000001</v>
      </c>
      <c r="E25" s="184">
        <f>'non-reconprod'!E25*'non-reconprod'!E$76+'non-reconprod'!X25*'non-reconprod'!X$76</f>
        <v>0.24100064516129033</v>
      </c>
      <c r="F25" s="184">
        <f>'non-reconprod'!F25*'non-reconprod'!F$76+'non-reconprod'!Y25*'non-reconprod'!Y$76</f>
        <v>0.261299</v>
      </c>
      <c r="G25" s="184">
        <f>'non-reconprod'!G25*'non-reconprod'!G$76+'non-reconprod'!Z25*'non-reconprod'!Z$76</f>
        <v>0.24090483870967741</v>
      </c>
      <c r="H25" s="184">
        <f>'non-reconprod'!H25*'non-reconprod'!H$76+'non-reconprod'!AA25*'non-reconprod'!AA$76</f>
        <v>0.24677316129032253</v>
      </c>
      <c r="I25" s="184">
        <f>'non-reconprod'!I25*'non-reconprod'!I$76+'non-reconprod'!AB25*'non-reconprod'!AB$76</f>
        <v>0</v>
      </c>
      <c r="J25" s="184">
        <f>'non-reconprod'!J25*'non-reconprod'!J$76+'non-reconprod'!AC25*'non-reconprod'!AC$76</f>
        <v>0</v>
      </c>
      <c r="K25" s="184">
        <f>'non-reconprod'!K25*'non-reconprod'!K$76+'non-reconprod'!AD25*'non-reconprod'!AD$76</f>
        <v>0</v>
      </c>
      <c r="L25" s="184">
        <f>'non-reconprod'!L25*'non-reconprod'!L$76+'non-reconprod'!AE25*'non-reconprod'!AE$76</f>
        <v>0</v>
      </c>
      <c r="M25" s="184">
        <f>'non-reconprod'!M25*'non-reconprod'!M$76+'non-reconprod'!AF25*'non-reconprod'!AF$76</f>
        <v>0</v>
      </c>
      <c r="N25" s="184">
        <f>'non-reconprod'!N25*'non-reconprod'!N$76+'non-reconprod'!AG25*'non-reconprod'!AG$76</f>
        <v>0</v>
      </c>
      <c r="O25" s="184">
        <f>'non-reconprod'!O25*'non-reconprod'!O$76+'non-reconprod'!AH25*'non-reconprod'!AH$76</f>
        <v>0</v>
      </c>
      <c r="R25" s="184">
        <f>IFERROR((D25*D$85+E25*E$85+F25*F$85)/R$85,0)</f>
        <v>0.26011252747252744</v>
      </c>
      <c r="S25" s="184">
        <f ca="1">IFERROR((G25*G$85+H25*H$85+I25*I$85)/S$85,0)</f>
        <v>0</v>
      </c>
      <c r="T25" s="184">
        <f>IFERROR((J25*J$85+K25*K$85+L25*L$85)/T$85,0)</f>
        <v>0</v>
      </c>
      <c r="U25" s="184">
        <f>IFERROR((M25*M$85+N25*N$85+O25*O$85)/U$85,0)</f>
        <v>0</v>
      </c>
      <c r="V25" s="184">
        <f ca="1">IFERROR((R25*R$85+S25*S$85)/V$85,0)</f>
        <v>0</v>
      </c>
      <c r="W25" s="184">
        <f>IFERROR((T25*T$85+U25*U$85)/W$85,0)</f>
        <v>0</v>
      </c>
      <c r="X25" s="184">
        <f ca="1">IFERROR((T25*T$85+V25*V$85)/X$85,0)</f>
        <v>0</v>
      </c>
      <c r="Y25" s="184">
        <f ca="1">IFERROR((V25*V$85+W25*W$85)/Y$85,0)</f>
        <v>0</v>
      </c>
      <c r="Z25" s="184"/>
      <c r="AA25" s="184">
        <f t="shared" ca="1" si="11"/>
        <v>0</v>
      </c>
      <c r="AB25" s="184">
        <f t="shared" ca="1" si="12"/>
        <v>0</v>
      </c>
      <c r="AC25" s="184">
        <f t="shared" si="13"/>
        <v>0.24677316129032253</v>
      </c>
      <c r="AE25">
        <f>IF($AA$78=1,'Previous year'!T26,SUMIF($D$82:$O$82,$AA$83,$D25:$O25))</f>
        <v>0.24090483870967741</v>
      </c>
      <c r="AF25">
        <f>IF($AA$79=1,'Previous year'!U26,SUMIF(prod_compiled!$R$82:$U$82,prod_compiled!$AA$84,prod_compiled!$R25:$U25))</f>
        <v>0.26011252747252744</v>
      </c>
      <c r="AG25">
        <f>'Previous year'!V26</f>
        <v>0.25126301369863019</v>
      </c>
    </row>
    <row r="26" spans="1:33">
      <c r="C26" s="144" t="s">
        <v>57</v>
      </c>
      <c r="D26" s="184">
        <f>'non-reconprod'!D26*'non-reconprod'!D$76+'non-reconprod'!W26*'non-reconprod'!W$76</f>
        <v>14.437598333333334</v>
      </c>
      <c r="E26" s="184">
        <f>'non-reconprod'!E26*'non-reconprod'!E$76+'non-reconprod'!X26*'non-reconprod'!X$76</f>
        <v>13.815902258064517</v>
      </c>
      <c r="F26" s="184">
        <f>'non-reconprod'!F26*'non-reconprod'!F$76+'non-reconprod'!Y26*'non-reconprod'!Y$76</f>
        <v>12.623732333333333</v>
      </c>
      <c r="G26" s="184">
        <f>'non-reconprod'!G26*'non-reconprod'!G$76+'non-reconprod'!Z26*'non-reconprod'!Z$76</f>
        <v>8.2639664516129034</v>
      </c>
      <c r="H26" s="184">
        <f>'non-reconprod'!H26*'non-reconprod'!H$76+'non-reconprod'!AA26*'non-reconprod'!AA$76</f>
        <v>7.9886590222823228</v>
      </c>
      <c r="I26" s="184">
        <f>'non-reconprod'!I26*'non-reconprod'!I$76+'non-reconprod'!AB26*'non-reconprod'!AB$76</f>
        <v>0</v>
      </c>
      <c r="J26" s="184">
        <f>'non-reconprod'!J26*'non-reconprod'!J$76+'non-reconprod'!AC26*'non-reconprod'!AC$76</f>
        <v>0</v>
      </c>
      <c r="K26" s="184">
        <f>IF($A$37=1,$P$21,'non-reconprod'!K26*'non-reconprod'!K$76+'non-reconprod'!AD26*'non-reconprod'!AD$76)</f>
        <v>0</v>
      </c>
      <c r="L26" s="184">
        <f>'non-reconprod'!L26*'non-reconprod'!L$76+'non-reconprod'!AE26*'non-reconprod'!AE$76</f>
        <v>0</v>
      </c>
      <c r="M26" s="184">
        <f>'non-reconprod'!M26*'non-reconprod'!M$76+'non-reconprod'!AF26*'non-reconprod'!AF$76</f>
        <v>0</v>
      </c>
      <c r="N26" s="184">
        <f>'non-reconprod'!N26*'non-reconprod'!N$76+'non-reconprod'!AG26*'non-reconprod'!AG$76</f>
        <v>0</v>
      </c>
      <c r="O26" s="184">
        <f>'non-reconprod'!O26*'non-reconprod'!O$76+'non-reconprod'!AH26*'non-reconprod'!AH$76</f>
        <v>0</v>
      </c>
      <c r="R26" s="184">
        <f t="shared" ref="R26:R36" si="14">IFERROR((D26*D$85+E26*E$85+F26*F$85)/R$85,0)</f>
        <v>13.627833956043958</v>
      </c>
      <c r="S26" s="184">
        <f t="shared" ref="S26:S36" ca="1" si="15">IFERROR((G26*G$85+H26*H$85+I26*I$85)/S$85,0)</f>
        <v>0</v>
      </c>
      <c r="T26" s="184">
        <f>IFERROR((J26*J$85+K26*K$85+L26*L$85)/T$85,0)</f>
        <v>0</v>
      </c>
      <c r="U26" s="184">
        <f t="shared" ref="U26:U36" si="16">IFERROR((M26*M$85+N26*N$85+O26*O$85)/U$85,0)</f>
        <v>0</v>
      </c>
      <c r="V26" s="184">
        <f t="shared" ref="V26:V36" ca="1" si="17">IFERROR((R26*R$85+S26*S$85)/V$85,0)</f>
        <v>0</v>
      </c>
      <c r="W26" s="184">
        <f t="shared" ref="W26:W36" si="18">IFERROR((T26*T$85+U26*U$85)/W$85,0)</f>
        <v>0</v>
      </c>
      <c r="X26" s="184">
        <f t="shared" ref="X26:X36" ca="1" si="19">IFERROR((T26*T$85+V26*V$85)/X$85,0)</f>
        <v>0</v>
      </c>
      <c r="Y26" s="184">
        <f t="shared" ref="Y26:Y36" ca="1" si="20">IFERROR((V26*V$85+W26*W$85)/Y$85,0)</f>
        <v>0</v>
      </c>
      <c r="Z26" s="184"/>
      <c r="AA26" s="184">
        <f t="shared" ca="1" si="11"/>
        <v>0</v>
      </c>
      <c r="AB26" s="184">
        <f t="shared" ca="1" si="12"/>
        <v>0</v>
      </c>
      <c r="AC26" s="184">
        <f t="shared" si="13"/>
        <v>7.9886590222823228</v>
      </c>
      <c r="AE26">
        <f>IF($AA$78=1,'Previous year'!T27,SUMIF($D$82:$O$82,$AA$83,$D26:$O26))</f>
        <v>8.2639664516129034</v>
      </c>
      <c r="AF26">
        <f>IF($AA$79=1,'Previous year'!U27,SUMIF(prod_compiled!$R$82:$U$82,prod_compiled!$AA$84,prod_compiled!$R26:$U26))</f>
        <v>13.627833956043958</v>
      </c>
      <c r="AG26">
        <f>'Previous year'!V27</f>
        <v>10.543358904109589</v>
      </c>
    </row>
    <row r="27" spans="1:33">
      <c r="C27" s="144" t="s">
        <v>58</v>
      </c>
      <c r="D27" s="184">
        <f>'non-reconprod'!D27*'non-reconprod'!D$76+'non-reconprod'!W27*'non-reconprod'!W$76</f>
        <v>0.45333333333333331</v>
      </c>
      <c r="E27" s="184">
        <f>'non-reconprod'!E27*'non-reconprod'!E$76+'non-reconprod'!X27*'non-reconprod'!X$76</f>
        <v>0.2992258064516129</v>
      </c>
      <c r="F27" s="184">
        <f>'non-reconprod'!F27*'non-reconprod'!F$76+'non-reconprod'!Y27*'non-reconprod'!Y$76</f>
        <v>0.465667</v>
      </c>
      <c r="G27" s="184">
        <f>'non-reconprod'!G27*'non-reconprod'!G$76+'non-reconprod'!Z27*'non-reconprod'!Z$76</f>
        <v>0.35741999999999996</v>
      </c>
      <c r="H27" s="184">
        <f>'non-reconprod'!H27*'non-reconprod'!H$76+'non-reconprod'!AA27*'non-reconprod'!AA$76</f>
        <v>0.51485241935483883</v>
      </c>
      <c r="I27" s="184">
        <f>'non-reconprod'!I27*'non-reconprod'!I$76+'non-reconprod'!AB27*'non-reconprod'!AB$76</f>
        <v>0</v>
      </c>
      <c r="J27" s="184">
        <f>'non-reconprod'!J27*'non-reconprod'!J$76+'non-reconprod'!AC27*'non-reconprod'!AC$76</f>
        <v>0</v>
      </c>
      <c r="K27" s="184">
        <f>'non-reconprod'!K27*'non-reconprod'!K$76+'non-reconprod'!AD27*'non-reconprod'!AD$76</f>
        <v>0</v>
      </c>
      <c r="L27" s="184">
        <f>'non-reconprod'!L27*'non-reconprod'!L$76+'non-reconprod'!AE27*'non-reconprod'!AE$76</f>
        <v>0</v>
      </c>
      <c r="M27" s="184">
        <f>'non-reconprod'!M27*'non-reconprod'!M$76+'non-reconprod'!AF27*'non-reconprod'!AF$76</f>
        <v>0</v>
      </c>
      <c r="N27" s="184">
        <f>'non-reconprod'!N27*'non-reconprod'!N$76+'non-reconprod'!AG27*'non-reconprod'!AG$76</f>
        <v>0</v>
      </c>
      <c r="O27" s="184">
        <f>'non-reconprod'!O27*'non-reconprod'!O$76+'non-reconprod'!AH27*'non-reconprod'!AH$76</f>
        <v>0</v>
      </c>
      <c r="R27" s="184">
        <f t="shared" si="14"/>
        <v>0.40490120879120878</v>
      </c>
      <c r="S27" s="184">
        <f t="shared" ca="1" si="15"/>
        <v>0</v>
      </c>
      <c r="T27" s="184">
        <f t="shared" ref="T27:T36" si="21">IFERROR((J27*J$85+K27*K$85+L27*L$85)/T$85,0)</f>
        <v>0</v>
      </c>
      <c r="U27" s="184">
        <f t="shared" si="16"/>
        <v>0</v>
      </c>
      <c r="V27" s="184">
        <f t="shared" ca="1" si="17"/>
        <v>0</v>
      </c>
      <c r="W27" s="184">
        <f t="shared" si="18"/>
        <v>0</v>
      </c>
      <c r="X27" s="184">
        <f t="shared" ca="1" si="19"/>
        <v>0</v>
      </c>
      <c r="Y27" s="184">
        <f t="shared" ca="1" si="20"/>
        <v>0</v>
      </c>
      <c r="Z27" s="184"/>
      <c r="AA27" s="184">
        <f t="shared" ca="1" si="11"/>
        <v>0</v>
      </c>
      <c r="AB27" s="184">
        <f t="shared" ca="1" si="12"/>
        <v>0</v>
      </c>
      <c r="AC27" s="184">
        <f t="shared" si="13"/>
        <v>0.51485241935483883</v>
      </c>
      <c r="AE27">
        <f>IF($AA$78=1,'Previous year'!T28,SUMIF($D$82:$O$82,$AA$83,$D27:$O27))</f>
        <v>0.35741999999999996</v>
      </c>
      <c r="AF27">
        <f>IF($AA$79=1,'Previous year'!U28,SUMIF(prod_compiled!$R$82:$U$82,prod_compiled!$AA$84,prod_compiled!$R27:$U27))</f>
        <v>0.40490120879120878</v>
      </c>
      <c r="AG27">
        <f>'Previous year'!V28</f>
        <v>0.29324383561643835</v>
      </c>
    </row>
    <row r="28" spans="1:33">
      <c r="C28" s="144" t="s">
        <v>59</v>
      </c>
      <c r="D28" s="184">
        <f>'non-reconprod'!D28*'non-reconprod'!D$76+'non-reconprod'!W28*'non-reconprod'!W$76</f>
        <v>2.8069999999999998E-2</v>
      </c>
      <c r="E28" s="184">
        <f>'non-reconprod'!E28*'non-reconprod'!E$76+'non-reconprod'!X28*'non-reconprod'!X$76</f>
        <v>2.2259999999999999E-2</v>
      </c>
      <c r="F28" s="184">
        <f>'non-reconprod'!F28*'non-reconprod'!F$76+'non-reconprod'!Y28*'non-reconprod'!Y$76</f>
        <v>2.563E-2</v>
      </c>
      <c r="G28" s="184">
        <f>'non-reconprod'!G28*'non-reconprod'!G$76+'non-reconprod'!Z28*'non-reconprod'!Z$76</f>
        <v>2.5769999999999998E-2</v>
      </c>
      <c r="H28" s="184">
        <f>'non-reconprod'!H28*'non-reconprod'!H$76+'non-reconprod'!AA28*'non-reconprod'!AA$76</f>
        <v>2.4838709677419371E-2</v>
      </c>
      <c r="I28" s="184">
        <f>'non-reconprod'!I28*'non-reconprod'!I$76+'non-reconprod'!AB28*'non-reconprod'!AB$76</f>
        <v>0</v>
      </c>
      <c r="J28" s="184">
        <f>'non-reconprod'!J28*'non-reconprod'!J$76+'non-reconprod'!AC28*'non-reconprod'!AC$76</f>
        <v>0</v>
      </c>
      <c r="K28" s="184">
        <f>'non-reconprod'!K28*'non-reconprod'!K$76+'non-reconprod'!AD28*'non-reconprod'!AD$76</f>
        <v>0</v>
      </c>
      <c r="L28" s="184">
        <f>'non-reconprod'!L28*'non-reconprod'!L$76+'non-reconprod'!AE28*'non-reconprod'!AE$76</f>
        <v>0</v>
      </c>
      <c r="M28" s="184">
        <f>'non-reconprod'!M28*'non-reconprod'!M$76+'non-reconprod'!AF28*'non-reconprod'!AF$76</f>
        <v>0</v>
      </c>
      <c r="N28" s="184">
        <f>'non-reconprod'!N28*'non-reconprod'!N$76+'non-reconprod'!AG28*'non-reconprod'!AG$76</f>
        <v>0</v>
      </c>
      <c r="O28" s="184">
        <f>'non-reconprod'!O28*'non-reconprod'!O$76+'non-reconprod'!AH28*'non-reconprod'!AH$76</f>
        <v>0</v>
      </c>
      <c r="R28" s="184">
        <f t="shared" si="14"/>
        <v>2.5286373626373627E-2</v>
      </c>
      <c r="S28" s="184">
        <f t="shared" ca="1" si="15"/>
        <v>0</v>
      </c>
      <c r="T28" s="184">
        <f t="shared" si="21"/>
        <v>0</v>
      </c>
      <c r="U28" s="184">
        <f t="shared" si="16"/>
        <v>0</v>
      </c>
      <c r="V28" s="184">
        <f t="shared" ca="1" si="17"/>
        <v>0</v>
      </c>
      <c r="W28" s="184">
        <f t="shared" si="18"/>
        <v>0</v>
      </c>
      <c r="X28" s="184">
        <f t="shared" ca="1" si="19"/>
        <v>0</v>
      </c>
      <c r="Y28" s="184">
        <f t="shared" ca="1" si="20"/>
        <v>0</v>
      </c>
      <c r="Z28" s="184"/>
      <c r="AA28" s="184">
        <f t="shared" ca="1" si="11"/>
        <v>0</v>
      </c>
      <c r="AB28" s="184">
        <f t="shared" ca="1" si="12"/>
        <v>0</v>
      </c>
      <c r="AC28" s="184">
        <f t="shared" si="13"/>
        <v>2.4838709677419371E-2</v>
      </c>
      <c r="AE28">
        <f>IF($AA$78=1,'Previous year'!T29,SUMIF($D$82:$O$82,$AA$83,$D28:$O28))</f>
        <v>2.5769999999999998E-2</v>
      </c>
      <c r="AF28">
        <f>IF($AA$79=1,'Previous year'!U29,SUMIF(prod_compiled!$R$82:$U$82,prod_compiled!$AA$84,prod_compiled!$R28:$U28))</f>
        <v>2.5286373626373627E-2</v>
      </c>
      <c r="AG28">
        <f>'Previous year'!V29</f>
        <v>2.7063013698630133E-2</v>
      </c>
    </row>
    <row r="29" spans="1:33">
      <c r="C29" s="144" t="s">
        <v>63</v>
      </c>
      <c r="D29" s="184">
        <f>'non-reconprod'!D29*'non-reconprod'!D$76+'non-reconprod'!W29*'non-reconprod'!W$76</f>
        <v>2.9666666666666665E-3</v>
      </c>
      <c r="E29" s="184">
        <f>'non-reconprod'!E29*'non-reconprod'!E$76+'non-reconprod'!X29*'non-reconprod'!X$76</f>
        <v>3.3861290322580642E-3</v>
      </c>
      <c r="F29" s="184">
        <f>'non-reconprod'!F29*'non-reconprod'!F$76+'non-reconprod'!Y29*'non-reconprod'!Y$76</f>
        <v>3.4336666666666669E-3</v>
      </c>
      <c r="G29" s="184">
        <f>'non-reconprod'!G29*'non-reconprod'!G$76+'non-reconprod'!Z29*'non-reconprod'!Z$76</f>
        <v>3.4519354838709678E-3</v>
      </c>
      <c r="H29" s="184">
        <f>'non-reconprod'!H29*'non-reconprod'!H$76+'non-reconprod'!AA29*'non-reconprod'!AA$76</f>
        <v>4.2675274492747555E-3</v>
      </c>
      <c r="I29" s="184">
        <f>'non-reconprod'!I29*'non-reconprod'!I$76+'non-reconprod'!AB29*'non-reconprod'!AB$76</f>
        <v>0</v>
      </c>
      <c r="J29" s="184">
        <f>'non-reconprod'!J29*'non-reconprod'!J$76+'non-reconprod'!AC29*'non-reconprod'!AC$76</f>
        <v>0</v>
      </c>
      <c r="K29" s="184">
        <f>'non-reconprod'!K29*'non-reconprod'!K$76+'non-reconprod'!AD29*'non-reconprod'!AD$76</f>
        <v>0</v>
      </c>
      <c r="L29" s="184">
        <f>'non-reconprod'!L29*'non-reconprod'!L$76+'non-reconprod'!AE29*'non-reconprod'!AE$76</f>
        <v>0</v>
      </c>
      <c r="M29" s="184">
        <f>'non-reconprod'!M29*'non-reconprod'!M$76+'non-reconprod'!AF29*'non-reconprod'!AF$76</f>
        <v>0</v>
      </c>
      <c r="N29" s="184">
        <f>'non-reconprod'!N29*'non-reconprod'!N$76+'non-reconprod'!AG29*'non-reconprod'!AG$76</f>
        <v>0</v>
      </c>
      <c r="O29" s="184">
        <f>'non-reconprod'!O29*'non-reconprod'!O$76+'non-reconprod'!AH29*'non-reconprod'!AH$76</f>
        <v>0</v>
      </c>
      <c r="R29" s="184">
        <f t="shared" si="14"/>
        <v>3.2635164835164831E-3</v>
      </c>
      <c r="S29" s="184">
        <f t="shared" ca="1" si="15"/>
        <v>0</v>
      </c>
      <c r="T29" s="184">
        <f t="shared" si="21"/>
        <v>0</v>
      </c>
      <c r="U29" s="184">
        <f t="shared" si="16"/>
        <v>0</v>
      </c>
      <c r="V29" s="184">
        <f t="shared" ca="1" si="17"/>
        <v>0</v>
      </c>
      <c r="W29" s="184">
        <f t="shared" si="18"/>
        <v>0</v>
      </c>
      <c r="X29" s="184">
        <f t="shared" ca="1" si="19"/>
        <v>0</v>
      </c>
      <c r="Y29" s="184">
        <f t="shared" ca="1" si="20"/>
        <v>0</v>
      </c>
      <c r="Z29" s="184"/>
      <c r="AA29" s="184">
        <f t="shared" ca="1" si="11"/>
        <v>0</v>
      </c>
      <c r="AB29" s="184">
        <f t="shared" ca="1" si="12"/>
        <v>0</v>
      </c>
      <c r="AC29" s="184">
        <f t="shared" si="13"/>
        <v>4.2675274492747555E-3</v>
      </c>
      <c r="AE29">
        <f>IF($AA$78=1,'Previous year'!T30,SUMIF($D$82:$O$82,$AA$83,$D29:$O29))</f>
        <v>3.4519354838709678E-3</v>
      </c>
      <c r="AF29">
        <f>IF($AA$79=1,'Previous year'!U30,SUMIF(prod_compiled!$R$82:$U$82,prod_compiled!$AA$84,prod_compiled!$R29:$U29))</f>
        <v>3.2635164835164831E-3</v>
      </c>
      <c r="AG29">
        <f>'Previous year'!V30</f>
        <v>3.1780821917808222E-3</v>
      </c>
    </row>
    <row r="30" spans="1:33">
      <c r="C30" s="144" t="s">
        <v>64</v>
      </c>
      <c r="D30" s="184">
        <f>'non-reconprod'!D30*'non-reconprod'!D$76+'non-reconprod'!W30*'non-reconprod'!W$76</f>
        <v>0.20245600000000002</v>
      </c>
      <c r="E30" s="184">
        <f>'non-reconprod'!E30*'non-reconprod'!E$76+'non-reconprod'!X30*'non-reconprod'!X$76</f>
        <v>0.19437000000000001</v>
      </c>
      <c r="F30" s="184">
        <f>'non-reconprod'!F30*'non-reconprod'!F$76+'non-reconprod'!Y30*'non-reconprod'!Y$76</f>
        <v>0.19165266666666667</v>
      </c>
      <c r="G30" s="184">
        <f>'non-reconprod'!G30*'non-reconprod'!G$76+'non-reconprod'!Z30*'non-reconprod'!Z$76</f>
        <v>0.19517483870967742</v>
      </c>
      <c r="H30" s="184">
        <f>'non-reconprod'!H30*'non-reconprod'!H$76+'non-reconprod'!AA30*'non-reconprod'!AA$76</f>
        <v>0.19382406504026423</v>
      </c>
      <c r="I30" s="184">
        <f>'non-reconprod'!I30*'non-reconprod'!I$76+'non-reconprod'!AB30*'non-reconprod'!AB$76</f>
        <v>0</v>
      </c>
      <c r="J30" s="184">
        <f>'non-reconprod'!J30*'non-reconprod'!J$76+'non-reconprod'!AC30*'non-reconprod'!AC$76</f>
        <v>0</v>
      </c>
      <c r="K30" s="184">
        <f>'non-reconprod'!K30*'non-reconprod'!K$76+'non-reconprod'!AD30*'non-reconprod'!AD$76</f>
        <v>0</v>
      </c>
      <c r="L30" s="184">
        <f>'non-reconprod'!L30*'non-reconprod'!L$76+'non-reconprod'!AE30*'non-reconprod'!AE$76</f>
        <v>0</v>
      </c>
      <c r="M30" s="184">
        <f>'non-reconprod'!M30*'non-reconprod'!M$76+'non-reconprod'!AF30*'non-reconprod'!AF$76</f>
        <v>0</v>
      </c>
      <c r="N30" s="184">
        <f>'non-reconprod'!N30*'non-reconprod'!N$76+'non-reconprod'!AG30*'non-reconprod'!AG$76</f>
        <v>0</v>
      </c>
      <c r="O30" s="184">
        <f>'non-reconprod'!O30*'non-reconprod'!O$76+'non-reconprod'!AH30*'non-reconprod'!AH$76</f>
        <v>0</v>
      </c>
      <c r="R30" s="184">
        <f t="shared" si="14"/>
        <v>0.19613989010989014</v>
      </c>
      <c r="S30" s="184">
        <f t="shared" ca="1" si="15"/>
        <v>0</v>
      </c>
      <c r="T30" s="184">
        <f t="shared" si="21"/>
        <v>0</v>
      </c>
      <c r="U30" s="184">
        <f t="shared" si="16"/>
        <v>0</v>
      </c>
      <c r="V30" s="184">
        <f t="shared" ca="1" si="17"/>
        <v>0</v>
      </c>
      <c r="W30" s="184">
        <f t="shared" si="18"/>
        <v>0</v>
      </c>
      <c r="X30" s="184">
        <f t="shared" ca="1" si="19"/>
        <v>0</v>
      </c>
      <c r="Y30" s="184">
        <f t="shared" ca="1" si="20"/>
        <v>0</v>
      </c>
      <c r="Z30" s="184"/>
      <c r="AA30" s="184">
        <f t="shared" ca="1" si="11"/>
        <v>0</v>
      </c>
      <c r="AB30" s="184">
        <f t="shared" ca="1" si="12"/>
        <v>0</v>
      </c>
      <c r="AC30" s="184">
        <f t="shared" si="13"/>
        <v>0.19382406504026423</v>
      </c>
      <c r="AE30">
        <f>IF($AA$78=1,'Previous year'!T31,SUMIF($D$82:$O$82,$AA$83,$D30:$O30))</f>
        <v>0.19517483870967742</v>
      </c>
      <c r="AF30">
        <f>IF($AA$79=1,'Previous year'!U31,SUMIF(prod_compiled!$R$82:$U$82,prod_compiled!$AA$84,prod_compiled!$R30:$U30))</f>
        <v>0.19613989010989014</v>
      </c>
      <c r="AG30">
        <f>'Previous year'!V31</f>
        <v>0.17830684931506849</v>
      </c>
    </row>
    <row r="31" spans="1:33">
      <c r="C31" s="144" t="s">
        <v>65</v>
      </c>
      <c r="D31" s="184">
        <f>'non-reconprod'!D31*'non-reconprod'!D$76+'non-reconprod'!W31*'non-reconprod'!W$76</f>
        <v>9.3833E-2</v>
      </c>
      <c r="E31" s="184">
        <f>'non-reconprod'!E31*'non-reconprod'!E$76+'non-reconprod'!X31*'non-reconprod'!X$76</f>
        <v>9.2815806451612901E-2</v>
      </c>
      <c r="F31" s="184">
        <f>'non-reconprod'!F31*'non-reconprod'!F$76+'non-reconprod'!Y31*'non-reconprod'!Y$76</f>
        <v>8.6883666666666665E-2</v>
      </c>
      <c r="G31" s="184">
        <f>'non-reconprod'!G31*'non-reconprod'!G$76+'non-reconprod'!Z31*'non-reconprod'!Z$76</f>
        <v>9.5066774193548392E-2</v>
      </c>
      <c r="H31" s="184">
        <f>'non-reconprod'!H31*'non-reconprod'!H$76+'non-reconprod'!AA31*'non-reconprod'!AA$76</f>
        <v>8.5725975210725086E-2</v>
      </c>
      <c r="I31" s="184">
        <f>'non-reconprod'!I31*'non-reconprod'!I$76+'non-reconprod'!AB31*'non-reconprod'!AB$76</f>
        <v>0</v>
      </c>
      <c r="J31" s="184">
        <f>'non-reconprod'!J31*'non-reconprod'!J$76+'non-reconprod'!AC31*'non-reconprod'!AC$76</f>
        <v>0</v>
      </c>
      <c r="K31" s="184">
        <f>'non-reconprod'!K31*'non-reconprod'!K$76+'non-reconprod'!AD31*'non-reconprod'!AD$76</f>
        <v>0</v>
      </c>
      <c r="L31" s="184">
        <f>'non-reconprod'!L31*'non-reconprod'!L$76+'non-reconprod'!AE31*'non-reconprod'!AE$76</f>
        <v>0</v>
      </c>
      <c r="M31" s="184">
        <f>'non-reconprod'!M31*'non-reconprod'!M$76+'non-reconprod'!AF31*'non-reconprod'!AF$76</f>
        <v>0</v>
      </c>
      <c r="N31" s="184">
        <f>'non-reconprod'!N31*'non-reconprod'!N$76+'non-reconprod'!AG31*'non-reconprod'!AG$76</f>
        <v>0</v>
      </c>
      <c r="O31" s="184">
        <f>'non-reconprod'!O31*'non-reconprod'!O$76+'non-reconprod'!AH31*'non-reconprod'!AH$76</f>
        <v>0</v>
      </c>
      <c r="R31" s="184">
        <f t="shared" si="14"/>
        <v>9.1195494505494509E-2</v>
      </c>
      <c r="S31" s="184">
        <f t="shared" ca="1" si="15"/>
        <v>0</v>
      </c>
      <c r="T31" s="184">
        <f t="shared" si="21"/>
        <v>0</v>
      </c>
      <c r="U31" s="184">
        <f t="shared" si="16"/>
        <v>0</v>
      </c>
      <c r="V31" s="184">
        <f t="shared" ca="1" si="17"/>
        <v>0</v>
      </c>
      <c r="W31" s="184">
        <f t="shared" si="18"/>
        <v>0</v>
      </c>
      <c r="X31" s="184">
        <f t="shared" ca="1" si="19"/>
        <v>0</v>
      </c>
      <c r="Y31" s="184">
        <f t="shared" ca="1" si="20"/>
        <v>0</v>
      </c>
      <c r="Z31" s="184"/>
      <c r="AA31" s="184">
        <f t="shared" ca="1" si="11"/>
        <v>0</v>
      </c>
      <c r="AB31" s="184">
        <f t="shared" ca="1" si="12"/>
        <v>0</v>
      </c>
      <c r="AC31" s="184">
        <f t="shared" si="13"/>
        <v>8.5725975210725086E-2</v>
      </c>
      <c r="AE31">
        <f>IF($AA$78=1,'Previous year'!T32,SUMIF($D$82:$O$82,$AA$83,$D31:$O31))</f>
        <v>9.5066774193548392E-2</v>
      </c>
      <c r="AF31">
        <f>IF($AA$79=1,'Previous year'!U32,SUMIF(prod_compiled!$R$82:$U$82,prod_compiled!$AA$84,prod_compiled!$R31:$U31))</f>
        <v>9.1195494505494509E-2</v>
      </c>
      <c r="AG31">
        <f>'Previous year'!V32</f>
        <v>8.2249315068493159E-2</v>
      </c>
    </row>
    <row r="32" spans="1:33">
      <c r="C32" s="144" t="s">
        <v>66</v>
      </c>
      <c r="D32" s="184">
        <f>'non-reconprod'!D32*'non-reconprod'!D$76+'non-reconprod'!W32*'non-reconprod'!W$76</f>
        <v>0</v>
      </c>
      <c r="E32" s="184">
        <f>'non-reconprod'!E32*'non-reconprod'!E$76+'non-reconprod'!X32*'non-reconprod'!X$76</f>
        <v>0</v>
      </c>
      <c r="F32" s="184">
        <f>'non-reconprod'!F32*'non-reconprod'!F$76+'non-reconprod'!Y32*'non-reconprod'!Y$76</f>
        <v>0</v>
      </c>
      <c r="G32" s="184">
        <f>'non-reconprod'!G32*'non-reconprod'!G$76+'non-reconprod'!Z32*'non-reconprod'!Z$76</f>
        <v>0</v>
      </c>
      <c r="H32" s="184">
        <f>'non-reconprod'!H32*'non-reconprod'!H$76+'non-reconprod'!AA32*'non-reconprod'!AA$76</f>
        <v>0</v>
      </c>
      <c r="I32" s="184">
        <f>'non-reconprod'!I32*'non-reconprod'!I$76+'non-reconprod'!AB32*'non-reconprod'!AB$76</f>
        <v>0</v>
      </c>
      <c r="J32" s="184">
        <f>'non-reconprod'!J32*'non-reconprod'!J$76+'non-reconprod'!AC32*'non-reconprod'!AC$76</f>
        <v>0</v>
      </c>
      <c r="K32" s="184">
        <f>'non-reconprod'!K32*'non-reconprod'!K$76+'non-reconprod'!AD32*'non-reconprod'!AD$76</f>
        <v>0</v>
      </c>
      <c r="L32" s="184">
        <f>'non-reconprod'!L32*'non-reconprod'!L$76+'non-reconprod'!AE32*'non-reconprod'!AE$76</f>
        <v>0</v>
      </c>
      <c r="M32" s="184">
        <f>'non-reconprod'!M32*'non-reconprod'!M$76+'non-reconprod'!AF32*'non-reconprod'!AF$76</f>
        <v>0</v>
      </c>
      <c r="N32" s="184">
        <f>'non-reconprod'!N32*'non-reconprod'!N$76+'non-reconprod'!AG32*'non-reconprod'!AG$76</f>
        <v>0</v>
      </c>
      <c r="O32" s="184">
        <f>'non-reconprod'!O32*'non-reconprod'!O$76+'non-reconprod'!AH32*'non-reconprod'!AH$76</f>
        <v>0</v>
      </c>
      <c r="R32" s="184">
        <f t="shared" si="14"/>
        <v>0</v>
      </c>
      <c r="S32" s="184">
        <f t="shared" ca="1" si="15"/>
        <v>0</v>
      </c>
      <c r="T32" s="184">
        <f t="shared" si="21"/>
        <v>0</v>
      </c>
      <c r="U32" s="184">
        <f t="shared" si="16"/>
        <v>0</v>
      </c>
      <c r="V32" s="184">
        <f t="shared" ca="1" si="17"/>
        <v>0</v>
      </c>
      <c r="W32" s="184">
        <f t="shared" si="18"/>
        <v>0</v>
      </c>
      <c r="X32" s="184">
        <f t="shared" ca="1" si="19"/>
        <v>0</v>
      </c>
      <c r="Y32" s="184">
        <f t="shared" ca="1" si="20"/>
        <v>0</v>
      </c>
      <c r="Z32" s="184"/>
      <c r="AA32" s="184">
        <f t="shared" ca="1" si="11"/>
        <v>0</v>
      </c>
      <c r="AB32" s="184">
        <f t="shared" ca="1" si="12"/>
        <v>0</v>
      </c>
      <c r="AC32" s="184">
        <f t="shared" si="13"/>
        <v>0</v>
      </c>
      <c r="AE32">
        <f>IF($AA$78=1,'Previous year'!T33,SUMIF($D$82:$O$82,$AA$83,$D32:$O32))</f>
        <v>0</v>
      </c>
      <c r="AF32">
        <f>IF($AA$79=1,'Previous year'!U33,SUMIF(prod_compiled!$R$82:$U$82,prod_compiled!$AA$84,prod_compiled!$R32:$U32))</f>
        <v>0</v>
      </c>
      <c r="AG32">
        <f>'Previous year'!V33</f>
        <v>0</v>
      </c>
    </row>
    <row r="33" spans="1:33">
      <c r="C33" s="144" t="s">
        <v>67</v>
      </c>
      <c r="D33" s="184">
        <f>'non-reconprod'!D33*'non-reconprod'!D$76+'non-reconprod'!W33*'non-reconprod'!W$76</f>
        <v>0</v>
      </c>
      <c r="E33" s="184">
        <f>'non-reconprod'!E33*'non-reconprod'!E$76+'non-reconprod'!X33*'non-reconprod'!X$76</f>
        <v>0</v>
      </c>
      <c r="F33" s="184">
        <f>'non-reconprod'!F33*'non-reconprod'!F$76+'non-reconprod'!Y33*'non-reconprod'!Y$76</f>
        <v>0</v>
      </c>
      <c r="G33" s="184">
        <f>'non-reconprod'!G33*'non-reconprod'!G$76+'non-reconprod'!Z33*'non-reconprod'!Z$76</f>
        <v>0</v>
      </c>
      <c r="H33" s="184">
        <f>'non-reconprod'!H33*'non-reconprod'!H$76+'non-reconprod'!AA33*'non-reconprod'!AA$76</f>
        <v>0</v>
      </c>
      <c r="I33" s="184">
        <f>'non-reconprod'!I33*'non-reconprod'!I$76+'non-reconprod'!AB33*'non-reconprod'!AB$76</f>
        <v>0</v>
      </c>
      <c r="J33" s="184">
        <f>'non-reconprod'!J33*'non-reconprod'!J$76+'non-reconprod'!AC33*'non-reconprod'!AC$76</f>
        <v>0</v>
      </c>
      <c r="K33" s="184">
        <f>'non-reconprod'!K33*'non-reconprod'!K$76+'non-reconprod'!AD33*'non-reconprod'!AD$76</f>
        <v>0</v>
      </c>
      <c r="L33" s="184">
        <f>'non-reconprod'!L33*'non-reconprod'!L$76+'non-reconprod'!AE33*'non-reconprod'!AE$76</f>
        <v>0</v>
      </c>
      <c r="M33" s="184">
        <f>'non-reconprod'!M33*'non-reconprod'!M$76+'non-reconprod'!AF33*'non-reconprod'!AF$76</f>
        <v>0</v>
      </c>
      <c r="N33" s="184">
        <f>'non-reconprod'!N33*'non-reconprod'!N$76+'non-reconprod'!AG33*'non-reconprod'!AG$76</f>
        <v>0</v>
      </c>
      <c r="O33" s="184">
        <f>'non-reconprod'!O33*'non-reconprod'!O$76+'non-reconprod'!AH33*'non-reconprod'!AH$76</f>
        <v>0</v>
      </c>
      <c r="R33" s="184">
        <f t="shared" si="14"/>
        <v>0</v>
      </c>
      <c r="S33" s="184">
        <f t="shared" ca="1" si="15"/>
        <v>0</v>
      </c>
      <c r="T33" s="184">
        <f t="shared" si="21"/>
        <v>0</v>
      </c>
      <c r="U33" s="184">
        <f t="shared" si="16"/>
        <v>0</v>
      </c>
      <c r="V33" s="184">
        <f t="shared" ca="1" si="17"/>
        <v>0</v>
      </c>
      <c r="W33" s="184">
        <f t="shared" si="18"/>
        <v>0</v>
      </c>
      <c r="X33" s="184">
        <f t="shared" ca="1" si="19"/>
        <v>0</v>
      </c>
      <c r="Y33" s="184">
        <f t="shared" ca="1" si="20"/>
        <v>0</v>
      </c>
      <c r="Z33" s="184"/>
      <c r="AA33" s="184">
        <f t="shared" ca="1" si="11"/>
        <v>0</v>
      </c>
      <c r="AB33" s="184">
        <f t="shared" ca="1" si="12"/>
        <v>0</v>
      </c>
      <c r="AC33" s="184">
        <f t="shared" si="13"/>
        <v>0</v>
      </c>
      <c r="AE33">
        <f>IF($AA$78=1,'Previous year'!T34,SUMIF($D$82:$O$82,$AA$83,$D33:$O33))</f>
        <v>0</v>
      </c>
      <c r="AF33">
        <f>IF($AA$79=1,'Previous year'!U34,SUMIF(prod_compiled!$R$82:$U$82,prod_compiled!$AA$84,prod_compiled!$R33:$U33))</f>
        <v>0</v>
      </c>
      <c r="AG33">
        <f>'Previous year'!V34</f>
        <v>0</v>
      </c>
    </row>
    <row r="34" spans="1:33">
      <c r="C34" s="144" t="s">
        <v>68</v>
      </c>
      <c r="D34" s="184">
        <f>'non-reconprod'!D34*'non-reconprod'!D$76+'non-reconprod'!W34*'non-reconprod'!W$76</f>
        <v>0</v>
      </c>
      <c r="E34" s="184">
        <f>'non-reconprod'!E34*'non-reconprod'!E$76+'non-reconprod'!X34*'non-reconprod'!X$76</f>
        <v>0</v>
      </c>
      <c r="F34" s="184">
        <f>'non-reconprod'!F34*'non-reconprod'!F$76+'non-reconprod'!Y34*'non-reconprod'!Y$76</f>
        <v>0</v>
      </c>
      <c r="G34" s="184">
        <f>'non-reconprod'!G34*'non-reconprod'!G$76+'non-reconprod'!Z34*'non-reconprod'!Z$76</f>
        <v>0</v>
      </c>
      <c r="H34" s="184">
        <f>'non-reconprod'!H34*'non-reconprod'!H$76+'non-reconprod'!AA34*'non-reconprod'!AA$76</f>
        <v>0</v>
      </c>
      <c r="I34" s="184">
        <f>'non-reconprod'!I34*'non-reconprod'!I$76+'non-reconprod'!AB34*'non-reconprod'!AB$76</f>
        <v>0</v>
      </c>
      <c r="J34" s="184">
        <f>'non-reconprod'!J34*'non-reconprod'!J$76+'non-reconprod'!AC34*'non-reconprod'!AC$76</f>
        <v>0</v>
      </c>
      <c r="K34" s="184">
        <f>'non-reconprod'!K34*'non-reconprod'!K$76+'non-reconprod'!AD34*'non-reconprod'!AD$76</f>
        <v>0</v>
      </c>
      <c r="L34" s="184">
        <f>'non-reconprod'!L34*'non-reconprod'!L$76+'non-reconprod'!AE34*'non-reconprod'!AE$76</f>
        <v>0</v>
      </c>
      <c r="M34" s="184">
        <f>'non-reconprod'!M34*'non-reconprod'!M$76+'non-reconprod'!AF34*'non-reconprod'!AF$76</f>
        <v>0</v>
      </c>
      <c r="N34" s="184">
        <f>'non-reconprod'!N34*'non-reconprod'!N$76+'non-reconprod'!AG34*'non-reconprod'!AG$76</f>
        <v>0</v>
      </c>
      <c r="O34" s="184">
        <f>'non-reconprod'!O34*'non-reconprod'!O$76+'non-reconprod'!AH34*'non-reconprod'!AH$76</f>
        <v>0</v>
      </c>
      <c r="R34" s="184">
        <f t="shared" si="14"/>
        <v>0</v>
      </c>
      <c r="S34" s="184">
        <f t="shared" ca="1" si="15"/>
        <v>0</v>
      </c>
      <c r="T34" s="184">
        <f t="shared" si="21"/>
        <v>0</v>
      </c>
      <c r="U34" s="184">
        <f t="shared" si="16"/>
        <v>0</v>
      </c>
      <c r="V34" s="184">
        <f t="shared" ca="1" si="17"/>
        <v>0</v>
      </c>
      <c r="W34" s="184">
        <f t="shared" si="18"/>
        <v>0</v>
      </c>
      <c r="X34" s="184">
        <f t="shared" ca="1" si="19"/>
        <v>0</v>
      </c>
      <c r="Y34" s="184">
        <f t="shared" ca="1" si="20"/>
        <v>0</v>
      </c>
      <c r="Z34" s="184"/>
      <c r="AA34" s="184">
        <f t="shared" ca="1" si="11"/>
        <v>0</v>
      </c>
      <c r="AB34" s="184">
        <f t="shared" ca="1" si="12"/>
        <v>0</v>
      </c>
      <c r="AC34" s="184">
        <f t="shared" si="13"/>
        <v>0</v>
      </c>
      <c r="AE34">
        <f>IF($AA$78=1,'Previous year'!T35,SUMIF($D$82:$O$82,$AA$83,$D34:$O34))</f>
        <v>0</v>
      </c>
      <c r="AF34">
        <f>IF($AA$79=1,'Previous year'!U35,SUMIF(prod_compiled!$R$82:$U$82,prod_compiled!$AA$84,prod_compiled!$R34:$U34))</f>
        <v>0</v>
      </c>
      <c r="AG34">
        <f>'Previous year'!V35</f>
        <v>0</v>
      </c>
    </row>
    <row r="35" spans="1:33">
      <c r="C35" s="144" t="s">
        <v>69</v>
      </c>
      <c r="D35" s="184">
        <f>'non-reconprod'!D35*'non-reconprod'!D$76+'non-reconprod'!W35*'non-reconprod'!W$76</f>
        <v>0</v>
      </c>
      <c r="E35" s="184">
        <f>'non-reconprod'!E35*'non-reconprod'!E$76+'non-reconprod'!X35*'non-reconprod'!X$76</f>
        <v>0</v>
      </c>
      <c r="F35" s="184">
        <f>'non-reconprod'!F35*'non-reconprod'!F$76+'non-reconprod'!Y35*'non-reconprod'!Y$76</f>
        <v>0</v>
      </c>
      <c r="G35" s="184">
        <f>'non-reconprod'!G35*'non-reconprod'!G$76+'non-reconprod'!Z35*'non-reconprod'!Z$76</f>
        <v>0</v>
      </c>
      <c r="H35" s="184">
        <f>'non-reconprod'!H35*'non-reconprod'!H$76+'non-reconprod'!AA35*'non-reconprod'!AA$76</f>
        <v>0</v>
      </c>
      <c r="I35" s="184">
        <f>'non-reconprod'!I35*'non-reconprod'!I$76+'non-reconprod'!AB35*'non-reconprod'!AB$76</f>
        <v>0</v>
      </c>
      <c r="J35" s="184">
        <f>'non-reconprod'!J35*'non-reconprod'!J$76+'non-reconprod'!AC35*'non-reconprod'!AC$76</f>
        <v>0</v>
      </c>
      <c r="K35" s="184">
        <f>'non-reconprod'!K35*'non-reconprod'!K$76+'non-reconprod'!AD35*'non-reconprod'!AD$76</f>
        <v>0</v>
      </c>
      <c r="L35" s="184">
        <f>'non-reconprod'!L35*'non-reconprod'!L$76+'non-reconprod'!AE35*'non-reconprod'!AE$76</f>
        <v>0</v>
      </c>
      <c r="M35" s="184">
        <f>'non-reconprod'!M35*'non-reconprod'!M$76+'non-reconprod'!AF35*'non-reconprod'!AF$76</f>
        <v>0</v>
      </c>
      <c r="N35" s="184">
        <f>'non-reconprod'!N35*'non-reconprod'!N$76+'non-reconprod'!AG35*'non-reconprod'!AG$76</f>
        <v>0</v>
      </c>
      <c r="O35" s="184">
        <f>'non-reconprod'!O35*'non-reconprod'!O$76+'non-reconprod'!AH35*'non-reconprod'!AH$76</f>
        <v>0</v>
      </c>
      <c r="R35" s="184">
        <f t="shared" si="14"/>
        <v>0</v>
      </c>
      <c r="S35" s="184">
        <f t="shared" ca="1" si="15"/>
        <v>0</v>
      </c>
      <c r="T35" s="184">
        <f t="shared" si="21"/>
        <v>0</v>
      </c>
      <c r="U35" s="184">
        <f t="shared" si="16"/>
        <v>0</v>
      </c>
      <c r="V35" s="184">
        <f t="shared" ca="1" si="17"/>
        <v>0</v>
      </c>
      <c r="W35" s="184">
        <f t="shared" si="18"/>
        <v>0</v>
      </c>
      <c r="X35" s="184">
        <f t="shared" ca="1" si="19"/>
        <v>0</v>
      </c>
      <c r="Y35" s="184">
        <f t="shared" ca="1" si="20"/>
        <v>0</v>
      </c>
      <c r="Z35" s="184"/>
      <c r="AA35" s="184">
        <f t="shared" ca="1" si="11"/>
        <v>0</v>
      </c>
      <c r="AB35" s="184">
        <f t="shared" ca="1" si="12"/>
        <v>0</v>
      </c>
      <c r="AC35" s="184">
        <f t="shared" si="13"/>
        <v>0</v>
      </c>
      <c r="AE35">
        <f>IF($AA$78=1,'Previous year'!T36,SUMIF($D$82:$O$82,$AA$83,$D35:$O35))</f>
        <v>0</v>
      </c>
      <c r="AF35">
        <f>IF($AA$79=1,'Previous year'!U36,SUMIF(prod_compiled!$R$82:$U$82,prod_compiled!$AA$84,prod_compiled!$R35:$U35))</f>
        <v>0</v>
      </c>
      <c r="AG35">
        <f>'Previous year'!V36</f>
        <v>0.10189041095890411</v>
      </c>
    </row>
    <row r="36" spans="1:33">
      <c r="C36" s="144" t="s">
        <v>70</v>
      </c>
      <c r="D36" s="184">
        <f>'non-reconprod'!D36*'non-reconprod'!D$76+'non-reconprod'!W36*'non-reconprod'!W$76</f>
        <v>13.193331000000001</v>
      </c>
      <c r="E36" s="184">
        <f>'non-reconprod'!E36*'non-reconprod'!E$76+'non-reconprod'!X36*'non-reconprod'!X$76</f>
        <v>13.75741935483871</v>
      </c>
      <c r="F36" s="184">
        <f>'non-reconprod'!F36*'non-reconprod'!F$76+'non-reconprod'!Y36*'non-reconprod'!Y$76</f>
        <v>14.452372</v>
      </c>
      <c r="G36" s="184">
        <f>'non-reconprod'!G36*'non-reconprod'!G$76+'non-reconprod'!Z36*'non-reconprod'!Z$76</f>
        <v>14.21812129032258</v>
      </c>
      <c r="H36" s="184">
        <f>'non-reconprod'!H36*'non-reconprod'!H$76+'non-reconprod'!AA36*'non-reconprod'!AA$76</f>
        <v>14.07202995152252</v>
      </c>
      <c r="I36" s="184">
        <f>'non-reconprod'!I36*'non-reconprod'!I$76+'non-reconprod'!AB36*'non-reconprod'!AB$76</f>
        <v>0</v>
      </c>
      <c r="J36" s="184">
        <f>'non-reconprod'!J36*'non-reconprod'!J$76+'non-reconprod'!AC36*'non-reconprod'!AC$76</f>
        <v>0</v>
      </c>
      <c r="K36" s="184">
        <f>'non-reconprod'!K36*'non-reconprod'!K$76+'non-reconprod'!AD36*'non-reconprod'!AD$76</f>
        <v>0</v>
      </c>
      <c r="L36" s="184">
        <f>'non-reconprod'!L36*'non-reconprod'!L$76+'non-reconprod'!AE36*'non-reconprod'!AE$76</f>
        <v>0</v>
      </c>
      <c r="M36" s="184">
        <f>'non-reconprod'!M36*'non-reconprod'!M$76+'non-reconprod'!AF36*'non-reconprod'!AF$76</f>
        <v>0</v>
      </c>
      <c r="N36" s="184">
        <f>'non-reconprod'!N36*'non-reconprod'!N$76+'non-reconprod'!AG36*'non-reconprod'!AG$76</f>
        <v>0</v>
      </c>
      <c r="O36" s="184">
        <f>'non-reconprod'!O36*'non-reconprod'!O$76+'non-reconprod'!AH36*'non-reconprod'!AH$76</f>
        <v>0</v>
      </c>
      <c r="R36" s="184">
        <f t="shared" si="14"/>
        <v>13.800561428571429</v>
      </c>
      <c r="S36" s="184">
        <f t="shared" ca="1" si="15"/>
        <v>0</v>
      </c>
      <c r="T36" s="184">
        <f t="shared" si="21"/>
        <v>0</v>
      </c>
      <c r="U36" s="184">
        <f t="shared" si="16"/>
        <v>0</v>
      </c>
      <c r="V36" s="184">
        <f t="shared" ca="1" si="17"/>
        <v>0</v>
      </c>
      <c r="W36" s="184">
        <f t="shared" si="18"/>
        <v>0</v>
      </c>
      <c r="X36" s="184">
        <f t="shared" ca="1" si="19"/>
        <v>0</v>
      </c>
      <c r="Y36" s="184">
        <f t="shared" ca="1" si="20"/>
        <v>0</v>
      </c>
      <c r="Z36" s="184"/>
      <c r="AA36" s="184">
        <f t="shared" ca="1" si="11"/>
        <v>0</v>
      </c>
      <c r="AB36" s="184">
        <f t="shared" ca="1" si="12"/>
        <v>0</v>
      </c>
      <c r="AC36" s="184">
        <f t="shared" si="13"/>
        <v>14.07202995152252</v>
      </c>
      <c r="AE36">
        <f>IF($AA$78=1,'Previous year'!T37,SUMIF($D$82:$O$82,$AA$83,$D36:$O36))</f>
        <v>14.21812129032258</v>
      </c>
      <c r="AF36">
        <f>IF($AA$79=1,'Previous year'!U37,SUMIF(prod_compiled!$R$82:$U$82,prod_compiled!$AA$84,prod_compiled!$R36:$U36))</f>
        <v>13.800561428571429</v>
      </c>
      <c r="AG36">
        <f>'Previous year'!V37</f>
        <v>12.742046575342465</v>
      </c>
    </row>
    <row r="37" spans="1:33">
      <c r="A37">
        <f>IF($A$2=$P$19,1,0)</f>
        <v>0</v>
      </c>
      <c r="O37" t="s">
        <v>57</v>
      </c>
      <c r="P37" s="247" t="s">
        <v>143</v>
      </c>
      <c r="Q37" s="247" t="s">
        <v>84</v>
      </c>
      <c r="R37" s="247" t="s">
        <v>48</v>
      </c>
      <c r="S37" s="247" t="s">
        <v>87</v>
      </c>
      <c r="T37" s="247" t="s">
        <v>157</v>
      </c>
      <c r="U37" s="184" t="s">
        <v>85</v>
      </c>
      <c r="V37" s="247" t="s">
        <v>1821</v>
      </c>
    </row>
    <row r="38" spans="1:33">
      <c r="P38" s="247">
        <v>3.3000000000000002E-2</v>
      </c>
      <c r="Q38" s="568">
        <f>J44+P38+L44</f>
        <v>3.3000000000000002E-2</v>
      </c>
      <c r="R38" s="247">
        <f>Q38+U43</f>
        <v>3.3000000000000002E-2</v>
      </c>
      <c r="S38" s="247">
        <f>V44+R38</f>
        <v>0.22488916164803921</v>
      </c>
      <c r="T38" s="247">
        <f>S38</f>
        <v>0.22488916164803921</v>
      </c>
      <c r="U38" s="328">
        <f>V44+Q38</f>
        <v>0.22488916164803921</v>
      </c>
    </row>
    <row r="39" spans="1:33">
      <c r="I39" t="s">
        <v>146</v>
      </c>
    </row>
    <row r="40" spans="1:33">
      <c r="D40" s="184" t="s">
        <v>30</v>
      </c>
      <c r="E40" s="184" t="s">
        <v>71</v>
      </c>
      <c r="F40" s="184" t="s">
        <v>72</v>
      </c>
      <c r="G40" s="184" t="s">
        <v>73</v>
      </c>
      <c r="H40" s="184" t="s">
        <v>140</v>
      </c>
      <c r="I40" s="184" t="s">
        <v>141</v>
      </c>
      <c r="J40" s="184" t="s">
        <v>142</v>
      </c>
      <c r="K40" s="184" t="s">
        <v>143</v>
      </c>
      <c r="L40" s="184" t="s">
        <v>42</v>
      </c>
      <c r="M40" s="184" t="s">
        <v>339</v>
      </c>
      <c r="N40" s="184" t="s">
        <v>340</v>
      </c>
      <c r="O40" s="184" t="s">
        <v>341</v>
      </c>
      <c r="R40" s="184" t="s">
        <v>82</v>
      </c>
      <c r="S40" s="184" t="s">
        <v>83</v>
      </c>
      <c r="T40" s="184" t="s">
        <v>84</v>
      </c>
      <c r="U40" s="184" t="s">
        <v>86</v>
      </c>
      <c r="V40" s="184" t="s">
        <v>39</v>
      </c>
      <c r="W40" s="184" t="s">
        <v>48</v>
      </c>
      <c r="X40" s="184" t="s">
        <v>85</v>
      </c>
      <c r="Y40" s="184" t="s">
        <v>87</v>
      </c>
      <c r="Z40" s="184"/>
      <c r="AA40" s="184" t="s">
        <v>157</v>
      </c>
      <c r="AB40" s="184" t="s">
        <v>159</v>
      </c>
      <c r="AC40" s="184" t="s">
        <v>158</v>
      </c>
      <c r="AE40" t="s">
        <v>338</v>
      </c>
      <c r="AF40" t="s">
        <v>342</v>
      </c>
      <c r="AG40" t="s">
        <v>344</v>
      </c>
    </row>
    <row r="41" spans="1:33">
      <c r="C41" s="144" t="s">
        <v>60</v>
      </c>
      <c r="D41" s="267">
        <f>'non-reconprod'!D41*'non-reconprod'!D$76+'non-reconprod'!W41*'non-reconprod'!W$76</f>
        <v>0.155</v>
      </c>
      <c r="E41" s="184">
        <f>'non-reconprod'!E41*'non-reconprod'!E$76+'non-reconprod'!X41*'non-reconprod'!X$76</f>
        <v>0.156</v>
      </c>
      <c r="F41" s="184">
        <f>'non-reconprod'!F41*'non-reconprod'!F$76+'non-reconprod'!Y41*'non-reconprod'!Y$76</f>
        <v>0.13400000000000001</v>
      </c>
      <c r="G41" s="184">
        <f>'non-reconprod'!G41*'non-reconprod'!G$76+'non-reconprod'!Z41*'non-reconprod'!Z$76</f>
        <v>0.158</v>
      </c>
      <c r="H41" s="184">
        <f>'non-reconprod'!H41*'non-reconprod'!H$76+'non-reconprod'!AA41*'non-reconprod'!AA$76</f>
        <v>0.15496189729712831</v>
      </c>
      <c r="I41" s="184">
        <f>'non-reconprod'!I41*'non-reconprod'!I$76+'non-reconprod'!AB41*'non-reconprod'!AB$76</f>
        <v>0</v>
      </c>
      <c r="J41" s="184">
        <f>'non-reconprod'!J41*'non-reconprod'!J$76+'non-reconprod'!AC41*'non-reconprod'!AC$76</f>
        <v>0</v>
      </c>
      <c r="K41" s="184">
        <f>'non-reconprod'!K41*'non-reconprod'!K$76+'non-reconprod'!AD41*'non-reconprod'!AD$76</f>
        <v>0</v>
      </c>
      <c r="L41" s="184">
        <f>'non-reconprod'!L41*'non-reconprod'!L$76+'non-reconprod'!AE41*'non-reconprod'!AE$76</f>
        <v>0</v>
      </c>
      <c r="M41" s="184">
        <f>'non-reconprod'!M41*'non-reconprod'!M$76+'non-reconprod'!AF41*'non-reconprod'!AF$76</f>
        <v>0</v>
      </c>
      <c r="N41" s="184">
        <f>'non-reconprod'!N41*'non-reconprod'!N$76+'non-reconprod'!AG41*'non-reconprod'!AG$76</f>
        <v>0</v>
      </c>
      <c r="O41" s="184">
        <f>'non-reconprod'!O41*'non-reconprod'!O$76+'non-reconprod'!AH41*'non-reconprod'!AH$76</f>
        <v>0</v>
      </c>
      <c r="R41" s="184">
        <f>D41+E41+F41</f>
        <v>0.44500000000000001</v>
      </c>
      <c r="S41" s="184">
        <f>G41+H41+I41</f>
        <v>0.31296189729712831</v>
      </c>
      <c r="T41" s="184">
        <f>J41+K41+L41</f>
        <v>0</v>
      </c>
      <c r="U41" s="184">
        <f>M41+N41+O41</f>
        <v>0</v>
      </c>
      <c r="V41" s="184">
        <f>R41+S41</f>
        <v>0.75796189729712826</v>
      </c>
      <c r="W41" s="184">
        <f>T41+U41</f>
        <v>0</v>
      </c>
      <c r="X41" s="184">
        <f>V41+T41</f>
        <v>0.75796189729712826</v>
      </c>
      <c r="Y41" s="184">
        <f>V41+W41</f>
        <v>0.75796189729712826</v>
      </c>
      <c r="Z41" s="184"/>
      <c r="AA41" s="184">
        <f>Y41</f>
        <v>0.75796189729712826</v>
      </c>
      <c r="AB41" s="184">
        <f>SUMIF(R$82:U$82,$AA$79,R41:U41)</f>
        <v>0.31296189729712831</v>
      </c>
      <c r="AC41" s="184">
        <f>SUMIF(D$82:O$82,$AA$78,D41:O41)</f>
        <v>0.15496189729712831</v>
      </c>
      <c r="AE41">
        <f>IF($AA$78=1,'Previous year'!T44,SUMIF($D$82:$O$82,$AA$83,$D41:$O41))</f>
        <v>0.158</v>
      </c>
      <c r="AF41">
        <f>IF($AA$79=1,'Previous year'!U44,SUMIF(prod_compiled!$R$82:$U$82,prod_compiled!$AA$84,prod_compiled!$R41:$U41))</f>
        <v>0.44500000000000001</v>
      </c>
      <c r="AG41">
        <f>'Previous year'!V44</f>
        <v>1.4159999999999999</v>
      </c>
    </row>
    <row r="42" spans="1:33">
      <c r="C42" s="144" t="s">
        <v>61</v>
      </c>
      <c r="D42" s="267">
        <f>'non-reconprod'!D42*'non-reconprod'!D$76+'non-reconprod'!W42*'non-reconprod'!W$76</f>
        <v>0.16300000000000001</v>
      </c>
      <c r="E42" s="184">
        <f>'non-reconprod'!E42*'non-reconprod'!E$76+'non-reconprod'!X42*'non-reconprod'!X$76</f>
        <v>0.16900000000000001</v>
      </c>
      <c r="F42" s="184">
        <f>'non-reconprod'!F42*'non-reconprod'!F$76+'non-reconprod'!Y42*'non-reconprod'!Y$76</f>
        <v>0.16300000000000001</v>
      </c>
      <c r="G42" s="184">
        <f>'non-reconprod'!G42*'non-reconprod'!G$76+'non-reconprod'!Z42*'non-reconprod'!Z$76</f>
        <v>0.16900000000000001</v>
      </c>
      <c r="H42" s="184">
        <f>'non-reconprod'!H42*'non-reconprod'!H$76+'non-reconprod'!AA42*'non-reconprod'!AA$76</f>
        <v>0.16962658602794101</v>
      </c>
      <c r="I42" s="184">
        <f>'non-reconprod'!I42*'non-reconprod'!I$76+'non-reconprod'!AB42*'non-reconprod'!AB$76</f>
        <v>0</v>
      </c>
      <c r="J42" s="184">
        <f>'non-reconprod'!J42*'non-reconprod'!J$76+'non-reconprod'!AC42*'non-reconprod'!AC$76</f>
        <v>0</v>
      </c>
      <c r="K42" s="184">
        <f>'non-reconprod'!K42*'non-reconprod'!K$76+'non-reconprod'!AD42*'non-reconprod'!AD$76</f>
        <v>0</v>
      </c>
      <c r="L42" s="184">
        <f>'non-reconprod'!L42*'non-reconprod'!L$76+'non-reconprod'!AE42*'non-reconprod'!AE$76</f>
        <v>0</v>
      </c>
      <c r="M42" s="184">
        <f>'non-reconprod'!M42*'non-reconprod'!M$76+'non-reconprod'!AF42*'non-reconprod'!AF$76</f>
        <v>0</v>
      </c>
      <c r="N42" s="184">
        <f>'non-reconprod'!N42*'non-reconprod'!N$76+'non-reconprod'!AG42*'non-reconprod'!AG$76</f>
        <v>0</v>
      </c>
      <c r="O42" s="184">
        <f>'non-reconprod'!O42*'non-reconprod'!O$76+'non-reconprod'!AH42*'non-reconprod'!AH$76</f>
        <v>0</v>
      </c>
      <c r="R42" s="184">
        <f t="shared" ref="R42:R54" si="22">D42+E42+F42</f>
        <v>0.495</v>
      </c>
      <c r="S42" s="184">
        <f t="shared" ref="S42:S54" si="23">G42+H42+I42</f>
        <v>0.33862658602794105</v>
      </c>
      <c r="T42" s="184">
        <f t="shared" ref="T42:T54" si="24">J42+K42+L42</f>
        <v>0</v>
      </c>
      <c r="U42" s="184">
        <f>M42+N42+O42</f>
        <v>0</v>
      </c>
      <c r="V42" s="184">
        <f t="shared" ref="V42:V54" si="25">R42+S42</f>
        <v>0.83362658602794104</v>
      </c>
      <c r="W42" s="184">
        <f>T42+U42</f>
        <v>0</v>
      </c>
      <c r="X42" s="184">
        <f t="shared" ref="X42:X54" si="26">V42+T42</f>
        <v>0.83362658602794104</v>
      </c>
      <c r="Y42" s="184">
        <f t="shared" ref="Y42:Y54" si="27">V42+W42</f>
        <v>0.83362658602794104</v>
      </c>
      <c r="Z42" s="184"/>
      <c r="AA42" s="184">
        <f t="shared" ref="AA42:AA54" si="28">Y42</f>
        <v>0.83362658602794104</v>
      </c>
      <c r="AB42" s="184">
        <f t="shared" ref="AB42:AB54" si="29">SUMIF(R$82:U$82,$AA$79,R42:U42)</f>
        <v>0.33862658602794105</v>
      </c>
      <c r="AC42" s="184">
        <f t="shared" ref="AC42:AC54" si="30">SUMIF(D$82:O$82,$AA$78,D42:O42)</f>
        <v>0.16962658602794101</v>
      </c>
      <c r="AE42">
        <f>IF($AA$78=1,'Previous year'!T45,SUMIF($D$82:$O$82,$AA$83,$D42:$O42))</f>
        <v>0.16900000000000001</v>
      </c>
      <c r="AF42">
        <f>IF($AA$79=1,'Previous year'!U45,SUMIF(prod_compiled!$R$82:$U$82,prod_compiled!$AA$84,prod_compiled!$R42:$U42))</f>
        <v>0.495</v>
      </c>
      <c r="AG42">
        <f>'Previous year'!V45</f>
        <v>2.0950000000000002</v>
      </c>
    </row>
    <row r="43" spans="1:33">
      <c r="C43" s="144" t="s">
        <v>62</v>
      </c>
      <c r="D43" s="267">
        <f>'non-reconprod'!D43*'non-reconprod'!D$76+'non-reconprod'!W43*'non-reconprod'!W$76</f>
        <v>8.0000000000000002E-3</v>
      </c>
      <c r="E43" s="184">
        <f>'non-reconprod'!E43*'non-reconprod'!E$76+'non-reconprod'!X43*'non-reconprod'!X$76</f>
        <v>7.0000000000000001E-3</v>
      </c>
      <c r="F43" s="184">
        <f>'non-reconprod'!F43*'non-reconprod'!F$76+'non-reconprod'!Y43*'non-reconprod'!Y$76</f>
        <v>8.0000000000000002E-3</v>
      </c>
      <c r="G43" s="184">
        <f>'non-reconprod'!G43*'non-reconprod'!G$76+'non-reconprod'!Z43*'non-reconprod'!Z$76</f>
        <v>8.0000000000000002E-3</v>
      </c>
      <c r="H43" s="184">
        <f>'non-reconprod'!H43*'non-reconprod'!H$76+'non-reconprod'!AA43*'non-reconprod'!AA$76</f>
        <v>7.4579606204879826E-3</v>
      </c>
      <c r="I43" s="184">
        <f>'non-reconprod'!I43*'non-reconprod'!I$76+'non-reconprod'!AB43*'non-reconprod'!AB$76</f>
        <v>0</v>
      </c>
      <c r="J43" s="184">
        <f>'non-reconprod'!J43*'non-reconprod'!J$76+'non-reconprod'!AC43*'non-reconprod'!AC$76</f>
        <v>0</v>
      </c>
      <c r="K43" s="184">
        <f>'non-reconprod'!K43*'non-reconprod'!K$76+'non-reconprod'!AD43*'non-reconprod'!AD$76</f>
        <v>0</v>
      </c>
      <c r="L43" s="184">
        <f>'non-reconprod'!L43*'non-reconprod'!L$76+'non-reconprod'!AE43*'non-reconprod'!AE$76</f>
        <v>0</v>
      </c>
      <c r="M43" s="184">
        <f>'non-reconprod'!M43*'non-reconprod'!M$76+'non-reconprod'!AF43*'non-reconprod'!AF$76</f>
        <v>0</v>
      </c>
      <c r="N43" s="184">
        <f>'non-reconprod'!N43*'non-reconprod'!N$76+'non-reconprod'!AG43*'non-reconprod'!AG$76</f>
        <v>0</v>
      </c>
      <c r="O43" s="184">
        <f>'non-reconprod'!O43*'non-reconprod'!O$76+'non-reconprod'!AH43*'non-reconprod'!AH$76</f>
        <v>0</v>
      </c>
      <c r="R43" s="184">
        <f t="shared" si="22"/>
        <v>2.3E-2</v>
      </c>
      <c r="S43" s="184">
        <f t="shared" si="23"/>
        <v>1.5457960620487984E-2</v>
      </c>
      <c r="T43" s="184">
        <f>J43+K43+L43</f>
        <v>0</v>
      </c>
      <c r="U43" s="184">
        <f t="shared" ref="U43:U54" si="31">M43+N43+O43</f>
        <v>0</v>
      </c>
      <c r="V43" s="184">
        <f t="shared" si="25"/>
        <v>3.845796062048798E-2</v>
      </c>
      <c r="W43" s="184">
        <f>T43+U43</f>
        <v>0</v>
      </c>
      <c r="X43" s="184">
        <f t="shared" si="26"/>
        <v>3.845796062048798E-2</v>
      </c>
      <c r="Y43" s="184">
        <f t="shared" si="27"/>
        <v>3.845796062048798E-2</v>
      </c>
      <c r="Z43" s="184"/>
      <c r="AA43" s="184">
        <f t="shared" si="28"/>
        <v>3.845796062048798E-2</v>
      </c>
      <c r="AB43" s="184">
        <f>SUMIF(R$82:U$82,$AA$79,R43:U43)</f>
        <v>1.5457960620487984E-2</v>
      </c>
      <c r="AC43" s="184">
        <f t="shared" si="30"/>
        <v>7.4579606204879826E-3</v>
      </c>
      <c r="AE43">
        <f>IF($AA$78=1,'Previous year'!T46,SUMIF($D$82:$O$82,$AA$83,$D43:$O43))</f>
        <v>8.0000000000000002E-3</v>
      </c>
      <c r="AF43">
        <f>IF($AA$79=1,'Previous year'!U46,SUMIF(prod_compiled!$R$82:$U$82,prod_compiled!$AA$84,prod_compiled!$R43:$U43))</f>
        <v>2.3E-2</v>
      </c>
      <c r="AG43">
        <f>'Previous year'!V46</f>
        <v>0.10299999999999999</v>
      </c>
    </row>
    <row r="44" spans="1:33">
      <c r="C44" s="144" t="s">
        <v>57</v>
      </c>
      <c r="D44" s="267">
        <f>'non-reconprod'!D44*'non-reconprod'!D$76+'non-reconprod'!W44*'non-reconprod'!W$76</f>
        <v>3.7999999999999999E-2</v>
      </c>
      <c r="E44" s="184">
        <f>'non-reconprod'!E44*'non-reconprod'!E$76+'non-reconprod'!X44*'non-reconprod'!X$76</f>
        <v>3.9E-2</v>
      </c>
      <c r="F44" s="184">
        <f>'non-reconprod'!F44*'non-reconprod'!F$76+'non-reconprod'!Y44*'non-reconprod'!Y$76</f>
        <v>3.7999999999999999E-2</v>
      </c>
      <c r="G44" s="184">
        <f>'non-reconprod'!G44*'non-reconprod'!G$76+'non-reconprod'!Z44*'non-reconprod'!Z$76</f>
        <v>0.04</v>
      </c>
      <c r="H44" s="184">
        <f>'non-reconprod'!H44*'non-reconprod'!H$76+'non-reconprod'!AA44*'non-reconprod'!AA$76</f>
        <v>3.6889161648039209E-2</v>
      </c>
      <c r="I44" s="184">
        <f>'non-reconprod'!I44*'non-reconprod'!I$76+'non-reconprod'!AB44*'non-reconprod'!AB$76</f>
        <v>0</v>
      </c>
      <c r="J44" s="184">
        <f>'non-reconprod'!J44*'non-reconprod'!J$76+'non-reconprod'!AC44*'non-reconprod'!AC$76</f>
        <v>0</v>
      </c>
      <c r="K44" s="184">
        <f>'non-reconprod'!K44*'non-reconprod'!K$76+'non-reconprod'!AD44*'non-reconprod'!AD$76</f>
        <v>0</v>
      </c>
      <c r="L44" s="184">
        <f>'non-reconprod'!L44*'non-reconprod'!L$76+'non-reconprod'!AE44*'non-reconprod'!AE$76</f>
        <v>0</v>
      </c>
      <c r="M44" s="184">
        <f>'non-reconprod'!M44*'non-reconprod'!M$76+'non-reconprod'!AF44*'non-reconprod'!AF$76</f>
        <v>0</v>
      </c>
      <c r="N44" s="184">
        <f>'non-reconprod'!N44*'non-reconprod'!N$76+'non-reconprod'!AG44*'non-reconprod'!AG$76</f>
        <v>0</v>
      </c>
      <c r="O44" s="184">
        <f>'non-reconprod'!O44*'non-reconprod'!O$76+'non-reconprod'!AH44*'non-reconprod'!AH$76</f>
        <v>0</v>
      </c>
      <c r="R44" s="184">
        <f t="shared" si="22"/>
        <v>0.11499999999999999</v>
      </c>
      <c r="S44" s="184">
        <f t="shared" si="23"/>
        <v>7.6889161648039217E-2</v>
      </c>
      <c r="T44" s="184">
        <f>J44+K44+L44</f>
        <v>0</v>
      </c>
      <c r="U44" s="184">
        <f t="shared" si="31"/>
        <v>0</v>
      </c>
      <c r="V44" s="184">
        <f t="shared" si="25"/>
        <v>0.19188916164803921</v>
      </c>
      <c r="W44" s="184">
        <f>T44+U44</f>
        <v>0</v>
      </c>
      <c r="X44" s="184">
        <f t="shared" si="26"/>
        <v>0.19188916164803921</v>
      </c>
      <c r="Y44" s="184">
        <f t="shared" si="27"/>
        <v>0.19188916164803921</v>
      </c>
      <c r="Z44" s="184"/>
      <c r="AA44" s="184">
        <f>Y44</f>
        <v>0.19188916164803921</v>
      </c>
      <c r="AB44" s="184">
        <f t="shared" si="29"/>
        <v>7.6889161648039217E-2</v>
      </c>
      <c r="AC44" s="184">
        <f t="shared" si="30"/>
        <v>3.6889161648039209E-2</v>
      </c>
      <c r="AE44">
        <f>IF($AA$78=1,'Previous year'!T47,SUMIF($D$82:$O$82,$AA$83,$D44:$O44))</f>
        <v>0.04</v>
      </c>
      <c r="AF44">
        <f>IF($AA$79=1,'Previous year'!U47,SUMIF(prod_compiled!$R$82:$U$82,prod_compiled!$AA$84,prod_compiled!$R44:$U44))</f>
        <v>0.11499999999999999</v>
      </c>
      <c r="AG44">
        <f>'Previous year'!V47</f>
        <v>0.47199999999999998</v>
      </c>
    </row>
    <row r="45" spans="1:33">
      <c r="C45" s="144" t="s">
        <v>58</v>
      </c>
      <c r="D45" s="267">
        <f>'non-reconprod'!D45*'non-reconprod'!D$76+'non-reconprod'!W45*'non-reconprod'!W$76</f>
        <v>4.2999999999999997E-2</v>
      </c>
      <c r="E45" s="184">
        <f>'non-reconprod'!E45*'non-reconprod'!E$76+'non-reconprod'!X45*'non-reconprod'!X$76</f>
        <v>3.6999999999999998E-2</v>
      </c>
      <c r="F45" s="184">
        <f>'non-reconprod'!F45*'non-reconprod'!F$76+'non-reconprod'!Y45*'non-reconprod'!Y$76</f>
        <v>3.9E-2</v>
      </c>
      <c r="G45" s="184">
        <f>'non-reconprod'!G45*'non-reconprod'!G$76+'non-reconprod'!Z45*'non-reconprod'!Z$76</f>
        <v>3.4000000000000002E-2</v>
      </c>
      <c r="H45" s="184">
        <f>'non-reconprod'!H45*'non-reconprod'!H$76+'non-reconprod'!AA45*'non-reconprod'!AA$76</f>
        <v>4.4524521924801316E-2</v>
      </c>
      <c r="I45" s="184">
        <f>'non-reconprod'!I45*'non-reconprod'!I$76+'non-reconprod'!AB45*'non-reconprod'!AB$76</f>
        <v>0</v>
      </c>
      <c r="J45" s="184">
        <f>'non-reconprod'!J45*'non-reconprod'!J$76+'non-reconprod'!AC45*'non-reconprod'!AC$76</f>
        <v>0</v>
      </c>
      <c r="K45" s="184">
        <f>'non-reconprod'!K45*'non-reconprod'!K$76+'non-reconprod'!AD45*'non-reconprod'!AD$76</f>
        <v>0</v>
      </c>
      <c r="L45" s="184">
        <f>'non-reconprod'!L45*'non-reconprod'!L$76+'non-reconprod'!AE45*'non-reconprod'!AE$76</f>
        <v>0</v>
      </c>
      <c r="M45" s="184">
        <f>'non-reconprod'!M45*'non-reconprod'!M$76+'non-reconprod'!AF45*'non-reconprod'!AF$76</f>
        <v>0</v>
      </c>
      <c r="N45" s="184">
        <f>'non-reconprod'!N45*'non-reconprod'!N$76+'non-reconprod'!AG45*'non-reconprod'!AG$76</f>
        <v>0</v>
      </c>
      <c r="O45" s="184">
        <f>'non-reconprod'!O45*'non-reconprod'!O$76+'non-reconprod'!AH45*'non-reconprod'!AH$76</f>
        <v>0</v>
      </c>
      <c r="R45" s="184">
        <f t="shared" si="22"/>
        <v>0.11899999999999999</v>
      </c>
      <c r="S45" s="184">
        <f t="shared" si="23"/>
        <v>7.8524521924801319E-2</v>
      </c>
      <c r="T45" s="184">
        <f t="shared" si="24"/>
        <v>0</v>
      </c>
      <c r="U45" s="184">
        <f t="shared" si="31"/>
        <v>0</v>
      </c>
      <c r="V45" s="184">
        <f t="shared" si="25"/>
        <v>0.1975245219248013</v>
      </c>
      <c r="W45" s="184">
        <f t="shared" ref="W45:W54" si="32">T45+U45</f>
        <v>0</v>
      </c>
      <c r="X45" s="184">
        <f t="shared" si="26"/>
        <v>0.1975245219248013</v>
      </c>
      <c r="Y45" s="184">
        <f t="shared" si="27"/>
        <v>0.1975245219248013</v>
      </c>
      <c r="Z45" s="184"/>
      <c r="AA45" s="184">
        <f t="shared" si="28"/>
        <v>0.1975245219248013</v>
      </c>
      <c r="AB45" s="184">
        <f t="shared" si="29"/>
        <v>7.8524521924801319E-2</v>
      </c>
      <c r="AC45" s="184">
        <f t="shared" si="30"/>
        <v>4.4524521924801316E-2</v>
      </c>
      <c r="AE45">
        <f>IF($AA$78=1,'Previous year'!T48,SUMIF($D$82:$O$82,$AA$83,$D45:$O45))</f>
        <v>3.4000000000000002E-2</v>
      </c>
      <c r="AF45">
        <f>IF($AA$79=1,'Previous year'!U48,SUMIF(prod_compiled!$R$82:$U$82,prod_compiled!$AA$84,prod_compiled!$R45:$U45))</f>
        <v>0.11899999999999999</v>
      </c>
      <c r="AG45">
        <f>'Previous year'!V48</f>
        <v>0.35399999999999998</v>
      </c>
    </row>
    <row r="46" spans="1:33">
      <c r="C46" s="144" t="s">
        <v>59</v>
      </c>
      <c r="D46" s="267">
        <f>'non-reconprod'!D46*'non-reconprod'!D$76+'non-reconprod'!W46*'non-reconprod'!W$76</f>
        <v>0.01</v>
      </c>
      <c r="E46" s="184">
        <f>'non-reconprod'!E46*'non-reconprod'!E$76+'non-reconprod'!X46*'non-reconprod'!X$76</f>
        <v>0.01</v>
      </c>
      <c r="F46" s="184">
        <f>'non-reconprod'!F46*'non-reconprod'!F$76+'non-reconprod'!Y46*'non-reconprod'!Y$76</f>
        <v>1.0999999999999999E-2</v>
      </c>
      <c r="G46" s="184">
        <f>'non-reconprod'!G46*'non-reconprod'!G$76+'non-reconprod'!Z46*'non-reconprod'!Z$76</f>
        <v>1.0999999999999999E-2</v>
      </c>
      <c r="H46" s="184">
        <f>'non-reconprod'!H46*'non-reconprod'!H$76+'non-reconprod'!AA46*'non-reconprod'!AA$76</f>
        <v>1.1377565889520215E-2</v>
      </c>
      <c r="I46" s="184">
        <f>'non-reconprod'!I46*'non-reconprod'!I$76+'non-reconprod'!AB46*'non-reconprod'!AB$76</f>
        <v>0</v>
      </c>
      <c r="J46" s="184">
        <f>'non-reconprod'!J46*'non-reconprod'!J$76+'non-reconprod'!AC46*'non-reconprod'!AC$76</f>
        <v>0</v>
      </c>
      <c r="K46" s="184">
        <f>'non-reconprod'!K46*'non-reconprod'!K$76+'non-reconprod'!AD46*'non-reconprod'!AD$76</f>
        <v>0</v>
      </c>
      <c r="L46" s="184">
        <f>'non-reconprod'!L46*'non-reconprod'!L$76+'non-reconprod'!AE46*'non-reconprod'!AE$76</f>
        <v>0</v>
      </c>
      <c r="M46" s="184">
        <f>'non-reconprod'!M46*'non-reconprod'!M$76+'non-reconprod'!AF46*'non-reconprod'!AF$76</f>
        <v>0</v>
      </c>
      <c r="N46" s="184">
        <f>'non-reconprod'!N46*'non-reconprod'!N$76+'non-reconprod'!AG46*'non-reconprod'!AG$76</f>
        <v>0</v>
      </c>
      <c r="O46" s="184">
        <f>'non-reconprod'!O46*'non-reconprod'!O$76+'non-reconprod'!AH46*'non-reconprod'!AH$76</f>
        <v>0</v>
      </c>
      <c r="R46" s="184">
        <f t="shared" si="22"/>
        <v>3.1E-2</v>
      </c>
      <c r="S46" s="184">
        <f t="shared" si="23"/>
        <v>2.2377565889520216E-2</v>
      </c>
      <c r="T46" s="184">
        <f t="shared" si="24"/>
        <v>0</v>
      </c>
      <c r="U46" s="184">
        <f t="shared" si="31"/>
        <v>0</v>
      </c>
      <c r="V46" s="184">
        <f t="shared" si="25"/>
        <v>5.3377565889520216E-2</v>
      </c>
      <c r="W46" s="184">
        <f t="shared" si="32"/>
        <v>0</v>
      </c>
      <c r="X46" s="184">
        <f t="shared" si="26"/>
        <v>5.3377565889520216E-2</v>
      </c>
      <c r="Y46" s="184">
        <f t="shared" si="27"/>
        <v>5.3377565889520216E-2</v>
      </c>
      <c r="Z46" s="184"/>
      <c r="AA46" s="184">
        <f t="shared" si="28"/>
        <v>5.3377565889520216E-2</v>
      </c>
      <c r="AB46" s="184">
        <f t="shared" si="29"/>
        <v>2.2377565889520216E-2</v>
      </c>
      <c r="AC46" s="184">
        <f t="shared" si="30"/>
        <v>1.1377565889520215E-2</v>
      </c>
      <c r="AE46">
        <f>IF($AA$78=1,'Previous year'!T49,SUMIF($D$82:$O$82,$AA$83,$D46:$O46))</f>
        <v>1.0999999999999999E-2</v>
      </c>
      <c r="AF46">
        <f>IF($AA$79=1,'Previous year'!U49,SUMIF(prod_compiled!$R$82:$U$82,prod_compiled!$AA$84,prod_compiled!$R46:$U46))</f>
        <v>3.1E-2</v>
      </c>
      <c r="AG46">
        <f>'Previous year'!V49</f>
        <v>0.13</v>
      </c>
    </row>
    <row r="47" spans="1:33">
      <c r="C47" s="144" t="s">
        <v>63</v>
      </c>
      <c r="D47" s="267">
        <f>'non-reconprod'!D47*'non-reconprod'!D$76+'non-reconprod'!W47*'non-reconprod'!W$76</f>
        <v>5.1999999999999998E-2</v>
      </c>
      <c r="E47" s="184">
        <f>'non-reconprod'!E47*'non-reconprod'!E$76+'non-reconprod'!X47*'non-reconprod'!X$76</f>
        <v>6.4000000000000001E-2</v>
      </c>
      <c r="F47" s="184">
        <f>'non-reconprod'!F47*'non-reconprod'!F$76+'non-reconprod'!Y47*'non-reconprod'!Y$76</f>
        <v>6.0999999999999999E-2</v>
      </c>
      <c r="G47" s="184">
        <f>'non-reconprod'!G47*'non-reconprod'!G$76+'non-reconprod'!Z47*'non-reconprod'!Z$76</f>
        <v>0.06</v>
      </c>
      <c r="H47" s="184">
        <f>'non-reconprod'!H47*'non-reconprod'!H$76+'non-reconprod'!AA47*'non-reconprod'!AA$76</f>
        <v>6.2181402660837964E-2</v>
      </c>
      <c r="I47" s="184">
        <f>'non-reconprod'!I47*'non-reconprod'!I$76+'non-reconprod'!AB47*'non-reconprod'!AB$76</f>
        <v>0</v>
      </c>
      <c r="J47" s="184">
        <f>'non-reconprod'!J47*'non-reconprod'!J$76+'non-reconprod'!AC47*'non-reconprod'!AC$76</f>
        <v>0</v>
      </c>
      <c r="K47" s="184">
        <f>'non-reconprod'!K47*'non-reconprod'!K$76+'non-reconprod'!AD47*'non-reconprod'!AD$76</f>
        <v>0</v>
      </c>
      <c r="L47" s="184">
        <f>'non-reconprod'!L47*'non-reconprod'!L$76+'non-reconprod'!AE47*'non-reconprod'!AE$76</f>
        <v>0</v>
      </c>
      <c r="M47" s="184">
        <f>'non-reconprod'!M47*'non-reconprod'!M$76+'non-reconprod'!AF47*'non-reconprod'!AF$76</f>
        <v>0</v>
      </c>
      <c r="N47" s="184">
        <f>'non-reconprod'!N47*'non-reconprod'!N$76+'non-reconprod'!AG47*'non-reconprod'!AG$76</f>
        <v>0</v>
      </c>
      <c r="O47" s="184">
        <f>'non-reconprod'!O47*'non-reconprod'!O$76+'non-reconprod'!AH47*'non-reconprod'!AH$76</f>
        <v>0</v>
      </c>
      <c r="R47" s="184">
        <f t="shared" si="22"/>
        <v>0.17699999999999999</v>
      </c>
      <c r="S47" s="184">
        <f t="shared" si="23"/>
        <v>0.12218140266083796</v>
      </c>
      <c r="T47" s="184">
        <f t="shared" si="24"/>
        <v>0</v>
      </c>
      <c r="U47" s="184">
        <f t="shared" si="31"/>
        <v>0</v>
      </c>
      <c r="V47" s="184">
        <f t="shared" si="25"/>
        <v>0.29918140266083793</v>
      </c>
      <c r="W47" s="184">
        <f t="shared" si="32"/>
        <v>0</v>
      </c>
      <c r="X47" s="184">
        <f t="shared" si="26"/>
        <v>0.29918140266083793</v>
      </c>
      <c r="Y47" s="184">
        <f t="shared" si="27"/>
        <v>0.29918140266083793</v>
      </c>
      <c r="Z47" s="184"/>
      <c r="AA47" s="184">
        <f t="shared" si="28"/>
        <v>0.29918140266083793</v>
      </c>
      <c r="AB47" s="184">
        <f t="shared" si="29"/>
        <v>0.12218140266083796</v>
      </c>
      <c r="AC47" s="184">
        <f t="shared" si="30"/>
        <v>6.2181402660837964E-2</v>
      </c>
      <c r="AE47">
        <f>IF($AA$78=1,'Previous year'!T50,SUMIF($D$82:$O$82,$AA$83,$D47:$O47))</f>
        <v>0.06</v>
      </c>
      <c r="AF47">
        <f>IF($AA$79=1,'Previous year'!U50,SUMIF(prod_compiled!$R$82:$U$82,prod_compiled!$AA$84,prod_compiled!$R47:$U47))</f>
        <v>0.17699999999999999</v>
      </c>
      <c r="AG47">
        <f>'Previous year'!V50</f>
        <v>0.73399999999999999</v>
      </c>
    </row>
    <row r="48" spans="1:33">
      <c r="C48" s="144" t="s">
        <v>64</v>
      </c>
      <c r="D48" s="267">
        <f>'non-reconprod'!D48*'non-reconprod'!D$76+'non-reconprod'!W48*'non-reconprod'!W$76</f>
        <v>4.0000000000000001E-3</v>
      </c>
      <c r="E48" s="184">
        <f>'non-reconprod'!E48*'non-reconprod'!E$76+'non-reconprod'!X48*'non-reconprod'!X$76</f>
        <v>4.0000000000000001E-3</v>
      </c>
      <c r="F48" s="184">
        <f>'non-reconprod'!F48*'non-reconprod'!F$76+'non-reconprod'!Y48*'non-reconprod'!Y$76</f>
        <v>3.0000000000000001E-3</v>
      </c>
      <c r="G48" s="184">
        <f>'non-reconprod'!G48*'non-reconprod'!G$76+'non-reconprod'!Z48*'non-reconprod'!Z$76</f>
        <v>4.0000000000000001E-3</v>
      </c>
      <c r="H48" s="184">
        <f>'non-reconprod'!H48*'non-reconprod'!H$76+'non-reconprod'!AA48*'non-reconprod'!AA$76</f>
        <v>3.7780063432218142E-3</v>
      </c>
      <c r="I48" s="184">
        <f>'non-reconprod'!I48*'non-reconprod'!I$76+'non-reconprod'!AB48*'non-reconprod'!AB$76</f>
        <v>0</v>
      </c>
      <c r="J48" s="184">
        <f>'non-reconprod'!J48*'non-reconprod'!J$76+'non-reconprod'!AC48*'non-reconprod'!AC$76</f>
        <v>0</v>
      </c>
      <c r="K48" s="184">
        <f>'non-reconprod'!K48*'non-reconprod'!K$76+'non-reconprod'!AD48*'non-reconprod'!AD$76</f>
        <v>0</v>
      </c>
      <c r="L48" s="184">
        <f>'non-reconprod'!L48*'non-reconprod'!L$76+'non-reconprod'!AE48*'non-reconprod'!AE$76</f>
        <v>0</v>
      </c>
      <c r="M48" s="184">
        <f>'non-reconprod'!M48*'non-reconprod'!M$76+'non-reconprod'!AF48*'non-reconprod'!AF$76</f>
        <v>0</v>
      </c>
      <c r="N48" s="184">
        <f>'non-reconprod'!N48*'non-reconprod'!N$76+'non-reconprod'!AG48*'non-reconprod'!AG$76</f>
        <v>0</v>
      </c>
      <c r="O48" s="184">
        <f>'non-reconprod'!O48*'non-reconprod'!O$76+'non-reconprod'!AH48*'non-reconprod'!AH$76</f>
        <v>0</v>
      </c>
      <c r="R48" s="184">
        <f t="shared" si="22"/>
        <v>1.0999999999999999E-2</v>
      </c>
      <c r="S48" s="184">
        <f t="shared" si="23"/>
        <v>7.7780063432218143E-3</v>
      </c>
      <c r="T48" s="184">
        <f t="shared" si="24"/>
        <v>0</v>
      </c>
      <c r="U48" s="184">
        <f t="shared" si="31"/>
        <v>0</v>
      </c>
      <c r="V48" s="184">
        <f t="shared" si="25"/>
        <v>1.8778006343221812E-2</v>
      </c>
      <c r="W48" s="184">
        <f t="shared" si="32"/>
        <v>0</v>
      </c>
      <c r="X48" s="184">
        <f t="shared" si="26"/>
        <v>1.8778006343221812E-2</v>
      </c>
      <c r="Y48" s="184">
        <f t="shared" si="27"/>
        <v>1.8778006343221812E-2</v>
      </c>
      <c r="Z48" s="184"/>
      <c r="AA48" s="184">
        <f t="shared" si="28"/>
        <v>1.8778006343221812E-2</v>
      </c>
      <c r="AB48" s="184">
        <f t="shared" si="29"/>
        <v>7.7780063432218143E-3</v>
      </c>
      <c r="AC48" s="184">
        <f t="shared" si="30"/>
        <v>3.7780063432218142E-3</v>
      </c>
      <c r="AE48">
        <f>IF($AA$78=1,'Previous year'!T51,SUMIF($D$82:$O$82,$AA$83,$D48:$O48))</f>
        <v>4.0000000000000001E-3</v>
      </c>
      <c r="AF48">
        <f>IF($AA$79=1,'Previous year'!U51,SUMIF(prod_compiled!$R$82:$U$82,prod_compiled!$AA$84,prod_compiled!$R48:$U48))</f>
        <v>1.0999999999999999E-2</v>
      </c>
      <c r="AG48">
        <f>'Previous year'!V51</f>
        <v>4.2999999999999997E-2</v>
      </c>
    </row>
    <row r="49" spans="3:33">
      <c r="C49" s="144" t="s">
        <v>65</v>
      </c>
      <c r="D49" s="267">
        <f>'non-reconprod'!D49*'non-reconprod'!D$76+'non-reconprod'!W49*'non-reconprod'!W$76</f>
        <v>8.0000000000000002E-3</v>
      </c>
      <c r="E49" s="184">
        <f>'non-reconprod'!E49*'non-reconprod'!E$76+'non-reconprod'!X49*'non-reconprod'!X$76</f>
        <v>0.01</v>
      </c>
      <c r="F49" s="184">
        <f>'non-reconprod'!F49*'non-reconprod'!F$76+'non-reconprod'!Y49*'non-reconprod'!Y$76</f>
        <v>0.01</v>
      </c>
      <c r="G49" s="184">
        <f>'non-reconprod'!G49*'non-reconprod'!G$76+'non-reconprod'!Z49*'non-reconprod'!Z$76</f>
        <v>1.0999999999999999E-2</v>
      </c>
      <c r="H49" s="184">
        <f>'non-reconprod'!H49*'non-reconprod'!H$76+'non-reconprod'!AA49*'non-reconprod'!AA$76</f>
        <v>1.0772601919589167E-2</v>
      </c>
      <c r="I49" s="184">
        <f>'non-reconprod'!I49*'non-reconprod'!I$76+'non-reconprod'!AB49*'non-reconprod'!AB$76</f>
        <v>0</v>
      </c>
      <c r="J49" s="184">
        <f>'non-reconprod'!J49*'non-reconprod'!J$76+'non-reconprod'!AC49*'non-reconprod'!AC$76</f>
        <v>0</v>
      </c>
      <c r="K49" s="184">
        <f>'non-reconprod'!K49*'non-reconprod'!K$76+'non-reconprod'!AD49*'non-reconprod'!AD$76</f>
        <v>0</v>
      </c>
      <c r="L49" s="184">
        <f>'non-reconprod'!L49*'non-reconprod'!L$76+'non-reconprod'!AE49*'non-reconprod'!AE$76</f>
        <v>0</v>
      </c>
      <c r="M49" s="184">
        <f>'non-reconprod'!M49*'non-reconprod'!M$76+'non-reconprod'!AF49*'non-reconprod'!AF$76</f>
        <v>0</v>
      </c>
      <c r="N49" s="184">
        <f>'non-reconprod'!N49*'non-reconprod'!N$76+'non-reconprod'!AG49*'non-reconprod'!AG$76</f>
        <v>0</v>
      </c>
      <c r="O49" s="184">
        <f>'non-reconprod'!O49*'non-reconprod'!O$76+'non-reconprod'!AH49*'non-reconprod'!AH$76</f>
        <v>0</v>
      </c>
      <c r="R49" s="184">
        <f t="shared" si="22"/>
        <v>2.8000000000000004E-2</v>
      </c>
      <c r="S49" s="184">
        <f t="shared" si="23"/>
        <v>2.1772601919589164E-2</v>
      </c>
      <c r="T49" s="184">
        <f t="shared" si="24"/>
        <v>0</v>
      </c>
      <c r="U49" s="184">
        <f t="shared" si="31"/>
        <v>0</v>
      </c>
      <c r="V49" s="184">
        <f t="shared" si="25"/>
        <v>4.9772601919589168E-2</v>
      </c>
      <c r="W49" s="184">
        <f t="shared" si="32"/>
        <v>0</v>
      </c>
      <c r="X49" s="184">
        <f t="shared" si="26"/>
        <v>4.9772601919589168E-2</v>
      </c>
      <c r="Y49" s="184">
        <f t="shared" si="27"/>
        <v>4.9772601919589168E-2</v>
      </c>
      <c r="Z49" s="184"/>
      <c r="AA49" s="184">
        <f t="shared" si="28"/>
        <v>4.9772601919589168E-2</v>
      </c>
      <c r="AB49" s="184">
        <f t="shared" si="29"/>
        <v>2.1772601919589164E-2</v>
      </c>
      <c r="AC49" s="184">
        <f t="shared" si="30"/>
        <v>1.0772601919589167E-2</v>
      </c>
      <c r="AE49">
        <f>IF($AA$78=1,'Previous year'!T52,SUMIF($D$82:$O$82,$AA$83,$D49:$O49))</f>
        <v>1.0999999999999999E-2</v>
      </c>
      <c r="AF49">
        <f>IF($AA$79=1,'Previous year'!U52,SUMIF(prod_compiled!$R$82:$U$82,prod_compiled!$AA$84,prod_compiled!$R49:$U49))</f>
        <v>2.8000000000000004E-2</v>
      </c>
      <c r="AG49">
        <f>'Previous year'!V52</f>
        <v>9.2999999999999999E-2</v>
      </c>
    </row>
    <row r="50" spans="3:33">
      <c r="C50" s="144" t="s">
        <v>66</v>
      </c>
      <c r="D50" s="267">
        <f>'non-reconprod'!D50*'non-reconprod'!D$76+'non-reconprod'!W50*'non-reconprod'!W$76</f>
        <v>3.7999999999999999E-2</v>
      </c>
      <c r="E50" s="184">
        <f>'non-reconprod'!E50*'non-reconprod'!E$76+'non-reconprod'!X50*'non-reconprod'!X$76</f>
        <v>4.3999999999999997E-2</v>
      </c>
      <c r="F50" s="184">
        <f>'non-reconprod'!F50*'non-reconprod'!F$76+'non-reconprod'!Y50*'non-reconprod'!Y$76</f>
        <v>6.7000000000000004E-2</v>
      </c>
      <c r="G50" s="184">
        <f>'non-reconprod'!G50*'non-reconprod'!G$76+'non-reconprod'!Z50*'non-reconprod'!Z$76</f>
        <v>5.3999999999999999E-2</v>
      </c>
      <c r="H50" s="184">
        <f>'non-reconprod'!H50*'non-reconprod'!H$76+'non-reconprod'!AA50*'non-reconprod'!AA$76</f>
        <v>7.0161706048396735E-2</v>
      </c>
      <c r="I50" s="184">
        <f>'non-reconprod'!I50*'non-reconprod'!I$76+'non-reconprod'!AB50*'non-reconprod'!AB$76</f>
        <v>0</v>
      </c>
      <c r="J50" s="184">
        <f>'non-reconprod'!J50*'non-reconprod'!J$76+'non-reconprod'!AC50*'non-reconprod'!AC$76</f>
        <v>0</v>
      </c>
      <c r="K50" s="184">
        <f>'non-reconprod'!K50*'non-reconprod'!K$76+'non-reconprod'!AD50*'non-reconprod'!AD$76</f>
        <v>0</v>
      </c>
      <c r="L50" s="184">
        <f>'non-reconprod'!L50*'non-reconprod'!L$76+'non-reconprod'!AE50*'non-reconprod'!AE$76</f>
        <v>0</v>
      </c>
      <c r="M50" s="184">
        <f>'non-reconprod'!M50*'non-reconprod'!M$76+'non-reconprod'!AF50*'non-reconprod'!AF$76</f>
        <v>0</v>
      </c>
      <c r="N50" s="184">
        <f>'non-reconprod'!N50*'non-reconprod'!N$76+'non-reconprod'!AG50*'non-reconprod'!AG$76</f>
        <v>0</v>
      </c>
      <c r="O50" s="184">
        <f>'non-reconprod'!O50*'non-reconprod'!O$76+'non-reconprod'!AH50*'non-reconprod'!AH$76</f>
        <v>0</v>
      </c>
      <c r="R50" s="184">
        <f t="shared" si="22"/>
        <v>0.14899999999999999</v>
      </c>
      <c r="S50" s="184">
        <f t="shared" si="23"/>
        <v>0.12416170604839674</v>
      </c>
      <c r="T50" s="184">
        <f t="shared" si="24"/>
        <v>0</v>
      </c>
      <c r="U50" s="184">
        <f t="shared" si="31"/>
        <v>0</v>
      </c>
      <c r="V50" s="184">
        <f t="shared" si="25"/>
        <v>0.27316170604839674</v>
      </c>
      <c r="W50" s="184">
        <f t="shared" si="32"/>
        <v>0</v>
      </c>
      <c r="X50" s="184">
        <f t="shared" si="26"/>
        <v>0.27316170604839674</v>
      </c>
      <c r="Y50" s="184">
        <f t="shared" si="27"/>
        <v>0.27316170604839674</v>
      </c>
      <c r="Z50" s="184"/>
      <c r="AA50" s="184">
        <f t="shared" si="28"/>
        <v>0.27316170604839674</v>
      </c>
      <c r="AB50" s="184">
        <f t="shared" si="29"/>
        <v>0.12416170604839674</v>
      </c>
      <c r="AC50" s="184">
        <f t="shared" si="30"/>
        <v>7.0161706048396735E-2</v>
      </c>
      <c r="AE50">
        <f>IF($AA$78=1,'Previous year'!T53,SUMIF($D$82:$O$82,$AA$83,$D50:$O50))</f>
        <v>5.3999999999999999E-2</v>
      </c>
      <c r="AF50">
        <f>IF($AA$79=1,'Previous year'!U53,SUMIF(prod_compiled!$R$82:$U$82,prod_compiled!$AA$84,prod_compiled!$R50:$U50))</f>
        <v>0.14899999999999999</v>
      </c>
      <c r="AG50">
        <f>'Previous year'!V53</f>
        <v>0.748</v>
      </c>
    </row>
    <row r="51" spans="3:33">
      <c r="C51" s="144" t="s">
        <v>67</v>
      </c>
      <c r="D51" s="267">
        <f>'non-reconprod'!D51*'non-reconprod'!D$76+'non-reconprod'!W51*'non-reconprod'!W$76</f>
        <v>5.5E-2</v>
      </c>
      <c r="E51" s="184">
        <f>'non-reconprod'!E51*'non-reconprod'!E$76+'non-reconprod'!X51*'non-reconprod'!X$76</f>
        <v>5.7000000000000002E-2</v>
      </c>
      <c r="F51" s="184">
        <f>'non-reconprod'!F51*'non-reconprod'!F$76+'non-reconprod'!Y51*'non-reconprod'!Y$76</f>
        <v>5.1999999999999998E-2</v>
      </c>
      <c r="G51" s="184">
        <f>'non-reconprod'!G51*'non-reconprod'!G$76+'non-reconprod'!Z51*'non-reconprod'!Z$76</f>
        <v>5.8999999999999997E-2</v>
      </c>
      <c r="H51" s="184">
        <f>'non-reconprod'!H51*'non-reconprod'!H$76+'non-reconprod'!AA51*'non-reconprod'!AA$76</f>
        <v>5.741999622492916E-2</v>
      </c>
      <c r="I51" s="184">
        <f>'non-reconprod'!I51*'non-reconprod'!I$76+'non-reconprod'!AB51*'non-reconprod'!AB$76</f>
        <v>0</v>
      </c>
      <c r="J51" s="184">
        <f>'non-reconprod'!J51*'non-reconprod'!J$76+'non-reconprod'!AC51*'non-reconprod'!AC$76</f>
        <v>0</v>
      </c>
      <c r="K51" s="184">
        <f>'non-reconprod'!K51*'non-reconprod'!K$76+'non-reconprod'!AD51*'non-reconprod'!AD$76</f>
        <v>0</v>
      </c>
      <c r="L51" s="184">
        <f>'non-reconprod'!L51*'non-reconprod'!L$76+'non-reconprod'!AE51*'non-reconprod'!AE$76</f>
        <v>0</v>
      </c>
      <c r="M51" s="184">
        <f>'non-reconprod'!M51*'non-reconprod'!M$76+'non-reconprod'!AF51*'non-reconprod'!AF$76</f>
        <v>0</v>
      </c>
      <c r="N51" s="184">
        <f>'non-reconprod'!N51*'non-reconprod'!N$76+'non-reconprod'!AG51*'non-reconprod'!AG$76</f>
        <v>0</v>
      </c>
      <c r="O51" s="184">
        <f>'non-reconprod'!O51*'non-reconprod'!O$76+'non-reconprod'!AH51*'non-reconprod'!AH$76</f>
        <v>0</v>
      </c>
      <c r="R51" s="184">
        <f t="shared" si="22"/>
        <v>0.16400000000000001</v>
      </c>
      <c r="S51" s="184">
        <f t="shared" si="23"/>
        <v>0.11641999622492916</v>
      </c>
      <c r="T51" s="184">
        <f t="shared" si="24"/>
        <v>0</v>
      </c>
      <c r="U51" s="184">
        <f t="shared" si="31"/>
        <v>0</v>
      </c>
      <c r="V51" s="184">
        <f t="shared" si="25"/>
        <v>0.28041999622492919</v>
      </c>
      <c r="W51" s="184">
        <f t="shared" si="32"/>
        <v>0</v>
      </c>
      <c r="X51" s="184">
        <f t="shared" si="26"/>
        <v>0.28041999622492919</v>
      </c>
      <c r="Y51" s="184">
        <f t="shared" si="27"/>
        <v>0.28041999622492919</v>
      </c>
      <c r="Z51" s="184"/>
      <c r="AA51" s="184">
        <f t="shared" si="28"/>
        <v>0.28041999622492919</v>
      </c>
      <c r="AB51" s="184">
        <f t="shared" si="29"/>
        <v>0.11641999622492916</v>
      </c>
      <c r="AC51" s="184">
        <f t="shared" si="30"/>
        <v>5.741999622492916E-2</v>
      </c>
      <c r="AE51">
        <f>IF($AA$78=1,'Previous year'!T54,SUMIF($D$82:$O$82,$AA$83,$D51:$O51))</f>
        <v>5.8999999999999997E-2</v>
      </c>
      <c r="AF51">
        <f>IF($AA$79=1,'Previous year'!U54,SUMIF(prod_compiled!$R$82:$U$82,prod_compiled!$AA$84,prod_compiled!$R51:$U51))</f>
        <v>0.16400000000000001</v>
      </c>
      <c r="AG51">
        <f>'Previous year'!V54</f>
        <v>0.57499999999999996</v>
      </c>
    </row>
    <row r="52" spans="3:33">
      <c r="C52" s="144" t="s">
        <v>68</v>
      </c>
      <c r="D52" s="267">
        <f>'non-reconprod'!D52*'non-reconprod'!D$76+'non-reconprod'!W52*'non-reconprod'!W$76</f>
        <v>1.4E-2</v>
      </c>
      <c r="E52" s="184">
        <f>'non-reconprod'!E52*'non-reconprod'!E$76+'non-reconprod'!X52*'non-reconprod'!X$76</f>
        <v>1.4E-2</v>
      </c>
      <c r="F52" s="184">
        <f>'non-reconprod'!F52*'non-reconprod'!F$76+'non-reconprod'!Y52*'non-reconprod'!Y$76</f>
        <v>1.2999999999999999E-2</v>
      </c>
      <c r="G52" s="184">
        <f>'non-reconprod'!G52*'non-reconprod'!G$76+'non-reconprod'!Z52*'non-reconprod'!Z$76</f>
        <v>1.2999999999999999E-2</v>
      </c>
      <c r="H52" s="184">
        <f>'non-reconprod'!H52*'non-reconprod'!H$76+'non-reconprod'!AA52*'non-reconprod'!AA$76</f>
        <v>1.3550622111245282E-2</v>
      </c>
      <c r="I52" s="184">
        <f>'non-reconprod'!I52*'non-reconprod'!I$76+'non-reconprod'!AB52*'non-reconprod'!AB$76</f>
        <v>0</v>
      </c>
      <c r="J52" s="184">
        <f>'non-reconprod'!J52*'non-reconprod'!J$76+'non-reconprod'!AC52*'non-reconprod'!AC$76</f>
        <v>0</v>
      </c>
      <c r="K52" s="184">
        <f>'non-reconprod'!K52*'non-reconprod'!K$76+'non-reconprod'!AD52*'non-reconprod'!AD$76</f>
        <v>0</v>
      </c>
      <c r="L52" s="184">
        <f>'non-reconprod'!L52*'non-reconprod'!L$76+'non-reconprod'!AE52*'non-reconprod'!AE$76</f>
        <v>0</v>
      </c>
      <c r="M52" s="184">
        <f>'non-reconprod'!M52*'non-reconprod'!M$76+'non-reconprod'!AF52*'non-reconprod'!AF$76</f>
        <v>0</v>
      </c>
      <c r="N52" s="184">
        <f>'non-reconprod'!N52*'non-reconprod'!N$76+'non-reconprod'!AG52*'non-reconprod'!AG$76</f>
        <v>0</v>
      </c>
      <c r="O52" s="184">
        <f>'non-reconprod'!O52*'non-reconprod'!O$76+'non-reconprod'!AH52*'non-reconprod'!AH$76</f>
        <v>0</v>
      </c>
      <c r="R52" s="184">
        <f t="shared" si="22"/>
        <v>4.1000000000000002E-2</v>
      </c>
      <c r="S52" s="184">
        <f t="shared" si="23"/>
        <v>2.655062211124528E-2</v>
      </c>
      <c r="T52" s="184">
        <f t="shared" si="24"/>
        <v>0</v>
      </c>
      <c r="U52" s="184">
        <f t="shared" si="31"/>
        <v>0</v>
      </c>
      <c r="V52" s="184">
        <f t="shared" si="25"/>
        <v>6.7550622111245281E-2</v>
      </c>
      <c r="W52" s="184">
        <f t="shared" si="32"/>
        <v>0</v>
      </c>
      <c r="X52" s="184">
        <f t="shared" si="26"/>
        <v>6.7550622111245281E-2</v>
      </c>
      <c r="Y52" s="184">
        <f t="shared" si="27"/>
        <v>6.7550622111245281E-2</v>
      </c>
      <c r="Z52" s="184"/>
      <c r="AA52" s="184">
        <f t="shared" si="28"/>
        <v>6.7550622111245281E-2</v>
      </c>
      <c r="AB52" s="184">
        <f t="shared" si="29"/>
        <v>2.655062211124528E-2</v>
      </c>
      <c r="AC52" s="184">
        <f t="shared" si="30"/>
        <v>1.3550622111245282E-2</v>
      </c>
      <c r="AE52">
        <f>IF($AA$78=1,'Previous year'!T55,SUMIF($D$82:$O$82,$AA$83,$D52:$O52))</f>
        <v>1.2999999999999999E-2</v>
      </c>
      <c r="AF52">
        <f>IF($AA$79=1,'Previous year'!U55,SUMIF(prod_compiled!$R$82:$U$82,prod_compiled!$AA$84,prod_compiled!$R52:$U52))</f>
        <v>4.1000000000000002E-2</v>
      </c>
      <c r="AG52">
        <f>'Previous year'!V55</f>
        <v>0.13600000000000001</v>
      </c>
    </row>
    <row r="53" spans="3:33">
      <c r="C53" s="144" t="s">
        <v>69</v>
      </c>
      <c r="D53" s="267">
        <f>'non-reconprod'!D53*'non-reconprod'!D$76+'non-reconprod'!W53*'non-reconprod'!W$76</f>
        <v>0</v>
      </c>
      <c r="E53" s="184">
        <f>'non-reconprod'!E53*'non-reconprod'!E$76+'non-reconprod'!X53*'non-reconprod'!X$76</f>
        <v>0</v>
      </c>
      <c r="F53" s="184">
        <f>'non-reconprod'!F53*'non-reconprod'!F$76+'non-reconprod'!Y53*'non-reconprod'!Y$76</f>
        <v>0</v>
      </c>
      <c r="G53" s="184">
        <f>'non-reconprod'!G53*'non-reconprod'!G$76+'non-reconprod'!Z53*'non-reconprod'!Z$76</f>
        <v>0</v>
      </c>
      <c r="H53" s="184">
        <f>'non-reconprod'!H53*'non-reconprod'!H$76+'non-reconprod'!AA53*'non-reconprod'!AA$76</f>
        <v>0</v>
      </c>
      <c r="I53" s="184">
        <f>'non-reconprod'!I53*'non-reconprod'!I$76+'non-reconprod'!AB53*'non-reconprod'!AB$76</f>
        <v>0</v>
      </c>
      <c r="J53" s="184">
        <f>'non-reconprod'!J53*'non-reconprod'!J$76+'non-reconprod'!AC53*'non-reconprod'!AC$76</f>
        <v>0</v>
      </c>
      <c r="K53" s="184">
        <f>'non-reconprod'!K53*'non-reconprod'!K$76+'non-reconprod'!AD53*'non-reconprod'!AD$76</f>
        <v>0</v>
      </c>
      <c r="L53" s="184">
        <f>'non-reconprod'!L53*'non-reconprod'!L$76+'non-reconprod'!AE53*'non-reconprod'!AE$76</f>
        <v>0</v>
      </c>
      <c r="M53" s="184">
        <f>'non-reconprod'!M53*'non-reconprod'!M$76+'non-reconprod'!AF53*'non-reconprod'!AF$76</f>
        <v>0</v>
      </c>
      <c r="N53" s="184">
        <f>'non-reconprod'!N53*'non-reconprod'!N$76+'non-reconprod'!AG53*'non-reconprod'!AG$76</f>
        <v>0</v>
      </c>
      <c r="O53" s="184">
        <f>'non-reconprod'!O53*'non-reconprod'!O$76+'non-reconprod'!AH53*'non-reconprod'!AH$76</f>
        <v>0</v>
      </c>
      <c r="R53" s="184">
        <f t="shared" si="22"/>
        <v>0</v>
      </c>
      <c r="S53" s="184">
        <f t="shared" si="23"/>
        <v>0</v>
      </c>
      <c r="T53" s="184">
        <f t="shared" si="24"/>
        <v>0</v>
      </c>
      <c r="U53" s="184">
        <f t="shared" si="31"/>
        <v>0</v>
      </c>
      <c r="V53" s="184">
        <f t="shared" si="25"/>
        <v>0</v>
      </c>
      <c r="W53" s="184">
        <f t="shared" si="32"/>
        <v>0</v>
      </c>
      <c r="X53" s="184">
        <f t="shared" si="26"/>
        <v>0</v>
      </c>
      <c r="Y53" s="184">
        <f t="shared" si="27"/>
        <v>0</v>
      </c>
      <c r="Z53" s="184"/>
      <c r="AA53" s="184">
        <f t="shared" si="28"/>
        <v>0</v>
      </c>
      <c r="AB53" s="184">
        <f t="shared" si="29"/>
        <v>0</v>
      </c>
      <c r="AC53" s="184">
        <f t="shared" si="30"/>
        <v>0</v>
      </c>
      <c r="AE53">
        <f>IF($AA$78=1,'Previous year'!T56,SUMIF($D$82:$O$82,$AA$83,$D53:$O53))</f>
        <v>0</v>
      </c>
      <c r="AF53">
        <f>IF($AA$79=1,'Previous year'!U56,SUMIF(prod_compiled!$R$82:$U$82,prod_compiled!$AA$84,prod_compiled!$R53:$U53))</f>
        <v>0</v>
      </c>
      <c r="AG53">
        <f>'Previous year'!V56</f>
        <v>1E-3</v>
      </c>
    </row>
    <row r="54" spans="3:33">
      <c r="C54" s="144" t="s">
        <v>70</v>
      </c>
      <c r="D54" s="267">
        <f>'non-reconprod'!D54*'non-reconprod'!D$76+'non-reconprod'!W54*'non-reconprod'!W$76</f>
        <v>0</v>
      </c>
      <c r="E54" s="184">
        <f>'non-reconprod'!E54*'non-reconprod'!E$76+'non-reconprod'!X54*'non-reconprod'!X$76</f>
        <v>0</v>
      </c>
      <c r="F54" s="184">
        <f>'non-reconprod'!F54*'non-reconprod'!F$76+'non-reconprod'!Y54*'non-reconprod'!Y$76</f>
        <v>0</v>
      </c>
      <c r="G54" s="184">
        <f>'non-reconprod'!G54*'non-reconprod'!G$76+'non-reconprod'!Z54*'non-reconprod'!Z$76</f>
        <v>0</v>
      </c>
      <c r="H54" s="184">
        <f>'non-reconprod'!H54*'non-reconprod'!H$76+'non-reconprod'!AA54*'non-reconprod'!AA$76</f>
        <v>0</v>
      </c>
      <c r="I54" s="184">
        <f>'non-reconprod'!I54*'non-reconprod'!I$76+'non-reconprod'!AB54*'non-reconprod'!AB$76</f>
        <v>0</v>
      </c>
      <c r="J54" s="184">
        <f>'non-reconprod'!J54*'non-reconprod'!J$76+'non-reconprod'!AC54*'non-reconprod'!AC$76</f>
        <v>0</v>
      </c>
      <c r="K54" s="184">
        <f>'non-reconprod'!K54*'non-reconprod'!K$76+'non-reconprod'!AD54*'non-reconprod'!AD$76</f>
        <v>0</v>
      </c>
      <c r="L54" s="184">
        <f>'non-reconprod'!L54*'non-reconprod'!L$76+'non-reconprod'!AE54*'non-reconprod'!AE$76</f>
        <v>0</v>
      </c>
      <c r="M54" s="184">
        <f>'non-reconprod'!M54*'non-reconprod'!M$76+'non-reconprod'!AF54*'non-reconprod'!AF$76</f>
        <v>0</v>
      </c>
      <c r="N54" s="184">
        <f>'non-reconprod'!N54*'non-reconprod'!N$76+'non-reconprod'!AG54*'non-reconprod'!AG$76</f>
        <v>0</v>
      </c>
      <c r="O54" s="184">
        <f>'non-reconprod'!O54*'non-reconprod'!O$76+'non-reconprod'!AH54*'non-reconprod'!AH$76</f>
        <v>0</v>
      </c>
      <c r="R54" s="184">
        <f t="shared" si="22"/>
        <v>0</v>
      </c>
      <c r="S54" s="184">
        <f t="shared" si="23"/>
        <v>0</v>
      </c>
      <c r="T54" s="184">
        <f t="shared" si="24"/>
        <v>0</v>
      </c>
      <c r="U54" s="184">
        <f t="shared" si="31"/>
        <v>0</v>
      </c>
      <c r="V54" s="184">
        <f t="shared" si="25"/>
        <v>0</v>
      </c>
      <c r="W54" s="184">
        <f t="shared" si="32"/>
        <v>0</v>
      </c>
      <c r="X54" s="184">
        <f t="shared" si="26"/>
        <v>0</v>
      </c>
      <c r="Y54" s="184">
        <f t="shared" si="27"/>
        <v>0</v>
      </c>
      <c r="Z54" s="184"/>
      <c r="AA54" s="184">
        <f t="shared" si="28"/>
        <v>0</v>
      </c>
      <c r="AB54" s="184">
        <f t="shared" si="29"/>
        <v>0</v>
      </c>
      <c r="AC54" s="184">
        <f t="shared" si="30"/>
        <v>0</v>
      </c>
      <c r="AE54">
        <f>IF($AA$78=1,'Previous year'!T57,SUMIF($D$82:$O$82,$AA$83,$D54:$O54))</f>
        <v>0</v>
      </c>
      <c r="AF54">
        <f>IF($AA$79=1,'Previous year'!U57,SUMIF(prod_compiled!$R$82:$U$82,prod_compiled!$AA$84,prod_compiled!$R54:$U54))</f>
        <v>0</v>
      </c>
      <c r="AG54">
        <f>'Previous year'!V57</f>
        <v>0</v>
      </c>
    </row>
    <row r="55" spans="3:33">
      <c r="D55" s="197">
        <f>SUM(D41:D54)</f>
        <v>0.58800000000000008</v>
      </c>
      <c r="E55">
        <f t="shared" ref="E55:N55" si="33">SUM(E41:E54)</f>
        <v>0.6110000000000001</v>
      </c>
      <c r="F55">
        <f t="shared" si="33"/>
        <v>0.59900000000000009</v>
      </c>
      <c r="G55">
        <f t="shared" si="33"/>
        <v>0.62100000000000011</v>
      </c>
      <c r="H55">
        <f t="shared" si="33"/>
        <v>0.64270202871613813</v>
      </c>
      <c r="I55">
        <f t="shared" si="33"/>
        <v>0</v>
      </c>
      <c r="J55">
        <f t="shared" si="33"/>
        <v>0</v>
      </c>
      <c r="K55">
        <f t="shared" si="33"/>
        <v>0</v>
      </c>
      <c r="L55">
        <f t="shared" si="33"/>
        <v>0</v>
      </c>
      <c r="M55">
        <f t="shared" si="33"/>
        <v>0</v>
      </c>
      <c r="N55">
        <f t="shared" si="33"/>
        <v>0</v>
      </c>
      <c r="O55">
        <f>SUM(O41:O54)</f>
        <v>0</v>
      </c>
      <c r="P55" s="247" t="s">
        <v>143</v>
      </c>
      <c r="Q55" s="247" t="s">
        <v>84</v>
      </c>
      <c r="R55" s="247" t="s">
        <v>48</v>
      </c>
      <c r="S55" s="247" t="s">
        <v>87</v>
      </c>
      <c r="T55" s="247" t="s">
        <v>157</v>
      </c>
      <c r="U55" s="184" t="s">
        <v>85</v>
      </c>
      <c r="V55" s="247" t="s">
        <v>1821</v>
      </c>
    </row>
    <row r="56" spans="3:33">
      <c r="D56" s="197"/>
      <c r="I56" t="s">
        <v>147</v>
      </c>
      <c r="P56" s="247">
        <v>8.0000000000000002E-3</v>
      </c>
      <c r="Q56" s="247">
        <f>J61+P56+L61</f>
        <v>8.0000000000000002E-3</v>
      </c>
      <c r="R56" s="247">
        <f>Q56+U61</f>
        <v>8.0000000000000002E-3</v>
      </c>
      <c r="S56" s="247">
        <f>V61+R56</f>
        <v>5.9243716568454494E-2</v>
      </c>
      <c r="T56" s="247">
        <f>S56</f>
        <v>5.9243716568454494E-2</v>
      </c>
      <c r="U56" s="328">
        <f>V61+Q56</f>
        <v>5.9243716568454494E-2</v>
      </c>
    </row>
    <row r="57" spans="3:33">
      <c r="D57" s="267" t="s">
        <v>30</v>
      </c>
      <c r="E57" s="184" t="s">
        <v>71</v>
      </c>
      <c r="F57" s="184" t="s">
        <v>72</v>
      </c>
      <c r="G57" s="184" t="s">
        <v>73</v>
      </c>
      <c r="H57" s="184" t="s">
        <v>140</v>
      </c>
      <c r="I57" s="184" t="s">
        <v>141</v>
      </c>
      <c r="J57" s="184" t="s">
        <v>142</v>
      </c>
      <c r="K57" s="184" t="s">
        <v>143</v>
      </c>
      <c r="L57" s="184" t="s">
        <v>42</v>
      </c>
      <c r="M57" s="184" t="s">
        <v>339</v>
      </c>
      <c r="N57" s="184" t="s">
        <v>340</v>
      </c>
      <c r="O57" s="184" t="s">
        <v>341</v>
      </c>
      <c r="R57" s="184" t="s">
        <v>82</v>
      </c>
      <c r="S57" s="184" t="s">
        <v>83</v>
      </c>
      <c r="T57" s="184" t="s">
        <v>84</v>
      </c>
      <c r="U57" s="184" t="s">
        <v>86</v>
      </c>
      <c r="V57" s="184" t="s">
        <v>39</v>
      </c>
      <c r="W57" s="184" t="s">
        <v>48</v>
      </c>
      <c r="X57" s="184" t="s">
        <v>85</v>
      </c>
      <c r="Y57" s="184" t="s">
        <v>87</v>
      </c>
      <c r="Z57" s="184"/>
      <c r="AA57" s="184" t="s">
        <v>157</v>
      </c>
      <c r="AB57" s="184" t="s">
        <v>159</v>
      </c>
      <c r="AC57" s="184" t="s">
        <v>158</v>
      </c>
      <c r="AE57" t="s">
        <v>338</v>
      </c>
      <c r="AF57" t="s">
        <v>342</v>
      </c>
      <c r="AG57" t="s">
        <v>344</v>
      </c>
    </row>
    <row r="58" spans="3:33">
      <c r="C58" s="144" t="s">
        <v>60</v>
      </c>
      <c r="D58" s="267">
        <f>'non-reconprod'!D58*'non-reconprod'!D$76+'non-reconprod'!W58*'non-reconprod'!W$76</f>
        <v>5.8000000000000003E-2</v>
      </c>
      <c r="E58" s="184">
        <f>'non-reconprod'!E58*'non-reconprod'!E$76+'non-reconprod'!X58*'non-reconprod'!X$76</f>
        <v>5.1999999999999998E-2</v>
      </c>
      <c r="F58" s="184">
        <f>'non-reconprod'!F58*'non-reconprod'!F$76+'non-reconprod'!Y58*'non-reconprod'!Y$76</f>
        <v>4.5999999999999999E-2</v>
      </c>
      <c r="G58" s="184">
        <f>'non-reconprod'!G58*'non-reconprod'!G$76+'non-reconprod'!Z58*'non-reconprod'!Z$76</f>
        <v>4.5999999999999999E-2</v>
      </c>
      <c r="H58" s="184">
        <f>'non-reconprod'!H58*'non-reconprod'!H$76+'non-reconprod'!AA58*'non-reconprod'!AA$76</f>
        <v>4.2928371854780031E-2</v>
      </c>
      <c r="I58" s="184">
        <f>'non-reconprod'!I58*'non-reconprod'!I$76+'non-reconprod'!AB58*'non-reconprod'!AB$76</f>
        <v>0</v>
      </c>
      <c r="J58" s="184">
        <f>'non-reconprod'!J58*'non-reconprod'!J$76+'non-reconprod'!AC58*'non-reconprod'!AC$76</f>
        <v>0</v>
      </c>
      <c r="K58" s="184">
        <f>'non-reconprod'!K58*'non-reconprod'!K$76+'non-reconprod'!AD58*'non-reconprod'!AD$76</f>
        <v>0</v>
      </c>
      <c r="L58" s="184">
        <f>'non-reconprod'!L58*'non-reconprod'!L$76+'non-reconprod'!AE58*'non-reconprod'!AE$76</f>
        <v>0</v>
      </c>
      <c r="M58" s="184">
        <f>'non-reconprod'!M58*'non-reconprod'!M$76+'non-reconprod'!AF58*'non-reconprod'!AF$76</f>
        <v>0</v>
      </c>
      <c r="N58" s="184">
        <f>'non-reconprod'!N58*'non-reconprod'!N$76+'non-reconprod'!AG58*'non-reconprod'!AG$76</f>
        <v>0</v>
      </c>
      <c r="O58" s="184">
        <f>'non-reconprod'!O58*'non-reconprod'!O$76+'non-reconprod'!AH58*'non-reconprod'!AH$76</f>
        <v>0</v>
      </c>
      <c r="R58" s="184">
        <f>D58+E58+F58</f>
        <v>0.156</v>
      </c>
      <c r="S58" s="184">
        <f>G58+H58+I58</f>
        <v>8.8928371854780031E-2</v>
      </c>
      <c r="T58" s="184">
        <f>J58+K58+L58</f>
        <v>0</v>
      </c>
      <c r="U58" s="184">
        <f>M58+N58+O58</f>
        <v>0</v>
      </c>
      <c r="V58" s="184">
        <f>R58+S58</f>
        <v>0.24492837185478003</v>
      </c>
      <c r="W58" s="184">
        <f>T58+U58</f>
        <v>0</v>
      </c>
      <c r="X58" s="184">
        <f>V58+T58</f>
        <v>0.24492837185478003</v>
      </c>
      <c r="Y58" s="184">
        <f>V58+W58</f>
        <v>0.24492837185478003</v>
      </c>
      <c r="Z58" s="184"/>
      <c r="AA58" s="184">
        <f>Y58</f>
        <v>0.24492837185478003</v>
      </c>
      <c r="AB58" s="184">
        <f>SUMIF(R$82:U$82,$AA$79,R58:U58)</f>
        <v>8.8928371854780031E-2</v>
      </c>
      <c r="AC58" s="184">
        <f>SUMIF(D$82:O$82,$AA$78,D58:O58)</f>
        <v>4.2928371854780031E-2</v>
      </c>
      <c r="AE58">
        <f>IF($AA$78=1,'Previous year'!T63,SUMIF($D$82:$O$82,$AA$83,$D58:$O58))</f>
        <v>4.5999999999999999E-2</v>
      </c>
      <c r="AF58">
        <f>IF($AA$79=1,'Previous year'!U63,SUMIF(prod_compiled!$R$82:$U$82,prod_compiled!$AA$84,prod_compiled!$R58:$U58))</f>
        <v>0.156</v>
      </c>
      <c r="AG58">
        <f>'Previous year'!V63</f>
        <v>0.623</v>
      </c>
    </row>
    <row r="59" spans="3:33">
      <c r="C59" s="144" t="s">
        <v>61</v>
      </c>
      <c r="D59" s="267">
        <f>'non-reconprod'!D59*'non-reconprod'!D$76+'non-reconprod'!W59*'non-reconprod'!W$76</f>
        <v>7.8E-2</v>
      </c>
      <c r="E59" s="184">
        <f>'non-reconprod'!E59*'non-reconprod'!E$76+'non-reconprod'!X59*'non-reconprod'!X$76</f>
        <v>0.08</v>
      </c>
      <c r="F59" s="184">
        <f>'non-reconprod'!F59*'non-reconprod'!F$76+'non-reconprod'!Y59*'non-reconprod'!Y$76</f>
        <v>7.5999999999999998E-2</v>
      </c>
      <c r="G59" s="184">
        <f>'non-reconprod'!G59*'non-reconprod'!G$76+'non-reconprod'!Z59*'non-reconprod'!Z$76</f>
        <v>7.0999999999999994E-2</v>
      </c>
      <c r="H59" s="184">
        <f>'non-reconprod'!H59*'non-reconprod'!H$76+'non-reconprod'!AA59*'non-reconprod'!AA$76</f>
        <v>8.1634172359999979E-2</v>
      </c>
      <c r="I59" s="184">
        <f>'non-reconprod'!I59*'non-reconprod'!I$76+'non-reconprod'!AB59*'non-reconprod'!AB$76</f>
        <v>0</v>
      </c>
      <c r="J59" s="184">
        <f>'non-reconprod'!J59*'non-reconprod'!J$76+'non-reconprod'!AC59*'non-reconprod'!AC$76</f>
        <v>0</v>
      </c>
      <c r="K59" s="184">
        <f>'non-reconprod'!K59*'non-reconprod'!K$76+'non-reconprod'!AD59*'non-reconprod'!AD$76</f>
        <v>0</v>
      </c>
      <c r="L59" s="184">
        <f>'non-reconprod'!L59*'non-reconprod'!L$76+'non-reconprod'!AE59*'non-reconprod'!AE$76</f>
        <v>0</v>
      </c>
      <c r="M59" s="184">
        <f>'non-reconprod'!M59*'non-reconprod'!M$76+'non-reconprod'!AF59*'non-reconprod'!AF$76</f>
        <v>0</v>
      </c>
      <c r="N59" s="184">
        <f>'non-reconprod'!N59*'non-reconprod'!N$76+'non-reconprod'!AG59*'non-reconprod'!AG$76</f>
        <v>0</v>
      </c>
      <c r="O59" s="184">
        <f>'non-reconprod'!O59*'non-reconprod'!O$76+'non-reconprod'!AH59*'non-reconprod'!AH$76</f>
        <v>0</v>
      </c>
      <c r="R59" s="184">
        <f t="shared" ref="R59:R71" si="34">D59+E59+F59</f>
        <v>0.23399999999999999</v>
      </c>
      <c r="S59" s="184">
        <f t="shared" ref="S59:S71" si="35">G59+H59+I59</f>
        <v>0.15263417235999999</v>
      </c>
      <c r="T59" s="184">
        <f t="shared" ref="T59:T71" si="36">J59+K59+L59</f>
        <v>0</v>
      </c>
      <c r="U59" s="184">
        <f t="shared" ref="U59:U71" si="37">M59+N59+O59</f>
        <v>0</v>
      </c>
      <c r="V59" s="184">
        <f t="shared" ref="V59:V71" si="38">R59+S59</f>
        <v>0.38663417235999997</v>
      </c>
      <c r="W59" s="184">
        <f t="shared" ref="W59:W71" si="39">T59+U59</f>
        <v>0</v>
      </c>
      <c r="X59" s="184">
        <f t="shared" ref="X59:X71" si="40">V59+T59</f>
        <v>0.38663417235999997</v>
      </c>
      <c r="Y59" s="184">
        <f t="shared" ref="Y59:Y71" si="41">V59+W59</f>
        <v>0.38663417235999997</v>
      </c>
      <c r="Z59" s="184"/>
      <c r="AA59" s="184">
        <f t="shared" ref="AA59:AA71" si="42">Y59</f>
        <v>0.38663417235999997</v>
      </c>
      <c r="AB59" s="184">
        <f t="shared" ref="AB59:AB71" si="43">SUMIF(R$82:U$82,$AA$79,R59:U59)</f>
        <v>0.15263417235999999</v>
      </c>
      <c r="AC59" s="184">
        <f t="shared" ref="AC59:AC71" si="44">SUMIF(D$82:O$82,$AA$78,D59:O59)</f>
        <v>8.1634172359999979E-2</v>
      </c>
      <c r="AE59">
        <f>IF($AA$78=1,'Previous year'!T64,SUMIF($D$82:$O$82,$AA$83,$D59:$O59))</f>
        <v>7.0999999999999994E-2</v>
      </c>
      <c r="AF59">
        <f>IF($AA$79=1,'Previous year'!U64,SUMIF(prod_compiled!$R$82:$U$82,prod_compiled!$AA$84,prod_compiled!$R59:$U59))</f>
        <v>0.23399999999999999</v>
      </c>
      <c r="AG59">
        <f>'Previous year'!V64</f>
        <v>0.96499999999999997</v>
      </c>
    </row>
    <row r="60" spans="3:33">
      <c r="C60" s="144" t="s">
        <v>62</v>
      </c>
      <c r="D60" s="267">
        <f>'non-reconprod'!D60*'non-reconprod'!D$76+'non-reconprod'!W60*'non-reconprod'!W$76</f>
        <v>8.0000000000000002E-3</v>
      </c>
      <c r="E60" s="184">
        <f>'non-reconprod'!E60*'non-reconprod'!E$76+'non-reconprod'!X60*'non-reconprod'!X$76</f>
        <v>7.0000000000000001E-3</v>
      </c>
      <c r="F60" s="184">
        <f>'non-reconprod'!F60*'non-reconprod'!F$76+'non-reconprod'!Y60*'non-reconprod'!Y$76</f>
        <v>8.9999999999999993E-3</v>
      </c>
      <c r="G60" s="184">
        <f>'non-reconprod'!G60*'non-reconprod'!G$76+'non-reconprod'!Z60*'non-reconprod'!Z$76</f>
        <v>7.0000000000000001E-3</v>
      </c>
      <c r="H60" s="184">
        <f>'non-reconprod'!H60*'non-reconprod'!H$76+'non-reconprod'!AA60*'non-reconprod'!AA$76</f>
        <v>7.6499679999999983E-3</v>
      </c>
      <c r="I60" s="184">
        <f>'non-reconprod'!I60*'non-reconprod'!I$76+'non-reconprod'!AB60*'non-reconprod'!AB$76</f>
        <v>0</v>
      </c>
      <c r="J60" s="184">
        <f>'non-reconprod'!J60*'non-reconprod'!J$76+'non-reconprod'!AC60*'non-reconprod'!AC$76</f>
        <v>0</v>
      </c>
      <c r="K60" s="184">
        <f>'non-reconprod'!K60*'non-reconprod'!K$76+'non-reconprod'!AD60*'non-reconprod'!AD$76</f>
        <v>0</v>
      </c>
      <c r="L60" s="184">
        <f>'non-reconprod'!L60*'non-reconprod'!L$76+'non-reconprod'!AE60*'non-reconprod'!AE$76</f>
        <v>0</v>
      </c>
      <c r="M60" s="184">
        <f>'non-reconprod'!M60*'non-reconprod'!M$76+'non-reconprod'!AF60*'non-reconprod'!AF$76</f>
        <v>0</v>
      </c>
      <c r="N60" s="184">
        <f>'non-reconprod'!N60*'non-reconprod'!N$76+'non-reconprod'!AG60*'non-reconprod'!AG$76</f>
        <v>0</v>
      </c>
      <c r="O60" s="184">
        <f>'non-reconprod'!O60*'non-reconprod'!O$76+'non-reconprod'!AH60*'non-reconprod'!AH$76</f>
        <v>0</v>
      </c>
      <c r="R60" s="184">
        <f t="shared" si="34"/>
        <v>2.4E-2</v>
      </c>
      <c r="S60" s="184">
        <f t="shared" si="35"/>
        <v>1.4649967999999999E-2</v>
      </c>
      <c r="T60" s="184">
        <f t="shared" si="36"/>
        <v>0</v>
      </c>
      <c r="U60" s="184">
        <f t="shared" si="37"/>
        <v>0</v>
      </c>
      <c r="V60" s="184">
        <f t="shared" si="38"/>
        <v>3.8649968E-2</v>
      </c>
      <c r="W60" s="184">
        <f t="shared" si="39"/>
        <v>0</v>
      </c>
      <c r="X60" s="184">
        <f t="shared" si="40"/>
        <v>3.8649968E-2</v>
      </c>
      <c r="Y60" s="184">
        <f t="shared" si="41"/>
        <v>3.8649968E-2</v>
      </c>
      <c r="Z60" s="184"/>
      <c r="AA60" s="184">
        <f t="shared" si="42"/>
        <v>3.8649968E-2</v>
      </c>
      <c r="AB60" s="184">
        <f t="shared" si="43"/>
        <v>1.4649967999999999E-2</v>
      </c>
      <c r="AC60" s="184">
        <f t="shared" si="44"/>
        <v>7.6499679999999983E-3</v>
      </c>
      <c r="AE60">
        <f>IF($AA$78=1,'Previous year'!T65,SUMIF($D$82:$O$82,$AA$83,$D60:$O60))</f>
        <v>7.0000000000000001E-3</v>
      </c>
      <c r="AF60">
        <f>IF($AA$79=1,'Previous year'!U65,SUMIF(prod_compiled!$R$82:$U$82,prod_compiled!$AA$84,prod_compiled!$R60:$U60))</f>
        <v>2.4E-2</v>
      </c>
      <c r="AG60">
        <f>'Previous year'!V65</f>
        <v>0.10100000000000001</v>
      </c>
    </row>
    <row r="61" spans="3:33">
      <c r="C61" s="144" t="s">
        <v>57</v>
      </c>
      <c r="D61" s="267">
        <f>'non-reconprod'!D61*'non-reconprod'!D$76+'non-reconprod'!W61*'non-reconprod'!W$76</f>
        <v>1.2999999999999999E-2</v>
      </c>
      <c r="E61" s="184">
        <f>'non-reconprod'!E61*'non-reconprod'!E$76+'non-reconprod'!X61*'non-reconprod'!X$76</f>
        <v>1.2999999999999999E-2</v>
      </c>
      <c r="F61" s="184">
        <f>'non-reconprod'!F61*'non-reconprod'!F$76+'non-reconprod'!Y61*'non-reconprod'!Y$76</f>
        <v>0.01</v>
      </c>
      <c r="G61" s="184">
        <f>'non-reconprod'!G61*'non-reconprod'!G$76+'non-reconprod'!Z61*'non-reconprod'!Z$76</f>
        <v>8.0000000000000002E-3</v>
      </c>
      <c r="H61" s="184">
        <f>'non-reconprod'!H61*'non-reconprod'!H$76+'non-reconprod'!AA61*'non-reconprod'!AA$76</f>
        <v>7.2437165684544969E-3</v>
      </c>
      <c r="I61" s="184">
        <f>'non-reconprod'!I61*'non-reconprod'!I$76+'non-reconprod'!AB61*'non-reconprod'!AB$76</f>
        <v>0</v>
      </c>
      <c r="J61" s="184">
        <f>'non-reconprod'!J61*'non-reconprod'!J$76+'non-reconprod'!AC61*'non-reconprod'!AC$76</f>
        <v>0</v>
      </c>
      <c r="K61" s="184">
        <f>'non-reconprod'!K61*'non-reconprod'!K$76+'non-reconprod'!AD61*'non-reconprod'!AD$76</f>
        <v>0</v>
      </c>
      <c r="L61" s="184">
        <f>'non-reconprod'!L61*'non-reconprod'!L$76+'non-reconprod'!AE61*'non-reconprod'!AE$76</f>
        <v>0</v>
      </c>
      <c r="M61" s="184">
        <f>'non-reconprod'!M61*'non-reconprod'!M$76+'non-reconprod'!AF61*'non-reconprod'!AF$76</f>
        <v>0</v>
      </c>
      <c r="N61" s="184">
        <f>'non-reconprod'!N61*'non-reconprod'!N$76+'non-reconprod'!AG61*'non-reconprod'!AG$76</f>
        <v>0</v>
      </c>
      <c r="O61" s="184">
        <f>'non-reconprod'!O61*'non-reconprod'!O$76+'non-reconprod'!AH61*'non-reconprod'!AH$76</f>
        <v>0</v>
      </c>
      <c r="R61" s="184">
        <f t="shared" si="34"/>
        <v>3.5999999999999997E-2</v>
      </c>
      <c r="S61" s="184">
        <f t="shared" si="35"/>
        <v>1.5243716568454496E-2</v>
      </c>
      <c r="T61" s="184">
        <f>J61+K61+L61</f>
        <v>0</v>
      </c>
      <c r="U61" s="184">
        <f t="shared" si="37"/>
        <v>0</v>
      </c>
      <c r="V61" s="184">
        <f t="shared" si="38"/>
        <v>5.1243716568454493E-2</v>
      </c>
      <c r="W61" s="184">
        <f>T61+U61</f>
        <v>0</v>
      </c>
      <c r="X61" s="184">
        <f t="shared" si="40"/>
        <v>5.1243716568454493E-2</v>
      </c>
      <c r="Y61" s="184">
        <f t="shared" si="41"/>
        <v>5.1243716568454493E-2</v>
      </c>
      <c r="Z61" s="184"/>
      <c r="AA61" s="184">
        <f t="shared" si="42"/>
        <v>5.1243716568454493E-2</v>
      </c>
      <c r="AB61" s="184">
        <f t="shared" si="43"/>
        <v>1.5243716568454496E-2</v>
      </c>
      <c r="AC61" s="184">
        <f t="shared" si="44"/>
        <v>7.2437165684544969E-3</v>
      </c>
      <c r="AE61">
        <f>IF($AA$78=1,'Previous year'!T66,SUMIF($D$82:$O$82,$AA$83,$D61:$O61))</f>
        <v>8.0000000000000002E-3</v>
      </c>
      <c r="AF61">
        <f>IF($AA$79=1,'Previous year'!U66,SUMIF(prod_compiled!$R$82:$U$82,prod_compiled!$AA$84,prod_compiled!$R61:$U61))</f>
        <v>3.5999999999999997E-2</v>
      </c>
      <c r="AG61">
        <f>'Previous year'!V66</f>
        <v>0.127</v>
      </c>
    </row>
    <row r="62" spans="3:33">
      <c r="C62" s="144" t="s">
        <v>58</v>
      </c>
      <c r="D62" s="267">
        <f>'non-reconprod'!D62*'non-reconprod'!D$76+'non-reconprod'!W62*'non-reconprod'!W$76</f>
        <v>4.0000000000000001E-3</v>
      </c>
      <c r="E62" s="184">
        <f>'non-reconprod'!E62*'non-reconprod'!E$76+'non-reconprod'!X62*'non-reconprod'!X$76</f>
        <v>2E-3</v>
      </c>
      <c r="F62" s="184">
        <f>'non-reconprod'!F62*'non-reconprod'!F$76+'non-reconprod'!Y62*'non-reconprod'!Y$76</f>
        <v>4.0000000000000001E-3</v>
      </c>
      <c r="G62" s="184">
        <f>'non-reconprod'!G62*'non-reconprod'!G$76+'non-reconprod'!Z62*'non-reconprod'!Z$76</f>
        <v>3.0000000000000001E-3</v>
      </c>
      <c r="H62" s="184">
        <f>'non-reconprod'!H62*'non-reconprod'!H$76+'non-reconprod'!AA62*'non-reconprod'!AA$76</f>
        <v>4.3093147500000012E-3</v>
      </c>
      <c r="I62" s="184">
        <f>'non-reconprod'!I62*'non-reconprod'!I$76+'non-reconprod'!AB62*'non-reconprod'!AB$76</f>
        <v>0</v>
      </c>
      <c r="J62" s="184">
        <f>'non-reconprod'!J62*'non-reconprod'!J$76+'non-reconprod'!AC62*'non-reconprod'!AC$76</f>
        <v>0</v>
      </c>
      <c r="K62" s="184">
        <f>'non-reconprod'!K62*'non-reconprod'!K$76+'non-reconprod'!AD62*'non-reconprod'!AD$76</f>
        <v>0</v>
      </c>
      <c r="L62" s="184">
        <f>'non-reconprod'!L62*'non-reconprod'!L$76+'non-reconprod'!AE62*'non-reconprod'!AE$76</f>
        <v>0</v>
      </c>
      <c r="M62" s="184">
        <f>'non-reconprod'!M62*'non-reconprod'!M$76+'non-reconprod'!AF62*'non-reconprod'!AF$76</f>
        <v>0</v>
      </c>
      <c r="N62" s="184">
        <f>'non-reconprod'!N62*'non-reconprod'!N$76+'non-reconprod'!AG62*'non-reconprod'!AG$76</f>
        <v>0</v>
      </c>
      <c r="O62" s="184">
        <f>'non-reconprod'!O62*'non-reconprod'!O$76+'non-reconprod'!AH62*'non-reconprod'!AH$76</f>
        <v>0</v>
      </c>
      <c r="R62" s="184">
        <f t="shared" si="34"/>
        <v>0.01</v>
      </c>
      <c r="S62" s="184">
        <f t="shared" si="35"/>
        <v>7.3093147500000013E-3</v>
      </c>
      <c r="T62" s="184">
        <f t="shared" si="36"/>
        <v>0</v>
      </c>
      <c r="U62" s="184">
        <f t="shared" si="37"/>
        <v>0</v>
      </c>
      <c r="V62" s="184">
        <f t="shared" si="38"/>
        <v>1.7309314750000002E-2</v>
      </c>
      <c r="W62" s="184">
        <f t="shared" si="39"/>
        <v>0</v>
      </c>
      <c r="X62" s="184">
        <f t="shared" si="40"/>
        <v>1.7309314750000002E-2</v>
      </c>
      <c r="Y62" s="184">
        <f t="shared" si="41"/>
        <v>1.7309314750000002E-2</v>
      </c>
      <c r="Z62" s="184"/>
      <c r="AA62" s="184">
        <f t="shared" si="42"/>
        <v>1.7309314750000002E-2</v>
      </c>
      <c r="AB62" s="184">
        <f t="shared" si="43"/>
        <v>7.3093147500000013E-3</v>
      </c>
      <c r="AC62" s="184">
        <f t="shared" si="44"/>
        <v>4.3093147500000012E-3</v>
      </c>
      <c r="AE62">
        <f>IF($AA$78=1,'Previous year'!T67,SUMIF($D$82:$O$82,$AA$83,$D62:$O62))</f>
        <v>3.0000000000000001E-3</v>
      </c>
      <c r="AF62">
        <f>IF($AA$79=1,'Previous year'!U67,SUMIF(prod_compiled!$R$82:$U$82,prod_compiled!$AA$84,prod_compiled!$R62:$U62))</f>
        <v>0.01</v>
      </c>
      <c r="AG62">
        <f>'Previous year'!V67</f>
        <v>3.3000000000000002E-2</v>
      </c>
    </row>
    <row r="63" spans="3:33">
      <c r="C63" s="144" t="s">
        <v>59</v>
      </c>
      <c r="D63" s="267">
        <f>'non-reconprod'!D63*'non-reconprod'!D$76+'non-reconprod'!W63*'non-reconprod'!W$76</f>
        <v>0</v>
      </c>
      <c r="E63" s="184">
        <f>'non-reconprod'!E63*'non-reconprod'!E$76+'non-reconprod'!X63*'non-reconprod'!X$76</f>
        <v>0</v>
      </c>
      <c r="F63" s="184">
        <f>'non-reconprod'!F63*'non-reconprod'!F$76+'non-reconprod'!Y63*'non-reconprod'!Y$76</f>
        <v>1E-3</v>
      </c>
      <c r="G63" s="184">
        <f>'non-reconprod'!G63*'non-reconprod'!G$76+'non-reconprod'!Z63*'non-reconprod'!Z$76</f>
        <v>0</v>
      </c>
      <c r="H63" s="184">
        <f>'non-reconprod'!H63*'non-reconprod'!H$76+'non-reconprod'!AA63*'non-reconprod'!AA$76</f>
        <v>3.8500000000000025E-4</v>
      </c>
      <c r="I63" s="184">
        <f>'non-reconprod'!I63*'non-reconprod'!I$76+'non-reconprod'!AB63*'non-reconprod'!AB$76</f>
        <v>0</v>
      </c>
      <c r="J63" s="184">
        <f>'non-reconprod'!J63*'non-reconprod'!J$76+'non-reconprod'!AC63*'non-reconprod'!AC$76</f>
        <v>0</v>
      </c>
      <c r="K63" s="184">
        <f>'non-reconprod'!K63*'non-reconprod'!K$76+'non-reconprod'!AD63*'non-reconprod'!AD$76</f>
        <v>0</v>
      </c>
      <c r="L63" s="184">
        <f>'non-reconprod'!L63*'non-reconprod'!L$76+'non-reconprod'!AE63*'non-reconprod'!AE$76</f>
        <v>0</v>
      </c>
      <c r="M63" s="184">
        <f>'non-reconprod'!M63*'non-reconprod'!M$76+'non-reconprod'!AF63*'non-reconprod'!AF$76</f>
        <v>0</v>
      </c>
      <c r="N63" s="184">
        <f>'non-reconprod'!N63*'non-reconprod'!N$76+'non-reconprod'!AG63*'non-reconprod'!AG$76</f>
        <v>0</v>
      </c>
      <c r="O63" s="184">
        <f>'non-reconprod'!O63*'non-reconprod'!O$76+'non-reconprod'!AH63*'non-reconprod'!AH$76</f>
        <v>0</v>
      </c>
      <c r="R63" s="184">
        <f t="shared" si="34"/>
        <v>1E-3</v>
      </c>
      <c r="S63" s="184">
        <f t="shared" si="35"/>
        <v>3.8500000000000025E-4</v>
      </c>
      <c r="T63" s="184">
        <f t="shared" si="36"/>
        <v>0</v>
      </c>
      <c r="U63" s="184">
        <f t="shared" si="37"/>
        <v>0</v>
      </c>
      <c r="V63" s="184">
        <f t="shared" si="38"/>
        <v>1.3850000000000004E-3</v>
      </c>
      <c r="W63" s="184">
        <f t="shared" si="39"/>
        <v>0</v>
      </c>
      <c r="X63" s="184">
        <f t="shared" si="40"/>
        <v>1.3850000000000004E-3</v>
      </c>
      <c r="Y63" s="184">
        <f t="shared" si="41"/>
        <v>1.3850000000000004E-3</v>
      </c>
      <c r="Z63" s="184"/>
      <c r="AA63" s="184">
        <f t="shared" si="42"/>
        <v>1.3850000000000004E-3</v>
      </c>
      <c r="AB63" s="184">
        <f t="shared" si="43"/>
        <v>3.8500000000000025E-4</v>
      </c>
      <c r="AC63" s="184">
        <f t="shared" si="44"/>
        <v>3.8500000000000025E-4</v>
      </c>
      <c r="AE63">
        <f>IF($AA$78=1,'Previous year'!T68,SUMIF($D$82:$O$82,$AA$83,$D63:$O63))</f>
        <v>0</v>
      </c>
      <c r="AF63">
        <f>IF($AA$79=1,'Previous year'!U68,SUMIF(prod_compiled!$R$82:$U$82,prod_compiled!$AA$84,prod_compiled!$R63:$U63))</f>
        <v>1E-3</v>
      </c>
      <c r="AG63">
        <f>'Previous year'!V68</f>
        <v>3.0000000000000001E-3</v>
      </c>
    </row>
    <row r="64" spans="3:33">
      <c r="C64" s="144" t="s">
        <v>63</v>
      </c>
      <c r="D64" s="267">
        <f>'non-reconprod'!D64*'non-reconprod'!D$76+'non-reconprod'!W64*'non-reconprod'!W$76</f>
        <v>0</v>
      </c>
      <c r="E64" s="184">
        <f>'non-reconprod'!E64*'non-reconprod'!E$76+'non-reconprod'!X64*'non-reconprod'!X$76</f>
        <v>0</v>
      </c>
      <c r="F64" s="184">
        <f>'non-reconprod'!F64*'non-reconprod'!F$76+'non-reconprod'!Y64*'non-reconprod'!Y$76</f>
        <v>0</v>
      </c>
      <c r="G64" s="184">
        <f>'non-reconprod'!G64*'non-reconprod'!G$76+'non-reconprod'!Z64*'non-reconprod'!Z$76</f>
        <v>8.0000000000000002E-3</v>
      </c>
      <c r="H64" s="184">
        <f>'non-reconprod'!H64*'non-reconprod'!H$76+'non-reconprod'!AA64*'non-reconprod'!AA$76</f>
        <v>9.2605345649262195E-5</v>
      </c>
      <c r="I64" s="184">
        <f>'non-reconprod'!I64*'non-reconprod'!I$76+'non-reconprod'!AB64*'non-reconprod'!AB$76</f>
        <v>0</v>
      </c>
      <c r="J64" s="184">
        <f>'non-reconprod'!J64*'non-reconprod'!J$76+'non-reconprod'!AC64*'non-reconprod'!AC$76</f>
        <v>0</v>
      </c>
      <c r="K64" s="184">
        <f>'non-reconprod'!K64*'non-reconprod'!K$76+'non-reconprod'!AD64*'non-reconprod'!AD$76</f>
        <v>0</v>
      </c>
      <c r="L64" s="184">
        <f>'non-reconprod'!L64*'non-reconprod'!L$76+'non-reconprod'!AE64*'non-reconprod'!AE$76</f>
        <v>0</v>
      </c>
      <c r="M64" s="184">
        <f>'non-reconprod'!M64*'non-reconprod'!M$76+'non-reconprod'!AF64*'non-reconprod'!AF$76</f>
        <v>0</v>
      </c>
      <c r="N64" s="184">
        <f>'non-reconprod'!N64*'non-reconprod'!N$76+'non-reconprod'!AG64*'non-reconprod'!AG$76</f>
        <v>0</v>
      </c>
      <c r="O64" s="184">
        <f>'non-reconprod'!O64*'non-reconprod'!O$76+'non-reconprod'!AH64*'non-reconprod'!AH$76</f>
        <v>0</v>
      </c>
      <c r="R64" s="184">
        <f t="shared" si="34"/>
        <v>0</v>
      </c>
      <c r="S64" s="184">
        <f t="shared" si="35"/>
        <v>8.0926053456492619E-3</v>
      </c>
      <c r="T64" s="184">
        <f t="shared" si="36"/>
        <v>0</v>
      </c>
      <c r="U64" s="184">
        <f t="shared" si="37"/>
        <v>0</v>
      </c>
      <c r="V64" s="184">
        <f t="shared" si="38"/>
        <v>8.0926053456492619E-3</v>
      </c>
      <c r="W64" s="184">
        <f t="shared" si="39"/>
        <v>0</v>
      </c>
      <c r="X64" s="184">
        <f t="shared" si="40"/>
        <v>8.0926053456492619E-3</v>
      </c>
      <c r="Y64" s="184">
        <f t="shared" si="41"/>
        <v>8.0926053456492619E-3</v>
      </c>
      <c r="Z64" s="184"/>
      <c r="AA64" s="184">
        <f t="shared" si="42"/>
        <v>8.0926053456492619E-3</v>
      </c>
      <c r="AB64" s="184">
        <f t="shared" si="43"/>
        <v>8.0926053456492619E-3</v>
      </c>
      <c r="AC64" s="184">
        <f t="shared" si="44"/>
        <v>9.2605345649262195E-5</v>
      </c>
      <c r="AE64">
        <f>IF($AA$78=1,'Previous year'!T69,SUMIF($D$82:$O$82,$AA$83,$D64:$O64))</f>
        <v>8.0000000000000002E-3</v>
      </c>
      <c r="AF64">
        <f>IF($AA$79=1,'Previous year'!U69,SUMIF(prod_compiled!$R$82:$U$82,prod_compiled!$AA$84,prod_compiled!$R64:$U64))</f>
        <v>0</v>
      </c>
      <c r="AG64">
        <f>'Previous year'!V69</f>
        <v>2E-3</v>
      </c>
    </row>
    <row r="65" spans="2:33">
      <c r="C65" s="144" t="s">
        <v>64</v>
      </c>
      <c r="D65" s="267">
        <f>'non-reconprod'!D65*'non-reconprod'!D$76+'non-reconprod'!W65*'non-reconprod'!W$76</f>
        <v>1E-3</v>
      </c>
      <c r="E65" s="184">
        <f>'non-reconprod'!E65*'non-reconprod'!E$76+'non-reconprod'!X65*'non-reconprod'!X$76</f>
        <v>1E-3</v>
      </c>
      <c r="F65" s="184">
        <f>'non-reconprod'!F65*'non-reconprod'!F$76+'non-reconprod'!Y65*'non-reconprod'!Y$76</f>
        <v>1E-3</v>
      </c>
      <c r="G65" s="184">
        <f>'non-reconprod'!G65*'non-reconprod'!G$76+'non-reconprod'!Z65*'non-reconprod'!Z$76</f>
        <v>1E-3</v>
      </c>
      <c r="H65" s="184">
        <f>'non-reconprod'!H65*'non-reconprod'!H$76+'non-reconprod'!AA65*'non-reconprod'!AA$76</f>
        <v>6.6094006178730102E-4</v>
      </c>
      <c r="I65" s="184">
        <f>'non-reconprod'!I65*'non-reconprod'!I$76+'non-reconprod'!AB65*'non-reconprod'!AB$76</f>
        <v>0</v>
      </c>
      <c r="J65" s="184">
        <f>'non-reconprod'!J65*'non-reconprod'!J$76+'non-reconprod'!AC65*'non-reconprod'!AC$76</f>
        <v>0</v>
      </c>
      <c r="K65" s="184">
        <f>'non-reconprod'!K65*'non-reconprod'!K$76+'non-reconprod'!AD65*'non-reconprod'!AD$76</f>
        <v>0</v>
      </c>
      <c r="L65" s="184">
        <f>'non-reconprod'!L65*'non-reconprod'!L$76+'non-reconprod'!AE65*'non-reconprod'!AE$76</f>
        <v>0</v>
      </c>
      <c r="M65" s="184">
        <f>'non-reconprod'!M65*'non-reconprod'!M$76+'non-reconprod'!AF65*'non-reconprod'!AF$76</f>
        <v>0</v>
      </c>
      <c r="N65" s="184">
        <f>'non-reconprod'!N65*'non-reconprod'!N$76+'non-reconprod'!AG65*'non-reconprod'!AG$76</f>
        <v>0</v>
      </c>
      <c r="O65" s="184">
        <f>'non-reconprod'!O65*'non-reconprod'!O$76+'non-reconprod'!AH65*'non-reconprod'!AH$76</f>
        <v>0</v>
      </c>
      <c r="R65" s="184">
        <f t="shared" si="34"/>
        <v>3.0000000000000001E-3</v>
      </c>
      <c r="S65" s="184">
        <f t="shared" si="35"/>
        <v>1.660940061787301E-3</v>
      </c>
      <c r="T65" s="184">
        <f t="shared" si="36"/>
        <v>0</v>
      </c>
      <c r="U65" s="184">
        <f t="shared" si="37"/>
        <v>0</v>
      </c>
      <c r="V65" s="184">
        <f t="shared" si="38"/>
        <v>4.6609400617873015E-3</v>
      </c>
      <c r="W65" s="184">
        <f t="shared" si="39"/>
        <v>0</v>
      </c>
      <c r="X65" s="184">
        <f t="shared" si="40"/>
        <v>4.6609400617873015E-3</v>
      </c>
      <c r="Y65" s="184">
        <f t="shared" si="41"/>
        <v>4.6609400617873015E-3</v>
      </c>
      <c r="Z65" s="184"/>
      <c r="AA65" s="184">
        <f t="shared" si="42"/>
        <v>4.6609400617873015E-3</v>
      </c>
      <c r="AB65" s="184">
        <f t="shared" si="43"/>
        <v>1.660940061787301E-3</v>
      </c>
      <c r="AC65" s="184">
        <f t="shared" si="44"/>
        <v>6.6094006178730102E-4</v>
      </c>
      <c r="AE65">
        <f>IF($AA$78=1,'Previous year'!T70,SUMIF($D$82:$O$82,$AA$83,$D65:$O65))</f>
        <v>1E-3</v>
      </c>
      <c r="AF65">
        <f>IF($AA$79=1,'Previous year'!U70,SUMIF(prod_compiled!$R$82:$U$82,prod_compiled!$AA$84,prod_compiled!$R65:$U65))</f>
        <v>3.0000000000000001E-3</v>
      </c>
      <c r="AG65">
        <f>'Previous year'!V70</f>
        <v>8.0000000000000002E-3</v>
      </c>
    </row>
    <row r="66" spans="2:33">
      <c r="C66" s="144" t="s">
        <v>65</v>
      </c>
      <c r="D66" s="267">
        <f>'non-reconprod'!D66*'non-reconprod'!D$76+'non-reconprod'!W66*'non-reconprod'!W$76</f>
        <v>1E-3</v>
      </c>
      <c r="E66" s="184">
        <f>'non-reconprod'!E66*'non-reconprod'!E$76+'non-reconprod'!X66*'non-reconprod'!X$76</f>
        <v>1E-3</v>
      </c>
      <c r="F66" s="184">
        <f>'non-reconprod'!F66*'non-reconprod'!F$76+'non-reconprod'!Y66*'non-reconprod'!Y$76</f>
        <v>1E-3</v>
      </c>
      <c r="G66" s="184">
        <f>'non-reconprod'!G66*'non-reconprod'!G$76+'non-reconprod'!Z66*'non-reconprod'!Z$76</f>
        <v>2E-3</v>
      </c>
      <c r="H66" s="184">
        <f>'non-reconprod'!H66*'non-reconprod'!H$76+'non-reconprod'!AA66*'non-reconprod'!AA$76</f>
        <v>1.063002092612991E-3</v>
      </c>
      <c r="I66" s="184">
        <f>'non-reconprod'!I66*'non-reconprod'!I$76+'non-reconprod'!AB66*'non-reconprod'!AB$76</f>
        <v>0</v>
      </c>
      <c r="J66" s="184">
        <f>'non-reconprod'!J66*'non-reconprod'!J$76+'non-reconprod'!AC66*'non-reconprod'!AC$76</f>
        <v>0</v>
      </c>
      <c r="K66" s="184">
        <f>'non-reconprod'!K66*'non-reconprod'!K$76+'non-reconprod'!AD66*'non-reconprod'!AD$76</f>
        <v>0</v>
      </c>
      <c r="L66" s="184">
        <f>'non-reconprod'!L66*'non-reconprod'!L$76+'non-reconprod'!AE66*'non-reconprod'!AE$76</f>
        <v>0</v>
      </c>
      <c r="M66" s="184">
        <f>'non-reconprod'!M66*'non-reconprod'!M$76+'non-reconprod'!AF66*'non-reconprod'!AF$76</f>
        <v>0</v>
      </c>
      <c r="N66" s="184">
        <f>'non-reconprod'!N66*'non-reconprod'!N$76+'non-reconprod'!AG66*'non-reconprod'!AG$76</f>
        <v>0</v>
      </c>
      <c r="O66" s="184">
        <f>'non-reconprod'!O66*'non-reconprod'!O$76+'non-reconprod'!AH66*'non-reconprod'!AH$76</f>
        <v>0</v>
      </c>
      <c r="R66" s="184">
        <f t="shared" si="34"/>
        <v>3.0000000000000001E-3</v>
      </c>
      <c r="S66" s="184">
        <f t="shared" si="35"/>
        <v>3.0630020926129911E-3</v>
      </c>
      <c r="T66" s="184">
        <f t="shared" si="36"/>
        <v>0</v>
      </c>
      <c r="U66" s="184">
        <f t="shared" si="37"/>
        <v>0</v>
      </c>
      <c r="V66" s="184">
        <f t="shared" si="38"/>
        <v>6.0630020926129916E-3</v>
      </c>
      <c r="W66" s="184">
        <f t="shared" si="39"/>
        <v>0</v>
      </c>
      <c r="X66" s="184">
        <f t="shared" si="40"/>
        <v>6.0630020926129916E-3</v>
      </c>
      <c r="Y66" s="184">
        <f t="shared" si="41"/>
        <v>6.0630020926129916E-3</v>
      </c>
      <c r="Z66" s="184"/>
      <c r="AA66" s="184">
        <f t="shared" si="42"/>
        <v>6.0630020926129916E-3</v>
      </c>
      <c r="AB66" s="184">
        <f t="shared" si="43"/>
        <v>3.0630020926129911E-3</v>
      </c>
      <c r="AC66" s="184">
        <f t="shared" si="44"/>
        <v>1.063002092612991E-3</v>
      </c>
      <c r="AE66">
        <f>IF($AA$78=1,'Previous year'!T71,SUMIF($D$82:$O$82,$AA$83,$D66:$O66))</f>
        <v>2E-3</v>
      </c>
      <c r="AF66">
        <f>IF($AA$79=1,'Previous year'!U71,SUMIF(prod_compiled!$R$82:$U$82,prod_compiled!$AA$84,prod_compiled!$R66:$U66))</f>
        <v>3.0000000000000001E-3</v>
      </c>
      <c r="AG66">
        <f>'Previous year'!V71</f>
        <v>1.2999999999999999E-2</v>
      </c>
    </row>
    <row r="67" spans="2:33">
      <c r="C67" s="144" t="s">
        <v>66</v>
      </c>
      <c r="D67" s="267">
        <f>'non-reconprod'!D67*'non-reconprod'!D$76+'non-reconprod'!W67*'non-reconprod'!W$76</f>
        <v>0</v>
      </c>
      <c r="E67" s="184">
        <f>'non-reconprod'!E67*'non-reconprod'!E$76+'non-reconprod'!X67*'non-reconprod'!X$76</f>
        <v>0</v>
      </c>
      <c r="F67" s="184">
        <f>'non-reconprod'!F67*'non-reconprod'!F$76+'non-reconprod'!Y67*'non-reconprod'!Y$76</f>
        <v>0</v>
      </c>
      <c r="G67" s="184">
        <f>'non-reconprod'!G67*'non-reconprod'!G$76+'non-reconprod'!Z67*'non-reconprod'!Z$76</f>
        <v>0</v>
      </c>
      <c r="H67" s="184">
        <f>'non-reconprod'!H67*'non-reconprod'!H$76+'non-reconprod'!AA67*'non-reconprod'!AA$76</f>
        <v>0</v>
      </c>
      <c r="I67" s="184">
        <f>'non-reconprod'!I67*'non-reconprod'!I$76+'non-reconprod'!AB67*'non-reconprod'!AB$76</f>
        <v>0</v>
      </c>
      <c r="J67" s="184">
        <f>'non-reconprod'!J67*'non-reconprod'!J$76+'non-reconprod'!AC67*'non-reconprod'!AC$76</f>
        <v>0</v>
      </c>
      <c r="K67" s="184">
        <f>'non-reconprod'!K67*'non-reconprod'!K$76+'non-reconprod'!AD67*'non-reconprod'!AD$76</f>
        <v>0</v>
      </c>
      <c r="L67" s="184">
        <f>'non-reconprod'!L67*'non-reconprod'!L$76+'non-reconprod'!AE67*'non-reconprod'!AE$76</f>
        <v>0</v>
      </c>
      <c r="M67" s="184">
        <f>'non-reconprod'!M67*'non-reconprod'!M$76+'non-reconprod'!AF67*'non-reconprod'!AF$76</f>
        <v>0</v>
      </c>
      <c r="N67" s="184">
        <f>'non-reconprod'!N67*'non-reconprod'!N$76+'non-reconprod'!AG67*'non-reconprod'!AG$76</f>
        <v>0</v>
      </c>
      <c r="O67" s="184">
        <f>'non-reconprod'!O67*'non-reconprod'!O$76+'non-reconprod'!AH67*'non-reconprod'!AH$76</f>
        <v>0</v>
      </c>
      <c r="R67" s="184">
        <f t="shared" si="34"/>
        <v>0</v>
      </c>
      <c r="S67" s="184">
        <f t="shared" si="35"/>
        <v>0</v>
      </c>
      <c r="T67" s="184">
        <f t="shared" si="36"/>
        <v>0</v>
      </c>
      <c r="U67" s="184">
        <f t="shared" si="37"/>
        <v>0</v>
      </c>
      <c r="V67" s="184">
        <f t="shared" si="38"/>
        <v>0</v>
      </c>
      <c r="W67" s="184">
        <f t="shared" si="39"/>
        <v>0</v>
      </c>
      <c r="X67" s="184">
        <f t="shared" si="40"/>
        <v>0</v>
      </c>
      <c r="Y67" s="184">
        <f t="shared" si="41"/>
        <v>0</v>
      </c>
      <c r="Z67" s="184"/>
      <c r="AA67" s="184">
        <f t="shared" si="42"/>
        <v>0</v>
      </c>
      <c r="AB67" s="184">
        <f t="shared" si="43"/>
        <v>0</v>
      </c>
      <c r="AC67" s="184">
        <f t="shared" si="44"/>
        <v>0</v>
      </c>
      <c r="AE67">
        <f>IF($AA$78=1,'Previous year'!T72,SUMIF($D$82:$O$82,$AA$83,$D67:$O67))</f>
        <v>0</v>
      </c>
      <c r="AF67">
        <f>IF($AA$79=1,'Previous year'!U72,SUMIF(prod_compiled!$R$82:$U$82,prod_compiled!$AA$84,prod_compiled!$R67:$U67))</f>
        <v>0</v>
      </c>
      <c r="AG67">
        <f>'Previous year'!V72</f>
        <v>0</v>
      </c>
    </row>
    <row r="68" spans="2:33">
      <c r="C68" s="144" t="s">
        <v>67</v>
      </c>
      <c r="D68" s="267">
        <f>'non-reconprod'!D68*'non-reconprod'!D$76+'non-reconprod'!W68*'non-reconprod'!W$76</f>
        <v>0</v>
      </c>
      <c r="E68" s="184">
        <f>'non-reconprod'!E68*'non-reconprod'!E$76+'non-reconprod'!X68*'non-reconprod'!X$76</f>
        <v>0</v>
      </c>
      <c r="F68" s="184">
        <f>'non-reconprod'!F68*'non-reconprod'!F$76+'non-reconprod'!Y68*'non-reconprod'!Y$76</f>
        <v>0</v>
      </c>
      <c r="G68" s="184">
        <f>'non-reconprod'!G68*'non-reconprod'!G$76+'non-reconprod'!Z68*'non-reconprod'!Z$76</f>
        <v>0</v>
      </c>
      <c r="H68" s="184">
        <f>'non-reconprod'!H68*'non-reconprod'!H$76+'non-reconprod'!AA68*'non-reconprod'!AA$76</f>
        <v>0</v>
      </c>
      <c r="I68" s="184">
        <f>'non-reconprod'!I68*'non-reconprod'!I$76+'non-reconprod'!AB68*'non-reconprod'!AB$76</f>
        <v>0</v>
      </c>
      <c r="J68" s="184">
        <f>'non-reconprod'!J68*'non-reconprod'!J$76+'non-reconprod'!AC68*'non-reconprod'!AC$76</f>
        <v>0</v>
      </c>
      <c r="K68" s="184">
        <f>'non-reconprod'!K68*'non-reconprod'!K$76+'non-reconprod'!AD68*'non-reconprod'!AD$76</f>
        <v>0</v>
      </c>
      <c r="L68" s="184">
        <f>'non-reconprod'!L68*'non-reconprod'!L$76+'non-reconprod'!AE68*'non-reconprod'!AE$76</f>
        <v>0</v>
      </c>
      <c r="M68" s="184">
        <f>'non-reconprod'!M68*'non-reconprod'!M$76+'non-reconprod'!AF68*'non-reconprod'!AF$76</f>
        <v>0</v>
      </c>
      <c r="N68" s="184">
        <f>'non-reconprod'!N68*'non-reconprod'!N$76+'non-reconprod'!AG68*'non-reconprod'!AG$76</f>
        <v>0</v>
      </c>
      <c r="O68" s="184">
        <f>'non-reconprod'!O68*'non-reconprod'!O$76+'non-reconprod'!AH68*'non-reconprod'!AH$76</f>
        <v>0</v>
      </c>
      <c r="R68" s="184">
        <f t="shared" si="34"/>
        <v>0</v>
      </c>
      <c r="S68" s="184">
        <f t="shared" si="35"/>
        <v>0</v>
      </c>
      <c r="T68" s="184">
        <f t="shared" si="36"/>
        <v>0</v>
      </c>
      <c r="U68" s="184">
        <f t="shared" si="37"/>
        <v>0</v>
      </c>
      <c r="V68" s="184">
        <f t="shared" si="38"/>
        <v>0</v>
      </c>
      <c r="W68" s="184">
        <f t="shared" si="39"/>
        <v>0</v>
      </c>
      <c r="X68" s="184">
        <f t="shared" si="40"/>
        <v>0</v>
      </c>
      <c r="Y68" s="184">
        <f t="shared" si="41"/>
        <v>0</v>
      </c>
      <c r="Z68" s="184"/>
      <c r="AA68" s="184">
        <f t="shared" si="42"/>
        <v>0</v>
      </c>
      <c r="AB68" s="184">
        <f t="shared" si="43"/>
        <v>0</v>
      </c>
      <c r="AC68" s="184">
        <f t="shared" si="44"/>
        <v>0</v>
      </c>
      <c r="AE68">
        <f>IF($AA$78=1,'Previous year'!T73,SUMIF($D$82:$O$82,$AA$83,$D68:$O68))</f>
        <v>0</v>
      </c>
      <c r="AF68">
        <f>IF($AA$79=1,'Previous year'!U73,SUMIF(prod_compiled!$R$82:$U$82,prod_compiled!$AA$84,prod_compiled!$R68:$U68))</f>
        <v>0</v>
      </c>
      <c r="AG68">
        <f>'Previous year'!V73</f>
        <v>0</v>
      </c>
    </row>
    <row r="69" spans="2:33">
      <c r="C69" s="144" t="s">
        <v>68</v>
      </c>
      <c r="D69" s="267">
        <f>'non-reconprod'!D69*'non-reconprod'!D$76+'non-reconprod'!W69*'non-reconprod'!W$76</f>
        <v>0</v>
      </c>
      <c r="E69" s="184">
        <f>'non-reconprod'!E69*'non-reconprod'!E$76+'non-reconprod'!X69*'non-reconprod'!X$76</f>
        <v>0</v>
      </c>
      <c r="F69" s="184">
        <f>'non-reconprod'!F69*'non-reconprod'!F$76+'non-reconprod'!Y69*'non-reconprod'!Y$76</f>
        <v>0</v>
      </c>
      <c r="G69" s="184">
        <f>'non-reconprod'!G69*'non-reconprod'!G$76+'non-reconprod'!Z69*'non-reconprod'!Z$76</f>
        <v>0</v>
      </c>
      <c r="H69" s="184">
        <f>'non-reconprod'!H69*'non-reconprod'!H$76+'non-reconprod'!AA69*'non-reconprod'!AA$76</f>
        <v>0</v>
      </c>
      <c r="I69" s="184">
        <f>'non-reconprod'!I69*'non-reconprod'!I$76+'non-reconprod'!AB69*'non-reconprod'!AB$76</f>
        <v>0</v>
      </c>
      <c r="J69" s="184">
        <f>'non-reconprod'!J69*'non-reconprod'!J$76+'non-reconprod'!AC69*'non-reconprod'!AC$76</f>
        <v>0</v>
      </c>
      <c r="K69" s="184">
        <f>'non-reconprod'!K69*'non-reconprod'!K$76+'non-reconprod'!AD69*'non-reconprod'!AD$76</f>
        <v>0</v>
      </c>
      <c r="L69" s="184">
        <f>'non-reconprod'!L69*'non-reconprod'!L$76+'non-reconprod'!AE69*'non-reconprod'!AE$76</f>
        <v>0</v>
      </c>
      <c r="M69" s="184">
        <f>'non-reconprod'!M69*'non-reconprod'!M$76+'non-reconprod'!AF69*'non-reconprod'!AF$76</f>
        <v>0</v>
      </c>
      <c r="N69" s="184">
        <f>'non-reconprod'!N69*'non-reconprod'!N$76+'non-reconprod'!AG69*'non-reconprod'!AG$76</f>
        <v>0</v>
      </c>
      <c r="O69" s="184">
        <f>'non-reconprod'!O69*'non-reconprod'!O$76+'non-reconprod'!AH69*'non-reconprod'!AH$76</f>
        <v>0</v>
      </c>
      <c r="R69" s="184">
        <f t="shared" si="34"/>
        <v>0</v>
      </c>
      <c r="S69" s="184">
        <f t="shared" si="35"/>
        <v>0</v>
      </c>
      <c r="T69" s="184">
        <f t="shared" si="36"/>
        <v>0</v>
      </c>
      <c r="U69" s="184">
        <f t="shared" si="37"/>
        <v>0</v>
      </c>
      <c r="V69" s="184">
        <f t="shared" si="38"/>
        <v>0</v>
      </c>
      <c r="W69" s="184">
        <f t="shared" si="39"/>
        <v>0</v>
      </c>
      <c r="X69" s="184">
        <f t="shared" si="40"/>
        <v>0</v>
      </c>
      <c r="Y69" s="184">
        <f t="shared" si="41"/>
        <v>0</v>
      </c>
      <c r="Z69" s="184"/>
      <c r="AA69" s="184">
        <f t="shared" si="42"/>
        <v>0</v>
      </c>
      <c r="AB69" s="184">
        <f t="shared" si="43"/>
        <v>0</v>
      </c>
      <c r="AC69" s="184">
        <f t="shared" si="44"/>
        <v>0</v>
      </c>
      <c r="AE69">
        <f>IF($AA$78=1,'Previous year'!T74,SUMIF($D$82:$O$82,$AA$83,$D69:$O69))</f>
        <v>0</v>
      </c>
      <c r="AF69">
        <f>IF($AA$79=1,'Previous year'!U74,SUMIF(prod_compiled!$R$82:$U$82,prod_compiled!$AA$84,prod_compiled!$R69:$U69))</f>
        <v>0</v>
      </c>
      <c r="AG69">
        <f>'Previous year'!V74</f>
        <v>0</v>
      </c>
    </row>
    <row r="70" spans="2:33">
      <c r="C70" s="144" t="s">
        <v>69</v>
      </c>
      <c r="D70" s="267">
        <f>'non-reconprod'!D70*'non-reconprod'!D$76+'non-reconprod'!W70*'non-reconprod'!W$76</f>
        <v>0</v>
      </c>
      <c r="E70" s="184">
        <f>'non-reconprod'!E70*'non-reconprod'!E$76+'non-reconprod'!X70*'non-reconprod'!X$76</f>
        <v>0</v>
      </c>
      <c r="F70" s="184">
        <f>'non-reconprod'!F70*'non-reconprod'!F$76+'non-reconprod'!Y70*'non-reconprod'!Y$76</f>
        <v>0</v>
      </c>
      <c r="G70" s="184">
        <f>'non-reconprod'!G70*'non-reconprod'!G$76+'non-reconprod'!Z70*'non-reconprod'!Z$76</f>
        <v>0</v>
      </c>
      <c r="H70" s="184">
        <f>'non-reconprod'!H70*'non-reconprod'!H$76+'non-reconprod'!AA70*'non-reconprod'!AA$76</f>
        <v>0</v>
      </c>
      <c r="I70" s="184">
        <f>'non-reconprod'!I70*'non-reconprod'!I$76+'non-reconprod'!AB70*'non-reconprod'!AB$76</f>
        <v>0</v>
      </c>
      <c r="J70" s="184">
        <f>'non-reconprod'!J70*'non-reconprod'!J$76+'non-reconprod'!AC70*'non-reconprod'!AC$76</f>
        <v>0</v>
      </c>
      <c r="K70" s="184">
        <f>'non-reconprod'!K70*'non-reconprod'!K$76+'non-reconprod'!AD70*'non-reconprod'!AD$76</f>
        <v>0</v>
      </c>
      <c r="L70" s="184">
        <f>'non-reconprod'!L70*'non-reconprod'!L$76+'non-reconprod'!AE70*'non-reconprod'!AE$76</f>
        <v>0</v>
      </c>
      <c r="M70" s="184">
        <f>'non-reconprod'!M70*'non-reconprod'!M$76+'non-reconprod'!AF70*'non-reconprod'!AF$76</f>
        <v>0</v>
      </c>
      <c r="N70" s="184">
        <f>'non-reconprod'!N70*'non-reconprod'!N$76+'non-reconprod'!AG70*'non-reconprod'!AG$76</f>
        <v>0</v>
      </c>
      <c r="O70" s="184">
        <f>'non-reconprod'!O70*'non-reconprod'!O$76+'non-reconprod'!AH70*'non-reconprod'!AH$76</f>
        <v>0</v>
      </c>
      <c r="R70" s="184">
        <f t="shared" si="34"/>
        <v>0</v>
      </c>
      <c r="S70" s="184">
        <f t="shared" si="35"/>
        <v>0</v>
      </c>
      <c r="T70" s="184">
        <f t="shared" si="36"/>
        <v>0</v>
      </c>
      <c r="U70" s="184">
        <f t="shared" si="37"/>
        <v>0</v>
      </c>
      <c r="V70" s="184">
        <f t="shared" si="38"/>
        <v>0</v>
      </c>
      <c r="W70" s="184">
        <f t="shared" si="39"/>
        <v>0</v>
      </c>
      <c r="X70" s="184">
        <f t="shared" si="40"/>
        <v>0</v>
      </c>
      <c r="Y70" s="184">
        <f t="shared" si="41"/>
        <v>0</v>
      </c>
      <c r="Z70" s="184"/>
      <c r="AA70" s="184">
        <f t="shared" si="42"/>
        <v>0</v>
      </c>
      <c r="AB70" s="184">
        <f t="shared" si="43"/>
        <v>0</v>
      </c>
      <c r="AC70" s="184">
        <f t="shared" si="44"/>
        <v>0</v>
      </c>
      <c r="AE70">
        <f>IF($AA$78=1,'Previous year'!T75,SUMIF($D$82:$O$82,$AA$83,$D70:$O70))</f>
        <v>0</v>
      </c>
      <c r="AF70">
        <f>IF($AA$79=1,'Previous year'!U75,SUMIF(prod_compiled!$R$82:$U$82,prod_compiled!$AA$84,prod_compiled!$R70:$U70))</f>
        <v>0</v>
      </c>
      <c r="AG70">
        <f>'Previous year'!V75</f>
        <v>1.7000000000000001E-2</v>
      </c>
    </row>
    <row r="71" spans="2:33">
      <c r="C71" s="144" t="s">
        <v>70</v>
      </c>
      <c r="D71" s="267">
        <f>'non-reconprod'!D71*'non-reconprod'!D$76+'non-reconprod'!W71*'non-reconprod'!W$76</f>
        <v>6.7000000000000004E-2</v>
      </c>
      <c r="E71" s="184">
        <f>'non-reconprod'!E71*'non-reconprod'!E$76+'non-reconprod'!X71*'non-reconprod'!X$76</f>
        <v>7.2999999999999995E-2</v>
      </c>
      <c r="F71" s="184">
        <f>'non-reconprod'!F71*'non-reconprod'!F$76+'non-reconprod'!Y71*'non-reconprod'!Y$76</f>
        <v>7.3999999999999996E-2</v>
      </c>
      <c r="G71" s="184">
        <f>'non-reconprod'!G71*'non-reconprod'!G$76+'non-reconprod'!Z71*'non-reconprod'!Z$76</f>
        <v>7.4999999999999997E-2</v>
      </c>
      <c r="H71" s="184">
        <f>'non-reconprod'!H71*'non-reconprod'!H$76+'non-reconprod'!AA71*'non-reconprod'!AA$76</f>
        <v>7.4159597844523695E-2</v>
      </c>
      <c r="I71" s="184">
        <f>'non-reconprod'!I71*'non-reconprod'!I$76+'non-reconprod'!AB71*'non-reconprod'!AB$76</f>
        <v>0</v>
      </c>
      <c r="J71" s="184">
        <f>'non-reconprod'!J71*'non-reconprod'!J$76+'non-reconprod'!AC71*'non-reconprod'!AC$76</f>
        <v>0</v>
      </c>
      <c r="K71" s="184">
        <f>'non-reconprod'!K71*'non-reconprod'!K$76+'non-reconprod'!AD71*'non-reconprod'!AD$76</f>
        <v>0</v>
      </c>
      <c r="L71" s="184">
        <f>'non-reconprod'!L71*'non-reconprod'!L$76+'non-reconprod'!AE71*'non-reconprod'!AE$76</f>
        <v>0</v>
      </c>
      <c r="M71" s="184">
        <f>'non-reconprod'!M71*'non-reconprod'!M$76+'non-reconprod'!AF71*'non-reconprod'!AF$76</f>
        <v>0</v>
      </c>
      <c r="N71" s="184">
        <f>'non-reconprod'!N71*'non-reconprod'!N$76+'non-reconprod'!AG71*'non-reconprod'!AG$76</f>
        <v>0</v>
      </c>
      <c r="O71" s="184">
        <f>'non-reconprod'!O71*'non-reconprod'!O$76+'non-reconprod'!AH71*'non-reconprod'!AH$76</f>
        <v>0</v>
      </c>
      <c r="R71" s="184">
        <f t="shared" si="34"/>
        <v>0.21400000000000002</v>
      </c>
      <c r="S71" s="184">
        <f t="shared" si="35"/>
        <v>0.14915959784452371</v>
      </c>
      <c r="T71" s="184">
        <f t="shared" si="36"/>
        <v>0</v>
      </c>
      <c r="U71" s="184">
        <f t="shared" si="37"/>
        <v>0</v>
      </c>
      <c r="V71" s="184">
        <f t="shared" si="38"/>
        <v>0.36315959784452373</v>
      </c>
      <c r="W71" s="184">
        <f t="shared" si="39"/>
        <v>0</v>
      </c>
      <c r="X71" s="184">
        <f t="shared" si="40"/>
        <v>0.36315959784452373</v>
      </c>
      <c r="Y71" s="184">
        <f t="shared" si="41"/>
        <v>0.36315959784452373</v>
      </c>
      <c r="Z71" s="184"/>
      <c r="AA71" s="184">
        <f t="shared" si="42"/>
        <v>0.36315959784452373</v>
      </c>
      <c r="AB71" s="184">
        <f t="shared" si="43"/>
        <v>0.14915959784452371</v>
      </c>
      <c r="AC71" s="184">
        <f t="shared" si="44"/>
        <v>7.4159597844523695E-2</v>
      </c>
      <c r="AE71">
        <f>IF($AA$78=1,'Previous year'!T76,SUMIF($D$82:$O$82,$AA$83,$D71:$O71))</f>
        <v>7.4999999999999997E-2</v>
      </c>
      <c r="AF71">
        <f>IF($AA$79=1,'Previous year'!U76,SUMIF(prod_compiled!$R$82:$U$82,prod_compiled!$AA$84,prod_compiled!$R71:$U71))</f>
        <v>0.21400000000000002</v>
      </c>
      <c r="AG71">
        <f>'Previous year'!V76</f>
        <v>0.86799999999999999</v>
      </c>
    </row>
    <row r="72" spans="2:33">
      <c r="D72" s="197">
        <f t="shared" ref="D72:O72" si="45">SUM(D58:D71)</f>
        <v>0.23000000000000004</v>
      </c>
      <c r="E72">
        <f t="shared" si="45"/>
        <v>0.22900000000000004</v>
      </c>
      <c r="F72">
        <f t="shared" si="45"/>
        <v>0.22200000000000003</v>
      </c>
      <c r="G72">
        <f t="shared" si="45"/>
        <v>0.22100000000000003</v>
      </c>
      <c r="H72">
        <f t="shared" si="45"/>
        <v>0.22012668887780773</v>
      </c>
      <c r="I72">
        <f t="shared" si="45"/>
        <v>0</v>
      </c>
      <c r="J72">
        <f t="shared" si="45"/>
        <v>0</v>
      </c>
      <c r="K72">
        <f t="shared" si="45"/>
        <v>0</v>
      </c>
      <c r="L72">
        <f t="shared" si="45"/>
        <v>0</v>
      </c>
      <c r="M72">
        <f t="shared" si="45"/>
        <v>0</v>
      </c>
      <c r="N72">
        <f t="shared" si="45"/>
        <v>0</v>
      </c>
      <c r="O72">
        <f t="shared" si="45"/>
        <v>0</v>
      </c>
    </row>
    <row r="74" spans="2:33">
      <c r="R74" s="184" t="s">
        <v>82</v>
      </c>
      <c r="S74" s="184" t="s">
        <v>83</v>
      </c>
      <c r="T74" s="184" t="s">
        <v>84</v>
      </c>
      <c r="U74" s="184" t="s">
        <v>86</v>
      </c>
      <c r="V74" s="184" t="s">
        <v>39</v>
      </c>
      <c r="W74" s="184" t="s">
        <v>48</v>
      </c>
      <c r="X74" s="184" t="s">
        <v>85</v>
      </c>
      <c r="Y74" s="184" t="s">
        <v>87</v>
      </c>
      <c r="Z74" s="184"/>
      <c r="AA74" s="184" t="s">
        <v>157</v>
      </c>
      <c r="AB74" t="s">
        <v>159</v>
      </c>
      <c r="AC74" t="s">
        <v>158</v>
      </c>
    </row>
    <row r="75" spans="2:33">
      <c r="B75" t="s">
        <v>160</v>
      </c>
      <c r="D75">
        <v>30</v>
      </c>
      <c r="E75">
        <v>31</v>
      </c>
      <c r="F75">
        <v>30</v>
      </c>
      <c r="G75">
        <v>31</v>
      </c>
      <c r="H75">
        <v>31</v>
      </c>
      <c r="I75">
        <v>30</v>
      </c>
      <c r="J75">
        <v>31</v>
      </c>
      <c r="K75">
        <v>30</v>
      </c>
      <c r="L75">
        <v>31</v>
      </c>
      <c r="M75">
        <v>31</v>
      </c>
      <c r="N75" s="482">
        <f>interFY_transition!D25</f>
        <v>28</v>
      </c>
      <c r="O75">
        <v>31</v>
      </c>
      <c r="R75" s="184">
        <f>D75+E75+F75</f>
        <v>91</v>
      </c>
      <c r="S75" s="184">
        <f>G75+H75+I75</f>
        <v>92</v>
      </c>
      <c r="T75" s="184">
        <f>J75+K75+L75</f>
        <v>92</v>
      </c>
      <c r="U75" s="184">
        <f>M75+N75+O75</f>
        <v>90</v>
      </c>
      <c r="V75" s="184">
        <f>R75+S75</f>
        <v>183</v>
      </c>
      <c r="W75" s="184">
        <f>T75+U75</f>
        <v>182</v>
      </c>
      <c r="X75" s="184">
        <f>V75+T75</f>
        <v>275</v>
      </c>
      <c r="Y75" s="184">
        <f>V75+W75</f>
        <v>365</v>
      </c>
      <c r="Z75" s="184"/>
      <c r="AA75" s="184">
        <f>M3-AA76</f>
        <v>153</v>
      </c>
      <c r="AB75" t="e">
        <f ca="1">_xlfn.MINIFS(Q78:U78,Q78:U78,"&gt;0")</f>
        <v>#NAME?</v>
      </c>
      <c r="AC75" t="e">
        <f ca="1">_xlfn.MINIFS(C77:O77,C77:O77,"&gt;0")</f>
        <v>#NAME?</v>
      </c>
    </row>
    <row r="76" spans="2:33">
      <c r="B76" t="s">
        <v>161</v>
      </c>
      <c r="C76">
        <v>0</v>
      </c>
      <c r="D76">
        <f>D75</f>
        <v>30</v>
      </c>
      <c r="E76">
        <f t="shared" ref="E76:O76" si="46">E75+D76</f>
        <v>61</v>
      </c>
      <c r="F76">
        <f t="shared" si="46"/>
        <v>91</v>
      </c>
      <c r="G76">
        <f t="shared" si="46"/>
        <v>122</v>
      </c>
      <c r="H76">
        <f t="shared" si="46"/>
        <v>153</v>
      </c>
      <c r="I76">
        <f t="shared" si="46"/>
        <v>183</v>
      </c>
      <c r="J76">
        <f t="shared" si="46"/>
        <v>214</v>
      </c>
      <c r="K76">
        <f t="shared" si="46"/>
        <v>244</v>
      </c>
      <c r="L76">
        <f t="shared" si="46"/>
        <v>275</v>
      </c>
      <c r="M76">
        <f t="shared" si="46"/>
        <v>306</v>
      </c>
      <c r="N76">
        <f t="shared" si="46"/>
        <v>334</v>
      </c>
      <c r="O76">
        <f t="shared" si="46"/>
        <v>365</v>
      </c>
      <c r="Q76">
        <v>0</v>
      </c>
      <c r="R76">
        <f>R75+Q76</f>
        <v>91</v>
      </c>
      <c r="S76">
        <f>S75+R76</f>
        <v>183</v>
      </c>
      <c r="T76">
        <f>T75+S76</f>
        <v>275</v>
      </c>
      <c r="U76">
        <f>U75+T76</f>
        <v>365</v>
      </c>
      <c r="AA76" s="501">
        <f>interFY_transition!D86</f>
        <v>46112</v>
      </c>
    </row>
    <row r="77" spans="2:33">
      <c r="B77" t="s">
        <v>162</v>
      </c>
      <c r="C77">
        <f>$AA$75-C76</f>
        <v>153</v>
      </c>
      <c r="D77">
        <f t="shared" ref="D77:O77" si="47">$AA$75-D76</f>
        <v>123</v>
      </c>
      <c r="E77">
        <f t="shared" si="47"/>
        <v>92</v>
      </c>
      <c r="F77">
        <f t="shared" si="47"/>
        <v>62</v>
      </c>
      <c r="G77">
        <f t="shared" si="47"/>
        <v>31</v>
      </c>
      <c r="H77">
        <f t="shared" si="47"/>
        <v>0</v>
      </c>
      <c r="I77">
        <f t="shared" si="47"/>
        <v>-30</v>
      </c>
      <c r="J77">
        <f t="shared" si="47"/>
        <v>-61</v>
      </c>
      <c r="K77">
        <f t="shared" si="47"/>
        <v>-91</v>
      </c>
      <c r="L77">
        <f t="shared" si="47"/>
        <v>-122</v>
      </c>
      <c r="M77">
        <f t="shared" si="47"/>
        <v>-153</v>
      </c>
      <c r="N77">
        <f t="shared" si="47"/>
        <v>-181</v>
      </c>
      <c r="O77">
        <f t="shared" si="47"/>
        <v>-212</v>
      </c>
      <c r="R77" s="501">
        <f>interFY_transition!D82</f>
        <v>46203</v>
      </c>
      <c r="S77" s="501">
        <f>interFY_transition!D83</f>
        <v>46295</v>
      </c>
      <c r="T77" s="501">
        <f>interFY_transition!D84</f>
        <v>46387</v>
      </c>
      <c r="U77" s="501">
        <f>interFY_transition!D85</f>
        <v>46477</v>
      </c>
      <c r="AA77" s="246">
        <f>M3</f>
        <v>46265</v>
      </c>
    </row>
    <row r="78" spans="2:33">
      <c r="Q78">
        <f>AA75-Q76</f>
        <v>153</v>
      </c>
      <c r="R78">
        <f>AA77-R77</f>
        <v>62</v>
      </c>
      <c r="S78">
        <f>AA77-S77</f>
        <v>-30</v>
      </c>
      <c r="T78">
        <f>AA77-T77</f>
        <v>-122</v>
      </c>
      <c r="U78">
        <f>AA77-U77</f>
        <v>-212</v>
      </c>
      <c r="AA78">
        <f>Dropdowns!D32</f>
        <v>5</v>
      </c>
      <c r="AB78" t="s">
        <v>166</v>
      </c>
    </row>
    <row r="79" spans="2:33">
      <c r="AA79">
        <f>Dropdowns!D33</f>
        <v>2</v>
      </c>
      <c r="AB79" t="s">
        <v>167</v>
      </c>
    </row>
    <row r="80" spans="2:33">
      <c r="AA80">
        <f>SUMIF(R82:U82,$AA$79,R75:U75)</f>
        <v>92</v>
      </c>
      <c r="AB80" t="s">
        <v>322</v>
      </c>
    </row>
    <row r="81" spans="3:28">
      <c r="AA81">
        <f>SUMIF(D82:O82,AA78,D75:O75)</f>
        <v>31</v>
      </c>
      <c r="AB81" t="s">
        <v>323</v>
      </c>
    </row>
    <row r="82" spans="3:28">
      <c r="D82">
        <v>1</v>
      </c>
      <c r="E82">
        <v>2</v>
      </c>
      <c r="F82">
        <v>3</v>
      </c>
      <c r="G82">
        <v>4</v>
      </c>
      <c r="H82">
        <v>5</v>
      </c>
      <c r="I82">
        <v>6</v>
      </c>
      <c r="J82">
        <v>7</v>
      </c>
      <c r="K82">
        <v>8</v>
      </c>
      <c r="L82">
        <v>9</v>
      </c>
      <c r="M82">
        <v>10</v>
      </c>
      <c r="N82">
        <v>11</v>
      </c>
      <c r="O82">
        <v>12</v>
      </c>
      <c r="R82">
        <v>1</v>
      </c>
      <c r="S82">
        <v>2</v>
      </c>
      <c r="T82">
        <v>3</v>
      </c>
      <c r="U82">
        <v>4</v>
      </c>
    </row>
    <row r="83" spans="3:28">
      <c r="C83" t="s">
        <v>321</v>
      </c>
      <c r="D83">
        <f>IF(D82&lt;=Dropdowns!$D$49,prod_compiled!D75,0)</f>
        <v>30</v>
      </c>
      <c r="E83">
        <f>IF(E82&lt;=Dropdowns!$D$49,prod_compiled!E75,0)</f>
        <v>31</v>
      </c>
      <c r="F83">
        <f>IF(F82&lt;=Dropdowns!$D$49,prod_compiled!F75,0)</f>
        <v>30</v>
      </c>
      <c r="G83">
        <f>IF(G82&lt;=Dropdowns!$D$49,prod_compiled!G75,0)</f>
        <v>31</v>
      </c>
      <c r="H83">
        <f>IF(H82&lt;=Dropdowns!$D$49,prod_compiled!H75,0)</f>
        <v>0</v>
      </c>
      <c r="I83">
        <f>IF(I82&lt;=Dropdowns!$D$49,prod_compiled!I75,0)</f>
        <v>0</v>
      </c>
      <c r="J83">
        <f>IF(J82&lt;=Dropdowns!$D$49,prod_compiled!J75,0)</f>
        <v>0</v>
      </c>
      <c r="K83">
        <f>IF(K82&lt;=Dropdowns!$D$49,prod_compiled!K75,0)</f>
        <v>0</v>
      </c>
      <c r="L83">
        <f>IF(L82&lt;=Dropdowns!$D$49,prod_compiled!L75,0)</f>
        <v>0</v>
      </c>
      <c r="M83">
        <f>IF(M82&lt;=Dropdowns!$D$49,prod_compiled!M75,0)</f>
        <v>0</v>
      </c>
      <c r="N83">
        <f>IF(N82&lt;=Dropdowns!$D$49,prod_compiled!N75,0)</f>
        <v>0</v>
      </c>
      <c r="O83">
        <f>IF(O82&lt;=Dropdowns!$D$49,prod_compiled!O75,0)</f>
        <v>0</v>
      </c>
      <c r="AA83">
        <f>AA78-1</f>
        <v>4</v>
      </c>
      <c r="AB83" t="s">
        <v>337</v>
      </c>
    </row>
    <row r="84" spans="3:28">
      <c r="C84" t="s">
        <v>169</v>
      </c>
      <c r="D84">
        <f>IF(D82&lt;Dropdowns!$D$50,prod_compiled!D75,IF(prod_compiled!D82&gt;Dropdowns!$D$50,0,IF(prod_compiled!D82=Dropdowns!$D$50,prod_compiled!$AC$75)))</f>
        <v>30</v>
      </c>
      <c r="E84">
        <f>IF(E82&lt;Dropdowns!$D$50,prod_compiled!E75,IF(prod_compiled!E82&gt;Dropdowns!$D$50,0,IF(prod_compiled!E82=Dropdowns!$D$50,prod_compiled!$AC$75)))</f>
        <v>31</v>
      </c>
      <c r="F84">
        <f>IF(F82&lt;Dropdowns!$D$50,prod_compiled!F75,IF(prod_compiled!F82&gt;Dropdowns!$D$50,0,IF(prod_compiled!F82=Dropdowns!$D$50,prod_compiled!$AC$75)))</f>
        <v>30</v>
      </c>
      <c r="G84">
        <f>IF(G82&lt;Dropdowns!$D$50,prod_compiled!G75,IF(prod_compiled!G82&gt;Dropdowns!$D$50,0,IF(prod_compiled!G82=Dropdowns!$D$50,prod_compiled!$AC$75)))</f>
        <v>31</v>
      </c>
      <c r="H84" t="e">
        <f ca="1">IF(H82&lt;Dropdowns!$D$50,prod_compiled!H75,IF(prod_compiled!H82&gt;Dropdowns!$D$50,0,IF(prod_compiled!H82=Dropdowns!$D$50,prod_compiled!$AC$75)))</f>
        <v>#NAME?</v>
      </c>
      <c r="I84">
        <f>IF(I82&lt;Dropdowns!$D$50,prod_compiled!I75,IF(prod_compiled!I82&gt;Dropdowns!$D$50,0,IF(prod_compiled!I82=Dropdowns!$D$50,prod_compiled!$AC$75)))</f>
        <v>0</v>
      </c>
      <c r="J84">
        <f>IF(J82&lt;Dropdowns!$D$50,prod_compiled!J75,IF(prod_compiled!J82&gt;Dropdowns!$D$50,0,IF(prod_compiled!J82=Dropdowns!$D$50,prod_compiled!$AC$75)))</f>
        <v>0</v>
      </c>
      <c r="K84">
        <f>IF(K82&lt;Dropdowns!$D$50,prod_compiled!K75,IF(prod_compiled!K82&gt;Dropdowns!$D$50,0,IF(prod_compiled!K82=Dropdowns!$D$50,prod_compiled!$AC$75)))</f>
        <v>0</v>
      </c>
      <c r="L84">
        <f>IF(L82&lt;Dropdowns!$D$50,prod_compiled!L75,IF(prod_compiled!L82&gt;Dropdowns!$D$50,0,IF(prod_compiled!L82=Dropdowns!$D$50,prod_compiled!$AC$75)))</f>
        <v>0</v>
      </c>
      <c r="M84">
        <f>IF(M82&lt;Dropdowns!$D$50,prod_compiled!M75,IF(prod_compiled!M82&gt;Dropdowns!$D$50,0,IF(prod_compiled!M82=Dropdowns!$D$50,prod_compiled!$AC$75)))</f>
        <v>0</v>
      </c>
      <c r="N84">
        <f>IF(N82&lt;Dropdowns!$D$50,prod_compiled!N75,IF(prod_compiled!N82&gt;Dropdowns!$D$50,0,IF(prod_compiled!N82=Dropdowns!$D$50,prod_compiled!$AC$75)))</f>
        <v>0</v>
      </c>
      <c r="O84">
        <f>IF(O82&lt;Dropdowns!$D$50,prod_compiled!O75,IF(prod_compiled!O82&gt;Dropdowns!$D$50,0,IF(prod_compiled!O82=Dropdowns!$D$50,prod_compiled!$AC$75)))</f>
        <v>0</v>
      </c>
      <c r="AA84">
        <f>AA79-1</f>
        <v>1</v>
      </c>
      <c r="AB84" t="s">
        <v>343</v>
      </c>
    </row>
    <row r="85" spans="3:28">
      <c r="C85" t="s">
        <v>170</v>
      </c>
      <c r="D85">
        <f>MAX(D83:D84)</f>
        <v>30</v>
      </c>
      <c r="E85">
        <f t="shared" ref="E85:O85" si="48">MAX(E83:E84)</f>
        <v>31</v>
      </c>
      <c r="F85">
        <f t="shared" si="48"/>
        <v>30</v>
      </c>
      <c r="G85">
        <f t="shared" si="48"/>
        <v>31</v>
      </c>
      <c r="H85" t="e">
        <f t="shared" ca="1" si="48"/>
        <v>#NAME?</v>
      </c>
      <c r="I85">
        <f t="shared" si="48"/>
        <v>0</v>
      </c>
      <c r="J85">
        <f t="shared" si="48"/>
        <v>0</v>
      </c>
      <c r="K85">
        <f t="shared" si="48"/>
        <v>0</v>
      </c>
      <c r="L85">
        <f t="shared" si="48"/>
        <v>0</v>
      </c>
      <c r="M85">
        <f t="shared" si="48"/>
        <v>0</v>
      </c>
      <c r="N85">
        <f t="shared" si="48"/>
        <v>0</v>
      </c>
      <c r="O85">
        <f t="shared" si="48"/>
        <v>0</v>
      </c>
      <c r="R85" s="184">
        <f>D85+E85+F85</f>
        <v>91</v>
      </c>
      <c r="S85" s="184" t="e">
        <f ca="1">G85+H85+I85</f>
        <v>#NAME?</v>
      </c>
      <c r="T85" s="184">
        <f>J85+K85+L85</f>
        <v>0</v>
      </c>
      <c r="U85" s="184">
        <f>M85+N85+O85</f>
        <v>0</v>
      </c>
      <c r="V85" s="184" t="e">
        <f ca="1">R85+S85</f>
        <v>#NAME?</v>
      </c>
      <c r="W85" s="184">
        <f>T85+U85</f>
        <v>0</v>
      </c>
      <c r="X85" s="184" t="e">
        <f ca="1">V85+T85</f>
        <v>#NAME?</v>
      </c>
      <c r="Y85" s="184" t="e">
        <f ca="1">V85+W85</f>
        <v>#NAME?</v>
      </c>
    </row>
  </sheetData>
  <phoneticPr fontId="14" type="noConversion"/>
  <pageMargins left="0.7" right="0.7" top="0.75" bottom="0.75" header="0.3" footer="0.3"/>
  <ignoredErrors>
    <ignoredError sqref="X75 X41 X42:X43 X58:X71 X85 X45:X54" formula="1"/>
  </ignoredErrors>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tabColor rgb="FF92D050"/>
  </sheetPr>
  <dimension ref="A1:R60"/>
  <sheetViews>
    <sheetView workbookViewId="0">
      <selection activeCell="F7" sqref="F7"/>
    </sheetView>
  </sheetViews>
  <sheetFormatPr defaultColWidth="8.85546875" defaultRowHeight="15"/>
  <cols>
    <col min="4" max="4" width="15.7109375" bestFit="1" customWidth="1"/>
    <col min="5" max="5" width="17.42578125" bestFit="1" customWidth="1"/>
    <col min="6" max="6" width="15" bestFit="1" customWidth="1"/>
    <col min="7" max="7" width="12" bestFit="1" customWidth="1"/>
    <col min="8" max="8" width="18.28515625" customWidth="1"/>
    <col min="9" max="9" width="19" bestFit="1" customWidth="1"/>
    <col min="10" max="10" width="18" bestFit="1" customWidth="1"/>
    <col min="11" max="11" width="10.42578125" bestFit="1" customWidth="1"/>
    <col min="13" max="13" width="10.28515625" customWidth="1"/>
    <col min="15" max="15" width="9.85546875" customWidth="1"/>
    <col min="16" max="16" width="9.7109375" customWidth="1"/>
    <col min="17" max="18" width="9.140625" customWidth="1"/>
  </cols>
  <sheetData>
    <row r="1" spans="1:18">
      <c r="H1" s="445" t="s">
        <v>1183</v>
      </c>
      <c r="J1" t="s">
        <v>1659</v>
      </c>
      <c r="O1" s="246">
        <f>interFY_transition!D86</f>
        <v>46112</v>
      </c>
      <c r="P1" s="246">
        <f>Dashboard!D3</f>
        <v>46265</v>
      </c>
    </row>
    <row r="2" spans="1:18">
      <c r="P2">
        <f>_xlfn.DAYS(P1,O1)</f>
        <v>153</v>
      </c>
      <c r="Q2">
        <f>interFY_transition!D25+337</f>
        <v>365</v>
      </c>
      <c r="R2">
        <f>Q2-P2</f>
        <v>212</v>
      </c>
    </row>
    <row r="3" spans="1:18">
      <c r="A3" t="s">
        <v>658</v>
      </c>
      <c r="H3" s="445" t="s">
        <v>1658</v>
      </c>
    </row>
    <row r="4" spans="1:18">
      <c r="A4" t="s">
        <v>862</v>
      </c>
    </row>
    <row r="5" spans="1:18">
      <c r="L5" s="1186" t="s">
        <v>1193</v>
      </c>
      <c r="M5" s="1187"/>
    </row>
    <row r="6" spans="1:18" ht="28.5">
      <c r="D6" s="569" t="s">
        <v>104</v>
      </c>
      <c r="E6" s="571" t="s">
        <v>1181</v>
      </c>
      <c r="F6" s="571" t="s">
        <v>1178</v>
      </c>
      <c r="G6" s="571" t="s">
        <v>1179</v>
      </c>
      <c r="H6" s="571" t="s">
        <v>1184</v>
      </c>
      <c r="I6" s="571" t="s">
        <v>1185</v>
      </c>
      <c r="J6" s="571" t="s">
        <v>1186</v>
      </c>
      <c r="K6" s="571"/>
      <c r="L6" s="571" t="s">
        <v>1194</v>
      </c>
      <c r="M6" s="575" t="s">
        <v>1195</v>
      </c>
    </row>
    <row r="7" spans="1:18" ht="15.75">
      <c r="C7">
        <v>0.2</v>
      </c>
      <c r="D7" s="570" t="s">
        <v>60</v>
      </c>
      <c r="E7" s="574">
        <f>'YTD display'!D7</f>
        <v>1.369</v>
      </c>
      <c r="F7" s="828">
        <f>'YTD display'!L7</f>
        <v>0.75796189729712826</v>
      </c>
      <c r="G7" s="574">
        <f>E7-F7</f>
        <v>0.61103810270287173</v>
      </c>
      <c r="H7" s="572">
        <f>'Processed_Reconciled Prod'!V122</f>
        <v>7.3900291863417413</v>
      </c>
      <c r="I7" s="573">
        <f>IFERROR(G7*1000000*H7/$R$2,0)</f>
        <v>21299.950061042946</v>
      </c>
      <c r="J7" s="573">
        <f>I7/C7</f>
        <v>106499.75030521472</v>
      </c>
      <c r="K7" s="571"/>
      <c r="L7" s="573">
        <f>reference_points!AR5</f>
        <v>199390</v>
      </c>
      <c r="M7" s="571">
        <f>IFERROR(L7*$C7/$H7,0)</f>
        <v>5396.1897841624977</v>
      </c>
    </row>
    <row r="8" spans="1:18" ht="15.75">
      <c r="C8">
        <v>0.26</v>
      </c>
      <c r="D8" s="570" t="s">
        <v>61</v>
      </c>
      <c r="E8" s="574">
        <f>'YTD display'!D8</f>
        <v>2.2269999999999999</v>
      </c>
      <c r="F8" s="828">
        <f>'YTD display'!L8</f>
        <v>0.83362658602794104</v>
      </c>
      <c r="G8" s="574">
        <f t="shared" ref="G8:G20" si="0">E8-F8</f>
        <v>1.3933734139720588</v>
      </c>
      <c r="H8" s="572">
        <f>'Processed_Reconciled Prod'!V123</f>
        <v>7.4399999996033328</v>
      </c>
      <c r="I8" s="573">
        <f t="shared" ref="I8:I20" si="1">IFERROR(G8*1000000*H8/$R$2,0)</f>
        <v>48899.519808487792</v>
      </c>
      <c r="J8" s="573">
        <f t="shared" ref="J8:J20" si="2">I8/C8</f>
        <v>188075.0761864915</v>
      </c>
      <c r="K8" s="571"/>
      <c r="L8" s="573">
        <f>reference_points!AR6</f>
        <v>156705</v>
      </c>
      <c r="M8" s="571">
        <f t="shared" ref="M8:M20" si="3">IFERROR(L8*$C8/$H8,0)</f>
        <v>5476.2500002919696</v>
      </c>
    </row>
    <row r="9" spans="1:18" ht="15.75">
      <c r="C9">
        <v>1</v>
      </c>
      <c r="D9" s="570" t="s">
        <v>62</v>
      </c>
      <c r="E9" s="574">
        <f>'YTD display'!D9</f>
        <v>0.10100000000000001</v>
      </c>
      <c r="F9" s="828">
        <f>'YTD display'!L9</f>
        <v>3.845796062048798E-2</v>
      </c>
      <c r="G9" s="574">
        <f t="shared" si="0"/>
        <v>6.2542039379512027E-2</v>
      </c>
      <c r="H9" s="572">
        <f>'Processed_Reconciled Prod'!V124</f>
        <v>7.6928362276893392</v>
      </c>
      <c r="I9" s="573">
        <f>IFERROR(G9*1000000*H9/$R$2,0)</f>
        <v>2269.4606900579406</v>
      </c>
      <c r="J9" s="573">
        <f>I9/C9</f>
        <v>2269.4606900579406</v>
      </c>
      <c r="K9" s="571"/>
      <c r="L9" s="573">
        <f>reference_points!AR7</f>
        <v>1836</v>
      </c>
      <c r="M9" s="571">
        <f t="shared" si="3"/>
        <v>238.66360151949715</v>
      </c>
    </row>
    <row r="10" spans="1:18" ht="15.75">
      <c r="B10" s="248">
        <v>2.9250000000000002E-2</v>
      </c>
      <c r="C10">
        <v>2.3099999999999999E-2</v>
      </c>
      <c r="D10" s="570" t="s">
        <v>57</v>
      </c>
      <c r="E10" s="574">
        <f>'YTD display'!D10</f>
        <v>0.47099999999999997</v>
      </c>
      <c r="F10" s="828">
        <f>'YTD display'!L10</f>
        <v>0.19188916164803921</v>
      </c>
      <c r="G10" s="574">
        <f t="shared" si="0"/>
        <v>0.27911083835196077</v>
      </c>
      <c r="H10" s="572">
        <f>'Processed_Reconciled Prod'!V125</f>
        <v>7.4335480362651323</v>
      </c>
      <c r="I10" s="573">
        <f>IFERROR(G10*1000000*H10/$R$2,0)</f>
        <v>9786.7161525072297</v>
      </c>
      <c r="J10" s="573">
        <f>I10/B10</f>
        <v>334588.58641050354</v>
      </c>
      <c r="K10" s="571"/>
      <c r="L10" s="573">
        <f>reference_points!AR8</f>
        <v>330793</v>
      </c>
      <c r="M10" s="571">
        <f>IFERROR(L10*$B10/$H10,0)</f>
        <v>1301.6254422244103</v>
      </c>
    </row>
    <row r="11" spans="1:18" ht="15.75">
      <c r="C11">
        <v>0.27</v>
      </c>
      <c r="D11" s="570" t="s">
        <v>58</v>
      </c>
      <c r="E11" s="574">
        <f>'YTD display'!D11</f>
        <v>0.35</v>
      </c>
      <c r="F11" s="828">
        <f>'YTD display'!L11</f>
        <v>0.1975245219248013</v>
      </c>
      <c r="G11" s="574">
        <f t="shared" si="0"/>
        <v>0.15247547807519868</v>
      </c>
      <c r="H11" s="572">
        <f>'Processed_Reconciled Prod'!V126</f>
        <v>6.5565167534396744</v>
      </c>
      <c r="I11" s="573">
        <f t="shared" si="1"/>
        <v>4715.6038985319055</v>
      </c>
      <c r="J11" s="573">
        <f t="shared" si="2"/>
        <v>17465.199624192242</v>
      </c>
      <c r="K11" s="571"/>
      <c r="L11" s="573">
        <f>reference_points!AR9</f>
        <v>37478</v>
      </c>
      <c r="M11" s="571">
        <f t="shared" si="3"/>
        <v>1543.359131156242</v>
      </c>
    </row>
    <row r="12" spans="1:18" ht="15.75">
      <c r="C12">
        <v>0.5</v>
      </c>
      <c r="D12" s="570" t="s">
        <v>59</v>
      </c>
      <c r="E12" s="574">
        <f>'YTD display'!D12</f>
        <v>0.14700000000000002</v>
      </c>
      <c r="F12" s="828">
        <f>'YTD display'!L12</f>
        <v>5.3377565889520216E-2</v>
      </c>
      <c r="G12" s="574">
        <f t="shared" si="0"/>
        <v>9.3622434110479796E-2</v>
      </c>
      <c r="H12" s="572">
        <f>'Processed_Reconciled Prod'!V127</f>
        <v>6.7800695882505657</v>
      </c>
      <c r="I12" s="573">
        <f t="shared" si="1"/>
        <v>2994.1821617474361</v>
      </c>
      <c r="J12" s="573">
        <f t="shared" si="2"/>
        <v>5988.3643234948722</v>
      </c>
      <c r="K12" s="571"/>
      <c r="L12" s="573">
        <f>reference_points!AR10</f>
        <v>5137</v>
      </c>
      <c r="M12" s="571">
        <f t="shared" si="3"/>
        <v>378.83092003230308</v>
      </c>
    </row>
    <row r="13" spans="1:18" ht="15.75">
      <c r="C13">
        <v>0.7</v>
      </c>
      <c r="D13" s="570" t="s">
        <v>63</v>
      </c>
      <c r="E13" s="574">
        <f>'YTD display'!D13</f>
        <v>0.77</v>
      </c>
      <c r="F13" s="828">
        <f>'YTD display'!L13</f>
        <v>0.29918140266083793</v>
      </c>
      <c r="G13" s="574">
        <f t="shared" si="0"/>
        <v>0.47081859733916209</v>
      </c>
      <c r="H13" s="572">
        <f>'Processed_Reconciled Prod'!V128</f>
        <v>7.3739303482780141</v>
      </c>
      <c r="I13" s="573">
        <f t="shared" si="1"/>
        <v>16376.33746911761</v>
      </c>
      <c r="J13" s="573">
        <f t="shared" si="2"/>
        <v>23394.767813025159</v>
      </c>
      <c r="K13" s="571"/>
      <c r="L13" s="573">
        <f>reference_points!AR11</f>
        <v>21883.03</v>
      </c>
      <c r="M13" s="571">
        <f t="shared" si="3"/>
        <v>2077.3346474010482</v>
      </c>
    </row>
    <row r="14" spans="1:18" ht="15.75">
      <c r="C14">
        <v>0.11</v>
      </c>
      <c r="D14" s="570" t="s">
        <v>64</v>
      </c>
      <c r="E14" s="574">
        <f>'YTD display'!D14</f>
        <v>0.05</v>
      </c>
      <c r="F14" s="828">
        <f>'YTD display'!L14</f>
        <v>1.8778006343221812E-2</v>
      </c>
      <c r="G14" s="574">
        <f t="shared" si="0"/>
        <v>3.1221993656778191E-2</v>
      </c>
      <c r="H14" s="572">
        <f>'Processed_Reconciled Prod'!V129</f>
        <v>6.2400012569447592</v>
      </c>
      <c r="I14" s="573">
        <f t="shared" si="1"/>
        <v>918.98716821989251</v>
      </c>
      <c r="J14" s="573">
        <f t="shared" si="2"/>
        <v>8354.4288019990236</v>
      </c>
      <c r="K14" s="571"/>
      <c r="L14" s="573">
        <f>reference_points!AR12</f>
        <v>6836</v>
      </c>
      <c r="M14" s="571">
        <f t="shared" si="3"/>
        <v>120.50638598239259</v>
      </c>
    </row>
    <row r="15" spans="1:18" ht="15.75">
      <c r="C15">
        <v>0.4</v>
      </c>
      <c r="D15" s="570" t="s">
        <v>65</v>
      </c>
      <c r="E15" s="574">
        <f>'YTD display'!D15</f>
        <v>0.11599999999999999</v>
      </c>
      <c r="F15" s="828">
        <f>'YTD display'!L15</f>
        <v>4.9772601919589168E-2</v>
      </c>
      <c r="G15" s="574">
        <f t="shared" si="0"/>
        <v>6.6227398080410824E-2</v>
      </c>
      <c r="H15" s="572">
        <f>'Processed_Reconciled Prod'!V130</f>
        <v>6.5700026688558726</v>
      </c>
      <c r="I15" s="573">
        <f t="shared" si="1"/>
        <v>2052.4253874513183</v>
      </c>
      <c r="J15" s="573">
        <f t="shared" si="2"/>
        <v>5131.0634686282956</v>
      </c>
      <c r="K15" s="571"/>
      <c r="L15" s="573">
        <f>reference_points!AR13</f>
        <v>5899</v>
      </c>
      <c r="M15" s="571">
        <f t="shared" si="3"/>
        <v>359.14749489910184</v>
      </c>
    </row>
    <row r="16" spans="1:18" ht="15.75">
      <c r="C16">
        <v>0.04</v>
      </c>
      <c r="D16" s="570" t="s">
        <v>66</v>
      </c>
      <c r="E16" s="574">
        <f>'YTD display'!D16</f>
        <v>0.82600000000000007</v>
      </c>
      <c r="F16" s="828">
        <f>'YTD display'!L16</f>
        <v>0.27316170604839674</v>
      </c>
      <c r="G16" s="574">
        <f t="shared" si="0"/>
        <v>0.55283829395160333</v>
      </c>
      <c r="H16" s="572">
        <f>'Processed_Reconciled Prod'!V131</f>
        <v>7.6199996677979662</v>
      </c>
      <c r="I16" s="573">
        <f t="shared" si="1"/>
        <v>19870.884982345342</v>
      </c>
      <c r="J16" s="573">
        <f t="shared" si="2"/>
        <v>496772.12455863354</v>
      </c>
      <c r="K16" s="571"/>
      <c r="L16" s="573">
        <f>reference_points!AR14</f>
        <v>431948</v>
      </c>
      <c r="M16" s="571">
        <f t="shared" si="3"/>
        <v>2267.4436684054331</v>
      </c>
    </row>
    <row r="17" spans="2:13" ht="15.75">
      <c r="C17">
        <v>0.25</v>
      </c>
      <c r="D17" s="570" t="s">
        <v>67</v>
      </c>
      <c r="E17" s="574">
        <f>'YTD display'!D17</f>
        <v>0.65500000000000003</v>
      </c>
      <c r="F17" s="828">
        <f>'YTD display'!L17</f>
        <v>0.28041999622492919</v>
      </c>
      <c r="G17" s="574">
        <f t="shared" si="0"/>
        <v>0.37458000377507084</v>
      </c>
      <c r="H17" s="572">
        <f>'Processed_Reconciled Prod'!V132</f>
        <v>7.3000022119061292</v>
      </c>
      <c r="I17" s="573">
        <f t="shared" si="1"/>
        <v>12898.277623084074</v>
      </c>
      <c r="J17" s="573">
        <f t="shared" si="2"/>
        <v>51593.110492336295</v>
      </c>
      <c r="K17" s="571"/>
      <c r="L17" s="573">
        <f>reference_points!AR15</f>
        <v>52592.26</v>
      </c>
      <c r="M17" s="571">
        <f t="shared" si="3"/>
        <v>1801.1042487844484</v>
      </c>
    </row>
    <row r="18" spans="2:13" ht="15.75">
      <c r="C18">
        <v>0.24124999999999999</v>
      </c>
      <c r="D18" s="570" t="s">
        <v>68</v>
      </c>
      <c r="E18" s="574">
        <f>'YTD display'!D18</f>
        <v>0.17</v>
      </c>
      <c r="F18" s="828">
        <f>'YTD display'!L18</f>
        <v>6.7550622111245281E-2</v>
      </c>
      <c r="G18" s="574">
        <f t="shared" si="0"/>
        <v>0.10244937788875473</v>
      </c>
      <c r="H18" s="572">
        <f>'Processed_Reconciled Prod'!V133</f>
        <v>6.7999686312182712</v>
      </c>
      <c r="I18" s="573">
        <f t="shared" si="1"/>
        <v>3286.0969619403722</v>
      </c>
      <c r="J18" s="573">
        <f t="shared" si="2"/>
        <v>13621.127303379782</v>
      </c>
      <c r="K18" s="571"/>
      <c r="L18" s="573">
        <f>reference_points!AR16</f>
        <v>13986</v>
      </c>
      <c r="M18" s="571">
        <f t="shared" si="3"/>
        <v>496.19677427769216</v>
      </c>
    </row>
    <row r="19" spans="2:13" ht="15.75">
      <c r="C19">
        <v>0.45</v>
      </c>
      <c r="D19" s="570" t="s">
        <v>69</v>
      </c>
      <c r="E19" s="574">
        <f>'YTD display'!D19</f>
        <v>0</v>
      </c>
      <c r="F19" s="828">
        <f>'YTD display'!L19</f>
        <v>0</v>
      </c>
      <c r="G19" s="574">
        <f t="shared" si="0"/>
        <v>0</v>
      </c>
      <c r="H19" s="572">
        <f>'Processed_Reconciled Prod'!V134</f>
        <v>8.4717747193353503</v>
      </c>
      <c r="I19" s="573">
        <v>0</v>
      </c>
      <c r="J19" s="573">
        <f t="shared" si="2"/>
        <v>0</v>
      </c>
      <c r="K19" s="571"/>
      <c r="L19" s="573">
        <f>reference_points!AR17</f>
        <v>0</v>
      </c>
      <c r="M19" s="571">
        <f t="shared" si="3"/>
        <v>0</v>
      </c>
    </row>
    <row r="20" spans="2:13" ht="15.75">
      <c r="C20">
        <v>0.17</v>
      </c>
      <c r="D20" s="570" t="s">
        <v>70</v>
      </c>
      <c r="E20" s="574">
        <f>'YTD display'!D20</f>
        <v>0</v>
      </c>
      <c r="F20" s="828">
        <f>'YTD display'!L20</f>
        <v>0</v>
      </c>
      <c r="G20" s="574">
        <f t="shared" si="0"/>
        <v>0</v>
      </c>
      <c r="H20" s="572" t="str">
        <f>'Processed_Reconciled Prod'!V135</f>
        <v>-</v>
      </c>
      <c r="I20" s="573">
        <f t="shared" si="1"/>
        <v>0</v>
      </c>
      <c r="J20" s="573">
        <f t="shared" si="2"/>
        <v>0</v>
      </c>
      <c r="K20" s="571"/>
      <c r="L20" s="573">
        <f>reference_points!AR18</f>
        <v>0</v>
      </c>
      <c r="M20" s="571">
        <f t="shared" si="3"/>
        <v>0</v>
      </c>
    </row>
    <row r="21" spans="2:13" ht="15.75">
      <c r="D21" s="310" t="s">
        <v>92</v>
      </c>
      <c r="E21" s="574">
        <f>SUM(E7:E20)</f>
        <v>7.2519999999999998</v>
      </c>
      <c r="F21" s="574">
        <f>SUM(F7:F20)</f>
        <v>3.0617020287161378</v>
      </c>
      <c r="G21" s="574">
        <f>E21-F21</f>
        <v>4.1902979712838615</v>
      </c>
      <c r="H21" s="571"/>
      <c r="I21" s="573">
        <f>SUM(I7:I20)</f>
        <v>145368.44236453387</v>
      </c>
      <c r="J21" s="573">
        <f>J7*$C7+J8*$C8+J9*$C9+J10*$B10+J11*$C11+J12*$C12+J13*$C13+J14*$C14+J15*$C15+J16*$C16+J17*$C17+J18*$C18+J19*$C19+J20*$C20</f>
        <v>145368.44236453387</v>
      </c>
      <c r="K21" s="571"/>
      <c r="L21" s="573">
        <f>reference_points!AR19</f>
        <v>157050.34375</v>
      </c>
      <c r="M21" s="573">
        <f>SUM(M7:M20)</f>
        <v>21456.652099137038</v>
      </c>
    </row>
    <row r="22" spans="2:13" ht="15.75">
      <c r="D22" s="262"/>
    </row>
    <row r="23" spans="2:13" ht="28.5">
      <c r="D23" s="261" t="s">
        <v>105</v>
      </c>
      <c r="E23" s="571" t="s">
        <v>1182</v>
      </c>
      <c r="F23" s="571" t="s">
        <v>1180</v>
      </c>
      <c r="G23" s="571" t="s">
        <v>1179</v>
      </c>
      <c r="H23" s="571"/>
      <c r="I23" s="571" t="s">
        <v>1187</v>
      </c>
      <c r="J23" s="571" t="s">
        <v>1188</v>
      </c>
      <c r="K23" s="571"/>
      <c r="L23" s="571" t="s">
        <v>210</v>
      </c>
      <c r="M23" s="571" t="s">
        <v>1196</v>
      </c>
    </row>
    <row r="24" spans="2:13" ht="15.75">
      <c r="C24">
        <v>0.2</v>
      </c>
      <c r="D24" s="254" t="s">
        <v>60</v>
      </c>
      <c r="E24" s="574">
        <f>'YTD display'!D24</f>
        <v>0.61900000000000011</v>
      </c>
      <c r="F24" s="574">
        <f>'YTD display'!L24</f>
        <v>0.24492837185478003</v>
      </c>
      <c r="G24" s="574">
        <f>E24-F24</f>
        <v>0.3740716281452201</v>
      </c>
      <c r="H24" s="571"/>
      <c r="I24" s="574">
        <f>G24*1000/$R$2</f>
        <v>1.7644888120057551</v>
      </c>
      <c r="J24" s="574">
        <f t="shared" ref="J24:J37" si="4">I24/C24</f>
        <v>8.8224440600287757</v>
      </c>
      <c r="K24" s="571"/>
      <c r="L24" s="574">
        <f>reference_points!AR23</f>
        <v>8.3568032575669609</v>
      </c>
      <c r="M24" s="572">
        <f>L24*$C24*1000000/1000</f>
        <v>1671.3606515133924</v>
      </c>
    </row>
    <row r="25" spans="2:13" ht="15.75">
      <c r="C25">
        <v>0.26</v>
      </c>
      <c r="D25" s="254" t="s">
        <v>61</v>
      </c>
      <c r="E25" s="574">
        <f>'YTD display'!D25</f>
        <v>0.79994520547945203</v>
      </c>
      <c r="F25" s="574">
        <f>'YTD display'!L25</f>
        <v>0.38663417235999997</v>
      </c>
      <c r="G25" s="574">
        <f t="shared" ref="G25:G38" si="5">E25-F25</f>
        <v>0.41331103311945205</v>
      </c>
      <c r="H25" s="571"/>
      <c r="I25" s="574">
        <f t="shared" ref="I25:I37" si="6">G25*1000/$R$2</f>
        <v>1.9495803449030757</v>
      </c>
      <c r="J25" s="574">
        <f t="shared" si="4"/>
        <v>7.4983859419349068</v>
      </c>
      <c r="K25" s="571"/>
      <c r="L25" s="574">
        <f>reference_points!AR24</f>
        <v>10.210000000000001</v>
      </c>
      <c r="M25" s="572">
        <f t="shared" ref="M25:M36" si="7">L25*$C25*1000000/1000</f>
        <v>2654.6000000000004</v>
      </c>
    </row>
    <row r="26" spans="2:13" ht="15.75">
      <c r="C26">
        <v>1</v>
      </c>
      <c r="D26" s="254" t="s">
        <v>62</v>
      </c>
      <c r="E26" s="574">
        <f>'YTD display'!D26</f>
        <v>9.3983561643835617E-2</v>
      </c>
      <c r="F26" s="574">
        <f>'YTD display'!L26</f>
        <v>3.8649968E-2</v>
      </c>
      <c r="G26" s="574">
        <f t="shared" si="5"/>
        <v>5.5333593643835617E-2</v>
      </c>
      <c r="H26" s="571"/>
      <c r="I26" s="574">
        <f t="shared" si="6"/>
        <v>0.26100751718790388</v>
      </c>
      <c r="J26" s="574">
        <f t="shared" si="4"/>
        <v>0.26100751718790388</v>
      </c>
      <c r="K26" s="571"/>
      <c r="L26" s="574">
        <f>reference_points!AR25</f>
        <v>0.251052</v>
      </c>
      <c r="M26" s="572">
        <f t="shared" si="7"/>
        <v>251.05199999999999</v>
      </c>
    </row>
    <row r="27" spans="2:13" ht="15.75">
      <c r="B27">
        <v>2.9250000000000002E-2</v>
      </c>
      <c r="C27">
        <v>2.3099999999999999E-2</v>
      </c>
      <c r="D27" s="254" t="s">
        <v>57</v>
      </c>
      <c r="E27" s="574">
        <f>'YTD display'!D27</f>
        <v>0.11585205479452054</v>
      </c>
      <c r="F27" s="574">
        <f>'YTD display'!L27</f>
        <v>5.1243716568454493E-2</v>
      </c>
      <c r="G27" s="574">
        <f>E27-F27</f>
        <v>6.4608338226066042E-2</v>
      </c>
      <c r="H27" s="571"/>
      <c r="I27" s="574">
        <f>G27*1000/$R$2</f>
        <v>0.30475631238710393</v>
      </c>
      <c r="J27" s="574">
        <f>I27/B27</f>
        <v>10.419019226909535</v>
      </c>
      <c r="K27" s="571"/>
      <c r="L27" s="574">
        <f>reference_points!AR26</f>
        <v>6.4160250547222555</v>
      </c>
      <c r="M27" s="572">
        <f>L27*$B10*1000000/1000</f>
        <v>187.66873285062599</v>
      </c>
    </row>
    <row r="28" spans="2:13" ht="15.75">
      <c r="C28">
        <v>0.27</v>
      </c>
      <c r="D28" s="254" t="s">
        <v>58</v>
      </c>
      <c r="E28" s="574">
        <f>'YTD display'!D28</f>
        <v>2.5123287671232876E-2</v>
      </c>
      <c r="F28" s="574">
        <f>'YTD display'!L28</f>
        <v>1.7309314750000002E-2</v>
      </c>
      <c r="G28" s="574">
        <f t="shared" si="5"/>
        <v>7.8139729212328736E-3</v>
      </c>
      <c r="H28" s="571"/>
      <c r="I28" s="574">
        <f t="shared" si="6"/>
        <v>3.6858362836004119E-2</v>
      </c>
      <c r="J28" s="574">
        <f t="shared" si="4"/>
        <v>0.13651245494816339</v>
      </c>
      <c r="K28" s="571"/>
      <c r="L28" s="574">
        <f>reference_points!AR27</f>
        <v>0.57677999999999996</v>
      </c>
      <c r="M28" s="572">
        <f t="shared" si="7"/>
        <v>155.73060000000001</v>
      </c>
    </row>
    <row r="29" spans="2:13" ht="15.75">
      <c r="C29">
        <v>0.5</v>
      </c>
      <c r="D29" s="254" t="s">
        <v>59</v>
      </c>
      <c r="E29" s="574">
        <f>'YTD display'!D29</f>
        <v>4.0000000000000001E-3</v>
      </c>
      <c r="F29" s="574">
        <f>'YTD display'!L29</f>
        <v>1.3850000000000004E-3</v>
      </c>
      <c r="G29" s="574">
        <f>E29-F29</f>
        <v>2.6149999999999997E-3</v>
      </c>
      <c r="H29" s="571"/>
      <c r="I29" s="574">
        <f>G29*1000/$R$2</f>
        <v>1.2334905660377357E-2</v>
      </c>
      <c r="J29" s="574">
        <f>I29/C29</f>
        <v>2.4669811320754714E-2</v>
      </c>
      <c r="K29" s="571"/>
      <c r="L29" s="574">
        <f>reference_points!AR28</f>
        <v>2.4E-2</v>
      </c>
      <c r="M29" s="572">
        <f t="shared" si="7"/>
        <v>12</v>
      </c>
    </row>
    <row r="30" spans="2:13" ht="15.75">
      <c r="C30">
        <v>0.7</v>
      </c>
      <c r="D30" s="254" t="s">
        <v>63</v>
      </c>
      <c r="E30" s="574">
        <f>'YTD display'!D30</f>
        <v>1E-3</v>
      </c>
      <c r="F30" s="574">
        <f>'YTD display'!L30</f>
        <v>8.0926053456492619E-3</v>
      </c>
      <c r="G30" s="574">
        <f t="shared" si="5"/>
        <v>-7.0926053456492619E-3</v>
      </c>
      <c r="H30" s="571"/>
      <c r="I30" s="574">
        <f>G30*1000/$R$2</f>
        <v>-3.3455685592685198E-2</v>
      </c>
      <c r="J30" s="574">
        <f t="shared" si="4"/>
        <v>-4.779383656097886E-2</v>
      </c>
      <c r="K30" s="571"/>
      <c r="L30" s="574">
        <f>reference_points!AR29</f>
        <v>5.4456076364799927E-3</v>
      </c>
      <c r="M30" s="572">
        <f t="shared" si="7"/>
        <v>3.8119253455359945</v>
      </c>
    </row>
    <row r="31" spans="2:13" ht="15.75">
      <c r="C31">
        <v>0.11</v>
      </c>
      <c r="D31" s="254" t="s">
        <v>64</v>
      </c>
      <c r="E31" s="574">
        <f>'YTD display'!D31</f>
        <v>8.7643835616438362E-3</v>
      </c>
      <c r="F31" s="574">
        <f>'YTD display'!L31</f>
        <v>4.6609400617873015E-3</v>
      </c>
      <c r="G31" s="574">
        <f t="shared" si="5"/>
        <v>4.1034434998565347E-3</v>
      </c>
      <c r="H31" s="571"/>
      <c r="I31" s="574">
        <f t="shared" si="6"/>
        <v>1.9355865565361011E-2</v>
      </c>
      <c r="J31" s="574">
        <f t="shared" si="4"/>
        <v>0.17596241423055464</v>
      </c>
      <c r="K31" s="571"/>
      <c r="L31" s="574">
        <f>reference_points!AR30</f>
        <v>0.1775464608222638</v>
      </c>
      <c r="M31" s="572">
        <f t="shared" si="7"/>
        <v>19.530110690449018</v>
      </c>
    </row>
    <row r="32" spans="2:13" ht="15.75">
      <c r="C32">
        <v>0.4</v>
      </c>
      <c r="D32" s="254" t="s">
        <v>65</v>
      </c>
      <c r="E32" s="574">
        <f>'YTD display'!D32</f>
        <v>3.1717808219178086E-2</v>
      </c>
      <c r="F32" s="574">
        <f>'YTD display'!L32</f>
        <v>6.0630020926129916E-3</v>
      </c>
      <c r="G32" s="574">
        <f t="shared" si="5"/>
        <v>2.5654806126565094E-2</v>
      </c>
      <c r="H32" s="571"/>
      <c r="I32" s="574">
        <f t="shared" si="6"/>
        <v>0.12101323644606177</v>
      </c>
      <c r="J32" s="574">
        <f t="shared" si="4"/>
        <v>0.30253309111515442</v>
      </c>
      <c r="K32" s="571"/>
      <c r="L32" s="574">
        <f>reference_points!AR31</f>
        <v>0.10007164155436686</v>
      </c>
      <c r="M32" s="572">
        <f t="shared" si="7"/>
        <v>40.028656621746748</v>
      </c>
    </row>
    <row r="33" spans="3:13" ht="15.75">
      <c r="C33">
        <v>0.04</v>
      </c>
      <c r="D33" s="254" t="s">
        <v>66</v>
      </c>
      <c r="E33" s="571">
        <f>'YTD display'!D33</f>
        <v>0</v>
      </c>
      <c r="F33" s="574">
        <f>'YTD display'!L33</f>
        <v>0</v>
      </c>
      <c r="G33" s="574">
        <f t="shared" si="5"/>
        <v>0</v>
      </c>
      <c r="H33" s="571"/>
      <c r="I33" s="574">
        <f t="shared" si="6"/>
        <v>0</v>
      </c>
      <c r="J33" s="574">
        <f t="shared" si="4"/>
        <v>0</v>
      </c>
      <c r="K33" s="571"/>
      <c r="L33" s="574">
        <f>reference_points!AR32</f>
        <v>0</v>
      </c>
      <c r="M33" s="572">
        <f t="shared" si="7"/>
        <v>0</v>
      </c>
    </row>
    <row r="34" spans="3:13" ht="15.75">
      <c r="C34">
        <v>0.25</v>
      </c>
      <c r="D34" s="254" t="s">
        <v>67</v>
      </c>
      <c r="E34" s="571">
        <f>'YTD display'!D34</f>
        <v>0</v>
      </c>
      <c r="F34" s="574">
        <f>'YTD display'!L34</f>
        <v>0</v>
      </c>
      <c r="G34" s="574">
        <f t="shared" si="5"/>
        <v>0</v>
      </c>
      <c r="H34" s="571"/>
      <c r="I34" s="574">
        <f t="shared" si="6"/>
        <v>0</v>
      </c>
      <c r="J34" s="574">
        <f t="shared" si="4"/>
        <v>0</v>
      </c>
      <c r="K34" s="571"/>
      <c r="L34" s="574">
        <f>reference_points!AR33</f>
        <v>0</v>
      </c>
      <c r="M34" s="572">
        <f t="shared" si="7"/>
        <v>0</v>
      </c>
    </row>
    <row r="35" spans="3:13" ht="15.75">
      <c r="C35">
        <v>0.24124999999999999</v>
      </c>
      <c r="D35" s="254" t="s">
        <v>68</v>
      </c>
      <c r="E35" s="571">
        <f>'YTD display'!D35</f>
        <v>0</v>
      </c>
      <c r="F35" s="574">
        <f>'YTD display'!L35</f>
        <v>0</v>
      </c>
      <c r="G35" s="574">
        <f t="shared" si="5"/>
        <v>0</v>
      </c>
      <c r="H35" s="571"/>
      <c r="I35" s="574">
        <f t="shared" si="6"/>
        <v>0</v>
      </c>
      <c r="J35" s="574">
        <f t="shared" si="4"/>
        <v>0</v>
      </c>
      <c r="K35" s="571"/>
      <c r="L35" s="574">
        <f>reference_points!AR34</f>
        <v>0</v>
      </c>
      <c r="M35" s="572">
        <f t="shared" si="7"/>
        <v>0</v>
      </c>
    </row>
    <row r="36" spans="3:13" ht="15.75">
      <c r="C36">
        <v>0.45</v>
      </c>
      <c r="D36" s="254" t="s">
        <v>69</v>
      </c>
      <c r="E36" s="574">
        <f>'YTD display'!D36</f>
        <v>0</v>
      </c>
      <c r="F36" s="574">
        <f>'YTD display'!L36</f>
        <v>0</v>
      </c>
      <c r="G36" s="574">
        <f t="shared" si="5"/>
        <v>0</v>
      </c>
      <c r="H36" s="571"/>
      <c r="I36" s="574">
        <f t="shared" si="6"/>
        <v>0</v>
      </c>
      <c r="J36" s="574">
        <f t="shared" si="4"/>
        <v>0</v>
      </c>
      <c r="K36" s="571"/>
      <c r="L36" s="574">
        <f>reference_points!AR35</f>
        <v>0</v>
      </c>
      <c r="M36" s="572">
        <f t="shared" si="7"/>
        <v>0</v>
      </c>
    </row>
    <row r="37" spans="3:13" ht="15.75">
      <c r="C37">
        <v>0.17</v>
      </c>
      <c r="D37" s="254" t="s">
        <v>70</v>
      </c>
      <c r="E37" s="574">
        <f>'YTD display'!D37</f>
        <v>0.87423013698630125</v>
      </c>
      <c r="F37" s="574">
        <f>'YTD display'!L37</f>
        <v>0.36315959784452373</v>
      </c>
      <c r="G37" s="574">
        <f t="shared" si="5"/>
        <v>0.51107053914177758</v>
      </c>
      <c r="H37" s="571"/>
      <c r="I37" s="574">
        <f t="shared" si="6"/>
        <v>2.4107100902914036</v>
      </c>
      <c r="J37" s="574">
        <f t="shared" si="4"/>
        <v>14.180647589949432</v>
      </c>
      <c r="K37" s="571"/>
      <c r="L37" s="574">
        <f>reference_points!AR36</f>
        <v>13.984572996514199</v>
      </c>
      <c r="M37" s="572">
        <f>L37*$C37*1000000/1000</f>
        <v>2377.3774094074142</v>
      </c>
    </row>
    <row r="38" spans="3:13" ht="15.75">
      <c r="D38" s="316" t="s">
        <v>92</v>
      </c>
      <c r="E38" s="574">
        <f>SUM(E24:E37)</f>
        <v>2.5736164383561642</v>
      </c>
      <c r="F38" s="574">
        <f>SUM(F24:F37)</f>
        <v>1.1221266888778076</v>
      </c>
      <c r="G38" s="574">
        <f t="shared" si="5"/>
        <v>1.4514897494783565</v>
      </c>
      <c r="H38" s="571"/>
      <c r="I38" s="574">
        <f>SUM(I24:I37)</f>
        <v>6.8466497616903608</v>
      </c>
      <c r="J38" s="574">
        <f>J24*$C24+J25*$C25+J26*$C26+J27*$B27+J28*$C28+J29*$C29+J30*$C30+J31*$C31+J32*$C32+J33*$C33+J34*$C34+J35*$C35+J36*$C36+J37*$C37</f>
        <v>6.8466497616903608</v>
      </c>
      <c r="K38" s="571"/>
      <c r="L38" s="574">
        <f>reference_points!AR37</f>
        <v>7.3693481610836287</v>
      </c>
      <c r="M38" s="572">
        <f>SUM(M24:M37)</f>
        <v>7373.160086429164</v>
      </c>
    </row>
    <row r="41" spans="3:13">
      <c r="E41" t="s">
        <v>1197</v>
      </c>
      <c r="F41" t="s">
        <v>1198</v>
      </c>
      <c r="G41" t="s">
        <v>1199</v>
      </c>
    </row>
    <row r="42" spans="3:13">
      <c r="D42" s="576" t="s">
        <v>1189</v>
      </c>
      <c r="E42" s="577">
        <f>E21+E38</f>
        <v>9.8256164383561639</v>
      </c>
      <c r="F42" s="577">
        <f>F21+F38</f>
        <v>4.1838287175939453</v>
      </c>
      <c r="G42" s="578">
        <f>G21+G38</f>
        <v>5.6417877207622178</v>
      </c>
      <c r="H42" s="378"/>
      <c r="M42" s="378">
        <f>M21+M38</f>
        <v>28829.812185566203</v>
      </c>
    </row>
    <row r="43" spans="3:13">
      <c r="M43" t="s">
        <v>1200</v>
      </c>
    </row>
    <row r="44" spans="3:13">
      <c r="D44" s="576" t="s">
        <v>1190</v>
      </c>
      <c r="E44" s="579">
        <f>E21*1000000/$Q$2</f>
        <v>19868.493150684932</v>
      </c>
      <c r="F44" s="579">
        <f>F21*1000000/$P$2</f>
        <v>20011.124370693709</v>
      </c>
      <c r="G44" s="580">
        <f>G21*1000000/$R$2</f>
        <v>19765.556468320101</v>
      </c>
    </row>
    <row r="45" spans="3:13">
      <c r="D45" s="576" t="s">
        <v>1191</v>
      </c>
      <c r="E45" s="579">
        <f>E38*1000000/$Q$2</f>
        <v>7051.0039407018203</v>
      </c>
      <c r="F45" s="579">
        <f>F38*1000000/$P$2</f>
        <v>7334.1613652144297</v>
      </c>
      <c r="G45" s="580">
        <f>G38*1000000/$R$2</f>
        <v>6846.6497616903607</v>
      </c>
    </row>
    <row r="46" spans="3:13">
      <c r="G46" s="378"/>
    </row>
    <row r="47" spans="3:13">
      <c r="C47" s="576" t="s">
        <v>3</v>
      </c>
      <c r="D47" s="581" t="s">
        <v>1192</v>
      </c>
      <c r="E47" s="579">
        <f>E44+E45</f>
        <v>26919.497091386751</v>
      </c>
      <c r="F47" s="579">
        <f>F44+F45</f>
        <v>27345.285735908139</v>
      </c>
      <c r="G47" s="580">
        <f>G44+G45</f>
        <v>26612.206230010463</v>
      </c>
    </row>
    <row r="51" spans="5:11" ht="18.75">
      <c r="E51" s="1191" t="s">
        <v>1201</v>
      </c>
      <c r="F51" s="1192" t="s">
        <v>1205</v>
      </c>
      <c r="G51" s="1193"/>
      <c r="H51" s="1193"/>
      <c r="I51" s="1188" t="s">
        <v>1206</v>
      </c>
      <c r="J51" s="1189"/>
      <c r="K51" s="1190"/>
    </row>
    <row r="52" spans="5:11" ht="18.75">
      <c r="E52" s="1191"/>
      <c r="F52" s="1194">
        <f>Dashboard!D3</f>
        <v>46265</v>
      </c>
      <c r="G52" s="1195"/>
      <c r="H52" s="1196"/>
      <c r="I52" s="627">
        <v>7.2519999999999998</v>
      </c>
      <c r="J52" s="628">
        <v>2.5739999999999998</v>
      </c>
      <c r="K52" s="629">
        <f>I52+J52</f>
        <v>9.8260000000000005</v>
      </c>
    </row>
    <row r="53" spans="5:11" ht="18.75">
      <c r="E53" s="1191"/>
      <c r="F53" s="1197"/>
      <c r="G53" s="1198"/>
      <c r="H53" s="1199"/>
      <c r="I53" s="589" t="s">
        <v>1207</v>
      </c>
      <c r="J53" s="590" t="s">
        <v>1208</v>
      </c>
      <c r="K53" s="591" t="s">
        <v>1209</v>
      </c>
    </row>
    <row r="54" spans="5:11" ht="18.75">
      <c r="E54" s="1191"/>
      <c r="F54" s="1200" t="s">
        <v>104</v>
      </c>
      <c r="G54" s="582">
        <f>L21</f>
        <v>157050.34375</v>
      </c>
      <c r="H54" s="583" t="s">
        <v>1202</v>
      </c>
      <c r="I54" s="584">
        <f>I21</f>
        <v>145368.44236453387</v>
      </c>
      <c r="J54" s="1184" t="s">
        <v>1202</v>
      </c>
      <c r="K54" s="1185"/>
    </row>
    <row r="55" spans="5:11" ht="18.75">
      <c r="E55" s="1191"/>
      <c r="F55" s="1201"/>
      <c r="G55" s="582">
        <f>M21</f>
        <v>21456.652099137038</v>
      </c>
      <c r="H55" s="583" t="s">
        <v>1204</v>
      </c>
      <c r="I55" s="585">
        <f>G44</f>
        <v>19765.556468320101</v>
      </c>
      <c r="J55" s="1184" t="s">
        <v>1204</v>
      </c>
      <c r="K55" s="1185"/>
    </row>
    <row r="56" spans="5:11" ht="18.75">
      <c r="E56" s="1191"/>
      <c r="F56" s="586" t="s">
        <v>105</v>
      </c>
      <c r="G56" s="587">
        <f>L38</f>
        <v>7.3693481610836287</v>
      </c>
      <c r="H56" s="583" t="s">
        <v>1203</v>
      </c>
      <c r="I56" s="588">
        <f>I38</f>
        <v>6.8466497616903608</v>
      </c>
      <c r="J56" s="1184" t="s">
        <v>1203</v>
      </c>
      <c r="K56" s="1185"/>
    </row>
    <row r="57" spans="5:11" ht="18.75">
      <c r="E57" s="1191"/>
      <c r="F57" s="586" t="s">
        <v>3</v>
      </c>
      <c r="G57" s="582">
        <f>M42</f>
        <v>28829.812185566203</v>
      </c>
      <c r="H57" s="583" t="s">
        <v>1212</v>
      </c>
      <c r="I57" s="585">
        <f>I55+G45</f>
        <v>26612.206230010463</v>
      </c>
      <c r="J57" s="1184" t="s">
        <v>1212</v>
      </c>
      <c r="K57" s="1185"/>
    </row>
    <row r="60" spans="5:11">
      <c r="F60" t="str">
        <f>CONCATENATE(F51,"(",TEXT(F52,"dd-mmm-yy"),")")</f>
        <v>Actual production on DPR date(31-Aug-26)</v>
      </c>
      <c r="I60" t="str">
        <f>CONCATENATE(I51," ",ROUND(I52,3)," ",I53," Oil and ",ROUND(J52,3)," ",J53, " Gas (","Total ",ROUND(K52,3)," ",K53, ")"," is")</f>
        <v>Asking rate to achieve 7.252 MMT Oil and 2.574 BCM Gas (Total 9.826 MMTOE) is</v>
      </c>
    </row>
  </sheetData>
  <mergeCells count="10">
    <mergeCell ref="J57:K57"/>
    <mergeCell ref="L5:M5"/>
    <mergeCell ref="I51:K51"/>
    <mergeCell ref="E51:E57"/>
    <mergeCell ref="F51:H51"/>
    <mergeCell ref="F52:H53"/>
    <mergeCell ref="F54:F55"/>
    <mergeCell ref="J54:K54"/>
    <mergeCell ref="J55:K55"/>
    <mergeCell ref="J56:K56"/>
  </mergeCells>
  <pageMargins left="0.7" right="0.7" top="0.75" bottom="0.75" header="0.3" footer="0.3"/>
  <pageSetup scale="81"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2081" r:id="rId4" name="Button 1">
              <controlPr defaultSize="0" print="0" autoFill="0" autoPict="0" macro="[0]!AskingRate_Button1_Click">
                <anchor moveWithCells="1" sizeWithCells="1">
                  <from>
                    <xdr:col>13</xdr:col>
                    <xdr:colOff>219075</xdr:colOff>
                    <xdr:row>51</xdr:row>
                    <xdr:rowOff>152400</xdr:rowOff>
                  </from>
                  <to>
                    <xdr:col>20</xdr:col>
                    <xdr:colOff>161925</xdr:colOff>
                    <xdr:row>54</xdr:row>
                    <xdr:rowOff>142875</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9">
    <tabColor rgb="FF92D050"/>
  </sheetPr>
  <dimension ref="D1:Y34"/>
  <sheetViews>
    <sheetView workbookViewId="0"/>
  </sheetViews>
  <sheetFormatPr defaultColWidth="8.85546875" defaultRowHeight="15"/>
  <cols>
    <col min="1" max="1" width="3.42578125" customWidth="1"/>
    <col min="2" max="2" width="3.28515625" customWidth="1"/>
    <col min="3" max="3" width="2.85546875" customWidth="1"/>
    <col min="7" max="7" width="25.42578125" customWidth="1"/>
    <col min="11" max="11" width="20.42578125" customWidth="1"/>
    <col min="12" max="12" width="17.140625" customWidth="1"/>
    <col min="13" max="13" width="13" customWidth="1"/>
    <col min="14" max="14" width="7" customWidth="1"/>
    <col min="15" max="15" width="2.42578125" hidden="1" customWidth="1"/>
    <col min="16" max="16" width="1" hidden="1" customWidth="1"/>
    <col min="17" max="17" width="0" hidden="1" customWidth="1"/>
    <col min="18" max="18" width="2.28515625" customWidth="1"/>
    <col min="19" max="19" width="9.85546875" customWidth="1"/>
    <col min="20" max="20" width="13.7109375" customWidth="1"/>
    <col min="21" max="21" width="11.85546875" customWidth="1"/>
    <col min="22" max="22" width="15" customWidth="1"/>
    <col min="23" max="23" width="11.28515625" customWidth="1"/>
    <col min="24" max="25" width="11.28515625" hidden="1" customWidth="1"/>
    <col min="26" max="26" width="11.28515625" customWidth="1"/>
  </cols>
  <sheetData>
    <row r="1" spans="4:24">
      <c r="X1" s="246">
        <f>interFY_transition!D86</f>
        <v>46112</v>
      </c>
    </row>
    <row r="3" spans="4:24" ht="28.5">
      <c r="D3" s="1202" t="str">
        <f>X4 &amp; " (" &amp; X10 &amp; "-" &amp; X11 &amp; ")"</f>
        <v>OVL TOTAL (Oil-JV BOPD)</v>
      </c>
      <c r="E3" s="1202"/>
      <c r="F3" s="1202"/>
      <c r="G3" s="1202"/>
      <c r="H3" s="1202"/>
      <c r="I3" s="1202"/>
      <c r="J3" s="1202"/>
      <c r="K3" s="1202"/>
      <c r="L3" s="1202"/>
      <c r="M3" s="1202"/>
      <c r="N3" s="1202"/>
      <c r="S3" s="1203" t="s">
        <v>1249</v>
      </c>
      <c r="T3" s="1203"/>
      <c r="U3" s="1203"/>
      <c r="V3" s="1203"/>
    </row>
    <row r="4" spans="4:24" ht="18.75">
      <c r="S4" s="610" t="s">
        <v>70</v>
      </c>
      <c r="T4" s="610" t="s">
        <v>69</v>
      </c>
      <c r="U4" s="610" t="s">
        <v>59</v>
      </c>
      <c r="V4" s="611" t="s">
        <v>63</v>
      </c>
      <c r="X4" t="s">
        <v>1266</v>
      </c>
    </row>
    <row r="5" spans="4:24" ht="18.75">
      <c r="S5" s="610" t="s">
        <v>67</v>
      </c>
      <c r="T5" s="610" t="s">
        <v>68</v>
      </c>
      <c r="U5" s="610" t="s">
        <v>66</v>
      </c>
      <c r="V5" s="611" t="s">
        <v>57</v>
      </c>
    </row>
    <row r="6" spans="4:24" ht="56.25">
      <c r="S6" s="610" t="s">
        <v>60</v>
      </c>
      <c r="T6" s="610" t="s">
        <v>61</v>
      </c>
      <c r="U6" s="610" t="s">
        <v>62</v>
      </c>
      <c r="V6" s="608" t="s">
        <v>1250</v>
      </c>
    </row>
    <row r="7" spans="4:24" ht="18.75">
      <c r="S7" s="610" t="s">
        <v>58</v>
      </c>
      <c r="T7" s="610" t="s">
        <v>65</v>
      </c>
      <c r="U7" s="610" t="s">
        <v>64</v>
      </c>
      <c r="V7" s="679" t="s">
        <v>1266</v>
      </c>
    </row>
    <row r="9" spans="4:24" ht="18.75">
      <c r="S9" s="1203" t="s">
        <v>1284</v>
      </c>
      <c r="T9" s="1203"/>
      <c r="U9" s="1203"/>
      <c r="V9" s="1203"/>
    </row>
    <row r="10" spans="4:24">
      <c r="S10" s="1207" t="s">
        <v>104</v>
      </c>
      <c r="T10" s="1207"/>
      <c r="U10" s="1207"/>
      <c r="V10" s="1207"/>
      <c r="X10" t="s">
        <v>104</v>
      </c>
    </row>
    <row r="11" spans="4:24">
      <c r="S11" s="1208" t="s">
        <v>105</v>
      </c>
      <c r="T11" s="1208"/>
      <c r="U11" s="1208"/>
      <c r="V11" s="1208"/>
      <c r="X11" t="str">
        <f>Dropdowns!E387</f>
        <v>JV BOPD</v>
      </c>
    </row>
    <row r="12" spans="4:24">
      <c r="X12" t="str">
        <f>Dropdowns!F386</f>
        <v>R</v>
      </c>
    </row>
    <row r="13" spans="4:24" ht="18.75">
      <c r="S13" s="1203" t="s">
        <v>1285</v>
      </c>
      <c r="T13" s="1203"/>
      <c r="U13" s="1203"/>
      <c r="V13" s="1203"/>
    </row>
    <row r="14" spans="4:24">
      <c r="S14" s="612" t="s">
        <v>1287</v>
      </c>
      <c r="T14" s="613"/>
      <c r="U14" s="617">
        <v>45204</v>
      </c>
      <c r="V14" s="1204" t="s">
        <v>1286</v>
      </c>
      <c r="W14" s="246">
        <f>Dashboard!D3</f>
        <v>46265</v>
      </c>
      <c r="X14" s="246">
        <v>44651</v>
      </c>
    </row>
    <row r="15" spans="4:24">
      <c r="S15" s="612" t="s">
        <v>136</v>
      </c>
      <c r="T15" s="613"/>
      <c r="U15" s="618">
        <v>188</v>
      </c>
      <c r="V15" s="1205"/>
      <c r="W15">
        <f>W14-X1</f>
        <v>153</v>
      </c>
      <c r="X15">
        <f>X16-U15+1</f>
        <v>374</v>
      </c>
    </row>
    <row r="16" spans="4:24" ht="33" customHeight="1">
      <c r="S16" s="614" t="s">
        <v>1288</v>
      </c>
      <c r="T16" s="615"/>
      <c r="U16" s="619"/>
      <c r="V16" s="620"/>
      <c r="X16">
        <f>U14-X14+8</f>
        <v>561</v>
      </c>
    </row>
    <row r="17" spans="19:25" ht="62.1" customHeight="1">
      <c r="S17" s="1206" t="s">
        <v>1289</v>
      </c>
      <c r="T17" s="1206"/>
      <c r="U17" s="621">
        <v>44839</v>
      </c>
      <c r="V17" s="616"/>
      <c r="X17">
        <f>X18-U15+1</f>
        <v>9</v>
      </c>
    </row>
    <row r="18" spans="19:25">
      <c r="S18" s="404"/>
      <c r="T18" s="404"/>
      <c r="X18">
        <f>U17-X14+8</f>
        <v>196</v>
      </c>
    </row>
    <row r="19" spans="19:25" ht="63.75" customHeight="1">
      <c r="S19" s="404"/>
      <c r="T19" s="404"/>
    </row>
    <row r="21" spans="19:25">
      <c r="X21" s="246">
        <f>X14+U15</f>
        <v>44839</v>
      </c>
      <c r="Y21" t="s">
        <v>1283</v>
      </c>
    </row>
    <row r="23" spans="19:25">
      <c r="X23" s="246">
        <f>U14-U15+1</f>
        <v>45017</v>
      </c>
    </row>
    <row r="25" spans="19:25">
      <c r="X25" s="246">
        <f>U17-U15+1</f>
        <v>44652</v>
      </c>
    </row>
    <row r="29" spans="19:25">
      <c r="X29" t="str">
        <f>CONCATENATE(TEXT(X23,"dd-mmm-yy"), " to ", TEXT(U14,"dd-mmm-yy"),"(Period1)")</f>
        <v>01-Apr-23 to 05-Oct-23(Period1)</v>
      </c>
    </row>
    <row r="30" spans="19:25">
      <c r="X30" t="str">
        <f>CONCATENATE(TEXT(X25,"dd-mmm-yy"), " to ", TEXT(U17,"dd-mmm-yy"),"(Period2)")</f>
        <v>01-Apr-22 to 05-Oct-22(Period2)</v>
      </c>
    </row>
    <row r="32" spans="19:25">
      <c r="X32" s="246">
        <f>DATE(YEAR(U14)-1,MONTH(U14),DAY(U14))</f>
        <v>44839</v>
      </c>
    </row>
    <row r="34" spans="24:24">
      <c r="X34" t="b">
        <v>0</v>
      </c>
    </row>
  </sheetData>
  <mergeCells count="8">
    <mergeCell ref="D3:N3"/>
    <mergeCell ref="S13:V13"/>
    <mergeCell ref="V14:V15"/>
    <mergeCell ref="S17:T17"/>
    <mergeCell ref="S3:V3"/>
    <mergeCell ref="S10:V10"/>
    <mergeCell ref="S11:V11"/>
    <mergeCell ref="S9:V9"/>
  </mergeCells>
  <pageMargins left="0.7" right="0.7" top="0.75" bottom="0.75" header="0.3" footer="0.3"/>
  <pageSetup scale="64"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5156" r:id="rId4" name="Check Box 4">
              <controlPr defaultSize="0" autoFill="0" autoLine="0" autoPict="0" macro="[0]!CheckBox4__2FY_Click">
                <anchor moveWithCells="1">
                  <from>
                    <xdr:col>20</xdr:col>
                    <xdr:colOff>9525</xdr:colOff>
                    <xdr:row>15</xdr:row>
                    <xdr:rowOff>85725</xdr:rowOff>
                  </from>
                  <to>
                    <xdr:col>21</xdr:col>
                    <xdr:colOff>790575</xdr:colOff>
                    <xdr:row>15</xdr:row>
                    <xdr:rowOff>390525</xdr:rowOff>
                  </to>
                </anchor>
              </controlPr>
            </control>
          </mc:Choice>
        </mc:AlternateContent>
        <mc:AlternateContent xmlns:mc="http://schemas.openxmlformats.org/markup-compatibility/2006">
          <mc:Choice Requires="x14">
            <control shapeId="305157" r:id="rId5" name="Button 5">
              <controlPr defaultSize="0" print="0" autoFill="0" autoPict="0" macro="[0]!bk_2FYsheet">
                <anchor moveWithCells="1" sizeWithCells="1">
                  <from>
                    <xdr:col>18</xdr:col>
                    <xdr:colOff>561975</xdr:colOff>
                    <xdr:row>18</xdr:row>
                    <xdr:rowOff>142875</xdr:rowOff>
                  </from>
                  <to>
                    <xdr:col>21</xdr:col>
                    <xdr:colOff>428625</xdr:colOff>
                    <xdr:row>19</xdr:row>
                    <xdr:rowOff>104775</xdr:rowOff>
                  </to>
                </anchor>
              </controlPr>
            </control>
          </mc:Choice>
        </mc:AlternateContent>
        <mc:AlternateContent xmlns:mc="http://schemas.openxmlformats.org/markup-compatibility/2006">
          <mc:Choice Requires="x14">
            <control shapeId="305160" r:id="rId6" name="Button 8">
              <controlPr defaultSize="0" print="0" autoFill="0" autoPict="0" macro="[0]!setfullFY_2FYsheet">
                <anchor moveWithCells="1" sizeWithCells="1">
                  <from>
                    <xdr:col>22</xdr:col>
                    <xdr:colOff>38100</xdr:colOff>
                    <xdr:row>12</xdr:row>
                    <xdr:rowOff>200025</xdr:rowOff>
                  </from>
                  <to>
                    <xdr:col>25</xdr:col>
                    <xdr:colOff>457200</xdr:colOff>
                    <xdr:row>15</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DPR!$C$9:$C$1109</xm:f>
          </x14:formula1>
          <xm:sqref>U14 U17</xm:sqref>
        </x14:dataValidation>
      </x14:dataValidations>
    </ext>
  </extLs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8">
    <tabColor rgb="FF92D050"/>
    <pageSetUpPr fitToPage="1"/>
  </sheetPr>
  <dimension ref="E2:O43"/>
  <sheetViews>
    <sheetView workbookViewId="0"/>
  </sheetViews>
  <sheetFormatPr defaultColWidth="8.85546875" defaultRowHeight="15"/>
  <cols>
    <col min="5" max="5" width="15.28515625" bestFit="1" customWidth="1"/>
    <col min="6" max="7" width="15" bestFit="1" customWidth="1"/>
    <col min="8" max="8" width="15" customWidth="1"/>
    <col min="9" max="10" width="14.28515625" bestFit="1" customWidth="1"/>
  </cols>
  <sheetData>
    <row r="2" spans="5:15">
      <c r="F2" t="s">
        <v>116</v>
      </c>
      <c r="G2" s="246">
        <f>Dashboard!D3</f>
        <v>46265</v>
      </c>
      <c r="H2" s="246"/>
      <c r="J2" t="s">
        <v>391</v>
      </c>
      <c r="L2" t="str">
        <f>DPR!AN5</f>
        <v>July'26</v>
      </c>
      <c r="N2" t="s">
        <v>1237</v>
      </c>
      <c r="O2" t="str">
        <f>'YTD display'!D2</f>
        <v>BE</v>
      </c>
    </row>
    <row r="3" spans="5:15">
      <c r="L3" t="str">
        <f>Dropdowns!D406</f>
        <v>(rounded)</v>
      </c>
    </row>
    <row r="5" spans="5:15" ht="23.25">
      <c r="E5" s="1209" t="s">
        <v>1243</v>
      </c>
      <c r="F5" s="1209"/>
      <c r="G5" s="603" t="str">
        <f>Dropdowns!E95</f>
        <v>Aug'26</v>
      </c>
      <c r="H5" s="603" t="s">
        <v>1242</v>
      </c>
      <c r="I5" s="603" t="str">
        <f>O2</f>
        <v>BE</v>
      </c>
      <c r="J5" s="1212"/>
      <c r="K5" s="1212"/>
    </row>
    <row r="6" spans="5:15" ht="23.25">
      <c r="G6" s="599"/>
      <c r="H6" s="599"/>
    </row>
    <row r="7" spans="5:15" ht="18.75">
      <c r="F7" s="604" t="s">
        <v>1207</v>
      </c>
      <c r="G7" s="604" t="s">
        <v>1207</v>
      </c>
      <c r="H7" s="1210" t="s">
        <v>462</v>
      </c>
      <c r="I7" s="605" t="s">
        <v>1207</v>
      </c>
      <c r="J7" s="605" t="s">
        <v>1207</v>
      </c>
      <c r="K7" s="1210" t="s">
        <v>462</v>
      </c>
    </row>
    <row r="8" spans="5:15" ht="18.75">
      <c r="F8" s="604" t="s">
        <v>1238</v>
      </c>
      <c r="G8" s="604" t="s">
        <v>1239</v>
      </c>
      <c r="H8" s="1211"/>
      <c r="I8" s="605" t="s">
        <v>1240</v>
      </c>
      <c r="J8" s="605" t="s">
        <v>1241</v>
      </c>
      <c r="K8" s="1211"/>
    </row>
    <row r="9" spans="5:15" ht="18.75">
      <c r="E9" s="606" t="s">
        <v>60</v>
      </c>
      <c r="F9" s="600">
        <f>YTDtarget!AA8</f>
        <v>0.11700000000000001</v>
      </c>
      <c r="G9" s="600">
        <f>'YTD display'!N7</f>
        <v>0.15496189729712831</v>
      </c>
      <c r="H9" s="600">
        <f>G9-F9</f>
        <v>3.7961897297128303E-2</v>
      </c>
      <c r="I9" s="601">
        <f>'YTD display'!E7</f>
        <v>0.58199999999999996</v>
      </c>
      <c r="J9" s="601">
        <f>'YTD display'!L7</f>
        <v>0.75796189729712826</v>
      </c>
      <c r="K9" s="600">
        <f>J9-I9</f>
        <v>0.1759618972971283</v>
      </c>
    </row>
    <row r="10" spans="5:15" ht="18.75">
      <c r="E10" s="606" t="s">
        <v>61</v>
      </c>
      <c r="F10" s="600">
        <f>YTDtarget!AA9</f>
        <v>0.189</v>
      </c>
      <c r="G10" s="600">
        <f>'YTD display'!N8</f>
        <v>0.16962658602794101</v>
      </c>
      <c r="H10" s="600">
        <f t="shared" ref="H10:H23" si="0">G10-F10</f>
        <v>-1.9373413972058995E-2</v>
      </c>
      <c r="I10" s="601">
        <f>'YTD display'!E8</f>
        <v>0.93400000000000016</v>
      </c>
      <c r="J10" s="601">
        <f>'YTD display'!L8</f>
        <v>0.83362658602794104</v>
      </c>
      <c r="K10" s="600">
        <f t="shared" ref="K10:K23" si="1">J10-I10</f>
        <v>-0.10037341397205912</v>
      </c>
    </row>
    <row r="11" spans="5:15" ht="18.75">
      <c r="E11" s="606" t="s">
        <v>62</v>
      </c>
      <c r="F11" s="600">
        <f>YTDtarget!AA10</f>
        <v>8.9999999999999993E-3</v>
      </c>
      <c r="G11" s="600">
        <f>'YTD display'!N9</f>
        <v>7.4579606204879826E-3</v>
      </c>
      <c r="H11" s="600">
        <f t="shared" si="0"/>
        <v>-1.5420393795120167E-3</v>
      </c>
      <c r="I11" s="601">
        <f>'YTD display'!E9</f>
        <v>4.2000000000000003E-2</v>
      </c>
      <c r="J11" s="601">
        <f>'YTD display'!L9</f>
        <v>3.845796062048798E-2</v>
      </c>
      <c r="K11" s="600">
        <f t="shared" si="1"/>
        <v>-3.5420393795120228E-3</v>
      </c>
    </row>
    <row r="12" spans="5:15" ht="18.75">
      <c r="E12" s="606" t="s">
        <v>57</v>
      </c>
      <c r="F12" s="600">
        <f>YTDtarget!AA11</f>
        <v>0.04</v>
      </c>
      <c r="G12" s="600">
        <f>'YTD display'!N10</f>
        <v>3.6889161648039209E-2</v>
      </c>
      <c r="H12" s="600">
        <f t="shared" si="0"/>
        <v>-3.1108383519607916E-3</v>
      </c>
      <c r="I12" s="601">
        <f>'YTD display'!E10</f>
        <v>0.19800000000000001</v>
      </c>
      <c r="J12" s="601">
        <f>'YTD display'!L10</f>
        <v>0.19188916164803921</v>
      </c>
      <c r="K12" s="600">
        <f t="shared" si="1"/>
        <v>-6.1108383519608012E-3</v>
      </c>
    </row>
    <row r="13" spans="5:15" ht="18.75">
      <c r="E13" s="606" t="s">
        <v>58</v>
      </c>
      <c r="F13" s="600">
        <f>YTDtarget!AA12</f>
        <v>2.9000000000000001E-2</v>
      </c>
      <c r="G13" s="600">
        <f>'YTD display'!N11</f>
        <v>4.4524521924801316E-2</v>
      </c>
      <c r="H13" s="600">
        <f t="shared" si="0"/>
        <v>1.5524521924801315E-2</v>
      </c>
      <c r="I13" s="601">
        <f>'YTD display'!E11</f>
        <v>0.14600000000000002</v>
      </c>
      <c r="J13" s="601">
        <f>'YTD display'!L11</f>
        <v>0.1975245219248013</v>
      </c>
      <c r="K13" s="600">
        <f t="shared" si="1"/>
        <v>5.1524521924801281E-2</v>
      </c>
    </row>
    <row r="14" spans="5:15" ht="18.75">
      <c r="E14" s="606" t="s">
        <v>59</v>
      </c>
      <c r="F14" s="600">
        <f>YTDtarget!AA13</f>
        <v>1.2999999999999999E-2</v>
      </c>
      <c r="G14" s="600">
        <f>'YTD display'!N12</f>
        <v>1.1377565889520215E-2</v>
      </c>
      <c r="H14" s="600">
        <f t="shared" si="0"/>
        <v>-1.622434110479784E-3</v>
      </c>
      <c r="I14" s="601">
        <f>'YTD display'!E12</f>
        <v>6.2E-2</v>
      </c>
      <c r="J14" s="601">
        <f>'YTD display'!L12</f>
        <v>5.3377565889520216E-2</v>
      </c>
      <c r="K14" s="600">
        <f t="shared" si="1"/>
        <v>-8.6224341104797833E-3</v>
      </c>
    </row>
    <row r="15" spans="5:15" ht="18.75">
      <c r="E15" s="606" t="s">
        <v>63</v>
      </c>
      <c r="F15" s="600">
        <f>YTDtarget!AA14</f>
        <v>6.5000000000000002E-2</v>
      </c>
      <c r="G15" s="600">
        <f>'YTD display'!N13</f>
        <v>6.2181402660837964E-2</v>
      </c>
      <c r="H15" s="600">
        <f t="shared" si="0"/>
        <v>-2.8185973391620378E-3</v>
      </c>
      <c r="I15" s="601">
        <f>'YTD display'!E13</f>
        <v>0.32200000000000001</v>
      </c>
      <c r="J15" s="601">
        <f>'YTD display'!L13</f>
        <v>0.29918140266083793</v>
      </c>
      <c r="K15" s="600">
        <f t="shared" si="1"/>
        <v>-2.2818597339162083E-2</v>
      </c>
    </row>
    <row r="16" spans="5:15" ht="18.75">
      <c r="E16" s="606" t="s">
        <v>64</v>
      </c>
      <c r="F16" s="600">
        <f>YTDtarget!AA15</f>
        <v>5.0000000000000001E-3</v>
      </c>
      <c r="G16" s="600">
        <f>'YTD display'!N14</f>
        <v>3.7780063432218142E-3</v>
      </c>
      <c r="H16" s="600">
        <f t="shared" si="0"/>
        <v>-1.2219936567781859E-3</v>
      </c>
      <c r="I16" s="601">
        <f>'YTD display'!E14</f>
        <v>2.2000000000000002E-2</v>
      </c>
      <c r="J16" s="601">
        <f>'YTD display'!L14</f>
        <v>1.8778006343221812E-2</v>
      </c>
      <c r="K16" s="600">
        <f t="shared" si="1"/>
        <v>-3.2219936567781902E-3</v>
      </c>
    </row>
    <row r="17" spans="5:11" ht="18.75">
      <c r="E17" s="606" t="s">
        <v>65</v>
      </c>
      <c r="F17" s="600">
        <f>YTDtarget!AA16</f>
        <v>0.01</v>
      </c>
      <c r="G17" s="600">
        <f>'YTD display'!N15</f>
        <v>1.0772601919589167E-2</v>
      </c>
      <c r="H17" s="600">
        <f t="shared" si="0"/>
        <v>7.7260191958916646E-4</v>
      </c>
      <c r="I17" s="601">
        <f>'YTD display'!E15</f>
        <v>4.9000000000000002E-2</v>
      </c>
      <c r="J17" s="601">
        <f>'YTD display'!L15</f>
        <v>4.9772601919589168E-2</v>
      </c>
      <c r="K17" s="600">
        <f t="shared" si="1"/>
        <v>7.7260191958916646E-4</v>
      </c>
    </row>
    <row r="18" spans="5:11" ht="18.75">
      <c r="E18" s="606" t="s">
        <v>66</v>
      </c>
      <c r="F18" s="600">
        <f>YTDtarget!AA17</f>
        <v>7.0000000000000007E-2</v>
      </c>
      <c r="G18" s="600">
        <f>'YTD display'!N16</f>
        <v>7.0161706048396735E-2</v>
      </c>
      <c r="H18" s="600">
        <f t="shared" si="0"/>
        <v>1.6170604839672864E-4</v>
      </c>
      <c r="I18" s="601">
        <f>'YTD display'!E16</f>
        <v>0.34600000000000003</v>
      </c>
      <c r="J18" s="601">
        <f>'YTD display'!L16</f>
        <v>0.27316170604839674</v>
      </c>
      <c r="K18" s="600">
        <f t="shared" si="1"/>
        <v>-7.2838293951603295E-2</v>
      </c>
    </row>
    <row r="19" spans="5:11" ht="18.75">
      <c r="E19" s="606" t="s">
        <v>67</v>
      </c>
      <c r="F19" s="600">
        <f>YTDtarget!AA18</f>
        <v>5.6000000000000001E-2</v>
      </c>
      <c r="G19" s="600">
        <f>'YTD display'!N17</f>
        <v>5.741999622492916E-2</v>
      </c>
      <c r="H19" s="600">
        <f t="shared" si="0"/>
        <v>1.4199962249291584E-3</v>
      </c>
      <c r="I19" s="601">
        <f>'YTD display'!E17</f>
        <v>0.27500000000000002</v>
      </c>
      <c r="J19" s="601">
        <f>'YTD display'!L17</f>
        <v>0.28041999622492919</v>
      </c>
      <c r="K19" s="600">
        <f t="shared" si="1"/>
        <v>5.4199962249291689E-3</v>
      </c>
    </row>
    <row r="20" spans="5:11" ht="18.75">
      <c r="E20" s="606" t="s">
        <v>68</v>
      </c>
      <c r="F20" s="600">
        <f>YTDtarget!AA19</f>
        <v>1.4E-2</v>
      </c>
      <c r="G20" s="600">
        <f>'YTD display'!N18</f>
        <v>1.3550622111245282E-2</v>
      </c>
      <c r="H20" s="600">
        <f t="shared" si="0"/>
        <v>-4.4937788875471819E-4</v>
      </c>
      <c r="I20" s="601">
        <f>'YTD display'!E18</f>
        <v>7.1000000000000008E-2</v>
      </c>
      <c r="J20" s="601">
        <f>'YTD display'!L18</f>
        <v>6.7550622111245281E-2</v>
      </c>
      <c r="K20" s="600">
        <f t="shared" si="1"/>
        <v>-3.4493778887547261E-3</v>
      </c>
    </row>
    <row r="21" spans="5:11" ht="18.75">
      <c r="E21" s="606" t="s">
        <v>69</v>
      </c>
      <c r="F21" s="600">
        <f>YTDtarget!AA20</f>
        <v>0</v>
      </c>
      <c r="G21" s="600">
        <f>'YTD display'!N19</f>
        <v>0</v>
      </c>
      <c r="H21" s="600">
        <f t="shared" si="0"/>
        <v>0</v>
      </c>
      <c r="I21" s="601">
        <f>'YTD display'!E19</f>
        <v>0</v>
      </c>
      <c r="J21" s="601">
        <f>'YTD display'!L19</f>
        <v>0</v>
      </c>
      <c r="K21" s="600">
        <f t="shared" si="1"/>
        <v>0</v>
      </c>
    </row>
    <row r="22" spans="5:11" ht="18.75">
      <c r="E22" s="606" t="s">
        <v>70</v>
      </c>
      <c r="F22" s="600">
        <f>YTDtarget!AA21</f>
        <v>0</v>
      </c>
      <c r="G22" s="600">
        <f>'YTD display'!N20</f>
        <v>0</v>
      </c>
      <c r="H22" s="563">
        <f t="shared" si="0"/>
        <v>0</v>
      </c>
      <c r="I22" s="601">
        <f>'YTD display'!E20</f>
        <v>0</v>
      </c>
      <c r="J22" s="601">
        <f>'YTD display'!L20</f>
        <v>0</v>
      </c>
      <c r="K22" s="563">
        <f t="shared" si="1"/>
        <v>0</v>
      </c>
    </row>
    <row r="23" spans="5:11" ht="18.75">
      <c r="F23" s="602">
        <f>SUM(F9:F22)</f>
        <v>0.6170000000000001</v>
      </c>
      <c r="G23" s="602">
        <f>SUM(G9:G22)</f>
        <v>0.64270202871613813</v>
      </c>
      <c r="H23" s="602">
        <f t="shared" si="0"/>
        <v>2.5702028716138026E-2</v>
      </c>
      <c r="I23" s="564">
        <f>SUM(I9:I22)</f>
        <v>3.0489999999999999</v>
      </c>
      <c r="J23" s="564">
        <f>SUM(J9:J22)</f>
        <v>3.0617020287161378</v>
      </c>
      <c r="K23" s="602">
        <f t="shared" si="1"/>
        <v>1.2702028716137903E-2</v>
      </c>
    </row>
    <row r="25" spans="5:11" ht="18.75">
      <c r="F25" s="604" t="s">
        <v>1208</v>
      </c>
      <c r="G25" s="604" t="s">
        <v>1208</v>
      </c>
      <c r="H25" s="1210" t="s">
        <v>462</v>
      </c>
      <c r="I25" s="605" t="s">
        <v>1208</v>
      </c>
      <c r="J25" s="605" t="s">
        <v>1208</v>
      </c>
      <c r="K25" s="1210" t="s">
        <v>462</v>
      </c>
    </row>
    <row r="26" spans="5:11" ht="18.75">
      <c r="F26" s="604" t="s">
        <v>1238</v>
      </c>
      <c r="G26" s="604" t="s">
        <v>1239</v>
      </c>
      <c r="H26" s="1211"/>
      <c r="I26" s="605" t="s">
        <v>1240</v>
      </c>
      <c r="J26" s="605" t="s">
        <v>1241</v>
      </c>
      <c r="K26" s="1211"/>
    </row>
    <row r="27" spans="5:11" ht="18.75">
      <c r="E27" s="606" t="s">
        <v>60</v>
      </c>
      <c r="F27" s="600">
        <f>YTDtarget!AA28</f>
        <v>0.05</v>
      </c>
      <c r="G27" s="600">
        <f>'YTD display'!N24</f>
        <v>4.2928371854780031E-2</v>
      </c>
      <c r="H27" s="600">
        <f>G27-F27</f>
        <v>-7.0716281452199714E-3</v>
      </c>
      <c r="I27" s="601">
        <f>'YTD display'!E24</f>
        <v>0.248</v>
      </c>
      <c r="J27" s="601">
        <f>'YTD display'!L24</f>
        <v>0.24492837185478003</v>
      </c>
      <c r="K27" s="600">
        <f>J27-I27</f>
        <v>-3.0716281452199679E-3</v>
      </c>
    </row>
    <row r="28" spans="5:11" ht="18.75">
      <c r="E28" s="606" t="s">
        <v>61</v>
      </c>
      <c r="F28" s="600">
        <f>YTDtarget!AA29</f>
        <v>6.8000000000000005E-2</v>
      </c>
      <c r="G28" s="600">
        <f>'YTD display'!N25</f>
        <v>8.1634172359999979E-2</v>
      </c>
      <c r="H28" s="600">
        <f t="shared" ref="H28:H43" si="2">G28-F28</f>
        <v>1.3634172359999974E-2</v>
      </c>
      <c r="I28" s="601">
        <f>'YTD display'!E25</f>
        <v>0.33600000000000002</v>
      </c>
      <c r="J28" s="601">
        <f>'YTD display'!L25</f>
        <v>0.38663417235999997</v>
      </c>
      <c r="K28" s="600">
        <f t="shared" ref="K28:K43" si="3">J28-I28</f>
        <v>5.0634172359999952E-2</v>
      </c>
    </row>
    <row r="29" spans="5:11" ht="18.75">
      <c r="E29" s="606" t="s">
        <v>62</v>
      </c>
      <c r="F29" s="600">
        <f>YTDtarget!AA30</f>
        <v>8.0000000000000002E-3</v>
      </c>
      <c r="G29" s="600">
        <f>'YTD display'!N26</f>
        <v>7.6499679999999983E-3</v>
      </c>
      <c r="H29" s="600">
        <f t="shared" si="2"/>
        <v>-3.5003200000000186E-4</v>
      </c>
      <c r="I29" s="601">
        <f>'YTD display'!E26</f>
        <v>0.04</v>
      </c>
      <c r="J29" s="601">
        <f>'YTD display'!L26</f>
        <v>3.8649968E-2</v>
      </c>
      <c r="K29" s="600">
        <f t="shared" si="3"/>
        <v>-1.350032000000001E-3</v>
      </c>
    </row>
    <row r="30" spans="5:11" ht="18.75">
      <c r="E30" s="606" t="s">
        <v>57</v>
      </c>
      <c r="F30" s="600">
        <f>YTDtarget!AA31</f>
        <v>0.01</v>
      </c>
      <c r="G30" s="600">
        <f>'YTD display'!N27</f>
        <v>7.2437165684544969E-3</v>
      </c>
      <c r="H30" s="600">
        <f t="shared" si="2"/>
        <v>-2.7562834315455033E-3</v>
      </c>
      <c r="I30" s="601">
        <f>'YTD display'!E27</f>
        <v>0.05</v>
      </c>
      <c r="J30" s="601">
        <f>'YTD display'!L27</f>
        <v>5.1243716568454493E-2</v>
      </c>
      <c r="K30" s="600">
        <f t="shared" si="3"/>
        <v>1.2437165684544907E-3</v>
      </c>
    </row>
    <row r="31" spans="5:11" ht="18.75">
      <c r="E31" s="606" t="s">
        <v>58</v>
      </c>
      <c r="F31" s="600">
        <f>YTDtarget!AA32</f>
        <v>2E-3</v>
      </c>
      <c r="G31" s="600">
        <f>'YTD display'!N28</f>
        <v>4.3093147500000012E-3</v>
      </c>
      <c r="H31" s="600">
        <f t="shared" si="2"/>
        <v>2.3093147500000012E-3</v>
      </c>
      <c r="I31" s="601">
        <f>'YTD display'!E28</f>
        <v>0.01</v>
      </c>
      <c r="J31" s="601">
        <f>'YTD display'!L28</f>
        <v>1.7309314750000002E-2</v>
      </c>
      <c r="K31" s="600">
        <f t="shared" si="3"/>
        <v>7.3093147500000021E-3</v>
      </c>
    </row>
    <row r="32" spans="5:11" ht="18.75">
      <c r="E32" s="606" t="s">
        <v>59</v>
      </c>
      <c r="F32" s="600">
        <f>YTDtarget!AA33</f>
        <v>0</v>
      </c>
      <c r="G32" s="600">
        <f>'YTD display'!N29</f>
        <v>3.8500000000000025E-4</v>
      </c>
      <c r="H32" s="600">
        <f t="shared" si="2"/>
        <v>3.8500000000000025E-4</v>
      </c>
      <c r="I32" s="601">
        <f>'YTD display'!E29</f>
        <v>1E-3</v>
      </c>
      <c r="J32" s="601">
        <f>'YTD display'!L29</f>
        <v>1.3850000000000004E-3</v>
      </c>
      <c r="K32" s="600">
        <f t="shared" si="3"/>
        <v>3.8500000000000036E-4</v>
      </c>
    </row>
    <row r="33" spans="5:11" ht="18.75">
      <c r="E33" s="606" t="s">
        <v>63</v>
      </c>
      <c r="F33" s="600">
        <f>YTDtarget!AA34</f>
        <v>0</v>
      </c>
      <c r="G33" s="600">
        <f>'YTD display'!N30</f>
        <v>9.2605345649262195E-5</v>
      </c>
      <c r="H33" s="600">
        <f t="shared" si="2"/>
        <v>9.2605345649262195E-5</v>
      </c>
      <c r="I33" s="601">
        <f>'YTD display'!E30</f>
        <v>0</v>
      </c>
      <c r="J33" s="601">
        <f>'YTD display'!L30</f>
        <v>8.0926053456492619E-3</v>
      </c>
      <c r="K33" s="600">
        <f t="shared" si="3"/>
        <v>8.0926053456492619E-3</v>
      </c>
    </row>
    <row r="34" spans="5:11" ht="18.75">
      <c r="E34" s="606" t="s">
        <v>64</v>
      </c>
      <c r="F34" s="600">
        <f>YTDtarget!AA35</f>
        <v>1E-3</v>
      </c>
      <c r="G34" s="600">
        <f>'YTD display'!N31</f>
        <v>6.6094006178730102E-4</v>
      </c>
      <c r="H34" s="600">
        <f t="shared" si="2"/>
        <v>-3.39059938212699E-4</v>
      </c>
      <c r="I34" s="601">
        <f>'YTD display'!E31</f>
        <v>4.0000000000000001E-3</v>
      </c>
      <c r="J34" s="601">
        <f>'YTD display'!L31</f>
        <v>4.6609400617873015E-3</v>
      </c>
      <c r="K34" s="600">
        <f t="shared" si="3"/>
        <v>6.6094006178730146E-4</v>
      </c>
    </row>
    <row r="35" spans="5:11" ht="18.75">
      <c r="E35" s="606" t="s">
        <v>65</v>
      </c>
      <c r="F35" s="600">
        <f>YTDtarget!AA36</f>
        <v>3.0000000000000001E-3</v>
      </c>
      <c r="G35" s="600">
        <f>'YTD display'!N32</f>
        <v>1.063002092612991E-3</v>
      </c>
      <c r="H35" s="600">
        <f t="shared" si="2"/>
        <v>-1.936997907387009E-3</v>
      </c>
      <c r="I35" s="601">
        <f>'YTD display'!E32</f>
        <v>1.3999999999999999E-2</v>
      </c>
      <c r="J35" s="601">
        <f>'YTD display'!L32</f>
        <v>6.0630020926129916E-3</v>
      </c>
      <c r="K35" s="600">
        <f t="shared" si="3"/>
        <v>-7.936997907387007E-3</v>
      </c>
    </row>
    <row r="36" spans="5:11" ht="18.75">
      <c r="E36" s="606" t="s">
        <v>66</v>
      </c>
      <c r="F36" s="600">
        <f>YTDtarget!AA37</f>
        <v>0</v>
      </c>
      <c r="G36" s="600">
        <f>'YTD display'!N33</f>
        <v>0</v>
      </c>
      <c r="H36" s="563">
        <f t="shared" si="2"/>
        <v>0</v>
      </c>
      <c r="I36" s="601">
        <f>'YTD display'!E33</f>
        <v>0</v>
      </c>
      <c r="J36" s="601">
        <f>'YTD display'!L33</f>
        <v>0</v>
      </c>
      <c r="K36" s="563">
        <f t="shared" si="3"/>
        <v>0</v>
      </c>
    </row>
    <row r="37" spans="5:11" ht="18.75">
      <c r="E37" s="606" t="s">
        <v>67</v>
      </c>
      <c r="F37" s="600">
        <f>YTDtarget!AA38</f>
        <v>0</v>
      </c>
      <c r="G37" s="600">
        <f>'YTD display'!N34</f>
        <v>0</v>
      </c>
      <c r="H37" s="563">
        <f t="shared" si="2"/>
        <v>0</v>
      </c>
      <c r="I37" s="601">
        <f>'YTD display'!E34</f>
        <v>0</v>
      </c>
      <c r="J37" s="601">
        <f>'YTD display'!L34</f>
        <v>0</v>
      </c>
      <c r="K37" s="563">
        <f t="shared" si="3"/>
        <v>0</v>
      </c>
    </row>
    <row r="38" spans="5:11" ht="18.75">
      <c r="E38" s="606" t="s">
        <v>68</v>
      </c>
      <c r="F38" s="600">
        <f>YTDtarget!AA39</f>
        <v>0</v>
      </c>
      <c r="G38" s="600">
        <f>'YTD display'!N35</f>
        <v>0</v>
      </c>
      <c r="H38" s="563">
        <f t="shared" si="2"/>
        <v>0</v>
      </c>
      <c r="I38" s="601">
        <f>'YTD display'!E35</f>
        <v>0</v>
      </c>
      <c r="J38" s="601">
        <f>'YTD display'!L35</f>
        <v>0</v>
      </c>
      <c r="K38" s="563">
        <f t="shared" si="3"/>
        <v>0</v>
      </c>
    </row>
    <row r="39" spans="5:11" ht="18.75">
      <c r="E39" s="606" t="s">
        <v>69</v>
      </c>
      <c r="F39" s="600">
        <f>YTDtarget!AA40</f>
        <v>0</v>
      </c>
      <c r="G39" s="600">
        <f>'YTD display'!N36</f>
        <v>0</v>
      </c>
      <c r="H39" s="600">
        <f t="shared" si="2"/>
        <v>0</v>
      </c>
      <c r="I39" s="601">
        <f>'YTD display'!E36</f>
        <v>0</v>
      </c>
      <c r="J39" s="601">
        <f>'YTD display'!L36</f>
        <v>0</v>
      </c>
      <c r="K39" s="600">
        <f t="shared" si="3"/>
        <v>0</v>
      </c>
    </row>
    <row r="40" spans="5:11" ht="18.75">
      <c r="E40" s="606" t="s">
        <v>70</v>
      </c>
      <c r="F40" s="600">
        <f>YTDtarget!AA41</f>
        <v>7.3999999999999996E-2</v>
      </c>
      <c r="G40" s="600">
        <f>'YTD display'!N37</f>
        <v>7.4159597844523695E-2</v>
      </c>
      <c r="H40" s="600">
        <f t="shared" si="2"/>
        <v>1.5959784452369841E-4</v>
      </c>
      <c r="I40" s="601">
        <f>'YTD display'!E37</f>
        <v>0.36599999999999999</v>
      </c>
      <c r="J40" s="601">
        <f>'YTD display'!L37</f>
        <v>0.36315959784452373</v>
      </c>
      <c r="K40" s="600">
        <f t="shared" si="3"/>
        <v>-2.8404021554762626E-3</v>
      </c>
    </row>
    <row r="41" spans="5:11" ht="18.75">
      <c r="F41" s="602">
        <f>SUM(F27:F40)</f>
        <v>0.21600000000000003</v>
      </c>
      <c r="G41" s="602">
        <f>SUM(G27:G40)</f>
        <v>0.22012668887780773</v>
      </c>
      <c r="H41" s="602">
        <f t="shared" si="2"/>
        <v>4.1266888778077049E-3</v>
      </c>
      <c r="I41" s="564">
        <f>SUM(I27:I40)</f>
        <v>1.0690000000000002</v>
      </c>
      <c r="J41" s="564">
        <f>SUM(J27:J40)</f>
        <v>1.1221266888778076</v>
      </c>
      <c r="K41" s="602">
        <f t="shared" si="3"/>
        <v>5.3126688877807471E-2</v>
      </c>
    </row>
    <row r="43" spans="5:11" ht="18.75">
      <c r="E43" s="607" t="s">
        <v>1209</v>
      </c>
      <c r="F43" s="602">
        <f>F23+F41</f>
        <v>0.83300000000000018</v>
      </c>
      <c r="G43" s="602">
        <f>G23+G41</f>
        <v>0.86282871759394586</v>
      </c>
      <c r="H43" s="602">
        <f t="shared" si="2"/>
        <v>2.9828717593945675E-2</v>
      </c>
      <c r="I43" s="564">
        <f>I23+I41</f>
        <v>4.1180000000000003</v>
      </c>
      <c r="J43" s="564">
        <f>J23+J41</f>
        <v>4.1838287175939453</v>
      </c>
      <c r="K43" s="602">
        <f t="shared" si="3"/>
        <v>6.582871759394493E-2</v>
      </c>
    </row>
  </sheetData>
  <sheetProtection algorithmName="SHA-512" hashValue="XyqBmbD9Xk7GGOhyA97LhEmpOIu6NGzRjsY0t5UkaV4+3cS43Yo9dunyl8taWL1pPU/0QhkIJXvj4d9EKTpbtA==" saltValue="PL1dKU+dWdoqyeSSNvFCBA==" spinCount="100000" sheet="1" objects="1" scenarios="1"/>
  <mergeCells count="6">
    <mergeCell ref="E5:F5"/>
    <mergeCell ref="H7:H8"/>
    <mergeCell ref="H25:H26"/>
    <mergeCell ref="K7:K8"/>
    <mergeCell ref="K25:K26"/>
    <mergeCell ref="J5:K5"/>
  </mergeCells>
  <conditionalFormatting sqref="H9:H23">
    <cfRule type="cellIs" dxfId="96" priority="11" operator="lessThan">
      <formula>0</formula>
    </cfRule>
    <cfRule type="cellIs" dxfId="95" priority="12" operator="greaterThan">
      <formula>0</formula>
    </cfRule>
  </conditionalFormatting>
  <conditionalFormatting sqref="H27:H41">
    <cfRule type="cellIs" dxfId="94" priority="9" operator="lessThan">
      <formula>0</formula>
    </cfRule>
    <cfRule type="cellIs" dxfId="93" priority="10" operator="greaterThan">
      <formula>0</formula>
    </cfRule>
  </conditionalFormatting>
  <conditionalFormatting sqref="H43">
    <cfRule type="cellIs" dxfId="92" priority="7" operator="lessThan">
      <formula>0</formula>
    </cfRule>
    <cfRule type="cellIs" dxfId="91" priority="8" operator="greaterThan">
      <formula>0</formula>
    </cfRule>
  </conditionalFormatting>
  <conditionalFormatting sqref="K9:K23">
    <cfRule type="cellIs" dxfId="90" priority="5" operator="lessThan">
      <formula>0</formula>
    </cfRule>
    <cfRule type="cellIs" dxfId="89" priority="6" operator="greaterThan">
      <formula>0</formula>
    </cfRule>
  </conditionalFormatting>
  <conditionalFormatting sqref="K27:K41">
    <cfRule type="cellIs" dxfId="88" priority="3" operator="lessThan">
      <formula>0</formula>
    </cfRule>
    <cfRule type="cellIs" dxfId="87" priority="4" operator="greaterThan">
      <formula>0</formula>
    </cfRule>
  </conditionalFormatting>
  <conditionalFormatting sqref="K43">
    <cfRule type="cellIs" dxfId="86" priority="1" operator="lessThan">
      <formula>0</formula>
    </cfRule>
    <cfRule type="cellIs" dxfId="85" priority="2" operator="greaterThan">
      <formula>0</formula>
    </cfRule>
  </conditionalFormatting>
  <pageMargins left="0.7" right="0.7" top="0.75" bottom="0.75" header="0.3" footer="0.3"/>
  <pageSetup paperSize="9" scale="75" fitToHeight="0" orientation="portrait" r:id="rId1"/>
  <ignoredErrors>
    <ignoredError sqref="H23 H41 H43"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EXPORT_ACTIVE_SHEET">
                <anchor moveWithCells="1" sizeWithCells="1">
                  <from>
                    <xdr:col>15</xdr:col>
                    <xdr:colOff>161925</xdr:colOff>
                    <xdr:row>11</xdr:row>
                    <xdr:rowOff>104775</xdr:rowOff>
                  </from>
                  <to>
                    <xdr:col>19</xdr:col>
                    <xdr:colOff>314325</xdr:colOff>
                    <xdr:row>14</xdr:row>
                    <xdr:rowOff>142875</xdr:rowOff>
                  </to>
                </anchor>
              </controlPr>
            </control>
          </mc:Choice>
        </mc:AlternateContent>
        <mc:AlternateContent xmlns:mc="http://schemas.openxmlformats.org/markup-compatibility/2006">
          <mc:Choice Requires="x14">
            <control shapeId="318466" r:id="rId5" name="Button 2">
              <controlPr defaultSize="0" print="0" autoFill="0" autoPict="0" macro="[0]!Back_to_Dashboard">
                <anchor moveWithCells="1" sizeWithCells="1">
                  <from>
                    <xdr:col>15</xdr:col>
                    <xdr:colOff>180975</xdr:colOff>
                    <xdr:row>17</xdr:row>
                    <xdr:rowOff>9525</xdr:rowOff>
                  </from>
                  <to>
                    <xdr:col>19</xdr:col>
                    <xdr:colOff>295275</xdr:colOff>
                    <xdr:row>19</xdr:row>
                    <xdr:rowOff>200025</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rgb="FF92D050"/>
    <pageSetUpPr fitToPage="1"/>
  </sheetPr>
  <dimension ref="A1:AG51"/>
  <sheetViews>
    <sheetView view="pageBreakPreview" topLeftCell="B2" zoomScale="80" zoomScaleNormal="100" zoomScaleSheetLayoutView="80" workbookViewId="0">
      <selection activeCell="M53" sqref="M53"/>
    </sheetView>
  </sheetViews>
  <sheetFormatPr defaultColWidth="8.85546875" defaultRowHeight="15"/>
  <cols>
    <col min="1" max="1" width="5.140625" hidden="1" customWidth="1"/>
    <col min="2" max="2" width="1.140625" customWidth="1"/>
    <col min="3" max="3" width="11.85546875" customWidth="1"/>
    <col min="4" max="4" width="11.7109375" customWidth="1"/>
    <col min="5" max="5" width="9.42578125" customWidth="1"/>
    <col min="6" max="6" width="12.42578125" customWidth="1"/>
    <col min="7" max="7" width="36.28515625" customWidth="1"/>
    <col min="8" max="8" width="7.42578125" hidden="1" customWidth="1"/>
    <col min="9" max="9" width="7" customWidth="1"/>
    <col min="10" max="11" width="11.140625" customWidth="1"/>
    <col min="12" max="12" width="12.85546875" customWidth="1"/>
    <col min="13" max="13" width="31.42578125" customWidth="1"/>
    <col min="14" max="14" width="6.7109375" hidden="1" customWidth="1"/>
    <col min="15" max="15" width="8" hidden="1" customWidth="1"/>
    <col min="16" max="16" width="8" customWidth="1"/>
  </cols>
  <sheetData>
    <row r="1" spans="1:27" ht="22.5" hidden="1" customHeight="1"/>
    <row r="2" spans="1:27" ht="9.75" customHeight="1" thickBot="1"/>
    <row r="3" spans="1:27" ht="39" customHeight="1">
      <c r="C3" s="687" t="s">
        <v>116</v>
      </c>
      <c r="D3" s="688">
        <v>46265</v>
      </c>
      <c r="E3" s="689">
        <f>Dropdowns!G75</f>
        <v>4</v>
      </c>
      <c r="F3" s="690" t="s">
        <v>404</v>
      </c>
      <c r="G3" s="691" t="s">
        <v>2300</v>
      </c>
      <c r="H3" s="457"/>
      <c r="I3" s="457"/>
      <c r="J3" s="692" t="s">
        <v>190</v>
      </c>
      <c r="K3" s="457"/>
      <c r="L3" s="1238" t="str">
        <f>interFY_transition!D24</f>
        <v>Production Dashboard
 2026-27</v>
      </c>
      <c r="M3" s="1239"/>
    </row>
    <row r="4" spans="1:27" ht="17.100000000000001" customHeight="1">
      <c r="C4" s="459"/>
      <c r="M4" s="460"/>
    </row>
    <row r="5" spans="1:27" ht="15" customHeight="1">
      <c r="C5" s="1217" t="s">
        <v>388</v>
      </c>
      <c r="D5" s="1218"/>
      <c r="E5" s="1218"/>
      <c r="F5" s="1244" t="s">
        <v>209</v>
      </c>
      <c r="G5" s="1244"/>
      <c r="H5" s="265"/>
      <c r="I5" s="1218" t="s">
        <v>388</v>
      </c>
      <c r="J5" s="1218"/>
      <c r="K5" s="1218"/>
      <c r="L5" s="1244" t="s">
        <v>207</v>
      </c>
      <c r="M5" s="1245"/>
    </row>
    <row r="6" spans="1:27" ht="15" customHeight="1">
      <c r="C6" s="1240" t="s">
        <v>128</v>
      </c>
      <c r="D6" s="1249"/>
      <c r="E6" s="1249"/>
      <c r="F6" s="1249"/>
      <c r="G6" s="1250"/>
      <c r="H6" s="693"/>
      <c r="I6" s="1246" t="s">
        <v>133</v>
      </c>
      <c r="J6" s="1247"/>
      <c r="K6" s="1247"/>
      <c r="L6" s="1247"/>
      <c r="M6" s="1248"/>
    </row>
    <row r="7" spans="1:27" ht="15" customHeight="1">
      <c r="A7">
        <v>1</v>
      </c>
      <c r="C7" s="1219" t="s">
        <v>118</v>
      </c>
      <c r="D7" s="694">
        <f>VLOOKUP($D$3,DPR!$C$9:$AJ$5110,7,FALSE)</f>
        <v>199390</v>
      </c>
      <c r="E7" s="695" t="s">
        <v>129</v>
      </c>
      <c r="F7" s="696">
        <f>VLOOKUP(A7,'YTD display'!$B$5:$Y$21,Dropdowns!$D$75,FALSE)</f>
        <v>138587.80821917808</v>
      </c>
      <c r="G7" s="697" t="str">
        <f>VLOOKUP($G$3,Dropdowns!$C$77:$E$88,H7,FALSE)</f>
        <v>BOPD (BE target for 2026-27)</v>
      </c>
      <c r="H7" s="698">
        <v>2</v>
      </c>
      <c r="I7" s="699" t="s">
        <v>104</v>
      </c>
      <c r="J7" s="694">
        <f>VLOOKUP($D$3,DPR!$C$9:$AJ$5110,16,FALSE)</f>
        <v>157050.34375</v>
      </c>
      <c r="K7" s="695" t="s">
        <v>129</v>
      </c>
      <c r="L7" s="696">
        <v>151597</v>
      </c>
      <c r="M7" s="700" t="str">
        <f>VLOOKUP($G$3,Dropdowns!$C$77:$E$88,N7,FALSE)</f>
        <v>BOPD (BE target for 2026-27)</v>
      </c>
      <c r="N7">
        <v>2</v>
      </c>
      <c r="O7">
        <v>15</v>
      </c>
    </row>
    <row r="8" spans="1:27" ht="15" customHeight="1">
      <c r="A8">
        <v>1</v>
      </c>
      <c r="C8" s="1219"/>
      <c r="D8" s="701">
        <f>VLOOKUP($D$3,DPR!$C$9:$AJ$5110,22,FALSE)</f>
        <v>8.3568032575669609</v>
      </c>
      <c r="E8" s="695" t="s">
        <v>130</v>
      </c>
      <c r="F8" s="702">
        <f>VLOOKUP(A8,'YTD display'!$B$23:$Y$38,Dropdowns!$D$75,FALSE)</f>
        <v>8.4794520547945211</v>
      </c>
      <c r="G8" s="697" t="str">
        <f>VLOOKUP($G$3,Dropdowns!$C$77:$E$88,H8,FALSE)</f>
        <v>MMSCMD(BE target for 2026-27)</v>
      </c>
      <c r="H8" s="698">
        <v>3</v>
      </c>
      <c r="I8" s="703" t="s">
        <v>105</v>
      </c>
      <c r="J8" s="704">
        <f>VLOOKUP($D$3,DPR!$C$9:$AJ$5110,31,FALSE)</f>
        <v>7.3693481610836287</v>
      </c>
      <c r="K8" s="705" t="s">
        <v>130</v>
      </c>
      <c r="L8" s="706">
        <v>7.7</v>
      </c>
      <c r="M8" s="707" t="str">
        <f>VLOOKUP($G$3,Dropdowns!$C$77:$E$88,N8,FALSE)</f>
        <v>MMSCMD(BE target for 2026-27)</v>
      </c>
      <c r="N8">
        <v>3</v>
      </c>
      <c r="O8">
        <v>15</v>
      </c>
    </row>
    <row r="9" spans="1:27" ht="15" customHeight="1">
      <c r="A9">
        <v>3</v>
      </c>
      <c r="C9" s="1219" t="s">
        <v>62</v>
      </c>
      <c r="D9" s="694">
        <f>VLOOKUP($D$3,DPR!$C$9:$AJ$5110,6,FALSE)</f>
        <v>1836</v>
      </c>
      <c r="E9" s="695" t="s">
        <v>129</v>
      </c>
      <c r="F9" s="696">
        <f>VLOOKUP(A9,'YTD display'!$B$5:$Y$21,Dropdowns!$D$75,FALSE)</f>
        <v>2103.0136986301368</v>
      </c>
      <c r="G9" s="697" t="str">
        <f>VLOOKUP($G$3,Dropdowns!$C$77:$E$88,H9,FALSE)</f>
        <v>BOPD (BE target for 2026-27)</v>
      </c>
      <c r="H9" s="708">
        <v>2</v>
      </c>
      <c r="I9" s="1220" t="s">
        <v>9</v>
      </c>
      <c r="J9" s="1221"/>
      <c r="K9" s="1221"/>
      <c r="L9" s="1222"/>
      <c r="M9" s="709"/>
    </row>
    <row r="10" spans="1:27" ht="15" customHeight="1">
      <c r="A10">
        <v>3</v>
      </c>
      <c r="C10" s="1219"/>
      <c r="D10" s="701">
        <f>VLOOKUP($D$3,DPR!$C$9:$AJ$5110,21,FALSE)</f>
        <v>0.251052</v>
      </c>
      <c r="E10" s="695" t="s">
        <v>130</v>
      </c>
      <c r="F10" s="702">
        <f>VLOOKUP(A10,'YTD display'!$B$23:$Y$38,Dropdowns!$D$75,FALSE)</f>
        <v>0.25748920998311126</v>
      </c>
      <c r="G10" s="697" t="str">
        <f>VLOOKUP($G$3,Dropdowns!$C$77:$E$88,H10,FALSE)</f>
        <v>MMSCMD(BE target for 2026-27)</v>
      </c>
      <c r="H10" s="708">
        <v>3</v>
      </c>
      <c r="I10" s="1251" t="str">
        <f>VLOOKUP($D$3,DPR!$C$9:$AJ$5110,33,FALSE)</f>
        <v xml:space="preserve">Prev. day data for ACG,BC-10,MECL,Sakhalin,Vankor,GPOC,LZC,A1-A3. </v>
      </c>
      <c r="J10" s="1252"/>
      <c r="K10" s="1252"/>
      <c r="L10" s="1252"/>
      <c r="M10" s="1253"/>
    </row>
    <row r="11" spans="1:27" ht="15" customHeight="1">
      <c r="A11">
        <v>2</v>
      </c>
      <c r="C11" s="1243" t="s">
        <v>61</v>
      </c>
      <c r="D11" s="694">
        <f>VLOOKUP($D$3,DPR!$C$9:$AJ$5110,8,FALSE)</f>
        <v>156705</v>
      </c>
      <c r="E11" s="695" t="s">
        <v>129</v>
      </c>
      <c r="F11" s="696">
        <f>VLOOKUP(A11,'YTD display'!$B$5:$Y$21,Dropdowns!$D$75,FALSE)</f>
        <v>174593.04531085351</v>
      </c>
      <c r="G11" s="697" t="str">
        <f>VLOOKUP($G$3,Dropdowns!$C$77:$E$88,H11,FALSE)</f>
        <v>BOPD (BE target for 2026-27)</v>
      </c>
      <c r="H11" s="708">
        <v>2</v>
      </c>
      <c r="I11" s="1251" t="str">
        <f>VLOOKUP($D$3,DPR!$C$9:$AJ$5110,34,FALSE)</f>
        <v>IEC: Production deferred due to water cut increase.</v>
      </c>
      <c r="J11" s="1252"/>
      <c r="K11" s="1252"/>
      <c r="L11" s="1252"/>
      <c r="M11" s="1253"/>
    </row>
    <row r="12" spans="1:27" ht="15" customHeight="1">
      <c r="A12">
        <v>2</v>
      </c>
      <c r="C12" s="1219"/>
      <c r="D12" s="701">
        <f>VLOOKUP($D$3,DPR!$C$9:$AJ$5110,23,FALSE)</f>
        <v>10.210000000000001</v>
      </c>
      <c r="E12" s="695" t="s">
        <v>130</v>
      </c>
      <c r="F12" s="702">
        <f>VLOOKUP(A12,'YTD display'!$B$23:$Y$38,Dropdowns!$D$75,FALSE)</f>
        <v>8.4293488459373229</v>
      </c>
      <c r="G12" s="697" t="str">
        <f>VLOOKUP($G$3,Dropdowns!$C$77:$E$88,H12,FALSE)</f>
        <v>MMSCMD(BE target for 2026-27)</v>
      </c>
      <c r="H12" s="708">
        <v>3</v>
      </c>
      <c r="I12" s="1251"/>
      <c r="J12" s="1252"/>
      <c r="K12" s="1252"/>
      <c r="L12" s="1252"/>
      <c r="M12" s="1253"/>
      <c r="AA12" t="s">
        <v>135</v>
      </c>
    </row>
    <row r="13" spans="1:27" ht="15" customHeight="1">
      <c r="C13" s="1240" t="s">
        <v>881</v>
      </c>
      <c r="D13" s="1241"/>
      <c r="E13" s="1241"/>
      <c r="F13" s="1241"/>
      <c r="G13" s="1242"/>
      <c r="H13" s="710"/>
      <c r="I13" s="1251"/>
      <c r="J13" s="1252"/>
      <c r="K13" s="1252"/>
      <c r="L13" s="1252"/>
      <c r="M13" s="1253"/>
    </row>
    <row r="14" spans="1:27" ht="15" customHeight="1">
      <c r="A14">
        <v>6</v>
      </c>
      <c r="C14" s="711" t="s">
        <v>59</v>
      </c>
      <c r="D14" s="694">
        <f>VLOOKUP($D$3,DPR!$C$9:$AJ$5110,5,FALSE)</f>
        <v>5137</v>
      </c>
      <c r="E14" s="712" t="s">
        <v>129</v>
      </c>
      <c r="F14" s="696">
        <f>VLOOKUP(A14,'YTD display'!$B$5:$Y$21,Dropdowns!$D$75,FALSE)</f>
        <v>5461.1506849315083</v>
      </c>
      <c r="G14" s="697" t="str">
        <f>VLOOKUP($G$3,Dropdowns!$C$77:$E$88,H14,FALSE)</f>
        <v>BOPD (BE target for 2026-27)</v>
      </c>
      <c r="H14" s="708">
        <v>2</v>
      </c>
      <c r="I14" s="1251"/>
      <c r="J14" s="1252"/>
      <c r="K14" s="1252"/>
      <c r="L14" s="1252"/>
      <c r="M14" s="1253"/>
    </row>
    <row r="15" spans="1:27" ht="15" customHeight="1">
      <c r="A15">
        <v>7</v>
      </c>
      <c r="C15" s="711" t="s">
        <v>63</v>
      </c>
      <c r="D15" s="694">
        <f>VLOOKUP($D$3,DPR!$C$9:$AJ$5110,4,FALSE)</f>
        <v>21883.03</v>
      </c>
      <c r="E15" s="712" t="s">
        <v>129</v>
      </c>
      <c r="F15" s="696">
        <f>VLOOKUP(A15,'YTD display'!$B$5:$Y$21,Dropdowns!$D$75,FALSE)</f>
        <v>22301.369863013701</v>
      </c>
      <c r="G15" s="697" t="str">
        <f>VLOOKUP($G$3,Dropdowns!$C$77:$E$88,H15,FALSE)</f>
        <v>BOPD (BE target for 2026-27)</v>
      </c>
      <c r="H15" s="708">
        <v>2</v>
      </c>
      <c r="I15" s="1251"/>
      <c r="J15" s="1252"/>
      <c r="K15" s="1252"/>
      <c r="L15" s="1252"/>
      <c r="M15" s="1253"/>
    </row>
    <row r="16" spans="1:27" ht="15" customHeight="1">
      <c r="A16">
        <v>9</v>
      </c>
      <c r="C16" s="711" t="s">
        <v>65</v>
      </c>
      <c r="D16" s="694">
        <f>VLOOKUP($D$3,DPR!$C$9:$AJ$5110,13,FALSE)</f>
        <v>5899</v>
      </c>
      <c r="E16" s="712" t="s">
        <v>129</v>
      </c>
      <c r="F16" s="696">
        <f>VLOOKUP(A16,'YTD display'!$B$5:$Y$21,Dropdowns!$D$75,FALSE)</f>
        <v>5220</v>
      </c>
      <c r="G16" s="697" t="str">
        <f>VLOOKUP($G$3,Dropdowns!$C$77:$E$88,H16,FALSE)</f>
        <v>BOPD (BE target for 2026-27)</v>
      </c>
      <c r="H16" s="708">
        <v>2</v>
      </c>
      <c r="I16" s="1251"/>
      <c r="J16" s="1252"/>
      <c r="K16" s="1252"/>
      <c r="L16" s="1252"/>
      <c r="M16" s="1253"/>
    </row>
    <row r="17" spans="1:24" ht="15" customHeight="1">
      <c r="A17">
        <v>8</v>
      </c>
      <c r="C17" s="711" t="s">
        <v>64</v>
      </c>
      <c r="D17" s="694">
        <f>VLOOKUP($D$3,DPR!$C$9:$AJ$5110,12,FALSE)</f>
        <v>6836</v>
      </c>
      <c r="E17" s="712" t="s">
        <v>129</v>
      </c>
      <c r="F17" s="696">
        <f>VLOOKUP(A17,'YTD display'!$B$5:$Y$21,Dropdowns!$D$75,FALSE)</f>
        <v>7770.8592777085942</v>
      </c>
      <c r="G17" s="697" t="str">
        <f>VLOOKUP($G$3,Dropdowns!$C$77:$E$88,H17,FALSE)</f>
        <v>BOPD (BE target for 2026-27)</v>
      </c>
      <c r="H17" s="708">
        <v>2</v>
      </c>
      <c r="I17" s="1251"/>
      <c r="J17" s="1252"/>
      <c r="K17" s="1252"/>
      <c r="L17" s="1252"/>
      <c r="M17" s="1253"/>
    </row>
    <row r="18" spans="1:24" ht="15" customHeight="1">
      <c r="A18">
        <v>5</v>
      </c>
      <c r="C18" s="711" t="s">
        <v>58</v>
      </c>
      <c r="D18" s="694">
        <f>VLOOKUP($D$3,DPR!$C$9:$AJ$5110,3,FALSE)</f>
        <v>37478</v>
      </c>
      <c r="E18" s="712" t="s">
        <v>129</v>
      </c>
      <c r="F18" s="696">
        <f>VLOOKUP(A18,'YTD display'!$B$5:$Y$21,Dropdowns!$D$75,FALSE)</f>
        <v>23635.210553018769</v>
      </c>
      <c r="G18" s="697" t="str">
        <f>VLOOKUP($G$3,Dropdowns!$C$77:$E$88,H18,FALSE)</f>
        <v>BOPD (BE target for 2026-27)</v>
      </c>
      <c r="H18" s="708">
        <v>2</v>
      </c>
      <c r="I18" s="1254"/>
      <c r="J18" s="1255"/>
      <c r="K18" s="1255"/>
      <c r="L18" s="1255"/>
      <c r="M18" s="1256"/>
    </row>
    <row r="19" spans="1:24" ht="15" customHeight="1">
      <c r="C19" s="1240" t="s">
        <v>131</v>
      </c>
      <c r="D19" s="1241"/>
      <c r="E19" s="1241"/>
      <c r="F19" s="1241"/>
      <c r="G19" s="1242"/>
      <c r="H19" s="713"/>
      <c r="I19" s="1261" t="s">
        <v>1201</v>
      </c>
      <c r="J19" s="1262"/>
      <c r="K19" s="1262"/>
      <c r="L19" s="1262"/>
      <c r="M19" s="1263"/>
    </row>
    <row r="20" spans="1:24" ht="15" customHeight="1">
      <c r="A20">
        <v>14</v>
      </c>
      <c r="C20" s="711" t="s">
        <v>70</v>
      </c>
      <c r="D20" s="701">
        <f>VLOOKUP($D$3,DPR!$C$9:$AJ$5110,30,FALSE)</f>
        <v>13.984572996514199</v>
      </c>
      <c r="E20" s="712" t="s">
        <v>130</v>
      </c>
      <c r="F20" s="702">
        <f>VLOOKUP(A20,'YTD display'!$B$23:$Y$38,Dropdowns!$D$75,FALSE)</f>
        <v>14.089123883743774</v>
      </c>
      <c r="G20" s="697" t="str">
        <f>VLOOKUP($G$3,Dropdowns!$C$77:$E$88,H20,FALSE)</f>
        <v>MMSCMD(BE target for 2026-27)</v>
      </c>
      <c r="H20" s="708">
        <v>3</v>
      </c>
      <c r="I20" s="769"/>
      <c r="J20" s="1268" t="str">
        <f>'Asking Rate'!F60</f>
        <v>Actual production on DPR date(31-Aug-26)</v>
      </c>
      <c r="K20" s="1269"/>
      <c r="L20" s="1264" t="str">
        <f>'Asking Rate'!I60</f>
        <v>Asking rate to achieve 7.252 MMT Oil and 2.574 BCM Gas (Total 9.826 MMTOE) is</v>
      </c>
      <c r="M20" s="1265"/>
    </row>
    <row r="21" spans="1:24" ht="15" customHeight="1">
      <c r="A21">
        <v>13</v>
      </c>
      <c r="C21" s="711" t="s">
        <v>69</v>
      </c>
      <c r="D21" s="701">
        <f>VLOOKUP($D$3,DPR!$C$9:$AJ$5110,29,FALSE)</f>
        <v>0</v>
      </c>
      <c r="E21" s="712" t="s">
        <v>130</v>
      </c>
      <c r="F21" s="702">
        <f>VLOOKUP(A21,'YTD display'!$B$23:$Y$38,Dropdowns!$D$75,FALSE)</f>
        <v>0</v>
      </c>
      <c r="G21" s="697" t="str">
        <f>VLOOKUP($G$3,Dropdowns!$C$77:$E$88,H21,FALSE)</f>
        <v>MMSCMD(BE target for 2026-27)</v>
      </c>
      <c r="H21" s="708">
        <v>3</v>
      </c>
      <c r="I21" s="770"/>
      <c r="J21" s="1270"/>
      <c r="K21" s="1271"/>
      <c r="L21" s="1266"/>
      <c r="M21" s="1267"/>
    </row>
    <row r="22" spans="1:24" ht="15" customHeight="1">
      <c r="C22" s="1240" t="s">
        <v>132</v>
      </c>
      <c r="D22" s="1241"/>
      <c r="E22" s="1241"/>
      <c r="F22" s="1241"/>
      <c r="G22" s="1242"/>
      <c r="H22" s="713"/>
      <c r="I22" s="1272" t="s">
        <v>104</v>
      </c>
      <c r="J22" s="593">
        <f>'Asking Rate'!G54</f>
        <v>157050.34375</v>
      </c>
      <c r="K22" s="1274" t="s">
        <v>1202</v>
      </c>
      <c r="L22" s="1275"/>
      <c r="M22" s="714">
        <f>'Asking Rate'!I54</f>
        <v>145368.44236453387</v>
      </c>
      <c r="X22" t="s">
        <v>135</v>
      </c>
    </row>
    <row r="23" spans="1:24" ht="15" customHeight="1">
      <c r="A23">
        <v>4</v>
      </c>
      <c r="C23" s="1219" t="s">
        <v>57</v>
      </c>
      <c r="D23" s="694">
        <f>VLOOKUP($D$3,DPR!$C$9:$AJ$5110,2,FALSE)</f>
        <v>330793</v>
      </c>
      <c r="E23" s="712" t="s">
        <v>129</v>
      </c>
      <c r="F23" s="696">
        <f>VLOOKUP(A23,'YTD display'!$B$5:$Y$21,Dropdowns!$D$75,FALSE)</f>
        <v>327345.27572883735</v>
      </c>
      <c r="G23" s="697" t="str">
        <f>VLOOKUP($G$3,Dropdowns!$C$77:$E$88,H23,FALSE)</f>
        <v>BOPD (BE target for 2026-27)</v>
      </c>
      <c r="H23" s="708">
        <v>2</v>
      </c>
      <c r="I23" s="1273"/>
      <c r="J23" s="594">
        <f>'Asking Rate'!G55</f>
        <v>21456.652099137038</v>
      </c>
      <c r="K23" s="1274" t="s">
        <v>1204</v>
      </c>
      <c r="L23" s="1275"/>
      <c r="M23" s="714">
        <f>'Asking Rate'!I55</f>
        <v>19765.556468320101</v>
      </c>
    </row>
    <row r="24" spans="1:24" ht="15" customHeight="1">
      <c r="A24">
        <v>4</v>
      </c>
      <c r="C24" s="1219"/>
      <c r="D24" s="701">
        <f>VLOOKUP($D$3,DPR!$C$9:$AJ$5110,17,FALSE)</f>
        <v>6.4160250547222555</v>
      </c>
      <c r="E24" s="712" t="s">
        <v>130</v>
      </c>
      <c r="F24" s="702">
        <f>VLOOKUP(A24,'YTD display'!$B$23:$Y$38,Dropdowns!$D$75,FALSE)</f>
        <v>10.851380849504324</v>
      </c>
      <c r="G24" s="697" t="str">
        <f>VLOOKUP($G$3,Dropdowns!$C$77:$E$88,H24,FALSE)</f>
        <v>MMSCMD(BE target for 2026-27)</v>
      </c>
      <c r="H24" s="708">
        <v>3</v>
      </c>
      <c r="I24" s="796" t="s">
        <v>105</v>
      </c>
      <c r="J24" s="595">
        <f>'Asking Rate'!G56</f>
        <v>7.3693481610836287</v>
      </c>
      <c r="K24" s="1274" t="s">
        <v>1203</v>
      </c>
      <c r="L24" s="1275"/>
      <c r="M24" s="715">
        <f>'Asking Rate'!I56</f>
        <v>6.8466497616903608</v>
      </c>
    </row>
    <row r="25" spans="1:24" ht="15" customHeight="1">
      <c r="A25">
        <v>11</v>
      </c>
      <c r="C25" s="711" t="s">
        <v>67</v>
      </c>
      <c r="D25" s="694">
        <f>VLOOKUP($D$3,DPR!$C$9:$AJ$5110,9,FALSE)</f>
        <v>52592.26</v>
      </c>
      <c r="E25" s="712" t="s">
        <v>129</v>
      </c>
      <c r="F25" s="696">
        <f>VLOOKUP(A25,'YTD display'!$B$5:$Y$21,Dropdowns!$D$75,FALSE)</f>
        <v>52400</v>
      </c>
      <c r="G25" s="697" t="str">
        <f>VLOOKUP($G$3,Dropdowns!$C$77:$E$88,H25,FALSE)</f>
        <v>BOPD (BE target for 2026-27)</v>
      </c>
      <c r="H25" s="708">
        <v>2</v>
      </c>
      <c r="I25" s="596" t="s">
        <v>3</v>
      </c>
      <c r="J25" s="594">
        <f>'Asking Rate'!G57</f>
        <v>28829.812185566203</v>
      </c>
      <c r="K25" s="1274" t="s">
        <v>1212</v>
      </c>
      <c r="L25" s="1275"/>
      <c r="M25" s="714">
        <f>'Asking Rate'!I57</f>
        <v>26612.206230010463</v>
      </c>
    </row>
    <row r="26" spans="1:24" ht="15" customHeight="1">
      <c r="A26">
        <v>12</v>
      </c>
      <c r="C26" s="711" t="s">
        <v>68</v>
      </c>
      <c r="D26" s="694">
        <f>VLOOKUP($D$3,DPR!$C$9:$AJ$5110,10,FALSE)</f>
        <v>13986</v>
      </c>
      <c r="E26" s="712" t="s">
        <v>129</v>
      </c>
      <c r="F26" s="696">
        <f>VLOOKUP(A26,'YTD display'!$B$5:$Y$21,Dropdowns!$D$75,FALSE)</f>
        <v>13127.972176875577</v>
      </c>
      <c r="G26" s="697" t="str">
        <f>VLOOKUP($G$3,Dropdowns!$C$77:$E$88,H26,FALSE)</f>
        <v>BOPD (BE target for 2026-27)</v>
      </c>
      <c r="H26" s="708">
        <v>2</v>
      </c>
      <c r="I26" s="801"/>
      <c r="J26" s="802"/>
      <c r="K26" s="802"/>
      <c r="L26" s="802"/>
      <c r="M26" s="803"/>
    </row>
    <row r="27" spans="1:24" ht="15" customHeight="1">
      <c r="A27">
        <v>10</v>
      </c>
      <c r="C27" s="711" t="s">
        <v>66</v>
      </c>
      <c r="D27" s="694">
        <f>VLOOKUP($D$3,DPR!$C$9:$AJ$5110,11,FALSE)</f>
        <v>431948</v>
      </c>
      <c r="E27" s="712" t="s">
        <v>129</v>
      </c>
      <c r="F27" s="696">
        <f>VLOOKUP(A27,'YTD display'!$B$5:$Y$21,Dropdowns!$D$75,FALSE)</f>
        <v>431104.10958904115</v>
      </c>
      <c r="G27" s="697" t="str">
        <f>VLOOKUP($G$3,Dropdowns!$C$77:$E$88,H27,FALSE)</f>
        <v>BOPD (BE target for 2026-27)</v>
      </c>
      <c r="H27" s="708">
        <v>2</v>
      </c>
      <c r="I27" s="798"/>
      <c r="J27" s="799"/>
      <c r="K27" s="799"/>
      <c r="L27" s="799"/>
      <c r="M27" s="800"/>
    </row>
    <row r="28" spans="1:24">
      <c r="C28" s="459"/>
      <c r="M28" s="460"/>
    </row>
    <row r="29" spans="1:24">
      <c r="C29" s="459"/>
      <c r="G29" s="1257" t="s">
        <v>2306</v>
      </c>
      <c r="H29" s="1257"/>
      <c r="I29" s="1257"/>
      <c r="J29" s="1257"/>
      <c r="K29" s="1257"/>
      <c r="M29" s="460"/>
    </row>
    <row r="30" spans="1:24">
      <c r="C30" s="459"/>
      <c r="M30" s="460"/>
      <c r="S30" s="351"/>
      <c r="T30" s="352"/>
      <c r="U30" s="353"/>
    </row>
    <row r="31" spans="1:24" ht="14.25" customHeight="1">
      <c r="C31" s="459"/>
      <c r="M31" s="460"/>
      <c r="R31" s="592"/>
      <c r="S31" s="1258" t="s">
        <v>208</v>
      </c>
      <c r="T31" s="1259"/>
      <c r="U31" s="1260"/>
    </row>
    <row r="32" spans="1:24" ht="14.25" customHeight="1">
      <c r="C32" s="459"/>
      <c r="M32" s="460"/>
      <c r="R32" s="592"/>
      <c r="S32" s="597"/>
      <c r="T32" s="592"/>
      <c r="U32" s="598"/>
    </row>
    <row r="33" spans="3:33">
      <c r="C33" s="459"/>
      <c r="M33" s="460"/>
      <c r="S33" s="272"/>
      <c r="U33" s="273"/>
    </row>
    <row r="34" spans="3:33">
      <c r="C34" s="459"/>
      <c r="M34" s="460"/>
      <c r="S34" s="272"/>
      <c r="U34" s="273"/>
      <c r="AG34" t="s">
        <v>2126</v>
      </c>
    </row>
    <row r="35" spans="3:33">
      <c r="C35" s="459"/>
      <c r="M35" s="460"/>
      <c r="S35" s="272"/>
      <c r="U35" s="273"/>
    </row>
    <row r="36" spans="3:33">
      <c r="C36" s="459"/>
      <c r="M36" s="460"/>
      <c r="S36" s="272"/>
      <c r="U36" s="273"/>
    </row>
    <row r="37" spans="3:33">
      <c r="C37" s="459"/>
      <c r="M37" s="460"/>
      <c r="S37" s="272"/>
      <c r="U37" s="273"/>
    </row>
    <row r="38" spans="3:33">
      <c r="C38" s="459"/>
      <c r="M38" s="460"/>
      <c r="S38" s="272"/>
      <c r="U38" s="273"/>
    </row>
    <row r="39" spans="3:33">
      <c r="C39" s="459"/>
      <c r="M39" s="460"/>
      <c r="S39" s="272"/>
      <c r="U39" s="273"/>
    </row>
    <row r="40" spans="3:33">
      <c r="C40" s="459"/>
      <c r="M40" s="460"/>
      <c r="S40" s="272"/>
      <c r="U40" s="273"/>
    </row>
    <row r="41" spans="3:33" ht="18.75" hidden="1">
      <c r="C41" s="1224" t="e">
        <f>#REF!</f>
        <v>#REF!</v>
      </c>
      <c r="D41" s="1225"/>
      <c r="E41" s="1225"/>
      <c r="F41" s="1225"/>
      <c r="G41" s="1225"/>
      <c r="H41" s="1225"/>
      <c r="I41" s="1225"/>
      <c r="J41" s="1225"/>
      <c r="K41" s="1225"/>
      <c r="L41" s="1225"/>
      <c r="M41" s="1226"/>
      <c r="S41" s="272"/>
      <c r="U41" s="273"/>
    </row>
    <row r="42" spans="3:33" ht="26.25" hidden="1" customHeight="1">
      <c r="C42" s="1232" t="e">
        <f>#REF!</f>
        <v>#REF!</v>
      </c>
      <c r="D42" s="1233"/>
      <c r="E42" s="1233"/>
      <c r="F42" s="1233"/>
      <c r="G42" s="1233"/>
      <c r="H42" s="716"/>
      <c r="I42" s="623" t="e">
        <f>#REF!</f>
        <v>#REF!</v>
      </c>
      <c r="J42" s="1229" t="e">
        <f>#REF!</f>
        <v>#REF!</v>
      </c>
      <c r="K42" s="1229"/>
      <c r="L42" s="1215" t="e">
        <f>#REF!</f>
        <v>#REF!</v>
      </c>
      <c r="M42" s="1216"/>
      <c r="S42" s="272"/>
      <c r="U42" s="273"/>
    </row>
    <row r="43" spans="3:33" ht="21.75" hidden="1" customHeight="1">
      <c r="C43" s="1232" t="e">
        <f>#REF!</f>
        <v>#REF!</v>
      </c>
      <c r="D43" s="1233"/>
      <c r="E43" s="1233"/>
      <c r="F43" s="1233"/>
      <c r="G43" s="1233"/>
      <c r="H43" s="716"/>
      <c r="I43" s="623" t="e">
        <f>#REF!</f>
        <v>#REF!</v>
      </c>
      <c r="J43" s="1229" t="e">
        <f>#REF!</f>
        <v>#REF!</v>
      </c>
      <c r="K43" s="1229"/>
      <c r="L43" s="1215" t="e">
        <f>#REF!</f>
        <v>#REF!</v>
      </c>
      <c r="M43" s="1216"/>
      <c r="S43" s="272"/>
      <c r="U43" s="273"/>
    </row>
    <row r="44" spans="3:33" ht="21" hidden="1" customHeight="1">
      <c r="C44" s="1234" t="e">
        <f>#REF!</f>
        <v>#REF!</v>
      </c>
      <c r="D44" s="1235"/>
      <c r="E44" s="1235"/>
      <c r="F44" s="1235"/>
      <c r="G44" s="1235"/>
      <c r="H44" s="554"/>
      <c r="I44" s="555" t="e">
        <f>#REF!</f>
        <v>#REF!</v>
      </c>
      <c r="J44" s="1230" t="e">
        <f>#REF!</f>
        <v>#REF!</v>
      </c>
      <c r="K44" s="1230"/>
      <c r="L44" s="1236" t="e">
        <f>#REF!</f>
        <v>#REF!</v>
      </c>
      <c r="M44" s="1237"/>
      <c r="S44" s="272"/>
      <c r="U44" s="273"/>
    </row>
    <row r="45" spans="3:33" ht="21.75" hidden="1" customHeight="1">
      <c r="C45" s="1234" t="e">
        <f>#REF!</f>
        <v>#REF!</v>
      </c>
      <c r="D45" s="1235"/>
      <c r="E45" s="1235"/>
      <c r="F45" s="1235"/>
      <c r="G45" s="1235"/>
      <c r="H45" s="554"/>
      <c r="I45" s="1230" t="e">
        <f>#REF!</f>
        <v>#REF!</v>
      </c>
      <c r="J45" s="1230"/>
      <c r="K45" s="1230"/>
      <c r="L45" s="1230"/>
      <c r="M45" s="1231"/>
      <c r="S45" s="272"/>
      <c r="U45" s="273"/>
    </row>
    <row r="46" spans="3:33" ht="24" hidden="1" customHeight="1">
      <c r="C46" s="1213" t="e">
        <f>#REF!</f>
        <v>#REF!</v>
      </c>
      <c r="D46" s="1214"/>
      <c r="E46" s="1214"/>
      <c r="F46" s="1214"/>
      <c r="G46" s="1214"/>
      <c r="H46" s="717"/>
      <c r="I46" s="718" t="e">
        <f>#REF!</f>
        <v>#REF!</v>
      </c>
      <c r="J46" s="1223" t="e">
        <f>#REF!</f>
        <v>#REF!</v>
      </c>
      <c r="K46" s="1223"/>
      <c r="L46" s="1227" t="e">
        <f>#REF!</f>
        <v>#REF!</v>
      </c>
      <c r="M46" s="1228"/>
      <c r="S46" s="272"/>
      <c r="U46" s="273"/>
    </row>
    <row r="47" spans="3:33" ht="24" hidden="1" customHeight="1">
      <c r="C47" s="1213" t="e">
        <f>#REF!</f>
        <v>#REF!</v>
      </c>
      <c r="D47" s="1214"/>
      <c r="E47" s="1214"/>
      <c r="F47" s="1214"/>
      <c r="G47" s="1214"/>
      <c r="H47" s="717"/>
      <c r="I47" s="718" t="e">
        <f>#REF!</f>
        <v>#REF!</v>
      </c>
      <c r="J47" s="1223" t="e">
        <f>#REF!</f>
        <v>#REF!</v>
      </c>
      <c r="K47" s="1223"/>
      <c r="L47" s="1227" t="e">
        <f>#REF!</f>
        <v>#REF!</v>
      </c>
      <c r="M47" s="1228"/>
      <c r="S47" s="272"/>
      <c r="U47" s="273"/>
    </row>
    <row r="48" spans="3:33" ht="15.75" thickBot="1">
      <c r="C48" s="461" t="str">
        <f>Graphs_full!K1</f>
        <v/>
      </c>
      <c r="D48" s="462"/>
      <c r="E48" s="462"/>
      <c r="F48" s="462"/>
      <c r="G48" s="462"/>
      <c r="H48" s="462"/>
      <c r="I48" s="462"/>
      <c r="J48" s="462"/>
      <c r="K48" s="462"/>
      <c r="L48" s="462"/>
      <c r="M48" s="463"/>
      <c r="S48" s="281"/>
      <c r="T48" s="282"/>
      <c r="U48" s="283"/>
    </row>
    <row r="51" spans="9:9">
      <c r="I51" t="s">
        <v>1824</v>
      </c>
    </row>
  </sheetData>
  <sheetProtection formatCells="0"/>
  <mergeCells count="45">
    <mergeCell ref="G29:K29"/>
    <mergeCell ref="S31:U31"/>
    <mergeCell ref="I19:M19"/>
    <mergeCell ref="L20:M21"/>
    <mergeCell ref="J20:K21"/>
    <mergeCell ref="I22:I23"/>
    <mergeCell ref="K22:L22"/>
    <mergeCell ref="K23:L23"/>
    <mergeCell ref="K24:L24"/>
    <mergeCell ref="K25:L25"/>
    <mergeCell ref="L3:M3"/>
    <mergeCell ref="C22:G22"/>
    <mergeCell ref="C11:C12"/>
    <mergeCell ref="L5:M5"/>
    <mergeCell ref="F5:G5"/>
    <mergeCell ref="I6:M6"/>
    <mergeCell ref="C7:C8"/>
    <mergeCell ref="C9:C10"/>
    <mergeCell ref="C6:G6"/>
    <mergeCell ref="C13:G13"/>
    <mergeCell ref="C19:G19"/>
    <mergeCell ref="I10:M10"/>
    <mergeCell ref="I11:M18"/>
    <mergeCell ref="C43:G43"/>
    <mergeCell ref="C44:G44"/>
    <mergeCell ref="L44:M44"/>
    <mergeCell ref="L46:M46"/>
    <mergeCell ref="C45:G45"/>
    <mergeCell ref="C46:G46"/>
    <mergeCell ref="C47:G47"/>
    <mergeCell ref="L42:M42"/>
    <mergeCell ref="C5:E5"/>
    <mergeCell ref="I5:K5"/>
    <mergeCell ref="C23:C24"/>
    <mergeCell ref="I9:L9"/>
    <mergeCell ref="J47:K47"/>
    <mergeCell ref="C41:M41"/>
    <mergeCell ref="L43:M43"/>
    <mergeCell ref="L47:M47"/>
    <mergeCell ref="J42:K42"/>
    <mergeCell ref="J43:K43"/>
    <mergeCell ref="J44:K44"/>
    <mergeCell ref="I45:M45"/>
    <mergeCell ref="J46:K46"/>
    <mergeCell ref="C42:G42"/>
  </mergeCells>
  <printOptions horizontalCentered="1"/>
  <pageMargins left="0.70866141732283472" right="0.70866141732283472" top="0.74803149606299213" bottom="0.74803149606299213" header="0.31496062992125984" footer="0.31496062992125984"/>
  <pageSetup scale="78" orientation="landscape" cellComments="atEnd" r:id="rId1"/>
  <ignoredErrors>
    <ignoredError sqref="F8:F11 F24"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utton1_Click">
                <anchor moveWithCells="1" sizeWithCells="1">
                  <from>
                    <xdr:col>17</xdr:col>
                    <xdr:colOff>581025</xdr:colOff>
                    <xdr:row>10</xdr:row>
                    <xdr:rowOff>180975</xdr:rowOff>
                  </from>
                  <to>
                    <xdr:col>20</xdr:col>
                    <xdr:colOff>495300</xdr:colOff>
                    <xdr:row>12</xdr:row>
                    <xdr:rowOff>152400</xdr:rowOff>
                  </to>
                </anchor>
              </controlPr>
            </control>
          </mc:Choice>
        </mc:AlternateContent>
        <mc:AlternateContent xmlns:mc="http://schemas.openxmlformats.org/markup-compatibility/2006">
          <mc:Choice Requires="x14">
            <control shapeId="1026" r:id="rId5" name="Button 2">
              <controlPr defaultSize="0" print="0" autoFill="0" autoPict="0" macro="[0]!Button2_Click">
                <anchor moveWithCells="1" sizeWithCells="1">
                  <from>
                    <xdr:col>17</xdr:col>
                    <xdr:colOff>581025</xdr:colOff>
                    <xdr:row>12</xdr:row>
                    <xdr:rowOff>161925</xdr:rowOff>
                  </from>
                  <to>
                    <xdr:col>20</xdr:col>
                    <xdr:colOff>495300</xdr:colOff>
                    <xdr:row>15</xdr:row>
                    <xdr:rowOff>9525</xdr:rowOff>
                  </to>
                </anchor>
              </controlPr>
            </control>
          </mc:Choice>
        </mc:AlternateContent>
        <mc:AlternateContent xmlns:mc="http://schemas.openxmlformats.org/markup-compatibility/2006">
          <mc:Choice Requires="x14">
            <control shapeId="1027" r:id="rId6" name="Button 3">
              <controlPr defaultSize="0" print="0" autoFill="0" autoPict="0" macro="[0]!Button3_Click">
                <anchor moveWithCells="1" sizeWithCells="1">
                  <from>
                    <xdr:col>18</xdr:col>
                    <xdr:colOff>257175</xdr:colOff>
                    <xdr:row>32</xdr:row>
                    <xdr:rowOff>9525</xdr:rowOff>
                  </from>
                  <to>
                    <xdr:col>20</xdr:col>
                    <xdr:colOff>409575</xdr:colOff>
                    <xdr:row>33</xdr:row>
                    <xdr:rowOff>161925</xdr:rowOff>
                  </to>
                </anchor>
              </controlPr>
            </control>
          </mc:Choice>
        </mc:AlternateContent>
        <mc:AlternateContent xmlns:mc="http://schemas.openxmlformats.org/markup-compatibility/2006">
          <mc:Choice Requires="x14">
            <control shapeId="1028" r:id="rId7" name="Button 4">
              <controlPr defaultSize="0" print="0" autoFill="0" autoPict="0" macro="[0]!Button4_Click">
                <anchor moveWithCells="1" sizeWithCells="1">
                  <from>
                    <xdr:col>18</xdr:col>
                    <xdr:colOff>257175</xdr:colOff>
                    <xdr:row>33</xdr:row>
                    <xdr:rowOff>161925</xdr:rowOff>
                  </from>
                  <to>
                    <xdr:col>20</xdr:col>
                    <xdr:colOff>409575</xdr:colOff>
                    <xdr:row>35</xdr:row>
                    <xdr:rowOff>114300</xdr:rowOff>
                  </to>
                </anchor>
              </controlPr>
            </control>
          </mc:Choice>
        </mc:AlternateContent>
        <mc:AlternateContent xmlns:mc="http://schemas.openxmlformats.org/markup-compatibility/2006">
          <mc:Choice Requires="x14">
            <control shapeId="1029" r:id="rId8" name="Button 5">
              <controlPr defaultSize="0" print="0" autoFill="0" autoPict="0" macro="[0]!Button5_Click">
                <anchor moveWithCells="1" sizeWithCells="1">
                  <from>
                    <xdr:col>18</xdr:col>
                    <xdr:colOff>257175</xdr:colOff>
                    <xdr:row>35</xdr:row>
                    <xdr:rowOff>114300</xdr:rowOff>
                  </from>
                  <to>
                    <xdr:col>20</xdr:col>
                    <xdr:colOff>409575</xdr:colOff>
                    <xdr:row>37</xdr:row>
                    <xdr:rowOff>47625</xdr:rowOff>
                  </to>
                </anchor>
              </controlPr>
            </control>
          </mc:Choice>
        </mc:AlternateContent>
        <mc:AlternateContent xmlns:mc="http://schemas.openxmlformats.org/markup-compatibility/2006">
          <mc:Choice Requires="x14">
            <control shapeId="1030" r:id="rId9" name="Button 6">
              <controlPr defaultSize="0" print="0" autoFill="0" autoPict="0" macro="[0]!Button6_Click">
                <anchor moveWithCells="1" sizeWithCells="1">
                  <from>
                    <xdr:col>18</xdr:col>
                    <xdr:colOff>257175</xdr:colOff>
                    <xdr:row>37</xdr:row>
                    <xdr:rowOff>66675</xdr:rowOff>
                  </from>
                  <to>
                    <xdr:col>20</xdr:col>
                    <xdr:colOff>409575</xdr:colOff>
                    <xdr:row>38</xdr:row>
                    <xdr:rowOff>180975</xdr:rowOff>
                  </to>
                </anchor>
              </controlPr>
            </control>
          </mc:Choice>
        </mc:AlternateContent>
        <mc:AlternateContent xmlns:mc="http://schemas.openxmlformats.org/markup-compatibility/2006">
          <mc:Choice Requires="x14">
            <control shapeId="1031" r:id="rId10" name="Button 7">
              <controlPr defaultSize="0" print="0" autoFill="0" autoPict="0" macro="[0]!Button7_Click">
                <anchor moveWithCells="1" sizeWithCells="1">
                  <from>
                    <xdr:col>18</xdr:col>
                    <xdr:colOff>257175</xdr:colOff>
                    <xdr:row>38</xdr:row>
                    <xdr:rowOff>180975</xdr:rowOff>
                  </from>
                  <to>
                    <xdr:col>20</xdr:col>
                    <xdr:colOff>409575</xdr:colOff>
                    <xdr:row>47</xdr:row>
                    <xdr:rowOff>123825</xdr:rowOff>
                  </to>
                </anchor>
              </controlPr>
            </control>
          </mc:Choice>
        </mc:AlternateContent>
        <mc:AlternateContent xmlns:mc="http://schemas.openxmlformats.org/markup-compatibility/2006">
          <mc:Choice Requires="x14">
            <control shapeId="1032" r:id="rId11" name="Button 8">
              <controlPr defaultSize="0" print="0" autoFill="0" autoPict="0" macro="[0]!prntcmnd">
                <anchor moveWithCells="1" sizeWithCells="1">
                  <from>
                    <xdr:col>17</xdr:col>
                    <xdr:colOff>581025</xdr:colOff>
                    <xdr:row>15</xdr:row>
                    <xdr:rowOff>38100</xdr:rowOff>
                  </from>
                  <to>
                    <xdr:col>20</xdr:col>
                    <xdr:colOff>485775</xdr:colOff>
                    <xdr:row>16</xdr:row>
                    <xdr:rowOff>180975</xdr:rowOff>
                  </to>
                </anchor>
              </controlPr>
            </control>
          </mc:Choice>
        </mc:AlternateContent>
        <mc:AlternateContent xmlns:mc="http://schemas.openxmlformats.org/markup-compatibility/2006">
          <mc:Choice Requires="x14">
            <control shapeId="1035" r:id="rId12" name="Button 11">
              <controlPr defaultSize="0" print="0" autoFill="0" autoPict="0" macro="[0]!Button11_Click">
                <anchor moveWithCells="1" sizeWithCells="1">
                  <from>
                    <xdr:col>16</xdr:col>
                    <xdr:colOff>66675</xdr:colOff>
                    <xdr:row>10</xdr:row>
                    <xdr:rowOff>142875</xdr:rowOff>
                  </from>
                  <to>
                    <xdr:col>17</xdr:col>
                    <xdr:colOff>219075</xdr:colOff>
                    <xdr:row>13</xdr:row>
                    <xdr:rowOff>152400</xdr:rowOff>
                  </to>
                </anchor>
              </controlPr>
            </control>
          </mc:Choice>
        </mc:AlternateContent>
        <mc:AlternateContent xmlns:mc="http://schemas.openxmlformats.org/markup-compatibility/2006">
          <mc:Choice Requires="x14">
            <control shapeId="1036" r:id="rId13" name="Button 12">
              <controlPr defaultSize="0" print="0" autoFill="0" autoPict="0" macro="[0]!Button12_Click">
                <anchor moveWithCells="1" sizeWithCells="1">
                  <from>
                    <xdr:col>16</xdr:col>
                    <xdr:colOff>66675</xdr:colOff>
                    <xdr:row>14</xdr:row>
                    <xdr:rowOff>28575</xdr:rowOff>
                  </from>
                  <to>
                    <xdr:col>17</xdr:col>
                    <xdr:colOff>228600</xdr:colOff>
                    <xdr:row>17</xdr:row>
                    <xdr:rowOff>28575</xdr:rowOff>
                  </to>
                </anchor>
              </controlPr>
            </control>
          </mc:Choice>
        </mc:AlternateContent>
        <mc:AlternateContent xmlns:mc="http://schemas.openxmlformats.org/markup-compatibility/2006">
          <mc:Choice Requires="x14">
            <control shapeId="1049" r:id="rId14" name="Button 25">
              <controlPr defaultSize="0" print="0" autoFill="0" autoPict="0" macro="[0]!Button25_Click">
                <anchor moveWithCells="1" sizeWithCells="1">
                  <from>
                    <xdr:col>16</xdr:col>
                    <xdr:colOff>66675</xdr:colOff>
                    <xdr:row>18</xdr:row>
                    <xdr:rowOff>28575</xdr:rowOff>
                  </from>
                  <to>
                    <xdr:col>17</xdr:col>
                    <xdr:colOff>228600</xdr:colOff>
                    <xdr:row>26</xdr:row>
                    <xdr:rowOff>123825</xdr:rowOff>
                  </to>
                </anchor>
              </controlPr>
            </control>
          </mc:Choice>
        </mc:AlternateContent>
        <mc:AlternateContent xmlns:mc="http://schemas.openxmlformats.org/markup-compatibility/2006">
          <mc:Choice Requires="x14">
            <control shapeId="1050" r:id="rId15" name="Button 26">
              <controlPr defaultSize="0" print="0" autoFill="0" autoPict="0" macro="[0]!Button26_Click">
                <anchor moveWithCells="1" sizeWithCells="1">
                  <from>
                    <xdr:col>16</xdr:col>
                    <xdr:colOff>104775</xdr:colOff>
                    <xdr:row>27</xdr:row>
                    <xdr:rowOff>152400</xdr:rowOff>
                  </from>
                  <to>
                    <xdr:col>17</xdr:col>
                    <xdr:colOff>238125</xdr:colOff>
                    <xdr:row>31</xdr:row>
                    <xdr:rowOff>38100</xdr:rowOff>
                  </to>
                </anchor>
              </controlPr>
            </control>
          </mc:Choice>
        </mc:AlternateContent>
        <mc:AlternateContent xmlns:mc="http://schemas.openxmlformats.org/markup-compatibility/2006">
          <mc:Choice Requires="x14">
            <control shapeId="1051" r:id="rId16" name="Button 27">
              <controlPr defaultSize="0" print="0" autoFill="0" autoPict="0" macro="[0]!Button27_Click">
                <anchor moveWithCells="1" sizeWithCells="1">
                  <from>
                    <xdr:col>16</xdr:col>
                    <xdr:colOff>114300</xdr:colOff>
                    <xdr:row>32</xdr:row>
                    <xdr:rowOff>28575</xdr:rowOff>
                  </from>
                  <to>
                    <xdr:col>17</xdr:col>
                    <xdr:colOff>257175</xdr:colOff>
                    <xdr:row>34</xdr:row>
                    <xdr:rowOff>142875</xdr:rowOff>
                  </to>
                </anchor>
              </controlPr>
            </control>
          </mc:Choice>
        </mc:AlternateContent>
        <mc:AlternateContent xmlns:mc="http://schemas.openxmlformats.org/markup-compatibility/2006">
          <mc:Choice Requires="x14">
            <control shapeId="1062" r:id="rId17" name="Button 38">
              <controlPr defaultSize="0" print="0" autoFill="0" autoPict="0" macro="[0]!Selected_Targets">
                <anchor moveWithCells="1" sizeWithCells="1">
                  <from>
                    <xdr:col>16</xdr:col>
                    <xdr:colOff>114300</xdr:colOff>
                    <xdr:row>35</xdr:row>
                    <xdr:rowOff>38100</xdr:rowOff>
                  </from>
                  <to>
                    <xdr:col>17</xdr:col>
                    <xdr:colOff>257175</xdr:colOff>
                    <xdr:row>37</xdr:row>
                    <xdr:rowOff>161925</xdr:rowOff>
                  </to>
                </anchor>
              </controlPr>
            </control>
          </mc:Choice>
        </mc:AlternateContent>
        <mc:AlternateContent xmlns:mc="http://schemas.openxmlformats.org/markup-compatibility/2006">
          <mc:Choice Requires="x14">
            <control shapeId="1063" r:id="rId18" name="Button 39">
              <controlPr defaultSize="0" print="0" autoFill="0" autoPict="0" macro="[0]!Go_to_previous_DY">
                <anchor moveWithCells="1" sizeWithCells="1">
                  <from>
                    <xdr:col>16</xdr:col>
                    <xdr:colOff>28575</xdr:colOff>
                    <xdr:row>5</xdr:row>
                    <xdr:rowOff>66675</xdr:rowOff>
                  </from>
                  <to>
                    <xdr:col>17</xdr:col>
                    <xdr:colOff>219075</xdr:colOff>
                    <xdr:row>9</xdr:row>
                    <xdr:rowOff>161925</xdr:rowOff>
                  </to>
                </anchor>
              </controlPr>
            </control>
          </mc:Choice>
        </mc:AlternateContent>
        <mc:AlternateContent xmlns:mc="http://schemas.openxmlformats.org/markup-compatibility/2006">
          <mc:Choice Requires="x14">
            <control shapeId="1067" r:id="rId19" name="Button 43">
              <controlPr defaultSize="0" print="0" autoFill="0" autoPict="0" macro="[0]!Button43_Click">
                <anchor moveWithCells="1" sizeWithCells="1">
                  <from>
                    <xdr:col>16</xdr:col>
                    <xdr:colOff>104775</xdr:colOff>
                    <xdr:row>38</xdr:row>
                    <xdr:rowOff>114300</xdr:rowOff>
                  </from>
                  <to>
                    <xdr:col>17</xdr:col>
                    <xdr:colOff>266700</xdr:colOff>
                    <xdr:row>47</xdr:row>
                    <xdr:rowOff>180975</xdr:rowOff>
                  </to>
                </anchor>
              </controlPr>
            </control>
          </mc:Choice>
        </mc:AlternateContent>
        <mc:AlternateContent xmlns:mc="http://schemas.openxmlformats.org/markup-compatibility/2006">
          <mc:Choice Requires="x14">
            <control shapeId="1068" r:id="rId20" name="Button 44">
              <controlPr defaultSize="0" print="0" autoFill="0" autoPict="0" macro="[0]!Button_2FY_sheetselect">
                <anchor moveWithCells="1" sizeWithCells="1">
                  <from>
                    <xdr:col>17</xdr:col>
                    <xdr:colOff>638175</xdr:colOff>
                    <xdr:row>24</xdr:row>
                    <xdr:rowOff>142875</xdr:rowOff>
                  </from>
                  <to>
                    <xdr:col>20</xdr:col>
                    <xdr:colOff>638175</xdr:colOff>
                    <xdr:row>27</xdr:row>
                    <xdr:rowOff>66675</xdr:rowOff>
                  </to>
                </anchor>
              </controlPr>
            </control>
          </mc:Choice>
        </mc:AlternateContent>
        <mc:AlternateContent xmlns:mc="http://schemas.openxmlformats.org/markup-compatibility/2006">
          <mc:Choice Requires="x14">
            <control shapeId="1038" r:id="rId21" name="Group Box 14">
              <controlPr defaultSize="0" autoFill="0" autoPict="0" altText="Targets used">
                <anchor moveWithCells="1">
                  <from>
                    <xdr:col>8</xdr:col>
                    <xdr:colOff>342900</xdr:colOff>
                    <xdr:row>2</xdr:row>
                    <xdr:rowOff>66675</xdr:rowOff>
                  </from>
                  <to>
                    <xdr:col>10</xdr:col>
                    <xdr:colOff>571500</xdr:colOff>
                    <xdr:row>2</xdr:row>
                    <xdr:rowOff>447675</xdr:rowOff>
                  </to>
                </anchor>
              </controlPr>
            </control>
          </mc:Choice>
        </mc:AlternateContent>
        <mc:AlternateContent xmlns:mc="http://schemas.openxmlformats.org/markup-compatibility/2006">
          <mc:Choice Requires="x14">
            <control shapeId="1039" r:id="rId22" name="Option Button 15">
              <controlPr locked="0" defaultSize="0" autoFill="0" autoLine="0" autoPict="0" macro="[0]!OptionButton15_Click">
                <anchor moveWithCells="1">
                  <from>
                    <xdr:col>8</xdr:col>
                    <xdr:colOff>371475</xdr:colOff>
                    <xdr:row>2</xdr:row>
                    <xdr:rowOff>161925</xdr:rowOff>
                  </from>
                  <to>
                    <xdr:col>9</xdr:col>
                    <xdr:colOff>371475</xdr:colOff>
                    <xdr:row>2</xdr:row>
                    <xdr:rowOff>390525</xdr:rowOff>
                  </to>
                </anchor>
              </controlPr>
            </control>
          </mc:Choice>
        </mc:AlternateContent>
        <mc:AlternateContent xmlns:mc="http://schemas.openxmlformats.org/markup-compatibility/2006">
          <mc:Choice Requires="x14">
            <control shapeId="1040" r:id="rId23" name="Option Button 16">
              <controlPr locked="0" defaultSize="0" autoFill="0" autoLine="0" autoPict="0" macro="[0]!OptionButton16_Click">
                <anchor moveWithCells="1">
                  <from>
                    <xdr:col>9</xdr:col>
                    <xdr:colOff>371475</xdr:colOff>
                    <xdr:row>2</xdr:row>
                    <xdr:rowOff>161925</xdr:rowOff>
                  </from>
                  <to>
                    <xdr:col>10</xdr:col>
                    <xdr:colOff>152400</xdr:colOff>
                    <xdr:row>2</xdr:row>
                    <xdr:rowOff>390525</xdr:rowOff>
                  </to>
                </anchor>
              </controlPr>
            </control>
          </mc:Choice>
        </mc:AlternateContent>
        <mc:AlternateContent xmlns:mc="http://schemas.openxmlformats.org/markup-compatibility/2006">
          <mc:Choice Requires="x14">
            <control shapeId="1043" r:id="rId24" name="Option Button 19">
              <controlPr defaultSize="0" autoFill="0" autoLine="0" autoPict="0" macro="[0]!OptionButton19_Click">
                <anchor moveWithCells="1">
                  <from>
                    <xdr:col>10</xdr:col>
                    <xdr:colOff>85725</xdr:colOff>
                    <xdr:row>2</xdr:row>
                    <xdr:rowOff>161925</xdr:rowOff>
                  </from>
                  <to>
                    <xdr:col>10</xdr:col>
                    <xdr:colOff>533400</xdr:colOff>
                    <xdr:row>2</xdr:row>
                    <xdr:rowOff>371475</xdr:rowOff>
                  </to>
                </anchor>
              </controlPr>
            </control>
          </mc:Choice>
        </mc:AlternateContent>
        <mc:AlternateContent xmlns:mc="http://schemas.openxmlformats.org/markup-compatibility/2006">
          <mc:Choice Requires="x14">
            <control shapeId="1045" r:id="rId25" name="Label 21">
              <controlPr defaultSize="0" autoFill="0" autoLine="0" autoPict="0">
                <anchor moveWithCells="1" sizeWithCells="1">
                  <from>
                    <xdr:col>3</xdr:col>
                    <xdr:colOff>152400</xdr:colOff>
                    <xdr:row>27</xdr:row>
                    <xdr:rowOff>47625</xdr:rowOff>
                  </from>
                  <to>
                    <xdr:col>6</xdr:col>
                    <xdr:colOff>104775</xdr:colOff>
                    <xdr:row>28</xdr:row>
                    <xdr:rowOff>180975</xdr:rowOff>
                  </to>
                </anchor>
              </controlPr>
            </control>
          </mc:Choice>
        </mc:AlternateContent>
        <mc:AlternateContent xmlns:mc="http://schemas.openxmlformats.org/markup-compatibility/2006">
          <mc:Choice Requires="x14">
            <control shapeId="1048" r:id="rId26" name="Button 24">
              <controlPr defaultSize="0" print="0" autoFill="0" autoPict="0" macro="[0]!Button24_Click">
                <anchor moveWithCells="1" sizeWithCells="1">
                  <from>
                    <xdr:col>12</xdr:col>
                    <xdr:colOff>409575</xdr:colOff>
                    <xdr:row>8</xdr:row>
                    <xdr:rowOff>9525</xdr:rowOff>
                  </from>
                  <to>
                    <xdr:col>12</xdr:col>
                    <xdr:colOff>1838325</xdr:colOff>
                    <xdr:row>8</xdr:row>
                    <xdr:rowOff>180975</xdr:rowOff>
                  </to>
                </anchor>
              </controlPr>
            </control>
          </mc:Choice>
        </mc:AlternateContent>
        <mc:AlternateContent xmlns:mc="http://schemas.openxmlformats.org/markup-compatibility/2006">
          <mc:Choice Requires="x14">
            <control shapeId="1052" r:id="rId27" name="Group Box 28">
              <controlPr defaultSize="0" autoFill="0" autoPict="0">
                <anchor moveWithCells="1">
                  <from>
                    <xdr:col>8</xdr:col>
                    <xdr:colOff>104775</xdr:colOff>
                    <xdr:row>27</xdr:row>
                    <xdr:rowOff>66675</xdr:rowOff>
                  </from>
                  <to>
                    <xdr:col>15</xdr:col>
                    <xdr:colOff>0</xdr:colOff>
                    <xdr:row>30</xdr:row>
                    <xdr:rowOff>0</xdr:rowOff>
                  </to>
                </anchor>
              </controlPr>
            </control>
          </mc:Choice>
        </mc:AlternateContent>
        <mc:AlternateContent xmlns:mc="http://schemas.openxmlformats.org/markup-compatibility/2006">
          <mc:Choice Requires="x14">
            <control shapeId="1053" r:id="rId28" name="Option Button 29">
              <controlPr defaultSize="0" autoFill="0" autoLine="0" autoPict="0" macro="[0]!chart_currentmonth_Click">
                <anchor moveWithCells="1">
                  <from>
                    <xdr:col>9</xdr:col>
                    <xdr:colOff>723900</xdr:colOff>
                    <xdr:row>27</xdr:row>
                    <xdr:rowOff>114300</xdr:rowOff>
                  </from>
                  <to>
                    <xdr:col>11</xdr:col>
                    <xdr:colOff>485775</xdr:colOff>
                    <xdr:row>29</xdr:row>
                    <xdr:rowOff>104775</xdr:rowOff>
                  </to>
                </anchor>
              </controlPr>
            </control>
          </mc:Choice>
        </mc:AlternateContent>
        <mc:AlternateContent xmlns:mc="http://schemas.openxmlformats.org/markup-compatibility/2006">
          <mc:Choice Requires="x14">
            <control shapeId="1054" r:id="rId29" name="Option Button 30">
              <controlPr defaultSize="0" autoFill="0" autoLine="0" autoPict="0" macro="[0]!chart_last30_Click">
                <anchor moveWithCells="1">
                  <from>
                    <xdr:col>8</xdr:col>
                    <xdr:colOff>180975</xdr:colOff>
                    <xdr:row>27</xdr:row>
                    <xdr:rowOff>161925</xdr:rowOff>
                  </from>
                  <to>
                    <xdr:col>10</xdr:col>
                    <xdr:colOff>9525</xdr:colOff>
                    <xdr:row>29</xdr:row>
                    <xdr:rowOff>38100</xdr:rowOff>
                  </to>
                </anchor>
              </controlPr>
            </control>
          </mc:Choice>
        </mc:AlternateContent>
        <mc:AlternateContent xmlns:mc="http://schemas.openxmlformats.org/markup-compatibility/2006">
          <mc:Choice Requires="x14">
            <control shapeId="1057" r:id="rId30" name="Option Button 33">
              <controlPr defaultSize="0" autoFill="0" autoLine="0" autoPict="0" macro="[0]!chart_CurrentFY_click">
                <anchor moveWithCells="1">
                  <from>
                    <xdr:col>11</xdr:col>
                    <xdr:colOff>266700</xdr:colOff>
                    <xdr:row>28</xdr:row>
                    <xdr:rowOff>85725</xdr:rowOff>
                  </from>
                  <to>
                    <xdr:col>12</xdr:col>
                    <xdr:colOff>342900</xdr:colOff>
                    <xdr:row>29</xdr:row>
                    <xdr:rowOff>142875</xdr:rowOff>
                  </to>
                </anchor>
              </controlPr>
            </control>
          </mc:Choice>
        </mc:AlternateContent>
        <mc:AlternateContent xmlns:mc="http://schemas.openxmlformats.org/markup-compatibility/2006">
          <mc:Choice Requires="x14">
            <control shapeId="1058" r:id="rId31" name="Option Button 34">
              <controlPr defaultSize="0" autoFill="0" autoLine="0" autoPict="0" macro="[0]!chart_CurrentCY_click">
                <anchor moveWithCells="1">
                  <from>
                    <xdr:col>11</xdr:col>
                    <xdr:colOff>266700</xdr:colOff>
                    <xdr:row>27</xdr:row>
                    <xdr:rowOff>85725</xdr:rowOff>
                  </from>
                  <to>
                    <xdr:col>12</xdr:col>
                    <xdr:colOff>152400</xdr:colOff>
                    <xdr:row>28</xdr:row>
                    <xdr:rowOff>123825</xdr:rowOff>
                  </to>
                </anchor>
              </controlPr>
            </control>
          </mc:Choice>
        </mc:AlternateContent>
        <mc:AlternateContent xmlns:mc="http://schemas.openxmlformats.org/markup-compatibility/2006">
          <mc:Choice Requires="x14">
            <control shapeId="1059" r:id="rId32" name="Option Button 35">
              <controlPr defaultSize="0" autoFill="0" autoLine="0" autoPict="0" macro="[0]!chart_Last365_click">
                <anchor moveWithCells="1">
                  <from>
                    <xdr:col>12</xdr:col>
                    <xdr:colOff>409575</xdr:colOff>
                    <xdr:row>28</xdr:row>
                    <xdr:rowOff>47625</xdr:rowOff>
                  </from>
                  <to>
                    <xdr:col>12</xdr:col>
                    <xdr:colOff>1400175</xdr:colOff>
                    <xdr:row>29</xdr:row>
                    <xdr:rowOff>142875</xdr:rowOff>
                  </to>
                </anchor>
              </controlPr>
            </control>
          </mc:Choice>
        </mc:AlternateContent>
        <mc:AlternateContent xmlns:mc="http://schemas.openxmlformats.org/markup-compatibility/2006">
          <mc:Choice Requires="x14">
            <control shapeId="1064" r:id="rId33" name="Option Button 40">
              <controlPr defaultSize="0" autoFill="0" autoLine="0" autoPict="0" macro="[0]!chart_fullRange_Click">
                <anchor moveWithCells="1">
                  <from>
                    <xdr:col>12</xdr:col>
                    <xdr:colOff>409575</xdr:colOff>
                    <xdr:row>27</xdr:row>
                    <xdr:rowOff>104775</xdr:rowOff>
                  </from>
                  <to>
                    <xdr:col>12</xdr:col>
                    <xdr:colOff>1257300</xdr:colOff>
                    <xdr:row>28</xdr:row>
                    <xdr:rowOff>123825</xdr:rowOff>
                  </to>
                </anchor>
              </controlPr>
            </control>
          </mc:Choice>
        </mc:AlternateContent>
        <mc:AlternateContent xmlns:mc="http://schemas.openxmlformats.org/markup-compatibility/2006">
          <mc:Choice Requires="x14">
            <control shapeId="1069" r:id="rId34" name="Button 45">
              <controlPr defaultSize="0" print="0" autoFill="0" autoPict="0" macro="[0]!DPR_screenshot_Click">
                <anchor moveWithCells="1" sizeWithCells="1">
                  <from>
                    <xdr:col>18</xdr:col>
                    <xdr:colOff>314325</xdr:colOff>
                    <xdr:row>22</xdr:row>
                    <xdr:rowOff>76200</xdr:rowOff>
                  </from>
                  <to>
                    <xdr:col>20</xdr:col>
                    <xdr:colOff>257175</xdr:colOff>
                    <xdr:row>24</xdr:row>
                    <xdr:rowOff>47625</xdr:rowOff>
                  </to>
                </anchor>
              </controlPr>
            </control>
          </mc:Choice>
        </mc:AlternateContent>
        <mc:AlternateContent xmlns:mc="http://schemas.openxmlformats.org/markup-compatibility/2006">
          <mc:Choice Requires="x14">
            <control shapeId="1071" r:id="rId35" name="Button 47">
              <controlPr defaultSize="0" print="0" autoFill="0" autoPict="0" macro="[0]!Prodn_Data_2024_25">
                <anchor moveWithCells="1" sizeWithCells="1">
                  <from>
                    <xdr:col>18</xdr:col>
                    <xdr:colOff>9525</xdr:colOff>
                    <xdr:row>20</xdr:row>
                    <xdr:rowOff>38100</xdr:rowOff>
                  </from>
                  <to>
                    <xdr:col>20</xdr:col>
                    <xdr:colOff>533400</xdr:colOff>
                    <xdr:row>22</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DPR!$C$40:$C$53</xm:f>
          </x14:formula1>
          <xm:sqref>P3</xm:sqref>
        </x14:dataValidation>
        <x14:dataValidation type="list" allowBlank="1" showInputMessage="1" showErrorMessage="1">
          <x14:formula1>
            <xm:f>Dropdowns!$C$77:$C$88</xm:f>
          </x14:formula1>
          <xm:sqref>G3</xm:sqref>
        </x14:dataValidation>
        <x14:dataValidation type="list" allowBlank="1" showInputMessage="1" showErrorMessage="1">
          <x14:formula1>
            <xm:f>DPR!$C$9:$C$1048576</xm:f>
          </x14:formula1>
          <xm:sqref>D3</xm:sqref>
        </x14:dataValidation>
      </x14:dataValidations>
    </ext>
  </extLs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rgb="FF92D050"/>
    <pageSetUpPr fitToPage="1"/>
  </sheetPr>
  <dimension ref="A1:BN2171"/>
  <sheetViews>
    <sheetView tabSelected="1" view="pageBreakPreview" topLeftCell="A5" zoomScaleNormal="100" zoomScaleSheetLayoutView="100" workbookViewId="0">
      <pane xSplit="3" ySplit="3" topLeftCell="D1235" activePane="bottomRight" state="frozen"/>
      <selection activeCell="A5" sqref="A5"/>
      <selection pane="topRight" activeCell="D5" sqref="D5"/>
      <selection pane="bottomLeft" activeCell="A8" sqref="A8"/>
      <selection pane="bottomRight" activeCell="K1262" sqref="K1262"/>
    </sheetView>
  </sheetViews>
  <sheetFormatPr defaultColWidth="8.85546875" defaultRowHeight="15"/>
  <cols>
    <col min="1" max="1" width="11.85546875" customWidth="1"/>
    <col min="2" max="2" width="12.28515625" customWidth="1"/>
    <col min="3" max="3" width="13" customWidth="1"/>
    <col min="4" max="4" width="11.28515625" bestFit="1" customWidth="1"/>
    <col min="5" max="5" width="10.85546875" bestFit="1" customWidth="1"/>
    <col min="6" max="7" width="12" customWidth="1"/>
    <col min="8" max="8" width="10.85546875" customWidth="1"/>
    <col min="9" max="9" width="13" customWidth="1"/>
    <col min="10" max="10" width="15.140625" customWidth="1"/>
    <col min="11" max="11" width="13.140625" customWidth="1"/>
    <col min="12" max="12" width="11" bestFit="1" customWidth="1"/>
    <col min="13" max="13" width="13" customWidth="1"/>
    <col min="14" max="14" width="10.42578125" bestFit="1" customWidth="1"/>
    <col min="15" max="15" width="14" bestFit="1" customWidth="1"/>
    <col min="16" max="16" width="10.7109375" customWidth="1"/>
    <col min="17" max="17" width="1.140625" hidden="1" customWidth="1"/>
    <col min="18" max="18" width="13.7109375" customWidth="1"/>
    <col min="19" max="19" width="11.7109375" customWidth="1"/>
    <col min="20" max="20" width="10" customWidth="1"/>
    <col min="21" max="22" width="10.140625" bestFit="1" customWidth="1"/>
    <col min="23" max="23" width="9.42578125" bestFit="1" customWidth="1"/>
    <col min="24" max="24" width="10.85546875" bestFit="1" customWidth="1"/>
    <col min="25" max="25" width="11" customWidth="1"/>
    <col min="26" max="26" width="9.28515625" hidden="1" customWidth="1"/>
    <col min="27" max="27" width="9.7109375" hidden="1" customWidth="1"/>
    <col min="28" max="28" width="9.28515625" hidden="1" customWidth="1"/>
    <col min="29" max="29" width="10.42578125" bestFit="1" customWidth="1"/>
    <col min="30" max="30" width="12.42578125" customWidth="1"/>
    <col min="31" max="31" width="9.140625" customWidth="1"/>
    <col min="32" max="32" width="12" bestFit="1" customWidth="1"/>
    <col min="33" max="33" width="10.28515625" customWidth="1"/>
    <col min="34" max="34" width="10.140625" customWidth="1"/>
    <col min="35" max="35" width="8.7109375" customWidth="1"/>
    <col min="36" max="36" width="9.140625" customWidth="1"/>
    <col min="37" max="37" width="11.140625" customWidth="1"/>
    <col min="38" max="38" width="8.85546875" customWidth="1"/>
    <col min="39" max="39" width="11.42578125" customWidth="1"/>
    <col min="47" max="47" width="24.85546875" customWidth="1"/>
    <col min="48" max="48" width="13" customWidth="1"/>
  </cols>
  <sheetData>
    <row r="1" spans="1:48" ht="16.350000000000001" hidden="1" customHeight="1">
      <c r="A1" s="287">
        <v>3</v>
      </c>
      <c r="C1">
        <v>1</v>
      </c>
      <c r="D1">
        <v>2</v>
      </c>
      <c r="E1">
        <v>3</v>
      </c>
      <c r="F1">
        <v>4</v>
      </c>
      <c r="G1">
        <v>5</v>
      </c>
      <c r="H1">
        <v>6</v>
      </c>
      <c r="I1">
        <v>7</v>
      </c>
      <c r="J1">
        <v>8</v>
      </c>
      <c r="K1">
        <v>9</v>
      </c>
      <c r="L1">
        <v>10</v>
      </c>
      <c r="M1">
        <v>11</v>
      </c>
      <c r="N1">
        <v>12</v>
      </c>
      <c r="O1">
        <v>13</v>
      </c>
      <c r="P1">
        <v>14</v>
      </c>
      <c r="Q1">
        <v>15</v>
      </c>
      <c r="R1">
        <v>16</v>
      </c>
      <c r="S1">
        <v>17</v>
      </c>
      <c r="T1">
        <v>18</v>
      </c>
      <c r="U1">
        <v>19</v>
      </c>
      <c r="V1">
        <v>20</v>
      </c>
      <c r="W1">
        <v>21</v>
      </c>
      <c r="X1">
        <v>22</v>
      </c>
      <c r="Y1">
        <v>23</v>
      </c>
      <c r="Z1">
        <v>24</v>
      </c>
      <c r="AA1">
        <v>25</v>
      </c>
      <c r="AB1">
        <v>26</v>
      </c>
      <c r="AC1">
        <v>27</v>
      </c>
      <c r="AD1">
        <v>28</v>
      </c>
      <c r="AE1">
        <v>29</v>
      </c>
      <c r="AF1">
        <v>30</v>
      </c>
      <c r="AG1">
        <v>31</v>
      </c>
      <c r="AH1">
        <v>32</v>
      </c>
      <c r="AI1">
        <v>33</v>
      </c>
      <c r="AJ1">
        <v>34</v>
      </c>
      <c r="AK1" s="246">
        <f>Dashboard!D3</f>
        <v>46265</v>
      </c>
    </row>
    <row r="2" spans="1:48" ht="17.850000000000001" hidden="1" customHeight="1">
      <c r="A2" s="246">
        <f>Dashboard!D3</f>
        <v>46265</v>
      </c>
    </row>
    <row r="3" spans="1:48" ht="15" hidden="1" customHeight="1"/>
    <row r="4" spans="1:48" ht="19.350000000000001" hidden="1" customHeight="1"/>
    <row r="5" spans="1:48" ht="39.6" customHeight="1">
      <c r="C5" s="273"/>
      <c r="D5" s="1278" t="s">
        <v>1638</v>
      </c>
      <c r="E5" s="1279"/>
      <c r="F5" s="1279"/>
      <c r="G5" s="1279"/>
      <c r="H5" s="1279"/>
      <c r="I5" s="1279"/>
      <c r="J5" s="1279"/>
      <c r="K5" s="1279"/>
      <c r="L5" s="1279"/>
      <c r="M5" s="1279"/>
      <c r="N5" s="1279"/>
      <c r="O5" s="1279"/>
      <c r="P5" s="1279"/>
      <c r="Q5" s="1279"/>
      <c r="R5" s="1279"/>
      <c r="S5" s="1276" t="s">
        <v>290</v>
      </c>
      <c r="T5" s="1277"/>
      <c r="U5" s="1277"/>
      <c r="V5" s="1277"/>
      <c r="W5" s="1277"/>
      <c r="X5" s="1277"/>
      <c r="Y5" s="1277"/>
      <c r="Z5" s="1277"/>
      <c r="AA5" s="1277"/>
      <c r="AB5" s="1277"/>
      <c r="AC5" s="1277"/>
      <c r="AD5" s="1277"/>
      <c r="AE5" s="1277"/>
      <c r="AF5" s="1277"/>
      <c r="AG5" s="1277"/>
      <c r="AK5" t="str">
        <f>interFY_transition!D20</f>
        <v>2026-27</v>
      </c>
      <c r="AM5" s="338" t="s">
        <v>391</v>
      </c>
      <c r="AN5" s="339" t="str">
        <f>DPRavg!F2</f>
        <v>July'26</v>
      </c>
      <c r="AO5" s="339" t="str">
        <f>Dropdowns!D406</f>
        <v>(rounded)</v>
      </c>
    </row>
    <row r="6" spans="1:48" ht="34.35" customHeight="1">
      <c r="C6" s="273"/>
      <c r="D6" s="824">
        <v>2.9250000000000002E-2</v>
      </c>
      <c r="E6" s="661">
        <v>0.27</v>
      </c>
      <c r="F6" s="661">
        <v>0.7</v>
      </c>
      <c r="G6" s="661">
        <v>0.5</v>
      </c>
      <c r="H6" s="661">
        <v>1</v>
      </c>
      <c r="I6" s="661">
        <v>0.2</v>
      </c>
      <c r="J6" s="661">
        <v>0.26</v>
      </c>
      <c r="K6" s="661">
        <v>0.25</v>
      </c>
      <c r="L6" s="660">
        <v>0.24124999999999999</v>
      </c>
      <c r="M6" s="661">
        <v>0.04</v>
      </c>
      <c r="N6" s="661">
        <v>0.11</v>
      </c>
      <c r="O6" s="661">
        <v>0.4</v>
      </c>
      <c r="P6" s="661">
        <v>0.45</v>
      </c>
      <c r="Q6" s="241">
        <v>0.17</v>
      </c>
      <c r="R6" s="1287" t="s">
        <v>475</v>
      </c>
      <c r="S6" s="825">
        <v>2.9250000000000002E-2</v>
      </c>
      <c r="T6" s="663">
        <v>0.27</v>
      </c>
      <c r="U6" s="663">
        <v>0.7</v>
      </c>
      <c r="V6" s="663">
        <v>0.5</v>
      </c>
      <c r="W6" s="663">
        <v>1</v>
      </c>
      <c r="X6" s="663">
        <v>0.2</v>
      </c>
      <c r="Y6" s="663">
        <v>0.26</v>
      </c>
      <c r="Z6" s="663">
        <v>0.25</v>
      </c>
      <c r="AA6" s="662">
        <v>0.24124999999999999</v>
      </c>
      <c r="AB6" s="663">
        <v>0.04</v>
      </c>
      <c r="AC6" s="663">
        <v>0.11</v>
      </c>
      <c r="AD6" s="663">
        <v>0.4</v>
      </c>
      <c r="AE6" s="663">
        <v>0.45</v>
      </c>
      <c r="AF6" s="663">
        <v>0.17</v>
      </c>
      <c r="AG6" s="1284" t="s">
        <v>475</v>
      </c>
      <c r="AH6" s="1281" t="s">
        <v>117</v>
      </c>
      <c r="AI6" s="1280" t="s">
        <v>9</v>
      </c>
      <c r="AK6" s="537" t="s">
        <v>862</v>
      </c>
      <c r="AU6" s="301"/>
      <c r="AV6" s="480"/>
    </row>
    <row r="7" spans="1:48" ht="34.5" customHeight="1">
      <c r="C7" s="283"/>
      <c r="D7" s="656" t="s">
        <v>57</v>
      </c>
      <c r="E7" s="656" t="s">
        <v>58</v>
      </c>
      <c r="F7" s="656" t="s">
        <v>63</v>
      </c>
      <c r="G7" s="656" t="s">
        <v>59</v>
      </c>
      <c r="H7" s="656" t="s">
        <v>62</v>
      </c>
      <c r="I7" s="656" t="s">
        <v>118</v>
      </c>
      <c r="J7" s="656" t="s">
        <v>61</v>
      </c>
      <c r="K7" s="656" t="s">
        <v>67</v>
      </c>
      <c r="L7" s="656" t="s">
        <v>68</v>
      </c>
      <c r="M7" s="656" t="s">
        <v>66</v>
      </c>
      <c r="N7" s="656" t="s">
        <v>64</v>
      </c>
      <c r="O7" s="656" t="s">
        <v>65</v>
      </c>
      <c r="P7" s="656" t="s">
        <v>69</v>
      </c>
      <c r="Q7" s="242" t="s">
        <v>70</v>
      </c>
      <c r="R7" s="1288"/>
      <c r="S7" s="657" t="s">
        <v>57</v>
      </c>
      <c r="T7" s="657" t="s">
        <v>58</v>
      </c>
      <c r="U7" s="657" t="s">
        <v>63</v>
      </c>
      <c r="V7" s="657" t="s">
        <v>59</v>
      </c>
      <c r="W7" s="657" t="s">
        <v>62</v>
      </c>
      <c r="X7" s="657" t="s">
        <v>118</v>
      </c>
      <c r="Y7" s="657" t="s">
        <v>61</v>
      </c>
      <c r="Z7" s="657" t="s">
        <v>67</v>
      </c>
      <c r="AA7" s="657" t="s">
        <v>68</v>
      </c>
      <c r="AB7" s="657" t="s">
        <v>66</v>
      </c>
      <c r="AC7" s="657" t="s">
        <v>64</v>
      </c>
      <c r="AD7" s="657" t="s">
        <v>65</v>
      </c>
      <c r="AE7" s="657" t="s">
        <v>69</v>
      </c>
      <c r="AF7" s="657" t="s">
        <v>70</v>
      </c>
      <c r="AG7" s="1285"/>
      <c r="AH7" s="1282"/>
      <c r="AI7" s="1280"/>
    </row>
    <row r="8" spans="1:48" ht="37.35" customHeight="1">
      <c r="C8" s="288" t="s">
        <v>116</v>
      </c>
      <c r="D8" s="658" t="s">
        <v>119</v>
      </c>
      <c r="E8" s="658" t="s">
        <v>120</v>
      </c>
      <c r="F8" s="658" t="s">
        <v>121</v>
      </c>
      <c r="G8" s="658" t="s">
        <v>121</v>
      </c>
      <c r="H8" s="658" t="s">
        <v>122</v>
      </c>
      <c r="I8" s="658" t="s">
        <v>122</v>
      </c>
      <c r="J8" s="658" t="s">
        <v>122</v>
      </c>
      <c r="K8" s="658" t="s">
        <v>123</v>
      </c>
      <c r="L8" s="658" t="s">
        <v>123</v>
      </c>
      <c r="M8" s="658" t="s">
        <v>124</v>
      </c>
      <c r="N8" s="658" t="s">
        <v>125</v>
      </c>
      <c r="O8" s="658" t="s">
        <v>125</v>
      </c>
      <c r="P8" s="658" t="s">
        <v>126</v>
      </c>
      <c r="Q8" s="242" t="s">
        <v>127</v>
      </c>
      <c r="R8" s="1289"/>
      <c r="S8" s="659" t="s">
        <v>119</v>
      </c>
      <c r="T8" s="659" t="s">
        <v>120</v>
      </c>
      <c r="U8" s="659" t="s">
        <v>121</v>
      </c>
      <c r="V8" s="659" t="s">
        <v>121</v>
      </c>
      <c r="W8" s="659" t="s">
        <v>122</v>
      </c>
      <c r="X8" s="659" t="s">
        <v>122</v>
      </c>
      <c r="Y8" s="659" t="s">
        <v>122</v>
      </c>
      <c r="Z8" s="659" t="s">
        <v>123</v>
      </c>
      <c r="AA8" s="659" t="s">
        <v>123</v>
      </c>
      <c r="AB8" s="659" t="s">
        <v>124</v>
      </c>
      <c r="AC8" s="659" t="s">
        <v>125</v>
      </c>
      <c r="AD8" s="659" t="s">
        <v>125</v>
      </c>
      <c r="AE8" s="659" t="s">
        <v>126</v>
      </c>
      <c r="AF8" s="659" t="s">
        <v>127</v>
      </c>
      <c r="AG8" s="1286"/>
      <c r="AH8" s="1283"/>
      <c r="AI8" s="1280"/>
    </row>
    <row r="9" spans="1:48" ht="15.75" hidden="1">
      <c r="C9" s="237">
        <v>45017</v>
      </c>
      <c r="D9" s="471">
        <v>377672</v>
      </c>
      <c r="E9" s="471">
        <v>35962</v>
      </c>
      <c r="F9" s="471">
        <v>18455.95</v>
      </c>
      <c r="G9" s="471">
        <v>2827</v>
      </c>
      <c r="H9" s="471">
        <v>2948</v>
      </c>
      <c r="I9" s="470">
        <v>196000</v>
      </c>
      <c r="J9" s="471">
        <v>188604</v>
      </c>
      <c r="K9" s="471">
        <v>47332.902700000006</v>
      </c>
      <c r="L9" s="471">
        <v>7831</v>
      </c>
      <c r="M9" s="471">
        <v>371658</v>
      </c>
      <c r="N9" s="471">
        <v>9141</v>
      </c>
      <c r="O9" s="471">
        <v>4590</v>
      </c>
      <c r="P9" s="471">
        <v>300.14925599999998</v>
      </c>
      <c r="Q9" s="337">
        <v>0</v>
      </c>
      <c r="R9" s="167">
        <f t="shared" ref="R9:R72" si="0" xml:space="preserve"> IF(C9&lt; DATE(2024, 11, 1), D9 * (2.31 / 100), D9 * (2.925 / 100))+E9*E$6+F9*F$6+G9*G$6+H9*H$6+I9*I$6+J9*J$6+K9*K$6+L9*L$6+M9*M$6+N9*N$6+O9*O$6+P9*P$6+Q9*Q$6</f>
        <v>155517.01979020002</v>
      </c>
      <c r="S9" s="473">
        <v>7.6075968364448814</v>
      </c>
      <c r="T9" s="473">
        <v>0.31432100000000002</v>
      </c>
      <c r="U9" s="473">
        <v>4.7333829821575709E-3</v>
      </c>
      <c r="V9" s="473">
        <v>1.2E-2</v>
      </c>
      <c r="W9" s="473">
        <v>0.31879000000000002</v>
      </c>
      <c r="X9" s="332">
        <v>9.6999999999999993</v>
      </c>
      <c r="Y9" s="473">
        <v>13.105333</v>
      </c>
      <c r="AB9" s="337">
        <v>0</v>
      </c>
      <c r="AC9" s="473">
        <v>0.14979597731256389</v>
      </c>
      <c r="AD9" s="473">
        <v>6.357126069313912E-2</v>
      </c>
      <c r="AE9" s="473">
        <v>3.5420004999999999</v>
      </c>
      <c r="AF9" s="473">
        <v>16.629024174069155</v>
      </c>
      <c r="AG9" s="172">
        <f t="shared" ref="AG9:AG72" si="1" xml:space="preserve"> IF(C9&lt; DATE(2024, 11, 1), S9 * (2.31 / 100), S9 * (2.925 / 100))+T9*T$6+U9*U$6+V9*V$6+W9*W$6+X9*X$6+Y9*Y$6+Z9*Z$6+AA9*AA$6+AB9*AB$6+AC9*AC$6+AD9*AD$6+AE9*AE$6+AF9*AF$6</f>
        <v>10.398832501382781</v>
      </c>
      <c r="AH9" s="253">
        <f t="shared" ref="AH9:AH24" si="2">IF($AK$1&gt;=C9,(YEAR(C9)*100+MONTH(C9)),0)</f>
        <v>202304</v>
      </c>
      <c r="AI9" t="s">
        <v>930</v>
      </c>
    </row>
    <row r="10" spans="1:48" ht="15.75" hidden="1">
      <c r="C10" s="235">
        <v>45018</v>
      </c>
      <c r="D10" s="469">
        <v>380303</v>
      </c>
      <c r="E10" s="469">
        <v>36572</v>
      </c>
      <c r="F10" s="469">
        <v>18448.240000000002</v>
      </c>
      <c r="G10" s="469">
        <v>2942</v>
      </c>
      <c r="H10" s="469">
        <v>2962</v>
      </c>
      <c r="I10" s="470">
        <v>196000</v>
      </c>
      <c r="J10" s="469">
        <v>187882.32</v>
      </c>
      <c r="K10" s="469">
        <v>44232.626120000001</v>
      </c>
      <c r="L10" s="469">
        <v>7772</v>
      </c>
      <c r="M10" s="469">
        <v>379372</v>
      </c>
      <c r="N10" s="469">
        <v>8626</v>
      </c>
      <c r="O10" s="469">
        <v>727</v>
      </c>
      <c r="P10" s="469">
        <v>276.05932200000001</v>
      </c>
      <c r="Q10" s="337">
        <v>0</v>
      </c>
      <c r="R10" s="167">
        <f t="shared" si="0"/>
        <v>153527.52872489995</v>
      </c>
      <c r="S10" s="472">
        <v>7.5166998445406561</v>
      </c>
      <c r="T10" s="472">
        <v>0.32505000000000001</v>
      </c>
      <c r="U10" s="472">
        <v>4.4753601191571775E-3</v>
      </c>
      <c r="V10" s="472">
        <v>1.2E-2</v>
      </c>
      <c r="W10" s="472">
        <v>0.31895999999999997</v>
      </c>
      <c r="X10" s="332">
        <v>9.6999999999999993</v>
      </c>
      <c r="Y10" s="472">
        <v>13.052263999999999</v>
      </c>
      <c r="AB10" s="337">
        <v>0</v>
      </c>
      <c r="AC10" s="472">
        <v>0.14781379991901389</v>
      </c>
      <c r="AD10" s="472">
        <v>5.7313243493502704E-2</v>
      </c>
      <c r="AE10" s="472">
        <v>3.5339005000000001</v>
      </c>
      <c r="AF10" s="472">
        <v>16.627749917173301</v>
      </c>
      <c r="AG10" s="172">
        <f t="shared" si="1"/>
        <v>10.379238184800254</v>
      </c>
      <c r="AH10" s="253">
        <f t="shared" si="2"/>
        <v>202304</v>
      </c>
      <c r="AI10" t="s">
        <v>930</v>
      </c>
    </row>
    <row r="11" spans="1:48" ht="15.75" hidden="1">
      <c r="C11" s="237">
        <v>45019</v>
      </c>
      <c r="D11" s="471">
        <v>375316</v>
      </c>
      <c r="E11" s="471">
        <v>34000</v>
      </c>
      <c r="F11" s="471">
        <v>18390.64</v>
      </c>
      <c r="G11" s="471">
        <v>2984</v>
      </c>
      <c r="H11" s="471">
        <v>2942</v>
      </c>
      <c r="I11" s="470">
        <v>178000</v>
      </c>
      <c r="J11" s="471">
        <v>186372</v>
      </c>
      <c r="K11" s="471">
        <v>41106.931900000003</v>
      </c>
      <c r="L11" s="471">
        <v>7764</v>
      </c>
      <c r="M11" s="471">
        <v>355756</v>
      </c>
      <c r="N11" s="471">
        <v>8710</v>
      </c>
      <c r="O11" s="471">
        <v>5831</v>
      </c>
      <c r="P11" s="471">
        <v>318.82996199999997</v>
      </c>
      <c r="Q11" s="337">
        <v>0</v>
      </c>
      <c r="R11" s="167">
        <f t="shared" si="0"/>
        <v>149027.9790579</v>
      </c>
      <c r="S11" s="473">
        <v>7.6158087142181596</v>
      </c>
      <c r="T11" s="473">
        <v>0.33502599999999999</v>
      </c>
      <c r="U11" s="473">
        <v>5.0623111622072389E-3</v>
      </c>
      <c r="V11" s="473">
        <v>1.2E-2</v>
      </c>
      <c r="W11" s="473">
        <v>0.31812999999999997</v>
      </c>
      <c r="X11" s="332">
        <v>9.6999999999999993</v>
      </c>
      <c r="Y11" s="473">
        <v>13.132928</v>
      </c>
      <c r="AB11" s="337">
        <v>0</v>
      </c>
      <c r="AC11" s="473">
        <v>0.15291082750242818</v>
      </c>
      <c r="AD11" s="473">
        <v>5.2669285028614149E-2</v>
      </c>
      <c r="AE11" s="473">
        <v>3.5447004999999998</v>
      </c>
      <c r="AF11" s="473">
        <v>16.597677454431157</v>
      </c>
      <c r="AG11" s="172">
        <f t="shared" si="1"/>
        <v>10.403225396401995</v>
      </c>
      <c r="AH11" s="253">
        <f t="shared" si="2"/>
        <v>202304</v>
      </c>
      <c r="AI11" t="s">
        <v>930</v>
      </c>
    </row>
    <row r="12" spans="1:48" ht="15.75" hidden="1">
      <c r="C12" s="235">
        <v>45020</v>
      </c>
      <c r="D12" s="469">
        <v>374946</v>
      </c>
      <c r="E12" s="469">
        <v>36547</v>
      </c>
      <c r="F12" s="469">
        <v>18333.990000000002</v>
      </c>
      <c r="G12" s="469">
        <v>2973</v>
      </c>
      <c r="H12" s="469">
        <v>2941</v>
      </c>
      <c r="I12" s="470">
        <v>178000</v>
      </c>
      <c r="J12" s="469">
        <v>186156.24000000002</v>
      </c>
      <c r="K12" s="469">
        <v>41865.338510000001</v>
      </c>
      <c r="L12" s="469">
        <v>7736</v>
      </c>
      <c r="M12" s="469">
        <v>332792</v>
      </c>
      <c r="N12" s="469">
        <v>9326</v>
      </c>
      <c r="O12" s="469">
        <v>892</v>
      </c>
      <c r="P12" s="469">
        <v>301.40721600000001</v>
      </c>
      <c r="Q12" s="337">
        <v>0</v>
      </c>
      <c r="R12" s="167">
        <f t="shared" si="0"/>
        <v>146953.47587469997</v>
      </c>
      <c r="S12" s="472">
        <v>7.9006759224911995</v>
      </c>
      <c r="T12" s="472">
        <v>0.33171099999999998</v>
      </c>
      <c r="U12" s="472">
        <v>5.1397010310154125E-3</v>
      </c>
      <c r="V12" s="472">
        <v>1.2E-2</v>
      </c>
      <c r="W12" s="472">
        <v>0.32147000000000003</v>
      </c>
      <c r="X12" s="332">
        <v>9.6999999999999993</v>
      </c>
      <c r="Y12" s="472">
        <v>13.122821</v>
      </c>
      <c r="AB12" s="337">
        <v>0</v>
      </c>
      <c r="AC12" s="472">
        <v>0.15630884589137101</v>
      </c>
      <c r="AD12" s="472">
        <v>5.2244532729996289E-2</v>
      </c>
      <c r="AE12" s="472">
        <v>3.5294004999999999</v>
      </c>
      <c r="AF12" s="472">
        <v>16.64267288126474</v>
      </c>
      <c r="AG12" s="172">
        <f t="shared" si="1"/>
        <v>10.410645235486314</v>
      </c>
      <c r="AH12" s="253">
        <f t="shared" si="2"/>
        <v>202304</v>
      </c>
      <c r="AI12" t="s">
        <v>930</v>
      </c>
    </row>
    <row r="13" spans="1:48" ht="15.75" hidden="1">
      <c r="C13" s="237">
        <v>45021</v>
      </c>
      <c r="D13" s="471">
        <v>388822</v>
      </c>
      <c r="E13" s="471">
        <v>37723</v>
      </c>
      <c r="F13" s="471">
        <v>18327.150000000001</v>
      </c>
      <c r="G13" s="471">
        <v>2975</v>
      </c>
      <c r="H13" s="471">
        <v>2946</v>
      </c>
      <c r="I13" s="470">
        <v>178000</v>
      </c>
      <c r="J13" s="471">
        <v>186148.80000000002</v>
      </c>
      <c r="K13" s="471">
        <v>41006.616710000002</v>
      </c>
      <c r="L13" s="471">
        <v>7727</v>
      </c>
      <c r="M13" s="471">
        <v>357782</v>
      </c>
      <c r="N13" s="471">
        <v>9008</v>
      </c>
      <c r="O13" s="471">
        <v>6383</v>
      </c>
      <c r="P13" s="471">
        <v>286.31169599999998</v>
      </c>
      <c r="Q13" s="337">
        <v>0</v>
      </c>
      <c r="R13" s="167">
        <f t="shared" si="0"/>
        <v>150528.18439070004</v>
      </c>
      <c r="S13" s="473">
        <v>11.262165613752909</v>
      </c>
      <c r="T13" s="473">
        <v>0.32277099999999997</v>
      </c>
      <c r="U13" s="473">
        <v>5.2402257416883048E-3</v>
      </c>
      <c r="V13" s="473">
        <v>1.2E-2</v>
      </c>
      <c r="W13" s="473">
        <v>0.32250999999999996</v>
      </c>
      <c r="X13" s="332">
        <v>9.6999999999999993</v>
      </c>
      <c r="Y13" s="473">
        <v>13.056084</v>
      </c>
      <c r="AB13" s="337">
        <v>0</v>
      </c>
      <c r="AC13" s="473">
        <v>0.15460983669689959</v>
      </c>
      <c r="AD13" s="473">
        <v>5.4396611042993426E-2</v>
      </c>
      <c r="AE13" s="473">
        <v>3.5234005000000002</v>
      </c>
      <c r="AF13" s="473">
        <v>16.602972699753924</v>
      </c>
      <c r="AG13" s="172">
        <f t="shared" si="1"/>
        <v>10.460865504108899</v>
      </c>
      <c r="AH13" s="253">
        <f t="shared" si="2"/>
        <v>202304</v>
      </c>
      <c r="AI13" t="s">
        <v>930</v>
      </c>
    </row>
    <row r="14" spans="1:48" ht="15.75" hidden="1">
      <c r="C14" s="235">
        <v>45022</v>
      </c>
      <c r="D14" s="469">
        <v>379904</v>
      </c>
      <c r="E14" s="469">
        <v>37182</v>
      </c>
      <c r="F14" s="469">
        <v>18321.77</v>
      </c>
      <c r="G14" s="469">
        <v>2997</v>
      </c>
      <c r="H14" s="469">
        <v>2930</v>
      </c>
      <c r="I14" s="470">
        <v>178000</v>
      </c>
      <c r="J14" s="469">
        <v>184549.2</v>
      </c>
      <c r="K14" s="469">
        <v>41144.272010000001</v>
      </c>
      <c r="L14" s="469">
        <v>7735</v>
      </c>
      <c r="M14" s="469">
        <v>367388</v>
      </c>
      <c r="N14" s="469">
        <v>9166</v>
      </c>
      <c r="O14" s="469">
        <v>6637</v>
      </c>
      <c r="P14" s="469">
        <v>285.99720599999995</v>
      </c>
      <c r="Q14" s="337">
        <v>0</v>
      </c>
      <c r="R14" s="167">
        <f t="shared" si="0"/>
        <v>150290.86889520002</v>
      </c>
      <c r="S14" s="472">
        <v>7.5645552701849397</v>
      </c>
      <c r="T14" s="472">
        <v>0.32341799999999998</v>
      </c>
      <c r="U14" s="472">
        <v>5.1101665878515177E-3</v>
      </c>
      <c r="V14" s="472">
        <v>1.2E-2</v>
      </c>
      <c r="W14" s="472">
        <v>0.32450999999999997</v>
      </c>
      <c r="X14" s="332">
        <v>9.6999999999999993</v>
      </c>
      <c r="Y14" s="472">
        <v>13.119286000000001</v>
      </c>
      <c r="AB14" s="337">
        <v>0</v>
      </c>
      <c r="AC14" s="472">
        <v>0.15829102328492101</v>
      </c>
      <c r="AD14" s="472">
        <v>5.816274809073841E-2</v>
      </c>
      <c r="AE14" s="472">
        <v>3.5217005000000001</v>
      </c>
      <c r="AF14" s="472">
        <v>16.578988353291969</v>
      </c>
      <c r="AG14" s="172">
        <f t="shared" si="1"/>
        <v>10.39103592021004</v>
      </c>
      <c r="AH14" s="253">
        <f t="shared" si="2"/>
        <v>202304</v>
      </c>
      <c r="AI14" t="s">
        <v>930</v>
      </c>
    </row>
    <row r="15" spans="1:48" ht="15.75" hidden="1">
      <c r="C15" s="237">
        <v>45023</v>
      </c>
      <c r="D15" s="471">
        <v>375699</v>
      </c>
      <c r="E15" s="471">
        <v>36472</v>
      </c>
      <c r="F15" s="471">
        <v>18275.02</v>
      </c>
      <c r="G15" s="471">
        <v>3002</v>
      </c>
      <c r="H15" s="471">
        <v>2945</v>
      </c>
      <c r="I15" s="470">
        <v>178000</v>
      </c>
      <c r="J15" s="471">
        <v>184348.32</v>
      </c>
      <c r="K15" s="471">
        <v>40750.873379999997</v>
      </c>
      <c r="L15" s="471">
        <v>7710</v>
      </c>
      <c r="M15" s="471">
        <v>355725</v>
      </c>
      <c r="N15" s="471">
        <v>9117</v>
      </c>
      <c r="O15" s="471">
        <v>723</v>
      </c>
      <c r="P15" s="471">
        <v>287.75835000000001</v>
      </c>
      <c r="Q15" s="337">
        <v>0</v>
      </c>
      <c r="R15" s="167">
        <f t="shared" si="0"/>
        <v>146993.4812025</v>
      </c>
      <c r="S15" s="473">
        <v>7.5430344870549684</v>
      </c>
      <c r="T15" s="473">
        <v>0.32562799999999997</v>
      </c>
      <c r="U15" s="473">
        <v>4.993388022551515E-3</v>
      </c>
      <c r="V15" s="473">
        <v>1.2E-2</v>
      </c>
      <c r="W15" s="473">
        <v>0.32108999999999999</v>
      </c>
      <c r="X15" s="332">
        <v>9.6999999999999993</v>
      </c>
      <c r="Y15" s="473">
        <v>13.131254999999999</v>
      </c>
      <c r="AB15" s="337">
        <v>0</v>
      </c>
      <c r="AC15" s="473">
        <v>0.15857419148399957</v>
      </c>
      <c r="AD15" s="473">
        <v>5.7313243493502704E-2</v>
      </c>
      <c r="AE15" s="473">
        <v>3.5163004999999998</v>
      </c>
      <c r="AF15" s="473">
        <v>16.563385785522744</v>
      </c>
      <c r="AG15" s="172">
        <f t="shared" si="1"/>
        <v>10.385354595266264</v>
      </c>
      <c r="AH15" s="253">
        <f t="shared" si="2"/>
        <v>202304</v>
      </c>
      <c r="AI15" t="s">
        <v>930</v>
      </c>
      <c r="AJ15" t="s">
        <v>649</v>
      </c>
    </row>
    <row r="16" spans="1:48" ht="15.75" hidden="1">
      <c r="C16" s="235">
        <v>45024</v>
      </c>
      <c r="D16" s="469">
        <v>375772</v>
      </c>
      <c r="E16" s="469">
        <v>37057</v>
      </c>
      <c r="F16" s="469">
        <v>18279.41</v>
      </c>
      <c r="G16" s="469">
        <v>3023</v>
      </c>
      <c r="H16" s="469">
        <v>2948</v>
      </c>
      <c r="I16" s="470">
        <v>178000</v>
      </c>
      <c r="J16" s="469">
        <v>183239.76</v>
      </c>
      <c r="K16" s="469">
        <v>40503.296849999999</v>
      </c>
      <c r="L16" s="469">
        <v>7814</v>
      </c>
      <c r="M16" s="469">
        <v>361455</v>
      </c>
      <c r="N16" s="469">
        <v>9011</v>
      </c>
      <c r="O16" s="469">
        <v>170</v>
      </c>
      <c r="P16" s="469">
        <v>281.90883600000001</v>
      </c>
      <c r="Q16" s="337">
        <v>0</v>
      </c>
      <c r="R16" s="167">
        <f t="shared" si="0"/>
        <v>146838.36848869998</v>
      </c>
      <c r="S16" s="472">
        <v>7.73643836702563</v>
      </c>
      <c r="T16" s="472">
        <v>0.32716200000000001</v>
      </c>
      <c r="U16" s="472">
        <v>4.7237269465689926E-3</v>
      </c>
      <c r="V16" s="472">
        <v>1.2E-2</v>
      </c>
      <c r="W16" s="472">
        <v>0.32502999999999999</v>
      </c>
      <c r="X16" s="332">
        <v>9.6999999999999993</v>
      </c>
      <c r="Y16" s="472">
        <v>13.219833000000001</v>
      </c>
      <c r="AB16" s="337">
        <v>0</v>
      </c>
      <c r="AC16" s="472">
        <v>0.15376033209966386</v>
      </c>
      <c r="AD16" s="472">
        <v>5.5104531540689852E-2</v>
      </c>
      <c r="AE16" s="472">
        <v>3.5203004999999998</v>
      </c>
      <c r="AF16" s="472">
        <v>16.570238455940444</v>
      </c>
      <c r="AG16" s="172">
        <f t="shared" si="1"/>
        <v>10.418569866798006</v>
      </c>
      <c r="AH16" s="253">
        <f t="shared" si="2"/>
        <v>202304</v>
      </c>
      <c r="AI16" t="s">
        <v>930</v>
      </c>
    </row>
    <row r="17" spans="3:36" ht="15.75" hidden="1">
      <c r="C17" s="237">
        <v>45025</v>
      </c>
      <c r="D17" s="471">
        <v>385551</v>
      </c>
      <c r="E17" s="471">
        <v>32610</v>
      </c>
      <c r="F17" s="471">
        <v>18301.41</v>
      </c>
      <c r="G17" s="471">
        <v>3007</v>
      </c>
      <c r="H17" s="471">
        <v>2891</v>
      </c>
      <c r="I17" s="470">
        <v>178000</v>
      </c>
      <c r="J17" s="471">
        <v>181736.88</v>
      </c>
      <c r="K17" s="471">
        <v>39227.058510000003</v>
      </c>
      <c r="L17" s="471">
        <v>7482</v>
      </c>
      <c r="M17" s="471">
        <v>338814</v>
      </c>
      <c r="N17" s="471">
        <v>9201</v>
      </c>
      <c r="O17" s="471">
        <v>3583</v>
      </c>
      <c r="P17" s="471">
        <v>284.23606199999995</v>
      </c>
      <c r="Q17" s="337">
        <v>0</v>
      </c>
      <c r="R17" s="167">
        <f t="shared" si="0"/>
        <v>145505.57725540001</v>
      </c>
      <c r="S17" s="473">
        <v>7.6441255341260161</v>
      </c>
      <c r="T17" s="473">
        <v>0.29770099999999999</v>
      </c>
      <c r="U17" s="473">
        <v>4.8602706521646789E-3</v>
      </c>
      <c r="V17" s="473">
        <v>1.2E-2</v>
      </c>
      <c r="W17" s="473">
        <v>0.32318999999999998</v>
      </c>
      <c r="X17" s="332">
        <v>9.6999999999999993</v>
      </c>
      <c r="Y17" s="473">
        <v>13.188036</v>
      </c>
      <c r="AB17" s="337">
        <v>0</v>
      </c>
      <c r="AC17" s="473">
        <v>0.15659201409044959</v>
      </c>
      <c r="AD17" s="473">
        <v>5.5982352957833423E-2</v>
      </c>
      <c r="AE17" s="473">
        <v>3.5186004999999998</v>
      </c>
      <c r="AF17" s="473">
        <v>16.538353716724195</v>
      </c>
      <c r="AG17" s="172">
        <f t="shared" si="1"/>
        <v>10.392948538871023</v>
      </c>
      <c r="AH17" s="253">
        <f t="shared" si="2"/>
        <v>202304</v>
      </c>
      <c r="AI17" t="s">
        <v>930</v>
      </c>
    </row>
    <row r="18" spans="3:36" ht="15.75" hidden="1">
      <c r="C18" s="235">
        <v>45026</v>
      </c>
      <c r="D18" s="469">
        <v>376807</v>
      </c>
      <c r="E18" s="469">
        <v>32692</v>
      </c>
      <c r="F18" s="469">
        <v>18214.28</v>
      </c>
      <c r="G18" s="469">
        <v>3005</v>
      </c>
      <c r="H18" s="469">
        <v>2832</v>
      </c>
      <c r="I18" s="470">
        <v>201000</v>
      </c>
      <c r="J18" s="469">
        <v>179995.92</v>
      </c>
      <c r="K18" s="469">
        <v>40196.792820000002</v>
      </c>
      <c r="L18" s="469">
        <v>7468</v>
      </c>
      <c r="M18" s="469">
        <v>351342</v>
      </c>
      <c r="N18" s="469">
        <v>9206</v>
      </c>
      <c r="O18" s="469">
        <v>791</v>
      </c>
      <c r="P18" s="469">
        <v>280.58797799999996</v>
      </c>
      <c r="Q18" s="337">
        <v>0</v>
      </c>
      <c r="R18" s="167">
        <f t="shared" si="0"/>
        <v>148974.37469510001</v>
      </c>
      <c r="S18" s="472">
        <v>7.4470404675673265</v>
      </c>
      <c r="T18" s="472">
        <v>0.281134</v>
      </c>
      <c r="U18" s="472">
        <v>5.0157583102787224E-3</v>
      </c>
      <c r="V18" s="472">
        <v>1.2E-2</v>
      </c>
      <c r="W18" s="472">
        <v>0.32341000000000003</v>
      </c>
      <c r="X18" s="332">
        <v>9.6999999999999993</v>
      </c>
      <c r="Y18" s="472">
        <v>13.190218999999999</v>
      </c>
      <c r="AB18" s="337">
        <v>0</v>
      </c>
      <c r="AC18" s="472">
        <v>0.16225537807202101</v>
      </c>
      <c r="AD18" s="472">
        <v>5.7058392114331995E-2</v>
      </c>
      <c r="AE18" s="472">
        <v>3.5167004999999998</v>
      </c>
      <c r="AF18" s="472">
        <v>16.485033144837701</v>
      </c>
      <c r="AG18" s="172">
        <f t="shared" si="1"/>
        <v>10.375953093674065</v>
      </c>
      <c r="AH18" s="253">
        <f t="shared" si="2"/>
        <v>202304</v>
      </c>
    </row>
    <row r="19" spans="3:36" ht="15.75" hidden="1">
      <c r="C19" s="237">
        <v>45027</v>
      </c>
      <c r="D19" s="471">
        <v>387775</v>
      </c>
      <c r="E19" s="471">
        <v>35516</v>
      </c>
      <c r="F19" s="471">
        <v>18194.29</v>
      </c>
      <c r="G19" s="471">
        <v>3002</v>
      </c>
      <c r="H19" s="471">
        <v>2953</v>
      </c>
      <c r="I19" s="470">
        <v>201000</v>
      </c>
      <c r="J19" s="471">
        <v>180963.12</v>
      </c>
      <c r="K19" s="471">
        <v>39571.608510000005</v>
      </c>
      <c r="L19" s="471">
        <v>7447</v>
      </c>
      <c r="M19" s="471">
        <v>383274</v>
      </c>
      <c r="N19" s="471">
        <v>9002</v>
      </c>
      <c r="O19" s="471">
        <v>3940</v>
      </c>
      <c r="P19" s="471">
        <v>282.22332599999999</v>
      </c>
      <c r="Q19" s="337">
        <v>0</v>
      </c>
      <c r="R19" s="167">
        <f t="shared" si="0"/>
        <v>152701.00807419998</v>
      </c>
      <c r="S19" s="473">
        <v>8.03801249904431</v>
      </c>
      <c r="T19" s="473">
        <v>0.31692500000000001</v>
      </c>
      <c r="U19" s="473">
        <v>5.0590547279178357E-3</v>
      </c>
      <c r="V19" s="473">
        <v>1.2E-2</v>
      </c>
      <c r="W19" s="473">
        <v>0.32341000000000003</v>
      </c>
      <c r="X19" s="332">
        <v>9.6999999999999993</v>
      </c>
      <c r="Y19" s="473">
        <v>13.216265</v>
      </c>
      <c r="AB19" s="337">
        <v>0</v>
      </c>
      <c r="AC19" s="473">
        <v>0.16168904167386386</v>
      </c>
      <c r="AD19" s="473">
        <v>5.6803540735161272E-2</v>
      </c>
      <c r="AE19" s="473">
        <v>3.5161004999999999</v>
      </c>
      <c r="AF19" s="473">
        <v>16.48149354234922</v>
      </c>
      <c r="AG19" s="172">
        <f t="shared" si="1"/>
        <v>10.405034415115022</v>
      </c>
      <c r="AH19" s="253">
        <f t="shared" si="2"/>
        <v>202304</v>
      </c>
    </row>
    <row r="20" spans="3:36" ht="15.75" hidden="1">
      <c r="C20" s="235">
        <v>45028</v>
      </c>
      <c r="D20" s="469">
        <v>376120</v>
      </c>
      <c r="E20" s="469">
        <v>40893</v>
      </c>
      <c r="F20" s="469">
        <v>18180.39</v>
      </c>
      <c r="G20" s="469">
        <v>2959</v>
      </c>
      <c r="H20" s="469">
        <v>2931</v>
      </c>
      <c r="I20" s="470">
        <v>201000</v>
      </c>
      <c r="J20" s="469">
        <v>181230.96000000002</v>
      </c>
      <c r="K20" s="469">
        <v>37261.981619999999</v>
      </c>
      <c r="L20" s="469">
        <v>7219</v>
      </c>
      <c r="M20" s="469">
        <v>391194</v>
      </c>
      <c r="N20" s="469">
        <v>9005</v>
      </c>
      <c r="O20" s="469">
        <v>4940</v>
      </c>
      <c r="P20" s="469">
        <v>290.77745399999998</v>
      </c>
      <c r="Q20" s="337">
        <v>0</v>
      </c>
      <c r="R20" s="167">
        <f t="shared" si="0"/>
        <v>153988.54360929999</v>
      </c>
      <c r="S20" s="472">
        <v>8.9520794456699324</v>
      </c>
      <c r="T20" s="472">
        <v>0.325075</v>
      </c>
      <c r="U20" s="472">
        <v>4.8890971748308774E-3</v>
      </c>
      <c r="V20" s="472">
        <v>1.2E-2</v>
      </c>
      <c r="W20" s="472">
        <v>0.32224000000000003</v>
      </c>
      <c r="X20" s="332">
        <v>9.6999999999999993</v>
      </c>
      <c r="Y20" s="472">
        <v>13.192922000000001</v>
      </c>
      <c r="AA20" s="337">
        <v>0</v>
      </c>
      <c r="AB20" s="337">
        <v>0</v>
      </c>
      <c r="AC20" s="472">
        <v>0.16225537807202101</v>
      </c>
      <c r="AD20" s="472">
        <v>5.7313243493502704E-2</v>
      </c>
      <c r="AE20" s="472">
        <v>3.5104004999999998</v>
      </c>
      <c r="AF20" s="472">
        <v>16.455385434394174</v>
      </c>
      <c r="AG20" s="172">
        <f t="shared" si="1"/>
        <v>10.414254511049689</v>
      </c>
      <c r="AH20" s="253">
        <f t="shared" si="2"/>
        <v>202304</v>
      </c>
    </row>
    <row r="21" spans="3:36" ht="15.75" hidden="1">
      <c r="C21" s="237">
        <v>45029</v>
      </c>
      <c r="D21" s="471">
        <v>379156</v>
      </c>
      <c r="E21" s="471">
        <v>38314</v>
      </c>
      <c r="F21" s="471">
        <v>18169.09</v>
      </c>
      <c r="G21" s="471">
        <v>2945</v>
      </c>
      <c r="H21" s="471">
        <v>2924</v>
      </c>
      <c r="I21" s="470">
        <v>201000</v>
      </c>
      <c r="J21" s="471">
        <v>182652</v>
      </c>
      <c r="K21" s="471">
        <v>39424.120999999999</v>
      </c>
      <c r="L21" s="471">
        <v>7574</v>
      </c>
      <c r="M21" s="471">
        <v>384570</v>
      </c>
      <c r="N21" s="471">
        <v>9256</v>
      </c>
      <c r="O21" s="471">
        <v>4787</v>
      </c>
      <c r="P21" s="471">
        <v>279.33001799999994</v>
      </c>
      <c r="Q21" s="337">
        <v>0</v>
      </c>
      <c r="R21" s="167">
        <f t="shared" si="0"/>
        <v>154032.3828581</v>
      </c>
      <c r="S21" s="473">
        <v>8.903091347229342</v>
      </c>
      <c r="T21" s="473">
        <v>0.32096799999999998</v>
      </c>
      <c r="U21" s="473">
        <v>5.1434671680631568E-3</v>
      </c>
      <c r="V21" s="473">
        <v>1.2E-2</v>
      </c>
      <c r="W21" s="473">
        <v>0.32294</v>
      </c>
      <c r="X21" s="332">
        <v>9.6999999999999993</v>
      </c>
      <c r="Y21" s="473">
        <v>13.417207000000001</v>
      </c>
      <c r="Z21" s="337">
        <v>0</v>
      </c>
      <c r="AA21" s="337">
        <v>0</v>
      </c>
      <c r="AB21" s="337">
        <v>0</v>
      </c>
      <c r="AC21" s="473">
        <v>0.15659201409044959</v>
      </c>
      <c r="AD21" s="473">
        <v>5.7822946251844122E-2</v>
      </c>
      <c r="AE21" s="473">
        <v>3.5060004999999999</v>
      </c>
      <c r="AF21" s="473">
        <v>16.319266481097106</v>
      </c>
      <c r="AG21" s="172">
        <f t="shared" si="1"/>
        <v>10.445666843975838</v>
      </c>
      <c r="AH21" s="253">
        <f t="shared" si="2"/>
        <v>202304</v>
      </c>
    </row>
    <row r="22" spans="3:36" ht="15.75" hidden="1">
      <c r="C22" s="235">
        <v>45030</v>
      </c>
      <c r="D22" s="469">
        <v>374152</v>
      </c>
      <c r="E22" s="469">
        <v>37818</v>
      </c>
      <c r="F22" s="469">
        <v>18077.919999999998</v>
      </c>
      <c r="G22" s="469">
        <v>2968</v>
      </c>
      <c r="H22" s="469">
        <v>2935</v>
      </c>
      <c r="I22" s="470">
        <v>201000</v>
      </c>
      <c r="J22" s="469">
        <v>183790.32</v>
      </c>
      <c r="K22" s="469">
        <v>40371.599999999999</v>
      </c>
      <c r="L22" s="469">
        <v>7490</v>
      </c>
      <c r="M22" s="469">
        <v>386720</v>
      </c>
      <c r="N22" s="469">
        <v>9241</v>
      </c>
      <c r="O22" s="469">
        <v>1184</v>
      </c>
      <c r="P22" s="469">
        <v>288.82761599999998</v>
      </c>
      <c r="Q22" s="337">
        <v>0</v>
      </c>
      <c r="R22" s="167">
        <f t="shared" si="0"/>
        <v>152901.54332719999</v>
      </c>
      <c r="S22" s="472">
        <v>9.2930139573605341</v>
      </c>
      <c r="T22" s="472">
        <v>0.31352099999999999</v>
      </c>
      <c r="U22" s="472">
        <v>5.2662205823637174E-3</v>
      </c>
      <c r="V22" s="472">
        <v>1.2E-2</v>
      </c>
      <c r="W22" s="472">
        <v>0.32214999999999999</v>
      </c>
      <c r="X22" s="332">
        <v>9.6999999999999993</v>
      </c>
      <c r="Y22" s="472">
        <v>13.096590000000001</v>
      </c>
      <c r="Z22" s="337">
        <v>0</v>
      </c>
      <c r="AA22" s="337">
        <v>0</v>
      </c>
      <c r="AB22" s="337">
        <v>0</v>
      </c>
      <c r="AC22" s="472">
        <v>0.15460983669689959</v>
      </c>
      <c r="AD22" s="472">
        <v>5.7313243493502704E-2</v>
      </c>
      <c r="AE22" s="472">
        <v>3.5077004999999999</v>
      </c>
      <c r="AF22" s="472">
        <v>15.814887284898358</v>
      </c>
      <c r="AG22" s="172">
        <f t="shared" si="1"/>
        <v>10.283197489689464</v>
      </c>
      <c r="AH22" s="253">
        <f t="shared" si="2"/>
        <v>202304</v>
      </c>
    </row>
    <row r="23" spans="3:36" ht="15.75" hidden="1">
      <c r="C23" s="237">
        <v>45031</v>
      </c>
      <c r="D23" s="471">
        <v>378840</v>
      </c>
      <c r="E23" s="471">
        <v>30220</v>
      </c>
      <c r="F23" s="471">
        <v>18073.16</v>
      </c>
      <c r="G23" s="471">
        <v>2977</v>
      </c>
      <c r="H23" s="471">
        <v>2911</v>
      </c>
      <c r="I23" s="470">
        <v>201000</v>
      </c>
      <c r="J23" s="471">
        <v>183314.16</v>
      </c>
      <c r="K23" s="471">
        <v>40856.03</v>
      </c>
      <c r="L23" s="471">
        <v>7296</v>
      </c>
      <c r="M23" s="471">
        <v>389040</v>
      </c>
      <c r="N23" s="471">
        <v>9225</v>
      </c>
      <c r="O23" s="471">
        <v>1055</v>
      </c>
      <c r="P23" s="471">
        <v>292.035414</v>
      </c>
      <c r="Q23" s="337">
        <v>0</v>
      </c>
      <c r="R23" s="167">
        <f t="shared" si="0"/>
        <v>150926.93103630003</v>
      </c>
      <c r="S23" s="473">
        <v>12.83120060484727</v>
      </c>
      <c r="T23" s="473">
        <v>0.24847900000000001</v>
      </c>
      <c r="U23" s="473">
        <v>5.0937145154850531E-3</v>
      </c>
      <c r="V23" s="473">
        <v>1.2E-2</v>
      </c>
      <c r="W23" s="473">
        <v>0.32449</v>
      </c>
      <c r="X23" s="332">
        <v>9.6999999999999993</v>
      </c>
      <c r="Y23" s="473">
        <v>12.977974</v>
      </c>
      <c r="Z23" s="337">
        <v>0</v>
      </c>
      <c r="AA23" s="337">
        <v>0</v>
      </c>
      <c r="AB23" s="337">
        <v>0</v>
      </c>
      <c r="AC23" s="473">
        <v>0.15262765930334957</v>
      </c>
      <c r="AD23" s="473">
        <v>5.7568094872673413E-2</v>
      </c>
      <c r="AE23" s="473">
        <v>3.5109005</v>
      </c>
      <c r="AF23" s="473">
        <v>15.551540859755285</v>
      </c>
      <c r="AG23" s="172">
        <f t="shared" si="1"/>
        <v>10.275302355763648</v>
      </c>
      <c r="AH23" s="253">
        <f t="shared" si="2"/>
        <v>202304</v>
      </c>
    </row>
    <row r="24" spans="3:36" ht="15.75" hidden="1">
      <c r="C24" s="235">
        <v>45032</v>
      </c>
      <c r="D24" s="469">
        <v>380001</v>
      </c>
      <c r="E24" s="469">
        <v>32428</v>
      </c>
      <c r="F24" s="469">
        <v>18120.66</v>
      </c>
      <c r="G24" s="469">
        <v>3012</v>
      </c>
      <c r="H24" s="469">
        <v>2961</v>
      </c>
      <c r="I24" s="470">
        <v>201000</v>
      </c>
      <c r="J24" s="469">
        <v>183857.28</v>
      </c>
      <c r="K24" s="469">
        <v>39736.39</v>
      </c>
      <c r="L24" s="469">
        <v>7411</v>
      </c>
      <c r="M24" s="469">
        <v>389081</v>
      </c>
      <c r="N24" s="469">
        <v>9255</v>
      </c>
      <c r="O24" s="469">
        <v>3729</v>
      </c>
      <c r="P24" s="469">
        <v>287.06647199999998</v>
      </c>
      <c r="Q24" s="337">
        <v>0</v>
      </c>
      <c r="R24" s="167">
        <f t="shared" si="0"/>
        <v>152612.00906239997</v>
      </c>
      <c r="S24" s="472">
        <v>12.22550382701821</v>
      </c>
      <c r="T24" s="472">
        <v>0.28074700000000002</v>
      </c>
      <c r="U24" s="472">
        <v>4.9318838897116496E-3</v>
      </c>
      <c r="V24" s="472">
        <v>1.2E-2</v>
      </c>
      <c r="W24" s="553">
        <v>0.32408999999999999</v>
      </c>
      <c r="X24" s="332">
        <v>9.6999999999999993</v>
      </c>
      <c r="Y24" s="472">
        <v>12.957357</v>
      </c>
      <c r="Z24" s="337">
        <v>0</v>
      </c>
      <c r="AA24" s="337">
        <v>0</v>
      </c>
      <c r="AB24" s="337">
        <v>0</v>
      </c>
      <c r="AC24" s="472">
        <v>0.15432666849782101</v>
      </c>
      <c r="AD24" s="472">
        <v>5.7058392114331995E-2</v>
      </c>
      <c r="AE24" s="472">
        <v>3.5010005</v>
      </c>
      <c r="AF24" s="472">
        <v>15.191407544167159</v>
      </c>
      <c r="AG24" s="172">
        <f t="shared" si="1"/>
        <v>10.198454765015828</v>
      </c>
      <c r="AH24" s="253">
        <f t="shared" si="2"/>
        <v>202304</v>
      </c>
      <c r="AI24" t="s">
        <v>933</v>
      </c>
    </row>
    <row r="25" spans="3:36" ht="15.75" hidden="1">
      <c r="C25" s="237">
        <v>45033</v>
      </c>
      <c r="D25" s="471">
        <v>348953</v>
      </c>
      <c r="E25" s="471">
        <v>31170</v>
      </c>
      <c r="F25" s="471">
        <v>18143.05</v>
      </c>
      <c r="G25" s="471">
        <v>3014</v>
      </c>
      <c r="H25" s="471">
        <v>2911</v>
      </c>
      <c r="I25" s="470">
        <v>191000</v>
      </c>
      <c r="J25" s="471">
        <v>184296</v>
      </c>
      <c r="K25" s="471">
        <v>38159.96</v>
      </c>
      <c r="L25" s="471">
        <v>7612</v>
      </c>
      <c r="M25" s="471">
        <v>394350</v>
      </c>
      <c r="N25" s="471">
        <v>9257</v>
      </c>
      <c r="O25" s="471">
        <v>3008</v>
      </c>
      <c r="P25" s="471">
        <v>300.65243999999996</v>
      </c>
      <c r="Q25" s="337">
        <v>0</v>
      </c>
      <c r="R25" s="167">
        <f t="shared" si="0"/>
        <v>149218.95789799999</v>
      </c>
      <c r="S25" s="473">
        <v>8.9410358859058654</v>
      </c>
      <c r="T25" s="473">
        <v>0.30410599999999999</v>
      </c>
      <c r="U25" s="473">
        <v>4.8350686824466865E-3</v>
      </c>
      <c r="V25" s="473">
        <v>1.2E-2</v>
      </c>
      <c r="W25" s="473">
        <v>0.32192999999999999</v>
      </c>
      <c r="X25" s="332">
        <v>9.6999999999999993</v>
      </c>
      <c r="Y25" s="473">
        <v>12.87</v>
      </c>
      <c r="Z25" s="337">
        <v>0</v>
      </c>
      <c r="AA25" s="337">
        <v>0</v>
      </c>
      <c r="AB25" s="337">
        <v>0</v>
      </c>
      <c r="AC25" s="473">
        <v>0.15489300489597815</v>
      </c>
      <c r="AD25" s="473">
        <v>5.8785718128711272E-2</v>
      </c>
      <c r="AE25" s="473">
        <v>3.4958005000000001</v>
      </c>
      <c r="AF25" s="473">
        <v>14.89671439938609</v>
      </c>
      <c r="AG25" s="172">
        <f t="shared" si="1"/>
        <v>10.052265287727817</v>
      </c>
      <c r="AH25" s="253">
        <f>IF($AK$1&gt;=C25,(YEAR(C25)*100+MONTH(C25)),0)</f>
        <v>202304</v>
      </c>
      <c r="AI25" t="s">
        <v>934</v>
      </c>
      <c r="AJ25" t="s">
        <v>935</v>
      </c>
    </row>
    <row r="26" spans="3:36" ht="15.75" hidden="1">
      <c r="C26" s="235">
        <v>45034</v>
      </c>
      <c r="D26" s="469">
        <v>340794</v>
      </c>
      <c r="E26" s="469">
        <v>34094</v>
      </c>
      <c r="F26" s="469">
        <v>18146.490000000002</v>
      </c>
      <c r="G26" s="469">
        <v>3003</v>
      </c>
      <c r="H26" s="469">
        <v>2901</v>
      </c>
      <c r="I26" s="470">
        <v>191000</v>
      </c>
      <c r="J26" s="469">
        <v>183850</v>
      </c>
      <c r="K26" s="469">
        <v>42996.19</v>
      </c>
      <c r="L26" s="469">
        <v>7604</v>
      </c>
      <c r="M26" s="469">
        <v>398605</v>
      </c>
      <c r="N26" s="469">
        <v>9237</v>
      </c>
      <c r="O26" s="469">
        <v>4505</v>
      </c>
      <c r="P26" s="469">
        <v>286.06010399999997</v>
      </c>
      <c r="Q26" s="337">
        <v>0</v>
      </c>
      <c r="R26" s="167">
        <f t="shared" si="0"/>
        <v>151658.27394680001</v>
      </c>
      <c r="S26" s="472">
        <v>9.5422019725496749</v>
      </c>
      <c r="T26" s="472">
        <v>0.29414699999999999</v>
      </c>
      <c r="U26" s="472">
        <v>4.8524268930502023E-3</v>
      </c>
      <c r="V26" s="472">
        <v>1.2E-2</v>
      </c>
      <c r="W26" s="553">
        <v>0.32100000000000001</v>
      </c>
      <c r="X26" s="332">
        <v>9.6999999999999993</v>
      </c>
      <c r="Y26" s="472">
        <v>12.84</v>
      </c>
      <c r="Z26" s="337">
        <v>0</v>
      </c>
      <c r="AA26" s="337">
        <v>0</v>
      </c>
      <c r="AB26" s="337">
        <v>0</v>
      </c>
      <c r="AC26" s="472">
        <v>0.1554593412941353</v>
      </c>
      <c r="AD26" s="472">
        <v>6.3684527972770549E-2</v>
      </c>
      <c r="AE26" s="472">
        <v>3.4969005000000002</v>
      </c>
      <c r="AF26" s="472">
        <v>9.3388872056112612E-2</v>
      </c>
      <c r="AG26" s="172">
        <f t="shared" si="1"/>
        <v>7.5406969263720356</v>
      </c>
      <c r="AH26" s="253">
        <f>IF($AK$1&gt;=C26,(YEAR(C26)*100+MONTH(C26)),0)</f>
        <v>202304</v>
      </c>
      <c r="AI26" t="s">
        <v>936</v>
      </c>
      <c r="AJ26" t="s">
        <v>937</v>
      </c>
    </row>
    <row r="27" spans="3:36" ht="15.75" hidden="1">
      <c r="C27" s="237">
        <v>45035</v>
      </c>
      <c r="D27" s="471">
        <v>359274</v>
      </c>
      <c r="E27" s="471">
        <v>32069</v>
      </c>
      <c r="F27" s="471">
        <v>18036.3</v>
      </c>
      <c r="G27" s="471">
        <v>3000</v>
      </c>
      <c r="H27" s="471">
        <v>2912</v>
      </c>
      <c r="I27" s="470">
        <v>191000</v>
      </c>
      <c r="J27" s="471">
        <v>185509</v>
      </c>
      <c r="K27" s="471">
        <v>44122.46</v>
      </c>
      <c r="L27" s="471">
        <v>7660</v>
      </c>
      <c r="M27" s="471">
        <v>395220</v>
      </c>
      <c r="N27" s="471">
        <v>9284</v>
      </c>
      <c r="O27" s="471">
        <v>1516</v>
      </c>
      <c r="P27" s="471">
        <v>272.66282999999999</v>
      </c>
      <c r="Q27" s="337">
        <v>0</v>
      </c>
      <c r="R27" s="167">
        <f t="shared" si="0"/>
        <v>150865.33767349995</v>
      </c>
      <c r="S27" s="473">
        <v>9.3824951082693584</v>
      </c>
      <c r="T27" s="473">
        <v>0.303174</v>
      </c>
      <c r="U27" s="473">
        <v>5.1875847734795992E-3</v>
      </c>
      <c r="V27" s="473">
        <v>1.2E-2</v>
      </c>
      <c r="W27" s="473">
        <v>0.32345000000000002</v>
      </c>
      <c r="X27" s="332">
        <v>9.6999999999999993</v>
      </c>
      <c r="Y27" s="473">
        <v>12.82</v>
      </c>
      <c r="Z27" s="337">
        <v>0</v>
      </c>
      <c r="AA27" s="337">
        <v>0</v>
      </c>
      <c r="AB27" s="337">
        <v>0</v>
      </c>
      <c r="AC27" s="473">
        <v>0.15800785508584242</v>
      </c>
      <c r="AD27" s="473">
        <v>5.816274809073841E-2</v>
      </c>
      <c r="AE27" s="473">
        <v>3.4783005</v>
      </c>
      <c r="AF27" s="473">
        <v>0</v>
      </c>
      <c r="AG27" s="172">
        <f t="shared" si="1"/>
        <v>7.5107551146381963</v>
      </c>
      <c r="AH27" s="253">
        <f>IF($AK$1&gt;=C27,(YEAR(C27)*100+MONTH(C27)),0)</f>
        <v>202304</v>
      </c>
      <c r="AI27" t="s">
        <v>938</v>
      </c>
      <c r="AJ27" t="s">
        <v>941</v>
      </c>
    </row>
    <row r="28" spans="3:36" ht="15.75" hidden="1">
      <c r="C28" s="235">
        <v>45036</v>
      </c>
      <c r="D28" s="469">
        <v>387563</v>
      </c>
      <c r="E28" s="469">
        <v>28403</v>
      </c>
      <c r="F28" s="469">
        <v>17901</v>
      </c>
      <c r="G28" s="469">
        <v>2961</v>
      </c>
      <c r="H28" s="469">
        <v>2921</v>
      </c>
      <c r="I28" s="470">
        <v>191000</v>
      </c>
      <c r="J28" s="469">
        <v>185554</v>
      </c>
      <c r="K28" s="469">
        <v>43210.18</v>
      </c>
      <c r="L28" s="469">
        <v>7694</v>
      </c>
      <c r="M28" s="469">
        <v>402178</v>
      </c>
      <c r="N28" s="469">
        <v>9209</v>
      </c>
      <c r="O28" s="469">
        <v>4559</v>
      </c>
      <c r="P28" s="469">
        <v>291.59512799999999</v>
      </c>
      <c r="Q28" s="337">
        <v>0</v>
      </c>
      <c r="R28" s="167">
        <f t="shared" si="0"/>
        <v>151711.4056076</v>
      </c>
      <c r="S28" s="472">
        <v>9.3578594749495263</v>
      </c>
      <c r="T28" s="472">
        <v>0.31399500000000002</v>
      </c>
      <c r="U28" s="472">
        <v>4.3789979810107404E-3</v>
      </c>
      <c r="V28" s="472">
        <v>1.2E-2</v>
      </c>
      <c r="W28" s="553">
        <v>0.32544999999999996</v>
      </c>
      <c r="X28" s="332">
        <v>9.6999999999999993</v>
      </c>
      <c r="Y28" s="472">
        <v>12.87</v>
      </c>
      <c r="Z28" s="337">
        <v>0</v>
      </c>
      <c r="AA28" s="337">
        <v>0</v>
      </c>
      <c r="AB28" s="337">
        <v>0</v>
      </c>
      <c r="AC28" s="472">
        <v>0.16621973285912098</v>
      </c>
      <c r="AD28" s="472">
        <v>5.0432256255893433E-2</v>
      </c>
      <c r="AE28" s="472">
        <v>3.4822004999999998</v>
      </c>
      <c r="AF28" s="472">
        <v>0</v>
      </c>
      <c r="AG28" s="172">
        <f t="shared" si="1"/>
        <v>7.5271078005749024</v>
      </c>
      <c r="AH28" s="253">
        <f>IF($AK$1&gt;=C28,(YEAR(C28)*100+MONTH(C28)),0)</f>
        <v>202304</v>
      </c>
      <c r="AI28" t="s">
        <v>939</v>
      </c>
      <c r="AJ28" t="s">
        <v>940</v>
      </c>
    </row>
    <row r="29" spans="3:36" ht="15.75" hidden="1">
      <c r="C29" s="237">
        <v>45037</v>
      </c>
      <c r="D29" s="471">
        <v>383639</v>
      </c>
      <c r="E29" s="471">
        <v>34126</v>
      </c>
      <c r="F29" s="471">
        <v>17841.54</v>
      </c>
      <c r="G29" s="471">
        <v>3021</v>
      </c>
      <c r="H29" s="471">
        <v>2869</v>
      </c>
      <c r="I29" s="470">
        <v>191000</v>
      </c>
      <c r="J29" s="471">
        <v>187012</v>
      </c>
      <c r="K29" s="471">
        <v>43007.29</v>
      </c>
      <c r="L29" s="471">
        <v>5535</v>
      </c>
      <c r="M29" s="471">
        <v>400455</v>
      </c>
      <c r="N29" s="471">
        <v>9264</v>
      </c>
      <c r="O29" s="471">
        <v>1116</v>
      </c>
      <c r="P29" s="471">
        <v>288.76471799999996</v>
      </c>
      <c r="Q29" s="337">
        <v>0</v>
      </c>
      <c r="R29" s="167">
        <f t="shared" si="0"/>
        <v>151468.50427310003</v>
      </c>
      <c r="S29" s="473">
        <v>9.4586673538214985</v>
      </c>
      <c r="T29" s="473">
        <v>0.322737</v>
      </c>
      <c r="U29" s="473">
        <v>4.1531713422455806E-3</v>
      </c>
      <c r="V29" s="473">
        <v>1.2E-2</v>
      </c>
      <c r="W29" s="473">
        <v>0.32594999999999996</v>
      </c>
      <c r="X29" s="332">
        <v>9.6999999999999993</v>
      </c>
      <c r="Y29" s="473">
        <v>13.05</v>
      </c>
      <c r="Z29" s="337">
        <v>0</v>
      </c>
      <c r="AA29" s="337">
        <v>0</v>
      </c>
      <c r="AB29" s="337">
        <v>0</v>
      </c>
      <c r="AC29" s="473">
        <v>0.17018408764622095</v>
      </c>
      <c r="AD29" s="473">
        <v>5.3348888706402711E-2</v>
      </c>
      <c r="AE29" s="473">
        <v>3.4848005</v>
      </c>
      <c r="AF29" s="473">
        <v>0</v>
      </c>
      <c r="AG29" s="172">
        <f t="shared" si="1"/>
        <v>7.5817114559364942</v>
      </c>
      <c r="AH29" s="253">
        <f t="shared" ref="AH29:AH92" si="3">IF($AK$1&gt;=C29,(YEAR(C29)*100+MONTH(C29)),0)</f>
        <v>202304</v>
      </c>
    </row>
    <row r="30" spans="3:36" ht="15.75" hidden="1">
      <c r="C30" s="235">
        <v>45038</v>
      </c>
      <c r="D30" s="469">
        <v>381841</v>
      </c>
      <c r="E30" s="469">
        <v>34981</v>
      </c>
      <c r="F30" s="469">
        <v>18072.82</v>
      </c>
      <c r="G30" s="469">
        <v>3014</v>
      </c>
      <c r="H30" s="469">
        <v>2853</v>
      </c>
      <c r="I30" s="470">
        <v>191000</v>
      </c>
      <c r="J30" s="469">
        <v>185754</v>
      </c>
      <c r="K30" s="469">
        <v>41727.74</v>
      </c>
      <c r="L30" s="469">
        <v>0</v>
      </c>
      <c r="M30" s="469">
        <v>396724</v>
      </c>
      <c r="N30" s="469">
        <v>9219</v>
      </c>
      <c r="O30" s="469">
        <v>7390</v>
      </c>
      <c r="P30" s="469">
        <v>287.31806399999999</v>
      </c>
      <c r="Q30" s="337">
        <v>0</v>
      </c>
      <c r="R30" s="167">
        <f t="shared" si="0"/>
        <v>152172.68922879998</v>
      </c>
      <c r="S30" s="472">
        <v>9.1896575646968532</v>
      </c>
      <c r="T30" s="472">
        <v>0.32657199999999997</v>
      </c>
      <c r="U30" s="472">
        <v>5.0153335579801043E-3</v>
      </c>
      <c r="V30" s="472">
        <v>1.2E-2</v>
      </c>
      <c r="W30" s="472">
        <v>0.32417000000000001</v>
      </c>
      <c r="X30" s="332">
        <v>9.6999999999999993</v>
      </c>
      <c r="Y30" s="472">
        <v>13.13</v>
      </c>
      <c r="Z30" s="337">
        <v>0</v>
      </c>
      <c r="AA30" s="337">
        <v>0</v>
      </c>
      <c r="AB30" s="337">
        <v>0</v>
      </c>
      <c r="AC30" s="472">
        <v>0.16621973285912098</v>
      </c>
      <c r="AD30" s="472">
        <v>5.7313243493502704E-2</v>
      </c>
      <c r="AE30" s="472">
        <v>3.4690004999999999</v>
      </c>
      <c r="AF30" s="472">
        <v>0</v>
      </c>
      <c r="AG30" s="172">
        <f t="shared" si="1"/>
        <v>7.590195956246987</v>
      </c>
      <c r="AH30" s="253">
        <f t="shared" si="3"/>
        <v>202304</v>
      </c>
      <c r="AJ30" t="s">
        <v>943</v>
      </c>
    </row>
    <row r="31" spans="3:36" ht="15.75" hidden="1">
      <c r="C31" s="237">
        <v>45039</v>
      </c>
      <c r="D31" s="471">
        <v>376890</v>
      </c>
      <c r="E31" s="471">
        <v>35371</v>
      </c>
      <c r="F31" s="471">
        <v>18064.16</v>
      </c>
      <c r="G31" s="471">
        <v>3023</v>
      </c>
      <c r="H31" s="471">
        <v>2835</v>
      </c>
      <c r="I31" s="470">
        <v>191000</v>
      </c>
      <c r="J31" s="471">
        <v>185330</v>
      </c>
      <c r="K31" s="471">
        <v>40350.78</v>
      </c>
      <c r="L31" s="471">
        <v>0</v>
      </c>
      <c r="M31" s="471">
        <v>392992</v>
      </c>
      <c r="N31" s="471">
        <v>9334</v>
      </c>
      <c r="O31" s="471">
        <v>1196</v>
      </c>
      <c r="P31" s="471">
        <v>273.54340200000001</v>
      </c>
      <c r="Q31" s="337">
        <v>0</v>
      </c>
      <c r="R31" s="167">
        <f t="shared" si="0"/>
        <v>149069.15053089999</v>
      </c>
      <c r="S31" s="473">
        <v>9.1709684635576654</v>
      </c>
      <c r="T31" s="473">
        <v>0.32800000000000001</v>
      </c>
      <c r="U31" s="473">
        <v>5.0654260123971029E-3</v>
      </c>
      <c r="V31" s="473">
        <v>1.2E-2</v>
      </c>
      <c r="W31" s="473">
        <v>0.32907999999999998</v>
      </c>
      <c r="X31" s="332">
        <v>9.6999999999999993</v>
      </c>
      <c r="Y31" s="473">
        <v>13.08</v>
      </c>
      <c r="Z31" s="337">
        <v>0</v>
      </c>
      <c r="AA31" s="337">
        <v>0</v>
      </c>
      <c r="AB31" s="337">
        <v>0</v>
      </c>
      <c r="AC31" s="473">
        <v>0.16197220987294242</v>
      </c>
      <c r="AD31" s="473">
        <v>5.7086708934239845E-2</v>
      </c>
      <c r="AE31" s="473">
        <v>3.4484005</v>
      </c>
      <c r="AF31" s="473">
        <v>0</v>
      </c>
      <c r="AG31" s="172">
        <f t="shared" si="1"/>
        <v>7.5722670213765797</v>
      </c>
      <c r="AH31" s="253">
        <f t="shared" si="3"/>
        <v>202304</v>
      </c>
      <c r="AI31" t="s">
        <v>942</v>
      </c>
      <c r="AJ31" t="s">
        <v>944</v>
      </c>
    </row>
    <row r="32" spans="3:36" ht="15.75" hidden="1">
      <c r="C32" s="235">
        <v>45040</v>
      </c>
      <c r="D32" s="469">
        <v>368428</v>
      </c>
      <c r="E32" s="469">
        <v>35704</v>
      </c>
      <c r="F32" s="469">
        <v>18014.95</v>
      </c>
      <c r="G32" s="469">
        <v>3001</v>
      </c>
      <c r="H32" s="469">
        <v>2908</v>
      </c>
      <c r="I32" s="470">
        <v>191000</v>
      </c>
      <c r="J32" s="469">
        <v>183820</v>
      </c>
      <c r="K32" s="470">
        <v>40350.78</v>
      </c>
      <c r="L32" s="469">
        <v>0</v>
      </c>
      <c r="M32" s="469">
        <v>388504</v>
      </c>
      <c r="N32" s="469">
        <v>9334</v>
      </c>
      <c r="O32" s="469">
        <v>0</v>
      </c>
      <c r="P32" s="469">
        <v>268.32286799999997</v>
      </c>
      <c r="Q32" s="337">
        <v>0</v>
      </c>
      <c r="R32" s="167">
        <f t="shared" si="0"/>
        <v>147938.27209059999</v>
      </c>
      <c r="S32" s="472">
        <v>8.3435509858500847</v>
      </c>
      <c r="T32" s="472">
        <v>0.33395999999999998</v>
      </c>
      <c r="U32" s="472">
        <v>4.8044865169462013E-3</v>
      </c>
      <c r="V32" s="472">
        <v>1.2E-2</v>
      </c>
      <c r="W32" s="472">
        <v>0.32629000000000002</v>
      </c>
      <c r="X32" s="332">
        <v>9.6999999999999993</v>
      </c>
      <c r="Y32" s="472">
        <v>13.1</v>
      </c>
      <c r="Z32" s="337"/>
      <c r="AA32" s="337">
        <v>0</v>
      </c>
      <c r="AB32" s="337">
        <v>0</v>
      </c>
      <c r="AC32" s="472">
        <v>0.15800785508584242</v>
      </c>
      <c r="AD32" s="472">
        <v>5.816274809073841E-2</v>
      </c>
      <c r="AE32" s="472">
        <v>3.4447005000000002</v>
      </c>
      <c r="AF32" s="472">
        <v>0</v>
      </c>
      <c r="AG32" s="172">
        <f t="shared" si="1"/>
        <v>7.5553195566307378</v>
      </c>
      <c r="AH32" s="253">
        <f t="shared" si="3"/>
        <v>202304</v>
      </c>
      <c r="AI32" t="s">
        <v>945</v>
      </c>
      <c r="AJ32" t="s">
        <v>946</v>
      </c>
    </row>
    <row r="33" spans="2:36" ht="15.75" hidden="1">
      <c r="C33" s="237">
        <v>45041</v>
      </c>
      <c r="D33" s="471">
        <v>371317</v>
      </c>
      <c r="E33" s="471">
        <v>36044</v>
      </c>
      <c r="F33" s="471">
        <v>18058.11</v>
      </c>
      <c r="G33" s="471">
        <v>3004</v>
      </c>
      <c r="H33" s="471">
        <v>2865</v>
      </c>
      <c r="I33" s="470">
        <v>191000</v>
      </c>
      <c r="J33" s="471">
        <v>184527</v>
      </c>
      <c r="K33" s="470">
        <v>40350.78</v>
      </c>
      <c r="L33" s="471">
        <v>0</v>
      </c>
      <c r="M33" s="471">
        <v>396577</v>
      </c>
      <c r="N33" s="471">
        <v>9302</v>
      </c>
      <c r="O33" s="471">
        <v>5673</v>
      </c>
      <c r="P33" s="471">
        <v>278.763936</v>
      </c>
      <c r="Q33" s="337">
        <v>0</v>
      </c>
      <c r="R33" s="167">
        <f t="shared" si="0"/>
        <v>150862.63847119999</v>
      </c>
      <c r="S33" s="473">
        <v>9.4045822277974924</v>
      </c>
      <c r="T33" s="473">
        <v>0.33421400000000001</v>
      </c>
      <c r="U33" s="473">
        <v>4.3546738327098905E-3</v>
      </c>
      <c r="V33" s="473">
        <v>1.2E-2</v>
      </c>
      <c r="W33" s="473">
        <v>0.3241</v>
      </c>
      <c r="X33" s="332">
        <v>9.6999999999999993</v>
      </c>
      <c r="Y33" s="473">
        <v>12.91</v>
      </c>
      <c r="Z33" s="337"/>
      <c r="AA33" s="337">
        <v>0</v>
      </c>
      <c r="AB33" s="337">
        <v>0</v>
      </c>
      <c r="AC33" s="473">
        <v>0.15999003247939245</v>
      </c>
      <c r="AD33" s="473">
        <v>5.3320571886494854E-2</v>
      </c>
      <c r="AE33" s="473">
        <v>3.4558005000000001</v>
      </c>
      <c r="AF33" s="473">
        <v>0</v>
      </c>
      <c r="AG33" s="172">
        <f t="shared" si="1"/>
        <v>7.5312692584723502</v>
      </c>
      <c r="AH33" s="253">
        <f t="shared" si="3"/>
        <v>202304</v>
      </c>
      <c r="AI33" t="s">
        <v>947</v>
      </c>
      <c r="AJ33" t="s">
        <v>948</v>
      </c>
    </row>
    <row r="34" spans="2:36" ht="15.75" hidden="1">
      <c r="C34" s="235">
        <v>45042</v>
      </c>
      <c r="D34" s="469">
        <v>378561</v>
      </c>
      <c r="E34" s="469">
        <v>36352</v>
      </c>
      <c r="F34" s="469">
        <v>18058.11</v>
      </c>
      <c r="G34" s="469">
        <v>2932</v>
      </c>
      <c r="H34" s="469">
        <v>2831</v>
      </c>
      <c r="I34" s="470">
        <v>191000</v>
      </c>
      <c r="J34" s="469">
        <v>184586</v>
      </c>
      <c r="K34" s="470">
        <v>40350.78</v>
      </c>
      <c r="L34" s="469">
        <v>4760</v>
      </c>
      <c r="M34" s="469">
        <v>406573</v>
      </c>
      <c r="N34" s="469">
        <v>9298</v>
      </c>
      <c r="O34" s="469">
        <v>848</v>
      </c>
      <c r="P34" s="469">
        <v>290.02267799999998</v>
      </c>
      <c r="Q34" s="337">
        <v>0</v>
      </c>
      <c r="R34" s="167">
        <f t="shared" si="0"/>
        <v>150681.29130510002</v>
      </c>
      <c r="S34" s="472">
        <v>11.330692317929923</v>
      </c>
      <c r="T34" s="472">
        <v>0.32701000000000002</v>
      </c>
      <c r="U34" s="472">
        <v>4.3546738327098905E-3</v>
      </c>
      <c r="V34" s="472">
        <v>1.2E-2</v>
      </c>
      <c r="W34" s="472">
        <v>0.32730000000000004</v>
      </c>
      <c r="X34" s="332">
        <v>9.6999999999999993</v>
      </c>
      <c r="Y34" s="472">
        <v>12.83</v>
      </c>
      <c r="Z34" s="337"/>
      <c r="AA34" s="337">
        <v>0</v>
      </c>
      <c r="AB34" s="337">
        <v>0</v>
      </c>
      <c r="AC34" s="472">
        <v>0.16537022826188527</v>
      </c>
      <c r="AD34" s="472">
        <v>5.4396611042993426E-2</v>
      </c>
      <c r="AE34" s="472">
        <v>3.4621005</v>
      </c>
      <c r="AF34" s="472">
        <v>0</v>
      </c>
      <c r="AG34" s="172">
        <f t="shared" si="1"/>
        <v>7.5600745587530831</v>
      </c>
      <c r="AH34" s="253">
        <f t="shared" si="3"/>
        <v>202304</v>
      </c>
    </row>
    <row r="35" spans="2:36" ht="15.75" hidden="1">
      <c r="C35" s="237">
        <v>45043</v>
      </c>
      <c r="D35" s="471">
        <v>382894</v>
      </c>
      <c r="E35" s="471">
        <v>36591</v>
      </c>
      <c r="F35" s="471">
        <v>17993</v>
      </c>
      <c r="G35" s="471">
        <v>2947</v>
      </c>
      <c r="H35" s="471">
        <v>2833</v>
      </c>
      <c r="I35" s="470">
        <v>191000</v>
      </c>
      <c r="J35" s="471">
        <v>185286</v>
      </c>
      <c r="K35" s="471">
        <v>40408.129999999997</v>
      </c>
      <c r="L35" s="471">
        <v>8671</v>
      </c>
      <c r="M35" s="471">
        <v>410435</v>
      </c>
      <c r="N35" s="471">
        <v>9403</v>
      </c>
      <c r="O35" s="471">
        <v>5449</v>
      </c>
      <c r="P35" s="471">
        <v>256.87543199999999</v>
      </c>
      <c r="Q35" s="337">
        <v>0</v>
      </c>
      <c r="R35" s="167">
        <f t="shared" si="0"/>
        <v>153941.21659439997</v>
      </c>
      <c r="S35" s="473">
        <v>11.622638731179938</v>
      </c>
      <c r="T35" s="473">
        <v>0.32260299999999997</v>
      </c>
      <c r="U35" s="473">
        <v>4.6264303533655954E-3</v>
      </c>
      <c r="V35" s="473">
        <v>1.2E-2</v>
      </c>
      <c r="W35" s="473">
        <v>0.32552999999999999</v>
      </c>
      <c r="X35" s="332">
        <v>9.6999999999999993</v>
      </c>
      <c r="Y35" s="473">
        <v>12.91</v>
      </c>
      <c r="Z35" s="337">
        <v>0</v>
      </c>
      <c r="AB35" s="337">
        <v>0</v>
      </c>
      <c r="AC35" s="473">
        <v>0.17584745162779239</v>
      </c>
      <c r="AD35" s="473">
        <v>5.7086708934239845E-2</v>
      </c>
      <c r="AE35" s="473">
        <v>3.4598005000000001</v>
      </c>
      <c r="AF35" s="473">
        <v>1.3713835881375178</v>
      </c>
      <c r="AG35" s="172">
        <f t="shared" si="1"/>
        <v>7.8191776041737437</v>
      </c>
      <c r="AH35" s="253">
        <f t="shared" si="3"/>
        <v>202304</v>
      </c>
      <c r="AI35" t="s">
        <v>949</v>
      </c>
      <c r="AJ35" t="s">
        <v>950</v>
      </c>
    </row>
    <row r="36" spans="2:36" ht="15.75" hidden="1">
      <c r="C36" s="235">
        <v>45044</v>
      </c>
      <c r="D36" s="469">
        <v>377486</v>
      </c>
      <c r="E36" s="469">
        <v>35667</v>
      </c>
      <c r="F36" s="469">
        <v>17948</v>
      </c>
      <c r="G36" s="469">
        <v>2957</v>
      </c>
      <c r="H36" s="469">
        <v>2818</v>
      </c>
      <c r="I36" s="470">
        <v>191000</v>
      </c>
      <c r="J36" s="469">
        <v>182950</v>
      </c>
      <c r="K36" s="469">
        <v>41050.79</v>
      </c>
      <c r="L36" s="469">
        <v>9128</v>
      </c>
      <c r="M36" s="469">
        <v>404636</v>
      </c>
      <c r="N36" s="469">
        <v>9383</v>
      </c>
      <c r="O36" s="469">
        <v>7131</v>
      </c>
      <c r="P36" s="469">
        <v>274.17238200000003</v>
      </c>
      <c r="Q36" s="337">
        <v>0</v>
      </c>
      <c r="R36" s="167">
        <f t="shared" si="0"/>
        <v>153635.29167189999</v>
      </c>
      <c r="S36" s="472">
        <v>13.694863612036913</v>
      </c>
      <c r="T36" s="472">
        <v>0.32181100000000001</v>
      </c>
      <c r="U36" s="472">
        <v>4.7228774419717564E-3</v>
      </c>
      <c r="V36" s="472">
        <v>1.2E-2</v>
      </c>
      <c r="W36" s="472">
        <v>0.32512000000000002</v>
      </c>
      <c r="X36" s="332">
        <v>9.6999999999999993</v>
      </c>
      <c r="Y36" s="472">
        <v>12.93</v>
      </c>
      <c r="Z36" s="337">
        <v>0</v>
      </c>
      <c r="AA36" s="337">
        <v>0</v>
      </c>
      <c r="AB36" s="337">
        <v>0</v>
      </c>
      <c r="AC36" s="472">
        <v>0.17698012442410666</v>
      </c>
      <c r="AD36" s="472">
        <v>5.7313243493502704E-2</v>
      </c>
      <c r="AE36" s="472">
        <v>3.4521004999999998</v>
      </c>
      <c r="AF36" s="472">
        <v>13.019167655395627</v>
      </c>
      <c r="AG36" s="172">
        <f t="shared" si="1"/>
        <v>9.8485631711487418</v>
      </c>
      <c r="AH36" s="253">
        <f t="shared" si="3"/>
        <v>202304</v>
      </c>
    </row>
    <row r="37" spans="2:36" ht="16.5" hidden="1" customHeight="1">
      <c r="C37" s="237">
        <v>45045</v>
      </c>
      <c r="D37" s="471">
        <v>332157</v>
      </c>
      <c r="E37" s="471">
        <v>34786</v>
      </c>
      <c r="F37" s="471">
        <v>17965.599999999999</v>
      </c>
      <c r="G37" s="471">
        <v>2965</v>
      </c>
      <c r="H37" s="471">
        <v>2873</v>
      </c>
      <c r="I37" s="470">
        <v>191000</v>
      </c>
      <c r="J37" s="471">
        <v>186079</v>
      </c>
      <c r="K37" s="471">
        <v>40622.410000000003</v>
      </c>
      <c r="L37" s="471">
        <v>9133</v>
      </c>
      <c r="M37" s="471">
        <v>364463</v>
      </c>
      <c r="N37" s="471">
        <v>9547</v>
      </c>
      <c r="O37" s="471">
        <v>1112</v>
      </c>
      <c r="P37" s="471">
        <v>275.61903599999999</v>
      </c>
      <c r="Q37" s="337">
        <v>0</v>
      </c>
      <c r="R37" s="167">
        <f t="shared" si="0"/>
        <v>149133.46401619999</v>
      </c>
      <c r="S37" s="473">
        <v>16.597054484393183</v>
      </c>
      <c r="T37" s="473">
        <v>0.31415999999999999</v>
      </c>
      <c r="U37" s="473">
        <v>4.4265702384559402E-3</v>
      </c>
      <c r="V37" s="473">
        <v>1.2E-2</v>
      </c>
      <c r="W37" s="473">
        <v>0.3281</v>
      </c>
      <c r="X37" s="332">
        <v>9.6999999999999993</v>
      </c>
      <c r="Y37" s="473">
        <v>13.14</v>
      </c>
      <c r="Z37" s="337">
        <v>0</v>
      </c>
      <c r="AA37" s="337">
        <v>0</v>
      </c>
      <c r="AB37" s="337">
        <v>0</v>
      </c>
      <c r="AC37" s="473">
        <v>0.17216626503977098</v>
      </c>
      <c r="AD37" s="473">
        <v>5.7568094872673413E-2</v>
      </c>
      <c r="AE37" s="473">
        <v>3.2738005000000001</v>
      </c>
      <c r="AF37" s="473">
        <v>15.827743121136523</v>
      </c>
      <c r="AG37" s="172">
        <f t="shared" si="1"/>
        <v>10.367705840453056</v>
      </c>
      <c r="AH37" s="253">
        <f t="shared" si="3"/>
        <v>202304</v>
      </c>
      <c r="AJ37" t="s">
        <v>951</v>
      </c>
    </row>
    <row r="38" spans="2:36" ht="14.25" hidden="1" customHeight="1">
      <c r="C38" s="235">
        <v>45046</v>
      </c>
      <c r="D38" s="469">
        <v>306532</v>
      </c>
      <c r="E38" s="469">
        <v>30107</v>
      </c>
      <c r="F38" s="469">
        <v>18155.93</v>
      </c>
      <c r="G38" s="469">
        <v>2968</v>
      </c>
      <c r="H38" s="469">
        <v>2815</v>
      </c>
      <c r="I38" s="470">
        <v>191000</v>
      </c>
      <c r="J38" s="469">
        <v>184929</v>
      </c>
      <c r="K38" s="469">
        <v>42203.88</v>
      </c>
      <c r="L38" s="469">
        <v>9137</v>
      </c>
      <c r="M38" s="469">
        <v>391358</v>
      </c>
      <c r="N38" s="469">
        <v>9386</v>
      </c>
      <c r="O38" s="469">
        <v>0</v>
      </c>
      <c r="P38" s="469">
        <v>251.71779599999999</v>
      </c>
      <c r="Q38" s="337">
        <v>0</v>
      </c>
      <c r="R38" s="167">
        <f t="shared" si="0"/>
        <v>148054.79445819999</v>
      </c>
      <c r="S38" s="472">
        <v>22.704992538517953</v>
      </c>
      <c r="T38" s="472">
        <v>0.29611999999999999</v>
      </c>
      <c r="U38" s="472">
        <v>4.5464636539458069E-3</v>
      </c>
      <c r="V38" s="472">
        <v>1.2E-2</v>
      </c>
      <c r="W38" s="472">
        <v>0.32282</v>
      </c>
      <c r="X38" s="332">
        <v>9.6999999999999993</v>
      </c>
      <c r="Y38" s="472">
        <v>13.07</v>
      </c>
      <c r="Z38" s="337">
        <v>0</v>
      </c>
      <c r="AA38" s="337">
        <v>0</v>
      </c>
      <c r="AB38" s="337">
        <v>0</v>
      </c>
      <c r="AC38" s="472">
        <v>0.16763557385451383</v>
      </c>
      <c r="AD38" s="472">
        <v>5.3858591464744136E-2</v>
      </c>
      <c r="AE38" s="472">
        <v>3.0876002499999999</v>
      </c>
      <c r="AF38" s="472">
        <v>15.864413402917197</v>
      </c>
      <c r="AG38" s="172">
        <f t="shared" si="1"/>
        <v>10.400993992903345</v>
      </c>
      <c r="AH38" s="253">
        <f t="shared" si="3"/>
        <v>202304</v>
      </c>
      <c r="AJ38" t="s">
        <v>954</v>
      </c>
    </row>
    <row r="39" spans="2:36" ht="17.25" hidden="1" customHeight="1">
      <c r="C39" s="237">
        <v>45047</v>
      </c>
      <c r="D39" s="471">
        <v>310020</v>
      </c>
      <c r="E39" s="471">
        <v>32478</v>
      </c>
      <c r="F39" s="471">
        <v>17943.810000000001</v>
      </c>
      <c r="G39" s="471">
        <v>2979</v>
      </c>
      <c r="H39" s="471">
        <v>2858</v>
      </c>
      <c r="I39" s="470">
        <v>191000</v>
      </c>
      <c r="J39" s="471">
        <v>186030</v>
      </c>
      <c r="K39" s="471">
        <v>42785.98</v>
      </c>
      <c r="L39" s="471">
        <v>8231</v>
      </c>
      <c r="M39" s="471">
        <v>363723</v>
      </c>
      <c r="N39" s="471">
        <v>9396</v>
      </c>
      <c r="O39" s="471">
        <v>4593</v>
      </c>
      <c r="P39" s="471">
        <v>254.98849199999998</v>
      </c>
      <c r="Q39" s="337">
        <v>0</v>
      </c>
      <c r="R39" s="167">
        <f t="shared" si="0"/>
        <v>149623.13757140003</v>
      </c>
      <c r="S39" s="473">
        <v>22.884804344932846</v>
      </c>
      <c r="T39" s="473">
        <v>0.29760300000000001</v>
      </c>
      <c r="U39" s="473">
        <v>4.7059156668469498E-3</v>
      </c>
      <c r="V39" s="473">
        <v>1.2E-2</v>
      </c>
      <c r="W39" s="473">
        <v>0.32362999999999997</v>
      </c>
      <c r="X39" s="332">
        <v>6.968</v>
      </c>
      <c r="Y39" s="473">
        <v>13.277967</v>
      </c>
      <c r="Z39" s="337">
        <v>0</v>
      </c>
      <c r="AA39" s="337">
        <v>0</v>
      </c>
      <c r="AB39" s="337">
        <v>0</v>
      </c>
      <c r="AC39" s="473">
        <v>0.17726329262318524</v>
      </c>
      <c r="AD39" s="473">
        <v>6.2183736517654124E-2</v>
      </c>
      <c r="AE39" s="473">
        <v>2.82670025</v>
      </c>
      <c r="AF39" s="473">
        <v>15.886925274743945</v>
      </c>
      <c r="AG39" s="172">
        <f t="shared" si="1"/>
        <v>9.804952217336826</v>
      </c>
      <c r="AH39" s="253">
        <f t="shared" si="3"/>
        <v>202305</v>
      </c>
      <c r="AI39" t="s">
        <v>953</v>
      </c>
      <c r="AJ39" t="s">
        <v>952</v>
      </c>
    </row>
    <row r="40" spans="2:36" ht="15.75" hidden="1">
      <c r="C40" s="235">
        <v>45048</v>
      </c>
      <c r="D40" s="469">
        <v>334226</v>
      </c>
      <c r="E40" s="469">
        <v>31906</v>
      </c>
      <c r="F40" s="469">
        <v>17954.97</v>
      </c>
      <c r="G40" s="469">
        <v>3003</v>
      </c>
      <c r="H40" s="469">
        <v>2874</v>
      </c>
      <c r="I40" s="470">
        <v>191000</v>
      </c>
      <c r="J40" s="469">
        <v>184609</v>
      </c>
      <c r="K40" s="469">
        <v>41619.08</v>
      </c>
      <c r="L40" s="469">
        <v>8592</v>
      </c>
      <c r="M40" s="469">
        <v>339081</v>
      </c>
      <c r="N40" s="469">
        <v>9541</v>
      </c>
      <c r="O40" s="469">
        <v>7478</v>
      </c>
      <c r="P40" s="469">
        <v>265.303764</v>
      </c>
      <c r="Q40" s="337">
        <v>0</v>
      </c>
      <c r="R40" s="167">
        <f t="shared" si="0"/>
        <v>149678.48629380003</v>
      </c>
      <c r="S40" s="472">
        <v>19.312071177158519</v>
      </c>
      <c r="T40" s="472">
        <v>0.29700799999999999</v>
      </c>
      <c r="U40" s="472">
        <v>4.5539392944014797E-3</v>
      </c>
      <c r="V40" s="472">
        <v>1.2E-2</v>
      </c>
      <c r="W40" s="472">
        <v>0.3211</v>
      </c>
      <c r="X40" s="332">
        <v>6.968</v>
      </c>
      <c r="Y40" s="472">
        <v>13.207454</v>
      </c>
      <c r="Z40" s="337">
        <v>0</v>
      </c>
      <c r="AA40" s="337"/>
      <c r="AB40" s="337">
        <v>0</v>
      </c>
      <c r="AC40" s="472">
        <v>0.17414844243332098</v>
      </c>
      <c r="AD40" s="472">
        <v>5.7313243493502704E-2</v>
      </c>
      <c r="AE40" s="472">
        <v>3.4328004999999999</v>
      </c>
      <c r="AF40" s="472">
        <v>15.861411820006964</v>
      </c>
      <c r="AG40" s="172">
        <f t="shared" si="1"/>
        <v>9.9674086621646936</v>
      </c>
      <c r="AH40" s="253">
        <f t="shared" si="3"/>
        <v>202305</v>
      </c>
      <c r="AI40" t="s">
        <v>955</v>
      </c>
      <c r="AJ40" t="s">
        <v>956</v>
      </c>
    </row>
    <row r="41" spans="2:36" ht="15.75" hidden="1">
      <c r="C41" s="237">
        <v>45049</v>
      </c>
      <c r="D41" s="471">
        <v>368826</v>
      </c>
      <c r="E41" s="471">
        <v>30987</v>
      </c>
      <c r="F41" s="471">
        <v>17903.18</v>
      </c>
      <c r="G41" s="471">
        <v>3014</v>
      </c>
      <c r="H41" s="471">
        <v>2893</v>
      </c>
      <c r="I41" s="470">
        <v>191000</v>
      </c>
      <c r="J41" s="471">
        <v>183813</v>
      </c>
      <c r="K41" s="471">
        <v>40938.11</v>
      </c>
      <c r="L41" s="471">
        <v>9125</v>
      </c>
      <c r="M41" s="471">
        <v>388587</v>
      </c>
      <c r="N41" s="471">
        <v>9479</v>
      </c>
      <c r="O41" s="471">
        <v>2872</v>
      </c>
      <c r="P41" s="471">
        <v>277.44307799999996</v>
      </c>
      <c r="Q41" s="337">
        <v>0</v>
      </c>
      <c r="R41" s="167">
        <f t="shared" si="0"/>
        <v>150105.72973510003</v>
      </c>
      <c r="S41" s="473">
        <v>13.519865665006355</v>
      </c>
      <c r="T41" s="473">
        <v>0.29601699999999997</v>
      </c>
      <c r="U41" s="473">
        <v>4.7870999895227766E-3</v>
      </c>
      <c r="V41" s="473">
        <v>1.2E-2</v>
      </c>
      <c r="W41" s="473">
        <v>0.31191000000000002</v>
      </c>
      <c r="X41" s="332">
        <v>6.968</v>
      </c>
      <c r="Y41" s="473">
        <v>13.070379999999998</v>
      </c>
      <c r="Z41" s="337">
        <v>0</v>
      </c>
      <c r="AB41" s="337">
        <v>0</v>
      </c>
      <c r="AC41" s="473">
        <v>0.17131676044253524</v>
      </c>
      <c r="AD41" s="473">
        <v>6.0484727323182698E-2</v>
      </c>
      <c r="AE41" s="473">
        <v>3.4295005000000001</v>
      </c>
      <c r="AF41" s="473">
        <v>15.805457783869038</v>
      </c>
      <c r="AG41" s="172">
        <f t="shared" si="1"/>
        <v>9.7786350396900019</v>
      </c>
      <c r="AH41" s="253">
        <f t="shared" si="3"/>
        <v>202305</v>
      </c>
      <c r="AJ41" t="s">
        <v>957</v>
      </c>
    </row>
    <row r="42" spans="2:36" ht="15.75" hidden="1">
      <c r="C42" s="235">
        <v>45050</v>
      </c>
      <c r="D42" s="469">
        <v>372581</v>
      </c>
      <c r="E42" s="469">
        <v>34208</v>
      </c>
      <c r="F42" s="469">
        <v>17884.68</v>
      </c>
      <c r="G42" s="469">
        <v>3000</v>
      </c>
      <c r="H42" s="469">
        <v>2932</v>
      </c>
      <c r="I42" s="470">
        <v>191000</v>
      </c>
      <c r="J42" s="469">
        <v>176715</v>
      </c>
      <c r="K42" s="469">
        <v>40830.29</v>
      </c>
      <c r="L42" s="469">
        <v>9188</v>
      </c>
      <c r="M42" s="469">
        <v>386985</v>
      </c>
      <c r="N42" s="469">
        <v>9251</v>
      </c>
      <c r="O42" s="469">
        <v>1063</v>
      </c>
      <c r="P42" s="469">
        <v>283.41838799999999</v>
      </c>
      <c r="Q42" s="337">
        <v>0</v>
      </c>
      <c r="R42" s="167">
        <f t="shared" si="0"/>
        <v>148413.88287459998</v>
      </c>
      <c r="S42" s="472">
        <v>13.989358539078628</v>
      </c>
      <c r="T42" s="472">
        <v>0.29619499999999999</v>
      </c>
      <c r="U42" s="472">
        <v>4.8630740173355568E-3</v>
      </c>
      <c r="V42" s="472">
        <v>1.2E-2</v>
      </c>
      <c r="W42" s="472">
        <v>0.32269999999999999</v>
      </c>
      <c r="X42" s="332">
        <v>6.968</v>
      </c>
      <c r="Y42" s="472">
        <v>13.299504000000001</v>
      </c>
      <c r="Z42" s="337">
        <v>0</v>
      </c>
      <c r="AA42" s="337">
        <v>0</v>
      </c>
      <c r="AB42" s="337">
        <v>0</v>
      </c>
      <c r="AC42" s="472">
        <v>0.17018408764622095</v>
      </c>
      <c r="AD42" s="472">
        <v>5.6661956635621985E-2</v>
      </c>
      <c r="AE42" s="472">
        <v>3.4216004999999998</v>
      </c>
      <c r="AF42" s="472">
        <v>15.818738372405825</v>
      </c>
      <c r="AG42" s="172">
        <f t="shared" si="1"/>
        <v>9.8569928046691757</v>
      </c>
      <c r="AH42" s="253">
        <f t="shared" si="3"/>
        <v>202305</v>
      </c>
    </row>
    <row r="43" spans="2:36" ht="15.75" hidden="1">
      <c r="B43" s="333"/>
      <c r="C43" s="237">
        <v>45051</v>
      </c>
      <c r="D43" s="471">
        <v>341055</v>
      </c>
      <c r="E43" s="471">
        <v>31579</v>
      </c>
      <c r="F43" s="471">
        <v>17857.099999999999</v>
      </c>
      <c r="G43" s="471">
        <v>3017</v>
      </c>
      <c r="H43" s="471">
        <v>2912</v>
      </c>
      <c r="I43" s="470">
        <v>191000</v>
      </c>
      <c r="J43" s="471">
        <v>185107</v>
      </c>
      <c r="K43" s="471">
        <v>42571.16</v>
      </c>
      <c r="L43" s="471">
        <v>8985</v>
      </c>
      <c r="M43" s="471">
        <v>381805</v>
      </c>
      <c r="N43" s="471">
        <v>9380</v>
      </c>
      <c r="O43" s="471">
        <v>5736</v>
      </c>
      <c r="P43" s="471">
        <v>277.56887399999999</v>
      </c>
      <c r="Q43" s="337">
        <v>0</v>
      </c>
      <c r="R43" s="167">
        <f t="shared" si="0"/>
        <v>151186.71774329999</v>
      </c>
      <c r="S43" s="473">
        <v>13.788025949533765</v>
      </c>
      <c r="T43" s="473">
        <v>0.29927300000000001</v>
      </c>
      <c r="U43" s="473">
        <v>4.9801640676545456E-3</v>
      </c>
      <c r="V43" s="473">
        <v>1.2E-2</v>
      </c>
      <c r="W43" s="473">
        <v>0.32189999999999996</v>
      </c>
      <c r="X43" s="332">
        <v>6.968</v>
      </c>
      <c r="Y43" s="473">
        <v>13.071717000000001</v>
      </c>
      <c r="Z43" s="337">
        <v>0</v>
      </c>
      <c r="AA43" s="337">
        <v>0</v>
      </c>
      <c r="AB43" s="337">
        <v>0</v>
      </c>
      <c r="AC43" s="473">
        <v>0.17075042404437812</v>
      </c>
      <c r="AD43" s="473">
        <v>5.6661956635621985E-2</v>
      </c>
      <c r="AE43" s="473">
        <v>3.4191004999999999</v>
      </c>
      <c r="AF43" s="473">
        <v>15.826044111942053</v>
      </c>
      <c r="AG43" s="172">
        <f t="shared" si="1"/>
        <v>9.7934096976108691</v>
      </c>
      <c r="AH43" s="253">
        <f t="shared" si="3"/>
        <v>202305</v>
      </c>
    </row>
    <row r="44" spans="2:36" ht="15.75" hidden="1">
      <c r="B44" s="333"/>
      <c r="C44" s="235">
        <v>45052</v>
      </c>
      <c r="D44" s="469">
        <v>368773</v>
      </c>
      <c r="E44" s="469">
        <v>30761</v>
      </c>
      <c r="F44" s="469">
        <v>17853.419999999998</v>
      </c>
      <c r="G44" s="469">
        <v>3021</v>
      </c>
      <c r="H44" s="469">
        <v>2940</v>
      </c>
      <c r="I44" s="470">
        <v>191000</v>
      </c>
      <c r="J44" s="469">
        <v>184824</v>
      </c>
      <c r="K44" s="469">
        <v>42376.3</v>
      </c>
      <c r="L44" s="469">
        <v>8799</v>
      </c>
      <c r="M44" s="469">
        <v>381794</v>
      </c>
      <c r="N44" s="469">
        <v>9221</v>
      </c>
      <c r="O44" s="469">
        <v>842</v>
      </c>
      <c r="P44" s="469">
        <v>277.44307799999996</v>
      </c>
      <c r="Q44" s="337">
        <v>0</v>
      </c>
      <c r="R44" s="167">
        <f t="shared" si="0"/>
        <v>149490.81343510002</v>
      </c>
      <c r="S44" s="472">
        <v>13.446241933245929</v>
      </c>
      <c r="T44" s="472">
        <v>0.30536999999999997</v>
      </c>
      <c r="U44" s="472">
        <v>4.6476396514765804E-3</v>
      </c>
      <c r="V44" s="472">
        <v>1.2E-2</v>
      </c>
      <c r="W44" s="472">
        <v>0.31580999999999998</v>
      </c>
      <c r="X44" s="332">
        <v>6.968</v>
      </c>
      <c r="Y44" s="472">
        <v>13.121687</v>
      </c>
      <c r="Z44" s="337">
        <v>0</v>
      </c>
      <c r="AA44" s="337">
        <v>0</v>
      </c>
      <c r="AB44" s="337">
        <v>0</v>
      </c>
      <c r="AC44" s="472">
        <v>0.17301576963700668</v>
      </c>
      <c r="AD44" s="472">
        <v>5.3094037327232002E-2</v>
      </c>
      <c r="AE44" s="472">
        <v>3.4103005</v>
      </c>
      <c r="AF44" s="472">
        <v>15.797217589275855</v>
      </c>
      <c r="AG44" s="172">
        <f t="shared" si="1"/>
        <v>9.783791621181873</v>
      </c>
      <c r="AH44" s="253">
        <f t="shared" si="3"/>
        <v>202305</v>
      </c>
    </row>
    <row r="45" spans="2:36" ht="15.75" hidden="1">
      <c r="B45" s="333"/>
      <c r="C45" s="237">
        <v>45053</v>
      </c>
      <c r="D45" s="471">
        <v>353914</v>
      </c>
      <c r="E45" s="471">
        <v>30654</v>
      </c>
      <c r="F45" s="471">
        <v>17836.98</v>
      </c>
      <c r="G45" s="471">
        <v>3036</v>
      </c>
      <c r="H45" s="471">
        <v>2913</v>
      </c>
      <c r="I45" s="470">
        <v>191000</v>
      </c>
      <c r="J45" s="471">
        <v>184073</v>
      </c>
      <c r="K45" s="471">
        <v>40849.82</v>
      </c>
      <c r="L45" s="471">
        <v>8984</v>
      </c>
      <c r="M45" s="471">
        <v>375770</v>
      </c>
      <c r="N45" s="471">
        <v>9168</v>
      </c>
      <c r="O45" s="471">
        <v>5567</v>
      </c>
      <c r="P45" s="471">
        <v>286.50038999999998</v>
      </c>
      <c r="Q45" s="337">
        <v>0</v>
      </c>
      <c r="R45" s="167">
        <f t="shared" si="0"/>
        <v>150202.70957549999</v>
      </c>
      <c r="S45" s="473">
        <v>12.751913509105274</v>
      </c>
      <c r="T45" s="473">
        <v>0.30693100000000001</v>
      </c>
      <c r="U45" s="473">
        <v>4.7196776413221692E-3</v>
      </c>
      <c r="V45" s="473">
        <v>1.2E-2</v>
      </c>
      <c r="W45" s="473">
        <v>0.31977</v>
      </c>
      <c r="X45" s="332">
        <v>6.968</v>
      </c>
      <c r="Y45" s="473">
        <v>13.204934999999999</v>
      </c>
      <c r="Z45" s="337">
        <v>0</v>
      </c>
      <c r="AA45" s="337">
        <v>0</v>
      </c>
      <c r="AB45" s="337">
        <v>0</v>
      </c>
      <c r="AC45" s="473">
        <v>0.17131676044253524</v>
      </c>
      <c r="AD45" s="473">
        <v>5.5784135218478421E-2</v>
      </c>
      <c r="AE45" s="473">
        <v>3.4034005000000001</v>
      </c>
      <c r="AF45" s="473">
        <v>15.749645331830653</v>
      </c>
      <c r="AG45" s="172">
        <f t="shared" si="1"/>
        <v>9.7835258755565384</v>
      </c>
      <c r="AH45" s="253">
        <f t="shared" si="3"/>
        <v>202305</v>
      </c>
      <c r="AI45" t="s">
        <v>966</v>
      </c>
      <c r="AJ45" t="s">
        <v>967</v>
      </c>
    </row>
    <row r="46" spans="2:36" ht="15.75" hidden="1">
      <c r="C46" s="235">
        <v>45054</v>
      </c>
      <c r="D46" s="469">
        <v>355948</v>
      </c>
      <c r="E46" s="469">
        <v>31447</v>
      </c>
      <c r="F46" s="469">
        <v>17864.07</v>
      </c>
      <c r="G46" s="469">
        <v>2972</v>
      </c>
      <c r="H46" s="469">
        <v>2890</v>
      </c>
      <c r="I46" s="470">
        <v>172000</v>
      </c>
      <c r="J46" s="469">
        <v>184378.08000000002</v>
      </c>
      <c r="K46" s="469">
        <v>41315.269999999997</v>
      </c>
      <c r="L46" s="469">
        <v>8942</v>
      </c>
      <c r="M46" s="469">
        <v>373453</v>
      </c>
      <c r="N46" s="469">
        <v>9233</v>
      </c>
      <c r="O46" s="469">
        <v>556</v>
      </c>
      <c r="P46" s="469">
        <v>269.392134</v>
      </c>
      <c r="Q46" s="337">
        <v>0</v>
      </c>
      <c r="R46" s="167">
        <f t="shared" si="0"/>
        <v>144715.69006030002</v>
      </c>
      <c r="S46" s="472">
        <v>7.488099856433724</v>
      </c>
      <c r="T46" s="472">
        <v>0.30408800000000002</v>
      </c>
      <c r="U46" s="472">
        <v>4.5238101980195214E-3</v>
      </c>
      <c r="V46" s="472">
        <v>1.2E-2</v>
      </c>
      <c r="W46" s="472">
        <v>0.32055</v>
      </c>
      <c r="X46" s="332">
        <v>6.968</v>
      </c>
      <c r="Y46" s="472">
        <v>13.338633</v>
      </c>
      <c r="Z46" s="337">
        <v>0</v>
      </c>
      <c r="AA46" s="337">
        <v>0</v>
      </c>
      <c r="AB46" s="337">
        <v>0</v>
      </c>
      <c r="AC46" s="472">
        <v>0.17216626503977098</v>
      </c>
      <c r="AD46" s="472">
        <v>5.9776806825486271E-2</v>
      </c>
      <c r="AE46" s="472">
        <v>3.4064005000000002</v>
      </c>
      <c r="AF46" s="472">
        <v>15.822362925354028</v>
      </c>
      <c r="AG46" s="172">
        <f t="shared" si="1"/>
        <v>9.7119710480169879</v>
      </c>
      <c r="AH46" s="253">
        <f t="shared" si="3"/>
        <v>202305</v>
      </c>
      <c r="AI46" t="s">
        <v>968</v>
      </c>
      <c r="AJ46" t="s">
        <v>2222</v>
      </c>
    </row>
    <row r="47" spans="2:36" ht="15.75" hidden="1">
      <c r="C47" s="237">
        <v>45055</v>
      </c>
      <c r="D47" s="471">
        <v>372007</v>
      </c>
      <c r="E47" s="471">
        <v>26472</v>
      </c>
      <c r="F47" s="471">
        <v>17916.599999999999</v>
      </c>
      <c r="G47" s="471">
        <v>2973</v>
      </c>
      <c r="H47" s="471">
        <v>2823</v>
      </c>
      <c r="I47" s="470">
        <v>172000</v>
      </c>
      <c r="J47" s="471">
        <v>184154.88</v>
      </c>
      <c r="K47" s="471">
        <v>41310.14</v>
      </c>
      <c r="L47" s="471">
        <v>8966</v>
      </c>
      <c r="M47" s="471">
        <v>359176</v>
      </c>
      <c r="N47" s="471">
        <v>9257</v>
      </c>
      <c r="O47" s="471">
        <v>4744</v>
      </c>
      <c r="P47" s="471">
        <v>272.22254399999997</v>
      </c>
      <c r="Q47" s="337">
        <v>0</v>
      </c>
      <c r="R47" s="167">
        <f t="shared" si="0"/>
        <v>144768.18314480002</v>
      </c>
      <c r="S47" s="473">
        <v>9.8737919336706792</v>
      </c>
      <c r="T47" s="473">
        <v>0.265179</v>
      </c>
      <c r="U47" s="473">
        <v>4.4053609403449552E-3</v>
      </c>
      <c r="V47" s="473">
        <v>1.2E-2</v>
      </c>
      <c r="W47" s="473">
        <v>0.32114999999999999</v>
      </c>
      <c r="X47" s="332">
        <v>6.968</v>
      </c>
      <c r="Y47" s="473">
        <v>13.188585</v>
      </c>
      <c r="Z47" s="337"/>
      <c r="AB47" s="337">
        <v>0</v>
      </c>
      <c r="AC47" s="473">
        <v>0.16848507845174954</v>
      </c>
      <c r="AD47" s="473">
        <v>6.0852845981984836E-2</v>
      </c>
      <c r="AE47" s="473">
        <v>3.3922005</v>
      </c>
      <c r="AF47" s="473">
        <v>15.777367498520446</v>
      </c>
      <c r="AG47" s="172">
        <f t="shared" si="1"/>
        <v>9.7040659730969967</v>
      </c>
      <c r="AH47" s="253">
        <f t="shared" si="3"/>
        <v>202305</v>
      </c>
      <c r="AJ47" t="s">
        <v>970</v>
      </c>
    </row>
    <row r="48" spans="2:36" ht="15.75" hidden="1">
      <c r="C48" s="235">
        <v>45056</v>
      </c>
      <c r="D48" s="469">
        <v>363857</v>
      </c>
      <c r="E48" s="469">
        <v>21050</v>
      </c>
      <c r="F48" s="469">
        <v>17836.05</v>
      </c>
      <c r="G48" s="469">
        <v>2996</v>
      </c>
      <c r="H48" s="469">
        <v>2881</v>
      </c>
      <c r="I48" s="470">
        <v>172000</v>
      </c>
      <c r="J48" s="469">
        <v>183611.76</v>
      </c>
      <c r="K48" s="469">
        <v>43756.86</v>
      </c>
      <c r="L48" s="469">
        <v>8928</v>
      </c>
      <c r="M48" s="469">
        <v>374665</v>
      </c>
      <c r="N48" s="469">
        <v>6214</v>
      </c>
      <c r="O48" s="469">
        <v>902</v>
      </c>
      <c r="P48" s="469">
        <v>262.66204799999997</v>
      </c>
      <c r="Q48" s="337">
        <v>0</v>
      </c>
      <c r="R48" s="167">
        <f t="shared" si="0"/>
        <v>142334.1222216</v>
      </c>
      <c r="S48" s="472">
        <v>7.4773394648687352</v>
      </c>
      <c r="T48" s="472">
        <v>0.214279</v>
      </c>
      <c r="U48" s="472">
        <v>4.6326883705652315E-3</v>
      </c>
      <c r="V48" s="472">
        <v>1.2E-2</v>
      </c>
      <c r="W48" s="472">
        <v>0.31874000000000002</v>
      </c>
      <c r="X48" s="332">
        <v>6.968</v>
      </c>
      <c r="Y48" s="472">
        <v>13.168697</v>
      </c>
      <c r="Z48" s="337"/>
      <c r="AA48" s="337"/>
      <c r="AB48" s="337">
        <v>0</v>
      </c>
      <c r="AC48" s="472">
        <v>0.13846924934942104</v>
      </c>
      <c r="AD48" s="472">
        <v>5.7086708934239845E-2</v>
      </c>
      <c r="AE48" s="472">
        <v>3.3925005000000001</v>
      </c>
      <c r="AF48" s="472">
        <v>15.768277799330022</v>
      </c>
      <c r="AG48" s="172">
        <f t="shared" si="1"/>
        <v>9.6213247253860992</v>
      </c>
      <c r="AH48" s="253">
        <f t="shared" si="3"/>
        <v>202305</v>
      </c>
      <c r="AI48" t="s">
        <v>969</v>
      </c>
      <c r="AJ48" t="s">
        <v>971</v>
      </c>
    </row>
    <row r="49" spans="3:36" ht="15.75" hidden="1">
      <c r="C49" s="237">
        <v>45057</v>
      </c>
      <c r="D49" s="471">
        <v>363959</v>
      </c>
      <c r="E49" s="471">
        <v>15252</v>
      </c>
      <c r="F49" s="471">
        <v>17790.150000000001</v>
      </c>
      <c r="G49" s="471">
        <v>2993</v>
      </c>
      <c r="H49" s="471">
        <v>2907</v>
      </c>
      <c r="I49" s="470">
        <v>172000</v>
      </c>
      <c r="J49" s="471">
        <v>181186.32</v>
      </c>
      <c r="K49" s="471">
        <v>43138.070000000007</v>
      </c>
      <c r="L49" s="471">
        <v>8903</v>
      </c>
      <c r="M49" s="471">
        <v>365425</v>
      </c>
      <c r="N49" s="471">
        <v>9018</v>
      </c>
      <c r="O49" s="471">
        <v>509</v>
      </c>
      <c r="P49" s="471">
        <v>272.09674799999999</v>
      </c>
      <c r="Q49" s="337">
        <v>0</v>
      </c>
      <c r="R49" s="167">
        <f t="shared" si="0"/>
        <v>139757.93088660002</v>
      </c>
      <c r="S49" s="473">
        <v>7.2391950094436552</v>
      </c>
      <c r="T49" s="473">
        <v>0.17521999999999999</v>
      </c>
      <c r="U49" s="473">
        <v>4.5967260092822535E-3</v>
      </c>
      <c r="V49" s="473">
        <v>1.2E-2</v>
      </c>
      <c r="W49" s="473">
        <v>0.31889000000000001</v>
      </c>
      <c r="X49" s="332">
        <v>6.968</v>
      </c>
      <c r="Y49" s="473">
        <v>13.165925999999999</v>
      </c>
      <c r="Z49" s="337"/>
      <c r="AA49" s="337"/>
      <c r="AB49" s="337">
        <v>0</v>
      </c>
      <c r="AC49" s="473">
        <v>0.16055636887754957</v>
      </c>
      <c r="AD49" s="473">
        <v>5.816274809073841E-2</v>
      </c>
      <c r="AE49" s="473">
        <v>3.3911004999999999</v>
      </c>
      <c r="AF49" s="473">
        <v>15.765332850059607</v>
      </c>
      <c r="AG49" s="172">
        <f t="shared" si="1"/>
        <v>9.6064113822476056</v>
      </c>
      <c r="AH49" s="253">
        <f t="shared" si="3"/>
        <v>202305</v>
      </c>
      <c r="AI49" t="s">
        <v>972</v>
      </c>
      <c r="AJ49" t="s">
        <v>971</v>
      </c>
    </row>
    <row r="50" spans="3:36" ht="15.75" hidden="1">
      <c r="C50" s="235">
        <v>45058</v>
      </c>
      <c r="D50" s="469">
        <v>366047</v>
      </c>
      <c r="E50" s="469">
        <v>16283</v>
      </c>
      <c r="F50" s="469">
        <v>17905.21</v>
      </c>
      <c r="G50" s="469">
        <v>2977</v>
      </c>
      <c r="H50" s="469">
        <v>2876</v>
      </c>
      <c r="I50" s="470">
        <v>172000</v>
      </c>
      <c r="J50" s="469">
        <v>181521.12</v>
      </c>
      <c r="K50" s="469">
        <v>43534.720000000001</v>
      </c>
      <c r="L50" s="469">
        <v>8994</v>
      </c>
      <c r="M50" s="469">
        <v>353045</v>
      </c>
      <c r="N50" s="469">
        <v>9004</v>
      </c>
      <c r="O50" s="469">
        <v>5092</v>
      </c>
      <c r="P50" s="469">
        <v>258.070494</v>
      </c>
      <c r="Q50" s="337">
        <v>0</v>
      </c>
      <c r="R50" s="167">
        <f t="shared" si="0"/>
        <v>141664.38812230001</v>
      </c>
      <c r="S50" s="472">
        <v>7.0942128915154266</v>
      </c>
      <c r="T50" s="472">
        <v>0.15842600000000001</v>
      </c>
      <c r="U50" s="472">
        <v>4.8043732496665693E-3</v>
      </c>
      <c r="V50" s="472">
        <v>1.2E-2</v>
      </c>
      <c r="W50" s="472">
        <v>0.31877</v>
      </c>
      <c r="X50" s="332">
        <v>6.968</v>
      </c>
      <c r="Y50" s="472">
        <v>13.191987999999998</v>
      </c>
      <c r="Z50" s="337"/>
      <c r="AA50" s="337"/>
      <c r="AB50" s="337">
        <v>0</v>
      </c>
      <c r="AC50" s="472">
        <v>0.18774051598909236</v>
      </c>
      <c r="AD50" s="472">
        <v>5.8417599469909133E-2</v>
      </c>
      <c r="AE50" s="472">
        <v>3.3744005000000001</v>
      </c>
      <c r="AF50" s="472">
        <v>3.3553449413417074</v>
      </c>
      <c r="AG50" s="172">
        <f t="shared" si="1"/>
        <v>7.4912086406436273</v>
      </c>
      <c r="AH50" s="253">
        <f t="shared" si="3"/>
        <v>202305</v>
      </c>
    </row>
    <row r="51" spans="3:36" ht="15.75" hidden="1">
      <c r="C51" s="237">
        <v>45059</v>
      </c>
      <c r="D51" s="471">
        <v>373640</v>
      </c>
      <c r="E51" s="471">
        <v>15239</v>
      </c>
      <c r="F51" s="471">
        <v>18270.82</v>
      </c>
      <c r="G51" s="471">
        <v>2933</v>
      </c>
      <c r="H51" s="471">
        <v>2790</v>
      </c>
      <c r="I51" s="470">
        <v>172000</v>
      </c>
      <c r="J51" s="471">
        <v>182227.92</v>
      </c>
      <c r="K51" s="471">
        <v>43017.17</v>
      </c>
      <c r="L51" s="471">
        <v>9198</v>
      </c>
      <c r="M51" s="471">
        <v>363755</v>
      </c>
      <c r="N51" s="471">
        <v>9315</v>
      </c>
      <c r="O51" s="471">
        <v>628</v>
      </c>
      <c r="P51" s="471">
        <v>264.61188599999997</v>
      </c>
      <c r="Q51" s="337">
        <v>0</v>
      </c>
      <c r="R51" s="167">
        <f t="shared" si="0"/>
        <v>140489.3825487</v>
      </c>
      <c r="S51" s="473">
        <v>7.3292424967506458</v>
      </c>
      <c r="T51" s="473">
        <v>0.15516099999999999</v>
      </c>
      <c r="U51" s="473">
        <v>4.6697267710047088E-3</v>
      </c>
      <c r="V51" s="473">
        <v>1.2E-2</v>
      </c>
      <c r="W51" s="473">
        <v>0.31886000000000003</v>
      </c>
      <c r="X51" s="332">
        <v>6.968</v>
      </c>
      <c r="Y51" s="473">
        <v>13.131442999999999</v>
      </c>
      <c r="Z51" s="337"/>
      <c r="AA51" s="337"/>
      <c r="AB51" s="337">
        <v>0</v>
      </c>
      <c r="AC51" s="473">
        <v>0.16933458304898527</v>
      </c>
      <c r="AD51" s="473">
        <v>5.3320571886494854E-2</v>
      </c>
      <c r="AE51" s="473">
        <v>3.3526004999999999</v>
      </c>
      <c r="AF51" s="473">
        <v>0</v>
      </c>
      <c r="AG51" s="172">
        <f t="shared" si="1"/>
        <v>6.8957282183046296</v>
      </c>
      <c r="AH51" s="253">
        <f t="shared" si="3"/>
        <v>202305</v>
      </c>
      <c r="AJ51" t="s">
        <v>973</v>
      </c>
    </row>
    <row r="52" spans="3:36" ht="15.75" hidden="1">
      <c r="C52" s="235">
        <v>45060</v>
      </c>
      <c r="D52" s="469">
        <v>370978</v>
      </c>
      <c r="E52" s="469">
        <v>15528</v>
      </c>
      <c r="F52" s="469">
        <v>18271.82</v>
      </c>
      <c r="G52" s="469">
        <v>2966</v>
      </c>
      <c r="H52" s="469">
        <v>2928</v>
      </c>
      <c r="I52" s="470">
        <v>172000</v>
      </c>
      <c r="J52" s="469">
        <v>181826.16</v>
      </c>
      <c r="K52" s="469">
        <v>42273.090000000004</v>
      </c>
      <c r="L52" s="469">
        <v>9066</v>
      </c>
      <c r="M52" s="469">
        <v>370747</v>
      </c>
      <c r="N52" s="469">
        <v>9311</v>
      </c>
      <c r="O52" s="469">
        <v>229</v>
      </c>
      <c r="P52" s="469">
        <v>253.66763399999996</v>
      </c>
      <c r="Q52" s="337">
        <v>0</v>
      </c>
      <c r="R52" s="167">
        <f t="shared" si="0"/>
        <v>140453.5128353</v>
      </c>
      <c r="S52" s="472">
        <v>9.5843940342123783</v>
      </c>
      <c r="T52" s="472">
        <v>0.177651</v>
      </c>
      <c r="U52" s="472">
        <v>4.7848063271102399E-3</v>
      </c>
      <c r="V52" s="472">
        <v>1.2E-2</v>
      </c>
      <c r="W52" s="472">
        <v>0.31773000000000001</v>
      </c>
      <c r="X52" s="332">
        <v>6.968</v>
      </c>
      <c r="Y52" s="472">
        <v>13.152818</v>
      </c>
      <c r="Z52" s="337"/>
      <c r="AA52" s="337"/>
      <c r="AB52" s="337">
        <v>0</v>
      </c>
      <c r="AC52" s="472">
        <v>0.16168904167386386</v>
      </c>
      <c r="AD52" s="472">
        <v>5.4396611042993426E-2</v>
      </c>
      <c r="AE52" s="472">
        <v>3.3552005</v>
      </c>
      <c r="AF52" s="472">
        <v>0</v>
      </c>
      <c r="AG52" s="172">
        <f t="shared" si="1"/>
        <v>6.9591619806206051</v>
      </c>
      <c r="AH52" s="253">
        <f t="shared" si="3"/>
        <v>202305</v>
      </c>
      <c r="AI52" t="s">
        <v>974</v>
      </c>
      <c r="AJ52" t="s">
        <v>978</v>
      </c>
    </row>
    <row r="53" spans="3:36" ht="15.75" hidden="1">
      <c r="C53" s="237">
        <v>45061</v>
      </c>
      <c r="D53" s="471">
        <v>370029</v>
      </c>
      <c r="E53" s="471">
        <v>14610</v>
      </c>
      <c r="F53" s="471">
        <v>18232.14</v>
      </c>
      <c r="G53" s="471">
        <v>2950</v>
      </c>
      <c r="H53" s="471">
        <v>2896</v>
      </c>
      <c r="I53" s="470">
        <v>189000</v>
      </c>
      <c r="J53" s="471">
        <v>181900.56</v>
      </c>
      <c r="K53" s="471">
        <v>43518.68</v>
      </c>
      <c r="L53" s="471">
        <v>8980</v>
      </c>
      <c r="M53" s="471">
        <v>384846</v>
      </c>
      <c r="N53" s="471">
        <v>9313</v>
      </c>
      <c r="O53" s="471">
        <v>7551</v>
      </c>
      <c r="P53" s="471">
        <v>270.27270599999997</v>
      </c>
      <c r="Q53" s="337">
        <v>0</v>
      </c>
      <c r="R53" s="167">
        <f t="shared" si="0"/>
        <v>147326.40121769998</v>
      </c>
      <c r="S53" s="473">
        <v>7.2762900435229527</v>
      </c>
      <c r="T53" s="473">
        <v>0.18330099999999999</v>
      </c>
      <c r="U53" s="473">
        <v>4.7680994033646035E-3</v>
      </c>
      <c r="V53" s="473">
        <v>1.2E-2</v>
      </c>
      <c r="W53" s="473">
        <v>0.32195999999999997</v>
      </c>
      <c r="X53" s="332">
        <v>6.968</v>
      </c>
      <c r="Y53" s="473">
        <v>13.197951</v>
      </c>
      <c r="Z53" s="337"/>
      <c r="AA53" s="337"/>
      <c r="AB53" s="337">
        <v>0</v>
      </c>
      <c r="AC53" s="473">
        <v>0.15942369608123527</v>
      </c>
      <c r="AD53" s="473">
        <v>5.7086708934239845E-2</v>
      </c>
      <c r="AE53" s="473">
        <v>3.3240004999999999</v>
      </c>
      <c r="AF53" s="473">
        <v>0</v>
      </c>
      <c r="AG53" s="172">
        <f t="shared" si="1"/>
        <v>6.9101100147303676</v>
      </c>
      <c r="AH53" s="253">
        <f t="shared" si="3"/>
        <v>202305</v>
      </c>
      <c r="AI53" t="s">
        <v>980</v>
      </c>
      <c r="AJ53" t="s">
        <v>979</v>
      </c>
    </row>
    <row r="54" spans="3:36" ht="15.75" hidden="1">
      <c r="C54" s="235">
        <v>45062</v>
      </c>
      <c r="D54" s="469">
        <v>376696</v>
      </c>
      <c r="E54" s="469">
        <v>14843</v>
      </c>
      <c r="F54" s="469">
        <v>18176.419999999998</v>
      </c>
      <c r="G54" s="469">
        <v>2945</v>
      </c>
      <c r="H54" s="469">
        <v>2403</v>
      </c>
      <c r="I54" s="470">
        <v>189000</v>
      </c>
      <c r="J54" s="469">
        <v>183195</v>
      </c>
      <c r="K54" s="469">
        <v>45157.1</v>
      </c>
      <c r="L54" s="469">
        <v>9161</v>
      </c>
      <c r="M54" s="469">
        <v>365927</v>
      </c>
      <c r="N54" s="469">
        <v>8391</v>
      </c>
      <c r="O54" s="469">
        <v>679</v>
      </c>
      <c r="P54" s="469">
        <v>253.03865399999995</v>
      </c>
      <c r="R54" s="167">
        <f t="shared" si="0"/>
        <v>144183.9052443</v>
      </c>
      <c r="S54" s="472">
        <v>7.2683613339487536</v>
      </c>
      <c r="T54" s="472">
        <v>0.172462</v>
      </c>
      <c r="U54" s="472">
        <v>4.91192053167661E-3</v>
      </c>
      <c r="V54" s="472">
        <v>1.2E-2</v>
      </c>
      <c r="W54" s="472">
        <v>0.17036999999999999</v>
      </c>
      <c r="X54" s="332">
        <v>6.968</v>
      </c>
      <c r="Y54" s="472">
        <v>13.250941000000001</v>
      </c>
      <c r="AB54" s="337">
        <v>0</v>
      </c>
      <c r="AC54" s="472">
        <v>0.17131676044253524</v>
      </c>
      <c r="AD54" s="472">
        <v>5.9238787247236982E-2</v>
      </c>
      <c r="AE54" s="472">
        <v>3.3328004999999998</v>
      </c>
      <c r="AF54" s="472">
        <v>0</v>
      </c>
      <c r="AG54" s="172">
        <f t="shared" si="1"/>
        <v>6.7754174747339642</v>
      </c>
      <c r="AH54" s="253">
        <f t="shared" si="3"/>
        <v>202305</v>
      </c>
      <c r="AI54" t="s">
        <v>981</v>
      </c>
      <c r="AJ54" t="s">
        <v>982</v>
      </c>
    </row>
    <row r="55" spans="3:36" ht="15.75" hidden="1">
      <c r="C55" s="237">
        <v>45063</v>
      </c>
      <c r="D55" s="471">
        <v>378160</v>
      </c>
      <c r="E55" s="471">
        <v>16195</v>
      </c>
      <c r="F55" s="471">
        <v>18256.27</v>
      </c>
      <c r="G55" s="471">
        <v>2925</v>
      </c>
      <c r="H55" s="471">
        <v>2297</v>
      </c>
      <c r="I55" s="470">
        <v>189000</v>
      </c>
      <c r="J55" s="471">
        <v>180858.96000000002</v>
      </c>
      <c r="K55" s="471">
        <v>43541.19</v>
      </c>
      <c r="L55" s="471">
        <v>9115</v>
      </c>
      <c r="M55" s="471">
        <v>357333</v>
      </c>
      <c r="N55" s="471">
        <v>9106</v>
      </c>
      <c r="O55" s="471">
        <v>6371</v>
      </c>
      <c r="P55" s="471">
        <v>257.00122799999997</v>
      </c>
      <c r="Q55" s="337">
        <v>0</v>
      </c>
      <c r="R55" s="167">
        <f t="shared" si="0"/>
        <v>145513.6864026</v>
      </c>
      <c r="S55" s="473">
        <v>7.4730919418825543</v>
      </c>
      <c r="T55" s="473">
        <v>0.16312499999999999</v>
      </c>
      <c r="U55" s="473">
        <v>4.341364927353198E-3</v>
      </c>
      <c r="V55" s="473">
        <v>1.2E-2</v>
      </c>
      <c r="W55" s="473">
        <v>0.13979</v>
      </c>
      <c r="X55" s="332">
        <v>6.968</v>
      </c>
      <c r="Y55" s="473">
        <v>13.288001</v>
      </c>
      <c r="Z55" s="473"/>
      <c r="AA55" s="473"/>
      <c r="AB55" s="473">
        <v>0</v>
      </c>
      <c r="AC55" s="473">
        <v>0.16112270527570671</v>
      </c>
      <c r="AD55" s="473">
        <v>5.7086708934239845E-2</v>
      </c>
      <c r="AE55" s="473">
        <v>3.3161005000000001</v>
      </c>
      <c r="AF55" s="473">
        <v>0.11315401235179684</v>
      </c>
      <c r="AG55" s="172">
        <f t="shared" si="1"/>
        <v>6.7660209775604629</v>
      </c>
      <c r="AH55" s="253">
        <f t="shared" si="3"/>
        <v>202305</v>
      </c>
      <c r="AI55" t="s">
        <v>987</v>
      </c>
      <c r="AJ55" t="s">
        <v>986</v>
      </c>
    </row>
    <row r="56" spans="3:36" ht="15.75" hidden="1">
      <c r="C56" s="235">
        <v>45064</v>
      </c>
      <c r="D56" s="469">
        <v>357814</v>
      </c>
      <c r="E56" s="469">
        <v>15805</v>
      </c>
      <c r="F56" s="469">
        <v>17999.189999999999</v>
      </c>
      <c r="G56" s="469">
        <v>2905</v>
      </c>
      <c r="H56" s="469">
        <v>2353</v>
      </c>
      <c r="I56" s="470">
        <v>189000</v>
      </c>
      <c r="J56" s="469">
        <v>178158.24000000002</v>
      </c>
      <c r="K56" s="469">
        <v>42465.54</v>
      </c>
      <c r="L56" s="469">
        <v>9079</v>
      </c>
      <c r="M56" s="469">
        <v>339887</v>
      </c>
      <c r="N56" s="469">
        <v>9120</v>
      </c>
      <c r="O56" s="469">
        <v>932</v>
      </c>
      <c r="P56" s="469">
        <v>259.831638</v>
      </c>
      <c r="Q56" s="337">
        <v>0</v>
      </c>
      <c r="R56" s="167">
        <f t="shared" si="0"/>
        <v>140954.02678709998</v>
      </c>
      <c r="S56" s="472">
        <v>7.7038740241315953</v>
      </c>
      <c r="T56" s="472">
        <v>0.18210000000000001</v>
      </c>
      <c r="U56" s="472">
        <v>4.1832154881678166E-3</v>
      </c>
      <c r="V56" s="472">
        <v>1.2E-2</v>
      </c>
      <c r="W56" s="472">
        <v>0.13883000000000001</v>
      </c>
      <c r="X56" s="332">
        <v>6.968</v>
      </c>
      <c r="Y56" s="472">
        <v>13.189328999999999</v>
      </c>
      <c r="Z56" s="472"/>
      <c r="AA56" s="472"/>
      <c r="AB56" s="472">
        <v>0</v>
      </c>
      <c r="AC56" s="472">
        <v>0.16423755546557098</v>
      </c>
      <c r="AD56" s="472">
        <v>5.3235621426771282E-2</v>
      </c>
      <c r="AE56" s="472">
        <v>3.3160004999999999</v>
      </c>
      <c r="AF56" s="472">
        <v>5.0885608542618224</v>
      </c>
      <c r="AG56" s="172">
        <f t="shared" si="1"/>
        <v>7.5943262306955877</v>
      </c>
      <c r="AH56" s="253">
        <f t="shared" si="3"/>
        <v>202305</v>
      </c>
      <c r="AI56" t="s">
        <v>989</v>
      </c>
      <c r="AJ56" t="s">
        <v>990</v>
      </c>
    </row>
    <row r="57" spans="3:36" ht="15.75" hidden="1">
      <c r="C57" s="237">
        <v>45065</v>
      </c>
      <c r="D57" s="471">
        <v>352867</v>
      </c>
      <c r="E57" s="471">
        <v>17667</v>
      </c>
      <c r="F57" s="471">
        <v>17470.240000000002</v>
      </c>
      <c r="G57" s="471">
        <v>2921</v>
      </c>
      <c r="H57" s="471">
        <v>2339</v>
      </c>
      <c r="I57" s="470">
        <v>189000</v>
      </c>
      <c r="J57" s="471">
        <v>180152.16</v>
      </c>
      <c r="K57" s="471">
        <v>42686.71</v>
      </c>
      <c r="L57" s="471">
        <v>9067</v>
      </c>
      <c r="M57" s="471">
        <v>348463</v>
      </c>
      <c r="N57" s="471">
        <v>8025</v>
      </c>
      <c r="O57" s="471">
        <v>6147</v>
      </c>
      <c r="P57" s="471">
        <v>249.32767199999998</v>
      </c>
      <c r="Q57" s="337">
        <v>0</v>
      </c>
      <c r="R57" s="167">
        <f t="shared" si="0"/>
        <v>143840.90600239998</v>
      </c>
      <c r="S57" s="473">
        <v>7.1610405864979727</v>
      </c>
      <c r="T57" s="473">
        <v>0.196133</v>
      </c>
      <c r="U57" s="473">
        <v>3.3776302786091908E-3</v>
      </c>
      <c r="V57" s="473">
        <v>1.2E-2</v>
      </c>
      <c r="W57" s="473">
        <v>0.13816999999999999</v>
      </c>
      <c r="X57" s="332">
        <v>6.968</v>
      </c>
      <c r="Y57" s="473">
        <v>13.02511</v>
      </c>
      <c r="Z57" s="473"/>
      <c r="AA57" s="473"/>
      <c r="AB57" s="473">
        <v>0</v>
      </c>
      <c r="AC57" s="473">
        <v>0.16197220987294242</v>
      </c>
      <c r="AD57" s="473">
        <v>5.6208887517096282E-2</v>
      </c>
      <c r="AE57" s="473">
        <v>3.2958004999999999</v>
      </c>
      <c r="AF57" s="473">
        <v>10.746629590510468</v>
      </c>
      <c r="AG57" s="172">
        <f t="shared" si="1"/>
        <v>8.4953766422227712</v>
      </c>
      <c r="AH57" s="253">
        <f t="shared" si="3"/>
        <v>202305</v>
      </c>
    </row>
    <row r="58" spans="3:36" ht="15.75" hidden="1">
      <c r="C58" s="235">
        <v>45066</v>
      </c>
      <c r="D58" s="469">
        <v>366490</v>
      </c>
      <c r="E58" s="469">
        <v>17717</v>
      </c>
      <c r="F58" s="469">
        <v>18208.12</v>
      </c>
      <c r="G58" s="469">
        <v>2917</v>
      </c>
      <c r="H58" s="469">
        <v>2578</v>
      </c>
      <c r="I58" s="470">
        <v>189000</v>
      </c>
      <c r="J58" s="469">
        <v>180263.76</v>
      </c>
      <c r="K58" s="469">
        <v>40922.789999999994</v>
      </c>
      <c r="L58" s="469">
        <v>9036</v>
      </c>
      <c r="M58" s="469">
        <v>371506</v>
      </c>
      <c r="N58" s="469">
        <v>9344</v>
      </c>
      <c r="O58" s="469">
        <v>978</v>
      </c>
      <c r="P58" s="469">
        <v>245.17640399999996</v>
      </c>
      <c r="Q58" s="337">
        <v>0</v>
      </c>
      <c r="R58" s="167">
        <f t="shared" si="0"/>
        <v>143500.51248179999</v>
      </c>
      <c r="S58" s="472">
        <v>7.377381090594004</v>
      </c>
      <c r="T58" s="472">
        <v>0.19365599999999999</v>
      </c>
      <c r="U58" s="472">
        <v>4.7645881176960302E-3</v>
      </c>
      <c r="V58" s="472">
        <v>1.2E-2</v>
      </c>
      <c r="W58" s="472">
        <v>0.21246999999999999</v>
      </c>
      <c r="X58" s="332">
        <v>6.968</v>
      </c>
      <c r="Y58" s="472">
        <v>13.077776</v>
      </c>
      <c r="Z58" s="472"/>
      <c r="AA58" s="472"/>
      <c r="AB58" s="472">
        <v>0</v>
      </c>
      <c r="AC58" s="472">
        <v>0.14469894972914962</v>
      </c>
      <c r="AD58" s="472">
        <v>5.9068886327789838E-2</v>
      </c>
      <c r="AE58" s="472">
        <v>3.2888004999999998</v>
      </c>
      <c r="AF58" s="472">
        <v>12.790112899160972</v>
      </c>
      <c r="AG58" s="172">
        <f t="shared" si="1"/>
        <v>8.9321554517337951</v>
      </c>
      <c r="AH58" s="253">
        <f t="shared" si="3"/>
        <v>202305</v>
      </c>
    </row>
    <row r="59" spans="3:36" ht="15.75" hidden="1">
      <c r="C59" s="237">
        <v>45067</v>
      </c>
      <c r="D59" s="471">
        <v>366091</v>
      </c>
      <c r="E59" s="471">
        <v>19371</v>
      </c>
      <c r="F59" s="471">
        <v>16968.66</v>
      </c>
      <c r="G59" s="471">
        <v>2943</v>
      </c>
      <c r="H59" s="471">
        <v>2856</v>
      </c>
      <c r="I59" s="470">
        <v>189000</v>
      </c>
      <c r="J59" s="471">
        <v>183433.2</v>
      </c>
      <c r="K59" s="471">
        <v>41459.58</v>
      </c>
      <c r="L59" s="471">
        <v>8995</v>
      </c>
      <c r="M59" s="471">
        <v>362185</v>
      </c>
      <c r="N59" s="471">
        <v>8143.0000000000009</v>
      </c>
      <c r="O59" s="471">
        <v>5566</v>
      </c>
      <c r="P59" s="471">
        <v>204.544296</v>
      </c>
      <c r="Q59" s="337">
        <v>0</v>
      </c>
      <c r="R59" s="167">
        <f t="shared" si="0"/>
        <v>145621.5797832</v>
      </c>
      <c r="S59" s="473">
        <v>7.2573177741846866</v>
      </c>
      <c r="T59" s="473">
        <v>0.201125</v>
      </c>
      <c r="U59" s="473">
        <v>4.504781295041442E-3</v>
      </c>
      <c r="V59" s="473">
        <v>1.2E-2</v>
      </c>
      <c r="W59" s="473">
        <v>0.33032</v>
      </c>
      <c r="X59" s="332">
        <v>6.968</v>
      </c>
      <c r="Y59" s="473">
        <v>12.982498</v>
      </c>
      <c r="Z59" s="473"/>
      <c r="AA59" s="473"/>
      <c r="AB59" s="473">
        <v>0</v>
      </c>
      <c r="AC59" s="473">
        <v>0.16168904167386386</v>
      </c>
      <c r="AD59" s="473">
        <v>5.402849238419128E-2</v>
      </c>
      <c r="AE59" s="473">
        <v>3.2708005</v>
      </c>
      <c r="AF59" s="473">
        <v>15.340410650522301</v>
      </c>
      <c r="AG59" s="172">
        <f t="shared" si="1"/>
        <v>9.4495978446167879</v>
      </c>
      <c r="AH59" s="253">
        <f t="shared" si="3"/>
        <v>202305</v>
      </c>
      <c r="AI59" t="s">
        <v>974</v>
      </c>
      <c r="AJ59" t="s">
        <v>971</v>
      </c>
    </row>
    <row r="60" spans="3:36" ht="15.75" hidden="1">
      <c r="C60" s="235">
        <v>45068</v>
      </c>
      <c r="D60" s="469">
        <v>372237</v>
      </c>
      <c r="E60" s="469">
        <v>18723</v>
      </c>
      <c r="F60" s="469">
        <v>12756.49</v>
      </c>
      <c r="G60" s="469">
        <v>2956</v>
      </c>
      <c r="H60" s="469">
        <v>2682</v>
      </c>
      <c r="I60" s="470">
        <v>189000</v>
      </c>
      <c r="J60" s="469">
        <v>183812.64</v>
      </c>
      <c r="K60" s="469">
        <v>44072.68</v>
      </c>
      <c r="L60" s="469">
        <v>8381</v>
      </c>
      <c r="M60" s="469">
        <v>354144</v>
      </c>
      <c r="N60" s="469">
        <v>9064</v>
      </c>
      <c r="O60" s="469">
        <v>975</v>
      </c>
      <c r="P60" s="469">
        <v>237.12546</v>
      </c>
      <c r="Q60" s="337">
        <v>0</v>
      </c>
      <c r="R60" s="167">
        <f t="shared" si="0"/>
        <v>141034.30680700002</v>
      </c>
      <c r="S60" s="472">
        <v>7.1856762198178119</v>
      </c>
      <c r="T60" s="472">
        <v>0.23827899999999999</v>
      </c>
      <c r="U60" s="472">
        <v>4.0022993257765177E-3</v>
      </c>
      <c r="V60" s="472">
        <v>1.2E-2</v>
      </c>
      <c r="W60" s="472">
        <v>0.33057999999999998</v>
      </c>
      <c r="X60" s="332">
        <v>6.968</v>
      </c>
      <c r="Y60" s="472">
        <v>13.018044</v>
      </c>
      <c r="Z60" s="472"/>
      <c r="AA60" s="472"/>
      <c r="AB60" s="472">
        <v>0</v>
      </c>
      <c r="AC60" s="472">
        <v>0.16565339646096383</v>
      </c>
      <c r="AD60" s="472">
        <v>5.9918390925025558E-2</v>
      </c>
      <c r="AE60" s="472">
        <v>3.2649005</v>
      </c>
      <c r="AF60" s="472">
        <v>15.404718148533048</v>
      </c>
      <c r="AG60" s="172">
        <f t="shared" si="1"/>
        <v>9.4781940404371685</v>
      </c>
      <c r="AH60" s="253">
        <f t="shared" si="3"/>
        <v>202305</v>
      </c>
      <c r="AJ60" t="s">
        <v>993</v>
      </c>
    </row>
    <row r="61" spans="3:36" ht="15.75" hidden="1">
      <c r="C61" s="237">
        <v>45069</v>
      </c>
      <c r="D61" s="471">
        <v>411275</v>
      </c>
      <c r="E61" s="471">
        <v>18566</v>
      </c>
      <c r="F61" s="471">
        <v>12736.39</v>
      </c>
      <c r="G61" s="471">
        <v>2961</v>
      </c>
      <c r="H61" s="471">
        <v>2555</v>
      </c>
      <c r="I61" s="470">
        <v>189000</v>
      </c>
      <c r="J61" s="471">
        <v>184132.56</v>
      </c>
      <c r="K61" s="471">
        <v>45474.579999999994</v>
      </c>
      <c r="L61" s="471">
        <v>7627</v>
      </c>
      <c r="M61" s="471">
        <v>350514</v>
      </c>
      <c r="N61" s="471">
        <v>7104</v>
      </c>
      <c r="O61" s="471">
        <v>5534</v>
      </c>
      <c r="P61" s="471">
        <v>253.73053200000001</v>
      </c>
      <c r="Q61" s="337">
        <v>0</v>
      </c>
      <c r="R61" s="167">
        <f t="shared" si="0"/>
        <v>143477.14858940002</v>
      </c>
      <c r="S61" s="473">
        <v>8.760657743092823</v>
      </c>
      <c r="T61" s="473">
        <v>0.239649</v>
      </c>
      <c r="U61" s="473">
        <v>4.0216963474134001E-3</v>
      </c>
      <c r="V61" s="473">
        <v>1.2E-2</v>
      </c>
      <c r="W61" s="473">
        <v>0.32407999999999998</v>
      </c>
      <c r="X61" s="332">
        <v>6.968</v>
      </c>
      <c r="Y61" s="473">
        <v>12.96083</v>
      </c>
      <c r="Z61" s="473"/>
      <c r="AA61" s="473"/>
      <c r="AB61" s="473">
        <v>0</v>
      </c>
      <c r="AC61" s="473">
        <v>0.15036231371072101</v>
      </c>
      <c r="AD61" s="473">
        <v>5.9918390925025558E-2</v>
      </c>
      <c r="AE61" s="473">
        <v>3.2735004999999999</v>
      </c>
      <c r="AF61" s="473">
        <v>15.463503866661759</v>
      </c>
      <c r="AG61" s="172">
        <f t="shared" si="1"/>
        <v>9.5057655045193226</v>
      </c>
      <c r="AH61" s="253">
        <f t="shared" si="3"/>
        <v>202305</v>
      </c>
      <c r="AI61" t="s">
        <v>994</v>
      </c>
      <c r="AJ61" t="s">
        <v>995</v>
      </c>
    </row>
    <row r="62" spans="3:36" ht="15.75" hidden="1">
      <c r="C62" s="235">
        <v>45070</v>
      </c>
      <c r="D62" s="469">
        <v>408062</v>
      </c>
      <c r="E62" s="469">
        <v>20057</v>
      </c>
      <c r="F62" s="469">
        <v>13205.95</v>
      </c>
      <c r="G62" s="469">
        <v>2952</v>
      </c>
      <c r="H62" s="469">
        <v>2658</v>
      </c>
      <c r="I62" s="470">
        <v>189000</v>
      </c>
      <c r="J62" s="469">
        <v>184117.68000000002</v>
      </c>
      <c r="K62" s="469">
        <v>46075.09</v>
      </c>
      <c r="L62" s="469">
        <v>7614</v>
      </c>
      <c r="M62" s="469">
        <v>348882</v>
      </c>
      <c r="N62" s="469">
        <v>7537</v>
      </c>
      <c r="O62" s="469">
        <v>1063</v>
      </c>
      <c r="P62" s="469">
        <v>251.15171399999997</v>
      </c>
      <c r="Q62" s="337">
        <v>0</v>
      </c>
      <c r="R62" s="167">
        <f t="shared" si="0"/>
        <v>142568.60227130001</v>
      </c>
      <c r="S62" s="472">
        <v>10.759258892189372</v>
      </c>
      <c r="T62" s="472">
        <v>0.25021100000000002</v>
      </c>
      <c r="U62" s="472">
        <v>3.7590861595879336E-3</v>
      </c>
      <c r="V62" s="472">
        <v>1.2E-2</v>
      </c>
      <c r="W62" s="472">
        <v>0.32788999999999996</v>
      </c>
      <c r="X62" s="332">
        <v>6.968</v>
      </c>
      <c r="Y62" s="472">
        <v>13.060227999999999</v>
      </c>
      <c r="Z62" s="472"/>
      <c r="AA62" s="472"/>
      <c r="AB62" s="472">
        <v>0</v>
      </c>
      <c r="AC62" s="472">
        <v>0.14668112712269959</v>
      </c>
      <c r="AD62" s="472">
        <v>5.9918390925025558E-2</v>
      </c>
      <c r="AE62" s="472">
        <v>3.2550005</v>
      </c>
      <c r="AF62" s="472">
        <v>15.464976341296966</v>
      </c>
      <c r="AG62" s="172">
        <f t="shared" si="1"/>
        <v>9.5757749740952764</v>
      </c>
      <c r="AH62" s="253">
        <f t="shared" si="3"/>
        <v>202305</v>
      </c>
      <c r="AI62" t="s">
        <v>998</v>
      </c>
      <c r="AJ62" t="s">
        <v>999</v>
      </c>
    </row>
    <row r="63" spans="3:36" ht="15.75" hidden="1">
      <c r="C63" s="237">
        <v>45071</v>
      </c>
      <c r="D63" s="471">
        <v>366918</v>
      </c>
      <c r="E63" s="471">
        <v>18937</v>
      </c>
      <c r="F63" s="471">
        <v>15324.71</v>
      </c>
      <c r="G63" s="471">
        <v>2969</v>
      </c>
      <c r="H63" s="471">
        <v>2646</v>
      </c>
      <c r="I63" s="470">
        <v>189000</v>
      </c>
      <c r="J63" s="471">
        <v>184154.88</v>
      </c>
      <c r="K63" s="471">
        <v>45939.33</v>
      </c>
      <c r="L63" s="471">
        <v>7560</v>
      </c>
      <c r="M63" s="471">
        <v>347429</v>
      </c>
      <c r="N63" s="471">
        <v>8786</v>
      </c>
      <c r="O63" s="471">
        <v>5732</v>
      </c>
      <c r="P63" s="471">
        <v>237.31415399999997</v>
      </c>
      <c r="Q63" s="337">
        <v>0</v>
      </c>
      <c r="R63" s="167">
        <f t="shared" si="0"/>
        <v>144698.75546929997</v>
      </c>
      <c r="S63" s="473">
        <v>10.78757571209723</v>
      </c>
      <c r="T63" s="473">
        <v>0.24354100000000001</v>
      </c>
      <c r="U63" s="473">
        <v>4.2299099241958722E-3</v>
      </c>
      <c r="V63" s="473">
        <v>1.2E-2</v>
      </c>
      <c r="W63" s="473">
        <v>0.32025999999999999</v>
      </c>
      <c r="X63" s="332">
        <v>6.968</v>
      </c>
      <c r="Y63" s="473">
        <v>13.316769000000001</v>
      </c>
      <c r="Z63" s="473"/>
      <c r="AA63" s="473"/>
      <c r="AB63" s="473">
        <v>0</v>
      </c>
      <c r="AC63" s="473">
        <v>0.15630884589137101</v>
      </c>
      <c r="AD63" s="473">
        <v>6.1022746901431973E-2</v>
      </c>
      <c r="AE63" s="473">
        <v>3.2570005000000002</v>
      </c>
      <c r="AF63" s="473">
        <v>15.880837158463756</v>
      </c>
      <c r="AG63" s="172">
        <f t="shared" si="1"/>
        <v>9.7071255596438455</v>
      </c>
      <c r="AH63" s="253">
        <f t="shared" si="3"/>
        <v>202305</v>
      </c>
      <c r="AI63" t="s">
        <v>1000</v>
      </c>
      <c r="AJ63" t="s">
        <v>1001</v>
      </c>
    </row>
    <row r="64" spans="3:36" ht="15.75" hidden="1">
      <c r="C64" s="235">
        <v>45072</v>
      </c>
      <c r="D64" s="469">
        <v>343323</v>
      </c>
      <c r="E64" s="469">
        <v>20987</v>
      </c>
      <c r="F64" s="469">
        <v>17676.349999999999</v>
      </c>
      <c r="G64" s="469">
        <v>2950</v>
      </c>
      <c r="H64" s="469">
        <v>2685</v>
      </c>
      <c r="I64" s="470">
        <v>189000</v>
      </c>
      <c r="J64" s="469">
        <v>184854.24000000002</v>
      </c>
      <c r="K64" s="469">
        <v>45808.27</v>
      </c>
      <c r="L64" s="469">
        <v>7565</v>
      </c>
      <c r="M64" s="469">
        <v>344784</v>
      </c>
      <c r="N64" s="469">
        <v>8809</v>
      </c>
      <c r="O64" s="469">
        <v>1534</v>
      </c>
      <c r="P64" s="469">
        <v>263.41682400000002</v>
      </c>
      <c r="Q64" s="337">
        <v>0</v>
      </c>
      <c r="R64" s="167">
        <f t="shared" si="0"/>
        <v>144762.41002079999</v>
      </c>
      <c r="S64" s="472">
        <v>9.3168000860831324</v>
      </c>
      <c r="T64" s="472">
        <v>0.241871</v>
      </c>
      <c r="U64" s="472">
        <v>4.22651190580693E-3</v>
      </c>
      <c r="V64" s="472">
        <v>1.2E-2</v>
      </c>
      <c r="W64" s="472">
        <v>0.32083</v>
      </c>
      <c r="X64" s="332">
        <v>6.968</v>
      </c>
      <c r="Y64" s="472">
        <v>13.235933000000001</v>
      </c>
      <c r="Z64" s="472"/>
      <c r="AA64" s="472"/>
      <c r="AB64" s="472">
        <v>0</v>
      </c>
      <c r="AC64" s="472">
        <v>0.1534771639005853</v>
      </c>
      <c r="AD64" s="472">
        <v>5.816274809073841E-2</v>
      </c>
      <c r="AE64" s="472">
        <v>3.2337004999999999</v>
      </c>
      <c r="AF64" s="472">
        <v>15.900658932399256</v>
      </c>
      <c r="AG64" s="172">
        <f t="shared" si="1"/>
        <v>9.6436792210958195</v>
      </c>
      <c r="AH64" s="253">
        <f t="shared" si="3"/>
        <v>202305</v>
      </c>
    </row>
    <row r="65" spans="3:36" ht="15.75" hidden="1">
      <c r="C65" s="237">
        <v>45073</v>
      </c>
      <c r="D65" s="470">
        <v>343323</v>
      </c>
      <c r="E65" s="471">
        <v>22660</v>
      </c>
      <c r="F65" s="471">
        <v>18323.509999999998</v>
      </c>
      <c r="G65" s="471">
        <v>2936</v>
      </c>
      <c r="H65" s="471">
        <v>2694</v>
      </c>
      <c r="I65" s="470">
        <v>189000</v>
      </c>
      <c r="J65" s="471">
        <v>184809.60000000001</v>
      </c>
      <c r="K65" s="471">
        <v>44213.760000000002</v>
      </c>
      <c r="L65" s="471">
        <v>7641</v>
      </c>
      <c r="M65" s="471">
        <v>329427</v>
      </c>
      <c r="N65" s="471">
        <v>8849</v>
      </c>
      <c r="O65" s="471">
        <v>5430</v>
      </c>
      <c r="P65" s="471">
        <v>269.95821599999999</v>
      </c>
      <c r="Q65" s="337">
        <v>0</v>
      </c>
      <c r="R65" s="167">
        <f t="shared" si="0"/>
        <v>146228.69674720001</v>
      </c>
      <c r="S65" s="559">
        <v>9.3168000860831324</v>
      </c>
      <c r="T65" s="473">
        <v>0.25197599999999998</v>
      </c>
      <c r="U65" s="473">
        <v>4.6422594556940876E-3</v>
      </c>
      <c r="V65" s="473">
        <v>1.2E-2</v>
      </c>
      <c r="W65" s="473">
        <v>0.31914999999999999</v>
      </c>
      <c r="X65" s="332">
        <v>6.968</v>
      </c>
      <c r="Y65" s="473">
        <v>13.051994000000001</v>
      </c>
      <c r="Z65" s="473"/>
      <c r="AA65" s="473"/>
      <c r="AB65" s="473">
        <v>0</v>
      </c>
      <c r="AC65" s="473">
        <v>0.15404350029874245</v>
      </c>
      <c r="AD65" s="473">
        <v>5.9295420887052697E-2</v>
      </c>
      <c r="AE65" s="473">
        <v>3.2394004999999999</v>
      </c>
      <c r="AF65" s="473">
        <v>15.873871220766423</v>
      </c>
      <c r="AG65" s="172">
        <f t="shared" si="1"/>
        <v>9.5957209095254807</v>
      </c>
      <c r="AH65" s="253">
        <f t="shared" si="3"/>
        <v>202305</v>
      </c>
    </row>
    <row r="66" spans="3:36" ht="15.75" hidden="1">
      <c r="C66" s="235">
        <v>45074</v>
      </c>
      <c r="D66" s="469">
        <v>335687</v>
      </c>
      <c r="E66" s="469">
        <v>23767</v>
      </c>
      <c r="F66" s="469">
        <v>18221.439999999999</v>
      </c>
      <c r="G66" s="469">
        <v>2921</v>
      </c>
      <c r="H66" s="469">
        <v>2810</v>
      </c>
      <c r="I66" s="470">
        <v>189000</v>
      </c>
      <c r="J66" s="469">
        <v>184846.80000000002</v>
      </c>
      <c r="K66" s="469">
        <v>45907.38</v>
      </c>
      <c r="L66" s="469">
        <v>7597</v>
      </c>
      <c r="M66" s="469">
        <v>279880</v>
      </c>
      <c r="N66" s="469">
        <v>8934</v>
      </c>
      <c r="O66" s="469">
        <v>798</v>
      </c>
      <c r="P66" s="469">
        <v>263.79421199999996</v>
      </c>
      <c r="Q66" s="337">
        <v>0</v>
      </c>
      <c r="R66" s="167">
        <f t="shared" si="0"/>
        <v>142982.6043454</v>
      </c>
      <c r="S66" s="472">
        <v>6.1920390092511033</v>
      </c>
      <c r="T66" s="472">
        <v>0.25436199999999998</v>
      </c>
      <c r="U66" s="472">
        <v>4.8063554270601199E-3</v>
      </c>
      <c r="V66" s="472">
        <v>1.2E-2</v>
      </c>
      <c r="W66" s="472">
        <v>0.3175</v>
      </c>
      <c r="X66" s="332">
        <v>6.968</v>
      </c>
      <c r="Y66" s="472">
        <v>12.871735000000001</v>
      </c>
      <c r="Z66" s="472"/>
      <c r="AA66" s="472"/>
      <c r="AB66" s="472">
        <v>0</v>
      </c>
      <c r="AC66" s="472">
        <v>0.15234449110427101</v>
      </c>
      <c r="AD66" s="472">
        <v>5.816274809073841E-2</v>
      </c>
      <c r="AE66" s="472">
        <v>3.2368005000000002</v>
      </c>
      <c r="AF66" s="472">
        <v>15.91606328242913</v>
      </c>
      <c r="AG66" s="172">
        <f t="shared" si="1"/>
        <v>9.4811433661833604</v>
      </c>
      <c r="AH66" s="253">
        <f t="shared" si="3"/>
        <v>202305</v>
      </c>
      <c r="AI66" t="s">
        <v>1003</v>
      </c>
      <c r="AJ66" t="s">
        <v>1002</v>
      </c>
    </row>
    <row r="67" spans="3:36" ht="18" hidden="1" customHeight="1">
      <c r="C67" s="237">
        <v>45075</v>
      </c>
      <c r="D67" s="471">
        <v>339108</v>
      </c>
      <c r="E67" s="471">
        <v>23736</v>
      </c>
      <c r="F67" s="471">
        <v>18170.36</v>
      </c>
      <c r="G67" s="471">
        <v>2941</v>
      </c>
      <c r="H67" s="471">
        <v>2814</v>
      </c>
      <c r="I67" s="470">
        <v>152000</v>
      </c>
      <c r="J67" s="471">
        <v>177287.76</v>
      </c>
      <c r="K67" s="471">
        <v>45634.59</v>
      </c>
      <c r="L67" s="471">
        <v>7608</v>
      </c>
      <c r="M67" s="471">
        <v>253728</v>
      </c>
      <c r="N67" s="471">
        <v>9030</v>
      </c>
      <c r="O67" s="471">
        <v>6065</v>
      </c>
      <c r="P67" s="471">
        <v>227.69076000000001</v>
      </c>
      <c r="Q67" s="337">
        <v>0</v>
      </c>
      <c r="R67" s="167">
        <f t="shared" si="0"/>
        <v>134655.64274199997</v>
      </c>
      <c r="S67" s="473">
        <v>6.8011338054691119</v>
      </c>
      <c r="T67" s="473">
        <v>0.248637</v>
      </c>
      <c r="U67" s="473">
        <v>4.8070067139180002E-3</v>
      </c>
      <c r="V67" s="473">
        <v>1.2E-2</v>
      </c>
      <c r="W67" s="473">
        <v>0.31627999999999995</v>
      </c>
      <c r="X67" s="332">
        <v>6.968</v>
      </c>
      <c r="Y67" s="473">
        <v>13.314225</v>
      </c>
      <c r="Z67" s="473"/>
      <c r="AA67" s="473"/>
      <c r="AB67" s="473">
        <v>0</v>
      </c>
      <c r="AC67" s="473">
        <v>0.15206132290519245</v>
      </c>
      <c r="AD67" s="473">
        <v>5.9295420887052697E-2</v>
      </c>
      <c r="AE67" s="473">
        <v>3.2192004999999999</v>
      </c>
      <c r="AF67" s="473">
        <v>15.912948432239265</v>
      </c>
      <c r="AG67" s="172">
        <f t="shared" si="1"/>
        <v>9.5994679579611475</v>
      </c>
      <c r="AH67" s="253">
        <f t="shared" si="3"/>
        <v>202305</v>
      </c>
      <c r="AI67" t="s">
        <v>1004</v>
      </c>
      <c r="AJ67" t="s">
        <v>1002</v>
      </c>
    </row>
    <row r="68" spans="3:36" ht="21.75" hidden="1" customHeight="1">
      <c r="C68" s="235">
        <v>45076</v>
      </c>
      <c r="D68" s="469">
        <v>348648</v>
      </c>
      <c r="E68" s="469">
        <v>23610</v>
      </c>
      <c r="F68" s="469">
        <v>18302.98</v>
      </c>
      <c r="G68" s="469">
        <v>2938</v>
      </c>
      <c r="H68" s="469">
        <v>2620</v>
      </c>
      <c r="I68" s="470">
        <v>152000</v>
      </c>
      <c r="J68" s="469">
        <v>185174.16</v>
      </c>
      <c r="K68" s="469">
        <v>44281.93</v>
      </c>
      <c r="L68" s="469">
        <v>7567</v>
      </c>
      <c r="M68" s="469">
        <v>270479</v>
      </c>
      <c r="N68" s="469">
        <v>9163</v>
      </c>
      <c r="O68" s="469">
        <v>993</v>
      </c>
      <c r="P68" s="469">
        <v>246.81175199999998</v>
      </c>
      <c r="Q68" s="337">
        <v>0</v>
      </c>
      <c r="R68" s="167">
        <f t="shared" si="0"/>
        <v>135106.21293839999</v>
      </c>
      <c r="S68" s="472">
        <v>8.0051649879511899</v>
      </c>
      <c r="T68" s="472">
        <v>0.24454500000000001</v>
      </c>
      <c r="U68" s="472">
        <v>4.6359731216745427E-3</v>
      </c>
      <c r="V68" s="472">
        <v>1.2E-2</v>
      </c>
      <c r="W68" s="472">
        <v>0.32113999999999998</v>
      </c>
      <c r="X68" s="332">
        <v>6.968</v>
      </c>
      <c r="Y68" s="472">
        <v>13.131181</v>
      </c>
      <c r="Z68" s="472"/>
      <c r="AA68" s="472"/>
      <c r="AB68" s="472">
        <v>0</v>
      </c>
      <c r="AC68" s="472">
        <v>0.15687518228952815</v>
      </c>
      <c r="AD68" s="472">
        <v>5.3886908284652001E-2</v>
      </c>
      <c r="AE68" s="472">
        <v>3.2161005</v>
      </c>
      <c r="AF68" s="472">
        <v>15.918526845761113</v>
      </c>
      <c r="AG68" s="172">
        <f t="shared" si="1"/>
        <v>9.5812445245519431</v>
      </c>
      <c r="AH68" s="253">
        <f t="shared" si="3"/>
        <v>202305</v>
      </c>
      <c r="AI68" t="s">
        <v>1005</v>
      </c>
      <c r="AJ68" t="s">
        <v>1002</v>
      </c>
    </row>
    <row r="69" spans="3:36" ht="15.75" hidden="1">
      <c r="C69" s="237">
        <v>45077</v>
      </c>
      <c r="D69" s="471">
        <v>354792</v>
      </c>
      <c r="E69" s="471">
        <v>23478</v>
      </c>
      <c r="F69" s="471">
        <v>18160.05</v>
      </c>
      <c r="G69" s="471">
        <v>2908</v>
      </c>
      <c r="H69" s="471">
        <v>2613</v>
      </c>
      <c r="I69" s="470">
        <v>152000</v>
      </c>
      <c r="J69" s="471">
        <v>184437.6</v>
      </c>
      <c r="K69" s="471">
        <v>44204.9</v>
      </c>
      <c r="L69" s="471">
        <v>7633</v>
      </c>
      <c r="M69" s="471">
        <v>287577</v>
      </c>
      <c r="N69" s="471">
        <v>8995</v>
      </c>
      <c r="O69" s="471">
        <v>5197</v>
      </c>
      <c r="P69" s="471">
        <v>249.516366</v>
      </c>
      <c r="Q69" s="337">
        <v>0</v>
      </c>
      <c r="R69" s="167">
        <f t="shared" si="0"/>
        <v>137243.86481469998</v>
      </c>
      <c r="S69" s="473">
        <v>11.67955553919473</v>
      </c>
      <c r="T69" s="473">
        <v>0.244926</v>
      </c>
      <c r="U69" s="473">
        <v>4.6913325045944039E-3</v>
      </c>
      <c r="V69" s="473">
        <v>1.2E-2</v>
      </c>
      <c r="W69" s="473">
        <v>0.31529000000000001</v>
      </c>
      <c r="X69" s="332">
        <v>6.968</v>
      </c>
      <c r="Y69" s="473">
        <v>13.073879999999999</v>
      </c>
      <c r="Z69" s="473"/>
      <c r="AA69" s="473"/>
      <c r="AB69" s="473">
        <v>0</v>
      </c>
      <c r="AC69" s="473">
        <v>0.15772468688676386</v>
      </c>
      <c r="AD69" s="473">
        <v>5.4934630621242708E-2</v>
      </c>
      <c r="AE69" s="473">
        <v>3.2059004999999998</v>
      </c>
      <c r="AF69" s="473">
        <v>15.876617952297485</v>
      </c>
      <c r="AG69" s="172">
        <f t="shared" si="1"/>
        <v>9.6343143304052283</v>
      </c>
      <c r="AH69" s="253">
        <f t="shared" si="3"/>
        <v>202305</v>
      </c>
      <c r="AI69" t="s">
        <v>1007</v>
      </c>
      <c r="AJ69" t="s">
        <v>1006</v>
      </c>
    </row>
    <row r="70" spans="3:36" ht="15.75" hidden="1">
      <c r="C70" s="235">
        <v>45078</v>
      </c>
      <c r="D70" s="469">
        <v>367584</v>
      </c>
      <c r="E70" s="469">
        <v>24975</v>
      </c>
      <c r="F70" s="469">
        <v>18118.810000000001</v>
      </c>
      <c r="G70" s="469">
        <v>2886</v>
      </c>
      <c r="H70" s="469">
        <v>2639</v>
      </c>
      <c r="I70" s="470">
        <v>152000</v>
      </c>
      <c r="J70" s="469">
        <v>186401.76</v>
      </c>
      <c r="K70" s="469">
        <v>41016.720000000001</v>
      </c>
      <c r="L70" s="469">
        <v>7609</v>
      </c>
      <c r="M70" s="469">
        <v>295791</v>
      </c>
      <c r="N70" s="469">
        <v>8808</v>
      </c>
      <c r="O70" s="469">
        <v>496</v>
      </c>
      <c r="P70" s="469">
        <v>252.34677599999998</v>
      </c>
      <c r="Q70" s="337">
        <v>0</v>
      </c>
      <c r="R70" s="167">
        <f t="shared" si="0"/>
        <v>136066.3922992</v>
      </c>
      <c r="S70" s="472">
        <v>10.420023389693243</v>
      </c>
      <c r="T70" s="472">
        <v>0.24562600000000001</v>
      </c>
      <c r="U70" s="472">
        <v>4.513276341013798E-3</v>
      </c>
      <c r="V70" s="472">
        <v>1.2E-2</v>
      </c>
      <c r="W70" s="472">
        <v>0.31758999999999998</v>
      </c>
      <c r="X70" s="332">
        <v>5.67</v>
      </c>
      <c r="Y70" s="472">
        <v>12.971073000000001</v>
      </c>
      <c r="Z70" s="472"/>
      <c r="AA70" s="472"/>
      <c r="AB70" s="472">
        <v>0</v>
      </c>
      <c r="AC70" s="472">
        <v>0.15319399570150674</v>
      </c>
      <c r="AD70" s="472">
        <v>5.1508295412392005E-2</v>
      </c>
      <c r="AE70" s="472">
        <v>3.1988004999999999</v>
      </c>
      <c r="AF70" s="472">
        <v>15.898931606384876</v>
      </c>
      <c r="AG70" s="172">
        <f t="shared" si="1"/>
        <v>9.3199830895181748</v>
      </c>
      <c r="AH70" s="253">
        <f t="shared" si="3"/>
        <v>202306</v>
      </c>
      <c r="AJ70" t="s">
        <v>1015</v>
      </c>
    </row>
    <row r="71" spans="3:36" ht="15.75" hidden="1">
      <c r="C71" s="237">
        <v>45079</v>
      </c>
      <c r="D71" s="471">
        <v>363903</v>
      </c>
      <c r="E71" s="471">
        <v>33906</v>
      </c>
      <c r="F71" s="471">
        <v>18107.47</v>
      </c>
      <c r="G71" s="471">
        <v>2961</v>
      </c>
      <c r="H71" s="471">
        <v>2644</v>
      </c>
      <c r="I71" s="470">
        <v>152000</v>
      </c>
      <c r="J71" s="471">
        <v>186342.24000000002</v>
      </c>
      <c r="K71" s="471">
        <v>38999.019999999997</v>
      </c>
      <c r="L71" s="471">
        <v>7532</v>
      </c>
      <c r="M71" s="471">
        <v>335412</v>
      </c>
      <c r="N71" s="471">
        <v>9013</v>
      </c>
      <c r="O71" s="471">
        <v>4739</v>
      </c>
      <c r="P71" s="471">
        <v>241.21383</v>
      </c>
      <c r="Q71" s="337">
        <v>0</v>
      </c>
      <c r="R71" s="167">
        <f t="shared" si="0"/>
        <v>141188.3969235</v>
      </c>
      <c r="S71" s="473">
        <v>10.065213636247799</v>
      </c>
      <c r="T71" s="473">
        <v>0.27798499999999998</v>
      </c>
      <c r="U71" s="473">
        <v>4.7052926968089775E-3</v>
      </c>
      <c r="V71" s="473">
        <v>1.2E-2</v>
      </c>
      <c r="W71" s="473">
        <v>0.31736999999999999</v>
      </c>
      <c r="X71" s="332">
        <v>5.67</v>
      </c>
      <c r="Y71" s="473">
        <v>13.032879000000001</v>
      </c>
      <c r="Z71" s="473"/>
      <c r="AA71" s="473"/>
      <c r="AB71" s="473">
        <v>0</v>
      </c>
      <c r="AC71" s="473">
        <v>0.16225537807202101</v>
      </c>
      <c r="AD71" s="473">
        <v>5.5359382919860568E-2</v>
      </c>
      <c r="AE71" s="473">
        <v>3.1969004999999999</v>
      </c>
      <c r="AF71" s="473">
        <v>15.870926271496005</v>
      </c>
      <c r="AG71" s="172">
        <f t="shared" si="1"/>
        <v>9.3334291657952768</v>
      </c>
      <c r="AH71" s="253">
        <f t="shared" si="3"/>
        <v>202306</v>
      </c>
    </row>
    <row r="72" spans="3:36" ht="15.75" hidden="1">
      <c r="C72" s="235">
        <v>45080</v>
      </c>
      <c r="D72" s="469">
        <v>357775</v>
      </c>
      <c r="E72" s="469">
        <v>28516</v>
      </c>
      <c r="F72" s="469">
        <v>18093.11</v>
      </c>
      <c r="G72" s="469">
        <v>2995</v>
      </c>
      <c r="H72" s="469">
        <v>2653</v>
      </c>
      <c r="I72" s="470">
        <v>152000</v>
      </c>
      <c r="J72" s="469">
        <v>186364.56</v>
      </c>
      <c r="K72" s="469">
        <v>40105.18</v>
      </c>
      <c r="L72" s="469">
        <v>7160</v>
      </c>
      <c r="M72" s="469">
        <v>341133</v>
      </c>
      <c r="N72" s="469">
        <v>6811</v>
      </c>
      <c r="O72" s="469">
        <v>931</v>
      </c>
      <c r="P72" s="469">
        <v>269.26633800000002</v>
      </c>
      <c r="Q72" s="337">
        <v>0</v>
      </c>
      <c r="R72" s="167">
        <f t="shared" si="0"/>
        <v>138276.12995209999</v>
      </c>
      <c r="S72" s="472">
        <v>11.016375616952715</v>
      </c>
      <c r="T72" s="472">
        <v>0.27461600000000003</v>
      </c>
      <c r="U72" s="472">
        <v>4.8376455130583014E-3</v>
      </c>
      <c r="V72" s="472">
        <v>1.2E-2</v>
      </c>
      <c r="W72" s="472">
        <v>0.32006000000000001</v>
      </c>
      <c r="X72" s="332">
        <v>5.67</v>
      </c>
      <c r="Y72" s="472">
        <v>12.982191</v>
      </c>
      <c r="Z72" s="472"/>
      <c r="AA72" s="472"/>
      <c r="AB72" s="472">
        <v>0</v>
      </c>
      <c r="AC72" s="472">
        <v>0.14781379991901389</v>
      </c>
      <c r="AD72" s="472">
        <v>5.6435422076359133E-2</v>
      </c>
      <c r="AE72" s="472">
        <v>3.1715005000000001</v>
      </c>
      <c r="AF72" s="472">
        <v>15.862855977822266</v>
      </c>
      <c r="AG72" s="172">
        <f t="shared" si="1"/>
        <v>9.3301350366621687</v>
      </c>
      <c r="AH72" s="253">
        <f t="shared" si="3"/>
        <v>202306</v>
      </c>
      <c r="AJ72" t="s">
        <v>1008</v>
      </c>
    </row>
    <row r="73" spans="3:36" ht="15.75" hidden="1">
      <c r="C73" s="237">
        <v>45081</v>
      </c>
      <c r="D73" s="471">
        <v>361652</v>
      </c>
      <c r="E73" s="471">
        <v>34233</v>
      </c>
      <c r="F73" s="471">
        <v>18077.93</v>
      </c>
      <c r="G73" s="471">
        <v>3034</v>
      </c>
      <c r="H73" s="471">
        <v>2686</v>
      </c>
      <c r="I73" s="470">
        <v>152000</v>
      </c>
      <c r="J73" s="471">
        <v>186014.88</v>
      </c>
      <c r="K73" s="471">
        <v>45815.98</v>
      </c>
      <c r="L73" s="471">
        <v>7597</v>
      </c>
      <c r="M73" s="471">
        <v>334626</v>
      </c>
      <c r="N73" s="471">
        <v>9019</v>
      </c>
      <c r="O73" s="471">
        <v>3484</v>
      </c>
      <c r="P73" s="471">
        <v>242.094402</v>
      </c>
      <c r="Q73" s="337">
        <v>0</v>
      </c>
      <c r="R73" s="167">
        <f t="shared" ref="R73:R136" si="4" xml:space="preserve"> IF(C73&lt; DATE(2024, 11, 1), D73 * (2.31 / 100), D73 * (2.925 / 100))+E73*E$6+F73*F$6+G73*G$6+H73*H$6+I73*I$6+J73*J$6+K73*K$6+L73*L$6+M73*M$6+N73*N$6+O73*O$6+P73*P$6+Q73*Q$6</f>
        <v>142384.93473090001</v>
      </c>
      <c r="S73" s="473">
        <v>11.213743851710474</v>
      </c>
      <c r="T73" s="473">
        <v>0.27838600000000002</v>
      </c>
      <c r="U73" s="473">
        <v>4.8510110520548098E-3</v>
      </c>
      <c r="V73" s="473">
        <v>1.2E-2</v>
      </c>
      <c r="W73" s="473">
        <v>0.31630000000000003</v>
      </c>
      <c r="X73" s="332">
        <v>5.67</v>
      </c>
      <c r="Y73" s="473">
        <v>12.722027000000001</v>
      </c>
      <c r="Z73" s="473"/>
      <c r="AA73" s="473"/>
      <c r="AB73" s="473">
        <v>0</v>
      </c>
      <c r="AC73" s="473">
        <v>0.17584745162779239</v>
      </c>
      <c r="AD73" s="473">
        <v>5.7568094872673413E-2</v>
      </c>
      <c r="AE73" s="473">
        <v>3.1740005</v>
      </c>
      <c r="AF73" s="473">
        <v>15.858891623035166</v>
      </c>
      <c r="AG73" s="172">
        <f t="shared" ref="AG73:AG136" si="5" xml:space="preserve"> IF(C73&lt; DATE(2024, 11, 1), S73 * (2.31 / 100), S73 * (2.925 / 100))+T73*T$6+U73*U$6+V73*V$6+W73*W$6+X73*X$6+Y73*Y$6+Z73*Z$6+AA73*AA$6+AB73*AB$6+AC73*AC$6+AD73*AD$6+AE73*AE$6+AF73*AF$6</f>
        <v>9.2683066892550556</v>
      </c>
      <c r="AH73" s="253">
        <f t="shared" si="3"/>
        <v>202306</v>
      </c>
      <c r="AI73" t="s">
        <v>1010</v>
      </c>
      <c r="AJ73" t="s">
        <v>1011</v>
      </c>
    </row>
    <row r="74" spans="3:36" ht="15.75" hidden="1">
      <c r="C74" s="235">
        <v>45082</v>
      </c>
      <c r="D74" s="469">
        <v>367626</v>
      </c>
      <c r="E74" s="469">
        <v>33698</v>
      </c>
      <c r="F74" s="469">
        <v>18064.080000000002</v>
      </c>
      <c r="G74" s="469">
        <v>3033</v>
      </c>
      <c r="H74" s="469">
        <v>2617</v>
      </c>
      <c r="I74" s="470">
        <v>170000</v>
      </c>
      <c r="J74" s="469">
        <v>185925.6</v>
      </c>
      <c r="K74" s="469">
        <v>44705.090000000004</v>
      </c>
      <c r="L74" s="469">
        <v>7564</v>
      </c>
      <c r="M74" s="469">
        <v>331222</v>
      </c>
      <c r="N74" s="469">
        <v>9007</v>
      </c>
      <c r="O74" s="469">
        <v>5319</v>
      </c>
      <c r="P74" s="469">
        <v>245.23930200000001</v>
      </c>
      <c r="Q74" s="337">
        <v>0</v>
      </c>
      <c r="R74" s="167">
        <f t="shared" si="4"/>
        <v>146188.32778590001</v>
      </c>
      <c r="S74" s="472">
        <v>10.90933803770101</v>
      </c>
      <c r="T74" s="472">
        <v>0.32875900000000002</v>
      </c>
      <c r="U74" s="472">
        <v>4.5618113703358651E-3</v>
      </c>
      <c r="V74" s="472">
        <v>1.2E-2</v>
      </c>
      <c r="W74" s="472">
        <v>0.31613999999999998</v>
      </c>
      <c r="X74" s="332">
        <v>5.67</v>
      </c>
      <c r="Y74" s="472">
        <v>12.67</v>
      </c>
      <c r="Z74" s="472"/>
      <c r="AA74" s="472"/>
      <c r="AB74" s="472">
        <v>0</v>
      </c>
      <c r="AC74" s="472">
        <v>0.18037814281304951</v>
      </c>
      <c r="AD74" s="472">
        <v>5.5982352957833423E-2</v>
      </c>
      <c r="AE74" s="472">
        <v>3.1665005000000002</v>
      </c>
      <c r="AF74" s="472">
        <v>15.837172622165838</v>
      </c>
      <c r="AG74" s="172">
        <f t="shared" si="5"/>
        <v>9.2537830142908888</v>
      </c>
      <c r="AH74" s="253">
        <f t="shared" si="3"/>
        <v>202306</v>
      </c>
      <c r="AI74" t="s">
        <v>1012</v>
      </c>
      <c r="AJ74" t="s">
        <v>1013</v>
      </c>
    </row>
    <row r="75" spans="3:36" ht="15.75" hidden="1">
      <c r="C75" s="237">
        <v>45083</v>
      </c>
      <c r="D75" s="471">
        <v>368594</v>
      </c>
      <c r="E75" s="471">
        <v>35579</v>
      </c>
      <c r="F75" s="471">
        <v>17830.73</v>
      </c>
      <c r="G75" s="471">
        <v>3017</v>
      </c>
      <c r="H75" s="471">
        <v>2595</v>
      </c>
      <c r="I75" s="470">
        <v>170000</v>
      </c>
      <c r="J75" s="471">
        <v>185814</v>
      </c>
      <c r="K75" s="471">
        <v>43685.599999999999</v>
      </c>
      <c r="L75" s="471">
        <v>7490</v>
      </c>
      <c r="M75" s="471">
        <v>335360</v>
      </c>
      <c r="N75" s="471">
        <v>9417</v>
      </c>
      <c r="O75" s="471">
        <v>683</v>
      </c>
      <c r="P75" s="471">
        <v>261.404088</v>
      </c>
      <c r="Q75" s="337">
        <v>0</v>
      </c>
      <c r="R75" s="167">
        <f t="shared" si="4"/>
        <v>144586.9667396</v>
      </c>
      <c r="S75" s="473">
        <v>8.1359886959254908</v>
      </c>
      <c r="T75" s="473">
        <v>0.31488300000000002</v>
      </c>
      <c r="U75" s="473">
        <v>4.3375987903054537E-3</v>
      </c>
      <c r="V75" s="473">
        <v>1.2E-2</v>
      </c>
      <c r="W75" s="473">
        <v>0.32064999999999999</v>
      </c>
      <c r="X75" s="332">
        <v>5.67</v>
      </c>
      <c r="Y75" s="473">
        <v>12.46</v>
      </c>
      <c r="AB75" s="337">
        <v>0</v>
      </c>
      <c r="AC75" s="473">
        <v>0.15659201409044959</v>
      </c>
      <c r="AD75" s="473">
        <v>5.7086708934239845E-2</v>
      </c>
      <c r="AE75" s="473">
        <v>3.1513005000000001</v>
      </c>
      <c r="AF75" s="473">
        <v>15.923482289244987</v>
      </c>
      <c r="AG75" s="172">
        <f t="shared" si="5"/>
        <v>9.1413830873243871</v>
      </c>
      <c r="AH75" s="253">
        <f t="shared" si="3"/>
        <v>202306</v>
      </c>
      <c r="AI75" t="s">
        <v>1014</v>
      </c>
      <c r="AJ75" t="s">
        <v>1016</v>
      </c>
    </row>
    <row r="76" spans="3:36" ht="15.75" hidden="1">
      <c r="C76" s="235">
        <v>45084</v>
      </c>
      <c r="D76" s="469">
        <v>365960</v>
      </c>
      <c r="E76" s="469">
        <v>38082</v>
      </c>
      <c r="F76" s="469">
        <v>18037.43</v>
      </c>
      <c r="G76" s="469">
        <v>3008</v>
      </c>
      <c r="H76" s="469">
        <v>2736</v>
      </c>
      <c r="I76" s="470">
        <v>170000</v>
      </c>
      <c r="J76" s="469">
        <v>185874</v>
      </c>
      <c r="K76" s="469">
        <v>48158.43</v>
      </c>
      <c r="L76" s="469">
        <v>7496</v>
      </c>
      <c r="M76" s="469">
        <v>321247</v>
      </c>
      <c r="N76" s="469">
        <v>8154.9999999999991</v>
      </c>
      <c r="O76" s="469">
        <v>5656</v>
      </c>
      <c r="P76" s="469">
        <v>242.34599399999999</v>
      </c>
      <c r="Q76" s="337">
        <v>0</v>
      </c>
      <c r="R76" s="167">
        <f t="shared" si="4"/>
        <v>147895.66019729999</v>
      </c>
      <c r="S76" s="472">
        <v>7.1035574420850276</v>
      </c>
      <c r="T76" s="472">
        <v>0.33373399999999998</v>
      </c>
      <c r="U76" s="472">
        <v>4.8040617646475823E-3</v>
      </c>
      <c r="V76" s="472">
        <v>1.2E-2</v>
      </c>
      <c r="W76" s="472">
        <v>0.31824000000000002</v>
      </c>
      <c r="X76" s="332">
        <v>5.67</v>
      </c>
      <c r="Y76" s="472">
        <v>12.62</v>
      </c>
      <c r="AB76" s="337">
        <v>0</v>
      </c>
      <c r="AC76" s="472">
        <v>0.15262765930334957</v>
      </c>
      <c r="AD76" s="472">
        <v>4.8478395682251298E-2</v>
      </c>
      <c r="AE76" s="472">
        <v>3.1482005000000002</v>
      </c>
      <c r="AF76" s="472">
        <v>15.962644451177555</v>
      </c>
      <c r="AG76" s="172">
        <f t="shared" si="5"/>
        <v>9.1635233826438718</v>
      </c>
      <c r="AH76" s="253">
        <f t="shared" si="3"/>
        <v>202306</v>
      </c>
      <c r="AI76" t="s">
        <v>1017</v>
      </c>
      <c r="AJ76" t="s">
        <v>1022</v>
      </c>
    </row>
    <row r="77" spans="3:36" ht="15.75" hidden="1">
      <c r="C77" s="237">
        <v>45085</v>
      </c>
      <c r="D77" s="471">
        <v>368365</v>
      </c>
      <c r="E77" s="471">
        <v>33208</v>
      </c>
      <c r="F77" s="471">
        <v>17956</v>
      </c>
      <c r="G77" s="471">
        <v>3012</v>
      </c>
      <c r="H77" s="471">
        <v>2701</v>
      </c>
      <c r="I77" s="470">
        <v>170000</v>
      </c>
      <c r="J77" s="471">
        <v>184393</v>
      </c>
      <c r="K77" s="471">
        <v>44645.17</v>
      </c>
      <c r="L77" s="471">
        <v>7492</v>
      </c>
      <c r="M77" s="471">
        <v>364507</v>
      </c>
      <c r="N77" s="471">
        <v>8621</v>
      </c>
      <c r="O77" s="471">
        <v>503</v>
      </c>
      <c r="P77" s="471">
        <v>247.440732</v>
      </c>
      <c r="Q77" s="337">
        <v>0</v>
      </c>
      <c r="R77" s="167">
        <f t="shared" si="4"/>
        <v>145003.64732940003</v>
      </c>
      <c r="S77" s="473">
        <v>7.645541375121411</v>
      </c>
      <c r="T77" s="473">
        <v>0.339362</v>
      </c>
      <c r="U77" s="473">
        <v>4.2791245571957293E-3</v>
      </c>
      <c r="V77" s="473">
        <v>1.2E-2</v>
      </c>
      <c r="W77" s="473">
        <v>0.32499</v>
      </c>
      <c r="X77" s="332">
        <v>5.67</v>
      </c>
      <c r="Y77" s="473">
        <v>12.84</v>
      </c>
      <c r="AB77" s="337">
        <v>0</v>
      </c>
      <c r="AC77" s="473">
        <v>0.15460983669689959</v>
      </c>
      <c r="AD77" s="473">
        <v>4.1059388866392744E-2</v>
      </c>
      <c r="AE77" s="473">
        <v>3.1435002500000002</v>
      </c>
      <c r="AF77" s="473">
        <v>15.968364448798942</v>
      </c>
      <c r="AG77" s="172">
        <f t="shared" si="5"/>
        <v>9.2372530393343784</v>
      </c>
      <c r="AH77" s="253">
        <f t="shared" si="3"/>
        <v>202306</v>
      </c>
      <c r="AI77" t="s">
        <v>1019</v>
      </c>
      <c r="AJ77" t="s">
        <v>1020</v>
      </c>
    </row>
    <row r="78" spans="3:36" ht="15.75" hidden="1">
      <c r="C78" s="235">
        <v>45086</v>
      </c>
      <c r="D78" s="469">
        <v>375871</v>
      </c>
      <c r="E78" s="469">
        <v>37289</v>
      </c>
      <c r="F78" s="469">
        <v>17913.8</v>
      </c>
      <c r="G78" s="469">
        <v>3008</v>
      </c>
      <c r="H78" s="469">
        <v>2838</v>
      </c>
      <c r="I78" s="470">
        <v>170000</v>
      </c>
      <c r="J78" s="469">
        <v>183626.64</v>
      </c>
      <c r="K78" s="469">
        <v>43774.3</v>
      </c>
      <c r="L78" s="469">
        <v>2564</v>
      </c>
      <c r="M78" s="469">
        <v>364731</v>
      </c>
      <c r="N78" s="469">
        <v>8710</v>
      </c>
      <c r="O78" s="469">
        <v>9947</v>
      </c>
      <c r="P78" s="469">
        <v>244.86191399999998</v>
      </c>
      <c r="Q78" s="337">
        <v>0</v>
      </c>
      <c r="R78" s="167">
        <f t="shared" si="4"/>
        <v>148573.70436129998</v>
      </c>
      <c r="S78" s="472">
        <v>8.3279767349007674</v>
      </c>
      <c r="T78" s="472">
        <v>0.35206999999999999</v>
      </c>
      <c r="U78" s="472">
        <v>4.5748654243133874E-3</v>
      </c>
      <c r="V78" s="472">
        <v>1.2E-2</v>
      </c>
      <c r="W78" s="472">
        <v>0.33127999999999996</v>
      </c>
      <c r="X78" s="332">
        <v>5.67</v>
      </c>
      <c r="Y78" s="472">
        <v>12.707090000000001</v>
      </c>
      <c r="Z78" s="472"/>
      <c r="AA78" s="472"/>
      <c r="AB78" s="472">
        <v>0</v>
      </c>
      <c r="AC78" s="472">
        <v>0.14866330451624959</v>
      </c>
      <c r="AD78" s="472">
        <v>5.5104531540689852E-2</v>
      </c>
      <c r="AE78" s="472">
        <v>3.1324002499999999</v>
      </c>
      <c r="AF78" s="472">
        <v>15.81763401642942</v>
      </c>
      <c r="AG78" s="172">
        <f t="shared" si="5"/>
        <v>9.2027336397792929</v>
      </c>
      <c r="AH78" s="253">
        <f t="shared" si="3"/>
        <v>202306</v>
      </c>
      <c r="AJ78" t="s">
        <v>1021</v>
      </c>
    </row>
    <row r="79" spans="3:36" ht="15.75" hidden="1">
      <c r="C79" s="237">
        <v>45087</v>
      </c>
      <c r="D79" s="471">
        <v>386119</v>
      </c>
      <c r="E79" s="471">
        <v>37113</v>
      </c>
      <c r="F79" s="471">
        <v>17909.849999999999</v>
      </c>
      <c r="G79" s="471">
        <v>3022</v>
      </c>
      <c r="H79" s="471">
        <v>2786</v>
      </c>
      <c r="I79" s="470">
        <v>170000</v>
      </c>
      <c r="J79" s="471">
        <v>185382.48</v>
      </c>
      <c r="K79" s="471">
        <v>44096.86</v>
      </c>
      <c r="L79" s="471">
        <v>5475</v>
      </c>
      <c r="M79" s="471">
        <v>360802</v>
      </c>
      <c r="N79" s="471">
        <v>8817</v>
      </c>
      <c r="O79" s="471">
        <v>941</v>
      </c>
      <c r="P79" s="471">
        <v>241.59121799999997</v>
      </c>
      <c r="Q79" s="337">
        <v>0</v>
      </c>
      <c r="R79" s="167">
        <f t="shared" si="4"/>
        <v>146205.32349809998</v>
      </c>
      <c r="S79" s="473">
        <v>7.2590167833791561</v>
      </c>
      <c r="T79" s="473">
        <v>0.338092</v>
      </c>
      <c r="U79" s="473">
        <v>4.7224526896731383E-3</v>
      </c>
      <c r="V79" s="473">
        <v>1.2E-2</v>
      </c>
      <c r="W79" s="473">
        <v>0.33039999999999997</v>
      </c>
      <c r="X79" s="332">
        <v>5.67</v>
      </c>
      <c r="Y79" s="473">
        <v>12.572089</v>
      </c>
      <c r="Z79" s="473"/>
      <c r="AA79" s="473"/>
      <c r="AB79" s="473">
        <v>0</v>
      </c>
      <c r="AC79" s="473">
        <v>0.14838013631717104</v>
      </c>
      <c r="AD79" s="473">
        <v>5.816274809073841E-2</v>
      </c>
      <c r="AE79" s="473">
        <v>3.1098002500000002</v>
      </c>
      <c r="AF79" s="473">
        <v>15.746417214361159</v>
      </c>
      <c r="AG79" s="172">
        <f t="shared" si="5"/>
        <v>9.1173049377514115</v>
      </c>
      <c r="AH79" s="253">
        <f t="shared" si="3"/>
        <v>202306</v>
      </c>
    </row>
    <row r="80" spans="3:36" ht="15.75" hidden="1">
      <c r="C80" s="235">
        <v>45088</v>
      </c>
      <c r="D80" s="469">
        <v>367784</v>
      </c>
      <c r="E80" s="469">
        <v>29270</v>
      </c>
      <c r="F80" s="469">
        <v>18011.13</v>
      </c>
      <c r="G80" s="469">
        <v>3012</v>
      </c>
      <c r="H80" s="469">
        <v>2871</v>
      </c>
      <c r="I80" s="470">
        <v>170000</v>
      </c>
      <c r="J80" s="469">
        <v>187190.40000000002</v>
      </c>
      <c r="K80" s="469">
        <v>45539.24</v>
      </c>
      <c r="L80" s="469">
        <v>7683</v>
      </c>
      <c r="M80" s="469">
        <v>353283</v>
      </c>
      <c r="N80" s="469">
        <v>8992</v>
      </c>
      <c r="O80" s="469">
        <v>2872</v>
      </c>
      <c r="P80" s="469">
        <v>226.68439199999997</v>
      </c>
      <c r="Q80" s="337">
        <v>0</v>
      </c>
      <c r="R80" s="167">
        <f t="shared" si="4"/>
        <v>145662.5871264</v>
      </c>
      <c r="S80" s="472">
        <v>6.9027911889383162</v>
      </c>
      <c r="T80" s="472">
        <v>0.27602599999999999</v>
      </c>
      <c r="U80" s="472">
        <v>4.41983083531787E-3</v>
      </c>
      <c r="V80" s="472">
        <v>1.2E-2</v>
      </c>
      <c r="W80" s="472">
        <v>0.33139999999999997</v>
      </c>
      <c r="X80" s="332">
        <v>5.67</v>
      </c>
      <c r="Y80" s="472">
        <v>12.431450999999999</v>
      </c>
      <c r="Z80" s="472"/>
      <c r="AA80" s="472"/>
      <c r="AB80" s="472">
        <v>0</v>
      </c>
      <c r="AC80" s="472">
        <v>0.14838013631717104</v>
      </c>
      <c r="AD80" s="472">
        <v>5.6208887517096282E-2</v>
      </c>
      <c r="AE80" s="472">
        <v>3.0448002500000002</v>
      </c>
      <c r="AF80" s="472">
        <v>15.745794244323184</v>
      </c>
      <c r="AG80" s="172">
        <f t="shared" si="5"/>
        <v>9.026403142085865</v>
      </c>
      <c r="AH80" s="253">
        <f t="shared" si="3"/>
        <v>202306</v>
      </c>
      <c r="AI80" t="s">
        <v>1023</v>
      </c>
      <c r="AJ80" t="s">
        <v>1024</v>
      </c>
    </row>
    <row r="81" spans="3:36" ht="15.75" hidden="1">
      <c r="C81" s="237">
        <v>45089</v>
      </c>
      <c r="D81" s="471">
        <v>364213</v>
      </c>
      <c r="E81" s="471">
        <v>29195</v>
      </c>
      <c r="F81" s="471">
        <v>18012.55</v>
      </c>
      <c r="G81" s="471">
        <v>3021</v>
      </c>
      <c r="H81" s="471">
        <v>2848</v>
      </c>
      <c r="I81" s="470">
        <v>182000</v>
      </c>
      <c r="J81" s="471">
        <v>188261.76000000001</v>
      </c>
      <c r="K81" s="471">
        <v>48008.7</v>
      </c>
      <c r="L81" s="471">
        <v>7671</v>
      </c>
      <c r="M81" s="471">
        <v>360879</v>
      </c>
      <c r="N81" s="471">
        <v>9212</v>
      </c>
      <c r="O81" s="471">
        <v>558</v>
      </c>
      <c r="P81" s="471">
        <v>234.79823399999998</v>
      </c>
      <c r="Q81" s="337">
        <v>0</v>
      </c>
      <c r="R81" s="167">
        <f t="shared" si="4"/>
        <v>148241.45585530001</v>
      </c>
      <c r="S81" s="473">
        <v>6.8906149563779362</v>
      </c>
      <c r="T81" s="473">
        <v>0.29881099999999999</v>
      </c>
      <c r="U81" s="473">
        <v>4.5539959280412974E-3</v>
      </c>
      <c r="V81" s="473">
        <v>1.2E-2</v>
      </c>
      <c r="W81" s="473">
        <v>0.33138000000000001</v>
      </c>
      <c r="X81" s="332">
        <v>5.67</v>
      </c>
      <c r="Y81" s="473">
        <v>12.246572</v>
      </c>
      <c r="Z81" s="473"/>
      <c r="AA81" s="473"/>
      <c r="AB81" s="473">
        <v>0</v>
      </c>
      <c r="AC81" s="473">
        <v>0.15291082750242818</v>
      </c>
      <c r="AD81" s="473">
        <v>5.7086708934239845E-2</v>
      </c>
      <c r="AE81" s="473">
        <v>2.99990025</v>
      </c>
      <c r="AF81" s="473">
        <v>15.747804738536644</v>
      </c>
      <c r="AG81" s="172">
        <f t="shared" si="5"/>
        <v>8.9652654852921518</v>
      </c>
      <c r="AH81" s="253">
        <f t="shared" si="3"/>
        <v>202306</v>
      </c>
      <c r="AI81" t="s">
        <v>1025</v>
      </c>
      <c r="AJ81" t="s">
        <v>1026</v>
      </c>
    </row>
    <row r="82" spans="3:36" ht="15" hidden="1" customHeight="1">
      <c r="C82" s="235">
        <v>45090</v>
      </c>
      <c r="D82" s="469">
        <v>363659</v>
      </c>
      <c r="E82" s="469">
        <v>29082</v>
      </c>
      <c r="F82" s="469">
        <v>17950.310000000001</v>
      </c>
      <c r="G82" s="469">
        <v>3026</v>
      </c>
      <c r="H82" s="469">
        <v>2812</v>
      </c>
      <c r="I82" s="470">
        <v>182000</v>
      </c>
      <c r="J82" s="469">
        <v>188455</v>
      </c>
      <c r="K82" s="469">
        <v>47777.5</v>
      </c>
      <c r="L82" s="469">
        <v>5897</v>
      </c>
      <c r="M82" s="469">
        <v>348823</v>
      </c>
      <c r="N82" s="469">
        <v>9273</v>
      </c>
      <c r="O82" s="469">
        <v>7055</v>
      </c>
      <c r="P82" s="469">
        <v>215.92883399999997</v>
      </c>
      <c r="Q82" s="337">
        <v>0</v>
      </c>
      <c r="R82" s="167">
        <f t="shared" si="4"/>
        <v>149800.32412530002</v>
      </c>
      <c r="S82" s="472">
        <v>7.1737831554565137</v>
      </c>
      <c r="T82" s="472">
        <v>0.271061</v>
      </c>
      <c r="U82" s="472">
        <v>4.6786748860955917E-3</v>
      </c>
      <c r="V82" s="472">
        <v>1.2E-2</v>
      </c>
      <c r="W82" s="472">
        <v>0.33237</v>
      </c>
      <c r="X82" s="332">
        <v>5.67</v>
      </c>
      <c r="Y82" s="472">
        <v>12.31</v>
      </c>
      <c r="Z82" s="472"/>
      <c r="AA82" s="472"/>
      <c r="AB82" s="472">
        <v>0</v>
      </c>
      <c r="AC82" s="472">
        <v>0.15517617309505674</v>
      </c>
      <c r="AD82" s="472">
        <v>5.816274809073841E-2</v>
      </c>
      <c r="AE82" s="472">
        <v>2.9964002500000002</v>
      </c>
      <c r="AF82" s="472">
        <v>15.655152103798134</v>
      </c>
      <c r="AG82" s="172">
        <f t="shared" si="5"/>
        <v>8.9652363817337459</v>
      </c>
      <c r="AH82" s="253">
        <f t="shared" si="3"/>
        <v>202306</v>
      </c>
      <c r="AI82" t="s">
        <v>1029</v>
      </c>
      <c r="AJ82" t="s">
        <v>1028</v>
      </c>
    </row>
    <row r="83" spans="3:36" ht="15.75" hidden="1">
      <c r="C83" s="237">
        <v>45091</v>
      </c>
      <c r="D83" s="471">
        <v>358827</v>
      </c>
      <c r="E83" s="471">
        <v>29711</v>
      </c>
      <c r="F83" s="471">
        <v>17901.43</v>
      </c>
      <c r="G83" s="471">
        <v>3039</v>
      </c>
      <c r="H83" s="471">
        <v>2770</v>
      </c>
      <c r="I83" s="470">
        <v>182000</v>
      </c>
      <c r="J83" s="471">
        <v>189228.96000000002</v>
      </c>
      <c r="K83" s="471">
        <v>44930.189999999995</v>
      </c>
      <c r="L83" s="471">
        <v>3935</v>
      </c>
      <c r="M83" s="471">
        <v>353369</v>
      </c>
      <c r="N83" s="471">
        <v>9153</v>
      </c>
      <c r="O83" s="471">
        <v>589</v>
      </c>
      <c r="P83" s="471">
        <v>222.91051199999998</v>
      </c>
      <c r="Q83" s="337">
        <v>0</v>
      </c>
      <c r="R83" s="167">
        <f t="shared" si="4"/>
        <v>146390.27028040003</v>
      </c>
      <c r="S83" s="473">
        <v>6.8747575372295406</v>
      </c>
      <c r="T83" s="473">
        <v>0.27135900000000002</v>
      </c>
      <c r="U83" s="473">
        <v>4.3964694588938882E-3</v>
      </c>
      <c r="V83" s="473">
        <v>1.2E-2</v>
      </c>
      <c r="W83" s="473">
        <v>0.32816000000000001</v>
      </c>
      <c r="X83" s="332">
        <v>5.67</v>
      </c>
      <c r="Y83" s="473">
        <v>12.200682</v>
      </c>
      <c r="Z83" s="473"/>
      <c r="AA83" s="473"/>
      <c r="AB83" s="473">
        <v>0</v>
      </c>
      <c r="AC83" s="473">
        <v>0.18320982480383521</v>
      </c>
      <c r="AD83" s="473">
        <v>5.3547106445757713E-2</v>
      </c>
      <c r="AE83" s="473">
        <v>2.9846002500000002</v>
      </c>
      <c r="AF83" s="473">
        <v>15.747238402138487</v>
      </c>
      <c r="AG83" s="172">
        <f t="shared" si="5"/>
        <v>8.9371612419014959</v>
      </c>
      <c r="AH83" s="253">
        <f t="shared" si="3"/>
        <v>202306</v>
      </c>
      <c r="AI83" t="s">
        <v>1031</v>
      </c>
      <c r="AJ83" t="s">
        <v>1030</v>
      </c>
    </row>
    <row r="84" spans="3:36" ht="15.75" hidden="1">
      <c r="C84" s="235">
        <v>45092</v>
      </c>
      <c r="D84" s="469">
        <v>332780</v>
      </c>
      <c r="E84" s="469">
        <v>29421</v>
      </c>
      <c r="F84" s="469">
        <v>17886.8</v>
      </c>
      <c r="G84" s="469">
        <v>3023</v>
      </c>
      <c r="H84" s="469">
        <v>2823</v>
      </c>
      <c r="I84" s="470">
        <v>182000</v>
      </c>
      <c r="J84" s="469">
        <v>190457</v>
      </c>
      <c r="K84" s="469">
        <v>41728.379999999997</v>
      </c>
      <c r="L84" s="469">
        <v>7690</v>
      </c>
      <c r="M84" s="469">
        <v>369274</v>
      </c>
      <c r="N84" s="469">
        <v>9300</v>
      </c>
      <c r="O84" s="469">
        <v>4835</v>
      </c>
      <c r="P84" s="469">
        <v>221.08646999999999</v>
      </c>
      <c r="Q84" s="337">
        <v>0</v>
      </c>
      <c r="R84" s="167">
        <f t="shared" si="4"/>
        <v>148519.72441149998</v>
      </c>
      <c r="S84" s="472">
        <v>6.7411021472644546</v>
      </c>
      <c r="T84" s="472">
        <v>0.27214699999999997</v>
      </c>
      <c r="U84" s="472">
        <v>4.2161196329007465E-3</v>
      </c>
      <c r="V84" s="472">
        <v>1.2E-2</v>
      </c>
      <c r="W84" s="472">
        <v>0.32527999999999996</v>
      </c>
      <c r="X84" s="332">
        <v>5.67</v>
      </c>
      <c r="Y84" s="472">
        <v>12.21</v>
      </c>
      <c r="Z84" s="472"/>
      <c r="AA84" s="472"/>
      <c r="AB84" s="472">
        <v>0</v>
      </c>
      <c r="AC84" s="472">
        <v>0.17641378802594954</v>
      </c>
      <c r="AD84" s="472">
        <v>5.4906313801334851E-2</v>
      </c>
      <c r="AE84" s="472">
        <v>2.9543002500000002</v>
      </c>
      <c r="AF84" s="472">
        <v>15.748795827233417</v>
      </c>
      <c r="AG84" s="172">
        <f t="shared" si="5"/>
        <v>8.9201288786779092</v>
      </c>
      <c r="AH84" s="253">
        <f t="shared" si="3"/>
        <v>202306</v>
      </c>
      <c r="AI84" t="s">
        <v>1032</v>
      </c>
      <c r="AJ84" t="s">
        <v>1033</v>
      </c>
    </row>
    <row r="85" spans="3:36" ht="15.75" hidden="1">
      <c r="C85" s="237">
        <v>45093</v>
      </c>
      <c r="D85" s="471">
        <v>352843</v>
      </c>
      <c r="E85" s="471">
        <v>29403</v>
      </c>
      <c r="F85" s="471">
        <v>17914.439999999999</v>
      </c>
      <c r="G85" s="471">
        <v>3008</v>
      </c>
      <c r="H85" s="471">
        <v>2773</v>
      </c>
      <c r="I85" s="470">
        <v>182000</v>
      </c>
      <c r="J85" s="471">
        <v>190902.96000000002</v>
      </c>
      <c r="K85" s="471">
        <v>50519.97</v>
      </c>
      <c r="L85" s="471">
        <v>7724</v>
      </c>
      <c r="M85" s="471">
        <v>368683</v>
      </c>
      <c r="N85" s="471">
        <v>8620</v>
      </c>
      <c r="O85" s="471">
        <v>830</v>
      </c>
      <c r="P85" s="471">
        <v>156.238632</v>
      </c>
      <c r="Q85" s="337">
        <v>0</v>
      </c>
      <c r="R85" s="167">
        <f t="shared" si="4"/>
        <v>149532.59578440001</v>
      </c>
      <c r="S85" s="473">
        <v>6.9463990915964153</v>
      </c>
      <c r="T85" s="473">
        <v>0.27455499999999999</v>
      </c>
      <c r="U85" s="473">
        <v>4.1246563045983682E-3</v>
      </c>
      <c r="V85" s="473">
        <v>1.2E-2</v>
      </c>
      <c r="W85" s="473">
        <v>0.32647999999999999</v>
      </c>
      <c r="X85" s="332">
        <v>5.67</v>
      </c>
      <c r="Y85" s="473">
        <v>12.480666999999999</v>
      </c>
      <c r="Z85" s="473"/>
      <c r="AA85" s="473"/>
      <c r="AB85" s="473">
        <v>0</v>
      </c>
      <c r="AC85" s="473">
        <v>0.16140587347478527</v>
      </c>
      <c r="AD85" s="473">
        <v>5.459482878234842E-2</v>
      </c>
      <c r="AE85" s="473">
        <v>2.3988002499999999</v>
      </c>
      <c r="AF85" s="473">
        <v>15.688112882170879</v>
      </c>
      <c r="AG85" s="172">
        <f t="shared" si="5"/>
        <v>8.7349642284933111</v>
      </c>
      <c r="AH85" s="253">
        <f t="shared" si="3"/>
        <v>202306</v>
      </c>
      <c r="AJ85" t="s">
        <v>1034</v>
      </c>
    </row>
    <row r="86" spans="3:36" ht="15.75" hidden="1">
      <c r="C86" s="235">
        <v>45094</v>
      </c>
      <c r="D86" s="469">
        <v>337621</v>
      </c>
      <c r="E86" s="469">
        <v>29233</v>
      </c>
      <c r="F86" s="469">
        <v>17895.7</v>
      </c>
      <c r="G86" s="469">
        <v>3022</v>
      </c>
      <c r="H86" s="469">
        <v>2807</v>
      </c>
      <c r="I86" s="470">
        <v>182000</v>
      </c>
      <c r="J86" s="469">
        <v>190449.12000000002</v>
      </c>
      <c r="K86" s="469">
        <v>49991.259999999995</v>
      </c>
      <c r="L86" s="469">
        <v>7684</v>
      </c>
      <c r="M86" s="469">
        <v>328604</v>
      </c>
      <c r="N86" s="469">
        <v>8600</v>
      </c>
      <c r="O86" s="469">
        <v>6153</v>
      </c>
      <c r="P86" s="469">
        <v>256.18355399999996</v>
      </c>
      <c r="Q86" s="337">
        <v>0</v>
      </c>
      <c r="R86" s="167">
        <f t="shared" si="4"/>
        <v>149471.93889930003</v>
      </c>
      <c r="S86" s="472">
        <v>6.971601061314411</v>
      </c>
      <c r="T86" s="472">
        <v>0.27382400000000001</v>
      </c>
      <c r="U86" s="472">
        <v>4.334937009234114E-3</v>
      </c>
      <c r="V86" s="472">
        <v>1.2E-2</v>
      </c>
      <c r="W86" s="472">
        <v>0.33423000000000003</v>
      </c>
      <c r="X86" s="332">
        <v>5.67</v>
      </c>
      <c r="Y86" s="472">
        <v>12.596613999999999</v>
      </c>
      <c r="Z86" s="472"/>
      <c r="AA86" s="472"/>
      <c r="AB86" s="472">
        <v>0</v>
      </c>
      <c r="AC86" s="472">
        <v>0.16197220987294242</v>
      </c>
      <c r="AD86" s="472">
        <v>5.5161165180505567E-2</v>
      </c>
      <c r="AE86" s="472">
        <v>3.00240025</v>
      </c>
      <c r="AF86" s="472">
        <v>8.762271801827568</v>
      </c>
      <c r="AG86" s="172">
        <f t="shared" si="5"/>
        <v>7.8679082883917397</v>
      </c>
      <c r="AH86" s="253">
        <f t="shared" si="3"/>
        <v>202306</v>
      </c>
      <c r="AI86" t="s">
        <v>1036</v>
      </c>
    </row>
    <row r="87" spans="3:36" ht="15.75" hidden="1">
      <c r="C87" s="237">
        <v>45095</v>
      </c>
      <c r="D87" s="471">
        <v>348050</v>
      </c>
      <c r="E87" s="471">
        <v>29170</v>
      </c>
      <c r="F87" s="471">
        <v>17847.830000000002</v>
      </c>
      <c r="G87" s="471">
        <v>3043</v>
      </c>
      <c r="H87" s="471">
        <v>2851</v>
      </c>
      <c r="I87" s="470">
        <v>182000</v>
      </c>
      <c r="J87" s="471">
        <v>190092</v>
      </c>
      <c r="K87" s="471">
        <v>47701.93</v>
      </c>
      <c r="L87" s="471">
        <v>3106</v>
      </c>
      <c r="M87" s="471">
        <v>359528</v>
      </c>
      <c r="N87" s="471">
        <v>8615</v>
      </c>
      <c r="O87" s="471">
        <v>1090</v>
      </c>
      <c r="P87" s="471">
        <v>181.020444</v>
      </c>
      <c r="Q87" s="337">
        <v>0</v>
      </c>
      <c r="R87" s="167">
        <f t="shared" si="4"/>
        <v>147126.79019979999</v>
      </c>
      <c r="S87" s="473">
        <v>7.0959119007098996</v>
      </c>
      <c r="T87" s="473">
        <v>0.28206300000000001</v>
      </c>
      <c r="U87" s="473">
        <v>4.4481759720456353E-3</v>
      </c>
      <c r="V87" s="473">
        <v>1.2E-2</v>
      </c>
      <c r="W87" s="473">
        <v>0.33029000000000003</v>
      </c>
      <c r="X87" s="332">
        <v>5.67</v>
      </c>
      <c r="Y87" s="473">
        <v>12.468109</v>
      </c>
      <c r="Z87" s="473"/>
      <c r="AA87" s="473"/>
      <c r="AB87" s="473">
        <v>0</v>
      </c>
      <c r="AC87" s="473">
        <v>0.16593656466004242</v>
      </c>
      <c r="AD87" s="473">
        <v>5.5387699739768419E-2</v>
      </c>
      <c r="AE87" s="473">
        <v>2.97610025</v>
      </c>
      <c r="AF87" s="473">
        <v>3.1068082130104457</v>
      </c>
      <c r="AG87" s="172">
        <f t="shared" si="5"/>
        <v>6.8629952488071178</v>
      </c>
      <c r="AH87" s="253">
        <f t="shared" si="3"/>
        <v>202306</v>
      </c>
      <c r="AI87" t="s">
        <v>1037</v>
      </c>
      <c r="AJ87" t="s">
        <v>1035</v>
      </c>
    </row>
    <row r="88" spans="3:36" ht="15.75" hidden="1">
      <c r="C88" s="235">
        <v>45096</v>
      </c>
      <c r="D88" s="469">
        <v>336616</v>
      </c>
      <c r="E88" s="469">
        <v>30057</v>
      </c>
      <c r="F88" s="469">
        <v>17829.34</v>
      </c>
      <c r="G88" s="469">
        <v>3050</v>
      </c>
      <c r="H88" s="469">
        <v>2813</v>
      </c>
      <c r="I88" s="470">
        <v>168000</v>
      </c>
      <c r="J88" s="469">
        <v>187436</v>
      </c>
      <c r="K88" s="469">
        <v>48067.979999999996</v>
      </c>
      <c r="L88" s="469">
        <v>5911</v>
      </c>
      <c r="M88" s="469">
        <v>354107</v>
      </c>
      <c r="N88" s="469">
        <v>8891</v>
      </c>
      <c r="O88" s="469">
        <v>6642</v>
      </c>
      <c r="P88" s="469">
        <v>214.79666999999998</v>
      </c>
      <c r="Q88" s="337">
        <v>0</v>
      </c>
      <c r="R88" s="167">
        <f t="shared" si="4"/>
        <v>146381.88985149999</v>
      </c>
      <c r="S88" s="472">
        <v>6.9523456237770693</v>
      </c>
      <c r="T88" s="472">
        <v>0.27842499999999998</v>
      </c>
      <c r="U88" s="472">
        <v>4.5403472208457099E-3</v>
      </c>
      <c r="V88" s="472">
        <v>1.2E-2</v>
      </c>
      <c r="W88" s="472">
        <v>0.33033999999999997</v>
      </c>
      <c r="X88" s="332">
        <v>5.67</v>
      </c>
      <c r="Y88" s="472">
        <v>12.57</v>
      </c>
      <c r="Z88" s="472"/>
      <c r="AA88" s="472"/>
      <c r="AB88" s="472">
        <v>0</v>
      </c>
      <c r="AC88" s="472">
        <v>0.16961775124806383</v>
      </c>
      <c r="AD88" s="472">
        <v>5.459482878234842E-2</v>
      </c>
      <c r="AE88" s="472">
        <v>2.9789002500000001</v>
      </c>
      <c r="AF88" s="472">
        <v>3.0157979538265933</v>
      </c>
      <c r="AG88" s="172">
        <f t="shared" si="5"/>
        <v>6.8711788257645896</v>
      </c>
      <c r="AH88" s="253">
        <f t="shared" si="3"/>
        <v>202306</v>
      </c>
      <c r="AI88" t="s">
        <v>1038</v>
      </c>
      <c r="AJ88" t="s">
        <v>1039</v>
      </c>
    </row>
    <row r="89" spans="3:36" ht="15.75" hidden="1">
      <c r="C89" s="237">
        <v>45097</v>
      </c>
      <c r="D89" s="471">
        <v>370622</v>
      </c>
      <c r="E89" s="471">
        <v>28937</v>
      </c>
      <c r="F89" s="471">
        <v>17832.41</v>
      </c>
      <c r="G89" s="471">
        <v>3039</v>
      </c>
      <c r="H89" s="471">
        <v>2802</v>
      </c>
      <c r="I89" s="470">
        <v>168000</v>
      </c>
      <c r="J89" s="471">
        <v>186424.08000000002</v>
      </c>
      <c r="K89" s="471">
        <v>48733.280000000006</v>
      </c>
      <c r="L89" s="471">
        <v>7615</v>
      </c>
      <c r="M89" s="471">
        <v>336799</v>
      </c>
      <c r="N89" s="471">
        <v>9007</v>
      </c>
      <c r="O89" s="471">
        <v>7058</v>
      </c>
      <c r="P89" s="471">
        <v>234.92402999999999</v>
      </c>
      <c r="Q89" s="337">
        <v>0</v>
      </c>
      <c r="R89" s="167">
        <f t="shared" si="4"/>
        <v>146660.8905635</v>
      </c>
      <c r="S89" s="473">
        <v>6.6485061461657624</v>
      </c>
      <c r="T89" s="473">
        <v>0.28081</v>
      </c>
      <c r="U89" s="473">
        <v>4.6352085675370313E-3</v>
      </c>
      <c r="V89" s="473">
        <v>1.2E-2</v>
      </c>
      <c r="W89" s="473">
        <v>0.32876</v>
      </c>
      <c r="X89" s="332">
        <v>5.67</v>
      </c>
      <c r="Y89" s="473">
        <v>12.514488</v>
      </c>
      <c r="Z89" s="473"/>
      <c r="AA89" s="561">
        <v>0</v>
      </c>
      <c r="AB89" s="473">
        <v>0</v>
      </c>
      <c r="AC89" s="473">
        <v>0.17924547001673524</v>
      </c>
      <c r="AD89" s="473">
        <v>5.9521955446315548E-2</v>
      </c>
      <c r="AE89" s="473">
        <v>2.9825002500000002</v>
      </c>
      <c r="AF89" s="473">
        <v>10.029392859064355</v>
      </c>
      <c r="AG89" s="172">
        <f t="shared" si="5"/>
        <v>8.0458184003950137</v>
      </c>
      <c r="AH89" s="253">
        <f t="shared" si="3"/>
        <v>202306</v>
      </c>
      <c r="AI89" t="s">
        <v>1040</v>
      </c>
      <c r="AJ89" t="s">
        <v>1041</v>
      </c>
    </row>
    <row r="90" spans="3:36" ht="15.75" hidden="1">
      <c r="C90" s="235">
        <v>45098</v>
      </c>
      <c r="D90" s="469">
        <v>362764</v>
      </c>
      <c r="E90" s="469">
        <v>29553</v>
      </c>
      <c r="F90" s="469">
        <v>17752.03</v>
      </c>
      <c r="G90" s="469">
        <v>3053</v>
      </c>
      <c r="H90" s="469">
        <v>2804</v>
      </c>
      <c r="I90" s="470">
        <v>168000</v>
      </c>
      <c r="J90" s="469">
        <v>186498</v>
      </c>
      <c r="K90" s="469">
        <v>50769.17</v>
      </c>
      <c r="L90" s="469">
        <v>3947</v>
      </c>
      <c r="M90" s="469">
        <v>326026</v>
      </c>
      <c r="N90" s="469">
        <v>9063</v>
      </c>
      <c r="O90" s="469">
        <v>964</v>
      </c>
      <c r="P90" s="469">
        <v>219.639816</v>
      </c>
      <c r="Q90" s="337">
        <v>0</v>
      </c>
      <c r="R90" s="167">
        <f t="shared" si="4"/>
        <v>143372.47356719998</v>
      </c>
      <c r="S90" s="472">
        <v>6.8353971575576171</v>
      </c>
      <c r="T90" s="472">
        <v>0.28245999999999999</v>
      </c>
      <c r="U90" s="472">
        <v>4.6890954758216832E-3</v>
      </c>
      <c r="V90" s="472">
        <v>1.2E-2</v>
      </c>
      <c r="W90" s="472">
        <v>0.33043</v>
      </c>
      <c r="X90" s="332">
        <v>5.67</v>
      </c>
      <c r="Y90" s="472">
        <v>12.63</v>
      </c>
      <c r="Z90" s="472"/>
      <c r="AA90" s="561">
        <v>0</v>
      </c>
      <c r="AB90" s="472">
        <v>0</v>
      </c>
      <c r="AC90" s="472">
        <v>0.17782962902134239</v>
      </c>
      <c r="AD90" s="472">
        <v>6.0399776863459126E-2</v>
      </c>
      <c r="AE90" s="472">
        <v>2.9795002500000001</v>
      </c>
      <c r="AF90" s="472">
        <v>15.521525030652958</v>
      </c>
      <c r="AG90" s="172">
        <f t="shared" si="5"/>
        <v>9.014829778821392</v>
      </c>
      <c r="AH90" s="253">
        <f t="shared" si="3"/>
        <v>202306</v>
      </c>
      <c r="AI90" t="s">
        <v>1042</v>
      </c>
      <c r="AJ90" t="s">
        <v>1043</v>
      </c>
    </row>
    <row r="91" spans="3:36" ht="15.75" hidden="1">
      <c r="C91" s="237">
        <v>45099</v>
      </c>
      <c r="D91" s="471">
        <v>362483</v>
      </c>
      <c r="E91" s="471">
        <v>29610</v>
      </c>
      <c r="F91" s="471">
        <v>17782.23</v>
      </c>
      <c r="G91" s="471">
        <v>3007</v>
      </c>
      <c r="H91" s="471">
        <v>2815</v>
      </c>
      <c r="I91" s="470">
        <v>168000</v>
      </c>
      <c r="J91" s="471">
        <v>185241.12</v>
      </c>
      <c r="K91" s="471">
        <v>47945.5</v>
      </c>
      <c r="L91" s="471">
        <v>1526</v>
      </c>
      <c r="M91" s="471">
        <v>335122</v>
      </c>
      <c r="N91" s="471">
        <v>8374</v>
      </c>
      <c r="O91" s="471">
        <v>218</v>
      </c>
      <c r="P91" s="471">
        <v>217.815774</v>
      </c>
      <c r="Q91" s="337">
        <v>0</v>
      </c>
      <c r="R91" s="167">
        <f t="shared" si="4"/>
        <v>141762.56909830004</v>
      </c>
      <c r="S91" s="473">
        <v>7.1839772106233388</v>
      </c>
      <c r="T91" s="473">
        <v>0.28586400000000001</v>
      </c>
      <c r="U91" s="473">
        <v>4.6883309216841709E-3</v>
      </c>
      <c r="V91" s="473">
        <v>1.2E-2</v>
      </c>
      <c r="W91" s="473">
        <v>0.32133999999999996</v>
      </c>
      <c r="X91" s="332">
        <v>5.67</v>
      </c>
      <c r="Y91" s="473">
        <v>12.496467000000001</v>
      </c>
      <c r="Z91" s="473"/>
      <c r="AA91" s="473"/>
      <c r="AB91" s="473">
        <v>0</v>
      </c>
      <c r="AC91" s="473">
        <v>0.16168904167386386</v>
      </c>
      <c r="AD91" s="473">
        <v>6.1532449659773406E-2</v>
      </c>
      <c r="AE91" s="473">
        <v>2.9833002500000001</v>
      </c>
      <c r="AF91" s="473">
        <v>15.330669664474001</v>
      </c>
      <c r="AG91" s="172">
        <f t="shared" si="5"/>
        <v>8.9479341351191941</v>
      </c>
      <c r="AH91" s="253">
        <f t="shared" si="3"/>
        <v>202306</v>
      </c>
      <c r="AI91" t="s">
        <v>1044</v>
      </c>
      <c r="AJ91" t="s">
        <v>1045</v>
      </c>
    </row>
    <row r="92" spans="3:36" ht="15.75" hidden="1">
      <c r="C92" s="235">
        <v>45100</v>
      </c>
      <c r="D92" s="469">
        <v>365332</v>
      </c>
      <c r="E92" s="469">
        <v>29711</v>
      </c>
      <c r="F92" s="469">
        <v>17787.45</v>
      </c>
      <c r="G92" s="469">
        <v>3017</v>
      </c>
      <c r="H92" s="469">
        <v>2798</v>
      </c>
      <c r="I92" s="470">
        <v>168000</v>
      </c>
      <c r="J92" s="469">
        <v>175703.04000000001</v>
      </c>
      <c r="K92" s="469">
        <v>48351.780000000006</v>
      </c>
      <c r="L92" s="469">
        <v>6743</v>
      </c>
      <c r="M92" s="469">
        <v>344506</v>
      </c>
      <c r="N92" s="469">
        <v>8836</v>
      </c>
      <c r="O92" s="469">
        <v>4288</v>
      </c>
      <c r="P92" s="469">
        <v>209.01005399999997</v>
      </c>
      <c r="Q92" s="337">
        <v>0</v>
      </c>
      <c r="R92" s="167">
        <f t="shared" si="4"/>
        <v>142777.79287430001</v>
      </c>
      <c r="S92" s="472">
        <v>8.3265608939053699</v>
      </c>
      <c r="T92" s="472">
        <v>0.27719500000000002</v>
      </c>
      <c r="U92" s="472">
        <v>4.5983117511970931E-3</v>
      </c>
      <c r="V92" s="472">
        <v>1.2E-2</v>
      </c>
      <c r="W92" s="472">
        <v>0.32139000000000001</v>
      </c>
      <c r="X92" s="332">
        <v>5.67</v>
      </c>
      <c r="Y92" s="472">
        <v>12.476372999999999</v>
      </c>
      <c r="Z92" s="472"/>
      <c r="AA92" s="472"/>
      <c r="AB92" s="472">
        <v>0</v>
      </c>
      <c r="AC92" s="472">
        <v>0.15772468688676386</v>
      </c>
      <c r="AD92" s="472">
        <v>6.0682945062537685E-2</v>
      </c>
      <c r="AE92" s="472">
        <v>2.9722002500000002</v>
      </c>
      <c r="AF92" s="472">
        <v>15.037817112986943</v>
      </c>
      <c r="AG92" s="172">
        <f t="shared" si="5"/>
        <v>8.9111939201653918</v>
      </c>
      <c r="AH92" s="253">
        <f t="shared" si="3"/>
        <v>202306</v>
      </c>
      <c r="AJ92" t="s">
        <v>1047</v>
      </c>
    </row>
    <row r="93" spans="3:36" ht="15.75" hidden="1">
      <c r="C93" s="237">
        <v>45101</v>
      </c>
      <c r="D93" s="471">
        <v>361880</v>
      </c>
      <c r="E93" s="471">
        <v>29491</v>
      </c>
      <c r="F93" s="471">
        <v>17771.37</v>
      </c>
      <c r="G93" s="471">
        <v>2909</v>
      </c>
      <c r="H93" s="471">
        <v>2783</v>
      </c>
      <c r="I93" s="470">
        <v>168000</v>
      </c>
      <c r="J93" s="471">
        <v>176127.12</v>
      </c>
      <c r="K93" s="471">
        <v>46197.070000000007</v>
      </c>
      <c r="L93" s="471">
        <v>2146</v>
      </c>
      <c r="M93" s="471">
        <v>365995</v>
      </c>
      <c r="N93" s="471">
        <v>9010</v>
      </c>
      <c r="O93" s="471">
        <v>7277</v>
      </c>
      <c r="P93" s="471">
        <v>222.53312400000002</v>
      </c>
      <c r="Q93" s="337">
        <v>0</v>
      </c>
      <c r="R93" s="167">
        <f t="shared" si="4"/>
        <v>143101.33810579998</v>
      </c>
      <c r="S93" s="473">
        <v>6.948381268989964</v>
      </c>
      <c r="T93" s="473">
        <v>0.27388899999999999</v>
      </c>
      <c r="U93" s="473">
        <v>4.5048379286812571E-3</v>
      </c>
      <c r="V93" s="473">
        <v>1.2E-2</v>
      </c>
      <c r="W93" s="473">
        <v>0.32518999999999998</v>
      </c>
      <c r="X93" s="332">
        <v>5.67</v>
      </c>
      <c r="Y93" s="473">
        <v>12.399906000000001</v>
      </c>
      <c r="Z93" s="473"/>
      <c r="AA93" s="473"/>
      <c r="AB93" s="473">
        <v>0</v>
      </c>
      <c r="AC93" s="473">
        <v>0.16282171447017812</v>
      </c>
      <c r="AD93" s="473">
        <v>5.955027226622342E-2</v>
      </c>
      <c r="AE93" s="473">
        <v>2.9746002499999999</v>
      </c>
      <c r="AF93" s="473">
        <v>15.028812364256245</v>
      </c>
      <c r="AG93" s="172">
        <f t="shared" si="5"/>
        <v>8.8619752957855162</v>
      </c>
      <c r="AH93" s="253">
        <f t="shared" ref="AH93:AH156" si="6">IF($AK$1&gt;=C93,(YEAR(C93)*100+MONTH(C93)),0)</f>
        <v>202306</v>
      </c>
      <c r="AJ93" t="s">
        <v>1046</v>
      </c>
    </row>
    <row r="94" spans="3:36" ht="15.75" hidden="1">
      <c r="C94" s="235">
        <v>45102</v>
      </c>
      <c r="D94" s="469">
        <v>360050</v>
      </c>
      <c r="E94" s="469">
        <v>32113</v>
      </c>
      <c r="F94" s="469">
        <v>17777.11</v>
      </c>
      <c r="G94" s="469">
        <v>3003</v>
      </c>
      <c r="H94" s="469">
        <v>2836</v>
      </c>
      <c r="I94" s="470">
        <v>168000</v>
      </c>
      <c r="J94" s="469">
        <v>183485.28</v>
      </c>
      <c r="K94" s="469">
        <v>45826.119999999995</v>
      </c>
      <c r="L94" s="469">
        <v>7528</v>
      </c>
      <c r="M94" s="469">
        <v>367442</v>
      </c>
      <c r="N94" s="469">
        <v>8708</v>
      </c>
      <c r="O94" s="469">
        <v>3867</v>
      </c>
      <c r="P94" s="469">
        <v>212.90973</v>
      </c>
      <c r="Q94" s="337">
        <v>0</v>
      </c>
      <c r="R94" s="167">
        <f t="shared" si="4"/>
        <v>145646.14417849999</v>
      </c>
      <c r="S94" s="472">
        <v>7.2114445259339615</v>
      </c>
      <c r="T94" s="472">
        <v>0.287352</v>
      </c>
      <c r="U94" s="472">
        <v>4.6467335132395291E-3</v>
      </c>
      <c r="V94" s="472">
        <v>1.2E-2</v>
      </c>
      <c r="W94" s="472">
        <v>0.32267000000000001</v>
      </c>
      <c r="X94" s="332">
        <v>5.67</v>
      </c>
      <c r="Y94" s="472">
        <v>12.552438</v>
      </c>
      <c r="Z94" s="472"/>
      <c r="AA94" s="472"/>
      <c r="AB94" s="472">
        <v>0</v>
      </c>
      <c r="AC94" s="472">
        <v>0.16083953707662813</v>
      </c>
      <c r="AD94" s="472">
        <v>5.9295420887052697E-2</v>
      </c>
      <c r="AE94" s="472">
        <v>2.75070025</v>
      </c>
      <c r="AF94" s="472">
        <v>15.028670780156704</v>
      </c>
      <c r="AG94" s="172">
        <f t="shared" si="5"/>
        <v>8.8078256645682327</v>
      </c>
      <c r="AH94" s="253">
        <f t="shared" si="6"/>
        <v>202306</v>
      </c>
      <c r="AI94" t="s">
        <v>1049</v>
      </c>
      <c r="AJ94" t="s">
        <v>1048</v>
      </c>
    </row>
    <row r="95" spans="3:36" ht="15.75" hidden="1">
      <c r="C95" s="237">
        <v>45103</v>
      </c>
      <c r="D95" s="471">
        <v>362606</v>
      </c>
      <c r="E95" s="471">
        <v>31962</v>
      </c>
      <c r="F95" s="471">
        <v>17746.240000000002</v>
      </c>
      <c r="G95" s="471">
        <v>3010</v>
      </c>
      <c r="H95" s="471">
        <v>2772</v>
      </c>
      <c r="I95" s="470">
        <v>174000</v>
      </c>
      <c r="J95" s="471">
        <v>183790.32</v>
      </c>
      <c r="K95" s="471">
        <v>47027.65</v>
      </c>
      <c r="L95" s="471">
        <v>7587</v>
      </c>
      <c r="M95" s="471">
        <v>366334</v>
      </c>
      <c r="N95" s="471">
        <v>8214</v>
      </c>
      <c r="O95" s="471">
        <v>732</v>
      </c>
      <c r="P95" s="471">
        <v>224.86034999999998</v>
      </c>
      <c r="Q95" s="337">
        <v>0</v>
      </c>
      <c r="R95" s="167">
        <f t="shared" si="4"/>
        <v>145828.95320750002</v>
      </c>
      <c r="S95" s="473">
        <v>6.959424828754031</v>
      </c>
      <c r="T95" s="473">
        <v>0.29993300000000001</v>
      </c>
      <c r="U95" s="473">
        <v>4.5974339297799498E-3</v>
      </c>
      <c r="V95" s="473">
        <v>1.2E-2</v>
      </c>
      <c r="W95" s="473">
        <v>0.33302999999999999</v>
      </c>
      <c r="X95" s="332">
        <v>5.67</v>
      </c>
      <c r="Y95" s="473">
        <v>12.470635</v>
      </c>
      <c r="Z95" s="473"/>
      <c r="AA95" s="473"/>
      <c r="AB95" s="561">
        <v>0</v>
      </c>
      <c r="AC95" s="473">
        <v>0.19510288916513518</v>
      </c>
      <c r="AD95" s="473">
        <v>6.2183736517654124E-2</v>
      </c>
      <c r="AE95" s="473">
        <v>2.9606002500000002</v>
      </c>
      <c r="AF95" s="473">
        <v>15.027906226019192</v>
      </c>
      <c r="AG95" s="172">
        <f t="shared" si="5"/>
        <v>8.8937069106335542</v>
      </c>
      <c r="AH95" s="253">
        <f t="shared" si="6"/>
        <v>202306</v>
      </c>
      <c r="AI95" t="s">
        <v>1058</v>
      </c>
      <c r="AJ95" t="s">
        <v>1057</v>
      </c>
    </row>
    <row r="96" spans="3:36" ht="15.75" hidden="1">
      <c r="C96" s="235">
        <v>45104</v>
      </c>
      <c r="D96" s="469">
        <v>360310</v>
      </c>
      <c r="E96" s="469">
        <v>31553</v>
      </c>
      <c r="F96" s="469">
        <v>17701.53</v>
      </c>
      <c r="G96" s="469">
        <v>2964</v>
      </c>
      <c r="H96" s="469">
        <v>2774</v>
      </c>
      <c r="I96" s="470">
        <v>174000</v>
      </c>
      <c r="J96" s="469">
        <v>185300.64</v>
      </c>
      <c r="K96" s="469">
        <v>47460.480000000003</v>
      </c>
      <c r="L96" s="469">
        <v>7683</v>
      </c>
      <c r="M96" s="469">
        <v>368893</v>
      </c>
      <c r="N96" s="469">
        <v>8221</v>
      </c>
      <c r="O96" s="469">
        <v>470</v>
      </c>
      <c r="P96" s="469">
        <v>216.99809999999999</v>
      </c>
      <c r="Q96" s="337">
        <v>0</v>
      </c>
      <c r="R96" s="167">
        <f t="shared" si="4"/>
        <v>146132.03129499999</v>
      </c>
      <c r="S96" s="472">
        <v>7.0228545053476337</v>
      </c>
      <c r="T96" s="472">
        <v>0.308174</v>
      </c>
      <c r="U96" s="472">
        <v>4.7208103141184827E-3</v>
      </c>
      <c r="V96" s="472">
        <v>1.2E-2</v>
      </c>
      <c r="W96" s="472">
        <v>0.32229000000000002</v>
      </c>
      <c r="X96" s="332">
        <v>5.67</v>
      </c>
      <c r="Y96" s="472">
        <v>12.341331</v>
      </c>
      <c r="Z96" s="472"/>
      <c r="AA96" s="472"/>
      <c r="AB96" s="472">
        <v>0</v>
      </c>
      <c r="AC96" s="472">
        <v>0.17386527423424239</v>
      </c>
      <c r="AD96" s="472">
        <v>5.8417599469909133E-2</v>
      </c>
      <c r="AE96" s="472">
        <v>2.9565002499999999</v>
      </c>
      <c r="AF96" s="472">
        <v>14.951394178628163</v>
      </c>
      <c r="AG96" s="172">
        <f t="shared" si="5"/>
        <v>8.834429889113931</v>
      </c>
      <c r="AH96" s="253">
        <f t="shared" si="6"/>
        <v>202306</v>
      </c>
      <c r="AI96" t="s">
        <v>1060</v>
      </c>
      <c r="AJ96" t="s">
        <v>1061</v>
      </c>
    </row>
    <row r="97" spans="3:36" ht="15.75" hidden="1">
      <c r="C97" s="237">
        <v>45105</v>
      </c>
      <c r="D97" s="471">
        <v>376872</v>
      </c>
      <c r="E97" s="471">
        <v>31113</v>
      </c>
      <c r="F97" s="471">
        <v>17710.41</v>
      </c>
      <c r="G97" s="471">
        <v>2881</v>
      </c>
      <c r="H97" s="471">
        <v>2764</v>
      </c>
      <c r="I97" s="470">
        <v>174000</v>
      </c>
      <c r="J97" s="471">
        <v>185605.68000000002</v>
      </c>
      <c r="K97" s="471">
        <v>41229.53</v>
      </c>
      <c r="L97" s="471">
        <v>7604</v>
      </c>
      <c r="M97" s="471">
        <v>371976</v>
      </c>
      <c r="N97" s="471">
        <v>8506</v>
      </c>
      <c r="O97" s="471">
        <v>5386</v>
      </c>
      <c r="P97" s="471">
        <v>214.48218</v>
      </c>
      <c r="Q97" s="337">
        <v>0</v>
      </c>
      <c r="R97" s="167">
        <f t="shared" si="4"/>
        <v>146972.981481</v>
      </c>
      <c r="S97" s="473">
        <v>6.8770228828221711</v>
      </c>
      <c r="T97" s="473">
        <v>0.30797999999999998</v>
      </c>
      <c r="U97" s="473">
        <v>4.6989497291496174E-3</v>
      </c>
      <c r="V97" s="473">
        <v>1.2E-2</v>
      </c>
      <c r="W97" s="473">
        <v>0.32041000000000003</v>
      </c>
      <c r="X97" s="332">
        <v>5.67</v>
      </c>
      <c r="Y97" s="473">
        <v>12.381644</v>
      </c>
      <c r="Z97" s="473"/>
      <c r="AA97" s="473"/>
      <c r="AB97" s="473">
        <v>0</v>
      </c>
      <c r="AC97" s="473">
        <v>0.17386527423424239</v>
      </c>
      <c r="AD97" s="473">
        <v>5.7313243493502704E-2</v>
      </c>
      <c r="AE97" s="473">
        <v>2.9467002500000001</v>
      </c>
      <c r="AF97" s="473">
        <v>15.028246027858085</v>
      </c>
      <c r="AG97" s="172">
        <f t="shared" si="5"/>
        <v>8.8478079482026395</v>
      </c>
      <c r="AH97" s="253">
        <f t="shared" si="6"/>
        <v>202306</v>
      </c>
      <c r="AJ97" t="s">
        <v>1062</v>
      </c>
    </row>
    <row r="98" spans="3:36" ht="15.75" hidden="1">
      <c r="C98" s="235">
        <v>45106</v>
      </c>
      <c r="D98" s="469">
        <v>356489</v>
      </c>
      <c r="E98" s="469">
        <v>32126</v>
      </c>
      <c r="F98" s="469">
        <v>17650.37</v>
      </c>
      <c r="G98" s="469">
        <v>2952</v>
      </c>
      <c r="H98" s="469">
        <v>2761</v>
      </c>
      <c r="I98" s="470">
        <v>174000</v>
      </c>
      <c r="J98" s="469">
        <v>186396.78263999999</v>
      </c>
      <c r="K98" s="469">
        <v>46450.450000000004</v>
      </c>
      <c r="L98" s="469">
        <v>7583</v>
      </c>
      <c r="M98" s="469">
        <v>374362</v>
      </c>
      <c r="N98" s="469">
        <v>8903</v>
      </c>
      <c r="O98" s="469">
        <v>483</v>
      </c>
      <c r="P98" s="469">
        <v>217.689978</v>
      </c>
      <c r="Q98" s="337">
        <v>0</v>
      </c>
      <c r="R98" s="167">
        <f t="shared" si="4"/>
        <v>146451.32012649998</v>
      </c>
      <c r="S98" s="472">
        <v>6.7125021591575162</v>
      </c>
      <c r="T98" s="472">
        <v>0.316826</v>
      </c>
      <c r="U98" s="472">
        <v>4.6998558673866687E-3</v>
      </c>
      <c r="V98" s="472">
        <v>1.2E-2</v>
      </c>
      <c r="W98" s="472">
        <v>0.31710000000000005</v>
      </c>
      <c r="X98" s="332">
        <v>5.67</v>
      </c>
      <c r="Y98" s="472">
        <v>12.093973999999999</v>
      </c>
      <c r="Z98" s="472"/>
      <c r="AA98" s="472"/>
      <c r="AB98" s="472">
        <v>0</v>
      </c>
      <c r="AC98" s="472">
        <v>0.1815108156093638</v>
      </c>
      <c r="AD98" s="472">
        <v>5.244275046935129E-2</v>
      </c>
      <c r="AE98" s="472">
        <v>2.9309002500000001</v>
      </c>
      <c r="AF98" s="472">
        <v>14.276434459304483</v>
      </c>
      <c r="AG98" s="172">
        <f t="shared" si="5"/>
        <v>8.6322672194702417</v>
      </c>
      <c r="AH98" s="253">
        <f t="shared" si="6"/>
        <v>202306</v>
      </c>
    </row>
    <row r="99" spans="3:36" ht="15.75" hidden="1">
      <c r="C99" s="237">
        <v>45107</v>
      </c>
      <c r="D99" s="471">
        <v>353498</v>
      </c>
      <c r="E99" s="471">
        <v>33365</v>
      </c>
      <c r="F99" s="471">
        <v>17675.45</v>
      </c>
      <c r="G99" s="471">
        <v>2966</v>
      </c>
      <c r="H99" s="471">
        <v>2788</v>
      </c>
      <c r="I99" s="470">
        <v>174000</v>
      </c>
      <c r="J99" s="471">
        <v>185278.32</v>
      </c>
      <c r="K99" s="471">
        <v>45104.51</v>
      </c>
      <c r="L99" s="471">
        <v>7566</v>
      </c>
      <c r="M99" s="471">
        <v>373235</v>
      </c>
      <c r="N99" s="471">
        <v>9134</v>
      </c>
      <c r="O99" s="471">
        <v>6134</v>
      </c>
      <c r="P99" s="471">
        <v>200.141436</v>
      </c>
      <c r="Q99" s="337">
        <v>0</v>
      </c>
      <c r="R99" s="167">
        <f t="shared" si="4"/>
        <v>148369.76064620001</v>
      </c>
      <c r="S99" s="473">
        <v>6.9059060391281815</v>
      </c>
      <c r="T99" s="473">
        <v>0.33451900000000001</v>
      </c>
      <c r="U99" s="473">
        <v>4.6858956751720951E-3</v>
      </c>
      <c r="V99" s="473">
        <v>1.2E-2</v>
      </c>
      <c r="W99" s="473">
        <v>0.32874000000000003</v>
      </c>
      <c r="X99" s="332">
        <v>5.67</v>
      </c>
      <c r="Y99" s="473">
        <v>12.367387000000001</v>
      </c>
      <c r="Z99" s="473"/>
      <c r="AA99" s="473"/>
      <c r="AB99" s="473">
        <v>0</v>
      </c>
      <c r="AC99" s="473">
        <v>0.19680189835960663</v>
      </c>
      <c r="AD99" s="473">
        <v>5.3547106445757713E-2</v>
      </c>
      <c r="AE99" s="473">
        <v>2.9484002500000002</v>
      </c>
      <c r="AF99" s="473">
        <v>14.932195374730636</v>
      </c>
      <c r="AG99" s="172">
        <f t="shared" si="5"/>
        <v>8.8457076840785493</v>
      </c>
      <c r="AH99" s="253">
        <f t="shared" si="6"/>
        <v>202306</v>
      </c>
    </row>
    <row r="100" spans="3:36" ht="15.75" hidden="1">
      <c r="C100" s="235">
        <v>45108</v>
      </c>
      <c r="D100" s="469">
        <v>358619</v>
      </c>
      <c r="E100" s="469">
        <v>34730</v>
      </c>
      <c r="F100" s="469">
        <v>17647.13</v>
      </c>
      <c r="G100" s="469">
        <v>2927</v>
      </c>
      <c r="H100" s="469">
        <v>2884</v>
      </c>
      <c r="I100" s="470">
        <v>174000</v>
      </c>
      <c r="J100" s="469">
        <v>184221.84</v>
      </c>
      <c r="K100" s="469">
        <v>46260.19</v>
      </c>
      <c r="L100" s="469">
        <v>7346</v>
      </c>
      <c r="M100" s="469">
        <v>369592</v>
      </c>
      <c r="N100" s="469">
        <v>9134</v>
      </c>
      <c r="O100" s="469">
        <v>834</v>
      </c>
      <c r="P100" s="469">
        <v>225.80381999999997</v>
      </c>
      <c r="Q100" s="337">
        <v>0</v>
      </c>
      <c r="R100" s="167">
        <f t="shared" si="4"/>
        <v>146620.27001900002</v>
      </c>
      <c r="S100" s="472">
        <v>6.7093873089676519</v>
      </c>
      <c r="T100" s="472">
        <v>0.31986500000000001</v>
      </c>
      <c r="U100" s="472">
        <v>4.6695851869051697E-3</v>
      </c>
      <c r="V100" s="472">
        <v>1.2E-2</v>
      </c>
      <c r="W100" s="472">
        <v>0.32644999999999996</v>
      </c>
      <c r="X100" s="332">
        <v>7.016</v>
      </c>
      <c r="Y100" s="472">
        <v>12.500062</v>
      </c>
      <c r="Z100" s="472"/>
      <c r="AA100" s="472"/>
      <c r="AB100" s="472">
        <v>0</v>
      </c>
      <c r="AC100" s="472">
        <v>0.19680189835960663</v>
      </c>
      <c r="AD100" s="472">
        <v>5.4651462422164135E-2</v>
      </c>
      <c r="AE100" s="472">
        <v>2.94620025</v>
      </c>
      <c r="AF100" s="472">
        <v>15.171529136591843</v>
      </c>
      <c r="AG100" s="172">
        <f t="shared" si="5"/>
        <v>9.1787440859770228</v>
      </c>
      <c r="AH100" s="253">
        <f t="shared" si="6"/>
        <v>202307</v>
      </c>
    </row>
    <row r="101" spans="3:36" ht="15.75" hidden="1">
      <c r="C101" s="237">
        <v>45109</v>
      </c>
      <c r="D101" s="471">
        <v>350793</v>
      </c>
      <c r="E101" s="471">
        <v>34981</v>
      </c>
      <c r="F101" s="471">
        <v>17690.240000000002</v>
      </c>
      <c r="G101" s="471">
        <v>2952</v>
      </c>
      <c r="H101" s="471">
        <v>2778</v>
      </c>
      <c r="I101" s="470">
        <v>174000</v>
      </c>
      <c r="J101" s="471">
        <v>182071.68000000002</v>
      </c>
      <c r="K101" s="471">
        <v>48913.24</v>
      </c>
      <c r="L101" s="471">
        <v>7408</v>
      </c>
      <c r="M101" s="471">
        <v>325971</v>
      </c>
      <c r="N101" s="471">
        <v>8712</v>
      </c>
      <c r="O101" s="471">
        <v>6350</v>
      </c>
      <c r="P101" s="471">
        <v>202.02837599999998</v>
      </c>
      <c r="Q101" s="337">
        <v>0</v>
      </c>
      <c r="R101" s="167">
        <f t="shared" si="4"/>
        <v>146967.5558692</v>
      </c>
      <c r="S101" s="473">
        <v>6.9047733663318676</v>
      </c>
      <c r="T101" s="473">
        <v>0.33312199999999997</v>
      </c>
      <c r="U101" s="473">
        <v>4.6647996443407412E-3</v>
      </c>
      <c r="V101" s="473">
        <v>1.2E-2</v>
      </c>
      <c r="W101" s="473">
        <v>0.32532</v>
      </c>
      <c r="X101" s="332">
        <v>7.016</v>
      </c>
      <c r="Y101" s="473">
        <v>12.500054</v>
      </c>
      <c r="Z101" s="473"/>
      <c r="AA101" s="473"/>
      <c r="AB101" s="473">
        <v>0</v>
      </c>
      <c r="AC101" s="473">
        <v>0.18972269338264236</v>
      </c>
      <c r="AD101" s="473">
        <v>5.6690273455529842E-2</v>
      </c>
      <c r="AE101" s="473">
        <v>2.9389002500000001</v>
      </c>
      <c r="AF101" s="473">
        <v>15.176909332374334</v>
      </c>
      <c r="AG101" s="172">
        <f t="shared" si="5"/>
        <v>9.1833679091712455</v>
      </c>
      <c r="AH101" s="253">
        <f t="shared" si="6"/>
        <v>202307</v>
      </c>
    </row>
    <row r="102" spans="3:36" ht="15.75" hidden="1">
      <c r="C102" s="235">
        <v>45110</v>
      </c>
      <c r="D102" s="469">
        <v>353140</v>
      </c>
      <c r="E102" s="469">
        <v>35371</v>
      </c>
      <c r="F102" s="469">
        <v>17623.62</v>
      </c>
      <c r="G102" s="469">
        <v>2986</v>
      </c>
      <c r="H102" s="469">
        <v>2860</v>
      </c>
      <c r="I102" s="470">
        <v>174000</v>
      </c>
      <c r="J102" s="469">
        <v>152311.68000000002</v>
      </c>
      <c r="K102" s="469">
        <v>46190.01</v>
      </c>
      <c r="L102" s="469">
        <v>7644</v>
      </c>
      <c r="M102" s="469">
        <v>364230</v>
      </c>
      <c r="N102" s="469">
        <v>8508</v>
      </c>
      <c r="O102" s="469">
        <v>1408</v>
      </c>
      <c r="P102" s="469">
        <v>208.00368599999999</v>
      </c>
      <c r="Q102" s="337">
        <v>0</v>
      </c>
      <c r="R102" s="167">
        <f t="shared" si="4"/>
        <v>138351.77395870004</v>
      </c>
      <c r="S102" s="472">
        <v>6.9339396908369633</v>
      </c>
      <c r="T102" s="472">
        <v>0.33385100000000001</v>
      </c>
      <c r="U102" s="472">
        <v>4.6535012331975064E-3</v>
      </c>
      <c r="V102" s="472">
        <v>1.2E-2</v>
      </c>
      <c r="W102" s="472">
        <v>0.31586000000000003</v>
      </c>
      <c r="X102" s="332">
        <v>7.016</v>
      </c>
      <c r="Y102" s="472">
        <v>12.163</v>
      </c>
      <c r="Z102" s="472"/>
      <c r="AA102" s="472"/>
      <c r="AB102" s="472">
        <v>0</v>
      </c>
      <c r="AC102" s="472">
        <v>0.19142170257711377</v>
      </c>
      <c r="AD102" s="472">
        <v>5.7822946251844122E-2</v>
      </c>
      <c r="AE102" s="472">
        <v>2.9473002500000001</v>
      </c>
      <c r="AF102" s="472">
        <v>15.175238639999773</v>
      </c>
      <c r="AG102" s="172">
        <f t="shared" si="5"/>
        <v>9.0912724748057538</v>
      </c>
      <c r="AH102" s="253">
        <f t="shared" si="6"/>
        <v>202307</v>
      </c>
      <c r="AI102" t="s">
        <v>1072</v>
      </c>
      <c r="AJ102" t="s">
        <v>1063</v>
      </c>
    </row>
    <row r="103" spans="3:36" ht="15.75" hidden="1">
      <c r="C103" s="237">
        <v>45111</v>
      </c>
      <c r="D103" s="471">
        <v>347544</v>
      </c>
      <c r="E103" s="471">
        <v>33623</v>
      </c>
      <c r="F103" s="471">
        <v>17612.12</v>
      </c>
      <c r="G103" s="471">
        <v>3002</v>
      </c>
      <c r="H103" s="471">
        <v>2762</v>
      </c>
      <c r="I103" s="470">
        <v>174000</v>
      </c>
      <c r="J103" s="471">
        <v>138577</v>
      </c>
      <c r="K103" s="471">
        <v>45248.52</v>
      </c>
      <c r="L103" s="471">
        <v>7745</v>
      </c>
      <c r="M103" s="471">
        <v>354962</v>
      </c>
      <c r="N103" s="471">
        <v>8486</v>
      </c>
      <c r="O103" s="471">
        <v>3617</v>
      </c>
      <c r="P103" s="471">
        <v>213.41291399999997</v>
      </c>
      <c r="Q103" s="337">
        <v>0</v>
      </c>
      <c r="R103" s="167">
        <f t="shared" si="4"/>
        <v>134383.36746129999</v>
      </c>
      <c r="S103" s="473">
        <v>6.938187213823138</v>
      </c>
      <c r="T103" s="473">
        <v>0.40017599999999998</v>
      </c>
      <c r="U103" s="473">
        <v>4.5012133757330519E-3</v>
      </c>
      <c r="V103" s="473">
        <v>1.2E-2</v>
      </c>
      <c r="W103" s="473">
        <v>0.30573</v>
      </c>
      <c r="X103" s="332">
        <v>7.016</v>
      </c>
      <c r="Y103" s="473">
        <v>12.26</v>
      </c>
      <c r="Z103" s="473"/>
      <c r="AA103" s="473"/>
      <c r="AB103" s="473">
        <v>0</v>
      </c>
      <c r="AC103" s="473">
        <v>0.18632467499369951</v>
      </c>
      <c r="AD103" s="473">
        <v>5.955027226622342E-2</v>
      </c>
      <c r="AE103" s="473">
        <v>2.9520002500000002</v>
      </c>
      <c r="AF103" s="473">
        <v>15.278425131744005</v>
      </c>
      <c r="AG103" s="172">
        <f t="shared" si="5"/>
        <v>9.144048702054608</v>
      </c>
      <c r="AH103" s="253">
        <f t="shared" si="6"/>
        <v>202307</v>
      </c>
      <c r="AI103" t="s">
        <v>1074</v>
      </c>
      <c r="AJ103" t="s">
        <v>1075</v>
      </c>
    </row>
    <row r="104" spans="3:36" ht="15.75" hidden="1">
      <c r="C104" s="235">
        <v>45112</v>
      </c>
      <c r="D104" s="469">
        <v>352709</v>
      </c>
      <c r="E104" s="469">
        <v>34453</v>
      </c>
      <c r="F104" s="469">
        <v>17257.7</v>
      </c>
      <c r="G104" s="469">
        <v>2963</v>
      </c>
      <c r="H104" s="469">
        <v>2736</v>
      </c>
      <c r="I104" s="470">
        <v>174000</v>
      </c>
      <c r="J104" s="469">
        <v>169669</v>
      </c>
      <c r="K104" s="469">
        <v>44704.45</v>
      </c>
      <c r="L104" s="469">
        <v>7718</v>
      </c>
      <c r="M104" s="469">
        <v>351227</v>
      </c>
      <c r="N104" s="469">
        <v>8721</v>
      </c>
      <c r="O104" s="469">
        <v>7160</v>
      </c>
      <c r="P104" s="469">
        <v>210.64540199999999</v>
      </c>
      <c r="Q104" s="337">
        <v>0</v>
      </c>
      <c r="R104" s="167">
        <f t="shared" si="4"/>
        <v>143666.97833089999</v>
      </c>
      <c r="S104" s="472">
        <v>7.0709930991909893</v>
      </c>
      <c r="T104" s="472">
        <v>0.412769</v>
      </c>
      <c r="U104" s="472">
        <v>3.4993076537532526E-3</v>
      </c>
      <c r="V104" s="472">
        <v>1.2E-2</v>
      </c>
      <c r="W104" s="472">
        <v>0.30557000000000001</v>
      </c>
      <c r="X104" s="332">
        <v>7.016</v>
      </c>
      <c r="Y104" s="472">
        <v>11.78</v>
      </c>
      <c r="Z104" s="472"/>
      <c r="AA104" s="472"/>
      <c r="AB104" s="472">
        <v>0</v>
      </c>
      <c r="AC104" s="472">
        <v>0.18575833859554233</v>
      </c>
      <c r="AD104" s="472">
        <v>6.0428093683366976E-2</v>
      </c>
      <c r="AE104" s="472">
        <v>2.9590002499999999</v>
      </c>
      <c r="AF104" s="472">
        <v>15.17620141187664</v>
      </c>
      <c r="AG104" s="172">
        <f t="shared" si="5"/>
        <v>9.0109160931868253</v>
      </c>
      <c r="AH104" s="253">
        <f t="shared" si="6"/>
        <v>202307</v>
      </c>
      <c r="AI104" t="s">
        <v>1076</v>
      </c>
      <c r="AJ104" t="s">
        <v>1077</v>
      </c>
    </row>
    <row r="105" spans="3:36" ht="15.75" hidden="1">
      <c r="C105" s="237">
        <v>45113</v>
      </c>
      <c r="D105" s="471">
        <v>341428</v>
      </c>
      <c r="E105" s="471">
        <v>34862</v>
      </c>
      <c r="F105" s="471">
        <v>16669.400000000001</v>
      </c>
      <c r="G105" s="471">
        <v>2990</v>
      </c>
      <c r="H105" s="471">
        <v>2672</v>
      </c>
      <c r="I105" s="470">
        <v>174000</v>
      </c>
      <c r="J105" s="471">
        <v>178321.92000000001</v>
      </c>
      <c r="K105" s="471">
        <v>46448.78</v>
      </c>
      <c r="L105" s="471">
        <v>5019</v>
      </c>
      <c r="M105" s="471">
        <v>345084</v>
      </c>
      <c r="N105" s="471">
        <v>7257</v>
      </c>
      <c r="O105" s="471">
        <v>1280</v>
      </c>
      <c r="P105" s="471">
        <v>220.77197999999999</v>
      </c>
      <c r="Q105" s="337">
        <v>0</v>
      </c>
      <c r="R105" s="167">
        <f t="shared" si="4"/>
        <v>142335.01214099998</v>
      </c>
      <c r="S105" s="473">
        <v>6.4763398811259911</v>
      </c>
      <c r="T105" s="473">
        <v>0.407109</v>
      </c>
      <c r="U105" s="473">
        <v>2.5342704312934839E-3</v>
      </c>
      <c r="V105" s="473">
        <v>1.2E-2</v>
      </c>
      <c r="W105" s="473">
        <v>0.30513000000000001</v>
      </c>
      <c r="X105" s="332">
        <v>7.016</v>
      </c>
      <c r="Y105" s="473">
        <v>12.458591</v>
      </c>
      <c r="Z105" s="473"/>
      <c r="AA105" s="473"/>
      <c r="AB105" s="473">
        <v>0</v>
      </c>
      <c r="AC105" s="473">
        <v>0.19793457115592089</v>
      </c>
      <c r="AD105" s="473">
        <v>5.8927302228250551E-2</v>
      </c>
      <c r="AE105" s="473">
        <v>2.9617002499999998</v>
      </c>
      <c r="AF105" s="473">
        <v>15.16578082215055</v>
      </c>
      <c r="AG105" s="172">
        <f t="shared" si="5"/>
        <v>9.1711521065399602</v>
      </c>
      <c r="AH105" s="253">
        <f t="shared" si="6"/>
        <v>202307</v>
      </c>
      <c r="AI105" t="s">
        <v>1078</v>
      </c>
      <c r="AJ105" t="s">
        <v>1079</v>
      </c>
    </row>
    <row r="106" spans="3:36" ht="15.75" hidden="1">
      <c r="C106" s="235">
        <v>45114</v>
      </c>
      <c r="D106" s="469">
        <v>348952</v>
      </c>
      <c r="E106" s="469">
        <v>33465</v>
      </c>
      <c r="F106" s="469">
        <v>16974.79</v>
      </c>
      <c r="G106" s="469">
        <v>2985</v>
      </c>
      <c r="H106" s="469">
        <v>2748</v>
      </c>
      <c r="I106" s="470">
        <v>174000</v>
      </c>
      <c r="J106" s="469">
        <v>179378.40000000002</v>
      </c>
      <c r="K106" s="469">
        <v>44838.52</v>
      </c>
      <c r="L106" s="469">
        <v>7040</v>
      </c>
      <c r="M106" s="469">
        <v>360195</v>
      </c>
      <c r="N106" s="469">
        <v>8811</v>
      </c>
      <c r="O106" s="469">
        <v>5810</v>
      </c>
      <c r="P106" s="469">
        <v>210.07931999999997</v>
      </c>
      <c r="Q106" s="337">
        <v>0</v>
      </c>
      <c r="R106" s="167">
        <f t="shared" si="4"/>
        <v>145361.15389399999</v>
      </c>
      <c r="S106" s="472">
        <v>10.48203722529145</v>
      </c>
      <c r="T106" s="472">
        <v>0.30439899999999998</v>
      </c>
      <c r="U106" s="472">
        <v>3.1858687741931828E-3</v>
      </c>
      <c r="V106" s="472">
        <v>1.2E-2</v>
      </c>
      <c r="W106" s="472">
        <v>0.30608999999999997</v>
      </c>
      <c r="X106" s="332">
        <v>7.016</v>
      </c>
      <c r="Y106" s="472">
        <v>12.241811</v>
      </c>
      <c r="Z106" s="472"/>
      <c r="AA106" s="472"/>
      <c r="AB106" s="472">
        <v>0</v>
      </c>
      <c r="AC106" s="472">
        <v>0.20246526234117804</v>
      </c>
      <c r="AD106" s="472">
        <v>6.0682945062537685E-2</v>
      </c>
      <c r="AE106" s="472">
        <v>2.9671002500000001</v>
      </c>
      <c r="AF106" s="472">
        <v>15.089778477517859</v>
      </c>
      <c r="AG106" s="172">
        <f t="shared" si="5"/>
        <v>9.1717155686067482</v>
      </c>
      <c r="AH106" s="253">
        <f t="shared" si="6"/>
        <v>202307</v>
      </c>
    </row>
    <row r="107" spans="3:36" ht="15.75" hidden="1">
      <c r="C107" s="237">
        <v>45115</v>
      </c>
      <c r="D107" s="471">
        <v>347304</v>
      </c>
      <c r="E107" s="471">
        <v>34384</v>
      </c>
      <c r="F107" s="471">
        <v>17472.580000000002</v>
      </c>
      <c r="G107" s="471">
        <v>3017</v>
      </c>
      <c r="H107" s="471">
        <v>2720</v>
      </c>
      <c r="I107" s="470">
        <v>174000</v>
      </c>
      <c r="J107" s="471">
        <v>179385.84</v>
      </c>
      <c r="K107" s="471">
        <v>45956.75</v>
      </c>
      <c r="L107" s="471">
        <v>7623</v>
      </c>
      <c r="M107" s="471">
        <v>372662</v>
      </c>
      <c r="N107" s="471">
        <v>8891</v>
      </c>
      <c r="O107" s="471">
        <v>966</v>
      </c>
      <c r="P107" s="471">
        <v>198.12869999999998</v>
      </c>
      <c r="Q107" s="337">
        <v>0</v>
      </c>
      <c r="R107" s="167">
        <f t="shared" si="4"/>
        <v>144894.31096500001</v>
      </c>
      <c r="S107" s="473">
        <v>7.0149257957734283</v>
      </c>
      <c r="T107" s="473">
        <v>0.327405</v>
      </c>
      <c r="U107" s="473">
        <v>4.4279294458115176E-3</v>
      </c>
      <c r="V107" s="473">
        <v>1.2E-2</v>
      </c>
      <c r="W107" s="473">
        <v>0.30917</v>
      </c>
      <c r="X107" s="332">
        <v>7.016</v>
      </c>
      <c r="Y107" s="473">
        <v>12.442347999999999</v>
      </c>
      <c r="Z107" s="473"/>
      <c r="AA107" s="473"/>
      <c r="AB107" s="473">
        <v>0</v>
      </c>
      <c r="AC107" s="473">
        <v>0.21549099949879227</v>
      </c>
      <c r="AD107" s="473">
        <v>5.9295420887052697E-2</v>
      </c>
      <c r="AE107" s="473">
        <v>2.95590025</v>
      </c>
      <c r="AF107" s="473">
        <v>15.165667554870918</v>
      </c>
      <c r="AG107" s="172">
        <f t="shared" si="5"/>
        <v>9.1626649416221788</v>
      </c>
      <c r="AH107" s="253">
        <f t="shared" si="6"/>
        <v>202307</v>
      </c>
    </row>
    <row r="108" spans="3:36" ht="15.75" hidden="1">
      <c r="C108" s="235">
        <v>45116</v>
      </c>
      <c r="D108" s="469">
        <v>342793</v>
      </c>
      <c r="E108" s="469">
        <v>34409</v>
      </c>
      <c r="F108" s="469">
        <v>17428.68</v>
      </c>
      <c r="G108" s="469">
        <v>3037</v>
      </c>
      <c r="H108" s="469">
        <v>2819</v>
      </c>
      <c r="I108" s="470">
        <v>174000</v>
      </c>
      <c r="J108" s="469">
        <v>184593.84</v>
      </c>
      <c r="K108" s="469">
        <v>46117.43</v>
      </c>
      <c r="L108" s="469">
        <v>7608</v>
      </c>
      <c r="M108" s="469">
        <v>359736</v>
      </c>
      <c r="N108" s="469">
        <v>9030</v>
      </c>
      <c r="O108" s="469">
        <v>0</v>
      </c>
      <c r="P108" s="469">
        <v>209.57613599999999</v>
      </c>
      <c r="Q108" s="337">
        <v>0</v>
      </c>
      <c r="R108" s="167">
        <f t="shared" si="4"/>
        <v>145382.75946119995</v>
      </c>
      <c r="S108" s="472">
        <v>7.0341812333107763</v>
      </c>
      <c r="T108" s="472">
        <v>0.32689200000000002</v>
      </c>
      <c r="U108" s="472">
        <v>4.613008180729271E-3</v>
      </c>
      <c r="V108" s="472">
        <v>1.2E-2</v>
      </c>
      <c r="W108" s="472">
        <v>0.30758999999999997</v>
      </c>
      <c r="X108" s="332">
        <v>7.016</v>
      </c>
      <c r="Y108" s="472">
        <v>12.475614</v>
      </c>
      <c r="Z108" s="472"/>
      <c r="AA108" s="472"/>
      <c r="AB108" s="472">
        <v>0</v>
      </c>
      <c r="AC108" s="472">
        <v>0.21209298110984942</v>
      </c>
      <c r="AD108" s="472">
        <v>6.1022746901431973E-2</v>
      </c>
      <c r="AE108" s="472">
        <v>2.9471002500000001</v>
      </c>
      <c r="AF108" s="472">
        <v>15.164591515714418</v>
      </c>
      <c r="AG108" s="172">
        <f t="shared" si="5"/>
        <v>9.1663441690700971</v>
      </c>
      <c r="AH108" s="253">
        <f t="shared" si="6"/>
        <v>202307</v>
      </c>
      <c r="AI108" t="s">
        <v>1080</v>
      </c>
      <c r="AJ108" t="s">
        <v>1081</v>
      </c>
    </row>
    <row r="109" spans="3:36" ht="15.75" hidden="1">
      <c r="C109" s="237">
        <v>45117</v>
      </c>
      <c r="D109" s="471">
        <v>361465</v>
      </c>
      <c r="E109" s="471">
        <v>34390</v>
      </c>
      <c r="F109" s="471">
        <v>17460.41</v>
      </c>
      <c r="G109" s="471">
        <v>3007</v>
      </c>
      <c r="H109" s="471">
        <v>2626</v>
      </c>
      <c r="I109" s="470">
        <v>174000</v>
      </c>
      <c r="J109" s="471">
        <v>179921.52000000002</v>
      </c>
      <c r="K109" s="471">
        <v>48132.29</v>
      </c>
      <c r="L109" s="471">
        <v>7735</v>
      </c>
      <c r="M109" s="471">
        <v>360521</v>
      </c>
      <c r="N109" s="471">
        <v>8407</v>
      </c>
      <c r="O109" s="471">
        <v>3528</v>
      </c>
      <c r="P109" s="471">
        <v>228.44553599999998</v>
      </c>
      <c r="Q109" s="337">
        <v>0</v>
      </c>
      <c r="R109" s="167">
        <f t="shared" si="4"/>
        <v>146325.27544120004</v>
      </c>
      <c r="S109" s="473">
        <v>7.0180406459632962</v>
      </c>
      <c r="T109" s="473">
        <v>0.32797199999999999</v>
      </c>
      <c r="U109" s="473">
        <v>4.3970357952920454E-3</v>
      </c>
      <c r="V109" s="473">
        <v>1.2E-2</v>
      </c>
      <c r="W109" s="473">
        <v>0.29686000000000001</v>
      </c>
      <c r="X109" s="332">
        <v>7.016</v>
      </c>
      <c r="Y109" s="473">
        <v>12.589489</v>
      </c>
      <c r="AB109" s="337">
        <v>0</v>
      </c>
      <c r="AC109" s="473">
        <v>0.18604150679462095</v>
      </c>
      <c r="AD109" s="473">
        <v>6.1277598280602696E-2</v>
      </c>
      <c r="AE109" s="473">
        <v>2.9524002500000002</v>
      </c>
      <c r="AF109" s="473">
        <v>15.17962774708549</v>
      </c>
      <c r="AG109" s="172">
        <f t="shared" si="5"/>
        <v>9.1871666785426402</v>
      </c>
      <c r="AH109" s="253">
        <f t="shared" si="6"/>
        <v>202307</v>
      </c>
      <c r="AI109" t="s">
        <v>1086</v>
      </c>
      <c r="AJ109" t="s">
        <v>1085</v>
      </c>
    </row>
    <row r="110" spans="3:36" ht="15.75" hidden="1">
      <c r="C110" s="235">
        <v>45118</v>
      </c>
      <c r="D110" s="469">
        <v>361407</v>
      </c>
      <c r="E110" s="469">
        <v>34409</v>
      </c>
      <c r="F110" s="469">
        <v>17458.78</v>
      </c>
      <c r="G110" s="469">
        <v>2969</v>
      </c>
      <c r="H110" s="469">
        <v>2722</v>
      </c>
      <c r="I110" s="470">
        <v>174000</v>
      </c>
      <c r="J110" s="469">
        <v>181387.2</v>
      </c>
      <c r="K110" s="469">
        <v>47423.839999999997</v>
      </c>
      <c r="L110" s="469">
        <v>7739</v>
      </c>
      <c r="M110" s="469">
        <v>367627</v>
      </c>
      <c r="N110" s="469">
        <v>7799</v>
      </c>
      <c r="O110" s="469">
        <v>5218</v>
      </c>
      <c r="P110" s="469">
        <v>220.45748999999998</v>
      </c>
      <c r="Q110" s="337">
        <v>0</v>
      </c>
      <c r="R110" s="167">
        <f t="shared" si="4"/>
        <v>147499.61932050003</v>
      </c>
      <c r="S110" s="472">
        <v>6.5836606285767676</v>
      </c>
      <c r="T110" s="472">
        <v>0.329702</v>
      </c>
      <c r="U110" s="472">
        <v>4.6636386547245197E-3</v>
      </c>
      <c r="V110" s="472">
        <v>1.2E-2</v>
      </c>
      <c r="W110" s="472">
        <v>0.30652999999999997</v>
      </c>
      <c r="X110" s="332">
        <v>7.016</v>
      </c>
      <c r="Y110" s="472">
        <v>12.683</v>
      </c>
      <c r="Z110" s="472"/>
      <c r="AA110" s="472"/>
      <c r="AB110" s="472">
        <v>0</v>
      </c>
      <c r="AC110" s="472">
        <v>0.17641378802594954</v>
      </c>
      <c r="AD110" s="472">
        <v>5.9182153607421267E-2</v>
      </c>
      <c r="AE110" s="472">
        <v>2.9543002500000002</v>
      </c>
      <c r="AF110" s="472">
        <v>15.164195080235709</v>
      </c>
      <c r="AG110" s="172">
        <f t="shared" si="5"/>
        <v>9.208103301844325</v>
      </c>
      <c r="AH110" s="253">
        <f t="shared" si="6"/>
        <v>202307</v>
      </c>
      <c r="AI110" t="s">
        <v>1078</v>
      </c>
      <c r="AJ110" t="s">
        <v>1087</v>
      </c>
    </row>
    <row r="111" spans="3:36" ht="15.75" hidden="1">
      <c r="C111" s="237">
        <v>45119</v>
      </c>
      <c r="D111" s="471">
        <v>328122</v>
      </c>
      <c r="E111" s="471">
        <v>34610</v>
      </c>
      <c r="F111" s="471">
        <v>17449.63</v>
      </c>
      <c r="G111" s="471">
        <v>2975</v>
      </c>
      <c r="H111" s="471">
        <v>2743</v>
      </c>
      <c r="I111" s="470">
        <v>174000</v>
      </c>
      <c r="J111" s="471">
        <v>183470</v>
      </c>
      <c r="K111" s="471">
        <v>46024.97</v>
      </c>
      <c r="L111" s="471">
        <v>7587</v>
      </c>
      <c r="M111" s="471">
        <v>370416</v>
      </c>
      <c r="N111" s="471">
        <v>8134</v>
      </c>
      <c r="O111" s="471">
        <v>1014</v>
      </c>
      <c r="P111" s="471">
        <v>210.64540199999999</v>
      </c>
      <c r="Q111" s="337">
        <v>0</v>
      </c>
      <c r="R111" s="167">
        <f t="shared" si="4"/>
        <v>145420.13588089999</v>
      </c>
      <c r="S111" s="473">
        <v>6.7430843246580032</v>
      </c>
      <c r="T111" s="473">
        <v>0.33180599999999999</v>
      </c>
      <c r="U111" s="473">
        <v>4.558809787425633E-3</v>
      </c>
      <c r="V111" s="473">
        <v>1.2E-2</v>
      </c>
      <c r="W111" s="473">
        <v>0.29747000000000001</v>
      </c>
      <c r="X111" s="332">
        <v>7.016</v>
      </c>
      <c r="Y111" s="473">
        <v>12.92</v>
      </c>
      <c r="AB111" s="337">
        <v>0</v>
      </c>
      <c r="AC111" s="473">
        <v>0.19793457115592089</v>
      </c>
      <c r="AD111" s="473">
        <v>6.0088291844472695E-2</v>
      </c>
      <c r="AE111" s="473">
        <v>2.94620025</v>
      </c>
      <c r="AF111" s="473">
        <v>15.165610921231099</v>
      </c>
      <c r="AG111" s="172">
        <f t="shared" si="5"/>
        <v>9.2641661234250243</v>
      </c>
      <c r="AH111" s="253">
        <f t="shared" si="6"/>
        <v>202307</v>
      </c>
      <c r="AI111" t="s">
        <v>1088</v>
      </c>
      <c r="AJ111" t="s">
        <v>1089</v>
      </c>
    </row>
    <row r="112" spans="3:36" ht="15.75" hidden="1">
      <c r="C112" s="235">
        <v>45120</v>
      </c>
      <c r="D112" s="469">
        <v>371569</v>
      </c>
      <c r="E112" s="469">
        <v>35195</v>
      </c>
      <c r="F112" s="469">
        <v>17429.43</v>
      </c>
      <c r="G112" s="469">
        <v>2994</v>
      </c>
      <c r="H112" s="469">
        <v>2718</v>
      </c>
      <c r="I112" s="470">
        <v>174000</v>
      </c>
      <c r="J112" s="469">
        <v>184311</v>
      </c>
      <c r="K112" s="469">
        <v>44743</v>
      </c>
      <c r="L112" s="469">
        <v>7422</v>
      </c>
      <c r="M112" s="469">
        <v>371921</v>
      </c>
      <c r="N112" s="469">
        <v>8064.9999999999991</v>
      </c>
      <c r="O112" s="469">
        <v>6681</v>
      </c>
      <c r="P112" s="469">
        <v>208.31817599999997</v>
      </c>
      <c r="Q112" s="337">
        <v>0</v>
      </c>
      <c r="R112" s="167">
        <f t="shared" si="4"/>
        <v>148728.7955792</v>
      </c>
      <c r="S112" s="472">
        <v>6.6705932656938902</v>
      </c>
      <c r="T112" s="472">
        <v>0.32932800000000001</v>
      </c>
      <c r="U112" s="472">
        <v>4.7796809827069181E-3</v>
      </c>
      <c r="V112" s="472">
        <v>1.2E-2</v>
      </c>
      <c r="W112" s="472">
        <v>0.30835000000000001</v>
      </c>
      <c r="X112" s="332">
        <v>7.016</v>
      </c>
      <c r="Y112" s="472">
        <v>13.06</v>
      </c>
      <c r="Z112" s="472"/>
      <c r="AA112" s="472"/>
      <c r="AB112" s="472">
        <v>0</v>
      </c>
      <c r="AC112" s="472">
        <v>0.17981180641489236</v>
      </c>
      <c r="AD112" s="472">
        <v>6.357126069313912E-2</v>
      </c>
      <c r="AE112" s="472">
        <v>2.9567002499999999</v>
      </c>
      <c r="AF112" s="472">
        <v>15.165242802572299</v>
      </c>
      <c r="AG112" s="172">
        <f t="shared" si="5"/>
        <v>9.3133192330456094</v>
      </c>
      <c r="AH112" s="253">
        <f t="shared" si="6"/>
        <v>202307</v>
      </c>
      <c r="AI112" t="s">
        <v>135</v>
      </c>
      <c r="AJ112" t="s">
        <v>1090</v>
      </c>
    </row>
    <row r="113" spans="3:36" ht="15.75" hidden="1">
      <c r="C113" s="237">
        <v>45121</v>
      </c>
      <c r="D113" s="471">
        <v>373200</v>
      </c>
      <c r="E113" s="471">
        <v>34893</v>
      </c>
      <c r="F113" s="471">
        <v>17432.990000000002</v>
      </c>
      <c r="G113" s="471">
        <v>3032</v>
      </c>
      <c r="H113" s="471">
        <v>2735</v>
      </c>
      <c r="I113" s="470">
        <v>174000</v>
      </c>
      <c r="J113" s="471">
        <v>186453.84</v>
      </c>
      <c r="K113" s="471">
        <v>46256.36</v>
      </c>
      <c r="L113" s="471">
        <v>4766</v>
      </c>
      <c r="M113" s="471">
        <v>369099</v>
      </c>
      <c r="N113" s="471">
        <v>8015.0000000000009</v>
      </c>
      <c r="O113" s="471">
        <v>6075</v>
      </c>
      <c r="P113" s="471">
        <v>216.935202</v>
      </c>
      <c r="Q113" s="337">
        <v>0</v>
      </c>
      <c r="R113" s="167">
        <f t="shared" si="4"/>
        <v>148661.2397409</v>
      </c>
      <c r="S113" s="473">
        <v>6.613110121280938</v>
      </c>
      <c r="T113" s="473">
        <v>0.33363599999999999</v>
      </c>
      <c r="U113" s="473">
        <v>4.4488555757234245E-3</v>
      </c>
      <c r="V113" s="473">
        <v>1.2E-2</v>
      </c>
      <c r="W113" s="473">
        <v>0.30964999999999998</v>
      </c>
      <c r="X113" s="332">
        <v>7.016</v>
      </c>
      <c r="Y113" s="473">
        <v>12.920798000000001</v>
      </c>
      <c r="AA113" s="337">
        <v>0</v>
      </c>
      <c r="AB113" s="337">
        <v>0</v>
      </c>
      <c r="AC113" s="473">
        <v>0.16225537807202101</v>
      </c>
      <c r="AD113" s="473">
        <v>6.2438587896824833E-2</v>
      </c>
      <c r="AE113" s="473">
        <v>2.9451002499999999</v>
      </c>
      <c r="AF113" s="473">
        <v>15.450987832262486</v>
      </c>
      <c r="AG113" s="172">
        <f t="shared" si="5"/>
        <v>9.3190028134358709</v>
      </c>
      <c r="AH113" s="253">
        <f t="shared" si="6"/>
        <v>202307</v>
      </c>
      <c r="AJ113" t="s">
        <v>1092</v>
      </c>
    </row>
    <row r="114" spans="3:36" ht="15.75" hidden="1">
      <c r="C114" s="235">
        <v>45122</v>
      </c>
      <c r="D114" s="469">
        <v>363389</v>
      </c>
      <c r="E114" s="469">
        <v>34962</v>
      </c>
      <c r="F114" s="469">
        <v>17450.66</v>
      </c>
      <c r="G114" s="469">
        <v>3084</v>
      </c>
      <c r="H114" s="469">
        <v>2727</v>
      </c>
      <c r="I114" s="470">
        <v>174000</v>
      </c>
      <c r="J114" s="469">
        <v>187004.40000000002</v>
      </c>
      <c r="K114" s="469">
        <v>44036.43</v>
      </c>
      <c r="L114" s="469">
        <v>6153</v>
      </c>
      <c r="M114" s="469">
        <v>365881</v>
      </c>
      <c r="N114" s="469">
        <v>8211</v>
      </c>
      <c r="O114" s="469">
        <v>5700</v>
      </c>
      <c r="P114" s="469">
        <v>209.513238</v>
      </c>
      <c r="Q114" s="337">
        <v>0</v>
      </c>
      <c r="R114" s="167">
        <f t="shared" si="4"/>
        <v>148145.88160710002</v>
      </c>
      <c r="S114" s="472">
        <v>6.5893239925583407</v>
      </c>
      <c r="T114" s="472">
        <v>0.34418700000000002</v>
      </c>
      <c r="U114" s="472">
        <v>4.5904679920826166E-3</v>
      </c>
      <c r="V114" s="472">
        <v>1.2E-2</v>
      </c>
      <c r="W114" s="472">
        <v>0.31013000000000002</v>
      </c>
      <c r="X114" s="332">
        <v>7.016</v>
      </c>
      <c r="Y114" s="472">
        <v>12.878868000000001</v>
      </c>
      <c r="AA114" s="337">
        <v>0</v>
      </c>
      <c r="AB114" s="337">
        <v>0</v>
      </c>
      <c r="AC114" s="472">
        <v>0.17046725584529954</v>
      </c>
      <c r="AD114" s="472">
        <v>5.9295420887052697E-2</v>
      </c>
      <c r="AE114" s="472">
        <v>2.9313002500000001</v>
      </c>
      <c r="AF114" s="472">
        <v>15.452063871418982</v>
      </c>
      <c r="AG114" s="172">
        <f t="shared" si="5"/>
        <v>9.3045984189615858</v>
      </c>
      <c r="AH114" s="253">
        <f t="shared" si="6"/>
        <v>202307</v>
      </c>
    </row>
    <row r="115" spans="3:36" ht="15.75" hidden="1">
      <c r="C115" s="237">
        <v>45123</v>
      </c>
      <c r="D115" s="471">
        <v>359625</v>
      </c>
      <c r="E115" s="471">
        <v>38906</v>
      </c>
      <c r="F115" s="471">
        <v>17426.560000000001</v>
      </c>
      <c r="G115" s="471">
        <v>3132</v>
      </c>
      <c r="H115" s="471">
        <v>2762</v>
      </c>
      <c r="I115" s="470">
        <v>174000</v>
      </c>
      <c r="J115" s="471">
        <v>186758.88</v>
      </c>
      <c r="K115" s="471">
        <v>45380.99</v>
      </c>
      <c r="L115" s="471">
        <v>7568</v>
      </c>
      <c r="M115" s="471">
        <v>360924</v>
      </c>
      <c r="N115" s="471">
        <v>8488</v>
      </c>
      <c r="O115" s="471">
        <v>834</v>
      </c>
      <c r="P115" s="471">
        <v>203.41213200000001</v>
      </c>
      <c r="Q115" s="337">
        <v>0</v>
      </c>
      <c r="R115" s="167">
        <f t="shared" si="4"/>
        <v>147662.66125939999</v>
      </c>
      <c r="S115" s="473">
        <v>6.8399278487428727</v>
      </c>
      <c r="T115" s="473">
        <v>0.33705400000000002</v>
      </c>
      <c r="U115" s="473">
        <v>4.5789996800199347E-3</v>
      </c>
      <c r="V115" s="473">
        <v>1.2E-2</v>
      </c>
      <c r="W115" s="473">
        <v>0.30951999999999996</v>
      </c>
      <c r="X115" s="332">
        <v>7.016</v>
      </c>
      <c r="Y115" s="473">
        <v>12.848268000000001</v>
      </c>
      <c r="AA115" s="337">
        <v>0</v>
      </c>
      <c r="AB115" s="337">
        <v>0</v>
      </c>
      <c r="AC115" s="473">
        <v>0.1834929930029138</v>
      </c>
      <c r="AD115" s="473">
        <v>5.9521955446315548E-2</v>
      </c>
      <c r="AE115" s="473">
        <v>2.9368002500000001</v>
      </c>
      <c r="AF115" s="473">
        <v>15.444616547783218</v>
      </c>
      <c r="AG115" s="172">
        <f t="shared" si="5"/>
        <v>9.3026198301139686</v>
      </c>
      <c r="AH115" s="253">
        <f t="shared" si="6"/>
        <v>202307</v>
      </c>
      <c r="AI115" t="s">
        <v>1093</v>
      </c>
      <c r="AJ115" t="s">
        <v>1094</v>
      </c>
    </row>
    <row r="116" spans="3:36" ht="15.75" hidden="1">
      <c r="C116" s="235">
        <v>45124</v>
      </c>
      <c r="D116" s="469">
        <v>353685</v>
      </c>
      <c r="E116" s="469">
        <v>35113</v>
      </c>
      <c r="F116" s="469">
        <v>17355.919999999998</v>
      </c>
      <c r="G116" s="469">
        <v>3158</v>
      </c>
      <c r="H116" s="469">
        <v>2701</v>
      </c>
      <c r="I116" s="470">
        <v>174000</v>
      </c>
      <c r="J116" s="469">
        <v>184556.64</v>
      </c>
      <c r="K116" s="469">
        <v>45908.100000000006</v>
      </c>
      <c r="L116" s="469">
        <v>7410</v>
      </c>
      <c r="M116" s="469">
        <v>371959</v>
      </c>
      <c r="N116" s="469">
        <v>8504</v>
      </c>
      <c r="O116" s="469">
        <v>5759</v>
      </c>
      <c r="P116" s="469">
        <v>226.62149399999998</v>
      </c>
      <c r="Q116" s="337">
        <v>0</v>
      </c>
      <c r="R116" s="167">
        <f t="shared" si="4"/>
        <v>148348.57107229999</v>
      </c>
      <c r="S116" s="472">
        <v>7.2641138109625727</v>
      </c>
      <c r="T116" s="472">
        <v>0.33774799999999999</v>
      </c>
      <c r="U116" s="472">
        <v>4.5534579084630482E-3</v>
      </c>
      <c r="V116" s="472">
        <v>1.2E-2</v>
      </c>
      <c r="W116" s="472">
        <v>0.30737000000000003</v>
      </c>
      <c r="X116" s="332">
        <v>7.016</v>
      </c>
      <c r="Y116" s="472">
        <v>12.691000000000001</v>
      </c>
      <c r="AA116" s="337"/>
      <c r="AB116" s="337">
        <v>0</v>
      </c>
      <c r="AC116" s="472">
        <v>0.1815108156093638</v>
      </c>
      <c r="AD116" s="472">
        <v>6.3288092494060547E-2</v>
      </c>
      <c r="AE116" s="472">
        <v>2.9408002500000001</v>
      </c>
      <c r="AF116" s="472">
        <v>15.452545257357416</v>
      </c>
      <c r="AG116" s="172">
        <f t="shared" si="5"/>
        <v>9.2739846425345753</v>
      </c>
      <c r="AH116" s="253">
        <f t="shared" si="6"/>
        <v>202307</v>
      </c>
      <c r="AI116" t="s">
        <v>1076</v>
      </c>
      <c r="AJ116" t="s">
        <v>1095</v>
      </c>
    </row>
    <row r="117" spans="3:36" ht="15.75" hidden="1">
      <c r="C117" s="237">
        <v>45125</v>
      </c>
      <c r="D117" s="471">
        <v>360663</v>
      </c>
      <c r="E117" s="471">
        <v>35164</v>
      </c>
      <c r="F117" s="471">
        <v>17400.63</v>
      </c>
      <c r="G117" s="471">
        <v>3150</v>
      </c>
      <c r="H117" s="471">
        <v>2747</v>
      </c>
      <c r="I117" s="470">
        <v>174000</v>
      </c>
      <c r="J117" s="471">
        <v>187651.68000000002</v>
      </c>
      <c r="K117" s="471">
        <v>45662.21</v>
      </c>
      <c r="L117" s="471">
        <v>3534</v>
      </c>
      <c r="M117" s="471">
        <v>372899</v>
      </c>
      <c r="N117" s="471">
        <v>8731</v>
      </c>
      <c r="O117" s="471">
        <v>3500</v>
      </c>
      <c r="P117" s="471">
        <v>229.45190399999996</v>
      </c>
      <c r="Q117" s="337">
        <v>0</v>
      </c>
      <c r="R117" s="167">
        <f t="shared" si="4"/>
        <v>147565.22645680004</v>
      </c>
      <c r="S117" s="473">
        <v>8.2869173460343699</v>
      </c>
      <c r="T117" s="473">
        <v>0.33621299999999998</v>
      </c>
      <c r="U117" s="473">
        <v>4.6480077701353826E-3</v>
      </c>
      <c r="V117" s="473">
        <v>1.2E-2</v>
      </c>
      <c r="W117" s="473">
        <v>0.30731999999999998</v>
      </c>
      <c r="X117" s="332">
        <v>7.016</v>
      </c>
      <c r="Y117" s="473">
        <v>12.666266999999999</v>
      </c>
      <c r="AA117" s="337">
        <v>0</v>
      </c>
      <c r="AB117" s="337">
        <v>0</v>
      </c>
      <c r="AC117" s="473">
        <v>0.20189892594302089</v>
      </c>
      <c r="AD117" s="473">
        <v>5.8417599469909133E-2</v>
      </c>
      <c r="AE117" s="473">
        <v>2.9352002499999998</v>
      </c>
      <c r="AF117" s="473">
        <v>15.250674648234304</v>
      </c>
      <c r="AG117" s="172">
        <f t="shared" si="5"/>
        <v>9.2542390504740162</v>
      </c>
      <c r="AH117" s="253">
        <f t="shared" si="6"/>
        <v>202307</v>
      </c>
      <c r="AI117" t="s">
        <v>1096</v>
      </c>
      <c r="AJ117" t="s">
        <v>1097</v>
      </c>
    </row>
    <row r="118" spans="3:36" ht="15.75" hidden="1">
      <c r="C118" s="235">
        <v>45126</v>
      </c>
      <c r="D118" s="469">
        <v>360935</v>
      </c>
      <c r="E118" s="469">
        <v>35107</v>
      </c>
      <c r="F118" s="469">
        <v>17362.599999999999</v>
      </c>
      <c r="G118" s="469">
        <v>3093</v>
      </c>
      <c r="H118" s="469">
        <v>2699</v>
      </c>
      <c r="I118" s="470">
        <v>174000</v>
      </c>
      <c r="J118" s="469">
        <v>190263</v>
      </c>
      <c r="K118" s="469">
        <v>44876.090000000004</v>
      </c>
      <c r="L118" s="469">
        <v>7691</v>
      </c>
      <c r="M118" s="469">
        <v>331908</v>
      </c>
      <c r="N118" s="469">
        <v>8790</v>
      </c>
      <c r="O118" s="469">
        <v>3845</v>
      </c>
      <c r="P118" s="469">
        <v>224.67165599999998</v>
      </c>
      <c r="Q118" s="337">
        <v>0</v>
      </c>
      <c r="R118" s="167">
        <f t="shared" si="4"/>
        <v>147440.98699519999</v>
      </c>
      <c r="S118" s="472">
        <v>8.563572676534136</v>
      </c>
      <c r="T118" s="472">
        <v>0.33314500000000002</v>
      </c>
      <c r="U118" s="472">
        <v>4.567644635236884E-3</v>
      </c>
      <c r="V118" s="472">
        <v>1.2E-2</v>
      </c>
      <c r="W118" s="472">
        <v>0.30670999999999998</v>
      </c>
      <c r="X118" s="332">
        <v>7.016</v>
      </c>
      <c r="Y118" s="472">
        <v>12.57</v>
      </c>
      <c r="Z118" s="472"/>
      <c r="AA118" s="472"/>
      <c r="AB118" s="472">
        <v>0</v>
      </c>
      <c r="AC118" s="472">
        <v>0.20982763551722086</v>
      </c>
      <c r="AD118" s="472">
        <v>5.7086708934239845E-2</v>
      </c>
      <c r="AE118" s="472">
        <v>2.9295002499999998</v>
      </c>
      <c r="AF118" s="472">
        <v>15.251467519191724</v>
      </c>
      <c r="AG118" s="172">
        <f t="shared" si="5"/>
        <v>9.2320153443157889</v>
      </c>
      <c r="AH118" s="253">
        <f t="shared" si="6"/>
        <v>202307</v>
      </c>
      <c r="AI118" t="s">
        <v>1099</v>
      </c>
      <c r="AJ118" t="s">
        <v>1098</v>
      </c>
    </row>
    <row r="119" spans="3:36" ht="15.75" hidden="1">
      <c r="C119" s="237">
        <v>45127</v>
      </c>
      <c r="D119" s="471">
        <v>354920</v>
      </c>
      <c r="E119" s="471">
        <v>35226</v>
      </c>
      <c r="F119" s="471">
        <v>17335.03</v>
      </c>
      <c r="G119" s="471">
        <v>3100</v>
      </c>
      <c r="H119" s="471">
        <v>2694</v>
      </c>
      <c r="I119" s="470">
        <v>174000</v>
      </c>
      <c r="J119" s="471">
        <v>188961</v>
      </c>
      <c r="K119" s="471">
        <v>44541.840000000004</v>
      </c>
      <c r="L119" s="471">
        <v>7362</v>
      </c>
      <c r="M119" s="471">
        <v>316156</v>
      </c>
      <c r="N119" s="471">
        <v>8931</v>
      </c>
      <c r="O119" s="471">
        <v>4442</v>
      </c>
      <c r="P119" s="471">
        <v>206.05384799999999</v>
      </c>
      <c r="Q119" s="337">
        <v>0</v>
      </c>
      <c r="R119" s="167">
        <f t="shared" si="4"/>
        <v>146427.76973160001</v>
      </c>
      <c r="S119" s="473">
        <v>6.7351556150838041</v>
      </c>
      <c r="T119" s="473">
        <v>0.33932099999999998</v>
      </c>
      <c r="U119" s="473">
        <v>4.6893220103809462E-3</v>
      </c>
      <c r="V119" s="473">
        <v>1.2E-2</v>
      </c>
      <c r="W119" s="473">
        <v>0.30741000000000002</v>
      </c>
      <c r="X119" s="332">
        <v>7.016</v>
      </c>
      <c r="Y119" s="473">
        <v>12.69</v>
      </c>
      <c r="Z119" s="473"/>
      <c r="AA119" s="473"/>
      <c r="AB119" s="473">
        <v>0</v>
      </c>
      <c r="AC119" s="473">
        <v>0.20444743973472801</v>
      </c>
      <c r="AD119" s="473">
        <v>5.3320571886494854E-2</v>
      </c>
      <c r="AE119" s="473">
        <v>2.9291002499999998</v>
      </c>
      <c r="AF119" s="473">
        <v>15.250618014594489</v>
      </c>
      <c r="AG119" s="172">
        <f t="shared" si="5"/>
        <v>9.2210089122221834</v>
      </c>
      <c r="AH119" s="253">
        <f t="shared" si="6"/>
        <v>202307</v>
      </c>
      <c r="AI119" t="s">
        <v>1100</v>
      </c>
      <c r="AJ119" t="s">
        <v>1101</v>
      </c>
    </row>
    <row r="120" spans="3:36" ht="15.75" hidden="1">
      <c r="C120" s="235">
        <v>45128</v>
      </c>
      <c r="D120" s="469">
        <v>362601</v>
      </c>
      <c r="E120" s="469">
        <v>35151</v>
      </c>
      <c r="F120" s="469">
        <v>17363.009999999998</v>
      </c>
      <c r="G120" s="469">
        <v>3086</v>
      </c>
      <c r="H120" s="469">
        <v>2714</v>
      </c>
      <c r="I120" s="470">
        <v>174000</v>
      </c>
      <c r="J120" s="469">
        <v>188864.40000000002</v>
      </c>
      <c r="K120" s="469">
        <v>45313.78</v>
      </c>
      <c r="L120" s="469">
        <v>3414</v>
      </c>
      <c r="M120" s="469">
        <v>318770</v>
      </c>
      <c r="N120" s="469">
        <v>9014</v>
      </c>
      <c r="O120" s="469">
        <v>3453</v>
      </c>
      <c r="P120" s="469">
        <v>210.58250399999997</v>
      </c>
      <c r="Q120" s="337">
        <v>0</v>
      </c>
      <c r="R120" s="167">
        <f t="shared" si="4"/>
        <v>145553.07872680001</v>
      </c>
      <c r="S120" s="472">
        <v>6.8090625150433084</v>
      </c>
      <c r="T120" s="472">
        <v>0.32241199999999998</v>
      </c>
      <c r="U120" s="472">
        <v>4.4331680574944713E-3</v>
      </c>
      <c r="V120" s="472">
        <v>1.2E-2</v>
      </c>
      <c r="W120" s="472">
        <v>0.30616000000000004</v>
      </c>
      <c r="X120" s="332">
        <v>7.016</v>
      </c>
      <c r="Y120" s="472">
        <v>12.462078</v>
      </c>
      <c r="Z120" s="472"/>
      <c r="AA120" s="472"/>
      <c r="AB120" s="472">
        <v>0</v>
      </c>
      <c r="AC120" s="472">
        <v>0.17698012442410666</v>
      </c>
      <c r="AD120" s="472">
        <v>5.7313243493502704E-2</v>
      </c>
      <c r="AE120" s="472">
        <v>2.92730025</v>
      </c>
      <c r="AF120" s="472">
        <v>15.451016149082394</v>
      </c>
      <c r="AG120" s="172">
        <f t="shared" si="5"/>
        <v>9.1892950506658053</v>
      </c>
      <c r="AH120" s="253">
        <f t="shared" si="6"/>
        <v>202307</v>
      </c>
    </row>
    <row r="121" spans="3:36" ht="15.75" hidden="1">
      <c r="C121" s="237">
        <v>45129</v>
      </c>
      <c r="D121" s="471">
        <v>348253</v>
      </c>
      <c r="E121" s="471">
        <v>35264</v>
      </c>
      <c r="F121" s="471">
        <v>17333.7</v>
      </c>
      <c r="G121" s="471">
        <v>3093</v>
      </c>
      <c r="H121" s="471">
        <v>2701</v>
      </c>
      <c r="I121" s="470">
        <v>174000</v>
      </c>
      <c r="J121" s="471">
        <v>188388.24000000002</v>
      </c>
      <c r="K121" s="471">
        <v>45473.549999999996</v>
      </c>
      <c r="L121" s="471">
        <v>7357</v>
      </c>
      <c r="M121" s="471">
        <v>316053</v>
      </c>
      <c r="N121" s="471">
        <v>9226</v>
      </c>
      <c r="O121" s="471">
        <v>4115</v>
      </c>
      <c r="P121" s="471">
        <v>204.73298999999997</v>
      </c>
      <c r="Q121" s="337">
        <v>0</v>
      </c>
      <c r="R121" s="167">
        <f t="shared" si="4"/>
        <v>146266.3302955</v>
      </c>
      <c r="S121" s="473">
        <v>7.1443336627523397</v>
      </c>
      <c r="T121" s="473">
        <v>0.32736999999999999</v>
      </c>
      <c r="U121" s="473">
        <v>4.531597323494182E-3</v>
      </c>
      <c r="V121" s="473">
        <v>1.2E-2</v>
      </c>
      <c r="W121" s="473">
        <v>0.30764999999999998</v>
      </c>
      <c r="X121" s="332">
        <v>7.016</v>
      </c>
      <c r="Y121" s="473">
        <v>12.613617</v>
      </c>
      <c r="Z121" s="473"/>
      <c r="AA121" s="473"/>
      <c r="AB121" s="473">
        <v>0</v>
      </c>
      <c r="AC121" s="473">
        <v>0.20642961712827801</v>
      </c>
      <c r="AD121" s="473">
        <v>5.4651462422164135E-2</v>
      </c>
      <c r="AE121" s="473">
        <v>2.9372002500000001</v>
      </c>
      <c r="AF121" s="473">
        <v>15.451639119120363</v>
      </c>
      <c r="AG121" s="172">
        <f t="shared" si="5"/>
        <v>9.2460731513394627</v>
      </c>
      <c r="AH121" s="253">
        <f t="shared" si="6"/>
        <v>202307</v>
      </c>
    </row>
    <row r="122" spans="3:36" ht="15.75" hidden="1">
      <c r="C122" s="235">
        <v>45130</v>
      </c>
      <c r="D122" s="469">
        <v>349210</v>
      </c>
      <c r="E122" s="469">
        <v>34943</v>
      </c>
      <c r="F122" s="469">
        <v>17303.09</v>
      </c>
      <c r="G122" s="469">
        <v>3154</v>
      </c>
      <c r="H122" s="469">
        <v>2752</v>
      </c>
      <c r="I122" s="470">
        <v>174000</v>
      </c>
      <c r="J122" s="469">
        <v>188016.24000000002</v>
      </c>
      <c r="K122" s="469">
        <v>45577.83</v>
      </c>
      <c r="L122" s="469">
        <v>7380</v>
      </c>
      <c r="M122" s="469">
        <v>326800</v>
      </c>
      <c r="N122" s="469">
        <v>9221</v>
      </c>
      <c r="O122" s="469">
        <v>702</v>
      </c>
      <c r="P122" s="469">
        <v>208.69556399999999</v>
      </c>
      <c r="Q122" s="337">
        <v>0</v>
      </c>
      <c r="R122" s="167">
        <f t="shared" si="4"/>
        <v>145262.6519038</v>
      </c>
      <c r="S122" s="472">
        <v>6.7258110645142066</v>
      </c>
      <c r="T122" s="472">
        <v>0.33698499999999998</v>
      </c>
      <c r="U122" s="472">
        <v>4.4704896261330267E-3</v>
      </c>
      <c r="V122" s="472">
        <v>1.2E-2</v>
      </c>
      <c r="W122" s="472">
        <v>0.31376999999999999</v>
      </c>
      <c r="X122" s="332">
        <v>7.016</v>
      </c>
      <c r="Y122" s="472">
        <v>12.522273999999999</v>
      </c>
      <c r="Z122" s="472"/>
      <c r="AA122" s="472"/>
      <c r="AB122" s="472">
        <v>0</v>
      </c>
      <c r="AC122" s="472">
        <v>0.20897813091998516</v>
      </c>
      <c r="AD122" s="472">
        <v>5.8191064910646274E-2</v>
      </c>
      <c r="AE122" s="472">
        <v>2.9236002499999998</v>
      </c>
      <c r="AF122" s="472">
        <v>15.46084208559042</v>
      </c>
      <c r="AG122" s="172">
        <f t="shared" si="5"/>
        <v>9.2184700557443993</v>
      </c>
      <c r="AH122" s="253">
        <f t="shared" si="6"/>
        <v>202307</v>
      </c>
      <c r="AI122" t="s">
        <v>1102</v>
      </c>
      <c r="AJ122" t="s">
        <v>1103</v>
      </c>
    </row>
    <row r="123" spans="3:36" ht="15.75" hidden="1">
      <c r="C123" s="237">
        <v>45131</v>
      </c>
      <c r="D123" s="471">
        <v>362486</v>
      </c>
      <c r="E123" s="471">
        <v>35396</v>
      </c>
      <c r="F123" s="471">
        <v>17280.55</v>
      </c>
      <c r="G123" s="471">
        <v>3048</v>
      </c>
      <c r="H123" s="471">
        <v>2701</v>
      </c>
      <c r="I123" s="470">
        <v>174000</v>
      </c>
      <c r="J123" s="471">
        <v>186632</v>
      </c>
      <c r="K123" s="471">
        <v>43632.7</v>
      </c>
      <c r="L123" s="471">
        <v>7624</v>
      </c>
      <c r="M123" s="471">
        <v>345144</v>
      </c>
      <c r="N123" s="471">
        <v>8920</v>
      </c>
      <c r="O123" s="471">
        <v>4751</v>
      </c>
      <c r="P123" s="471">
        <v>204.73298999999997</v>
      </c>
      <c r="Q123" s="337">
        <v>0</v>
      </c>
      <c r="R123" s="167">
        <f t="shared" si="4"/>
        <v>147103.00644550001</v>
      </c>
      <c r="S123" s="473">
        <v>6.6983437492035911</v>
      </c>
      <c r="T123" s="473">
        <v>0.34389599999999998</v>
      </c>
      <c r="U123" s="473">
        <v>4.3230156280529069E-3</v>
      </c>
      <c r="V123" s="473">
        <v>1.2E-2</v>
      </c>
      <c r="W123" s="473">
        <v>0.3145</v>
      </c>
      <c r="X123" s="332">
        <v>7.016</v>
      </c>
      <c r="Y123" s="473">
        <v>2.27</v>
      </c>
      <c r="Z123" s="473">
        <v>0</v>
      </c>
      <c r="AA123" s="473">
        <v>0</v>
      </c>
      <c r="AB123" s="473">
        <v>0</v>
      </c>
      <c r="AC123" s="473">
        <v>0.19991674854947089</v>
      </c>
      <c r="AD123" s="473">
        <v>5.9295420887052697E-2</v>
      </c>
      <c r="AE123" s="473">
        <v>2.92600025</v>
      </c>
      <c r="AF123" s="473">
        <v>15.459652779154288</v>
      </c>
      <c r="AG123" s="172">
        <f t="shared" si="5"/>
        <v>6.5550598671977323</v>
      </c>
      <c r="AH123" s="253">
        <f t="shared" si="6"/>
        <v>202307</v>
      </c>
      <c r="AI123" t="s">
        <v>1104</v>
      </c>
      <c r="AJ123" t="s">
        <v>1105</v>
      </c>
    </row>
    <row r="124" spans="3:36" ht="409.5" hidden="1">
      <c r="C124" s="235">
        <v>45132</v>
      </c>
      <c r="D124" s="469">
        <v>357377</v>
      </c>
      <c r="E124" s="469">
        <v>35170</v>
      </c>
      <c r="F124" s="469">
        <v>17261.349999999999</v>
      </c>
      <c r="G124" s="469">
        <v>3005</v>
      </c>
      <c r="H124" s="469">
        <v>2711</v>
      </c>
      <c r="I124" s="470">
        <v>174000</v>
      </c>
      <c r="J124" s="469">
        <v>188716</v>
      </c>
      <c r="K124" s="469">
        <v>43614.840000000004</v>
      </c>
      <c r="L124" s="469">
        <v>7546</v>
      </c>
      <c r="M124" s="469">
        <v>349073</v>
      </c>
      <c r="N124" s="469">
        <v>8532</v>
      </c>
      <c r="O124" s="469">
        <v>1169</v>
      </c>
      <c r="P124" s="469">
        <v>208.69556399999999</v>
      </c>
      <c r="Q124" s="337">
        <v>0</v>
      </c>
      <c r="R124" s="167">
        <f t="shared" si="4"/>
        <v>146101.04920380001</v>
      </c>
      <c r="S124" s="472">
        <v>6.7731001537603301</v>
      </c>
      <c r="T124" s="472">
        <v>0.36784699999999998</v>
      </c>
      <c r="U124" s="472">
        <v>4.5311159375557479E-3</v>
      </c>
      <c r="V124" s="472">
        <v>1.2E-2</v>
      </c>
      <c r="W124" s="472">
        <v>0.31768000000000002</v>
      </c>
      <c r="X124" s="332">
        <v>7.016</v>
      </c>
      <c r="Y124" s="472">
        <v>1.25</v>
      </c>
      <c r="Z124" s="472"/>
      <c r="AA124" s="472"/>
      <c r="AB124" s="472">
        <v>0</v>
      </c>
      <c r="AC124" s="472">
        <v>0.21719000869326369</v>
      </c>
      <c r="AD124" s="472">
        <v>5.1225127213313432E-2</v>
      </c>
      <c r="AE124" s="472">
        <v>2.9362002500000002</v>
      </c>
      <c r="AF124" s="472">
        <v>15.45976604643392</v>
      </c>
      <c r="AG124" s="172">
        <f t="shared" si="5"/>
        <v>6.3046603769435041</v>
      </c>
      <c r="AH124" s="253">
        <f t="shared" si="6"/>
        <v>202307</v>
      </c>
      <c r="AI124" t="s">
        <v>1106</v>
      </c>
      <c r="AJ124" s="301" t="s">
        <v>1107</v>
      </c>
    </row>
    <row r="125" spans="3:36" ht="15.75" hidden="1">
      <c r="C125" s="237">
        <v>45133</v>
      </c>
      <c r="D125" s="471">
        <v>353105</v>
      </c>
      <c r="E125" s="471">
        <v>34283</v>
      </c>
      <c r="F125" s="471">
        <v>17269.28</v>
      </c>
      <c r="G125" s="471">
        <v>3049</v>
      </c>
      <c r="H125" s="471">
        <v>2710</v>
      </c>
      <c r="I125" s="470">
        <v>174000</v>
      </c>
      <c r="J125" s="471">
        <v>185978</v>
      </c>
      <c r="K125" s="471">
        <v>44731.340000000004</v>
      </c>
      <c r="L125" s="471">
        <v>7445</v>
      </c>
      <c r="M125" s="471">
        <v>353593</v>
      </c>
      <c r="N125" s="471">
        <v>8759</v>
      </c>
      <c r="O125" s="471">
        <v>7025</v>
      </c>
      <c r="P125" s="471">
        <v>212.21785199999999</v>
      </c>
      <c r="Q125" s="337">
        <v>0</v>
      </c>
      <c r="R125" s="167">
        <f t="shared" si="4"/>
        <v>147882.0607834</v>
      </c>
      <c r="S125" s="473">
        <v>6.8407773533401084</v>
      </c>
      <c r="T125" s="473">
        <v>0.39268500000000001</v>
      </c>
      <c r="U125" s="473">
        <v>4.6608069727337338E-3</v>
      </c>
      <c r="V125" s="473">
        <v>1.2E-2</v>
      </c>
      <c r="W125" s="473">
        <v>0.31892000000000004</v>
      </c>
      <c r="X125" s="332">
        <v>7.016</v>
      </c>
      <c r="Y125" s="473">
        <v>1.22</v>
      </c>
      <c r="Z125" s="473"/>
      <c r="AA125" s="473">
        <v>0</v>
      </c>
      <c r="AB125" s="473">
        <v>0</v>
      </c>
      <c r="AC125" s="473">
        <v>0.22002169068404939</v>
      </c>
      <c r="AD125" s="473">
        <v>5.2244532729996289E-2</v>
      </c>
      <c r="AE125" s="473">
        <v>2.9292002500000001</v>
      </c>
      <c r="AF125" s="473">
        <v>15.603587174745925</v>
      </c>
      <c r="AG125" s="172">
        <f t="shared" si="5"/>
        <v>6.3284796030171213</v>
      </c>
      <c r="AH125" s="253">
        <f t="shared" si="6"/>
        <v>202307</v>
      </c>
      <c r="AI125" t="s">
        <v>1072</v>
      </c>
      <c r="AJ125" t="s">
        <v>1108</v>
      </c>
    </row>
    <row r="126" spans="3:36" ht="15.75" hidden="1">
      <c r="C126" s="235">
        <v>45134</v>
      </c>
      <c r="D126" s="470">
        <v>353105</v>
      </c>
      <c r="E126" s="469">
        <v>34836</v>
      </c>
      <c r="F126" s="469">
        <v>17289.8</v>
      </c>
      <c r="G126" s="469">
        <v>3091</v>
      </c>
      <c r="H126" s="469">
        <v>2678</v>
      </c>
      <c r="I126" s="470">
        <v>174000</v>
      </c>
      <c r="J126" s="469">
        <v>188031</v>
      </c>
      <c r="K126" s="469">
        <v>42554.55</v>
      </c>
      <c r="L126" s="469">
        <v>7444</v>
      </c>
      <c r="M126" s="469">
        <v>366689</v>
      </c>
      <c r="N126" s="469">
        <v>9146</v>
      </c>
      <c r="O126" s="469">
        <v>0</v>
      </c>
      <c r="P126" s="469">
        <v>205.299072</v>
      </c>
      <c r="Q126" s="337">
        <v>0</v>
      </c>
      <c r="R126" s="167">
        <f t="shared" si="4"/>
        <v>145777.37258240001</v>
      </c>
      <c r="S126" s="559">
        <v>6.8407773533401084</v>
      </c>
      <c r="T126" s="472">
        <v>0.421711</v>
      </c>
      <c r="U126" s="472">
        <v>4.3284524574752157E-3</v>
      </c>
      <c r="V126" s="472">
        <v>1.2E-2</v>
      </c>
      <c r="W126" s="472">
        <v>0.31635000000000002</v>
      </c>
      <c r="X126" s="332">
        <v>7.016</v>
      </c>
      <c r="Y126" s="472">
        <v>1.26</v>
      </c>
      <c r="Z126" s="472"/>
      <c r="AA126" s="472">
        <v>0</v>
      </c>
      <c r="AB126" s="472">
        <v>0</v>
      </c>
      <c r="AC126" s="472">
        <v>0.19821773935499948</v>
      </c>
      <c r="AD126" s="472">
        <v>5.3462155986034141E-2</v>
      </c>
      <c r="AE126" s="472">
        <v>2.9343002500000002</v>
      </c>
      <c r="AF126" s="472">
        <v>15.505186225566124</v>
      </c>
      <c r="AG126" s="172">
        <f t="shared" si="5"/>
        <v>6.3275694281520938</v>
      </c>
      <c r="AH126" s="253">
        <f t="shared" si="6"/>
        <v>202307</v>
      </c>
      <c r="AI126" t="s">
        <v>1109</v>
      </c>
      <c r="AJ126" t="s">
        <v>1110</v>
      </c>
    </row>
    <row r="127" spans="3:36" ht="15.75" hidden="1">
      <c r="C127" s="237">
        <v>45135</v>
      </c>
      <c r="D127" s="471">
        <v>369818</v>
      </c>
      <c r="E127" s="471">
        <v>34415</v>
      </c>
      <c r="F127" s="471">
        <v>17297.41</v>
      </c>
      <c r="G127" s="471">
        <v>3037</v>
      </c>
      <c r="H127" s="471">
        <v>2676</v>
      </c>
      <c r="I127" s="470">
        <v>174000</v>
      </c>
      <c r="J127" s="471">
        <v>187004.40000000002</v>
      </c>
      <c r="K127" s="471">
        <v>43013.83</v>
      </c>
      <c r="L127" s="471">
        <v>7665</v>
      </c>
      <c r="M127" s="471">
        <v>369080</v>
      </c>
      <c r="N127" s="471">
        <v>9441</v>
      </c>
      <c r="O127" s="471">
        <v>518</v>
      </c>
      <c r="P127" s="471">
        <v>198.883476</v>
      </c>
      <c r="Q127" s="337">
        <v>0</v>
      </c>
      <c r="R127" s="167">
        <f t="shared" si="4"/>
        <v>146259.72311420002</v>
      </c>
      <c r="S127" s="473">
        <v>6.7399694744681389</v>
      </c>
      <c r="T127" s="473">
        <v>0.48709599999999997</v>
      </c>
      <c r="U127" s="473">
        <v>4.5131913905540749E-3</v>
      </c>
      <c r="V127" s="473">
        <v>1.2E-2</v>
      </c>
      <c r="W127" s="473">
        <v>0.31644</v>
      </c>
      <c r="X127" s="332">
        <v>7.016</v>
      </c>
      <c r="Y127" s="473">
        <v>1.4183060000000005</v>
      </c>
      <c r="Z127" s="473"/>
      <c r="AA127" s="473">
        <v>0</v>
      </c>
      <c r="AB127" s="473">
        <v>0</v>
      </c>
      <c r="AC127" s="473">
        <v>0.21464149490155657</v>
      </c>
      <c r="AD127" s="473">
        <v>5.3660373725389142E-2</v>
      </c>
      <c r="AE127" s="473">
        <v>2.92790025</v>
      </c>
      <c r="AF127" s="473">
        <v>15.467071785970148</v>
      </c>
      <c r="AG127" s="172">
        <f t="shared" si="5"/>
        <v>6.3768000388778541</v>
      </c>
      <c r="AH127" s="253">
        <f t="shared" si="6"/>
        <v>202307</v>
      </c>
    </row>
    <row r="128" spans="3:36" ht="15.75" hidden="1">
      <c r="C128" s="235">
        <v>45136</v>
      </c>
      <c r="D128" s="469">
        <v>366972</v>
      </c>
      <c r="E128" s="469">
        <v>34723</v>
      </c>
      <c r="F128" s="469">
        <v>17280.97</v>
      </c>
      <c r="G128" s="469">
        <v>2900</v>
      </c>
      <c r="H128" s="469">
        <v>2673</v>
      </c>
      <c r="I128" s="470">
        <v>174000</v>
      </c>
      <c r="J128" s="469">
        <v>184750.08000000002</v>
      </c>
      <c r="K128" s="469">
        <v>44183.480620000002</v>
      </c>
      <c r="L128" s="469">
        <v>7632</v>
      </c>
      <c r="M128" s="469">
        <v>373115</v>
      </c>
      <c r="N128" s="469">
        <v>9433</v>
      </c>
      <c r="O128" s="469">
        <v>6353</v>
      </c>
      <c r="P128" s="469">
        <v>198.191598</v>
      </c>
      <c r="Q128" s="337">
        <v>0</v>
      </c>
      <c r="R128" s="167">
        <f t="shared" si="4"/>
        <v>148386.66937410002</v>
      </c>
      <c r="S128" s="472">
        <v>6.7495971932368075</v>
      </c>
      <c r="T128" s="472">
        <v>0.53822400000000004</v>
      </c>
      <c r="U128" s="472">
        <v>4.4757565546358876E-3</v>
      </c>
      <c r="V128" s="472">
        <v>1.2E-2</v>
      </c>
      <c r="W128" s="472">
        <v>0.316</v>
      </c>
      <c r="X128" s="332">
        <v>7.016</v>
      </c>
      <c r="Y128" s="472">
        <v>1.5739359999999998</v>
      </c>
      <c r="Z128" s="472"/>
      <c r="AA128" s="472">
        <v>0</v>
      </c>
      <c r="AB128" s="472">
        <v>0</v>
      </c>
      <c r="AC128" s="472">
        <v>0.22483555006838513</v>
      </c>
      <c r="AD128" s="472">
        <v>5.3094037327232002E-2</v>
      </c>
      <c r="AE128" s="472">
        <v>2.4615002499999998</v>
      </c>
      <c r="AF128" s="472">
        <v>15.511359292306036</v>
      </c>
      <c r="AG128" s="172">
        <f t="shared" si="5"/>
        <v>6.2293682823824561</v>
      </c>
      <c r="AH128" s="253">
        <f t="shared" si="6"/>
        <v>202307</v>
      </c>
    </row>
    <row r="129" spans="3:36" ht="15.75" hidden="1">
      <c r="C129" s="237">
        <v>45137</v>
      </c>
      <c r="D129" s="471">
        <v>349980</v>
      </c>
      <c r="E129" s="471">
        <v>35591</v>
      </c>
      <c r="F129" s="471">
        <v>17252.48</v>
      </c>
      <c r="G129" s="471">
        <v>2951</v>
      </c>
      <c r="H129" s="471">
        <v>2724</v>
      </c>
      <c r="I129" s="470">
        <v>174000</v>
      </c>
      <c r="J129" s="471">
        <v>186937.44</v>
      </c>
      <c r="K129" s="471">
        <v>45681.270000000004</v>
      </c>
      <c r="L129" s="471">
        <v>7559</v>
      </c>
      <c r="M129" s="471">
        <v>369888</v>
      </c>
      <c r="N129" s="471">
        <v>9349</v>
      </c>
      <c r="O129" s="471">
        <v>4869</v>
      </c>
      <c r="P129" s="471">
        <v>183.473466</v>
      </c>
      <c r="Q129" s="337">
        <v>0</v>
      </c>
      <c r="R129" s="167">
        <f t="shared" si="4"/>
        <v>148472.07770970004</v>
      </c>
      <c r="S129" s="473">
        <v>6.691547712425705</v>
      </c>
      <c r="T129" s="473">
        <v>0.54608699999999999</v>
      </c>
      <c r="U129" s="473">
        <v>4.3513890816005802E-3</v>
      </c>
      <c r="V129" s="473">
        <v>1.2E-2</v>
      </c>
      <c r="W129" s="473">
        <v>0.31651999999999997</v>
      </c>
      <c r="X129" s="332">
        <v>7.016</v>
      </c>
      <c r="Y129" s="473">
        <v>3.7552569999999998</v>
      </c>
      <c r="Z129" s="473"/>
      <c r="AA129" s="473">
        <v>0</v>
      </c>
      <c r="AB129" s="473">
        <v>0</v>
      </c>
      <c r="AC129" s="473">
        <v>0.21124347651261371</v>
      </c>
      <c r="AD129" s="473">
        <v>5.4679779242071999E-2</v>
      </c>
      <c r="AE129" s="473">
        <v>2.1273002499999998</v>
      </c>
      <c r="AF129" s="473">
        <v>15.59704598934721</v>
      </c>
      <c r="AG129" s="172">
        <f t="shared" si="5"/>
        <v>6.6610426593163963</v>
      </c>
      <c r="AH129" s="253">
        <f t="shared" si="6"/>
        <v>202307</v>
      </c>
      <c r="AI129" t="s">
        <v>1102</v>
      </c>
      <c r="AJ129" t="s">
        <v>1111</v>
      </c>
    </row>
    <row r="130" spans="3:36" ht="15.75" hidden="1">
      <c r="C130" s="235">
        <v>45138</v>
      </c>
      <c r="D130" s="469">
        <v>350906</v>
      </c>
      <c r="E130" s="469">
        <v>34447</v>
      </c>
      <c r="F130" s="469">
        <v>17204.87</v>
      </c>
      <c r="G130" s="469">
        <v>3103</v>
      </c>
      <c r="H130" s="469">
        <v>2668</v>
      </c>
      <c r="I130" s="470">
        <v>174000</v>
      </c>
      <c r="J130" s="469">
        <v>186930</v>
      </c>
      <c r="K130" s="469">
        <v>45836.345139999998</v>
      </c>
      <c r="L130" s="469">
        <v>7535</v>
      </c>
      <c r="M130" s="469">
        <v>360023</v>
      </c>
      <c r="N130" s="469">
        <v>9331</v>
      </c>
      <c r="O130" s="469">
        <v>775</v>
      </c>
      <c r="P130" s="469">
        <v>178.881912</v>
      </c>
      <c r="Q130" s="337">
        <v>0</v>
      </c>
      <c r="R130" s="167">
        <f t="shared" si="4"/>
        <v>146166.0594954</v>
      </c>
      <c r="S130" s="472">
        <v>6.6453912959758981</v>
      </c>
      <c r="T130" s="472">
        <v>0.54513800000000001</v>
      </c>
      <c r="U130" s="472">
        <v>4.4493369616618577E-3</v>
      </c>
      <c r="V130" s="472">
        <v>1.2E-2</v>
      </c>
      <c r="W130" s="472">
        <v>0.31585000000000002</v>
      </c>
      <c r="X130" s="332">
        <v>7.016</v>
      </c>
      <c r="Y130" s="472">
        <v>12.52</v>
      </c>
      <c r="Z130" s="472"/>
      <c r="AA130" s="472"/>
      <c r="AB130" s="472">
        <v>0</v>
      </c>
      <c r="AC130" s="472">
        <v>0.21379199030432083</v>
      </c>
      <c r="AD130" s="472">
        <v>5.3094037327232002E-2</v>
      </c>
      <c r="AE130" s="472">
        <v>2.2975002500000001</v>
      </c>
      <c r="AF130" s="472">
        <v>15.59285510000085</v>
      </c>
      <c r="AG130" s="172">
        <f t="shared" si="5"/>
        <v>9.0134755481747195</v>
      </c>
      <c r="AH130" s="253">
        <f t="shared" si="6"/>
        <v>202307</v>
      </c>
      <c r="AI130" t="s">
        <v>1112</v>
      </c>
      <c r="AJ130" t="s">
        <v>1113</v>
      </c>
    </row>
    <row r="131" spans="3:36" ht="15.75" hidden="1">
      <c r="C131" s="237">
        <v>45139</v>
      </c>
      <c r="D131" s="471">
        <v>351746</v>
      </c>
      <c r="E131" s="471">
        <v>38038</v>
      </c>
      <c r="F131" s="471">
        <v>17150.36</v>
      </c>
      <c r="G131" s="471">
        <v>3100</v>
      </c>
      <c r="H131" s="471">
        <v>2678</v>
      </c>
      <c r="I131" s="470">
        <v>174000</v>
      </c>
      <c r="J131" s="471">
        <v>186759</v>
      </c>
      <c r="K131" s="471">
        <v>45978.570200000002</v>
      </c>
      <c r="L131" s="471">
        <v>7532</v>
      </c>
      <c r="M131" s="471">
        <v>368585</v>
      </c>
      <c r="N131" s="471">
        <v>8032</v>
      </c>
      <c r="O131" s="471">
        <v>4913</v>
      </c>
      <c r="P131" s="471">
        <v>191.77600199999998</v>
      </c>
      <c r="Q131" s="337">
        <v>0</v>
      </c>
      <c r="R131" s="167">
        <f t="shared" si="4"/>
        <v>148976.34135089998</v>
      </c>
      <c r="S131" s="473">
        <v>6.7623397621953476</v>
      </c>
      <c r="T131" s="473">
        <v>0.54736300000000004</v>
      </c>
      <c r="U131" s="473">
        <v>4.4023027237949071E-3</v>
      </c>
      <c r="V131" s="473">
        <v>1.2E-2</v>
      </c>
      <c r="W131" s="473">
        <v>0.31448000000000004</v>
      </c>
      <c r="X131" s="332">
        <v>6.5389999999999997</v>
      </c>
      <c r="Y131" s="473">
        <v>12.72</v>
      </c>
      <c r="Z131" s="473"/>
      <c r="AA131" s="473"/>
      <c r="AB131" s="473">
        <v>0</v>
      </c>
      <c r="AC131" s="473">
        <v>0.21152664471169227</v>
      </c>
      <c r="AD131" s="473">
        <v>5.7086708934239845E-2</v>
      </c>
      <c r="AE131" s="473">
        <v>2.5775002499999999</v>
      </c>
      <c r="AF131" s="473">
        <v>14.964193381226515</v>
      </c>
      <c r="AG131" s="172">
        <f t="shared" si="5"/>
        <v>8.9924502722138584</v>
      </c>
      <c r="AH131" s="253">
        <f t="shared" si="6"/>
        <v>202308</v>
      </c>
      <c r="AI131" t="s">
        <v>1104</v>
      </c>
      <c r="AJ131" t="s">
        <v>1114</v>
      </c>
    </row>
    <row r="132" spans="3:36" ht="15.75" hidden="1">
      <c r="C132" s="235">
        <v>45140</v>
      </c>
      <c r="D132" s="469">
        <v>321323</v>
      </c>
      <c r="E132" s="469">
        <v>30881</v>
      </c>
      <c r="F132" s="469">
        <v>17121.900000000001</v>
      </c>
      <c r="G132" s="469">
        <v>3055</v>
      </c>
      <c r="H132" s="469">
        <v>2687</v>
      </c>
      <c r="I132" s="470">
        <v>174000</v>
      </c>
      <c r="J132" s="469">
        <v>187436</v>
      </c>
      <c r="K132" s="469">
        <v>46740.971270000002</v>
      </c>
      <c r="L132" s="469">
        <v>7628</v>
      </c>
      <c r="M132" s="469">
        <v>362377</v>
      </c>
      <c r="N132" s="469">
        <v>9431</v>
      </c>
      <c r="O132" s="469">
        <v>2950</v>
      </c>
      <c r="P132" s="469">
        <v>185.108814</v>
      </c>
      <c r="Q132" s="337">
        <v>0</v>
      </c>
      <c r="R132" s="167">
        <f t="shared" si="4"/>
        <v>145814.90808379999</v>
      </c>
      <c r="S132" s="472">
        <v>6.9325238498415684</v>
      </c>
      <c r="T132" s="472">
        <v>0.489232</v>
      </c>
      <c r="U132" s="472">
        <v>4.4030955947523265E-3</v>
      </c>
      <c r="V132" s="472">
        <v>1.2E-2</v>
      </c>
      <c r="W132" s="472">
        <v>0.31947000000000003</v>
      </c>
      <c r="X132" s="332">
        <v>6.5389999999999997</v>
      </c>
      <c r="Y132" s="472">
        <v>12.44</v>
      </c>
      <c r="Z132" s="472"/>
      <c r="AA132" s="472"/>
      <c r="AB132" s="472">
        <v>0</v>
      </c>
      <c r="AC132" s="472">
        <v>0.22540188646654225</v>
      </c>
      <c r="AD132" s="472">
        <v>5.9238787247236982E-2</v>
      </c>
      <c r="AE132" s="472">
        <v>2.5692002500000002</v>
      </c>
      <c r="AF132" s="472">
        <v>14.965779123141353</v>
      </c>
      <c r="AG132" s="172">
        <f t="shared" si="5"/>
        <v>8.9117983936919121</v>
      </c>
      <c r="AH132" s="253">
        <f t="shared" si="6"/>
        <v>202308</v>
      </c>
      <c r="AI132" t="s">
        <v>1093</v>
      </c>
      <c r="AJ132" t="s">
        <v>1115</v>
      </c>
    </row>
    <row r="133" spans="3:36" ht="15.75" hidden="1">
      <c r="C133" s="237">
        <v>45141</v>
      </c>
      <c r="D133" s="471">
        <v>384387</v>
      </c>
      <c r="E133" s="471">
        <v>31585</v>
      </c>
      <c r="F133" s="471">
        <v>17103</v>
      </c>
      <c r="G133" s="471">
        <v>3083</v>
      </c>
      <c r="H133" s="471">
        <v>2682</v>
      </c>
      <c r="I133" s="470">
        <v>174000</v>
      </c>
      <c r="J133" s="471">
        <v>187123</v>
      </c>
      <c r="K133" s="471">
        <v>47380.53</v>
      </c>
      <c r="L133" s="471">
        <v>7553</v>
      </c>
      <c r="M133" s="471">
        <v>348961</v>
      </c>
      <c r="N133" s="471">
        <v>9351</v>
      </c>
      <c r="O133" s="471">
        <v>555</v>
      </c>
      <c r="P133" s="471">
        <v>190.64383799999999</v>
      </c>
      <c r="Q133" s="337">
        <v>0</v>
      </c>
      <c r="R133" s="167">
        <f t="shared" si="4"/>
        <v>146017.00317710001</v>
      </c>
      <c r="S133" s="473">
        <v>6.8028328146635788</v>
      </c>
      <c r="T133" s="473">
        <v>0.53359999999999996</v>
      </c>
      <c r="U133" s="473">
        <v>4.5773573044652792E-3</v>
      </c>
      <c r="V133" s="473">
        <v>1.2E-2</v>
      </c>
      <c r="W133" s="473">
        <v>0.31394</v>
      </c>
      <c r="X133" s="332">
        <v>6.5389999999999997</v>
      </c>
      <c r="Y133" s="473">
        <v>12.56</v>
      </c>
      <c r="Z133" s="473"/>
      <c r="AA133" s="473"/>
      <c r="AB133" s="473">
        <v>0</v>
      </c>
      <c r="AC133" s="473">
        <v>0.22398604547114939</v>
      </c>
      <c r="AD133" s="473">
        <v>5.816274809073841E-2</v>
      </c>
      <c r="AE133" s="473">
        <v>2.5911002500000002</v>
      </c>
      <c r="AF133" s="473">
        <v>14.968469221032599</v>
      </c>
      <c r="AG133" s="172">
        <f t="shared" si="5"/>
        <v>8.9563000324455189</v>
      </c>
      <c r="AH133" s="253">
        <f t="shared" si="6"/>
        <v>202308</v>
      </c>
      <c r="AI133" t="s">
        <v>1116</v>
      </c>
      <c r="AJ133" t="s">
        <v>1117</v>
      </c>
    </row>
    <row r="134" spans="3:36" ht="15.75" hidden="1">
      <c r="C134" s="235">
        <v>45142</v>
      </c>
      <c r="D134" s="469">
        <v>348120</v>
      </c>
      <c r="E134" s="469">
        <v>34126</v>
      </c>
      <c r="F134" s="469">
        <v>17087.14</v>
      </c>
      <c r="G134" s="469">
        <v>3077</v>
      </c>
      <c r="H134" s="469">
        <v>2687</v>
      </c>
      <c r="I134" s="470">
        <v>174000</v>
      </c>
      <c r="J134" s="469">
        <v>187101.12</v>
      </c>
      <c r="K134" s="469">
        <v>47406.01</v>
      </c>
      <c r="L134" s="469">
        <v>7654</v>
      </c>
      <c r="M134" s="469">
        <v>318929</v>
      </c>
      <c r="N134" s="469">
        <v>9413</v>
      </c>
      <c r="O134" s="469">
        <v>0</v>
      </c>
      <c r="P134" s="469">
        <v>182.08971</v>
      </c>
      <c r="Q134" s="337">
        <v>0</v>
      </c>
      <c r="R134" s="167">
        <f t="shared" si="4"/>
        <v>144460.94156949999</v>
      </c>
      <c r="S134" s="472">
        <v>6.7813120315336111</v>
      </c>
      <c r="T134" s="472">
        <v>0.54471199999999997</v>
      </c>
      <c r="U134" s="472">
        <v>4.5581585005677518E-3</v>
      </c>
      <c r="V134" s="472">
        <v>1.2E-2</v>
      </c>
      <c r="W134" s="472">
        <v>0.31518000000000002</v>
      </c>
      <c r="X134" s="332">
        <v>6.5389999999999997</v>
      </c>
      <c r="Y134" s="472">
        <v>12.572700999999999</v>
      </c>
      <c r="Z134" s="472"/>
      <c r="AA134" s="472"/>
      <c r="AB134" s="472">
        <v>0</v>
      </c>
      <c r="AC134" s="472">
        <v>0.22002169068404939</v>
      </c>
      <c r="AD134" s="472">
        <v>5.9295420887052697E-2</v>
      </c>
      <c r="AE134" s="472">
        <v>2.1673002499999998</v>
      </c>
      <c r="AF134" s="472">
        <v>14.967393181876101</v>
      </c>
      <c r="AG134" s="172">
        <f t="shared" si="5"/>
        <v>8.7724560266278289</v>
      </c>
      <c r="AH134" s="253">
        <f t="shared" si="6"/>
        <v>202308</v>
      </c>
    </row>
    <row r="135" spans="3:36" ht="15.75" hidden="1">
      <c r="C135" s="237">
        <v>45143</v>
      </c>
      <c r="D135" s="471">
        <v>357045</v>
      </c>
      <c r="E135" s="471">
        <v>39371</v>
      </c>
      <c r="F135" s="471">
        <v>17079.88</v>
      </c>
      <c r="G135" s="471">
        <v>3064</v>
      </c>
      <c r="H135" s="471">
        <v>2664</v>
      </c>
      <c r="I135" s="470">
        <v>174000</v>
      </c>
      <c r="J135" s="471">
        <v>186892.80000000002</v>
      </c>
      <c r="K135" s="471">
        <v>46311.621969999993</v>
      </c>
      <c r="L135" s="471">
        <v>7697</v>
      </c>
      <c r="M135" s="471">
        <v>271447</v>
      </c>
      <c r="N135" s="471">
        <v>8820</v>
      </c>
      <c r="O135" s="471">
        <v>5511</v>
      </c>
      <c r="P135" s="471">
        <v>178.31583000000001</v>
      </c>
      <c r="Q135" s="337">
        <v>0</v>
      </c>
      <c r="R135" s="167">
        <f t="shared" si="4"/>
        <v>145969.48236600001</v>
      </c>
      <c r="S135" s="473">
        <v>6.6983437492035911</v>
      </c>
      <c r="T135" s="473">
        <v>0.48616199999999998</v>
      </c>
      <c r="U135" s="473">
        <v>4.3465185885764287E-3</v>
      </c>
      <c r="V135" s="473">
        <v>1.2E-2</v>
      </c>
      <c r="W135" s="473">
        <v>0.31598999999999999</v>
      </c>
      <c r="X135" s="332">
        <v>6.5389999999999997</v>
      </c>
      <c r="Y135" s="473">
        <v>12.041409999999999</v>
      </c>
      <c r="Z135" s="473"/>
      <c r="AA135" s="473"/>
      <c r="AB135" s="473">
        <v>0</v>
      </c>
      <c r="AC135" s="473">
        <v>0.22511871826746369</v>
      </c>
      <c r="AD135" s="473">
        <v>6.0399776863459126E-2</v>
      </c>
      <c r="AE135" s="473">
        <v>2.1793002499999998</v>
      </c>
      <c r="AF135" s="473">
        <v>14.964476549425592</v>
      </c>
      <c r="AG135" s="172">
        <f t="shared" si="5"/>
        <v>8.6231637392757623</v>
      </c>
      <c r="AH135" s="253">
        <f t="shared" si="6"/>
        <v>202308</v>
      </c>
    </row>
    <row r="136" spans="3:36" ht="15.75" hidden="1">
      <c r="C136" s="235">
        <v>45144</v>
      </c>
      <c r="D136" s="469">
        <v>360818</v>
      </c>
      <c r="E136" s="469">
        <v>33094</v>
      </c>
      <c r="F136" s="469">
        <v>17075.43</v>
      </c>
      <c r="G136" s="469">
        <v>3165</v>
      </c>
      <c r="H136" s="469">
        <v>2722</v>
      </c>
      <c r="I136" s="470">
        <v>174000</v>
      </c>
      <c r="J136" s="469">
        <v>186781.2</v>
      </c>
      <c r="K136" s="469">
        <v>45841.89</v>
      </c>
      <c r="L136" s="469">
        <v>7759</v>
      </c>
      <c r="M136" s="469">
        <v>301743</v>
      </c>
      <c r="N136" s="469">
        <v>9013</v>
      </c>
      <c r="O136" s="469">
        <v>8532</v>
      </c>
      <c r="P136" s="469">
        <v>181.14624000000001</v>
      </c>
      <c r="Q136" s="337">
        <v>0</v>
      </c>
      <c r="R136" s="167">
        <f t="shared" si="4"/>
        <v>146778.485858</v>
      </c>
      <c r="S136" s="472">
        <v>6.7781971813437458</v>
      </c>
      <c r="T136" s="472">
        <v>0.39595200000000003</v>
      </c>
      <c r="U136" s="472">
        <v>4.3520403684584605E-3</v>
      </c>
      <c r="V136" s="472">
        <v>1.2E-2</v>
      </c>
      <c r="W136" s="472">
        <v>0.31633999999999995</v>
      </c>
      <c r="X136" s="332">
        <v>6.5389999999999997</v>
      </c>
      <c r="Y136" s="472">
        <v>11.752661</v>
      </c>
      <c r="Z136" s="472"/>
      <c r="AA136" s="472"/>
      <c r="AB136" s="472">
        <v>0</v>
      </c>
      <c r="AC136" s="472">
        <v>0.24380781940664933</v>
      </c>
      <c r="AD136" s="472">
        <v>6.3118191574613403E-2</v>
      </c>
      <c r="AE136" s="472">
        <v>2.15350025</v>
      </c>
      <c r="AF136" s="472">
        <v>14.964788034444577</v>
      </c>
      <c r="AG136" s="172">
        <f t="shared" si="5"/>
        <v>8.5175168982671146</v>
      </c>
      <c r="AH136" s="253">
        <f t="shared" si="6"/>
        <v>202308</v>
      </c>
      <c r="AI136" t="s">
        <v>1118</v>
      </c>
      <c r="AJ136" t="s">
        <v>1119</v>
      </c>
    </row>
    <row r="137" spans="3:36" ht="15.75" hidden="1">
      <c r="C137" s="237">
        <v>45145</v>
      </c>
      <c r="D137" s="471">
        <v>346078</v>
      </c>
      <c r="E137" s="471">
        <v>32126</v>
      </c>
      <c r="F137" s="471">
        <v>17024.13</v>
      </c>
      <c r="G137" s="471">
        <v>3061</v>
      </c>
      <c r="H137" s="471">
        <v>2680</v>
      </c>
      <c r="I137" s="470">
        <v>79000</v>
      </c>
      <c r="J137" s="471">
        <v>187056.48</v>
      </c>
      <c r="K137" s="471">
        <v>45524.66</v>
      </c>
      <c r="L137" s="471">
        <v>4811</v>
      </c>
      <c r="M137" s="471">
        <v>333335</v>
      </c>
      <c r="N137" s="471">
        <v>9099</v>
      </c>
      <c r="O137" s="471">
        <v>1400</v>
      </c>
      <c r="P137" s="471">
        <v>176.99497199999999</v>
      </c>
      <c r="Q137" s="337">
        <v>0</v>
      </c>
      <c r="R137" s="167">
        <f t="shared" ref="R137:R200" si="7" xml:space="preserve"> IF(C137&lt; DATE(2024, 11, 1), D137 * (2.31 / 100), D137 * (2.925 / 100))+E137*E$6+F137*F$6+G137*G$6+H137*H$6+I137*I$6+J137*J$6+K137*K$6+L137*L$6+M137*M$6+N137*N$6+O137*O$6+P137*P$6+Q137*Q$6</f>
        <v>124746.2540874</v>
      </c>
      <c r="S137" s="473">
        <v>6.795753609686618</v>
      </c>
      <c r="T137" s="473">
        <v>0.49249199999999999</v>
      </c>
      <c r="U137" s="473">
        <v>4.4809385326790253E-3</v>
      </c>
      <c r="V137" s="473">
        <v>1.2E-2</v>
      </c>
      <c r="W137" s="473">
        <v>0.31724000000000002</v>
      </c>
      <c r="X137" s="332">
        <v>6.5389999999999997</v>
      </c>
      <c r="Y137" s="473">
        <v>11.784000000000001</v>
      </c>
      <c r="Z137" s="473"/>
      <c r="AA137" s="473"/>
      <c r="AB137" s="473">
        <v>0</v>
      </c>
      <c r="AC137" s="473">
        <v>0.25173652898084936</v>
      </c>
      <c r="AD137" s="473">
        <v>6.2183736517654124E-2</v>
      </c>
      <c r="AE137" s="473">
        <v>2.35930025</v>
      </c>
      <c r="AF137" s="473">
        <v>14.878959753303866</v>
      </c>
      <c r="AG137" s="172">
        <f t="shared" ref="AG137:AG200" si="8" xml:space="preserve"> IF(C137&lt; DATE(2024, 11, 1), S137 * (2.31 / 100), S137 * (2.925 / 100))+T137*T$6+U137*U$6+V137*V$6+W137*W$6+X137*X$6+Y137*Y$6+Z137*Z$6+AA137*AA$6+AB137*AB$6+AC137*AC$6+AD137*AD$6+AE137*AE$6+AF137*AF$6</f>
        <v>8.6316441887132491</v>
      </c>
      <c r="AH137" s="253">
        <f t="shared" si="6"/>
        <v>202308</v>
      </c>
      <c r="AI137" t="s">
        <v>1120</v>
      </c>
      <c r="AJ137" t="s">
        <v>1127</v>
      </c>
    </row>
    <row r="138" spans="3:36" ht="15.75" hidden="1">
      <c r="C138" s="235">
        <v>45146</v>
      </c>
      <c r="D138" s="469">
        <v>354762</v>
      </c>
      <c r="E138" s="469">
        <v>34101</v>
      </c>
      <c r="F138" s="469">
        <v>17069.57</v>
      </c>
      <c r="G138" s="469">
        <v>3032</v>
      </c>
      <c r="H138" s="469">
        <v>2700</v>
      </c>
      <c r="I138" s="470">
        <v>79000</v>
      </c>
      <c r="J138" s="469">
        <v>184557</v>
      </c>
      <c r="K138" s="469">
        <v>43720.084209999994</v>
      </c>
      <c r="L138" s="469">
        <v>0</v>
      </c>
      <c r="M138" s="469">
        <v>333443</v>
      </c>
      <c r="N138" s="469">
        <v>9156</v>
      </c>
      <c r="O138" s="469">
        <v>3993</v>
      </c>
      <c r="P138" s="469">
        <v>201.52519199999998</v>
      </c>
      <c r="Q138" s="337">
        <v>0</v>
      </c>
      <c r="R138" s="167">
        <f t="shared" si="7"/>
        <v>124314.57858890001</v>
      </c>
      <c r="S138" s="472">
        <v>5.7347223677392094</v>
      </c>
      <c r="T138" s="472">
        <v>0.53279200000000004</v>
      </c>
      <c r="U138" s="472">
        <v>4.6454309395237668E-3</v>
      </c>
      <c r="V138" s="472">
        <v>1.2E-2</v>
      </c>
      <c r="W138" s="472">
        <v>0.31752999999999998</v>
      </c>
      <c r="X138" s="332">
        <v>6.5389999999999997</v>
      </c>
      <c r="Y138" s="472">
        <v>11.87</v>
      </c>
      <c r="Z138" s="472"/>
      <c r="AA138" s="472"/>
      <c r="AB138" s="472">
        <v>0</v>
      </c>
      <c r="AC138" s="472">
        <v>0.24125930561494219</v>
      </c>
      <c r="AD138" s="472">
        <v>5.8417599469909133E-2</v>
      </c>
      <c r="AE138" s="472">
        <v>2.8996002500000002</v>
      </c>
      <c r="AF138" s="472">
        <v>14.877912030967273</v>
      </c>
      <c r="AG138" s="172">
        <f t="shared" si="8"/>
        <v>8.8810784495224855</v>
      </c>
      <c r="AH138" s="253">
        <f t="shared" si="6"/>
        <v>202308</v>
      </c>
      <c r="AI138" t="s">
        <v>1126</v>
      </c>
      <c r="AJ138" t="s">
        <v>1128</v>
      </c>
    </row>
    <row r="139" spans="3:36" ht="15.75" hidden="1">
      <c r="C139" s="237">
        <v>45147</v>
      </c>
      <c r="D139" s="471">
        <v>340578</v>
      </c>
      <c r="E139" s="471">
        <v>35277</v>
      </c>
      <c r="F139" s="471">
        <v>17068.38</v>
      </c>
      <c r="G139" s="471">
        <v>3019</v>
      </c>
      <c r="H139" s="471">
        <v>2765</v>
      </c>
      <c r="I139" s="470">
        <v>79000</v>
      </c>
      <c r="J139" s="471">
        <v>185725</v>
      </c>
      <c r="K139" s="471">
        <v>45416.192000000003</v>
      </c>
      <c r="L139" s="471">
        <v>0</v>
      </c>
      <c r="M139" s="471">
        <v>334768</v>
      </c>
      <c r="N139" s="471">
        <v>9127</v>
      </c>
      <c r="O139" s="471">
        <v>5770</v>
      </c>
      <c r="P139" s="471">
        <v>201.022008</v>
      </c>
      <c r="Q139" s="337">
        <v>0</v>
      </c>
      <c r="R139" s="167">
        <f t="shared" si="7"/>
        <v>125850.20570359999</v>
      </c>
      <c r="S139" s="473">
        <v>6.8070803376497633</v>
      </c>
      <c r="T139" s="473">
        <v>0.55269699999999999</v>
      </c>
      <c r="U139" s="473">
        <v>4.401509852837486E-3</v>
      </c>
      <c r="V139" s="473">
        <v>1.2E-2</v>
      </c>
      <c r="W139" s="473">
        <v>0.31995000000000001</v>
      </c>
      <c r="X139" s="332">
        <v>6.5389999999999997</v>
      </c>
      <c r="Y139" s="473">
        <v>12.28</v>
      </c>
      <c r="Z139" s="473">
        <v>0</v>
      </c>
      <c r="AA139" s="473"/>
      <c r="AB139" s="473">
        <v>0</v>
      </c>
      <c r="AC139" s="473">
        <v>0.21634050409602798</v>
      </c>
      <c r="AD139" s="473">
        <v>5.9521955446315548E-2</v>
      </c>
      <c r="AE139" s="473">
        <v>2.8880002500000002</v>
      </c>
      <c r="AF139" s="473">
        <v>14.875958170393632</v>
      </c>
      <c r="AG139" s="172">
        <f t="shared" si="8"/>
        <v>9.0122220417927021</v>
      </c>
      <c r="AH139" s="253">
        <f t="shared" si="6"/>
        <v>202308</v>
      </c>
      <c r="AI139" t="s">
        <v>1129</v>
      </c>
      <c r="AJ139" t="s">
        <v>1135</v>
      </c>
    </row>
    <row r="140" spans="3:36" ht="15.75" hidden="1">
      <c r="C140" s="235">
        <v>45148</v>
      </c>
      <c r="D140" s="469">
        <v>343511</v>
      </c>
      <c r="E140" s="469">
        <v>29824</v>
      </c>
      <c r="F140" s="469">
        <v>17061.71</v>
      </c>
      <c r="G140" s="469">
        <v>3017</v>
      </c>
      <c r="H140" s="469">
        <v>2755</v>
      </c>
      <c r="I140" s="470">
        <v>79000</v>
      </c>
      <c r="J140" s="469">
        <v>186670</v>
      </c>
      <c r="K140" s="469">
        <v>44898.4067</v>
      </c>
      <c r="L140" s="469">
        <v>0</v>
      </c>
      <c r="M140" s="469">
        <v>336078</v>
      </c>
      <c r="N140" s="469">
        <v>8636</v>
      </c>
      <c r="O140" s="469">
        <v>4293</v>
      </c>
      <c r="P140" s="469">
        <v>187.75053</v>
      </c>
      <c r="Q140" s="337">
        <v>0</v>
      </c>
      <c r="R140" s="167">
        <f t="shared" si="7"/>
        <v>123947.8505135</v>
      </c>
      <c r="S140" s="472">
        <v>6.4259359416899997</v>
      </c>
      <c r="T140" s="472">
        <v>0.54008999999999996</v>
      </c>
      <c r="U140" s="472">
        <v>4.4144506395353772E-3</v>
      </c>
      <c r="V140" s="472">
        <v>1.2E-2</v>
      </c>
      <c r="W140" s="472">
        <v>0.31907999999999997</v>
      </c>
      <c r="X140" s="332">
        <v>6.5389999999999997</v>
      </c>
      <c r="Y140" s="472">
        <v>12.48</v>
      </c>
      <c r="Z140" s="472"/>
      <c r="AA140" s="472"/>
      <c r="AB140" s="472">
        <v>0</v>
      </c>
      <c r="AC140" s="472">
        <v>0.21577416769787086</v>
      </c>
      <c r="AD140" s="472">
        <v>5.8672450849079842E-2</v>
      </c>
      <c r="AE140" s="472">
        <v>2.8321002499999999</v>
      </c>
      <c r="AF140" s="472">
        <v>14.871908865146807</v>
      </c>
      <c r="AG140" s="172">
        <f t="shared" si="8"/>
        <v>9.0249072940620696</v>
      </c>
      <c r="AH140" s="253">
        <f t="shared" si="6"/>
        <v>202308</v>
      </c>
      <c r="AI140" t="s">
        <v>1120</v>
      </c>
      <c r="AJ140" t="s">
        <v>1130</v>
      </c>
    </row>
    <row r="141" spans="3:36" ht="15.75" hidden="1">
      <c r="C141" s="237">
        <v>45149</v>
      </c>
      <c r="D141" s="471">
        <v>359835</v>
      </c>
      <c r="E141" s="471">
        <v>31648</v>
      </c>
      <c r="F141" s="471">
        <v>17040.28</v>
      </c>
      <c r="G141" s="471">
        <v>3058</v>
      </c>
      <c r="H141" s="471">
        <v>2725</v>
      </c>
      <c r="I141" s="470">
        <v>79000</v>
      </c>
      <c r="J141" s="471">
        <v>186334.80000000002</v>
      </c>
      <c r="K141" s="471">
        <v>44974.40451</v>
      </c>
      <c r="L141" s="471">
        <v>0</v>
      </c>
      <c r="M141" s="471">
        <v>325156</v>
      </c>
      <c r="N141" s="471">
        <v>8630</v>
      </c>
      <c r="O141" s="471">
        <v>1179</v>
      </c>
      <c r="P141" s="471">
        <v>188.69399999999999</v>
      </c>
      <c r="Q141" s="337">
        <v>0</v>
      </c>
      <c r="R141" s="167">
        <f t="shared" si="7"/>
        <v>123042.04592750003</v>
      </c>
      <c r="S141" s="473">
        <v>6.9053397027300276</v>
      </c>
      <c r="T141" s="473">
        <v>0.54550699999999996</v>
      </c>
      <c r="U141" s="473">
        <v>4.3912025303910274E-3</v>
      </c>
      <c r="V141" s="473">
        <v>1.2E-2</v>
      </c>
      <c r="W141" s="473">
        <v>0.31918000000000002</v>
      </c>
      <c r="X141" s="332">
        <v>6.5389999999999997</v>
      </c>
      <c r="Y141" s="473">
        <v>12.459262000000001</v>
      </c>
      <c r="Z141" s="473"/>
      <c r="AA141" s="473"/>
      <c r="AB141" s="473">
        <v>0</v>
      </c>
      <c r="AC141" s="473">
        <v>0.21039397191537801</v>
      </c>
      <c r="AD141" s="473">
        <v>6.2353637437101261E-2</v>
      </c>
      <c r="AE141" s="473">
        <v>2.8143002500000001</v>
      </c>
      <c r="AF141" s="473">
        <v>14.872701736104228</v>
      </c>
      <c r="AG141" s="172">
        <f t="shared" si="8"/>
        <v>9.0251413984275892</v>
      </c>
      <c r="AH141" s="253">
        <f t="shared" si="6"/>
        <v>202308</v>
      </c>
    </row>
    <row r="142" spans="3:36" ht="15.75" hidden="1">
      <c r="C142" s="235">
        <v>45150</v>
      </c>
      <c r="D142" s="469">
        <v>368712</v>
      </c>
      <c r="E142" s="469">
        <v>36660</v>
      </c>
      <c r="F142" s="469">
        <v>17038.48</v>
      </c>
      <c r="G142" s="469">
        <v>3116</v>
      </c>
      <c r="H142" s="469">
        <v>2676</v>
      </c>
      <c r="I142" s="470">
        <v>79000</v>
      </c>
      <c r="J142" s="469">
        <v>186200.88</v>
      </c>
      <c r="K142" s="469">
        <v>45408.163510000006</v>
      </c>
      <c r="L142" s="469">
        <v>0</v>
      </c>
      <c r="M142" s="469">
        <v>346294</v>
      </c>
      <c r="N142" s="469">
        <v>8646</v>
      </c>
      <c r="O142" s="469">
        <v>6534</v>
      </c>
      <c r="P142" s="469">
        <v>189.700368</v>
      </c>
      <c r="Q142" s="337">
        <v>0</v>
      </c>
      <c r="R142" s="167">
        <f t="shared" si="7"/>
        <v>127642.4380431</v>
      </c>
      <c r="S142" s="472">
        <v>9.8236711624337758</v>
      </c>
      <c r="T142" s="472">
        <v>0.554311</v>
      </c>
      <c r="U142" s="472">
        <v>4.3080643471415589E-3</v>
      </c>
      <c r="V142" s="472">
        <v>1.2E-2</v>
      </c>
      <c r="W142" s="472">
        <v>0.31873000000000001</v>
      </c>
      <c r="X142" s="332">
        <v>6.5389999999999997</v>
      </c>
      <c r="Y142" s="472">
        <v>12.434950000000001</v>
      </c>
      <c r="Z142" s="472"/>
      <c r="AA142" s="472"/>
      <c r="AB142" s="472">
        <v>0</v>
      </c>
      <c r="AC142" s="472">
        <v>0.21152664471169227</v>
      </c>
      <c r="AD142" s="472">
        <v>6.3288092494060547E-2</v>
      </c>
      <c r="AE142" s="472">
        <v>2.6900002500000002</v>
      </c>
      <c r="AF142" s="472">
        <v>14.87241856790515</v>
      </c>
      <c r="AG142" s="172">
        <f t="shared" si="8"/>
        <v>9.0326178558550065</v>
      </c>
      <c r="AH142" s="253">
        <f t="shared" si="6"/>
        <v>202308</v>
      </c>
    </row>
    <row r="143" spans="3:36" ht="15.75" hidden="1">
      <c r="C143" s="237">
        <v>45151</v>
      </c>
      <c r="D143" s="471">
        <v>360742</v>
      </c>
      <c r="E143" s="471">
        <v>35428</v>
      </c>
      <c r="F143" s="471">
        <v>17041.53</v>
      </c>
      <c r="G143" s="471">
        <v>3130</v>
      </c>
      <c r="H143" s="471">
        <v>2721</v>
      </c>
      <c r="I143" s="470">
        <v>79000</v>
      </c>
      <c r="J143" s="471">
        <v>184378.08000000002</v>
      </c>
      <c r="K143" s="471">
        <v>43398.528660000004</v>
      </c>
      <c r="L143" s="471">
        <v>0</v>
      </c>
      <c r="M143" s="471">
        <v>345071</v>
      </c>
      <c r="N143" s="471">
        <v>8643</v>
      </c>
      <c r="O143" s="471">
        <v>575</v>
      </c>
      <c r="P143" s="471">
        <v>199.07216999999997</v>
      </c>
      <c r="Q143" s="337">
        <v>0</v>
      </c>
      <c r="R143" s="167">
        <f t="shared" si="7"/>
        <v>123774.8566415</v>
      </c>
      <c r="S143" s="473">
        <v>10.353478862909778</v>
      </c>
      <c r="T143" s="473">
        <v>0.55152000000000001</v>
      </c>
      <c r="U143" s="473">
        <v>4.3100748413550166E-3</v>
      </c>
      <c r="V143" s="473">
        <v>1.2E-2</v>
      </c>
      <c r="W143" s="473">
        <v>0.31941000000000003</v>
      </c>
      <c r="X143" s="332">
        <v>6.5389999999999997</v>
      </c>
      <c r="Y143" s="473">
        <v>12.417007</v>
      </c>
      <c r="Z143" s="473"/>
      <c r="AA143" s="473"/>
      <c r="AB143" s="473">
        <v>0</v>
      </c>
      <c r="AC143" s="473">
        <v>0.18547517039646377</v>
      </c>
      <c r="AD143" s="473">
        <v>6.4222547551019818E-2</v>
      </c>
      <c r="AE143" s="473">
        <v>2.64780025</v>
      </c>
      <c r="AF143" s="473">
        <v>14.870521340971324</v>
      </c>
      <c r="AG143" s="172">
        <f t="shared" si="8"/>
        <v>9.01831466235131</v>
      </c>
      <c r="AH143" s="253">
        <f t="shared" si="6"/>
        <v>202308</v>
      </c>
      <c r="AI143" t="s">
        <v>135</v>
      </c>
      <c r="AJ143" t="s">
        <v>1131</v>
      </c>
    </row>
    <row r="144" spans="3:36" ht="15.75" hidden="1">
      <c r="C144" s="235">
        <v>45152</v>
      </c>
      <c r="D144" s="469">
        <v>370715</v>
      </c>
      <c r="E144" s="469">
        <v>34113</v>
      </c>
      <c r="F144" s="469">
        <v>17026.54</v>
      </c>
      <c r="G144" s="469">
        <v>3097</v>
      </c>
      <c r="H144" s="469">
        <v>2678</v>
      </c>
      <c r="I144" s="470">
        <v>177000</v>
      </c>
      <c r="J144" s="469">
        <v>185516.40000000002</v>
      </c>
      <c r="K144" s="469">
        <v>42056.115590000009</v>
      </c>
      <c r="L144" s="469">
        <v>0</v>
      </c>
      <c r="M144" s="469">
        <v>342232</v>
      </c>
      <c r="N144" s="469">
        <v>9023</v>
      </c>
      <c r="O144" s="469">
        <v>305</v>
      </c>
      <c r="P144" s="469">
        <v>193.78873799999997</v>
      </c>
      <c r="Q144" s="337">
        <v>0</v>
      </c>
      <c r="R144" s="167">
        <f t="shared" si="7"/>
        <v>142958.41232960002</v>
      </c>
      <c r="S144" s="472">
        <v>10.479771879698822</v>
      </c>
      <c r="T144" s="472">
        <v>0.54761700000000002</v>
      </c>
      <c r="U144" s="472">
        <v>4.1638751001707502E-3</v>
      </c>
      <c r="V144" s="472">
        <v>1.2E-2</v>
      </c>
      <c r="W144" s="472">
        <v>0.31842000000000004</v>
      </c>
      <c r="X144" s="332">
        <v>6.5389999999999997</v>
      </c>
      <c r="Y144" s="472">
        <v>12.428107000000001</v>
      </c>
      <c r="Z144" s="472"/>
      <c r="AA144" s="472"/>
      <c r="AB144" s="472">
        <v>0</v>
      </c>
      <c r="AC144" s="472">
        <v>0.21407515850339942</v>
      </c>
      <c r="AD144" s="472">
        <v>6.3118191574613403E-2</v>
      </c>
      <c r="AE144" s="472">
        <v>2.80250025</v>
      </c>
      <c r="AF144" s="472">
        <v>14.497871990983924</v>
      </c>
      <c r="AG144" s="172">
        <f t="shared" si="8"/>
        <v>9.0309407480236494</v>
      </c>
      <c r="AH144" s="253">
        <f t="shared" si="6"/>
        <v>202308</v>
      </c>
    </row>
    <row r="145" spans="3:36" ht="15.75" hidden="1">
      <c r="C145" s="237">
        <v>45153</v>
      </c>
      <c r="D145" s="470">
        <v>370715</v>
      </c>
      <c r="E145" s="471">
        <v>27767</v>
      </c>
      <c r="F145" s="471">
        <v>17028.11</v>
      </c>
      <c r="G145" s="471">
        <v>3044</v>
      </c>
      <c r="H145" s="471">
        <v>2734</v>
      </c>
      <c r="I145" s="470">
        <v>177000</v>
      </c>
      <c r="J145" s="471">
        <v>186066.96000000002</v>
      </c>
      <c r="K145" s="471">
        <v>43218.953079999992</v>
      </c>
      <c r="L145" s="471">
        <v>0</v>
      </c>
      <c r="M145" s="471">
        <v>357513</v>
      </c>
      <c r="N145" s="471">
        <v>9010</v>
      </c>
      <c r="O145" s="471">
        <v>5343</v>
      </c>
      <c r="P145" s="471">
        <v>200.518824</v>
      </c>
      <c r="R145" s="167">
        <f t="shared" si="7"/>
        <v>144337.48484080003</v>
      </c>
      <c r="S145" s="559">
        <v>10.479771879698822</v>
      </c>
      <c r="T145" s="473">
        <v>0.49062499999999998</v>
      </c>
      <c r="U145" s="473">
        <v>4.087646220978799E-3</v>
      </c>
      <c r="V145" s="473">
        <v>1.2E-2</v>
      </c>
      <c r="W145" s="473">
        <v>0.31836000000000003</v>
      </c>
      <c r="X145" s="332">
        <v>6.5389999999999997</v>
      </c>
      <c r="Y145" s="473">
        <v>12.318963</v>
      </c>
      <c r="Z145" s="473"/>
      <c r="AA145" s="473"/>
      <c r="AB145" s="473">
        <v>0</v>
      </c>
      <c r="AC145" s="473">
        <v>0.18915635698448519</v>
      </c>
      <c r="AD145" s="473">
        <v>6.4080963451480538E-2</v>
      </c>
      <c r="AE145" s="473">
        <v>2.8238002500000001</v>
      </c>
      <c r="AF145" s="473">
        <v>14.497928624623739</v>
      </c>
      <c r="AG145" s="172">
        <f t="shared" si="8"/>
        <v>8.9943007761106486</v>
      </c>
      <c r="AH145" s="253">
        <f t="shared" si="6"/>
        <v>202308</v>
      </c>
      <c r="AI145" t="s">
        <v>1132</v>
      </c>
      <c r="AJ145" t="s">
        <v>1133</v>
      </c>
    </row>
    <row r="146" spans="3:36" ht="15.75" hidden="1">
      <c r="C146" s="235">
        <v>45154</v>
      </c>
      <c r="D146" s="469">
        <v>360939</v>
      </c>
      <c r="E146" s="469">
        <v>17629</v>
      </c>
      <c r="F146" s="469">
        <v>17071.41</v>
      </c>
      <c r="G146" s="469">
        <v>3062</v>
      </c>
      <c r="H146" s="469">
        <v>2676</v>
      </c>
      <c r="I146" s="470">
        <v>177000</v>
      </c>
      <c r="J146" s="469">
        <v>186907.68000000002</v>
      </c>
      <c r="K146" s="469">
        <v>36275.120000000003</v>
      </c>
      <c r="L146" s="469">
        <v>0</v>
      </c>
      <c r="M146" s="469">
        <v>365162</v>
      </c>
      <c r="N146" s="469">
        <v>8910</v>
      </c>
      <c r="O146" s="469">
        <v>851</v>
      </c>
      <c r="P146" s="469">
        <v>188.19081600000001</v>
      </c>
      <c r="Q146" s="337">
        <v>0</v>
      </c>
      <c r="R146" s="167">
        <f t="shared" si="7"/>
        <v>138330.95056719999</v>
      </c>
      <c r="S146" s="472">
        <v>10.619656970043637</v>
      </c>
      <c r="T146" s="472">
        <v>0.39663599999999999</v>
      </c>
      <c r="U146" s="472">
        <v>4.0951218614344734E-3</v>
      </c>
      <c r="V146" s="472">
        <v>1.2E-2</v>
      </c>
      <c r="W146" s="472">
        <v>0.31608999999999998</v>
      </c>
      <c r="X146" s="332">
        <v>6.5389999999999997</v>
      </c>
      <c r="Y146" s="472">
        <v>12.295444</v>
      </c>
      <c r="Z146" s="472"/>
      <c r="AA146" s="472"/>
      <c r="AB146" s="472">
        <v>0</v>
      </c>
      <c r="AC146" s="472">
        <v>0.21152664471169227</v>
      </c>
      <c r="AD146" s="472">
        <v>6.0994430081524116E-2</v>
      </c>
      <c r="AE146" s="472">
        <v>2.8363002499999999</v>
      </c>
      <c r="AF146" s="472">
        <v>14.497900307803832</v>
      </c>
      <c r="AG146" s="172">
        <f t="shared" si="8"/>
        <v>8.9706216890885599</v>
      </c>
      <c r="AH146" s="253">
        <f t="shared" si="6"/>
        <v>202308</v>
      </c>
      <c r="AI146" t="s">
        <v>1104</v>
      </c>
      <c r="AJ146" t="s">
        <v>1134</v>
      </c>
    </row>
    <row r="147" spans="3:36" ht="15.75" hidden="1">
      <c r="C147" s="237">
        <v>45155</v>
      </c>
      <c r="D147" s="471">
        <v>374179</v>
      </c>
      <c r="E147" s="471">
        <v>19579</v>
      </c>
      <c r="F147" s="471">
        <v>17101.97</v>
      </c>
      <c r="G147" s="471">
        <v>3038</v>
      </c>
      <c r="H147" s="471">
        <v>2678</v>
      </c>
      <c r="I147" s="470">
        <v>177000</v>
      </c>
      <c r="J147" s="471">
        <v>186365</v>
      </c>
      <c r="K147" s="471">
        <v>34424.07</v>
      </c>
      <c r="L147" s="471">
        <v>0</v>
      </c>
      <c r="M147" s="471">
        <v>378463</v>
      </c>
      <c r="N147" s="471">
        <v>6160</v>
      </c>
      <c r="O147" s="471">
        <v>0</v>
      </c>
      <c r="P147" s="471">
        <v>187.87632600000001</v>
      </c>
      <c r="Q147" s="337">
        <v>0</v>
      </c>
      <c r="R147" s="167">
        <f t="shared" si="7"/>
        <v>138459.82574669999</v>
      </c>
      <c r="S147" s="473">
        <v>10.497894644439853</v>
      </c>
      <c r="T147" s="473">
        <v>0.39891199999999999</v>
      </c>
      <c r="U147" s="473">
        <v>4.1581551025493633E-3</v>
      </c>
      <c r="V147" s="473">
        <v>1.2E-2</v>
      </c>
      <c r="W147" s="473">
        <v>0.31597000000000003</v>
      </c>
      <c r="X147" s="332">
        <v>6.5389999999999997</v>
      </c>
      <c r="Y147" s="473">
        <v>12.3</v>
      </c>
      <c r="Z147" s="473"/>
      <c r="AA147" s="473"/>
      <c r="AB147" s="473">
        <v>0</v>
      </c>
      <c r="AC147" s="473">
        <v>0.18122764741028524</v>
      </c>
      <c r="AD147" s="473">
        <v>6.2438587896824833E-2</v>
      </c>
      <c r="AE147" s="473">
        <v>2.8319002499999999</v>
      </c>
      <c r="AF147" s="473">
        <v>14.208445774705716</v>
      </c>
      <c r="AG147" s="172">
        <f t="shared" si="8"/>
        <v>8.9155896854321774</v>
      </c>
      <c r="AH147" s="253">
        <f t="shared" si="6"/>
        <v>202308</v>
      </c>
      <c r="AI147" t="s">
        <v>1137</v>
      </c>
      <c r="AJ147" t="s">
        <v>1136</v>
      </c>
    </row>
    <row r="148" spans="3:36" ht="15.75" hidden="1">
      <c r="C148" s="235">
        <v>45156</v>
      </c>
      <c r="D148" s="469">
        <v>368269</v>
      </c>
      <c r="E148" s="469">
        <v>26849</v>
      </c>
      <c r="F148" s="469">
        <v>17076.07</v>
      </c>
      <c r="G148" s="469">
        <v>3057</v>
      </c>
      <c r="H148" s="469">
        <v>2608</v>
      </c>
      <c r="I148" s="470">
        <v>177000</v>
      </c>
      <c r="J148" s="469">
        <v>186595.20000000001</v>
      </c>
      <c r="K148" s="469">
        <v>45197.915879999993</v>
      </c>
      <c r="L148" s="469">
        <v>0</v>
      </c>
      <c r="M148" s="469">
        <v>371477</v>
      </c>
      <c r="N148" s="469">
        <v>9057</v>
      </c>
      <c r="O148" s="469">
        <v>6641</v>
      </c>
      <c r="P148" s="469">
        <v>193.53714599999998</v>
      </c>
      <c r="Q148" s="337">
        <v>0</v>
      </c>
      <c r="R148" s="167">
        <f t="shared" si="7"/>
        <v>145659.06558569998</v>
      </c>
      <c r="S148" s="472">
        <v>12.517167072069141</v>
      </c>
      <c r="T148" s="472">
        <v>0.40320800000000001</v>
      </c>
      <c r="U148" s="472">
        <v>4.0954333464534596E-3</v>
      </c>
      <c r="V148" s="472">
        <v>1.2E-2</v>
      </c>
      <c r="W148" s="472">
        <v>0.31251999999999996</v>
      </c>
      <c r="X148" s="332">
        <v>6.5389999999999997</v>
      </c>
      <c r="Y148" s="472">
        <v>12.24</v>
      </c>
      <c r="Z148" s="472">
        <v>0</v>
      </c>
      <c r="AA148" s="472"/>
      <c r="AB148" s="472">
        <v>0</v>
      </c>
      <c r="AC148" s="472">
        <v>0.19736823475776374</v>
      </c>
      <c r="AD148" s="472">
        <v>6.2693439275995549E-2</v>
      </c>
      <c r="AE148" s="472">
        <v>2.8338002499999999</v>
      </c>
      <c r="AF148" s="472">
        <v>14.208077656046916</v>
      </c>
      <c r="AG148" s="172">
        <f t="shared" si="8"/>
        <v>8.9469707182690428</v>
      </c>
      <c r="AH148" s="253">
        <f t="shared" si="6"/>
        <v>202308</v>
      </c>
    </row>
    <row r="149" spans="3:36" ht="15.75" hidden="1">
      <c r="C149" s="237">
        <v>45157</v>
      </c>
      <c r="D149" s="471">
        <v>365722</v>
      </c>
      <c r="E149" s="471">
        <v>33195</v>
      </c>
      <c r="F149" s="471">
        <v>17024.82</v>
      </c>
      <c r="G149" s="471">
        <v>3060</v>
      </c>
      <c r="H149" s="471">
        <v>2624</v>
      </c>
      <c r="I149" s="470">
        <v>177000</v>
      </c>
      <c r="J149" s="471">
        <v>186059.52000000002</v>
      </c>
      <c r="K149" s="471">
        <v>44874.27</v>
      </c>
      <c r="L149" s="471">
        <v>0</v>
      </c>
      <c r="M149" s="471">
        <v>379743</v>
      </c>
      <c r="N149" s="471">
        <v>9064</v>
      </c>
      <c r="O149" s="471">
        <v>1198</v>
      </c>
      <c r="P149" s="471">
        <v>194.22902399999998</v>
      </c>
      <c r="Q149" s="337">
        <v>0</v>
      </c>
      <c r="R149" s="167">
        <f t="shared" si="7"/>
        <v>145229.60796080003</v>
      </c>
      <c r="S149" s="473">
        <v>12.148482076868838</v>
      </c>
      <c r="T149" s="473">
        <v>0.53793299999999999</v>
      </c>
      <c r="U149" s="473">
        <v>4.1866418233766668E-3</v>
      </c>
      <c r="V149" s="473">
        <v>1.2E-2</v>
      </c>
      <c r="W149" s="473">
        <v>0.31494</v>
      </c>
      <c r="X149" s="332">
        <v>6.5389999999999997</v>
      </c>
      <c r="Y149" s="473">
        <v>12.08</v>
      </c>
      <c r="Z149" s="473"/>
      <c r="AA149" s="473"/>
      <c r="AB149" s="473">
        <v>0</v>
      </c>
      <c r="AC149" s="473">
        <v>0.19708506655868518</v>
      </c>
      <c r="AD149" s="473">
        <v>6.4335814830651247E-2</v>
      </c>
      <c r="AE149" s="473">
        <v>2.8276002500000001</v>
      </c>
      <c r="AF149" s="473">
        <v>14.208757259724704</v>
      </c>
      <c r="AG149" s="172">
        <f t="shared" si="8"/>
        <v>8.93366502515895</v>
      </c>
      <c r="AH149" s="253">
        <f t="shared" si="6"/>
        <v>202308</v>
      </c>
    </row>
    <row r="150" spans="3:36" ht="15.75" hidden="1">
      <c r="C150" s="235">
        <v>45158</v>
      </c>
      <c r="D150" s="469">
        <v>360926</v>
      </c>
      <c r="E150" s="469">
        <v>36138</v>
      </c>
      <c r="F150" s="469">
        <v>16940.240000000002</v>
      </c>
      <c r="G150" s="469">
        <v>3035</v>
      </c>
      <c r="H150" s="469">
        <v>2661</v>
      </c>
      <c r="I150" s="470">
        <v>177000</v>
      </c>
      <c r="J150" s="469">
        <v>185992.56</v>
      </c>
      <c r="K150" s="469">
        <v>44503.17</v>
      </c>
      <c r="L150" s="469">
        <v>0</v>
      </c>
      <c r="M150" s="469">
        <v>379717</v>
      </c>
      <c r="N150" s="469">
        <v>9139</v>
      </c>
      <c r="O150" s="469">
        <v>5797</v>
      </c>
      <c r="P150" s="469">
        <v>178.31583000000001</v>
      </c>
      <c r="Q150" s="337">
        <v>0</v>
      </c>
      <c r="R150" s="167">
        <f t="shared" si="7"/>
        <v>147608.18882350001</v>
      </c>
      <c r="S150" s="472">
        <v>12.508672026096781</v>
      </c>
      <c r="T150" s="472">
        <v>0.54844899999999996</v>
      </c>
      <c r="U150" s="472">
        <v>4.0941874063775141E-3</v>
      </c>
      <c r="V150" s="472">
        <v>1.2E-2</v>
      </c>
      <c r="W150" s="472">
        <v>0.3145</v>
      </c>
      <c r="X150" s="332">
        <v>6.5389999999999997</v>
      </c>
      <c r="Y150" s="472">
        <v>12.24</v>
      </c>
      <c r="Z150" s="472"/>
      <c r="AA150" s="472"/>
      <c r="AB150" s="472">
        <v>0</v>
      </c>
      <c r="AC150" s="472">
        <v>0.1987840757531566</v>
      </c>
      <c r="AD150" s="472">
        <v>6.1758984219036264E-2</v>
      </c>
      <c r="AE150" s="472">
        <v>2.82690025</v>
      </c>
      <c r="AF150" s="472">
        <v>14.20878557654461</v>
      </c>
      <c r="AG150" s="172">
        <f t="shared" si="8"/>
        <v>8.9847659875203458</v>
      </c>
      <c r="AH150" s="253">
        <f t="shared" si="6"/>
        <v>202308</v>
      </c>
      <c r="AI150" t="s">
        <v>1143</v>
      </c>
      <c r="AJ150" t="s">
        <v>1142</v>
      </c>
    </row>
    <row r="151" spans="3:36" ht="15.75" hidden="1">
      <c r="C151" s="237">
        <v>45159</v>
      </c>
      <c r="D151" s="471">
        <v>361411</v>
      </c>
      <c r="E151" s="471">
        <v>31906</v>
      </c>
      <c r="F151" s="471">
        <v>17071.59</v>
      </c>
      <c r="G151" s="471">
        <v>3034</v>
      </c>
      <c r="H151" s="471">
        <v>2608</v>
      </c>
      <c r="I151" s="470">
        <v>171000</v>
      </c>
      <c r="J151" s="471">
        <v>184534</v>
      </c>
      <c r="K151" s="471">
        <v>45342.68</v>
      </c>
      <c r="L151" s="471">
        <v>0</v>
      </c>
      <c r="M151" s="471">
        <v>378356</v>
      </c>
      <c r="N151" s="471">
        <v>8820</v>
      </c>
      <c r="O151" s="471">
        <v>5843</v>
      </c>
      <c r="P151" s="471">
        <v>183.34766999999999</v>
      </c>
      <c r="Q151" s="337">
        <v>0</v>
      </c>
      <c r="R151" s="167">
        <f t="shared" si="7"/>
        <v>145076.98355150002</v>
      </c>
      <c r="S151" s="473">
        <v>12.649689789237913</v>
      </c>
      <c r="T151" s="473">
        <v>0.50271999999999994</v>
      </c>
      <c r="U151" s="473">
        <v>4.1499715415959926E-3</v>
      </c>
      <c r="V151" s="473">
        <v>1.2E-2</v>
      </c>
      <c r="W151" s="473">
        <v>0.31391000000000002</v>
      </c>
      <c r="X151" s="332">
        <v>6.5389999999999997</v>
      </c>
      <c r="Y151" s="473">
        <v>12.49</v>
      </c>
      <c r="Z151" s="473"/>
      <c r="AA151" s="473"/>
      <c r="AB151" s="473">
        <v>0</v>
      </c>
      <c r="AC151" s="473">
        <v>0.19623556196144945</v>
      </c>
      <c r="AD151" s="473">
        <v>6.3627894332954821E-2</v>
      </c>
      <c r="AE151" s="473">
        <v>2.8262002499999999</v>
      </c>
      <c r="AF151" s="473">
        <v>14.595565019666031</v>
      </c>
      <c r="AG151" s="172">
        <f t="shared" si="8"/>
        <v>9.1060304496026809</v>
      </c>
      <c r="AH151" s="253">
        <f t="shared" si="6"/>
        <v>202308</v>
      </c>
      <c r="AI151" t="s">
        <v>1145</v>
      </c>
      <c r="AJ151" t="s">
        <v>1144</v>
      </c>
    </row>
    <row r="152" spans="3:36" ht="15.75" hidden="1">
      <c r="C152" s="235">
        <v>45160</v>
      </c>
      <c r="D152" s="469">
        <v>360610</v>
      </c>
      <c r="E152" s="469">
        <v>28761</v>
      </c>
      <c r="F152" s="469">
        <v>17010.2</v>
      </c>
      <c r="G152" s="469">
        <v>2967</v>
      </c>
      <c r="H152" s="469">
        <v>2656</v>
      </c>
      <c r="I152" s="470">
        <v>171000</v>
      </c>
      <c r="J152" s="469">
        <v>185144</v>
      </c>
      <c r="K152" s="469">
        <v>45945.78</v>
      </c>
      <c r="L152" s="469">
        <v>3615</v>
      </c>
      <c r="M152" s="469">
        <v>373676</v>
      </c>
      <c r="N152" s="469">
        <v>9003</v>
      </c>
      <c r="O152" s="469">
        <v>1034</v>
      </c>
      <c r="P152" s="469">
        <v>179.19640199999998</v>
      </c>
      <c r="Q152" s="337">
        <v>0</v>
      </c>
      <c r="R152" s="167">
        <f t="shared" si="7"/>
        <v>143269.8131309</v>
      </c>
      <c r="S152" s="472">
        <v>12.704907588058232</v>
      </c>
      <c r="T152" s="472">
        <v>0.42704900000000001</v>
      </c>
      <c r="U152" s="472">
        <v>4.1678111381379425E-3</v>
      </c>
      <c r="V152" s="472">
        <v>1.2E-2</v>
      </c>
      <c r="W152" s="472">
        <v>0.31414999999999998</v>
      </c>
      <c r="X152" s="332">
        <v>6.5389999999999997</v>
      </c>
      <c r="Y152" s="472">
        <v>12.41</v>
      </c>
      <c r="Z152" s="472"/>
      <c r="AA152" s="472"/>
      <c r="AB152" s="472">
        <v>0</v>
      </c>
      <c r="AC152" s="472">
        <v>0.19538605736421377</v>
      </c>
      <c r="AD152" s="472">
        <v>6.4788883949176965E-2</v>
      </c>
      <c r="AE152" s="472">
        <v>2.4249002499999999</v>
      </c>
      <c r="AF152" s="472">
        <v>14.593667792732203</v>
      </c>
      <c r="AG152" s="172">
        <f t="shared" si="8"/>
        <v>8.8857907202350503</v>
      </c>
      <c r="AH152" s="253">
        <f t="shared" si="6"/>
        <v>202308</v>
      </c>
      <c r="AI152" t="s">
        <v>1149</v>
      </c>
      <c r="AJ152" t="s">
        <v>1146</v>
      </c>
    </row>
    <row r="153" spans="3:36" ht="15.75" hidden="1">
      <c r="C153" s="237">
        <v>45161</v>
      </c>
      <c r="D153" s="471">
        <v>353122</v>
      </c>
      <c r="E153" s="471">
        <v>32358</v>
      </c>
      <c r="F153" s="471">
        <v>16993.04</v>
      </c>
      <c r="G153" s="471">
        <v>3019</v>
      </c>
      <c r="H153" s="471">
        <v>2632</v>
      </c>
      <c r="I153" s="470">
        <v>171000</v>
      </c>
      <c r="J153" s="471">
        <v>185338</v>
      </c>
      <c r="K153" s="471">
        <v>46754.39</v>
      </c>
      <c r="L153" s="471">
        <v>7656</v>
      </c>
      <c r="M153" s="471">
        <v>373872</v>
      </c>
      <c r="N153" s="471">
        <v>8926</v>
      </c>
      <c r="O153" s="471">
        <v>5218</v>
      </c>
      <c r="P153" s="471">
        <v>205.67645999999999</v>
      </c>
      <c r="Q153" s="337">
        <v>0</v>
      </c>
      <c r="R153" s="167">
        <f t="shared" si="7"/>
        <v>146970.38810699998</v>
      </c>
      <c r="S153" s="473">
        <v>12.947582734668568</v>
      </c>
      <c r="T153" s="473">
        <v>0.52318500000000001</v>
      </c>
      <c r="U153" s="473">
        <v>4.2606053569759893E-3</v>
      </c>
      <c r="V153" s="473">
        <v>1.2E-2</v>
      </c>
      <c r="W153" s="473">
        <v>0.31514999999999999</v>
      </c>
      <c r="X153" s="332">
        <v>6.5389999999999997</v>
      </c>
      <c r="Y153" s="473">
        <v>12.42</v>
      </c>
      <c r="Z153" s="473"/>
      <c r="AA153" s="473"/>
      <c r="AB153" s="473">
        <v>0</v>
      </c>
      <c r="AC153" s="473">
        <v>0.19736823475776374</v>
      </c>
      <c r="AD153" s="473">
        <v>6.3373042953784112E-2</v>
      </c>
      <c r="AE153" s="473">
        <v>2.8238002500000001</v>
      </c>
      <c r="AF153" s="473">
        <v>14.59281828813497</v>
      </c>
      <c r="AG153" s="172">
        <f t="shared" si="8"/>
        <v>9.1000304794085398</v>
      </c>
      <c r="AH153" s="253">
        <f t="shared" si="6"/>
        <v>202308</v>
      </c>
      <c r="AI153" t="s">
        <v>1150</v>
      </c>
      <c r="AJ153" t="s">
        <v>1151</v>
      </c>
    </row>
    <row r="154" spans="3:36" ht="15.75" hidden="1">
      <c r="C154" s="235">
        <v>45162</v>
      </c>
      <c r="D154" s="469">
        <v>380851</v>
      </c>
      <c r="E154" s="469">
        <v>33874</v>
      </c>
      <c r="F154" s="469">
        <v>16969.61</v>
      </c>
      <c r="G154" s="469">
        <v>3000</v>
      </c>
      <c r="H154" s="469">
        <v>2651</v>
      </c>
      <c r="I154" s="470">
        <v>171000</v>
      </c>
      <c r="J154" s="469">
        <v>184155</v>
      </c>
      <c r="K154" s="469">
        <v>47585.200000000004</v>
      </c>
      <c r="L154" s="469">
        <v>7438</v>
      </c>
      <c r="M154" s="469">
        <v>372330</v>
      </c>
      <c r="N154" s="469">
        <v>8837</v>
      </c>
      <c r="O154" s="469">
        <v>964</v>
      </c>
      <c r="P154" s="469">
        <v>175.79990999999998</v>
      </c>
      <c r="Q154" s="337">
        <v>0</v>
      </c>
      <c r="R154" s="167">
        <f t="shared" si="7"/>
        <v>146074.3625595</v>
      </c>
      <c r="S154" s="472">
        <v>12.565022497713416</v>
      </c>
      <c r="T154" s="472">
        <v>0.552037</v>
      </c>
      <c r="U154" s="472">
        <v>4.2487689262545062E-3</v>
      </c>
      <c r="V154" s="472">
        <v>1.2E-2</v>
      </c>
      <c r="W154" s="472">
        <v>0.31695000000000001</v>
      </c>
      <c r="X154" s="332">
        <v>6.5389999999999997</v>
      </c>
      <c r="Y154" s="472">
        <v>12.25</v>
      </c>
      <c r="Z154" s="472"/>
      <c r="AA154" s="472"/>
      <c r="AB154" s="472">
        <v>0</v>
      </c>
      <c r="AC154" s="472">
        <v>0.19425338456789948</v>
      </c>
      <c r="AD154" s="472">
        <v>5.8417599469909133E-2</v>
      </c>
      <c r="AE154" s="472">
        <v>2.8222002499999999</v>
      </c>
      <c r="AF154" s="472">
        <v>14.594205812310452</v>
      </c>
      <c r="AG154" s="172">
        <f t="shared" si="8"/>
        <v>9.0537661606287685</v>
      </c>
      <c r="AH154" s="253">
        <f t="shared" si="6"/>
        <v>202308</v>
      </c>
      <c r="AI154" t="s">
        <v>1102</v>
      </c>
      <c r="AJ154" t="s">
        <v>1152</v>
      </c>
    </row>
    <row r="155" spans="3:36" ht="15.75" hidden="1">
      <c r="C155" s="237">
        <v>45163</v>
      </c>
      <c r="D155" s="471">
        <v>342329</v>
      </c>
      <c r="E155" s="471">
        <v>36994</v>
      </c>
      <c r="F155" s="471">
        <v>16938.09</v>
      </c>
      <c r="G155" s="471">
        <v>3056</v>
      </c>
      <c r="H155" s="471">
        <v>2652</v>
      </c>
      <c r="I155" s="470">
        <v>171000</v>
      </c>
      <c r="J155" s="471">
        <v>183820.08000000002</v>
      </c>
      <c r="K155" s="471">
        <v>44293.740000000005</v>
      </c>
      <c r="L155" s="471">
        <v>7449</v>
      </c>
      <c r="M155" s="471">
        <v>375422</v>
      </c>
      <c r="N155" s="471">
        <v>8662</v>
      </c>
      <c r="O155" s="471">
        <v>5711</v>
      </c>
      <c r="P155" s="471">
        <v>188.00212199999999</v>
      </c>
      <c r="Q155" s="337">
        <v>0</v>
      </c>
      <c r="R155" s="167">
        <f t="shared" si="7"/>
        <v>147135.27090489998</v>
      </c>
      <c r="S155" s="473">
        <v>11.208929992326143</v>
      </c>
      <c r="T155" s="473">
        <v>0.54860200000000003</v>
      </c>
      <c r="U155" s="473">
        <v>4.2635786230663152E-3</v>
      </c>
      <c r="V155" s="473">
        <v>1.2E-2</v>
      </c>
      <c r="W155" s="473">
        <v>0.31692999999999999</v>
      </c>
      <c r="X155" s="332">
        <v>6.5389999999999997</v>
      </c>
      <c r="Y155" s="473">
        <v>12.480026000000001</v>
      </c>
      <c r="Z155" s="473"/>
      <c r="AA155" s="473"/>
      <c r="AB155" s="473">
        <v>0</v>
      </c>
      <c r="AC155" s="473">
        <v>0.19821773935499948</v>
      </c>
      <c r="AD155" s="473">
        <v>5.9521955446315548E-2</v>
      </c>
      <c r="AE155" s="473">
        <v>2.81470025</v>
      </c>
      <c r="AF155" s="473">
        <v>14.593129773153954</v>
      </c>
      <c r="AG155" s="172">
        <f t="shared" si="8"/>
        <v>9.078629995302629</v>
      </c>
      <c r="AH155" s="253">
        <f t="shared" si="6"/>
        <v>202308</v>
      </c>
    </row>
    <row r="156" spans="3:36" ht="15.75" hidden="1">
      <c r="C156" s="235">
        <v>45164</v>
      </c>
      <c r="D156" s="469">
        <v>355748</v>
      </c>
      <c r="E156" s="469">
        <v>36742</v>
      </c>
      <c r="F156" s="469">
        <v>16988.52</v>
      </c>
      <c r="G156" s="469">
        <v>3039</v>
      </c>
      <c r="H156" s="469">
        <v>2697</v>
      </c>
      <c r="I156" s="470">
        <v>171000</v>
      </c>
      <c r="J156" s="469">
        <v>183128.16</v>
      </c>
      <c r="K156" s="469">
        <v>45925.5</v>
      </c>
      <c r="L156" s="469">
        <v>3055</v>
      </c>
      <c r="M156" s="469">
        <v>364875</v>
      </c>
      <c r="N156" s="469">
        <v>8739</v>
      </c>
      <c r="O156" s="469">
        <v>6296</v>
      </c>
      <c r="P156" s="469">
        <v>190.83253199999999</v>
      </c>
      <c r="Q156" s="337">
        <v>0</v>
      </c>
      <c r="R156" s="167">
        <f t="shared" si="7"/>
        <v>146438.86278939998</v>
      </c>
      <c r="S156" s="472">
        <v>13.288234078160086</v>
      </c>
      <c r="T156" s="472">
        <v>0.54649700000000001</v>
      </c>
      <c r="U156" s="472">
        <v>4.3335494850586303E-3</v>
      </c>
      <c r="V156" s="472">
        <v>1.2E-2</v>
      </c>
      <c r="W156" s="472">
        <v>0.31655</v>
      </c>
      <c r="X156" s="332">
        <v>6.5389999999999997</v>
      </c>
      <c r="Y156" s="472">
        <v>12.368867</v>
      </c>
      <c r="Z156" s="472"/>
      <c r="AA156" s="472"/>
      <c r="AB156" s="472">
        <v>0</v>
      </c>
      <c r="AC156" s="472">
        <v>0.19566922556329233</v>
      </c>
      <c r="AD156" s="472">
        <v>6.3288092494060547E-2</v>
      </c>
      <c r="AE156" s="472">
        <v>2.8216002499999999</v>
      </c>
      <c r="AF156" s="472">
        <v>14.590836110741417</v>
      </c>
      <c r="AG156" s="172">
        <f t="shared" si="8"/>
        <v>9.1008024049806675</v>
      </c>
      <c r="AH156" s="253">
        <f t="shared" si="6"/>
        <v>202308</v>
      </c>
    </row>
    <row r="157" spans="3:36" ht="15.75" hidden="1">
      <c r="C157" s="237">
        <v>45165</v>
      </c>
      <c r="D157" s="471">
        <v>329944</v>
      </c>
      <c r="E157" s="471">
        <v>37101</v>
      </c>
      <c r="F157" s="471">
        <v>16953.689999999999</v>
      </c>
      <c r="G157" s="471">
        <v>3045</v>
      </c>
      <c r="H157" s="471">
        <v>2669</v>
      </c>
      <c r="I157" s="470">
        <v>171000</v>
      </c>
      <c r="J157" s="471">
        <v>184437.6</v>
      </c>
      <c r="K157" s="471">
        <v>47936.044599999994</v>
      </c>
      <c r="L157" s="471">
        <v>6993</v>
      </c>
      <c r="M157" s="471">
        <v>362661</v>
      </c>
      <c r="N157" s="471">
        <v>8747</v>
      </c>
      <c r="O157" s="471">
        <v>932</v>
      </c>
      <c r="P157" s="471">
        <v>184.66852799999998</v>
      </c>
      <c r="Q157" s="337">
        <v>0</v>
      </c>
      <c r="R157" s="167">
        <f t="shared" si="7"/>
        <v>145447.41863760003</v>
      </c>
      <c r="S157" s="473">
        <v>12.516600735670981</v>
      </c>
      <c r="T157" s="473">
        <v>0.54313800000000001</v>
      </c>
      <c r="U157" s="473">
        <v>4.2694968384270572E-3</v>
      </c>
      <c r="V157" s="473">
        <v>1.2E-2</v>
      </c>
      <c r="W157" s="473">
        <v>0.31587999999999999</v>
      </c>
      <c r="X157" s="332">
        <v>6.5389999999999997</v>
      </c>
      <c r="Y157" s="473">
        <v>12.212066</v>
      </c>
      <c r="Z157" s="473"/>
      <c r="AA157" s="473"/>
      <c r="AB157" s="473">
        <v>0</v>
      </c>
      <c r="AC157" s="473">
        <v>0.19906724395223518</v>
      </c>
      <c r="AD157" s="473">
        <v>6.3004924294981973E-2</v>
      </c>
      <c r="AE157" s="473">
        <v>2.8112002500000002</v>
      </c>
      <c r="AF157" s="473">
        <v>14.589845022044644</v>
      </c>
      <c r="AG157" s="172">
        <f t="shared" si="8"/>
        <v>9.035999677581227</v>
      </c>
      <c r="AH157" s="253">
        <f t="shared" ref="AH157:AH225" si="9">IF($AK$1&gt;=C157,(YEAR(C157)*100+MONTH(C157)),0)</f>
        <v>202308</v>
      </c>
      <c r="AI157" t="s">
        <v>1153</v>
      </c>
      <c r="AJ157" t="s">
        <v>1154</v>
      </c>
    </row>
    <row r="158" spans="3:36" ht="15.75" hidden="1">
      <c r="C158" s="235">
        <v>45166</v>
      </c>
      <c r="D158" s="469">
        <v>374789</v>
      </c>
      <c r="E158" s="469">
        <v>36220</v>
      </c>
      <c r="F158" s="469">
        <v>16926.91</v>
      </c>
      <c r="G158" s="469">
        <v>3050</v>
      </c>
      <c r="H158" s="469">
        <v>2643</v>
      </c>
      <c r="I158" s="470">
        <v>175000</v>
      </c>
      <c r="J158" s="469">
        <v>184199.52000000002</v>
      </c>
      <c r="K158" s="469">
        <v>47677.62</v>
      </c>
      <c r="L158" s="469">
        <v>7525</v>
      </c>
      <c r="M158" s="469">
        <v>362546</v>
      </c>
      <c r="N158" s="469">
        <v>6675</v>
      </c>
      <c r="O158" s="469">
        <v>5833</v>
      </c>
      <c r="P158" s="469">
        <v>175.67411399999997</v>
      </c>
      <c r="Q158" s="337">
        <v>0</v>
      </c>
      <c r="R158" s="167">
        <f t="shared" si="7"/>
        <v>148728.89270130004</v>
      </c>
      <c r="S158" s="472">
        <v>12.441277994716081</v>
      </c>
      <c r="T158" s="472">
        <v>0.54561300000000001</v>
      </c>
      <c r="U158" s="472">
        <v>4.3832738208168269E-3</v>
      </c>
      <c r="V158" s="472">
        <v>1.2E-2</v>
      </c>
      <c r="W158" s="472">
        <v>0.31557999999999997</v>
      </c>
      <c r="X158" s="332">
        <v>6.5389999999999997</v>
      </c>
      <c r="Y158" s="472">
        <v>12.333667</v>
      </c>
      <c r="Z158" s="472"/>
      <c r="AA158" s="472"/>
      <c r="AB158" s="472">
        <v>0</v>
      </c>
      <c r="AC158" s="472">
        <v>0.17301576963700668</v>
      </c>
      <c r="AD158" s="472">
        <v>6.0399776863459126E-2</v>
      </c>
      <c r="AE158" s="472">
        <v>2.8078002500000001</v>
      </c>
      <c r="AF158" s="472">
        <v>14.590977694840957</v>
      </c>
      <c r="AG158" s="172">
        <f t="shared" si="8"/>
        <v>9.0610787093809311</v>
      </c>
      <c r="AH158" s="253">
        <f t="shared" si="9"/>
        <v>202308</v>
      </c>
      <c r="AI158" t="s">
        <v>1155</v>
      </c>
      <c r="AJ158" t="s">
        <v>1156</v>
      </c>
    </row>
    <row r="159" spans="3:36" ht="15.75" hidden="1">
      <c r="C159" s="237">
        <v>45167</v>
      </c>
      <c r="D159" s="471">
        <v>362830</v>
      </c>
      <c r="E159" s="471">
        <v>36836</v>
      </c>
      <c r="F159" s="471">
        <v>16922.14</v>
      </c>
      <c r="G159" s="471">
        <v>3036</v>
      </c>
      <c r="H159" s="471">
        <v>2628</v>
      </c>
      <c r="I159" s="470">
        <v>175000</v>
      </c>
      <c r="J159" s="471">
        <v>182332.08000000002</v>
      </c>
      <c r="K159" s="471">
        <v>45180.234640000002</v>
      </c>
      <c r="L159" s="471">
        <v>8409</v>
      </c>
      <c r="M159" s="471">
        <v>372913</v>
      </c>
      <c r="N159" s="471">
        <v>6109</v>
      </c>
      <c r="O159" s="471">
        <v>1133</v>
      </c>
      <c r="P159" s="471">
        <v>183.34766999999999</v>
      </c>
      <c r="Q159" s="337">
        <v>0</v>
      </c>
      <c r="R159" s="167">
        <f t="shared" si="7"/>
        <v>146172.8781615</v>
      </c>
      <c r="S159" s="473">
        <v>11.365238838217516</v>
      </c>
      <c r="T159" s="473">
        <v>0.54171499999999995</v>
      </c>
      <c r="U159" s="473">
        <v>4.3902680753340672E-3</v>
      </c>
      <c r="V159" s="473">
        <v>1.2E-2</v>
      </c>
      <c r="W159" s="473">
        <v>0.31422000000000005</v>
      </c>
      <c r="X159" s="332">
        <v>6.5389999999999997</v>
      </c>
      <c r="Y159" s="473">
        <v>12.47</v>
      </c>
      <c r="Z159" s="473"/>
      <c r="AA159" s="473"/>
      <c r="AB159" s="473">
        <v>0</v>
      </c>
      <c r="AC159" s="473">
        <v>0.1766969562250281</v>
      </c>
      <c r="AD159" s="473">
        <v>6.1532449659773406E-2</v>
      </c>
      <c r="AE159" s="473">
        <v>2.8112002500000002</v>
      </c>
      <c r="AF159" s="473">
        <v>14.583247203006113</v>
      </c>
      <c r="AG159" s="172">
        <f t="shared" si="8"/>
        <v>9.0703350368752602</v>
      </c>
      <c r="AH159" s="253">
        <f t="shared" si="9"/>
        <v>202308</v>
      </c>
    </row>
    <row r="160" spans="3:36" ht="15.75" hidden="1">
      <c r="C160" s="235">
        <v>45168</v>
      </c>
      <c r="D160" s="469">
        <v>358094</v>
      </c>
      <c r="E160" s="469">
        <v>36421</v>
      </c>
      <c r="F160" s="469">
        <v>16941.47</v>
      </c>
      <c r="G160" s="469">
        <v>3028</v>
      </c>
      <c r="H160" s="469">
        <v>2491</v>
      </c>
      <c r="I160" s="470">
        <v>175000</v>
      </c>
      <c r="J160" s="469">
        <v>182309.76000000001</v>
      </c>
      <c r="K160" s="469">
        <v>44442.126530000001</v>
      </c>
      <c r="L160" s="469">
        <v>8454</v>
      </c>
      <c r="M160" s="469">
        <v>379393</v>
      </c>
      <c r="N160" s="469">
        <v>9032</v>
      </c>
      <c r="O160" s="469">
        <v>5388</v>
      </c>
      <c r="P160" s="469">
        <v>185.611998</v>
      </c>
      <c r="Q160" s="337">
        <v>0</v>
      </c>
      <c r="R160" s="167">
        <f t="shared" si="7"/>
        <v>147928.23253160002</v>
      </c>
      <c r="S160" s="472">
        <v>11.274341846313293</v>
      </c>
      <c r="T160" s="472">
        <v>0.53395599999999999</v>
      </c>
      <c r="U160" s="472">
        <v>4.4582284431129247E-3</v>
      </c>
      <c r="V160" s="472">
        <v>1.2E-2</v>
      </c>
      <c r="W160" s="472">
        <v>0.30954999999999999</v>
      </c>
      <c r="X160" s="332">
        <v>6.5389999999999997</v>
      </c>
      <c r="Y160" s="472">
        <v>12.47</v>
      </c>
      <c r="Z160" s="472"/>
      <c r="AA160" s="472"/>
      <c r="AB160" s="472">
        <v>0</v>
      </c>
      <c r="AC160" s="472">
        <v>0.20246526234117804</v>
      </c>
      <c r="AD160" s="472">
        <v>5.9805123645394129E-2</v>
      </c>
      <c r="AE160" s="472">
        <v>2.8196002500000001</v>
      </c>
      <c r="AF160" s="472">
        <v>14.58497452902049</v>
      </c>
      <c r="AG160" s="172">
        <f t="shared" si="8"/>
        <v>9.0677351873091876</v>
      </c>
      <c r="AH160" s="253">
        <f t="shared" si="9"/>
        <v>202308</v>
      </c>
      <c r="AI160" t="s">
        <v>135</v>
      </c>
      <c r="AJ160" t="s">
        <v>1158</v>
      </c>
    </row>
    <row r="161" spans="3:36" ht="15.75" hidden="1">
      <c r="C161" s="237">
        <v>45169</v>
      </c>
      <c r="D161" s="471">
        <v>358882</v>
      </c>
      <c r="E161" s="471">
        <v>36597</v>
      </c>
      <c r="F161" s="471">
        <v>16922.099999999999</v>
      </c>
      <c r="G161" s="471">
        <v>3029</v>
      </c>
      <c r="H161" s="471">
        <v>2504</v>
      </c>
      <c r="I161" s="470">
        <v>175000</v>
      </c>
      <c r="J161" s="471">
        <v>182384.16</v>
      </c>
      <c r="K161" s="471">
        <v>45125.58</v>
      </c>
      <c r="L161" s="471">
        <v>3266</v>
      </c>
      <c r="M161" s="471">
        <v>373584</v>
      </c>
      <c r="N161" s="471">
        <v>9058</v>
      </c>
      <c r="O161" s="471">
        <v>1397</v>
      </c>
      <c r="P161" s="471">
        <v>181.83811799999998</v>
      </c>
      <c r="Q161" s="337">
        <v>0</v>
      </c>
      <c r="R161" s="167">
        <f t="shared" si="7"/>
        <v>145104.90045309998</v>
      </c>
      <c r="S161" s="473">
        <v>7.7573928137574413</v>
      </c>
      <c r="T161" s="473">
        <v>0.53448700000000005</v>
      </c>
      <c r="U161" s="473">
        <v>4.4261171693374141E-3</v>
      </c>
      <c r="V161" s="473">
        <v>1.2E-2</v>
      </c>
      <c r="W161" s="473">
        <v>0.32463999999999998</v>
      </c>
      <c r="X161" s="332">
        <v>6.5389999999999997</v>
      </c>
      <c r="Y161" s="473">
        <v>12.44</v>
      </c>
      <c r="Z161" s="473"/>
      <c r="AA161" s="473"/>
      <c r="AB161" s="473">
        <v>0</v>
      </c>
      <c r="AC161" s="473">
        <v>0.20133258954486374</v>
      </c>
      <c r="AD161" s="473">
        <v>6.1815617858851972E-2</v>
      </c>
      <c r="AE161" s="473">
        <v>2.8261002500000001</v>
      </c>
      <c r="AF161" s="473">
        <v>14.621050157583101</v>
      </c>
      <c r="AG161" s="172">
        <f t="shared" si="8"/>
        <v>9.0036420172989367</v>
      </c>
      <c r="AH161" s="253">
        <f t="shared" si="9"/>
        <v>202308</v>
      </c>
      <c r="AI161" t="s">
        <v>1157</v>
      </c>
      <c r="AJ161" t="s">
        <v>1159</v>
      </c>
    </row>
    <row r="162" spans="3:36" ht="15.75" hidden="1">
      <c r="C162" s="235">
        <v>45170</v>
      </c>
      <c r="D162" s="469">
        <v>347635</v>
      </c>
      <c r="E162" s="469">
        <v>36547</v>
      </c>
      <c r="F162" s="469">
        <v>16925.13</v>
      </c>
      <c r="G162" s="469">
        <v>3015</v>
      </c>
      <c r="H162" s="469">
        <v>2508</v>
      </c>
      <c r="I162" s="470">
        <v>175000</v>
      </c>
      <c r="J162" s="469">
        <v>183038.88</v>
      </c>
      <c r="K162" s="469">
        <v>44367.51</v>
      </c>
      <c r="L162" s="469">
        <v>8796</v>
      </c>
      <c r="M162" s="469">
        <v>339695</v>
      </c>
      <c r="N162" s="469">
        <v>7865</v>
      </c>
      <c r="O162" s="469">
        <v>5327</v>
      </c>
      <c r="P162" s="469">
        <v>172.59211199999999</v>
      </c>
      <c r="Q162" s="337">
        <v>0</v>
      </c>
      <c r="R162" s="167">
        <f t="shared" si="7"/>
        <v>146226.58725039999</v>
      </c>
      <c r="S162" s="472">
        <v>6.7192981959353988</v>
      </c>
      <c r="T162" s="472">
        <v>0.53396500000000002</v>
      </c>
      <c r="U162" s="472">
        <v>4.4087023250940823E-3</v>
      </c>
      <c r="V162" s="472">
        <v>1.2E-2</v>
      </c>
      <c r="W162" s="472">
        <v>0.32256999999999997</v>
      </c>
      <c r="X162" s="332">
        <v>7.4119999999999999</v>
      </c>
      <c r="Y162" s="472">
        <v>12.488</v>
      </c>
      <c r="Z162" s="472"/>
      <c r="AA162" s="472"/>
      <c r="AB162" s="472">
        <v>0</v>
      </c>
      <c r="AC162" s="472">
        <v>0.19793457115592089</v>
      </c>
      <c r="AD162" s="472">
        <v>6.3288092494060547E-2</v>
      </c>
      <c r="AE162" s="472">
        <v>2.7870002500000002</v>
      </c>
      <c r="AF162" s="472">
        <v>13.72119825455122</v>
      </c>
      <c r="AG162" s="172">
        <f t="shared" si="8"/>
        <v>8.9941642855521557</v>
      </c>
      <c r="AH162" s="253">
        <f t="shared" si="9"/>
        <v>202309</v>
      </c>
    </row>
    <row r="163" spans="3:36" ht="15.75" hidden="1">
      <c r="C163" s="237">
        <v>45171</v>
      </c>
      <c r="D163" s="471">
        <v>349301</v>
      </c>
      <c r="E163" s="471">
        <v>36340</v>
      </c>
      <c r="F163" s="471">
        <v>16878.82</v>
      </c>
      <c r="G163" s="471">
        <v>3011</v>
      </c>
      <c r="H163" s="471">
        <v>2504</v>
      </c>
      <c r="I163" s="470">
        <v>175000</v>
      </c>
      <c r="J163" s="471">
        <v>184340.88</v>
      </c>
      <c r="K163" s="471">
        <v>45607.67</v>
      </c>
      <c r="L163" s="471">
        <v>8789</v>
      </c>
      <c r="M163" s="471">
        <v>345731</v>
      </c>
      <c r="N163" s="471">
        <v>9108</v>
      </c>
      <c r="O163" s="471">
        <v>1263</v>
      </c>
      <c r="P163" s="471">
        <v>200.20433399999999</v>
      </c>
      <c r="Q163" s="337">
        <v>0</v>
      </c>
      <c r="R163" s="167">
        <f t="shared" si="7"/>
        <v>145582.63160030002</v>
      </c>
      <c r="S163" s="473">
        <v>7.1514128677293041</v>
      </c>
      <c r="T163" s="473">
        <v>0.52889900000000001</v>
      </c>
      <c r="U163" s="473">
        <v>4.649395294310868E-3</v>
      </c>
      <c r="V163" s="473">
        <v>1.2E-2</v>
      </c>
      <c r="W163" s="473">
        <v>0.32013999999999998</v>
      </c>
      <c r="X163" s="332">
        <v>7.4119999999999999</v>
      </c>
      <c r="Y163" s="473">
        <v>12.46</v>
      </c>
      <c r="Z163" s="473"/>
      <c r="AA163" s="473"/>
      <c r="AB163" s="473">
        <v>0</v>
      </c>
      <c r="AC163" s="473">
        <v>0.19935041215131374</v>
      </c>
      <c r="AD163" s="473">
        <v>6.4788883949176965E-2</v>
      </c>
      <c r="AE163" s="473">
        <v>2.58340025</v>
      </c>
      <c r="AF163" s="473">
        <v>13.722727362826245</v>
      </c>
      <c r="AG163" s="172">
        <f t="shared" si="8"/>
        <v>8.9026328070473415</v>
      </c>
      <c r="AH163" s="253">
        <f t="shared" si="9"/>
        <v>202309</v>
      </c>
      <c r="AJ163" t="s">
        <v>1160</v>
      </c>
    </row>
    <row r="164" spans="3:36" ht="15.75" hidden="1">
      <c r="C164" s="235">
        <v>45172</v>
      </c>
      <c r="D164" s="469">
        <v>338216</v>
      </c>
      <c r="E164" s="469">
        <v>36327</v>
      </c>
      <c r="F164" s="469">
        <v>16890.490000000002</v>
      </c>
      <c r="G164" s="469">
        <v>2910</v>
      </c>
      <c r="H164" s="469">
        <v>2646</v>
      </c>
      <c r="I164" s="470">
        <v>175000</v>
      </c>
      <c r="J164" s="469">
        <v>184013.52000000002</v>
      </c>
      <c r="K164" s="469">
        <v>45692.800000000003</v>
      </c>
      <c r="L164" s="469">
        <v>3963</v>
      </c>
      <c r="M164" s="469">
        <v>350352</v>
      </c>
      <c r="N164" s="469">
        <v>9208</v>
      </c>
      <c r="O164" s="469">
        <v>5476</v>
      </c>
      <c r="P164" s="469">
        <v>200.39302799999999</v>
      </c>
      <c r="Q164" s="337">
        <v>0</v>
      </c>
      <c r="R164" s="167">
        <f t="shared" si="7"/>
        <v>146075.74841259999</v>
      </c>
      <c r="S164" s="472">
        <v>6.6247200174431624</v>
      </c>
      <c r="T164" s="472">
        <v>0.52372799999999997</v>
      </c>
      <c r="U164" s="472">
        <v>4.7125134858854809E-3</v>
      </c>
      <c r="V164" s="472">
        <v>1.2E-2</v>
      </c>
      <c r="W164" s="472">
        <v>0.32066</v>
      </c>
      <c r="X164" s="332">
        <v>7.4119999999999999</v>
      </c>
      <c r="Y164" s="472">
        <v>12.484999999999999</v>
      </c>
      <c r="Z164" s="472"/>
      <c r="AA164" s="472"/>
      <c r="AB164" s="472">
        <v>0</v>
      </c>
      <c r="AC164" s="472">
        <v>0.19651873016052807</v>
      </c>
      <c r="AD164" s="472">
        <v>6.572333900613625E-2</v>
      </c>
      <c r="AE164" s="472">
        <v>2.7878002500000001</v>
      </c>
      <c r="AF164" s="472">
        <v>13.721113304091498</v>
      </c>
      <c r="AG164" s="172">
        <f t="shared" si="8"/>
        <v>8.9879021219587258</v>
      </c>
      <c r="AH164" s="253">
        <f t="shared" si="9"/>
        <v>202309</v>
      </c>
      <c r="AI164" t="s">
        <v>1161</v>
      </c>
      <c r="AJ164" t="s">
        <v>1162</v>
      </c>
    </row>
    <row r="165" spans="3:36" ht="15.75" hidden="1">
      <c r="C165" s="237">
        <v>45173</v>
      </c>
      <c r="D165" s="471">
        <v>339742</v>
      </c>
      <c r="E165" s="471">
        <v>36157</v>
      </c>
      <c r="F165" s="471">
        <v>16829.61</v>
      </c>
      <c r="G165" s="471">
        <v>2878</v>
      </c>
      <c r="H165" s="471">
        <v>2615</v>
      </c>
      <c r="I165" s="470">
        <v>148000</v>
      </c>
      <c r="J165" s="471">
        <v>183105.84</v>
      </c>
      <c r="K165" s="471">
        <v>45786.990000000005</v>
      </c>
      <c r="L165" s="471">
        <v>8847</v>
      </c>
      <c r="M165" s="471">
        <v>349234</v>
      </c>
      <c r="N165" s="471">
        <v>8996</v>
      </c>
      <c r="O165" s="471">
        <v>939</v>
      </c>
      <c r="P165" s="471">
        <v>200.39302799999999</v>
      </c>
      <c r="Q165" s="337">
        <v>0</v>
      </c>
      <c r="R165" s="167">
        <f t="shared" si="7"/>
        <v>139658.4587126</v>
      </c>
      <c r="S165" s="473">
        <v>6.5879081515629494</v>
      </c>
      <c r="T165" s="473">
        <v>0.53070099999999998</v>
      </c>
      <c r="U165" s="473">
        <v>4.5232721784412722E-3</v>
      </c>
      <c r="V165" s="473">
        <v>1.2E-2</v>
      </c>
      <c r="W165" s="473">
        <v>0.31720999999999999</v>
      </c>
      <c r="X165" s="332">
        <v>7.4119999999999999</v>
      </c>
      <c r="Y165" s="473">
        <v>12.326441000000001</v>
      </c>
      <c r="Z165" s="473"/>
      <c r="AA165" s="473"/>
      <c r="AB165" s="473">
        <v>0</v>
      </c>
      <c r="AC165" s="473">
        <v>0.19595239376237089</v>
      </c>
      <c r="AD165" s="473">
        <v>6.2948290655166259E-2</v>
      </c>
      <c r="AE165" s="473">
        <v>2.7972002499999999</v>
      </c>
      <c r="AF165" s="473">
        <v>13.72238756098735</v>
      </c>
      <c r="AG165" s="172">
        <f t="shared" si="8"/>
        <v>8.9474009762697904</v>
      </c>
      <c r="AH165" s="253">
        <f t="shared" si="9"/>
        <v>202309</v>
      </c>
      <c r="AI165" t="s">
        <v>1161</v>
      </c>
      <c r="AJ165" t="s">
        <v>1163</v>
      </c>
    </row>
    <row r="166" spans="3:36" ht="15.75" hidden="1">
      <c r="C166" s="235">
        <v>45174</v>
      </c>
      <c r="D166" s="469">
        <v>337742</v>
      </c>
      <c r="E166" s="469">
        <v>36302</v>
      </c>
      <c r="F166" s="469">
        <v>16817.689999999999</v>
      </c>
      <c r="G166" s="469">
        <v>2832</v>
      </c>
      <c r="H166" s="469">
        <v>2730</v>
      </c>
      <c r="I166" s="470">
        <v>148000</v>
      </c>
      <c r="J166" s="469">
        <v>183715.92</v>
      </c>
      <c r="K166" s="469">
        <v>44906.58</v>
      </c>
      <c r="L166" s="469">
        <v>8847</v>
      </c>
      <c r="M166" s="469">
        <v>340154</v>
      </c>
      <c r="N166" s="469">
        <v>9016</v>
      </c>
      <c r="O166" s="469">
        <v>5249</v>
      </c>
      <c r="P166" s="469">
        <v>195.61277999999999</v>
      </c>
      <c r="Q166" s="337">
        <v>0</v>
      </c>
      <c r="R166" s="167">
        <f t="shared" si="7"/>
        <v>141034.43190100003</v>
      </c>
      <c r="S166" s="472">
        <v>6.6128269530818633</v>
      </c>
      <c r="T166" s="472">
        <v>0.52853000000000006</v>
      </c>
      <c r="U166" s="472">
        <v>4.4837135810299961E-3</v>
      </c>
      <c r="V166" s="472">
        <v>1.2E-2</v>
      </c>
      <c r="W166" s="472">
        <v>0.31597000000000003</v>
      </c>
      <c r="X166" s="332">
        <v>7.4119999999999999</v>
      </c>
      <c r="Y166" s="472">
        <v>12.26169</v>
      </c>
      <c r="Z166" s="472"/>
      <c r="AA166" s="472"/>
      <c r="AB166" s="472">
        <v>0</v>
      </c>
      <c r="AC166" s="472">
        <v>0.2007662531467066</v>
      </c>
      <c r="AD166" s="472">
        <v>5.9182153607421267E-2</v>
      </c>
      <c r="AE166" s="472">
        <v>2.8013002500000002</v>
      </c>
      <c r="AF166" s="472">
        <v>13.721651323669747</v>
      </c>
      <c r="AG166" s="172">
        <f t="shared" si="8"/>
        <v>8.9300303889358759</v>
      </c>
      <c r="AH166" s="253">
        <f t="shared" si="9"/>
        <v>202309</v>
      </c>
      <c r="AI166" t="s">
        <v>1165</v>
      </c>
      <c r="AJ166" t="s">
        <v>1164</v>
      </c>
    </row>
    <row r="167" spans="3:36" ht="15.75" hidden="1">
      <c r="C167" s="237">
        <v>45175</v>
      </c>
      <c r="D167" s="471">
        <v>357366</v>
      </c>
      <c r="E167" s="471">
        <v>36327</v>
      </c>
      <c r="F167" s="471">
        <v>16866.04</v>
      </c>
      <c r="G167" s="471">
        <v>2811</v>
      </c>
      <c r="H167" s="471">
        <v>2692</v>
      </c>
      <c r="I167" s="470">
        <v>148000</v>
      </c>
      <c r="J167" s="471">
        <v>183135.6</v>
      </c>
      <c r="K167" s="471">
        <v>46363.289999999994</v>
      </c>
      <c r="L167" s="471">
        <v>8793</v>
      </c>
      <c r="M167" s="471">
        <v>304450</v>
      </c>
      <c r="N167" s="471">
        <v>8907</v>
      </c>
      <c r="O167" s="471">
        <v>1178</v>
      </c>
      <c r="P167" s="471">
        <v>214.293486</v>
      </c>
      <c r="Q167" s="337">
        <v>0</v>
      </c>
      <c r="R167" s="167">
        <f t="shared" si="7"/>
        <v>138619.96441870002</v>
      </c>
      <c r="S167" s="473">
        <v>6.5527952948772032</v>
      </c>
      <c r="T167" s="473">
        <v>0.49869599999999997</v>
      </c>
      <c r="U167" s="473">
        <v>4.5896468043052892E-3</v>
      </c>
      <c r="V167" s="473">
        <v>1.2E-2</v>
      </c>
      <c r="W167" s="473">
        <v>0.31692999999999999</v>
      </c>
      <c r="X167" s="332">
        <v>7.4119999999999999</v>
      </c>
      <c r="Y167" s="473">
        <v>12.167</v>
      </c>
      <c r="Z167" s="473"/>
      <c r="AA167" s="473"/>
      <c r="AB167" s="473">
        <v>0</v>
      </c>
      <c r="AC167" s="473">
        <v>0.19850090755407804</v>
      </c>
      <c r="AD167" s="473">
        <v>6.0371460043551269E-2</v>
      </c>
      <c r="AE167" s="473">
        <v>2.8011002500000002</v>
      </c>
      <c r="AF167" s="473">
        <v>13.721509739570207</v>
      </c>
      <c r="AG167" s="172">
        <f t="shared" si="8"/>
        <v>8.8971156961499815</v>
      </c>
      <c r="AH167" s="253">
        <f t="shared" si="9"/>
        <v>202309</v>
      </c>
    </row>
    <row r="168" spans="3:36" ht="15.75" hidden="1">
      <c r="C168" s="235">
        <v>45176</v>
      </c>
      <c r="D168" s="469">
        <v>355284</v>
      </c>
      <c r="E168" s="469">
        <v>36270</v>
      </c>
      <c r="F168" s="469">
        <v>16844.62</v>
      </c>
      <c r="G168" s="469">
        <v>2627</v>
      </c>
      <c r="H168" s="469">
        <v>2707</v>
      </c>
      <c r="I168" s="470">
        <v>148000</v>
      </c>
      <c r="J168" s="469">
        <v>183388.56</v>
      </c>
      <c r="K168" s="469">
        <v>46120.270000000004</v>
      </c>
      <c r="L168" s="469">
        <v>9858</v>
      </c>
      <c r="M168" s="469">
        <v>323031</v>
      </c>
      <c r="N168" s="469">
        <v>8665</v>
      </c>
      <c r="O168" s="469">
        <v>5609</v>
      </c>
      <c r="P168" s="469">
        <v>207.12311399999999</v>
      </c>
      <c r="Q168" s="337">
        <v>0</v>
      </c>
      <c r="R168" s="167">
        <f t="shared" si="7"/>
        <v>141212.22540129998</v>
      </c>
      <c r="S168" s="472">
        <v>6.7252447281160537</v>
      </c>
      <c r="T168" s="472">
        <v>0.47968100000000002</v>
      </c>
      <c r="U168" s="472">
        <v>4.5833038366459291E-3</v>
      </c>
      <c r="V168" s="472">
        <v>1.2E-2</v>
      </c>
      <c r="W168" s="472">
        <v>0.31683</v>
      </c>
      <c r="X168" s="332">
        <v>7.4119999999999999</v>
      </c>
      <c r="Y168" s="472">
        <v>12.227349999999999</v>
      </c>
      <c r="Z168" s="472"/>
      <c r="AA168" s="472"/>
      <c r="AB168" s="472">
        <v>0</v>
      </c>
      <c r="AC168" s="472">
        <v>0.19765140295684233</v>
      </c>
      <c r="AD168" s="472">
        <v>5.4906313801334851E-2</v>
      </c>
      <c r="AE168" s="472">
        <v>2.6831002499999999</v>
      </c>
      <c r="AF168" s="472">
        <v>13.721368155470666</v>
      </c>
      <c r="AG168" s="172">
        <f t="shared" si="8"/>
        <v>8.8561482146809318</v>
      </c>
      <c r="AH168" s="253">
        <f t="shared" si="9"/>
        <v>202309</v>
      </c>
      <c r="AJ168" t="s">
        <v>1169</v>
      </c>
    </row>
    <row r="169" spans="3:36" ht="15.75" hidden="1">
      <c r="C169" s="237">
        <v>45177</v>
      </c>
      <c r="D169" s="471">
        <v>354557</v>
      </c>
      <c r="E169" s="471">
        <v>36340</v>
      </c>
      <c r="F169" s="471">
        <v>16807.29</v>
      </c>
      <c r="G169" s="471">
        <v>2717</v>
      </c>
      <c r="H169" s="471">
        <v>2686</v>
      </c>
      <c r="I169" s="470">
        <v>148000</v>
      </c>
      <c r="J169" s="471">
        <v>184058.16</v>
      </c>
      <c r="K169" s="471">
        <v>45141.21</v>
      </c>
      <c r="L169" s="471">
        <v>8670</v>
      </c>
      <c r="M169" s="471">
        <v>331054</v>
      </c>
      <c r="N169" s="471">
        <v>9017</v>
      </c>
      <c r="O169" s="471">
        <v>1386</v>
      </c>
      <c r="P169" s="471">
        <v>196.68204599999999</v>
      </c>
      <c r="Q169" s="337">
        <v>0</v>
      </c>
      <c r="R169" s="167">
        <f t="shared" si="7"/>
        <v>139520.6682207</v>
      </c>
      <c r="S169" s="473">
        <v>6.4689775079499485</v>
      </c>
      <c r="T169" s="473">
        <v>0.49122700000000002</v>
      </c>
      <c r="U169" s="473">
        <v>4.567899486616055E-3</v>
      </c>
      <c r="V169" s="473">
        <v>1.2E-2</v>
      </c>
      <c r="W169" s="473">
        <v>0.31918000000000002</v>
      </c>
      <c r="X169" s="332">
        <v>7.4119999999999999</v>
      </c>
      <c r="Y169" s="473">
        <v>12.252419</v>
      </c>
      <c r="Z169" s="473"/>
      <c r="AA169" s="473"/>
      <c r="AB169" s="561">
        <v>0</v>
      </c>
      <c r="AC169" s="473">
        <v>0.20586328073012086</v>
      </c>
      <c r="AD169" s="473">
        <v>5.9521955446315548E-2</v>
      </c>
      <c r="AE169" s="473">
        <v>2.6549002499999999</v>
      </c>
      <c r="AF169" s="473">
        <v>13.720943403172049</v>
      </c>
      <c r="AG169" s="172">
        <f t="shared" si="8"/>
        <v>8.8521903741723644</v>
      </c>
      <c r="AH169" s="253">
        <f t="shared" si="9"/>
        <v>202309</v>
      </c>
    </row>
    <row r="170" spans="3:36" ht="15.75" hidden="1">
      <c r="C170" s="235">
        <v>45178</v>
      </c>
      <c r="D170" s="469">
        <v>349016</v>
      </c>
      <c r="E170" s="469">
        <v>36126</v>
      </c>
      <c r="F170" s="469">
        <v>16817.96</v>
      </c>
      <c r="G170" s="469">
        <v>2587</v>
      </c>
      <c r="H170" s="469">
        <v>2723</v>
      </c>
      <c r="I170" s="470">
        <v>148000</v>
      </c>
      <c r="J170" s="469">
        <v>183991.2</v>
      </c>
      <c r="K170" s="469">
        <v>45653.23</v>
      </c>
      <c r="L170" s="469">
        <v>1276</v>
      </c>
      <c r="M170" s="469">
        <v>343153</v>
      </c>
      <c r="N170" s="469">
        <v>8998</v>
      </c>
      <c r="O170" s="469">
        <v>3987</v>
      </c>
      <c r="P170" s="469">
        <v>202.783152</v>
      </c>
      <c r="Q170" s="337">
        <v>0</v>
      </c>
      <c r="R170" s="167">
        <f t="shared" si="7"/>
        <v>139166.16851839999</v>
      </c>
      <c r="S170" s="472">
        <v>6.4955953186633355</v>
      </c>
      <c r="T170" s="472">
        <v>0.50197999999999998</v>
      </c>
      <c r="U170" s="472">
        <v>4.3451027475810353E-3</v>
      </c>
      <c r="V170" s="472">
        <v>1.2E-2</v>
      </c>
      <c r="W170" s="472">
        <v>0.32016</v>
      </c>
      <c r="X170" s="332">
        <v>7.4119999999999999</v>
      </c>
      <c r="Y170" s="472">
        <v>12.290379999999999</v>
      </c>
      <c r="Z170" s="472"/>
      <c r="AA170" s="472"/>
      <c r="AB170" s="561">
        <v>0</v>
      </c>
      <c r="AC170" s="472">
        <v>0.20812862632274942</v>
      </c>
      <c r="AD170" s="472">
        <v>6.3288092494060547E-2</v>
      </c>
      <c r="AE170" s="472">
        <v>2.6439002500000002</v>
      </c>
      <c r="AF170" s="472">
        <v>13.722302610527626</v>
      </c>
      <c r="AG170" s="172">
        <f t="shared" si="8"/>
        <v>8.863439165967252</v>
      </c>
      <c r="AH170" s="253">
        <f t="shared" si="9"/>
        <v>202309</v>
      </c>
      <c r="AI170" t="s">
        <v>1166</v>
      </c>
      <c r="AJ170" t="s">
        <v>1167</v>
      </c>
    </row>
    <row r="171" spans="3:36" ht="15.75" hidden="1">
      <c r="C171" s="237">
        <v>45179</v>
      </c>
      <c r="D171" s="471">
        <v>345315</v>
      </c>
      <c r="E171" s="471">
        <v>36560</v>
      </c>
      <c r="F171" s="471">
        <v>16838.79</v>
      </c>
      <c r="G171" s="471">
        <v>2601</v>
      </c>
      <c r="H171" s="471">
        <v>2756</v>
      </c>
      <c r="I171" s="470">
        <v>148000</v>
      </c>
      <c r="J171" s="471">
        <v>185754.48</v>
      </c>
      <c r="K171" s="471">
        <v>46797.82</v>
      </c>
      <c r="L171" s="471">
        <v>8695</v>
      </c>
      <c r="M171" s="471">
        <v>356880</v>
      </c>
      <c r="N171" s="471">
        <v>9038</v>
      </c>
      <c r="O171" s="471">
        <v>922</v>
      </c>
      <c r="P171" s="471">
        <v>193.78873799999997</v>
      </c>
      <c r="Q171" s="337">
        <v>0</v>
      </c>
      <c r="R171" s="167">
        <f t="shared" si="7"/>
        <v>141110.30298209999</v>
      </c>
      <c r="S171" s="473">
        <v>6.4978606642559615</v>
      </c>
      <c r="T171" s="473">
        <v>0.498226</v>
      </c>
      <c r="U171" s="473">
        <v>4.3415348282726451E-3</v>
      </c>
      <c r="V171" s="473">
        <v>1.2E-2</v>
      </c>
      <c r="W171" s="473">
        <v>0.32253999999999999</v>
      </c>
      <c r="X171" s="332">
        <v>7.4119999999999999</v>
      </c>
      <c r="Y171" s="473">
        <v>12.385732000000001</v>
      </c>
      <c r="AB171" s="337">
        <v>0</v>
      </c>
      <c r="AC171" s="473">
        <v>0.20812862632274942</v>
      </c>
      <c r="AD171" s="473">
        <v>5.8417599469909133E-2</v>
      </c>
      <c r="AE171" s="473">
        <v>2.64910025</v>
      </c>
      <c r="AF171" s="473">
        <v>13.721424789110483</v>
      </c>
      <c r="AG171" s="172">
        <f t="shared" si="8"/>
        <v>8.8898895110563512</v>
      </c>
      <c r="AH171" s="253">
        <f t="shared" si="9"/>
        <v>202309</v>
      </c>
      <c r="AI171" t="s">
        <v>1172</v>
      </c>
      <c r="AJ171" t="s">
        <v>1173</v>
      </c>
    </row>
    <row r="172" spans="3:36" ht="15.75" hidden="1">
      <c r="C172" s="235">
        <v>45180</v>
      </c>
      <c r="D172" s="469">
        <v>357641</v>
      </c>
      <c r="E172" s="469">
        <v>36723</v>
      </c>
      <c r="F172" s="469">
        <v>16859.439999999999</v>
      </c>
      <c r="G172" s="469">
        <v>2569</v>
      </c>
      <c r="H172" s="469">
        <v>2692</v>
      </c>
      <c r="I172" s="470">
        <v>148000</v>
      </c>
      <c r="J172" s="469">
        <v>186044.64</v>
      </c>
      <c r="K172" s="469">
        <v>46532.369999999995</v>
      </c>
      <c r="L172" s="469">
        <v>7500</v>
      </c>
      <c r="M172" s="469">
        <v>361837</v>
      </c>
      <c r="N172" s="469">
        <v>8827</v>
      </c>
      <c r="O172" s="469">
        <v>5493</v>
      </c>
      <c r="P172" s="469">
        <v>203.03474399999999</v>
      </c>
      <c r="Q172" s="337">
        <v>0</v>
      </c>
      <c r="R172" s="167">
        <f t="shared" si="7"/>
        <v>143101.91463480002</v>
      </c>
      <c r="S172" s="472">
        <v>6.5077715512237093</v>
      </c>
      <c r="T172" s="472">
        <v>0.49805300000000002</v>
      </c>
      <c r="U172" s="472">
        <v>4.5547604821788087E-3</v>
      </c>
      <c r="V172" s="472">
        <v>1.2E-2</v>
      </c>
      <c r="W172" s="472">
        <v>0.32099</v>
      </c>
      <c r="X172" s="332">
        <v>7.4119999999999999</v>
      </c>
      <c r="Y172" s="472">
        <v>12.382013000000001</v>
      </c>
      <c r="Z172" s="472"/>
      <c r="AA172" s="472"/>
      <c r="AB172" s="561">
        <v>0</v>
      </c>
      <c r="AC172" s="472">
        <v>0.20529694433196374</v>
      </c>
      <c r="AD172" s="472">
        <v>6.0399776863459126E-2</v>
      </c>
      <c r="AE172" s="472">
        <v>2.6304002500000001</v>
      </c>
      <c r="AF172" s="472">
        <v>13.721000036811866</v>
      </c>
      <c r="AG172" s="172">
        <f t="shared" si="8"/>
        <v>8.8796982385507111</v>
      </c>
      <c r="AH172" s="253">
        <f t="shared" si="9"/>
        <v>202309</v>
      </c>
      <c r="AI172" t="s">
        <v>135</v>
      </c>
      <c r="AJ172" t="s">
        <v>1174</v>
      </c>
    </row>
    <row r="173" spans="3:36" ht="15.75" hidden="1" customHeight="1">
      <c r="C173" s="237">
        <v>45181</v>
      </c>
      <c r="D173" s="471">
        <v>358882</v>
      </c>
      <c r="E173" s="471">
        <v>36415</v>
      </c>
      <c r="F173" s="471">
        <v>16829.849999999999</v>
      </c>
      <c r="G173" s="471">
        <v>2543</v>
      </c>
      <c r="H173" s="471">
        <v>2677</v>
      </c>
      <c r="I173" s="470">
        <v>146000</v>
      </c>
      <c r="J173" s="471">
        <v>185189.04</v>
      </c>
      <c r="K173" s="471">
        <v>47599.28</v>
      </c>
      <c r="L173" s="471">
        <v>7526</v>
      </c>
      <c r="M173" s="471">
        <v>365622</v>
      </c>
      <c r="N173" s="471">
        <v>8806</v>
      </c>
      <c r="O173" s="471">
        <v>460</v>
      </c>
      <c r="P173" s="471">
        <v>211.96626000000001</v>
      </c>
      <c r="Q173" s="337">
        <v>0</v>
      </c>
      <c r="R173" s="167">
        <f t="shared" si="7"/>
        <v>140789.16191700002</v>
      </c>
      <c r="S173" s="473">
        <v>6.511735906010812</v>
      </c>
      <c r="T173" s="473">
        <v>0.499276</v>
      </c>
      <c r="U173" s="473">
        <v>4.5088022834683574E-3</v>
      </c>
      <c r="V173" s="473">
        <v>1.2E-2</v>
      </c>
      <c r="W173" s="473">
        <v>0.31786000000000003</v>
      </c>
      <c r="X173" s="332">
        <v>7.4119999999999999</v>
      </c>
      <c r="Y173" s="473">
        <v>12.000425999999999</v>
      </c>
      <c r="Z173" s="473"/>
      <c r="AA173" s="473"/>
      <c r="AB173" s="473">
        <v>0</v>
      </c>
      <c r="AC173" s="473">
        <v>0.20586328073012086</v>
      </c>
      <c r="AD173" s="473">
        <v>6.3118191574613403E-2</v>
      </c>
      <c r="AE173" s="473">
        <v>2.4407002499999999</v>
      </c>
      <c r="AF173" s="473">
        <v>13.72714478673187</v>
      </c>
      <c r="AG173" s="172">
        <f t="shared" si="8"/>
        <v>8.6945745047818548</v>
      </c>
      <c r="AH173" s="253">
        <f t="shared" si="9"/>
        <v>202309</v>
      </c>
      <c r="AI173" t="s">
        <v>1175</v>
      </c>
      <c r="AJ173" t="s">
        <v>1176</v>
      </c>
    </row>
    <row r="174" spans="3:36" ht="15.75" hidden="1">
      <c r="C174" s="235">
        <v>45182</v>
      </c>
      <c r="D174" s="469">
        <v>355148</v>
      </c>
      <c r="E174" s="469">
        <v>36560</v>
      </c>
      <c r="F174" s="469">
        <v>16833.349999999999</v>
      </c>
      <c r="G174" s="469">
        <v>2593</v>
      </c>
      <c r="H174" s="469">
        <v>2649</v>
      </c>
      <c r="I174" s="470">
        <v>146000</v>
      </c>
      <c r="J174" s="469">
        <v>185003.04</v>
      </c>
      <c r="K174" s="469">
        <v>47520.65</v>
      </c>
      <c r="L174" s="469">
        <v>7572</v>
      </c>
      <c r="M174" s="469">
        <v>367683</v>
      </c>
      <c r="N174" s="469">
        <v>8627</v>
      </c>
      <c r="O174" s="469">
        <v>4758</v>
      </c>
      <c r="P174" s="469">
        <v>185.80069199999997</v>
      </c>
      <c r="Q174" s="337">
        <v>0</v>
      </c>
      <c r="R174" s="167">
        <f t="shared" si="7"/>
        <v>142454.76201140002</v>
      </c>
      <c r="S174" s="472">
        <v>6.6637972289160015</v>
      </c>
      <c r="T174" s="472">
        <v>0.52346899999999996</v>
      </c>
      <c r="U174" s="472">
        <v>4.3102447422744628E-3</v>
      </c>
      <c r="V174" s="472">
        <v>1.2E-2</v>
      </c>
      <c r="W174" s="472">
        <v>0.31351000000000001</v>
      </c>
      <c r="X174" s="332">
        <v>7.4119999999999999</v>
      </c>
      <c r="Y174" s="472">
        <v>12.427172000000001</v>
      </c>
      <c r="Z174" s="472"/>
      <c r="AA174" s="472"/>
      <c r="AB174" s="472">
        <v>0</v>
      </c>
      <c r="AC174" s="472">
        <v>0.20048308494762804</v>
      </c>
      <c r="AD174" s="472">
        <v>6.357126069313912E-2</v>
      </c>
      <c r="AE174" s="472">
        <v>2.44830025</v>
      </c>
      <c r="AF174" s="472">
        <v>13.727286370831409</v>
      </c>
      <c r="AG174" s="172">
        <f t="shared" si="8"/>
        <v>8.814117676470385</v>
      </c>
      <c r="AH174" s="253">
        <f t="shared" si="9"/>
        <v>202309</v>
      </c>
      <c r="AI174" t="s">
        <v>1120</v>
      </c>
      <c r="AJ174" t="s">
        <v>1177</v>
      </c>
    </row>
    <row r="175" spans="3:36" ht="409.5" hidden="1">
      <c r="C175" s="237">
        <v>45183</v>
      </c>
      <c r="D175" s="471">
        <v>351345</v>
      </c>
      <c r="E175" s="471">
        <v>36723</v>
      </c>
      <c r="F175" s="471">
        <v>16776.61</v>
      </c>
      <c r="G175" s="471">
        <v>2479</v>
      </c>
      <c r="H175" s="471">
        <v>2722</v>
      </c>
      <c r="I175" s="470">
        <v>146000</v>
      </c>
      <c r="J175" s="471">
        <v>184200</v>
      </c>
      <c r="K175" s="471">
        <v>46818.31</v>
      </c>
      <c r="L175" s="471">
        <v>7573</v>
      </c>
      <c r="M175" s="471">
        <v>367693</v>
      </c>
      <c r="N175" s="471">
        <v>8826</v>
      </c>
      <c r="O175" s="471">
        <v>7053</v>
      </c>
      <c r="P175" s="471">
        <v>185.611998</v>
      </c>
      <c r="Q175" s="337">
        <v>0</v>
      </c>
      <c r="R175" s="167">
        <f t="shared" si="7"/>
        <v>142943.27564909999</v>
      </c>
      <c r="S175" s="473">
        <v>6.653603173749179</v>
      </c>
      <c r="T175" s="473">
        <v>0.53484699999999996</v>
      </c>
      <c r="U175" s="473">
        <v>4.1829323199687376E-3</v>
      </c>
      <c r="V175" s="473">
        <v>1.2E-2</v>
      </c>
      <c r="W175" s="473">
        <v>0.31613000000000002</v>
      </c>
      <c r="X175" s="332">
        <v>7.4119999999999999</v>
      </c>
      <c r="Y175" s="473">
        <v>12.35</v>
      </c>
      <c r="Z175" s="473"/>
      <c r="AA175" s="473"/>
      <c r="AB175" s="473">
        <v>0</v>
      </c>
      <c r="AC175" s="473">
        <v>0.19991674854947089</v>
      </c>
      <c r="AD175" s="473">
        <v>5.9805123645394129E-2</v>
      </c>
      <c r="AE175" s="473">
        <v>2.45630025</v>
      </c>
      <c r="AF175" s="473">
        <v>13.663262041019745</v>
      </c>
      <c r="AG175" s="172">
        <f t="shared" si="8"/>
        <v>8.7905675272095394</v>
      </c>
      <c r="AH175" s="253">
        <f t="shared" si="9"/>
        <v>202309</v>
      </c>
      <c r="AI175" t="s">
        <v>1210</v>
      </c>
      <c r="AJ175" s="301" t="s">
        <v>1211</v>
      </c>
    </row>
    <row r="176" spans="3:36" ht="15.75" hidden="1">
      <c r="C176" s="235">
        <v>45184</v>
      </c>
      <c r="D176" s="469">
        <v>356134</v>
      </c>
      <c r="E176" s="469">
        <v>36170</v>
      </c>
      <c r="F176" s="469">
        <v>14674.96</v>
      </c>
      <c r="G176" s="469">
        <v>2617</v>
      </c>
      <c r="H176" s="469">
        <v>2689</v>
      </c>
      <c r="I176" s="470">
        <v>146000</v>
      </c>
      <c r="J176" s="469">
        <v>184750.08000000002</v>
      </c>
      <c r="K176" s="469">
        <v>46774.34</v>
      </c>
      <c r="L176" s="469">
        <v>7607</v>
      </c>
      <c r="M176" s="469">
        <v>361362</v>
      </c>
      <c r="N176" s="469">
        <v>8915</v>
      </c>
      <c r="O176" s="469">
        <v>1189</v>
      </c>
      <c r="P176" s="469">
        <v>185.23460999999998</v>
      </c>
      <c r="Q176" s="337">
        <v>0</v>
      </c>
      <c r="R176" s="167">
        <f t="shared" si="7"/>
        <v>139020.44752449999</v>
      </c>
      <c r="S176" s="472">
        <v>6.5587418270578537</v>
      </c>
      <c r="T176" s="472">
        <v>0.52022599999999997</v>
      </c>
      <c r="U176" s="472">
        <v>4.0631521717585019E-3</v>
      </c>
      <c r="V176" s="472">
        <v>1.2E-2</v>
      </c>
      <c r="W176" s="472">
        <v>0.31617000000000001</v>
      </c>
      <c r="X176" s="332">
        <v>7.4119999999999999</v>
      </c>
      <c r="Y176" s="472">
        <v>12.340071</v>
      </c>
      <c r="AB176" s="337">
        <v>0</v>
      </c>
      <c r="AC176" s="472">
        <v>0.19651873016052807</v>
      </c>
      <c r="AD176" s="472">
        <v>5.9521955446315548E-2</v>
      </c>
      <c r="AE176" s="472">
        <v>2.4289002499999999</v>
      </c>
      <c r="AF176" s="472">
        <v>13.66357352603873</v>
      </c>
      <c r="AG176" s="172">
        <f t="shared" si="8"/>
        <v>8.7690390771480367</v>
      </c>
      <c r="AH176" s="253">
        <f t="shared" si="9"/>
        <v>202309</v>
      </c>
    </row>
    <row r="177" spans="3:36" ht="15.75" hidden="1">
      <c r="C177" s="237">
        <v>45185</v>
      </c>
      <c r="D177" s="471">
        <v>349723</v>
      </c>
      <c r="E177" s="471">
        <v>36075</v>
      </c>
      <c r="F177" s="471">
        <v>712.68</v>
      </c>
      <c r="G177" s="471">
        <v>2732</v>
      </c>
      <c r="H177" s="471">
        <v>2108</v>
      </c>
      <c r="I177" s="470">
        <v>146000</v>
      </c>
      <c r="J177" s="471">
        <v>179519.76</v>
      </c>
      <c r="K177" s="471">
        <v>47036.43</v>
      </c>
      <c r="L177" s="471">
        <v>7564</v>
      </c>
      <c r="M177" s="471">
        <v>367799</v>
      </c>
      <c r="N177" s="471">
        <v>9007</v>
      </c>
      <c r="O177" s="471">
        <v>5794</v>
      </c>
      <c r="P177" s="471">
        <v>188.63110199999997</v>
      </c>
      <c r="Q177" s="337">
        <v>0</v>
      </c>
      <c r="R177" s="167">
        <f t="shared" si="7"/>
        <v>129356.00139590002</v>
      </c>
      <c r="S177" s="473">
        <v>6.7898070775059667</v>
      </c>
      <c r="T177" s="473">
        <v>0.52727299999999999</v>
      </c>
      <c r="U177" s="473">
        <v>1.8299461697253556E-3</v>
      </c>
      <c r="V177" s="473">
        <v>1.2E-2</v>
      </c>
      <c r="W177" s="473">
        <v>0.11699</v>
      </c>
      <c r="X177" s="332">
        <v>7.4119999999999999</v>
      </c>
      <c r="Y177" s="473">
        <v>12.192798</v>
      </c>
      <c r="AB177" s="337">
        <v>0</v>
      </c>
      <c r="AC177" s="473">
        <v>0.2055801125310423</v>
      </c>
      <c r="AD177" s="473">
        <v>6.0399776863459126E-2</v>
      </c>
      <c r="AE177" s="473">
        <v>2.4268002499999999</v>
      </c>
      <c r="AF177" s="473">
        <v>13.662893922360942</v>
      </c>
      <c r="AG177" s="172">
        <f t="shared" si="8"/>
        <v>8.5375324982343539</v>
      </c>
      <c r="AH177" s="253">
        <f t="shared" si="9"/>
        <v>202309</v>
      </c>
      <c r="AJ177" t="s">
        <v>1214</v>
      </c>
    </row>
    <row r="178" spans="3:36" ht="15.75" hidden="1">
      <c r="C178" s="235">
        <v>45186</v>
      </c>
      <c r="D178" s="469">
        <v>325577</v>
      </c>
      <c r="E178" s="469">
        <v>35899</v>
      </c>
      <c r="F178" s="469">
        <v>12656.850000000002</v>
      </c>
      <c r="G178" s="469">
        <v>2758</v>
      </c>
      <c r="H178" s="469">
        <v>1977</v>
      </c>
      <c r="I178" s="470">
        <v>146000</v>
      </c>
      <c r="J178" s="469">
        <v>182718.96000000002</v>
      </c>
      <c r="K178" s="469">
        <v>46303.299999999996</v>
      </c>
      <c r="L178" s="469">
        <v>7683</v>
      </c>
      <c r="M178" s="469">
        <v>381041</v>
      </c>
      <c r="N178" s="469">
        <v>9003</v>
      </c>
      <c r="O178" s="469">
        <v>4050</v>
      </c>
      <c r="P178" s="469">
        <v>184.165344</v>
      </c>
      <c r="Q178" s="337">
        <v>0</v>
      </c>
      <c r="R178" s="167">
        <f t="shared" si="7"/>
        <v>137500.47645479999</v>
      </c>
      <c r="S178" s="472">
        <v>7.2284346178786727</v>
      </c>
      <c r="T178" s="472">
        <v>0.52101799999999998</v>
      </c>
      <c r="U178" s="472">
        <v>2.960240353167378E-3</v>
      </c>
      <c r="V178" s="472">
        <v>1.2E-2</v>
      </c>
      <c r="W178" s="472">
        <v>7.1989999999999998E-2</v>
      </c>
      <c r="X178" s="332">
        <v>7.4119999999999999</v>
      </c>
      <c r="Y178" s="472">
        <v>12.308802</v>
      </c>
      <c r="AB178" s="337">
        <v>0</v>
      </c>
      <c r="AC178" s="472">
        <v>0.21209298110984942</v>
      </c>
      <c r="AD178" s="472">
        <v>6.4222547551019818E-2</v>
      </c>
      <c r="AE178" s="472">
        <v>2.4409002499999999</v>
      </c>
      <c r="AF178" s="472">
        <v>13.668642236802238</v>
      </c>
      <c r="AG178" s="172">
        <f t="shared" si="8"/>
        <v>8.5414959276190867</v>
      </c>
      <c r="AH178" s="253">
        <f t="shared" si="9"/>
        <v>202309</v>
      </c>
      <c r="AI178" t="s">
        <v>1213</v>
      </c>
      <c r="AJ178" t="s">
        <v>1217</v>
      </c>
    </row>
    <row r="179" spans="3:36" ht="15.75" hidden="1">
      <c r="C179" s="237">
        <v>45187</v>
      </c>
      <c r="D179" s="471">
        <v>353045</v>
      </c>
      <c r="E179" s="471">
        <v>33836</v>
      </c>
      <c r="F179" s="471">
        <v>16796.43</v>
      </c>
      <c r="G179" s="471">
        <v>2823</v>
      </c>
      <c r="H179" s="471">
        <v>1923</v>
      </c>
      <c r="I179" s="470">
        <v>146000</v>
      </c>
      <c r="J179" s="471">
        <v>181506.24000000002</v>
      </c>
      <c r="K179" s="471">
        <v>46448.32</v>
      </c>
      <c r="L179" s="471">
        <v>8512</v>
      </c>
      <c r="M179" s="471">
        <v>369950</v>
      </c>
      <c r="N179" s="471">
        <v>8679</v>
      </c>
      <c r="O179" s="471">
        <v>607</v>
      </c>
      <c r="P179" s="471">
        <v>180.51725999999999</v>
      </c>
      <c r="Q179" s="337">
        <v>0</v>
      </c>
      <c r="R179" s="167">
        <f t="shared" si="7"/>
        <v>138517.00566700002</v>
      </c>
      <c r="S179" s="473">
        <v>10.386892710401051</v>
      </c>
      <c r="T179" s="473">
        <v>0.41235100000000002</v>
      </c>
      <c r="U179" s="473">
        <v>4.039309409396087E-3</v>
      </c>
      <c r="V179" s="473">
        <v>1.2E-2</v>
      </c>
      <c r="W179" s="473">
        <v>7.0889999999999995E-2</v>
      </c>
      <c r="X179" s="332">
        <v>7.4119999999999999</v>
      </c>
      <c r="Y179" s="473">
        <v>12.23592</v>
      </c>
      <c r="AB179" s="337">
        <v>0</v>
      </c>
      <c r="AC179" s="473">
        <v>0.20841179452182801</v>
      </c>
      <c r="AD179" s="473">
        <v>5.9295420887052697E-2</v>
      </c>
      <c r="AE179" s="473">
        <v>2.4177002500000002</v>
      </c>
      <c r="AF179" s="473">
        <v>13.669208573200395</v>
      </c>
      <c r="AG179" s="172">
        <f t="shared" si="8"/>
        <v>8.5531027438931311</v>
      </c>
      <c r="AH179" s="253">
        <f t="shared" si="9"/>
        <v>202309</v>
      </c>
      <c r="AI179" t="s">
        <v>1218</v>
      </c>
      <c r="AJ179" t="s">
        <v>1219</v>
      </c>
    </row>
    <row r="180" spans="3:36" ht="15.75" hidden="1">
      <c r="C180" s="235">
        <v>45188</v>
      </c>
      <c r="D180" s="469">
        <v>353646</v>
      </c>
      <c r="E180" s="469">
        <v>21987</v>
      </c>
      <c r="F180" s="469">
        <v>16746.91</v>
      </c>
      <c r="G180" s="469">
        <v>2839</v>
      </c>
      <c r="H180" s="469">
        <v>1927</v>
      </c>
      <c r="I180" s="470">
        <v>146000</v>
      </c>
      <c r="J180" s="469">
        <v>181290.48</v>
      </c>
      <c r="K180" s="469">
        <v>46738.38</v>
      </c>
      <c r="L180" s="469">
        <v>9193</v>
      </c>
      <c r="M180" s="469">
        <v>374093</v>
      </c>
      <c r="N180" s="469">
        <v>8611</v>
      </c>
      <c r="O180" s="469">
        <v>227</v>
      </c>
      <c r="P180" s="469">
        <v>146.992626</v>
      </c>
      <c r="Q180" s="337">
        <v>0</v>
      </c>
      <c r="R180" s="167">
        <f t="shared" si="7"/>
        <v>135480.85733169998</v>
      </c>
      <c r="S180" s="472">
        <v>11.405448722486666</v>
      </c>
      <c r="T180" s="472">
        <v>0.30552000000000001</v>
      </c>
      <c r="U180" s="472">
        <v>4.2316655670301597E-3</v>
      </c>
      <c r="V180" s="472">
        <v>1.2E-2</v>
      </c>
      <c r="W180" s="472">
        <v>7.2900000000000006E-2</v>
      </c>
      <c r="X180" s="332">
        <v>7.4119999999999999</v>
      </c>
      <c r="Y180" s="472">
        <v>12.157304</v>
      </c>
      <c r="Z180" s="472"/>
      <c r="AA180" s="472"/>
      <c r="AB180" s="472">
        <v>0</v>
      </c>
      <c r="AC180" s="472">
        <v>0.20784545812367086</v>
      </c>
      <c r="AD180" s="472">
        <v>6.0682945062537685E-2</v>
      </c>
      <c r="AE180" s="472">
        <v>2.26250025</v>
      </c>
      <c r="AF180" s="472">
        <v>13.669548375039289</v>
      </c>
      <c r="AG180" s="172">
        <f t="shared" si="8"/>
        <v>8.4602019860616604</v>
      </c>
      <c r="AH180" s="253">
        <f t="shared" si="9"/>
        <v>202309</v>
      </c>
      <c r="AI180" t="s">
        <v>1220</v>
      </c>
      <c r="AJ180" t="s">
        <v>1221</v>
      </c>
    </row>
    <row r="181" spans="3:36" ht="15.75" hidden="1">
      <c r="C181" s="237">
        <v>45189</v>
      </c>
      <c r="D181" s="471">
        <v>350278</v>
      </c>
      <c r="E181" s="471">
        <v>13541</v>
      </c>
      <c r="F181" s="471">
        <v>16700.439999999999</v>
      </c>
      <c r="G181" s="471">
        <v>2923</v>
      </c>
      <c r="H181" s="471">
        <v>2268</v>
      </c>
      <c r="I181" s="470">
        <v>146000</v>
      </c>
      <c r="J181" s="471">
        <v>183626.64</v>
      </c>
      <c r="K181" s="471">
        <v>45984.71</v>
      </c>
      <c r="L181" s="471">
        <v>9122</v>
      </c>
      <c r="M181" s="471">
        <v>369157</v>
      </c>
      <c r="N181" s="471">
        <v>8457</v>
      </c>
      <c r="O181" s="471">
        <v>4110</v>
      </c>
      <c r="P181" s="471">
        <v>160.38989999999998</v>
      </c>
      <c r="Q181" s="337">
        <v>0</v>
      </c>
      <c r="R181" s="167">
        <f t="shared" si="7"/>
        <v>135219.811655</v>
      </c>
      <c r="S181" s="473">
        <v>12.513202717282036</v>
      </c>
      <c r="T181" s="473">
        <v>0.326766</v>
      </c>
      <c r="U181" s="473">
        <v>4.4216997454317895E-3</v>
      </c>
      <c r="V181" s="473">
        <v>1.2E-2</v>
      </c>
      <c r="W181" s="473">
        <v>0.17113999999999999</v>
      </c>
      <c r="X181" s="332">
        <v>7.4119999999999999</v>
      </c>
      <c r="Y181" s="473">
        <v>12.205060999999999</v>
      </c>
      <c r="Z181" s="473"/>
      <c r="AA181" s="473"/>
      <c r="AB181" s="473">
        <v>0</v>
      </c>
      <c r="AC181" s="473">
        <v>0.20388110333657089</v>
      </c>
      <c r="AD181" s="473">
        <v>5.8417599469909133E-2</v>
      </c>
      <c r="AE181" s="473">
        <v>2.2496002499999999</v>
      </c>
      <c r="AF181" s="473">
        <v>13.528360710978713</v>
      </c>
      <c r="AG181" s="172">
        <f t="shared" si="8"/>
        <v>8.5711682471123858</v>
      </c>
      <c r="AH181" s="253">
        <f t="shared" si="9"/>
        <v>202309</v>
      </c>
      <c r="AI181" t="s">
        <v>1076</v>
      </c>
      <c r="AJ181" t="s">
        <v>1222</v>
      </c>
    </row>
    <row r="182" spans="3:36" ht="15.75" hidden="1">
      <c r="C182" s="235">
        <v>45190</v>
      </c>
      <c r="D182" s="469">
        <v>352211</v>
      </c>
      <c r="E182" s="469">
        <v>12346</v>
      </c>
      <c r="F182" s="469">
        <v>16688.25</v>
      </c>
      <c r="G182" s="469">
        <v>2856</v>
      </c>
      <c r="H182" s="469">
        <v>2492</v>
      </c>
      <c r="I182" s="470">
        <v>146000</v>
      </c>
      <c r="J182" s="469">
        <v>184080.48</v>
      </c>
      <c r="K182" s="469">
        <v>48287.65</v>
      </c>
      <c r="L182" s="469">
        <v>9105</v>
      </c>
      <c r="M182" s="469">
        <v>363319</v>
      </c>
      <c r="N182" s="469">
        <v>8509</v>
      </c>
      <c r="O182" s="469">
        <v>7243</v>
      </c>
      <c r="P182" s="469">
        <v>179.19640199999998</v>
      </c>
      <c r="Q182" s="337">
        <v>0</v>
      </c>
      <c r="R182" s="167">
        <f t="shared" si="7"/>
        <v>136847.27603090002</v>
      </c>
      <c r="S182" s="472">
        <v>12.339054274848714</v>
      </c>
      <c r="T182" s="472">
        <v>0.15554999999999999</v>
      </c>
      <c r="U182" s="472">
        <v>4.543688605594837E-3</v>
      </c>
      <c r="V182" s="472">
        <v>1.2E-2</v>
      </c>
      <c r="W182" s="472">
        <v>0.27789999999999998</v>
      </c>
      <c r="X182" s="332">
        <v>7.4119999999999999</v>
      </c>
      <c r="Y182" s="472">
        <v>12.124306000000001</v>
      </c>
      <c r="AB182" s="337">
        <v>0</v>
      </c>
      <c r="AC182" s="472">
        <v>0.20841179452182801</v>
      </c>
      <c r="AD182" s="472">
        <v>5.5699184758754849E-2</v>
      </c>
      <c r="AE182" s="472">
        <v>2.2336002499999998</v>
      </c>
      <c r="AF182" s="472">
        <v>13.071921890883965</v>
      </c>
      <c r="AG182" s="172">
        <f t="shared" si="8"/>
        <v>8.5213826010240989</v>
      </c>
      <c r="AH182" s="253">
        <f t="shared" si="9"/>
        <v>202309</v>
      </c>
      <c r="AI182" t="s">
        <v>1224</v>
      </c>
      <c r="AJ182" t="s">
        <v>1225</v>
      </c>
    </row>
    <row r="183" spans="3:36" ht="15.75" hidden="1">
      <c r="C183" s="237">
        <v>45191</v>
      </c>
      <c r="D183" s="471">
        <v>356035</v>
      </c>
      <c r="E183" s="471">
        <v>6484</v>
      </c>
      <c r="F183" s="471">
        <v>16678.490000000002</v>
      </c>
      <c r="G183" s="471">
        <v>2900</v>
      </c>
      <c r="H183" s="471">
        <v>2639</v>
      </c>
      <c r="I183" s="470">
        <v>146000</v>
      </c>
      <c r="J183" s="471">
        <v>184281.36000000002</v>
      </c>
      <c r="K183" s="471">
        <v>48033.52</v>
      </c>
      <c r="L183" s="471">
        <v>9846</v>
      </c>
      <c r="M183" s="471">
        <v>368193</v>
      </c>
      <c r="N183" s="471">
        <v>8426</v>
      </c>
      <c r="O183" s="471">
        <v>1034</v>
      </c>
      <c r="P183" s="471">
        <v>0</v>
      </c>
      <c r="Q183" s="337">
        <v>0</v>
      </c>
      <c r="R183" s="167">
        <f t="shared" si="7"/>
        <v>133304.0926</v>
      </c>
      <c r="S183" s="473">
        <v>12.496495793536404</v>
      </c>
      <c r="T183" s="473">
        <v>3.0485999999999999E-2</v>
      </c>
      <c r="U183" s="473">
        <v>4.4732929913039047E-3</v>
      </c>
      <c r="V183" s="473">
        <v>1.2E-2</v>
      </c>
      <c r="W183" s="473">
        <v>0.31285000000000002</v>
      </c>
      <c r="X183" s="332">
        <v>7.4119999999999999</v>
      </c>
      <c r="Y183" s="473">
        <v>11.990812</v>
      </c>
      <c r="Z183" s="473"/>
      <c r="AA183" s="473"/>
      <c r="AB183" s="473">
        <v>0</v>
      </c>
      <c r="AC183" s="473">
        <v>0.20048308494762804</v>
      </c>
      <c r="AD183" s="473">
        <v>5.7313243493502704E-2</v>
      </c>
      <c r="AE183" s="473">
        <v>0</v>
      </c>
      <c r="AF183" s="473">
        <v>13.295936253175022</v>
      </c>
      <c r="AG183" s="172">
        <f t="shared" si="8"/>
        <v>7.5241802977059979</v>
      </c>
      <c r="AH183" s="253">
        <f t="shared" si="9"/>
        <v>202309</v>
      </c>
      <c r="AJ183" t="s">
        <v>1226</v>
      </c>
    </row>
    <row r="184" spans="3:36" ht="15.75" hidden="1">
      <c r="C184" s="235">
        <v>45192</v>
      </c>
      <c r="D184" s="469">
        <v>356128</v>
      </c>
      <c r="E184" s="469">
        <v>2660</v>
      </c>
      <c r="F184" s="469">
        <v>16680.439999999999</v>
      </c>
      <c r="G184" s="469">
        <v>2965</v>
      </c>
      <c r="H184" s="469">
        <v>2690</v>
      </c>
      <c r="I184" s="470">
        <v>146000</v>
      </c>
      <c r="J184" s="469">
        <v>185635.44</v>
      </c>
      <c r="K184" s="469">
        <v>48163.409999999996</v>
      </c>
      <c r="L184" s="469">
        <v>10553</v>
      </c>
      <c r="M184" s="469">
        <v>357075</v>
      </c>
      <c r="N184" s="469">
        <v>8725</v>
      </c>
      <c r="O184" s="469">
        <v>5539</v>
      </c>
      <c r="P184" s="469">
        <v>0</v>
      </c>
      <c r="Q184" s="337">
        <v>0</v>
      </c>
      <c r="R184" s="167">
        <f t="shared" si="7"/>
        <v>134303.89295000001</v>
      </c>
      <c r="S184" s="472">
        <v>12.233149368393335</v>
      </c>
      <c r="T184" s="472">
        <v>1.4635E-2</v>
      </c>
      <c r="U184" s="472">
        <v>4.3568825446627041E-3</v>
      </c>
      <c r="V184" s="472">
        <v>1.2E-2</v>
      </c>
      <c r="W184" s="472">
        <v>0.32150000000000001</v>
      </c>
      <c r="X184" s="332">
        <v>7.4119999999999999</v>
      </c>
      <c r="Y184" s="472">
        <v>12.232276000000001</v>
      </c>
      <c r="Z184" s="472"/>
      <c r="AA184" s="472"/>
      <c r="AB184" s="472">
        <v>0</v>
      </c>
      <c r="AC184" s="472">
        <v>0.2055801125310423</v>
      </c>
      <c r="AD184" s="472">
        <v>5.7568094872673413E-2</v>
      </c>
      <c r="AE184" s="472">
        <v>0</v>
      </c>
      <c r="AF184" s="472">
        <v>13.290839225591609</v>
      </c>
      <c r="AG184" s="172">
        <f t="shared" si="8"/>
        <v>7.5849624968692089</v>
      </c>
      <c r="AH184" s="253">
        <f t="shared" si="9"/>
        <v>202309</v>
      </c>
    </row>
    <row r="185" spans="3:36" ht="15.75" hidden="1">
      <c r="C185" s="237">
        <v>45193</v>
      </c>
      <c r="D185" s="471">
        <v>353452</v>
      </c>
      <c r="E185" s="471">
        <v>0</v>
      </c>
      <c r="F185" s="471">
        <v>16637.259999999998</v>
      </c>
      <c r="G185" s="471">
        <v>3001</v>
      </c>
      <c r="H185" s="471">
        <v>2795</v>
      </c>
      <c r="I185" s="470">
        <v>146000</v>
      </c>
      <c r="J185" s="471">
        <v>185724.72</v>
      </c>
      <c r="K185" s="471">
        <v>48634.3</v>
      </c>
      <c r="L185" s="471">
        <v>10544</v>
      </c>
      <c r="M185" s="471">
        <v>358707</v>
      </c>
      <c r="N185" s="471">
        <v>8083</v>
      </c>
      <c r="O185" s="471">
        <v>899</v>
      </c>
      <c r="P185" s="471">
        <v>53.526197999999994</v>
      </c>
      <c r="Q185" s="337">
        <v>0</v>
      </c>
      <c r="R185" s="167">
        <f t="shared" si="7"/>
        <v>131918.1621891</v>
      </c>
      <c r="S185" s="473">
        <v>11.766488176311849</v>
      </c>
      <c r="T185" s="473">
        <v>0</v>
      </c>
      <c r="U185" s="473">
        <v>4.4257207338587049E-3</v>
      </c>
      <c r="V185" s="473">
        <v>1.2E-2</v>
      </c>
      <c r="W185" s="473">
        <v>0.31856000000000001</v>
      </c>
      <c r="X185" s="332">
        <v>7.4119999999999999</v>
      </c>
      <c r="Y185" s="473">
        <v>12.290737</v>
      </c>
      <c r="Z185" s="473"/>
      <c r="AA185" s="473"/>
      <c r="AB185" s="473">
        <v>0</v>
      </c>
      <c r="AC185" s="473">
        <v>0.20416427153564945</v>
      </c>
      <c r="AD185" s="473">
        <v>5.8417599469909133E-2</v>
      </c>
      <c r="AE185" s="473">
        <v>1.3570001299999999</v>
      </c>
      <c r="AF185" s="473">
        <v>13.289904770534649</v>
      </c>
      <c r="AG185" s="172">
        <f t="shared" si="8"/>
        <v>8.1932144805342801</v>
      </c>
      <c r="AH185" s="253">
        <f t="shared" si="9"/>
        <v>202309</v>
      </c>
      <c r="AI185" t="s">
        <v>1210</v>
      </c>
      <c r="AJ185" t="s">
        <v>1228</v>
      </c>
    </row>
    <row r="186" spans="3:36" ht="409.5" hidden="1">
      <c r="C186" s="235">
        <v>45194</v>
      </c>
      <c r="D186" s="469">
        <v>361832</v>
      </c>
      <c r="E186" s="469">
        <v>0</v>
      </c>
      <c r="F186" s="469">
        <v>16586.55</v>
      </c>
      <c r="G186" s="470">
        <v>3001</v>
      </c>
      <c r="H186" s="469">
        <v>2698</v>
      </c>
      <c r="I186" s="470">
        <v>151000</v>
      </c>
      <c r="J186" s="469">
        <v>186156.24000000002</v>
      </c>
      <c r="K186" s="469">
        <v>48775.519999999997</v>
      </c>
      <c r="L186" s="469">
        <v>10197</v>
      </c>
      <c r="M186" s="469">
        <v>376524</v>
      </c>
      <c r="N186" s="469">
        <v>5576</v>
      </c>
      <c r="O186" s="469">
        <v>3733</v>
      </c>
      <c r="P186" s="469">
        <v>174.47905199999997</v>
      </c>
      <c r="Q186" s="337">
        <v>0</v>
      </c>
      <c r="R186" s="167">
        <f t="shared" si="7"/>
        <v>134667.96842340002</v>
      </c>
      <c r="S186" s="472">
        <v>12.958909462631711</v>
      </c>
      <c r="T186" s="472">
        <v>0</v>
      </c>
      <c r="U186" s="472">
        <v>4.5003355543159086E-3</v>
      </c>
      <c r="V186" s="472">
        <v>1.2E-2</v>
      </c>
      <c r="W186" s="472">
        <v>0.31985000000000002</v>
      </c>
      <c r="X186" s="332">
        <v>7.4119999999999999</v>
      </c>
      <c r="Y186" s="472">
        <v>12.391941999999998</v>
      </c>
      <c r="Z186" s="472"/>
      <c r="AA186" s="472"/>
      <c r="AB186" s="472">
        <v>0</v>
      </c>
      <c r="AC186" s="472">
        <v>0.16876824665082812</v>
      </c>
      <c r="AD186" s="472">
        <v>5.8672450849079842E-2</v>
      </c>
      <c r="AE186" s="472">
        <v>2.19810025</v>
      </c>
      <c r="AF186" s="472">
        <v>13.291065760150872</v>
      </c>
      <c r="AG186" s="172">
        <f t="shared" si="8"/>
        <v>8.6233157426716858</v>
      </c>
      <c r="AH186" s="253">
        <f t="shared" si="9"/>
        <v>202309</v>
      </c>
      <c r="AI186" t="s">
        <v>1161</v>
      </c>
      <c r="AJ186" s="301" t="s">
        <v>1229</v>
      </c>
    </row>
    <row r="187" spans="3:36" ht="15.75" hidden="1">
      <c r="C187" s="237">
        <v>45195</v>
      </c>
      <c r="D187" s="471">
        <v>351733</v>
      </c>
      <c r="E187" s="471">
        <v>0</v>
      </c>
      <c r="F187" s="471">
        <v>16650</v>
      </c>
      <c r="G187" s="471">
        <v>2987</v>
      </c>
      <c r="H187" s="471">
        <v>2696</v>
      </c>
      <c r="I187" s="470">
        <v>151000</v>
      </c>
      <c r="J187" s="471">
        <v>186773.76000000001</v>
      </c>
      <c r="K187" s="471">
        <v>48489.57</v>
      </c>
      <c r="L187" s="471">
        <v>10506</v>
      </c>
      <c r="M187" s="471">
        <v>391697</v>
      </c>
      <c r="N187" s="471">
        <v>6041</v>
      </c>
      <c r="O187" s="471">
        <v>961</v>
      </c>
      <c r="P187" s="471">
        <v>181.901016</v>
      </c>
      <c r="Q187" s="337">
        <v>0</v>
      </c>
      <c r="R187" s="167">
        <f t="shared" si="7"/>
        <v>134186.32035719999</v>
      </c>
      <c r="S187" s="473">
        <v>12.421456220780582</v>
      </c>
      <c r="T187" s="473">
        <v>0</v>
      </c>
      <c r="U187" s="473">
        <v>4.5162212902842159E-3</v>
      </c>
      <c r="V187" s="473">
        <v>1.2E-2</v>
      </c>
      <c r="W187" s="473">
        <v>0.31674999999999998</v>
      </c>
      <c r="X187" s="332">
        <v>7.4119999999999999</v>
      </c>
      <c r="Y187" s="473">
        <v>12.200644</v>
      </c>
      <c r="Z187" s="473"/>
      <c r="AA187" s="473"/>
      <c r="AB187" s="473">
        <v>0</v>
      </c>
      <c r="AC187" s="473">
        <v>0.19623556196144945</v>
      </c>
      <c r="AD187" s="473">
        <v>6.1249281460694832E-2</v>
      </c>
      <c r="AE187" s="473">
        <v>2.2313002499999999</v>
      </c>
      <c r="AF187" s="473">
        <v>12.858894454717158</v>
      </c>
      <c r="AG187" s="172">
        <f t="shared" si="8"/>
        <v>8.5035972278051837</v>
      </c>
      <c r="AH187" s="253">
        <f t="shared" si="9"/>
        <v>202309</v>
      </c>
    </row>
    <row r="188" spans="3:36" ht="15.75" hidden="1">
      <c r="C188" s="235">
        <v>45196</v>
      </c>
      <c r="D188" s="469">
        <v>343608</v>
      </c>
      <c r="E188" s="469">
        <v>0</v>
      </c>
      <c r="F188" s="469">
        <v>17496.14</v>
      </c>
      <c r="G188" s="469">
        <v>2991</v>
      </c>
      <c r="H188" s="469">
        <v>2676</v>
      </c>
      <c r="I188" s="470">
        <v>151000</v>
      </c>
      <c r="J188" s="469">
        <v>186550.56</v>
      </c>
      <c r="K188" s="469">
        <v>48066.720000000001</v>
      </c>
      <c r="L188" s="469">
        <v>10146</v>
      </c>
      <c r="M188" s="469">
        <v>392768</v>
      </c>
      <c r="N188" s="469">
        <v>8832</v>
      </c>
      <c r="O188" s="469">
        <v>3813</v>
      </c>
      <c r="P188" s="469">
        <v>169.88749799999999</v>
      </c>
      <c r="Q188" s="337">
        <v>0</v>
      </c>
      <c r="R188" s="167">
        <f t="shared" si="7"/>
        <v>135807.58027410001</v>
      </c>
      <c r="S188" s="472">
        <v>12.590507635630491</v>
      </c>
      <c r="T188" s="472">
        <v>0</v>
      </c>
      <c r="U188" s="472">
        <v>4.6138010516866912E-3</v>
      </c>
      <c r="V188" s="472">
        <v>1.2E-2</v>
      </c>
      <c r="W188" s="472">
        <v>0.31313000000000002</v>
      </c>
      <c r="X188" s="332">
        <v>7.4119999999999999</v>
      </c>
      <c r="Y188" s="472">
        <v>12.203605</v>
      </c>
      <c r="Z188" s="472"/>
      <c r="AA188" s="472"/>
      <c r="AB188" s="472">
        <v>0</v>
      </c>
      <c r="AC188" s="472">
        <v>0.2075622899245923</v>
      </c>
      <c r="AD188" s="472">
        <v>5.3858591464744136E-2</v>
      </c>
      <c r="AE188" s="472">
        <v>2.1854002499999998</v>
      </c>
      <c r="AF188" s="472">
        <v>12.860225345252825</v>
      </c>
      <c r="AG188" s="172">
        <f t="shared" si="8"/>
        <v>8.4825813967898274</v>
      </c>
      <c r="AH188" s="253">
        <f t="shared" si="9"/>
        <v>202309</v>
      </c>
    </row>
    <row r="189" spans="3:36" ht="15.75" hidden="1">
      <c r="C189" s="237">
        <v>45197</v>
      </c>
      <c r="D189" s="470">
        <v>343608</v>
      </c>
      <c r="E189" s="471">
        <v>0</v>
      </c>
      <c r="F189" s="471">
        <v>17704.920000000002</v>
      </c>
      <c r="G189" s="471">
        <v>2984</v>
      </c>
      <c r="H189" s="471">
        <v>2703</v>
      </c>
      <c r="I189" s="470">
        <v>151000</v>
      </c>
      <c r="J189" s="471">
        <v>186119.04000000001</v>
      </c>
      <c r="K189" s="471">
        <v>47816.58</v>
      </c>
      <c r="L189" s="471">
        <v>7515</v>
      </c>
      <c r="M189" s="471">
        <v>393218</v>
      </c>
      <c r="N189" s="471">
        <v>8836</v>
      </c>
      <c r="O189" s="471">
        <v>2764</v>
      </c>
      <c r="P189" s="471">
        <v>189.00848999999999</v>
      </c>
      <c r="Q189" s="337">
        <v>0</v>
      </c>
      <c r="R189" s="167">
        <f t="shared" si="7"/>
        <v>134775.21177050003</v>
      </c>
      <c r="S189" s="559">
        <v>12.590507635630491</v>
      </c>
      <c r="T189" s="473">
        <v>0</v>
      </c>
      <c r="U189" s="473">
        <v>4.5210351496685515E-3</v>
      </c>
      <c r="V189" s="473">
        <v>1.2E-2</v>
      </c>
      <c r="W189" s="473">
        <v>0.32106999999999997</v>
      </c>
      <c r="X189" s="332">
        <v>7.4119999999999999</v>
      </c>
      <c r="Y189" s="473">
        <v>12.208354999999999</v>
      </c>
      <c r="Z189" s="473"/>
      <c r="AA189" s="473"/>
      <c r="AB189" s="561">
        <v>0</v>
      </c>
      <c r="AC189" s="473">
        <v>0.2075622899245923</v>
      </c>
      <c r="AD189" s="473">
        <v>5.7568094872673413E-2</v>
      </c>
      <c r="AE189" s="473">
        <v>2.1458002500000002</v>
      </c>
      <c r="AF189" s="473">
        <v>12.858214851039369</v>
      </c>
      <c r="AG189" s="172">
        <f t="shared" si="8"/>
        <v>8.4750134780052981</v>
      </c>
      <c r="AH189" s="253">
        <f t="shared" si="9"/>
        <v>202309</v>
      </c>
      <c r="AI189" t="s">
        <v>1231</v>
      </c>
      <c r="AJ189" t="s">
        <v>1232</v>
      </c>
    </row>
    <row r="190" spans="3:36" ht="15.75" hidden="1">
      <c r="C190" s="235">
        <v>45198</v>
      </c>
      <c r="D190" s="469">
        <v>350808</v>
      </c>
      <c r="E190" s="469">
        <v>0</v>
      </c>
      <c r="F190" s="469">
        <v>18376.22</v>
      </c>
      <c r="G190" s="469">
        <v>3017</v>
      </c>
      <c r="H190" s="469">
        <v>2679</v>
      </c>
      <c r="I190" s="470">
        <v>151000</v>
      </c>
      <c r="J190" s="469">
        <v>186236.71848000001</v>
      </c>
      <c r="K190" s="469">
        <v>47792.26</v>
      </c>
      <c r="L190" s="469">
        <v>7554</v>
      </c>
      <c r="M190" s="469">
        <v>391753</v>
      </c>
      <c r="N190" s="469">
        <v>8914</v>
      </c>
      <c r="O190" s="469">
        <v>140</v>
      </c>
      <c r="P190" s="469">
        <v>161.45916600000001</v>
      </c>
      <c r="Q190" s="337">
        <v>0</v>
      </c>
      <c r="R190" s="167">
        <f t="shared" si="7"/>
        <v>134325.84972950001</v>
      </c>
      <c r="S190" s="472">
        <v>10.104574015919713</v>
      </c>
      <c r="T190" s="472">
        <v>0</v>
      </c>
      <c r="U190" s="472">
        <v>4.5583567183071069E-3</v>
      </c>
      <c r="V190" s="472">
        <v>1.2E-2</v>
      </c>
      <c r="W190" s="472">
        <v>0.31989000000000001</v>
      </c>
      <c r="X190" s="332">
        <v>7.4119999999999999</v>
      </c>
      <c r="Y190" s="472">
        <v>12.225069</v>
      </c>
      <c r="Z190" s="472"/>
      <c r="AA190" s="472"/>
      <c r="AB190" s="472">
        <v>0</v>
      </c>
      <c r="AC190" s="472">
        <v>0.20841179452182801</v>
      </c>
      <c r="AD190" s="472">
        <v>5.8672450849079842E-2</v>
      </c>
      <c r="AE190" s="472">
        <v>2.1670002500000001</v>
      </c>
      <c r="AF190" s="472">
        <v>12.865775441954765</v>
      </c>
      <c r="AG190" s="172">
        <f t="shared" si="8"/>
        <v>8.4321406648399027</v>
      </c>
      <c r="AH190" s="253">
        <f t="shared" si="9"/>
        <v>202309</v>
      </c>
    </row>
    <row r="191" spans="3:36" ht="15.75" hidden="1">
      <c r="C191" s="237">
        <v>45199</v>
      </c>
      <c r="D191" s="469">
        <v>352459</v>
      </c>
      <c r="E191" s="469">
        <v>0</v>
      </c>
      <c r="F191" s="471">
        <v>18997.239999999994</v>
      </c>
      <c r="G191" s="471">
        <v>3013</v>
      </c>
      <c r="H191" s="471">
        <v>2668</v>
      </c>
      <c r="I191" s="470">
        <v>151000</v>
      </c>
      <c r="J191" s="471">
        <v>186386.88</v>
      </c>
      <c r="K191" s="471">
        <v>47031.759999999995</v>
      </c>
      <c r="L191" s="471">
        <v>7555</v>
      </c>
      <c r="M191" s="471">
        <v>394108</v>
      </c>
      <c r="N191" s="471">
        <v>8950</v>
      </c>
      <c r="O191" s="471">
        <v>0</v>
      </c>
      <c r="P191" s="471">
        <v>164.35247399999997</v>
      </c>
      <c r="Q191" s="337">
        <v>0</v>
      </c>
      <c r="R191" s="167">
        <f t="shared" si="7"/>
        <v>134678.3220633</v>
      </c>
      <c r="S191" s="473">
        <v>8.2084797548896091</v>
      </c>
      <c r="T191" s="473">
        <v>0</v>
      </c>
      <c r="U191" s="473">
        <v>4.6263454029058723E-3</v>
      </c>
      <c r="V191" s="473">
        <v>1.2E-2</v>
      </c>
      <c r="W191" s="473">
        <v>0.31942999999999999</v>
      </c>
      <c r="X191" s="332">
        <v>7.4119999999999999</v>
      </c>
      <c r="Y191" s="473">
        <v>12.220331</v>
      </c>
      <c r="Z191" s="473"/>
      <c r="AA191" s="473"/>
      <c r="AB191" s="473">
        <v>0</v>
      </c>
      <c r="AC191" s="473">
        <v>0.20642961712827801</v>
      </c>
      <c r="AD191" s="473">
        <v>6.2353637437101261E-2</v>
      </c>
      <c r="AE191" s="473">
        <v>2.3291002500000002</v>
      </c>
      <c r="AF191" s="473">
        <v>12.861329701229232</v>
      </c>
      <c r="AG191" s="172">
        <f t="shared" si="8"/>
        <v>8.4601402586879058</v>
      </c>
      <c r="AH191" s="253">
        <f t="shared" si="9"/>
        <v>202309</v>
      </c>
    </row>
    <row r="192" spans="3:36" ht="15.75" hidden="1">
      <c r="C192" s="235">
        <v>45200</v>
      </c>
      <c r="D192" s="471">
        <v>358964</v>
      </c>
      <c r="E192" s="471">
        <v>0</v>
      </c>
      <c r="F192" s="469">
        <v>19034.039999999997</v>
      </c>
      <c r="G192" s="469">
        <v>3062</v>
      </c>
      <c r="H192" s="469">
        <v>2721</v>
      </c>
      <c r="I192" s="470">
        <v>151000</v>
      </c>
      <c r="J192" s="469">
        <v>186193.44</v>
      </c>
      <c r="K192" s="469">
        <v>49320.82</v>
      </c>
      <c r="L192" s="469">
        <v>7556</v>
      </c>
      <c r="M192" s="469">
        <v>395764</v>
      </c>
      <c r="N192" s="469">
        <v>8717</v>
      </c>
      <c r="O192" s="469">
        <v>5049</v>
      </c>
      <c r="P192" s="469">
        <v>165.98782199999999</v>
      </c>
      <c r="Q192" s="337">
        <v>0</v>
      </c>
      <c r="R192" s="167">
        <f t="shared" si="7"/>
        <v>137515.0053199</v>
      </c>
      <c r="S192" s="472">
        <v>9.5877920526013245</v>
      </c>
      <c r="T192" s="472">
        <v>0</v>
      </c>
      <c r="U192" s="472">
        <v>4.4282975644703198E-3</v>
      </c>
      <c r="V192" s="472">
        <v>1.2E-2</v>
      </c>
      <c r="W192" s="472">
        <v>0.31641000000000002</v>
      </c>
      <c r="X192" s="332">
        <v>9.0090000000000003</v>
      </c>
      <c r="Y192" s="472">
        <v>12.311919</v>
      </c>
      <c r="Z192" s="472"/>
      <c r="AA192" s="472"/>
      <c r="AB192" s="472">
        <v>0</v>
      </c>
      <c r="AC192" s="472">
        <v>0.2086949627209066</v>
      </c>
      <c r="AD192" s="472">
        <v>5.9521955446315548E-2</v>
      </c>
      <c r="AE192" s="472">
        <v>2.2056002499999998</v>
      </c>
      <c r="AF192" s="472">
        <v>12.862972076783889</v>
      </c>
      <c r="AG192" s="172">
        <f t="shared" si="8"/>
        <v>8.7758773383413065</v>
      </c>
      <c r="AH192" s="253">
        <f t="shared" si="9"/>
        <v>202310</v>
      </c>
      <c r="AI192" t="s">
        <v>1233</v>
      </c>
      <c r="AJ192" t="s">
        <v>1234</v>
      </c>
    </row>
    <row r="193" spans="3:36" ht="15.75" hidden="1">
      <c r="C193" s="237">
        <v>45201</v>
      </c>
      <c r="D193" s="469">
        <v>363259</v>
      </c>
      <c r="E193" s="469">
        <v>0</v>
      </c>
      <c r="F193" s="471">
        <v>19598.2</v>
      </c>
      <c r="G193" s="471">
        <v>3195</v>
      </c>
      <c r="H193" s="471">
        <v>2625</v>
      </c>
      <c r="I193" s="470">
        <v>179000</v>
      </c>
      <c r="J193" s="471">
        <v>184415.28</v>
      </c>
      <c r="K193" s="471">
        <v>49317.63</v>
      </c>
      <c r="L193" s="471">
        <v>0</v>
      </c>
      <c r="M193" s="471">
        <v>390091</v>
      </c>
      <c r="N193" s="471">
        <v>8999</v>
      </c>
      <c r="O193" s="471">
        <v>7726</v>
      </c>
      <c r="P193" s="471">
        <v>152.52764999999999</v>
      </c>
      <c r="Q193" s="337">
        <v>0</v>
      </c>
      <c r="R193" s="167">
        <f t="shared" si="7"/>
        <v>142162.47064250003</v>
      </c>
      <c r="S193" s="473">
        <v>6.6114111120864685</v>
      </c>
      <c r="T193" s="473">
        <v>0</v>
      </c>
      <c r="U193" s="473">
        <v>4.5736194842374419E-3</v>
      </c>
      <c r="V193" s="473">
        <v>1.2E-2</v>
      </c>
      <c r="W193" s="473">
        <v>0.31557000000000002</v>
      </c>
      <c r="X193" s="332">
        <v>9.0090000000000003</v>
      </c>
      <c r="Y193" s="473">
        <v>12.214442999999999</v>
      </c>
      <c r="Z193" s="473"/>
      <c r="AA193" s="473"/>
      <c r="AB193" s="473">
        <v>0</v>
      </c>
      <c r="AC193" s="473">
        <v>0.21209298110984942</v>
      </c>
      <c r="AD193" s="473">
        <v>6.0682945062537685E-2</v>
      </c>
      <c r="AE193" s="473">
        <v>2.2005002500000002</v>
      </c>
      <c r="AF193" s="473">
        <v>13.093499307653751</v>
      </c>
      <c r="AG193" s="172">
        <f t="shared" si="8"/>
        <v>8.7187737110764001</v>
      </c>
      <c r="AH193" s="253">
        <f t="shared" si="9"/>
        <v>202310</v>
      </c>
      <c r="AI193" t="s">
        <v>1235</v>
      </c>
      <c r="AJ193" t="s">
        <v>1236</v>
      </c>
    </row>
    <row r="194" spans="3:36" ht="15.75" hidden="1">
      <c r="C194" s="235">
        <v>45202</v>
      </c>
      <c r="D194" s="471">
        <v>364644</v>
      </c>
      <c r="E194" s="471">
        <v>0</v>
      </c>
      <c r="F194" s="469">
        <v>20328.29</v>
      </c>
      <c r="G194" s="469">
        <v>3179</v>
      </c>
      <c r="H194" s="469">
        <v>2609</v>
      </c>
      <c r="I194" s="470">
        <v>179000</v>
      </c>
      <c r="J194" s="469">
        <v>182637.12</v>
      </c>
      <c r="K194" s="469">
        <v>50067.87</v>
      </c>
      <c r="L194" s="469">
        <v>0</v>
      </c>
      <c r="M194" s="469">
        <v>401543</v>
      </c>
      <c r="N194" s="469">
        <v>8518</v>
      </c>
      <c r="O194" s="469">
        <v>1292</v>
      </c>
      <c r="P194" s="469">
        <v>159.572226</v>
      </c>
      <c r="Q194" s="337">
        <v>0</v>
      </c>
      <c r="R194" s="167">
        <f t="shared" si="7"/>
        <v>140241.50560170002</v>
      </c>
      <c r="S194" s="472">
        <v>8.8606161173675542</v>
      </c>
      <c r="T194" s="472">
        <v>0</v>
      </c>
      <c r="U194" s="472">
        <v>4.3970357952920454E-3</v>
      </c>
      <c r="V194" s="472">
        <v>1.2E-2</v>
      </c>
      <c r="W194" s="472">
        <v>0.31792000000000004</v>
      </c>
      <c r="X194" s="332">
        <v>9.0090000000000003</v>
      </c>
      <c r="Y194" s="472">
        <v>12.483108</v>
      </c>
      <c r="Z194" s="472"/>
      <c r="AA194" s="472"/>
      <c r="AB194" s="472">
        <v>0</v>
      </c>
      <c r="AC194" s="472">
        <v>0.2075622899245923</v>
      </c>
      <c r="AD194" s="472">
        <v>5.3858591464744136E-2</v>
      </c>
      <c r="AE194" s="472">
        <v>2.1786002500000001</v>
      </c>
      <c r="AF194" s="472">
        <v>13.380433643780069</v>
      </c>
      <c r="AG194" s="172">
        <f t="shared" si="8"/>
        <v>8.8785053577881108</v>
      </c>
      <c r="AH194" s="253">
        <f t="shared" si="9"/>
        <v>202310</v>
      </c>
      <c r="AI194" t="s">
        <v>1233</v>
      </c>
      <c r="AJ194" t="s">
        <v>1244</v>
      </c>
    </row>
    <row r="195" spans="3:36" ht="15.75" hidden="1">
      <c r="C195" s="237">
        <v>45203</v>
      </c>
      <c r="D195" s="469">
        <v>350198</v>
      </c>
      <c r="E195" s="469">
        <v>0</v>
      </c>
      <c r="F195" s="469">
        <v>20553.48</v>
      </c>
      <c r="G195" s="469">
        <v>3205</v>
      </c>
      <c r="H195" s="469">
        <v>2581</v>
      </c>
      <c r="I195" s="470">
        <v>179000</v>
      </c>
      <c r="J195" s="471">
        <v>183381.12</v>
      </c>
      <c r="K195" s="471">
        <v>49227.6</v>
      </c>
      <c r="L195" s="471">
        <v>0</v>
      </c>
      <c r="M195" s="471">
        <v>403296</v>
      </c>
      <c r="N195" s="471">
        <v>8717</v>
      </c>
      <c r="O195" s="471">
        <v>418</v>
      </c>
      <c r="P195" s="471">
        <v>168.00055799999998</v>
      </c>
      <c r="Q195" s="337">
        <v>0</v>
      </c>
      <c r="R195" s="167">
        <f t="shared" si="7"/>
        <v>139780.01125109999</v>
      </c>
      <c r="S195" s="473">
        <v>6.1725004035146842</v>
      </c>
      <c r="T195" s="473">
        <v>0</v>
      </c>
      <c r="U195" s="473">
        <v>4.5687773080331983E-3</v>
      </c>
      <c r="V195" s="473">
        <v>1.2E-2</v>
      </c>
      <c r="W195" s="473">
        <v>0.31567000000000001</v>
      </c>
      <c r="X195" s="332">
        <v>9.0090000000000003</v>
      </c>
      <c r="Y195" s="473">
        <v>12.340495000000001</v>
      </c>
      <c r="Z195" s="473"/>
      <c r="AA195" s="473"/>
      <c r="AB195" s="473">
        <v>0</v>
      </c>
      <c r="AC195" s="473">
        <v>0.21152664471169227</v>
      </c>
      <c r="AD195" s="473">
        <v>5.8672450849079842E-2</v>
      </c>
      <c r="AE195" s="473">
        <v>2.1542002500000001</v>
      </c>
      <c r="AF195" s="473">
        <v>13.384086513548182</v>
      </c>
      <c r="AG195" s="172">
        <f t="shared" si="8"/>
        <v>8.7692033344979219</v>
      </c>
      <c r="AH195" s="253">
        <f t="shared" si="9"/>
        <v>202310</v>
      </c>
      <c r="AI195" t="s">
        <v>1246</v>
      </c>
      <c r="AJ195" t="s">
        <v>1245</v>
      </c>
    </row>
    <row r="196" spans="3:36" ht="15.75" hidden="1">
      <c r="C196" s="235">
        <v>45204</v>
      </c>
      <c r="D196" s="471">
        <v>348302</v>
      </c>
      <c r="E196" s="471">
        <v>0</v>
      </c>
      <c r="F196" s="471">
        <v>20785.269999999997</v>
      </c>
      <c r="G196" s="471">
        <v>3264</v>
      </c>
      <c r="H196" s="471">
        <v>2589</v>
      </c>
      <c r="I196" s="470">
        <v>179000</v>
      </c>
      <c r="J196" s="469">
        <v>183306.72</v>
      </c>
      <c r="K196" s="469">
        <v>49152.61</v>
      </c>
      <c r="L196" s="469">
        <v>0</v>
      </c>
      <c r="M196" s="469">
        <v>397705</v>
      </c>
      <c r="N196" s="469">
        <v>9030</v>
      </c>
      <c r="O196" s="469">
        <v>0</v>
      </c>
      <c r="P196" s="469">
        <v>165.10724999999999</v>
      </c>
      <c r="Q196" s="337">
        <v>0</v>
      </c>
      <c r="R196" s="167">
        <f t="shared" si="7"/>
        <v>139540.16316249999</v>
      </c>
      <c r="S196" s="472">
        <v>6.3327736041931537</v>
      </c>
      <c r="T196" s="472">
        <v>0</v>
      </c>
      <c r="U196" s="472">
        <v>4.4132046994594318E-3</v>
      </c>
      <c r="V196" s="472">
        <v>1.2E-2</v>
      </c>
      <c r="W196" s="472">
        <v>0.31685000000000002</v>
      </c>
      <c r="X196" s="332">
        <v>9.0090000000000003</v>
      </c>
      <c r="Y196" s="472">
        <v>12.222134</v>
      </c>
      <c r="Z196" s="472"/>
      <c r="AA196" s="472"/>
      <c r="AB196" s="472">
        <v>0</v>
      </c>
      <c r="AC196" s="472">
        <v>0.20189892594302089</v>
      </c>
      <c r="AD196" s="472">
        <v>5.8417599469909133E-2</v>
      </c>
      <c r="AE196" s="472">
        <v>2.1259002499999999</v>
      </c>
      <c r="AF196" s="472">
        <v>13.383406909870393</v>
      </c>
      <c r="AG196" s="172">
        <f t="shared" si="8"/>
        <v>8.7291913623661479</v>
      </c>
      <c r="AH196" s="253">
        <f t="shared" si="9"/>
        <v>202310</v>
      </c>
      <c r="AI196" t="s">
        <v>1248</v>
      </c>
      <c r="AJ196" t="s">
        <v>1247</v>
      </c>
    </row>
    <row r="197" spans="3:36" ht="15.75" hidden="1">
      <c r="C197" s="237">
        <v>45205</v>
      </c>
      <c r="D197" s="469">
        <v>348647</v>
      </c>
      <c r="E197" s="469">
        <v>0</v>
      </c>
      <c r="F197" s="469">
        <v>21349.810000000005</v>
      </c>
      <c r="G197" s="469">
        <v>3275</v>
      </c>
      <c r="H197" s="469">
        <v>2529</v>
      </c>
      <c r="I197" s="470">
        <v>179000</v>
      </c>
      <c r="J197" s="469">
        <v>182763.6</v>
      </c>
      <c r="K197" s="469">
        <v>48613.120000000003</v>
      </c>
      <c r="L197" s="469">
        <v>0</v>
      </c>
      <c r="M197" s="469">
        <v>343473</v>
      </c>
      <c r="N197" s="469">
        <v>8842</v>
      </c>
      <c r="O197" s="469">
        <v>3329</v>
      </c>
      <c r="P197" s="469">
        <v>136.80314999999999</v>
      </c>
      <c r="Q197" s="337">
        <v>0</v>
      </c>
      <c r="R197" s="167">
        <f t="shared" si="7"/>
        <v>138741.6301175</v>
      </c>
      <c r="S197" s="473">
        <v>10.687900506021572</v>
      </c>
      <c r="T197" s="473">
        <v>0</v>
      </c>
      <c r="U197" s="473">
        <v>4.4790413057451996E-3</v>
      </c>
      <c r="V197" s="473">
        <v>1.2E-2</v>
      </c>
      <c r="W197" s="473">
        <v>0.31231999999999999</v>
      </c>
      <c r="X197" s="332">
        <v>9.0090000000000003</v>
      </c>
      <c r="Y197" s="473">
        <v>12.441647000000001</v>
      </c>
      <c r="Z197" s="473"/>
      <c r="AA197" s="473"/>
      <c r="AB197" s="473">
        <v>0</v>
      </c>
      <c r="AC197" s="473">
        <v>0.1834929930029138</v>
      </c>
      <c r="AD197" s="473">
        <v>5.7313243493502704E-2</v>
      </c>
      <c r="AE197" s="473">
        <v>2.12360025</v>
      </c>
      <c r="AF197" s="473">
        <v>13.380433643780069</v>
      </c>
      <c r="AG197" s="172">
        <f t="shared" si="8"/>
        <v>8.8783774091734529</v>
      </c>
      <c r="AH197" s="253">
        <f t="shared" si="9"/>
        <v>202310</v>
      </c>
    </row>
    <row r="198" spans="3:36" ht="15.75" hidden="1">
      <c r="C198" s="235">
        <v>45206</v>
      </c>
      <c r="D198" s="471">
        <v>352608</v>
      </c>
      <c r="E198" s="471">
        <v>0</v>
      </c>
      <c r="F198" s="471">
        <v>21891.39</v>
      </c>
      <c r="G198" s="471">
        <v>3213</v>
      </c>
      <c r="H198" s="471">
        <v>2640</v>
      </c>
      <c r="I198" s="470">
        <v>179000</v>
      </c>
      <c r="J198" s="471">
        <v>183180.24000000002</v>
      </c>
      <c r="K198" s="471">
        <v>49591.002090000002</v>
      </c>
      <c r="L198" s="471">
        <v>0</v>
      </c>
      <c r="M198" s="471">
        <v>338568</v>
      </c>
      <c r="N198" s="471">
        <v>8851</v>
      </c>
      <c r="O198" s="471">
        <v>1269</v>
      </c>
      <c r="P198" s="471">
        <v>168.88112999999998</v>
      </c>
      <c r="Q198" s="337">
        <v>0</v>
      </c>
      <c r="R198" s="167">
        <f t="shared" si="7"/>
        <v>138640.257231</v>
      </c>
      <c r="S198" s="472">
        <v>12.517450240268218</v>
      </c>
      <c r="T198" s="472">
        <v>0</v>
      </c>
      <c r="U198" s="472">
        <v>4.5125401036961946E-3</v>
      </c>
      <c r="V198" s="472">
        <v>1.2E-2</v>
      </c>
      <c r="W198" s="472">
        <v>0.31164999999999998</v>
      </c>
      <c r="X198" s="332">
        <v>9.0090000000000003</v>
      </c>
      <c r="Y198" s="472">
        <v>12.343961999999999</v>
      </c>
      <c r="Z198" s="472"/>
      <c r="AA198" s="472"/>
      <c r="AB198" s="472">
        <v>0</v>
      </c>
      <c r="AC198" s="472">
        <v>0.20642961712827801</v>
      </c>
      <c r="AD198" s="472">
        <v>5.9975024564841266E-2</v>
      </c>
      <c r="AE198" s="472">
        <v>2.1282002499999999</v>
      </c>
      <c r="AF198" s="472">
        <v>13.38029205968053</v>
      </c>
      <c r="AG198" s="172">
        <f t="shared" si="8"/>
        <v>8.9002290289785222</v>
      </c>
      <c r="AH198" s="253">
        <f t="shared" si="9"/>
        <v>202310</v>
      </c>
    </row>
    <row r="199" spans="3:36" ht="15.75" hidden="1">
      <c r="C199" s="237">
        <v>45207</v>
      </c>
      <c r="D199" s="469">
        <v>350466</v>
      </c>
      <c r="E199" s="469">
        <v>0</v>
      </c>
      <c r="F199" s="469">
        <v>22675.1</v>
      </c>
      <c r="G199" s="469">
        <v>3291</v>
      </c>
      <c r="H199" s="469">
        <v>2528</v>
      </c>
      <c r="I199" s="470">
        <v>179000</v>
      </c>
      <c r="J199" s="469">
        <v>182882.64</v>
      </c>
      <c r="K199" s="469">
        <v>48345.553350000002</v>
      </c>
      <c r="L199" s="469">
        <v>0</v>
      </c>
      <c r="M199" s="469">
        <v>311839</v>
      </c>
      <c r="N199" s="469">
        <v>8840</v>
      </c>
      <c r="O199" s="469">
        <v>3421</v>
      </c>
      <c r="P199" s="469">
        <v>156.238632</v>
      </c>
      <c r="Q199" s="337">
        <v>0</v>
      </c>
      <c r="R199" s="167">
        <f t="shared" si="7"/>
        <v>138462.37672189999</v>
      </c>
      <c r="S199" s="473">
        <v>12.267129552282757</v>
      </c>
      <c r="T199" s="473">
        <v>0</v>
      </c>
      <c r="U199" s="473">
        <v>4.5941208618507298E-3</v>
      </c>
      <c r="V199" s="473">
        <v>1.2E-2</v>
      </c>
      <c r="W199" s="473">
        <v>0.31222000000000005</v>
      </c>
      <c r="X199" s="332">
        <v>9.0090000000000003</v>
      </c>
      <c r="Y199" s="473">
        <v>12.356504999999999</v>
      </c>
      <c r="Z199" s="473"/>
      <c r="AA199" s="473"/>
      <c r="AB199" s="473">
        <v>0</v>
      </c>
      <c r="AC199" s="473">
        <v>0.20784545812367086</v>
      </c>
      <c r="AD199" s="473">
        <v>5.816274809073841E-2</v>
      </c>
      <c r="AE199" s="473">
        <v>2.1301002499999999</v>
      </c>
      <c r="AF199" s="473">
        <v>13.380461960599975</v>
      </c>
      <c r="AG199" s="172">
        <f t="shared" si="8"/>
        <v>8.8986496226929219</v>
      </c>
      <c r="AH199" s="253">
        <f t="shared" si="9"/>
        <v>202310</v>
      </c>
      <c r="AI199" t="s">
        <v>1291</v>
      </c>
      <c r="AJ199" t="s">
        <v>1290</v>
      </c>
    </row>
    <row r="200" spans="3:36" ht="15.75" hidden="1">
      <c r="C200" s="235">
        <v>45208</v>
      </c>
      <c r="D200" s="471">
        <v>354735</v>
      </c>
      <c r="E200" s="471">
        <v>0</v>
      </c>
      <c r="F200" s="471">
        <v>23012.5</v>
      </c>
      <c r="G200" s="471">
        <v>3274</v>
      </c>
      <c r="H200" s="471">
        <v>2571</v>
      </c>
      <c r="I200" s="470">
        <v>176000</v>
      </c>
      <c r="J200" s="471">
        <v>182785.92000000001</v>
      </c>
      <c r="K200" s="471">
        <v>43000.049999999996</v>
      </c>
      <c r="L200" s="471">
        <v>0</v>
      </c>
      <c r="M200" s="471">
        <v>346291</v>
      </c>
      <c r="N200" s="471">
        <v>9021</v>
      </c>
      <c r="O200" s="471">
        <v>3693</v>
      </c>
      <c r="P200" s="471">
        <v>161.39626799999999</v>
      </c>
      <c r="Q200" s="337">
        <v>0</v>
      </c>
      <c r="R200" s="167">
        <f t="shared" si="7"/>
        <v>138379.25852060001</v>
      </c>
      <c r="S200" s="472">
        <v>9.7084217054087922</v>
      </c>
      <c r="T200" s="472">
        <v>0</v>
      </c>
      <c r="U200" s="472">
        <v>4.4160080646303097E-3</v>
      </c>
      <c r="V200" s="472">
        <v>1.2E-2</v>
      </c>
      <c r="W200" s="472">
        <v>0.31950000000000001</v>
      </c>
      <c r="X200" s="332">
        <v>9.0090000000000003</v>
      </c>
      <c r="Y200" s="472">
        <v>12.316409999999999</v>
      </c>
      <c r="Z200" s="472"/>
      <c r="AA200" s="472"/>
      <c r="AB200" s="472">
        <v>0</v>
      </c>
      <c r="AC200" s="472">
        <v>0.21152664471169227</v>
      </c>
      <c r="AD200" s="472">
        <v>5.9238787247236982E-2</v>
      </c>
      <c r="AE200" s="472">
        <v>2.1280002499999999</v>
      </c>
      <c r="AF200" s="472">
        <v>13.378706317765689</v>
      </c>
      <c r="AG200" s="172">
        <f t="shared" si="8"/>
        <v>8.835865979377532</v>
      </c>
      <c r="AH200" s="253">
        <f t="shared" si="9"/>
        <v>202310</v>
      </c>
      <c r="AI200" t="s">
        <v>1292</v>
      </c>
      <c r="AJ200" t="s">
        <v>1293</v>
      </c>
    </row>
    <row r="201" spans="3:36" ht="15.75" hidden="1">
      <c r="C201" s="237">
        <v>45209</v>
      </c>
      <c r="D201" s="469">
        <v>354925</v>
      </c>
      <c r="E201" s="469">
        <v>0</v>
      </c>
      <c r="F201" s="469">
        <v>23735.690000000002</v>
      </c>
      <c r="G201" s="469">
        <v>3272</v>
      </c>
      <c r="H201" s="469">
        <v>2596</v>
      </c>
      <c r="I201" s="470">
        <v>176000</v>
      </c>
      <c r="J201" s="469">
        <v>182317.2</v>
      </c>
      <c r="K201" s="469">
        <v>48200.5</v>
      </c>
      <c r="L201" s="469">
        <v>0</v>
      </c>
      <c r="M201" s="469">
        <v>356543</v>
      </c>
      <c r="N201" s="469">
        <v>9018</v>
      </c>
      <c r="O201" s="469">
        <v>3330</v>
      </c>
      <c r="P201" s="469">
        <v>162.33973799999998</v>
      </c>
      <c r="Q201" s="337">
        <v>0</v>
      </c>
      <c r="R201" s="167">
        <f t="shared" ref="R201:R264" si="10" xml:space="preserve"> IF(C201&lt; DATE(2024, 11, 1), D201 * (2.31 / 100), D201 * (2.925 / 100))+E201*E$6+F201*F$6+G201*G$6+H201*H$6+I201*I$6+J201*J$6+K201*K$6+L201*L$6+M201*M$6+N201*N$6+O201*O$6+P201*P$6+Q201*Q$6</f>
        <v>140357.1003821</v>
      </c>
      <c r="S201" s="473">
        <v>12.137155348905695</v>
      </c>
      <c r="T201" s="473">
        <v>0</v>
      </c>
      <c r="U201" s="473">
        <v>4.1825075676701204E-3</v>
      </c>
      <c r="V201" s="473">
        <v>1.2E-2</v>
      </c>
      <c r="W201" s="473">
        <v>0.31995000000000001</v>
      </c>
      <c r="X201" s="332">
        <v>9.0090000000000003</v>
      </c>
      <c r="Y201" s="473">
        <v>12.321549999999998</v>
      </c>
      <c r="Z201" s="473"/>
      <c r="AA201" s="473"/>
      <c r="AB201" s="473">
        <v>0</v>
      </c>
      <c r="AC201" s="473">
        <v>0.20926129911906372</v>
      </c>
      <c r="AD201" s="473">
        <v>5.8389282650001269E-2</v>
      </c>
      <c r="AE201" s="473">
        <v>2.13560025</v>
      </c>
      <c r="AF201" s="473">
        <v>13.378932852324953</v>
      </c>
      <c r="AG201" s="172">
        <f t="shared" ref="AG201:AG264" si="11" xml:space="preserve"> IF(C201&lt; DATE(2024, 11, 1), S201 * (2.31 / 100), S201 * (2.925 / 100))+T201*T$6+U201*U$6+V201*V$6+W201*W$6+X201*X$6+Y201*Y$6+Z201*Z$6+AA201*AA$6+AB201*AB$6+AC201*AC$6+AD201*AD$6+AE201*AE$6+AF201*AF$6</f>
        <v>8.8964621972154312</v>
      </c>
      <c r="AH201" s="253">
        <f t="shared" si="9"/>
        <v>202310</v>
      </c>
      <c r="AI201" t="s">
        <v>1295</v>
      </c>
      <c r="AJ201" t="s">
        <v>1294</v>
      </c>
    </row>
    <row r="202" spans="3:36" ht="15.75" hidden="1">
      <c r="C202" s="235">
        <v>45210</v>
      </c>
      <c r="D202" s="471">
        <v>360194</v>
      </c>
      <c r="E202" s="471">
        <v>0</v>
      </c>
      <c r="F202" s="471">
        <v>23777.75</v>
      </c>
      <c r="G202" s="471">
        <v>3305</v>
      </c>
      <c r="H202" s="471">
        <v>2606</v>
      </c>
      <c r="I202" s="470">
        <v>176000</v>
      </c>
      <c r="J202" s="471">
        <v>117143</v>
      </c>
      <c r="K202" s="471">
        <v>47450.65</v>
      </c>
      <c r="L202" s="471">
        <v>0</v>
      </c>
      <c r="M202" s="471">
        <v>379745</v>
      </c>
      <c r="N202" s="471">
        <v>8898</v>
      </c>
      <c r="O202" s="471">
        <v>3347</v>
      </c>
      <c r="P202" s="471">
        <v>162.46553399999999</v>
      </c>
      <c r="Q202" s="337">
        <v>0</v>
      </c>
      <c r="R202" s="167">
        <f t="shared" si="10"/>
        <v>124323.73839030002</v>
      </c>
      <c r="S202" s="472">
        <v>11.729393142232555</v>
      </c>
      <c r="T202" s="472">
        <v>0</v>
      </c>
      <c r="U202" s="472">
        <v>4.4298549895652514E-3</v>
      </c>
      <c r="V202" s="472">
        <v>1.2E-2</v>
      </c>
      <c r="W202" s="472">
        <v>0.31775999999999999</v>
      </c>
      <c r="X202" s="332">
        <v>9.0090000000000003</v>
      </c>
      <c r="Y202" s="472">
        <v>10.59</v>
      </c>
      <c r="AB202" s="337">
        <v>0</v>
      </c>
      <c r="AC202" s="472">
        <v>0.22738406386009222</v>
      </c>
      <c r="AD202" s="472">
        <v>5.9521955446315548E-2</v>
      </c>
      <c r="AE202" s="472">
        <v>2.1179002499999999</v>
      </c>
      <c r="AF202" s="472">
        <v>13.379669089642556</v>
      </c>
      <c r="AG202" s="172">
        <f t="shared" si="11"/>
        <v>8.4294297670206397</v>
      </c>
      <c r="AH202" s="253">
        <f t="shared" si="9"/>
        <v>202310</v>
      </c>
      <c r="AI202" t="s">
        <v>1297</v>
      </c>
      <c r="AJ202" t="s">
        <v>1296</v>
      </c>
    </row>
    <row r="203" spans="3:36" ht="15.75" hidden="1">
      <c r="C203" s="237">
        <v>45211</v>
      </c>
      <c r="D203" s="469">
        <v>355465</v>
      </c>
      <c r="E203" s="469">
        <v>0</v>
      </c>
      <c r="F203" s="469">
        <v>23728.37</v>
      </c>
      <c r="G203" s="469">
        <v>3289</v>
      </c>
      <c r="H203" s="469">
        <v>2525</v>
      </c>
      <c r="I203" s="470">
        <v>176000</v>
      </c>
      <c r="J203" s="469">
        <v>117909</v>
      </c>
      <c r="K203" s="469">
        <v>45717.520000000004</v>
      </c>
      <c r="L203" s="469">
        <v>4745</v>
      </c>
      <c r="M203" s="469">
        <v>397143</v>
      </c>
      <c r="N203" s="469">
        <v>8722</v>
      </c>
      <c r="O203" s="469">
        <v>5953</v>
      </c>
      <c r="P203" s="469">
        <v>154.22589599999998</v>
      </c>
      <c r="Q203" s="337">
        <v>0</v>
      </c>
      <c r="R203" s="167">
        <f t="shared" si="10"/>
        <v>126716.79340319999</v>
      </c>
      <c r="S203" s="473">
        <v>12.517167072069141</v>
      </c>
      <c r="T203" s="473">
        <v>0</v>
      </c>
      <c r="U203" s="473">
        <v>4.6176238223742515E-3</v>
      </c>
      <c r="V203" s="473">
        <v>1.2E-2</v>
      </c>
      <c r="W203" s="473">
        <v>0.32016</v>
      </c>
      <c r="X203" s="332">
        <v>9.0090000000000003</v>
      </c>
      <c r="Y203" s="473">
        <v>10.130000000000001</v>
      </c>
      <c r="Z203" s="473"/>
      <c r="AA203" s="473"/>
      <c r="AB203" s="473">
        <v>0</v>
      </c>
      <c r="AC203" s="473">
        <v>0.23729495082784224</v>
      </c>
      <c r="AD203" s="473">
        <v>6.3288092494060547E-2</v>
      </c>
      <c r="AE203" s="473">
        <v>2.1264002500000001</v>
      </c>
      <c r="AF203" s="473">
        <v>13.37921602052403</v>
      </c>
      <c r="AG203" s="172">
        <f t="shared" si="11"/>
        <v>8.3369034136182325</v>
      </c>
      <c r="AH203" s="253">
        <f t="shared" si="9"/>
        <v>202310</v>
      </c>
      <c r="AI203" t="s">
        <v>1299</v>
      </c>
      <c r="AJ203" t="s">
        <v>1298</v>
      </c>
    </row>
    <row r="204" spans="3:36" ht="15.75" hidden="1">
      <c r="C204" s="235">
        <v>45212</v>
      </c>
      <c r="D204" s="471">
        <v>355553</v>
      </c>
      <c r="E204" s="471">
        <v>0</v>
      </c>
      <c r="F204" s="471">
        <v>23804.74</v>
      </c>
      <c r="G204" s="471">
        <v>3270</v>
      </c>
      <c r="H204" s="471">
        <v>2603</v>
      </c>
      <c r="I204" s="470">
        <v>176000</v>
      </c>
      <c r="J204" s="471">
        <v>171201.84</v>
      </c>
      <c r="K204" s="471">
        <v>48778.33</v>
      </c>
      <c r="L204" s="471">
        <v>7702</v>
      </c>
      <c r="M204" s="471">
        <v>405397</v>
      </c>
      <c r="N204" s="471">
        <v>9007</v>
      </c>
      <c r="O204" s="471">
        <v>1443</v>
      </c>
      <c r="P204" s="471">
        <v>158.25136799999999</v>
      </c>
      <c r="Q204" s="337">
        <v>0</v>
      </c>
      <c r="R204" s="167">
        <f t="shared" si="10"/>
        <v>140734.82381559999</v>
      </c>
      <c r="S204" s="472">
        <v>12.609763073167832</v>
      </c>
      <c r="T204" s="472">
        <v>0</v>
      </c>
      <c r="U204" s="472">
        <v>4.3657457092938631E-3</v>
      </c>
      <c r="V204" s="472">
        <v>1.2E-2</v>
      </c>
      <c r="W204" s="472">
        <v>0.31944</v>
      </c>
      <c r="X204" s="332">
        <v>9.0090000000000003</v>
      </c>
      <c r="Y204" s="472">
        <v>11.418295000000001</v>
      </c>
      <c r="Z204" s="472"/>
      <c r="AA204" s="472"/>
      <c r="AB204" s="472">
        <v>0</v>
      </c>
      <c r="AC204" s="472">
        <v>0.24069296921678507</v>
      </c>
      <c r="AD204" s="472">
        <v>6.0399776863459126E-2</v>
      </c>
      <c r="AE204" s="472">
        <v>2.1262002500000001</v>
      </c>
      <c r="AF204" s="472">
        <v>13.378111664547625</v>
      </c>
      <c r="AG204" s="172">
        <f t="shared" si="11"/>
        <v>8.67204348181901</v>
      </c>
      <c r="AH204" s="253">
        <f t="shared" si="9"/>
        <v>202310</v>
      </c>
    </row>
    <row r="205" spans="3:36" ht="15.75" hidden="1">
      <c r="C205" s="237">
        <v>45213</v>
      </c>
      <c r="D205" s="469">
        <v>353668</v>
      </c>
      <c r="E205" s="469">
        <v>0</v>
      </c>
      <c r="F205" s="469">
        <v>23809.61</v>
      </c>
      <c r="G205" s="469">
        <v>3277</v>
      </c>
      <c r="H205" s="469">
        <v>2559</v>
      </c>
      <c r="I205" s="470">
        <v>176000</v>
      </c>
      <c r="J205" s="469">
        <v>178604.64</v>
      </c>
      <c r="K205" s="469">
        <v>49482.066610000002</v>
      </c>
      <c r="L205" s="469">
        <v>7696</v>
      </c>
      <c r="M205" s="469">
        <v>405684</v>
      </c>
      <c r="N205" s="469">
        <v>8969</v>
      </c>
      <c r="O205" s="469">
        <v>145</v>
      </c>
      <c r="P205" s="469">
        <v>132.40028999999998</v>
      </c>
      <c r="Q205" s="337">
        <v>0</v>
      </c>
      <c r="R205" s="167">
        <f t="shared" si="10"/>
        <v>142229.87098299997</v>
      </c>
      <c r="S205" s="473">
        <v>13.276341013798787</v>
      </c>
      <c r="T205" s="473">
        <v>0</v>
      </c>
      <c r="U205" s="473">
        <v>4.3702480836592117E-3</v>
      </c>
      <c r="V205" s="473">
        <v>1.2E-2</v>
      </c>
      <c r="W205" s="473">
        <v>0.31877</v>
      </c>
      <c r="X205" s="332">
        <v>9.0090000000000003</v>
      </c>
      <c r="Y205" s="473">
        <v>12.318509000000001</v>
      </c>
      <c r="Z205" s="473"/>
      <c r="AA205" s="473"/>
      <c r="AB205" s="473">
        <v>0</v>
      </c>
      <c r="AC205" s="473">
        <v>0.24295831480941363</v>
      </c>
      <c r="AD205" s="473">
        <v>6.4222547551019818E-2</v>
      </c>
      <c r="AE205" s="473">
        <v>2.1155002500000002</v>
      </c>
      <c r="AF205" s="473">
        <v>13.375506517116101</v>
      </c>
      <c r="AG205" s="172">
        <f t="shared" si="11"/>
        <v>8.9173506451364943</v>
      </c>
      <c r="AH205" s="253">
        <f t="shared" si="9"/>
        <v>202310</v>
      </c>
    </row>
    <row r="206" spans="3:36" ht="15.75" hidden="1">
      <c r="C206" s="237">
        <v>45214</v>
      </c>
      <c r="D206" s="471">
        <v>345263</v>
      </c>
      <c r="E206" s="471">
        <v>0</v>
      </c>
      <c r="F206" s="471">
        <v>23808.53</v>
      </c>
      <c r="G206" s="471">
        <v>3303</v>
      </c>
      <c r="H206" s="471">
        <v>2573</v>
      </c>
      <c r="I206" s="470">
        <v>176000</v>
      </c>
      <c r="J206" s="471">
        <v>178314.48</v>
      </c>
      <c r="K206" s="471">
        <v>47033.279999999999</v>
      </c>
      <c r="L206" s="471">
        <v>7443</v>
      </c>
      <c r="M206" s="471">
        <v>401600</v>
      </c>
      <c r="N206" s="471">
        <v>9066</v>
      </c>
      <c r="O206" s="471">
        <v>6924</v>
      </c>
      <c r="P206" s="471">
        <v>164.60406599999999</v>
      </c>
      <c r="Q206" s="337">
        <v>0</v>
      </c>
      <c r="R206" s="167">
        <f t="shared" si="10"/>
        <v>143886.68667970001</v>
      </c>
      <c r="S206" s="472">
        <v>12.554545274347509</v>
      </c>
      <c r="T206" s="472">
        <v>0</v>
      </c>
      <c r="U206" s="472">
        <v>4.229740023276426E-3</v>
      </c>
      <c r="V206" s="472">
        <v>1.2E-2</v>
      </c>
      <c r="W206" s="472">
        <v>0.31417</v>
      </c>
      <c r="X206" s="332">
        <v>9.0090000000000003</v>
      </c>
      <c r="Y206" s="472">
        <v>12.383782</v>
      </c>
      <c r="Z206" s="472"/>
      <c r="AA206" s="472"/>
      <c r="AB206" s="472">
        <v>0</v>
      </c>
      <c r="AC206" s="472">
        <v>0.24550682860112077</v>
      </c>
      <c r="AD206" s="472">
        <v>6.4505715750098391E-2</v>
      </c>
      <c r="AE206" s="472">
        <v>2.1199002500000002</v>
      </c>
      <c r="AF206" s="472">
        <v>8.562468320557727</v>
      </c>
      <c r="AG206" s="172">
        <f t="shared" si="11"/>
        <v>8.0971068982946974</v>
      </c>
      <c r="AH206" s="253">
        <f t="shared" si="9"/>
        <v>202310</v>
      </c>
      <c r="AI206" t="s">
        <v>1300</v>
      </c>
      <c r="AJ206" t="s">
        <v>1301</v>
      </c>
    </row>
    <row r="207" spans="3:36" ht="15.75" hidden="1">
      <c r="C207" s="235">
        <v>45215</v>
      </c>
      <c r="D207" s="469">
        <v>342965</v>
      </c>
      <c r="E207" s="469">
        <v>0</v>
      </c>
      <c r="F207" s="469">
        <v>23706.28</v>
      </c>
      <c r="G207" s="469">
        <v>3319</v>
      </c>
      <c r="H207" s="469">
        <v>2597</v>
      </c>
      <c r="I207" s="470">
        <v>179000</v>
      </c>
      <c r="J207" s="469">
        <v>177124.08000000002</v>
      </c>
      <c r="K207" s="469">
        <v>46797.351889999998</v>
      </c>
      <c r="L207" s="469">
        <v>8401</v>
      </c>
      <c r="M207" s="469">
        <v>387730</v>
      </c>
      <c r="N207" s="469">
        <v>8646</v>
      </c>
      <c r="O207" s="469">
        <v>7378</v>
      </c>
      <c r="P207" s="469">
        <v>158.50295999999997</v>
      </c>
      <c r="Q207" s="337">
        <v>0</v>
      </c>
      <c r="R207" s="167">
        <f t="shared" si="10"/>
        <v>143834.51385450002</v>
      </c>
      <c r="S207" s="473">
        <v>13.323346934845828</v>
      </c>
      <c r="T207" s="473">
        <v>0</v>
      </c>
      <c r="U207" s="473">
        <v>4.2185548794128223E-3</v>
      </c>
      <c r="V207" s="473">
        <v>1.2E-2</v>
      </c>
      <c r="W207" s="473">
        <v>0.31629000000000002</v>
      </c>
      <c r="X207" s="332">
        <v>9.0090000000000003</v>
      </c>
      <c r="Y207" s="473">
        <v>12.298029</v>
      </c>
      <c r="Z207" s="473"/>
      <c r="AA207" s="473"/>
      <c r="AB207" s="473">
        <v>0</v>
      </c>
      <c r="AC207" s="473">
        <v>0.23248109144350654</v>
      </c>
      <c r="AD207" s="473">
        <v>6.5638388546412685E-2</v>
      </c>
      <c r="AE207" s="473">
        <v>2.11900025</v>
      </c>
      <c r="AF207" s="473">
        <v>8.5626099046572683</v>
      </c>
      <c r="AG207" s="172">
        <f t="shared" si="11"/>
        <v>8.0933219143796151</v>
      </c>
      <c r="AH207" s="253">
        <f t="shared" si="9"/>
        <v>202310</v>
      </c>
      <c r="AI207" t="s">
        <v>1313</v>
      </c>
      <c r="AJ207" t="s">
        <v>1312</v>
      </c>
    </row>
    <row r="208" spans="3:36" ht="15.75" hidden="1">
      <c r="C208" s="237">
        <v>45216</v>
      </c>
      <c r="D208" s="471">
        <v>341090</v>
      </c>
      <c r="E208" s="471">
        <v>0</v>
      </c>
      <c r="F208" s="471">
        <v>23704.06</v>
      </c>
      <c r="G208" s="471">
        <v>3290</v>
      </c>
      <c r="H208" s="471">
        <v>2576</v>
      </c>
      <c r="I208" s="470">
        <v>179000</v>
      </c>
      <c r="J208" s="471">
        <v>178954.32</v>
      </c>
      <c r="K208" s="471">
        <v>51084.166200000007</v>
      </c>
      <c r="L208" s="471">
        <v>9983</v>
      </c>
      <c r="M208" s="471">
        <v>390995</v>
      </c>
      <c r="N208" s="471">
        <v>3517</v>
      </c>
      <c r="O208" s="471">
        <v>1802</v>
      </c>
      <c r="P208" s="471">
        <v>74.471232000000001</v>
      </c>
      <c r="Q208" s="337">
        <v>0</v>
      </c>
      <c r="R208" s="167">
        <f t="shared" si="10"/>
        <v>142981.56655439996</v>
      </c>
      <c r="S208" s="472">
        <v>11.527777384488616</v>
      </c>
      <c r="T208" s="472">
        <v>0</v>
      </c>
      <c r="U208" s="472">
        <v>4.5093119862266986E-3</v>
      </c>
      <c r="V208" s="472">
        <v>1.2E-2</v>
      </c>
      <c r="W208" s="472">
        <v>0.32158999999999999</v>
      </c>
      <c r="X208" s="332">
        <v>9.0090000000000003</v>
      </c>
      <c r="Y208" s="472">
        <v>12.378489999999999</v>
      </c>
      <c r="Z208" s="472"/>
      <c r="AA208" s="472"/>
      <c r="AB208" s="472">
        <v>0</v>
      </c>
      <c r="AC208" s="472">
        <v>0.24352465120757077</v>
      </c>
      <c r="AD208" s="472">
        <v>6.6572843603371956E-2</v>
      </c>
      <c r="AE208" s="472">
        <v>2.12360025</v>
      </c>
      <c r="AF208" s="472">
        <v>8.5625249541975421</v>
      </c>
      <c r="AG208" s="172">
        <f t="shared" si="11"/>
        <v>8.0819117797598103</v>
      </c>
      <c r="AH208" s="253">
        <f t="shared" si="9"/>
        <v>202310</v>
      </c>
      <c r="AI208" t="s">
        <v>1314</v>
      </c>
      <c r="AJ208" t="s">
        <v>1315</v>
      </c>
    </row>
    <row r="209" spans="3:36" ht="15.75" hidden="1">
      <c r="C209" s="235">
        <v>45217</v>
      </c>
      <c r="D209" s="469">
        <v>352045</v>
      </c>
      <c r="E209" s="469">
        <v>0</v>
      </c>
      <c r="F209" s="469">
        <v>23716.09</v>
      </c>
      <c r="G209" s="469">
        <v>3271</v>
      </c>
      <c r="H209" s="469">
        <v>2587</v>
      </c>
      <c r="I209" s="470">
        <v>179000</v>
      </c>
      <c r="J209" s="469">
        <v>179147.76</v>
      </c>
      <c r="K209" s="469">
        <v>50411.068219999994</v>
      </c>
      <c r="L209" s="469">
        <v>8089</v>
      </c>
      <c r="M209" s="469">
        <v>384757</v>
      </c>
      <c r="N209" s="469">
        <v>8703</v>
      </c>
      <c r="O209" s="469">
        <v>3955</v>
      </c>
      <c r="P209" s="469">
        <v>170.26488599999999</v>
      </c>
      <c r="Q209" s="337">
        <v>0</v>
      </c>
      <c r="R209" s="167">
        <f t="shared" si="10"/>
        <v>143894.88760370002</v>
      </c>
      <c r="S209" s="473">
        <v>9.5928890801847384</v>
      </c>
      <c r="T209" s="473">
        <v>0</v>
      </c>
      <c r="U209" s="473">
        <v>4.3784882782523992E-3</v>
      </c>
      <c r="V209" s="473">
        <v>1.2E-2</v>
      </c>
      <c r="W209" s="473">
        <v>0.32722000000000001</v>
      </c>
      <c r="X209" s="332">
        <v>9.0090000000000003</v>
      </c>
      <c r="Y209" s="473">
        <v>12.358491000000001</v>
      </c>
      <c r="Z209" s="473"/>
      <c r="AA209" s="473"/>
      <c r="AB209" s="473">
        <v>0</v>
      </c>
      <c r="AC209" s="473">
        <v>0.24833851059190645</v>
      </c>
      <c r="AD209" s="473">
        <v>6.7167496821436953E-2</v>
      </c>
      <c r="AE209" s="473">
        <v>2.1231002499999998</v>
      </c>
      <c r="AF209" s="473">
        <v>8.5562386201779983</v>
      </c>
      <c r="AG209" s="172">
        <f t="shared" si="11"/>
        <v>8.0370282523709875</v>
      </c>
      <c r="AH209" s="253">
        <f t="shared" si="9"/>
        <v>202310</v>
      </c>
      <c r="AI209" t="s">
        <v>1120</v>
      </c>
      <c r="AJ209" t="s">
        <v>1316</v>
      </c>
    </row>
    <row r="210" spans="3:36" ht="15.75" hidden="1">
      <c r="C210" s="237">
        <v>45218</v>
      </c>
      <c r="D210" s="471">
        <v>355724</v>
      </c>
      <c r="E210" s="471">
        <v>0</v>
      </c>
      <c r="F210" s="471">
        <v>23707.37</v>
      </c>
      <c r="G210" s="471">
        <v>3173</v>
      </c>
      <c r="H210" s="471">
        <v>2638</v>
      </c>
      <c r="I210" s="470">
        <v>179000</v>
      </c>
      <c r="J210" s="471">
        <v>179862</v>
      </c>
      <c r="K210" s="471">
        <v>50702.030000000006</v>
      </c>
      <c r="L210" s="471">
        <v>6898</v>
      </c>
      <c r="M210" s="471">
        <v>382063</v>
      </c>
      <c r="N210" s="471">
        <v>8944</v>
      </c>
      <c r="O210" s="471">
        <v>3432</v>
      </c>
      <c r="P210" s="471">
        <v>167.560272</v>
      </c>
      <c r="Q210" s="337">
        <v>0</v>
      </c>
      <c r="R210" s="167">
        <f t="shared" si="10"/>
        <v>143655.21552239999</v>
      </c>
      <c r="S210" s="472">
        <v>12.574650216482089</v>
      </c>
      <c r="T210" s="472">
        <v>0</v>
      </c>
      <c r="U210" s="472">
        <v>4.489405261831475E-3</v>
      </c>
      <c r="V210" s="472">
        <v>1.2E-2</v>
      </c>
      <c r="W210" s="472">
        <v>0.32756999999999997</v>
      </c>
      <c r="X210" s="332">
        <v>9.0090000000000003</v>
      </c>
      <c r="Y210" s="472">
        <v>12.4</v>
      </c>
      <c r="Z210" s="472"/>
      <c r="AA210" s="472"/>
      <c r="AB210" s="472">
        <v>0</v>
      </c>
      <c r="AC210" s="472">
        <v>0.24720583779559221</v>
      </c>
      <c r="AD210" s="472">
        <v>6.7224130461252682E-2</v>
      </c>
      <c r="AE210" s="472">
        <v>2.1113002500000002</v>
      </c>
      <c r="AF210" s="472">
        <v>8.66050115107873</v>
      </c>
      <c r="AG210" s="172">
        <f t="shared" si="11"/>
        <v>8.1294396062094183</v>
      </c>
      <c r="AH210" s="253">
        <f t="shared" si="9"/>
        <v>202310</v>
      </c>
      <c r="AI210" t="s">
        <v>1317</v>
      </c>
      <c r="AJ210" t="s">
        <v>1318</v>
      </c>
    </row>
    <row r="211" spans="3:36" ht="15.75" hidden="1">
      <c r="C211" s="235">
        <v>45219</v>
      </c>
      <c r="D211" s="469">
        <v>357352</v>
      </c>
      <c r="E211" s="469">
        <v>0</v>
      </c>
      <c r="F211" s="469">
        <v>23692.639999999999</v>
      </c>
      <c r="G211" s="469">
        <v>3217</v>
      </c>
      <c r="H211" s="469">
        <v>2538</v>
      </c>
      <c r="I211" s="470">
        <v>179000</v>
      </c>
      <c r="J211" s="469">
        <v>180695.28</v>
      </c>
      <c r="K211" s="469">
        <v>48487.253380000002</v>
      </c>
      <c r="L211" s="469">
        <v>7398</v>
      </c>
      <c r="M211" s="469">
        <v>382011</v>
      </c>
      <c r="N211" s="469">
        <v>3548</v>
      </c>
      <c r="O211" s="469">
        <v>1440</v>
      </c>
      <c r="P211" s="469">
        <v>164.85565800000001</v>
      </c>
      <c r="Q211" s="337">
        <v>0</v>
      </c>
      <c r="R211" s="167">
        <f t="shared" si="10"/>
        <v>141994.43789109998</v>
      </c>
      <c r="S211" s="473">
        <v>13.068212387476036</v>
      </c>
      <c r="T211" s="473">
        <v>0</v>
      </c>
      <c r="U211" s="473">
        <v>4.3514740320603033E-3</v>
      </c>
      <c r="V211" s="473">
        <v>1.2E-2</v>
      </c>
      <c r="W211" s="473">
        <v>0.31989999999999996</v>
      </c>
      <c r="X211" s="332">
        <v>9.0090000000000003</v>
      </c>
      <c r="Y211" s="473">
        <v>12.372487999999999</v>
      </c>
      <c r="Z211" s="473"/>
      <c r="AA211" s="473"/>
      <c r="AB211" s="473">
        <v>0</v>
      </c>
      <c r="AC211" s="473">
        <v>0.16565339646096383</v>
      </c>
      <c r="AD211" s="473">
        <v>6.7507298660331241E-2</v>
      </c>
      <c r="AE211" s="473">
        <v>2.10760025</v>
      </c>
      <c r="AF211" s="473">
        <v>11.334231920418409</v>
      </c>
      <c r="AG211" s="172">
        <f t="shared" si="11"/>
        <v>8.5699329500191066</v>
      </c>
      <c r="AH211" s="253">
        <f t="shared" si="9"/>
        <v>202310</v>
      </c>
      <c r="AJ211" t="s">
        <v>1321</v>
      </c>
    </row>
    <row r="212" spans="3:36" ht="15.75" hidden="1">
      <c r="C212" s="237">
        <v>45220</v>
      </c>
      <c r="D212" s="471">
        <v>286029</v>
      </c>
      <c r="E212" s="471">
        <v>0</v>
      </c>
      <c r="F212" s="471">
        <v>23949.01</v>
      </c>
      <c r="G212" s="471">
        <v>3223</v>
      </c>
      <c r="H212" s="471">
        <v>2649</v>
      </c>
      <c r="I212" s="470">
        <v>179000</v>
      </c>
      <c r="J212" s="471">
        <v>182480.88</v>
      </c>
      <c r="K212" s="471">
        <v>50431.568589999995</v>
      </c>
      <c r="L212" s="471">
        <v>7448</v>
      </c>
      <c r="M212" s="471">
        <v>391674</v>
      </c>
      <c r="N212" s="471">
        <v>8876</v>
      </c>
      <c r="O212" s="471">
        <v>3853</v>
      </c>
      <c r="P212" s="471">
        <v>108.24745799999999</v>
      </c>
      <c r="Q212" s="337">
        <v>0</v>
      </c>
      <c r="R212" s="167">
        <f t="shared" si="10"/>
        <v>143515.05920359999</v>
      </c>
      <c r="S212" s="472">
        <v>10.549431256672149</v>
      </c>
      <c r="T212" s="472">
        <v>0</v>
      </c>
      <c r="U212" s="472">
        <v>4.4980418919033718E-3</v>
      </c>
      <c r="V212" s="472">
        <v>1.2E-2</v>
      </c>
      <c r="W212" s="472">
        <v>0.32662999999999998</v>
      </c>
      <c r="X212" s="332">
        <v>9.0090000000000003</v>
      </c>
      <c r="Y212" s="472">
        <v>12.365584</v>
      </c>
      <c r="Z212" s="472"/>
      <c r="AA212" s="472"/>
      <c r="AB212" s="472">
        <v>0</v>
      </c>
      <c r="AC212" s="472">
        <v>0.2355959416333708</v>
      </c>
      <c r="AD212" s="472">
        <v>6.4987101688531959E-2</v>
      </c>
      <c r="AE212" s="472">
        <v>2.1104002500000001</v>
      </c>
      <c r="AF212" s="472">
        <v>13.726861618532791</v>
      </c>
      <c r="AG212" s="172">
        <f t="shared" si="11"/>
        <v>8.9314793132591177</v>
      </c>
      <c r="AH212" s="253">
        <f t="shared" si="9"/>
        <v>202310</v>
      </c>
      <c r="AJ212" t="s">
        <v>1319</v>
      </c>
    </row>
    <row r="213" spans="3:36" ht="15.75" hidden="1">
      <c r="C213" s="235">
        <v>45221</v>
      </c>
      <c r="D213" s="469">
        <v>323106</v>
      </c>
      <c r="E213" s="469">
        <v>0</v>
      </c>
      <c r="F213" s="469">
        <v>24123.91</v>
      </c>
      <c r="G213" s="469">
        <v>3201</v>
      </c>
      <c r="H213" s="469">
        <v>2655</v>
      </c>
      <c r="I213" s="470">
        <v>179000</v>
      </c>
      <c r="J213" s="469">
        <v>184645.92</v>
      </c>
      <c r="K213" s="469">
        <v>49306.02304</v>
      </c>
      <c r="L213" s="469">
        <v>7527</v>
      </c>
      <c r="M213" s="469">
        <v>381644</v>
      </c>
      <c r="N213" s="469">
        <v>9042</v>
      </c>
      <c r="O213" s="469">
        <v>4598</v>
      </c>
      <c r="P213" s="469">
        <v>168.12635399999999</v>
      </c>
      <c r="Q213" s="337">
        <v>0</v>
      </c>
      <c r="R213" s="167">
        <f t="shared" si="10"/>
        <v>144731.55616930002</v>
      </c>
      <c r="S213" s="473">
        <v>8.1487312648840309</v>
      </c>
      <c r="T213" s="473">
        <v>0</v>
      </c>
      <c r="U213" s="473">
        <v>4.0382050534196806E-3</v>
      </c>
      <c r="V213" s="473">
        <v>1.2E-2</v>
      </c>
      <c r="W213" s="473">
        <v>0.32877999999999996</v>
      </c>
      <c r="X213" s="332">
        <v>9.0090000000000003</v>
      </c>
      <c r="Y213" s="473">
        <v>12.344875</v>
      </c>
      <c r="Z213" s="473"/>
      <c r="AA213" s="473"/>
      <c r="AB213" s="473">
        <v>0</v>
      </c>
      <c r="AC213" s="473">
        <v>0.24409098760572789</v>
      </c>
      <c r="AD213" s="473">
        <v>6.5921556745491244E-2</v>
      </c>
      <c r="AE213" s="473">
        <v>2.1006002499999998</v>
      </c>
      <c r="AF213" s="473">
        <v>13.811727127796638</v>
      </c>
      <c r="AG213" s="172">
        <f t="shared" si="11"/>
        <v>8.8837922913164711</v>
      </c>
      <c r="AH213" s="253">
        <f t="shared" si="9"/>
        <v>202310</v>
      </c>
    </row>
    <row r="214" spans="3:36" ht="15.75" hidden="1">
      <c r="C214" s="237">
        <v>45222</v>
      </c>
      <c r="D214" s="471">
        <v>333875</v>
      </c>
      <c r="E214" s="471">
        <v>0</v>
      </c>
      <c r="F214" s="471">
        <v>24118.57</v>
      </c>
      <c r="G214" s="471">
        <v>3061</v>
      </c>
      <c r="H214" s="471">
        <v>2609</v>
      </c>
      <c r="I214" s="470">
        <v>177600</v>
      </c>
      <c r="J214" s="471">
        <v>184861.68000000002</v>
      </c>
      <c r="K214" s="471">
        <v>48852.359509999995</v>
      </c>
      <c r="L214" s="471">
        <v>7488</v>
      </c>
      <c r="M214" s="471">
        <v>387621</v>
      </c>
      <c r="N214" s="471">
        <v>4983</v>
      </c>
      <c r="O214" s="471">
        <v>3631</v>
      </c>
      <c r="P214" s="471">
        <v>163.40900399999998</v>
      </c>
      <c r="Q214" s="337">
        <v>0</v>
      </c>
      <c r="R214" s="167">
        <f t="shared" si="10"/>
        <v>143917.5222293</v>
      </c>
      <c r="S214" s="472">
        <v>11.554678363401075</v>
      </c>
      <c r="T214" s="472">
        <v>0</v>
      </c>
      <c r="U214" s="472">
        <v>4.4087306419139903E-3</v>
      </c>
      <c r="V214" s="472">
        <v>1.2E-2</v>
      </c>
      <c r="W214" s="472">
        <v>0.32658999999999999</v>
      </c>
      <c r="X214" s="332">
        <v>9.0090000000000003</v>
      </c>
      <c r="Y214" s="472">
        <v>12.395333000000001</v>
      </c>
      <c r="Z214" s="472"/>
      <c r="AA214" s="472"/>
      <c r="AB214" s="472">
        <v>0</v>
      </c>
      <c r="AC214" s="472">
        <v>0.26023157495320642</v>
      </c>
      <c r="AD214" s="472">
        <v>6.7167496821436953E-2</v>
      </c>
      <c r="AE214" s="472">
        <v>2.0999002500000001</v>
      </c>
      <c r="AF214" s="472">
        <v>13.814219007948532</v>
      </c>
      <c r="AG214" s="172">
        <f t="shared" si="11"/>
        <v>8.9760405774685825</v>
      </c>
      <c r="AH214" s="253">
        <f t="shared" si="9"/>
        <v>202310</v>
      </c>
      <c r="AJ214" t="s">
        <v>1322</v>
      </c>
    </row>
    <row r="215" spans="3:36" ht="15.75" hidden="1">
      <c r="C215" s="235">
        <v>45223</v>
      </c>
      <c r="D215" s="469">
        <v>348244</v>
      </c>
      <c r="E215" s="469">
        <v>0</v>
      </c>
      <c r="F215" s="469">
        <v>24110.15</v>
      </c>
      <c r="G215" s="469">
        <v>3055</v>
      </c>
      <c r="H215" s="469">
        <v>2629</v>
      </c>
      <c r="I215" s="470">
        <v>177600</v>
      </c>
      <c r="J215" s="469">
        <v>182168.40000000002</v>
      </c>
      <c r="K215" s="469">
        <v>48877.255240000006</v>
      </c>
      <c r="L215" s="469">
        <v>5939</v>
      </c>
      <c r="M215" s="469">
        <v>385468</v>
      </c>
      <c r="N215" s="469">
        <v>8101.0000000000009</v>
      </c>
      <c r="O215" s="469">
        <v>3375</v>
      </c>
      <c r="P215" s="469">
        <v>165.23304599999997</v>
      </c>
      <c r="Q215" s="337">
        <v>0</v>
      </c>
      <c r="R215" s="167">
        <f t="shared" si="10"/>
        <v>143348.1078307</v>
      </c>
      <c r="S215" s="473">
        <v>11.456985334718967</v>
      </c>
      <c r="T215" s="473">
        <v>0</v>
      </c>
      <c r="U215" s="473">
        <v>4.3488405678088725E-3</v>
      </c>
      <c r="V215" s="473">
        <v>1.2E-2</v>
      </c>
      <c r="W215" s="473">
        <v>0.32249</v>
      </c>
      <c r="X215" s="332">
        <v>9.0090000000000003</v>
      </c>
      <c r="Y215" s="473">
        <v>12.248932</v>
      </c>
      <c r="Z215" s="473"/>
      <c r="AA215" s="473"/>
      <c r="AB215" s="473">
        <v>0</v>
      </c>
      <c r="AC215" s="473">
        <v>0.22823356845732798</v>
      </c>
      <c r="AD215" s="473">
        <v>6.572333900613625E-2</v>
      </c>
      <c r="AE215" s="473">
        <v>2.0899002499999999</v>
      </c>
      <c r="AF215" s="473">
        <v>13.80762118891</v>
      </c>
      <c r="AG215" s="172">
        <f t="shared" si="11"/>
        <v>8.9218586123769352</v>
      </c>
      <c r="AH215" s="253">
        <f t="shared" si="9"/>
        <v>202310</v>
      </c>
      <c r="AI215" t="s">
        <v>1320</v>
      </c>
      <c r="AJ215" t="s">
        <v>1323</v>
      </c>
    </row>
    <row r="216" spans="3:36" ht="15.75" hidden="1">
      <c r="C216" s="237">
        <v>45224</v>
      </c>
      <c r="D216" s="471">
        <v>361529</v>
      </c>
      <c r="E216" s="471">
        <v>0</v>
      </c>
      <c r="F216" s="471">
        <v>24083.56</v>
      </c>
      <c r="G216" s="471">
        <v>3106</v>
      </c>
      <c r="H216" s="471">
        <v>2587</v>
      </c>
      <c r="I216" s="470">
        <v>177600</v>
      </c>
      <c r="J216" s="471">
        <v>182510.64</v>
      </c>
      <c r="K216" s="471">
        <v>50190.55027</v>
      </c>
      <c r="L216" s="471">
        <v>5395</v>
      </c>
      <c r="M216" s="471">
        <v>375971</v>
      </c>
      <c r="N216" s="471">
        <v>6075</v>
      </c>
      <c r="O216" s="471">
        <v>3420</v>
      </c>
      <c r="P216" s="471">
        <v>82.081890000000001</v>
      </c>
      <c r="Q216" s="337">
        <v>0</v>
      </c>
      <c r="R216" s="167">
        <f t="shared" si="10"/>
        <v>143283.78646800001</v>
      </c>
      <c r="S216" s="472">
        <v>13.347982568165667</v>
      </c>
      <c r="T216" s="472">
        <v>0</v>
      </c>
      <c r="U216" s="472">
        <v>4.2390845738460182E-3</v>
      </c>
      <c r="V216" s="472">
        <v>1.2E-2</v>
      </c>
      <c r="W216" s="472">
        <v>0.30881000000000003</v>
      </c>
      <c r="X216" s="332">
        <v>9.0090000000000003</v>
      </c>
      <c r="Y216" s="472">
        <v>12.40357</v>
      </c>
      <c r="Z216" s="472"/>
      <c r="AA216" s="472"/>
      <c r="AB216" s="472">
        <v>0</v>
      </c>
      <c r="AC216" s="472">
        <v>0.2055801125310423</v>
      </c>
      <c r="AD216" s="472">
        <v>6.0682945062537685E-2</v>
      </c>
      <c r="AE216" s="472">
        <v>2.0940002500000001</v>
      </c>
      <c r="AF216" s="472">
        <v>13.528049225959727</v>
      </c>
      <c r="AG216" s="172">
        <f t="shared" si="11"/>
        <v>8.9417994278429038</v>
      </c>
      <c r="AH216" s="253">
        <f t="shared" si="9"/>
        <v>202310</v>
      </c>
      <c r="AI216" t="s">
        <v>1248</v>
      </c>
      <c r="AJ216" t="s">
        <v>1329</v>
      </c>
    </row>
    <row r="217" spans="3:36" ht="15.75" hidden="1">
      <c r="C217" s="235">
        <v>45225</v>
      </c>
      <c r="D217" s="469">
        <v>361601</v>
      </c>
      <c r="E217" s="469">
        <v>0</v>
      </c>
      <c r="F217" s="469">
        <v>24039.54</v>
      </c>
      <c r="G217" s="469">
        <v>3062</v>
      </c>
      <c r="H217" s="469">
        <v>2582</v>
      </c>
      <c r="I217" s="470">
        <v>177600</v>
      </c>
      <c r="J217" s="469">
        <v>181781.52000000002</v>
      </c>
      <c r="K217" s="469">
        <v>48881.424919999998</v>
      </c>
      <c r="L217" s="469">
        <v>4601</v>
      </c>
      <c r="M217" s="469">
        <v>381302</v>
      </c>
      <c r="N217" s="469">
        <v>8631</v>
      </c>
      <c r="O217" s="469">
        <v>1006</v>
      </c>
      <c r="P217" s="469">
        <v>170.45357999999999</v>
      </c>
      <c r="Q217" s="337">
        <v>0</v>
      </c>
      <c r="R217" s="167">
        <f t="shared" si="10"/>
        <v>142087.79789100002</v>
      </c>
      <c r="S217" s="473">
        <v>13.69316460284244</v>
      </c>
      <c r="T217" s="473">
        <v>0</v>
      </c>
      <c r="U217" s="473">
        <v>4.3025708840794341E-3</v>
      </c>
      <c r="V217" s="473">
        <v>1.2E-2</v>
      </c>
      <c r="W217" s="473">
        <v>0.3236</v>
      </c>
      <c r="X217" s="332">
        <v>9.0090000000000003</v>
      </c>
      <c r="Y217" s="473">
        <v>12.393772999999999</v>
      </c>
      <c r="AB217" s="337">
        <v>0</v>
      </c>
      <c r="AC217" s="473">
        <v>0.2296494094527208</v>
      </c>
      <c r="AD217" s="473">
        <v>5.8672450849079842E-2</v>
      </c>
      <c r="AE217" s="473">
        <v>1.98630025</v>
      </c>
      <c r="AF217" s="473">
        <v>13.819259401892129</v>
      </c>
      <c r="AG217" s="172">
        <f t="shared" si="11"/>
        <v>8.9649445081456101</v>
      </c>
      <c r="AH217" s="253">
        <f t="shared" si="9"/>
        <v>202310</v>
      </c>
      <c r="AI217" t="s">
        <v>1330</v>
      </c>
      <c r="AJ217" t="s">
        <v>1331</v>
      </c>
    </row>
    <row r="218" spans="3:36" ht="15.75" hidden="1">
      <c r="C218" s="237">
        <v>45226</v>
      </c>
      <c r="D218" s="471">
        <v>337668</v>
      </c>
      <c r="E218" s="471">
        <v>0</v>
      </c>
      <c r="F218" s="471">
        <v>24068.44</v>
      </c>
      <c r="G218" s="471">
        <v>3064</v>
      </c>
      <c r="H218" s="471">
        <v>2583</v>
      </c>
      <c r="I218" s="470">
        <v>177600</v>
      </c>
      <c r="J218" s="471">
        <v>180829.2</v>
      </c>
      <c r="K218" s="471">
        <v>48521.315910000005</v>
      </c>
      <c r="L218" s="471">
        <v>9343</v>
      </c>
      <c r="M218" s="471">
        <v>378264</v>
      </c>
      <c r="N218" s="471">
        <v>9084</v>
      </c>
      <c r="O218" s="471">
        <v>147</v>
      </c>
      <c r="P218" s="471">
        <v>149.57144399999999</v>
      </c>
      <c r="Q218" s="337">
        <v>0</v>
      </c>
      <c r="R218" s="167">
        <f t="shared" si="10"/>
        <v>141938.8656773</v>
      </c>
      <c r="S218" s="472">
        <v>13.567154754252478</v>
      </c>
      <c r="T218" s="472">
        <v>0</v>
      </c>
      <c r="U218" s="472">
        <v>4.2896300973815429E-3</v>
      </c>
      <c r="V218" s="472">
        <v>1.2E-2</v>
      </c>
      <c r="W218" s="472">
        <v>0.32033</v>
      </c>
      <c r="X218" s="332">
        <v>9.0090000000000003</v>
      </c>
      <c r="Y218" s="472">
        <v>12.465406999999999</v>
      </c>
      <c r="Z218" s="472"/>
      <c r="AA218" s="472"/>
      <c r="AB218" s="472">
        <v>0</v>
      </c>
      <c r="AC218" s="472">
        <v>0.2327642596425851</v>
      </c>
      <c r="AD218" s="472">
        <v>5.9295420887052697E-2</v>
      </c>
      <c r="AE218" s="472">
        <v>1.88900025</v>
      </c>
      <c r="AF218" s="472">
        <v>13.953197960056293</v>
      </c>
      <c r="AG218" s="172">
        <f t="shared" si="11"/>
        <v>8.9569558385164747</v>
      </c>
      <c r="AH218" s="253">
        <f t="shared" si="9"/>
        <v>202310</v>
      </c>
    </row>
    <row r="219" spans="3:36" ht="15.75" hidden="1">
      <c r="C219" s="235">
        <v>45227</v>
      </c>
      <c r="D219" s="469">
        <v>340463</v>
      </c>
      <c r="E219" s="469">
        <v>0</v>
      </c>
      <c r="F219" s="469">
        <v>24045.33</v>
      </c>
      <c r="G219" s="469">
        <v>2992</v>
      </c>
      <c r="H219" s="469">
        <v>2563</v>
      </c>
      <c r="I219" s="470">
        <v>177600</v>
      </c>
      <c r="J219" s="469">
        <v>181528.56</v>
      </c>
      <c r="K219" s="469">
        <v>49513.354189999998</v>
      </c>
      <c r="L219" s="469">
        <v>7331</v>
      </c>
      <c r="M219" s="469">
        <v>392924</v>
      </c>
      <c r="N219" s="469">
        <v>9085</v>
      </c>
      <c r="O219" s="469">
        <v>5887</v>
      </c>
      <c r="P219" s="469">
        <v>96.422633999999988</v>
      </c>
      <c r="Q219" s="337">
        <v>0</v>
      </c>
      <c r="R219" s="167">
        <f t="shared" si="10"/>
        <v>144734.2943828</v>
      </c>
      <c r="S219" s="473">
        <v>12.590224467431407</v>
      </c>
      <c r="T219" s="473">
        <v>0</v>
      </c>
      <c r="U219" s="473">
        <v>4.2304196269542143E-3</v>
      </c>
      <c r="V219" s="473">
        <v>1.2E-2</v>
      </c>
      <c r="W219" s="473">
        <v>0.31880000000000003</v>
      </c>
      <c r="X219" s="332">
        <v>9.0090000000000003</v>
      </c>
      <c r="Y219" s="473">
        <v>12.380549999999999</v>
      </c>
      <c r="Z219" s="473"/>
      <c r="AA219" s="473"/>
      <c r="AB219" s="473">
        <v>0</v>
      </c>
      <c r="AC219" s="473">
        <v>0.23191475504534936</v>
      </c>
      <c r="AD219" s="473">
        <v>5.8417599469909133E-2</v>
      </c>
      <c r="AE219" s="473">
        <v>1.86960025</v>
      </c>
      <c r="AF219" s="473">
        <v>13.377885129988361</v>
      </c>
      <c r="AG219" s="172">
        <f t="shared" si="11"/>
        <v>8.8037767263775066</v>
      </c>
      <c r="AH219" s="253">
        <f t="shared" si="9"/>
        <v>202310</v>
      </c>
    </row>
    <row r="220" spans="3:36" ht="15.75" hidden="1">
      <c r="C220" s="237">
        <v>45228</v>
      </c>
      <c r="D220" s="471">
        <v>347717</v>
      </c>
      <c r="E220" s="471">
        <v>0</v>
      </c>
      <c r="F220" s="471">
        <v>24033.7</v>
      </c>
      <c r="G220" s="471">
        <v>3037</v>
      </c>
      <c r="H220" s="471">
        <v>2578</v>
      </c>
      <c r="I220" s="470">
        <v>177600</v>
      </c>
      <c r="J220" s="471">
        <v>180866.40000000002</v>
      </c>
      <c r="K220" s="471">
        <v>50254.736490000003</v>
      </c>
      <c r="L220" s="471">
        <v>6840</v>
      </c>
      <c r="M220" s="471">
        <v>395743</v>
      </c>
      <c r="N220" s="471">
        <v>9113</v>
      </c>
      <c r="O220" s="471">
        <v>7336</v>
      </c>
      <c r="P220" s="471">
        <v>162.59133</v>
      </c>
      <c r="Q220" s="337">
        <v>0</v>
      </c>
      <c r="R220" s="167">
        <f t="shared" si="10"/>
        <v>145551.166921</v>
      </c>
      <c r="S220" s="472">
        <v>12.838562978023315</v>
      </c>
      <c r="T220" s="472">
        <v>0</v>
      </c>
      <c r="U220" s="472">
        <v>4.0944705745765923E-3</v>
      </c>
      <c r="V220" s="472">
        <v>1.2E-2</v>
      </c>
      <c r="W220" s="472">
        <v>0.31774999999999998</v>
      </c>
      <c r="X220" s="332">
        <v>9.0090000000000003</v>
      </c>
      <c r="Y220" s="472">
        <v>12.488647</v>
      </c>
      <c r="Z220" s="472"/>
      <c r="AA220" s="472"/>
      <c r="AB220" s="472">
        <v>0</v>
      </c>
      <c r="AC220" s="472">
        <v>0.22653455926285654</v>
      </c>
      <c r="AD220" s="472">
        <v>5.9521955446315548E-2</v>
      </c>
      <c r="AE220" s="472">
        <v>1.87370025</v>
      </c>
      <c r="AF220" s="472">
        <v>13.952914791857214</v>
      </c>
      <c r="AG220" s="172">
        <f t="shared" si="11"/>
        <v>8.9359233650077101</v>
      </c>
      <c r="AH220" s="253">
        <f t="shared" si="9"/>
        <v>202310</v>
      </c>
      <c r="AI220" t="s">
        <v>1332</v>
      </c>
      <c r="AJ220" t="s">
        <v>1333</v>
      </c>
    </row>
    <row r="221" spans="3:36" ht="15.75" hidden="1">
      <c r="C221" s="235">
        <v>45229</v>
      </c>
      <c r="D221" s="469">
        <v>339472</v>
      </c>
      <c r="E221" s="469">
        <v>0</v>
      </c>
      <c r="F221" s="469">
        <v>24004.19</v>
      </c>
      <c r="G221" s="469">
        <v>3145</v>
      </c>
      <c r="H221" s="469">
        <v>2585</v>
      </c>
      <c r="I221" s="470">
        <v>184600</v>
      </c>
      <c r="J221" s="469">
        <v>184140.84072000001</v>
      </c>
      <c r="K221" s="469">
        <v>50811.062189999997</v>
      </c>
      <c r="L221" s="469">
        <v>8767</v>
      </c>
      <c r="M221" s="469">
        <v>396404</v>
      </c>
      <c r="N221" s="469">
        <v>9059</v>
      </c>
      <c r="O221" s="469">
        <v>728</v>
      </c>
      <c r="P221" s="469">
        <v>142.401072</v>
      </c>
      <c r="Q221" s="337">
        <v>0</v>
      </c>
      <c r="R221" s="167">
        <f t="shared" si="10"/>
        <v>145624.58956710002</v>
      </c>
      <c r="S221" s="473">
        <v>12.515184894675588</v>
      </c>
      <c r="T221" s="473">
        <v>0</v>
      </c>
      <c r="U221" s="473">
        <v>4.3497750228658318E-3</v>
      </c>
      <c r="V221" s="473">
        <v>1.2E-2</v>
      </c>
      <c r="W221" s="473">
        <v>0.32312999999999997</v>
      </c>
      <c r="X221" s="332">
        <v>9.0090000000000003</v>
      </c>
      <c r="Y221" s="473">
        <v>12.691735000000001</v>
      </c>
      <c r="Z221" s="473"/>
      <c r="AA221" s="473"/>
      <c r="AB221" s="473">
        <v>0</v>
      </c>
      <c r="AC221" s="473">
        <v>0.22908307305456366</v>
      </c>
      <c r="AD221" s="473">
        <v>5.8672450849079842E-2</v>
      </c>
      <c r="AE221" s="473">
        <v>1.86310025</v>
      </c>
      <c r="AF221" s="473">
        <v>13.953452811435463</v>
      </c>
      <c r="AG221" s="172">
        <f t="shared" si="11"/>
        <v>8.9820769224026744</v>
      </c>
      <c r="AH221" s="253">
        <f t="shared" si="9"/>
        <v>202310</v>
      </c>
      <c r="AI221" t="s">
        <v>1335</v>
      </c>
      <c r="AJ221" t="s">
        <v>1334</v>
      </c>
    </row>
    <row r="222" spans="3:36" ht="15.75" hidden="1">
      <c r="C222" s="237">
        <v>45230</v>
      </c>
      <c r="D222" s="471">
        <v>349042</v>
      </c>
      <c r="E222" s="471">
        <v>0</v>
      </c>
      <c r="F222" s="471">
        <v>23968.07</v>
      </c>
      <c r="G222" s="471">
        <v>3130</v>
      </c>
      <c r="H222" s="471">
        <v>2596</v>
      </c>
      <c r="I222" s="470">
        <v>184600</v>
      </c>
      <c r="J222" s="471">
        <v>181431.84</v>
      </c>
      <c r="K222" s="471">
        <v>48759.037510000002</v>
      </c>
      <c r="L222" s="471">
        <v>7549</v>
      </c>
      <c r="M222" s="471">
        <v>389593</v>
      </c>
      <c r="N222" s="471">
        <v>9068</v>
      </c>
      <c r="O222" s="471">
        <v>1296</v>
      </c>
      <c r="P222" s="471">
        <v>152.71634399999999</v>
      </c>
      <c r="Q222" s="337">
        <v>0</v>
      </c>
      <c r="R222" s="167">
        <f t="shared" si="10"/>
        <v>144273.07558229999</v>
      </c>
      <c r="S222" s="472">
        <v>12.290349344607202</v>
      </c>
      <c r="T222" s="472">
        <v>0</v>
      </c>
      <c r="U222" s="472">
        <v>4.3251393895459966E-3</v>
      </c>
      <c r="V222" s="472">
        <v>1.2E-2</v>
      </c>
      <c r="W222" s="472">
        <v>0.32600999999999997</v>
      </c>
      <c r="X222" s="332">
        <v>9.0090000000000003</v>
      </c>
      <c r="Y222" s="472">
        <v>12.487112</v>
      </c>
      <c r="Z222" s="472"/>
      <c r="AA222" s="472">
        <v>0</v>
      </c>
      <c r="AB222" s="472">
        <v>0</v>
      </c>
      <c r="AC222" s="472">
        <v>0.2268177274619351</v>
      </c>
      <c r="AD222" s="472">
        <v>6.0937796441708408E-2</v>
      </c>
      <c r="AE222" s="472">
        <v>1.8603002500000001</v>
      </c>
      <c r="AF222" s="472">
        <v>13.988055965362864</v>
      </c>
      <c r="AG222" s="172">
        <f t="shared" si="11"/>
        <v>8.931823482642292</v>
      </c>
      <c r="AH222" s="253">
        <f t="shared" si="9"/>
        <v>202310</v>
      </c>
      <c r="AI222" t="s">
        <v>1337</v>
      </c>
      <c r="AJ222" t="s">
        <v>1336</v>
      </c>
    </row>
    <row r="223" spans="3:36" ht="15.75" hidden="1">
      <c r="C223" s="235">
        <v>45231</v>
      </c>
      <c r="D223" s="469">
        <v>352519</v>
      </c>
      <c r="E223" s="469">
        <v>0</v>
      </c>
      <c r="F223" s="469">
        <v>23898.12</v>
      </c>
      <c r="G223" s="469">
        <v>3132</v>
      </c>
      <c r="H223" s="469">
        <v>2629</v>
      </c>
      <c r="I223" s="470">
        <v>184600</v>
      </c>
      <c r="J223" s="469">
        <v>182101.44</v>
      </c>
      <c r="K223" s="469">
        <v>50551.983460000003</v>
      </c>
      <c r="L223" s="469">
        <v>4839</v>
      </c>
      <c r="M223" s="469">
        <v>373494</v>
      </c>
      <c r="N223" s="469">
        <v>9007</v>
      </c>
      <c r="O223" s="469">
        <v>6865</v>
      </c>
      <c r="P223" s="469">
        <v>109.56831600000001</v>
      </c>
      <c r="Q223" s="337">
        <v>0</v>
      </c>
      <c r="R223" s="167">
        <f t="shared" si="10"/>
        <v>145864.48765719999</v>
      </c>
      <c r="S223" s="473">
        <v>12.068345476529604</v>
      </c>
      <c r="T223" s="473">
        <v>0</v>
      </c>
      <c r="U223" s="473">
        <v>4.2983233610932557E-3</v>
      </c>
      <c r="V223" s="473">
        <v>1.2E-2</v>
      </c>
      <c r="W223" s="473">
        <v>0.32107999999999998</v>
      </c>
      <c r="X223" s="332">
        <v>11.566000000000001</v>
      </c>
      <c r="Y223" s="473">
        <v>12.531803</v>
      </c>
      <c r="Z223" s="473"/>
      <c r="AA223" s="473"/>
      <c r="AB223" s="473">
        <v>0</v>
      </c>
      <c r="AC223" s="473">
        <v>0.22511871826746369</v>
      </c>
      <c r="AD223" s="473">
        <v>5.9918390925025558E-2</v>
      </c>
      <c r="AE223" s="473">
        <v>1.86150025</v>
      </c>
      <c r="AF223" s="473">
        <v>12.775388152808887</v>
      </c>
      <c r="AG223" s="172">
        <f t="shared" si="11"/>
        <v>9.2385579007175416</v>
      </c>
      <c r="AH223" s="253">
        <f t="shared" si="9"/>
        <v>202311</v>
      </c>
      <c r="AI223" t="s">
        <v>1126</v>
      </c>
      <c r="AJ223" t="s">
        <v>1338</v>
      </c>
    </row>
    <row r="224" spans="3:36" ht="15.75" hidden="1">
      <c r="C224" s="237">
        <v>45232</v>
      </c>
      <c r="D224" s="471">
        <v>349134</v>
      </c>
      <c r="E224" s="471">
        <v>0</v>
      </c>
      <c r="F224" s="471">
        <v>23825.87</v>
      </c>
      <c r="G224" s="471">
        <v>3162</v>
      </c>
      <c r="H224" s="471">
        <v>2626</v>
      </c>
      <c r="I224" s="470">
        <v>184600</v>
      </c>
      <c r="J224" s="471">
        <v>183113.28</v>
      </c>
      <c r="K224" s="471">
        <v>49526.955419999991</v>
      </c>
      <c r="L224" s="471">
        <v>7747</v>
      </c>
      <c r="M224" s="471">
        <v>391541</v>
      </c>
      <c r="N224" s="471">
        <v>9047</v>
      </c>
      <c r="O224" s="471">
        <v>5558</v>
      </c>
      <c r="P224" s="471">
        <v>119.380404</v>
      </c>
      <c r="Q224" s="337">
        <v>0</v>
      </c>
      <c r="R224" s="167">
        <f t="shared" si="10"/>
        <v>146663.99098680002</v>
      </c>
      <c r="S224" s="472">
        <v>11.7208980962602</v>
      </c>
      <c r="T224" s="472">
        <v>0</v>
      </c>
      <c r="U224" s="472">
        <v>4.4643448762130217E-3</v>
      </c>
      <c r="V224" s="472">
        <v>1.2E-2</v>
      </c>
      <c r="W224" s="472">
        <v>0.32004000000000005</v>
      </c>
      <c r="X224" s="332">
        <v>11.566000000000001</v>
      </c>
      <c r="Y224" s="472">
        <v>12.324819999999999</v>
      </c>
      <c r="Z224" s="472"/>
      <c r="AA224" s="472"/>
      <c r="AB224" s="472">
        <v>0</v>
      </c>
      <c r="AC224" s="472">
        <v>0.24748900599467077</v>
      </c>
      <c r="AD224" s="472">
        <v>6.3004924294981973E-2</v>
      </c>
      <c r="AE224" s="472">
        <v>1.8600002499999999</v>
      </c>
      <c r="AF224" s="472">
        <v>12.773802410894046</v>
      </c>
      <c r="AG224" s="172">
        <f t="shared" si="11"/>
        <v>9.1785432701663545</v>
      </c>
      <c r="AH224" s="253">
        <f t="shared" si="9"/>
        <v>202311</v>
      </c>
      <c r="AI224" t="s">
        <v>1330</v>
      </c>
      <c r="AJ224" t="s">
        <v>1339</v>
      </c>
    </row>
    <row r="225" spans="3:36" ht="15.75" hidden="1">
      <c r="C225" s="235">
        <v>45233</v>
      </c>
      <c r="D225" s="469">
        <v>346987</v>
      </c>
      <c r="E225" s="469">
        <v>13528</v>
      </c>
      <c r="F225" s="469">
        <v>23844.39</v>
      </c>
      <c r="G225" s="469">
        <v>3260</v>
      </c>
      <c r="H225" s="469">
        <v>2544</v>
      </c>
      <c r="I225" s="470">
        <v>184600</v>
      </c>
      <c r="J225" s="469">
        <v>180509.28</v>
      </c>
      <c r="K225" s="469">
        <v>49559.028310000002</v>
      </c>
      <c r="L225" s="469">
        <v>7533</v>
      </c>
      <c r="M225" s="469">
        <v>385992</v>
      </c>
      <c r="N225" s="469">
        <v>9018</v>
      </c>
      <c r="O225" s="469">
        <v>630</v>
      </c>
      <c r="P225" s="469">
        <v>163.975086</v>
      </c>
      <c r="Q225" s="337">
        <v>0</v>
      </c>
      <c r="R225" s="167">
        <f t="shared" si="10"/>
        <v>147349.98761620003</v>
      </c>
      <c r="S225" s="473">
        <v>11.779797081668539</v>
      </c>
      <c r="T225" s="473">
        <v>6.8224000000000007E-2</v>
      </c>
      <c r="U225" s="473">
        <v>4.4170274701469921E-3</v>
      </c>
      <c r="V225" s="473">
        <v>1.2E-2</v>
      </c>
      <c r="W225" s="473">
        <v>0.32139999999999996</v>
      </c>
      <c r="X225" s="332">
        <v>11.566000000000001</v>
      </c>
      <c r="Y225" s="473">
        <v>12.42909</v>
      </c>
      <c r="Z225" s="473"/>
      <c r="AA225" s="473"/>
      <c r="AB225" s="473">
        <v>0</v>
      </c>
      <c r="AC225" s="473">
        <v>0.22228703627667795</v>
      </c>
      <c r="AD225" s="473">
        <v>6.357126069313912E-2</v>
      </c>
      <c r="AE225" s="473">
        <v>1.8579002499999999</v>
      </c>
      <c r="AF225" s="473">
        <v>12.774170529552848</v>
      </c>
      <c r="AG225" s="172">
        <f t="shared" si="11"/>
        <v>9.2233332926073199</v>
      </c>
      <c r="AH225" s="253">
        <f t="shared" si="9"/>
        <v>202311</v>
      </c>
      <c r="AJ225" t="s">
        <v>1341</v>
      </c>
    </row>
    <row r="226" spans="3:36" ht="15.75" hidden="1">
      <c r="C226" s="237">
        <v>45234</v>
      </c>
      <c r="D226" s="471">
        <v>343066</v>
      </c>
      <c r="E226" s="471">
        <v>20346</v>
      </c>
      <c r="F226" s="471">
        <v>23841.68</v>
      </c>
      <c r="G226" s="471">
        <v>3314</v>
      </c>
      <c r="H226" s="471">
        <v>2664</v>
      </c>
      <c r="I226" s="470">
        <v>184600</v>
      </c>
      <c r="J226" s="471">
        <v>183485.28</v>
      </c>
      <c r="K226" s="471">
        <v>49102.748530000012</v>
      </c>
      <c r="L226" s="471">
        <v>3723</v>
      </c>
      <c r="M226" s="471">
        <v>382392</v>
      </c>
      <c r="N226" s="471">
        <v>8719</v>
      </c>
      <c r="O226" s="471">
        <v>4200</v>
      </c>
      <c r="P226" s="471">
        <v>168.31504799999999</v>
      </c>
      <c r="Q226" s="337">
        <v>0</v>
      </c>
      <c r="R226" s="167">
        <f t="shared" si="10"/>
        <v>150238.96605409999</v>
      </c>
      <c r="S226" s="472">
        <v>12.268545393278153</v>
      </c>
      <c r="T226" s="472">
        <v>0.17952699999999999</v>
      </c>
      <c r="U226" s="472">
        <v>4.2561029826106407E-3</v>
      </c>
      <c r="V226" s="472">
        <v>1.2E-2</v>
      </c>
      <c r="W226" s="472">
        <v>0.32239999999999996</v>
      </c>
      <c r="X226" s="332">
        <v>11.566000000000001</v>
      </c>
      <c r="Y226" s="472">
        <v>12.445088</v>
      </c>
      <c r="Z226" s="472"/>
      <c r="AA226" s="472"/>
      <c r="AB226" s="472">
        <v>0</v>
      </c>
      <c r="AC226" s="472">
        <v>0.22370287727207083</v>
      </c>
      <c r="AD226" s="472">
        <v>6.47039334894534E-2</v>
      </c>
      <c r="AE226" s="472">
        <v>1.8599002499999999</v>
      </c>
      <c r="AF226" s="472">
        <v>12.774312113652387</v>
      </c>
      <c r="AG226" s="172">
        <f t="shared" si="11"/>
        <v>9.2712549023891686</v>
      </c>
      <c r="AH226" s="253">
        <f t="shared" ref="AH226:AH289" si="12">IF($AK$1&gt;=C226,(YEAR(C226)*100+MONTH(C226)),0)</f>
        <v>202311</v>
      </c>
      <c r="AJ226" t="s">
        <v>1340</v>
      </c>
    </row>
    <row r="227" spans="3:36" ht="15.75" hidden="1">
      <c r="C227" s="235">
        <v>45235</v>
      </c>
      <c r="D227" s="469">
        <v>346156</v>
      </c>
      <c r="E227" s="469">
        <v>15522</v>
      </c>
      <c r="F227" s="469">
        <v>23828.84</v>
      </c>
      <c r="G227" s="469">
        <v>3303</v>
      </c>
      <c r="H227" s="469">
        <v>2578</v>
      </c>
      <c r="I227" s="470">
        <v>184600</v>
      </c>
      <c r="J227" s="469">
        <v>181997.28</v>
      </c>
      <c r="K227" s="469">
        <v>45783.070829999997</v>
      </c>
      <c r="L227" s="469">
        <v>7556</v>
      </c>
      <c r="M227" s="469">
        <v>383974</v>
      </c>
      <c r="N227" s="469">
        <v>8469</v>
      </c>
      <c r="O227" s="469">
        <v>3067</v>
      </c>
      <c r="P227" s="469">
        <v>82.836665999999994</v>
      </c>
      <c r="Q227" s="337">
        <v>0</v>
      </c>
      <c r="R227" s="167">
        <f t="shared" si="10"/>
        <v>148159.40360719999</v>
      </c>
      <c r="S227" s="473">
        <v>12.277323607449587</v>
      </c>
      <c r="T227" s="473">
        <v>0.14122399999999999</v>
      </c>
      <c r="U227" s="473">
        <v>4.4190945980002658E-3</v>
      </c>
      <c r="V227" s="473">
        <v>1.2E-2</v>
      </c>
      <c r="W227" s="473">
        <v>0.31947000000000003</v>
      </c>
      <c r="X227" s="332">
        <v>11.566000000000001</v>
      </c>
      <c r="Y227" s="473">
        <v>12.479483</v>
      </c>
      <c r="Z227" s="473"/>
      <c r="AA227" s="473"/>
      <c r="AB227" s="473">
        <v>0</v>
      </c>
      <c r="AC227" s="473">
        <v>0.22115436348036369</v>
      </c>
      <c r="AD227" s="473">
        <v>6.5638388546412685E-2</v>
      </c>
      <c r="AE227" s="473">
        <v>1.85690025</v>
      </c>
      <c r="AF227" s="473">
        <v>12.774340430472297</v>
      </c>
      <c r="AG227" s="172">
        <f t="shared" si="11"/>
        <v>9.2659909226323816</v>
      </c>
      <c r="AH227" s="253">
        <f t="shared" si="12"/>
        <v>202311</v>
      </c>
      <c r="AI227" t="s">
        <v>1235</v>
      </c>
      <c r="AJ227" t="s">
        <v>1342</v>
      </c>
    </row>
    <row r="228" spans="3:36" ht="15.75" hidden="1">
      <c r="C228" s="237">
        <v>45236</v>
      </c>
      <c r="D228" s="471">
        <v>335107</v>
      </c>
      <c r="E228" s="471">
        <v>5465</v>
      </c>
      <c r="F228" s="471">
        <v>23810.41</v>
      </c>
      <c r="G228" s="471">
        <v>3302</v>
      </c>
      <c r="H228" s="471">
        <v>2587</v>
      </c>
      <c r="I228" s="470">
        <v>177600</v>
      </c>
      <c r="J228" s="471">
        <v>182466</v>
      </c>
      <c r="K228" s="471">
        <v>45899.426350000002</v>
      </c>
      <c r="L228" s="471">
        <v>7572</v>
      </c>
      <c r="M228" s="471">
        <v>383527</v>
      </c>
      <c r="N228" s="471">
        <v>8201</v>
      </c>
      <c r="O228" s="471">
        <v>5018</v>
      </c>
      <c r="P228" s="471">
        <v>146.55233999999999</v>
      </c>
      <c r="Q228" s="337">
        <v>0</v>
      </c>
      <c r="R228" s="167">
        <f t="shared" si="10"/>
        <v>144700.90884049999</v>
      </c>
      <c r="S228" s="472">
        <v>12.286101821621024</v>
      </c>
      <c r="T228" s="472">
        <v>2.8114E-2</v>
      </c>
      <c r="U228" s="472">
        <v>4.2561596162504567E-3</v>
      </c>
      <c r="V228" s="472">
        <v>1.2E-2</v>
      </c>
      <c r="W228" s="472">
        <v>0.31972</v>
      </c>
      <c r="X228" s="332">
        <v>11.566000000000001</v>
      </c>
      <c r="Y228" s="472">
        <v>12.518051999999999</v>
      </c>
      <c r="AB228" s="337">
        <v>0</v>
      </c>
      <c r="AC228" s="472">
        <v>0.2106771401144566</v>
      </c>
      <c r="AD228" s="472">
        <v>6.6572843603371956E-2</v>
      </c>
      <c r="AE228" s="472">
        <v>1.8259002499999999</v>
      </c>
      <c r="AF228" s="472">
        <v>12.717508572917227</v>
      </c>
      <c r="AG228" s="172">
        <f t="shared" si="11"/>
        <v>9.2214277565606899</v>
      </c>
      <c r="AH228" s="253">
        <f t="shared" si="12"/>
        <v>202311</v>
      </c>
      <c r="AI228" t="s">
        <v>1165</v>
      </c>
      <c r="AJ228" t="s">
        <v>1344</v>
      </c>
    </row>
    <row r="229" spans="3:36" ht="15.75" hidden="1">
      <c r="C229" s="235">
        <v>45237</v>
      </c>
      <c r="D229" s="469">
        <v>359390</v>
      </c>
      <c r="E229" s="469">
        <v>0</v>
      </c>
      <c r="F229" s="469">
        <v>23824.46</v>
      </c>
      <c r="G229" s="469">
        <v>3274</v>
      </c>
      <c r="H229" s="469">
        <v>2654</v>
      </c>
      <c r="I229" s="470">
        <v>177600</v>
      </c>
      <c r="J229" s="469">
        <v>180070.32</v>
      </c>
      <c r="K229" s="469">
        <v>46212.100000000006</v>
      </c>
      <c r="L229" s="469">
        <v>3110</v>
      </c>
      <c r="M229" s="469">
        <v>379484</v>
      </c>
      <c r="N229" s="469">
        <v>8409</v>
      </c>
      <c r="O229" s="469">
        <v>491</v>
      </c>
      <c r="P229" s="469">
        <v>153.97430399999999</v>
      </c>
      <c r="Q229" s="337">
        <v>0</v>
      </c>
      <c r="R229" s="167">
        <f t="shared" si="10"/>
        <v>140281.6651368</v>
      </c>
      <c r="S229" s="473">
        <v>12.639495734071078</v>
      </c>
      <c r="T229" s="473">
        <v>0</v>
      </c>
      <c r="U229" s="473">
        <v>4.2533845678994859E-3</v>
      </c>
      <c r="V229" s="473">
        <v>1.2E-2</v>
      </c>
      <c r="W229" s="473">
        <v>0.32069999999999999</v>
      </c>
      <c r="X229" s="332">
        <v>11.566000000000001</v>
      </c>
      <c r="Y229" s="473">
        <v>12.476194</v>
      </c>
      <c r="Z229" s="473"/>
      <c r="AA229" s="473"/>
      <c r="AB229" s="473">
        <v>0</v>
      </c>
      <c r="AC229" s="473">
        <v>0.20303159873933516</v>
      </c>
      <c r="AD229" s="473">
        <v>6.6912645442266244E-2</v>
      </c>
      <c r="AE229" s="473">
        <v>1.76440025</v>
      </c>
      <c r="AF229" s="473">
        <v>12.716942236519071</v>
      </c>
      <c r="AG229" s="172">
        <f t="shared" si="11"/>
        <v>9.1836189874010472</v>
      </c>
      <c r="AH229" s="253">
        <f t="shared" si="12"/>
        <v>202311</v>
      </c>
      <c r="AI229" t="s">
        <v>1345</v>
      </c>
      <c r="AJ229" t="s">
        <v>1346</v>
      </c>
    </row>
    <row r="230" spans="3:36" ht="15.75" hidden="1">
      <c r="C230" s="237">
        <v>45238</v>
      </c>
      <c r="D230" s="471">
        <v>347695</v>
      </c>
      <c r="E230" s="471">
        <v>0</v>
      </c>
      <c r="F230" s="471">
        <v>23785.63</v>
      </c>
      <c r="G230" s="471">
        <v>3245</v>
      </c>
      <c r="H230" s="471">
        <v>2600</v>
      </c>
      <c r="I230" s="470">
        <v>177600</v>
      </c>
      <c r="J230" s="471">
        <v>179363.52000000002</v>
      </c>
      <c r="K230" s="471">
        <v>45777.864310000004</v>
      </c>
      <c r="L230" s="471">
        <v>7608</v>
      </c>
      <c r="M230" s="471">
        <v>378229</v>
      </c>
      <c r="N230" s="471">
        <v>8304</v>
      </c>
      <c r="O230" s="471">
        <v>5111</v>
      </c>
      <c r="P230" s="471">
        <v>160.89308399999999</v>
      </c>
      <c r="Q230" s="337">
        <v>0</v>
      </c>
      <c r="R230" s="167">
        <f t="shared" si="10"/>
        <v>142498.0086653</v>
      </c>
      <c r="S230" s="472">
        <v>12.660733349001973</v>
      </c>
      <c r="T230" s="472">
        <v>0</v>
      </c>
      <c r="U230" s="472">
        <v>4.1404287732870445E-3</v>
      </c>
      <c r="V230" s="472">
        <v>1.2E-2</v>
      </c>
      <c r="W230" s="472">
        <v>0.31925999999999999</v>
      </c>
      <c r="X230" s="332">
        <v>11.566000000000001</v>
      </c>
      <c r="Y230" s="472">
        <v>12.481033999999999</v>
      </c>
      <c r="AB230" s="337">
        <v>0</v>
      </c>
      <c r="AC230" s="472">
        <v>0.17584745162779239</v>
      </c>
      <c r="AD230" s="472">
        <v>6.7224130461252682E-2</v>
      </c>
      <c r="AE230" s="472">
        <v>1.76610025</v>
      </c>
      <c r="AF230" s="472">
        <v>12.716290949661188</v>
      </c>
      <c r="AG230" s="172">
        <f t="shared" si="11"/>
        <v>9.1816375263092063</v>
      </c>
      <c r="AH230" s="253">
        <f t="shared" si="12"/>
        <v>202311</v>
      </c>
      <c r="AI230" t="s">
        <v>1120</v>
      </c>
      <c r="AJ230" t="s">
        <v>1347</v>
      </c>
    </row>
    <row r="231" spans="3:36" ht="15.75" hidden="1">
      <c r="C231" s="235">
        <v>45239</v>
      </c>
      <c r="D231" s="469">
        <v>349205</v>
      </c>
      <c r="E231" s="469">
        <v>453</v>
      </c>
      <c r="F231" s="469">
        <v>23776.13</v>
      </c>
      <c r="G231" s="469">
        <v>3213</v>
      </c>
      <c r="H231" s="469">
        <v>2602</v>
      </c>
      <c r="I231" s="470">
        <v>177600</v>
      </c>
      <c r="J231" s="469">
        <v>179742.96000000002</v>
      </c>
      <c r="K231" s="469">
        <v>47578.488320000004</v>
      </c>
      <c r="L231" s="469">
        <v>23377</v>
      </c>
      <c r="M231" s="469">
        <v>378742</v>
      </c>
      <c r="N231" s="469">
        <v>8124.0000000000009</v>
      </c>
      <c r="O231" s="469">
        <v>576</v>
      </c>
      <c r="P231" s="469">
        <v>156.86761200000001</v>
      </c>
      <c r="Q231" s="337">
        <v>0</v>
      </c>
      <c r="R231" s="167">
        <f t="shared" si="10"/>
        <v>145172.53985540001</v>
      </c>
      <c r="S231" s="473">
        <v>10.977864741878026</v>
      </c>
      <c r="T231" s="473">
        <v>2.6927E-2</v>
      </c>
      <c r="U231" s="473">
        <v>4.2623893166301849E-3</v>
      </c>
      <c r="V231" s="473">
        <v>1.2E-2</v>
      </c>
      <c r="W231" s="473">
        <v>0.3196</v>
      </c>
      <c r="X231" s="332">
        <v>11.566000000000001</v>
      </c>
      <c r="Y231" s="473">
        <v>12.373664000000002</v>
      </c>
      <c r="Z231" s="473"/>
      <c r="AA231" s="473"/>
      <c r="AB231" s="473">
        <v>0</v>
      </c>
      <c r="AC231" s="473">
        <v>0.17584745162779239</v>
      </c>
      <c r="AD231" s="473">
        <v>6.7818783679317679E-2</v>
      </c>
      <c r="AE231" s="473">
        <v>1.7658002500000001</v>
      </c>
      <c r="AF231" s="473">
        <v>10.047883742464187</v>
      </c>
      <c r="AG231" s="172">
        <f t="shared" si="11"/>
        <v>8.6690163599287207</v>
      </c>
      <c r="AH231" s="253">
        <f t="shared" si="12"/>
        <v>202311</v>
      </c>
      <c r="AI231" t="s">
        <v>1235</v>
      </c>
      <c r="AJ231" t="s">
        <v>1356</v>
      </c>
    </row>
    <row r="232" spans="3:36" ht="15.75" hidden="1">
      <c r="C232" s="237">
        <v>45240</v>
      </c>
      <c r="D232" s="471">
        <v>349274</v>
      </c>
      <c r="E232" s="471">
        <v>1239</v>
      </c>
      <c r="F232" s="471">
        <v>23745.82</v>
      </c>
      <c r="G232" s="471">
        <v>3260</v>
      </c>
      <c r="H232" s="471">
        <v>2578</v>
      </c>
      <c r="I232" s="470">
        <v>177600</v>
      </c>
      <c r="J232" s="471">
        <v>181387.2</v>
      </c>
      <c r="K232" s="471">
        <v>47491.805299999993</v>
      </c>
      <c r="L232" s="471">
        <v>13955</v>
      </c>
      <c r="M232" s="471">
        <v>373836</v>
      </c>
      <c r="N232" s="471">
        <v>8309</v>
      </c>
      <c r="O232" s="471">
        <v>5454</v>
      </c>
      <c r="P232" s="471">
        <v>127.87163399999999</v>
      </c>
      <c r="Q232" s="337">
        <v>0</v>
      </c>
      <c r="R232" s="167">
        <f t="shared" si="10"/>
        <v>145259.67271030002</v>
      </c>
      <c r="S232" s="472">
        <v>9.1440674846452019</v>
      </c>
      <c r="T232" s="472">
        <v>2.4983999999999999E-2</v>
      </c>
      <c r="U232" s="472">
        <v>4.2202822054272018E-3</v>
      </c>
      <c r="V232" s="472">
        <v>1.2E-2</v>
      </c>
      <c r="W232" s="472">
        <v>0.31924000000000002</v>
      </c>
      <c r="X232" s="332">
        <v>11.566000000000001</v>
      </c>
      <c r="Y232" s="472">
        <v>12.478367</v>
      </c>
      <c r="Z232" s="472"/>
      <c r="AA232" s="472"/>
      <c r="AB232" s="472">
        <v>0</v>
      </c>
      <c r="AC232" s="472">
        <v>0.17584745162779239</v>
      </c>
      <c r="AD232" s="472">
        <v>6.6912645442266244E-2</v>
      </c>
      <c r="AE232" s="472">
        <v>1.7619002500000001</v>
      </c>
      <c r="AF232" s="472">
        <v>13.9424092516714</v>
      </c>
      <c r="AG232" s="172">
        <f t="shared" si="11"/>
        <v>9.3129162195792059</v>
      </c>
      <c r="AH232" s="253">
        <f t="shared" si="12"/>
        <v>202311</v>
      </c>
      <c r="AJ232" t="s">
        <v>1357</v>
      </c>
    </row>
    <row r="233" spans="3:36" ht="15.75" hidden="1">
      <c r="C233" s="235">
        <v>45241</v>
      </c>
      <c r="D233" s="469">
        <v>357871</v>
      </c>
      <c r="E233" s="469">
        <v>1107</v>
      </c>
      <c r="F233" s="469">
        <v>23705.41</v>
      </c>
      <c r="G233" s="469">
        <v>3249</v>
      </c>
      <c r="H233" s="469">
        <v>2615</v>
      </c>
      <c r="I233" s="470">
        <v>177600</v>
      </c>
      <c r="J233" s="469">
        <v>181193.76</v>
      </c>
      <c r="K233" s="469">
        <v>47467.551400000011</v>
      </c>
      <c r="L233" s="469">
        <v>0</v>
      </c>
      <c r="M233" s="469">
        <v>377176</v>
      </c>
      <c r="N233" s="469">
        <v>8360</v>
      </c>
      <c r="O233" s="469">
        <v>4514</v>
      </c>
      <c r="P233" s="469">
        <v>154.791978</v>
      </c>
      <c r="Q233" s="337">
        <v>0</v>
      </c>
      <c r="R233" s="167">
        <f t="shared" si="10"/>
        <v>141778.15894010002</v>
      </c>
      <c r="S233" s="473">
        <v>6.4304666328752589</v>
      </c>
      <c r="T233" s="473">
        <v>5.1480999999999999E-2</v>
      </c>
      <c r="U233" s="473">
        <v>4.3235253308112481E-3</v>
      </c>
      <c r="V233" s="473">
        <v>1.2E-2</v>
      </c>
      <c r="W233" s="473">
        <v>0.31886999999999999</v>
      </c>
      <c r="X233" s="332">
        <v>11.566000000000001</v>
      </c>
      <c r="Y233" s="473">
        <v>12.468823</v>
      </c>
      <c r="Z233" s="473"/>
      <c r="AA233" s="473"/>
      <c r="AB233" s="473">
        <v>0</v>
      </c>
      <c r="AC233" s="473">
        <v>0.17556428342871383</v>
      </c>
      <c r="AD233" s="473">
        <v>6.7224130461252682E-2</v>
      </c>
      <c r="AE233" s="473">
        <v>1.7554002500000001</v>
      </c>
      <c r="AF233" s="473">
        <v>13.863830076427096</v>
      </c>
      <c r="AG233" s="172">
        <f t="shared" si="11"/>
        <v>9.238417045805253</v>
      </c>
      <c r="AH233" s="253">
        <f t="shared" si="12"/>
        <v>202311</v>
      </c>
    </row>
    <row r="234" spans="3:36" ht="15.75" hidden="1">
      <c r="C234" s="237">
        <v>45242</v>
      </c>
      <c r="D234" s="471">
        <v>352610</v>
      </c>
      <c r="E234" s="471">
        <v>5824</v>
      </c>
      <c r="F234" s="471">
        <v>23680.29</v>
      </c>
      <c r="G234" s="471">
        <v>3236</v>
      </c>
      <c r="H234" s="471">
        <v>2602</v>
      </c>
      <c r="I234" s="470">
        <v>177600</v>
      </c>
      <c r="J234" s="471">
        <v>179408.16</v>
      </c>
      <c r="K234" s="471">
        <v>48000.298519999997</v>
      </c>
      <c r="L234" s="471">
        <v>0</v>
      </c>
      <c r="M234" s="471">
        <v>371814</v>
      </c>
      <c r="N234" s="471">
        <v>8295</v>
      </c>
      <c r="O234" s="471">
        <v>1194</v>
      </c>
      <c r="P234" s="471">
        <v>123.84616200000001</v>
      </c>
      <c r="Q234" s="337">
        <v>0</v>
      </c>
      <c r="R234" s="167">
        <f t="shared" si="10"/>
        <v>140998.51100290002</v>
      </c>
      <c r="S234" s="472">
        <v>6.8107615242377815</v>
      </c>
      <c r="T234" s="472">
        <v>9.9110000000000004E-2</v>
      </c>
      <c r="U234" s="472">
        <v>4.3963845084341651E-3</v>
      </c>
      <c r="V234" s="472">
        <v>1.2E-2</v>
      </c>
      <c r="W234" s="472">
        <v>0.31889999999999996</v>
      </c>
      <c r="X234" s="332">
        <v>11.566000000000001</v>
      </c>
      <c r="Y234" s="472">
        <v>12.373843000000001</v>
      </c>
      <c r="Z234" s="472"/>
      <c r="AA234" s="472"/>
      <c r="AB234" s="472">
        <v>0</v>
      </c>
      <c r="AC234" s="472">
        <v>0.19566922556329233</v>
      </c>
      <c r="AD234" s="472">
        <v>6.7507298660331241E-2</v>
      </c>
      <c r="AE234" s="472">
        <v>1.75810025</v>
      </c>
      <c r="AF234" s="472">
        <v>13.863745125967373</v>
      </c>
      <c r="AG234" s="172">
        <f t="shared" si="11"/>
        <v>9.2389732585563458</v>
      </c>
      <c r="AH234" s="253">
        <f t="shared" si="12"/>
        <v>202311</v>
      </c>
      <c r="AI234" t="s">
        <v>1118</v>
      </c>
      <c r="AJ234" t="s">
        <v>1358</v>
      </c>
    </row>
    <row r="235" spans="3:36" ht="15.75" hidden="1">
      <c r="C235" s="235">
        <v>45243</v>
      </c>
      <c r="D235" s="469">
        <v>339802</v>
      </c>
      <c r="E235" s="469">
        <v>11566</v>
      </c>
      <c r="F235" s="469">
        <v>23658.92</v>
      </c>
      <c r="G235" s="469">
        <v>3230</v>
      </c>
      <c r="H235" s="469">
        <v>2570</v>
      </c>
      <c r="I235" s="470">
        <v>177600</v>
      </c>
      <c r="J235" s="469">
        <v>178969.2</v>
      </c>
      <c r="K235" s="469">
        <v>48564.966569999997</v>
      </c>
      <c r="L235" s="469">
        <v>4598</v>
      </c>
      <c r="M235" s="469">
        <v>387432</v>
      </c>
      <c r="N235" s="469">
        <v>8326</v>
      </c>
      <c r="O235" s="469">
        <v>0</v>
      </c>
      <c r="P235" s="469">
        <v>102.77533199999999</v>
      </c>
      <c r="Q235" s="337">
        <v>0</v>
      </c>
      <c r="R235" s="167">
        <f t="shared" si="10"/>
        <v>143480.38024189998</v>
      </c>
      <c r="S235" s="473">
        <v>6.7549773890193023</v>
      </c>
      <c r="T235" s="473">
        <v>9.9803000000000003E-2</v>
      </c>
      <c r="U235" s="473">
        <v>4.4160363814502186E-3</v>
      </c>
      <c r="V235" s="473">
        <v>1.2E-2</v>
      </c>
      <c r="W235" s="473">
        <v>0.31819999999999998</v>
      </c>
      <c r="X235" s="332">
        <v>11.566000000000001</v>
      </c>
      <c r="Y235" s="473">
        <v>12.343467</v>
      </c>
      <c r="Z235" s="473"/>
      <c r="AA235" s="473">
        <v>0</v>
      </c>
      <c r="AB235" s="473">
        <v>0</v>
      </c>
      <c r="AC235" s="473">
        <v>0.22370287727207083</v>
      </c>
      <c r="AD235" s="473">
        <v>6.4364131650559112E-2</v>
      </c>
      <c r="AE235" s="473">
        <v>1.76280025</v>
      </c>
      <c r="AF235" s="473">
        <v>14.152463421747884</v>
      </c>
      <c r="AG235" s="172">
        <f t="shared" si="11"/>
        <v>9.2823112965106525</v>
      </c>
      <c r="AH235" s="253">
        <f t="shared" si="12"/>
        <v>202311</v>
      </c>
      <c r="AI235" t="s">
        <v>1102</v>
      </c>
      <c r="AJ235" t="s">
        <v>1359</v>
      </c>
    </row>
    <row r="236" spans="3:36" ht="409.5" hidden="1">
      <c r="C236" s="237">
        <v>45244</v>
      </c>
      <c r="D236" s="471">
        <v>334058</v>
      </c>
      <c r="E236" s="471">
        <v>28208</v>
      </c>
      <c r="F236" s="471">
        <v>24024.52</v>
      </c>
      <c r="G236" s="471">
        <v>3237</v>
      </c>
      <c r="H236" s="471">
        <v>2606</v>
      </c>
      <c r="I236" s="470">
        <v>177600</v>
      </c>
      <c r="J236" s="471">
        <v>179207.28</v>
      </c>
      <c r="K236" s="471">
        <v>49190.884559999999</v>
      </c>
      <c r="L236" s="471">
        <v>3712</v>
      </c>
      <c r="M236" s="471">
        <v>384322</v>
      </c>
      <c r="N236" s="471">
        <v>8526</v>
      </c>
      <c r="O236" s="471">
        <v>6412</v>
      </c>
      <c r="P236" s="471">
        <v>154.54038599999998</v>
      </c>
      <c r="Q236" s="337">
        <v>0</v>
      </c>
      <c r="R236" s="167">
        <f t="shared" si="10"/>
        <v>150626.78091369997</v>
      </c>
      <c r="S236" s="472">
        <v>6.465579489561005</v>
      </c>
      <c r="T236" s="472">
        <v>0.216778</v>
      </c>
      <c r="U236" s="472">
        <v>4.4660438854074933E-3</v>
      </c>
      <c r="V236" s="472">
        <v>1.2E-2</v>
      </c>
      <c r="W236" s="472">
        <v>0.31830999999999998</v>
      </c>
      <c r="X236" s="332">
        <v>11.566000000000001</v>
      </c>
      <c r="Y236" s="472">
        <v>12.532396</v>
      </c>
      <c r="Z236" s="472"/>
      <c r="AA236" s="472"/>
      <c r="AB236" s="472">
        <v>0</v>
      </c>
      <c r="AC236" s="472">
        <v>0.23333059604074224</v>
      </c>
      <c r="AD236" s="472">
        <v>5.8927302228250551E-2</v>
      </c>
      <c r="AE236" s="472">
        <v>1.7577002500000001</v>
      </c>
      <c r="AF236" s="472">
        <v>14.296539401439059</v>
      </c>
      <c r="AG236" s="172">
        <f t="shared" si="11"/>
        <v>9.3775582341290686</v>
      </c>
      <c r="AH236" s="253">
        <f t="shared" si="12"/>
        <v>202311</v>
      </c>
      <c r="AI236" t="s">
        <v>1104</v>
      </c>
      <c r="AJ236" s="301" t="s">
        <v>1360</v>
      </c>
    </row>
    <row r="237" spans="3:36" ht="15.75" hidden="1">
      <c r="C237" s="235">
        <v>45245</v>
      </c>
      <c r="D237" s="469">
        <v>331710</v>
      </c>
      <c r="E237" s="469">
        <v>31440</v>
      </c>
      <c r="F237" s="469">
        <v>7509.5199999999986</v>
      </c>
      <c r="G237" s="469">
        <v>3161</v>
      </c>
      <c r="H237" s="469">
        <v>2596</v>
      </c>
      <c r="I237" s="470">
        <v>177600</v>
      </c>
      <c r="J237" s="469">
        <v>178232.64</v>
      </c>
      <c r="K237" s="469">
        <v>49374.532630000002</v>
      </c>
      <c r="L237" s="469">
        <v>4517</v>
      </c>
      <c r="M237" s="469">
        <v>385000</v>
      </c>
      <c r="N237" s="469">
        <v>8520</v>
      </c>
      <c r="O237" s="469">
        <v>1076</v>
      </c>
      <c r="P237" s="469">
        <v>156.42732599999999</v>
      </c>
      <c r="Q237" s="337">
        <v>0</v>
      </c>
      <c r="R237" s="167">
        <f t="shared" si="10"/>
        <v>137716.30310420002</v>
      </c>
      <c r="S237" s="472">
        <v>7.4116444426825119</v>
      </c>
      <c r="T237" s="472">
        <v>0.28812300000000002</v>
      </c>
      <c r="U237" s="472">
        <v>2.5151282610357721E-3</v>
      </c>
      <c r="V237" s="472">
        <v>1.2E-2</v>
      </c>
      <c r="W237" s="472">
        <v>0.31983</v>
      </c>
      <c r="X237" s="332">
        <v>11.566000000000001</v>
      </c>
      <c r="Y237" s="472">
        <v>12.415362</v>
      </c>
      <c r="Z237" s="472"/>
      <c r="AA237" s="472"/>
      <c r="AB237" s="472">
        <v>0</v>
      </c>
      <c r="AC237" s="472">
        <v>0.25994840675412784</v>
      </c>
      <c r="AD237" s="472">
        <v>6.2183736517654124E-2</v>
      </c>
      <c r="AE237" s="472">
        <v>1.7609002499999999</v>
      </c>
      <c r="AF237" s="472">
        <v>14.728116053654711</v>
      </c>
      <c r="AG237" s="172">
        <f t="shared" si="11"/>
        <v>9.4674395673800085</v>
      </c>
      <c r="AH237" s="253">
        <f t="shared" si="12"/>
        <v>202311</v>
      </c>
      <c r="AI237" t="s">
        <v>1102</v>
      </c>
      <c r="AJ237" t="s">
        <v>1361</v>
      </c>
    </row>
    <row r="238" spans="3:36" ht="18" hidden="1" customHeight="1">
      <c r="C238" s="237">
        <v>45246</v>
      </c>
      <c r="D238" s="471">
        <v>359593</v>
      </c>
      <c r="E238" s="471">
        <v>28000</v>
      </c>
      <c r="F238" s="471">
        <v>3103.5</v>
      </c>
      <c r="G238" s="471">
        <v>3207</v>
      </c>
      <c r="H238" s="471">
        <v>2577</v>
      </c>
      <c r="I238" s="470">
        <v>177600</v>
      </c>
      <c r="J238" s="471">
        <v>180085.2</v>
      </c>
      <c r="K238" s="471">
        <v>48144.568070000001</v>
      </c>
      <c r="L238" s="471">
        <v>4569</v>
      </c>
      <c r="M238" s="471">
        <v>388766</v>
      </c>
      <c r="N238" s="471">
        <v>8457</v>
      </c>
      <c r="O238" s="471">
        <v>3702</v>
      </c>
      <c r="P238" s="471">
        <v>158.62875599999998</v>
      </c>
      <c r="Q238" s="337">
        <v>0</v>
      </c>
      <c r="R238" s="167">
        <f t="shared" si="10"/>
        <v>135733.20650769997</v>
      </c>
      <c r="S238" s="473">
        <v>8.8642973039555777</v>
      </c>
      <c r="T238" s="473">
        <v>0.26603900000000003</v>
      </c>
      <c r="U238" s="473">
        <v>1.7754929250425459E-3</v>
      </c>
      <c r="V238" s="473">
        <v>1.2E-2</v>
      </c>
      <c r="W238" s="473">
        <v>0.31949</v>
      </c>
      <c r="X238" s="332">
        <v>11.566000000000001</v>
      </c>
      <c r="Y238" s="473">
        <v>12.243242</v>
      </c>
      <c r="Z238" s="473"/>
      <c r="AA238" s="473"/>
      <c r="AB238" s="473">
        <v>0</v>
      </c>
      <c r="AC238" s="473">
        <v>0.23531277343429224</v>
      </c>
      <c r="AD238" s="473">
        <v>5.8417599469909133E-2</v>
      </c>
      <c r="AE238" s="473">
        <v>1.91400025</v>
      </c>
      <c r="AF238" s="473">
        <v>14.728059420014892</v>
      </c>
      <c r="AG238" s="172">
        <f t="shared" si="11"/>
        <v>9.5140932215371716</v>
      </c>
      <c r="AH238" s="253">
        <f t="shared" si="12"/>
        <v>202311</v>
      </c>
      <c r="AI238" t="s">
        <v>1363</v>
      </c>
      <c r="AJ238" t="s">
        <v>1364</v>
      </c>
    </row>
    <row r="239" spans="3:36" ht="21.75" hidden="1" customHeight="1">
      <c r="C239" s="235">
        <v>45247</v>
      </c>
      <c r="D239" s="469">
        <v>359636</v>
      </c>
      <c r="E239" s="469">
        <v>22321</v>
      </c>
      <c r="F239" s="469">
        <v>24324.19</v>
      </c>
      <c r="G239" s="469">
        <v>3276</v>
      </c>
      <c r="H239" s="469">
        <v>2578</v>
      </c>
      <c r="I239" s="470">
        <v>177600</v>
      </c>
      <c r="J239" s="469">
        <v>180486.96000000002</v>
      </c>
      <c r="K239" s="469">
        <v>50022.910299999996</v>
      </c>
      <c r="L239" s="469">
        <v>0</v>
      </c>
      <c r="M239" s="469">
        <v>288265</v>
      </c>
      <c r="N239" s="469">
        <v>8628</v>
      </c>
      <c r="O239" s="469">
        <v>731</v>
      </c>
      <c r="P239" s="469">
        <v>164.16378</v>
      </c>
      <c r="Q239" s="337">
        <v>0</v>
      </c>
      <c r="R239" s="167">
        <f t="shared" si="10"/>
        <v>143375.48547599997</v>
      </c>
      <c r="S239" s="472">
        <v>8.8178577193066907</v>
      </c>
      <c r="T239" s="472">
        <v>0.238232</v>
      </c>
      <c r="U239" s="472">
        <v>3.3557980104602331E-3</v>
      </c>
      <c r="V239" s="472">
        <v>1.2E-2</v>
      </c>
      <c r="W239" s="472">
        <v>0.32012000000000002</v>
      </c>
      <c r="X239" s="332">
        <v>11.566000000000001</v>
      </c>
      <c r="Y239" s="472">
        <v>12.283235000000001</v>
      </c>
      <c r="Z239" s="472"/>
      <c r="AA239" s="472"/>
      <c r="AB239" s="472">
        <v>0</v>
      </c>
      <c r="AC239" s="472">
        <v>0.2395602964204708</v>
      </c>
      <c r="AD239" s="472">
        <v>5.816274809073841E-2</v>
      </c>
      <c r="AE239" s="472">
        <v>1.9588002499999999</v>
      </c>
      <c r="AF239" s="472">
        <v>14.051995344714808</v>
      </c>
      <c r="AG239" s="172">
        <f t="shared" si="11"/>
        <v>9.423241364867371</v>
      </c>
      <c r="AH239" s="253">
        <f t="shared" si="12"/>
        <v>202311</v>
      </c>
    </row>
    <row r="240" spans="3:36" ht="21.75" hidden="1" customHeight="1">
      <c r="C240" s="237">
        <v>45248</v>
      </c>
      <c r="D240" s="471">
        <v>353158</v>
      </c>
      <c r="E240" s="471">
        <v>19767</v>
      </c>
      <c r="F240" s="471">
        <v>24322.6</v>
      </c>
      <c r="G240" s="471">
        <v>3357</v>
      </c>
      <c r="H240" s="471">
        <v>2547</v>
      </c>
      <c r="I240" s="470">
        <v>177600</v>
      </c>
      <c r="J240" s="471">
        <v>180955.68000000002</v>
      </c>
      <c r="K240" s="471">
        <v>50227.446769999995</v>
      </c>
      <c r="L240" s="471">
        <v>0</v>
      </c>
      <c r="M240" s="471">
        <v>358355</v>
      </c>
      <c r="N240" s="471">
        <v>8637</v>
      </c>
      <c r="O240" s="471">
        <v>3927</v>
      </c>
      <c r="P240" s="471">
        <v>157.30789799999999</v>
      </c>
      <c r="Q240" s="337">
        <v>0</v>
      </c>
      <c r="R240" s="167">
        <f t="shared" si="10"/>
        <v>146797.5568466</v>
      </c>
      <c r="S240" s="473">
        <v>7.7573928137574413</v>
      </c>
      <c r="T240" s="473">
        <v>0.22695299999999999</v>
      </c>
      <c r="U240" s="473">
        <v>4.1112058151421367E-3</v>
      </c>
      <c r="V240" s="473">
        <v>1.2E-2</v>
      </c>
      <c r="W240" s="473">
        <v>0.31886999999999999</v>
      </c>
      <c r="X240" s="332">
        <v>11.566000000000001</v>
      </c>
      <c r="Y240" s="473">
        <v>12.376384</v>
      </c>
      <c r="Z240" s="473"/>
      <c r="AA240" s="473"/>
      <c r="AB240" s="473">
        <v>0</v>
      </c>
      <c r="AC240" s="473">
        <v>0.23842762362415651</v>
      </c>
      <c r="AD240" s="473">
        <v>5.5755818398570564E-2</v>
      </c>
      <c r="AE240" s="473">
        <v>1.8819002499999999</v>
      </c>
      <c r="AF240" s="473">
        <v>14.728597439593143</v>
      </c>
      <c r="AG240" s="172">
        <f t="shared" si="11"/>
        <v>9.4985268112573173</v>
      </c>
      <c r="AH240" s="253">
        <f t="shared" si="12"/>
        <v>202311</v>
      </c>
      <c r="AI240" t="s">
        <v>1365</v>
      </c>
      <c r="AJ240" t="s">
        <v>1366</v>
      </c>
    </row>
    <row r="241" spans="3:36" ht="18.75" hidden="1" customHeight="1">
      <c r="C241" s="235">
        <v>45249</v>
      </c>
      <c r="D241" s="469">
        <v>348312</v>
      </c>
      <c r="E241" s="469">
        <v>23050</v>
      </c>
      <c r="F241" s="469">
        <v>24229.5</v>
      </c>
      <c r="G241" s="469">
        <v>3435</v>
      </c>
      <c r="H241" s="469">
        <v>2597</v>
      </c>
      <c r="I241" s="470">
        <v>177600</v>
      </c>
      <c r="J241" s="469">
        <v>181722</v>
      </c>
      <c r="K241" s="469">
        <v>49840.016639999994</v>
      </c>
      <c r="L241" s="469">
        <v>0</v>
      </c>
      <c r="M241" s="469">
        <v>336587</v>
      </c>
      <c r="N241" s="469">
        <v>8634</v>
      </c>
      <c r="O241" s="469">
        <v>4986</v>
      </c>
      <c r="P241" s="469">
        <v>115.983912</v>
      </c>
      <c r="Q241" s="337">
        <v>0</v>
      </c>
      <c r="R241" s="167">
        <f t="shared" si="10"/>
        <v>147232.1941204</v>
      </c>
      <c r="S241" s="472">
        <v>6.6428427821841867</v>
      </c>
      <c r="T241" s="472">
        <v>0.233156</v>
      </c>
      <c r="U241" s="472">
        <v>4.1796475688594265E-3</v>
      </c>
      <c r="V241" s="472">
        <v>1.2E-2</v>
      </c>
      <c r="W241" s="472">
        <v>0.31847000000000003</v>
      </c>
      <c r="X241" s="332">
        <v>11.566000000000001</v>
      </c>
      <c r="Y241" s="472">
        <v>12.304748</v>
      </c>
      <c r="Z241" s="472"/>
      <c r="AA241" s="472"/>
      <c r="AB241" s="472">
        <v>0</v>
      </c>
      <c r="AC241" s="472">
        <v>0.24040980101770651</v>
      </c>
      <c r="AD241" s="472">
        <v>5.9521955446315548E-2</v>
      </c>
      <c r="AE241" s="472">
        <v>1.8538002499999999</v>
      </c>
      <c r="AF241" s="472">
        <v>14.727747934995907</v>
      </c>
      <c r="AG241" s="172">
        <f t="shared" si="11"/>
        <v>9.444413143306436</v>
      </c>
      <c r="AH241" s="253">
        <f t="shared" si="12"/>
        <v>202311</v>
      </c>
      <c r="AI241" t="s">
        <v>1076</v>
      </c>
      <c r="AJ241" t="s">
        <v>1367</v>
      </c>
    </row>
    <row r="242" spans="3:36" ht="15.75" hidden="1" customHeight="1">
      <c r="C242" s="237">
        <v>45250</v>
      </c>
      <c r="D242" s="471">
        <v>367715</v>
      </c>
      <c r="E242" s="471">
        <v>27113</v>
      </c>
      <c r="F242" s="471">
        <v>24224.54</v>
      </c>
      <c r="G242" s="471">
        <v>3491</v>
      </c>
      <c r="H242" s="471">
        <v>2569</v>
      </c>
      <c r="I242" s="470">
        <v>177600</v>
      </c>
      <c r="J242" s="471">
        <v>182361.84</v>
      </c>
      <c r="K242" s="471">
        <v>48997.235439999997</v>
      </c>
      <c r="L242" s="471">
        <v>39695</v>
      </c>
      <c r="M242" s="471">
        <v>380307</v>
      </c>
      <c r="N242" s="471">
        <v>8600</v>
      </c>
      <c r="O242" s="471">
        <v>4731</v>
      </c>
      <c r="P242" s="471">
        <v>168.00055799999998</v>
      </c>
      <c r="Q242" s="337">
        <v>0</v>
      </c>
      <c r="R242" s="167">
        <f t="shared" si="10"/>
        <v>159972.49076109999</v>
      </c>
      <c r="S242" s="473">
        <v>6.9642386881383684</v>
      </c>
      <c r="T242" s="473">
        <v>0.26003100000000001</v>
      </c>
      <c r="U242" s="473">
        <v>4.1457806522496301E-3</v>
      </c>
      <c r="V242" s="473">
        <v>1.2E-2</v>
      </c>
      <c r="W242" s="473">
        <v>0.31604000000000004</v>
      </c>
      <c r="X242" s="332">
        <v>11.566000000000001</v>
      </c>
      <c r="Y242" s="473">
        <v>12.403184</v>
      </c>
      <c r="Z242" s="473"/>
      <c r="AA242" s="473"/>
      <c r="AB242" s="473">
        <v>0</v>
      </c>
      <c r="AC242" s="473">
        <v>0.2395602964204708</v>
      </c>
      <c r="AD242" s="473">
        <v>6.1249281460694832E-2</v>
      </c>
      <c r="AE242" s="473">
        <v>1.8646002500000001</v>
      </c>
      <c r="AF242" s="473">
        <v>14.72732318269729</v>
      </c>
      <c r="AG242" s="172">
        <f t="shared" si="11"/>
        <v>9.4876185689016399</v>
      </c>
      <c r="AH242" s="253">
        <f t="shared" si="12"/>
        <v>202311</v>
      </c>
      <c r="AI242" t="s">
        <v>135</v>
      </c>
      <c r="AJ242" t="s">
        <v>1368</v>
      </c>
    </row>
    <row r="243" spans="3:36" ht="14.25" hidden="1" customHeight="1">
      <c r="C243" s="235">
        <v>45251</v>
      </c>
      <c r="D243" s="469">
        <v>345378</v>
      </c>
      <c r="E243" s="469">
        <v>30226</v>
      </c>
      <c r="F243" s="469">
        <v>24210.14</v>
      </c>
      <c r="G243" s="469">
        <v>3533</v>
      </c>
      <c r="H243" s="469">
        <v>2555</v>
      </c>
      <c r="I243" s="470">
        <v>177600</v>
      </c>
      <c r="J243" s="469">
        <v>182681.76</v>
      </c>
      <c r="K243" s="469">
        <v>49730.521440000004</v>
      </c>
      <c r="L243" s="469">
        <v>16533</v>
      </c>
      <c r="M243" s="469">
        <v>378540</v>
      </c>
      <c r="N243" s="469">
        <v>7412</v>
      </c>
      <c r="O243" s="469">
        <v>428</v>
      </c>
      <c r="P243" s="469">
        <v>112.52452199999999</v>
      </c>
      <c r="Q243" s="337">
        <v>0</v>
      </c>
      <c r="R243" s="167">
        <f t="shared" si="10"/>
        <v>153025.08004490004</v>
      </c>
      <c r="S243" s="472">
        <v>8.5870756370576586</v>
      </c>
      <c r="T243" s="472">
        <v>0.31503799999999998</v>
      </c>
      <c r="U243" s="472">
        <v>4.1888788521493884E-3</v>
      </c>
      <c r="V243" s="472">
        <v>1.2E-2</v>
      </c>
      <c r="W243" s="472">
        <v>0.31429000000000001</v>
      </c>
      <c r="X243" s="332">
        <v>11.566000000000001</v>
      </c>
      <c r="Y243" s="472">
        <v>12.342274</v>
      </c>
      <c r="Z243" s="472"/>
      <c r="AA243" s="472">
        <v>0</v>
      </c>
      <c r="AB243" s="472">
        <v>0</v>
      </c>
      <c r="AC243" s="472">
        <v>0.24154247381402075</v>
      </c>
      <c r="AD243" s="472">
        <v>6.3118191574613403E-2</v>
      </c>
      <c r="AE243" s="472">
        <v>1.8606002500000001</v>
      </c>
      <c r="AF243" s="472">
        <v>14.726728529479226</v>
      </c>
      <c r="AG243" s="172">
        <f t="shared" si="11"/>
        <v>9.5214660736733947</v>
      </c>
      <c r="AH243" s="253">
        <f t="shared" si="12"/>
        <v>202311</v>
      </c>
      <c r="AI243" t="s">
        <v>1102</v>
      </c>
      <c r="AJ243" t="s">
        <v>1369</v>
      </c>
    </row>
    <row r="244" spans="3:36" ht="16.5" hidden="1" customHeight="1">
      <c r="C244" s="237">
        <v>45252</v>
      </c>
      <c r="D244" s="471">
        <v>349008</v>
      </c>
      <c r="E244" s="471">
        <v>29358</v>
      </c>
      <c r="F244" s="471">
        <v>24160.95</v>
      </c>
      <c r="G244" s="471">
        <v>3501</v>
      </c>
      <c r="H244" s="471">
        <v>2496</v>
      </c>
      <c r="I244" s="470">
        <v>177600</v>
      </c>
      <c r="J244" s="471">
        <v>183016.56</v>
      </c>
      <c r="K244" s="471">
        <v>50377.14718</v>
      </c>
      <c r="L244" s="471">
        <v>0</v>
      </c>
      <c r="M244" s="471">
        <v>405576</v>
      </c>
      <c r="N244" s="471">
        <v>8608</v>
      </c>
      <c r="O244" s="471">
        <v>7717</v>
      </c>
      <c r="P244" s="471">
        <v>176.17729800000001</v>
      </c>
      <c r="Q244" s="337">
        <v>0</v>
      </c>
      <c r="R244" s="167">
        <f t="shared" si="10"/>
        <v>153182.50197909999</v>
      </c>
      <c r="S244" s="473">
        <v>10.942468716993204</v>
      </c>
      <c r="T244" s="473">
        <v>0.31541999999999998</v>
      </c>
      <c r="U244" s="473">
        <v>4.2436152650312756E-3</v>
      </c>
      <c r="V244" s="473">
        <v>1.2E-2</v>
      </c>
      <c r="W244" s="473">
        <v>0.27868999999999999</v>
      </c>
      <c r="X244" s="332">
        <v>11.566000000000001</v>
      </c>
      <c r="Y244" s="473">
        <v>12.166958000000001</v>
      </c>
      <c r="Z244" s="473"/>
      <c r="AA244" s="473"/>
      <c r="AB244" s="473">
        <v>0</v>
      </c>
      <c r="AC244" s="473">
        <v>0.2375781190269208</v>
      </c>
      <c r="AD244" s="473">
        <v>6.4788883949176965E-2</v>
      </c>
      <c r="AE244" s="473">
        <v>1.8565002500000001</v>
      </c>
      <c r="AF244" s="473">
        <v>14.726332094000515</v>
      </c>
      <c r="AG244" s="172">
        <f t="shared" si="11"/>
        <v>9.4931547532007858</v>
      </c>
      <c r="AH244" s="253">
        <f t="shared" si="12"/>
        <v>202311</v>
      </c>
      <c r="AI244" t="s">
        <v>1102</v>
      </c>
      <c r="AJ244" t="s">
        <v>1370</v>
      </c>
    </row>
    <row r="245" spans="3:36" ht="15" hidden="1" customHeight="1">
      <c r="C245" s="235">
        <v>45253</v>
      </c>
      <c r="D245" s="469">
        <v>351706</v>
      </c>
      <c r="E245" s="469">
        <v>29899</v>
      </c>
      <c r="F245" s="469">
        <v>24145.42</v>
      </c>
      <c r="G245" s="469">
        <v>3550</v>
      </c>
      <c r="H245" s="469">
        <v>2528</v>
      </c>
      <c r="I245" s="470">
        <v>177600</v>
      </c>
      <c r="J245" s="469">
        <v>183351.36000000002</v>
      </c>
      <c r="K245" s="469">
        <v>48801.530939999997</v>
      </c>
      <c r="L245" s="469">
        <v>0</v>
      </c>
      <c r="M245" s="469">
        <v>411440</v>
      </c>
      <c r="N245" s="469">
        <v>8711</v>
      </c>
      <c r="O245" s="469">
        <v>3188</v>
      </c>
      <c r="P245" s="469">
        <v>100.88839199999998</v>
      </c>
      <c r="Q245" s="337">
        <v>0</v>
      </c>
      <c r="R245" s="167">
        <f t="shared" si="10"/>
        <v>151530.07871140001</v>
      </c>
      <c r="S245" s="472">
        <v>8.6992102438927663</v>
      </c>
      <c r="T245" s="472">
        <v>0.32925599999999999</v>
      </c>
      <c r="U245" s="472">
        <v>4.1915123164008184E-3</v>
      </c>
      <c r="V245" s="472">
        <v>1.2E-2</v>
      </c>
      <c r="W245" s="472">
        <v>0.32586999999999999</v>
      </c>
      <c r="X245" s="332">
        <v>11.566000000000001</v>
      </c>
      <c r="Y245" s="472">
        <v>12.366323</v>
      </c>
      <c r="Z245" s="472"/>
      <c r="AA245" s="472"/>
      <c r="AB245" s="472">
        <v>0</v>
      </c>
      <c r="AC245" s="472">
        <v>0.24862167879098501</v>
      </c>
      <c r="AD245" s="472">
        <v>6.6657794063095535E-2</v>
      </c>
      <c r="AE245" s="472">
        <v>1.8520002499999999</v>
      </c>
      <c r="AF245" s="472">
        <v>14.664856277980556</v>
      </c>
      <c r="AG245" s="172">
        <f t="shared" si="11"/>
        <v>9.5335360973043457</v>
      </c>
      <c r="AH245" s="253">
        <f t="shared" si="12"/>
        <v>202311</v>
      </c>
    </row>
    <row r="246" spans="3:36" ht="15.75" hidden="1">
      <c r="C246" s="237">
        <v>45254</v>
      </c>
      <c r="D246" s="471">
        <v>349095</v>
      </c>
      <c r="E246" s="471">
        <v>29509</v>
      </c>
      <c r="F246" s="471">
        <v>24093.09</v>
      </c>
      <c r="G246" s="471">
        <v>3541</v>
      </c>
      <c r="H246" s="471">
        <v>2540</v>
      </c>
      <c r="I246" s="470">
        <v>177600</v>
      </c>
      <c r="J246" s="471">
        <v>182763.6</v>
      </c>
      <c r="K246" s="471">
        <v>49471.917509999999</v>
      </c>
      <c r="L246" s="471">
        <v>0</v>
      </c>
      <c r="M246" s="471">
        <v>416284</v>
      </c>
      <c r="N246" s="471">
        <v>8603</v>
      </c>
      <c r="O246" s="471">
        <v>1178</v>
      </c>
      <c r="P246" s="471">
        <v>141.45760199999998</v>
      </c>
      <c r="Q246" s="337">
        <v>0</v>
      </c>
      <c r="R246" s="167">
        <f t="shared" si="10"/>
        <v>150746.24879839996</v>
      </c>
      <c r="S246" s="473">
        <v>8.2608658717191421</v>
      </c>
      <c r="T246" s="473">
        <v>0.33073900000000001</v>
      </c>
      <c r="U246" s="473">
        <v>4.0860321622440514E-3</v>
      </c>
      <c r="V246" s="473">
        <v>1.2E-2</v>
      </c>
      <c r="W246" s="473">
        <v>0.32318999999999998</v>
      </c>
      <c r="X246" s="332">
        <v>11.566000000000001</v>
      </c>
      <c r="Y246" s="473">
        <v>12.301176999999999</v>
      </c>
      <c r="Z246" s="473"/>
      <c r="AA246" s="473"/>
      <c r="AB246" s="473">
        <v>0</v>
      </c>
      <c r="AC246" s="473">
        <v>0.25060385618453501</v>
      </c>
      <c r="AD246" s="473">
        <v>6.6572843603371956E-2</v>
      </c>
      <c r="AE246" s="473">
        <v>1.84900025</v>
      </c>
      <c r="AF246" s="473">
        <v>14.866103917065695</v>
      </c>
      <c r="AG246" s="172">
        <f t="shared" si="11"/>
        <v>9.5371651141730993</v>
      </c>
      <c r="AH246" s="253">
        <f t="shared" si="12"/>
        <v>202311</v>
      </c>
    </row>
    <row r="247" spans="3:36" ht="17.25" hidden="1" customHeight="1">
      <c r="C247" s="235">
        <v>45255</v>
      </c>
      <c r="D247" s="469">
        <v>348685</v>
      </c>
      <c r="E247" s="469">
        <v>34063</v>
      </c>
      <c r="F247" s="469">
        <v>24081.67</v>
      </c>
      <c r="G247" s="469">
        <v>3510</v>
      </c>
      <c r="H247" s="469">
        <v>2515</v>
      </c>
      <c r="I247" s="470">
        <v>177600</v>
      </c>
      <c r="J247" s="469">
        <v>184125.12</v>
      </c>
      <c r="K247" s="469">
        <v>48030.019130000001</v>
      </c>
      <c r="L247" s="469">
        <v>0</v>
      </c>
      <c r="M247" s="469">
        <v>405074</v>
      </c>
      <c r="N247" s="469">
        <v>8637</v>
      </c>
      <c r="O247" s="469">
        <v>4205</v>
      </c>
      <c r="P247" s="469">
        <v>123.84616200000001</v>
      </c>
      <c r="Q247" s="337">
        <v>0</v>
      </c>
      <c r="R247" s="167">
        <f t="shared" si="10"/>
        <v>152669.59925539998</v>
      </c>
      <c r="S247" s="472">
        <v>8.5270439788529959</v>
      </c>
      <c r="T247" s="472">
        <v>0.31162600000000001</v>
      </c>
      <c r="U247" s="472">
        <v>4.0736010783045023E-3</v>
      </c>
      <c r="V247" s="472">
        <v>1.2E-2</v>
      </c>
      <c r="W247" s="472">
        <v>0.31507000000000002</v>
      </c>
      <c r="X247" s="332">
        <v>11.566000000000001</v>
      </c>
      <c r="Y247" s="472">
        <v>12.286322999999999</v>
      </c>
      <c r="Z247" s="472"/>
      <c r="AA247" s="472"/>
      <c r="AB247" s="472">
        <v>0</v>
      </c>
      <c r="AC247" s="472">
        <v>0.23672861442968507</v>
      </c>
      <c r="AD247" s="472">
        <v>6.6884328622358394E-2</v>
      </c>
      <c r="AE247" s="472">
        <v>1.85140025</v>
      </c>
      <c r="AF247" s="472">
        <v>15.010293164036504</v>
      </c>
      <c r="AG247" s="172">
        <f t="shared" si="11"/>
        <v>9.5503530660887321</v>
      </c>
      <c r="AH247" s="253">
        <f t="shared" si="12"/>
        <v>202311</v>
      </c>
    </row>
    <row r="248" spans="3:36" ht="15.75" hidden="1">
      <c r="C248" s="237">
        <v>45256</v>
      </c>
      <c r="D248" s="471">
        <v>340547</v>
      </c>
      <c r="E248" s="471">
        <v>36937</v>
      </c>
      <c r="F248" s="471">
        <v>24027.38</v>
      </c>
      <c r="G248" s="471">
        <v>3556</v>
      </c>
      <c r="H248" s="471">
        <v>2623</v>
      </c>
      <c r="I248" s="470">
        <v>177600</v>
      </c>
      <c r="J248" s="471">
        <v>183656.40000000002</v>
      </c>
      <c r="K248" s="471">
        <v>50052.447379999998</v>
      </c>
      <c r="L248" s="471">
        <v>0</v>
      </c>
      <c r="M248" s="471">
        <v>412433</v>
      </c>
      <c r="N248" s="471">
        <v>8762</v>
      </c>
      <c r="O248" s="471">
        <v>706</v>
      </c>
      <c r="P248" s="471">
        <v>125.48150999999999</v>
      </c>
      <c r="Q248" s="337">
        <v>0</v>
      </c>
      <c r="R248" s="167">
        <f t="shared" si="10"/>
        <v>152643.57422450001</v>
      </c>
      <c r="S248" s="473">
        <v>11.151163679714115</v>
      </c>
      <c r="T248" s="473">
        <v>0.32916200000000001</v>
      </c>
      <c r="U248" s="473">
        <v>4.2196026017494136E-3</v>
      </c>
      <c r="V248" s="473">
        <v>1.2E-2</v>
      </c>
      <c r="W248" s="473">
        <v>0.31520999999999999</v>
      </c>
      <c r="X248" s="332">
        <v>11.566000000000001</v>
      </c>
      <c r="Y248" s="473">
        <v>12.282325</v>
      </c>
      <c r="Z248" s="473"/>
      <c r="AA248" s="473"/>
      <c r="AB248" s="473">
        <v>0</v>
      </c>
      <c r="AC248" s="473">
        <v>0.23644544623060648</v>
      </c>
      <c r="AD248" s="473">
        <v>6.8356803257566962E-2</v>
      </c>
      <c r="AE248" s="473">
        <v>1.83330025</v>
      </c>
      <c r="AF248" s="473">
        <v>15.015135340240748</v>
      </c>
      <c r="AG248" s="172">
        <f t="shared" si="11"/>
        <v>9.6081436835519423</v>
      </c>
      <c r="AH248" s="253">
        <f t="shared" si="12"/>
        <v>202311</v>
      </c>
      <c r="AI248" t="s">
        <v>1371</v>
      </c>
      <c r="AJ248" t="s">
        <v>1372</v>
      </c>
    </row>
    <row r="249" spans="3:36" ht="15.75" hidden="1">
      <c r="C249" s="235">
        <v>45257</v>
      </c>
      <c r="D249" s="469">
        <v>348432</v>
      </c>
      <c r="E249" s="469">
        <v>36113</v>
      </c>
      <c r="F249" s="469">
        <v>24029.66</v>
      </c>
      <c r="G249" s="469">
        <v>3570</v>
      </c>
      <c r="H249" s="469">
        <v>2556</v>
      </c>
      <c r="I249" s="470">
        <v>170200</v>
      </c>
      <c r="J249" s="469">
        <v>184407.84</v>
      </c>
      <c r="K249" s="469">
        <v>49211.64</v>
      </c>
      <c r="L249" s="469">
        <v>0</v>
      </c>
      <c r="M249" s="469">
        <v>412529</v>
      </c>
      <c r="N249" s="469">
        <v>8721</v>
      </c>
      <c r="O249" s="469">
        <v>6479</v>
      </c>
      <c r="P249" s="469">
        <v>176.93207399999997</v>
      </c>
      <c r="Q249" s="337">
        <v>0</v>
      </c>
      <c r="R249" s="167">
        <f t="shared" si="10"/>
        <v>153381.6890333</v>
      </c>
      <c r="S249" s="472">
        <v>8.7677369480697873</v>
      </c>
      <c r="T249" s="472">
        <v>0.36935699999999999</v>
      </c>
      <c r="U249" s="472">
        <v>4.3449611634814962E-3</v>
      </c>
      <c r="V249" s="472">
        <v>1.2E-2</v>
      </c>
      <c r="W249" s="472">
        <v>0.31555</v>
      </c>
      <c r="X249" s="332">
        <v>11.566000000000001</v>
      </c>
      <c r="Y249" s="472">
        <v>12.270421000000001</v>
      </c>
      <c r="Z249" s="472"/>
      <c r="AA249" s="472"/>
      <c r="AB249" s="472">
        <v>0</v>
      </c>
      <c r="AC249" s="472">
        <v>0.23531277343429224</v>
      </c>
      <c r="AD249" s="472">
        <v>6.8611654636737671E-2</v>
      </c>
      <c r="AE249" s="472">
        <v>1.8476002499999999</v>
      </c>
      <c r="AF249" s="472">
        <v>15.015305241160195</v>
      </c>
      <c r="AG249" s="172">
        <f t="shared" si="11"/>
        <v>9.5677131167445495</v>
      </c>
      <c r="AH249" s="253">
        <f t="shared" si="12"/>
        <v>202311</v>
      </c>
      <c r="AI249" t="s">
        <v>1373</v>
      </c>
      <c r="AJ249" t="s">
        <v>1374</v>
      </c>
    </row>
    <row r="250" spans="3:36" ht="15.75" hidden="1">
      <c r="C250" s="237">
        <v>45258</v>
      </c>
      <c r="D250" s="471">
        <v>358106</v>
      </c>
      <c r="E250" s="471">
        <v>36226</v>
      </c>
      <c r="F250" s="471">
        <v>22870.98</v>
      </c>
      <c r="G250" s="471">
        <v>3567</v>
      </c>
      <c r="H250" s="471">
        <v>2562</v>
      </c>
      <c r="I250" s="470">
        <v>170200</v>
      </c>
      <c r="J250" s="471">
        <v>184140</v>
      </c>
      <c r="K250" s="471">
        <v>45830.766030000006</v>
      </c>
      <c r="L250" s="471">
        <v>0</v>
      </c>
      <c r="M250" s="471">
        <v>424260</v>
      </c>
      <c r="N250" s="471">
        <v>8735</v>
      </c>
      <c r="O250" s="471">
        <v>924</v>
      </c>
      <c r="P250" s="471">
        <v>112.33582799999999</v>
      </c>
      <c r="Q250" s="337">
        <v>0</v>
      </c>
      <c r="R250" s="167">
        <f t="shared" si="10"/>
        <v>150133.94723010002</v>
      </c>
      <c r="S250" s="473">
        <v>8.9189487663777403</v>
      </c>
      <c r="T250" s="473">
        <v>0.28956399999999999</v>
      </c>
      <c r="U250" s="473">
        <v>4.1268933333710889E-3</v>
      </c>
      <c r="V250" s="473">
        <v>1.2E-2</v>
      </c>
      <c r="W250" s="473">
        <v>0.32038</v>
      </c>
      <c r="X250" s="332">
        <v>11.566000000000001</v>
      </c>
      <c r="Y250" s="473">
        <v>12.246547</v>
      </c>
      <c r="Z250" s="473"/>
      <c r="AA250" s="473"/>
      <c r="AB250" s="473">
        <v>0</v>
      </c>
      <c r="AC250" s="473">
        <v>0.23927712822139219</v>
      </c>
      <c r="AD250" s="473">
        <v>7.0367297471024812E-2</v>
      </c>
      <c r="AE250" s="473">
        <v>1.84740025</v>
      </c>
      <c r="AF250" s="473">
        <v>15.015843260738444</v>
      </c>
      <c r="AG250" s="172">
        <f t="shared" si="11"/>
        <v>9.5492719117549854</v>
      </c>
      <c r="AH250" s="253">
        <f t="shared" si="12"/>
        <v>202311</v>
      </c>
      <c r="AI250" t="s">
        <v>1102</v>
      </c>
      <c r="AJ250" t="s">
        <v>1375</v>
      </c>
    </row>
    <row r="251" spans="3:36" ht="15.75" hidden="1">
      <c r="C251" s="235">
        <v>45259</v>
      </c>
      <c r="D251" s="469">
        <v>351163</v>
      </c>
      <c r="E251" s="469">
        <v>36170</v>
      </c>
      <c r="F251" s="469">
        <v>24023.09</v>
      </c>
      <c r="G251" s="469">
        <v>3604</v>
      </c>
      <c r="H251" s="469">
        <v>2579</v>
      </c>
      <c r="I251" s="470">
        <v>170200</v>
      </c>
      <c r="J251" s="469">
        <v>184259.04</v>
      </c>
      <c r="K251" s="469">
        <v>47024.816649999993</v>
      </c>
      <c r="L251" s="469">
        <v>0</v>
      </c>
      <c r="M251" s="469">
        <v>419059</v>
      </c>
      <c r="N251" s="469">
        <v>8714</v>
      </c>
      <c r="O251" s="469">
        <v>5886</v>
      </c>
      <c r="P251" s="469">
        <v>178.75611599999999</v>
      </c>
      <c r="Q251" s="337">
        <v>0</v>
      </c>
      <c r="R251" s="167">
        <f t="shared" si="10"/>
        <v>152934.2231147</v>
      </c>
      <c r="S251" s="472">
        <v>9.0848853310377802</v>
      </c>
      <c r="T251" s="472">
        <v>0.35222599999999998</v>
      </c>
      <c r="U251" s="472">
        <v>4.3766193681384806E-3</v>
      </c>
      <c r="V251" s="472">
        <v>1.2E-2</v>
      </c>
      <c r="W251" s="472">
        <v>0.32099</v>
      </c>
      <c r="X251" s="332">
        <v>11.566000000000001</v>
      </c>
      <c r="Y251" s="472">
        <v>12.311584999999999</v>
      </c>
      <c r="Z251" s="472"/>
      <c r="AA251" s="472"/>
      <c r="AB251" s="472">
        <v>0</v>
      </c>
      <c r="AC251" s="472">
        <v>0.24012663281862792</v>
      </c>
      <c r="AD251" s="472">
        <v>7.1669871186786235E-2</v>
      </c>
      <c r="AE251" s="472">
        <v>1.84300025</v>
      </c>
      <c r="AF251" s="472">
        <v>15.109260449614464</v>
      </c>
      <c r="AG251" s="172">
        <f t="shared" si="11"/>
        <v>9.6022338717238931</v>
      </c>
      <c r="AH251" s="253">
        <f t="shared" si="12"/>
        <v>202311</v>
      </c>
      <c r="AI251" t="s">
        <v>1104</v>
      </c>
      <c r="AJ251" t="s">
        <v>1376</v>
      </c>
    </row>
    <row r="252" spans="3:36" ht="15.75" hidden="1">
      <c r="C252" s="237">
        <v>45260</v>
      </c>
      <c r="D252" s="471">
        <v>352650</v>
      </c>
      <c r="E252" s="471">
        <v>36013</v>
      </c>
      <c r="F252" s="471">
        <v>23993.7</v>
      </c>
      <c r="G252" s="471">
        <v>3554</v>
      </c>
      <c r="H252" s="471">
        <v>2603</v>
      </c>
      <c r="I252" s="470">
        <v>170200</v>
      </c>
      <c r="J252" s="471">
        <v>184831.30992000003</v>
      </c>
      <c r="K252" s="471">
        <v>48699.6662</v>
      </c>
      <c r="L252" s="471">
        <v>0</v>
      </c>
      <c r="M252" s="471">
        <v>407976</v>
      </c>
      <c r="N252" s="471">
        <v>8874</v>
      </c>
      <c r="O252" s="471">
        <v>7185</v>
      </c>
      <c r="P252" s="471">
        <v>96.611327999999986</v>
      </c>
      <c r="Q252" s="337">
        <v>0</v>
      </c>
      <c r="R252" s="167">
        <f t="shared" si="10"/>
        <v>153529.02722680001</v>
      </c>
      <c r="S252" s="473">
        <v>8.9509467728736229</v>
      </c>
      <c r="T252" s="473">
        <v>0.33636500000000003</v>
      </c>
      <c r="U252" s="473">
        <v>4.4276745944323466E-3</v>
      </c>
      <c r="V252" s="473">
        <v>1.2E-2</v>
      </c>
      <c r="W252" s="473">
        <v>0.32163999999999998</v>
      </c>
      <c r="X252" s="332">
        <v>11.566000000000001</v>
      </c>
      <c r="Y252" s="473">
        <v>12.176573000000001</v>
      </c>
      <c r="Z252" s="473"/>
      <c r="AA252" s="473"/>
      <c r="AB252" s="473">
        <v>0</v>
      </c>
      <c r="AC252" s="473">
        <v>0.23502960523521368</v>
      </c>
      <c r="AD252" s="473">
        <v>7.1924722565956944E-2</v>
      </c>
      <c r="AE252" s="473">
        <v>1.8364002500000001</v>
      </c>
      <c r="AF252" s="473">
        <v>15.187018437081443</v>
      </c>
      <c r="AG252" s="172">
        <f t="shared" si="11"/>
        <v>9.5702301650755857</v>
      </c>
      <c r="AH252" s="253">
        <f t="shared" si="12"/>
        <v>202311</v>
      </c>
      <c r="AI252" t="s">
        <v>1377</v>
      </c>
      <c r="AJ252" t="s">
        <v>1378</v>
      </c>
    </row>
    <row r="253" spans="3:36" ht="15.75" hidden="1">
      <c r="C253" s="235">
        <v>45261</v>
      </c>
      <c r="D253" s="469">
        <v>372166</v>
      </c>
      <c r="E253" s="469">
        <v>35736</v>
      </c>
      <c r="F253" s="469">
        <v>24000.11</v>
      </c>
      <c r="G253" s="469">
        <v>3563</v>
      </c>
      <c r="H253" s="469">
        <v>2631</v>
      </c>
      <c r="I253" s="470">
        <v>170200</v>
      </c>
      <c r="J253" s="469">
        <v>184251.6</v>
      </c>
      <c r="K253" s="469">
        <v>47622.029349999997</v>
      </c>
      <c r="L253" s="469">
        <v>0</v>
      </c>
      <c r="M253" s="469">
        <v>390607</v>
      </c>
      <c r="N253" s="469">
        <v>9055</v>
      </c>
      <c r="O253" s="469">
        <v>6444</v>
      </c>
      <c r="P253" s="469">
        <v>164.28957599999998</v>
      </c>
      <c r="Q253" s="337">
        <v>0</v>
      </c>
      <c r="R253" s="167">
        <f t="shared" si="10"/>
        <v>152581.11524669998</v>
      </c>
      <c r="S253" s="472">
        <v>10.12128093966535</v>
      </c>
      <c r="T253" s="472">
        <v>0.33911999999999998</v>
      </c>
      <c r="U253" s="472">
        <v>4.504413176382639E-3</v>
      </c>
      <c r="V253" s="472">
        <v>1.2E-2</v>
      </c>
      <c r="W253" s="472">
        <v>0.31994</v>
      </c>
      <c r="X253" s="332">
        <v>13.071</v>
      </c>
      <c r="Y253" s="472">
        <v>12.274564</v>
      </c>
      <c r="Z253" s="472"/>
      <c r="AA253" s="472"/>
      <c r="AB253" s="561">
        <v>0</v>
      </c>
      <c r="AC253" s="472">
        <v>0.24550682860112077</v>
      </c>
      <c r="AD253" s="472">
        <v>6.1249281460694832E-2</v>
      </c>
      <c r="AE253" s="472">
        <v>1.8360002499999999</v>
      </c>
      <c r="AF253" s="472">
        <v>15.103851937012067</v>
      </c>
      <c r="AG253" s="172">
        <f t="shared" si="11"/>
        <v>9.9054041244521898</v>
      </c>
      <c r="AH253" s="253">
        <f t="shared" si="12"/>
        <v>202312</v>
      </c>
    </row>
    <row r="254" spans="3:36" ht="15.75" hidden="1">
      <c r="C254" s="237">
        <v>45262</v>
      </c>
      <c r="D254" s="471">
        <v>344994</v>
      </c>
      <c r="E254" s="471">
        <v>36176</v>
      </c>
      <c r="F254" s="471">
        <v>22967.93</v>
      </c>
      <c r="G254" s="471">
        <v>3556</v>
      </c>
      <c r="H254" s="471">
        <v>2600</v>
      </c>
      <c r="I254" s="470">
        <v>170200</v>
      </c>
      <c r="J254" s="471">
        <v>184489.68000000002</v>
      </c>
      <c r="K254" s="471">
        <v>45866.405830000003</v>
      </c>
      <c r="L254" s="471">
        <v>460</v>
      </c>
      <c r="M254" s="471">
        <v>400701</v>
      </c>
      <c r="N254" s="471">
        <v>9053</v>
      </c>
      <c r="O254" s="471">
        <v>715</v>
      </c>
      <c r="P254" s="471">
        <v>139.759356</v>
      </c>
      <c r="Q254" s="337">
        <v>0</v>
      </c>
      <c r="R254" s="167">
        <f t="shared" si="10"/>
        <v>149150.08736769998</v>
      </c>
      <c r="S254" s="473">
        <v>10.538104528709006</v>
      </c>
      <c r="T254" s="473">
        <v>0.33941900000000003</v>
      </c>
      <c r="U254" s="473">
        <v>4.1885673671304014E-3</v>
      </c>
      <c r="V254" s="473">
        <v>1.2E-2</v>
      </c>
      <c r="W254" s="473">
        <v>0.32194</v>
      </c>
      <c r="X254" s="332">
        <v>13.071</v>
      </c>
      <c r="Y254" s="473">
        <v>12.22105</v>
      </c>
      <c r="Z254" s="473"/>
      <c r="AA254" s="473"/>
      <c r="AB254" s="561">
        <v>0</v>
      </c>
      <c r="AC254" s="473">
        <v>0.24295831480941363</v>
      </c>
      <c r="AD254" s="473">
        <v>6.3118191574613403E-2</v>
      </c>
      <c r="AE254" s="473">
        <v>1.8357002499999999</v>
      </c>
      <c r="AF254" s="473">
        <v>15.093884416404498</v>
      </c>
      <c r="AG254" s="172">
        <f t="shared" si="11"/>
        <v>9.9016164963178159</v>
      </c>
      <c r="AH254" s="253">
        <f t="shared" si="12"/>
        <v>202312</v>
      </c>
      <c r="AJ254" t="s">
        <v>1379</v>
      </c>
    </row>
    <row r="255" spans="3:36" ht="15.75" hidden="1">
      <c r="C255" s="235">
        <v>45263</v>
      </c>
      <c r="D255" s="469">
        <v>321535</v>
      </c>
      <c r="E255" s="469">
        <v>35969</v>
      </c>
      <c r="F255" s="469">
        <v>23960.82</v>
      </c>
      <c r="G255" s="469">
        <v>3531</v>
      </c>
      <c r="H255" s="469">
        <v>2618</v>
      </c>
      <c r="I255" s="470">
        <v>170200</v>
      </c>
      <c r="J255" s="469">
        <v>184162.32</v>
      </c>
      <c r="K255" s="469">
        <v>46653.421659999993</v>
      </c>
      <c r="L255" s="469">
        <v>46342</v>
      </c>
      <c r="M255" s="469">
        <v>399176</v>
      </c>
      <c r="N255" s="469">
        <v>9053</v>
      </c>
      <c r="O255" s="469">
        <v>4860</v>
      </c>
      <c r="P255" s="469">
        <v>114.97754399999999</v>
      </c>
      <c r="Q255" s="337">
        <v>0</v>
      </c>
      <c r="R255" s="167">
        <f t="shared" si="10"/>
        <v>162019.33850980003</v>
      </c>
      <c r="S255" s="472">
        <v>13.173267789334183</v>
      </c>
      <c r="T255" s="472">
        <v>0.34039000000000003</v>
      </c>
      <c r="U255" s="472">
        <v>4.2569808040277841E-3</v>
      </c>
      <c r="V255" s="472">
        <v>1.2E-2</v>
      </c>
      <c r="W255" s="472">
        <v>0.32393</v>
      </c>
      <c r="X255" s="332">
        <v>13.071</v>
      </c>
      <c r="Y255" s="472">
        <v>12.224316999999999</v>
      </c>
      <c r="Z255" s="472"/>
      <c r="AA255" s="472"/>
      <c r="AB255" s="561">
        <v>0</v>
      </c>
      <c r="AC255" s="472">
        <v>0.24692266959651363</v>
      </c>
      <c r="AD255" s="472">
        <v>6.459066620982197E-2</v>
      </c>
      <c r="AE255" s="472">
        <v>1.83330025</v>
      </c>
      <c r="AF255" s="472">
        <v>15.08544600407196</v>
      </c>
      <c r="AG255" s="172">
        <f t="shared" si="11"/>
        <v>9.9641487858282183</v>
      </c>
      <c r="AH255" s="253">
        <f t="shared" si="12"/>
        <v>202312</v>
      </c>
      <c r="AI255" t="s">
        <v>1381</v>
      </c>
      <c r="AJ255" t="s">
        <v>1380</v>
      </c>
    </row>
    <row r="256" spans="3:36" ht="15.75" hidden="1">
      <c r="C256" s="237">
        <v>45264</v>
      </c>
      <c r="D256" s="471">
        <v>352049</v>
      </c>
      <c r="E256" s="471">
        <v>35270</v>
      </c>
      <c r="F256" s="471">
        <v>23928.45</v>
      </c>
      <c r="G256" s="471">
        <v>3530</v>
      </c>
      <c r="H256" s="471">
        <v>2582</v>
      </c>
      <c r="I256" s="470">
        <v>170200</v>
      </c>
      <c r="J256" s="471">
        <v>182718.96000000002</v>
      </c>
      <c r="K256" s="471">
        <v>47375.924100000004</v>
      </c>
      <c r="L256" s="471">
        <v>52749</v>
      </c>
      <c r="M256" s="471">
        <v>403823</v>
      </c>
      <c r="N256" s="471">
        <v>9023</v>
      </c>
      <c r="O256" s="471">
        <v>640</v>
      </c>
      <c r="P256" s="471">
        <v>168.88112999999998</v>
      </c>
      <c r="Q256" s="337">
        <v>0</v>
      </c>
      <c r="R256" s="167">
        <f t="shared" si="10"/>
        <v>162346.20028350002</v>
      </c>
      <c r="S256" s="473">
        <v>13.711287367583472</v>
      </c>
      <c r="T256" s="473">
        <v>0.34177000000000002</v>
      </c>
      <c r="U256" s="473">
        <v>4.2323451707079488E-3</v>
      </c>
      <c r="V256" s="473">
        <v>1.2E-2</v>
      </c>
      <c r="W256" s="473">
        <v>0.32788</v>
      </c>
      <c r="X256" s="332">
        <v>13.071</v>
      </c>
      <c r="Y256" s="473">
        <v>12.443789000000001</v>
      </c>
      <c r="Z256" s="473"/>
      <c r="AA256" s="473"/>
      <c r="AB256" s="561">
        <v>0</v>
      </c>
      <c r="AC256" s="473">
        <v>0.25003751978637789</v>
      </c>
      <c r="AD256" s="473">
        <v>6.4845517588992679E-2</v>
      </c>
      <c r="AE256" s="473">
        <v>1.83490025</v>
      </c>
      <c r="AF256" s="473">
        <v>15.016551181236141</v>
      </c>
      <c r="AG256" s="172">
        <f t="shared" si="11"/>
        <v>10.027397567332917</v>
      </c>
      <c r="AH256" s="253">
        <f t="shared" si="12"/>
        <v>202312</v>
      </c>
      <c r="AI256" t="s">
        <v>1120</v>
      </c>
      <c r="AJ256" t="s">
        <v>1382</v>
      </c>
    </row>
    <row r="257" spans="3:36" ht="15.75" hidden="1">
      <c r="C257" s="235">
        <v>45265</v>
      </c>
      <c r="D257" s="469">
        <v>349864</v>
      </c>
      <c r="E257" s="469">
        <v>35950</v>
      </c>
      <c r="F257" s="469">
        <v>23924.63</v>
      </c>
      <c r="G257" s="469">
        <v>3510</v>
      </c>
      <c r="H257" s="469">
        <v>2552</v>
      </c>
      <c r="I257" s="470">
        <v>170200</v>
      </c>
      <c r="J257" s="469">
        <v>183410.88</v>
      </c>
      <c r="K257" s="469">
        <v>49193.390659999997</v>
      </c>
      <c r="L257" s="469">
        <v>3155</v>
      </c>
      <c r="M257" s="469">
        <v>406352</v>
      </c>
      <c r="N257" s="469">
        <v>8711</v>
      </c>
      <c r="O257" s="469">
        <v>3860</v>
      </c>
      <c r="P257" s="469">
        <v>120.13518000000001</v>
      </c>
      <c r="Q257" s="337">
        <v>0</v>
      </c>
      <c r="R257" s="167">
        <f t="shared" si="10"/>
        <v>152439.27044599998</v>
      </c>
      <c r="S257" s="472">
        <v>13.291348928349947</v>
      </c>
      <c r="T257" s="472">
        <v>0.34019899999999997</v>
      </c>
      <c r="U257" s="472">
        <v>4.2805403981911209E-3</v>
      </c>
      <c r="V257" s="472">
        <v>1.2E-2</v>
      </c>
      <c r="W257" s="472">
        <v>0.31560000000000005</v>
      </c>
      <c r="X257" s="332">
        <v>13.071</v>
      </c>
      <c r="Y257" s="472">
        <v>12.38781</v>
      </c>
      <c r="Z257" s="472"/>
      <c r="AA257" s="472"/>
      <c r="AB257" s="561">
        <v>0</v>
      </c>
      <c r="AC257" s="472">
        <v>0.24239197841125651</v>
      </c>
      <c r="AD257" s="472">
        <v>6.0881162801892694E-2</v>
      </c>
      <c r="AE257" s="472">
        <v>1.8445002500000001</v>
      </c>
      <c r="AF257" s="472">
        <v>15.015220290700473</v>
      </c>
      <c r="AG257" s="172">
        <f t="shared" si="11"/>
        <v>9.9921390131886945</v>
      </c>
      <c r="AH257" s="253">
        <f t="shared" si="12"/>
        <v>202312</v>
      </c>
      <c r="AI257" t="s">
        <v>1383</v>
      </c>
      <c r="AJ257" t="s">
        <v>1382</v>
      </c>
    </row>
    <row r="258" spans="3:36" ht="15.75" hidden="1">
      <c r="C258" s="237">
        <v>45266</v>
      </c>
      <c r="D258" s="471">
        <v>337986</v>
      </c>
      <c r="E258" s="471">
        <v>35277</v>
      </c>
      <c r="F258" s="471">
        <v>23897.84</v>
      </c>
      <c r="G258" s="471">
        <v>3474</v>
      </c>
      <c r="H258" s="471">
        <v>2559</v>
      </c>
      <c r="I258" s="470">
        <v>170200</v>
      </c>
      <c r="J258" s="471">
        <v>183425.76</v>
      </c>
      <c r="K258" s="471">
        <v>47674.922760000001</v>
      </c>
      <c r="L258" s="471">
        <v>0</v>
      </c>
      <c r="M258" s="471">
        <v>402079</v>
      </c>
      <c r="N258" s="471">
        <v>8916</v>
      </c>
      <c r="O258" s="471">
        <v>240</v>
      </c>
      <c r="P258" s="471">
        <v>147.81029999999998</v>
      </c>
      <c r="Q258" s="337">
        <v>0</v>
      </c>
      <c r="R258" s="167">
        <f t="shared" si="10"/>
        <v>149232.61752500001</v>
      </c>
      <c r="S258" s="473">
        <v>15.10617391624451</v>
      </c>
      <c r="T258" s="473">
        <v>0.34002599999999999</v>
      </c>
      <c r="U258" s="473">
        <v>4.2050760731366828E-3</v>
      </c>
      <c r="V258" s="473">
        <v>1.2E-2</v>
      </c>
      <c r="W258" s="473">
        <v>0.312</v>
      </c>
      <c r="X258" s="332">
        <v>13.071</v>
      </c>
      <c r="Y258" s="473">
        <v>12.155243</v>
      </c>
      <c r="Z258" s="473"/>
      <c r="AA258" s="473"/>
      <c r="AB258" s="561">
        <v>0</v>
      </c>
      <c r="AC258" s="473">
        <v>0.24409098760572789</v>
      </c>
      <c r="AD258" s="473">
        <v>5.6633639815714135E-2</v>
      </c>
      <c r="AE258" s="473">
        <v>1.8395002499999999</v>
      </c>
      <c r="AF258" s="473">
        <v>15.015645042999092</v>
      </c>
      <c r="AG258" s="172">
        <f t="shared" si="11"/>
        <v>9.9662046050892066</v>
      </c>
      <c r="AH258" s="253">
        <f t="shared" si="12"/>
        <v>202312</v>
      </c>
      <c r="AI258" t="s">
        <v>1385</v>
      </c>
      <c r="AJ258" t="s">
        <v>1384</v>
      </c>
    </row>
    <row r="259" spans="3:36" ht="15.75" hidden="1">
      <c r="C259" s="235">
        <v>45267</v>
      </c>
      <c r="D259" s="469">
        <v>337105</v>
      </c>
      <c r="E259" s="469">
        <v>35736</v>
      </c>
      <c r="F259" s="469">
        <v>23902.05</v>
      </c>
      <c r="G259" s="469">
        <v>3523</v>
      </c>
      <c r="H259" s="469">
        <v>2569</v>
      </c>
      <c r="I259" s="470">
        <v>170200</v>
      </c>
      <c r="J259" s="469">
        <v>182957</v>
      </c>
      <c r="K259" s="469">
        <v>32702.35842</v>
      </c>
      <c r="L259" s="469">
        <v>0</v>
      </c>
      <c r="M259" s="469">
        <v>398514</v>
      </c>
      <c r="N259" s="469">
        <v>8931</v>
      </c>
      <c r="O259" s="469">
        <v>6180</v>
      </c>
      <c r="P259" s="469">
        <v>92.208467999999996</v>
      </c>
      <c r="Q259" s="337">
        <v>0</v>
      </c>
      <c r="R259" s="167">
        <f t="shared" si="10"/>
        <v>147718.65391560001</v>
      </c>
      <c r="S259" s="472">
        <v>14.369087094042991</v>
      </c>
      <c r="T259" s="472">
        <v>0.33961599999999997</v>
      </c>
      <c r="U259" s="472">
        <v>4.1522368871886204E-3</v>
      </c>
      <c r="V259" s="472">
        <v>1.2E-2</v>
      </c>
      <c r="W259" s="472">
        <v>0.30407000000000001</v>
      </c>
      <c r="X259" s="332">
        <v>13.071</v>
      </c>
      <c r="Y259" s="472">
        <v>12.16</v>
      </c>
      <c r="Z259" s="472"/>
      <c r="AA259" s="472"/>
      <c r="AB259" s="561">
        <v>0</v>
      </c>
      <c r="AC259" s="472">
        <v>0.24012663281862792</v>
      </c>
      <c r="AD259" s="472">
        <v>5.8615817209264121E-2</v>
      </c>
      <c r="AE259" s="472">
        <v>1.8364002500000001</v>
      </c>
      <c r="AF259" s="472">
        <v>15.073581256530565</v>
      </c>
      <c r="AG259" s="172">
        <f t="shared" si="11"/>
        <v>9.9511479802973763</v>
      </c>
      <c r="AH259" s="253">
        <f t="shared" si="12"/>
        <v>202312</v>
      </c>
      <c r="AI259" t="s">
        <v>1386</v>
      </c>
      <c r="AJ259" t="s">
        <v>1387</v>
      </c>
    </row>
    <row r="260" spans="3:36" ht="15.75" hidden="1">
      <c r="C260" s="237">
        <v>45268</v>
      </c>
      <c r="D260" s="471">
        <v>342138</v>
      </c>
      <c r="E260" s="471">
        <v>35201</v>
      </c>
      <c r="F260" s="471">
        <v>23887.47</v>
      </c>
      <c r="G260" s="471">
        <v>3519</v>
      </c>
      <c r="H260" s="471">
        <v>2581</v>
      </c>
      <c r="I260" s="470">
        <v>170200</v>
      </c>
      <c r="J260" s="471">
        <v>182592.48</v>
      </c>
      <c r="K260" s="471">
        <v>42598.365210000004</v>
      </c>
      <c r="L260" s="471">
        <v>0</v>
      </c>
      <c r="M260" s="471">
        <v>394190</v>
      </c>
      <c r="N260" s="471">
        <v>8784</v>
      </c>
      <c r="O260" s="471">
        <v>730</v>
      </c>
      <c r="P260" s="471">
        <v>175.54831799999999</v>
      </c>
      <c r="Q260" s="337">
        <v>0</v>
      </c>
      <c r="R260" s="167">
        <f t="shared" si="10"/>
        <v>147737.85964559999</v>
      </c>
      <c r="S260" s="473">
        <v>14.337655423945266</v>
      </c>
      <c r="T260" s="473">
        <v>0.33366299999999999</v>
      </c>
      <c r="U260" s="473">
        <v>4.0888638442348364E-3</v>
      </c>
      <c r="V260" s="473">
        <v>1.2E-2</v>
      </c>
      <c r="W260" s="473">
        <v>0.31211</v>
      </c>
      <c r="X260" s="332">
        <v>13.071</v>
      </c>
      <c r="Y260" s="473">
        <v>12.078303999999999</v>
      </c>
      <c r="Z260" s="473"/>
      <c r="AA260" s="473"/>
      <c r="AB260" s="473">
        <v>0</v>
      </c>
      <c r="AC260" s="473">
        <v>0.23871079182323507</v>
      </c>
      <c r="AD260" s="473">
        <v>5.8332649010185561E-2</v>
      </c>
      <c r="AE260" s="473">
        <v>1.84070025</v>
      </c>
      <c r="AF260" s="473">
        <v>15.073241454691672</v>
      </c>
      <c r="AG260" s="172">
        <f t="shared" si="11"/>
        <v>9.9371775014863157</v>
      </c>
      <c r="AH260" s="253">
        <f t="shared" si="12"/>
        <v>202312</v>
      </c>
    </row>
    <row r="261" spans="3:36" ht="15.75" hidden="1">
      <c r="C261" s="235">
        <v>45269</v>
      </c>
      <c r="D261" s="469">
        <v>345961</v>
      </c>
      <c r="E261" s="469">
        <v>35874</v>
      </c>
      <c r="F261" s="469">
        <v>23877.97</v>
      </c>
      <c r="G261" s="469">
        <v>3529</v>
      </c>
      <c r="H261" s="469">
        <v>2607</v>
      </c>
      <c r="I261" s="470">
        <v>170200</v>
      </c>
      <c r="J261" s="469">
        <v>182510.64</v>
      </c>
      <c r="K261" s="469">
        <v>49232.342400000001</v>
      </c>
      <c r="L261" s="469">
        <v>0</v>
      </c>
      <c r="M261" s="469">
        <v>396793</v>
      </c>
      <c r="N261" s="469">
        <v>8994</v>
      </c>
      <c r="O261" s="469">
        <v>5500</v>
      </c>
      <c r="P261" s="469">
        <v>124.34934599999998</v>
      </c>
      <c r="Q261" s="337">
        <v>0</v>
      </c>
      <c r="R261" s="167">
        <f t="shared" si="10"/>
        <v>151681.62730570001</v>
      </c>
      <c r="S261" s="472">
        <v>14.645176088144598</v>
      </c>
      <c r="T261" s="472">
        <v>0.33661999999999997</v>
      </c>
      <c r="U261" s="472">
        <v>4.0396208944150731E-3</v>
      </c>
      <c r="V261" s="472">
        <v>1.2E-2</v>
      </c>
      <c r="W261" s="472">
        <v>0.31739999999999996</v>
      </c>
      <c r="X261" s="332">
        <v>13.071</v>
      </c>
      <c r="Y261" s="472">
        <v>12.124177</v>
      </c>
      <c r="Z261" s="472"/>
      <c r="AA261" s="472"/>
      <c r="AB261" s="472">
        <v>0</v>
      </c>
      <c r="AC261" s="472">
        <v>0.24380781940664933</v>
      </c>
      <c r="AD261" s="472">
        <v>6.342967659359984E-2</v>
      </c>
      <c r="AE261" s="472">
        <v>1.82700025</v>
      </c>
      <c r="AF261" s="472">
        <v>15.072391950094437</v>
      </c>
      <c r="AG261" s="172">
        <f t="shared" si="11"/>
        <v>9.9585521970504569</v>
      </c>
      <c r="AH261" s="253">
        <f t="shared" si="12"/>
        <v>202312</v>
      </c>
    </row>
    <row r="262" spans="3:36" ht="15.75" hidden="1">
      <c r="C262" s="237">
        <v>45270</v>
      </c>
      <c r="D262" s="471">
        <v>346245</v>
      </c>
      <c r="E262" s="471">
        <v>35346</v>
      </c>
      <c r="F262" s="471">
        <v>23845.01</v>
      </c>
      <c r="G262" s="471">
        <v>3540</v>
      </c>
      <c r="H262" s="471">
        <v>2630</v>
      </c>
      <c r="I262" s="470">
        <v>170200</v>
      </c>
      <c r="J262" s="471">
        <v>182562.72</v>
      </c>
      <c r="K262" s="471">
        <v>50516.381389999995</v>
      </c>
      <c r="L262" s="471">
        <v>0</v>
      </c>
      <c r="M262" s="471">
        <v>403639</v>
      </c>
      <c r="N262" s="471">
        <v>8994</v>
      </c>
      <c r="O262" s="471">
        <v>870</v>
      </c>
      <c r="P262" s="471">
        <v>136.362864</v>
      </c>
      <c r="Q262" s="337">
        <v>0</v>
      </c>
      <c r="R262" s="167">
        <f t="shared" si="10"/>
        <v>150312.85233629998</v>
      </c>
      <c r="S262" s="473">
        <v>14.328310873375676</v>
      </c>
      <c r="T262" s="473">
        <v>0.33599499999999999</v>
      </c>
      <c r="U262" s="473">
        <v>4.0681076152423775E-3</v>
      </c>
      <c r="V262" s="473">
        <v>1.2E-2</v>
      </c>
      <c r="W262" s="473">
        <v>0.31738</v>
      </c>
      <c r="X262" s="332">
        <v>13.071</v>
      </c>
      <c r="Y262" s="473">
        <v>12.156967</v>
      </c>
      <c r="Z262" s="473"/>
      <c r="AA262" s="473"/>
      <c r="AB262" s="473">
        <v>0</v>
      </c>
      <c r="AC262" s="473">
        <v>0.23927712822139219</v>
      </c>
      <c r="AD262" s="473">
        <v>6.258017199636412E-2</v>
      </c>
      <c r="AE262" s="473">
        <v>1.8198002499999999</v>
      </c>
      <c r="AF262" s="473">
        <v>15.077375710398218</v>
      </c>
      <c r="AG262" s="172">
        <f t="shared" si="11"/>
        <v>9.956358262676245</v>
      </c>
      <c r="AH262" s="253">
        <f t="shared" si="12"/>
        <v>202312</v>
      </c>
      <c r="AI262" t="s">
        <v>1116</v>
      </c>
      <c r="AJ262" t="s">
        <v>1389</v>
      </c>
    </row>
    <row r="263" spans="3:36" ht="15.75" hidden="1">
      <c r="C263" s="235">
        <v>45271</v>
      </c>
      <c r="D263" s="469">
        <v>356443</v>
      </c>
      <c r="E263" s="469">
        <v>35541</v>
      </c>
      <c r="F263" s="469">
        <v>8369.6200000000008</v>
      </c>
      <c r="G263" s="469">
        <v>3515</v>
      </c>
      <c r="H263" s="469">
        <v>2530</v>
      </c>
      <c r="I263" s="470">
        <v>170200</v>
      </c>
      <c r="J263" s="469">
        <v>182614.80000000002</v>
      </c>
      <c r="K263" s="469">
        <v>51402.578070000003</v>
      </c>
      <c r="L263" s="469">
        <v>0</v>
      </c>
      <c r="M263" s="469">
        <v>402328</v>
      </c>
      <c r="N263" s="469">
        <v>8998</v>
      </c>
      <c r="O263" s="469">
        <v>3580</v>
      </c>
      <c r="P263" s="469">
        <v>160.13830799999999</v>
      </c>
      <c r="Q263" s="337">
        <v>0</v>
      </c>
      <c r="R263" s="167">
        <f t="shared" si="10"/>
        <v>140933.59205609999</v>
      </c>
      <c r="S263" s="472">
        <v>13.606231965725321</v>
      </c>
      <c r="T263" s="472">
        <v>0.33933600000000003</v>
      </c>
      <c r="U263" s="472">
        <v>2.4713787742781331E-3</v>
      </c>
      <c r="V263" s="472">
        <v>1.2E-2</v>
      </c>
      <c r="W263" s="472">
        <v>0.31695999999999996</v>
      </c>
      <c r="X263" s="332">
        <v>13.071</v>
      </c>
      <c r="Y263" s="472">
        <v>12.273916999999999</v>
      </c>
      <c r="Z263" s="472"/>
      <c r="AA263" s="472"/>
      <c r="AB263" s="472">
        <v>0</v>
      </c>
      <c r="AC263" s="472">
        <v>0.24692266959651363</v>
      </c>
      <c r="AD263" s="472">
        <v>6.3146508394521253E-2</v>
      </c>
      <c r="AE263" s="472">
        <v>1.8275002499999999</v>
      </c>
      <c r="AF263" s="472">
        <v>14.872276983805611</v>
      </c>
      <c r="AG263" s="172">
        <f t="shared" si="11"/>
        <v>9.9391153603106268</v>
      </c>
      <c r="AH263" s="253">
        <f t="shared" si="12"/>
        <v>202312</v>
      </c>
      <c r="AI263" t="s">
        <v>1383</v>
      </c>
      <c r="AJ263" t="s">
        <v>1390</v>
      </c>
    </row>
    <row r="264" spans="3:36" ht="15.75" hidden="1">
      <c r="C264" s="237">
        <v>45272</v>
      </c>
      <c r="D264" s="471">
        <v>353055</v>
      </c>
      <c r="E264" s="471">
        <v>36113</v>
      </c>
      <c r="F264" s="471">
        <v>20011.32</v>
      </c>
      <c r="G264" s="471">
        <v>3533</v>
      </c>
      <c r="H264" s="471">
        <v>2566</v>
      </c>
      <c r="I264" s="470">
        <v>170200</v>
      </c>
      <c r="J264" s="471">
        <v>182771.04</v>
      </c>
      <c r="K264" s="471">
        <v>51000.221679999995</v>
      </c>
      <c r="L264" s="471">
        <v>0</v>
      </c>
      <c r="M264" s="471">
        <v>401505</v>
      </c>
      <c r="N264" s="471">
        <v>9009</v>
      </c>
      <c r="O264" s="471">
        <v>6474</v>
      </c>
      <c r="P264" s="471">
        <v>116.29840199999998</v>
      </c>
      <c r="Q264" s="337">
        <v>0</v>
      </c>
      <c r="R264" s="167">
        <f t="shared" si="10"/>
        <v>150250.15460089999</v>
      </c>
      <c r="S264" s="473">
        <v>9.9578928887970175</v>
      </c>
      <c r="T264" s="473">
        <v>0.35508600000000001</v>
      </c>
      <c r="U264" s="473">
        <v>3.3127564442002903E-3</v>
      </c>
      <c r="V264" s="473">
        <v>1.2E-2</v>
      </c>
      <c r="W264" s="473">
        <v>0.32563999999999999</v>
      </c>
      <c r="X264" s="332">
        <v>13.071</v>
      </c>
      <c r="Y264" s="473">
        <v>12.078863</v>
      </c>
      <c r="Z264" s="473"/>
      <c r="AA264" s="473"/>
      <c r="AB264" s="473">
        <v>0</v>
      </c>
      <c r="AC264" s="473">
        <v>0.24578999680019933</v>
      </c>
      <c r="AD264" s="473">
        <v>6.4279181190835546E-2</v>
      </c>
      <c r="AE264" s="473">
        <v>1.8324002500000001</v>
      </c>
      <c r="AF264" s="473">
        <v>14.832718386394333</v>
      </c>
      <c r="AG264" s="172">
        <f t="shared" si="11"/>
        <v>9.8134546655535448</v>
      </c>
      <c r="AH264" s="253">
        <f t="shared" si="12"/>
        <v>202312</v>
      </c>
    </row>
    <row r="265" spans="3:36" ht="15.75" hidden="1">
      <c r="C265" s="235">
        <v>45273</v>
      </c>
      <c r="D265" s="469">
        <v>354439</v>
      </c>
      <c r="E265" s="469">
        <v>35421</v>
      </c>
      <c r="F265" s="469">
        <v>23919.63</v>
      </c>
      <c r="G265" s="469">
        <v>3539</v>
      </c>
      <c r="H265" s="469">
        <v>2536</v>
      </c>
      <c r="I265" s="470">
        <v>170200</v>
      </c>
      <c r="J265" s="469">
        <v>182294.88</v>
      </c>
      <c r="K265" s="469">
        <v>49425.125030000003</v>
      </c>
      <c r="L265" s="469">
        <v>0</v>
      </c>
      <c r="M265" s="469">
        <v>401953</v>
      </c>
      <c r="N265" s="469">
        <v>8987</v>
      </c>
      <c r="O265" s="469">
        <v>362</v>
      </c>
      <c r="P265" s="469">
        <v>137.93531399999998</v>
      </c>
      <c r="Q265" s="337">
        <v>0</v>
      </c>
      <c r="R265" s="167">
        <f t="shared" ref="R265:R328" si="13" xml:space="preserve"> IF(C265&lt; DATE(2024, 11, 1), D265 * (2.31 / 100), D265 * (2.925 / 100))+E265*E$6+F265*F$6+G265*G$6+H265*H$6+I265*I$6+J265*J$6+K265*K$6+L265*L$6+M265*M$6+N265*N$6+O265*O$6+P265*P$6+Q265*Q$6</f>
        <v>149866.9628488</v>
      </c>
      <c r="S265" s="472">
        <v>9.0412774283796811</v>
      </c>
      <c r="T265" s="472">
        <v>0.36597400000000002</v>
      </c>
      <c r="U265" s="472">
        <v>4.0037718004117262E-3</v>
      </c>
      <c r="V265" s="472">
        <v>1.2E-2</v>
      </c>
      <c r="W265" s="472">
        <v>0.32014999999999999</v>
      </c>
      <c r="X265" s="332">
        <v>13.071</v>
      </c>
      <c r="Y265" s="472">
        <v>12.183176</v>
      </c>
      <c r="Z265" s="472"/>
      <c r="AA265" s="472"/>
      <c r="AB265" s="472">
        <v>0</v>
      </c>
      <c r="AC265" s="472">
        <v>0.24380781940664933</v>
      </c>
      <c r="AD265" s="472">
        <v>6.4562349389914106E-2</v>
      </c>
      <c r="AE265" s="472">
        <v>1.8324002500000001</v>
      </c>
      <c r="AF265" s="472">
        <v>11.687399298309202</v>
      </c>
      <c r="AG265" s="172">
        <f t="shared" ref="AG265:AG328" si="14" xml:space="preserve"> IF(C265&lt; DATE(2024, 11, 1), S265 * (2.31 / 100), S265 * (2.925 / 100))+T265*T$6+U265*U$6+V265*V$6+W265*W$6+X265*X$6+Y265*Y$6+Z265*Z$6+AA265*AA$6+AB265*AB$6+AC265*AC$6+AD265*AD$6+AE265*AE$6+AF265*AF$6</f>
        <v>9.282526681959121</v>
      </c>
      <c r="AH265" s="253">
        <f t="shared" si="12"/>
        <v>202312</v>
      </c>
      <c r="AI265" t="s">
        <v>1102</v>
      </c>
      <c r="AJ265" t="s">
        <v>1394</v>
      </c>
    </row>
    <row r="266" spans="3:36" ht="15.75" hidden="1">
      <c r="C266" s="237">
        <v>45274</v>
      </c>
      <c r="D266" s="471">
        <v>351570</v>
      </c>
      <c r="E266" s="471">
        <v>35786</v>
      </c>
      <c r="F266" s="471">
        <v>23949.81</v>
      </c>
      <c r="G266" s="471">
        <v>3545</v>
      </c>
      <c r="H266" s="471">
        <v>2521</v>
      </c>
      <c r="I266" s="470">
        <v>170200</v>
      </c>
      <c r="J266" s="471">
        <v>179795.04</v>
      </c>
      <c r="K266" s="471">
        <v>49415.197639999999</v>
      </c>
      <c r="L266" s="471">
        <v>0</v>
      </c>
      <c r="M266" s="471">
        <v>397125</v>
      </c>
      <c r="N266" s="471">
        <v>8968</v>
      </c>
      <c r="O266" s="471">
        <v>1360</v>
      </c>
      <c r="P266" s="471">
        <v>157.245</v>
      </c>
      <c r="Q266" s="337">
        <v>0</v>
      </c>
      <c r="R266" s="167">
        <f t="shared" si="13"/>
        <v>149468.60406000001</v>
      </c>
      <c r="S266" s="473">
        <v>9.6826533992926436</v>
      </c>
      <c r="T266" s="473">
        <v>0.36246400000000001</v>
      </c>
      <c r="U266" s="473">
        <v>4.1217396721478583E-3</v>
      </c>
      <c r="V266" s="473">
        <v>1.2E-2</v>
      </c>
      <c r="W266" s="473">
        <v>0.31325999999999998</v>
      </c>
      <c r="X266" s="332">
        <v>13.071</v>
      </c>
      <c r="Y266" s="473">
        <v>12.130795000000001</v>
      </c>
      <c r="Z266" s="473"/>
      <c r="AA266" s="473"/>
      <c r="AB266" s="473">
        <v>0</v>
      </c>
      <c r="AC266" s="473">
        <v>0.24465732400388507</v>
      </c>
      <c r="AD266" s="473">
        <v>6.5411853987149826E-2</v>
      </c>
      <c r="AE266" s="473">
        <v>1.8282002500000001</v>
      </c>
      <c r="AF266" s="473">
        <v>14.782937416996319</v>
      </c>
      <c r="AG266" s="172">
        <f t="shared" si="14"/>
        <v>9.8007530119188253</v>
      </c>
      <c r="AH266" s="253">
        <f t="shared" si="12"/>
        <v>202312</v>
      </c>
      <c r="AI266" t="s">
        <v>1161</v>
      </c>
      <c r="AJ266" t="s">
        <v>1395</v>
      </c>
    </row>
    <row r="267" spans="3:36" ht="17.25" hidden="1" customHeight="1">
      <c r="C267" s="235">
        <v>45275</v>
      </c>
      <c r="D267" s="469">
        <v>346725</v>
      </c>
      <c r="E267" s="469">
        <v>35113</v>
      </c>
      <c r="F267" s="469">
        <v>23904.87</v>
      </c>
      <c r="G267" s="469">
        <v>3558</v>
      </c>
      <c r="H267" s="469">
        <v>2526</v>
      </c>
      <c r="I267" s="470">
        <v>170200</v>
      </c>
      <c r="J267" s="469">
        <v>177496.08000000002</v>
      </c>
      <c r="K267" s="469">
        <v>49411.499929999998</v>
      </c>
      <c r="L267" s="469">
        <v>0</v>
      </c>
      <c r="M267" s="469">
        <v>404916</v>
      </c>
      <c r="N267" s="469">
        <v>8909</v>
      </c>
      <c r="O267" s="469">
        <v>5677</v>
      </c>
      <c r="P267" s="469">
        <v>160.13830799999999</v>
      </c>
      <c r="Q267" s="337">
        <v>0</v>
      </c>
      <c r="R267" s="167">
        <f t="shared" si="13"/>
        <v>150589.61452109998</v>
      </c>
      <c r="S267" s="472">
        <v>10.194338335027622</v>
      </c>
      <c r="T267" s="472">
        <v>0.35615000000000002</v>
      </c>
      <c r="U267" s="472">
        <v>4.0601222720283619E-3</v>
      </c>
      <c r="V267" s="472">
        <v>1.2E-2</v>
      </c>
      <c r="W267" s="472">
        <v>0.31133999999999995</v>
      </c>
      <c r="X267" s="332">
        <v>13.071</v>
      </c>
      <c r="Y267" s="472">
        <v>12.03415</v>
      </c>
      <c r="Z267" s="472"/>
      <c r="AA267" s="472"/>
      <c r="AB267" s="472">
        <v>0</v>
      </c>
      <c r="AC267" s="472">
        <v>0.24295831480941363</v>
      </c>
      <c r="AD267" s="472">
        <v>6.572333900613625E-2</v>
      </c>
      <c r="AE267" s="472">
        <v>1.8296002499999999</v>
      </c>
      <c r="AF267" s="472">
        <v>14.753629508391688</v>
      </c>
      <c r="AG267" s="172">
        <f t="shared" si="14"/>
        <v>9.7793626802876368</v>
      </c>
      <c r="AH267" s="253">
        <f t="shared" si="12"/>
        <v>202312</v>
      </c>
    </row>
    <row r="268" spans="3:36" ht="15.75" hidden="1">
      <c r="C268" s="237">
        <v>45276</v>
      </c>
      <c r="D268" s="471">
        <v>355263</v>
      </c>
      <c r="E268" s="471">
        <v>34811</v>
      </c>
      <c r="F268" s="471">
        <v>23889.55</v>
      </c>
      <c r="G268" s="471">
        <v>3556</v>
      </c>
      <c r="H268" s="471">
        <v>2527</v>
      </c>
      <c r="I268" s="470">
        <v>170200</v>
      </c>
      <c r="J268" s="471">
        <v>178284.72</v>
      </c>
      <c r="K268" s="471">
        <v>50332.342649999999</v>
      </c>
      <c r="L268" s="471">
        <v>0</v>
      </c>
      <c r="M268" s="471">
        <v>400595</v>
      </c>
      <c r="N268" s="471">
        <v>8927</v>
      </c>
      <c r="O268" s="471">
        <v>6221</v>
      </c>
      <c r="P268" s="471">
        <v>49.752317999999995</v>
      </c>
      <c r="Q268" s="337">
        <v>0</v>
      </c>
      <c r="R268" s="167">
        <f t="shared" si="13"/>
        <v>151126.9017056</v>
      </c>
      <c r="S268" s="473">
        <v>11.079522125347237</v>
      </c>
      <c r="T268" s="473">
        <v>0.36440600000000001</v>
      </c>
      <c r="U268" s="473">
        <v>3.9402854901783111E-3</v>
      </c>
      <c r="V268" s="473">
        <v>1.2E-2</v>
      </c>
      <c r="W268" s="473">
        <v>0.31083999999999995</v>
      </c>
      <c r="X268" s="332">
        <v>13.071</v>
      </c>
      <c r="Y268" s="473">
        <v>12.075788000000001</v>
      </c>
      <c r="Z268" s="473"/>
      <c r="AA268" s="473"/>
      <c r="AB268" s="473">
        <v>0</v>
      </c>
      <c r="AC268" s="473">
        <v>0.24550682860112077</v>
      </c>
      <c r="AD268" s="473">
        <v>6.5638388546412685E-2</v>
      </c>
      <c r="AE268" s="473">
        <v>1.82510025</v>
      </c>
      <c r="AF268" s="473">
        <v>14.662704199667559</v>
      </c>
      <c r="AG268" s="172">
        <f t="shared" si="14"/>
        <v>9.7950455939468188</v>
      </c>
      <c r="AH268" s="253">
        <f t="shared" si="12"/>
        <v>202312</v>
      </c>
    </row>
    <row r="269" spans="3:36" ht="15.75" hidden="1">
      <c r="C269" s="235">
        <v>45277</v>
      </c>
      <c r="D269" s="469">
        <v>356878</v>
      </c>
      <c r="E269" s="469">
        <v>35434</v>
      </c>
      <c r="F269" s="469">
        <v>23924.01</v>
      </c>
      <c r="G269" s="469">
        <v>3570</v>
      </c>
      <c r="H269" s="469">
        <v>2534</v>
      </c>
      <c r="I269" s="470">
        <v>170200</v>
      </c>
      <c r="J269" s="469">
        <v>178061.52000000002</v>
      </c>
      <c r="K269" s="469">
        <v>49012.085070000001</v>
      </c>
      <c r="L269" s="469">
        <v>0</v>
      </c>
      <c r="M269" s="469">
        <v>401331</v>
      </c>
      <c r="N269" s="469">
        <v>9146</v>
      </c>
      <c r="O269" s="469">
        <v>4086.0000000000005</v>
      </c>
      <c r="P269" s="469">
        <v>161.710758</v>
      </c>
      <c r="Q269" s="337">
        <v>0</v>
      </c>
      <c r="R269" s="167">
        <f t="shared" si="13"/>
        <v>150232.35510859999</v>
      </c>
      <c r="S269" s="472">
        <v>10.153278946161228</v>
      </c>
      <c r="T269" s="472">
        <v>0.35994799999999999</v>
      </c>
      <c r="U269" s="472">
        <v>3.8938742223493328E-3</v>
      </c>
      <c r="V269" s="472">
        <v>1.2E-2</v>
      </c>
      <c r="W269" s="472">
        <v>0.32161000000000001</v>
      </c>
      <c r="X269" s="332">
        <v>13.071</v>
      </c>
      <c r="Y269" s="472">
        <v>11.986495000000001</v>
      </c>
      <c r="Z269" s="472"/>
      <c r="AA269" s="472"/>
      <c r="AB269" s="472">
        <v>0</v>
      </c>
      <c r="AC269" s="472">
        <v>0.24635633319835645</v>
      </c>
      <c r="AD269" s="472">
        <v>6.6572843603371956E-2</v>
      </c>
      <c r="AE269" s="472">
        <v>1.83100025</v>
      </c>
      <c r="AF269" s="472">
        <v>14.662477665108298</v>
      </c>
      <c r="AG269" s="172">
        <f t="shared" si="14"/>
        <v>9.7630507652735492</v>
      </c>
      <c r="AH269" s="253">
        <f t="shared" si="12"/>
        <v>202312</v>
      </c>
      <c r="AI269" t="s">
        <v>1102</v>
      </c>
      <c r="AJ269" t="s">
        <v>1396</v>
      </c>
    </row>
    <row r="270" spans="3:36" ht="15.75" hidden="1">
      <c r="C270" s="237">
        <v>45278</v>
      </c>
      <c r="D270" s="471">
        <v>349584</v>
      </c>
      <c r="E270" s="471">
        <v>35340</v>
      </c>
      <c r="F270" s="471">
        <v>23878.1</v>
      </c>
      <c r="G270" s="471">
        <v>3564</v>
      </c>
      <c r="H270" s="471">
        <v>2505</v>
      </c>
      <c r="I270" s="470">
        <v>170200</v>
      </c>
      <c r="J270" s="471">
        <v>175918.80000000002</v>
      </c>
      <c r="K270" s="471">
        <v>49213.735940000006</v>
      </c>
      <c r="L270" s="471">
        <v>0</v>
      </c>
      <c r="M270" s="471">
        <v>378950</v>
      </c>
      <c r="N270" s="471">
        <v>9062</v>
      </c>
      <c r="O270" s="471">
        <v>3146</v>
      </c>
      <c r="P270" s="471">
        <v>164.541168</v>
      </c>
      <c r="Q270" s="337">
        <v>0</v>
      </c>
      <c r="R270" s="167">
        <f t="shared" si="13"/>
        <v>148188.44591059998</v>
      </c>
      <c r="S270" s="473">
        <v>10.683369814836313</v>
      </c>
      <c r="T270" s="473">
        <v>0.36112100000000003</v>
      </c>
      <c r="U270" s="473">
        <v>3.9815714136039668E-3</v>
      </c>
      <c r="V270" s="473">
        <v>1.2E-2</v>
      </c>
      <c r="W270" s="473">
        <v>0.31735000000000002</v>
      </c>
      <c r="X270" s="332">
        <v>13.071</v>
      </c>
      <c r="Y270" s="473">
        <v>11.975638</v>
      </c>
      <c r="Z270" s="473"/>
      <c r="AA270" s="473"/>
      <c r="AB270" s="473">
        <v>0</v>
      </c>
      <c r="AC270" s="473">
        <v>0.24833851059190645</v>
      </c>
      <c r="AD270" s="473">
        <v>6.8356803257566962E-2</v>
      </c>
      <c r="AE270" s="473">
        <v>1.83070025</v>
      </c>
      <c r="AF270" s="473">
        <v>14.66295905104673</v>
      </c>
      <c r="AG270" s="172">
        <f t="shared" si="14"/>
        <v>9.769469601358324</v>
      </c>
      <c r="AH270" s="253">
        <f t="shared" si="12"/>
        <v>202312</v>
      </c>
      <c r="AI270" t="s">
        <v>1398</v>
      </c>
      <c r="AJ270" t="s">
        <v>1397</v>
      </c>
    </row>
    <row r="271" spans="3:36" ht="15.75" hidden="1">
      <c r="C271" s="235">
        <v>45279</v>
      </c>
      <c r="D271" s="469">
        <v>319051</v>
      </c>
      <c r="E271" s="469">
        <v>34585</v>
      </c>
      <c r="F271" s="469">
        <v>23831.29</v>
      </c>
      <c r="G271" s="469">
        <v>3526</v>
      </c>
      <c r="H271" s="469">
        <v>2519</v>
      </c>
      <c r="I271" s="470">
        <v>170200</v>
      </c>
      <c r="J271" s="469">
        <v>168300.24000000002</v>
      </c>
      <c r="K271" s="469">
        <v>50337.073770000003</v>
      </c>
      <c r="L271" s="469">
        <v>0</v>
      </c>
      <c r="M271" s="469">
        <v>358544</v>
      </c>
      <c r="N271" s="469">
        <v>8914</v>
      </c>
      <c r="O271" s="469">
        <v>3495</v>
      </c>
      <c r="P271" s="469">
        <v>105.920232</v>
      </c>
      <c r="Q271" s="337">
        <v>0</v>
      </c>
      <c r="R271" s="167">
        <f t="shared" si="13"/>
        <v>144822.22604690003</v>
      </c>
      <c r="S271" s="472">
        <v>10.136005686017437</v>
      </c>
      <c r="T271" s="472">
        <v>0.357574</v>
      </c>
      <c r="U271" s="472">
        <v>3.8992827349517336E-3</v>
      </c>
      <c r="V271" s="472">
        <v>1.2E-2</v>
      </c>
      <c r="W271" s="472">
        <v>0.31043999999999999</v>
      </c>
      <c r="X271" s="332">
        <v>13.071</v>
      </c>
      <c r="Y271" s="472">
        <v>11.833767999999999</v>
      </c>
      <c r="Z271" s="472"/>
      <c r="AA271" s="472"/>
      <c r="AB271" s="472">
        <v>0</v>
      </c>
      <c r="AC271" s="472">
        <v>0.24975435158729933</v>
      </c>
      <c r="AD271" s="472">
        <v>6.9347891954341948E-2</v>
      </c>
      <c r="AE271" s="472">
        <v>1.8284002500000001</v>
      </c>
      <c r="AF271" s="472">
        <v>14.663638654724519</v>
      </c>
      <c r="AG271" s="172">
        <f t="shared" si="14"/>
        <v>9.7116467085209788</v>
      </c>
      <c r="AH271" s="253">
        <f t="shared" si="12"/>
        <v>202312</v>
      </c>
      <c r="AI271" t="s">
        <v>1116</v>
      </c>
      <c r="AJ271" t="s">
        <v>1399</v>
      </c>
    </row>
    <row r="272" spans="3:36" ht="15.75" hidden="1">
      <c r="C272" s="237">
        <v>45280</v>
      </c>
      <c r="D272" s="471">
        <v>368617</v>
      </c>
      <c r="E272" s="471">
        <v>34981</v>
      </c>
      <c r="F272" s="471">
        <v>23759.5</v>
      </c>
      <c r="G272" s="471">
        <v>3543</v>
      </c>
      <c r="H272" s="471">
        <v>2534</v>
      </c>
      <c r="I272" s="470">
        <v>170200</v>
      </c>
      <c r="J272" s="471">
        <v>172385</v>
      </c>
      <c r="K272" s="471">
        <v>49520.885829999999</v>
      </c>
      <c r="L272" s="471">
        <v>0</v>
      </c>
      <c r="M272" s="471">
        <v>369335</v>
      </c>
      <c r="N272" s="471">
        <v>9056</v>
      </c>
      <c r="O272" s="471">
        <v>4119</v>
      </c>
      <c r="P272" s="471">
        <v>198.191598</v>
      </c>
      <c r="Q272" s="337">
        <v>0</v>
      </c>
      <c r="R272" s="167">
        <f t="shared" si="13"/>
        <v>147643.74037660001</v>
      </c>
      <c r="S272" s="473">
        <v>10.746799491429909</v>
      </c>
      <c r="T272" s="473">
        <v>0.35511399999999999</v>
      </c>
      <c r="U272" s="473">
        <v>3.9415314302542566E-3</v>
      </c>
      <c r="V272" s="473">
        <v>1.2E-2</v>
      </c>
      <c r="W272" s="473">
        <v>0.31098000000000003</v>
      </c>
      <c r="X272" s="332">
        <v>13.071</v>
      </c>
      <c r="Y272" s="473">
        <v>11.72</v>
      </c>
      <c r="Z272" s="473"/>
      <c r="AA272" s="473"/>
      <c r="AB272" s="473">
        <v>0</v>
      </c>
      <c r="AC272" s="473">
        <v>0.24210881021217795</v>
      </c>
      <c r="AD272" s="473">
        <v>6.8894822835816244E-2</v>
      </c>
      <c r="AE272" s="473">
        <v>1.8257002499999999</v>
      </c>
      <c r="AF272" s="473">
        <v>14.663751922004151</v>
      </c>
      <c r="AG272" s="172">
        <f t="shared" si="14"/>
        <v>9.6938637577515827</v>
      </c>
      <c r="AH272" s="253">
        <f t="shared" si="12"/>
        <v>202312</v>
      </c>
      <c r="AI272" t="s">
        <v>1116</v>
      </c>
      <c r="AJ272" t="s">
        <v>1400</v>
      </c>
    </row>
    <row r="273" spans="3:36" ht="15.75" hidden="1">
      <c r="C273" s="235">
        <v>45281</v>
      </c>
      <c r="D273" s="469">
        <v>372201</v>
      </c>
      <c r="E273" s="469">
        <v>34704</v>
      </c>
      <c r="F273" s="469">
        <v>23731.73</v>
      </c>
      <c r="G273" s="469">
        <v>3541</v>
      </c>
      <c r="H273" s="469">
        <v>2503</v>
      </c>
      <c r="I273" s="470">
        <v>170200</v>
      </c>
      <c r="J273" s="469">
        <v>178582</v>
      </c>
      <c r="K273" s="469">
        <v>45541.085939999997</v>
      </c>
      <c r="L273" s="469">
        <v>0</v>
      </c>
      <c r="M273" s="469">
        <v>369960</v>
      </c>
      <c r="N273" s="469">
        <v>9061</v>
      </c>
      <c r="O273" s="469">
        <v>3053</v>
      </c>
      <c r="P273" s="469">
        <v>76.924254000000005</v>
      </c>
      <c r="Q273" s="337">
        <v>0</v>
      </c>
      <c r="R273" s="167">
        <f t="shared" si="13"/>
        <v>147761.1514993</v>
      </c>
      <c r="S273" s="472">
        <v>10.865446966843836</v>
      </c>
      <c r="T273" s="472">
        <v>0.36004999999999998</v>
      </c>
      <c r="U273" s="472">
        <v>3.8629522550099535E-3</v>
      </c>
      <c r="V273" s="472">
        <v>1.2E-2</v>
      </c>
      <c r="W273" s="472">
        <v>0.30331000000000002</v>
      </c>
      <c r="X273" s="332">
        <v>13.071</v>
      </c>
      <c r="Y273" s="472">
        <v>11.84</v>
      </c>
      <c r="Z273" s="472"/>
      <c r="AA273" s="472"/>
      <c r="AB273" s="472">
        <v>0</v>
      </c>
      <c r="AC273" s="472">
        <v>0.24522366040204219</v>
      </c>
      <c r="AD273" s="472">
        <v>6.9914228352499094E-2</v>
      </c>
      <c r="AE273" s="472">
        <v>1.82730025</v>
      </c>
      <c r="AF273" s="472">
        <v>14.66335548652544</v>
      </c>
      <c r="AG273" s="172">
        <f t="shared" si="14"/>
        <v>9.72281523070715</v>
      </c>
      <c r="AH273" s="253">
        <f t="shared" si="12"/>
        <v>202312</v>
      </c>
      <c r="AI273" t="s">
        <v>1401</v>
      </c>
      <c r="AJ273" t="s">
        <v>1402</v>
      </c>
    </row>
    <row r="274" spans="3:36" ht="15.75" hidden="1">
      <c r="C274" s="237">
        <v>45282</v>
      </c>
      <c r="D274" s="471">
        <v>348860</v>
      </c>
      <c r="E274" s="471">
        <v>34704</v>
      </c>
      <c r="F274" s="471">
        <v>23706.47</v>
      </c>
      <c r="G274" s="471">
        <v>3558</v>
      </c>
      <c r="H274" s="471">
        <v>2505</v>
      </c>
      <c r="I274" s="470">
        <v>170200</v>
      </c>
      <c r="J274" s="471">
        <v>176997.6</v>
      </c>
      <c r="K274" s="471">
        <v>44446.409999999996</v>
      </c>
      <c r="L274" s="471">
        <v>0</v>
      </c>
      <c r="M274" s="471">
        <v>386163</v>
      </c>
      <c r="N274" s="471">
        <v>9069</v>
      </c>
      <c r="O274" s="471">
        <v>2629</v>
      </c>
      <c r="P274" s="471">
        <v>150.57781199999999</v>
      </c>
      <c r="Q274" s="337">
        <v>0</v>
      </c>
      <c r="R274" s="167">
        <f t="shared" si="13"/>
        <v>147041.72351539999</v>
      </c>
      <c r="S274" s="559">
        <v>10.865446966843836</v>
      </c>
      <c r="T274" s="473">
        <v>0.34793600000000002</v>
      </c>
      <c r="U274" s="473">
        <v>3.8807918515519034E-3</v>
      </c>
      <c r="V274" s="473">
        <v>1.2E-2</v>
      </c>
      <c r="W274" s="473">
        <v>0.31508999999999998</v>
      </c>
      <c r="X274" s="332">
        <v>13.071</v>
      </c>
      <c r="Y274" s="473">
        <v>11.988605999999999</v>
      </c>
      <c r="Z274" s="473"/>
      <c r="AA274" s="473"/>
      <c r="AB274" s="473">
        <v>0</v>
      </c>
      <c r="AC274" s="473">
        <v>0.23927712822139219</v>
      </c>
      <c r="AD274" s="473">
        <v>7.0933633869181945E-2</v>
      </c>
      <c r="AE274" s="473">
        <v>1.82110025</v>
      </c>
      <c r="AF274" s="473">
        <v>14.663327169705534</v>
      </c>
      <c r="AG274" s="172">
        <f t="shared" si="14"/>
        <v>9.7669333282321453</v>
      </c>
      <c r="AH274" s="253">
        <f t="shared" si="12"/>
        <v>202312</v>
      </c>
    </row>
    <row r="275" spans="3:36" ht="15.75" hidden="1">
      <c r="C275" s="235">
        <v>45283</v>
      </c>
      <c r="D275" s="469">
        <v>357208</v>
      </c>
      <c r="E275" s="469">
        <v>34818</v>
      </c>
      <c r="F275" s="469">
        <v>23686.94</v>
      </c>
      <c r="G275" s="469">
        <v>3551</v>
      </c>
      <c r="H275" s="469">
        <v>2526</v>
      </c>
      <c r="I275" s="470">
        <v>170200</v>
      </c>
      <c r="J275" s="469">
        <v>176744.64</v>
      </c>
      <c r="K275" s="469">
        <v>49159.517100000005</v>
      </c>
      <c r="L275" s="469">
        <v>0</v>
      </c>
      <c r="M275" s="469">
        <v>410915</v>
      </c>
      <c r="N275" s="469">
        <v>6060</v>
      </c>
      <c r="O275" s="469">
        <v>1026</v>
      </c>
      <c r="P275" s="469">
        <v>112.650318</v>
      </c>
      <c r="Q275" s="337">
        <v>0</v>
      </c>
      <c r="R275" s="167">
        <f t="shared" si="13"/>
        <v>148382.50111809999</v>
      </c>
      <c r="S275" s="559">
        <v>10.865446966843836</v>
      </c>
      <c r="T275" s="472">
        <v>0.34571499999999999</v>
      </c>
      <c r="U275" s="472">
        <v>3.8945255092072135E-3</v>
      </c>
      <c r="V275" s="472">
        <v>1.2E-2</v>
      </c>
      <c r="W275" s="472">
        <v>0.30598999999999998</v>
      </c>
      <c r="X275" s="332">
        <v>13.071</v>
      </c>
      <c r="Y275" s="472">
        <v>11.837647</v>
      </c>
      <c r="Z275" s="472"/>
      <c r="AA275" s="472"/>
      <c r="AB275" s="472">
        <v>0</v>
      </c>
      <c r="AC275" s="472">
        <v>0.18632467499369951</v>
      </c>
      <c r="AD275" s="472">
        <v>7.0367297471024812E-2</v>
      </c>
      <c r="AE275" s="472">
        <v>1.8244002500000001</v>
      </c>
      <c r="AF275" s="472">
        <v>14.662930734226823</v>
      </c>
      <c r="AG275" s="172">
        <f t="shared" si="14"/>
        <v>9.7133602333468154</v>
      </c>
      <c r="AH275" s="253">
        <f t="shared" si="12"/>
        <v>202312</v>
      </c>
    </row>
    <row r="276" spans="3:36" ht="15.75" hidden="1">
      <c r="C276" s="237">
        <v>45284</v>
      </c>
      <c r="D276" s="471">
        <v>357117</v>
      </c>
      <c r="E276" s="471">
        <v>34541</v>
      </c>
      <c r="F276" s="471">
        <v>23683.85</v>
      </c>
      <c r="G276" s="471">
        <v>3556</v>
      </c>
      <c r="H276" s="471">
        <v>2539</v>
      </c>
      <c r="I276" s="470">
        <v>170200</v>
      </c>
      <c r="J276" s="471">
        <v>177101.76</v>
      </c>
      <c r="K276" s="471">
        <v>48733.169550000006</v>
      </c>
      <c r="L276" s="471">
        <v>0</v>
      </c>
      <c r="M276" s="471">
        <v>407728</v>
      </c>
      <c r="N276" s="471">
        <v>6078</v>
      </c>
      <c r="O276" s="471">
        <v>4542</v>
      </c>
      <c r="P276" s="471">
        <v>175.98860399999998</v>
      </c>
      <c r="Q276" s="337">
        <v>0</v>
      </c>
      <c r="R276" s="167">
        <f t="shared" si="13"/>
        <v>149614.61255929995</v>
      </c>
      <c r="S276" s="473">
        <v>9.932407750879948</v>
      </c>
      <c r="T276" s="473">
        <v>0.35045100000000001</v>
      </c>
      <c r="U276" s="473">
        <v>3.8784132386796431E-3</v>
      </c>
      <c r="V276" s="473">
        <v>1.2E-2</v>
      </c>
      <c r="W276" s="473">
        <v>0.31505</v>
      </c>
      <c r="X276" s="332">
        <v>13.071</v>
      </c>
      <c r="Y276" s="473">
        <v>12.064456</v>
      </c>
      <c r="Z276" s="473"/>
      <c r="AA276" s="473"/>
      <c r="AB276" s="473">
        <v>0</v>
      </c>
      <c r="AC276" s="473">
        <v>0.21011080371629942</v>
      </c>
      <c r="AD276" s="473">
        <v>7.0650465670103385E-2</v>
      </c>
      <c r="AE276" s="473">
        <v>1.8184002500000001</v>
      </c>
      <c r="AF276" s="473">
        <v>14.662817466947191</v>
      </c>
      <c r="AG276" s="172">
        <f t="shared" si="14"/>
        <v>9.76111529487026</v>
      </c>
      <c r="AH276" s="253">
        <f t="shared" si="12"/>
        <v>202312</v>
      </c>
    </row>
    <row r="277" spans="3:36" ht="15.75" hidden="1">
      <c r="C277" s="235">
        <v>45285</v>
      </c>
      <c r="D277" s="469">
        <v>342701</v>
      </c>
      <c r="E277" s="469">
        <v>34208</v>
      </c>
      <c r="F277" s="469">
        <v>23673.66</v>
      </c>
      <c r="G277" s="469">
        <v>3511</v>
      </c>
      <c r="H277" s="469">
        <v>2464</v>
      </c>
      <c r="I277" s="470">
        <v>170200</v>
      </c>
      <c r="J277" s="469">
        <v>177458.88</v>
      </c>
      <c r="K277" s="469">
        <v>49246.227610000002</v>
      </c>
      <c r="L277" s="469">
        <v>0</v>
      </c>
      <c r="M277" s="469">
        <v>386843</v>
      </c>
      <c r="N277" s="469">
        <v>8101.0000000000009</v>
      </c>
      <c r="O277" s="469">
        <v>0</v>
      </c>
      <c r="P277" s="469">
        <v>76.106579999999994</v>
      </c>
      <c r="Q277" s="337">
        <v>0</v>
      </c>
      <c r="R277" s="167">
        <f t="shared" si="13"/>
        <v>146833.55876349998</v>
      </c>
      <c r="S277" s="472">
        <v>13.492681517894811</v>
      </c>
      <c r="T277" s="472">
        <v>0.34925099999999998</v>
      </c>
      <c r="U277" s="472">
        <v>3.7490903221604598E-3</v>
      </c>
      <c r="V277" s="472">
        <v>1.2E-2</v>
      </c>
      <c r="W277" s="472">
        <v>0.31795999999999996</v>
      </c>
      <c r="X277" s="332">
        <v>13.071</v>
      </c>
      <c r="Y277" s="472">
        <v>12.038981</v>
      </c>
      <c r="Z277" s="472"/>
      <c r="AA277" s="472"/>
      <c r="AB277" s="472">
        <v>0</v>
      </c>
      <c r="AC277" s="472">
        <v>0.24040980101770651</v>
      </c>
      <c r="AD277" s="472">
        <v>6.6771061342726964E-2</v>
      </c>
      <c r="AE277" s="472">
        <v>1.81880025</v>
      </c>
      <c r="AF277" s="472">
        <v>14.662222813729127</v>
      </c>
      <c r="AG277" s="172">
        <f t="shared" si="14"/>
        <v>9.841089629771874</v>
      </c>
      <c r="AH277" s="253">
        <f t="shared" si="12"/>
        <v>202312</v>
      </c>
      <c r="AJ277" t="s">
        <v>1403</v>
      </c>
    </row>
    <row r="278" spans="3:36" ht="15.75" hidden="1">
      <c r="C278" s="237">
        <v>45286</v>
      </c>
      <c r="D278" s="471">
        <v>345679</v>
      </c>
      <c r="E278" s="471">
        <v>34742</v>
      </c>
      <c r="F278" s="471">
        <v>23667.18</v>
      </c>
      <c r="G278" s="471">
        <v>3500</v>
      </c>
      <c r="H278" s="471">
        <v>2459</v>
      </c>
      <c r="I278" s="470">
        <v>170200</v>
      </c>
      <c r="J278" s="471">
        <v>176573.52000000002</v>
      </c>
      <c r="K278" s="471">
        <v>46205.942499999997</v>
      </c>
      <c r="L278" s="471">
        <v>0</v>
      </c>
      <c r="M278" s="471">
        <v>372468</v>
      </c>
      <c r="N278" s="471">
        <v>8080</v>
      </c>
      <c r="O278" s="471">
        <v>5211</v>
      </c>
      <c r="P278" s="471">
        <v>146.300748</v>
      </c>
      <c r="Q278" s="337">
        <v>0</v>
      </c>
      <c r="R278" s="167">
        <f t="shared" si="13"/>
        <v>147579.90706159998</v>
      </c>
      <c r="S278" s="473">
        <v>14.270261392564567</v>
      </c>
      <c r="T278" s="473">
        <v>0.351518</v>
      </c>
      <c r="U278" s="473">
        <v>3.8337859305048608E-3</v>
      </c>
      <c r="V278" s="473">
        <v>1.2E-2</v>
      </c>
      <c r="W278" s="473">
        <v>0.31801999999999997</v>
      </c>
      <c r="X278" s="332">
        <v>13.071</v>
      </c>
      <c r="Y278" s="473">
        <v>11.974067</v>
      </c>
      <c r="Z278" s="473"/>
      <c r="AA278" s="473"/>
      <c r="AB278" s="473">
        <v>0</v>
      </c>
      <c r="AC278" s="473">
        <v>0.23616227803152792</v>
      </c>
      <c r="AD278" s="473">
        <v>6.8809872376092679E-2</v>
      </c>
      <c r="AE278" s="473">
        <v>1.81320025</v>
      </c>
      <c r="AF278" s="473">
        <v>14.664204991122675</v>
      </c>
      <c r="AG278" s="172">
        <f t="shared" si="14"/>
        <v>9.841070728844354</v>
      </c>
      <c r="AH278" s="253">
        <f t="shared" si="12"/>
        <v>202312</v>
      </c>
      <c r="AJ278" t="s">
        <v>1404</v>
      </c>
    </row>
    <row r="279" spans="3:36" ht="15.75" hidden="1">
      <c r="C279" s="235">
        <v>45287</v>
      </c>
      <c r="D279" s="469">
        <v>343528</v>
      </c>
      <c r="E279" s="469">
        <v>34780</v>
      </c>
      <c r="F279" s="469">
        <v>23661.279999999999</v>
      </c>
      <c r="G279" s="469">
        <v>3502</v>
      </c>
      <c r="H279" s="469">
        <v>2466</v>
      </c>
      <c r="I279" s="470">
        <v>170200</v>
      </c>
      <c r="J279" s="469">
        <v>175636.08000000002</v>
      </c>
      <c r="K279" s="469">
        <v>48295.281329999998</v>
      </c>
      <c r="L279" s="469">
        <v>0</v>
      </c>
      <c r="M279" s="469">
        <v>348723</v>
      </c>
      <c r="N279" s="469">
        <v>4000</v>
      </c>
      <c r="O279" s="469">
        <v>4321</v>
      </c>
      <c r="P279" s="469">
        <v>114.28566600000001</v>
      </c>
      <c r="Q279" s="337">
        <v>0</v>
      </c>
      <c r="R279" s="167">
        <f t="shared" si="13"/>
        <v>146053.94248220001</v>
      </c>
      <c r="S279" s="472">
        <v>9.1228298697143106</v>
      </c>
      <c r="T279" s="472">
        <v>0.35439799999999999</v>
      </c>
      <c r="U279" s="472">
        <v>3.7880542663536712E-3</v>
      </c>
      <c r="V279" s="472">
        <v>1.2E-2</v>
      </c>
      <c r="W279" s="472">
        <v>0.31617000000000001</v>
      </c>
      <c r="X279" s="332">
        <v>13.071</v>
      </c>
      <c r="Y279" s="472">
        <v>12.121036999999999</v>
      </c>
      <c r="Z279" s="472"/>
      <c r="AA279" s="472"/>
      <c r="AB279" s="472">
        <v>0</v>
      </c>
      <c r="AC279" s="472">
        <v>3.4829688486664193E-2</v>
      </c>
      <c r="AD279" s="472">
        <v>6.9093040575171238E-2</v>
      </c>
      <c r="AE279" s="472">
        <v>1.8199002500000001</v>
      </c>
      <c r="AF279" s="472">
        <v>14.661741427790693</v>
      </c>
      <c r="AG279" s="172">
        <f t="shared" si="14"/>
        <v>9.739835725164868</v>
      </c>
      <c r="AH279" s="253">
        <f t="shared" si="12"/>
        <v>202312</v>
      </c>
      <c r="AJ279" t="s">
        <v>1406</v>
      </c>
    </row>
    <row r="280" spans="3:36" ht="15.75" hidden="1">
      <c r="C280" s="237">
        <v>45288</v>
      </c>
      <c r="D280" s="471">
        <v>349355</v>
      </c>
      <c r="E280" s="471">
        <v>34409</v>
      </c>
      <c r="F280" s="471">
        <v>23672.26</v>
      </c>
      <c r="G280" s="471">
        <v>3416</v>
      </c>
      <c r="H280" s="471">
        <v>2443</v>
      </c>
      <c r="I280" s="470">
        <v>170200</v>
      </c>
      <c r="J280" s="471">
        <v>174884.64</v>
      </c>
      <c r="K280" s="471">
        <v>48589.544050000004</v>
      </c>
      <c r="L280" s="471">
        <v>0</v>
      </c>
      <c r="M280" s="471">
        <v>343132</v>
      </c>
      <c r="N280" s="471">
        <v>4002</v>
      </c>
      <c r="O280" s="471">
        <v>4009.0000000000005</v>
      </c>
      <c r="P280" s="471">
        <v>106.23472199999999</v>
      </c>
      <c r="Q280" s="337">
        <v>0</v>
      </c>
      <c r="R280" s="167">
        <f t="shared" si="13"/>
        <v>145556.41053740002</v>
      </c>
      <c r="S280" s="473">
        <v>9.0962120590009263</v>
      </c>
      <c r="T280" s="473">
        <v>0.35270600000000002</v>
      </c>
      <c r="U280" s="473">
        <v>3.7080309332940672E-3</v>
      </c>
      <c r="V280" s="473">
        <v>1.2E-2</v>
      </c>
      <c r="W280" s="473">
        <v>0.31380999999999998</v>
      </c>
      <c r="X280" s="332">
        <v>13.071</v>
      </c>
      <c r="Y280" s="473">
        <v>12.040246999999999</v>
      </c>
      <c r="Z280" s="473"/>
      <c r="AA280" s="473">
        <v>0</v>
      </c>
      <c r="AB280" s="473">
        <v>0</v>
      </c>
      <c r="AC280" s="473">
        <v>1.3875241754849962E-2</v>
      </c>
      <c r="AD280" s="473">
        <v>6.7054229541805524E-2</v>
      </c>
      <c r="AE280" s="473">
        <v>1.81520025</v>
      </c>
      <c r="AF280" s="473">
        <v>14.617737089653883</v>
      </c>
      <c r="AG280" s="172">
        <f t="shared" si="14"/>
        <v>9.7026263463671434</v>
      </c>
      <c r="AH280" s="253">
        <f t="shared" si="12"/>
        <v>202312</v>
      </c>
    </row>
    <row r="281" spans="3:36" ht="15.75" hidden="1">
      <c r="C281" s="235">
        <v>45289</v>
      </c>
      <c r="D281" s="469">
        <v>348004</v>
      </c>
      <c r="E281" s="469">
        <v>34340</v>
      </c>
      <c r="F281" s="469">
        <v>7313.94</v>
      </c>
      <c r="G281" s="469">
        <v>3466</v>
      </c>
      <c r="H281" s="469">
        <v>2462</v>
      </c>
      <c r="I281" s="470">
        <v>170200</v>
      </c>
      <c r="J281" s="469">
        <v>175048.32000000001</v>
      </c>
      <c r="K281" s="469">
        <v>47456.258779999996</v>
      </c>
      <c r="L281" s="469">
        <v>0</v>
      </c>
      <c r="M281" s="469">
        <v>337197</v>
      </c>
      <c r="N281" s="469">
        <v>6010</v>
      </c>
      <c r="O281" s="469">
        <v>3411</v>
      </c>
      <c r="P281" s="469">
        <v>165.17014800000001</v>
      </c>
      <c r="Q281" s="337">
        <v>0</v>
      </c>
      <c r="R281" s="167">
        <f t="shared" si="13"/>
        <v>133629.7848616</v>
      </c>
      <c r="S281" s="472">
        <v>9.2100456750305071</v>
      </c>
      <c r="T281" s="472">
        <v>0.34124700000000002</v>
      </c>
      <c r="U281" s="472">
        <v>2.2292699640659554E-3</v>
      </c>
      <c r="V281" s="472">
        <v>1.2E-2</v>
      </c>
      <c r="W281" s="472">
        <v>0.31501000000000001</v>
      </c>
      <c r="X281" s="332">
        <v>13.071</v>
      </c>
      <c r="Y281" s="472">
        <v>11.989656</v>
      </c>
      <c r="Z281" s="472"/>
      <c r="AA281" s="472"/>
      <c r="AB281" s="561">
        <v>0</v>
      </c>
      <c r="AC281" s="472">
        <v>0.16480389186372812</v>
      </c>
      <c r="AD281" s="472">
        <v>6.4392448470466976E-2</v>
      </c>
      <c r="AE281" s="472">
        <v>1.82080025</v>
      </c>
      <c r="AF281" s="472">
        <v>14.603861847899033</v>
      </c>
      <c r="AG281" s="172">
        <f t="shared" si="14"/>
        <v>9.7048718282040838</v>
      </c>
      <c r="AH281" s="253">
        <f t="shared" si="12"/>
        <v>202312</v>
      </c>
      <c r="AJ281" t="s">
        <v>1407</v>
      </c>
    </row>
    <row r="282" spans="3:36" ht="15.75" hidden="1">
      <c r="C282" s="237">
        <v>45290</v>
      </c>
      <c r="D282" s="471">
        <v>344722</v>
      </c>
      <c r="E282" s="471">
        <v>33874</v>
      </c>
      <c r="F282" s="471">
        <v>19953.05</v>
      </c>
      <c r="G282" s="471">
        <v>3492</v>
      </c>
      <c r="H282" s="471">
        <v>2458</v>
      </c>
      <c r="I282" s="470">
        <v>170200</v>
      </c>
      <c r="J282" s="471">
        <v>174446.60256</v>
      </c>
      <c r="K282" s="471">
        <v>47658</v>
      </c>
      <c r="L282" s="471">
        <v>0</v>
      </c>
      <c r="M282" s="471">
        <v>346853</v>
      </c>
      <c r="N282" s="471">
        <v>8050.0000000000009</v>
      </c>
      <c r="O282" s="471">
        <v>3999</v>
      </c>
      <c r="P282" s="471">
        <v>67.80404399999999</v>
      </c>
      <c r="Q282" s="337">
        <v>0</v>
      </c>
      <c r="R282" s="167">
        <f t="shared" si="13"/>
        <v>142980.54168540001</v>
      </c>
      <c r="S282" s="473">
        <v>9.2199565619982575</v>
      </c>
      <c r="T282" s="473">
        <v>0.33818799999999999</v>
      </c>
      <c r="U282" s="473">
        <v>3.1439315639096464E-3</v>
      </c>
      <c r="V282" s="473">
        <v>1.2E-2</v>
      </c>
      <c r="W282" s="473">
        <v>0.31487999999999999</v>
      </c>
      <c r="X282" s="332">
        <v>13.071</v>
      </c>
      <c r="Y282" s="473">
        <v>11.960633</v>
      </c>
      <c r="Z282" s="473"/>
      <c r="AA282" s="473"/>
      <c r="AB282" s="561">
        <v>0</v>
      </c>
      <c r="AC282" s="473">
        <v>0.26278008874491354</v>
      </c>
      <c r="AD282" s="473">
        <v>6.7054229541805524E-2</v>
      </c>
      <c r="AE282" s="473">
        <v>1.82460025</v>
      </c>
      <c r="AF282" s="473">
        <v>13.576159502983176</v>
      </c>
      <c r="AG282" s="172">
        <f t="shared" si="14"/>
        <v>9.5360818182626996</v>
      </c>
      <c r="AH282" s="253">
        <f t="shared" si="12"/>
        <v>202312</v>
      </c>
      <c r="AJ282" t="s">
        <v>1405</v>
      </c>
    </row>
    <row r="283" spans="3:36" ht="15.75" hidden="1">
      <c r="C283" s="235">
        <v>45291</v>
      </c>
      <c r="D283" s="469">
        <v>347520</v>
      </c>
      <c r="E283" s="645">
        <v>14138</v>
      </c>
      <c r="F283" s="645">
        <v>21705.87</v>
      </c>
      <c r="G283" s="645">
        <v>3512</v>
      </c>
      <c r="H283" s="645">
        <v>2489</v>
      </c>
      <c r="I283" s="646">
        <v>170200</v>
      </c>
      <c r="J283" s="469">
        <v>175933.68000000002</v>
      </c>
      <c r="K283" s="469">
        <v>48283</v>
      </c>
      <c r="L283" s="645">
        <v>0</v>
      </c>
      <c r="M283" s="645">
        <v>389010</v>
      </c>
      <c r="N283" s="645">
        <v>9001</v>
      </c>
      <c r="O283" s="469">
        <v>3214</v>
      </c>
      <c r="P283" s="645">
        <v>148.18768799999998</v>
      </c>
      <c r="Q283" s="337">
        <v>0</v>
      </c>
      <c r="R283" s="167">
        <f t="shared" si="13"/>
        <v>141040.38225959998</v>
      </c>
      <c r="S283" s="472">
        <v>9.1687031179650393</v>
      </c>
      <c r="T283" s="648">
        <v>0.17085900000000001</v>
      </c>
      <c r="U283" s="648">
        <v>3.3688803812576633E-3</v>
      </c>
      <c r="V283" s="648">
        <v>1.2E-2</v>
      </c>
      <c r="W283" s="648">
        <v>0.31480000000000002</v>
      </c>
      <c r="X283" s="332">
        <v>13.071</v>
      </c>
      <c r="Y283" s="648">
        <v>11.977748</v>
      </c>
      <c r="Z283" s="648"/>
      <c r="AA283" s="648"/>
      <c r="AB283" s="647">
        <v>0</v>
      </c>
      <c r="AC283" s="648">
        <v>0.25824939755965642</v>
      </c>
      <c r="AD283" s="472">
        <v>6.4222547551019818E-2</v>
      </c>
      <c r="AE283" s="648">
        <v>1.81700025</v>
      </c>
      <c r="AF283" s="648">
        <v>13.602522462317392</v>
      </c>
      <c r="AG283" s="172">
        <f t="shared" si="14"/>
        <v>9.4936770521378016</v>
      </c>
      <c r="AH283" s="253">
        <f t="shared" si="12"/>
        <v>202312</v>
      </c>
      <c r="AJ283" t="s">
        <v>1408</v>
      </c>
    </row>
    <row r="284" spans="3:36" ht="15.75" hidden="1">
      <c r="C284" s="237">
        <v>45292</v>
      </c>
      <c r="D284" s="471">
        <v>345438</v>
      </c>
      <c r="E284" s="471">
        <v>20937</v>
      </c>
      <c r="F284" s="471">
        <v>10225.82</v>
      </c>
      <c r="G284" s="471">
        <v>3507</v>
      </c>
      <c r="H284" s="471">
        <v>2467</v>
      </c>
      <c r="I284" s="646">
        <v>170160</v>
      </c>
      <c r="J284" s="471">
        <v>175658.40000000002</v>
      </c>
      <c r="K284" s="471">
        <v>49962.68041999999</v>
      </c>
      <c r="L284" s="471">
        <v>0</v>
      </c>
      <c r="M284" s="471">
        <v>381176</v>
      </c>
      <c r="N284" s="471">
        <v>8505</v>
      </c>
      <c r="O284" s="471">
        <v>3767</v>
      </c>
      <c r="P284" s="471">
        <v>100.63679999999999</v>
      </c>
      <c r="Q284" s="337">
        <v>0</v>
      </c>
      <c r="R284" s="167">
        <f t="shared" si="13"/>
        <v>134939.71246499999</v>
      </c>
      <c r="S284" s="473">
        <v>9.0582675203243941</v>
      </c>
      <c r="T284" s="473">
        <v>0.21333299999999999</v>
      </c>
      <c r="U284" s="473">
        <v>1.5825137973705002E-3</v>
      </c>
      <c r="V284" s="473">
        <v>1.7000000000000001E-2</v>
      </c>
      <c r="W284" s="473">
        <v>0.31347000000000003</v>
      </c>
      <c r="X284" s="332">
        <v>13.494999999999999</v>
      </c>
      <c r="Y284" s="473">
        <v>12.076468999999999</v>
      </c>
      <c r="Z284" s="473"/>
      <c r="AA284" s="473"/>
      <c r="AB284" s="473">
        <v>0</v>
      </c>
      <c r="AC284" s="473">
        <v>0.2568335565642636</v>
      </c>
      <c r="AD284" s="473">
        <v>6.7139180001529103E-2</v>
      </c>
      <c r="AE284" s="473">
        <v>1.8102002500000001</v>
      </c>
      <c r="AF284" s="473">
        <v>14.481901304555892</v>
      </c>
      <c r="AG284" s="172">
        <f t="shared" si="14"/>
        <v>9.7604262868748357</v>
      </c>
      <c r="AH284" s="253">
        <f t="shared" si="12"/>
        <v>202401</v>
      </c>
      <c r="AJ284" t="s">
        <v>1409</v>
      </c>
    </row>
    <row r="285" spans="3:36" ht="15.75" hidden="1">
      <c r="C285" s="235">
        <v>45293</v>
      </c>
      <c r="D285" s="469">
        <v>336954</v>
      </c>
      <c r="E285" s="645">
        <v>26025</v>
      </c>
      <c r="F285" s="645">
        <v>19890.259999999998</v>
      </c>
      <c r="G285" s="645">
        <v>3426</v>
      </c>
      <c r="H285" s="645">
        <v>2466</v>
      </c>
      <c r="I285" s="646">
        <v>170160</v>
      </c>
      <c r="J285" s="645">
        <v>175100.40000000002</v>
      </c>
      <c r="K285" s="645">
        <v>49993.581639999997</v>
      </c>
      <c r="L285" s="645">
        <v>0</v>
      </c>
      <c r="M285" s="645">
        <v>388052</v>
      </c>
      <c r="N285" s="645">
        <v>6001</v>
      </c>
      <c r="O285" s="645">
        <v>2948</v>
      </c>
      <c r="P285" s="645">
        <v>180.95754599999998</v>
      </c>
      <c r="Q285" s="337">
        <v>0</v>
      </c>
      <c r="R285" s="167">
        <f t="shared" si="13"/>
        <v>142411.88970570001</v>
      </c>
      <c r="S285" s="648">
        <v>9.2627149600591281</v>
      </c>
      <c r="T285" s="648">
        <v>0.30387399999999998</v>
      </c>
      <c r="U285" s="648">
        <v>2.9186995783625513E-3</v>
      </c>
      <c r="V285" s="648">
        <v>1.7000000000000001E-2</v>
      </c>
      <c r="W285" s="648">
        <v>0.31219999999999998</v>
      </c>
      <c r="X285" s="332">
        <v>13.494999999999999</v>
      </c>
      <c r="Y285" s="648">
        <v>12.042598</v>
      </c>
      <c r="Z285" s="648"/>
      <c r="AA285" s="648"/>
      <c r="AB285" s="648">
        <v>0</v>
      </c>
      <c r="AC285" s="648">
        <v>0.22143753167944227</v>
      </c>
      <c r="AD285" s="648">
        <v>6.357126069313912E-2</v>
      </c>
      <c r="AE285" s="648">
        <v>1.81880025</v>
      </c>
      <c r="AF285" s="648">
        <v>14.567418100677619</v>
      </c>
      <c r="AG285" s="172">
        <f t="shared" si="14"/>
        <v>9.7935410876594098</v>
      </c>
      <c r="AH285" s="253">
        <f t="shared" si="12"/>
        <v>202401</v>
      </c>
    </row>
    <row r="286" spans="3:36" ht="15.75" hidden="1">
      <c r="C286" s="237">
        <v>45294</v>
      </c>
      <c r="D286" s="471">
        <v>325021</v>
      </c>
      <c r="E286" s="471">
        <v>26516</v>
      </c>
      <c r="F286" s="471">
        <v>23717.14</v>
      </c>
      <c r="G286" s="471">
        <v>3371</v>
      </c>
      <c r="H286" s="471">
        <v>2479</v>
      </c>
      <c r="I286" s="646">
        <v>170160</v>
      </c>
      <c r="J286" s="471">
        <v>175598.88</v>
      </c>
      <c r="K286" s="471">
        <v>47898.514990000003</v>
      </c>
      <c r="L286" s="471">
        <v>0</v>
      </c>
      <c r="M286" s="471">
        <v>395102</v>
      </c>
      <c r="N286" s="471">
        <v>7456</v>
      </c>
      <c r="O286" s="471">
        <v>3661</v>
      </c>
      <c r="P286" s="471">
        <v>79.188581999999997</v>
      </c>
      <c r="Q286" s="337">
        <v>0</v>
      </c>
      <c r="R286" s="167">
        <f t="shared" si="13"/>
        <v>145220.41550940002</v>
      </c>
      <c r="S286" s="473">
        <v>9.1443506528442846</v>
      </c>
      <c r="T286" s="473">
        <v>0.31048500000000001</v>
      </c>
      <c r="U286" s="473">
        <v>3.6474329386912527E-3</v>
      </c>
      <c r="V286" s="473">
        <v>1.7000000000000001E-2</v>
      </c>
      <c r="W286" s="473">
        <v>0.31118000000000001</v>
      </c>
      <c r="X286" s="332">
        <v>13.494999999999999</v>
      </c>
      <c r="Y286" s="473">
        <v>11.995471999999999</v>
      </c>
      <c r="Z286" s="473"/>
      <c r="AA286" s="561">
        <v>0</v>
      </c>
      <c r="AB286" s="473">
        <v>0</v>
      </c>
      <c r="AC286" s="473">
        <v>0.23984346461954936</v>
      </c>
      <c r="AD286" s="473">
        <v>6.4505715750098391E-2</v>
      </c>
      <c r="AE286" s="473">
        <v>1.9837002500000001</v>
      </c>
      <c r="AF286" s="473">
        <v>14.563708597269692</v>
      </c>
      <c r="AG286" s="172">
        <f t="shared" si="14"/>
        <v>9.8558020145818244</v>
      </c>
      <c r="AH286" s="253">
        <f t="shared" si="12"/>
        <v>202401</v>
      </c>
      <c r="AI286" t="s">
        <v>1481</v>
      </c>
      <c r="AJ286" t="s">
        <v>1482</v>
      </c>
    </row>
    <row r="287" spans="3:36" ht="15.75" hidden="1">
      <c r="C287" s="235">
        <v>45295</v>
      </c>
      <c r="D287" s="645">
        <v>331170</v>
      </c>
      <c r="E287" s="645">
        <v>30679</v>
      </c>
      <c r="F287" s="645">
        <v>23714.47</v>
      </c>
      <c r="G287" s="645">
        <v>3136</v>
      </c>
      <c r="H287" s="645">
        <v>2513</v>
      </c>
      <c r="I287" s="646">
        <v>170160</v>
      </c>
      <c r="J287" s="645">
        <v>175643.52000000002</v>
      </c>
      <c r="K287" s="645">
        <v>49455.231500000002</v>
      </c>
      <c r="L287" s="645">
        <v>0</v>
      </c>
      <c r="M287" s="645">
        <v>385456</v>
      </c>
      <c r="N287" s="645">
        <v>9048</v>
      </c>
      <c r="O287" s="645">
        <v>2799</v>
      </c>
      <c r="P287" s="645">
        <v>187.75053</v>
      </c>
      <c r="Q287" s="337">
        <v>0</v>
      </c>
      <c r="R287" s="167">
        <f t="shared" si="13"/>
        <v>146295.21681350001</v>
      </c>
      <c r="S287" s="648">
        <v>8.7521626971204629</v>
      </c>
      <c r="T287" s="648">
        <v>0.29604399999999997</v>
      </c>
      <c r="U287" s="648">
        <v>3.7454091355724386E-3</v>
      </c>
      <c r="V287" s="648">
        <v>1.7000000000000001E-2</v>
      </c>
      <c r="W287" s="648">
        <v>0.30951999999999996</v>
      </c>
      <c r="X287" s="332">
        <v>13.494999999999999</v>
      </c>
      <c r="Y287" s="648">
        <v>11.727790000000001</v>
      </c>
      <c r="Z287" s="648"/>
      <c r="AA287" s="648"/>
      <c r="AB287" s="648">
        <v>0</v>
      </c>
      <c r="AC287" s="648">
        <v>0.23701178262876363</v>
      </c>
      <c r="AD287" s="648">
        <v>6.4788883949176965E-2</v>
      </c>
      <c r="AE287" s="648">
        <v>2.1111002499999998</v>
      </c>
      <c r="AF287" s="648">
        <v>14.556940877311712</v>
      </c>
      <c r="AG287" s="172">
        <f t="shared" si="14"/>
        <v>9.8276359360102088</v>
      </c>
      <c r="AH287" s="253">
        <f t="shared" si="12"/>
        <v>202401</v>
      </c>
      <c r="AJ287" t="s">
        <v>1410</v>
      </c>
    </row>
    <row r="288" spans="3:36" ht="15.75" hidden="1">
      <c r="C288" s="237">
        <v>45296</v>
      </c>
      <c r="D288" s="471">
        <v>350475</v>
      </c>
      <c r="E288" s="471">
        <v>29321</v>
      </c>
      <c r="F288" s="471">
        <v>22346.32</v>
      </c>
      <c r="G288" s="471">
        <v>3177</v>
      </c>
      <c r="H288" s="471">
        <v>2508</v>
      </c>
      <c r="I288" s="646">
        <v>170160</v>
      </c>
      <c r="J288" s="471">
        <v>176878.56</v>
      </c>
      <c r="K288" s="471">
        <v>48888.2091</v>
      </c>
      <c r="L288" s="471">
        <v>0</v>
      </c>
      <c r="M288" s="471">
        <v>402679</v>
      </c>
      <c r="N288" s="471">
        <v>8908</v>
      </c>
      <c r="O288" s="471">
        <v>4321</v>
      </c>
      <c r="P288" s="471">
        <v>104.72516999999999</v>
      </c>
      <c r="Q288" s="337">
        <v>0</v>
      </c>
      <c r="R288" s="167">
        <f t="shared" si="13"/>
        <v>146856.6107015</v>
      </c>
      <c r="S288" s="473">
        <v>8.6992102438927699</v>
      </c>
      <c r="T288" s="473">
        <v>0.324986</v>
      </c>
      <c r="U288" s="473">
        <v>3.6304711635664465E-3</v>
      </c>
      <c r="V288" s="473">
        <v>1.7000000000000001E-2</v>
      </c>
      <c r="W288" s="473">
        <v>0.31301999999999996</v>
      </c>
      <c r="X288" s="332">
        <v>13.494999999999999</v>
      </c>
      <c r="Y288" s="473">
        <v>11.496791</v>
      </c>
      <c r="Z288" s="473"/>
      <c r="AA288" s="473"/>
      <c r="AB288" s="473">
        <v>0</v>
      </c>
      <c r="AC288" s="473">
        <v>0.23871079182323507</v>
      </c>
      <c r="AD288" s="473">
        <v>6.572333900613625E-2</v>
      </c>
      <c r="AE288" s="473">
        <v>2.1157002500000002</v>
      </c>
      <c r="AF288" s="473">
        <v>14.546916723064333</v>
      </c>
      <c r="AG288" s="172">
        <f t="shared" si="14"/>
        <v>9.7785134445723667</v>
      </c>
      <c r="AH288" s="253">
        <f t="shared" si="12"/>
        <v>202401</v>
      </c>
    </row>
    <row r="289" spans="3:36" ht="15.75" hidden="1">
      <c r="C289" s="235">
        <v>45297</v>
      </c>
      <c r="D289" s="645">
        <v>348118</v>
      </c>
      <c r="E289" s="645">
        <v>28396</v>
      </c>
      <c r="F289" s="645">
        <v>17224.55</v>
      </c>
      <c r="G289" s="645">
        <v>3191</v>
      </c>
      <c r="H289" s="645">
        <v>2532</v>
      </c>
      <c r="I289" s="646">
        <v>170160</v>
      </c>
      <c r="J289" s="645">
        <v>176350.32</v>
      </c>
      <c r="K289" s="645">
        <v>48558.862200000003</v>
      </c>
      <c r="L289" s="645">
        <v>0</v>
      </c>
      <c r="M289" s="645">
        <v>401319</v>
      </c>
      <c r="N289" s="645">
        <v>8937</v>
      </c>
      <c r="O289" s="645">
        <v>3303</v>
      </c>
      <c r="P289" s="645">
        <v>162.08814599999999</v>
      </c>
      <c r="Q289" s="337">
        <v>0</v>
      </c>
      <c r="R289" s="167">
        <f t="shared" si="13"/>
        <v>142345.89921570002</v>
      </c>
      <c r="S289" s="648">
        <v>8.7909567403942273</v>
      </c>
      <c r="T289" s="648">
        <v>0.336783</v>
      </c>
      <c r="U289" s="648">
        <v>2.7143937227273626E-3</v>
      </c>
      <c r="V289" s="648">
        <v>1.7000000000000001E-2</v>
      </c>
      <c r="W289" s="648">
        <v>0.31351999999999997</v>
      </c>
      <c r="X289" s="332">
        <v>13.494999999999999</v>
      </c>
      <c r="Y289" s="648">
        <v>11.372481000000001</v>
      </c>
      <c r="Z289" s="648"/>
      <c r="AA289" s="648"/>
      <c r="AB289" s="648">
        <v>0</v>
      </c>
      <c r="AC289" s="648">
        <v>0.24409098760572789</v>
      </c>
      <c r="AD289" s="648">
        <v>6.6657794063095535E-2</v>
      </c>
      <c r="AE289" s="648">
        <v>2.1059002499999999</v>
      </c>
      <c r="AF289" s="648">
        <v>14.530266432958511</v>
      </c>
      <c r="AG289" s="172">
        <f t="shared" si="14"/>
        <v>9.7450811786738303</v>
      </c>
      <c r="AH289" s="253">
        <f t="shared" si="12"/>
        <v>202401</v>
      </c>
      <c r="AJ289" t="s">
        <v>1411</v>
      </c>
    </row>
    <row r="290" spans="3:36" ht="15.75" hidden="1">
      <c r="C290" s="237">
        <v>45298</v>
      </c>
      <c r="D290" s="471">
        <v>335426</v>
      </c>
      <c r="E290" s="471">
        <v>28610</v>
      </c>
      <c r="F290" s="471">
        <v>16825</v>
      </c>
      <c r="G290" s="471">
        <v>3231</v>
      </c>
      <c r="H290" s="471">
        <v>2556</v>
      </c>
      <c r="I290" s="646">
        <v>170160</v>
      </c>
      <c r="J290" s="471">
        <v>175182.24000000002</v>
      </c>
      <c r="K290" s="471">
        <v>49229.306529999994</v>
      </c>
      <c r="L290" s="471">
        <v>0</v>
      </c>
      <c r="M290" s="471">
        <v>394409</v>
      </c>
      <c r="N290" s="471">
        <v>8227</v>
      </c>
      <c r="O290" s="471">
        <v>3752</v>
      </c>
      <c r="P290" s="471">
        <v>113.40509400000001</v>
      </c>
      <c r="Q290" s="337">
        <v>0</v>
      </c>
      <c r="R290" s="167">
        <f t="shared" si="13"/>
        <v>141541.91192479999</v>
      </c>
      <c r="S290" s="473">
        <v>8.829750783667988</v>
      </c>
      <c r="T290" s="473">
        <v>0.32356099999999999</v>
      </c>
      <c r="U290" s="473">
        <v>3.0363559650796973E-3</v>
      </c>
      <c r="V290" s="473">
        <v>1.7000000000000001E-2</v>
      </c>
      <c r="W290" s="473">
        <v>0.31236999999999998</v>
      </c>
      <c r="X290" s="332">
        <v>13.494999999999999</v>
      </c>
      <c r="Y290" s="473">
        <v>11.371836999999999</v>
      </c>
      <c r="Z290" s="473"/>
      <c r="AA290" s="473"/>
      <c r="AB290" s="473">
        <v>0</v>
      </c>
      <c r="AC290" s="473">
        <v>0.23296247738194009</v>
      </c>
      <c r="AD290" s="473">
        <v>6.6119774484846253E-2</v>
      </c>
      <c r="AE290" s="473">
        <v>2.1025002499999998</v>
      </c>
      <c r="AF290" s="473">
        <v>14.51353119239297</v>
      </c>
      <c r="AG290" s="172">
        <f t="shared" si="14"/>
        <v>9.7355009797910412</v>
      </c>
      <c r="AH290" s="253">
        <f t="shared" ref="AH290:AH353" si="15">IF($AK$1&gt;=C290,(YEAR(C290)*100+MONTH(C290)),0)</f>
        <v>202401</v>
      </c>
      <c r="AJ290" t="s">
        <v>1412</v>
      </c>
    </row>
    <row r="291" spans="3:36" ht="15.75" hidden="1">
      <c r="C291" s="235">
        <v>45299</v>
      </c>
      <c r="D291" s="645">
        <v>338935</v>
      </c>
      <c r="E291" s="645">
        <v>27679</v>
      </c>
      <c r="F291" s="645">
        <v>14957</v>
      </c>
      <c r="G291" s="645">
        <v>3241</v>
      </c>
      <c r="H291" s="645">
        <v>2506</v>
      </c>
      <c r="I291" s="646">
        <v>177600</v>
      </c>
      <c r="J291" s="645">
        <v>174222.48</v>
      </c>
      <c r="K291" s="645">
        <v>49641.41</v>
      </c>
      <c r="L291" s="645">
        <v>0</v>
      </c>
      <c r="M291" s="645">
        <v>419233</v>
      </c>
      <c r="N291" s="645">
        <v>8444</v>
      </c>
      <c r="O291" s="645">
        <v>3010</v>
      </c>
      <c r="P291" s="645">
        <v>155.60965199999998</v>
      </c>
      <c r="Q291" s="337">
        <v>0</v>
      </c>
      <c r="R291" s="167">
        <f t="shared" si="13"/>
        <v>142099.51014340002</v>
      </c>
      <c r="S291" s="648">
        <v>8.8473072120108593</v>
      </c>
      <c r="T291" s="648">
        <v>0.31684499999999999</v>
      </c>
      <c r="U291" s="648">
        <v>2.8750067252447278E-3</v>
      </c>
      <c r="V291" s="648">
        <v>1.7000000000000001E-2</v>
      </c>
      <c r="W291" s="648">
        <v>0.31289</v>
      </c>
      <c r="X291" s="332">
        <v>13.494999999999999</v>
      </c>
      <c r="Y291" s="648">
        <v>11.416906000000001</v>
      </c>
      <c r="Z291" s="648"/>
      <c r="AA291" s="648">
        <v>0</v>
      </c>
      <c r="AB291" s="648">
        <v>0</v>
      </c>
      <c r="AC291" s="648">
        <v>0.23899396002231363</v>
      </c>
      <c r="AD291" s="648">
        <v>6.6402942683924826E-2</v>
      </c>
      <c r="AE291" s="648">
        <v>2.10280025</v>
      </c>
      <c r="AF291" s="648">
        <v>14.520468813270393</v>
      </c>
      <c r="AG291" s="172">
        <f t="shared" si="14"/>
        <v>9.7483093347371135</v>
      </c>
      <c r="AH291" s="253">
        <f t="shared" si="15"/>
        <v>202401</v>
      </c>
      <c r="AJ291" t="s">
        <v>1413</v>
      </c>
    </row>
    <row r="292" spans="3:36" ht="15.75" hidden="1">
      <c r="C292" s="237">
        <v>45300</v>
      </c>
      <c r="D292" s="471">
        <v>333903</v>
      </c>
      <c r="E292" s="471">
        <v>30591</v>
      </c>
      <c r="F292" s="471">
        <v>14937</v>
      </c>
      <c r="G292" s="471">
        <v>3238</v>
      </c>
      <c r="H292" s="471">
        <v>2501</v>
      </c>
      <c r="I292" s="646">
        <v>177600</v>
      </c>
      <c r="J292" s="471">
        <v>176298</v>
      </c>
      <c r="K292" s="471">
        <v>49133.714000000007</v>
      </c>
      <c r="L292" s="471">
        <v>0</v>
      </c>
      <c r="M292" s="471">
        <v>420158</v>
      </c>
      <c r="N292" s="471">
        <v>8522</v>
      </c>
      <c r="O292" s="471">
        <v>3644</v>
      </c>
      <c r="P292" s="471">
        <v>187.37314199999997</v>
      </c>
      <c r="Q292" s="337">
        <v>0</v>
      </c>
      <c r="R292" s="167">
        <f t="shared" si="13"/>
        <v>143475.19571390006</v>
      </c>
      <c r="S292" s="473">
        <v>8.6938300481102768</v>
      </c>
      <c r="T292" s="473">
        <v>0.30504599999999998</v>
      </c>
      <c r="U292" s="473">
        <v>2.8980849334696314E-3</v>
      </c>
      <c r="V292" s="473">
        <v>1.7000000000000001E-2</v>
      </c>
      <c r="W292" s="473">
        <v>0.31230999999999998</v>
      </c>
      <c r="X292" s="332">
        <v>13.494999999999999</v>
      </c>
      <c r="Y292" s="473">
        <v>11.48</v>
      </c>
      <c r="AA292" s="337">
        <v>0</v>
      </c>
      <c r="AB292" s="337">
        <v>0</v>
      </c>
      <c r="AC292" s="473">
        <v>0.22766723205917078</v>
      </c>
      <c r="AD292" s="473">
        <v>6.6657794063095535E-2</v>
      </c>
      <c r="AE292" s="473">
        <v>2.1037002500000002</v>
      </c>
      <c r="AF292" s="473">
        <v>14.476294574214137</v>
      </c>
      <c r="AG292" s="172">
        <f t="shared" si="14"/>
        <v>9.7491702568329259</v>
      </c>
      <c r="AH292" s="253">
        <f t="shared" si="15"/>
        <v>202401</v>
      </c>
      <c r="AJ292" t="s">
        <v>1414</v>
      </c>
    </row>
    <row r="293" spans="3:36" ht="15.75" hidden="1">
      <c r="C293" s="235">
        <v>45301</v>
      </c>
      <c r="D293" s="645">
        <v>343855</v>
      </c>
      <c r="E293" s="645">
        <v>26654</v>
      </c>
      <c r="F293" s="645">
        <v>20338</v>
      </c>
      <c r="G293" s="645">
        <v>3308</v>
      </c>
      <c r="H293" s="645">
        <v>2449</v>
      </c>
      <c r="I293" s="646">
        <v>177600</v>
      </c>
      <c r="J293" s="645">
        <v>175197</v>
      </c>
      <c r="K293" s="645">
        <v>49722.620350000005</v>
      </c>
      <c r="L293" s="645">
        <v>0</v>
      </c>
      <c r="M293" s="645">
        <v>417762</v>
      </c>
      <c r="N293" s="645">
        <v>8510</v>
      </c>
      <c r="O293" s="645">
        <v>3626</v>
      </c>
      <c r="P293" s="645">
        <v>76.04368199999999</v>
      </c>
      <c r="Q293" s="337">
        <v>0</v>
      </c>
      <c r="R293" s="167">
        <f t="shared" si="13"/>
        <v>146112.30524440002</v>
      </c>
      <c r="S293" s="648">
        <v>7.9765649998442587</v>
      </c>
      <c r="T293" s="648">
        <v>0.30980400000000002</v>
      </c>
      <c r="U293" s="648">
        <v>3.3113689200248053E-3</v>
      </c>
      <c r="V293" s="648">
        <v>1.7000000000000001E-2</v>
      </c>
      <c r="W293" s="648">
        <v>0.31319999999999998</v>
      </c>
      <c r="X293" s="332">
        <v>13.494999999999999</v>
      </c>
      <c r="Y293" s="648">
        <v>11.57</v>
      </c>
      <c r="AB293" s="337">
        <v>0</v>
      </c>
      <c r="AC293" s="648">
        <v>0.22596822286469939</v>
      </c>
      <c r="AD293" s="648">
        <v>6.6940962262174108E-2</v>
      </c>
      <c r="AE293" s="648">
        <v>2.0923002500000001</v>
      </c>
      <c r="AF293" s="648">
        <v>14.46476962851164</v>
      </c>
      <c r="AG293" s="172">
        <f t="shared" si="14"/>
        <v>9.7513025285073844</v>
      </c>
      <c r="AH293" s="253">
        <f t="shared" si="15"/>
        <v>202401</v>
      </c>
      <c r="AJ293" t="s">
        <v>1415</v>
      </c>
    </row>
    <row r="294" spans="3:36" ht="15.75" hidden="1">
      <c r="C294" s="237">
        <v>45302</v>
      </c>
      <c r="D294" s="471">
        <v>344051</v>
      </c>
      <c r="E294" s="471">
        <v>25208</v>
      </c>
      <c r="F294" s="471">
        <v>6624</v>
      </c>
      <c r="G294" s="471">
        <v>3301</v>
      </c>
      <c r="H294" s="471">
        <v>2488</v>
      </c>
      <c r="I294" s="646">
        <v>177600</v>
      </c>
      <c r="J294" s="471">
        <v>173739</v>
      </c>
      <c r="K294" s="471">
        <v>49235.946229999994</v>
      </c>
      <c r="L294" s="471">
        <v>0</v>
      </c>
      <c r="M294" s="471">
        <v>421847</v>
      </c>
      <c r="N294" s="471">
        <v>8531</v>
      </c>
      <c r="O294" s="471">
        <v>3314</v>
      </c>
      <c r="P294" s="471">
        <v>181.712322</v>
      </c>
      <c r="Q294" s="337">
        <v>0</v>
      </c>
      <c r="R294" s="167">
        <f t="shared" si="13"/>
        <v>135749.82520240001</v>
      </c>
      <c r="S294" s="473">
        <v>8.1623233384397995</v>
      </c>
      <c r="T294" s="473">
        <v>0.323604</v>
      </c>
      <c r="U294" s="473">
        <v>2.1875592883416821E-3</v>
      </c>
      <c r="V294" s="473">
        <v>1.7000000000000001E-2</v>
      </c>
      <c r="W294" s="473">
        <v>0.31480999999999998</v>
      </c>
      <c r="X294" s="332">
        <v>13.494999999999999</v>
      </c>
      <c r="Y294" s="473">
        <v>11.51</v>
      </c>
      <c r="AB294" s="337">
        <v>0</v>
      </c>
      <c r="AC294" s="473">
        <v>0.23502960523521368</v>
      </c>
      <c r="AD294" s="473">
        <v>6.6657794063095535E-2</v>
      </c>
      <c r="AE294" s="473">
        <v>2.0985002499999998</v>
      </c>
      <c r="AF294" s="473">
        <v>14.453442900548495</v>
      </c>
      <c r="AG294" s="172">
        <f t="shared" si="14"/>
        <v>9.7462908204141545</v>
      </c>
      <c r="AH294" s="253">
        <f t="shared" si="15"/>
        <v>202401</v>
      </c>
      <c r="AJ294" t="s">
        <v>1416</v>
      </c>
    </row>
    <row r="295" spans="3:36" ht="15.75" hidden="1">
      <c r="C295" s="235">
        <v>45303</v>
      </c>
      <c r="D295" s="645">
        <v>338026</v>
      </c>
      <c r="E295" s="645">
        <v>25648</v>
      </c>
      <c r="F295" s="645">
        <v>1005</v>
      </c>
      <c r="G295" s="645">
        <v>3255</v>
      </c>
      <c r="H295" s="645">
        <v>2551</v>
      </c>
      <c r="I295" s="646">
        <v>177600</v>
      </c>
      <c r="J295" s="645">
        <v>174870</v>
      </c>
      <c r="K295" s="645">
        <v>50244.995999999999</v>
      </c>
      <c r="L295" s="645">
        <v>0</v>
      </c>
      <c r="M295" s="645">
        <v>430437</v>
      </c>
      <c r="N295" s="645">
        <v>8500</v>
      </c>
      <c r="O295" s="645">
        <v>6203</v>
      </c>
      <c r="P295" s="645">
        <v>88.182995999999989</v>
      </c>
      <c r="Q295" s="337">
        <v>0</v>
      </c>
      <c r="R295" s="167">
        <f t="shared" si="13"/>
        <v>133836.1719482</v>
      </c>
      <c r="S295" s="648">
        <v>7.89841057689857</v>
      </c>
      <c r="T295" s="648">
        <v>0.325988</v>
      </c>
      <c r="U295" s="648">
        <v>1.6858135563943626E-3</v>
      </c>
      <c r="V295" s="648">
        <v>1.7000000000000001E-2</v>
      </c>
      <c r="W295" s="648">
        <v>0.31120999999999999</v>
      </c>
      <c r="X295" s="332">
        <v>13.494999999999999</v>
      </c>
      <c r="Y295" s="648">
        <v>11.56</v>
      </c>
      <c r="Z295" s="337">
        <v>0</v>
      </c>
      <c r="AB295" s="337">
        <v>0</v>
      </c>
      <c r="AC295" s="648">
        <v>0.22993257765179936</v>
      </c>
      <c r="AD295" s="648">
        <v>6.6402942683924826E-2</v>
      </c>
      <c r="AE295" s="648">
        <v>2.1043002500000001</v>
      </c>
      <c r="AF295" s="648">
        <v>14.056922471378773</v>
      </c>
      <c r="AG295" s="172">
        <f t="shared" si="14"/>
        <v>9.6844258070654927</v>
      </c>
      <c r="AH295" s="253">
        <f t="shared" si="15"/>
        <v>202401</v>
      </c>
    </row>
    <row r="296" spans="3:36" ht="15.75" hidden="1">
      <c r="C296" s="237">
        <v>45304</v>
      </c>
      <c r="D296" s="471">
        <v>321678</v>
      </c>
      <c r="E296" s="471">
        <v>25088</v>
      </c>
      <c r="F296" s="471">
        <v>1078</v>
      </c>
      <c r="G296" s="471">
        <v>3346</v>
      </c>
      <c r="H296" s="471">
        <v>2494</v>
      </c>
      <c r="I296" s="646">
        <v>177600</v>
      </c>
      <c r="J296" s="471">
        <v>174141</v>
      </c>
      <c r="K296" s="471">
        <v>51665.34</v>
      </c>
      <c r="L296" s="471">
        <v>0</v>
      </c>
      <c r="M296" s="471">
        <v>424706</v>
      </c>
      <c r="N296" s="471">
        <v>8201</v>
      </c>
      <c r="O296" s="471">
        <v>4112</v>
      </c>
      <c r="P296" s="471">
        <v>188.56820399999998</v>
      </c>
      <c r="Q296" s="337">
        <v>0</v>
      </c>
      <c r="R296" s="167">
        <f t="shared" si="13"/>
        <v>132459.12249179999</v>
      </c>
      <c r="S296" s="473">
        <v>7.2584504469809996</v>
      </c>
      <c r="T296" s="473">
        <v>0.32662000000000002</v>
      </c>
      <c r="U296" s="473">
        <v>1.7178115628902412E-3</v>
      </c>
      <c r="V296" s="473">
        <v>1.7000000000000001E-2</v>
      </c>
      <c r="W296" s="473">
        <v>0.31322000000000005</v>
      </c>
      <c r="X296" s="332">
        <v>13.494999999999999</v>
      </c>
      <c r="Y296" s="473">
        <v>11.59</v>
      </c>
      <c r="Z296" s="337">
        <v>0</v>
      </c>
      <c r="AB296" s="337">
        <v>0</v>
      </c>
      <c r="AC296" s="473">
        <v>0.24862167879098501</v>
      </c>
      <c r="AD296" s="473">
        <v>7.0367297471024812E-2</v>
      </c>
      <c r="AE296" s="473">
        <v>2.0847000000000002</v>
      </c>
      <c r="AF296" s="473">
        <v>14.436566075883412</v>
      </c>
      <c r="AG296" s="172">
        <f t="shared" si="14"/>
        <v>9.7390066099748829</v>
      </c>
      <c r="AH296" s="253">
        <f t="shared" si="15"/>
        <v>202401</v>
      </c>
      <c r="AJ296" t="s">
        <v>1417</v>
      </c>
    </row>
    <row r="297" spans="3:36" ht="15.75" hidden="1">
      <c r="C297" s="235">
        <v>45305</v>
      </c>
      <c r="D297" s="645">
        <v>298838</v>
      </c>
      <c r="E297" s="645">
        <v>32101</v>
      </c>
      <c r="F297" s="645">
        <v>1225</v>
      </c>
      <c r="G297" s="645">
        <v>3405</v>
      </c>
      <c r="H297" s="645">
        <v>2536</v>
      </c>
      <c r="I297" s="646">
        <v>177600</v>
      </c>
      <c r="J297" s="645">
        <v>174126</v>
      </c>
      <c r="K297" s="645">
        <v>51218.429110000005</v>
      </c>
      <c r="L297" s="645">
        <v>0</v>
      </c>
      <c r="M297" s="645">
        <v>429232</v>
      </c>
      <c r="N297" s="645">
        <v>8302</v>
      </c>
      <c r="O297" s="645">
        <v>4410</v>
      </c>
      <c r="P297" s="645">
        <v>197.625516</v>
      </c>
      <c r="Q297" s="337">
        <v>0</v>
      </c>
      <c r="R297" s="167">
        <f t="shared" si="13"/>
        <v>134199.22655970001</v>
      </c>
      <c r="S297" s="648">
        <v>7.4003177147193631</v>
      </c>
      <c r="T297" s="648">
        <v>0.32575999999999999</v>
      </c>
      <c r="U297" s="648">
        <v>1.7167921573735582E-3</v>
      </c>
      <c r="V297" s="648">
        <v>1.7000000000000001E-2</v>
      </c>
      <c r="W297" s="648">
        <v>0.31313000000000002</v>
      </c>
      <c r="X297" s="332">
        <v>13.494999999999999</v>
      </c>
      <c r="Y297" s="648">
        <v>12.08</v>
      </c>
      <c r="AB297" s="337">
        <v>0</v>
      </c>
      <c r="AC297" s="648">
        <v>0.25853256575873501</v>
      </c>
      <c r="AD297" s="648">
        <v>6.9631060153420535E-2</v>
      </c>
      <c r="AE297" s="648">
        <v>2.1039002500000001</v>
      </c>
      <c r="AF297" s="648">
        <v>14.437387263660741</v>
      </c>
      <c r="AG297" s="172">
        <f t="shared" si="14"/>
        <v>9.8789362473373341</v>
      </c>
      <c r="AH297" s="253">
        <f t="shared" si="15"/>
        <v>202401</v>
      </c>
      <c r="AJ297" t="s">
        <v>1418</v>
      </c>
    </row>
    <row r="298" spans="3:36" ht="15.75" hidden="1">
      <c r="C298" s="237">
        <v>45306</v>
      </c>
      <c r="D298" s="471">
        <v>344449</v>
      </c>
      <c r="E298" s="471">
        <v>31742</v>
      </c>
      <c r="F298" s="471">
        <v>18384</v>
      </c>
      <c r="G298" s="471">
        <v>3438</v>
      </c>
      <c r="H298" s="471">
        <v>2507</v>
      </c>
      <c r="I298" s="646">
        <v>185000</v>
      </c>
      <c r="J298" s="471">
        <v>173486</v>
      </c>
      <c r="K298" s="471">
        <v>50447.00619</v>
      </c>
      <c r="L298" s="471">
        <v>0</v>
      </c>
      <c r="M298" s="471">
        <v>429477</v>
      </c>
      <c r="N298" s="471">
        <v>8191.0000000000009</v>
      </c>
      <c r="O298" s="471">
        <v>2410</v>
      </c>
      <c r="P298" s="471">
        <v>117.30476999999999</v>
      </c>
      <c r="Q298" s="337">
        <v>0</v>
      </c>
      <c r="R298" s="167">
        <f t="shared" si="13"/>
        <v>147436.90059400001</v>
      </c>
      <c r="S298" s="473">
        <v>7.7058562015251431</v>
      </c>
      <c r="T298" s="473">
        <v>0.32505000000000001</v>
      </c>
      <c r="U298" s="473">
        <v>2.9638649061155837E-3</v>
      </c>
      <c r="V298" s="473">
        <v>1.7000000000000001E-2</v>
      </c>
      <c r="W298" s="473">
        <v>0.31308999999999998</v>
      </c>
      <c r="X298" s="332">
        <v>13.494999999999999</v>
      </c>
      <c r="Y298" s="473">
        <v>12.08</v>
      </c>
      <c r="AB298" s="337">
        <v>0</v>
      </c>
      <c r="AC298" s="473">
        <v>0.25003751978637789</v>
      </c>
      <c r="AD298" s="473">
        <v>6.9461159233973377E-2</v>
      </c>
      <c r="AE298" s="473">
        <v>2.1145002499999999</v>
      </c>
      <c r="AF298" s="473">
        <v>14.43302647339493</v>
      </c>
      <c r="AG298" s="172">
        <f t="shared" si="14"/>
        <v>9.8896616875367407</v>
      </c>
      <c r="AH298" s="253">
        <f t="shared" si="15"/>
        <v>202401</v>
      </c>
      <c r="AJ298" t="s">
        <v>1419</v>
      </c>
    </row>
    <row r="299" spans="3:36" ht="15.75" hidden="1">
      <c r="C299" s="235">
        <v>45307</v>
      </c>
      <c r="D299" s="645">
        <v>352303</v>
      </c>
      <c r="E299" s="645">
        <v>31333</v>
      </c>
      <c r="F299" s="645">
        <v>25098</v>
      </c>
      <c r="G299" s="645">
        <v>3433</v>
      </c>
      <c r="H299" s="645">
        <v>2532</v>
      </c>
      <c r="I299" s="646">
        <v>185000</v>
      </c>
      <c r="J299" s="645">
        <v>173947</v>
      </c>
      <c r="K299" s="645">
        <v>50748.663999999997</v>
      </c>
      <c r="L299" s="645">
        <v>0</v>
      </c>
      <c r="M299" s="645">
        <v>418491</v>
      </c>
      <c r="N299" s="645">
        <v>8037.0000000000009</v>
      </c>
      <c r="O299" s="645">
        <v>3603</v>
      </c>
      <c r="P299" s="645">
        <v>165.92492399999998</v>
      </c>
      <c r="Q299" s="337">
        <v>0</v>
      </c>
      <c r="R299" s="167">
        <f t="shared" si="13"/>
        <v>152468.17151580003</v>
      </c>
      <c r="S299" s="648">
        <v>7.4730919418825579</v>
      </c>
      <c r="T299" s="648">
        <v>0.32052000000000003</v>
      </c>
      <c r="U299" s="648">
        <v>3.7002154909994986E-3</v>
      </c>
      <c r="V299" s="648">
        <v>1.7000000000000001E-2</v>
      </c>
      <c r="W299" s="648">
        <v>0.31772</v>
      </c>
      <c r="X299" s="332">
        <v>13.494999999999999</v>
      </c>
      <c r="Y299" s="648">
        <v>12.05</v>
      </c>
      <c r="Z299">
        <v>0</v>
      </c>
      <c r="AB299" s="337">
        <v>0</v>
      </c>
      <c r="AC299" s="648">
        <v>0.25315236997624219</v>
      </c>
      <c r="AD299" s="648">
        <v>6.9772644252959815E-2</v>
      </c>
      <c r="AE299" s="648">
        <v>2.1176002500000002</v>
      </c>
      <c r="AF299" s="648">
        <v>14.430562910062948</v>
      </c>
      <c r="AG299" s="172">
        <f t="shared" si="14"/>
        <v>9.8818506003104591</v>
      </c>
      <c r="AH299" s="253">
        <f t="shared" si="15"/>
        <v>202401</v>
      </c>
    </row>
    <row r="300" spans="3:36" ht="15.75" hidden="1">
      <c r="C300" s="237">
        <v>45308</v>
      </c>
      <c r="D300" s="471">
        <v>342310</v>
      </c>
      <c r="E300" s="471">
        <v>31629</v>
      </c>
      <c r="F300" s="471">
        <v>7818</v>
      </c>
      <c r="G300" s="471">
        <v>3413</v>
      </c>
      <c r="H300" s="471">
        <v>2529</v>
      </c>
      <c r="I300" s="646">
        <v>185000</v>
      </c>
      <c r="J300" s="471">
        <v>175562</v>
      </c>
      <c r="K300" s="471">
        <v>51169.843000000001</v>
      </c>
      <c r="L300" s="471">
        <v>0</v>
      </c>
      <c r="M300" s="471">
        <v>389778</v>
      </c>
      <c r="N300" s="471">
        <v>8128</v>
      </c>
      <c r="O300" s="471">
        <v>4628</v>
      </c>
      <c r="P300" s="471">
        <v>98.372472000000002</v>
      </c>
      <c r="Q300" s="337">
        <v>0</v>
      </c>
      <c r="R300" s="167">
        <f t="shared" si="13"/>
        <v>139974.53936239998</v>
      </c>
      <c r="S300" s="473">
        <v>8.1453332464950883</v>
      </c>
      <c r="T300" s="473">
        <v>0.31958300000000001</v>
      </c>
      <c r="U300" s="473">
        <v>2.2743786581791718E-3</v>
      </c>
      <c r="V300" s="473">
        <v>1.7000000000000001E-2</v>
      </c>
      <c r="W300" s="473">
        <v>0.31206</v>
      </c>
      <c r="X300" s="332">
        <v>13.494999999999999</v>
      </c>
      <c r="Y300" s="473">
        <v>11.96</v>
      </c>
      <c r="Z300" s="337">
        <v>0</v>
      </c>
      <c r="AB300" s="337">
        <v>0</v>
      </c>
      <c r="AC300" s="473">
        <v>0.26419592974030642</v>
      </c>
      <c r="AD300" s="473">
        <v>7.0792049769642665E-2</v>
      </c>
      <c r="AE300" s="473">
        <v>2.1120002499999999</v>
      </c>
      <c r="AF300" s="473">
        <v>14.43965260925337</v>
      </c>
      <c r="AG300" s="172">
        <f t="shared" si="14"/>
        <v>9.867716101307126</v>
      </c>
      <c r="AH300" s="253">
        <f t="shared" si="15"/>
        <v>202401</v>
      </c>
      <c r="AI300" t="s">
        <v>1483</v>
      </c>
      <c r="AJ300" t="s">
        <v>1420</v>
      </c>
    </row>
    <row r="301" spans="3:36" ht="15.75" hidden="1">
      <c r="C301" s="649">
        <v>45309</v>
      </c>
      <c r="D301" s="645">
        <v>331467</v>
      </c>
      <c r="E301" s="645">
        <v>31553</v>
      </c>
      <c r="F301" s="645">
        <v>600</v>
      </c>
      <c r="G301" s="645">
        <v>3346</v>
      </c>
      <c r="H301" s="645">
        <v>2523</v>
      </c>
      <c r="I301" s="646">
        <v>185000</v>
      </c>
      <c r="J301" s="645">
        <v>174081</v>
      </c>
      <c r="K301" s="645">
        <v>51816.05</v>
      </c>
      <c r="L301" s="645">
        <v>0</v>
      </c>
      <c r="M301" s="645">
        <v>410865</v>
      </c>
      <c r="N301" s="469">
        <v>8226</v>
      </c>
      <c r="O301" s="645">
        <v>2881</v>
      </c>
      <c r="P301" s="469">
        <v>181.901016</v>
      </c>
      <c r="Q301" s="337">
        <v>0</v>
      </c>
      <c r="R301" s="167">
        <f t="shared" si="13"/>
        <v>134580.98565719998</v>
      </c>
      <c r="S301" s="648">
        <v>7.7749492421003197</v>
      </c>
      <c r="T301" s="648">
        <v>0.31884800000000002</v>
      </c>
      <c r="U301" s="648">
        <v>1.7043044397941933E-3</v>
      </c>
      <c r="V301" s="648">
        <v>1.7000000000000001E-2</v>
      </c>
      <c r="W301" s="648">
        <v>0.30991000000000002</v>
      </c>
      <c r="X301" s="332">
        <v>13.494999999999999</v>
      </c>
      <c r="Y301" s="648">
        <v>11.83</v>
      </c>
      <c r="Z301" s="337">
        <v>0</v>
      </c>
      <c r="AB301" s="337">
        <v>0</v>
      </c>
      <c r="AC301" s="648">
        <v>0.2256850546656208</v>
      </c>
      <c r="AD301" s="648">
        <v>7.1783138466417665E-2</v>
      </c>
      <c r="AE301" s="648">
        <v>2.1126002499999998</v>
      </c>
      <c r="AF301" s="648">
        <v>12.331408733473596</v>
      </c>
      <c r="AG301" s="172">
        <f t="shared" si="14"/>
        <v>9.460641509190669</v>
      </c>
      <c r="AH301" s="253">
        <f t="shared" si="15"/>
        <v>202401</v>
      </c>
      <c r="AJ301" t="s">
        <v>1421</v>
      </c>
    </row>
    <row r="302" spans="3:36" ht="15.75" hidden="1">
      <c r="C302" s="237">
        <v>45310</v>
      </c>
      <c r="D302" s="471">
        <v>343301</v>
      </c>
      <c r="E302" s="471">
        <v>31333</v>
      </c>
      <c r="F302" s="471">
        <v>7954</v>
      </c>
      <c r="G302" s="471">
        <v>3303</v>
      </c>
      <c r="H302" s="471">
        <v>2520</v>
      </c>
      <c r="I302" s="646">
        <v>185000</v>
      </c>
      <c r="J302" s="471">
        <v>173731</v>
      </c>
      <c r="K302" s="471">
        <v>49982.413</v>
      </c>
      <c r="L302" s="471">
        <v>0</v>
      </c>
      <c r="M302" s="471">
        <v>385711</v>
      </c>
      <c r="N302" s="471">
        <v>8217</v>
      </c>
      <c r="O302" s="471">
        <v>3478</v>
      </c>
      <c r="P302" s="471">
        <v>134.098536</v>
      </c>
      <c r="Q302" s="337">
        <v>0</v>
      </c>
      <c r="R302" s="167">
        <f t="shared" si="13"/>
        <v>138578.98069119998</v>
      </c>
      <c r="S302" s="473">
        <v>7.8511214876524464</v>
      </c>
      <c r="T302" s="473">
        <v>0.31887199999999999</v>
      </c>
      <c r="U302" s="473">
        <v>2.2750582618569605E-3</v>
      </c>
      <c r="V302" s="473">
        <v>1.7000000000000001E-2</v>
      </c>
      <c r="W302" s="473">
        <v>0.30906</v>
      </c>
      <c r="X302" s="332">
        <v>13.494999999999999</v>
      </c>
      <c r="Y302" s="473">
        <v>12.01</v>
      </c>
      <c r="Z302" s="337">
        <v>0</v>
      </c>
      <c r="AB302" s="337">
        <v>0</v>
      </c>
      <c r="AC302" s="473">
        <v>0.25598405196702784</v>
      </c>
      <c r="AD302" s="473">
        <v>7.1188485248352654E-2</v>
      </c>
      <c r="AE302" s="473">
        <v>2.1120002499999999</v>
      </c>
      <c r="AF302" s="473">
        <v>14.417961925203951</v>
      </c>
      <c r="AG302" s="172">
        <f t="shared" si="14"/>
        <v>9.866296166748457</v>
      </c>
      <c r="AH302" s="253">
        <f t="shared" si="15"/>
        <v>202401</v>
      </c>
    </row>
    <row r="303" spans="3:36" ht="15.75" hidden="1">
      <c r="C303" s="235">
        <v>45311</v>
      </c>
      <c r="D303" s="645">
        <v>329660</v>
      </c>
      <c r="E303" s="645">
        <v>31365</v>
      </c>
      <c r="F303" s="645">
        <v>24231</v>
      </c>
      <c r="G303" s="645">
        <v>3329</v>
      </c>
      <c r="H303" s="645">
        <v>2499</v>
      </c>
      <c r="I303" s="646">
        <v>185000</v>
      </c>
      <c r="J303" s="645">
        <v>173910</v>
      </c>
      <c r="K303" s="645">
        <v>51384.360999999997</v>
      </c>
      <c r="L303" s="645">
        <v>0</v>
      </c>
      <c r="M303" s="645">
        <v>294432</v>
      </c>
      <c r="N303" s="469">
        <v>8409</v>
      </c>
      <c r="O303" s="645">
        <v>3757</v>
      </c>
      <c r="P303" s="469">
        <v>134.35012799999998</v>
      </c>
      <c r="Q303" s="337">
        <v>0</v>
      </c>
      <c r="R303" s="167">
        <f t="shared" si="13"/>
        <v>146537.11380759999</v>
      </c>
      <c r="S303" s="648">
        <v>7.8077967531934265</v>
      </c>
      <c r="T303" s="648">
        <v>0.31719799999999998</v>
      </c>
      <c r="U303" s="648">
        <v>3.6344638351734544E-3</v>
      </c>
      <c r="V303" s="648">
        <v>1.7000000000000001E-2</v>
      </c>
      <c r="W303" s="648">
        <v>0.30774000000000001</v>
      </c>
      <c r="X303" s="332">
        <v>13.494999999999999</v>
      </c>
      <c r="Y303" s="648">
        <v>12.01</v>
      </c>
      <c r="Z303" s="337">
        <v>0</v>
      </c>
      <c r="AB303" s="337">
        <v>0</v>
      </c>
      <c r="AC303" s="648">
        <v>0.24409098760572789</v>
      </c>
      <c r="AD303" s="648">
        <v>7.1499970267339091E-2</v>
      </c>
      <c r="AE303" s="648">
        <v>2.1087002500000001</v>
      </c>
      <c r="AF303" s="648">
        <v>14.486347045281427</v>
      </c>
      <c r="AG303" s="172">
        <f t="shared" si="14"/>
        <v>9.8734317966247982</v>
      </c>
      <c r="AH303" s="253">
        <f t="shared" si="15"/>
        <v>202401</v>
      </c>
    </row>
    <row r="304" spans="3:36" ht="15.75" hidden="1">
      <c r="C304" s="237">
        <v>45312</v>
      </c>
      <c r="D304" s="471">
        <v>354212</v>
      </c>
      <c r="E304" s="471">
        <v>31352</v>
      </c>
      <c r="F304" s="471">
        <v>24159</v>
      </c>
      <c r="G304" s="471">
        <v>3444</v>
      </c>
      <c r="H304" s="471">
        <v>2540</v>
      </c>
      <c r="I304" s="646">
        <v>185000</v>
      </c>
      <c r="J304" s="471">
        <v>176016</v>
      </c>
      <c r="K304" s="471">
        <v>47162.213830000001</v>
      </c>
      <c r="L304" s="471">
        <v>3757</v>
      </c>
      <c r="M304" s="471">
        <v>358581</v>
      </c>
      <c r="N304" s="471">
        <v>8414</v>
      </c>
      <c r="O304" s="471">
        <v>2512</v>
      </c>
      <c r="P304" s="471">
        <v>180.26566799999998</v>
      </c>
      <c r="Q304" s="337">
        <v>0</v>
      </c>
      <c r="R304" s="167">
        <f t="shared" si="13"/>
        <v>149636.4264581</v>
      </c>
      <c r="S304" s="473">
        <v>7.7245453026643247</v>
      </c>
      <c r="T304" s="473">
        <v>0.31837700000000002</v>
      </c>
      <c r="U304" s="473">
        <v>3.8550518622556605E-3</v>
      </c>
      <c r="V304" s="473">
        <v>1.7000000000000001E-2</v>
      </c>
      <c r="W304" s="473">
        <v>0.31386999999999998</v>
      </c>
      <c r="X304" s="332">
        <v>13.494999999999999</v>
      </c>
      <c r="Y304" s="473">
        <v>11.99</v>
      </c>
      <c r="Z304" s="337"/>
      <c r="AA304">
        <v>0</v>
      </c>
      <c r="AB304" s="337">
        <v>0</v>
      </c>
      <c r="AC304" s="473">
        <v>0.25230286537900648</v>
      </c>
      <c r="AD304" s="473">
        <v>7.1783138466417665E-2</v>
      </c>
      <c r="AE304" s="473">
        <v>2.1022002500000001</v>
      </c>
      <c r="AF304" s="473">
        <v>14.511322480440155</v>
      </c>
      <c r="AG304" s="172">
        <f t="shared" si="14"/>
        <v>9.8752488275482087</v>
      </c>
      <c r="AH304" s="253">
        <f t="shared" si="15"/>
        <v>202401</v>
      </c>
      <c r="AJ304" t="s">
        <v>1422</v>
      </c>
    </row>
    <row r="305" spans="3:36" ht="15.75" hidden="1">
      <c r="C305" s="235">
        <v>45313</v>
      </c>
      <c r="D305" s="645">
        <v>333684</v>
      </c>
      <c r="E305" s="645">
        <v>31358</v>
      </c>
      <c r="F305" s="645">
        <v>23990</v>
      </c>
      <c r="G305" s="645">
        <v>3505</v>
      </c>
      <c r="H305" s="645">
        <v>2485</v>
      </c>
      <c r="I305" s="646">
        <v>177600</v>
      </c>
      <c r="J305" s="645">
        <v>176536</v>
      </c>
      <c r="K305" s="645">
        <v>49421.43</v>
      </c>
      <c r="L305" s="645">
        <v>3213</v>
      </c>
      <c r="M305" s="645">
        <v>277535</v>
      </c>
      <c r="N305" s="469">
        <v>8404</v>
      </c>
      <c r="O305" s="645">
        <v>4165</v>
      </c>
      <c r="P305" s="469">
        <v>89.252261999999988</v>
      </c>
      <c r="Q305" s="337">
        <v>0</v>
      </c>
      <c r="R305" s="167">
        <f t="shared" si="13"/>
        <v>145487.11766789999</v>
      </c>
      <c r="S305" s="648">
        <v>7.7421017310072031</v>
      </c>
      <c r="T305" s="648">
        <v>0.317747</v>
      </c>
      <c r="U305" s="648">
        <v>3.8485956273166698E-3</v>
      </c>
      <c r="V305" s="648">
        <v>1.7000000000000001E-2</v>
      </c>
      <c r="W305" s="648">
        <v>0.31054000000000004</v>
      </c>
      <c r="X305" s="332">
        <v>13.494999999999999</v>
      </c>
      <c r="Y305" s="648">
        <v>11.88</v>
      </c>
      <c r="Z305" s="337">
        <v>0</v>
      </c>
      <c r="AA305">
        <v>0</v>
      </c>
      <c r="AB305" s="337">
        <v>0</v>
      </c>
      <c r="AC305" s="648">
        <v>0.24069296921678507</v>
      </c>
      <c r="AD305" s="648">
        <v>7.0055812452038388E-2</v>
      </c>
      <c r="AE305" s="648">
        <v>2.1035002500000002</v>
      </c>
      <c r="AF305" s="648">
        <v>14.547398109002765</v>
      </c>
      <c r="AG305" s="172">
        <f t="shared" si="14"/>
        <v>9.8482995995505203</v>
      </c>
      <c r="AH305" s="253">
        <f t="shared" si="15"/>
        <v>202401</v>
      </c>
      <c r="AI305" t="s">
        <v>1484</v>
      </c>
      <c r="AJ305" t="s">
        <v>1423</v>
      </c>
    </row>
    <row r="306" spans="3:36" ht="15.75" hidden="1">
      <c r="C306" s="237">
        <v>45314</v>
      </c>
      <c r="D306" s="471">
        <v>332094</v>
      </c>
      <c r="E306" s="471">
        <v>31283</v>
      </c>
      <c r="F306" s="471">
        <v>23936</v>
      </c>
      <c r="G306" s="471">
        <v>3401</v>
      </c>
      <c r="H306" s="471">
        <v>2337</v>
      </c>
      <c r="I306" s="646">
        <v>177600</v>
      </c>
      <c r="J306" s="471">
        <v>175941</v>
      </c>
      <c r="K306" s="471">
        <v>45215.266000000003</v>
      </c>
      <c r="L306" s="655">
        <v>0</v>
      </c>
      <c r="M306" s="471">
        <v>338168</v>
      </c>
      <c r="N306" s="471">
        <v>8404</v>
      </c>
      <c r="O306" s="471">
        <v>316</v>
      </c>
      <c r="P306" s="471">
        <v>162.84292199999999</v>
      </c>
      <c r="Q306" s="337">
        <v>0</v>
      </c>
      <c r="R306" s="167">
        <f t="shared" si="13"/>
        <v>144129.7972149</v>
      </c>
      <c r="S306" s="473">
        <v>7.7891076520542413</v>
      </c>
      <c r="T306" s="473">
        <v>0.31800600000000001</v>
      </c>
      <c r="U306" s="473">
        <v>3.7954449563496217E-3</v>
      </c>
      <c r="V306" s="473">
        <v>1.7000000000000001E-2</v>
      </c>
      <c r="W306" s="473">
        <v>0.30654999999999999</v>
      </c>
      <c r="X306" s="332">
        <v>13.494999999999999</v>
      </c>
      <c r="Y306" s="473">
        <v>11.87</v>
      </c>
      <c r="Z306" s="337">
        <v>0</v>
      </c>
      <c r="AA306">
        <v>0</v>
      </c>
      <c r="AB306" s="337">
        <v>0</v>
      </c>
      <c r="AC306" s="473">
        <v>0.23672861442968507</v>
      </c>
      <c r="AD306" s="473">
        <v>6.8470070537198391E-2</v>
      </c>
      <c r="AE306" s="473">
        <v>2.09920025</v>
      </c>
      <c r="AF306" s="473">
        <v>14.564699685966465</v>
      </c>
      <c r="AG306" s="172">
        <f t="shared" si="14"/>
        <v>9.8427640531483416</v>
      </c>
      <c r="AH306" s="253">
        <f t="shared" si="15"/>
        <v>202401</v>
      </c>
      <c r="AJ306" t="s">
        <v>1450</v>
      </c>
    </row>
    <row r="307" spans="3:36" ht="15.75" hidden="1">
      <c r="C307" s="235">
        <v>45315</v>
      </c>
      <c r="D307" s="645">
        <v>350120</v>
      </c>
      <c r="E307" s="645">
        <v>31472</v>
      </c>
      <c r="F307" s="645">
        <v>23940.01</v>
      </c>
      <c r="G307" s="645">
        <v>3424</v>
      </c>
      <c r="H307" s="645">
        <v>2391</v>
      </c>
      <c r="I307" s="646">
        <v>177600</v>
      </c>
      <c r="J307" s="645">
        <v>175502</v>
      </c>
      <c r="K307" s="645">
        <v>50363.894999999997</v>
      </c>
      <c r="L307" s="645">
        <v>3216</v>
      </c>
      <c r="M307" s="645">
        <v>391385</v>
      </c>
      <c r="N307" s="469">
        <v>8511</v>
      </c>
      <c r="O307" s="645">
        <v>3815</v>
      </c>
      <c r="P307" s="469">
        <v>131.268126</v>
      </c>
      <c r="Q307" s="337">
        <v>0</v>
      </c>
      <c r="R307" s="167">
        <f t="shared" si="13"/>
        <v>150140.25340669998</v>
      </c>
      <c r="S307" s="648">
        <v>7.8720759343842648</v>
      </c>
      <c r="T307" s="648">
        <v>0.32043500000000003</v>
      </c>
      <c r="U307" s="648">
        <v>3.7422942853825702E-3</v>
      </c>
      <c r="V307" s="648">
        <v>1.7000000000000001E-2</v>
      </c>
      <c r="W307" s="648">
        <v>0.30504999999999999</v>
      </c>
      <c r="X307" s="332">
        <v>13.494999999999999</v>
      </c>
      <c r="Y307" s="648">
        <v>11.96</v>
      </c>
      <c r="Z307" s="337">
        <v>0</v>
      </c>
      <c r="AA307" s="337">
        <v>0</v>
      </c>
      <c r="AB307" s="337">
        <v>0</v>
      </c>
      <c r="AC307" s="648">
        <v>0.23927712822139219</v>
      </c>
      <c r="AD307" s="648">
        <v>6.875323873627695E-2</v>
      </c>
      <c r="AE307" s="648">
        <v>2.0978002500000001</v>
      </c>
      <c r="AF307" s="648">
        <v>14.620002435246512</v>
      </c>
      <c r="AG307" s="172">
        <f t="shared" si="14"/>
        <v>9.8763643161748149</v>
      </c>
      <c r="AH307" s="253">
        <f t="shared" si="15"/>
        <v>202401</v>
      </c>
      <c r="AJ307" t="s">
        <v>1475</v>
      </c>
    </row>
    <row r="308" spans="3:36" ht="15.75" hidden="1">
      <c r="C308" s="237">
        <v>45316</v>
      </c>
      <c r="D308" s="471">
        <v>328283</v>
      </c>
      <c r="E308" s="471">
        <v>31434</v>
      </c>
      <c r="F308" s="471">
        <v>24085</v>
      </c>
      <c r="G308" s="471">
        <v>3483</v>
      </c>
      <c r="H308" s="471">
        <v>2454</v>
      </c>
      <c r="I308" s="646">
        <v>177600</v>
      </c>
      <c r="J308" s="471">
        <v>176194</v>
      </c>
      <c r="K308" s="471">
        <v>51657.983999999997</v>
      </c>
      <c r="L308" s="655">
        <v>0</v>
      </c>
      <c r="M308" s="471">
        <v>414919</v>
      </c>
      <c r="N308" s="471">
        <v>8515</v>
      </c>
      <c r="O308" s="471">
        <v>2514</v>
      </c>
      <c r="P308" s="471">
        <v>174.982236</v>
      </c>
      <c r="Q308" s="337">
        <v>0</v>
      </c>
      <c r="R308" s="167">
        <f t="shared" si="13"/>
        <v>149988.20530619999</v>
      </c>
      <c r="S308" s="473">
        <v>11.411678422866398</v>
      </c>
      <c r="T308" s="473">
        <v>0.31962299999999999</v>
      </c>
      <c r="U308" s="473">
        <v>3.7717720949066538E-3</v>
      </c>
      <c r="V308" s="473">
        <v>1.7000000000000001E-2</v>
      </c>
      <c r="W308" s="473">
        <v>0.30645</v>
      </c>
      <c r="X308" s="332">
        <v>13.494999999999999</v>
      </c>
      <c r="Y308" s="473">
        <v>11.91</v>
      </c>
      <c r="Z308" s="337">
        <v>0</v>
      </c>
      <c r="AB308" s="337">
        <v>0</v>
      </c>
      <c r="AC308" s="473">
        <v>0.23644544623060648</v>
      </c>
      <c r="AD308" s="473">
        <v>6.9772644252959815E-2</v>
      </c>
      <c r="AE308" s="473">
        <v>2.0955002500000002</v>
      </c>
      <c r="AF308" s="473">
        <v>14.611677290193599</v>
      </c>
      <c r="AG308" s="172">
        <f t="shared" si="14"/>
        <v>9.9439765306541119</v>
      </c>
      <c r="AH308" s="253">
        <f t="shared" si="15"/>
        <v>202401</v>
      </c>
    </row>
    <row r="309" spans="3:36" ht="15.75" hidden="1">
      <c r="C309" s="235">
        <v>45317</v>
      </c>
      <c r="D309" s="645">
        <v>331097</v>
      </c>
      <c r="E309" s="645">
        <v>31440</v>
      </c>
      <c r="F309" s="645">
        <v>24441</v>
      </c>
      <c r="G309" s="645">
        <v>3543</v>
      </c>
      <c r="H309" s="645">
        <v>2454</v>
      </c>
      <c r="I309" s="646">
        <v>177600</v>
      </c>
      <c r="J309" s="645">
        <v>176916</v>
      </c>
      <c r="K309" s="645">
        <v>49742.78</v>
      </c>
      <c r="L309" s="645">
        <v>0</v>
      </c>
      <c r="M309" s="645">
        <v>431502</v>
      </c>
      <c r="N309" s="469">
        <v>8624</v>
      </c>
      <c r="O309" s="645">
        <v>149</v>
      </c>
      <c r="P309" s="469">
        <v>76.42107</v>
      </c>
      <c r="Q309" s="337">
        <v>0</v>
      </c>
      <c r="R309" s="167">
        <f t="shared" si="13"/>
        <v>149727.90518150001</v>
      </c>
      <c r="S309" s="648">
        <v>8.2968282330021204</v>
      </c>
      <c r="T309" s="648">
        <v>0.32214399999999999</v>
      </c>
      <c r="U309" s="648">
        <v>3.8814431384097837E-3</v>
      </c>
      <c r="V309" s="648">
        <v>1.7000000000000001E-2</v>
      </c>
      <c r="W309" s="648">
        <v>0.30497000000000002</v>
      </c>
      <c r="X309" s="332">
        <v>13.494999999999999</v>
      </c>
      <c r="Y309" s="648">
        <v>11.88</v>
      </c>
      <c r="Z309" s="337">
        <v>0</v>
      </c>
      <c r="AA309" s="337"/>
      <c r="AB309" s="337">
        <v>0</v>
      </c>
      <c r="AC309" s="648">
        <v>0.23418010063797792</v>
      </c>
      <c r="AD309" s="648">
        <v>7.0792049769642665E-2</v>
      </c>
      <c r="AE309" s="648">
        <v>2.10150025</v>
      </c>
      <c r="AF309" s="648">
        <v>14.603748580619401</v>
      </c>
      <c r="AG309" s="172">
        <f t="shared" si="14"/>
        <v>9.8650116245625696</v>
      </c>
      <c r="AH309" s="253">
        <f t="shared" si="15"/>
        <v>202401</v>
      </c>
    </row>
    <row r="310" spans="3:36" ht="15.75" hidden="1">
      <c r="C310" s="237">
        <v>45318</v>
      </c>
      <c r="D310" s="471">
        <v>339383</v>
      </c>
      <c r="E310" s="471">
        <v>31591</v>
      </c>
      <c r="F310" s="471">
        <v>24935</v>
      </c>
      <c r="G310" s="471">
        <v>3542</v>
      </c>
      <c r="H310" s="471">
        <v>2438</v>
      </c>
      <c r="I310" s="646">
        <v>177600</v>
      </c>
      <c r="J310" s="471">
        <v>179274</v>
      </c>
      <c r="K310" s="471">
        <v>52029.906999999999</v>
      </c>
      <c r="L310" s="655">
        <v>0</v>
      </c>
      <c r="M310" s="471">
        <v>426605</v>
      </c>
      <c r="N310" s="471">
        <v>8617</v>
      </c>
      <c r="O310" s="471">
        <v>4499</v>
      </c>
      <c r="P310" s="471">
        <v>213.16132199999998</v>
      </c>
      <c r="Q310" s="337">
        <v>0</v>
      </c>
      <c r="R310" s="167">
        <f t="shared" si="13"/>
        <v>153079.12664490001</v>
      </c>
      <c r="S310" s="473">
        <v>8.0702936737392648</v>
      </c>
      <c r="T310" s="473">
        <v>0.32118000000000002</v>
      </c>
      <c r="U310" s="473">
        <v>3.8381184039507623E-3</v>
      </c>
      <c r="V310" s="473">
        <v>1.7000000000000001E-2</v>
      </c>
      <c r="W310" s="473">
        <v>0.30698999999999999</v>
      </c>
      <c r="X310" s="332">
        <v>13.494999999999999</v>
      </c>
      <c r="Y310" s="473">
        <v>11.69</v>
      </c>
      <c r="Z310" s="337">
        <v>0</v>
      </c>
      <c r="AB310" s="337">
        <v>0</v>
      </c>
      <c r="AC310" s="473">
        <v>0.24125930561494219</v>
      </c>
      <c r="AD310" s="473">
        <v>6.9177991034894817E-2</v>
      </c>
      <c r="AE310" s="473">
        <v>2.10300025</v>
      </c>
      <c r="AF310" s="473">
        <v>14.588599081968699</v>
      </c>
      <c r="AG310" s="172">
        <f t="shared" si="14"/>
        <v>9.8103407432124232</v>
      </c>
      <c r="AH310" s="253">
        <f t="shared" si="15"/>
        <v>202401</v>
      </c>
    </row>
    <row r="311" spans="3:36" ht="15.75" hidden="1">
      <c r="C311" s="235">
        <v>45319</v>
      </c>
      <c r="D311" s="645">
        <v>330976</v>
      </c>
      <c r="E311" s="645">
        <v>31390</v>
      </c>
      <c r="F311" s="645">
        <v>24929</v>
      </c>
      <c r="G311" s="645">
        <v>3502</v>
      </c>
      <c r="H311" s="645">
        <v>2483</v>
      </c>
      <c r="I311" s="646">
        <v>177600</v>
      </c>
      <c r="J311" s="645">
        <v>180353</v>
      </c>
      <c r="K311" s="645">
        <v>51947.173999999999</v>
      </c>
      <c r="L311" s="645">
        <v>0</v>
      </c>
      <c r="M311" s="645">
        <v>430674</v>
      </c>
      <c r="N311" s="469">
        <v>8610</v>
      </c>
      <c r="O311" s="469">
        <v>7364</v>
      </c>
      <c r="P311" s="469">
        <v>79.503072000000003</v>
      </c>
      <c r="Q311" s="337">
        <v>0</v>
      </c>
      <c r="R311" s="167">
        <f t="shared" si="13"/>
        <v>154359.1554824</v>
      </c>
      <c r="S311" s="648">
        <v>10.477223365907115</v>
      </c>
      <c r="T311" s="648">
        <v>0.32122899999999999</v>
      </c>
      <c r="U311" s="648">
        <v>3.8603754243983382E-3</v>
      </c>
      <c r="V311" s="648">
        <v>1.7000000000000001E-2</v>
      </c>
      <c r="W311" s="648">
        <v>0.30604000000000003</v>
      </c>
      <c r="X311" s="332">
        <v>13.494999999999999</v>
      </c>
      <c r="Y311" s="648">
        <v>11.89</v>
      </c>
      <c r="Z311" s="337">
        <v>0</v>
      </c>
      <c r="AA311" s="337"/>
      <c r="AB311" s="337">
        <v>0</v>
      </c>
      <c r="AC311" s="648">
        <v>0.23701178262876363</v>
      </c>
      <c r="AD311" s="648">
        <v>6.8158585518211953E-2</v>
      </c>
      <c r="AE311" s="648">
        <v>2.0979002499999999</v>
      </c>
      <c r="AF311" s="648">
        <v>14.586362053195979</v>
      </c>
      <c r="AG311" s="172">
        <f t="shared" si="14"/>
        <v>9.9134693443892985</v>
      </c>
      <c r="AH311" s="253">
        <f t="shared" si="15"/>
        <v>202401</v>
      </c>
      <c r="AJ311" t="s">
        <v>1476</v>
      </c>
    </row>
    <row r="312" spans="3:36" ht="15.75" hidden="1">
      <c r="C312" s="237">
        <v>45320</v>
      </c>
      <c r="D312" s="471">
        <v>325743</v>
      </c>
      <c r="E312" s="471">
        <v>31553</v>
      </c>
      <c r="F312" s="471">
        <v>24909</v>
      </c>
      <c r="G312" s="471">
        <v>3472</v>
      </c>
      <c r="H312" s="471">
        <v>2390</v>
      </c>
      <c r="I312" s="646">
        <v>179080</v>
      </c>
      <c r="J312" s="471">
        <v>179750</v>
      </c>
      <c r="K312" s="471">
        <v>51117.635999999999</v>
      </c>
      <c r="L312" s="655">
        <v>0</v>
      </c>
      <c r="M312" s="471">
        <v>422280</v>
      </c>
      <c r="N312" s="471">
        <v>8673</v>
      </c>
      <c r="O312" s="471">
        <v>5415</v>
      </c>
      <c r="P312" s="471">
        <v>203.34923399999997</v>
      </c>
      <c r="Q312" s="337">
        <v>0</v>
      </c>
      <c r="R312" s="167">
        <f t="shared" si="13"/>
        <v>153039.4194553</v>
      </c>
      <c r="S312" s="473">
        <v>10.562173825630685</v>
      </c>
      <c r="T312" s="473">
        <v>0.32207999999999998</v>
      </c>
      <c r="U312" s="473">
        <v>3.865670669721107E-3</v>
      </c>
      <c r="V312" s="473">
        <v>1.7000000000000001E-2</v>
      </c>
      <c r="W312" s="473">
        <v>0.30323</v>
      </c>
      <c r="X312" s="332">
        <v>13.494999999999999</v>
      </c>
      <c r="Y312" s="473">
        <v>11.81</v>
      </c>
      <c r="Z312" s="337">
        <v>0</v>
      </c>
      <c r="AB312" s="337">
        <v>0</v>
      </c>
      <c r="AC312" s="473">
        <v>0.23984346461954936</v>
      </c>
      <c r="AD312" s="473">
        <v>6.9177991034894817E-2</v>
      </c>
      <c r="AE312" s="473">
        <v>2.1002002499999999</v>
      </c>
      <c r="AF312" s="473">
        <v>14.620059068886327</v>
      </c>
      <c r="AG312" s="172">
        <f t="shared" si="14"/>
        <v>9.8995379165736583</v>
      </c>
      <c r="AH312" s="253">
        <f t="shared" si="15"/>
        <v>202401</v>
      </c>
      <c r="AJ312" t="s">
        <v>1477</v>
      </c>
    </row>
    <row r="313" spans="3:36" ht="15.75" hidden="1">
      <c r="C313" s="235">
        <v>45321</v>
      </c>
      <c r="D313" s="645">
        <v>325078</v>
      </c>
      <c r="E313" s="645">
        <v>31390</v>
      </c>
      <c r="F313" s="645">
        <v>24770</v>
      </c>
      <c r="G313" s="645">
        <v>3473</v>
      </c>
      <c r="H313" s="645">
        <v>2403</v>
      </c>
      <c r="I313" s="646">
        <v>179080</v>
      </c>
      <c r="J313" s="645">
        <v>179855</v>
      </c>
      <c r="K313" s="645">
        <v>52054.601999999999</v>
      </c>
      <c r="L313" s="645">
        <v>0</v>
      </c>
      <c r="M313" s="645">
        <v>419166</v>
      </c>
      <c r="N313" s="469">
        <v>8746</v>
      </c>
      <c r="O313" s="469">
        <v>3321</v>
      </c>
      <c r="P313" s="469">
        <v>87.742709999999988</v>
      </c>
      <c r="Q313" s="337">
        <v>0</v>
      </c>
      <c r="R313" s="167">
        <f t="shared" si="13"/>
        <v>152151.6365195</v>
      </c>
      <c r="S313" s="648">
        <v>10.90197566452497</v>
      </c>
      <c r="T313" s="648">
        <v>0.32290000000000002</v>
      </c>
      <c r="U313" s="648">
        <v>3.9872064607656297E-3</v>
      </c>
      <c r="V313" s="648">
        <v>1.7000000000000001E-2</v>
      </c>
      <c r="W313" s="648">
        <v>0.30504999999999999</v>
      </c>
      <c r="X313" s="332">
        <v>13.494999999999999</v>
      </c>
      <c r="Y313" s="648">
        <v>11.67</v>
      </c>
      <c r="Z313" s="337">
        <v>0</v>
      </c>
      <c r="AA313" s="337"/>
      <c r="AB313" s="337">
        <v>0</v>
      </c>
      <c r="AC313" s="648">
        <v>0.24069296921678507</v>
      </c>
      <c r="AD313" s="648">
        <v>6.9461159233973377E-2</v>
      </c>
      <c r="AE313" s="648">
        <v>2.1010002499999998</v>
      </c>
      <c r="AF313" s="648">
        <v>14.607146599008344</v>
      </c>
      <c r="AG313" s="172">
        <f t="shared" si="14"/>
        <v>9.8714854070119173</v>
      </c>
      <c r="AH313" s="253">
        <f t="shared" si="15"/>
        <v>202401</v>
      </c>
      <c r="AJ313" t="s">
        <v>1478</v>
      </c>
    </row>
    <row r="314" spans="3:36" ht="15.75" hidden="1">
      <c r="C314" s="237">
        <v>45322</v>
      </c>
      <c r="D314" s="471">
        <v>325350</v>
      </c>
      <c r="E314" s="471">
        <v>31616</v>
      </c>
      <c r="F314" s="471">
        <v>24697</v>
      </c>
      <c r="G314" s="471">
        <v>3452</v>
      </c>
      <c r="H314" s="471">
        <v>2419</v>
      </c>
      <c r="I314" s="646">
        <v>179080</v>
      </c>
      <c r="J314" s="471">
        <v>179096</v>
      </c>
      <c r="K314" s="471">
        <v>52240.856</v>
      </c>
      <c r="L314" s="655">
        <v>0</v>
      </c>
      <c r="M314" s="471">
        <v>411862</v>
      </c>
      <c r="N314" s="471">
        <v>8775</v>
      </c>
      <c r="O314" s="471">
        <v>4067.9999999999995</v>
      </c>
      <c r="P314" s="471">
        <v>111.70684800000001</v>
      </c>
      <c r="Q314" s="337">
        <v>0</v>
      </c>
      <c r="R314" s="167">
        <f t="shared" si="13"/>
        <v>152043.17708160001</v>
      </c>
      <c r="S314" s="473">
        <v>11.524945702497826</v>
      </c>
      <c r="T314" s="473">
        <v>0.324457</v>
      </c>
      <c r="U314" s="473">
        <v>3.9038983765967146E-3</v>
      </c>
      <c r="V314" s="473">
        <v>1.7000000000000001E-2</v>
      </c>
      <c r="W314" s="473">
        <v>0.30742000000000003</v>
      </c>
      <c r="X314" s="332">
        <v>13.494999999999999</v>
      </c>
      <c r="Y314" s="473">
        <v>11.68</v>
      </c>
      <c r="Z314" s="337">
        <v>0</v>
      </c>
      <c r="AA314" s="337">
        <v>0</v>
      </c>
      <c r="AB314" s="337">
        <v>0</v>
      </c>
      <c r="AC314" s="473">
        <v>0.24182564201309933</v>
      </c>
      <c r="AD314" s="473">
        <v>7.0055812452038388E-2</v>
      </c>
      <c r="AE314" s="473">
        <v>2.1008002499999998</v>
      </c>
      <c r="AF314" s="473">
        <v>14.668169345909774</v>
      </c>
      <c r="AG314" s="172">
        <f t="shared" si="14"/>
        <v>9.9018544114982348</v>
      </c>
      <c r="AH314" s="253">
        <f t="shared" si="15"/>
        <v>202401</v>
      </c>
      <c r="AJ314" t="s">
        <v>1479</v>
      </c>
    </row>
    <row r="315" spans="3:36" ht="15.75" hidden="1">
      <c r="C315" s="235">
        <v>45323</v>
      </c>
      <c r="D315" s="645">
        <v>303951</v>
      </c>
      <c r="E315" s="645">
        <v>31818</v>
      </c>
      <c r="F315" s="645">
        <v>24704</v>
      </c>
      <c r="G315" s="645">
        <v>3474</v>
      </c>
      <c r="H315" s="645">
        <v>2449</v>
      </c>
      <c r="I315" s="646">
        <v>179080</v>
      </c>
      <c r="J315" s="645">
        <v>178545</v>
      </c>
      <c r="K315" s="645">
        <v>52715.777999999998</v>
      </c>
      <c r="L315" s="645">
        <v>0</v>
      </c>
      <c r="M315" s="645">
        <v>393621</v>
      </c>
      <c r="N315" s="469">
        <v>8823</v>
      </c>
      <c r="O315" s="469">
        <v>2764</v>
      </c>
      <c r="P315" s="469">
        <v>206.24254199999999</v>
      </c>
      <c r="Q315" s="337">
        <v>0</v>
      </c>
      <c r="R315" s="167">
        <f t="shared" si="13"/>
        <v>150421.35174390001</v>
      </c>
      <c r="S315" s="648">
        <v>11.524945702497826</v>
      </c>
      <c r="T315" s="648">
        <v>0.32421100000000003</v>
      </c>
      <c r="U315" s="648">
        <v>3.8811316533907975E-3</v>
      </c>
      <c r="V315" s="648">
        <v>1.7000000000000001E-2</v>
      </c>
      <c r="W315" s="648">
        <v>0.30774000000000001</v>
      </c>
      <c r="X315" s="332">
        <v>12.584</v>
      </c>
      <c r="Y315" s="648">
        <v>11.7</v>
      </c>
      <c r="Z315" s="337">
        <v>0</v>
      </c>
      <c r="AA315" s="337"/>
      <c r="AB315" s="337">
        <v>0</v>
      </c>
      <c r="AC315" s="648">
        <v>0.2375781190269208</v>
      </c>
      <c r="AD315" s="648">
        <v>6.7139180001529103E-2</v>
      </c>
      <c r="AE315" s="648">
        <v>2.1066002500000001</v>
      </c>
      <c r="AF315" s="648">
        <v>14.604683035676361</v>
      </c>
      <c r="AG315" s="172">
        <f t="shared" si="14"/>
        <v>9.7152755015436281</v>
      </c>
      <c r="AH315" s="253">
        <f t="shared" si="15"/>
        <v>202402</v>
      </c>
    </row>
    <row r="316" spans="3:36" ht="15.75" hidden="1">
      <c r="C316" s="237">
        <v>45324</v>
      </c>
      <c r="D316" s="471">
        <v>343005</v>
      </c>
      <c r="E316" s="471">
        <v>31447</v>
      </c>
      <c r="F316" s="471">
        <v>24699</v>
      </c>
      <c r="G316" s="471">
        <v>3332</v>
      </c>
      <c r="H316" s="471">
        <v>2418</v>
      </c>
      <c r="I316" s="646">
        <v>179080</v>
      </c>
      <c r="J316" s="471">
        <v>177823</v>
      </c>
      <c r="K316" s="471">
        <v>52532.254000000001</v>
      </c>
      <c r="L316" s="655">
        <v>0</v>
      </c>
      <c r="M316" s="471">
        <v>332429</v>
      </c>
      <c r="N316" s="471">
        <v>8814</v>
      </c>
      <c r="O316" s="471">
        <v>283</v>
      </c>
      <c r="P316" s="471">
        <v>86.421852000000001</v>
      </c>
      <c r="Q316" s="337">
        <v>0</v>
      </c>
      <c r="R316" s="167">
        <f t="shared" si="13"/>
        <v>147389.23883340001</v>
      </c>
      <c r="S316" s="473">
        <v>8.5799964320806907</v>
      </c>
      <c r="T316" s="473">
        <v>0.32275300000000001</v>
      </c>
      <c r="U316" s="473">
        <v>3.7283907268078165E-3</v>
      </c>
      <c r="V316" s="473">
        <v>1.7000000000000001E-2</v>
      </c>
      <c r="W316" s="473">
        <v>0.30760999999999999</v>
      </c>
      <c r="X316" s="332">
        <v>12.584</v>
      </c>
      <c r="Y316" s="473">
        <v>11.6</v>
      </c>
      <c r="Z316" s="337">
        <v>0</v>
      </c>
      <c r="AA316" s="337"/>
      <c r="AB316" s="337">
        <v>0</v>
      </c>
      <c r="AC316" s="473">
        <v>0.24210881021217795</v>
      </c>
      <c r="AD316" s="473">
        <v>6.8158585518211953E-2</v>
      </c>
      <c r="AE316" s="473">
        <v>2.11100025</v>
      </c>
      <c r="AF316" s="473">
        <v>14.589986606144182</v>
      </c>
      <c r="AG316" s="172">
        <f t="shared" si="14"/>
        <v>9.6210043399649656</v>
      </c>
      <c r="AH316" s="253">
        <f t="shared" si="15"/>
        <v>202402</v>
      </c>
    </row>
    <row r="317" spans="3:36" ht="15.75" hidden="1">
      <c r="C317" s="235">
        <v>45325</v>
      </c>
      <c r="D317" s="645">
        <v>332205</v>
      </c>
      <c r="E317" s="645">
        <v>31660</v>
      </c>
      <c r="F317" s="645">
        <v>24690</v>
      </c>
      <c r="G317" s="645">
        <v>3378</v>
      </c>
      <c r="H317" s="645">
        <v>2388</v>
      </c>
      <c r="I317" s="646">
        <v>179080</v>
      </c>
      <c r="J317" s="645">
        <v>178210</v>
      </c>
      <c r="K317" s="645">
        <v>53228.74</v>
      </c>
      <c r="L317" s="645">
        <v>0</v>
      </c>
      <c r="M317" s="645">
        <v>298964</v>
      </c>
      <c r="N317" s="469">
        <v>8807</v>
      </c>
      <c r="O317" s="469">
        <v>338</v>
      </c>
      <c r="P317" s="469">
        <v>146.67813599999999</v>
      </c>
      <c r="Q317" s="337">
        <v>0</v>
      </c>
      <c r="R317" s="167">
        <f t="shared" si="13"/>
        <v>146168.45566120002</v>
      </c>
      <c r="S317" s="648">
        <v>8.5516796121728333</v>
      </c>
      <c r="T317" s="648">
        <v>0.32303799999999999</v>
      </c>
      <c r="U317" s="648">
        <v>3.7013764806157205E-3</v>
      </c>
      <c r="V317" s="648">
        <v>1.7000000000000001E-2</v>
      </c>
      <c r="W317" s="648">
        <v>0.31201999999999996</v>
      </c>
      <c r="X317" s="332">
        <v>12.584</v>
      </c>
      <c r="Y317" s="648">
        <v>11.68</v>
      </c>
      <c r="Z317" s="337">
        <v>0</v>
      </c>
      <c r="AA317" s="337"/>
      <c r="AB317" s="337">
        <v>0</v>
      </c>
      <c r="AC317" s="648">
        <v>0.24494049220296363</v>
      </c>
      <c r="AD317" s="648">
        <v>6.8470070537198391E-2</v>
      </c>
      <c r="AE317" s="648">
        <v>2.1073002500000002</v>
      </c>
      <c r="AF317" s="648">
        <v>14.563623646809967</v>
      </c>
      <c r="AG317" s="172">
        <f t="shared" si="14"/>
        <v>9.6399076373925219</v>
      </c>
      <c r="AH317" s="253">
        <f t="shared" si="15"/>
        <v>202402</v>
      </c>
    </row>
    <row r="318" spans="3:36" ht="15.75" hidden="1">
      <c r="C318" s="237">
        <v>45326</v>
      </c>
      <c r="D318" s="471">
        <v>328988</v>
      </c>
      <c r="E318" s="471">
        <v>31723</v>
      </c>
      <c r="F318" s="471">
        <v>24665</v>
      </c>
      <c r="G318" s="471">
        <v>3423</v>
      </c>
      <c r="H318" s="471">
        <v>2427</v>
      </c>
      <c r="I318" s="646">
        <v>179080</v>
      </c>
      <c r="J318" s="471">
        <v>177846</v>
      </c>
      <c r="K318" s="471">
        <v>52325.197</v>
      </c>
      <c r="L318" s="655">
        <v>0</v>
      </c>
      <c r="M318" s="471">
        <v>244565</v>
      </c>
      <c r="N318" s="471">
        <v>8810</v>
      </c>
      <c r="O318" s="471">
        <v>6291</v>
      </c>
      <c r="P318" s="471">
        <v>157.68528599999999</v>
      </c>
      <c r="Q318" s="337">
        <v>0</v>
      </c>
      <c r="R318" s="167">
        <f t="shared" si="13"/>
        <v>146045.1504287</v>
      </c>
      <c r="S318" s="473">
        <v>8.1835609533706926</v>
      </c>
      <c r="T318" s="473">
        <v>0.32241700000000001</v>
      </c>
      <c r="U318" s="473">
        <v>3.8405819672827457E-3</v>
      </c>
      <c r="V318" s="473">
        <v>1.7000000000000001E-2</v>
      </c>
      <c r="W318" s="473">
        <v>0.32557999999999998</v>
      </c>
      <c r="X318" s="332">
        <v>12.584</v>
      </c>
      <c r="Y318" s="473">
        <v>11.61</v>
      </c>
      <c r="Z318" s="337">
        <v>0</v>
      </c>
      <c r="AA318" s="337"/>
      <c r="AB318" s="337">
        <v>0</v>
      </c>
      <c r="AC318" s="473">
        <v>0.23418010063797792</v>
      </c>
      <c r="AD318" s="473">
        <v>6.9461159233973377E-2</v>
      </c>
      <c r="AE318" s="473">
        <v>2.1084002499999999</v>
      </c>
      <c r="AF318" s="473">
        <v>14.547766227661567</v>
      </c>
      <c r="AG318" s="172">
        <f t="shared" si="14"/>
        <v>9.6237059013661952</v>
      </c>
      <c r="AH318" s="253">
        <f t="shared" si="15"/>
        <v>202402</v>
      </c>
      <c r="AJ318" t="s">
        <v>1480</v>
      </c>
    </row>
    <row r="319" spans="3:36" ht="15.75" hidden="1">
      <c r="C319" s="235">
        <v>45327</v>
      </c>
      <c r="D319" s="645">
        <v>338873</v>
      </c>
      <c r="E319" s="645">
        <v>31535</v>
      </c>
      <c r="F319" s="645">
        <v>24609</v>
      </c>
      <c r="G319" s="645">
        <v>3357</v>
      </c>
      <c r="H319" s="645">
        <v>2453</v>
      </c>
      <c r="I319" s="646">
        <v>170200</v>
      </c>
      <c r="J319" s="645">
        <v>177690</v>
      </c>
      <c r="K319" s="645">
        <v>52071.099000000002</v>
      </c>
      <c r="L319" s="645">
        <v>0</v>
      </c>
      <c r="M319" s="645">
        <v>244031</v>
      </c>
      <c r="N319" s="469">
        <v>8822</v>
      </c>
      <c r="O319" s="469">
        <v>6775</v>
      </c>
      <c r="P319" s="469">
        <v>109.12803</v>
      </c>
      <c r="Q319" s="337">
        <v>0</v>
      </c>
      <c r="R319" s="167">
        <f t="shared" si="13"/>
        <v>144448.15866350001</v>
      </c>
      <c r="S319" s="648">
        <v>8.1269273135549778</v>
      </c>
      <c r="T319" s="648">
        <v>0.321467</v>
      </c>
      <c r="U319" s="648">
        <v>3.8903063030409427E-3</v>
      </c>
      <c r="V319" s="648">
        <v>1.7000000000000001E-2</v>
      </c>
      <c r="W319" s="648">
        <v>0.32622000000000001</v>
      </c>
      <c r="X319" s="332">
        <v>12.584</v>
      </c>
      <c r="Y319" s="648">
        <v>11.49</v>
      </c>
      <c r="Z319" s="337">
        <v>0</v>
      </c>
      <c r="AA319" s="337">
        <v>0</v>
      </c>
      <c r="AB319" s="337">
        <v>0</v>
      </c>
      <c r="AC319" s="648">
        <v>0.24012663281862792</v>
      </c>
      <c r="AD319" s="648">
        <v>7.0480564750656241E-2</v>
      </c>
      <c r="AE319" s="648">
        <v>2.1047002500000001</v>
      </c>
      <c r="AF319" s="648">
        <v>14.571354138644812</v>
      </c>
      <c r="AG319" s="172">
        <f t="shared" si="14"/>
        <v>9.5950227969351776</v>
      </c>
      <c r="AH319" s="253">
        <f t="shared" si="15"/>
        <v>202402</v>
      </c>
      <c r="AJ319" t="s">
        <v>1480</v>
      </c>
    </row>
    <row r="320" spans="3:36" ht="15.75" hidden="1">
      <c r="C320" s="237">
        <v>45328</v>
      </c>
      <c r="D320" s="471">
        <v>352954</v>
      </c>
      <c r="E320" s="471">
        <v>30321</v>
      </c>
      <c r="F320" s="471">
        <v>24573</v>
      </c>
      <c r="G320" s="471">
        <v>3408</v>
      </c>
      <c r="H320" s="471">
        <v>2453</v>
      </c>
      <c r="I320" s="646">
        <v>170200</v>
      </c>
      <c r="J320" s="471">
        <v>177883</v>
      </c>
      <c r="K320" s="471">
        <v>53817.779000000002</v>
      </c>
      <c r="L320" s="655">
        <v>0</v>
      </c>
      <c r="M320" s="471">
        <v>313453</v>
      </c>
      <c r="N320" s="471">
        <v>8821</v>
      </c>
      <c r="O320" s="471">
        <v>135</v>
      </c>
      <c r="P320" s="471">
        <v>176.11439999999999</v>
      </c>
      <c r="Q320" s="337">
        <v>0</v>
      </c>
      <c r="R320" s="167">
        <f t="shared" si="13"/>
        <v>145083.71363000001</v>
      </c>
      <c r="S320" s="473">
        <v>8.0702936737392648</v>
      </c>
      <c r="T320" s="473">
        <v>0.30681000000000003</v>
      </c>
      <c r="U320" s="473">
        <v>3.8263102900491859E-3</v>
      </c>
      <c r="V320" s="473">
        <v>1.7000000000000001E-2</v>
      </c>
      <c r="W320" s="473">
        <v>0.3226</v>
      </c>
      <c r="X320" s="332">
        <v>12.584</v>
      </c>
      <c r="Y320" s="473">
        <v>11.45</v>
      </c>
      <c r="Z320" s="337">
        <v>0</v>
      </c>
      <c r="AA320" s="337">
        <v>0</v>
      </c>
      <c r="AB320" s="337">
        <v>0</v>
      </c>
      <c r="AC320" s="473">
        <v>0.24125930561494219</v>
      </c>
      <c r="AD320" s="473">
        <v>6.8073635058488388E-2</v>
      </c>
      <c r="AE320" s="473">
        <v>2.0995002500000002</v>
      </c>
      <c r="AF320" s="473">
        <v>14.595876504685016</v>
      </c>
      <c r="AG320" s="172">
        <f t="shared" si="14"/>
        <v>9.5766829970039034</v>
      </c>
      <c r="AH320" s="253">
        <f t="shared" si="15"/>
        <v>202402</v>
      </c>
      <c r="AJ320" t="s">
        <v>1485</v>
      </c>
    </row>
    <row r="321" spans="3:36" ht="15.75" hidden="1">
      <c r="C321" s="235">
        <v>45329</v>
      </c>
      <c r="D321" s="645">
        <v>329770</v>
      </c>
      <c r="E321" s="645">
        <v>25101</v>
      </c>
      <c r="F321" s="645">
        <v>24599</v>
      </c>
      <c r="G321" s="645">
        <v>3443</v>
      </c>
      <c r="H321" s="645">
        <v>2488</v>
      </c>
      <c r="I321" s="646">
        <v>170200</v>
      </c>
      <c r="J321" s="645">
        <v>178679</v>
      </c>
      <c r="K321" s="645">
        <v>53468.233999999997</v>
      </c>
      <c r="L321" s="645">
        <v>0</v>
      </c>
      <c r="M321" s="645">
        <v>349398</v>
      </c>
      <c r="N321" s="469">
        <v>8874</v>
      </c>
      <c r="O321" s="469">
        <v>159</v>
      </c>
      <c r="P321" s="469">
        <v>121.39314</v>
      </c>
      <c r="Q321" s="337">
        <v>0</v>
      </c>
      <c r="R321" s="167">
        <f t="shared" si="13"/>
        <v>144757.64241299999</v>
      </c>
      <c r="S321" s="648">
        <v>8.2401945931864056</v>
      </c>
      <c r="T321" s="648">
        <v>0.23665</v>
      </c>
      <c r="U321" s="648">
        <v>3.8717871028212045E-3</v>
      </c>
      <c r="V321" s="648">
        <v>1.7000000000000001E-2</v>
      </c>
      <c r="W321" s="648">
        <v>0.32107999999999998</v>
      </c>
      <c r="X321" s="332">
        <v>12.584</v>
      </c>
      <c r="Y321" s="648">
        <v>11.46</v>
      </c>
      <c r="Z321" s="337">
        <v>0</v>
      </c>
      <c r="AB321" s="337">
        <v>0</v>
      </c>
      <c r="AC321" s="648">
        <v>0.24720583779559221</v>
      </c>
      <c r="AD321" s="648">
        <v>6.3373042953784112E-2</v>
      </c>
      <c r="AE321" s="648">
        <v>2.1026002500000001</v>
      </c>
      <c r="AF321" s="648">
        <v>14.631612331408734</v>
      </c>
      <c r="AG321" s="172">
        <f t="shared" si="14"/>
        <v>9.5690203142530947</v>
      </c>
      <c r="AH321" s="253">
        <f t="shared" si="15"/>
        <v>202402</v>
      </c>
      <c r="AJ321" t="s">
        <v>1486</v>
      </c>
    </row>
    <row r="322" spans="3:36" ht="15.75" hidden="1">
      <c r="C322" s="237">
        <v>45330</v>
      </c>
      <c r="D322" s="471">
        <v>362593</v>
      </c>
      <c r="E322" s="471">
        <v>29447</v>
      </c>
      <c r="F322" s="471">
        <v>24563</v>
      </c>
      <c r="G322" s="471">
        <v>3446</v>
      </c>
      <c r="H322" s="471">
        <v>2464</v>
      </c>
      <c r="I322" s="646">
        <v>170200</v>
      </c>
      <c r="J322" s="471">
        <v>179111</v>
      </c>
      <c r="K322" s="471">
        <v>52654.548000000003</v>
      </c>
      <c r="L322" s="655">
        <v>0</v>
      </c>
      <c r="M322" s="471">
        <v>356424</v>
      </c>
      <c r="N322" s="471">
        <v>8815</v>
      </c>
      <c r="O322" s="471">
        <v>3919</v>
      </c>
      <c r="P322" s="471">
        <v>89.189363999999998</v>
      </c>
      <c r="Q322" s="337">
        <v>0</v>
      </c>
      <c r="R322" s="167">
        <f t="shared" si="13"/>
        <v>148314.53051379998</v>
      </c>
      <c r="S322" s="473">
        <v>8.6083132519885481</v>
      </c>
      <c r="T322" s="473">
        <v>0.26132100000000003</v>
      </c>
      <c r="U322" s="473">
        <v>3.852305130724599E-3</v>
      </c>
      <c r="V322" s="473">
        <v>1.7000000000000001E-2</v>
      </c>
      <c r="W322" s="473">
        <v>0.31908999999999998</v>
      </c>
      <c r="X322" s="332">
        <v>12.584</v>
      </c>
      <c r="Y322" s="473">
        <v>11.39</v>
      </c>
      <c r="Z322" s="337">
        <v>0</v>
      </c>
      <c r="AA322" s="337">
        <v>0</v>
      </c>
      <c r="AB322" s="337">
        <v>0</v>
      </c>
      <c r="AC322" s="473">
        <v>0.23672861442968507</v>
      </c>
      <c r="AD322" s="473">
        <v>5.8672450849079842E-2</v>
      </c>
      <c r="AE322" s="473">
        <v>2.1016002500000002</v>
      </c>
      <c r="AF322" s="473">
        <v>14.658711528060552</v>
      </c>
      <c r="AG322" s="172">
        <f t="shared" si="14"/>
        <v>9.5651055199096344</v>
      </c>
      <c r="AH322" s="253">
        <f t="shared" si="15"/>
        <v>202402</v>
      </c>
      <c r="AJ322" t="s">
        <v>1488</v>
      </c>
    </row>
    <row r="323" spans="3:36" ht="15.75" hidden="1">
      <c r="C323" s="235">
        <v>45331</v>
      </c>
      <c r="D323" s="645">
        <v>348089</v>
      </c>
      <c r="E323" s="645">
        <v>26717</v>
      </c>
      <c r="F323" s="645">
        <v>24630</v>
      </c>
      <c r="G323" s="645">
        <v>3456</v>
      </c>
      <c r="H323" s="645">
        <v>2453</v>
      </c>
      <c r="I323" s="646">
        <v>170200</v>
      </c>
      <c r="J323" s="645">
        <v>180041</v>
      </c>
      <c r="K323" s="645">
        <v>53062.667000000001</v>
      </c>
      <c r="L323" s="645">
        <v>0</v>
      </c>
      <c r="M323" s="645">
        <v>374049</v>
      </c>
      <c r="N323" s="469">
        <v>9019</v>
      </c>
      <c r="O323" s="469">
        <v>6851</v>
      </c>
      <c r="P323" s="469">
        <v>203.72662199999999</v>
      </c>
      <c r="Q323" s="337">
        <v>0</v>
      </c>
      <c r="R323" s="167">
        <f t="shared" si="13"/>
        <v>149578.89962989997</v>
      </c>
      <c r="S323" s="648">
        <v>8.4950459723571203</v>
      </c>
      <c r="T323" s="648">
        <v>0.30921599999999999</v>
      </c>
      <c r="U323" s="648">
        <v>3.7448994328140969E-3</v>
      </c>
      <c r="V323" s="648">
        <v>1.7000000000000001E-2</v>
      </c>
      <c r="W323" s="648">
        <v>0.32127999999999995</v>
      </c>
      <c r="X323" s="332">
        <v>12.584</v>
      </c>
      <c r="Y323" s="648">
        <v>11.66</v>
      </c>
      <c r="Z323" s="337">
        <v>0</v>
      </c>
      <c r="AA323">
        <v>0</v>
      </c>
      <c r="AB323" s="337">
        <v>0</v>
      </c>
      <c r="AC323" s="648">
        <v>0.23729495082784224</v>
      </c>
      <c r="AD323" s="648">
        <v>6.2268686977377682E-2</v>
      </c>
      <c r="AE323" s="648">
        <v>2.0876002499999999</v>
      </c>
      <c r="AF323" s="648">
        <v>14.663836872463875</v>
      </c>
      <c r="AG323" s="172">
        <f t="shared" si="14"/>
        <v>9.6438076117652916</v>
      </c>
      <c r="AH323" s="253">
        <f t="shared" si="15"/>
        <v>202402</v>
      </c>
      <c r="AJ323" t="s">
        <v>1489</v>
      </c>
    </row>
    <row r="324" spans="3:36" ht="15.75" hidden="1">
      <c r="C324" s="237">
        <v>45332</v>
      </c>
      <c r="D324" s="471">
        <v>340676</v>
      </c>
      <c r="E324" s="471">
        <v>24119</v>
      </c>
      <c r="F324" s="471">
        <v>24583</v>
      </c>
      <c r="G324" s="471">
        <v>3502</v>
      </c>
      <c r="H324" s="471">
        <v>2424</v>
      </c>
      <c r="I324" s="646">
        <v>170200</v>
      </c>
      <c r="J324" s="471">
        <v>179683</v>
      </c>
      <c r="K324" s="471">
        <v>53525.341</v>
      </c>
      <c r="L324" s="655">
        <v>0</v>
      </c>
      <c r="M324" s="471">
        <v>380382</v>
      </c>
      <c r="N324" s="471">
        <v>9039</v>
      </c>
      <c r="O324" s="471">
        <v>3706</v>
      </c>
      <c r="P324" s="471">
        <v>79.691766000000001</v>
      </c>
      <c r="Q324" s="337">
        <v>0</v>
      </c>
      <c r="R324" s="167">
        <f t="shared" si="13"/>
        <v>147631.59214470003</v>
      </c>
      <c r="S324" s="473">
        <v>8.5516796121728333</v>
      </c>
      <c r="T324" s="473">
        <v>0.30690299999999998</v>
      </c>
      <c r="U324" s="473">
        <v>3.7885073354721969E-3</v>
      </c>
      <c r="V324" s="473">
        <v>1.7000000000000001E-2</v>
      </c>
      <c r="W324" s="473">
        <v>0.32138</v>
      </c>
      <c r="X324" s="332">
        <v>12.584</v>
      </c>
      <c r="Y324" s="473">
        <v>11.69</v>
      </c>
      <c r="Z324" s="337">
        <v>0</v>
      </c>
      <c r="AA324" s="337">
        <v>0</v>
      </c>
      <c r="AB324" s="337">
        <v>0</v>
      </c>
      <c r="AC324" s="473">
        <v>0.24154247381402075</v>
      </c>
      <c r="AD324" s="473">
        <v>5.9295420887052697E-2</v>
      </c>
      <c r="AE324" s="473">
        <v>2.06320025</v>
      </c>
      <c r="AF324" s="473">
        <v>14.656502816107739</v>
      </c>
      <c r="AG324" s="172">
        <f t="shared" si="14"/>
        <v>9.6394729958887027</v>
      </c>
      <c r="AH324" s="253">
        <f t="shared" si="15"/>
        <v>202402</v>
      </c>
      <c r="AJ324" t="s">
        <v>1490</v>
      </c>
    </row>
    <row r="325" spans="3:36" ht="15.75" hidden="1">
      <c r="C325" s="235">
        <v>45333</v>
      </c>
      <c r="D325" s="645">
        <v>339373</v>
      </c>
      <c r="E325" s="645">
        <v>30346</v>
      </c>
      <c r="F325" s="645">
        <v>24568</v>
      </c>
      <c r="G325" s="645">
        <v>3543</v>
      </c>
      <c r="H325" s="645">
        <v>2481</v>
      </c>
      <c r="I325" s="646">
        <v>170200</v>
      </c>
      <c r="J325" s="645">
        <v>180115</v>
      </c>
      <c r="K325" s="645">
        <v>52544.89</v>
      </c>
      <c r="L325" s="645">
        <v>0</v>
      </c>
      <c r="M325" s="645">
        <v>414640</v>
      </c>
      <c r="N325" s="469">
        <v>8871</v>
      </c>
      <c r="O325" s="469">
        <v>312</v>
      </c>
      <c r="P325" s="469">
        <v>202.34286599999999</v>
      </c>
      <c r="Q325" s="337">
        <v>0</v>
      </c>
      <c r="R325" s="167">
        <f t="shared" si="13"/>
        <v>149266.42308969999</v>
      </c>
      <c r="S325" s="648">
        <v>8.8631646311592611</v>
      </c>
      <c r="T325" s="648">
        <v>0.30762499999999998</v>
      </c>
      <c r="U325" s="648">
        <v>3.8681059162331832E-3</v>
      </c>
      <c r="V325" s="648">
        <v>1.7000000000000001E-2</v>
      </c>
      <c r="W325" s="648">
        <v>0.31888</v>
      </c>
      <c r="X325" s="332">
        <v>12.584</v>
      </c>
      <c r="Y325" s="648">
        <v>11.67</v>
      </c>
      <c r="Z325" s="337"/>
      <c r="AA325">
        <v>0</v>
      </c>
      <c r="AB325" s="337">
        <v>0</v>
      </c>
      <c r="AC325" s="648">
        <v>0.23899396002231363</v>
      </c>
      <c r="AD325" s="648">
        <v>5.7539778052765563E-2</v>
      </c>
      <c r="AE325" s="648">
        <v>2.0688002499999998</v>
      </c>
      <c r="AF325" s="648">
        <v>14.658541627141105</v>
      </c>
      <c r="AG325" s="172">
        <f t="shared" si="14"/>
        <v>9.6411029630586924</v>
      </c>
      <c r="AH325" s="253">
        <f t="shared" si="15"/>
        <v>202402</v>
      </c>
      <c r="AJ325" t="s">
        <v>1491</v>
      </c>
    </row>
    <row r="326" spans="3:36" ht="15.75" hidden="1">
      <c r="C326" s="237">
        <v>45334</v>
      </c>
      <c r="D326" s="471">
        <v>340414</v>
      </c>
      <c r="E326" s="471">
        <v>30937</v>
      </c>
      <c r="F326" s="471">
        <v>24555</v>
      </c>
      <c r="G326" s="471">
        <v>3539</v>
      </c>
      <c r="H326" s="471">
        <v>2419</v>
      </c>
      <c r="I326" s="646">
        <v>170200</v>
      </c>
      <c r="J326" s="471">
        <v>180829</v>
      </c>
      <c r="K326" s="471">
        <v>53478.406999999999</v>
      </c>
      <c r="L326" s="655">
        <v>0</v>
      </c>
      <c r="M326" s="471">
        <v>425347</v>
      </c>
      <c r="N326" s="471">
        <v>8756</v>
      </c>
      <c r="O326" s="471">
        <v>4390</v>
      </c>
      <c r="P326" s="471">
        <v>30.882918</v>
      </c>
      <c r="Q326" s="337">
        <v>0</v>
      </c>
      <c r="R326" s="167">
        <f t="shared" si="13"/>
        <v>151765.63246310002</v>
      </c>
      <c r="S326" s="473">
        <v>9.5710851288556889</v>
      </c>
      <c r="T326" s="473">
        <v>0.30838300000000002</v>
      </c>
      <c r="U326" s="473">
        <v>3.8583932470047885E-3</v>
      </c>
      <c r="V326" s="473">
        <v>1.7000000000000001E-2</v>
      </c>
      <c r="W326" s="473">
        <v>0.31223000000000001</v>
      </c>
      <c r="X326" s="332">
        <v>12.584</v>
      </c>
      <c r="Y326" s="473">
        <v>11.83</v>
      </c>
      <c r="Z326" s="337">
        <v>0</v>
      </c>
      <c r="AA326" s="337">
        <v>0</v>
      </c>
      <c r="AB326" s="337">
        <v>0</v>
      </c>
      <c r="AC326" s="473">
        <v>0.23219792324442792</v>
      </c>
      <c r="AD326" s="473">
        <v>5.955027226622342E-2</v>
      </c>
      <c r="AE326" s="473">
        <v>0.50670006000000001</v>
      </c>
      <c r="AF326" s="473">
        <v>14.653444599557689</v>
      </c>
      <c r="AG326" s="172">
        <f t="shared" si="14"/>
        <v>8.9888488411376546</v>
      </c>
      <c r="AH326" s="253">
        <f t="shared" si="15"/>
        <v>202402</v>
      </c>
      <c r="AJ326" t="s">
        <v>1493</v>
      </c>
    </row>
    <row r="327" spans="3:36" ht="15.75" hidden="1">
      <c r="C327" s="235">
        <v>45335</v>
      </c>
      <c r="D327" s="645">
        <v>329965</v>
      </c>
      <c r="E327" s="645">
        <v>30994</v>
      </c>
      <c r="F327" s="645">
        <v>24614</v>
      </c>
      <c r="G327" s="645">
        <v>3533</v>
      </c>
      <c r="H327" s="645">
        <v>2356</v>
      </c>
      <c r="I327" s="646">
        <v>170200</v>
      </c>
      <c r="J327" s="645">
        <v>179631</v>
      </c>
      <c r="K327" s="645">
        <v>50939.249000000003</v>
      </c>
      <c r="L327" s="645">
        <v>0</v>
      </c>
      <c r="M327" s="645">
        <v>410772</v>
      </c>
      <c r="N327" s="469">
        <v>8909</v>
      </c>
      <c r="O327" s="469">
        <v>5153</v>
      </c>
      <c r="P327" s="469">
        <v>91.390793999999985</v>
      </c>
      <c r="Q327" s="337">
        <v>0</v>
      </c>
      <c r="R327" s="167">
        <f t="shared" si="13"/>
        <v>150334.93960730001</v>
      </c>
      <c r="S327" s="648">
        <v>9.1746496501456889</v>
      </c>
      <c r="T327" s="648">
        <v>0.310112</v>
      </c>
      <c r="U327" s="648">
        <v>3.8913257085576255E-3</v>
      </c>
      <c r="V327" s="648">
        <v>1.7000000000000001E-2</v>
      </c>
      <c r="W327" s="648">
        <v>0.30693999999999999</v>
      </c>
      <c r="X327" s="332">
        <v>12.584</v>
      </c>
      <c r="Y327" s="648">
        <v>11.84</v>
      </c>
      <c r="Z327" s="337">
        <v>0</v>
      </c>
      <c r="AB327" s="337">
        <v>0</v>
      </c>
      <c r="AC327" s="648">
        <v>0.23871079182323507</v>
      </c>
      <c r="AD327" s="648">
        <v>6.0399776863459126E-2</v>
      </c>
      <c r="AE327" s="648">
        <v>1.4315001299999999</v>
      </c>
      <c r="AF327" s="648">
        <v>14.677598846939093</v>
      </c>
      <c r="AG327" s="172">
        <f t="shared" si="14"/>
        <v>9.3988135352399418</v>
      </c>
      <c r="AH327" s="253">
        <f t="shared" si="15"/>
        <v>202402</v>
      </c>
    </row>
    <row r="328" spans="3:36" ht="15.75" hidden="1">
      <c r="C328" s="237">
        <v>45336</v>
      </c>
      <c r="D328" s="471">
        <v>327637</v>
      </c>
      <c r="E328" s="471">
        <v>31082</v>
      </c>
      <c r="F328" s="471">
        <v>24610</v>
      </c>
      <c r="G328" s="471">
        <v>3503</v>
      </c>
      <c r="H328" s="471">
        <v>2355</v>
      </c>
      <c r="I328" s="646">
        <v>170200</v>
      </c>
      <c r="J328" s="471">
        <v>177645</v>
      </c>
      <c r="K328" s="471">
        <v>50353.69657</v>
      </c>
      <c r="L328" s="655">
        <v>0</v>
      </c>
      <c r="M328" s="471">
        <v>437468</v>
      </c>
      <c r="N328" s="471">
        <v>8923</v>
      </c>
      <c r="O328" s="471">
        <v>887</v>
      </c>
      <c r="P328" s="471">
        <v>126.36208199999999</v>
      </c>
      <c r="Q328" s="337">
        <v>0</v>
      </c>
      <c r="R328" s="167">
        <f t="shared" si="13"/>
        <v>149002.09177940001</v>
      </c>
      <c r="S328" s="473">
        <v>11.29841114323497</v>
      </c>
      <c r="T328" s="473">
        <v>0.310137</v>
      </c>
      <c r="U328" s="473">
        <v>3.8528997839426637E-3</v>
      </c>
      <c r="V328" s="473">
        <v>1.7000000000000001E-2</v>
      </c>
      <c r="W328" s="473">
        <v>0.31286999999999998</v>
      </c>
      <c r="X328" s="332">
        <v>12.584</v>
      </c>
      <c r="Y328" s="473">
        <v>11.7</v>
      </c>
      <c r="Z328" s="337">
        <v>0</v>
      </c>
      <c r="AB328" s="337">
        <v>0</v>
      </c>
      <c r="AC328" s="473">
        <v>0.24154247381402075</v>
      </c>
      <c r="AD328" s="473">
        <v>6.2438587896824833E-2</v>
      </c>
      <c r="AE328" s="473">
        <v>2.0157002500000001</v>
      </c>
      <c r="AF328" s="473">
        <v>14.64962182887013</v>
      </c>
      <c r="AG328" s="172">
        <f t="shared" si="14"/>
        <v>9.6766432479436819</v>
      </c>
      <c r="AH328" s="253">
        <f t="shared" si="15"/>
        <v>202402</v>
      </c>
    </row>
    <row r="329" spans="3:36" ht="15.75" hidden="1">
      <c r="C329" s="235">
        <v>45337</v>
      </c>
      <c r="D329" s="645">
        <v>348976</v>
      </c>
      <c r="E329" s="645">
        <v>31340</v>
      </c>
      <c r="F329" s="645">
        <v>24585</v>
      </c>
      <c r="G329" s="645">
        <v>3511</v>
      </c>
      <c r="H329" s="645">
        <v>2359</v>
      </c>
      <c r="I329" s="646">
        <v>170200</v>
      </c>
      <c r="J329" s="645">
        <v>175696</v>
      </c>
      <c r="K329" s="645">
        <v>50250.377220000002</v>
      </c>
      <c r="L329" s="645">
        <v>0</v>
      </c>
      <c r="M329" s="645">
        <v>433379</v>
      </c>
      <c r="N329" s="469">
        <v>9028</v>
      </c>
      <c r="O329" s="469">
        <v>4708</v>
      </c>
      <c r="P329" s="469">
        <v>127.74583799999998</v>
      </c>
      <c r="Q329" s="337">
        <v>0</v>
      </c>
      <c r="R329" s="167">
        <f t="shared" ref="R329:R392" si="16" xml:space="preserve"> IF(C329&lt; DATE(2024, 11, 1), D329 * (2.31 / 100), D329 * (2.925 / 100))+E329*E$6+F329*F$6+G329*G$6+H329*H$6+I329*I$6+J329*J$6+K329*K$6+L329*L$6+M329*M$6+N329*N$6+O329*O$6+P329*P$6+Q329*Q$6</f>
        <v>150399.62553210001</v>
      </c>
      <c r="S329" s="648">
        <v>9.0613823705142611</v>
      </c>
      <c r="T329" s="648">
        <v>0.30469800000000002</v>
      </c>
      <c r="U329" s="648">
        <v>3.868955420830419E-3</v>
      </c>
      <c r="V329" s="648">
        <v>1.7000000000000001E-2</v>
      </c>
      <c r="W329" s="648">
        <v>0.315</v>
      </c>
      <c r="X329" s="332">
        <v>12.584</v>
      </c>
      <c r="Y329" s="648">
        <v>11.81</v>
      </c>
      <c r="AB329" s="337">
        <v>0</v>
      </c>
      <c r="AC329" s="648">
        <v>0.23842762362415651</v>
      </c>
      <c r="AD329" s="648">
        <v>6.357126069313912E-2</v>
      </c>
      <c r="AE329" s="648">
        <v>2.01820025</v>
      </c>
      <c r="AF329" s="648">
        <v>14.650046581168747</v>
      </c>
      <c r="AG329" s="172">
        <f t="shared" ref="AG329:AG392" si="17" xml:space="preserve"> IF(C329&lt; DATE(2024, 11, 1), S329 * (2.31 / 100), S329 * (2.925 / 100))+T329*T$6+U329*U$6+V329*V$6+W329*W$6+X329*X$6+Y329*Y$6+Z329*Z$6+AA329*AA$6+AB329*AB$6+AC329*AC$6+AD329*AD$6+AE329*AE$6+AF329*AF$6</f>
        <v>9.6555482357280606</v>
      </c>
      <c r="AH329" s="253">
        <f t="shared" si="15"/>
        <v>202402</v>
      </c>
    </row>
    <row r="330" spans="3:36" ht="15.75" hidden="1">
      <c r="C330" s="237">
        <v>45338</v>
      </c>
      <c r="D330" s="471">
        <v>359180</v>
      </c>
      <c r="E330" s="471">
        <v>31157</v>
      </c>
      <c r="F330" s="471">
        <v>24568</v>
      </c>
      <c r="G330" s="471">
        <v>3503</v>
      </c>
      <c r="H330" s="471">
        <v>2349</v>
      </c>
      <c r="I330" s="646">
        <v>170200</v>
      </c>
      <c r="J330" s="471">
        <v>163866</v>
      </c>
      <c r="K330" s="471">
        <v>50691.189469999998</v>
      </c>
      <c r="L330" s="471">
        <v>0</v>
      </c>
      <c r="M330" s="471">
        <v>428822</v>
      </c>
      <c r="N330" s="471">
        <v>9019</v>
      </c>
      <c r="O330" s="471">
        <v>4970</v>
      </c>
      <c r="P330" s="471">
        <v>115.543626</v>
      </c>
      <c r="Q330" s="337">
        <v>0</v>
      </c>
      <c r="R330" s="167">
        <f t="shared" si="16"/>
        <v>147510.4699992</v>
      </c>
      <c r="S330" s="473">
        <v>8.8914814510671185</v>
      </c>
      <c r="T330" s="473">
        <v>0.31263000000000002</v>
      </c>
      <c r="U330" s="473">
        <v>3.663686793318363E-3</v>
      </c>
      <c r="V330" s="473">
        <v>1.7000000000000001E-2</v>
      </c>
      <c r="W330" s="473">
        <v>0.30937999999999999</v>
      </c>
      <c r="X330" s="332">
        <v>12.584</v>
      </c>
      <c r="Y330" s="473">
        <v>11.688914</v>
      </c>
      <c r="AB330" s="337">
        <v>0</v>
      </c>
      <c r="AC330" s="473">
        <v>0.24380781940664933</v>
      </c>
      <c r="AD330" s="473">
        <v>6.4505715750098391E-2</v>
      </c>
      <c r="AE330" s="473">
        <v>2.0112002499999999</v>
      </c>
      <c r="AF330" s="473">
        <v>14.637530546769474</v>
      </c>
      <c r="AG330" s="172">
        <f t="shared" si="17"/>
        <v>9.6122069941605535</v>
      </c>
      <c r="AH330" s="253">
        <f t="shared" si="15"/>
        <v>202402</v>
      </c>
      <c r="AJ330" t="s">
        <v>1492</v>
      </c>
    </row>
    <row r="331" spans="3:36" ht="15.75" hidden="1">
      <c r="C331" s="235">
        <v>45339</v>
      </c>
      <c r="D331" s="645">
        <v>355191</v>
      </c>
      <c r="E331" s="645">
        <v>31346</v>
      </c>
      <c r="F331" s="645">
        <v>12991</v>
      </c>
      <c r="G331" s="645">
        <v>3329</v>
      </c>
      <c r="H331" s="645">
        <v>2315</v>
      </c>
      <c r="I331" s="646">
        <v>170200</v>
      </c>
      <c r="J331" s="645">
        <v>174222.48</v>
      </c>
      <c r="K331" s="645">
        <v>50881.175999999999</v>
      </c>
      <c r="L331" s="645">
        <v>0</v>
      </c>
      <c r="M331" s="645">
        <v>432635</v>
      </c>
      <c r="N331" s="645">
        <v>8942</v>
      </c>
      <c r="O331" s="645">
        <v>3691</v>
      </c>
      <c r="P331" s="645">
        <v>143.973522</v>
      </c>
      <c r="Q331" s="337">
        <v>0</v>
      </c>
      <c r="R331" s="167">
        <f t="shared" si="16"/>
        <v>141629.87898489999</v>
      </c>
      <c r="S331" s="648">
        <v>14.384944513191389</v>
      </c>
      <c r="T331" s="648">
        <v>0.31123899999999999</v>
      </c>
      <c r="U331" s="648">
        <v>2.6127080224382479E-3</v>
      </c>
      <c r="V331" s="648">
        <v>1.7000000000000001E-2</v>
      </c>
      <c r="W331" s="648">
        <v>0.30785000000000001</v>
      </c>
      <c r="X331" s="332">
        <v>12.584</v>
      </c>
      <c r="Y331" s="648">
        <v>11.775741</v>
      </c>
      <c r="AB331" s="337">
        <v>0</v>
      </c>
      <c r="AC331" s="648">
        <v>0.24550682860112077</v>
      </c>
      <c r="AD331" s="648">
        <v>6.4392448470466976E-2</v>
      </c>
      <c r="AE331" s="648">
        <v>2.1623002499999999</v>
      </c>
      <c r="AF331" s="648">
        <v>14.709964972093772</v>
      </c>
      <c r="AG331" s="172">
        <f t="shared" si="17"/>
        <v>9.8394901921606781</v>
      </c>
      <c r="AH331" s="253">
        <f t="shared" si="15"/>
        <v>202402</v>
      </c>
      <c r="AJ331" t="s">
        <v>1497</v>
      </c>
    </row>
    <row r="332" spans="3:36" ht="15.75" hidden="1">
      <c r="C332" s="237">
        <v>45340</v>
      </c>
      <c r="D332" s="471">
        <v>338256</v>
      </c>
      <c r="E332" s="471">
        <v>31220</v>
      </c>
      <c r="F332" s="471">
        <v>24723</v>
      </c>
      <c r="G332" s="471">
        <v>3346</v>
      </c>
      <c r="H332" s="471">
        <v>2310</v>
      </c>
      <c r="I332" s="646">
        <v>170200</v>
      </c>
      <c r="J332" s="471">
        <v>174854.88</v>
      </c>
      <c r="K332" s="471">
        <v>52030</v>
      </c>
      <c r="L332" s="471">
        <v>0</v>
      </c>
      <c r="M332" s="471">
        <v>434097</v>
      </c>
      <c r="N332" s="471">
        <v>8732</v>
      </c>
      <c r="O332" s="471">
        <v>779</v>
      </c>
      <c r="P332" s="471">
        <v>172.843704</v>
      </c>
      <c r="Q332" s="337">
        <v>0</v>
      </c>
      <c r="R332" s="167">
        <f t="shared" si="16"/>
        <v>148755.7620668</v>
      </c>
      <c r="S332" s="473">
        <v>12.516034399272824</v>
      </c>
      <c r="T332" s="473">
        <v>0.307952</v>
      </c>
      <c r="U332" s="473">
        <v>3.6678776826647259E-3</v>
      </c>
      <c r="V332" s="473">
        <v>1.7000000000000001E-2</v>
      </c>
      <c r="W332" s="473">
        <v>0.30972000000000005</v>
      </c>
      <c r="X332" s="332">
        <v>12.584</v>
      </c>
      <c r="Y332" s="473">
        <v>11.735250000000001</v>
      </c>
      <c r="AB332" s="337">
        <v>0</v>
      </c>
      <c r="AC332" s="473">
        <v>0.25258603357808501</v>
      </c>
      <c r="AD332" s="473">
        <v>6.5638388546412685E-2</v>
      </c>
      <c r="AE332" s="473">
        <v>2.1012002500000002</v>
      </c>
      <c r="AF332" s="473">
        <v>14.681280033527115</v>
      </c>
      <c r="AG332" s="172">
        <f t="shared" si="17"/>
        <v>9.7564174863128308</v>
      </c>
      <c r="AH332" s="253">
        <f t="shared" si="15"/>
        <v>202402</v>
      </c>
      <c r="AJ332" t="s">
        <v>1498</v>
      </c>
    </row>
    <row r="333" spans="3:36" ht="15.75" hidden="1">
      <c r="C333" s="235">
        <v>45341</v>
      </c>
      <c r="D333" s="645">
        <v>355925</v>
      </c>
      <c r="E333" s="645">
        <v>31151</v>
      </c>
      <c r="F333" s="645">
        <v>24490</v>
      </c>
      <c r="G333" s="645">
        <v>3361</v>
      </c>
      <c r="H333" s="645">
        <v>2233</v>
      </c>
      <c r="I333" s="646">
        <v>133200</v>
      </c>
      <c r="J333" s="645">
        <v>175971</v>
      </c>
      <c r="K333" s="645">
        <v>52490</v>
      </c>
      <c r="L333" s="645">
        <v>0</v>
      </c>
      <c r="M333" s="645">
        <v>403761</v>
      </c>
      <c r="N333" s="645">
        <v>8012</v>
      </c>
      <c r="O333" s="645">
        <v>4911</v>
      </c>
      <c r="P333" s="645">
        <v>74.156741999999994</v>
      </c>
      <c r="Q333" s="337">
        <v>0</v>
      </c>
      <c r="R333" s="167">
        <f t="shared" si="16"/>
        <v>142233.62803389999</v>
      </c>
      <c r="S333" s="648">
        <v>13.195638077061393</v>
      </c>
      <c r="T333" s="648">
        <v>0.307006</v>
      </c>
      <c r="U333" s="648">
        <v>3.8373821666331581E-3</v>
      </c>
      <c r="V333" s="648">
        <v>1.7000000000000001E-2</v>
      </c>
      <c r="W333" s="648">
        <v>0.30793999999999999</v>
      </c>
      <c r="X333" s="332">
        <v>12.584</v>
      </c>
      <c r="Y333" s="648">
        <v>11.77</v>
      </c>
      <c r="AA333">
        <v>0</v>
      </c>
      <c r="AB333" s="337">
        <v>0</v>
      </c>
      <c r="AC333" s="648">
        <v>0.2327642596425851</v>
      </c>
      <c r="AD333" s="648">
        <v>6.6572843603371956E-2</v>
      </c>
      <c r="AE333" s="648">
        <v>2.0292002500000001</v>
      </c>
      <c r="AF333" s="648">
        <v>14.648460839253909</v>
      </c>
      <c r="AG333" s="172">
        <f t="shared" si="17"/>
        <v>9.7394486882719598</v>
      </c>
      <c r="AH333" s="253">
        <f t="shared" si="15"/>
        <v>202402</v>
      </c>
      <c r="AJ333" t="s">
        <v>1499</v>
      </c>
    </row>
    <row r="334" spans="3:36" ht="15.75" hidden="1">
      <c r="C334" s="237">
        <v>45342</v>
      </c>
      <c r="D334" s="471">
        <v>358963</v>
      </c>
      <c r="E334" s="471">
        <v>31094</v>
      </c>
      <c r="F334" s="471">
        <v>24531</v>
      </c>
      <c r="G334" s="471">
        <v>3417</v>
      </c>
      <c r="H334" s="471">
        <v>2231</v>
      </c>
      <c r="I334" s="646">
        <v>133200</v>
      </c>
      <c r="J334" s="471">
        <v>174275</v>
      </c>
      <c r="K334" s="471">
        <v>52333</v>
      </c>
      <c r="L334" s="470">
        <v>0</v>
      </c>
      <c r="M334" s="471">
        <v>399542</v>
      </c>
      <c r="N334" s="471">
        <v>6022</v>
      </c>
      <c r="O334" s="471">
        <v>4101</v>
      </c>
      <c r="P334" s="471">
        <v>118.688526</v>
      </c>
      <c r="Q334" s="337">
        <v>0</v>
      </c>
      <c r="R334" s="167">
        <f t="shared" si="16"/>
        <v>141171.28513670003</v>
      </c>
      <c r="S334" s="473">
        <v>12.74256895853568</v>
      </c>
      <c r="T334" s="473">
        <v>0.30779099999999998</v>
      </c>
      <c r="U334" s="473">
        <v>3.7839766442869399E-3</v>
      </c>
      <c r="V334" s="473">
        <v>1.7000000000000001E-2</v>
      </c>
      <c r="W334" s="473">
        <v>0.30497000000000002</v>
      </c>
      <c r="X334" s="332">
        <v>12.584</v>
      </c>
      <c r="Y334" s="473">
        <v>11.65</v>
      </c>
      <c r="AB334" s="337">
        <v>0</v>
      </c>
      <c r="AC334" s="473">
        <v>0.19142170257711377</v>
      </c>
      <c r="AD334" s="473">
        <v>6.6884328622358394E-2</v>
      </c>
      <c r="AE334" s="473">
        <v>2.0239002500000001</v>
      </c>
      <c r="AF334" s="473">
        <v>14.643760247149203</v>
      </c>
      <c r="AG334" s="172">
        <f t="shared" si="17"/>
        <v>9.6873801698409654</v>
      </c>
      <c r="AH334" s="253">
        <f t="shared" si="15"/>
        <v>202402</v>
      </c>
      <c r="AI334" t="s">
        <v>1501</v>
      </c>
      <c r="AJ334" t="s">
        <v>1500</v>
      </c>
    </row>
    <row r="335" spans="3:36" ht="15.75" hidden="1">
      <c r="C335" s="235">
        <v>45343</v>
      </c>
      <c r="D335" s="645">
        <v>348527</v>
      </c>
      <c r="E335" s="645">
        <v>31189</v>
      </c>
      <c r="F335" s="645">
        <v>14671</v>
      </c>
      <c r="G335" s="645">
        <v>3456</v>
      </c>
      <c r="H335" s="645">
        <v>2262</v>
      </c>
      <c r="I335" s="646">
        <v>133200</v>
      </c>
      <c r="J335" s="645">
        <v>177355</v>
      </c>
      <c r="K335" s="645">
        <v>52123.105620000002</v>
      </c>
      <c r="L335" s="646">
        <v>0</v>
      </c>
      <c r="M335" s="645">
        <v>423946</v>
      </c>
      <c r="N335" s="645">
        <v>8822</v>
      </c>
      <c r="O335" s="645">
        <v>5996</v>
      </c>
      <c r="P335" s="645">
        <v>92.774549999999991</v>
      </c>
      <c r="Q335" s="337">
        <v>0</v>
      </c>
      <c r="R335" s="167">
        <f t="shared" si="16"/>
        <v>136883.18865250002</v>
      </c>
      <c r="S335" s="648">
        <v>12.516034399272824</v>
      </c>
      <c r="T335" s="553">
        <v>0.30836400000000003</v>
      </c>
      <c r="U335" s="648">
        <v>2.8850591963120176E-3</v>
      </c>
      <c r="V335" s="648">
        <v>1.7000000000000001E-2</v>
      </c>
      <c r="W335" s="648">
        <v>0.30469000000000002</v>
      </c>
      <c r="X335" s="332">
        <v>12.584</v>
      </c>
      <c r="Y335" s="648">
        <v>11.57</v>
      </c>
      <c r="AB335" s="337">
        <v>0</v>
      </c>
      <c r="AC335" s="648">
        <v>0.24663950139743507</v>
      </c>
      <c r="AD335" s="648">
        <v>6.7818783679317679E-2</v>
      </c>
      <c r="AE335" s="648">
        <v>2.04830025</v>
      </c>
      <c r="AF335" s="648">
        <v>14.649763412969669</v>
      </c>
      <c r="AG335" s="172">
        <f t="shared" si="17"/>
        <v>9.6790409673909092</v>
      </c>
      <c r="AH335" s="253">
        <f t="shared" si="15"/>
        <v>202402</v>
      </c>
      <c r="AI335" t="s">
        <v>1501</v>
      </c>
      <c r="AJ335" t="s">
        <v>1502</v>
      </c>
    </row>
    <row r="336" spans="3:36" ht="15.75" hidden="1">
      <c r="C336" s="237">
        <v>45344</v>
      </c>
      <c r="D336" s="471">
        <v>349982</v>
      </c>
      <c r="E336" s="471">
        <v>31302</v>
      </c>
      <c r="F336" s="471">
        <v>23669</v>
      </c>
      <c r="G336" s="471">
        <v>3508</v>
      </c>
      <c r="H336" s="471">
        <v>2282</v>
      </c>
      <c r="I336" s="646">
        <v>133200</v>
      </c>
      <c r="J336" s="471">
        <v>174163</v>
      </c>
      <c r="K336" s="471">
        <v>51163.78746</v>
      </c>
      <c r="L336" s="470">
        <v>0</v>
      </c>
      <c r="M336" s="471">
        <v>448037</v>
      </c>
      <c r="N336" s="471">
        <v>8512</v>
      </c>
      <c r="O336" s="471">
        <v>1161</v>
      </c>
      <c r="P336" s="471">
        <v>178.44162599999999</v>
      </c>
      <c r="Q336" s="337">
        <v>0</v>
      </c>
      <c r="R336" s="167">
        <f t="shared" si="16"/>
        <v>141256.24979669999</v>
      </c>
      <c r="S336" s="473">
        <v>10.845342024709256</v>
      </c>
      <c r="T336" s="473">
        <v>0.30797099999999999</v>
      </c>
      <c r="U336" s="473">
        <v>3.5552333730712706E-3</v>
      </c>
      <c r="V336" s="473">
        <v>1.7000000000000001E-2</v>
      </c>
      <c r="W336" s="473">
        <v>0.30763000000000001</v>
      </c>
      <c r="X336" s="332">
        <v>12.584</v>
      </c>
      <c r="Y336" s="473">
        <v>11.58</v>
      </c>
      <c r="Z336">
        <v>0</v>
      </c>
      <c r="AB336" s="337">
        <v>0</v>
      </c>
      <c r="AC336" s="473">
        <v>0.23446326883705648</v>
      </c>
      <c r="AD336" s="473">
        <v>6.8101951878396239E-2</v>
      </c>
      <c r="AE336" s="473">
        <v>2.1042002499999999</v>
      </c>
      <c r="AF336" s="473">
        <v>14.66072202227401</v>
      </c>
      <c r="AG336" s="172">
        <f t="shared" si="17"/>
        <v>9.672142830741949</v>
      </c>
      <c r="AH336" s="253">
        <f t="shared" si="15"/>
        <v>202402</v>
      </c>
      <c r="AI336" t="s">
        <v>1501</v>
      </c>
      <c r="AJ336" t="s">
        <v>1503</v>
      </c>
    </row>
    <row r="337" spans="3:36" ht="15.75" hidden="1">
      <c r="C337" s="235">
        <v>45345</v>
      </c>
      <c r="D337" s="645">
        <v>321749</v>
      </c>
      <c r="E337" s="645">
        <v>32220</v>
      </c>
      <c r="F337" s="645">
        <v>24633</v>
      </c>
      <c r="G337" s="645">
        <v>3523</v>
      </c>
      <c r="H337" s="645">
        <v>2332</v>
      </c>
      <c r="I337" s="646">
        <v>133200</v>
      </c>
      <c r="J337" s="645">
        <v>175562</v>
      </c>
      <c r="K337" s="645">
        <v>52068.43</v>
      </c>
      <c r="L337" s="646">
        <v>0</v>
      </c>
      <c r="M337" s="645">
        <v>456995</v>
      </c>
      <c r="N337" s="645">
        <v>8508</v>
      </c>
      <c r="O337" s="645">
        <v>6744</v>
      </c>
      <c r="P337" s="645">
        <v>76.295274000000006</v>
      </c>
      <c r="Q337" s="337">
        <v>0</v>
      </c>
      <c r="R337" s="167">
        <f t="shared" si="16"/>
        <v>144719.24227330001</v>
      </c>
      <c r="S337" s="648">
        <v>9.5994019487635462</v>
      </c>
      <c r="T337" s="553">
        <v>0.30669000000000002</v>
      </c>
      <c r="U337" s="648">
        <v>3.7308542901397998E-3</v>
      </c>
      <c r="V337" s="648">
        <v>1.7000000000000001E-2</v>
      </c>
      <c r="W337" s="648">
        <v>0.30675999999999998</v>
      </c>
      <c r="X337" s="332">
        <v>12.584</v>
      </c>
      <c r="Y337" s="648">
        <v>11.63</v>
      </c>
      <c r="Z337">
        <v>0</v>
      </c>
      <c r="AB337" s="337">
        <v>0</v>
      </c>
      <c r="AC337" s="648">
        <v>0.22908307305456366</v>
      </c>
      <c r="AD337" s="648">
        <v>6.6233041764477682E-2</v>
      </c>
      <c r="AE337" s="648">
        <v>2.1119002500000001</v>
      </c>
      <c r="AF337" s="648">
        <v>14.654633905993821</v>
      </c>
      <c r="AG337" s="172">
        <f t="shared" si="17"/>
        <v>9.6563593142802784</v>
      </c>
      <c r="AH337" s="253">
        <f t="shared" si="15"/>
        <v>202402</v>
      </c>
      <c r="AI337" t="s">
        <v>1501</v>
      </c>
    </row>
    <row r="338" spans="3:36" ht="15.75" hidden="1">
      <c r="C338" s="237">
        <v>45346</v>
      </c>
      <c r="D338" s="471">
        <v>313752</v>
      </c>
      <c r="E338" s="471">
        <v>31088</v>
      </c>
      <c r="F338" s="471">
        <v>24412</v>
      </c>
      <c r="G338" s="471">
        <v>3544</v>
      </c>
      <c r="H338" s="471">
        <v>2340</v>
      </c>
      <c r="I338" s="646">
        <v>133200</v>
      </c>
      <c r="J338" s="471">
        <v>175628.64</v>
      </c>
      <c r="K338" s="471">
        <v>51830.149689999998</v>
      </c>
      <c r="L338" s="470">
        <v>0</v>
      </c>
      <c r="M338" s="471">
        <v>451151</v>
      </c>
      <c r="N338" s="471">
        <v>8816</v>
      </c>
      <c r="O338" s="471">
        <v>501</v>
      </c>
      <c r="P338" s="471">
        <v>200.07853799999998</v>
      </c>
      <c r="Q338" s="337">
        <v>0</v>
      </c>
      <c r="R338" s="167">
        <f t="shared" si="16"/>
        <v>141409.0503646</v>
      </c>
      <c r="S338" s="473">
        <v>9.5710851288556889</v>
      </c>
      <c r="T338" s="473">
        <v>0.306867</v>
      </c>
      <c r="U338" s="473">
        <v>3.8844730381399246E-3</v>
      </c>
      <c r="V338" s="473">
        <v>1.7000000000000001E-2</v>
      </c>
      <c r="W338" s="473">
        <v>0.30748000000000003</v>
      </c>
      <c r="X338" s="332">
        <v>12.584</v>
      </c>
      <c r="Y338" s="473">
        <v>11.62</v>
      </c>
      <c r="Z338">
        <v>0</v>
      </c>
      <c r="AB338" s="337">
        <v>0</v>
      </c>
      <c r="AC338" s="473">
        <v>0.23049891404995654</v>
      </c>
      <c r="AD338" s="473">
        <v>6.7167496821436953E-2</v>
      </c>
      <c r="AE338" s="473">
        <v>2.1054002500000002</v>
      </c>
      <c r="AF338" s="473">
        <v>14.631923816427719</v>
      </c>
      <c r="AG338" s="172">
        <f t="shared" si="17"/>
        <v>9.647724328170046</v>
      </c>
      <c r="AH338" s="253">
        <f t="shared" si="15"/>
        <v>202402</v>
      </c>
      <c r="AI338" t="s">
        <v>1501</v>
      </c>
    </row>
    <row r="339" spans="3:36" ht="15.75" hidden="1">
      <c r="C339" s="235">
        <v>45347</v>
      </c>
      <c r="D339" s="645">
        <v>324735</v>
      </c>
      <c r="E339" s="645">
        <v>31377</v>
      </c>
      <c r="F339" s="645">
        <v>24465</v>
      </c>
      <c r="G339" s="645">
        <v>3560</v>
      </c>
      <c r="H339" s="645">
        <v>2380</v>
      </c>
      <c r="I339" s="646">
        <v>133200</v>
      </c>
      <c r="J339" s="645">
        <v>177034.80000000002</v>
      </c>
      <c r="K339" s="645">
        <v>51208.22</v>
      </c>
      <c r="L339" s="646">
        <v>0</v>
      </c>
      <c r="M339" s="645">
        <v>443803</v>
      </c>
      <c r="N339" s="645">
        <v>8006</v>
      </c>
      <c r="O339" s="645">
        <v>5419</v>
      </c>
      <c r="P339" s="645">
        <v>92.837447999999995</v>
      </c>
      <c r="Q339" s="337">
        <v>0</v>
      </c>
      <c r="R339" s="167">
        <f t="shared" si="16"/>
        <v>143571.92835160001</v>
      </c>
      <c r="S339" s="648">
        <v>10.13742152701283</v>
      </c>
      <c r="T339" s="553">
        <v>0.30476399999999998</v>
      </c>
      <c r="U339" s="648">
        <v>3.9456090523209879E-3</v>
      </c>
      <c r="V339" s="648">
        <v>1.7000000000000001E-2</v>
      </c>
      <c r="W339" s="648">
        <v>0.30704999999999999</v>
      </c>
      <c r="X339" s="332">
        <v>12.584</v>
      </c>
      <c r="Y339" s="648">
        <v>11.7</v>
      </c>
      <c r="Z339" s="337">
        <v>0</v>
      </c>
      <c r="AB339" s="337">
        <v>0</v>
      </c>
      <c r="AC339" s="648">
        <v>0.2316315868462708</v>
      </c>
      <c r="AD339" s="648">
        <v>6.6884328622358394E-2</v>
      </c>
      <c r="AE339" s="648">
        <v>2.1048002499999998</v>
      </c>
      <c r="AF339" s="648">
        <v>14.617567188734437</v>
      </c>
      <c r="AG339" s="172">
        <f t="shared" si="17"/>
        <v>9.677952384197507</v>
      </c>
      <c r="AH339" s="253">
        <f t="shared" si="15"/>
        <v>202402</v>
      </c>
      <c r="AI339" t="s">
        <v>1086</v>
      </c>
      <c r="AJ339" t="s">
        <v>1504</v>
      </c>
    </row>
    <row r="340" spans="3:36" ht="15.75" hidden="1">
      <c r="C340" s="237">
        <v>45348</v>
      </c>
      <c r="D340" s="471">
        <v>338001</v>
      </c>
      <c r="E340" s="471">
        <v>31642</v>
      </c>
      <c r="F340" s="471">
        <v>24461</v>
      </c>
      <c r="G340" s="471">
        <v>3569</v>
      </c>
      <c r="H340" s="471">
        <v>2393</v>
      </c>
      <c r="I340" s="646">
        <v>148000</v>
      </c>
      <c r="J340" s="664">
        <v>174817.68000000002</v>
      </c>
      <c r="K340" s="664">
        <v>22863.97</v>
      </c>
      <c r="L340" s="646">
        <v>0</v>
      </c>
      <c r="M340" s="471">
        <v>448815</v>
      </c>
      <c r="N340" s="471">
        <v>8516</v>
      </c>
      <c r="O340" s="471">
        <v>6085</v>
      </c>
      <c r="P340" s="471">
        <v>201.58808999999997</v>
      </c>
      <c r="Q340" s="337">
        <v>0</v>
      </c>
      <c r="R340" s="167">
        <f t="shared" si="16"/>
        <v>139834.02704050002</v>
      </c>
      <c r="S340" s="473">
        <v>10.33563926636783</v>
      </c>
      <c r="T340" s="473">
        <v>0.30699500000000002</v>
      </c>
      <c r="U340" s="473">
        <v>3.9625991442657016E-3</v>
      </c>
      <c r="V340" s="473">
        <v>1.7000000000000001E-2</v>
      </c>
      <c r="W340" s="473">
        <v>0.31326999999999999</v>
      </c>
      <c r="X340" s="332">
        <v>12.584</v>
      </c>
      <c r="Y340" s="473">
        <v>11.68</v>
      </c>
      <c r="Z340" s="337">
        <v>0</v>
      </c>
      <c r="AB340" s="337">
        <v>0</v>
      </c>
      <c r="AC340" s="473">
        <v>0.2316315868462708</v>
      </c>
      <c r="AD340" s="473">
        <v>6.7818783679317679E-2</v>
      </c>
      <c r="AE340" s="473">
        <v>2.0979002499999999</v>
      </c>
      <c r="AF340" s="473">
        <v>14.623711938654441</v>
      </c>
      <c r="AG340" s="172">
        <f t="shared" si="17"/>
        <v>9.6824788665501558</v>
      </c>
      <c r="AH340" s="253">
        <f t="shared" si="15"/>
        <v>202402</v>
      </c>
      <c r="AI340" t="s">
        <v>1086</v>
      </c>
      <c r="AJ340" t="s">
        <v>1505</v>
      </c>
    </row>
    <row r="341" spans="3:36" ht="15.75" hidden="1">
      <c r="C341" s="235">
        <v>45349</v>
      </c>
      <c r="D341" s="645">
        <v>344097</v>
      </c>
      <c r="E341" s="645">
        <v>31384</v>
      </c>
      <c r="F341" s="645">
        <v>8156.9</v>
      </c>
      <c r="G341" s="645">
        <v>3549</v>
      </c>
      <c r="H341" s="645">
        <v>2400</v>
      </c>
      <c r="I341" s="646">
        <v>148000</v>
      </c>
      <c r="J341" s="645">
        <v>177518.40000000002</v>
      </c>
      <c r="K341" s="645">
        <v>51941.904150000002</v>
      </c>
      <c r="L341" s="646">
        <v>0</v>
      </c>
      <c r="M341" s="645">
        <v>444860</v>
      </c>
      <c r="N341" s="645">
        <v>8514</v>
      </c>
      <c r="O341" s="645">
        <v>5740</v>
      </c>
      <c r="P341" s="645">
        <v>79.251479999999987</v>
      </c>
      <c r="Q341" s="337">
        <v>0</v>
      </c>
      <c r="R341" s="167">
        <f t="shared" si="16"/>
        <v>136109.51390350005</v>
      </c>
      <c r="S341" s="648">
        <v>10.363956086275687</v>
      </c>
      <c r="T341" s="553">
        <v>0.30506100000000003</v>
      </c>
      <c r="U341" s="648">
        <v>2.2710089566101402E-3</v>
      </c>
      <c r="V341" s="648">
        <v>1.7000000000000001E-2</v>
      </c>
      <c r="W341" s="648">
        <v>0.30681000000000003</v>
      </c>
      <c r="X341" s="332">
        <v>12.584</v>
      </c>
      <c r="Y341" s="648">
        <v>11.73</v>
      </c>
      <c r="Z341" s="337">
        <v>0</v>
      </c>
      <c r="AB341" s="337">
        <v>0</v>
      </c>
      <c r="AC341" s="648">
        <v>0.23191475504534936</v>
      </c>
      <c r="AD341" s="648">
        <v>6.6657794063095535E-2</v>
      </c>
      <c r="AE341" s="648">
        <v>2.09520025</v>
      </c>
      <c r="AF341" s="648">
        <v>14.680657063489141</v>
      </c>
      <c r="AG341" s="172">
        <f t="shared" si="17"/>
        <v>9.6959991158359777</v>
      </c>
      <c r="AH341" s="253">
        <f t="shared" si="15"/>
        <v>202402</v>
      </c>
      <c r="AI341" t="s">
        <v>1074</v>
      </c>
      <c r="AJ341" t="s">
        <v>1506</v>
      </c>
    </row>
    <row r="342" spans="3:36" ht="15.75" hidden="1">
      <c r="C342" s="665">
        <v>45350</v>
      </c>
      <c r="D342" s="471">
        <v>343971</v>
      </c>
      <c r="E342" s="471">
        <v>31346</v>
      </c>
      <c r="F342" s="471">
        <v>10689</v>
      </c>
      <c r="G342" s="471">
        <v>3513</v>
      </c>
      <c r="H342" s="471">
        <v>2370</v>
      </c>
      <c r="I342" s="646">
        <v>148000</v>
      </c>
      <c r="J342" s="666">
        <v>178158.24000000002</v>
      </c>
      <c r="K342" s="666">
        <v>54771.991670000003</v>
      </c>
      <c r="L342" s="470">
        <v>0</v>
      </c>
      <c r="M342" s="471">
        <v>443465</v>
      </c>
      <c r="N342" s="471">
        <v>8521</v>
      </c>
      <c r="O342" s="471">
        <v>3931</v>
      </c>
      <c r="P342" s="471">
        <v>205.67645999999999</v>
      </c>
      <c r="Q342" s="337">
        <v>0</v>
      </c>
      <c r="R342" s="167">
        <f t="shared" si="16"/>
        <v>137972.95482449999</v>
      </c>
      <c r="S342" s="473">
        <v>10.958609304340685</v>
      </c>
      <c r="T342" s="473">
        <v>0.30911499999999997</v>
      </c>
      <c r="U342" s="473">
        <v>2.2518667863524254E-3</v>
      </c>
      <c r="V342" s="473">
        <v>1.7000000000000001E-2</v>
      </c>
      <c r="W342" s="473">
        <v>0.30625000000000002</v>
      </c>
      <c r="X342" s="332">
        <v>12.584</v>
      </c>
      <c r="Y342" s="473">
        <v>11.68</v>
      </c>
      <c r="Z342" s="337">
        <v>0</v>
      </c>
      <c r="AB342" s="337">
        <v>0</v>
      </c>
      <c r="AC342" s="473">
        <v>0.22936624125364222</v>
      </c>
      <c r="AD342" s="473">
        <v>6.4335814830651247E-2</v>
      </c>
      <c r="AE342" s="473">
        <v>2.0852002500000002</v>
      </c>
      <c r="AF342" s="473">
        <v>14.704414875391834</v>
      </c>
      <c r="AG342" s="172">
        <f t="shared" si="17"/>
        <v>9.6955864854674907</v>
      </c>
      <c r="AH342" s="667">
        <f t="shared" si="15"/>
        <v>202402</v>
      </c>
      <c r="AI342" t="s">
        <v>1086</v>
      </c>
      <c r="AJ342" t="s">
        <v>1507</v>
      </c>
    </row>
    <row r="343" spans="3:36" ht="15.75" hidden="1">
      <c r="C343" s="649">
        <v>45351</v>
      </c>
      <c r="D343" s="469">
        <v>343724</v>
      </c>
      <c r="E343" s="469">
        <v>31013</v>
      </c>
      <c r="F343" s="645">
        <v>24597</v>
      </c>
      <c r="G343" s="469">
        <v>3072</v>
      </c>
      <c r="H343" s="469">
        <v>2393</v>
      </c>
      <c r="I343" s="646">
        <v>148000</v>
      </c>
      <c r="J343" s="645">
        <v>177831</v>
      </c>
      <c r="K343" s="645">
        <v>51648.825900000003</v>
      </c>
      <c r="L343" s="470">
        <v>0</v>
      </c>
      <c r="M343" s="469">
        <v>450906</v>
      </c>
      <c r="N343" s="469">
        <v>8665</v>
      </c>
      <c r="O343" s="469">
        <v>0</v>
      </c>
      <c r="P343" s="469">
        <v>73.527761999999996</v>
      </c>
      <c r="Q343" s="337">
        <v>0</v>
      </c>
      <c r="R343" s="167">
        <f t="shared" si="16"/>
        <v>145231.17836789999</v>
      </c>
      <c r="S343" s="472">
        <v>10.675441105262115</v>
      </c>
      <c r="T343" s="553">
        <v>0.31211699999999998</v>
      </c>
      <c r="U343" s="648">
        <v>3.6677360985651868E-3</v>
      </c>
      <c r="V343" s="472">
        <v>1.7000000000000001E-2</v>
      </c>
      <c r="W343" s="472">
        <v>0.30537999999999998</v>
      </c>
      <c r="X343" s="332">
        <v>12.584</v>
      </c>
      <c r="Y343" s="648">
        <v>11.68</v>
      </c>
      <c r="Z343" s="337">
        <v>0</v>
      </c>
      <c r="AB343" s="337">
        <v>0</v>
      </c>
      <c r="AC343" s="472">
        <v>0.2268177274619351</v>
      </c>
      <c r="AD343" s="472">
        <v>6.0428093683366976E-2</v>
      </c>
      <c r="AE343" s="472">
        <v>2.08280025</v>
      </c>
      <c r="AF343" s="472">
        <v>14.757933665017683</v>
      </c>
      <c r="AG343" s="172">
        <f t="shared" si="17"/>
        <v>9.6961517178477159</v>
      </c>
      <c r="AH343" s="667">
        <f t="shared" si="15"/>
        <v>202402</v>
      </c>
      <c r="AI343" t="s">
        <v>1086</v>
      </c>
      <c r="AJ343" t="s">
        <v>1508</v>
      </c>
    </row>
    <row r="344" spans="3:36" ht="15.75" hidden="1">
      <c r="C344" s="665">
        <v>45352</v>
      </c>
      <c r="D344" s="471">
        <v>330388</v>
      </c>
      <c r="E344" s="471">
        <v>31358</v>
      </c>
      <c r="F344" s="471">
        <v>24581</v>
      </c>
      <c r="G344" s="471">
        <v>3528</v>
      </c>
      <c r="H344" s="471">
        <v>2412</v>
      </c>
      <c r="I344" s="646">
        <v>148000</v>
      </c>
      <c r="J344" s="666">
        <v>178002</v>
      </c>
      <c r="K344" s="666">
        <v>52212.954960000003</v>
      </c>
      <c r="L344" s="666">
        <v>0</v>
      </c>
      <c r="M344" s="471">
        <v>374593</v>
      </c>
      <c r="N344" s="471">
        <v>8621</v>
      </c>
      <c r="O344" s="471">
        <v>6419</v>
      </c>
      <c r="P344" s="471">
        <v>198.63188399999999</v>
      </c>
      <c r="Q344" s="337">
        <v>0</v>
      </c>
      <c r="R344" s="167">
        <f t="shared" si="16"/>
        <v>145004.09588780001</v>
      </c>
      <c r="S344" s="473">
        <v>8.8631646311592611</v>
      </c>
      <c r="T344" s="473">
        <v>0.31175399999999998</v>
      </c>
      <c r="U344" s="473">
        <v>3.6677360985651868E-3</v>
      </c>
      <c r="V344" s="473">
        <v>1.7000000000000001E-2</v>
      </c>
      <c r="W344" s="473">
        <v>0.30779000000000001</v>
      </c>
      <c r="X344" s="155">
        <v>11.91</v>
      </c>
      <c r="Y344" s="473">
        <v>11.64</v>
      </c>
      <c r="Z344" s="337">
        <v>0</v>
      </c>
      <c r="AB344" s="337">
        <v>0</v>
      </c>
      <c r="AC344" s="473">
        <v>0.22738406386009222</v>
      </c>
      <c r="AD344" s="473">
        <v>5.8672450849079842E-2</v>
      </c>
      <c r="AE344" s="473">
        <v>2.1953002499999998</v>
      </c>
      <c r="AF344" s="473">
        <v>14.758556635055655</v>
      </c>
      <c r="AG344" s="172">
        <f t="shared" si="17"/>
        <v>9.5614910660724775</v>
      </c>
      <c r="AH344" s="667">
        <f t="shared" si="15"/>
        <v>202403</v>
      </c>
    </row>
    <row r="345" spans="3:36" ht="15.75" hidden="1">
      <c r="C345" s="649">
        <v>45353</v>
      </c>
      <c r="D345" s="645">
        <v>307402</v>
      </c>
      <c r="E345" s="645">
        <v>32333</v>
      </c>
      <c r="F345" s="645">
        <v>24573</v>
      </c>
      <c r="G345" s="645">
        <v>3476</v>
      </c>
      <c r="H345" s="645">
        <v>2380</v>
      </c>
      <c r="I345" s="646">
        <v>148000</v>
      </c>
      <c r="J345" s="645">
        <v>178709</v>
      </c>
      <c r="K345" s="645">
        <v>50242.878929999999</v>
      </c>
      <c r="L345" s="645">
        <v>0</v>
      </c>
      <c r="M345" s="645">
        <v>399159</v>
      </c>
      <c r="N345" s="645">
        <v>8809</v>
      </c>
      <c r="O345" s="469">
        <v>4458</v>
      </c>
      <c r="P345" s="645">
        <v>219.639816</v>
      </c>
      <c r="Q345" s="337">
        <v>0</v>
      </c>
      <c r="R345" s="167">
        <f t="shared" si="16"/>
        <v>144592.44384969998</v>
      </c>
      <c r="S345" s="668">
        <v>8.5516796121728333</v>
      </c>
      <c r="T345" s="553">
        <v>0.32087500000000002</v>
      </c>
      <c r="U345" s="648">
        <v>3.7822493182725603E-3</v>
      </c>
      <c r="V345" s="472">
        <v>1.7000000000000001E-2</v>
      </c>
      <c r="W345" s="472">
        <v>0.3054</v>
      </c>
      <c r="X345" s="155">
        <v>11.91</v>
      </c>
      <c r="Y345" s="472">
        <v>11.72</v>
      </c>
      <c r="Z345" s="337">
        <v>0</v>
      </c>
      <c r="AB345" s="337">
        <v>0</v>
      </c>
      <c r="AC345" s="472">
        <v>0.21634050409602798</v>
      </c>
      <c r="AD345" s="472">
        <v>5.4651462422164135E-2</v>
      </c>
      <c r="AE345" s="472">
        <v>2.1071002499999998</v>
      </c>
      <c r="AF345" s="472">
        <v>14.74354872050449</v>
      </c>
      <c r="AG345" s="172">
        <f t="shared" si="17"/>
        <v>9.5301840589691746</v>
      </c>
      <c r="AH345" s="667">
        <f t="shared" si="15"/>
        <v>202403</v>
      </c>
    </row>
    <row r="346" spans="3:36" ht="15.75" hidden="1">
      <c r="C346" s="665">
        <v>45354</v>
      </c>
      <c r="D346" s="471">
        <v>322349</v>
      </c>
      <c r="E346" s="471">
        <v>31969</v>
      </c>
      <c r="F346" s="471">
        <v>24571</v>
      </c>
      <c r="G346" s="471">
        <v>3514</v>
      </c>
      <c r="H346" s="471">
        <v>2410</v>
      </c>
      <c r="I346" s="646">
        <v>148000</v>
      </c>
      <c r="J346" s="666">
        <v>178977</v>
      </c>
      <c r="K346" s="666">
        <v>51008.1</v>
      </c>
      <c r="L346" s="666">
        <v>0</v>
      </c>
      <c r="M346" s="471">
        <v>441337</v>
      </c>
      <c r="N346" s="471">
        <v>8408</v>
      </c>
      <c r="O346" s="471">
        <v>4094.0000000000005</v>
      </c>
      <c r="P346" s="471">
        <v>208.129482</v>
      </c>
      <c r="Q346" s="337">
        <v>0</v>
      </c>
      <c r="R346" s="167">
        <f t="shared" si="16"/>
        <v>146640.25516689999</v>
      </c>
      <c r="S346" s="473">
        <v>8.268511413094263</v>
      </c>
      <c r="T346" s="473">
        <v>0.31901800000000002</v>
      </c>
      <c r="U346" s="473">
        <v>3.793377828496348E-3</v>
      </c>
      <c r="V346" s="473">
        <v>1.7000000000000001E-2</v>
      </c>
      <c r="W346" s="473">
        <v>0.30832999999999999</v>
      </c>
      <c r="X346" s="155">
        <v>11.91</v>
      </c>
      <c r="Y346" s="473">
        <v>11.78</v>
      </c>
      <c r="Z346" s="337">
        <v>0</v>
      </c>
      <c r="AB346" s="337">
        <v>0</v>
      </c>
      <c r="AC346" s="473">
        <v>0.21124347651261371</v>
      </c>
      <c r="AD346" s="473">
        <v>6.0852845981984836E-2</v>
      </c>
      <c r="AE346" s="473">
        <v>2.0985002499999998</v>
      </c>
      <c r="AF346" s="473">
        <v>14.72888060779222</v>
      </c>
      <c r="AG346" s="172">
        <f t="shared" si="17"/>
        <v>9.5372355747562843</v>
      </c>
      <c r="AH346" s="667">
        <f t="shared" si="15"/>
        <v>202403</v>
      </c>
      <c r="AJ346" t="s">
        <v>1512</v>
      </c>
    </row>
    <row r="347" spans="3:36" ht="15.75" hidden="1">
      <c r="C347" s="649">
        <v>45355</v>
      </c>
      <c r="D347" s="645">
        <v>342672</v>
      </c>
      <c r="E347" s="645">
        <v>31761</v>
      </c>
      <c r="F347" s="645">
        <v>24536</v>
      </c>
      <c r="G347" s="645">
        <v>3334</v>
      </c>
      <c r="H347" s="645">
        <v>2348</v>
      </c>
      <c r="I347" s="646">
        <v>177600</v>
      </c>
      <c r="J347" s="645">
        <v>178151</v>
      </c>
      <c r="K347" s="645">
        <v>49063.227800000001</v>
      </c>
      <c r="L347" s="645">
        <v>0</v>
      </c>
      <c r="M347" s="645">
        <v>442168</v>
      </c>
      <c r="N347" s="645">
        <v>8400</v>
      </c>
      <c r="O347" s="645">
        <v>3611</v>
      </c>
      <c r="P347" s="645">
        <v>186.80705999999998</v>
      </c>
      <c r="Q347" s="337">
        <v>0</v>
      </c>
      <c r="R347" s="167">
        <f t="shared" si="16"/>
        <v>151925.643327</v>
      </c>
      <c r="S347" s="668">
        <v>8.6366300718964055</v>
      </c>
      <c r="T347" s="553">
        <v>0.32016899999999998</v>
      </c>
      <c r="U347" s="648">
        <v>3.9106944133745995E-3</v>
      </c>
      <c r="V347" s="472">
        <v>1.7000000000000001E-2</v>
      </c>
      <c r="W347" s="472">
        <v>0.30914999999999998</v>
      </c>
      <c r="X347" s="155">
        <v>11.91</v>
      </c>
      <c r="Y347" s="472">
        <v>11.61</v>
      </c>
      <c r="Z347" s="337">
        <v>0</v>
      </c>
      <c r="AB347" s="337">
        <v>0</v>
      </c>
      <c r="AC347" s="472">
        <v>0.22540188646654225</v>
      </c>
      <c r="AD347" s="472">
        <v>5.9040569507881981E-2</v>
      </c>
      <c r="AE347" s="472">
        <v>2.09330025</v>
      </c>
      <c r="AF347" s="472">
        <v>14.731967141162178</v>
      </c>
      <c r="AG347" s="172">
        <f t="shared" si="17"/>
        <v>9.5017692325622125</v>
      </c>
      <c r="AH347" s="667">
        <f t="shared" si="15"/>
        <v>202403</v>
      </c>
      <c r="AJ347" t="s">
        <v>1513</v>
      </c>
    </row>
    <row r="348" spans="3:36" ht="15.75" hidden="1">
      <c r="C348" s="665">
        <v>45356</v>
      </c>
      <c r="D348" s="655">
        <v>332112</v>
      </c>
      <c r="E348" s="655">
        <v>27767</v>
      </c>
      <c r="F348" s="655">
        <v>24459</v>
      </c>
      <c r="G348" s="655">
        <v>3350</v>
      </c>
      <c r="H348" s="655">
        <v>2363</v>
      </c>
      <c r="I348" s="646">
        <v>177600</v>
      </c>
      <c r="J348" s="664">
        <v>177102</v>
      </c>
      <c r="K348" s="664">
        <v>50278.96009</v>
      </c>
      <c r="L348" s="664">
        <v>38741</v>
      </c>
      <c r="M348" s="655">
        <v>439115</v>
      </c>
      <c r="N348" s="655">
        <v>8507</v>
      </c>
      <c r="O348" s="655">
        <v>4387</v>
      </c>
      <c r="P348" s="655">
        <v>183.41056799999998</v>
      </c>
      <c r="Q348" s="337">
        <v>0</v>
      </c>
      <c r="R348" s="167">
        <f t="shared" si="16"/>
        <v>160148.40822810002</v>
      </c>
      <c r="S348" s="473">
        <v>8.9042240200256551</v>
      </c>
      <c r="T348" s="473">
        <v>0.28168900000000002</v>
      </c>
      <c r="U348" s="473">
        <v>3.8529564175824797E-3</v>
      </c>
      <c r="V348" s="473">
        <v>1.7000000000000001E-2</v>
      </c>
      <c r="W348" s="473">
        <v>0.29724</v>
      </c>
      <c r="X348" s="155">
        <v>11.91</v>
      </c>
      <c r="Y348" s="473">
        <v>10.51</v>
      </c>
      <c r="Z348" s="337">
        <v>0</v>
      </c>
      <c r="AB348" s="337">
        <v>0</v>
      </c>
      <c r="AC348" s="473">
        <v>0.23531277343429224</v>
      </c>
      <c r="AD348" s="473">
        <v>5.9295420887052697E-2</v>
      </c>
      <c r="AE348" s="473">
        <v>2.0895002499999999</v>
      </c>
      <c r="AF348" s="473">
        <v>14.730806151545957</v>
      </c>
      <c r="AG348" s="172">
        <f t="shared" si="17"/>
        <v>9.1988954060503065</v>
      </c>
      <c r="AH348" s="667">
        <f t="shared" si="15"/>
        <v>202403</v>
      </c>
      <c r="AI348" t="s">
        <v>1515</v>
      </c>
      <c r="AJ348" t="s">
        <v>1514</v>
      </c>
    </row>
    <row r="349" spans="3:36" ht="15.75" hidden="1">
      <c r="C349" s="649">
        <v>45357</v>
      </c>
      <c r="D349" s="645">
        <v>332387</v>
      </c>
      <c r="E349" s="645">
        <v>20516</v>
      </c>
      <c r="F349" s="645">
        <v>24428</v>
      </c>
      <c r="G349" s="645">
        <v>3383</v>
      </c>
      <c r="H349" s="645">
        <v>2366</v>
      </c>
      <c r="I349" s="646">
        <v>177600</v>
      </c>
      <c r="J349" s="645">
        <v>178612</v>
      </c>
      <c r="K349" s="645">
        <v>49835.871379999997</v>
      </c>
      <c r="L349" s="645">
        <v>47871</v>
      </c>
      <c r="M349" s="645">
        <v>395605</v>
      </c>
      <c r="N349" s="645">
        <v>8469</v>
      </c>
      <c r="O349" s="645">
        <v>2498</v>
      </c>
      <c r="P349" s="645">
        <v>219.451122</v>
      </c>
      <c r="Q349" s="337">
        <v>0</v>
      </c>
      <c r="R349" s="167">
        <f t="shared" si="16"/>
        <v>158195.26929990004</v>
      </c>
      <c r="S349" s="668">
        <v>9.1321744202839046</v>
      </c>
      <c r="T349" s="553">
        <v>0.25436900000000001</v>
      </c>
      <c r="U349" s="648">
        <v>3.9178868856311957E-3</v>
      </c>
      <c r="V349" s="472">
        <v>1.7000000000000001E-2</v>
      </c>
      <c r="W349" s="472">
        <v>0.31030000000000002</v>
      </c>
      <c r="X349" s="155">
        <v>11.91</v>
      </c>
      <c r="Y349" s="472">
        <v>10.48</v>
      </c>
      <c r="Z349" s="337">
        <v>0</v>
      </c>
      <c r="AA349" s="337">
        <v>0</v>
      </c>
      <c r="AB349" s="337">
        <v>0</v>
      </c>
      <c r="AC349" s="472">
        <v>0.23786128722599936</v>
      </c>
      <c r="AD349" s="472">
        <v>5.955027226622342E-2</v>
      </c>
      <c r="AE349" s="472">
        <v>2.0719002500000001</v>
      </c>
      <c r="AF349" s="472">
        <v>14.724548134346321</v>
      </c>
      <c r="AG349" s="172">
        <f t="shared" si="17"/>
        <v>9.1934885257687249</v>
      </c>
      <c r="AH349" s="667">
        <f t="shared" si="15"/>
        <v>202403</v>
      </c>
      <c r="AI349" t="s">
        <v>1517</v>
      </c>
      <c r="AJ349" t="s">
        <v>1516</v>
      </c>
    </row>
    <row r="350" spans="3:36" ht="15.75" hidden="1">
      <c r="C350" s="665">
        <v>45358</v>
      </c>
      <c r="D350" s="655">
        <v>339673</v>
      </c>
      <c r="E350" s="655">
        <v>20717</v>
      </c>
      <c r="F350" s="655">
        <v>24392</v>
      </c>
      <c r="G350" s="655">
        <v>3476</v>
      </c>
      <c r="H350" s="655">
        <v>2351</v>
      </c>
      <c r="I350" s="646">
        <v>177600</v>
      </c>
      <c r="J350" s="655">
        <v>178694</v>
      </c>
      <c r="K350" s="664">
        <v>49940.255349999999</v>
      </c>
      <c r="L350" s="664">
        <v>47420</v>
      </c>
      <c r="M350" s="655">
        <v>359982</v>
      </c>
      <c r="N350" s="655">
        <v>8199</v>
      </c>
      <c r="O350" s="655">
        <v>3264</v>
      </c>
      <c r="P350" s="655">
        <v>157.55948999999998</v>
      </c>
      <c r="Q350" s="337">
        <v>0</v>
      </c>
      <c r="R350" s="167">
        <f t="shared" si="16"/>
        <v>157186.68690800003</v>
      </c>
      <c r="S350" s="473">
        <v>12.778814488017737</v>
      </c>
      <c r="T350" s="473">
        <v>0.24435399999999999</v>
      </c>
      <c r="U350" s="473">
        <v>3.8277544478644864E-3</v>
      </c>
      <c r="V350" s="473">
        <v>1.7000000000000001E-2</v>
      </c>
      <c r="W350" s="473">
        <v>0.30776999999999999</v>
      </c>
      <c r="X350" s="155">
        <v>11.91</v>
      </c>
      <c r="Y350" s="473">
        <v>10.68</v>
      </c>
      <c r="Z350" s="337">
        <v>0</v>
      </c>
      <c r="AA350">
        <v>0</v>
      </c>
      <c r="AB350" s="337">
        <v>0</v>
      </c>
      <c r="AC350" s="473">
        <v>0.24663950139743507</v>
      </c>
      <c r="AD350" s="473">
        <v>5.9805123645394129E-2</v>
      </c>
      <c r="AE350" s="473">
        <v>2.0829002499999998</v>
      </c>
      <c r="AF350" s="473">
        <v>14.726558628559776</v>
      </c>
      <c r="AG350" s="172">
        <f t="shared" si="17"/>
        <v>9.3307880967537518</v>
      </c>
      <c r="AH350" s="667">
        <f t="shared" si="15"/>
        <v>202403</v>
      </c>
    </row>
    <row r="351" spans="3:36" ht="15.75" hidden="1">
      <c r="C351" s="649">
        <v>45359</v>
      </c>
      <c r="D351" s="645">
        <v>349837</v>
      </c>
      <c r="E351" s="645">
        <v>23484</v>
      </c>
      <c r="F351" s="645">
        <v>24390</v>
      </c>
      <c r="G351" s="645">
        <v>3534</v>
      </c>
      <c r="H351" s="645">
        <v>2330</v>
      </c>
      <c r="I351" s="646">
        <v>177600</v>
      </c>
      <c r="J351" s="645">
        <v>177191</v>
      </c>
      <c r="K351" s="645">
        <v>49731.094599999997</v>
      </c>
      <c r="L351" s="645">
        <v>5995</v>
      </c>
      <c r="M351" s="645">
        <v>412118</v>
      </c>
      <c r="N351" s="645">
        <v>8510</v>
      </c>
      <c r="O351" s="645">
        <v>3932</v>
      </c>
      <c r="P351" s="645">
        <v>204.60719399999999</v>
      </c>
      <c r="Q351" s="337">
        <v>0</v>
      </c>
      <c r="R351" s="167">
        <f t="shared" si="16"/>
        <v>150146.3353373</v>
      </c>
      <c r="S351" s="553">
        <v>14.760425545169575</v>
      </c>
      <c r="T351" s="553">
        <v>0.247977</v>
      </c>
      <c r="U351" s="648">
        <v>3.6879259911594886E-3</v>
      </c>
      <c r="V351" s="472">
        <v>1.7000000000000001E-2</v>
      </c>
      <c r="W351" s="472">
        <v>0.30731000000000003</v>
      </c>
      <c r="X351" s="155">
        <v>11.91</v>
      </c>
      <c r="Y351" s="472">
        <v>10.75</v>
      </c>
      <c r="Z351" s="337">
        <v>0</v>
      </c>
      <c r="AA351" s="337">
        <v>0</v>
      </c>
      <c r="AB351" s="337">
        <v>0</v>
      </c>
      <c r="AC351" s="472">
        <v>0.2327642596425851</v>
      </c>
      <c r="AD351" s="472">
        <v>6.0682945062537685E-2</v>
      </c>
      <c r="AE351" s="472">
        <v>2.07120025</v>
      </c>
      <c r="AF351" s="472">
        <v>14.754790498007912</v>
      </c>
      <c r="AG351" s="172">
        <f t="shared" si="17"/>
        <v>9.3935429120342739</v>
      </c>
      <c r="AH351" s="667">
        <f t="shared" si="15"/>
        <v>202403</v>
      </c>
    </row>
    <row r="352" spans="3:36" ht="15.75" hidden="1">
      <c r="C352" s="665">
        <v>45360</v>
      </c>
      <c r="D352" s="655">
        <v>340787</v>
      </c>
      <c r="E352" s="655">
        <v>23365</v>
      </c>
      <c r="F352" s="655">
        <v>24109</v>
      </c>
      <c r="G352" s="655">
        <v>3564</v>
      </c>
      <c r="H352" s="655">
        <v>2392</v>
      </c>
      <c r="I352" s="646">
        <v>177600</v>
      </c>
      <c r="J352" s="655">
        <v>177414</v>
      </c>
      <c r="K352" s="664">
        <v>49902.822950000002</v>
      </c>
      <c r="L352" s="664">
        <v>0</v>
      </c>
      <c r="M352" s="655">
        <v>424813</v>
      </c>
      <c r="N352" s="655">
        <v>8419</v>
      </c>
      <c r="O352" s="655">
        <v>3834</v>
      </c>
      <c r="P352" s="655">
        <v>196.053066</v>
      </c>
      <c r="Q352" s="337">
        <v>0</v>
      </c>
      <c r="R352" s="167">
        <f t="shared" si="16"/>
        <v>148894.80931720001</v>
      </c>
      <c r="S352" s="473">
        <v>14.870861142810213</v>
      </c>
      <c r="T352" s="473">
        <v>0.247562</v>
      </c>
      <c r="U352" s="473">
        <v>3.5377052615483072E-3</v>
      </c>
      <c r="V352" s="473">
        <v>1.7000000000000001E-2</v>
      </c>
      <c r="W352" s="473">
        <v>0.30925999999999998</v>
      </c>
      <c r="X352" s="155">
        <v>11.91</v>
      </c>
      <c r="Y352" s="473">
        <v>10.46</v>
      </c>
      <c r="Z352" s="337">
        <v>0</v>
      </c>
      <c r="AA352">
        <v>0</v>
      </c>
      <c r="AB352" s="337">
        <v>0</v>
      </c>
      <c r="AC352" s="473">
        <v>0.24805534239282789</v>
      </c>
      <c r="AD352" s="473">
        <v>6.1532449659773406E-2</v>
      </c>
      <c r="AE352" s="473">
        <v>2.0557002500000001</v>
      </c>
      <c r="AF352" s="473">
        <v>14.755668319425054</v>
      </c>
      <c r="AG352" s="172">
        <f t="shared" si="17"/>
        <v>9.3176228204113798</v>
      </c>
      <c r="AH352" s="667">
        <f t="shared" si="15"/>
        <v>202403</v>
      </c>
      <c r="AJ352" t="s">
        <v>1519</v>
      </c>
    </row>
    <row r="353" spans="3:36" ht="15.75" hidden="1">
      <c r="C353" s="649">
        <v>45361</v>
      </c>
      <c r="D353" s="645">
        <v>334648</v>
      </c>
      <c r="E353" s="645">
        <v>23629</v>
      </c>
      <c r="F353" s="645">
        <v>23663</v>
      </c>
      <c r="G353" s="645">
        <v>3607</v>
      </c>
      <c r="H353" s="645">
        <v>2395</v>
      </c>
      <c r="I353" s="646">
        <v>177600</v>
      </c>
      <c r="J353" s="645">
        <v>174743</v>
      </c>
      <c r="K353" s="645">
        <v>50915.547120000003</v>
      </c>
      <c r="L353" s="645">
        <v>0</v>
      </c>
      <c r="M353" s="645">
        <v>374200</v>
      </c>
      <c r="N353" s="645">
        <v>8448</v>
      </c>
      <c r="O353" s="645">
        <v>3694</v>
      </c>
      <c r="P353" s="645">
        <v>196.68204599999999</v>
      </c>
      <c r="Q353" s="337">
        <v>0</v>
      </c>
      <c r="R353" s="167">
        <f t="shared" si="16"/>
        <v>146018.25250069998</v>
      </c>
      <c r="S353" s="648">
        <v>15.080971946526514</v>
      </c>
      <c r="T353" s="648">
        <v>0.24612899999999999</v>
      </c>
      <c r="U353" s="648">
        <v>3.6043064219715864E-3</v>
      </c>
      <c r="V353" s="472">
        <v>1.7000000000000001E-2</v>
      </c>
      <c r="W353" s="472">
        <v>0.30816000000000004</v>
      </c>
      <c r="X353" s="155">
        <v>11.91</v>
      </c>
      <c r="Y353" s="472">
        <v>10.7</v>
      </c>
      <c r="Z353" s="337">
        <v>0</v>
      </c>
      <c r="AB353" s="337">
        <v>0</v>
      </c>
      <c r="AC353" s="472">
        <v>0.23531277343429224</v>
      </c>
      <c r="AD353" s="472">
        <v>6.1787301038944115E-2</v>
      </c>
      <c r="AE353" s="472">
        <v>2.0612002500000002</v>
      </c>
      <c r="AF353" s="472">
        <v>14.72865407323296</v>
      </c>
      <c r="AG353" s="172">
        <f t="shared" si="17"/>
        <v>9.3800189269030962</v>
      </c>
      <c r="AH353" s="667">
        <f t="shared" si="15"/>
        <v>202403</v>
      </c>
      <c r="AJ353" t="s">
        <v>1520</v>
      </c>
    </row>
    <row r="354" spans="3:36" ht="15.75" hidden="1">
      <c r="C354" s="665">
        <v>45362</v>
      </c>
      <c r="D354" s="655">
        <v>353392</v>
      </c>
      <c r="E354" s="655">
        <v>25082</v>
      </c>
      <c r="F354" s="655">
        <v>24361</v>
      </c>
      <c r="G354" s="655">
        <v>3600</v>
      </c>
      <c r="H354" s="655">
        <v>2351</v>
      </c>
      <c r="I354" s="646">
        <v>180600</v>
      </c>
      <c r="J354" s="655">
        <v>177541</v>
      </c>
      <c r="K354" s="664">
        <v>51358.04593</v>
      </c>
      <c r="L354" s="664">
        <v>918</v>
      </c>
      <c r="M354" s="655">
        <v>351718</v>
      </c>
      <c r="N354" s="655">
        <v>8461</v>
      </c>
      <c r="O354" s="655">
        <v>4519</v>
      </c>
      <c r="P354" s="655">
        <v>200.01563999999999</v>
      </c>
      <c r="Q354" s="337">
        <v>0</v>
      </c>
      <c r="R354" s="167">
        <f t="shared" si="16"/>
        <v>148377.8712205</v>
      </c>
      <c r="S354" s="473">
        <v>15.138738259138545</v>
      </c>
      <c r="T354" s="473">
        <v>0.24920800000000001</v>
      </c>
      <c r="U354" s="473">
        <v>3.6741923335041776E-3</v>
      </c>
      <c r="V354" s="473">
        <v>1.7000000000000001E-2</v>
      </c>
      <c r="W354" s="473">
        <v>0.30758999999999997</v>
      </c>
      <c r="X354" s="155">
        <v>11.91</v>
      </c>
      <c r="Y354" s="473">
        <v>10.5</v>
      </c>
      <c r="Z354" s="337">
        <v>0</v>
      </c>
      <c r="AB354" s="337">
        <v>0</v>
      </c>
      <c r="AC354" s="473">
        <v>0.23871079182323507</v>
      </c>
      <c r="AD354" s="473">
        <v>5.8672450849079842E-2</v>
      </c>
      <c r="AE354" s="473">
        <v>2.0554002499999999</v>
      </c>
      <c r="AF354" s="473">
        <v>14.74618218475592</v>
      </c>
      <c r="AG354" s="172">
        <f t="shared" si="17"/>
        <v>9.3291611997682473</v>
      </c>
      <c r="AH354" s="667">
        <f t="shared" ref="AH354:AH359" si="18">IF($AK$1&gt;=C354,(YEAR(C354)*100+MONTH(C354)),0)</f>
        <v>202403</v>
      </c>
      <c r="AJ354" t="s">
        <v>1521</v>
      </c>
    </row>
    <row r="355" spans="3:36" ht="15.75" hidden="1">
      <c r="C355" s="649">
        <v>45363</v>
      </c>
      <c r="D355" s="645">
        <v>345228</v>
      </c>
      <c r="E355" s="645">
        <v>24308</v>
      </c>
      <c r="F355" s="645">
        <v>24370</v>
      </c>
      <c r="G355" s="645">
        <v>3627</v>
      </c>
      <c r="H355" s="645">
        <v>2329</v>
      </c>
      <c r="I355" s="646">
        <v>180600</v>
      </c>
      <c r="J355" s="645">
        <v>178612</v>
      </c>
      <c r="K355" s="645">
        <v>52829.487260000002</v>
      </c>
      <c r="L355" s="645">
        <v>46912</v>
      </c>
      <c r="M355" s="645">
        <v>429151</v>
      </c>
      <c r="N355" s="645">
        <v>8484</v>
      </c>
      <c r="O355" s="645">
        <v>2954</v>
      </c>
      <c r="P355" s="645">
        <v>204.60719399999999</v>
      </c>
      <c r="Q355" s="337">
        <v>0</v>
      </c>
      <c r="R355" s="167">
        <f t="shared" si="16"/>
        <v>162196.3918523</v>
      </c>
      <c r="S355" s="648">
        <v>14.994605645807551</v>
      </c>
      <c r="T355" s="648">
        <v>0.24923200000000001</v>
      </c>
      <c r="U355" s="648">
        <v>3.6453091771981639E-3</v>
      </c>
      <c r="V355" s="472">
        <v>1.7000000000000001E-2</v>
      </c>
      <c r="W355" s="472">
        <v>0.30810999999999999</v>
      </c>
      <c r="X355" s="155">
        <v>11.91</v>
      </c>
      <c r="Y355" s="472">
        <v>11.01</v>
      </c>
      <c r="Z355" s="337">
        <v>0</v>
      </c>
      <c r="AB355" s="337">
        <v>0</v>
      </c>
      <c r="AC355" s="472">
        <v>0.23899396002231363</v>
      </c>
      <c r="AD355" s="472">
        <v>6.357126069313912E-2</v>
      </c>
      <c r="AE355" s="472">
        <v>2.0410002500000002</v>
      </c>
      <c r="AF355" s="472">
        <v>14.771497421753546</v>
      </c>
      <c r="AG355" s="172">
        <f t="shared" si="17"/>
        <v>9.4587522609200061</v>
      </c>
      <c r="AH355" s="667">
        <f t="shared" si="18"/>
        <v>202403</v>
      </c>
      <c r="AJ355" t="s">
        <v>1522</v>
      </c>
    </row>
    <row r="356" spans="3:36" ht="15.75" hidden="1">
      <c r="C356" s="665">
        <v>45364</v>
      </c>
      <c r="D356" s="655">
        <v>350357</v>
      </c>
      <c r="E356" s="655">
        <v>20572</v>
      </c>
      <c r="F356" s="655">
        <v>21489</v>
      </c>
      <c r="G356" s="655">
        <v>3655</v>
      </c>
      <c r="H356" s="655">
        <v>2358</v>
      </c>
      <c r="I356" s="646">
        <v>180600</v>
      </c>
      <c r="J356" s="655">
        <v>175115</v>
      </c>
      <c r="K356" s="664">
        <v>51405.017509999998</v>
      </c>
      <c r="L356" s="664">
        <v>46145</v>
      </c>
      <c r="M356" s="655">
        <v>421807</v>
      </c>
      <c r="N356" s="655">
        <v>8414</v>
      </c>
      <c r="O356" s="655">
        <v>4179</v>
      </c>
      <c r="P356" s="655">
        <v>146.74103399999998</v>
      </c>
      <c r="Q356" s="337">
        <v>0</v>
      </c>
      <c r="R356" s="167">
        <f t="shared" si="16"/>
        <v>158044.57579279999</v>
      </c>
      <c r="S356" s="473">
        <v>15.035948202873021</v>
      </c>
      <c r="T356" s="473">
        <v>0.23394499999999999</v>
      </c>
      <c r="U356" s="473">
        <v>3.5416129826955911E-3</v>
      </c>
      <c r="V356" s="473">
        <v>1.7000000000000001E-2</v>
      </c>
      <c r="W356" s="473">
        <v>0.30625999999999998</v>
      </c>
      <c r="X356" s="155">
        <v>11.91</v>
      </c>
      <c r="Y356" s="473">
        <v>10.86</v>
      </c>
      <c r="Z356" s="337">
        <v>0</v>
      </c>
      <c r="AA356" s="337">
        <v>0</v>
      </c>
      <c r="AB356" s="337">
        <v>0</v>
      </c>
      <c r="AC356" s="473">
        <v>0.23389693243889936</v>
      </c>
      <c r="AD356" s="473">
        <v>6.3288092494060547E-2</v>
      </c>
      <c r="AE356" s="473">
        <v>2.03650025</v>
      </c>
      <c r="AF356" s="473">
        <v>14.746125551116107</v>
      </c>
      <c r="AG356" s="172">
        <f t="shared" si="17"/>
        <v>9.4076450383298944</v>
      </c>
      <c r="AH356" s="667">
        <f t="shared" si="18"/>
        <v>202403</v>
      </c>
      <c r="AJ356" t="s">
        <v>1523</v>
      </c>
    </row>
    <row r="357" spans="3:36" ht="15.75" hidden="1">
      <c r="C357" s="649">
        <v>45365</v>
      </c>
      <c r="D357" s="645">
        <v>329617</v>
      </c>
      <c r="E357" s="645">
        <v>20270</v>
      </c>
      <c r="F357" s="645">
        <v>7193</v>
      </c>
      <c r="G357" s="645">
        <v>3679</v>
      </c>
      <c r="H357" s="645">
        <v>2351</v>
      </c>
      <c r="I357" s="646">
        <v>180600</v>
      </c>
      <c r="J357" s="645">
        <v>177094</v>
      </c>
      <c r="K357" s="645">
        <v>48141.978340000001</v>
      </c>
      <c r="L357" s="645">
        <v>10462</v>
      </c>
      <c r="M357" s="645">
        <v>421571</v>
      </c>
      <c r="N357" s="645">
        <v>8403</v>
      </c>
      <c r="O357" s="645">
        <v>3201</v>
      </c>
      <c r="P357" s="645">
        <v>175.17093</v>
      </c>
      <c r="Q357" s="337">
        <v>0</v>
      </c>
      <c r="R357" s="167">
        <f t="shared" si="16"/>
        <v>138182.94170350002</v>
      </c>
      <c r="S357" s="648">
        <v>15.088617487901638</v>
      </c>
      <c r="T357" s="648">
        <v>0.22038199999999999</v>
      </c>
      <c r="U357" s="648">
        <v>2.1582513797370499E-3</v>
      </c>
      <c r="V357" s="472">
        <v>1.7000000000000001E-2</v>
      </c>
      <c r="W357" s="472">
        <v>0.30833999999999995</v>
      </c>
      <c r="X357" s="155">
        <v>11.91</v>
      </c>
      <c r="Y357" s="472">
        <v>2.91</v>
      </c>
      <c r="Z357" s="337">
        <v>0</v>
      </c>
      <c r="AB357" s="337">
        <v>0</v>
      </c>
      <c r="AC357" s="472">
        <v>0.23672861442968507</v>
      </c>
      <c r="AD357" s="472">
        <v>6.4222547551019818E-2</v>
      </c>
      <c r="AE357" s="472">
        <v>2.0099002499999998</v>
      </c>
      <c r="AF357" s="472">
        <v>14.776707716616594</v>
      </c>
      <c r="AG357" s="172">
        <f t="shared" si="17"/>
        <v>7.3332255708688381</v>
      </c>
      <c r="AH357" s="667">
        <f t="shared" si="18"/>
        <v>202403</v>
      </c>
      <c r="AJ357" t="s">
        <v>1525</v>
      </c>
    </row>
    <row r="358" spans="3:36" ht="15.75" hidden="1">
      <c r="C358" s="665">
        <v>45366</v>
      </c>
      <c r="D358" s="655">
        <v>354209</v>
      </c>
      <c r="E358" s="655">
        <v>19516</v>
      </c>
      <c r="F358" s="655">
        <v>1247</v>
      </c>
      <c r="G358" s="655">
        <v>3706</v>
      </c>
      <c r="H358" s="655">
        <v>2356</v>
      </c>
      <c r="I358" s="646">
        <v>180600</v>
      </c>
      <c r="J358" s="655">
        <v>178642</v>
      </c>
      <c r="K358" s="664">
        <v>46814.341950000002</v>
      </c>
      <c r="L358" s="666">
        <v>0</v>
      </c>
      <c r="M358" s="655">
        <v>427991</v>
      </c>
      <c r="N358" s="655">
        <v>8431</v>
      </c>
      <c r="O358" s="655">
        <v>4017.0000000000005</v>
      </c>
      <c r="P358" s="655">
        <v>139.00458</v>
      </c>
      <c r="Q358" s="337">
        <v>0</v>
      </c>
      <c r="R358" s="167">
        <f t="shared" si="16"/>
        <v>132520.35544849999</v>
      </c>
      <c r="S358" s="473">
        <v>15.066530368373511</v>
      </c>
      <c r="T358" s="473">
        <v>0.19522700000000001</v>
      </c>
      <c r="U358" s="473">
        <v>1.5909805265229492E-3</v>
      </c>
      <c r="V358" s="473">
        <v>1.7000000000000001E-2</v>
      </c>
      <c r="W358" s="473">
        <v>0.30429</v>
      </c>
      <c r="X358" s="155">
        <v>11.91</v>
      </c>
      <c r="Y358" s="473">
        <v>2.15</v>
      </c>
      <c r="Z358" s="337">
        <v>0</v>
      </c>
      <c r="AA358" s="337"/>
      <c r="AB358" s="337">
        <v>0</v>
      </c>
      <c r="AC358" s="473">
        <v>0.23474643703613507</v>
      </c>
      <c r="AD358" s="473">
        <v>6.4392448470466976E-2</v>
      </c>
      <c r="AE358" s="473">
        <v>1.9848002499999999</v>
      </c>
      <c r="AF358" s="473">
        <v>14.788317612778814</v>
      </c>
      <c r="AG358" s="172">
        <f t="shared" si="17"/>
        <v>7.114405022012555</v>
      </c>
      <c r="AH358" s="667">
        <f t="shared" si="18"/>
        <v>202403</v>
      </c>
    </row>
    <row r="359" spans="3:36" ht="15.75" hidden="1">
      <c r="C359" s="649">
        <v>45367</v>
      </c>
      <c r="D359" s="645">
        <v>347930</v>
      </c>
      <c r="E359" s="645">
        <v>21302</v>
      </c>
      <c r="F359" s="645">
        <v>1302</v>
      </c>
      <c r="G359" s="645">
        <v>3637</v>
      </c>
      <c r="H359" s="645">
        <v>2368</v>
      </c>
      <c r="I359" s="646">
        <v>180600</v>
      </c>
      <c r="J359" s="645">
        <v>177541</v>
      </c>
      <c r="K359" s="645">
        <v>45019.837789999998</v>
      </c>
      <c r="L359" s="645">
        <v>0</v>
      </c>
      <c r="M359" s="645">
        <v>425309</v>
      </c>
      <c r="N359" s="645">
        <v>8415</v>
      </c>
      <c r="O359" s="645">
        <v>2574</v>
      </c>
      <c r="P359" s="645">
        <v>84.849401999999998</v>
      </c>
      <c r="Q359" s="337">
        <v>0</v>
      </c>
      <c r="R359" s="167">
        <f t="shared" si="16"/>
        <v>131428.0346784</v>
      </c>
      <c r="S359" s="648">
        <v>15.286552059057559</v>
      </c>
      <c r="T359" s="648">
        <v>0.224963</v>
      </c>
      <c r="U359" s="648">
        <v>1.5947466635706942E-3</v>
      </c>
      <c r="V359" s="472">
        <v>1.7000000000000001E-2</v>
      </c>
      <c r="W359" s="472">
        <v>0.30469000000000002</v>
      </c>
      <c r="X359" s="155">
        <v>11.91</v>
      </c>
      <c r="Y359" s="472">
        <v>2.56</v>
      </c>
      <c r="Z359" s="337">
        <v>0</v>
      </c>
      <c r="AB359" s="337">
        <v>0</v>
      </c>
      <c r="AC359" s="472">
        <v>0.2296494094527208</v>
      </c>
      <c r="AD359" s="472">
        <v>6.3288092494060547E-2</v>
      </c>
      <c r="AE359" s="472">
        <v>1.9848002499999999</v>
      </c>
      <c r="AF359" s="472">
        <v>14.81453898801349</v>
      </c>
      <c r="AG359" s="172">
        <f t="shared" si="17"/>
        <v>7.2379740977284461</v>
      </c>
      <c r="AH359" s="667">
        <f t="shared" si="18"/>
        <v>202403</v>
      </c>
    </row>
    <row r="360" spans="3:36" ht="15.75" hidden="1">
      <c r="C360" s="665">
        <v>45368</v>
      </c>
      <c r="D360" s="655">
        <v>327826</v>
      </c>
      <c r="E360" s="655">
        <v>19566</v>
      </c>
      <c r="F360" s="655">
        <v>1304</v>
      </c>
      <c r="G360" s="655">
        <v>3708</v>
      </c>
      <c r="H360" s="655">
        <v>2423</v>
      </c>
      <c r="I360" s="646">
        <v>180600</v>
      </c>
      <c r="J360" s="655">
        <v>178114</v>
      </c>
      <c r="K360" s="664">
        <v>49205.351779999997</v>
      </c>
      <c r="L360" s="664">
        <v>0</v>
      </c>
      <c r="M360" s="655">
        <v>418600</v>
      </c>
      <c r="N360" s="655">
        <v>8421</v>
      </c>
      <c r="O360" s="655">
        <v>810</v>
      </c>
      <c r="P360" s="655">
        <v>67.112166000000002</v>
      </c>
      <c r="Q360" s="337">
        <v>0</v>
      </c>
      <c r="R360" s="167">
        <f t="shared" si="16"/>
        <v>130800.88901970001</v>
      </c>
      <c r="S360" s="473">
        <v>14.945900715566037</v>
      </c>
      <c r="T360" s="473">
        <v>0.22247500000000001</v>
      </c>
      <c r="U360" s="473">
        <v>1.6004383443721734E-3</v>
      </c>
      <c r="V360" s="473">
        <v>1.7000000000000001E-2</v>
      </c>
      <c r="W360" s="473">
        <v>0.30437000000000003</v>
      </c>
      <c r="X360" s="155">
        <v>11.91</v>
      </c>
      <c r="Y360" s="473">
        <v>3.18</v>
      </c>
      <c r="Z360" s="337"/>
      <c r="AA360" s="337"/>
      <c r="AB360" s="337">
        <v>0</v>
      </c>
      <c r="AC360" s="473">
        <v>0.23049891404995654</v>
      </c>
      <c r="AD360" s="473">
        <v>6.2353637437101261E-2</v>
      </c>
      <c r="AE360" s="473">
        <v>1.9811002499999999</v>
      </c>
      <c r="AF360" s="473">
        <v>14.768524155663222</v>
      </c>
      <c r="AG360" s="172">
        <f t="shared" si="17"/>
        <v>7.3805494178537199</v>
      </c>
      <c r="AH360" s="667">
        <f>IF($AK$1&gt;=C360,(YEAR(C360)*100+MONTH(C360)),0)</f>
        <v>202403</v>
      </c>
      <c r="AJ360" t="s">
        <v>1526</v>
      </c>
    </row>
    <row r="361" spans="3:36" ht="15.75" hidden="1">
      <c r="C361" s="649">
        <v>45369</v>
      </c>
      <c r="D361" s="645">
        <v>337002</v>
      </c>
      <c r="E361" s="645">
        <v>20547</v>
      </c>
      <c r="F361" s="645">
        <v>1298</v>
      </c>
      <c r="G361" s="645">
        <v>3727</v>
      </c>
      <c r="H361" s="645">
        <v>2317</v>
      </c>
      <c r="I361" s="646">
        <v>170500</v>
      </c>
      <c r="J361" s="645">
        <v>177608</v>
      </c>
      <c r="K361" s="645">
        <v>49126.981310000003</v>
      </c>
      <c r="L361" s="645">
        <v>0</v>
      </c>
      <c r="M361" s="645">
        <v>414498</v>
      </c>
      <c r="N361" s="645">
        <v>8510</v>
      </c>
      <c r="O361" s="645">
        <v>5387</v>
      </c>
      <c r="P361" s="645">
        <v>158.06267399999999</v>
      </c>
      <c r="Q361" s="337">
        <v>0</v>
      </c>
      <c r="R361" s="167">
        <f t="shared" si="16"/>
        <v>130723.30973080001</v>
      </c>
      <c r="S361" s="648">
        <v>14.912486868074764</v>
      </c>
      <c r="T361" s="648">
        <v>0.24392</v>
      </c>
      <c r="U361" s="648">
        <v>1.6029302245240649E-3</v>
      </c>
      <c r="V361" s="472">
        <v>1.7000000000000001E-2</v>
      </c>
      <c r="W361" s="472">
        <v>0.30114999999999997</v>
      </c>
      <c r="X361" s="155">
        <v>11.91</v>
      </c>
      <c r="Y361" s="472">
        <v>8.6199999999999992</v>
      </c>
      <c r="Z361" s="337">
        <v>0</v>
      </c>
      <c r="AB361" s="337">
        <v>0</v>
      </c>
      <c r="AC361" s="472">
        <v>0.23333059604074224</v>
      </c>
      <c r="AD361" s="472">
        <v>6.2070469238022695E-2</v>
      </c>
      <c r="AE361" s="472">
        <v>1.9827002499999999</v>
      </c>
      <c r="AF361" s="472">
        <v>14.819720966056629</v>
      </c>
      <c r="AG361" s="172">
        <f t="shared" si="17"/>
        <v>8.8063711277990109</v>
      </c>
      <c r="AH361" s="667">
        <f>IF($AK$1&gt;=C361,(YEAR(C361)*100+MONTH(C361)),0)</f>
        <v>202403</v>
      </c>
      <c r="AJ361" t="s">
        <v>1527</v>
      </c>
    </row>
    <row r="362" spans="3:36" ht="15.75" hidden="1">
      <c r="C362" s="665">
        <v>45370</v>
      </c>
      <c r="D362" s="655">
        <v>341266</v>
      </c>
      <c r="E362" s="655">
        <v>23792</v>
      </c>
      <c r="F362" s="655">
        <v>1324</v>
      </c>
      <c r="G362" s="655">
        <v>3760</v>
      </c>
      <c r="H362" s="655">
        <v>2315</v>
      </c>
      <c r="I362" s="646">
        <v>170500</v>
      </c>
      <c r="J362" s="655">
        <v>179096</v>
      </c>
      <c r="K362" s="655">
        <v>48680.955819999996</v>
      </c>
      <c r="L362" s="664">
        <v>0</v>
      </c>
      <c r="M362" s="655">
        <v>421466</v>
      </c>
      <c r="N362" s="655">
        <v>8511</v>
      </c>
      <c r="O362" s="655">
        <v>5644</v>
      </c>
      <c r="P362" s="655">
        <v>55.098647999999997</v>
      </c>
      <c r="Q362" s="337">
        <v>0</v>
      </c>
      <c r="R362" s="167">
        <f t="shared" si="16"/>
        <v>132341.32794660001</v>
      </c>
      <c r="S362" s="473">
        <v>14.920132409449888</v>
      </c>
      <c r="T362" s="473">
        <v>0.23255899999999999</v>
      </c>
      <c r="U362" s="473">
        <v>1.6018825021874743E-3</v>
      </c>
      <c r="V362" s="473">
        <v>1.7000000000000001E-2</v>
      </c>
      <c r="W362" s="473">
        <v>0.30208999999999997</v>
      </c>
      <c r="X362" s="155">
        <v>11.91</v>
      </c>
      <c r="Y362" s="473">
        <v>11.04</v>
      </c>
      <c r="Z362" s="337"/>
      <c r="AA362" s="337"/>
      <c r="AB362" s="337">
        <v>0</v>
      </c>
      <c r="AC362" s="473">
        <v>0.23049891404995654</v>
      </c>
      <c r="AD362" s="473">
        <v>6.1928885138483401E-2</v>
      </c>
      <c r="AE362" s="473">
        <v>1.9856002500000001</v>
      </c>
      <c r="AF362" s="473">
        <v>14.701781411140402</v>
      </c>
      <c r="AG362" s="172">
        <f t="shared" si="17"/>
        <v>9.4145066934045794</v>
      </c>
      <c r="AH362" s="667">
        <f>IF($AK$1&gt;=C362,(YEAR(C362)*100+MONTH(C362)),0)</f>
        <v>202403</v>
      </c>
      <c r="AJ362" t="s">
        <v>1528</v>
      </c>
    </row>
    <row r="363" spans="3:36" ht="15.75" hidden="1">
      <c r="C363" s="649">
        <v>45371</v>
      </c>
      <c r="D363" s="645">
        <v>355823</v>
      </c>
      <c r="E363" s="645">
        <v>23623</v>
      </c>
      <c r="F363" s="645">
        <v>1317.27</v>
      </c>
      <c r="G363" s="645">
        <v>3719</v>
      </c>
      <c r="H363" s="645">
        <v>2315</v>
      </c>
      <c r="I363" s="646">
        <v>170500</v>
      </c>
      <c r="J363" s="645">
        <v>179237</v>
      </c>
      <c r="K363" s="645">
        <v>54820.602359999997</v>
      </c>
      <c r="L363" s="645">
        <v>0</v>
      </c>
      <c r="M363" s="645">
        <v>423723</v>
      </c>
      <c r="N363" s="645">
        <v>8526</v>
      </c>
      <c r="O363" s="645">
        <v>4203</v>
      </c>
      <c r="P363" s="645">
        <v>160.38989999999998</v>
      </c>
      <c r="Q363" s="337">
        <v>0</v>
      </c>
      <c r="R363" s="167">
        <f t="shared" si="16"/>
        <v>133741.23634500001</v>
      </c>
      <c r="S363" s="648">
        <v>14.751647330998138</v>
      </c>
      <c r="T363" s="648">
        <v>0.25228899999999999</v>
      </c>
      <c r="U363" s="648">
        <v>1.5941803271725373E-3</v>
      </c>
      <c r="V363" s="472">
        <v>1.7000000000000001E-2</v>
      </c>
      <c r="W363" s="472">
        <v>0.30336000000000002</v>
      </c>
      <c r="X363" s="155">
        <v>11.91</v>
      </c>
      <c r="Y363" s="472">
        <v>10.95</v>
      </c>
      <c r="Z363" s="337">
        <v>0</v>
      </c>
      <c r="AA363" s="337">
        <v>0</v>
      </c>
      <c r="AB363" s="337">
        <v>0</v>
      </c>
      <c r="AC363" s="472">
        <v>0.23333059604074224</v>
      </c>
      <c r="AD363" s="472">
        <v>6.0994430081524116E-2</v>
      </c>
      <c r="AE363" s="472">
        <v>1.9817002500000001</v>
      </c>
      <c r="AF363" s="472">
        <v>0.11505123928562325</v>
      </c>
      <c r="AG363" s="172">
        <f t="shared" si="17"/>
        <v>6.9122449703507254</v>
      </c>
      <c r="AH363" s="667">
        <f>IF($AK$1&gt;=C363,(YEAR(C363)*100+MONTH(C363)),0)</f>
        <v>202403</v>
      </c>
      <c r="AJ363" t="s">
        <v>1529</v>
      </c>
    </row>
    <row r="364" spans="3:36" ht="15.75" hidden="1">
      <c r="C364" s="665">
        <v>45372</v>
      </c>
      <c r="D364" s="655">
        <v>345167</v>
      </c>
      <c r="E364" s="655">
        <v>23610</v>
      </c>
      <c r="F364" s="655">
        <v>1316</v>
      </c>
      <c r="G364" s="655">
        <v>3754</v>
      </c>
      <c r="H364" s="655">
        <v>2312</v>
      </c>
      <c r="I364" s="646">
        <v>170500</v>
      </c>
      <c r="J364" s="655">
        <v>177756</v>
      </c>
      <c r="K364" s="655">
        <v>44639.221559999998</v>
      </c>
      <c r="L364" s="664">
        <v>43515</v>
      </c>
      <c r="M364" s="655">
        <v>428474</v>
      </c>
      <c r="N364" s="655">
        <v>8619</v>
      </c>
      <c r="O364" s="655">
        <v>3102</v>
      </c>
      <c r="P364" s="655">
        <v>101.64316799999999</v>
      </c>
      <c r="Q364" s="337">
        <v>0</v>
      </c>
      <c r="R364" s="167">
        <f t="shared" si="16"/>
        <v>140806.20626559999</v>
      </c>
      <c r="S364" s="473">
        <v>14.792706719864528</v>
      </c>
      <c r="T364" s="473">
        <v>0.248253</v>
      </c>
      <c r="U364" s="473">
        <v>1.604487649618997E-3</v>
      </c>
      <c r="V364" s="473">
        <v>1.7000000000000001E-2</v>
      </c>
      <c r="W364" s="473">
        <v>0.30447000000000002</v>
      </c>
      <c r="X364" s="155">
        <v>11.91</v>
      </c>
      <c r="Y364" s="473">
        <v>10.77</v>
      </c>
      <c r="Z364" s="473">
        <v>0</v>
      </c>
      <c r="AA364" s="337">
        <v>0</v>
      </c>
      <c r="AB364" s="337">
        <v>0</v>
      </c>
      <c r="AC364" s="473">
        <v>0.23672861442968507</v>
      </c>
      <c r="AD364" s="473">
        <v>6.2183736517654124E-2</v>
      </c>
      <c r="AE364" s="473">
        <v>1.9815002500000001</v>
      </c>
      <c r="AF364" s="473">
        <v>0</v>
      </c>
      <c r="AG364" s="172">
        <f t="shared" si="17"/>
        <v>6.8476217312779299</v>
      </c>
      <c r="AH364" s="667">
        <f>IF($AK$1&gt;=C364,(YEAR(C364)*100+MONTH(C364)),0)</f>
        <v>202403</v>
      </c>
      <c r="AJ364" t="s">
        <v>1530</v>
      </c>
    </row>
    <row r="365" spans="3:36" ht="15.75" hidden="1">
      <c r="C365" s="649">
        <v>45373</v>
      </c>
      <c r="D365" s="645">
        <v>346541</v>
      </c>
      <c r="E365" s="645">
        <v>23648</v>
      </c>
      <c r="F365" s="645">
        <v>1311.83</v>
      </c>
      <c r="G365" s="645">
        <v>3751</v>
      </c>
      <c r="H365" s="645">
        <v>2301</v>
      </c>
      <c r="I365" s="646">
        <v>170500</v>
      </c>
      <c r="J365" s="645">
        <v>177816</v>
      </c>
      <c r="K365" s="645">
        <v>47824.211230000001</v>
      </c>
      <c r="L365" s="645">
        <v>45573</v>
      </c>
      <c r="M365" s="645">
        <v>429631</v>
      </c>
      <c r="N365" s="645">
        <v>8619</v>
      </c>
      <c r="O365" s="645">
        <v>89</v>
      </c>
      <c r="P365" s="645">
        <v>111.58105199999999</v>
      </c>
      <c r="R365" s="167">
        <f t="shared" si="16"/>
        <v>140986.67863090002</v>
      </c>
      <c r="S365" s="648">
        <v>15.114385794017787</v>
      </c>
      <c r="T365" s="648">
        <v>0.26061200000000001</v>
      </c>
      <c r="U365" s="648">
        <v>1.5635981616720516E-3</v>
      </c>
      <c r="V365" s="472">
        <v>1.7000000000000001E-2</v>
      </c>
      <c r="W365" s="472">
        <v>0.30407000000000001</v>
      </c>
      <c r="X365" s="155">
        <v>11.91</v>
      </c>
      <c r="Y365" s="472">
        <v>11.06</v>
      </c>
      <c r="Z365" s="337">
        <v>0</v>
      </c>
      <c r="AA365" s="337">
        <v>0</v>
      </c>
      <c r="AB365" s="337">
        <v>0</v>
      </c>
      <c r="AC365" s="472">
        <v>0.2375781190269208</v>
      </c>
      <c r="AD365" s="472">
        <v>6.0399776863459126E-2</v>
      </c>
      <c r="AE365" s="472">
        <v>1.96630025</v>
      </c>
      <c r="AF365" s="472">
        <v>0</v>
      </c>
      <c r="AG365" s="172">
        <f t="shared" si="17"/>
        <v>6.9259006868933275</v>
      </c>
      <c r="AH365" s="667">
        <f t="shared" ref="AH365:AH428" si="19">IF($AK$1&gt;=C365,(YEAR(C365)*100+MONTH(C365)),0)</f>
        <v>202403</v>
      </c>
    </row>
    <row r="366" spans="3:36" ht="15.75" hidden="1">
      <c r="C366" s="665">
        <v>45374</v>
      </c>
      <c r="D366" s="655">
        <v>326998</v>
      </c>
      <c r="E366" s="655">
        <v>23472</v>
      </c>
      <c r="F366" s="655">
        <v>1304.57</v>
      </c>
      <c r="G366" s="655">
        <v>3794</v>
      </c>
      <c r="H366" s="655">
        <v>2345</v>
      </c>
      <c r="I366" s="646">
        <v>170500</v>
      </c>
      <c r="J366" s="655">
        <v>178590</v>
      </c>
      <c r="K366" s="655">
        <v>48561.69139</v>
      </c>
      <c r="L366" s="655">
        <v>16437</v>
      </c>
      <c r="M366" s="655">
        <v>429115</v>
      </c>
      <c r="N366" s="655">
        <v>8625</v>
      </c>
      <c r="O366" s="655">
        <v>6996</v>
      </c>
      <c r="P366" s="655">
        <v>91.076303999999993</v>
      </c>
      <c r="R366" s="167">
        <f t="shared" si="16"/>
        <v>136638.27623429999</v>
      </c>
      <c r="S366" s="473">
        <v>14.704075073552941</v>
      </c>
      <c r="T366" s="473">
        <v>0.25933899999999999</v>
      </c>
      <c r="U366" s="473">
        <v>1.6077724007283085E-3</v>
      </c>
      <c r="V366" s="473">
        <v>1.7000000000000001E-2</v>
      </c>
      <c r="W366" s="473">
        <v>0.30331999999999998</v>
      </c>
      <c r="X366" s="155">
        <v>11.91</v>
      </c>
      <c r="Y366" s="473">
        <v>11.41</v>
      </c>
      <c r="Z366" s="473">
        <v>0</v>
      </c>
      <c r="AA366" s="337">
        <v>0</v>
      </c>
      <c r="AB366" s="337">
        <v>0</v>
      </c>
      <c r="AC366" s="473">
        <v>0.23729495082784224</v>
      </c>
      <c r="AD366" s="473">
        <v>5.6831857555069136E-2</v>
      </c>
      <c r="AE366" s="473">
        <v>1.9855002500000001</v>
      </c>
      <c r="AF366" s="473">
        <v>0</v>
      </c>
      <c r="AG366" s="172">
        <f t="shared" si="17"/>
        <v>7.0135414049926732</v>
      </c>
      <c r="AH366" s="667">
        <f t="shared" si="19"/>
        <v>202403</v>
      </c>
    </row>
    <row r="367" spans="3:36" ht="15.75" hidden="1">
      <c r="C367" s="649">
        <v>45375</v>
      </c>
      <c r="D367" s="645">
        <v>363028</v>
      </c>
      <c r="E367" s="645">
        <v>23616</v>
      </c>
      <c r="F367" s="645">
        <v>1303.28</v>
      </c>
      <c r="G367" s="645">
        <v>3776</v>
      </c>
      <c r="H367" s="645">
        <v>2317</v>
      </c>
      <c r="I367" s="646">
        <v>170500</v>
      </c>
      <c r="J367" s="645">
        <v>178188</v>
      </c>
      <c r="K367" s="645">
        <v>50921.886209999997</v>
      </c>
      <c r="L367" s="645">
        <v>0</v>
      </c>
      <c r="M367" s="645">
        <v>428923</v>
      </c>
      <c r="N367" s="645">
        <v>8696</v>
      </c>
      <c r="O367" s="645">
        <v>245</v>
      </c>
      <c r="P367" s="645">
        <v>78.748295999999996</v>
      </c>
      <c r="R367" s="167">
        <f t="shared" si="16"/>
        <v>131285.83108570002</v>
      </c>
      <c r="S367" s="648">
        <v>13.951414000402096</v>
      </c>
      <c r="T367" s="648">
        <v>0.25852599999999998</v>
      </c>
      <c r="U367" s="648">
        <v>1.5825704310103157E-3</v>
      </c>
      <c r="V367" s="472">
        <v>1.7000000000000001E-2</v>
      </c>
      <c r="W367" s="472">
        <v>0.30807999999999996</v>
      </c>
      <c r="X367" s="155">
        <v>11.91</v>
      </c>
      <c r="Y367" s="472">
        <v>11.6</v>
      </c>
      <c r="Z367" s="337">
        <v>0</v>
      </c>
      <c r="AA367" s="337"/>
      <c r="AB367" s="337">
        <v>0</v>
      </c>
      <c r="AC367" s="472">
        <v>0.24040980101770651</v>
      </c>
      <c r="AD367" s="472">
        <v>5.9295420887052697E-2</v>
      </c>
      <c r="AE367" s="472">
        <v>1.9896002500000001</v>
      </c>
      <c r="AF367" s="472">
        <v>0</v>
      </c>
      <c r="AG367" s="172">
        <f t="shared" si="17"/>
        <v>7.0532508416777651</v>
      </c>
      <c r="AH367" s="667">
        <f t="shared" si="19"/>
        <v>202403</v>
      </c>
    </row>
    <row r="368" spans="3:36" ht="15.75" hidden="1">
      <c r="C368" s="665">
        <v>45376</v>
      </c>
      <c r="D368" s="655">
        <v>347594</v>
      </c>
      <c r="E368" s="655">
        <v>23547</v>
      </c>
      <c r="F368" s="655">
        <v>22479</v>
      </c>
      <c r="G368" s="655">
        <v>3763</v>
      </c>
      <c r="H368" s="655">
        <v>2303</v>
      </c>
      <c r="I368" s="646">
        <v>170500</v>
      </c>
      <c r="J368" s="655">
        <v>178262</v>
      </c>
      <c r="K368" s="655">
        <v>46138.463519999998</v>
      </c>
      <c r="L368" s="655">
        <v>0</v>
      </c>
      <c r="M368" s="655">
        <v>435672</v>
      </c>
      <c r="N368" s="655">
        <v>8710</v>
      </c>
      <c r="O368" s="655">
        <v>5758</v>
      </c>
      <c r="P368" s="655">
        <v>118.940118</v>
      </c>
      <c r="R368" s="167">
        <f t="shared" si="16"/>
        <v>147031.35033310004</v>
      </c>
      <c r="S368" s="473">
        <v>15.138738259138545</v>
      </c>
      <c r="T368" s="473">
        <v>0.249586</v>
      </c>
      <c r="U368" s="473">
        <v>2.9305926427238512E-3</v>
      </c>
      <c r="V368" s="473">
        <v>1.7000000000000001E-2</v>
      </c>
      <c r="W368" s="473">
        <v>0.30525999999999998</v>
      </c>
      <c r="X368" s="155">
        <v>11.91</v>
      </c>
      <c r="Y368" s="473">
        <v>11.47</v>
      </c>
      <c r="Z368" s="337">
        <v>0</v>
      </c>
      <c r="AA368" s="337"/>
      <c r="AB368" s="337">
        <v>0</v>
      </c>
      <c r="AC368" s="473">
        <v>0.22908307305456366</v>
      </c>
      <c r="AD368" s="473">
        <v>5.4906313801334851E-2</v>
      </c>
      <c r="AE368" s="473">
        <v>1.85080025</v>
      </c>
      <c r="AF368" s="473">
        <v>0</v>
      </c>
      <c r="AG368" s="172">
        <f t="shared" si="17"/>
        <v>6.9771262646925436</v>
      </c>
      <c r="AH368" s="667">
        <f t="shared" si="19"/>
        <v>202403</v>
      </c>
      <c r="AJ368" t="s">
        <v>1531</v>
      </c>
    </row>
    <row r="369" spans="3:36" ht="15.75" hidden="1">
      <c r="C369" s="649">
        <v>45377</v>
      </c>
      <c r="D369" s="645">
        <v>342001</v>
      </c>
      <c r="E369" s="645">
        <v>23692</v>
      </c>
      <c r="F369" s="645">
        <v>27233</v>
      </c>
      <c r="G369" s="645">
        <v>3796</v>
      </c>
      <c r="H369" s="645">
        <v>2305</v>
      </c>
      <c r="I369" s="646">
        <v>170500</v>
      </c>
      <c r="J369" s="645">
        <v>178880</v>
      </c>
      <c r="K369" s="645">
        <v>48411.570599999999</v>
      </c>
      <c r="L369" s="645">
        <v>0</v>
      </c>
      <c r="M369" s="645">
        <v>431535</v>
      </c>
      <c r="N369" s="645">
        <v>8609</v>
      </c>
      <c r="O369" s="645">
        <v>5324</v>
      </c>
      <c r="P369" s="645">
        <v>148.12478999999999</v>
      </c>
      <c r="R369" s="167">
        <f t="shared" si="16"/>
        <v>150679.50190550002</v>
      </c>
      <c r="S369" s="648">
        <v>18.98274656163014</v>
      </c>
      <c r="T369" s="648">
        <v>0.25495800000000002</v>
      </c>
      <c r="U369" s="648">
        <v>3.6515671943978005E-3</v>
      </c>
      <c r="V369" s="472">
        <v>1.7000000000000001E-2</v>
      </c>
      <c r="W369" s="472">
        <v>0.30363999999999997</v>
      </c>
      <c r="X369" s="155">
        <v>11.91</v>
      </c>
      <c r="Y369" s="472">
        <v>11.18</v>
      </c>
      <c r="Z369" s="337">
        <v>0</v>
      </c>
      <c r="AB369" s="337">
        <v>0</v>
      </c>
      <c r="AC369" s="472">
        <v>0.23701178262876363</v>
      </c>
      <c r="AD369" s="472">
        <v>5.8672450849079842E-2</v>
      </c>
      <c r="AE369" s="472">
        <v>2.0054002500000001</v>
      </c>
      <c r="AF369" s="472">
        <v>0</v>
      </c>
      <c r="AG369" s="172">
        <f t="shared" si="17"/>
        <v>7.0628065915385303</v>
      </c>
      <c r="AH369" s="667">
        <f t="shared" si="19"/>
        <v>202403</v>
      </c>
      <c r="AJ369" t="s">
        <v>1532</v>
      </c>
    </row>
    <row r="370" spans="3:36" ht="15.75" hidden="1">
      <c r="C370" s="665">
        <v>45378</v>
      </c>
      <c r="D370" s="655">
        <v>347616</v>
      </c>
      <c r="E370" s="655">
        <v>24082</v>
      </c>
      <c r="F370" s="655">
        <v>26864</v>
      </c>
      <c r="G370" s="655">
        <v>3818</v>
      </c>
      <c r="H370" s="655">
        <v>2338</v>
      </c>
      <c r="I370" s="646">
        <v>170500</v>
      </c>
      <c r="J370" s="655">
        <v>178679</v>
      </c>
      <c r="K370" s="655">
        <v>49814.152370000003</v>
      </c>
      <c r="L370" s="655">
        <v>0</v>
      </c>
      <c r="M370" s="655">
        <v>430528</v>
      </c>
      <c r="N370" s="655">
        <v>9114</v>
      </c>
      <c r="O370" s="655">
        <v>4339</v>
      </c>
      <c r="P370" s="655">
        <v>147.30711600000001</v>
      </c>
      <c r="R370" s="167">
        <f t="shared" si="16"/>
        <v>150619.49589470003</v>
      </c>
      <c r="S370" s="473">
        <v>13.472293407561159</v>
      </c>
      <c r="T370" s="473">
        <v>0.25094</v>
      </c>
      <c r="U370" s="473">
        <v>3.743710126377967E-3</v>
      </c>
      <c r="V370" s="473">
        <v>1.7000000000000001E-2</v>
      </c>
      <c r="W370" s="473">
        <v>0.30438999999999999</v>
      </c>
      <c r="X370" s="155">
        <v>11.91</v>
      </c>
      <c r="Y370" s="473">
        <v>11.04</v>
      </c>
      <c r="Z370" s="337">
        <v>0</v>
      </c>
      <c r="AA370" s="337"/>
      <c r="AB370" s="337">
        <v>0</v>
      </c>
      <c r="AC370" s="473">
        <v>0.2268177274619351</v>
      </c>
      <c r="AD370" s="473">
        <v>5.8417599469909133E-2</v>
      </c>
      <c r="AE370" s="473">
        <v>2.0231002500000002</v>
      </c>
      <c r="AF370" s="473">
        <v>0</v>
      </c>
      <c r="AG370" s="172">
        <f t="shared" si="17"/>
        <v>6.9055864771119033</v>
      </c>
      <c r="AH370" s="667">
        <f t="shared" si="19"/>
        <v>202403</v>
      </c>
      <c r="AI370" t="s">
        <v>1542</v>
      </c>
      <c r="AJ370" t="s">
        <v>1535</v>
      </c>
    </row>
    <row r="371" spans="3:36" ht="15.75" hidden="1">
      <c r="C371" s="649">
        <v>45379</v>
      </c>
      <c r="D371" s="645">
        <v>328221</v>
      </c>
      <c r="E371" s="645">
        <v>23849</v>
      </c>
      <c r="F371" s="645">
        <v>26605</v>
      </c>
      <c r="G371" s="645">
        <v>3670</v>
      </c>
      <c r="H371" s="645">
        <v>2330</v>
      </c>
      <c r="I371" s="646">
        <v>170500</v>
      </c>
      <c r="J371" s="645">
        <v>179014</v>
      </c>
      <c r="K371" s="645">
        <v>51910.856760000002</v>
      </c>
      <c r="L371" s="645">
        <v>43764</v>
      </c>
      <c r="M371" s="645">
        <v>425626</v>
      </c>
      <c r="N371" s="645">
        <v>9023</v>
      </c>
      <c r="O371" s="645">
        <v>3472</v>
      </c>
      <c r="P371" s="645">
        <v>145.92335999999997</v>
      </c>
      <c r="R371" s="167">
        <f t="shared" si="16"/>
        <v>160461.089802</v>
      </c>
      <c r="S371" s="648">
        <v>9.8197068076466731</v>
      </c>
      <c r="T371" s="648">
        <v>0.25912800000000002</v>
      </c>
      <c r="U371" s="648">
        <v>3.8356831574386865E-3</v>
      </c>
      <c r="V371" s="472">
        <v>1.7000000000000001E-2</v>
      </c>
      <c r="W371" s="472">
        <v>0.30202999999999997</v>
      </c>
      <c r="X371" s="155">
        <v>11.91</v>
      </c>
      <c r="Y371" s="472">
        <v>10.95</v>
      </c>
      <c r="AB371" s="337">
        <v>0</v>
      </c>
      <c r="AC371" s="472">
        <v>0.23191475504534936</v>
      </c>
      <c r="AD371" s="472">
        <v>5.816274809073841E-2</v>
      </c>
      <c r="AE371" s="472">
        <v>2.0277002500000001</v>
      </c>
      <c r="AF371" s="472">
        <v>0</v>
      </c>
      <c r="AG371" s="172">
        <f t="shared" si="17"/>
        <v>6.8002556002581294</v>
      </c>
      <c r="AH371" s="667">
        <f t="shared" si="19"/>
        <v>202403</v>
      </c>
      <c r="AJ371" t="s">
        <v>1536</v>
      </c>
    </row>
    <row r="372" spans="3:36" ht="18" hidden="1" customHeight="1">
      <c r="C372" s="665">
        <v>45380</v>
      </c>
      <c r="D372" s="655">
        <v>361820</v>
      </c>
      <c r="E372" s="655">
        <v>24063</v>
      </c>
      <c r="F372" s="655">
        <v>26434</v>
      </c>
      <c r="G372" s="655">
        <v>3672</v>
      </c>
      <c r="H372" s="655">
        <v>2364</v>
      </c>
      <c r="I372" s="646">
        <v>170500</v>
      </c>
      <c r="J372" s="655">
        <v>176544</v>
      </c>
      <c r="K372" s="655">
        <v>49773.13027999999</v>
      </c>
      <c r="L372" s="655">
        <v>25070</v>
      </c>
      <c r="M372" s="655">
        <v>429898</v>
      </c>
      <c r="N372" s="655">
        <v>8843</v>
      </c>
      <c r="O372" s="655">
        <v>450</v>
      </c>
      <c r="P372" s="655">
        <v>113.59378799999999</v>
      </c>
      <c r="Q372" s="337">
        <v>0</v>
      </c>
      <c r="R372" s="167">
        <f t="shared" si="16"/>
        <v>154451.47927460005</v>
      </c>
      <c r="S372" s="473">
        <v>8.8110616825288073</v>
      </c>
      <c r="T372" s="473">
        <v>0.25792700000000002</v>
      </c>
      <c r="U372" s="473">
        <v>3.8671997779961315E-3</v>
      </c>
      <c r="V372" s="473">
        <v>1.7000000000000001E-2</v>
      </c>
      <c r="W372" s="473">
        <v>0.30485000000000001</v>
      </c>
      <c r="X372" s="155">
        <v>11.91</v>
      </c>
      <c r="Y372" s="473">
        <v>11.04</v>
      </c>
      <c r="Z372" s="337">
        <v>0</v>
      </c>
      <c r="AB372" s="337">
        <v>0</v>
      </c>
      <c r="AC372" s="473">
        <v>0.2287999048554851</v>
      </c>
      <c r="AD372" s="473">
        <v>6.1928885138483401E-2</v>
      </c>
      <c r="AE372" s="473">
        <v>2.00830025</v>
      </c>
      <c r="AF372" s="473">
        <v>0</v>
      </c>
      <c r="AG372" s="172">
        <f t="shared" si="17"/>
        <v>6.7953075108005088</v>
      </c>
      <c r="AH372" s="667">
        <f t="shared" si="19"/>
        <v>202403</v>
      </c>
      <c r="AJ372" t="s">
        <v>1537</v>
      </c>
    </row>
    <row r="373" spans="3:36" ht="14.85" hidden="1" customHeight="1">
      <c r="C373" s="649">
        <v>45381</v>
      </c>
      <c r="D373" s="645">
        <v>362979</v>
      </c>
      <c r="E373" s="645">
        <v>24013</v>
      </c>
      <c r="F373" s="645">
        <v>24687</v>
      </c>
      <c r="G373" s="645">
        <v>3690</v>
      </c>
      <c r="H373" s="645">
        <v>2366</v>
      </c>
      <c r="I373" s="646">
        <v>170500</v>
      </c>
      <c r="J373" s="645">
        <v>175225.4664</v>
      </c>
      <c r="K373" s="645">
        <v>48752.578799999988</v>
      </c>
      <c r="L373" s="645">
        <v>0</v>
      </c>
      <c r="M373" s="645">
        <v>383978</v>
      </c>
      <c r="N373" s="645">
        <v>8518</v>
      </c>
      <c r="O373" s="645">
        <v>3961</v>
      </c>
      <c r="P373" s="645">
        <v>182.52999599999998</v>
      </c>
      <c r="Q373" s="337">
        <v>0</v>
      </c>
      <c r="R373" s="167">
        <f t="shared" si="16"/>
        <v>146169.62936219998</v>
      </c>
      <c r="S373" s="648">
        <v>9.132174420283901</v>
      </c>
      <c r="T373" s="648">
        <v>0.25203999999999999</v>
      </c>
      <c r="U373" s="648">
        <v>3.5160712111387041E-3</v>
      </c>
      <c r="V373" s="472">
        <v>1.7000000000000001E-2</v>
      </c>
      <c r="W373" s="472">
        <v>0.30481000000000003</v>
      </c>
      <c r="X373" s="155">
        <v>11.91</v>
      </c>
      <c r="Y373" s="472">
        <v>11.02</v>
      </c>
      <c r="AB373" s="337">
        <v>0</v>
      </c>
      <c r="AC373" s="472">
        <v>0.2307820822490351</v>
      </c>
      <c r="AD373" s="472">
        <v>6.2183736517654124E-2</v>
      </c>
      <c r="AE373" s="472">
        <v>2.0110002499999999</v>
      </c>
      <c r="AF373" s="472">
        <v>2.4954197543799039</v>
      </c>
      <c r="AG373" s="172">
        <f t="shared" si="17"/>
        <v>7.2214062733553943</v>
      </c>
      <c r="AH373" s="667">
        <f t="shared" si="19"/>
        <v>202403</v>
      </c>
      <c r="AJ373" t="s">
        <v>1538</v>
      </c>
    </row>
    <row r="374" spans="3:36" ht="15.75" hidden="1">
      <c r="C374" s="665">
        <v>45382</v>
      </c>
      <c r="D374" s="655">
        <v>360906</v>
      </c>
      <c r="E374" s="655">
        <v>24786</v>
      </c>
      <c r="F374" s="655">
        <v>26159</v>
      </c>
      <c r="G374" s="655">
        <v>3746</v>
      </c>
      <c r="H374" s="655">
        <v>2390</v>
      </c>
      <c r="I374" s="646">
        <v>170500</v>
      </c>
      <c r="J374" s="655">
        <v>174647</v>
      </c>
      <c r="K374" s="655">
        <v>47841.506179999997</v>
      </c>
      <c r="L374" s="655">
        <v>0</v>
      </c>
      <c r="M374" s="655">
        <v>375387</v>
      </c>
      <c r="N374" s="655">
        <v>8342</v>
      </c>
      <c r="O374" s="655">
        <v>7055</v>
      </c>
      <c r="P374" s="655">
        <v>115.29203399999999</v>
      </c>
      <c r="Q374" s="337">
        <v>0</v>
      </c>
      <c r="R374" s="167">
        <f t="shared" si="16"/>
        <v>147879.02656030003</v>
      </c>
      <c r="S374" s="473">
        <v>9.3250119638564097</v>
      </c>
      <c r="T374" s="473">
        <v>0.233844</v>
      </c>
      <c r="U374" s="473">
        <v>3.8117837614364551E-3</v>
      </c>
      <c r="V374" s="473">
        <v>1.7000000000000001E-2</v>
      </c>
      <c r="W374" s="473">
        <v>0.30426999999999998</v>
      </c>
      <c r="X374" s="155">
        <v>11.91</v>
      </c>
      <c r="Y374" s="473">
        <v>11.21</v>
      </c>
      <c r="AA374" s="337">
        <v>0</v>
      </c>
      <c r="AB374" s="337">
        <v>0</v>
      </c>
      <c r="AC374" s="473">
        <v>0.22426921367022795</v>
      </c>
      <c r="AD374" s="473">
        <v>6.0994430081524116E-2</v>
      </c>
      <c r="AE374" s="473">
        <v>1.9856002500000001</v>
      </c>
      <c r="AF374" s="473">
        <v>13.504489631796389</v>
      </c>
      <c r="AG374" s="172">
        <f t="shared" si="17"/>
        <v>9.1289346404398106</v>
      </c>
      <c r="AH374" s="667">
        <f t="shared" si="19"/>
        <v>202403</v>
      </c>
      <c r="AJ374" t="s">
        <v>1539</v>
      </c>
    </row>
    <row r="375" spans="3:36" ht="15.75" hidden="1">
      <c r="C375" s="649">
        <v>45383</v>
      </c>
      <c r="D375" s="645">
        <v>341041</v>
      </c>
      <c r="E375" s="645">
        <v>25050</v>
      </c>
      <c r="F375" s="645">
        <v>26162</v>
      </c>
      <c r="G375" s="645">
        <v>3751</v>
      </c>
      <c r="H375" s="645">
        <v>2325</v>
      </c>
      <c r="I375" s="646">
        <v>170500</v>
      </c>
      <c r="J375" s="645">
        <v>172385</v>
      </c>
      <c r="K375" s="645">
        <v>48005.210500000001</v>
      </c>
      <c r="L375" s="645">
        <v>0</v>
      </c>
      <c r="M375" s="645">
        <v>413407</v>
      </c>
      <c r="N375" s="645">
        <v>7515</v>
      </c>
      <c r="O375" s="645">
        <v>3257</v>
      </c>
      <c r="P375" s="645">
        <v>125.670204</v>
      </c>
      <c r="Q375" s="337">
        <v>0</v>
      </c>
      <c r="R375" s="167">
        <f t="shared" si="16"/>
        <v>146799.13131679999</v>
      </c>
      <c r="S375" s="648">
        <v>9.2918812845642211</v>
      </c>
      <c r="T375" s="648">
        <v>0.20591999999999999</v>
      </c>
      <c r="U375" s="648">
        <v>3.9710941902380593E-3</v>
      </c>
      <c r="V375" s="472">
        <v>1.7000000000000001E-2</v>
      </c>
      <c r="W375" s="472">
        <v>0.30310999999999999</v>
      </c>
      <c r="X375" s="155">
        <v>9.9570000000000007</v>
      </c>
      <c r="Y375" s="472">
        <v>10.85</v>
      </c>
      <c r="Z375" s="337">
        <v>0</v>
      </c>
      <c r="AA375">
        <v>0</v>
      </c>
      <c r="AB375" s="337">
        <v>0</v>
      </c>
      <c r="AC375" s="472">
        <v>0.22228703627667795</v>
      </c>
      <c r="AD375" s="472">
        <v>5.8672450849079842E-2</v>
      </c>
      <c r="AE375" s="472">
        <v>1.9816002500000001</v>
      </c>
      <c r="AF375" s="472">
        <v>14.163195496492961</v>
      </c>
      <c r="AG375" s="172">
        <f t="shared" si="17"/>
        <v>8.7444145248404705</v>
      </c>
      <c r="AH375" s="667">
        <f t="shared" si="19"/>
        <v>202404</v>
      </c>
      <c r="AJ375" t="s">
        <v>1540</v>
      </c>
    </row>
    <row r="376" spans="3:36" ht="15.75" hidden="1">
      <c r="C376" s="665">
        <v>45384</v>
      </c>
      <c r="D376" s="655">
        <v>339469</v>
      </c>
      <c r="E376" s="655">
        <v>24547</v>
      </c>
      <c r="F376" s="655">
        <v>26118</v>
      </c>
      <c r="G376" s="655">
        <v>3761</v>
      </c>
      <c r="H376" s="655">
        <v>2492</v>
      </c>
      <c r="I376" s="646">
        <v>170500</v>
      </c>
      <c r="J376" s="655">
        <v>171313</v>
      </c>
      <c r="K376" s="655">
        <v>48750.082759999998</v>
      </c>
      <c r="L376" s="655">
        <v>0</v>
      </c>
      <c r="M376" s="655">
        <v>403047</v>
      </c>
      <c r="N376" s="655">
        <v>6012</v>
      </c>
      <c r="O376" s="655">
        <v>4118</v>
      </c>
      <c r="P376" s="655">
        <v>158.691654</v>
      </c>
      <c r="Q376" s="337">
        <v>0</v>
      </c>
      <c r="R376" s="167">
        <f t="shared" si="16"/>
        <v>146455.23583430002</v>
      </c>
      <c r="S376" s="473">
        <v>8.9427348951003385</v>
      </c>
      <c r="T376" s="473">
        <v>0.235842</v>
      </c>
      <c r="U376" s="473">
        <v>3.943032221709373E-3</v>
      </c>
      <c r="V376" s="473">
        <v>1.7000000000000001E-2</v>
      </c>
      <c r="W376" s="473">
        <v>0.30358999999999997</v>
      </c>
      <c r="X376" s="155">
        <v>9.9570000000000007</v>
      </c>
      <c r="Y376" s="473">
        <v>10.62</v>
      </c>
      <c r="Z376" s="337">
        <v>0</v>
      </c>
      <c r="AA376" s="337">
        <v>0</v>
      </c>
      <c r="AB376" s="337">
        <v>0</v>
      </c>
      <c r="AC376" s="473">
        <v>0.19538605736421377</v>
      </c>
      <c r="AD376" s="473">
        <v>6.3004924294981973E-2</v>
      </c>
      <c r="AE376" s="473">
        <v>1.9957002500000001</v>
      </c>
      <c r="AF376" s="473">
        <v>14.267174859194613</v>
      </c>
      <c r="AG376" s="172">
        <f t="shared" si="17"/>
        <v>8.7078839132231565</v>
      </c>
      <c r="AH376" s="667">
        <f t="shared" si="19"/>
        <v>202404</v>
      </c>
      <c r="AJ376" t="s">
        <v>1543</v>
      </c>
    </row>
    <row r="377" spans="3:36" ht="15.75" hidden="1">
      <c r="C377" s="649">
        <v>45385</v>
      </c>
      <c r="D377" s="645">
        <v>344457</v>
      </c>
      <c r="E377" s="645">
        <v>24528</v>
      </c>
      <c r="F377" s="645">
        <v>26157</v>
      </c>
      <c r="G377" s="645">
        <v>3795</v>
      </c>
      <c r="H377" s="645">
        <v>2466</v>
      </c>
      <c r="I377" s="646">
        <v>170500</v>
      </c>
      <c r="J377" s="645">
        <v>171113</v>
      </c>
      <c r="K377" s="645">
        <v>48278.126709999997</v>
      </c>
      <c r="L377" s="645">
        <v>0</v>
      </c>
      <c r="M377" s="645">
        <v>350714</v>
      </c>
      <c r="N377" s="645">
        <v>8214</v>
      </c>
      <c r="O377" s="645">
        <v>3513</v>
      </c>
      <c r="P377" s="645">
        <v>138.75298799999999</v>
      </c>
      <c r="Q377" s="337">
        <v>0</v>
      </c>
      <c r="R377" s="167">
        <f t="shared" si="16"/>
        <v>144311.56722210001</v>
      </c>
      <c r="S377" s="648">
        <v>8.6734419377766212</v>
      </c>
      <c r="T377" s="648">
        <v>0.25862200000000002</v>
      </c>
      <c r="U377" s="648">
        <v>3.8720419542003755E-3</v>
      </c>
      <c r="V377" s="472">
        <v>1.7000000000000001E-2</v>
      </c>
      <c r="W377" s="472">
        <v>0.30220999999999998</v>
      </c>
      <c r="X377" s="155">
        <v>9.9570000000000007</v>
      </c>
      <c r="Y377" s="472">
        <v>10.39</v>
      </c>
      <c r="Z377" s="337">
        <v>0</v>
      </c>
      <c r="AA377" s="337">
        <v>0</v>
      </c>
      <c r="AB377" s="337">
        <v>0</v>
      </c>
      <c r="AC377" s="472">
        <v>0.22370287727207083</v>
      </c>
      <c r="AD377" s="472">
        <v>6.3288092494060547E-2</v>
      </c>
      <c r="AE377" s="472">
        <v>1.9951002499999999</v>
      </c>
      <c r="AF377" s="472">
        <v>14.359459375274319</v>
      </c>
      <c r="AG377" s="172">
        <f t="shared" si="17"/>
        <v>8.6652306379247683</v>
      </c>
      <c r="AH377" s="667">
        <f t="shared" si="19"/>
        <v>202404</v>
      </c>
      <c r="AJ377" t="s">
        <v>1544</v>
      </c>
    </row>
    <row r="378" spans="3:36" ht="15.75" hidden="1">
      <c r="C378" s="665">
        <v>45386</v>
      </c>
      <c r="D378" s="655">
        <v>349571</v>
      </c>
      <c r="E378" s="655">
        <v>24447</v>
      </c>
      <c r="F378" s="655">
        <v>26306</v>
      </c>
      <c r="G378" s="655">
        <v>3794</v>
      </c>
      <c r="H378" s="655">
        <v>2441</v>
      </c>
      <c r="I378" s="646">
        <v>170500</v>
      </c>
      <c r="J378" s="655">
        <v>171202</v>
      </c>
      <c r="K378" s="655">
        <v>51300.305690000001</v>
      </c>
      <c r="L378" s="655">
        <v>38240</v>
      </c>
      <c r="M378" s="655">
        <v>392070</v>
      </c>
      <c r="N378" s="655">
        <v>8652</v>
      </c>
      <c r="O378" s="655">
        <v>3817</v>
      </c>
      <c r="P378" s="655">
        <v>103.21561799999999</v>
      </c>
      <c r="Q378" s="337">
        <v>0</v>
      </c>
      <c r="R378" s="167">
        <f t="shared" si="16"/>
        <v>156298.74355059999</v>
      </c>
      <c r="S378" s="473">
        <v>8.9104537204053855</v>
      </c>
      <c r="T378" s="473">
        <v>0.25535099999999999</v>
      </c>
      <c r="U378" s="473">
        <v>3.7682041755982636E-3</v>
      </c>
      <c r="V378" s="473">
        <v>1.7000000000000001E-2</v>
      </c>
      <c r="W378" s="473">
        <v>0.29894999999999999</v>
      </c>
      <c r="X378" s="155">
        <v>9.9570000000000007</v>
      </c>
      <c r="Y378" s="473">
        <v>10.4</v>
      </c>
      <c r="Z378" s="337">
        <v>0</v>
      </c>
      <c r="AA378" s="337">
        <v>0</v>
      </c>
      <c r="AB378" s="337">
        <v>0</v>
      </c>
      <c r="AC378" s="473">
        <v>0.22710089566101366</v>
      </c>
      <c r="AD378" s="473">
        <v>5.4651462422164135E-2</v>
      </c>
      <c r="AE378" s="473">
        <v>1.9817002500000001</v>
      </c>
      <c r="AF378" s="473">
        <v>14.371748875114328</v>
      </c>
      <c r="AG378" s="172">
        <f t="shared" si="17"/>
        <v>8.662068098625296</v>
      </c>
      <c r="AH378" s="667">
        <f t="shared" si="19"/>
        <v>202404</v>
      </c>
      <c r="AJ378" t="s">
        <v>1545</v>
      </c>
    </row>
    <row r="379" spans="3:36" ht="15.75" hidden="1">
      <c r="C379" s="649">
        <v>45387</v>
      </c>
      <c r="D379" s="645">
        <v>330975</v>
      </c>
      <c r="E379" s="645">
        <v>20465</v>
      </c>
      <c r="F379" s="645">
        <v>26341</v>
      </c>
      <c r="G379" s="645">
        <v>3735</v>
      </c>
      <c r="H379" s="645">
        <v>2495</v>
      </c>
      <c r="I379" s="646">
        <v>170500</v>
      </c>
      <c r="J379" s="645">
        <v>172906</v>
      </c>
      <c r="K379" s="645">
        <v>51239.574800000002</v>
      </c>
      <c r="L379" s="645">
        <v>45625</v>
      </c>
      <c r="M379" s="645">
        <v>401137</v>
      </c>
      <c r="N379" s="645">
        <v>8611</v>
      </c>
      <c r="O379" s="645">
        <v>3476</v>
      </c>
      <c r="P379" s="645">
        <v>114.663054</v>
      </c>
      <c r="Q379" s="337">
        <v>0</v>
      </c>
      <c r="R379" s="167">
        <f t="shared" si="16"/>
        <v>157279.44582429997</v>
      </c>
      <c r="S379" s="648">
        <v>9.0288180276202255</v>
      </c>
      <c r="T379" s="648">
        <v>0.15298100000000001</v>
      </c>
      <c r="U379" s="648">
        <v>3.9167258960149743E-3</v>
      </c>
      <c r="V379" s="472">
        <v>1.7000000000000001E-2</v>
      </c>
      <c r="W379" s="472">
        <v>0.30087000000000003</v>
      </c>
      <c r="X379" s="155">
        <v>9.9570000000000007</v>
      </c>
      <c r="Y379" s="472">
        <v>10.44</v>
      </c>
      <c r="Z379" s="337">
        <v>0</v>
      </c>
      <c r="AA379" s="337">
        <v>0</v>
      </c>
      <c r="AB379" s="337">
        <v>0</v>
      </c>
      <c r="AC379" s="472">
        <v>0.22936624125364222</v>
      </c>
      <c r="AD379" s="472">
        <v>6.1079380541247695E-2</v>
      </c>
      <c r="AE379" s="472">
        <v>1.89310025</v>
      </c>
      <c r="AF379" s="472">
        <v>14.371040954616632</v>
      </c>
      <c r="AG379" s="172">
        <f t="shared" si="17"/>
        <v>8.6124163881044655</v>
      </c>
      <c r="AH379" s="667">
        <f t="shared" si="19"/>
        <v>202404</v>
      </c>
    </row>
    <row r="380" spans="3:36" ht="15.75" hidden="1">
      <c r="C380" s="665">
        <v>45388</v>
      </c>
      <c r="D380" s="655">
        <v>337758</v>
      </c>
      <c r="E380" s="655">
        <v>16579</v>
      </c>
      <c r="F380" s="655">
        <v>26288</v>
      </c>
      <c r="G380" s="655">
        <v>3793</v>
      </c>
      <c r="H380" s="655">
        <v>2598</v>
      </c>
      <c r="I380" s="646">
        <v>170500</v>
      </c>
      <c r="J380" s="655">
        <v>172898</v>
      </c>
      <c r="K380" s="669">
        <v>50847.77</v>
      </c>
      <c r="L380" s="655">
        <v>158</v>
      </c>
      <c r="M380" s="655">
        <v>384413</v>
      </c>
      <c r="N380" s="655">
        <v>8610</v>
      </c>
      <c r="O380" s="655">
        <v>3075</v>
      </c>
      <c r="P380" s="655">
        <v>151.77287399999997</v>
      </c>
      <c r="Q380" s="337">
        <v>0</v>
      </c>
      <c r="R380" s="167">
        <f t="shared" si="16"/>
        <v>144600.09759330002</v>
      </c>
      <c r="S380" s="473">
        <v>8.8280517744735185</v>
      </c>
      <c r="T380" s="473">
        <v>0.16880300000000001</v>
      </c>
      <c r="U380" s="473">
        <v>3.9358680662726847E-3</v>
      </c>
      <c r="V380" s="473">
        <v>1.7000000000000001E-2</v>
      </c>
      <c r="W380" s="473">
        <v>0.30831999999999998</v>
      </c>
      <c r="X380" s="155">
        <v>9.9570000000000007</v>
      </c>
      <c r="Y380" s="473">
        <v>10.37</v>
      </c>
      <c r="Z380" s="337">
        <v>0</v>
      </c>
      <c r="AA380" s="337">
        <v>0</v>
      </c>
      <c r="AB380" s="337">
        <v>0</v>
      </c>
      <c r="AC380" s="473">
        <v>0.22200386807759939</v>
      </c>
      <c r="AD380" s="473">
        <v>5.7568094872673413E-2</v>
      </c>
      <c r="AE380" s="473">
        <v>1.99430025</v>
      </c>
      <c r="AF380" s="473">
        <v>14.354730466349706</v>
      </c>
      <c r="AG380" s="172">
        <f t="shared" si="17"/>
        <v>8.6418668688537856</v>
      </c>
      <c r="AH380" s="667">
        <f t="shared" si="19"/>
        <v>202404</v>
      </c>
    </row>
    <row r="381" spans="3:36" ht="15.75" hidden="1">
      <c r="C381" s="649">
        <v>45389</v>
      </c>
      <c r="D381" s="645">
        <v>334123</v>
      </c>
      <c r="E381" s="645">
        <v>8994</v>
      </c>
      <c r="F381" s="645">
        <v>26252</v>
      </c>
      <c r="G381" s="645">
        <v>3804</v>
      </c>
      <c r="H381" s="645">
        <v>2446</v>
      </c>
      <c r="I381" s="646">
        <v>170500</v>
      </c>
      <c r="J381" s="645">
        <v>173092</v>
      </c>
      <c r="K381" s="645">
        <v>51036.69</v>
      </c>
      <c r="L381" s="645">
        <v>26365</v>
      </c>
      <c r="M381" s="645">
        <v>403394</v>
      </c>
      <c r="N381" s="645">
        <v>8662</v>
      </c>
      <c r="O381" s="645">
        <v>3620</v>
      </c>
      <c r="P381" s="645">
        <v>93.026141999999993</v>
      </c>
      <c r="Q381" s="337">
        <v>0</v>
      </c>
      <c r="R381" s="167">
        <f t="shared" si="16"/>
        <v>149673.1118139</v>
      </c>
      <c r="S381" s="648">
        <v>8.8427765208256073</v>
      </c>
      <c r="T381" s="648">
        <v>0.103715</v>
      </c>
      <c r="U381" s="648">
        <v>4.0133712023604894E-3</v>
      </c>
      <c r="V381" s="472">
        <v>1.7000000000000001E-2</v>
      </c>
      <c r="W381" s="472">
        <v>0.30763000000000001</v>
      </c>
      <c r="X381" s="155">
        <v>9.9570000000000007</v>
      </c>
      <c r="Y381" s="472">
        <v>10.49</v>
      </c>
      <c r="Z381" s="337">
        <v>0</v>
      </c>
      <c r="AA381" s="337">
        <v>0</v>
      </c>
      <c r="AB381" s="337">
        <v>0</v>
      </c>
      <c r="AC381" s="472">
        <v>0.21719000869326369</v>
      </c>
      <c r="AD381" s="472">
        <v>5.9805123645394129E-2</v>
      </c>
      <c r="AE381" s="472">
        <v>1.98640025</v>
      </c>
      <c r="AF381" s="472">
        <v>14.345527499879653</v>
      </c>
      <c r="AG381" s="172">
        <f t="shared" si="17"/>
        <v>8.6504432853666806</v>
      </c>
      <c r="AH381" s="667">
        <f t="shared" si="19"/>
        <v>202404</v>
      </c>
      <c r="AJ381" t="s">
        <v>1546</v>
      </c>
    </row>
    <row r="382" spans="3:36" ht="15.75" hidden="1">
      <c r="C382" s="665">
        <v>45390</v>
      </c>
      <c r="D382" s="655">
        <v>334555</v>
      </c>
      <c r="E382" s="655">
        <v>7673</v>
      </c>
      <c r="F382" s="655">
        <v>26273</v>
      </c>
      <c r="G382" s="655">
        <v>3839</v>
      </c>
      <c r="H382" s="655">
        <v>2425</v>
      </c>
      <c r="I382" s="646">
        <v>170500</v>
      </c>
      <c r="J382" s="655">
        <v>174885</v>
      </c>
      <c r="K382" s="655">
        <v>51335.28</v>
      </c>
      <c r="L382" s="655">
        <v>26695</v>
      </c>
      <c r="M382" s="655">
        <v>411381</v>
      </c>
      <c r="N382" s="655">
        <v>8651</v>
      </c>
      <c r="O382" s="655">
        <v>4130</v>
      </c>
      <c r="P382" s="655">
        <v>172.151826</v>
      </c>
      <c r="Q382" s="337">
        <v>0</v>
      </c>
      <c r="R382" s="167">
        <f t="shared" si="16"/>
        <v>150515.93757169999</v>
      </c>
      <c r="S382" s="473">
        <v>8.7818953580237142</v>
      </c>
      <c r="T382" s="473">
        <v>2.759E-2</v>
      </c>
      <c r="U382" s="473">
        <v>3.9592011258767594E-3</v>
      </c>
      <c r="V382" s="473">
        <v>1.7000000000000001E-2</v>
      </c>
      <c r="W382" s="473">
        <v>0.30674000000000001</v>
      </c>
      <c r="X382" s="155">
        <v>9.9570000000000007</v>
      </c>
      <c r="Y382" s="473">
        <v>10.45</v>
      </c>
      <c r="Z382" s="337">
        <v>0</v>
      </c>
      <c r="AA382" s="337">
        <v>0</v>
      </c>
      <c r="AB382" s="337">
        <v>0</v>
      </c>
      <c r="AC382" s="473">
        <v>0.22172069987852083</v>
      </c>
      <c r="AD382" s="473">
        <v>5.8417599469909133E-2</v>
      </c>
      <c r="AE382" s="473">
        <v>1.9848002499999999</v>
      </c>
      <c r="AF382" s="473">
        <v>14.377553823195438</v>
      </c>
      <c r="AG382" s="172">
        <f t="shared" si="17"/>
        <v>8.6218231027762862</v>
      </c>
      <c r="AH382" s="667">
        <f t="shared" si="19"/>
        <v>202404</v>
      </c>
      <c r="AJ382" t="s">
        <v>1548</v>
      </c>
    </row>
    <row r="383" spans="3:36" ht="15.75" hidden="1">
      <c r="C383" s="649">
        <v>45391</v>
      </c>
      <c r="D383" s="645">
        <v>334583</v>
      </c>
      <c r="E383" s="645">
        <v>0</v>
      </c>
      <c r="F383" s="645">
        <v>20103</v>
      </c>
      <c r="G383" s="645">
        <v>3794</v>
      </c>
      <c r="H383" s="645">
        <v>2475</v>
      </c>
      <c r="I383" s="646">
        <v>170500</v>
      </c>
      <c r="J383" s="645">
        <v>175629</v>
      </c>
      <c r="K383" s="645">
        <v>51254.22</v>
      </c>
      <c r="L383" s="645">
        <v>0</v>
      </c>
      <c r="M383" s="645">
        <v>411530</v>
      </c>
      <c r="N383" s="645">
        <v>8645</v>
      </c>
      <c r="O383" s="645">
        <v>4423</v>
      </c>
      <c r="P383" s="645">
        <v>98.62406399999999</v>
      </c>
      <c r="Q383" s="337">
        <v>0</v>
      </c>
      <c r="R383" s="167">
        <f t="shared" si="16"/>
        <v>137975.79312880003</v>
      </c>
      <c r="S383" s="648">
        <v>8.6408775948825802</v>
      </c>
      <c r="T383" s="648">
        <v>2.1329999999999999E-3</v>
      </c>
      <c r="U383" s="648">
        <v>3.4261369911113499E-3</v>
      </c>
      <c r="V383" s="472">
        <v>1.7000000000000001E-2</v>
      </c>
      <c r="W383" s="472">
        <v>0.30828</v>
      </c>
      <c r="X383" s="155">
        <v>9.9570000000000007</v>
      </c>
      <c r="Y383" s="472">
        <v>10.36</v>
      </c>
      <c r="Z383" s="337">
        <v>0</v>
      </c>
      <c r="AA383" s="337"/>
      <c r="AB383" s="337">
        <v>0</v>
      </c>
      <c r="AC383" s="472">
        <v>0.22200386807759939</v>
      </c>
      <c r="AD383" s="472">
        <v>5.9521955446315548E-2</v>
      </c>
      <c r="AE383" s="472">
        <v>1.97850025</v>
      </c>
      <c r="AF383" s="472">
        <v>14.236337842314956</v>
      </c>
      <c r="AG383" s="172">
        <f t="shared" si="17"/>
        <v>8.5630902316961706</v>
      </c>
      <c r="AH383" s="667">
        <f t="shared" si="19"/>
        <v>202404</v>
      </c>
      <c r="AJ383" t="s">
        <v>1549</v>
      </c>
    </row>
    <row r="384" spans="3:36" ht="15.75" hidden="1">
      <c r="C384" s="665">
        <v>45392</v>
      </c>
      <c r="D384" s="655">
        <v>336157</v>
      </c>
      <c r="E384" s="655">
        <v>5340</v>
      </c>
      <c r="F384" s="655">
        <v>20693</v>
      </c>
      <c r="G384" s="655">
        <v>3886</v>
      </c>
      <c r="H384" s="655">
        <v>2520</v>
      </c>
      <c r="I384" s="646">
        <v>170500</v>
      </c>
      <c r="J384" s="655">
        <v>175748</v>
      </c>
      <c r="K384" s="655">
        <v>52341.82</v>
      </c>
      <c r="L384" s="655">
        <v>0</v>
      </c>
      <c r="M384" s="655">
        <v>406612</v>
      </c>
      <c r="N384" s="655">
        <v>8687</v>
      </c>
      <c r="O384" s="655">
        <v>2756</v>
      </c>
      <c r="P384" s="655">
        <v>107.55558000000001</v>
      </c>
      <c r="Q384" s="337">
        <v>0</v>
      </c>
      <c r="R384" s="167">
        <f t="shared" si="16"/>
        <v>139405.91171099999</v>
      </c>
      <c r="S384" s="473">
        <v>8.698360739295536</v>
      </c>
      <c r="T384" s="473">
        <v>2.957E-3</v>
      </c>
      <c r="U384" s="473">
        <v>3.4547086623983778E-3</v>
      </c>
      <c r="V384" s="473">
        <v>1.7000000000000001E-2</v>
      </c>
      <c r="W384" s="473">
        <v>0.30564999999999998</v>
      </c>
      <c r="X384" s="155">
        <v>9.9570000000000007</v>
      </c>
      <c r="Y384" s="473">
        <v>10.36</v>
      </c>
      <c r="Z384" s="337">
        <v>0</v>
      </c>
      <c r="AA384" s="337"/>
      <c r="AB384" s="337">
        <v>0</v>
      </c>
      <c r="AC384" s="473">
        <v>0.21180981291077086</v>
      </c>
      <c r="AD384" s="473">
        <v>5.8389282650001269E-2</v>
      </c>
      <c r="AE384" s="473">
        <v>1.97830025</v>
      </c>
      <c r="AF384" s="473">
        <v>14.316785927673179</v>
      </c>
      <c r="AG384" s="172">
        <f t="shared" si="17"/>
        <v>8.5740423318260319</v>
      </c>
      <c r="AH384" s="667">
        <f t="shared" si="19"/>
        <v>202404</v>
      </c>
    </row>
    <row r="385" spans="3:36" ht="15.75" hidden="1">
      <c r="C385" s="649">
        <v>45393</v>
      </c>
      <c r="D385" s="645">
        <v>346082</v>
      </c>
      <c r="E385" s="645">
        <v>10553</v>
      </c>
      <c r="F385" s="645">
        <v>24791</v>
      </c>
      <c r="G385" s="645">
        <v>3834</v>
      </c>
      <c r="H385" s="645">
        <v>2585</v>
      </c>
      <c r="I385" s="646">
        <v>170500</v>
      </c>
      <c r="J385" s="645">
        <v>176700</v>
      </c>
      <c r="K385" s="645">
        <v>51600.46</v>
      </c>
      <c r="L385" s="645">
        <v>0</v>
      </c>
      <c r="M385" s="645">
        <v>406861</v>
      </c>
      <c r="N385" s="645">
        <v>8315</v>
      </c>
      <c r="O385" s="645">
        <v>3441</v>
      </c>
      <c r="P385" s="645">
        <v>130.38755399999999</v>
      </c>
      <c r="Q385" s="337">
        <v>0</v>
      </c>
      <c r="R385" s="167">
        <f t="shared" si="16"/>
        <v>144265.78359929999</v>
      </c>
      <c r="S385" s="648">
        <v>8.7498973515278369</v>
      </c>
      <c r="T385" s="648">
        <v>4.3834999999999999E-2</v>
      </c>
      <c r="U385" s="648">
        <v>3.7469382438474626E-3</v>
      </c>
      <c r="V385" s="472">
        <v>1.7000000000000001E-2</v>
      </c>
      <c r="W385" s="472">
        <v>0.30760999999999999</v>
      </c>
      <c r="X385" s="155">
        <v>9.9570000000000007</v>
      </c>
      <c r="Y385" s="472">
        <v>10.55</v>
      </c>
      <c r="Z385" s="337">
        <v>0</v>
      </c>
      <c r="AA385" s="337"/>
      <c r="AB385" s="337">
        <v>0</v>
      </c>
      <c r="AC385" s="472">
        <v>0.21888901788773513</v>
      </c>
      <c r="AD385" s="472">
        <v>5.9238787247236982E-2</v>
      </c>
      <c r="AE385" s="472">
        <v>1.98050025</v>
      </c>
      <c r="AF385" s="472">
        <v>14.30843246580036</v>
      </c>
      <c r="AG385" s="172">
        <f t="shared" si="17"/>
        <v>8.6385228741435949</v>
      </c>
      <c r="AH385" s="667">
        <f t="shared" si="19"/>
        <v>202404</v>
      </c>
      <c r="AJ385" t="s">
        <v>1550</v>
      </c>
    </row>
    <row r="386" spans="3:36" ht="15.75" hidden="1">
      <c r="C386" s="665">
        <v>45394</v>
      </c>
      <c r="D386" s="655">
        <v>349449</v>
      </c>
      <c r="E386" s="655">
        <v>3189</v>
      </c>
      <c r="F386" s="655">
        <v>29691</v>
      </c>
      <c r="G386" s="655">
        <v>3814</v>
      </c>
      <c r="H386" s="655">
        <v>2612</v>
      </c>
      <c r="I386" s="646">
        <v>170500</v>
      </c>
      <c r="J386" s="655">
        <v>164536</v>
      </c>
      <c r="K386" s="655">
        <v>51033.13</v>
      </c>
      <c r="L386" s="655">
        <v>43051</v>
      </c>
      <c r="M386" s="655">
        <v>408450</v>
      </c>
      <c r="N386" s="655">
        <v>8694</v>
      </c>
      <c r="O386" s="655">
        <v>4641</v>
      </c>
      <c r="P386" s="655">
        <v>99.001452</v>
      </c>
      <c r="Q386" s="337">
        <v>0</v>
      </c>
      <c r="R386" s="167">
        <f t="shared" si="16"/>
        <v>153454.98880339999</v>
      </c>
      <c r="S386" s="473">
        <v>8.7453666603425741</v>
      </c>
      <c r="T386" s="473">
        <v>5.2230000000000002E-3</v>
      </c>
      <c r="U386" s="473">
        <v>3.9402005397185871E-3</v>
      </c>
      <c r="V386" s="473">
        <v>1.7000000000000001E-2</v>
      </c>
      <c r="W386" s="473">
        <v>0.30754999999999999</v>
      </c>
      <c r="X386" s="155">
        <v>9.9570000000000007</v>
      </c>
      <c r="Y386" s="473">
        <v>10.29</v>
      </c>
      <c r="Z386" s="337">
        <v>0</v>
      </c>
      <c r="AA386" s="337">
        <v>0</v>
      </c>
      <c r="AB386" s="337">
        <v>0</v>
      </c>
      <c r="AC386" s="473">
        <v>0.21577416769787086</v>
      </c>
      <c r="AD386" s="473">
        <v>6.3288092494060547E-2</v>
      </c>
      <c r="AE386" s="473">
        <v>1.9991002499999999</v>
      </c>
      <c r="AF386" s="473">
        <v>14.299201182510398</v>
      </c>
      <c r="AG386" s="172">
        <f t="shared" si="17"/>
        <v>8.5685460292028743</v>
      </c>
      <c r="AH386" s="667">
        <f t="shared" si="19"/>
        <v>202404</v>
      </c>
    </row>
    <row r="387" spans="3:36" ht="15.75" hidden="1">
      <c r="C387" s="649">
        <v>45395</v>
      </c>
      <c r="D387" s="645">
        <v>351467</v>
      </c>
      <c r="E387" s="645">
        <v>101</v>
      </c>
      <c r="F387" s="645">
        <v>29686</v>
      </c>
      <c r="G387" s="645">
        <v>3902</v>
      </c>
      <c r="H387" s="645">
        <v>2661</v>
      </c>
      <c r="I387" s="646">
        <v>170500</v>
      </c>
      <c r="J387" s="645">
        <v>175621</v>
      </c>
      <c r="K387" s="645">
        <v>51534.21</v>
      </c>
      <c r="L387" s="645">
        <v>21386</v>
      </c>
      <c r="M387" s="645">
        <v>402768</v>
      </c>
      <c r="N387" s="645">
        <v>8713</v>
      </c>
      <c r="O387" s="645">
        <v>2748</v>
      </c>
      <c r="P387" s="645">
        <v>175.61121600000001</v>
      </c>
      <c r="Q387" s="337">
        <v>0</v>
      </c>
      <c r="R387" s="167">
        <f t="shared" si="16"/>
        <v>149590.11774720001</v>
      </c>
      <c r="S387" s="648">
        <v>8.8136101963205089</v>
      </c>
      <c r="T387" s="648">
        <v>2.9151E-2</v>
      </c>
      <c r="U387" s="648">
        <v>3.9921335874295973E-3</v>
      </c>
      <c r="V387" s="472">
        <v>1.7000000000000001E-2</v>
      </c>
      <c r="W387" s="472">
        <v>0.30898999999999999</v>
      </c>
      <c r="X387" s="155">
        <v>9.9570000000000007</v>
      </c>
      <c r="Y387" s="334">
        <v>10.26</v>
      </c>
      <c r="Z387" s="337">
        <v>0</v>
      </c>
      <c r="AA387" s="337">
        <v>0</v>
      </c>
      <c r="AB387" s="337">
        <v>0</v>
      </c>
      <c r="AC387" s="472">
        <v>0.22200386807759939</v>
      </c>
      <c r="AD387" s="472">
        <v>5.9521955446315548E-2</v>
      </c>
      <c r="AE387" s="472">
        <v>2.0059002499999998</v>
      </c>
      <c r="AF387" s="472">
        <v>14.175230144953801</v>
      </c>
      <c r="AG387" s="172">
        <f t="shared" si="17"/>
        <v>8.5514231038554129</v>
      </c>
      <c r="AH387" s="667">
        <f t="shared" si="19"/>
        <v>202404</v>
      </c>
    </row>
    <row r="388" spans="3:36" ht="15.75" hidden="1">
      <c r="C388" s="665">
        <v>45396</v>
      </c>
      <c r="D388" s="655">
        <v>353093</v>
      </c>
      <c r="E388" s="655">
        <v>38</v>
      </c>
      <c r="F388" s="655">
        <v>29651</v>
      </c>
      <c r="G388" s="655">
        <v>3934</v>
      </c>
      <c r="H388" s="655">
        <v>2654</v>
      </c>
      <c r="I388" s="646">
        <v>170500</v>
      </c>
      <c r="J388" s="655">
        <v>177846</v>
      </c>
      <c r="K388" s="655">
        <v>52987.62</v>
      </c>
      <c r="L388" s="655">
        <v>0</v>
      </c>
      <c r="M388" s="655">
        <v>396950</v>
      </c>
      <c r="N388" s="655">
        <v>8631</v>
      </c>
      <c r="O388" s="655">
        <v>3874</v>
      </c>
      <c r="P388" s="655">
        <v>113.21639999999999</v>
      </c>
      <c r="Q388" s="337">
        <v>0</v>
      </c>
      <c r="R388" s="167">
        <f t="shared" si="16"/>
        <v>145558.23068000001</v>
      </c>
      <c r="S388" s="473">
        <v>8.7940715905840925</v>
      </c>
      <c r="T388" s="473">
        <v>4.0724999999999997E-2</v>
      </c>
      <c r="U388" s="473">
        <v>4.148130948301982E-3</v>
      </c>
      <c r="V388" s="473">
        <v>1.7000000000000001E-2</v>
      </c>
      <c r="W388" s="473">
        <v>0.30870999999999998</v>
      </c>
      <c r="X388" s="155">
        <v>9.9570000000000007</v>
      </c>
      <c r="Y388" s="473">
        <v>10.32</v>
      </c>
      <c r="Z388" s="337">
        <v>0</v>
      </c>
      <c r="AA388" s="337">
        <v>0</v>
      </c>
      <c r="AB388" s="337">
        <v>0</v>
      </c>
      <c r="AC388" s="473">
        <v>0.22653455926285654</v>
      </c>
      <c r="AD388" s="473">
        <v>5.8672450849079842E-2</v>
      </c>
      <c r="AE388" s="473">
        <v>2.0202002499999998</v>
      </c>
      <c r="AF388" s="473">
        <v>14.130149767660493</v>
      </c>
      <c r="AG388" s="172">
        <f t="shared" si="17"/>
        <v>8.5684558502671351</v>
      </c>
      <c r="AH388" s="667">
        <f t="shared" si="19"/>
        <v>202404</v>
      </c>
      <c r="AJ388" t="s">
        <v>1551</v>
      </c>
    </row>
    <row r="389" spans="3:36" ht="15.75" hidden="1">
      <c r="C389" s="649">
        <v>45397</v>
      </c>
      <c r="D389" s="645">
        <v>349141</v>
      </c>
      <c r="E389" s="645">
        <v>3239</v>
      </c>
      <c r="F389" s="645">
        <v>29699</v>
      </c>
      <c r="G389" s="645">
        <v>3949</v>
      </c>
      <c r="H389" s="645">
        <v>2645</v>
      </c>
      <c r="I389" s="646">
        <v>162800</v>
      </c>
      <c r="J389" s="645">
        <v>177965</v>
      </c>
      <c r="K389" s="645">
        <v>52159.73</v>
      </c>
      <c r="L389" s="645">
        <v>0</v>
      </c>
      <c r="M389" s="645">
        <v>401862</v>
      </c>
      <c r="N389" s="645">
        <v>8612</v>
      </c>
      <c r="O389" s="645">
        <v>3713</v>
      </c>
      <c r="P389" s="645">
        <v>79.440173999999999</v>
      </c>
      <c r="Q389" s="337">
        <v>0</v>
      </c>
      <c r="R389" s="167">
        <f t="shared" si="16"/>
        <v>144762.06767830002</v>
      </c>
      <c r="S389" s="648">
        <v>9.1369882796682393</v>
      </c>
      <c r="T389" s="648">
        <v>5.8379E-2</v>
      </c>
      <c r="U389" s="648">
        <v>4.5128232718952728E-3</v>
      </c>
      <c r="V389" s="472">
        <v>1.7000000000000001E-2</v>
      </c>
      <c r="W389" s="472">
        <v>0.30360000000000004</v>
      </c>
      <c r="X389" s="155">
        <v>9.9570000000000007</v>
      </c>
      <c r="Y389" s="674">
        <v>10.52</v>
      </c>
      <c r="Z389" s="337">
        <v>0</v>
      </c>
      <c r="AA389" s="337"/>
      <c r="AB389" s="337">
        <v>0</v>
      </c>
      <c r="AC389" s="472">
        <v>0.22228703627667795</v>
      </c>
      <c r="AD389" s="472">
        <v>5.9238787247236982E-2</v>
      </c>
      <c r="AE389" s="472">
        <v>2.0193002500000001</v>
      </c>
      <c r="AF389" s="472">
        <v>14.123353730882606</v>
      </c>
      <c r="AG389" s="172">
        <f t="shared" si="17"/>
        <v>8.6264880711900354</v>
      </c>
      <c r="AH389" s="667">
        <f t="shared" si="19"/>
        <v>202404</v>
      </c>
      <c r="AJ389" t="s">
        <v>596</v>
      </c>
    </row>
    <row r="390" spans="3:36" ht="15.75" hidden="1">
      <c r="C390" s="665">
        <v>45398</v>
      </c>
      <c r="D390" s="655">
        <v>349690</v>
      </c>
      <c r="E390" s="655">
        <v>23333</v>
      </c>
      <c r="F390" s="655">
        <v>29774</v>
      </c>
      <c r="G390" s="655">
        <v>4002</v>
      </c>
      <c r="H390" s="655">
        <v>2561</v>
      </c>
      <c r="I390" s="646">
        <v>162800</v>
      </c>
      <c r="J390" s="655">
        <v>175510</v>
      </c>
      <c r="K390" s="655">
        <v>49043.74</v>
      </c>
      <c r="L390" s="655">
        <v>0</v>
      </c>
      <c r="M390" s="655">
        <v>399920</v>
      </c>
      <c r="N390" s="655">
        <v>8499</v>
      </c>
      <c r="O390" s="655">
        <v>4081.0000000000005</v>
      </c>
      <c r="P390" s="655">
        <v>201.21070199999997</v>
      </c>
      <c r="Q390" s="337">
        <v>0</v>
      </c>
      <c r="R390" s="167">
        <f t="shared" si="16"/>
        <v>148889.71881590001</v>
      </c>
      <c r="S390" s="473">
        <v>8.9891744797492272</v>
      </c>
      <c r="T390" s="473">
        <v>0.15385499999999999</v>
      </c>
      <c r="U390" s="473">
        <v>4.6429673761917839E-3</v>
      </c>
      <c r="V390" s="473">
        <v>1.7000000000000001E-2</v>
      </c>
      <c r="W390" s="473">
        <v>0.30249999999999999</v>
      </c>
      <c r="X390" s="155">
        <v>9.9570000000000007</v>
      </c>
      <c r="Y390" s="473">
        <v>10.45</v>
      </c>
      <c r="Z390" s="337">
        <v>0</v>
      </c>
      <c r="AA390" s="337">
        <v>0</v>
      </c>
      <c r="AB390" s="337">
        <v>0</v>
      </c>
      <c r="AC390" s="473">
        <v>0.26278008874491354</v>
      </c>
      <c r="AD390" s="473">
        <v>6.2353637437101261E-2</v>
      </c>
      <c r="AE390" s="473">
        <v>2.03900025</v>
      </c>
      <c r="AF390" s="473">
        <v>14.051259107397202</v>
      </c>
      <c r="AG390" s="172">
        <f t="shared" si="17"/>
        <v>8.6319522831398459</v>
      </c>
      <c r="AH390" s="667">
        <f t="shared" si="19"/>
        <v>202404</v>
      </c>
    </row>
    <row r="391" spans="3:36" ht="15.75" hidden="1">
      <c r="C391" s="649">
        <v>45399</v>
      </c>
      <c r="D391" s="645">
        <v>354195</v>
      </c>
      <c r="E391" s="645">
        <v>19289</v>
      </c>
      <c r="F391" s="645">
        <v>29357</v>
      </c>
      <c r="G391" s="645">
        <v>4001</v>
      </c>
      <c r="H391" s="645">
        <v>2571</v>
      </c>
      <c r="I391" s="646">
        <v>162800</v>
      </c>
      <c r="J391" s="645">
        <v>174148</v>
      </c>
      <c r="K391" s="645">
        <v>51626.95</v>
      </c>
      <c r="L391" s="645">
        <v>9453</v>
      </c>
      <c r="M391" s="645">
        <v>417131</v>
      </c>
      <c r="N391" s="645">
        <v>8530</v>
      </c>
      <c r="O391" s="645">
        <v>3612</v>
      </c>
      <c r="P391" s="645">
        <v>109.75700999999999</v>
      </c>
      <c r="Q391" s="337">
        <v>0</v>
      </c>
      <c r="R391" s="167">
        <f t="shared" si="16"/>
        <v>150654.81890449996</v>
      </c>
      <c r="S391" s="648">
        <v>9.0509051471483541</v>
      </c>
      <c r="T391" s="648">
        <v>0.193271</v>
      </c>
      <c r="U391" s="648">
        <v>4.5765644335078589E-3</v>
      </c>
      <c r="V391" s="472">
        <v>1.7000000000000001E-2</v>
      </c>
      <c r="W391" s="472">
        <v>0.32377999999999996</v>
      </c>
      <c r="X391" s="155">
        <v>9.9570000000000007</v>
      </c>
      <c r="Y391" s="674">
        <v>10.18</v>
      </c>
      <c r="AA391" s="337">
        <v>0</v>
      </c>
      <c r="AB391" s="337">
        <v>0</v>
      </c>
      <c r="AC391" s="472">
        <v>0.23446326883705648</v>
      </c>
      <c r="AD391" s="472">
        <v>6.2183736517654124E-2</v>
      </c>
      <c r="AE391" s="472">
        <v>2.04700025</v>
      </c>
      <c r="AF391" s="472">
        <v>13.956624295265144</v>
      </c>
      <c r="AG391" s="172">
        <f t="shared" si="17"/>
        <v>8.5793833708767941</v>
      </c>
      <c r="AH391" s="667">
        <f t="shared" si="19"/>
        <v>202404</v>
      </c>
      <c r="AJ391" t="s">
        <v>1552</v>
      </c>
    </row>
    <row r="392" spans="3:36" ht="15.75" hidden="1">
      <c r="C392" s="665">
        <v>45400</v>
      </c>
      <c r="D392" s="655">
        <v>350355</v>
      </c>
      <c r="E392" s="655">
        <v>21969</v>
      </c>
      <c r="F392" s="655">
        <v>30237</v>
      </c>
      <c r="G392" s="655">
        <v>3922</v>
      </c>
      <c r="H392" s="655">
        <v>2595</v>
      </c>
      <c r="I392" s="646">
        <v>162800</v>
      </c>
      <c r="J392" s="655">
        <v>176231</v>
      </c>
      <c r="K392" s="655">
        <v>51039.18</v>
      </c>
      <c r="L392" s="655">
        <v>45584</v>
      </c>
      <c r="M392" s="655">
        <v>405540</v>
      </c>
      <c r="N392" s="655">
        <v>8513</v>
      </c>
      <c r="O392" s="655">
        <v>3946</v>
      </c>
      <c r="P392" s="655">
        <v>205.04748000000001</v>
      </c>
      <c r="Q392" s="337">
        <v>0</v>
      </c>
      <c r="R392" s="167">
        <f t="shared" si="16"/>
        <v>160712.42686599999</v>
      </c>
      <c r="S392" s="473">
        <v>8.7926557495886968</v>
      </c>
      <c r="T392" s="473">
        <v>0.214424</v>
      </c>
      <c r="U392" s="473">
        <v>4.2654758500001409E-3</v>
      </c>
      <c r="V392" s="473">
        <v>1.7000000000000001E-2</v>
      </c>
      <c r="W392" s="473">
        <v>0.33565</v>
      </c>
      <c r="X392" s="155">
        <v>9.9570000000000007</v>
      </c>
      <c r="Y392" s="473">
        <v>10.27</v>
      </c>
      <c r="Z392" s="337">
        <v>0</v>
      </c>
      <c r="AA392" s="337">
        <v>0</v>
      </c>
      <c r="AB392" s="337">
        <v>0</v>
      </c>
      <c r="AC392" s="473">
        <v>0.22257020447575654</v>
      </c>
      <c r="AD392" s="473">
        <v>6.357126069313912E-2</v>
      </c>
      <c r="AE392" s="473">
        <v>2.0372002500000002</v>
      </c>
      <c r="AF392" s="473">
        <v>14.172398462963015</v>
      </c>
      <c r="AG392" s="172">
        <f t="shared" si="17"/>
        <v>8.6456997388838008</v>
      </c>
      <c r="AH392" s="667">
        <f t="shared" si="19"/>
        <v>202404</v>
      </c>
      <c r="AJ392" t="s">
        <v>1553</v>
      </c>
    </row>
    <row r="393" spans="3:36" ht="15.75" hidden="1">
      <c r="C393" s="649">
        <v>45401</v>
      </c>
      <c r="D393" s="645">
        <v>361908</v>
      </c>
      <c r="E393" s="645">
        <v>27478</v>
      </c>
      <c r="F393" s="645">
        <v>30955</v>
      </c>
      <c r="G393" s="645">
        <v>3904</v>
      </c>
      <c r="H393" s="645">
        <v>2613</v>
      </c>
      <c r="I393" s="646">
        <v>162800</v>
      </c>
      <c r="J393" s="645">
        <v>172385</v>
      </c>
      <c r="K393" s="645">
        <v>54274.63</v>
      </c>
      <c r="L393" s="645">
        <v>28441</v>
      </c>
      <c r="M393" s="645">
        <v>410670</v>
      </c>
      <c r="N393" s="645">
        <v>8556</v>
      </c>
      <c r="O393" s="645">
        <v>3117</v>
      </c>
      <c r="P393" s="645">
        <v>89.692547999999988</v>
      </c>
      <c r="Q393" s="337">
        <v>0</v>
      </c>
      <c r="R393" s="167">
        <f t="shared" ref="R393:R456" si="20" xml:space="preserve"> IF(C393&lt; DATE(2024, 11, 1), D393 * (2.31 / 100), D393 * (2.925 / 100))+E393*E$6+F393*F$6+G393*G$6+H393*H$6+I393*I$6+J393*J$6+K393*K$6+L393*L$6+M393*M$6+N393*N$6+O393*O$6+P393*P$6+Q393*Q$6</f>
        <v>158477.90519659998</v>
      </c>
      <c r="S393" s="648">
        <v>8.4559687608842804</v>
      </c>
      <c r="T393" s="648">
        <v>0.27236100000000002</v>
      </c>
      <c r="U393" s="648">
        <v>4.2952651445432068E-3</v>
      </c>
      <c r="V393" s="472">
        <v>1.7000000000000001E-2</v>
      </c>
      <c r="W393" s="472">
        <v>0.32772000000000001</v>
      </c>
      <c r="X393" s="155">
        <v>9.9570000000000007</v>
      </c>
      <c r="Y393" s="674">
        <v>10.039999999999999</v>
      </c>
      <c r="AA393" s="337"/>
      <c r="AB393" s="337">
        <v>0</v>
      </c>
      <c r="AC393" s="472">
        <v>0.22313654087391369</v>
      </c>
      <c r="AD393" s="472">
        <v>6.2438587896824833E-2</v>
      </c>
      <c r="AE393" s="472">
        <v>2.0335002499999999</v>
      </c>
      <c r="AF393" s="472">
        <v>14.168830543654625</v>
      </c>
      <c r="AG393" s="172">
        <f t="shared" ref="AG393:AG456" si="21" xml:space="preserve"> IF(C393&lt; DATE(2024, 11, 1), S393 * (2.31 / 100), S393 * (2.925 / 100))+T393*T$6+U393*U$6+V393*V$6+W393*W$6+X393*X$6+Y393*Y$6+Z393*Z$6+AA393*AA$6+AB393*AB$6+AC393*AC$6+AD393*AD$6+AE393*AE$6+AF393*AF$6</f>
        <v>8.5831937935537539</v>
      </c>
      <c r="AH393" s="667">
        <f t="shared" si="19"/>
        <v>202404</v>
      </c>
    </row>
    <row r="394" spans="3:36" ht="15.75" hidden="1">
      <c r="C394" s="665">
        <v>45402</v>
      </c>
      <c r="D394" s="655">
        <v>356842</v>
      </c>
      <c r="E394" s="655">
        <v>25969</v>
      </c>
      <c r="F394" s="655">
        <v>26119</v>
      </c>
      <c r="G394" s="655">
        <v>3946</v>
      </c>
      <c r="H394" s="655">
        <v>2575</v>
      </c>
      <c r="I394" s="646">
        <v>162800</v>
      </c>
      <c r="J394" s="655">
        <v>170927</v>
      </c>
      <c r="K394" s="655">
        <v>54054.5</v>
      </c>
      <c r="L394" s="655">
        <v>0</v>
      </c>
      <c r="M394" s="655">
        <v>418637</v>
      </c>
      <c r="N394" s="655">
        <v>8340</v>
      </c>
      <c r="O394" s="655">
        <v>3435</v>
      </c>
      <c r="P394" s="655">
        <v>191.52440999999999</v>
      </c>
      <c r="Q394" s="337">
        <v>0</v>
      </c>
      <c r="R394" s="167">
        <f t="shared" si="20"/>
        <v>147723.6911845</v>
      </c>
      <c r="S394" s="473">
        <v>10.5296094827366</v>
      </c>
      <c r="T394" s="473">
        <v>0.28990199999999999</v>
      </c>
      <c r="U394" s="473">
        <v>3.77089427348951E-3</v>
      </c>
      <c r="V394" s="473">
        <v>1.7000000000000001E-2</v>
      </c>
      <c r="W394" s="473">
        <v>0.31192999999999999</v>
      </c>
      <c r="X394" s="155">
        <v>9.9570000000000007</v>
      </c>
      <c r="Y394" s="473">
        <v>10.01</v>
      </c>
      <c r="Z394" s="337"/>
      <c r="AA394" s="337"/>
      <c r="AB394" s="337">
        <v>0</v>
      </c>
      <c r="AC394" s="473">
        <v>0.22172069987852083</v>
      </c>
      <c r="AD394" s="473">
        <v>6.4505715750098391E-2</v>
      </c>
      <c r="AE394" s="473">
        <v>1.96210025</v>
      </c>
      <c r="AF394" s="473">
        <v>14.154304015041895</v>
      </c>
      <c r="AG394" s="172">
        <f t="shared" si="21"/>
        <v>8.5779455033864576</v>
      </c>
      <c r="AH394" s="667">
        <f t="shared" si="19"/>
        <v>202404</v>
      </c>
    </row>
    <row r="395" spans="3:36" ht="15.75" hidden="1">
      <c r="C395" s="649">
        <v>45403</v>
      </c>
      <c r="D395" s="645">
        <v>376789</v>
      </c>
      <c r="E395" s="645">
        <v>27535</v>
      </c>
      <c r="F395" s="645">
        <v>29268</v>
      </c>
      <c r="G395" s="645">
        <v>4036</v>
      </c>
      <c r="H395" s="645">
        <v>2426</v>
      </c>
      <c r="I395" s="646">
        <v>162800</v>
      </c>
      <c r="J395" s="645">
        <v>169937</v>
      </c>
      <c r="K395" s="645">
        <v>53321.3</v>
      </c>
      <c r="L395" s="645">
        <v>0</v>
      </c>
      <c r="M395" s="645">
        <v>412590</v>
      </c>
      <c r="N395" s="645">
        <v>8286</v>
      </c>
      <c r="O395" s="645">
        <v>4177</v>
      </c>
      <c r="P395" s="645">
        <v>101.07708599999999</v>
      </c>
      <c r="Q395" s="337">
        <v>0</v>
      </c>
      <c r="R395" s="167">
        <f t="shared" si="20"/>
        <v>150275.16558870001</v>
      </c>
      <c r="S395" s="648">
        <v>9.4229881607375958</v>
      </c>
      <c r="T395" s="648">
        <v>0.27974900000000003</v>
      </c>
      <c r="U395" s="648">
        <v>3.8838217512820439E-3</v>
      </c>
      <c r="V395" s="472">
        <v>1.7000000000000001E-2</v>
      </c>
      <c r="W395" s="472">
        <v>0.22453999999999999</v>
      </c>
      <c r="X395" s="155">
        <v>9.9570000000000007</v>
      </c>
      <c r="Y395" s="674">
        <v>9.92</v>
      </c>
      <c r="AA395" s="337"/>
      <c r="AB395" s="337">
        <v>0</v>
      </c>
      <c r="AC395" s="472">
        <v>0.23134841864719224</v>
      </c>
      <c r="AD395" s="472">
        <v>6.4788883949176965E-2</v>
      </c>
      <c r="AE395" s="472">
        <v>1.95370025</v>
      </c>
      <c r="AF395" s="472">
        <v>14.152859857226593</v>
      </c>
      <c r="AG395" s="172">
        <f t="shared" si="21"/>
        <v>8.4360770995983181</v>
      </c>
      <c r="AH395" s="667">
        <f t="shared" si="19"/>
        <v>202404</v>
      </c>
      <c r="AJ395" t="s">
        <v>1554</v>
      </c>
    </row>
    <row r="396" spans="3:36" ht="15.75" hidden="1">
      <c r="C396" s="665">
        <v>45404</v>
      </c>
      <c r="D396" s="655">
        <v>370662</v>
      </c>
      <c r="E396" s="655">
        <v>27799</v>
      </c>
      <c r="F396" s="655">
        <v>29668</v>
      </c>
      <c r="G396" s="655">
        <v>4075</v>
      </c>
      <c r="H396" s="655">
        <v>2535</v>
      </c>
      <c r="I396" s="646">
        <v>162800</v>
      </c>
      <c r="J396" s="655">
        <v>164283</v>
      </c>
      <c r="K396" s="655">
        <v>54183.63</v>
      </c>
      <c r="L396" s="655">
        <v>0</v>
      </c>
      <c r="M396" s="655">
        <v>412009</v>
      </c>
      <c r="N396" s="655">
        <v>8335</v>
      </c>
      <c r="O396" s="655">
        <v>3839</v>
      </c>
      <c r="P396" s="655">
        <v>168.12635399999999</v>
      </c>
      <c r="Q396" s="337">
        <v>0</v>
      </c>
      <c r="R396" s="167">
        <f t="shared" si="20"/>
        <v>149236.07655930004</v>
      </c>
      <c r="S396" s="473">
        <v>8.5244954650612943</v>
      </c>
      <c r="T396" s="473">
        <v>0.29165200000000002</v>
      </c>
      <c r="U396" s="473">
        <v>3.6971289576295417E-3</v>
      </c>
      <c r="V396" s="473">
        <v>1.7000000000000001E-2</v>
      </c>
      <c r="W396" s="473">
        <v>0.31058999999999998</v>
      </c>
      <c r="X396" s="155">
        <v>9.9570000000000007</v>
      </c>
      <c r="Y396" s="473">
        <v>9.81</v>
      </c>
      <c r="Z396" s="337">
        <v>0</v>
      </c>
      <c r="AB396" s="337">
        <v>0</v>
      </c>
      <c r="AC396" s="473">
        <v>0.26532860253662072</v>
      </c>
      <c r="AD396" s="473">
        <v>6.572333900613625E-2</v>
      </c>
      <c r="AE396" s="473">
        <v>1.94980025</v>
      </c>
      <c r="AF396" s="473">
        <v>14.141986198381977</v>
      </c>
      <c r="AG396" s="172">
        <f t="shared" si="21"/>
        <v>8.4763631236196755</v>
      </c>
      <c r="AH396" s="667">
        <f t="shared" si="19"/>
        <v>202404</v>
      </c>
    </row>
    <row r="397" spans="3:36" ht="15.75" hidden="1">
      <c r="C397" s="649">
        <v>45405</v>
      </c>
      <c r="D397" s="645">
        <v>354455</v>
      </c>
      <c r="E397" s="645">
        <v>22478</v>
      </c>
      <c r="F397" s="645">
        <v>29620</v>
      </c>
      <c r="G397" s="645">
        <v>4057</v>
      </c>
      <c r="H397" s="645">
        <v>2459</v>
      </c>
      <c r="I397" s="646">
        <v>162800</v>
      </c>
      <c r="J397" s="645">
        <v>167943</v>
      </c>
      <c r="K397" s="645">
        <v>52772.49</v>
      </c>
      <c r="L397" s="645">
        <v>0</v>
      </c>
      <c r="M397" s="645">
        <v>407233</v>
      </c>
      <c r="N397" s="645">
        <v>8329</v>
      </c>
      <c r="O397" s="645">
        <v>3518</v>
      </c>
      <c r="P397" s="645">
        <v>127.49424599999999</v>
      </c>
      <c r="Q397" s="337">
        <v>0</v>
      </c>
      <c r="R397" s="167">
        <f t="shared" si="20"/>
        <v>147566.85541069999</v>
      </c>
      <c r="S397" s="648">
        <v>8.7626399204863699</v>
      </c>
      <c r="T397" s="648">
        <v>0.25070900000000002</v>
      </c>
      <c r="U397" s="648">
        <v>3.9631937974837677E-3</v>
      </c>
      <c r="V397" s="472">
        <v>1.7000000000000001E-2</v>
      </c>
      <c r="W397" s="472">
        <v>0.24596999999999999</v>
      </c>
      <c r="X397" s="155">
        <v>9.9570000000000007</v>
      </c>
      <c r="Y397" s="674">
        <v>10.25</v>
      </c>
      <c r="Z397" s="337">
        <v>0</v>
      </c>
      <c r="AA397" s="337"/>
      <c r="AB397" s="337">
        <v>0</v>
      </c>
      <c r="AC397" s="472">
        <v>0.27354048030989925</v>
      </c>
      <c r="AD397" s="472">
        <v>6.5440170807057677E-2</v>
      </c>
      <c r="AE397" s="472">
        <v>2.0593002500000002</v>
      </c>
      <c r="AF397" s="472">
        <v>14.16228935825591</v>
      </c>
      <c r="AG397" s="172">
        <f t="shared" si="21"/>
        <v>8.5742924723818916</v>
      </c>
      <c r="AH397" s="667">
        <f t="shared" si="19"/>
        <v>202404</v>
      </c>
      <c r="AJ397" t="s">
        <v>1555</v>
      </c>
    </row>
    <row r="398" spans="3:36" ht="15.75" hidden="1">
      <c r="C398" s="665">
        <v>45406</v>
      </c>
      <c r="D398" s="655">
        <v>352046</v>
      </c>
      <c r="E398" s="655">
        <v>15377</v>
      </c>
      <c r="F398" s="655">
        <v>29642</v>
      </c>
      <c r="G398" s="655">
        <v>4061</v>
      </c>
      <c r="H398" s="655">
        <v>2597</v>
      </c>
      <c r="I398" s="646">
        <v>162800</v>
      </c>
      <c r="J398" s="655">
        <v>168174</v>
      </c>
      <c r="K398" s="655">
        <v>51479.21</v>
      </c>
      <c r="L398" s="655">
        <v>0</v>
      </c>
      <c r="M398" s="655">
        <v>416373</v>
      </c>
      <c r="N398" s="655">
        <v>8237</v>
      </c>
      <c r="O398" s="655">
        <v>3237</v>
      </c>
      <c r="P398" s="655">
        <v>133.59535199999999</v>
      </c>
      <c r="Q398" s="337">
        <v>0</v>
      </c>
      <c r="R398" s="167">
        <f t="shared" si="20"/>
        <v>145731.90300839997</v>
      </c>
      <c r="S398" s="473">
        <v>8.9254616349565481</v>
      </c>
      <c r="T398" s="473">
        <v>0.148228</v>
      </c>
      <c r="U398" s="473">
        <v>3.9949935862402903E-3</v>
      </c>
      <c r="V398" s="473">
        <v>1.7000000000000001E-2</v>
      </c>
      <c r="W398" s="473">
        <v>0.31854000000000005</v>
      </c>
      <c r="X398" s="155">
        <v>9.9570000000000007</v>
      </c>
      <c r="Y398" s="473">
        <v>10.37</v>
      </c>
      <c r="Z398" s="337">
        <v>0</v>
      </c>
      <c r="AB398" s="337">
        <v>0</v>
      </c>
      <c r="AC398" s="473">
        <v>0.25428504277255648</v>
      </c>
      <c r="AD398" s="473">
        <v>6.3373042953784112E-2</v>
      </c>
      <c r="AE398" s="473">
        <v>2.00600025</v>
      </c>
      <c r="AF398" s="473">
        <v>14.137965209955061</v>
      </c>
      <c r="AG398" s="172">
        <f t="shared" si="21"/>
        <v>8.6231109893567197</v>
      </c>
      <c r="AH398" s="667">
        <f t="shared" si="19"/>
        <v>202404</v>
      </c>
      <c r="AJ398" t="s">
        <v>1556</v>
      </c>
    </row>
    <row r="399" spans="3:36" ht="15.75" hidden="1">
      <c r="C399" s="649">
        <v>45407</v>
      </c>
      <c r="D399" s="645">
        <v>303293</v>
      </c>
      <c r="E399" s="645">
        <v>15950</v>
      </c>
      <c r="F399" s="645">
        <v>29609</v>
      </c>
      <c r="G399" s="645">
        <v>4063</v>
      </c>
      <c r="H399" s="645">
        <v>2604</v>
      </c>
      <c r="I399" s="646">
        <v>162800</v>
      </c>
      <c r="J399" s="645">
        <v>170889</v>
      </c>
      <c r="K399" s="645">
        <v>52700.66</v>
      </c>
      <c r="L399" s="645">
        <v>35060</v>
      </c>
      <c r="M399" s="645">
        <v>404850</v>
      </c>
      <c r="N399" s="645">
        <v>8319</v>
      </c>
      <c r="O399" s="645">
        <v>4537</v>
      </c>
      <c r="P399" s="645">
        <v>172.843704</v>
      </c>
      <c r="Q399" s="337">
        <v>0</v>
      </c>
      <c r="R399" s="167">
        <f t="shared" si="20"/>
        <v>154300.56796679998</v>
      </c>
      <c r="S399" s="648">
        <v>4.6683109300093193</v>
      </c>
      <c r="T399" s="648">
        <v>0.156329</v>
      </c>
      <c r="U399" s="648">
        <v>4.2414348698983709E-3</v>
      </c>
      <c r="V399" s="472">
        <v>1.7000000000000001E-2</v>
      </c>
      <c r="W399" s="472">
        <v>0.31724000000000002</v>
      </c>
      <c r="X399" s="155">
        <v>9.9570000000000007</v>
      </c>
      <c r="Y399" s="674">
        <v>10.35</v>
      </c>
      <c r="Z399" s="337">
        <v>0</v>
      </c>
      <c r="AA399" s="337"/>
      <c r="AB399" s="337">
        <v>0</v>
      </c>
      <c r="AC399" s="472">
        <v>0.24862167879098501</v>
      </c>
      <c r="AD399" s="472">
        <v>6.4222547551019818E-2</v>
      </c>
      <c r="AE399" s="472">
        <v>1.9071002500000001</v>
      </c>
      <c r="AF399" s="472">
        <v>14.145016098112116</v>
      </c>
      <c r="AG399" s="172">
        <f t="shared" si="21"/>
        <v>8.47704106975862</v>
      </c>
      <c r="AH399" s="667">
        <f t="shared" si="19"/>
        <v>202404</v>
      </c>
      <c r="AJ399" t="s">
        <v>1557</v>
      </c>
    </row>
    <row r="400" spans="3:36" ht="15.75" hidden="1">
      <c r="C400" s="665">
        <v>45408</v>
      </c>
      <c r="D400" s="655">
        <v>286721</v>
      </c>
      <c r="E400" s="655">
        <v>20214</v>
      </c>
      <c r="F400" s="655">
        <v>29614</v>
      </c>
      <c r="G400" s="655">
        <v>4069</v>
      </c>
      <c r="H400" s="655">
        <v>2603</v>
      </c>
      <c r="I400" s="646">
        <v>162800</v>
      </c>
      <c r="J400" s="655">
        <v>171544</v>
      </c>
      <c r="K400" s="655">
        <v>53390.67</v>
      </c>
      <c r="L400" s="655">
        <v>38840</v>
      </c>
      <c r="M400" s="655">
        <v>415010</v>
      </c>
      <c r="N400" s="655">
        <v>8186</v>
      </c>
      <c r="O400" s="655">
        <v>3694</v>
      </c>
      <c r="P400" s="655">
        <v>138.124008</v>
      </c>
      <c r="Q400" s="337">
        <v>0</v>
      </c>
      <c r="R400" s="167">
        <f t="shared" si="20"/>
        <v>156368.2084036</v>
      </c>
      <c r="S400" s="473">
        <v>4.2653625827205097</v>
      </c>
      <c r="T400" s="473">
        <v>0.16882900000000001</v>
      </c>
      <c r="U400" s="473">
        <v>4.0004870493024151E-3</v>
      </c>
      <c r="V400" s="473">
        <v>1.7000000000000001E-2</v>
      </c>
      <c r="W400" s="473">
        <v>0.31739000000000001</v>
      </c>
      <c r="X400" s="155">
        <v>9.9570000000000007</v>
      </c>
      <c r="Y400" s="473">
        <v>10.47</v>
      </c>
      <c r="Z400" s="337">
        <v>0</v>
      </c>
      <c r="AB400" s="337">
        <v>0</v>
      </c>
      <c r="AC400" s="473">
        <v>0.2568335565642636</v>
      </c>
      <c r="AD400" s="473">
        <v>6.3288092494060547E-2</v>
      </c>
      <c r="AE400" s="473">
        <v>1.9267002499999999</v>
      </c>
      <c r="AF400" s="473">
        <v>14.14524263267138</v>
      </c>
      <c r="AG400" s="172">
        <f t="shared" si="21"/>
        <v>8.5116773348691837</v>
      </c>
      <c r="AH400" s="667">
        <f t="shared" si="19"/>
        <v>202404</v>
      </c>
    </row>
    <row r="401" spans="3:37" ht="15.75" hidden="1">
      <c r="C401" s="649">
        <v>45409</v>
      </c>
      <c r="D401" s="645">
        <v>294128</v>
      </c>
      <c r="E401" s="645">
        <v>18484</v>
      </c>
      <c r="F401" s="645">
        <v>29587</v>
      </c>
      <c r="G401" s="645">
        <v>4131</v>
      </c>
      <c r="H401" s="645">
        <v>2578</v>
      </c>
      <c r="I401" s="646">
        <v>162800</v>
      </c>
      <c r="J401" s="645">
        <v>171909</v>
      </c>
      <c r="K401" s="645">
        <v>53166.93</v>
      </c>
      <c r="L401" s="645">
        <v>0</v>
      </c>
      <c r="M401" s="645">
        <v>407486</v>
      </c>
      <c r="N401" s="645">
        <v>7998</v>
      </c>
      <c r="O401" s="645">
        <v>4301</v>
      </c>
      <c r="P401" s="645">
        <v>120.13518000000001</v>
      </c>
      <c r="Q401" s="337">
        <v>0</v>
      </c>
      <c r="R401" s="167">
        <f t="shared" si="20"/>
        <v>146641.19013099998</v>
      </c>
      <c r="S401" s="648">
        <v>4.6111109537954427</v>
      </c>
      <c r="T401" s="648">
        <v>0.14290700000000001</v>
      </c>
      <c r="U401" s="648">
        <v>4.2151285442039712E-3</v>
      </c>
      <c r="V401" s="472">
        <v>1.7000000000000001E-2</v>
      </c>
      <c r="W401" s="472">
        <v>0.31823000000000001</v>
      </c>
      <c r="X401" s="155">
        <v>9.9570000000000007</v>
      </c>
      <c r="Y401" s="674">
        <v>10.4</v>
      </c>
      <c r="Z401" s="337">
        <v>0</v>
      </c>
      <c r="AA401" s="337"/>
      <c r="AB401" s="337">
        <v>0</v>
      </c>
      <c r="AC401" s="472">
        <v>0.2508870243836136</v>
      </c>
      <c r="AD401" s="472">
        <v>6.7337397740884111E-2</v>
      </c>
      <c r="AE401" s="472">
        <v>1.91960025</v>
      </c>
      <c r="AF401" s="472">
        <v>9.7775713796237813</v>
      </c>
      <c r="AG401" s="172">
        <f t="shared" si="21"/>
        <v>7.7507219218282115</v>
      </c>
      <c r="AH401" s="667">
        <f t="shared" si="19"/>
        <v>202404</v>
      </c>
    </row>
    <row r="402" spans="3:37" ht="15.75" hidden="1">
      <c r="C402" s="665">
        <v>45410</v>
      </c>
      <c r="D402" s="655">
        <v>296082</v>
      </c>
      <c r="E402" s="655">
        <v>20962</v>
      </c>
      <c r="F402" s="655">
        <v>29502</v>
      </c>
      <c r="G402" s="655">
        <v>4102</v>
      </c>
      <c r="H402" s="655">
        <v>2643</v>
      </c>
      <c r="I402" s="646">
        <v>162800</v>
      </c>
      <c r="J402" s="655">
        <v>172013</v>
      </c>
      <c r="K402" s="655">
        <v>53035.82</v>
      </c>
      <c r="L402" s="655">
        <v>0</v>
      </c>
      <c r="M402" s="655">
        <v>412828</v>
      </c>
      <c r="N402" s="655">
        <v>7190</v>
      </c>
      <c r="O402" s="655">
        <v>3934</v>
      </c>
      <c r="P402" s="655">
        <v>189.82616399999998</v>
      </c>
      <c r="Q402" s="337">
        <v>0</v>
      </c>
      <c r="R402" s="167">
        <f t="shared" si="20"/>
        <v>147350.0109738</v>
      </c>
      <c r="S402" s="473">
        <v>4.5663703783410305</v>
      </c>
      <c r="T402" s="473">
        <v>0.206507</v>
      </c>
      <c r="U402" s="473">
        <v>4.1217963057876743E-3</v>
      </c>
      <c r="V402" s="473">
        <v>1.7000000000000001E-2</v>
      </c>
      <c r="W402" s="473">
        <v>0.31822</v>
      </c>
      <c r="X402" s="155">
        <v>9.9570000000000007</v>
      </c>
      <c r="Y402" s="473">
        <v>10.32</v>
      </c>
      <c r="Z402" s="337">
        <v>0</v>
      </c>
      <c r="AB402" s="337">
        <v>0</v>
      </c>
      <c r="AC402" s="473">
        <v>0.23389693243889936</v>
      </c>
      <c r="AD402" s="473">
        <v>6.5326903527426247E-2</v>
      </c>
      <c r="AE402" s="473">
        <v>1.91120025</v>
      </c>
      <c r="AF402" s="473">
        <v>9.4589788388404816</v>
      </c>
      <c r="AG402" s="172">
        <f t="shared" si="21"/>
        <v>7.6853712422358624</v>
      </c>
      <c r="AH402" s="667">
        <f t="shared" si="19"/>
        <v>202404</v>
      </c>
      <c r="AJ402" t="s">
        <v>1558</v>
      </c>
    </row>
    <row r="403" spans="3:37" ht="15.75" hidden="1">
      <c r="C403" s="649">
        <v>45411</v>
      </c>
      <c r="D403" s="645">
        <v>285600</v>
      </c>
      <c r="E403" s="645">
        <v>21226</v>
      </c>
      <c r="F403" s="645">
        <v>29438</v>
      </c>
      <c r="G403" s="645">
        <v>4073</v>
      </c>
      <c r="H403" s="645">
        <v>2600</v>
      </c>
      <c r="I403" s="646">
        <v>155400</v>
      </c>
      <c r="J403" s="645">
        <v>169937</v>
      </c>
      <c r="K403" s="645">
        <v>50923.43</v>
      </c>
      <c r="L403" s="645">
        <v>0</v>
      </c>
      <c r="M403" s="645">
        <v>401993</v>
      </c>
      <c r="N403" s="645">
        <v>8157.9999999999991</v>
      </c>
      <c r="O403" s="645">
        <v>4167</v>
      </c>
      <c r="P403" s="645">
        <v>102.46084199999999</v>
      </c>
      <c r="Q403" s="337">
        <v>0</v>
      </c>
      <c r="R403" s="167">
        <f t="shared" si="20"/>
        <v>144255.96487889998</v>
      </c>
      <c r="S403" s="648">
        <v>4.6428257920922489</v>
      </c>
      <c r="T403" s="648">
        <v>0.22859199999999999</v>
      </c>
      <c r="U403" s="648">
        <v>4.0383466375192197E-3</v>
      </c>
      <c r="V403" s="472">
        <v>1.7000000000000001E-2</v>
      </c>
      <c r="W403" s="472">
        <v>0.31968000000000002</v>
      </c>
      <c r="X403" s="155">
        <v>9.9570000000000007</v>
      </c>
      <c r="Y403" s="674">
        <v>10.38</v>
      </c>
      <c r="Z403" s="337">
        <v>0</v>
      </c>
      <c r="AB403" s="337">
        <v>0</v>
      </c>
      <c r="AC403" s="472">
        <v>0.25626722016610648</v>
      </c>
      <c r="AD403" s="472">
        <v>6.8356803257566962E-2</v>
      </c>
      <c r="AE403" s="472">
        <v>1.9088002500000001</v>
      </c>
      <c r="AF403" s="472">
        <v>10.951700000283166</v>
      </c>
      <c r="AG403" s="172">
        <f t="shared" si="21"/>
        <v>7.9664571865130318</v>
      </c>
      <c r="AH403" s="667">
        <f t="shared" si="19"/>
        <v>202404</v>
      </c>
      <c r="AK403" s="262"/>
    </row>
    <row r="404" spans="3:37" ht="15.75" hidden="1">
      <c r="C404" s="665">
        <v>45412</v>
      </c>
      <c r="D404" s="655">
        <v>279398</v>
      </c>
      <c r="E404" s="655">
        <v>31711</v>
      </c>
      <c r="F404" s="655">
        <v>29481</v>
      </c>
      <c r="G404" s="655">
        <v>4042</v>
      </c>
      <c r="H404" s="655">
        <v>2543</v>
      </c>
      <c r="I404" s="646">
        <v>155400</v>
      </c>
      <c r="J404" s="655">
        <v>171879</v>
      </c>
      <c r="K404" s="655">
        <v>46954.05</v>
      </c>
      <c r="L404" s="655">
        <v>7144</v>
      </c>
      <c r="M404" s="791">
        <v>391050</v>
      </c>
      <c r="N404" s="655">
        <v>8243</v>
      </c>
      <c r="O404" s="655">
        <v>3750</v>
      </c>
      <c r="P404" s="655">
        <v>121.39314</v>
      </c>
      <c r="Q404" s="337">
        <v>0</v>
      </c>
      <c r="R404" s="167">
        <f t="shared" si="20"/>
        <v>147550.66321299999</v>
      </c>
      <c r="S404" s="473">
        <v>4.5139842615114976</v>
      </c>
      <c r="T404" s="473">
        <v>0.29845300000000002</v>
      </c>
      <c r="U404" s="473">
        <v>4.2406419989409506E-3</v>
      </c>
      <c r="V404" s="473">
        <v>1.7000000000000001E-2</v>
      </c>
      <c r="W404" s="473">
        <v>0.31807000000000002</v>
      </c>
      <c r="X404" s="155">
        <v>9.9570000000000007</v>
      </c>
      <c r="Y404" s="473">
        <v>10.33</v>
      </c>
      <c r="Z404" s="337">
        <v>0</v>
      </c>
      <c r="AA404" s="337">
        <v>0</v>
      </c>
      <c r="AB404" s="337">
        <v>0</v>
      </c>
      <c r="AC404" s="473">
        <v>0.23389693243889936</v>
      </c>
      <c r="AD404" s="473">
        <v>6.4505715750098391E-2</v>
      </c>
      <c r="AE404" s="473">
        <v>1.90800025</v>
      </c>
      <c r="AF404" s="473">
        <v>13.377205526310572</v>
      </c>
      <c r="AG404" s="172">
        <f t="shared" si="21"/>
        <v>8.3758497966812904</v>
      </c>
      <c r="AH404" s="667">
        <f t="shared" si="19"/>
        <v>202404</v>
      </c>
      <c r="AJ404" s="262" t="s">
        <v>1559</v>
      </c>
      <c r="AK404" s="262"/>
    </row>
    <row r="405" spans="3:37" ht="15.75" hidden="1">
      <c r="C405" s="649">
        <v>45413</v>
      </c>
      <c r="D405" s="645">
        <v>206981</v>
      </c>
      <c r="E405" s="645">
        <v>25723</v>
      </c>
      <c r="F405" s="645">
        <v>29542</v>
      </c>
      <c r="G405" s="645">
        <v>4036</v>
      </c>
      <c r="H405" s="645">
        <v>2551</v>
      </c>
      <c r="I405" s="646">
        <v>155400</v>
      </c>
      <c r="J405" s="645">
        <v>171351</v>
      </c>
      <c r="K405" s="645">
        <v>51793.26</v>
      </c>
      <c r="L405" s="645">
        <v>44540.92470602</v>
      </c>
      <c r="M405" s="645">
        <v>229430</v>
      </c>
      <c r="N405" s="645">
        <v>8213</v>
      </c>
      <c r="O405" s="645">
        <v>4058</v>
      </c>
      <c r="P405" s="645">
        <v>215.551446</v>
      </c>
      <c r="Q405" s="337">
        <v>0</v>
      </c>
      <c r="R405" s="167">
        <f t="shared" si="20"/>
        <v>148100.77233602735</v>
      </c>
      <c r="S405" s="648">
        <v>3.391222352164962</v>
      </c>
      <c r="T405" s="648">
        <v>0.224443</v>
      </c>
      <c r="U405" s="648">
        <v>4.1471115427852987E-3</v>
      </c>
      <c r="V405" s="472">
        <v>1.7000000000000001E-2</v>
      </c>
      <c r="W405" s="472">
        <v>0.31756000000000001</v>
      </c>
      <c r="X405" s="155">
        <v>7.59</v>
      </c>
      <c r="Y405" s="674">
        <v>10.37</v>
      </c>
      <c r="Z405" s="337">
        <v>0</v>
      </c>
      <c r="AB405" s="337">
        <v>0</v>
      </c>
      <c r="AC405" s="472">
        <v>0.23644544623060648</v>
      </c>
      <c r="AD405" s="472">
        <v>6.2438587896824833E-2</v>
      </c>
      <c r="AE405" s="472">
        <v>1.9068002500000001</v>
      </c>
      <c r="AF405" s="472">
        <v>14.326215428702493</v>
      </c>
      <c r="AG405" s="172">
        <f t="shared" si="21"/>
        <v>8.0266009940384819</v>
      </c>
      <c r="AH405" s="667">
        <f t="shared" si="19"/>
        <v>202405</v>
      </c>
      <c r="AJ405" s="262" t="s">
        <v>1563</v>
      </c>
      <c r="AK405" s="262"/>
    </row>
    <row r="406" spans="3:37" ht="15.75" hidden="1">
      <c r="C406" s="665">
        <v>45414</v>
      </c>
      <c r="D406" s="655">
        <v>186657</v>
      </c>
      <c r="E406" s="655">
        <v>29478</v>
      </c>
      <c r="F406" s="655">
        <v>29437</v>
      </c>
      <c r="G406" s="655">
        <v>4067</v>
      </c>
      <c r="H406" s="655">
        <v>2484</v>
      </c>
      <c r="I406" s="646">
        <v>155400</v>
      </c>
      <c r="J406" s="655">
        <v>172057</v>
      </c>
      <c r="K406" s="655">
        <v>51013.18</v>
      </c>
      <c r="L406" s="655">
        <v>373</v>
      </c>
      <c r="M406" s="655">
        <v>200362</v>
      </c>
      <c r="N406" s="655">
        <v>8220</v>
      </c>
      <c r="O406" s="655">
        <v>4303</v>
      </c>
      <c r="P406" s="655">
        <v>104.09618999999999</v>
      </c>
      <c r="Q406" s="337">
        <v>0</v>
      </c>
      <c r="R406" s="167">
        <f t="shared" si="20"/>
        <v>136739.06123550003</v>
      </c>
      <c r="S406" s="473">
        <v>3.2349135062735916</v>
      </c>
      <c r="T406" s="473">
        <v>0.32151400000000002</v>
      </c>
      <c r="U406" s="473">
        <v>4.3605637312507254E-3</v>
      </c>
      <c r="V406" s="473">
        <v>1.7000000000000001E-2</v>
      </c>
      <c r="W406" s="473">
        <v>0.31736000000000003</v>
      </c>
      <c r="X406" s="155">
        <v>7.59</v>
      </c>
      <c r="Y406" s="473">
        <v>10.49</v>
      </c>
      <c r="AB406" s="337">
        <v>0</v>
      </c>
      <c r="AC406" s="473">
        <v>0.23446326883705648</v>
      </c>
      <c r="AD406" s="473">
        <v>6.357126069313912E-2</v>
      </c>
      <c r="AE406" s="473">
        <v>1.91120025</v>
      </c>
      <c r="AF406" s="473">
        <v>14.294302372666339</v>
      </c>
      <c r="AG406" s="172">
        <f t="shared" si="21"/>
        <v>8.0771386563094048</v>
      </c>
      <c r="AH406" s="667">
        <f t="shared" si="19"/>
        <v>202405</v>
      </c>
      <c r="AJ406" s="262" t="s">
        <v>1560</v>
      </c>
      <c r="AK406" s="262"/>
    </row>
    <row r="407" spans="3:37" ht="15.75" hidden="1">
      <c r="C407" s="649">
        <v>45415</v>
      </c>
      <c r="D407" s="645">
        <v>215991</v>
      </c>
      <c r="E407" s="645">
        <v>27233</v>
      </c>
      <c r="F407" s="645">
        <v>29312</v>
      </c>
      <c r="G407" s="645">
        <v>4119</v>
      </c>
      <c r="H407" s="645">
        <v>2501</v>
      </c>
      <c r="I407" s="646">
        <v>155400</v>
      </c>
      <c r="J407" s="645">
        <v>161299</v>
      </c>
      <c r="K407" s="645">
        <v>52803.79</v>
      </c>
      <c r="L407" s="645">
        <v>0</v>
      </c>
      <c r="M407" s="645">
        <v>198353</v>
      </c>
      <c r="N407" s="645">
        <v>8206</v>
      </c>
      <c r="O407" s="645">
        <v>4700</v>
      </c>
      <c r="P407" s="645">
        <v>205.61356199999997</v>
      </c>
      <c r="Q407" s="337">
        <v>0</v>
      </c>
      <c r="R407" s="167">
        <f t="shared" si="20"/>
        <v>134449.1957029</v>
      </c>
      <c r="S407" s="648">
        <v>3.2974936782699569</v>
      </c>
      <c r="T407" s="648">
        <v>0.327123</v>
      </c>
      <c r="U407" s="648">
        <v>4.1641299515499212E-3</v>
      </c>
      <c r="V407" s="472">
        <v>1.7000000000000001E-2</v>
      </c>
      <c r="W407" s="472">
        <v>0.31580000000000003</v>
      </c>
      <c r="X407" s="155">
        <v>7.59</v>
      </c>
      <c r="Y407" s="674">
        <v>10.31</v>
      </c>
      <c r="AB407" s="337">
        <v>0</v>
      </c>
      <c r="AC407" s="472">
        <v>0.2336137642398208</v>
      </c>
      <c r="AD407" s="472">
        <v>6.4222547551019818E-2</v>
      </c>
      <c r="AE407" s="472">
        <v>1.90750025</v>
      </c>
      <c r="AF407" s="472">
        <v>14.308630683539715</v>
      </c>
      <c r="AG407" s="172">
        <f t="shared" si="21"/>
        <v>8.0325390667226628</v>
      </c>
      <c r="AH407" s="667">
        <f t="shared" si="19"/>
        <v>202405</v>
      </c>
      <c r="AJ407" s="262"/>
      <c r="AK407" s="262"/>
    </row>
    <row r="408" spans="3:37" ht="15.75" hidden="1">
      <c r="C408" s="665">
        <v>45416</v>
      </c>
      <c r="D408" s="655">
        <v>167435</v>
      </c>
      <c r="E408" s="655">
        <v>26931</v>
      </c>
      <c r="F408" s="655">
        <v>29274</v>
      </c>
      <c r="G408" s="655">
        <v>4139</v>
      </c>
      <c r="H408" s="655">
        <v>2497</v>
      </c>
      <c r="I408" s="646">
        <v>155400</v>
      </c>
      <c r="J408" s="655">
        <v>169253</v>
      </c>
      <c r="K408" s="655">
        <v>52721.8</v>
      </c>
      <c r="L408" s="655">
        <v>0</v>
      </c>
      <c r="M408" s="655">
        <v>192021</v>
      </c>
      <c r="N408" s="655">
        <v>8194</v>
      </c>
      <c r="O408" s="655">
        <v>2367</v>
      </c>
      <c r="P408" s="655">
        <v>85.729973999999999</v>
      </c>
      <c r="Q408" s="337">
        <v>0</v>
      </c>
      <c r="R408" s="167">
        <f t="shared" si="20"/>
        <v>134031.20698829999</v>
      </c>
      <c r="S408" s="473">
        <v>3.7579251699717124</v>
      </c>
      <c r="T408" s="473">
        <v>0.31705299999999997</v>
      </c>
      <c r="U408" s="473">
        <v>4.1737859871384996E-3</v>
      </c>
      <c r="V408" s="473">
        <v>1.7000000000000001E-2</v>
      </c>
      <c r="W408" s="473">
        <v>0.31460000000000005</v>
      </c>
      <c r="X408" s="155">
        <v>7.59</v>
      </c>
      <c r="Y408" s="473">
        <v>10.308142999999999</v>
      </c>
      <c r="AB408" s="337">
        <v>0</v>
      </c>
      <c r="AC408" s="473">
        <v>0.22398604547114939</v>
      </c>
      <c r="AD408" s="473">
        <v>6.4505715750098391E-2</v>
      </c>
      <c r="AE408" s="473">
        <v>1.9009002500000001</v>
      </c>
      <c r="AF408" s="473">
        <v>14.279266141295267</v>
      </c>
      <c r="AG408" s="172">
        <f t="shared" si="21"/>
        <v>8.0298723194394057</v>
      </c>
      <c r="AH408" s="667">
        <f t="shared" si="19"/>
        <v>202405</v>
      </c>
      <c r="AJ408" s="262"/>
      <c r="AK408" s="262"/>
    </row>
    <row r="409" spans="3:37" ht="15.75" hidden="1">
      <c r="C409" s="649">
        <v>45417</v>
      </c>
      <c r="D409" s="645">
        <v>224741</v>
      </c>
      <c r="E409" s="645">
        <v>25604</v>
      </c>
      <c r="F409" s="645">
        <v>29294</v>
      </c>
      <c r="G409" s="645">
        <v>4145</v>
      </c>
      <c r="H409" s="645">
        <v>2532</v>
      </c>
      <c r="I409" s="646">
        <v>155400</v>
      </c>
      <c r="J409" s="645">
        <v>168308</v>
      </c>
      <c r="K409" s="645">
        <v>53498.34</v>
      </c>
      <c r="L409" s="645">
        <v>0</v>
      </c>
      <c r="M409" s="645">
        <v>183380</v>
      </c>
      <c r="N409" s="645">
        <v>8147</v>
      </c>
      <c r="O409" s="645">
        <v>6233</v>
      </c>
      <c r="P409" s="645">
        <v>204.98458200000002</v>
      </c>
      <c r="Q409" s="337">
        <v>0</v>
      </c>
      <c r="R409" s="167">
        <f t="shared" si="20"/>
        <v>136246.37516190004</v>
      </c>
      <c r="S409" s="648">
        <v>2.4369455212701809</v>
      </c>
      <c r="T409" s="648">
        <v>0.30925799999999998</v>
      </c>
      <c r="U409" s="648">
        <v>4.1316505591156086E-3</v>
      </c>
      <c r="V409" s="472">
        <v>1.7000000000000001E-2</v>
      </c>
      <c r="W409" s="472">
        <v>0.31383</v>
      </c>
      <c r="X409" s="155">
        <v>7.59</v>
      </c>
      <c r="Y409" s="674">
        <v>10.126809</v>
      </c>
      <c r="AB409" s="337">
        <v>0</v>
      </c>
      <c r="AC409" s="472">
        <v>0.22908307305456366</v>
      </c>
      <c r="AD409" s="472">
        <v>5.9805123645394129E-2</v>
      </c>
      <c r="AE409" s="472">
        <v>1.8944002499999999</v>
      </c>
      <c r="AF409" s="472">
        <v>14.222519234199922</v>
      </c>
      <c r="AG409" s="172">
        <f t="shared" si="21"/>
        <v>7.935415166740869</v>
      </c>
      <c r="AH409" s="667">
        <f t="shared" si="19"/>
        <v>202405</v>
      </c>
      <c r="AJ409" s="262" t="s">
        <v>1561</v>
      </c>
      <c r="AK409" s="262"/>
    </row>
    <row r="410" spans="3:37" ht="15.75" hidden="1">
      <c r="C410" s="665">
        <v>45418</v>
      </c>
      <c r="D410" s="655">
        <v>264554</v>
      </c>
      <c r="E410" s="655">
        <v>26145</v>
      </c>
      <c r="F410" s="655">
        <v>29285</v>
      </c>
      <c r="G410" s="655">
        <v>4116</v>
      </c>
      <c r="H410" s="655">
        <v>2507</v>
      </c>
      <c r="I410" s="646">
        <v>148000</v>
      </c>
      <c r="J410" s="655">
        <v>166001</v>
      </c>
      <c r="K410" s="655">
        <v>54022.48</v>
      </c>
      <c r="L410" s="655">
        <v>6783</v>
      </c>
      <c r="M410" s="655">
        <v>198043</v>
      </c>
      <c r="N410" s="655">
        <v>8117.0000000000009</v>
      </c>
      <c r="O410" s="655">
        <v>3974</v>
      </c>
      <c r="P410" s="655">
        <v>80.886827999999994</v>
      </c>
      <c r="Q410" s="337">
        <v>0</v>
      </c>
      <c r="R410" s="167">
        <f t="shared" si="20"/>
        <v>136577.7152226</v>
      </c>
      <c r="S410" s="473">
        <v>5.4036987430163617</v>
      </c>
      <c r="T410" s="473">
        <v>0.313745</v>
      </c>
      <c r="U410" s="473">
        <v>4.2969924705575863E-3</v>
      </c>
      <c r="V410" s="473">
        <v>1.7000000000000001E-2</v>
      </c>
      <c r="W410" s="473">
        <v>0.30992999999999998</v>
      </c>
      <c r="X410" s="155">
        <v>7.59</v>
      </c>
      <c r="Y410" s="473">
        <v>10.31</v>
      </c>
      <c r="Z410" s="337">
        <v>0</v>
      </c>
      <c r="AB410" s="337">
        <v>0</v>
      </c>
      <c r="AC410" s="473">
        <v>0.22795040025824939</v>
      </c>
      <c r="AD410" s="473">
        <v>5.8672450849079842E-2</v>
      </c>
      <c r="AE410" s="473">
        <v>1.8907002500000001</v>
      </c>
      <c r="AF410" s="473">
        <v>14.237612099210811</v>
      </c>
      <c r="AG410" s="172">
        <f t="shared" si="21"/>
        <v>8.0493271794269461</v>
      </c>
      <c r="AH410" s="667">
        <f t="shared" si="19"/>
        <v>202405</v>
      </c>
      <c r="AJ410" s="262" t="s">
        <v>1562</v>
      </c>
      <c r="AK410" s="262"/>
    </row>
    <row r="411" spans="3:37" ht="15.75" hidden="1">
      <c r="C411" s="649">
        <v>45419</v>
      </c>
      <c r="D411" s="645">
        <v>286661</v>
      </c>
      <c r="E411" s="645">
        <v>27447</v>
      </c>
      <c r="F411" s="645">
        <v>29257</v>
      </c>
      <c r="G411" s="645">
        <v>4050</v>
      </c>
      <c r="H411" s="645">
        <v>2059</v>
      </c>
      <c r="I411" s="646">
        <v>148000</v>
      </c>
      <c r="J411" s="645">
        <v>168189</v>
      </c>
      <c r="K411" s="645">
        <v>54010.78</v>
      </c>
      <c r="L411" s="645">
        <v>41675</v>
      </c>
      <c r="M411" s="645">
        <v>197195</v>
      </c>
      <c r="N411" s="645">
        <v>8010</v>
      </c>
      <c r="O411" s="645">
        <v>4041.0000000000005</v>
      </c>
      <c r="P411" s="645">
        <v>122.08501799999999</v>
      </c>
      <c r="Q411" s="337">
        <v>0</v>
      </c>
      <c r="R411" s="167">
        <f t="shared" si="20"/>
        <v>145922.6261081</v>
      </c>
      <c r="S411" s="648">
        <v>6.9851931348701832</v>
      </c>
      <c r="T411" s="648">
        <v>0.33083099999999999</v>
      </c>
      <c r="U411" s="648">
        <v>4.3892769866372928E-3</v>
      </c>
      <c r="V411" s="472">
        <v>1.7000000000000001E-2</v>
      </c>
      <c r="W411" s="472">
        <v>0.10471999999999999</v>
      </c>
      <c r="X411" s="155">
        <v>7.59</v>
      </c>
      <c r="Y411" s="674">
        <v>10.48</v>
      </c>
      <c r="Z411">
        <v>0</v>
      </c>
      <c r="AB411" s="337">
        <v>0</v>
      </c>
      <c r="AC411" s="472">
        <v>0.2296494094527208</v>
      </c>
      <c r="AD411" s="472">
        <v>5.8927302228250551E-2</v>
      </c>
      <c r="AE411" s="472">
        <v>1.88130025</v>
      </c>
      <c r="AF411" s="472">
        <v>14.291215839296383</v>
      </c>
      <c r="AG411" s="172">
        <f t="shared" si="21"/>
        <v>7.9346989864176329</v>
      </c>
      <c r="AH411" s="667">
        <f t="shared" si="19"/>
        <v>202405</v>
      </c>
      <c r="AJ411" s="262" t="s">
        <v>1564</v>
      </c>
      <c r="AK411" s="262"/>
    </row>
    <row r="412" spans="3:37" ht="15.75" hidden="1">
      <c r="C412" s="665">
        <v>45420</v>
      </c>
      <c r="D412" s="655">
        <v>308635</v>
      </c>
      <c r="E412" s="655">
        <v>25918</v>
      </c>
      <c r="F412" s="655">
        <v>29208</v>
      </c>
      <c r="G412" s="655">
        <v>4089</v>
      </c>
      <c r="H412" s="655">
        <v>2003</v>
      </c>
      <c r="I412" s="646">
        <v>148000</v>
      </c>
      <c r="J412" s="655">
        <v>167750</v>
      </c>
      <c r="K412" s="655">
        <v>54078.03</v>
      </c>
      <c r="L412" s="655">
        <v>41849</v>
      </c>
      <c r="M412" s="655">
        <v>200911</v>
      </c>
      <c r="N412" s="655">
        <v>7901</v>
      </c>
      <c r="O412" s="655">
        <v>3466</v>
      </c>
      <c r="P412" s="655">
        <v>183.22187399999999</v>
      </c>
      <c r="Q412" s="337">
        <v>0</v>
      </c>
      <c r="R412" s="167">
        <f t="shared" si="20"/>
        <v>145825.40709329999</v>
      </c>
      <c r="S412" s="473">
        <v>6.902508020739238</v>
      </c>
      <c r="T412" s="473">
        <v>0.27153500000000003</v>
      </c>
      <c r="U412" s="473">
        <v>4.1067600744166023E-3</v>
      </c>
      <c r="V412" s="473">
        <v>1.7000000000000001E-2</v>
      </c>
      <c r="W412" s="473">
        <v>7.9069999999999988E-2</v>
      </c>
      <c r="X412" s="155">
        <v>7.59</v>
      </c>
      <c r="Y412" s="473">
        <v>10.7</v>
      </c>
      <c r="AB412" s="337">
        <v>0</v>
      </c>
      <c r="AC412" s="473">
        <v>0.22936624125364222</v>
      </c>
      <c r="AD412" s="473">
        <v>5.9805123645394129E-2</v>
      </c>
      <c r="AE412" s="473">
        <v>1.87130025</v>
      </c>
      <c r="AF412" s="473">
        <v>14.259501000999583</v>
      </c>
      <c r="AG412" s="172">
        <f t="shared" si="21"/>
        <v>7.9385597359971554</v>
      </c>
      <c r="AH412" s="667">
        <f t="shared" si="19"/>
        <v>202405</v>
      </c>
      <c r="AJ412" s="262" t="s">
        <v>649</v>
      </c>
      <c r="AK412" s="262"/>
    </row>
    <row r="413" spans="3:37" ht="15.75" hidden="1">
      <c r="C413" s="649">
        <v>45421</v>
      </c>
      <c r="D413" s="645">
        <v>345327</v>
      </c>
      <c r="E413" s="645">
        <v>26138</v>
      </c>
      <c r="F413" s="645">
        <v>11639</v>
      </c>
      <c r="G413" s="645">
        <v>4112</v>
      </c>
      <c r="H413" s="645">
        <v>1990</v>
      </c>
      <c r="I413" s="646">
        <v>148000</v>
      </c>
      <c r="J413" s="645">
        <v>168151</v>
      </c>
      <c r="K413" s="645">
        <v>54374.5</v>
      </c>
      <c r="L413" s="645">
        <v>9050</v>
      </c>
      <c r="M413" s="645">
        <v>197823</v>
      </c>
      <c r="N413" s="645">
        <v>7054</v>
      </c>
      <c r="O413" s="645">
        <v>4675</v>
      </c>
      <c r="P413" s="645">
        <v>85.855769999999993</v>
      </c>
      <c r="Q413" s="337">
        <v>0</v>
      </c>
      <c r="R413" s="167">
        <f t="shared" si="20"/>
        <v>126921.3062965</v>
      </c>
      <c r="S413" s="648">
        <v>7.8335650593095814</v>
      </c>
      <c r="T413" s="648">
        <v>0.30024899999999999</v>
      </c>
      <c r="U413" s="648">
        <v>2.3464449648446682E-3</v>
      </c>
      <c r="V413" s="472">
        <v>1.7000000000000001E-2</v>
      </c>
      <c r="W413" s="472">
        <v>7.9920000000000005E-2</v>
      </c>
      <c r="X413" s="155">
        <v>7.59</v>
      </c>
      <c r="Y413" s="674">
        <v>10.55</v>
      </c>
      <c r="AB413" s="337">
        <v>0</v>
      </c>
      <c r="AC413" s="472">
        <v>0.22851673665640654</v>
      </c>
      <c r="AD413" s="472">
        <v>6.0059975024564838E-2</v>
      </c>
      <c r="AE413" s="472">
        <v>1.8763002499999999</v>
      </c>
      <c r="AF413" s="472">
        <v>14.250014866330451</v>
      </c>
      <c r="AG413" s="172">
        <f t="shared" si="21"/>
        <v>7.9290835651636495</v>
      </c>
      <c r="AH413" s="667">
        <f t="shared" si="19"/>
        <v>202405</v>
      </c>
      <c r="AJ413" s="262" t="s">
        <v>1565</v>
      </c>
      <c r="AK413" s="262"/>
    </row>
    <row r="414" spans="3:37" ht="15.75" hidden="1">
      <c r="C414" s="665">
        <v>45422</v>
      </c>
      <c r="D414" s="655">
        <v>313876</v>
      </c>
      <c r="E414" s="655">
        <v>25943</v>
      </c>
      <c r="F414" s="655">
        <v>4135</v>
      </c>
      <c r="G414" s="655">
        <v>4074</v>
      </c>
      <c r="H414" s="655">
        <v>1993</v>
      </c>
      <c r="I414" s="646">
        <v>148000</v>
      </c>
      <c r="J414" s="655">
        <v>168382</v>
      </c>
      <c r="K414" s="655">
        <v>55802.35</v>
      </c>
      <c r="L414" s="655">
        <v>0</v>
      </c>
      <c r="M414" s="655">
        <v>203850</v>
      </c>
      <c r="N414" s="655">
        <v>7653</v>
      </c>
      <c r="O414" s="655">
        <v>4277</v>
      </c>
      <c r="P414" s="655">
        <v>141.89788799999999</v>
      </c>
      <c r="Q414" s="337">
        <v>0</v>
      </c>
      <c r="R414" s="167">
        <f t="shared" si="20"/>
        <v>119280.0371496</v>
      </c>
      <c r="S414" s="473">
        <v>8.161757002041643</v>
      </c>
      <c r="T414" s="473">
        <v>0.33354200000000001</v>
      </c>
      <c r="U414" s="473">
        <v>1.6224688302604862E-3</v>
      </c>
      <c r="V414" s="473">
        <v>1.7000000000000001E-2</v>
      </c>
      <c r="W414" s="473">
        <v>8.0110000000000001E-2</v>
      </c>
      <c r="X414" s="155">
        <v>7.59</v>
      </c>
      <c r="Y414" s="473">
        <v>10.76</v>
      </c>
      <c r="AC414" s="473">
        <v>0.22625139106377798</v>
      </c>
      <c r="AD414" s="473">
        <v>6.0937796441708408E-2</v>
      </c>
      <c r="AE414" s="473">
        <v>1.87320025</v>
      </c>
      <c r="AF414" s="473">
        <v>14.206322013212628</v>
      </c>
      <c r="AG414" s="172">
        <f t="shared" si="21"/>
        <v>7.9912162812681897</v>
      </c>
      <c r="AH414" s="667">
        <f t="shared" si="19"/>
        <v>202405</v>
      </c>
      <c r="AJ414" s="262"/>
      <c r="AK414" s="262"/>
    </row>
    <row r="415" spans="3:37" ht="15.75" hidden="1">
      <c r="C415" s="649">
        <v>45423</v>
      </c>
      <c r="D415" s="645">
        <v>323953</v>
      </c>
      <c r="E415" s="645">
        <v>25019</v>
      </c>
      <c r="F415" s="645">
        <v>4141</v>
      </c>
      <c r="G415" s="645">
        <v>3829</v>
      </c>
      <c r="H415" s="645">
        <v>1948</v>
      </c>
      <c r="I415" s="646">
        <v>148000</v>
      </c>
      <c r="J415" s="645">
        <v>168501</v>
      </c>
      <c r="K415" s="645">
        <v>55446.54</v>
      </c>
      <c r="L415" s="645">
        <v>0</v>
      </c>
      <c r="M415" s="677">
        <v>202414</v>
      </c>
      <c r="N415" s="645">
        <v>7670</v>
      </c>
      <c r="O415" s="645">
        <v>4335</v>
      </c>
      <c r="P415" s="645">
        <v>94.221204</v>
      </c>
      <c r="Q415" s="337">
        <v>0</v>
      </c>
      <c r="R415" s="167">
        <f t="shared" si="20"/>
        <v>118988.19884179998</v>
      </c>
      <c r="S415" s="648">
        <v>8.2186738100564352</v>
      </c>
      <c r="T415" s="648">
        <v>0.30094799999999999</v>
      </c>
      <c r="U415" s="648">
        <v>1.6594222802402397E-3</v>
      </c>
      <c r="V415" s="472">
        <v>1.7000000000000001E-2</v>
      </c>
      <c r="W415" s="472">
        <v>7.9000000000000001E-2</v>
      </c>
      <c r="X415" s="155">
        <v>7.59</v>
      </c>
      <c r="Y415" s="674">
        <v>10.64</v>
      </c>
      <c r="AC415" s="472">
        <v>0.2106771401144566</v>
      </c>
      <c r="AD415" s="472">
        <v>6.1787301038944115E-2</v>
      </c>
      <c r="AE415" s="472">
        <v>1.8718002499999999</v>
      </c>
      <c r="AF415" s="472">
        <v>14.19491033478976</v>
      </c>
      <c r="AG415" s="172">
        <f t="shared" si="21"/>
        <v>7.9475031958508993</v>
      </c>
      <c r="AH415" s="667">
        <f t="shared" si="19"/>
        <v>202405</v>
      </c>
      <c r="AJ415" s="262" t="s">
        <v>1566</v>
      </c>
      <c r="AK415" s="262"/>
    </row>
    <row r="416" spans="3:37" ht="15.75" hidden="1">
      <c r="C416" s="665">
        <v>45424</v>
      </c>
      <c r="D416" s="655">
        <v>349786</v>
      </c>
      <c r="E416" s="655">
        <v>25912</v>
      </c>
      <c r="F416" s="655">
        <v>4597.75</v>
      </c>
      <c r="G416" s="655">
        <v>3993</v>
      </c>
      <c r="H416" s="655">
        <v>2040</v>
      </c>
      <c r="I416" s="646">
        <v>148000</v>
      </c>
      <c r="J416" s="655">
        <v>168531</v>
      </c>
      <c r="K416" s="655">
        <v>55626.53</v>
      </c>
      <c r="L416" s="655">
        <v>0</v>
      </c>
      <c r="M416" s="655">
        <v>203681</v>
      </c>
      <c r="N416" s="655">
        <v>7677</v>
      </c>
      <c r="O416" s="655">
        <v>2831</v>
      </c>
      <c r="P416" s="655">
        <v>176.240196</v>
      </c>
      <c r="Q416" s="337">
        <v>0</v>
      </c>
      <c r="R416" s="167">
        <f t="shared" si="20"/>
        <v>119859.33218820003</v>
      </c>
      <c r="S416" s="473">
        <v>9.1786140049327898</v>
      </c>
      <c r="T416" s="473">
        <v>0.29149999999999998</v>
      </c>
      <c r="U416" s="473">
        <v>1.6276791251235321E-3</v>
      </c>
      <c r="V416" s="473">
        <v>1.7000000000000001E-2</v>
      </c>
      <c r="W416" s="473">
        <v>7.9579999999999998E-2</v>
      </c>
      <c r="X416" s="155">
        <v>7.59</v>
      </c>
      <c r="Y416" s="473">
        <v>10.69</v>
      </c>
      <c r="Z416" s="337">
        <v>0</v>
      </c>
      <c r="AC416" s="473">
        <v>0.22398604547114939</v>
      </c>
      <c r="AD416" s="473">
        <v>6.1532449659773406E-2</v>
      </c>
      <c r="AE416" s="473">
        <v>1.86700025</v>
      </c>
      <c r="AF416" s="473">
        <v>14.146658473666772</v>
      </c>
      <c r="AG416" s="172">
        <f t="shared" si="21"/>
        <v>7.9716838567906212</v>
      </c>
      <c r="AH416" s="667">
        <f t="shared" si="19"/>
        <v>202405</v>
      </c>
      <c r="AJ416" s="262" t="s">
        <v>1567</v>
      </c>
      <c r="AK416" s="262"/>
    </row>
    <row r="417" spans="3:37" ht="15.75" hidden="1">
      <c r="C417" s="649">
        <v>45425</v>
      </c>
      <c r="D417" s="645">
        <v>357977</v>
      </c>
      <c r="E417" s="645">
        <v>30843</v>
      </c>
      <c r="F417" s="645">
        <v>4956</v>
      </c>
      <c r="G417" s="645">
        <v>4120</v>
      </c>
      <c r="H417" s="645">
        <v>1976</v>
      </c>
      <c r="I417" s="646">
        <v>155400</v>
      </c>
      <c r="J417" s="645">
        <v>168843</v>
      </c>
      <c r="K417" s="645">
        <v>54396.01</v>
      </c>
      <c r="L417" s="645">
        <v>7316</v>
      </c>
      <c r="M417" s="645">
        <v>215922</v>
      </c>
      <c r="N417" s="645">
        <v>7659</v>
      </c>
      <c r="O417" s="645">
        <v>4247</v>
      </c>
      <c r="P417" s="645">
        <v>95.038877999999997</v>
      </c>
      <c r="Q417" s="337">
        <v>0</v>
      </c>
      <c r="R417" s="167">
        <f t="shared" si="20"/>
        <v>125666.18369510002</v>
      </c>
      <c r="S417" s="648">
        <v>8.6706102557858316</v>
      </c>
      <c r="T417" s="648">
        <v>0.26516200000000001</v>
      </c>
      <c r="U417" s="648">
        <v>1.6396571399445556E-3</v>
      </c>
      <c r="V417" s="472">
        <v>1.7000000000000001E-2</v>
      </c>
      <c r="W417" s="472">
        <v>7.9700000000000007E-2</v>
      </c>
      <c r="X417" s="155">
        <v>7.59</v>
      </c>
      <c r="Y417" s="674">
        <v>10.7</v>
      </c>
      <c r="Z417" s="337">
        <v>0</v>
      </c>
      <c r="AB417" s="337">
        <v>0</v>
      </c>
      <c r="AC417" s="472">
        <v>0.22030485888312798</v>
      </c>
      <c r="AD417" s="472">
        <v>6.1787301038944115E-2</v>
      </c>
      <c r="AE417" s="472">
        <v>1.8681002499999999</v>
      </c>
      <c r="AF417" s="472">
        <v>14.142156099301422</v>
      </c>
      <c r="AG417" s="172">
        <f t="shared" si="21"/>
        <v>7.9549927011805774</v>
      </c>
      <c r="AH417" s="667">
        <f t="shared" si="19"/>
        <v>202405</v>
      </c>
      <c r="AJ417" s="262" t="s">
        <v>1568</v>
      </c>
      <c r="AK417" s="262"/>
    </row>
    <row r="418" spans="3:37" ht="15.75" hidden="1">
      <c r="C418" s="665">
        <v>45426</v>
      </c>
      <c r="D418" s="655">
        <v>357980</v>
      </c>
      <c r="E418" s="655">
        <v>23132</v>
      </c>
      <c r="F418" s="655">
        <v>4903</v>
      </c>
      <c r="G418" s="655">
        <v>4102</v>
      </c>
      <c r="H418" s="655">
        <v>2351</v>
      </c>
      <c r="I418" s="646">
        <v>155400</v>
      </c>
      <c r="J418" s="655">
        <v>168151</v>
      </c>
      <c r="K418" s="655">
        <v>53996.49</v>
      </c>
      <c r="L418" s="655">
        <v>45558</v>
      </c>
      <c r="M418" s="655">
        <v>221064</v>
      </c>
      <c r="N418" s="655">
        <v>7630</v>
      </c>
      <c r="O418" s="655">
        <v>3769</v>
      </c>
      <c r="P418" s="655">
        <v>101.768964</v>
      </c>
      <c r="Q418" s="337">
        <v>0</v>
      </c>
      <c r="R418" s="167">
        <f t="shared" si="20"/>
        <v>132873.58403379997</v>
      </c>
      <c r="S418" s="473">
        <v>8.4842855807921378</v>
      </c>
      <c r="T418" s="473">
        <v>0.27100800000000003</v>
      </c>
      <c r="U418" s="473">
        <v>1.6439612965705498E-3</v>
      </c>
      <c r="V418" s="473">
        <v>1.7000000000000001E-2</v>
      </c>
      <c r="W418" s="473">
        <v>0.26491000000000003</v>
      </c>
      <c r="X418" s="155">
        <v>7.59</v>
      </c>
      <c r="Y418" s="473">
        <v>10.51</v>
      </c>
      <c r="AA418" s="337">
        <v>0</v>
      </c>
      <c r="AB418" s="337">
        <v>0</v>
      </c>
      <c r="AC418" s="473">
        <v>0.2287999048554851</v>
      </c>
      <c r="AD418" s="473">
        <v>6.1277598280602696E-2</v>
      </c>
      <c r="AE418" s="473">
        <v>1.8577002499999999</v>
      </c>
      <c r="AF418" s="473">
        <v>14.162657476914712</v>
      </c>
      <c r="AG418" s="172">
        <f t="shared" si="21"/>
        <v>8.0876158422457429</v>
      </c>
      <c r="AH418" s="667">
        <f t="shared" si="19"/>
        <v>202405</v>
      </c>
      <c r="AJ418" s="262" t="s">
        <v>1569</v>
      </c>
      <c r="AK418" s="262"/>
    </row>
    <row r="419" spans="3:37" ht="15.75" hidden="1">
      <c r="C419" s="649">
        <v>45427</v>
      </c>
      <c r="D419" s="645">
        <v>347817</v>
      </c>
      <c r="E419" s="645">
        <v>27616</v>
      </c>
      <c r="F419" s="645">
        <v>19674</v>
      </c>
      <c r="G419" s="645">
        <v>4095</v>
      </c>
      <c r="H419" s="645">
        <v>2666</v>
      </c>
      <c r="I419" s="646">
        <v>155400</v>
      </c>
      <c r="J419" s="645">
        <v>168337</v>
      </c>
      <c r="K419" s="645">
        <v>53472.34</v>
      </c>
      <c r="L419" s="645">
        <v>42693</v>
      </c>
      <c r="M419" s="645">
        <v>221442</v>
      </c>
      <c r="N419" s="645">
        <v>7614</v>
      </c>
      <c r="O419" s="645">
        <v>4713</v>
      </c>
      <c r="P419" s="645">
        <v>166.113618</v>
      </c>
      <c r="Q419" s="337">
        <v>0</v>
      </c>
      <c r="R419" s="167">
        <f t="shared" si="20"/>
        <v>144146.75507810002</v>
      </c>
      <c r="S419" s="648">
        <v>9.2024001336553862</v>
      </c>
      <c r="T419" s="648">
        <v>0.26385900000000001</v>
      </c>
      <c r="U419" s="648">
        <v>2.6914287817820905E-3</v>
      </c>
      <c r="V419" s="472">
        <v>1.7000000000000001E-2</v>
      </c>
      <c r="W419" s="472">
        <v>0.34785000000000005</v>
      </c>
      <c r="X419" s="155">
        <v>7.59</v>
      </c>
      <c r="Y419" s="674">
        <v>10.3</v>
      </c>
      <c r="Z419" s="337">
        <v>0</v>
      </c>
      <c r="AC419" s="472">
        <v>0.22738406386009222</v>
      </c>
      <c r="AD419" s="472">
        <v>6.1532449659773406E-2</v>
      </c>
      <c r="AE419" s="472">
        <v>1.8662002499999999</v>
      </c>
      <c r="AF419" s="472">
        <v>14.180893508935371</v>
      </c>
      <c r="AG419" s="172">
        <f t="shared" si="21"/>
        <v>8.1382186091422213</v>
      </c>
      <c r="AH419" s="667">
        <f t="shared" si="19"/>
        <v>202405</v>
      </c>
      <c r="AJ419" s="262" t="s">
        <v>1587</v>
      </c>
      <c r="AK419" s="262"/>
    </row>
    <row r="420" spans="3:37" ht="15.75" hidden="1">
      <c r="C420" s="665">
        <v>45428</v>
      </c>
      <c r="D420" s="655">
        <v>357917</v>
      </c>
      <c r="E420" s="655">
        <v>27704</v>
      </c>
      <c r="F420" s="655">
        <v>29981</v>
      </c>
      <c r="G420" s="655">
        <v>4146</v>
      </c>
      <c r="H420" s="655">
        <v>2579</v>
      </c>
      <c r="I420" s="646">
        <v>155400</v>
      </c>
      <c r="J420" s="655">
        <v>169215</v>
      </c>
      <c r="K420" s="655">
        <v>55334.11</v>
      </c>
      <c r="L420" s="655">
        <v>0</v>
      </c>
      <c r="M420" s="655">
        <v>216422</v>
      </c>
      <c r="N420" s="655">
        <v>7632</v>
      </c>
      <c r="O420" s="655">
        <v>3218</v>
      </c>
      <c r="P420" s="655">
        <v>80.069153999999997</v>
      </c>
      <c r="Q420" s="337">
        <v>0</v>
      </c>
      <c r="R420" s="167">
        <f t="shared" si="20"/>
        <v>141115.72131930001</v>
      </c>
      <c r="S420" s="473">
        <v>10.811928177217982</v>
      </c>
      <c r="T420" s="473">
        <v>0.27315600000000001</v>
      </c>
      <c r="U420" s="473">
        <v>3.9721135957547418E-3</v>
      </c>
      <c r="V420" s="473">
        <v>1.7000000000000001E-2</v>
      </c>
      <c r="W420" s="473">
        <v>0.32064999999999999</v>
      </c>
      <c r="X420" s="155">
        <v>7.59</v>
      </c>
      <c r="Y420" s="473">
        <v>10.39</v>
      </c>
      <c r="AA420" s="337">
        <v>0</v>
      </c>
      <c r="AB420" s="337">
        <v>0</v>
      </c>
      <c r="AC420" s="473">
        <v>0.22200386807759939</v>
      </c>
      <c r="AD420" s="473">
        <v>6.1787301038944115E-2</v>
      </c>
      <c r="AE420" s="473">
        <v>1.8802002499999999</v>
      </c>
      <c r="AF420" s="473">
        <v>14.187463011153994</v>
      </c>
      <c r="AG420" s="172">
        <f t="shared" si="21"/>
        <v>8.1819323107110566</v>
      </c>
      <c r="AH420" s="667">
        <f t="shared" si="19"/>
        <v>202405</v>
      </c>
      <c r="AJ420" s="262" t="s">
        <v>1586</v>
      </c>
      <c r="AK420" s="262"/>
    </row>
    <row r="421" spans="3:37" ht="15.75" hidden="1">
      <c r="C421" s="649">
        <v>45429</v>
      </c>
      <c r="D421" s="645">
        <v>350220</v>
      </c>
      <c r="E421" s="645">
        <v>27151</v>
      </c>
      <c r="F421" s="645">
        <v>29667</v>
      </c>
      <c r="G421" s="645">
        <v>4150</v>
      </c>
      <c r="H421" s="645">
        <v>2502</v>
      </c>
      <c r="I421" s="646">
        <v>155400</v>
      </c>
      <c r="J421" s="645">
        <v>169818</v>
      </c>
      <c r="K421" s="645">
        <v>44205.11</v>
      </c>
      <c r="L421" s="645">
        <v>0</v>
      </c>
      <c r="M421" s="677">
        <v>215607</v>
      </c>
      <c r="N421" s="645">
        <v>7642</v>
      </c>
      <c r="O421" s="645">
        <v>4441</v>
      </c>
      <c r="P421" s="645">
        <v>186.681264</v>
      </c>
      <c r="Q421" s="337">
        <v>0</v>
      </c>
      <c r="R421" s="167">
        <f t="shared" si="20"/>
        <v>138374.01606879997</v>
      </c>
      <c r="S421" s="648">
        <v>12.721614511803866</v>
      </c>
      <c r="T421" s="648">
        <v>0.27106999999999998</v>
      </c>
      <c r="U421" s="648">
        <v>4.4085041073547273E-3</v>
      </c>
      <c r="V421" s="472">
        <v>1.7000000000000001E-2</v>
      </c>
      <c r="W421" s="472">
        <v>0.31201999999999996</v>
      </c>
      <c r="X421" s="155">
        <v>7.59</v>
      </c>
      <c r="Y421" s="674">
        <v>10.36</v>
      </c>
      <c r="AC421" s="472">
        <v>0.22087119528128513</v>
      </c>
      <c r="AD421" s="472">
        <v>6.7167496821436953E-2</v>
      </c>
      <c r="AE421" s="472">
        <v>1.8720002499999999</v>
      </c>
      <c r="AF421" s="472">
        <v>14.139324417310638</v>
      </c>
      <c r="AG421" s="172">
        <f t="shared" si="21"/>
        <v>8.199512241750142</v>
      </c>
      <c r="AH421" s="667">
        <f t="shared" si="19"/>
        <v>202405</v>
      </c>
      <c r="AJ421" s="262"/>
      <c r="AK421" s="262"/>
    </row>
    <row r="422" spans="3:37" ht="15.75" hidden="1">
      <c r="C422" s="665">
        <v>45430</v>
      </c>
      <c r="D422" s="655">
        <v>379542</v>
      </c>
      <c r="E422" s="655">
        <v>24157</v>
      </c>
      <c r="F422" s="655">
        <v>29513</v>
      </c>
      <c r="G422" s="655">
        <v>4232</v>
      </c>
      <c r="H422" s="655">
        <v>2527</v>
      </c>
      <c r="I422" s="646">
        <v>155400</v>
      </c>
      <c r="J422" s="655">
        <v>169818</v>
      </c>
      <c r="K422" s="655">
        <v>52677.2</v>
      </c>
      <c r="L422" s="655">
        <v>0</v>
      </c>
      <c r="M422" s="655">
        <v>194900</v>
      </c>
      <c r="N422" s="655">
        <v>7636</v>
      </c>
      <c r="O422" s="655">
        <v>4455</v>
      </c>
      <c r="P422" s="655">
        <v>134.60171999999997</v>
      </c>
      <c r="Q422" s="337">
        <v>0</v>
      </c>
      <c r="R422" s="167">
        <f t="shared" si="20"/>
        <v>139472.42097400001</v>
      </c>
      <c r="S422" s="473">
        <v>11.232999289247822</v>
      </c>
      <c r="T422" s="473">
        <v>0.28178599999999998</v>
      </c>
      <c r="U422" s="473">
        <v>4.2168275533984428E-3</v>
      </c>
      <c r="V422" s="473">
        <v>1.7000000000000001E-2</v>
      </c>
      <c r="W422" s="473">
        <v>0.30582999999999999</v>
      </c>
      <c r="X422" s="155">
        <v>7.59</v>
      </c>
      <c r="Y422" s="473">
        <v>10.1</v>
      </c>
      <c r="AC422" s="473">
        <v>0.22455238186930654</v>
      </c>
      <c r="AD422" s="473">
        <v>6.572333900613625E-2</v>
      </c>
      <c r="AE422" s="473">
        <v>1.88110025</v>
      </c>
      <c r="AF422" s="473">
        <v>14.171435691086147</v>
      </c>
      <c r="AG422" s="172">
        <f t="shared" si="21"/>
        <v>8.1034755604617263</v>
      </c>
      <c r="AH422" s="667">
        <f t="shared" si="19"/>
        <v>202405</v>
      </c>
      <c r="AJ422" s="262" t="s">
        <v>1588</v>
      </c>
      <c r="AK422" s="262"/>
    </row>
    <row r="423" spans="3:37" ht="15.75" hidden="1">
      <c r="C423" s="649">
        <v>45431</v>
      </c>
      <c r="D423" s="645">
        <v>379760</v>
      </c>
      <c r="E423" s="645">
        <v>22541</v>
      </c>
      <c r="F423" s="645">
        <v>29393</v>
      </c>
      <c r="G423" s="645">
        <v>4260</v>
      </c>
      <c r="H423" s="645">
        <v>2504</v>
      </c>
      <c r="I423" s="646">
        <v>155400</v>
      </c>
      <c r="J423" s="645">
        <v>170755</v>
      </c>
      <c r="K423" s="645">
        <v>54152.52</v>
      </c>
      <c r="L423" s="645">
        <v>0</v>
      </c>
      <c r="M423" s="645">
        <v>214670</v>
      </c>
      <c r="N423" s="645">
        <v>7642</v>
      </c>
      <c r="O423" s="645">
        <v>3383</v>
      </c>
      <c r="P423" s="645">
        <v>165.799128</v>
      </c>
      <c r="Q423" s="337">
        <v>0</v>
      </c>
      <c r="R423" s="167">
        <f t="shared" si="20"/>
        <v>139937.2856076</v>
      </c>
      <c r="S423" s="648">
        <v>11.168436939857909</v>
      </c>
      <c r="T423" s="648">
        <v>0.283165</v>
      </c>
      <c r="U423" s="648">
        <v>4.5398941517271838E-3</v>
      </c>
      <c r="V423" s="472">
        <v>1.7000000000000001E-2</v>
      </c>
      <c r="W423" s="472">
        <v>0.30351999999999996</v>
      </c>
      <c r="X423" s="155">
        <v>7.59</v>
      </c>
      <c r="Y423" s="674">
        <v>10.46</v>
      </c>
      <c r="Z423" s="337">
        <v>0</v>
      </c>
      <c r="AC423" s="472">
        <v>0.22313654087391369</v>
      </c>
      <c r="AD423" s="472">
        <v>6.9461159233973377E-2</v>
      </c>
      <c r="AE423" s="472">
        <v>1.87110025</v>
      </c>
      <c r="AF423" s="472">
        <v>14.13731392309718</v>
      </c>
      <c r="AG423" s="172">
        <f t="shared" si="21"/>
        <v>8.1849113318331685</v>
      </c>
      <c r="AH423" s="667">
        <f t="shared" si="19"/>
        <v>202405</v>
      </c>
      <c r="AJ423" s="262"/>
      <c r="AK423" s="262"/>
    </row>
    <row r="424" spans="3:37" ht="15.75" hidden="1">
      <c r="C424" s="665">
        <v>45432</v>
      </c>
      <c r="D424" s="655">
        <v>344641</v>
      </c>
      <c r="E424" s="655">
        <v>19937</v>
      </c>
      <c r="F424" s="655">
        <v>29228</v>
      </c>
      <c r="G424" s="655">
        <v>4257</v>
      </c>
      <c r="H424" s="655">
        <v>2467</v>
      </c>
      <c r="I424" s="646">
        <v>148000</v>
      </c>
      <c r="J424" s="655">
        <v>171127</v>
      </c>
      <c r="K424" s="655">
        <v>54519.64</v>
      </c>
      <c r="L424" s="655">
        <v>15488</v>
      </c>
      <c r="M424" s="655">
        <v>210126</v>
      </c>
      <c r="N424" s="655">
        <v>7714</v>
      </c>
      <c r="O424" s="655">
        <v>3841</v>
      </c>
      <c r="P424" s="655">
        <v>60.256283999999994</v>
      </c>
      <c r="Q424" s="337">
        <v>0</v>
      </c>
      <c r="R424" s="167">
        <f t="shared" si="20"/>
        <v>140675.80242780002</v>
      </c>
      <c r="S424" s="473">
        <v>11.393272489926288</v>
      </c>
      <c r="T424" s="473">
        <v>0.217777</v>
      </c>
      <c r="U424" s="473">
        <v>4.4694135869765284E-3</v>
      </c>
      <c r="V424" s="473">
        <v>1.7000000000000001E-2</v>
      </c>
      <c r="W424" s="473">
        <v>0.30231999999999998</v>
      </c>
      <c r="X424" s="155">
        <v>7.59</v>
      </c>
      <c r="Y424" s="473">
        <v>10.15</v>
      </c>
      <c r="AB424" s="337">
        <v>0</v>
      </c>
      <c r="AC424" s="473">
        <v>0.21973852248497083</v>
      </c>
      <c r="AD424" s="473">
        <v>6.9177991034894817E-2</v>
      </c>
      <c r="AE424" s="473">
        <v>1.86330025</v>
      </c>
      <c r="AF424" s="473">
        <v>14.148329166041336</v>
      </c>
      <c r="AG424" s="172">
        <f t="shared" si="21"/>
        <v>8.0884764786425123</v>
      </c>
      <c r="AH424" s="667">
        <f t="shared" si="19"/>
        <v>202405</v>
      </c>
      <c r="AJ424" s="262" t="s">
        <v>1592</v>
      </c>
      <c r="AK424" s="262"/>
    </row>
    <row r="425" spans="3:37" ht="15.75" hidden="1">
      <c r="C425" s="649">
        <v>45433</v>
      </c>
      <c r="D425" s="645">
        <v>315723</v>
      </c>
      <c r="E425" s="645">
        <v>16616</v>
      </c>
      <c r="F425" s="645">
        <v>28466</v>
      </c>
      <c r="G425" s="645">
        <v>3926</v>
      </c>
      <c r="H425" s="645">
        <v>2469</v>
      </c>
      <c r="I425" s="646">
        <v>148000</v>
      </c>
      <c r="J425" s="645">
        <v>170614</v>
      </c>
      <c r="K425" s="645">
        <v>51821.93</v>
      </c>
      <c r="L425" s="645">
        <v>41853</v>
      </c>
      <c r="M425" s="645">
        <v>221330</v>
      </c>
      <c r="N425" s="645">
        <v>7847</v>
      </c>
      <c r="O425" s="645">
        <v>4226</v>
      </c>
      <c r="P425" s="645">
        <v>203.34923399999997</v>
      </c>
      <c r="Q425" s="337">
        <v>0</v>
      </c>
      <c r="R425" s="167">
        <f t="shared" si="20"/>
        <v>144648.15720530003</v>
      </c>
      <c r="S425" s="648">
        <v>10.799751944657606</v>
      </c>
      <c r="T425" s="648">
        <v>0.17602400000000001</v>
      </c>
      <c r="U425" s="648">
        <v>4.473887644521969E-3</v>
      </c>
      <c r="V425" s="472">
        <v>1.7000000000000001E-2</v>
      </c>
      <c r="W425" s="472">
        <v>0.30129</v>
      </c>
      <c r="X425" s="155">
        <v>7.59</v>
      </c>
      <c r="Y425" s="674">
        <v>10.36</v>
      </c>
      <c r="AC425" s="472">
        <v>0.22540188646654225</v>
      </c>
      <c r="AD425" s="472">
        <v>6.5638388546412685E-2</v>
      </c>
      <c r="AE425" s="472">
        <v>1.84740025</v>
      </c>
      <c r="AF425" s="472">
        <v>14.113952546673199</v>
      </c>
      <c r="AG425" s="172">
        <f t="shared" si="21"/>
        <v>8.1032740796370835</v>
      </c>
      <c r="AH425" s="667">
        <f t="shared" si="19"/>
        <v>202405</v>
      </c>
      <c r="AJ425" s="262" t="s">
        <v>1589</v>
      </c>
      <c r="AK425" s="262"/>
    </row>
    <row r="426" spans="3:37" ht="15.75" hidden="1">
      <c r="C426" s="665">
        <v>45434</v>
      </c>
      <c r="D426" s="655">
        <v>328575</v>
      </c>
      <c r="E426" s="655">
        <v>18962</v>
      </c>
      <c r="F426" s="655">
        <v>28732</v>
      </c>
      <c r="G426" s="655">
        <v>4103</v>
      </c>
      <c r="H426" s="655">
        <v>2475</v>
      </c>
      <c r="I426" s="646">
        <v>148000</v>
      </c>
      <c r="J426" s="655">
        <v>170309</v>
      </c>
      <c r="K426" s="655">
        <v>53682.92</v>
      </c>
      <c r="L426" s="655">
        <v>41812</v>
      </c>
      <c r="M426" s="655">
        <v>208786</v>
      </c>
      <c r="N426" s="655">
        <v>7854</v>
      </c>
      <c r="O426" s="655">
        <v>3876</v>
      </c>
      <c r="P426" s="655">
        <v>75.980784</v>
      </c>
      <c r="Q426" s="337">
        <v>0</v>
      </c>
      <c r="R426" s="167">
        <f t="shared" si="20"/>
        <v>145536.9088528</v>
      </c>
      <c r="S426" s="473">
        <v>8.8481567166080985</v>
      </c>
      <c r="T426" s="473">
        <v>0.21050099999999999</v>
      </c>
      <c r="U426" s="473">
        <v>4.3886823334192276E-3</v>
      </c>
      <c r="V426" s="473">
        <v>1.7000000000000001E-2</v>
      </c>
      <c r="W426" s="473">
        <v>0.30122000000000004</v>
      </c>
      <c r="X426" s="155">
        <v>7.59</v>
      </c>
      <c r="Y426" s="473">
        <v>10.51</v>
      </c>
      <c r="AC426" s="473">
        <v>0.22313654087391369</v>
      </c>
      <c r="AD426" s="473">
        <v>6.572333900613625E-2</v>
      </c>
      <c r="AE426" s="473">
        <v>1.8587002500000001</v>
      </c>
      <c r="AF426" s="473">
        <v>14.075979691176761</v>
      </c>
      <c r="AG426" s="172">
        <f t="shared" si="21"/>
        <v>8.104785782885676</v>
      </c>
      <c r="AH426" s="667">
        <f t="shared" si="19"/>
        <v>202405</v>
      </c>
      <c r="AJ426" s="262"/>
      <c r="AK426" s="262"/>
    </row>
    <row r="427" spans="3:37" ht="15.75" hidden="1">
      <c r="C427" s="649">
        <v>45435</v>
      </c>
      <c r="D427" s="645">
        <v>334091</v>
      </c>
      <c r="E427" s="645">
        <v>25208</v>
      </c>
      <c r="F427" s="645">
        <v>29009</v>
      </c>
      <c r="G427" s="645">
        <v>4101</v>
      </c>
      <c r="H427" s="645">
        <v>2504</v>
      </c>
      <c r="I427" s="646">
        <v>148000</v>
      </c>
      <c r="J427" s="645">
        <v>171671</v>
      </c>
      <c r="K427" s="645">
        <v>51121.97</v>
      </c>
      <c r="L427" s="645">
        <v>12281</v>
      </c>
      <c r="M427" s="645">
        <v>219816</v>
      </c>
      <c r="N427" s="645">
        <v>7841</v>
      </c>
      <c r="O427" s="645">
        <v>4380</v>
      </c>
      <c r="P427" s="645">
        <v>205.04748000000001</v>
      </c>
      <c r="Q427" s="337">
        <v>0</v>
      </c>
      <c r="R427" s="167">
        <f t="shared" si="20"/>
        <v>140861.62721599999</v>
      </c>
      <c r="S427" s="648">
        <v>8.9130022341970907</v>
      </c>
      <c r="T427" s="648">
        <v>0.22914300000000001</v>
      </c>
      <c r="U427" s="648">
        <v>4.4218696463512366E-3</v>
      </c>
      <c r="V427" s="472">
        <v>1.7000000000000001E-2</v>
      </c>
      <c r="W427" s="472">
        <v>0.29932999999999998</v>
      </c>
      <c r="X427" s="155">
        <v>7.59</v>
      </c>
      <c r="Y427" s="674">
        <v>9.98</v>
      </c>
      <c r="AC427" s="472">
        <v>0.21775634509142086</v>
      </c>
      <c r="AD427" s="472">
        <v>6.9631060153420535E-2</v>
      </c>
      <c r="AE427" s="472">
        <v>1.8720002499999999</v>
      </c>
      <c r="AF427" s="472">
        <v>14.067796130223391</v>
      </c>
      <c r="AG427" s="172">
        <f t="shared" si="21"/>
        <v>7.9772153470218008</v>
      </c>
      <c r="AH427" s="667">
        <f t="shared" si="19"/>
        <v>202405</v>
      </c>
      <c r="AJ427" s="262"/>
      <c r="AK427" s="262"/>
    </row>
    <row r="428" spans="3:37" ht="15.75" hidden="1">
      <c r="C428" s="665">
        <v>45436</v>
      </c>
      <c r="D428" s="655">
        <v>341698</v>
      </c>
      <c r="E428" s="655">
        <v>34409</v>
      </c>
      <c r="F428" s="655">
        <v>28862</v>
      </c>
      <c r="G428" s="655">
        <v>4136</v>
      </c>
      <c r="H428" s="655">
        <v>2415</v>
      </c>
      <c r="I428" s="646">
        <v>148000</v>
      </c>
      <c r="J428" s="655">
        <v>175882</v>
      </c>
      <c r="K428" s="655">
        <v>54073.39</v>
      </c>
      <c r="L428" s="655">
        <v>0</v>
      </c>
      <c r="M428" s="655">
        <v>215247</v>
      </c>
      <c r="N428" s="655">
        <v>7563</v>
      </c>
      <c r="O428" s="655">
        <v>3097</v>
      </c>
      <c r="P428" s="655">
        <v>103.02692399999999</v>
      </c>
      <c r="Q428" s="337">
        <v>0</v>
      </c>
      <c r="R428" s="167">
        <f t="shared" si="20"/>
        <v>141444.69341579999</v>
      </c>
      <c r="S428" s="473">
        <v>8.7626399204863699</v>
      </c>
      <c r="T428" s="473">
        <v>0.23775399999999999</v>
      </c>
      <c r="U428" s="473">
        <v>4.5082359470701994E-3</v>
      </c>
      <c r="V428" s="473">
        <v>1.7000000000000001E-2</v>
      </c>
      <c r="W428" s="473">
        <v>0.29669999999999996</v>
      </c>
      <c r="X428" s="155">
        <v>7.59</v>
      </c>
      <c r="Y428" s="473">
        <v>9.92</v>
      </c>
      <c r="AC428" s="473">
        <v>0.21662367229510657</v>
      </c>
      <c r="AD428" s="473">
        <v>6.9772644252959815E-2</v>
      </c>
      <c r="AE428" s="473">
        <v>1.8643002500000001</v>
      </c>
      <c r="AF428" s="473">
        <v>14.045567426595722</v>
      </c>
      <c r="AG428" s="172">
        <f t="shared" si="21"/>
        <v>7.9505855640011021</v>
      </c>
      <c r="AH428" s="667">
        <f t="shared" si="19"/>
        <v>202405</v>
      </c>
      <c r="AJ428" s="262" t="s">
        <v>1591</v>
      </c>
      <c r="AK428" s="262"/>
    </row>
    <row r="429" spans="3:37" ht="15.75" hidden="1">
      <c r="C429" s="649">
        <v>45437</v>
      </c>
      <c r="D429" s="645">
        <v>353180</v>
      </c>
      <c r="E429" s="645">
        <v>31472</v>
      </c>
      <c r="F429" s="645">
        <v>28693</v>
      </c>
      <c r="G429" s="645">
        <v>4172</v>
      </c>
      <c r="H429" s="645">
        <v>2466</v>
      </c>
      <c r="I429" s="646">
        <v>148000</v>
      </c>
      <c r="J429" s="645">
        <v>177667</v>
      </c>
      <c r="K429" s="645">
        <v>53869.279999999999</v>
      </c>
      <c r="L429" s="645">
        <v>0</v>
      </c>
      <c r="M429" s="677">
        <v>214702</v>
      </c>
      <c r="N429" s="645">
        <v>7750</v>
      </c>
      <c r="O429" s="645">
        <v>4297</v>
      </c>
      <c r="P429" s="645">
        <v>103.02692399999999</v>
      </c>
      <c r="Q429" s="337">
        <v>0</v>
      </c>
      <c r="R429" s="167">
        <f t="shared" si="20"/>
        <v>141759.48011579996</v>
      </c>
      <c r="S429" s="648">
        <v>8.9481150908828333</v>
      </c>
      <c r="T429" s="648">
        <v>0.27437499999999998</v>
      </c>
      <c r="U429" s="648">
        <v>4.1484990669607832E-3</v>
      </c>
      <c r="V429" s="472">
        <v>1.7000000000000001E-2</v>
      </c>
      <c r="W429" s="472">
        <v>0.29304000000000002</v>
      </c>
      <c r="X429" s="155">
        <v>7.59</v>
      </c>
      <c r="Y429" s="674">
        <v>10.33</v>
      </c>
      <c r="AC429" s="472">
        <v>0.21662367229510657</v>
      </c>
      <c r="AD429" s="472">
        <v>6.4505715750098391E-2</v>
      </c>
      <c r="AE429" s="472">
        <v>1.8643002500000001</v>
      </c>
      <c r="AF429" s="472">
        <v>13.924144902830831</v>
      </c>
      <c r="AG429" s="172">
        <f t="shared" si="21"/>
        <v>8.0446972941800077</v>
      </c>
      <c r="AH429" s="667">
        <f t="shared" ref="AH429:AH440" si="22">IF($AK$1&gt;=C429,(YEAR(C429)*100+MONTH(C429)),0)</f>
        <v>202405</v>
      </c>
      <c r="AJ429" s="262" t="s">
        <v>1591</v>
      </c>
      <c r="AK429" s="262"/>
    </row>
    <row r="430" spans="3:37" ht="15.75" hidden="1">
      <c r="C430" s="665">
        <v>45438</v>
      </c>
      <c r="D430" s="655">
        <v>348462</v>
      </c>
      <c r="E430" s="655">
        <v>28063</v>
      </c>
      <c r="F430" s="655">
        <v>28602.07</v>
      </c>
      <c r="G430" s="655">
        <v>4213</v>
      </c>
      <c r="H430" s="655">
        <v>2486</v>
      </c>
      <c r="I430" s="646">
        <v>148000</v>
      </c>
      <c r="J430" s="655">
        <v>175056</v>
      </c>
      <c r="K430" s="655">
        <v>52766.66</v>
      </c>
      <c r="L430" s="655">
        <v>0</v>
      </c>
      <c r="M430" s="655">
        <v>231400</v>
      </c>
      <c r="N430" s="655">
        <v>7607</v>
      </c>
      <c r="O430" s="655">
        <v>4021</v>
      </c>
      <c r="P430" s="655">
        <v>124.34934599999998</v>
      </c>
      <c r="Q430" s="337">
        <v>0</v>
      </c>
      <c r="R430" s="167">
        <f t="shared" si="20"/>
        <v>140303.78340569997</v>
      </c>
      <c r="S430" s="473">
        <v>9.1661546041733342</v>
      </c>
      <c r="T430" s="473">
        <v>0.27740399999999998</v>
      </c>
      <c r="U430" s="473">
        <v>4.4832038782716549E-3</v>
      </c>
      <c r="V430" s="473">
        <v>1.7000000000000001E-2</v>
      </c>
      <c r="W430" s="473">
        <v>0.28425</v>
      </c>
      <c r="X430" s="155">
        <v>7.59</v>
      </c>
      <c r="Y430" s="473">
        <v>10.29</v>
      </c>
      <c r="AC430" s="473">
        <v>0.21719000869326369</v>
      </c>
      <c r="AD430" s="473">
        <v>6.5921556745491244E-2</v>
      </c>
      <c r="AE430" s="473">
        <v>1.85140024</v>
      </c>
      <c r="AF430" s="473">
        <v>1.7585028330978316</v>
      </c>
      <c r="AG430" s="172">
        <f t="shared" si="21"/>
        <v>5.9582606073522806</v>
      </c>
      <c r="AH430" s="667">
        <f t="shared" si="22"/>
        <v>202405</v>
      </c>
      <c r="AJ430" s="262" t="s">
        <v>1590</v>
      </c>
      <c r="AK430" s="262"/>
    </row>
    <row r="431" spans="3:37" ht="15.75" hidden="1">
      <c r="C431" s="649">
        <v>45439</v>
      </c>
      <c r="D431" s="645">
        <v>344246</v>
      </c>
      <c r="E431" s="645">
        <v>27711</v>
      </c>
      <c r="F431" s="645">
        <v>28503.08</v>
      </c>
      <c r="G431" s="645">
        <v>4241</v>
      </c>
      <c r="H431" s="645">
        <v>2050</v>
      </c>
      <c r="I431" s="646">
        <v>148000</v>
      </c>
      <c r="J431" s="645">
        <v>176544</v>
      </c>
      <c r="K431" s="645">
        <v>53817.95</v>
      </c>
      <c r="L431" s="645">
        <v>0</v>
      </c>
      <c r="M431" s="645">
        <v>226741</v>
      </c>
      <c r="N431" s="645">
        <v>7625</v>
      </c>
      <c r="O431" s="645">
        <v>4227</v>
      </c>
      <c r="P431" s="645">
        <v>160.830186</v>
      </c>
      <c r="Q431" s="337">
        <v>0</v>
      </c>
      <c r="R431" s="167">
        <f t="shared" si="20"/>
        <v>140184.19968370002</v>
      </c>
      <c r="S431" s="648">
        <v>9.0053150670967064</v>
      </c>
      <c r="T431" s="648">
        <v>0.27925</v>
      </c>
      <c r="U431" s="648">
        <v>4.5507961273917093E-3</v>
      </c>
      <c r="V431" s="472">
        <v>1.7000000000000001E-2</v>
      </c>
      <c r="W431" s="472">
        <v>0.15606</v>
      </c>
      <c r="X431" s="155">
        <v>7.59</v>
      </c>
      <c r="Y431" s="674">
        <v>10.44</v>
      </c>
      <c r="AC431" s="472">
        <v>0.21520783129971369</v>
      </c>
      <c r="AD431" s="472">
        <v>6.9461159233973377E-2</v>
      </c>
      <c r="AE431" s="472">
        <v>1.8313002</v>
      </c>
      <c r="AF431" s="472">
        <v>11.319450540426507</v>
      </c>
      <c r="AG431" s="172">
        <f t="shared" si="21"/>
        <v>7.4834148423481732</v>
      </c>
      <c r="AH431" s="667">
        <f t="shared" si="22"/>
        <v>202405</v>
      </c>
      <c r="AJ431" s="262" t="s">
        <v>1594</v>
      </c>
      <c r="AK431" s="262"/>
    </row>
    <row r="432" spans="3:37" ht="15.75" hidden="1">
      <c r="C432" s="665">
        <v>45440</v>
      </c>
      <c r="D432" s="655">
        <v>346652</v>
      </c>
      <c r="E432" s="655">
        <v>29371</v>
      </c>
      <c r="F432" s="655">
        <v>28326.48</v>
      </c>
      <c r="G432" s="655">
        <v>4275</v>
      </c>
      <c r="H432" s="655">
        <v>1887</v>
      </c>
      <c r="I432" s="646">
        <v>148000</v>
      </c>
      <c r="J432" s="655">
        <v>177556</v>
      </c>
      <c r="K432" s="655">
        <v>53415.64</v>
      </c>
      <c r="L432" s="655">
        <v>16539</v>
      </c>
      <c r="M432" s="655">
        <v>256825</v>
      </c>
      <c r="N432" s="655">
        <v>7700</v>
      </c>
      <c r="O432" s="655">
        <v>4216</v>
      </c>
      <c r="P432" s="655">
        <v>85.16389199999999</v>
      </c>
      <c r="Q432" s="337">
        <v>0</v>
      </c>
      <c r="R432" s="167">
        <f t="shared" si="20"/>
        <v>145744.0947014</v>
      </c>
      <c r="S432" s="473">
        <v>8.9931388345363228</v>
      </c>
      <c r="T432" s="473">
        <v>0.27632499999999999</v>
      </c>
      <c r="U432" s="473">
        <v>4.4490537934627787E-3</v>
      </c>
      <c r="V432" s="473">
        <v>1.7000000000000001E-2</v>
      </c>
      <c r="W432" s="473">
        <v>7.8950000000000006E-2</v>
      </c>
      <c r="X432" s="155">
        <v>7.59</v>
      </c>
      <c r="Y432" s="473">
        <v>10.63</v>
      </c>
      <c r="AC432" s="473">
        <v>0.21152664471169227</v>
      </c>
      <c r="AD432" s="473">
        <v>7.0792049769642665E-2</v>
      </c>
      <c r="AE432" s="473">
        <v>1.7656002500000001</v>
      </c>
      <c r="AF432" s="473">
        <v>14.323157212152401</v>
      </c>
      <c r="AG432" s="172">
        <f t="shared" si="21"/>
        <v>7.9357551841252647</v>
      </c>
      <c r="AH432" s="667">
        <f t="shared" si="22"/>
        <v>202405</v>
      </c>
      <c r="AJ432" s="262" t="s">
        <v>1595</v>
      </c>
      <c r="AK432" s="262"/>
    </row>
    <row r="433" spans="3:37" ht="15.75" hidden="1">
      <c r="C433" s="649">
        <v>45441</v>
      </c>
      <c r="D433" s="645">
        <v>350419</v>
      </c>
      <c r="E433" s="645">
        <v>31962</v>
      </c>
      <c r="F433" s="645">
        <v>28256.66</v>
      </c>
      <c r="G433" s="645">
        <v>4213</v>
      </c>
      <c r="H433" s="645">
        <v>1871</v>
      </c>
      <c r="I433" s="646">
        <v>148000</v>
      </c>
      <c r="J433" s="645">
        <v>177496</v>
      </c>
      <c r="K433" s="645">
        <v>54692.45</v>
      </c>
      <c r="L433" s="645">
        <v>39274</v>
      </c>
      <c r="M433" s="645">
        <v>320853</v>
      </c>
      <c r="N433" s="645">
        <v>7777</v>
      </c>
      <c r="O433" s="645">
        <v>4216</v>
      </c>
      <c r="P433" s="645">
        <v>160.95598199999998</v>
      </c>
      <c r="Q433" s="337">
        <v>0</v>
      </c>
      <c r="R433" s="167">
        <f t="shared" si="20"/>
        <v>154826.92609189998</v>
      </c>
      <c r="S433" s="648">
        <v>8.8883666008772568</v>
      </c>
      <c r="T433" s="648">
        <v>0.27711400000000003</v>
      </c>
      <c r="U433" s="648">
        <v>4.2335911107838943E-3</v>
      </c>
      <c r="V433" s="472">
        <v>1.7000000000000001E-2</v>
      </c>
      <c r="W433" s="472">
        <v>7.9430000000000001E-2</v>
      </c>
      <c r="X433" s="155">
        <v>7.59</v>
      </c>
      <c r="Y433" s="674">
        <v>10.55</v>
      </c>
      <c r="Z433" s="337">
        <v>0</v>
      </c>
      <c r="AC433" s="472">
        <v>0.21265931750800657</v>
      </c>
      <c r="AD433" s="472">
        <v>7.1075217968721224E-2</v>
      </c>
      <c r="AE433" s="472">
        <v>1.75400025</v>
      </c>
      <c r="AF433" s="472">
        <v>15.1699150778571</v>
      </c>
      <c r="AG433" s="172">
        <f t="shared" si="21"/>
        <v>8.0520438501068909</v>
      </c>
      <c r="AH433" s="667">
        <f t="shared" si="22"/>
        <v>202405</v>
      </c>
      <c r="AJ433" s="262" t="s">
        <v>1593</v>
      </c>
      <c r="AK433" s="262"/>
    </row>
    <row r="434" spans="3:37" ht="409.5" hidden="1">
      <c r="C434" s="665">
        <v>45442</v>
      </c>
      <c r="D434" s="655">
        <v>368282</v>
      </c>
      <c r="E434" s="655">
        <v>31742</v>
      </c>
      <c r="F434" s="655">
        <v>28160.73</v>
      </c>
      <c r="G434" s="655">
        <v>4281</v>
      </c>
      <c r="H434" s="655">
        <v>1898</v>
      </c>
      <c r="I434" s="646">
        <v>148000</v>
      </c>
      <c r="J434" s="655">
        <v>177526</v>
      </c>
      <c r="K434" s="655">
        <v>55661.23</v>
      </c>
      <c r="L434" s="655">
        <v>37358</v>
      </c>
      <c r="M434" s="655">
        <v>326698</v>
      </c>
      <c r="N434" s="655">
        <v>7818</v>
      </c>
      <c r="O434" s="655">
        <v>4005</v>
      </c>
      <c r="P434" s="655">
        <v>112.58741999999998</v>
      </c>
      <c r="Q434" s="337">
        <v>0</v>
      </c>
      <c r="R434" s="167">
        <f t="shared" si="20"/>
        <v>155093.91453900002</v>
      </c>
      <c r="S434" s="473">
        <v>7.8565016834349413</v>
      </c>
      <c r="T434" s="473">
        <v>0.27857900000000002</v>
      </c>
      <c r="U434" s="473">
        <v>4.4298833063851593E-3</v>
      </c>
      <c r="V434" s="473">
        <v>1.7000000000000001E-2</v>
      </c>
      <c r="W434" s="473">
        <v>7.8370000000000009E-2</v>
      </c>
      <c r="X434" s="155">
        <v>7.59</v>
      </c>
      <c r="Y434" s="473">
        <v>10.61</v>
      </c>
      <c r="AC434" s="473">
        <v>0.21492466310063513</v>
      </c>
      <c r="AD434" s="473">
        <v>7.2094623485404088E-2</v>
      </c>
      <c r="AE434" s="473">
        <v>1.84740025</v>
      </c>
      <c r="AF434" s="473">
        <v>14.557847015548765</v>
      </c>
      <c r="AG434" s="172">
        <f t="shared" si="21"/>
        <v>7.9819161046803391</v>
      </c>
      <c r="AH434" s="667">
        <f t="shared" si="22"/>
        <v>202405</v>
      </c>
      <c r="AJ434" s="1020" t="s">
        <v>1596</v>
      </c>
      <c r="AK434" s="262"/>
    </row>
    <row r="435" spans="3:37" ht="15.75" hidden="1">
      <c r="C435" s="649">
        <v>45443</v>
      </c>
      <c r="D435" s="645">
        <v>371751</v>
      </c>
      <c r="E435" s="645">
        <v>31509</v>
      </c>
      <c r="F435" s="645">
        <v>28063.02</v>
      </c>
      <c r="G435" s="645">
        <v>4304</v>
      </c>
      <c r="H435" s="645">
        <v>1903</v>
      </c>
      <c r="I435" s="646">
        <v>148000</v>
      </c>
      <c r="J435" s="645">
        <v>177496</v>
      </c>
      <c r="K435" s="645">
        <v>56600</v>
      </c>
      <c r="L435" s="645">
        <v>16994</v>
      </c>
      <c r="M435" s="677">
        <v>358528</v>
      </c>
      <c r="N435" s="645">
        <v>7831</v>
      </c>
      <c r="O435" s="645">
        <v>4014.0000000000005</v>
      </c>
      <c r="P435" s="645">
        <v>91.831079999999986</v>
      </c>
      <c r="Q435" s="337">
        <v>0</v>
      </c>
      <c r="R435" s="167">
        <f t="shared" si="20"/>
        <v>151642.20858599999</v>
      </c>
      <c r="S435" s="648">
        <v>9.0712932574820115</v>
      </c>
      <c r="T435" s="648">
        <v>0.28636899999999998</v>
      </c>
      <c r="U435" s="648">
        <v>4.4670916077440836E-3</v>
      </c>
      <c r="V435" s="472">
        <v>1.7000000000000001E-2</v>
      </c>
      <c r="W435" s="472">
        <v>7.7980000000000008E-2</v>
      </c>
      <c r="X435" s="155">
        <v>7.59</v>
      </c>
      <c r="Y435" s="674">
        <v>10.7</v>
      </c>
      <c r="AC435" s="472">
        <v>0.21322565390616371</v>
      </c>
      <c r="AD435" s="472">
        <v>6.9064723755263388E-2</v>
      </c>
      <c r="AE435" s="472">
        <v>1.8362002500000001</v>
      </c>
      <c r="AF435" s="472">
        <v>16.008007996669942</v>
      </c>
      <c r="AG435" s="172">
        <f t="shared" si="21"/>
        <v>8.2752056517389292</v>
      </c>
      <c r="AH435" s="667">
        <f t="shared" si="22"/>
        <v>202405</v>
      </c>
      <c r="AJ435" s="262" t="s">
        <v>1597</v>
      </c>
      <c r="AK435" s="262"/>
    </row>
    <row r="436" spans="3:37" ht="15.75" hidden="1">
      <c r="C436" s="665">
        <v>45444</v>
      </c>
      <c r="D436" s="655">
        <v>339127</v>
      </c>
      <c r="E436" s="655">
        <v>31604</v>
      </c>
      <c r="F436" s="655">
        <v>27943.35</v>
      </c>
      <c r="G436" s="655">
        <v>4317</v>
      </c>
      <c r="H436" s="655">
        <v>1894</v>
      </c>
      <c r="I436" s="646">
        <v>148000</v>
      </c>
      <c r="J436" s="655">
        <v>176254</v>
      </c>
      <c r="K436" s="655">
        <v>54340.45</v>
      </c>
      <c r="L436" s="655">
        <v>9292</v>
      </c>
      <c r="M436" s="655">
        <v>354475</v>
      </c>
      <c r="N436" s="655">
        <v>7862</v>
      </c>
      <c r="O436" s="655">
        <v>3826</v>
      </c>
      <c r="P436" s="655">
        <v>141.83499</v>
      </c>
      <c r="Q436" s="337">
        <v>0</v>
      </c>
      <c r="R436" s="167">
        <f t="shared" si="20"/>
        <v>147870.65194550002</v>
      </c>
      <c r="S436" s="473">
        <v>9.1788971731318707</v>
      </c>
      <c r="T436" s="473">
        <v>0.27870499999999998</v>
      </c>
      <c r="U436" s="473">
        <v>4.5216581197065247E-3</v>
      </c>
      <c r="V436" s="473">
        <v>1.7000000000000001E-2</v>
      </c>
      <c r="W436" s="473">
        <v>7.8599999999999989E-2</v>
      </c>
      <c r="X436" s="155">
        <v>6.77</v>
      </c>
      <c r="Y436" s="473">
        <v>10.66</v>
      </c>
      <c r="AC436" s="473">
        <v>0.22426921367022795</v>
      </c>
      <c r="AD436" s="473">
        <v>6.2438587896824833E-2</v>
      </c>
      <c r="AE436" s="473">
        <v>1.8032002499999999</v>
      </c>
      <c r="AF436" s="473">
        <v>16.008007996669942</v>
      </c>
      <c r="AG436" s="172">
        <f t="shared" si="21"/>
        <v>8.0855945559794868</v>
      </c>
      <c r="AH436" s="667">
        <f t="shared" si="22"/>
        <v>202406</v>
      </c>
      <c r="AJ436" s="262" t="s">
        <v>1598</v>
      </c>
      <c r="AK436" s="262"/>
    </row>
    <row r="437" spans="3:37" ht="15.75" hidden="1">
      <c r="C437" s="649">
        <v>45445</v>
      </c>
      <c r="D437" s="645">
        <v>357345</v>
      </c>
      <c r="E437" s="645">
        <v>31000</v>
      </c>
      <c r="F437" s="645">
        <v>27870.46</v>
      </c>
      <c r="G437" s="645">
        <v>4305</v>
      </c>
      <c r="H437" s="645">
        <v>1953</v>
      </c>
      <c r="I437" s="646">
        <v>148000</v>
      </c>
      <c r="J437" s="645">
        <v>176893</v>
      </c>
      <c r="K437" s="645">
        <v>51922.69</v>
      </c>
      <c r="L437" s="645">
        <v>13453</v>
      </c>
      <c r="M437" s="645">
        <v>367314</v>
      </c>
      <c r="N437" s="645">
        <v>7945</v>
      </c>
      <c r="O437" s="645">
        <v>4303</v>
      </c>
      <c r="P437" s="645">
        <v>143.91062399999998</v>
      </c>
      <c r="Q437" s="337">
        <v>0</v>
      </c>
      <c r="R437" s="167">
        <f t="shared" si="20"/>
        <v>149410.35003080001</v>
      </c>
      <c r="S437" s="648">
        <v>8.7878418902043656</v>
      </c>
      <c r="T437" s="648">
        <v>2.6366540000000001E-2</v>
      </c>
      <c r="U437" s="648">
        <v>4.53757217249474E-3</v>
      </c>
      <c r="V437" s="472">
        <v>1.7000000000000001E-2</v>
      </c>
      <c r="W437" s="472">
        <v>7.6249999999999998E-2</v>
      </c>
      <c r="X437" s="155">
        <v>6.77</v>
      </c>
      <c r="Y437" s="674">
        <v>10.64</v>
      </c>
      <c r="AC437" s="472">
        <v>0.21549099949879227</v>
      </c>
      <c r="AD437" s="472">
        <v>6.3373042953784112E-2</v>
      </c>
      <c r="AE437" s="472">
        <v>1.78080025</v>
      </c>
      <c r="AF437" s="472">
        <v>15.8860474533268</v>
      </c>
      <c r="AG437" s="172">
        <f t="shared" si="21"/>
        <v>7.9694858206764057</v>
      </c>
      <c r="AH437" s="667">
        <f t="shared" si="22"/>
        <v>202406</v>
      </c>
      <c r="AJ437" s="262" t="s">
        <v>1599</v>
      </c>
      <c r="AK437" s="262"/>
    </row>
    <row r="438" spans="3:37" ht="15.75" hidden="1">
      <c r="C438" s="665">
        <v>45446</v>
      </c>
      <c r="D438" s="655">
        <v>356665</v>
      </c>
      <c r="E438" s="655">
        <v>25321</v>
      </c>
      <c r="F438" s="655">
        <v>27741.85</v>
      </c>
      <c r="G438" s="655">
        <v>4314</v>
      </c>
      <c r="H438" s="655">
        <v>1905</v>
      </c>
      <c r="I438" s="646">
        <v>155480</v>
      </c>
      <c r="J438" s="655">
        <v>175651</v>
      </c>
      <c r="K438" s="655">
        <v>54615.85</v>
      </c>
      <c r="L438" s="655">
        <v>13380</v>
      </c>
      <c r="M438" s="655">
        <v>384749</v>
      </c>
      <c r="N438" s="655">
        <v>7758</v>
      </c>
      <c r="O438" s="655">
        <v>3087</v>
      </c>
      <c r="P438" s="655">
        <v>94.975979999999993</v>
      </c>
      <c r="Q438" s="337">
        <v>0</v>
      </c>
      <c r="R438" s="167">
        <f t="shared" si="20"/>
        <v>149724.95319099998</v>
      </c>
      <c r="S438" s="473">
        <v>8.6734419377766176</v>
      </c>
      <c r="T438" s="473">
        <v>0.25343700000000002</v>
      </c>
      <c r="U438" s="473">
        <v>4.549606820955579E-3</v>
      </c>
      <c r="V438" s="473">
        <v>1.7000000000000001E-2</v>
      </c>
      <c r="W438" s="473">
        <v>7.6599999999999988E-2</v>
      </c>
      <c r="X438" s="155">
        <v>6.77</v>
      </c>
      <c r="Y438" s="473">
        <v>10.32</v>
      </c>
      <c r="AB438" s="337">
        <v>0</v>
      </c>
      <c r="AC438" s="473">
        <v>0.21634050409602798</v>
      </c>
      <c r="AD438" s="473">
        <v>6.459066620982197E-2</v>
      </c>
      <c r="AE438" s="473">
        <v>1.77880025</v>
      </c>
      <c r="AF438" s="473">
        <v>13.125837115988526</v>
      </c>
      <c r="AG438" s="172">
        <f t="shared" si="21"/>
        <v>7.4757553676898496</v>
      </c>
      <c r="AH438" s="667">
        <f t="shared" si="22"/>
        <v>202406</v>
      </c>
      <c r="AJ438" s="262" t="s">
        <v>1600</v>
      </c>
      <c r="AK438" s="262"/>
    </row>
    <row r="439" spans="3:37" ht="15.75" hidden="1">
      <c r="C439" s="649">
        <v>45447</v>
      </c>
      <c r="D439" s="645">
        <v>355511</v>
      </c>
      <c r="E439" s="645">
        <v>25553</v>
      </c>
      <c r="F439" s="645">
        <v>27777.599999999999</v>
      </c>
      <c r="G439" s="645">
        <v>4207</v>
      </c>
      <c r="H439" s="645">
        <v>1909</v>
      </c>
      <c r="I439" s="646">
        <v>155480</v>
      </c>
      <c r="J439" s="645">
        <v>173731</v>
      </c>
      <c r="K439" s="645">
        <v>54486.720000000001</v>
      </c>
      <c r="L439" s="645">
        <v>13490</v>
      </c>
      <c r="M439" s="645">
        <v>386119</v>
      </c>
      <c r="N439" s="645">
        <v>7321</v>
      </c>
      <c r="O439" s="645">
        <v>4232</v>
      </c>
      <c r="P439" s="645">
        <v>194.73220799999999</v>
      </c>
      <c r="Q439" s="337">
        <v>0</v>
      </c>
      <c r="R439" s="167">
        <f t="shared" si="20"/>
        <v>149741.13609359998</v>
      </c>
      <c r="S439" s="648">
        <v>8.7705686300605699</v>
      </c>
      <c r="T439" s="648">
        <v>0.25049900000000003</v>
      </c>
      <c r="U439" s="648">
        <v>4.3808102574848431E-3</v>
      </c>
      <c r="V439" s="472">
        <v>1.7000000000000001E-2</v>
      </c>
      <c r="W439" s="472">
        <v>7.6480000000000006E-2</v>
      </c>
      <c r="X439" s="155">
        <v>6.77</v>
      </c>
      <c r="Y439" s="674">
        <v>10.71</v>
      </c>
      <c r="Z439" s="337">
        <v>0</v>
      </c>
      <c r="AA439" s="337">
        <v>0</v>
      </c>
      <c r="AB439" s="337">
        <v>0</v>
      </c>
      <c r="AC439" s="472">
        <v>0.21011080371629942</v>
      </c>
      <c r="AD439" s="472">
        <v>6.5525121266781255E-2</v>
      </c>
      <c r="AE439" s="472">
        <v>1.7997002499999999</v>
      </c>
      <c r="AF439" s="472">
        <v>13.100776730370072</v>
      </c>
      <c r="AG439" s="172">
        <f t="shared" si="21"/>
        <v>7.5832008261130568</v>
      </c>
      <c r="AH439" s="667">
        <f t="shared" si="22"/>
        <v>202406</v>
      </c>
      <c r="AJ439" s="262" t="s">
        <v>1601</v>
      </c>
      <c r="AK439" s="262"/>
    </row>
    <row r="440" spans="3:37" ht="15.75" hidden="1">
      <c r="C440" s="665">
        <v>45448</v>
      </c>
      <c r="D440" s="655">
        <v>353167</v>
      </c>
      <c r="E440" s="655">
        <v>20396</v>
      </c>
      <c r="F440" s="655">
        <v>27723.21</v>
      </c>
      <c r="G440" s="655">
        <v>4229</v>
      </c>
      <c r="H440" s="655">
        <v>1913</v>
      </c>
      <c r="I440" s="646">
        <v>155480</v>
      </c>
      <c r="J440" s="655">
        <v>173144</v>
      </c>
      <c r="K440" s="655">
        <v>53562.59</v>
      </c>
      <c r="L440" s="655">
        <v>14498</v>
      </c>
      <c r="M440" s="655">
        <v>385780</v>
      </c>
      <c r="N440" s="655">
        <v>8547</v>
      </c>
      <c r="O440" s="655">
        <v>4062.0000000000005</v>
      </c>
      <c r="P440" s="655">
        <v>95.227571999999995</v>
      </c>
      <c r="Q440" s="337">
        <v>0</v>
      </c>
      <c r="R440" s="167">
        <f t="shared" si="20"/>
        <v>148139.57710739999</v>
      </c>
      <c r="S440" s="473">
        <v>8.814176532718669</v>
      </c>
      <c r="T440" s="473">
        <v>0.24458299999999999</v>
      </c>
      <c r="U440" s="473">
        <v>4.4422294398649854E-3</v>
      </c>
      <c r="V440" s="473">
        <v>1.7000000000000001E-2</v>
      </c>
      <c r="W440" s="473">
        <v>8.0349999999999991E-2</v>
      </c>
      <c r="X440" s="155">
        <v>6.77</v>
      </c>
      <c r="Y440" s="473">
        <v>10.81</v>
      </c>
      <c r="AB440" s="337">
        <v>0</v>
      </c>
      <c r="AC440" s="473">
        <v>0.23587910983244936</v>
      </c>
      <c r="AD440" s="473">
        <v>6.8356803257566962E-2</v>
      </c>
      <c r="AE440" s="473">
        <v>1.78240025</v>
      </c>
      <c r="AF440" s="473">
        <v>13.125497314149632</v>
      </c>
      <c r="AG440" s="172">
        <f t="shared" si="21"/>
        <v>7.6129085278037412</v>
      </c>
      <c r="AH440" s="667">
        <f t="shared" si="22"/>
        <v>202406</v>
      </c>
      <c r="AJ440" s="262" t="s">
        <v>1602</v>
      </c>
      <c r="AK440" s="262"/>
    </row>
    <row r="441" spans="3:37" ht="15.75" hidden="1">
      <c r="C441" s="649">
        <v>45449</v>
      </c>
      <c r="D441" s="645">
        <v>351401</v>
      </c>
      <c r="E441" s="645">
        <v>25440</v>
      </c>
      <c r="F441" s="645">
        <v>27401.62</v>
      </c>
      <c r="G441" s="645">
        <v>4161</v>
      </c>
      <c r="H441" s="645">
        <v>1891</v>
      </c>
      <c r="I441" s="646">
        <v>155480</v>
      </c>
      <c r="J441" s="645">
        <v>171633</v>
      </c>
      <c r="K441" s="645">
        <v>53560.29</v>
      </c>
      <c r="L441" s="645">
        <v>14861</v>
      </c>
      <c r="M441" s="645">
        <v>400267</v>
      </c>
      <c r="N441" s="645">
        <v>7917</v>
      </c>
      <c r="O441" s="645">
        <v>4518</v>
      </c>
      <c r="P441" s="645">
        <v>133.09216799999999</v>
      </c>
      <c r="Q441" s="337">
        <v>0</v>
      </c>
      <c r="R441" s="167">
        <f t="shared" si="20"/>
        <v>149583.30732559998</v>
      </c>
      <c r="S441" s="648">
        <v>8.8036993093527638</v>
      </c>
      <c r="T441" s="648">
        <v>0.24413099999999999</v>
      </c>
      <c r="U441" s="648">
        <v>4.6439584648885592E-3</v>
      </c>
      <c r="V441" s="472">
        <v>1.7000000000000001E-2</v>
      </c>
      <c r="W441" s="472">
        <v>7.2469999999999993E-2</v>
      </c>
      <c r="X441" s="155">
        <v>6.77</v>
      </c>
      <c r="Y441" s="674">
        <v>10.71</v>
      </c>
      <c r="Z441" s="337"/>
      <c r="AA441" s="337"/>
      <c r="AB441" s="337">
        <v>0</v>
      </c>
      <c r="AC441" s="472">
        <v>0.21492466310063513</v>
      </c>
      <c r="AD441" s="472">
        <v>6.9347891954341948E-2</v>
      </c>
      <c r="AE441" s="472">
        <v>1.77050025</v>
      </c>
      <c r="AF441" s="472">
        <v>13.071978524523781</v>
      </c>
      <c r="AG441" s="172">
        <f t="shared" si="21"/>
        <v>7.5624439263633203</v>
      </c>
      <c r="AH441" s="667">
        <f>IF($AK$1&gt;=C441,(YEAR(C441)*100+MONTH(C441)),0)</f>
        <v>202406</v>
      </c>
      <c r="AJ441" s="262" t="s">
        <v>1603</v>
      </c>
      <c r="AK441" s="262"/>
    </row>
    <row r="442" spans="3:37" ht="15.75" hidden="1">
      <c r="C442" s="665">
        <v>45450</v>
      </c>
      <c r="D442" s="655">
        <v>348927</v>
      </c>
      <c r="E442" s="655">
        <v>33774</v>
      </c>
      <c r="F442" s="655">
        <v>27568.560000000001</v>
      </c>
      <c r="G442" s="655">
        <v>4168</v>
      </c>
      <c r="H442" s="655">
        <v>1869</v>
      </c>
      <c r="I442" s="646">
        <v>155480</v>
      </c>
      <c r="J442" s="655">
        <v>169758</v>
      </c>
      <c r="K442" s="655">
        <v>54344.46</v>
      </c>
      <c r="L442" s="655">
        <v>14513</v>
      </c>
      <c r="M442" s="655">
        <v>391018</v>
      </c>
      <c r="N442" s="655">
        <v>5514</v>
      </c>
      <c r="O442" s="655">
        <v>3606</v>
      </c>
      <c r="P442" s="655">
        <v>175.92570599999999</v>
      </c>
      <c r="Q442" s="337">
        <v>0</v>
      </c>
      <c r="R442" s="167">
        <f t="shared" si="20"/>
        <v>150519.46851770004</v>
      </c>
      <c r="S442" s="473">
        <v>9.0568516793290055</v>
      </c>
      <c r="T442" s="473">
        <v>0.28365899999999999</v>
      </c>
      <c r="U442" s="473">
        <v>4.6938810183861108E-3</v>
      </c>
      <c r="V442" s="473">
        <v>1.7000000000000001E-2</v>
      </c>
      <c r="W442" s="473">
        <v>6.4310000000000006E-2</v>
      </c>
      <c r="X442" s="155">
        <v>6.77</v>
      </c>
      <c r="Y442" s="473">
        <v>10.68</v>
      </c>
      <c r="AB442" s="337">
        <v>0</v>
      </c>
      <c r="AC442" s="473">
        <v>0.18490883399830665</v>
      </c>
      <c r="AD442" s="473">
        <v>6.8356803257566962E-2</v>
      </c>
      <c r="AE442" s="473">
        <v>1.7733002499999999</v>
      </c>
      <c r="AF442" s="473">
        <v>13.067419516518616</v>
      </c>
      <c r="AG442" s="172">
        <f t="shared" si="21"/>
        <v>7.5598260438563756</v>
      </c>
      <c r="AH442" s="667">
        <f t="shared" ref="AH442:AH443" si="23">IF($AK$1&gt;=C442,(YEAR(C442)*100+MONTH(C442)),0)</f>
        <v>202406</v>
      </c>
      <c r="AJ442" s="262" t="s">
        <v>1606</v>
      </c>
      <c r="AK442" s="262"/>
    </row>
    <row r="443" spans="3:37" ht="15.75" hidden="1" customHeight="1">
      <c r="C443" s="649">
        <v>45451</v>
      </c>
      <c r="D443" s="645">
        <v>342834</v>
      </c>
      <c r="E443" s="645">
        <v>32333</v>
      </c>
      <c r="F443" s="645">
        <v>27379.22</v>
      </c>
      <c r="G443" s="645">
        <v>4177</v>
      </c>
      <c r="H443" s="645">
        <v>1860</v>
      </c>
      <c r="I443" s="646">
        <v>155480</v>
      </c>
      <c r="J443" s="645">
        <v>168174</v>
      </c>
      <c r="K443" s="645">
        <v>53088.17</v>
      </c>
      <c r="L443" s="645">
        <v>14255</v>
      </c>
      <c r="M443" s="645">
        <v>394060</v>
      </c>
      <c r="N443" s="645">
        <v>7354</v>
      </c>
      <c r="O443" s="645">
        <v>3696</v>
      </c>
      <c r="P443" s="645">
        <v>107.99586600000001</v>
      </c>
      <c r="Q443" s="337">
        <v>0</v>
      </c>
      <c r="R443" s="167">
        <f t="shared" si="20"/>
        <v>149393.96878970001</v>
      </c>
      <c r="S443" s="648">
        <v>8.7283765683978594</v>
      </c>
      <c r="T443" s="648">
        <v>0.29070699999999999</v>
      </c>
      <c r="U443" s="648">
        <v>4.5818596788306278E-3</v>
      </c>
      <c r="V443" s="472">
        <v>1.7000000000000001E-2</v>
      </c>
      <c r="W443" s="472">
        <v>6.4250000000000002E-2</v>
      </c>
      <c r="X443" s="155">
        <v>6.77</v>
      </c>
      <c r="Y443" s="674">
        <v>11.04</v>
      </c>
      <c r="AB443" s="337">
        <v>0</v>
      </c>
      <c r="AC443" s="472">
        <v>0.24069296921678507</v>
      </c>
      <c r="AD443" s="472">
        <v>6.5921556745491244E-2</v>
      </c>
      <c r="AE443" s="472">
        <v>1.7737002500000001</v>
      </c>
      <c r="AF443" s="472">
        <v>12.721331343604787</v>
      </c>
      <c r="AG443" s="172">
        <f t="shared" si="21"/>
        <v>7.5941099807300301</v>
      </c>
      <c r="AH443" s="667">
        <f t="shared" si="23"/>
        <v>202406</v>
      </c>
      <c r="AI443" s="262"/>
      <c r="AJ443" s="262" t="s">
        <v>1604</v>
      </c>
      <c r="AK443" s="262"/>
    </row>
    <row r="444" spans="3:37" ht="15.75" hidden="1">
      <c r="C444" s="665">
        <v>45452</v>
      </c>
      <c r="D444" s="655">
        <v>333761</v>
      </c>
      <c r="E444" s="655">
        <v>30981</v>
      </c>
      <c r="F444" s="655">
        <v>26980.46</v>
      </c>
      <c r="G444" s="655">
        <v>4212</v>
      </c>
      <c r="H444" s="655">
        <v>2046</v>
      </c>
      <c r="I444" s="646">
        <v>155480</v>
      </c>
      <c r="J444" s="655">
        <v>167214</v>
      </c>
      <c r="K444" s="655">
        <v>53284.58</v>
      </c>
      <c r="L444" s="655">
        <v>13749</v>
      </c>
      <c r="M444" s="655">
        <v>386222</v>
      </c>
      <c r="N444" s="655">
        <v>7710</v>
      </c>
      <c r="O444" s="655">
        <v>3416</v>
      </c>
      <c r="P444" s="655">
        <v>118.75142399999999</v>
      </c>
      <c r="Q444" s="337">
        <v>0</v>
      </c>
      <c r="R444" s="167">
        <f t="shared" si="20"/>
        <v>148039.62049079998</v>
      </c>
      <c r="S444" s="473">
        <v>8.9005428334376351</v>
      </c>
      <c r="T444" s="473">
        <v>0.285078</v>
      </c>
      <c r="U444" s="473">
        <v>4.5399507853669998E-3</v>
      </c>
      <c r="V444" s="473">
        <v>1.7000000000000001E-2</v>
      </c>
      <c r="W444" s="473">
        <v>0.16764999999999999</v>
      </c>
      <c r="X444" s="155">
        <v>6.77</v>
      </c>
      <c r="Y444" s="473">
        <v>10.87</v>
      </c>
      <c r="AB444" s="337">
        <v>0</v>
      </c>
      <c r="AC444" s="473">
        <v>0.21888901788773513</v>
      </c>
      <c r="AD444" s="473">
        <v>6.5440170807057677E-2</v>
      </c>
      <c r="AE444" s="473">
        <v>1.7571002499999999</v>
      </c>
      <c r="AF444" s="473">
        <v>13.184509566837606</v>
      </c>
      <c r="AG444" s="172">
        <f t="shared" si="21"/>
        <v>7.7244171641550334</v>
      </c>
      <c r="AH444" s="667">
        <f>IF($AK$1&gt;=C444,(YEAR(C444)*100+MONTH(C444)),0)</f>
        <v>202406</v>
      </c>
      <c r="AI444" s="262"/>
      <c r="AJ444" s="262" t="s">
        <v>1605</v>
      </c>
      <c r="AK444" s="262"/>
    </row>
    <row r="445" spans="3:37" ht="15.75" hidden="1">
      <c r="C445" s="649">
        <v>45453</v>
      </c>
      <c r="D445" s="645">
        <v>331972</v>
      </c>
      <c r="E445" s="645">
        <v>26289</v>
      </c>
      <c r="F445" s="645">
        <v>27436.23</v>
      </c>
      <c r="G445" s="645">
        <v>4260</v>
      </c>
      <c r="H445" s="645">
        <v>2118</v>
      </c>
      <c r="I445" s="646">
        <v>155480</v>
      </c>
      <c r="J445" s="645">
        <v>165823</v>
      </c>
      <c r="K445" s="645">
        <v>54111.89</v>
      </c>
      <c r="L445" s="645">
        <v>14134</v>
      </c>
      <c r="M445" s="645">
        <v>398111</v>
      </c>
      <c r="N445" s="645">
        <v>7529</v>
      </c>
      <c r="O445" s="645">
        <v>4509</v>
      </c>
      <c r="P445" s="645">
        <v>122.713998</v>
      </c>
      <c r="Q445" s="337">
        <v>0</v>
      </c>
      <c r="R445" s="167">
        <f t="shared" si="20"/>
        <v>147979.17549910001</v>
      </c>
      <c r="S445" s="648">
        <v>8.7649052660789941</v>
      </c>
      <c r="T445" s="648">
        <v>0.28218500000000002</v>
      </c>
      <c r="U445" s="648">
        <v>4.5403189040258019E-3</v>
      </c>
      <c r="V445" s="472">
        <v>1.7000000000000001E-2</v>
      </c>
      <c r="W445" s="472">
        <v>0.19714999999999999</v>
      </c>
      <c r="X445" s="155">
        <v>6.77</v>
      </c>
      <c r="Y445" s="674">
        <v>10.52</v>
      </c>
      <c r="AB445" s="337">
        <v>0</v>
      </c>
      <c r="AC445" s="472">
        <v>0.21011080371629942</v>
      </c>
      <c r="AD445" s="472">
        <v>6.572333900613625E-2</v>
      </c>
      <c r="AE445" s="472">
        <v>1.74200025</v>
      </c>
      <c r="AF445" s="472">
        <v>13.0673628828788</v>
      </c>
      <c r="AG445" s="172">
        <f t="shared" si="21"/>
        <v>7.6314408114798864</v>
      </c>
      <c r="AH445" s="667">
        <f>IF($AK$1&gt;=C445,(YEAR(C445)*100+MONTH(C445)),0)</f>
        <v>202406</v>
      </c>
      <c r="AJ445" s="262" t="s">
        <v>1607</v>
      </c>
      <c r="AK445" s="262"/>
    </row>
    <row r="446" spans="3:37" ht="15.75" hidden="1">
      <c r="C446" s="665">
        <v>45454</v>
      </c>
      <c r="D446" s="655">
        <v>347310</v>
      </c>
      <c r="E446" s="655">
        <v>27786</v>
      </c>
      <c r="F446" s="655">
        <v>27434.41</v>
      </c>
      <c r="G446" s="655">
        <v>4251</v>
      </c>
      <c r="H446" s="655">
        <v>2106</v>
      </c>
      <c r="I446" s="646">
        <v>155480</v>
      </c>
      <c r="J446" s="655">
        <v>166671</v>
      </c>
      <c r="K446" s="655">
        <v>50081.22</v>
      </c>
      <c r="L446" s="655">
        <v>13898</v>
      </c>
      <c r="M446" s="655">
        <v>379971</v>
      </c>
      <c r="N446" s="655">
        <v>7756</v>
      </c>
      <c r="O446" s="655">
        <v>4195</v>
      </c>
      <c r="P446" s="655">
        <v>159.63512399999999</v>
      </c>
      <c r="Q446" s="337">
        <v>0</v>
      </c>
      <c r="R446" s="167">
        <f t="shared" si="20"/>
        <v>147066.16130579999</v>
      </c>
      <c r="S446" s="473">
        <v>8.8005844591628968</v>
      </c>
      <c r="T446" s="473">
        <v>0.28406500000000001</v>
      </c>
      <c r="U446" s="473">
        <v>4.3468583904153228E-3</v>
      </c>
      <c r="V446" s="473">
        <v>1.7000000000000001E-2</v>
      </c>
      <c r="W446" s="473">
        <v>0.19187000000000001</v>
      </c>
      <c r="X446" s="155">
        <v>6.77</v>
      </c>
      <c r="Y446" s="473">
        <v>10.52</v>
      </c>
      <c r="AB446" s="337">
        <v>0</v>
      </c>
      <c r="AC446" s="473">
        <v>0.21350882210524227</v>
      </c>
      <c r="AD446" s="473">
        <v>6.6657794063095535E-2</v>
      </c>
      <c r="AE446" s="473">
        <v>1.73590025</v>
      </c>
      <c r="AF446" s="473">
        <v>13.133086221884936</v>
      </c>
      <c r="AG446" s="172">
        <f t="shared" si="21"/>
        <v>7.6365327101572085</v>
      </c>
      <c r="AH446" s="667">
        <f>IF($AK$1&gt;=C446,(YEAR(C446)*100+MONTH(C446)),0)</f>
        <v>202406</v>
      </c>
      <c r="AJ446" s="262" t="s">
        <v>1615</v>
      </c>
      <c r="AK446" s="262"/>
    </row>
    <row r="447" spans="3:37" ht="15.75" hidden="1">
      <c r="C447" s="649">
        <v>45455</v>
      </c>
      <c r="D447" s="645">
        <v>353641</v>
      </c>
      <c r="E447" s="645">
        <v>31868</v>
      </c>
      <c r="F447" s="645">
        <v>27364.73</v>
      </c>
      <c r="G447" s="645">
        <v>4109</v>
      </c>
      <c r="H447" s="645">
        <v>1927</v>
      </c>
      <c r="I447" s="646">
        <v>155480</v>
      </c>
      <c r="J447" s="645">
        <v>166336</v>
      </c>
      <c r="K447" s="645">
        <v>51860.38</v>
      </c>
      <c r="L447" s="645">
        <v>11968</v>
      </c>
      <c r="M447" s="645">
        <v>377125</v>
      </c>
      <c r="N447" s="645">
        <v>7404</v>
      </c>
      <c r="O447" s="645">
        <v>256</v>
      </c>
      <c r="P447" s="645">
        <v>173.47268399999999</v>
      </c>
      <c r="Q447" s="337">
        <v>0</v>
      </c>
      <c r="R447" s="167">
        <f t="shared" si="20"/>
        <v>146185.91580779999</v>
      </c>
      <c r="S447" s="648">
        <v>8.7156339994393246</v>
      </c>
      <c r="T447" s="648">
        <v>0.27775100000000003</v>
      </c>
      <c r="U447" s="648">
        <v>4.5974905634197658E-3</v>
      </c>
      <c r="V447" s="472">
        <v>1.7000000000000001E-2</v>
      </c>
      <c r="W447" s="472">
        <v>0.10665999999999999</v>
      </c>
      <c r="X447" s="155">
        <v>6.77</v>
      </c>
      <c r="Y447" s="674">
        <v>10.67</v>
      </c>
      <c r="AB447" s="337">
        <v>0</v>
      </c>
      <c r="AC447" s="472">
        <v>0.20897813091998516</v>
      </c>
      <c r="AD447" s="472">
        <v>6.6940962262174108E-2</v>
      </c>
      <c r="AE447" s="472">
        <v>1.71820025</v>
      </c>
      <c r="AF447" s="472">
        <v>1.260976307316783</v>
      </c>
      <c r="AG447" s="172">
        <f t="shared" si="21"/>
        <v>5.5602222228313636</v>
      </c>
      <c r="AH447" s="667">
        <f>IF($AK$1&gt;=C447,(YEAR(C447)*100+MONTH(C447)),0)</f>
        <v>202406</v>
      </c>
      <c r="AJ447" s="262" t="s">
        <v>1608</v>
      </c>
      <c r="AK447" s="262"/>
    </row>
    <row r="448" spans="3:37" ht="15.75" hidden="1">
      <c r="C448" s="665">
        <v>45456</v>
      </c>
      <c r="D448" s="655">
        <v>349954</v>
      </c>
      <c r="E448" s="655">
        <v>34868</v>
      </c>
      <c r="F448" s="655">
        <v>27261.119999999999</v>
      </c>
      <c r="G448" s="655">
        <v>4203</v>
      </c>
      <c r="H448" s="655">
        <v>1845</v>
      </c>
      <c r="I448" s="646">
        <v>155480</v>
      </c>
      <c r="J448" s="655">
        <v>167653</v>
      </c>
      <c r="K448" s="655">
        <v>54123.09</v>
      </c>
      <c r="L448" s="655">
        <v>13683</v>
      </c>
      <c r="M448" s="655">
        <v>374770</v>
      </c>
      <c r="N448" s="655">
        <v>7706</v>
      </c>
      <c r="O448" s="655">
        <v>3573</v>
      </c>
      <c r="P448" s="655">
        <v>96.737123999999994</v>
      </c>
      <c r="Q448" s="337">
        <v>0</v>
      </c>
      <c r="R448" s="167">
        <f t="shared" si="20"/>
        <v>149356.34935579999</v>
      </c>
      <c r="S448" s="473">
        <v>8.8294676154689142</v>
      </c>
      <c r="T448" s="473">
        <v>0.29266900000000001</v>
      </c>
      <c r="U448" s="473">
        <v>4.7264453612801465E-3</v>
      </c>
      <c r="V448" s="473">
        <v>1.7000000000000001E-2</v>
      </c>
      <c r="W448" s="473">
        <v>6.4420000000000005E-2</v>
      </c>
      <c r="X448" s="155">
        <v>6.77</v>
      </c>
      <c r="Y448" s="473">
        <v>10.7</v>
      </c>
      <c r="Z448" s="337">
        <v>0</v>
      </c>
      <c r="AB448" s="337">
        <v>0</v>
      </c>
      <c r="AC448" s="473">
        <v>0.20982763551722086</v>
      </c>
      <c r="AD448" s="473">
        <v>6.5779972645951965E-2</v>
      </c>
      <c r="AE448" s="473">
        <v>1.71400025</v>
      </c>
      <c r="AF448" s="473">
        <v>13.094575346810251</v>
      </c>
      <c r="AG448" s="172">
        <f t="shared" si="21"/>
        <v>7.5419807940932451</v>
      </c>
      <c r="AH448" s="667">
        <f>IF($AK$1&gt;=C448,(YEAR(C448)*100+MONTH(C448)),0)</f>
        <v>202406</v>
      </c>
      <c r="AJ448" s="262" t="s">
        <v>1609</v>
      </c>
      <c r="AK448" s="262"/>
    </row>
    <row r="449" spans="3:37" ht="15.75" hidden="1">
      <c r="C449" s="649">
        <v>45457</v>
      </c>
      <c r="D449" s="645">
        <v>343373</v>
      </c>
      <c r="E449" s="645">
        <v>33384</v>
      </c>
      <c r="F449" s="645">
        <v>27170.11</v>
      </c>
      <c r="G449" s="645">
        <v>4206</v>
      </c>
      <c r="H449" s="645">
        <v>1806</v>
      </c>
      <c r="I449" s="646">
        <v>155480</v>
      </c>
      <c r="J449" s="645">
        <v>167616</v>
      </c>
      <c r="K449" s="645">
        <v>52920.35</v>
      </c>
      <c r="L449" s="645">
        <v>13375</v>
      </c>
      <c r="M449" s="645">
        <v>400774</v>
      </c>
      <c r="N449" s="645">
        <v>7921</v>
      </c>
      <c r="O449" s="645">
        <v>6949</v>
      </c>
      <c r="P449" s="645">
        <v>108.24745799999999</v>
      </c>
      <c r="Q449" s="337">
        <v>0</v>
      </c>
      <c r="R449" s="167">
        <f t="shared" si="20"/>
        <v>150737.22090609997</v>
      </c>
      <c r="S449" s="648">
        <v>8.8611824537657142</v>
      </c>
      <c r="T449" s="648">
        <v>0.27756399999999998</v>
      </c>
      <c r="U449" s="648">
        <v>4.7264453612801465E-3</v>
      </c>
      <c r="V449" s="472">
        <v>1.7000000000000001E-2</v>
      </c>
      <c r="W449" s="472">
        <v>6.3350000000000004E-2</v>
      </c>
      <c r="X449" s="155">
        <v>6.77</v>
      </c>
      <c r="Y449" s="674">
        <v>10.49</v>
      </c>
      <c r="AB449" s="337">
        <v>0</v>
      </c>
      <c r="AC449" s="472">
        <v>0.2095444673181423</v>
      </c>
      <c r="AD449" s="472">
        <v>6.1787301038944115E-2</v>
      </c>
      <c r="AE449" s="472">
        <v>1.6992002500000001</v>
      </c>
      <c r="AF449" s="472">
        <v>13.202604014758725</v>
      </c>
      <c r="AG449" s="172">
        <f t="shared" si="21"/>
        <v>7.4930417132644411</v>
      </c>
      <c r="AH449" s="667">
        <f t="shared" ref="AH449:AH512" si="24">IF($AK$1&gt;=C449,(YEAR(C449)*100+MONTH(C449)),0)</f>
        <v>202406</v>
      </c>
      <c r="AJ449" s="262" t="s">
        <v>1610</v>
      </c>
      <c r="AK449" s="262"/>
    </row>
    <row r="450" spans="3:37" ht="15.75" hidden="1">
      <c r="C450" s="665">
        <v>45458</v>
      </c>
      <c r="D450" s="655">
        <v>346668</v>
      </c>
      <c r="E450" s="655">
        <v>26302</v>
      </c>
      <c r="F450" s="655">
        <v>27141.33</v>
      </c>
      <c r="G450" s="655">
        <v>4224</v>
      </c>
      <c r="H450" s="655">
        <v>1895</v>
      </c>
      <c r="I450" s="646">
        <v>155480</v>
      </c>
      <c r="J450" s="655">
        <v>167467</v>
      </c>
      <c r="K450" s="655">
        <v>52243.02</v>
      </c>
      <c r="L450" s="655">
        <v>14001</v>
      </c>
      <c r="M450" s="655">
        <v>427232</v>
      </c>
      <c r="N450" s="655">
        <v>6502</v>
      </c>
      <c r="O450" s="655">
        <v>6339</v>
      </c>
      <c r="P450" s="655">
        <v>133.59535199999999</v>
      </c>
      <c r="Q450" s="337">
        <v>0</v>
      </c>
      <c r="R450" s="167">
        <f t="shared" si="20"/>
        <v>149591.6359584</v>
      </c>
      <c r="S450" s="473">
        <v>8.5652716857286055</v>
      </c>
      <c r="T450" s="473">
        <v>0.20821600000000001</v>
      </c>
      <c r="U450" s="473">
        <v>4.6817614194655487E-3</v>
      </c>
      <c r="V450" s="473">
        <v>1.7000000000000001E-2</v>
      </c>
      <c r="W450" s="473">
        <v>6.3649999999999998E-2</v>
      </c>
      <c r="X450" s="155">
        <v>6.77</v>
      </c>
      <c r="Y450" s="473">
        <v>10.72</v>
      </c>
      <c r="AB450" s="337">
        <v>0</v>
      </c>
      <c r="AC450" s="473">
        <v>0.34829688486664195</v>
      </c>
      <c r="AD450" s="473">
        <v>6.2693439275995549E-2</v>
      </c>
      <c r="AE450" s="473">
        <v>1.6891002500000001</v>
      </c>
      <c r="AF450" s="473">
        <v>13.201188173763335</v>
      </c>
      <c r="AG450" s="172">
        <f t="shared" si="21"/>
        <v>7.5383904640194528</v>
      </c>
      <c r="AH450" s="667">
        <f t="shared" si="24"/>
        <v>202406</v>
      </c>
      <c r="AJ450" s="262" t="s">
        <v>1611</v>
      </c>
      <c r="AK450" s="262"/>
    </row>
    <row r="451" spans="3:37" ht="15.75" hidden="1">
      <c r="C451" s="649">
        <v>45459</v>
      </c>
      <c r="D451" s="645">
        <v>342999</v>
      </c>
      <c r="E451" s="645">
        <v>14314</v>
      </c>
      <c r="F451" s="645">
        <v>27117.81</v>
      </c>
      <c r="G451" s="645">
        <v>4161</v>
      </c>
      <c r="H451" s="645">
        <v>1810</v>
      </c>
      <c r="I451" s="646">
        <v>155480</v>
      </c>
      <c r="J451" s="645">
        <v>171544</v>
      </c>
      <c r="K451" s="645">
        <v>53441.58</v>
      </c>
      <c r="L451" s="645">
        <v>13990</v>
      </c>
      <c r="M451" s="645">
        <v>427275</v>
      </c>
      <c r="N451" s="645">
        <v>7955</v>
      </c>
      <c r="O451" s="645">
        <v>4557</v>
      </c>
      <c r="P451" s="645">
        <v>149.31985199999997</v>
      </c>
      <c r="Q451" s="337">
        <v>0</v>
      </c>
      <c r="R451" s="167">
        <f t="shared" si="20"/>
        <v>146949.9903334</v>
      </c>
      <c r="S451" s="648">
        <v>8.807380495940782</v>
      </c>
      <c r="T451" s="648">
        <v>9.7346000000000002E-2</v>
      </c>
      <c r="U451" s="648">
        <v>4.8649429274494754E-3</v>
      </c>
      <c r="V451" s="472">
        <v>1.7000000000000001E-2</v>
      </c>
      <c r="W451" s="472">
        <v>6.3619999999999996E-2</v>
      </c>
      <c r="X451" s="155">
        <v>6.77</v>
      </c>
      <c r="Y451" s="674">
        <v>10.97</v>
      </c>
      <c r="AB451" s="337">
        <v>0</v>
      </c>
      <c r="AC451" s="472">
        <v>0.2016157577439423</v>
      </c>
      <c r="AD451" s="472">
        <v>6.5525121266781255E-2</v>
      </c>
      <c r="AE451" s="472">
        <v>1.6725002499999999</v>
      </c>
      <c r="AF451" s="472">
        <v>13.232393309301791</v>
      </c>
      <c r="AG451" s="172">
        <f t="shared" si="21"/>
        <v>7.5619791264452978</v>
      </c>
      <c r="AH451" s="667">
        <f t="shared" si="24"/>
        <v>202406</v>
      </c>
      <c r="AJ451" s="262" t="s">
        <v>1612</v>
      </c>
      <c r="AK451" s="262"/>
    </row>
    <row r="452" spans="3:37" ht="15.75" hidden="1">
      <c r="C452" s="665">
        <v>45460</v>
      </c>
      <c r="D452" s="655">
        <v>340506</v>
      </c>
      <c r="E452" s="655">
        <v>13</v>
      </c>
      <c r="F452" s="655">
        <v>27124.29</v>
      </c>
      <c r="G452" s="655">
        <v>4180</v>
      </c>
      <c r="H452" s="655">
        <v>1782</v>
      </c>
      <c r="I452" s="646">
        <v>148000</v>
      </c>
      <c r="J452" s="655">
        <v>173687</v>
      </c>
      <c r="K452" s="655">
        <v>45928.35</v>
      </c>
      <c r="L452" s="655">
        <v>13969</v>
      </c>
      <c r="M452" s="655">
        <v>452631</v>
      </c>
      <c r="N452" s="655">
        <v>7991</v>
      </c>
      <c r="O452" s="655">
        <v>3744</v>
      </c>
      <c r="P452" s="655">
        <v>124.978326</v>
      </c>
      <c r="Q452" s="337">
        <v>0</v>
      </c>
      <c r="R452" s="167">
        <f t="shared" si="20"/>
        <v>140877.02059670002</v>
      </c>
      <c r="S452" s="473">
        <v>8.3679034509708448</v>
      </c>
      <c r="T452" s="473">
        <v>1.3942E-2</v>
      </c>
      <c r="U452" s="473">
        <v>4.788062761399643E-3</v>
      </c>
      <c r="V452" s="473">
        <v>1.7000000000000001E-2</v>
      </c>
      <c r="W452" s="473">
        <v>6.3329999999999997E-2</v>
      </c>
      <c r="X452" s="155">
        <v>6.77</v>
      </c>
      <c r="Y452" s="473">
        <v>10.87</v>
      </c>
      <c r="AB452" s="337">
        <v>0</v>
      </c>
      <c r="AC452" s="473">
        <v>0.20388110333657089</v>
      </c>
      <c r="AD452" s="473">
        <v>6.2976607475074123E-2</v>
      </c>
      <c r="AE452" s="473">
        <v>1.6651002500000001</v>
      </c>
      <c r="AF452" s="473">
        <v>13.235253308112485</v>
      </c>
      <c r="AG452" s="172">
        <f t="shared" si="21"/>
        <v>7.4993502928865805</v>
      </c>
      <c r="AH452" s="667">
        <f t="shared" si="24"/>
        <v>202406</v>
      </c>
      <c r="AJ452" s="262" t="s">
        <v>1613</v>
      </c>
      <c r="AK452" s="262"/>
    </row>
    <row r="453" spans="3:37" ht="15.75" hidden="1">
      <c r="C453" s="649">
        <v>45461</v>
      </c>
      <c r="D453" s="645">
        <v>349712</v>
      </c>
      <c r="E453" s="645">
        <v>0</v>
      </c>
      <c r="F453" s="645">
        <v>27076.02</v>
      </c>
      <c r="G453" s="645">
        <v>4152</v>
      </c>
      <c r="H453" s="645">
        <v>1787</v>
      </c>
      <c r="I453" s="646">
        <v>148000</v>
      </c>
      <c r="J453" s="645">
        <v>173821</v>
      </c>
      <c r="K453" s="645">
        <v>49964.33</v>
      </c>
      <c r="L453" s="645">
        <v>13943</v>
      </c>
      <c r="M453" s="645">
        <v>435480</v>
      </c>
      <c r="N453" s="645">
        <v>8023</v>
      </c>
      <c r="O453" s="645">
        <v>4698</v>
      </c>
      <c r="P453" s="645">
        <v>96.296837999999994</v>
      </c>
      <c r="Q453" s="337">
        <v>0</v>
      </c>
      <c r="R453" s="167">
        <f t="shared" si="20"/>
        <v>141767.11602710001</v>
      </c>
      <c r="S453" s="648">
        <v>8.751879528921382</v>
      </c>
      <c r="T453" s="648">
        <v>8.4869999999999998E-3</v>
      </c>
      <c r="U453" s="648">
        <v>4.9586716013444825E-3</v>
      </c>
      <c r="V453" s="472">
        <v>1.7000000000000001E-2</v>
      </c>
      <c r="W453" s="472">
        <v>6.3189999999999996E-2</v>
      </c>
      <c r="X453" s="155">
        <v>6.77</v>
      </c>
      <c r="Y453" s="674">
        <v>10.83</v>
      </c>
      <c r="AB453" s="337">
        <v>0</v>
      </c>
      <c r="AC453" s="472">
        <v>0.20727912172551374</v>
      </c>
      <c r="AD453" s="472">
        <v>6.6006507205214823E-2</v>
      </c>
      <c r="AE453" s="472">
        <v>1.65570025</v>
      </c>
      <c r="AF453" s="472">
        <v>13.052609819706808</v>
      </c>
      <c r="AG453" s="172">
        <f t="shared" si="21"/>
        <v>7.4626330653610751</v>
      </c>
      <c r="AH453" s="667">
        <f t="shared" si="24"/>
        <v>202406</v>
      </c>
      <c r="AJ453" s="262" t="s">
        <v>1614</v>
      </c>
      <c r="AK453" s="262"/>
    </row>
    <row r="454" spans="3:37" ht="15.75" hidden="1">
      <c r="C454" s="665">
        <v>45462</v>
      </c>
      <c r="D454" s="655">
        <v>350780</v>
      </c>
      <c r="E454" s="655">
        <v>0</v>
      </c>
      <c r="F454" s="655">
        <v>27126.17</v>
      </c>
      <c r="G454" s="655">
        <v>4135</v>
      </c>
      <c r="H454" s="655">
        <v>1813</v>
      </c>
      <c r="I454" s="646">
        <v>148000</v>
      </c>
      <c r="J454" s="655">
        <v>173464</v>
      </c>
      <c r="K454" s="655">
        <v>52259.95</v>
      </c>
      <c r="L454" s="655">
        <v>13928</v>
      </c>
      <c r="M454" s="655">
        <v>435961</v>
      </c>
      <c r="N454" s="655">
        <v>7994</v>
      </c>
      <c r="O454" s="655">
        <v>4741</v>
      </c>
      <c r="P454" s="655">
        <v>111.20366399999999</v>
      </c>
      <c r="Q454" s="337">
        <v>0</v>
      </c>
      <c r="R454" s="167">
        <f t="shared" si="20"/>
        <v>142361.81614879999</v>
      </c>
      <c r="S454" s="473">
        <v>8.6468241270632369</v>
      </c>
      <c r="T454" s="473">
        <v>8.09E-3</v>
      </c>
      <c r="U454" s="473">
        <v>4.8202589856348767E-3</v>
      </c>
      <c r="V454" s="473">
        <v>1.7000000000000001E-2</v>
      </c>
      <c r="W454" s="473">
        <v>6.3140000000000002E-2</v>
      </c>
      <c r="X454" s="155">
        <v>6.77</v>
      </c>
      <c r="Y454" s="473">
        <v>10.64</v>
      </c>
      <c r="AB454" s="337">
        <v>0</v>
      </c>
      <c r="AC454" s="473">
        <v>0.20841179452182801</v>
      </c>
      <c r="AD454" s="473">
        <v>6.974432743305195E-2</v>
      </c>
      <c r="AE454" s="473">
        <v>1.6510002500000001</v>
      </c>
      <c r="AF454" s="473">
        <v>13.023556762481345</v>
      </c>
      <c r="AG454" s="172">
        <f t="shared" si="21"/>
        <v>7.405117909117557</v>
      </c>
      <c r="AH454" s="667">
        <f t="shared" si="24"/>
        <v>202406</v>
      </c>
      <c r="AJ454" s="262" t="s">
        <v>1616</v>
      </c>
      <c r="AK454" s="262"/>
    </row>
    <row r="455" spans="3:37" ht="15.75" hidden="1">
      <c r="C455" s="649">
        <v>45463</v>
      </c>
      <c r="D455" s="645">
        <v>349242</v>
      </c>
      <c r="E455" s="645">
        <v>0</v>
      </c>
      <c r="F455" s="645">
        <v>27099.26</v>
      </c>
      <c r="G455" s="645">
        <v>4150</v>
      </c>
      <c r="H455" s="645">
        <v>1795</v>
      </c>
      <c r="I455" s="646">
        <v>148000</v>
      </c>
      <c r="J455" s="645">
        <v>175152</v>
      </c>
      <c r="K455" s="645">
        <v>52846.21</v>
      </c>
      <c r="L455" s="645">
        <v>13507</v>
      </c>
      <c r="M455" s="645">
        <v>420689</v>
      </c>
      <c r="N455" s="645">
        <v>8016.9999999999991</v>
      </c>
      <c r="O455" s="645">
        <v>3469</v>
      </c>
      <c r="P455" s="645">
        <v>183.34766999999999</v>
      </c>
      <c r="Q455" s="337">
        <v>0</v>
      </c>
      <c r="R455" s="167">
        <f t="shared" si="20"/>
        <v>141696.14490150003</v>
      </c>
      <c r="S455" s="648">
        <v>8.7705686300605699</v>
      </c>
      <c r="T455" s="648">
        <v>2.3969999999999998E-3</v>
      </c>
      <c r="U455" s="648">
        <v>4.8198908669760746E-3</v>
      </c>
      <c r="V455" s="648">
        <v>1.7000000000000001E-2</v>
      </c>
      <c r="W455" s="472">
        <v>6.2729999999999994E-2</v>
      </c>
      <c r="X455" s="155">
        <v>6.77</v>
      </c>
      <c r="Y455" s="674">
        <v>10.78</v>
      </c>
      <c r="Z455" s="337">
        <v>0</v>
      </c>
      <c r="AB455" s="337">
        <v>0</v>
      </c>
      <c r="AC455" s="472">
        <v>0.20416427153564945</v>
      </c>
      <c r="AD455" s="472">
        <v>6.77338332195941E-2</v>
      </c>
      <c r="AE455" s="472">
        <v>1.64570025</v>
      </c>
      <c r="AF455" s="472">
        <v>12.783826565141428</v>
      </c>
      <c r="AG455" s="172">
        <f t="shared" si="21"/>
        <v>7.3980184806920839</v>
      </c>
      <c r="AH455" s="667">
        <f t="shared" si="24"/>
        <v>202406</v>
      </c>
      <c r="AJ455" s="262" t="s">
        <v>1616</v>
      </c>
      <c r="AK455" s="262"/>
    </row>
    <row r="456" spans="3:37" ht="15.75" hidden="1">
      <c r="C456" s="665">
        <v>45464</v>
      </c>
      <c r="D456" s="655">
        <v>338054</v>
      </c>
      <c r="E456" s="655">
        <v>396</v>
      </c>
      <c r="F456" s="655">
        <v>27047.13</v>
      </c>
      <c r="G456" s="655">
        <v>4168</v>
      </c>
      <c r="H456" s="655">
        <v>1793</v>
      </c>
      <c r="I456" s="646">
        <v>148000</v>
      </c>
      <c r="J456" s="655">
        <v>177318</v>
      </c>
      <c r="K456" s="655">
        <v>53237.65</v>
      </c>
      <c r="L456" s="655">
        <v>13167</v>
      </c>
      <c r="M456" s="655">
        <v>430418</v>
      </c>
      <c r="N456" s="655">
        <v>7673</v>
      </c>
      <c r="O456" s="655">
        <v>3887</v>
      </c>
      <c r="P456" s="655">
        <v>96.862920000000003</v>
      </c>
      <c r="Q456" s="337">
        <v>0</v>
      </c>
      <c r="R456" s="167">
        <f t="shared" si="20"/>
        <v>142573.72796399999</v>
      </c>
      <c r="S456" s="473">
        <v>9.0854516674359402</v>
      </c>
      <c r="T456" s="473">
        <v>1.5848999999999999E-2</v>
      </c>
      <c r="U456" s="473">
        <v>4.909117166505733E-3</v>
      </c>
      <c r="V456" s="473">
        <v>1.7000000000000001E-2</v>
      </c>
      <c r="W456" s="473">
        <v>6.3920000000000005E-2</v>
      </c>
      <c r="X456" s="155">
        <v>6.77</v>
      </c>
      <c r="Y456" s="473">
        <v>10.76</v>
      </c>
      <c r="AB456" s="337">
        <v>0</v>
      </c>
      <c r="AC456" s="473">
        <v>0.19595239376237089</v>
      </c>
      <c r="AD456" s="473">
        <v>6.875323873627695E-2</v>
      </c>
      <c r="AE456" s="473">
        <v>1.6349002500000001</v>
      </c>
      <c r="AF456" s="473">
        <v>12.661384635859854</v>
      </c>
      <c r="AG456" s="172">
        <f t="shared" si="21"/>
        <v>7.3788061049388718</v>
      </c>
      <c r="AH456" s="667">
        <f t="shared" si="24"/>
        <v>202406</v>
      </c>
      <c r="AJ456" s="262" t="s">
        <v>1617</v>
      </c>
      <c r="AK456" s="262"/>
    </row>
    <row r="457" spans="3:37" ht="15.75" hidden="1">
      <c r="C457" s="649">
        <v>45465</v>
      </c>
      <c r="D457" s="645">
        <v>348533</v>
      </c>
      <c r="E457" s="645">
        <v>15541</v>
      </c>
      <c r="F457" s="645">
        <v>27005.01</v>
      </c>
      <c r="G457" s="645">
        <v>4211</v>
      </c>
      <c r="H457" s="645">
        <v>1761</v>
      </c>
      <c r="I457" s="646">
        <v>148000</v>
      </c>
      <c r="J457" s="645">
        <v>176254</v>
      </c>
      <c r="K457" s="645">
        <v>53034.99</v>
      </c>
      <c r="L457" s="645">
        <v>13287</v>
      </c>
      <c r="M457" s="645">
        <v>435111</v>
      </c>
      <c r="N457" s="645">
        <v>8019</v>
      </c>
      <c r="O457" s="645">
        <v>3489</v>
      </c>
      <c r="P457" s="645">
        <v>93.340631999999999</v>
      </c>
      <c r="Q457" s="337">
        <v>0</v>
      </c>
      <c r="R457" s="167">
        <f t="shared" ref="R457:R520" si="25" xml:space="preserve"> IF(C457&lt; DATE(2024, 11, 1), D457 * (2.31 / 100), D457 * (2.925 / 100))+E457*E$6+F457*F$6+G457*G$6+H457*H$6+I457*I$6+J457*J$6+K457*K$6+L457*L$6+M457*M$6+N457*N$6+O457*O$6+P457*P$6+Q457*Q$6</f>
        <v>146631.59883440001</v>
      </c>
      <c r="S457" s="648">
        <v>10.838545987931367</v>
      </c>
      <c r="T457" s="648">
        <v>7.7491000000000004E-2</v>
      </c>
      <c r="U457" s="648">
        <v>4.7635120785395318E-3</v>
      </c>
      <c r="V457" s="648">
        <v>1.7000000000000001E-2</v>
      </c>
      <c r="W457" s="472">
        <v>6.3500000000000001E-2</v>
      </c>
      <c r="X457" s="155">
        <v>6.77</v>
      </c>
      <c r="Y457" s="674">
        <v>10.7</v>
      </c>
      <c r="Z457" s="337">
        <v>0</v>
      </c>
      <c r="AB457" s="337">
        <v>0</v>
      </c>
      <c r="AC457" s="472">
        <v>0.2106771401144566</v>
      </c>
      <c r="AD457" s="472">
        <v>6.974432743305195E-2</v>
      </c>
      <c r="AE457" s="472">
        <v>1.6181002499999999</v>
      </c>
      <c r="AF457" s="472">
        <v>12.671578691026681</v>
      </c>
      <c r="AG457" s="172">
        <f t="shared" ref="AG457:AG520" si="26" xml:space="preserve"> IF(C457&lt; DATE(2024, 11, 1), S457 * (2.31 / 100), S457 * (2.925 / 100))+T457*T$6+U457*U$6+V457*V$6+W457*W$6+X457*X$6+Y457*Y$6+Z457*Z$6+AA457*AA$6+AB457*AB$6+AC457*AC$6+AD457*AD$6+AE457*AE$6+AF457*AF$6</f>
        <v>7.4160131471365389</v>
      </c>
      <c r="AH457" s="667">
        <f t="shared" si="24"/>
        <v>202406</v>
      </c>
      <c r="AJ457" s="262" t="s">
        <v>1618</v>
      </c>
      <c r="AK457" s="262"/>
    </row>
    <row r="458" spans="3:37" ht="15.75" hidden="1">
      <c r="C458" s="665">
        <v>45466</v>
      </c>
      <c r="D458" s="655">
        <v>344931</v>
      </c>
      <c r="E458" s="655">
        <v>19428</v>
      </c>
      <c r="F458" s="655">
        <v>26885.7</v>
      </c>
      <c r="G458" s="655">
        <v>4181</v>
      </c>
      <c r="H458" s="655">
        <v>1814</v>
      </c>
      <c r="I458" s="646">
        <v>148000</v>
      </c>
      <c r="J458" s="655">
        <v>175495</v>
      </c>
      <c r="K458" s="655">
        <v>39067.08</v>
      </c>
      <c r="L458" s="655">
        <v>13204</v>
      </c>
      <c r="M458" s="655">
        <v>436744</v>
      </c>
      <c r="N458" s="655">
        <v>7844</v>
      </c>
      <c r="O458" s="655">
        <v>2998</v>
      </c>
      <c r="P458" s="655">
        <v>174.290358</v>
      </c>
      <c r="Q458" s="337">
        <v>0</v>
      </c>
      <c r="R458" s="167">
        <f t="shared" si="25"/>
        <v>143729.12176109999</v>
      </c>
      <c r="S458" s="473">
        <v>11.037046895485451</v>
      </c>
      <c r="T458" s="473">
        <v>0.18557100000000001</v>
      </c>
      <c r="U458" s="473">
        <v>4.7635120785395318E-3</v>
      </c>
      <c r="V458" s="473">
        <v>1.7000000000000001E-2</v>
      </c>
      <c r="W458" s="473">
        <v>6.3210000000000002E-2</v>
      </c>
      <c r="X458" s="155">
        <v>6.77</v>
      </c>
      <c r="Y458" s="473">
        <v>10.59</v>
      </c>
      <c r="Z458" s="337">
        <v>0</v>
      </c>
      <c r="AB458" s="337">
        <v>0</v>
      </c>
      <c r="AC458" s="473">
        <v>0.20926129911906372</v>
      </c>
      <c r="AD458" s="473">
        <v>6.671442770291125E-2</v>
      </c>
      <c r="AE458" s="473">
        <v>1.6003002500000001</v>
      </c>
      <c r="AF458" s="473">
        <v>12.673759086159587</v>
      </c>
      <c r="AG458" s="172">
        <f t="shared" si="26"/>
        <v>7.4118830828720839</v>
      </c>
      <c r="AH458" s="667">
        <f t="shared" si="24"/>
        <v>202406</v>
      </c>
      <c r="AJ458" s="262" t="s">
        <v>1619</v>
      </c>
      <c r="AK458" s="262"/>
    </row>
    <row r="459" spans="3:37" ht="15.75" hidden="1">
      <c r="C459" s="649">
        <v>45467</v>
      </c>
      <c r="D459" s="645">
        <v>350466</v>
      </c>
      <c r="E459" s="645">
        <v>25711</v>
      </c>
      <c r="F459" s="645">
        <v>26904.23</v>
      </c>
      <c r="G459" s="645">
        <v>4222</v>
      </c>
      <c r="H459" s="645">
        <v>1773</v>
      </c>
      <c r="I459" s="646">
        <v>155480</v>
      </c>
      <c r="J459" s="645">
        <v>179788</v>
      </c>
      <c r="K459" s="645">
        <v>26254.03</v>
      </c>
      <c r="L459" s="645">
        <v>13169</v>
      </c>
      <c r="M459" s="645">
        <v>431008</v>
      </c>
      <c r="N459" s="645">
        <v>8018.0000000000009</v>
      </c>
      <c r="O459" s="645">
        <v>4335</v>
      </c>
      <c r="P459" s="645">
        <v>118.75142399999999</v>
      </c>
      <c r="Q459" s="337">
        <v>0</v>
      </c>
      <c r="R459" s="167">
        <f t="shared" si="25"/>
        <v>145245.84249080002</v>
      </c>
      <c r="S459" s="648">
        <v>11.206098310335356</v>
      </c>
      <c r="T459" s="648">
        <v>0.225276</v>
      </c>
      <c r="U459" s="648">
        <v>4.7308344683658649E-3</v>
      </c>
      <c r="V459" s="648">
        <v>1.7000000000000001E-2</v>
      </c>
      <c r="W459" s="472">
        <v>6.6129999999999994E-2</v>
      </c>
      <c r="X459" s="155">
        <v>6.77</v>
      </c>
      <c r="Y459" s="674">
        <v>10.17</v>
      </c>
      <c r="Z459" s="337">
        <v>0</v>
      </c>
      <c r="AA459">
        <v>0</v>
      </c>
      <c r="AB459" s="337">
        <v>0</v>
      </c>
      <c r="AC459" s="472">
        <v>0.20982763551722086</v>
      </c>
      <c r="AD459" s="472">
        <v>6.7478981840423391E-2</v>
      </c>
      <c r="AE459" s="472">
        <v>1.61100025</v>
      </c>
      <c r="AF459" s="472">
        <v>12.65402226268381</v>
      </c>
      <c r="AG459" s="172">
        <f t="shared" si="26"/>
        <v>7.3220335048959146</v>
      </c>
      <c r="AH459" s="667">
        <f t="shared" si="24"/>
        <v>202406</v>
      </c>
      <c r="AJ459" s="262" t="s">
        <v>1620</v>
      </c>
      <c r="AK459" s="262"/>
    </row>
    <row r="460" spans="3:37" ht="15.75" hidden="1">
      <c r="C460" s="665">
        <v>45468</v>
      </c>
      <c r="D460" s="655">
        <v>348402</v>
      </c>
      <c r="E460" s="655">
        <v>23107</v>
      </c>
      <c r="F460" s="655">
        <v>26921.16</v>
      </c>
      <c r="G460" s="655">
        <v>4205</v>
      </c>
      <c r="H460" s="655">
        <v>1783</v>
      </c>
      <c r="I460" s="646">
        <v>155480</v>
      </c>
      <c r="J460" s="655">
        <v>178396</v>
      </c>
      <c r="K460" s="655">
        <v>45492.9</v>
      </c>
      <c r="L460" s="655">
        <v>13372</v>
      </c>
      <c r="M460" s="655">
        <v>424942</v>
      </c>
      <c r="N460" s="655">
        <v>7958</v>
      </c>
      <c r="O460" s="655">
        <v>3100</v>
      </c>
      <c r="P460" s="655">
        <v>102.649536</v>
      </c>
      <c r="Q460" s="337">
        <v>0</v>
      </c>
      <c r="R460" s="167">
        <f t="shared" si="25"/>
        <v>148254.72049119999</v>
      </c>
      <c r="S460" s="473">
        <v>9.8715265880780532</v>
      </c>
      <c r="T460" s="473">
        <v>0.29528599999999999</v>
      </c>
      <c r="U460" s="473">
        <v>5.0857858059108526E-3</v>
      </c>
      <c r="V460" s="473">
        <v>1.7000000000000001E-2</v>
      </c>
      <c r="W460" s="473">
        <v>6.6420000000000007E-2</v>
      </c>
      <c r="X460" s="155">
        <v>6.77</v>
      </c>
      <c r="Y460" s="473">
        <v>10.25</v>
      </c>
      <c r="Z460" s="337"/>
      <c r="AA460">
        <v>0</v>
      </c>
      <c r="AB460" s="337">
        <v>0</v>
      </c>
      <c r="AC460" s="473">
        <v>0.20926129911906372</v>
      </c>
      <c r="AD460" s="473">
        <v>6.8498387357106241E-2</v>
      </c>
      <c r="AE460" s="473">
        <v>1.59920025</v>
      </c>
      <c r="AF460" s="473">
        <v>12.671267206007697</v>
      </c>
      <c r="AG460" s="172">
        <f t="shared" si="26"/>
        <v>7.3294131696159877</v>
      </c>
      <c r="AH460" s="667">
        <f t="shared" si="24"/>
        <v>202406</v>
      </c>
      <c r="AJ460" s="262" t="s">
        <v>1621</v>
      </c>
      <c r="AK460" s="262"/>
    </row>
    <row r="461" spans="3:37" ht="15.75" hidden="1">
      <c r="C461" s="649">
        <v>45469</v>
      </c>
      <c r="D461" s="645">
        <v>344356</v>
      </c>
      <c r="E461" s="645">
        <v>23289</v>
      </c>
      <c r="F461" s="645">
        <v>26877.040000000001</v>
      </c>
      <c r="G461" s="645">
        <v>4225</v>
      </c>
      <c r="H461" s="645">
        <v>1774</v>
      </c>
      <c r="I461" s="646">
        <v>155480</v>
      </c>
      <c r="J461" s="645">
        <v>179334</v>
      </c>
      <c r="K461" s="645">
        <v>44566.17</v>
      </c>
      <c r="L461" s="645">
        <v>13313</v>
      </c>
      <c r="M461" s="645">
        <v>423045</v>
      </c>
      <c r="N461" s="645">
        <v>7922</v>
      </c>
      <c r="O461" s="645">
        <v>4610</v>
      </c>
      <c r="P461" s="645">
        <v>111.518154</v>
      </c>
      <c r="Q461" s="337">
        <v>0</v>
      </c>
      <c r="R461" s="167">
        <f t="shared" si="25"/>
        <v>148706.62851929999</v>
      </c>
      <c r="S461" s="648">
        <v>8.2297173698205022</v>
      </c>
      <c r="T461" s="648">
        <v>0.29354999999999998</v>
      </c>
      <c r="U461" s="648">
        <v>4.691445771874035E-3</v>
      </c>
      <c r="V461" s="648">
        <v>1.7000000000000001E-2</v>
      </c>
      <c r="W461" s="472">
        <v>6.515E-2</v>
      </c>
      <c r="X461" s="155">
        <v>6.77</v>
      </c>
      <c r="Y461" s="472">
        <v>10.44</v>
      </c>
      <c r="AB461" s="337">
        <v>0</v>
      </c>
      <c r="AC461" s="472">
        <v>0.2075622899245923</v>
      </c>
      <c r="AD461" s="472">
        <v>6.572333900613625E-2</v>
      </c>
      <c r="AE461" s="472">
        <v>1.60080025</v>
      </c>
      <c r="AF461" s="472">
        <v>12.633889003729324</v>
      </c>
      <c r="AG461" s="172">
        <f t="shared" si="26"/>
        <v>7.3319414139113102</v>
      </c>
      <c r="AH461" s="667">
        <f t="shared" si="24"/>
        <v>202406</v>
      </c>
      <c r="AJ461" s="262" t="s">
        <v>1622</v>
      </c>
      <c r="AK461" s="262"/>
    </row>
    <row r="462" spans="3:37" ht="15.75" hidden="1">
      <c r="C462" s="665">
        <v>45470</v>
      </c>
      <c r="D462" s="655">
        <v>343697</v>
      </c>
      <c r="E462" s="655">
        <v>27629</v>
      </c>
      <c r="F462" s="655">
        <v>26858.37</v>
      </c>
      <c r="G462" s="655">
        <v>4289</v>
      </c>
      <c r="H462" s="655">
        <v>1781</v>
      </c>
      <c r="I462" s="646">
        <v>155480</v>
      </c>
      <c r="J462" s="655">
        <v>179416</v>
      </c>
      <c r="K462" s="655">
        <v>43184.87</v>
      </c>
      <c r="L462" s="655">
        <v>13276</v>
      </c>
      <c r="M462" s="655">
        <v>435162</v>
      </c>
      <c r="N462" s="655">
        <v>8113</v>
      </c>
      <c r="O462" s="655">
        <v>4571</v>
      </c>
      <c r="P462" s="655">
        <v>108.49905</v>
      </c>
      <c r="Q462" s="337">
        <v>0</v>
      </c>
      <c r="R462" s="167">
        <f t="shared" si="25"/>
        <v>150044.93677249999</v>
      </c>
      <c r="S462" s="473">
        <v>8.046507545016663</v>
      </c>
      <c r="T462" s="473">
        <v>0.31567499999999998</v>
      </c>
      <c r="U462" s="473">
        <v>4.9923686170348326E-3</v>
      </c>
      <c r="V462" s="473">
        <v>1.7000000000000001E-2</v>
      </c>
      <c r="W462" s="473">
        <v>6.3920000000000005E-2</v>
      </c>
      <c r="X462" s="155">
        <v>6.77</v>
      </c>
      <c r="Y462" s="473">
        <v>10.43</v>
      </c>
      <c r="AB462" s="337">
        <v>0</v>
      </c>
      <c r="AC462" s="473">
        <v>0.20812862632274942</v>
      </c>
      <c r="AD462" s="473">
        <v>6.6884328622358394E-2</v>
      </c>
      <c r="AE462" s="473">
        <v>1.59690025</v>
      </c>
      <c r="AF462" s="473">
        <v>12.636550784800662</v>
      </c>
      <c r="AG462" s="172">
        <f t="shared" si="26"/>
        <v>7.3292878585823669</v>
      </c>
      <c r="AH462" s="667">
        <f t="shared" si="24"/>
        <v>202406</v>
      </c>
      <c r="AJ462" s="262" t="s">
        <v>1623</v>
      </c>
      <c r="AK462" s="262"/>
    </row>
    <row r="463" spans="3:37" ht="15.75" hidden="1">
      <c r="C463" s="649">
        <v>45471</v>
      </c>
      <c r="D463" s="645">
        <v>347491</v>
      </c>
      <c r="E463" s="645">
        <v>29472</v>
      </c>
      <c r="F463" s="645">
        <v>26818.09</v>
      </c>
      <c r="G463" s="645">
        <v>4217</v>
      </c>
      <c r="H463" s="645">
        <v>1762</v>
      </c>
      <c r="I463" s="646">
        <v>155480</v>
      </c>
      <c r="J463" s="645">
        <v>179706</v>
      </c>
      <c r="K463" s="645">
        <v>44356.51</v>
      </c>
      <c r="L463" s="645">
        <v>12674</v>
      </c>
      <c r="M463" s="645">
        <v>432396</v>
      </c>
      <c r="N463" s="645">
        <v>8135.9999999999991</v>
      </c>
      <c r="O463" s="645">
        <v>3290</v>
      </c>
      <c r="P463" s="645">
        <v>102.90112799999999</v>
      </c>
      <c r="Q463" s="337">
        <v>0</v>
      </c>
      <c r="R463" s="167">
        <f t="shared" si="25"/>
        <v>150147.04060759998</v>
      </c>
      <c r="S463" s="648">
        <v>7.9069056228709327</v>
      </c>
      <c r="T463" s="648">
        <v>0.320913</v>
      </c>
      <c r="U463" s="648">
        <v>4.8494253101399694E-3</v>
      </c>
      <c r="V463" s="648">
        <v>1.7000000000000001E-2</v>
      </c>
      <c r="W463" s="472">
        <v>6.5180000000000002E-2</v>
      </c>
      <c r="X463" s="155">
        <v>6.77</v>
      </c>
      <c r="Y463" s="472">
        <v>10.47</v>
      </c>
      <c r="AB463" s="337">
        <v>0</v>
      </c>
      <c r="AC463" s="472">
        <v>0.2095444673181423</v>
      </c>
      <c r="AD463" s="472">
        <v>6.7167496821436953E-2</v>
      </c>
      <c r="AE463" s="472">
        <v>1.59880025</v>
      </c>
      <c r="AF463" s="472">
        <v>12.623893166301851</v>
      </c>
      <c r="AG463" s="172">
        <f t="shared" si="26"/>
        <v>7.3380094685103021</v>
      </c>
      <c r="AH463" s="667">
        <f t="shared" si="24"/>
        <v>202406</v>
      </c>
      <c r="AJ463" s="262" t="s">
        <v>1625</v>
      </c>
      <c r="AK463" s="262"/>
    </row>
    <row r="464" spans="3:37" ht="15.75" hidden="1">
      <c r="C464" s="665">
        <v>45472</v>
      </c>
      <c r="D464" s="655">
        <v>333441</v>
      </c>
      <c r="E464" s="655">
        <v>31434</v>
      </c>
      <c r="F464" s="655">
        <v>26761.38</v>
      </c>
      <c r="G464" s="655">
        <v>4251</v>
      </c>
      <c r="H464" s="655">
        <v>1786</v>
      </c>
      <c r="I464" s="646">
        <v>155480</v>
      </c>
      <c r="J464" s="655">
        <v>179743</v>
      </c>
      <c r="K464" s="655">
        <v>48046.12</v>
      </c>
      <c r="L464" s="655">
        <v>13352</v>
      </c>
      <c r="M464" s="655">
        <v>427981</v>
      </c>
      <c r="N464" s="655">
        <v>8211</v>
      </c>
      <c r="O464" s="655">
        <v>4081.0000000000005</v>
      </c>
      <c r="P464" s="655">
        <v>114.97754399999999</v>
      </c>
      <c r="Q464" s="337">
        <v>0</v>
      </c>
      <c r="R464" s="167">
        <f t="shared" si="25"/>
        <v>151602.60299479999</v>
      </c>
      <c r="S464" s="473">
        <v>7.4127771154788249</v>
      </c>
      <c r="T464" s="473">
        <v>0.30761500000000003</v>
      </c>
      <c r="U464" s="473">
        <v>4.9316856719722945E-3</v>
      </c>
      <c r="V464" s="473">
        <v>1.7000000000000001E-2</v>
      </c>
      <c r="W464" s="473">
        <v>6.4360000000000001E-2</v>
      </c>
      <c r="X464" s="155">
        <v>6.77</v>
      </c>
      <c r="Y464" s="473">
        <v>10.48</v>
      </c>
      <c r="AB464" s="337">
        <v>0</v>
      </c>
      <c r="AC464" s="473">
        <v>0.20133258954486374</v>
      </c>
      <c r="AD464" s="473">
        <v>7.0480564750656241E-2</v>
      </c>
      <c r="AE464" s="473">
        <v>1.58480025</v>
      </c>
      <c r="AF464" s="473">
        <v>12.62100485067125</v>
      </c>
      <c r="AG464" s="172">
        <f t="shared" si="26"/>
        <v>7.3184731292022516</v>
      </c>
      <c r="AH464" s="667">
        <f t="shared" si="24"/>
        <v>202406</v>
      </c>
      <c r="AJ464" s="262" t="s">
        <v>1624</v>
      </c>
      <c r="AK464" s="262"/>
    </row>
    <row r="465" spans="3:37" ht="15.75" hidden="1">
      <c r="C465" s="649">
        <v>45473</v>
      </c>
      <c r="D465" s="645">
        <v>321049</v>
      </c>
      <c r="E465" s="645">
        <v>34176</v>
      </c>
      <c r="F465" s="645">
        <v>26709.35</v>
      </c>
      <c r="G465" s="645">
        <v>4264</v>
      </c>
      <c r="H465" s="645">
        <v>1815</v>
      </c>
      <c r="I465" s="646">
        <v>155480</v>
      </c>
      <c r="J465" s="645">
        <v>179795</v>
      </c>
      <c r="K465" s="645">
        <v>48122.9</v>
      </c>
      <c r="L465" s="645">
        <v>13366</v>
      </c>
      <c r="M465" s="645">
        <v>428198</v>
      </c>
      <c r="N465" s="645">
        <v>7693</v>
      </c>
      <c r="O465" s="645">
        <v>5188</v>
      </c>
      <c r="P465" s="645">
        <v>127.11685799999999</v>
      </c>
      <c r="Q465" s="337">
        <v>0</v>
      </c>
      <c r="R465" s="167">
        <f t="shared" si="25"/>
        <v>152491.82198610003</v>
      </c>
      <c r="S465" s="648">
        <v>7.3139514140004005</v>
      </c>
      <c r="T465" s="648">
        <v>0.32888000000000001</v>
      </c>
      <c r="U465" s="648">
        <v>4.9543391278985809E-3</v>
      </c>
      <c r="V465" s="648">
        <v>1.7000000000000001E-2</v>
      </c>
      <c r="W465" s="472">
        <v>6.5189999999999998E-2</v>
      </c>
      <c r="X465" s="155">
        <v>6.77</v>
      </c>
      <c r="Y465" s="472">
        <v>10.41</v>
      </c>
      <c r="AB465" s="337">
        <v>0</v>
      </c>
      <c r="AC465" s="472">
        <v>0.19142170257711377</v>
      </c>
      <c r="AD465" s="472">
        <v>6.6884328622358394E-2</v>
      </c>
      <c r="AE465" s="472">
        <v>1.57910025</v>
      </c>
      <c r="AF465" s="472">
        <v>12.632869598212642</v>
      </c>
      <c r="AG465" s="172">
        <f t="shared" si="26"/>
        <v>7.3015009779815134</v>
      </c>
      <c r="AH465" s="667">
        <f t="shared" si="24"/>
        <v>202406</v>
      </c>
      <c r="AJ465" s="262" t="s">
        <v>1627</v>
      </c>
      <c r="AK465" s="262"/>
    </row>
    <row r="466" spans="3:37" ht="15.75" hidden="1">
      <c r="C466" s="665">
        <v>45474</v>
      </c>
      <c r="D466" s="655">
        <v>326613</v>
      </c>
      <c r="E466" s="655">
        <v>30711</v>
      </c>
      <c r="F466" s="655">
        <v>26668.28</v>
      </c>
      <c r="G466" s="655">
        <v>4273</v>
      </c>
      <c r="H466" s="655">
        <v>2038</v>
      </c>
      <c r="I466" s="646">
        <v>149000</v>
      </c>
      <c r="J466" s="655">
        <v>179192</v>
      </c>
      <c r="K466" s="655">
        <v>46355.91</v>
      </c>
      <c r="L466" s="655">
        <v>13323</v>
      </c>
      <c r="M466" s="655">
        <v>425198</v>
      </c>
      <c r="N466" s="655">
        <v>7751</v>
      </c>
      <c r="O466" s="655">
        <v>3936</v>
      </c>
      <c r="P466" s="655">
        <v>124.16065199999998</v>
      </c>
      <c r="Q466" s="337">
        <v>0</v>
      </c>
      <c r="R466" s="167">
        <f t="shared" si="25"/>
        <v>149362.89984339997</v>
      </c>
      <c r="S466" s="473">
        <v>7.3550108028667944</v>
      </c>
      <c r="T466" s="473">
        <v>0.39022800000000002</v>
      </c>
      <c r="U466" s="473">
        <v>4.6971940863153299E-3</v>
      </c>
      <c r="V466" s="473">
        <v>1.7000000000000001E-2</v>
      </c>
      <c r="W466" s="473">
        <v>0.14061999999999999</v>
      </c>
      <c r="X466" s="155">
        <v>6.9710000000000001</v>
      </c>
      <c r="Y466" s="473">
        <v>10.63</v>
      </c>
      <c r="AA466" s="337">
        <v>0</v>
      </c>
      <c r="AB466" s="337">
        <v>0</v>
      </c>
      <c r="AC466" s="473">
        <v>0.19906724395223518</v>
      </c>
      <c r="AD466" s="473">
        <v>6.4505715750098391E-2</v>
      </c>
      <c r="AE466" s="473">
        <v>1.56570013</v>
      </c>
      <c r="AF466" s="473">
        <v>14.499287831979316</v>
      </c>
      <c r="AG466" s="172">
        <f t="shared" si="26"/>
        <v>7.8028140184779131</v>
      </c>
      <c r="AH466" s="667">
        <f t="shared" si="24"/>
        <v>202407</v>
      </c>
      <c r="AJ466" s="262" t="s">
        <v>1626</v>
      </c>
      <c r="AK466" s="262"/>
    </row>
    <row r="467" spans="3:37" ht="15.75" hidden="1">
      <c r="C467" s="649">
        <v>45475</v>
      </c>
      <c r="D467" s="645">
        <v>337445</v>
      </c>
      <c r="E467" s="645">
        <v>26673</v>
      </c>
      <c r="F467" s="645">
        <v>26689.37</v>
      </c>
      <c r="G467" s="645">
        <v>4234</v>
      </c>
      <c r="H467" s="645">
        <v>2419</v>
      </c>
      <c r="I467" s="646">
        <v>149000</v>
      </c>
      <c r="J467" s="645">
        <v>178099</v>
      </c>
      <c r="K467" s="645">
        <v>45947.96</v>
      </c>
      <c r="L467" s="645">
        <v>13297</v>
      </c>
      <c r="M467" s="645">
        <v>405107</v>
      </c>
      <c r="N467" s="645">
        <v>7729</v>
      </c>
      <c r="O467" s="645">
        <v>4929</v>
      </c>
      <c r="P467" s="645">
        <v>131.83420799999999</v>
      </c>
      <c r="Q467" s="337">
        <v>0</v>
      </c>
      <c r="R467" s="167">
        <f t="shared" si="25"/>
        <v>148101.27514360004</v>
      </c>
      <c r="S467" s="648">
        <v>7.3923890051451639</v>
      </c>
      <c r="T467" s="648">
        <v>0.43415799999999999</v>
      </c>
      <c r="U467" s="648">
        <v>4.9656941726816308E-3</v>
      </c>
      <c r="V467" s="648">
        <v>1.7000000000000001E-2</v>
      </c>
      <c r="W467" s="472">
        <v>0.26800999999999997</v>
      </c>
      <c r="X467" s="155">
        <v>6.9710000000000001</v>
      </c>
      <c r="Y467" s="472">
        <v>10.47</v>
      </c>
      <c r="AB467" s="337">
        <v>0</v>
      </c>
      <c r="AC467" s="472">
        <v>0.19923714487168231</v>
      </c>
      <c r="AD467" s="472">
        <v>6.3373042953784112E-2</v>
      </c>
      <c r="AE467" s="472">
        <v>1.5591001299999998</v>
      </c>
      <c r="AF467" s="472">
        <v>14.614877090843189</v>
      </c>
      <c r="AG467" s="172">
        <f t="shared" si="26"/>
        <v>7.9177622990004721</v>
      </c>
      <c r="AH467" s="667">
        <f t="shared" si="24"/>
        <v>202407</v>
      </c>
      <c r="AJ467" s="262" t="s">
        <v>1628</v>
      </c>
      <c r="AK467" s="262"/>
    </row>
    <row r="468" spans="3:37" ht="15.75" hidden="1">
      <c r="C468" s="665">
        <v>45476</v>
      </c>
      <c r="D468" s="655">
        <v>349269</v>
      </c>
      <c r="E468" s="655">
        <v>27981</v>
      </c>
      <c r="F468" s="655">
        <v>26691.040000000001</v>
      </c>
      <c r="G468" s="655">
        <v>4184</v>
      </c>
      <c r="H468" s="655">
        <v>2556</v>
      </c>
      <c r="I468" s="646">
        <v>149000</v>
      </c>
      <c r="J468" s="655">
        <v>178999</v>
      </c>
      <c r="K468" s="655">
        <v>48183.12</v>
      </c>
      <c r="L468" s="655">
        <v>13277</v>
      </c>
      <c r="M468" s="655">
        <v>396017</v>
      </c>
      <c r="N468" s="655">
        <v>7746</v>
      </c>
      <c r="O468" s="655">
        <v>4174</v>
      </c>
      <c r="P468" s="655">
        <v>110.88917399999998</v>
      </c>
      <c r="Q468" s="337">
        <v>0</v>
      </c>
      <c r="R468" s="167">
        <f t="shared" si="25"/>
        <v>148955.5482783</v>
      </c>
      <c r="S468" s="473">
        <v>8.0870005974848969</v>
      </c>
      <c r="T468" s="473">
        <v>0.46227200000000002</v>
      </c>
      <c r="U468" s="473">
        <v>5.0290672156354148E-3</v>
      </c>
      <c r="V468" s="473">
        <v>1.7000000000000001E-2</v>
      </c>
      <c r="W468" s="473">
        <v>0.30981000000000003</v>
      </c>
      <c r="X468" s="155">
        <v>6.9710000000000001</v>
      </c>
      <c r="Y468" s="473">
        <v>10.06</v>
      </c>
      <c r="Z468" s="337">
        <v>0</v>
      </c>
      <c r="AB468" s="337">
        <v>0</v>
      </c>
      <c r="AC468" s="473">
        <v>0.20359793513749233</v>
      </c>
      <c r="AD468" s="473">
        <v>6.0937796441708408E-2</v>
      </c>
      <c r="AE468" s="473">
        <v>1.5501001299999999</v>
      </c>
      <c r="AF468" s="473">
        <v>14.611110953795443</v>
      </c>
      <c r="AG468" s="172">
        <f t="shared" si="26"/>
        <v>7.8714583129398807</v>
      </c>
      <c r="AH468" s="667">
        <f t="shared" si="24"/>
        <v>202407</v>
      </c>
      <c r="AJ468" s="262" t="s">
        <v>1629</v>
      </c>
      <c r="AK468" s="262"/>
    </row>
    <row r="469" spans="3:37" ht="15.75" hidden="1">
      <c r="C469" s="649">
        <v>45477</v>
      </c>
      <c r="D469" s="645">
        <v>348617</v>
      </c>
      <c r="E469" s="645">
        <v>26994</v>
      </c>
      <c r="F469" s="645">
        <v>26694.76</v>
      </c>
      <c r="G469" s="645">
        <v>4177</v>
      </c>
      <c r="H469" s="645">
        <v>2476</v>
      </c>
      <c r="I469" s="646">
        <v>149000</v>
      </c>
      <c r="J469" s="645">
        <v>178917</v>
      </c>
      <c r="K469" s="645">
        <v>50501.25</v>
      </c>
      <c r="L469" s="645">
        <v>13308</v>
      </c>
      <c r="M469" s="645">
        <v>378736</v>
      </c>
      <c r="N469" s="645">
        <v>7849</v>
      </c>
      <c r="O469" s="645">
        <v>3173</v>
      </c>
      <c r="P469" s="645">
        <v>110.07149999999999</v>
      </c>
      <c r="Q469" s="337">
        <v>0</v>
      </c>
      <c r="R469" s="167">
        <f t="shared" si="25"/>
        <v>148078.114375</v>
      </c>
      <c r="S469" s="648">
        <v>8.4228380815920865</v>
      </c>
      <c r="T469" s="648">
        <v>0.427232</v>
      </c>
      <c r="U469" s="648">
        <v>5.138540041399191E-3</v>
      </c>
      <c r="V469" s="648">
        <v>1.7000000000000001E-2</v>
      </c>
      <c r="W469" s="472">
        <v>0.30648000000000003</v>
      </c>
      <c r="X469" s="155">
        <v>6.9710000000000001</v>
      </c>
      <c r="Y469" s="472">
        <v>10.1</v>
      </c>
      <c r="AB469" s="337">
        <v>0</v>
      </c>
      <c r="AC469" s="472">
        <v>0.21152664471169227</v>
      </c>
      <c r="AD469" s="472">
        <v>6.8611654636737671E-2</v>
      </c>
      <c r="AE469" s="472">
        <v>1.5398001299999999</v>
      </c>
      <c r="AF469" s="472">
        <v>14.176164600010759</v>
      </c>
      <c r="AG469" s="172">
        <f t="shared" si="26"/>
        <v>7.8022678109885675</v>
      </c>
      <c r="AH469" s="667">
        <f t="shared" si="24"/>
        <v>202407</v>
      </c>
      <c r="AJ469" s="262" t="s">
        <v>1630</v>
      </c>
      <c r="AK469" s="262"/>
    </row>
    <row r="470" spans="3:37" ht="15.75" hidden="1">
      <c r="C470" s="665">
        <v>45478</v>
      </c>
      <c r="D470" s="655">
        <v>366408</v>
      </c>
      <c r="E470" s="655">
        <v>28245</v>
      </c>
      <c r="F470" s="655">
        <v>25648.400000000001</v>
      </c>
      <c r="G470" s="655">
        <v>4191</v>
      </c>
      <c r="H470" s="655">
        <v>2426</v>
      </c>
      <c r="I470" s="646">
        <v>149000</v>
      </c>
      <c r="J470" s="655">
        <v>177868</v>
      </c>
      <c r="K470" s="655">
        <v>52426.879999999997</v>
      </c>
      <c r="L470" s="655">
        <v>13453</v>
      </c>
      <c r="M470" s="655">
        <v>399579</v>
      </c>
      <c r="N470" s="655">
        <v>8018.0000000000009</v>
      </c>
      <c r="O470" s="655">
        <v>4634</v>
      </c>
      <c r="P470" s="655">
        <v>103.34141399999999</v>
      </c>
      <c r="Q470" s="337">
        <v>0</v>
      </c>
      <c r="R470" s="167">
        <f t="shared" si="25"/>
        <v>149728.73468630004</v>
      </c>
      <c r="S470" s="473">
        <v>8.7368716143702212</v>
      </c>
      <c r="T470" s="473">
        <v>0.45183200000000001</v>
      </c>
      <c r="U470" s="473">
        <v>4.6155566945209787E-3</v>
      </c>
      <c r="V470" s="473">
        <v>1.7000000000000001E-2</v>
      </c>
      <c r="W470" s="473">
        <v>0.30260999999999999</v>
      </c>
      <c r="X470" s="155">
        <v>6.9710000000000001</v>
      </c>
      <c r="Y470" s="473">
        <v>10.18</v>
      </c>
      <c r="AB470" s="337">
        <v>0</v>
      </c>
      <c r="AC470" s="473">
        <v>0.2086949627209066</v>
      </c>
      <c r="AD470" s="473">
        <v>6.2098786057930545E-2</v>
      </c>
      <c r="AE470" s="473">
        <v>1.5256001299999999</v>
      </c>
      <c r="AF470" s="473">
        <v>14.607826202686132</v>
      </c>
      <c r="AG470" s="172">
        <f t="shared" si="26"/>
        <v>7.8968037372572315</v>
      </c>
      <c r="AH470" s="667">
        <f t="shared" si="24"/>
        <v>202407</v>
      </c>
      <c r="AJ470" s="262"/>
      <c r="AK470" s="262"/>
    </row>
    <row r="471" spans="3:37" ht="15.75" hidden="1">
      <c r="C471" s="649">
        <v>45479</v>
      </c>
      <c r="D471" s="645">
        <v>362244</v>
      </c>
      <c r="E471" s="645">
        <v>29516</v>
      </c>
      <c r="F471" s="645">
        <v>26310.06</v>
      </c>
      <c r="G471" s="645">
        <v>4165</v>
      </c>
      <c r="H471" s="645">
        <v>2454</v>
      </c>
      <c r="I471" s="646">
        <v>149000</v>
      </c>
      <c r="J471" s="645">
        <v>178329</v>
      </c>
      <c r="K471" s="645">
        <v>48969.04</v>
      </c>
      <c r="L471" s="645">
        <v>13436</v>
      </c>
      <c r="M471" s="645">
        <v>411728</v>
      </c>
      <c r="N471" s="645">
        <v>7856</v>
      </c>
      <c r="O471" s="645">
        <v>445</v>
      </c>
      <c r="P471" s="645">
        <v>110.32309199999999</v>
      </c>
      <c r="Q471" s="337">
        <v>0</v>
      </c>
      <c r="R471" s="167">
        <f t="shared" si="25"/>
        <v>148500.85879140001</v>
      </c>
      <c r="S471" s="648">
        <v>8.8725091817288551</v>
      </c>
      <c r="T471" s="648">
        <v>0.47134500000000001</v>
      </c>
      <c r="U471" s="648">
        <v>4.9413133907409658E-3</v>
      </c>
      <c r="V471" s="648">
        <v>1.7000000000000001E-2</v>
      </c>
      <c r="W471" s="472">
        <v>0.28974</v>
      </c>
      <c r="X471" s="155">
        <v>6.9710000000000001</v>
      </c>
      <c r="Y471" s="472">
        <v>10.19</v>
      </c>
      <c r="Z471" s="337">
        <v>0</v>
      </c>
      <c r="AB471" s="337">
        <v>0</v>
      </c>
      <c r="AC471" s="472">
        <v>0.20926129911906372</v>
      </c>
      <c r="AD471" s="472">
        <v>6.4788883949176965E-2</v>
      </c>
      <c r="AE471" s="472">
        <v>1.51100013</v>
      </c>
      <c r="AF471" s="472">
        <v>14.617850356933515</v>
      </c>
      <c r="AG471" s="172">
        <f t="shared" si="26"/>
        <v>7.891435947132921</v>
      </c>
      <c r="AH471" s="667">
        <f t="shared" si="24"/>
        <v>202407</v>
      </c>
      <c r="AJ471" s="262" t="s">
        <v>1631</v>
      </c>
      <c r="AK471" s="262"/>
    </row>
    <row r="472" spans="3:37" ht="15.75" hidden="1">
      <c r="C472" s="665">
        <v>45480</v>
      </c>
      <c r="D472" s="655">
        <v>347911</v>
      </c>
      <c r="E472" s="655">
        <v>30151</v>
      </c>
      <c r="F472" s="655">
        <v>25463.01</v>
      </c>
      <c r="G472" s="655">
        <v>4159</v>
      </c>
      <c r="H472" s="655">
        <v>2473</v>
      </c>
      <c r="I472" s="646">
        <v>149000</v>
      </c>
      <c r="J472" s="655">
        <v>176202</v>
      </c>
      <c r="K472" s="655">
        <v>49535.55</v>
      </c>
      <c r="L472" s="655">
        <v>13446</v>
      </c>
      <c r="M472" s="655">
        <v>398898</v>
      </c>
      <c r="N472" s="655">
        <v>7808</v>
      </c>
      <c r="O472" s="655">
        <v>6743</v>
      </c>
      <c r="P472" s="655">
        <v>89.629649999999998</v>
      </c>
      <c r="Q472" s="337">
        <v>0</v>
      </c>
      <c r="R472" s="167">
        <f t="shared" si="25"/>
        <v>149346.70944250003</v>
      </c>
      <c r="S472" s="473">
        <v>8.9733170606008219</v>
      </c>
      <c r="T472" s="473">
        <v>0.48782799999999998</v>
      </c>
      <c r="U472" s="473">
        <v>4.9284009208629825E-3</v>
      </c>
      <c r="V472" s="473">
        <v>1.7000000000000001E-2</v>
      </c>
      <c r="W472" s="473">
        <v>0.28088999999999997</v>
      </c>
      <c r="X472" s="155">
        <v>6.9710000000000001</v>
      </c>
      <c r="Y472" s="473">
        <v>10.43</v>
      </c>
      <c r="AB472" s="337">
        <v>0</v>
      </c>
      <c r="AC472" s="473">
        <v>0.20642961712827801</v>
      </c>
      <c r="AD472" s="473">
        <v>6.5921556745491244E-2</v>
      </c>
      <c r="AE472" s="473">
        <v>1.4997001299999999</v>
      </c>
      <c r="AF472" s="473">
        <v>14.609213726861617</v>
      </c>
      <c r="AG472" s="172">
        <f t="shared" si="26"/>
        <v>7.9453443373932657</v>
      </c>
      <c r="AH472" s="667">
        <f t="shared" si="24"/>
        <v>202407</v>
      </c>
      <c r="AJ472" s="262" t="s">
        <v>1632</v>
      </c>
      <c r="AK472" s="262"/>
    </row>
    <row r="473" spans="3:37" ht="15.75" hidden="1">
      <c r="C473" s="649">
        <v>45481</v>
      </c>
      <c r="D473" s="645">
        <v>337726</v>
      </c>
      <c r="E473" s="645">
        <v>30906</v>
      </c>
      <c r="F473" s="645">
        <v>26560.03</v>
      </c>
      <c r="G473" s="645">
        <v>4144</v>
      </c>
      <c r="H473" s="645">
        <v>2369</v>
      </c>
      <c r="I473" s="646">
        <v>149000</v>
      </c>
      <c r="J473" s="645">
        <v>175346</v>
      </c>
      <c r="K473" s="645">
        <v>51607.6</v>
      </c>
      <c r="L473" s="645">
        <v>13559</v>
      </c>
      <c r="M473" s="645">
        <v>409953</v>
      </c>
      <c r="N473" s="645">
        <v>7709</v>
      </c>
      <c r="O473" s="645">
        <v>5530</v>
      </c>
      <c r="P473" s="645">
        <v>125.858898</v>
      </c>
      <c r="Q473" s="337">
        <v>0</v>
      </c>
      <c r="R473" s="167">
        <f t="shared" si="25"/>
        <v>150256.82685409999</v>
      </c>
      <c r="S473" s="648">
        <v>8.7481983423333638</v>
      </c>
      <c r="T473" s="648">
        <v>0.50216799999999995</v>
      </c>
      <c r="U473" s="648">
        <v>4.978606642559614E-3</v>
      </c>
      <c r="V473" s="648">
        <v>1.7000000000000001E-2</v>
      </c>
      <c r="W473" s="472">
        <v>0.27973000000000003</v>
      </c>
      <c r="X473" s="155">
        <v>6.9710000000000001</v>
      </c>
      <c r="Y473" s="472">
        <v>10.58</v>
      </c>
      <c r="AB473" s="337">
        <v>0</v>
      </c>
      <c r="AC473" s="472">
        <v>0.21492466310063513</v>
      </c>
      <c r="AD473" s="472">
        <v>6.572333900613625E-2</v>
      </c>
      <c r="AE473" s="472">
        <v>1.4917001299999999</v>
      </c>
      <c r="AF473" s="472">
        <v>14.610119865098669</v>
      </c>
      <c r="AG473" s="172">
        <f t="shared" si="26"/>
        <v>7.9793002504679915</v>
      </c>
      <c r="AH473" s="667">
        <f t="shared" si="24"/>
        <v>202407</v>
      </c>
      <c r="AJ473" s="262" t="s">
        <v>1632</v>
      </c>
      <c r="AK473" s="262"/>
    </row>
    <row r="474" spans="3:37" ht="346.5" hidden="1">
      <c r="C474" s="665">
        <v>45482</v>
      </c>
      <c r="D474" s="655">
        <v>334969</v>
      </c>
      <c r="E474" s="655">
        <v>31119</v>
      </c>
      <c r="F474" s="655">
        <v>26497.27</v>
      </c>
      <c r="G474" s="655">
        <v>4172</v>
      </c>
      <c r="H474" s="655">
        <v>2361</v>
      </c>
      <c r="I474" s="646">
        <v>149000</v>
      </c>
      <c r="J474" s="655">
        <v>176298</v>
      </c>
      <c r="K474" s="655">
        <v>52291.62</v>
      </c>
      <c r="L474" s="655">
        <v>12908</v>
      </c>
      <c r="M474" s="655">
        <v>398954</v>
      </c>
      <c r="N474" s="655">
        <v>7930</v>
      </c>
      <c r="O474" s="655">
        <v>605</v>
      </c>
      <c r="P474" s="655">
        <v>71.892413999999988</v>
      </c>
      <c r="Q474" s="337">
        <v>0</v>
      </c>
      <c r="R474" s="167">
        <f t="shared" si="25"/>
        <v>148064.25448629999</v>
      </c>
      <c r="S474" s="473">
        <v>9.135289270473768</v>
      </c>
      <c r="T474" s="473">
        <v>0.51335500000000001</v>
      </c>
      <c r="U474" s="473">
        <v>4.9763412969669853E-3</v>
      </c>
      <c r="V474" s="473">
        <v>1.7000000000000001E-2</v>
      </c>
      <c r="W474" s="473">
        <v>0.27462000000000003</v>
      </c>
      <c r="X474" s="155">
        <v>6.9710000000000001</v>
      </c>
      <c r="Y474" s="473">
        <v>10.66</v>
      </c>
      <c r="Z474" s="337">
        <v>0</v>
      </c>
      <c r="AA474" s="337">
        <v>0</v>
      </c>
      <c r="AB474" s="337">
        <v>0</v>
      </c>
      <c r="AC474" s="473">
        <v>0.21492466310063513</v>
      </c>
      <c r="AD474" s="473">
        <v>6.6006507205214823E-2</v>
      </c>
      <c r="AE474" s="473">
        <v>1.4075001299999998</v>
      </c>
      <c r="AF474" s="473">
        <v>17.055956867819916</v>
      </c>
      <c r="AG474" s="172">
        <f t="shared" si="26"/>
        <v>8.3849665129083633</v>
      </c>
      <c r="AH474" s="667">
        <f t="shared" si="24"/>
        <v>202407</v>
      </c>
      <c r="AJ474" s="1020" t="s">
        <v>1633</v>
      </c>
      <c r="AK474" s="262"/>
    </row>
    <row r="475" spans="3:37" ht="15.75" hidden="1">
      <c r="C475" s="649">
        <v>45483</v>
      </c>
      <c r="D475" s="645">
        <v>339831</v>
      </c>
      <c r="E475" s="645">
        <v>33629</v>
      </c>
      <c r="F475" s="645">
        <v>25034.57</v>
      </c>
      <c r="G475" s="645">
        <v>4249</v>
      </c>
      <c r="H475" s="645">
        <v>2388</v>
      </c>
      <c r="I475" s="646">
        <v>149000</v>
      </c>
      <c r="J475" s="645">
        <v>177868</v>
      </c>
      <c r="K475" s="645">
        <v>52249.84</v>
      </c>
      <c r="L475" s="645">
        <v>12609</v>
      </c>
      <c r="M475" s="645">
        <v>394034</v>
      </c>
      <c r="N475" s="645">
        <v>7864</v>
      </c>
      <c r="O475" s="645">
        <v>4865</v>
      </c>
      <c r="P475" s="645">
        <v>126.61367399999999</v>
      </c>
      <c r="Q475" s="337">
        <v>0</v>
      </c>
      <c r="R475" s="167">
        <f t="shared" si="25"/>
        <v>149746.06250330003</v>
      </c>
      <c r="S475" s="648">
        <v>9.8607661965130671</v>
      </c>
      <c r="T475" s="648">
        <v>0.51475899999999997</v>
      </c>
      <c r="U475" s="648">
        <v>4.9013583578509795E-3</v>
      </c>
      <c r="V475" s="648">
        <v>1.7000000000000001E-2</v>
      </c>
      <c r="W475" s="472">
        <v>0.27202999999999999</v>
      </c>
      <c r="X475" s="155">
        <v>6.9710000000000001</v>
      </c>
      <c r="Y475" s="472">
        <v>10.48</v>
      </c>
      <c r="Z475" s="337">
        <v>0</v>
      </c>
      <c r="AA475" s="337">
        <v>0</v>
      </c>
      <c r="AB475" s="337">
        <v>0</v>
      </c>
      <c r="AC475" s="472">
        <v>0.20926129911906372</v>
      </c>
      <c r="AD475" s="472">
        <v>6.6940962262174108E-2</v>
      </c>
      <c r="AE475" s="472">
        <v>1.4618001299999999</v>
      </c>
      <c r="AF475" s="472">
        <v>17.178087312082504</v>
      </c>
      <c r="AG475" s="172">
        <f t="shared" si="26"/>
        <v>8.3976096093519388</v>
      </c>
      <c r="AH475" s="667">
        <f t="shared" si="24"/>
        <v>202407</v>
      </c>
      <c r="AJ475" s="262" t="s">
        <v>1634</v>
      </c>
      <c r="AK475" s="262"/>
    </row>
    <row r="476" spans="3:37" ht="15.75" hidden="1">
      <c r="C476" s="665">
        <v>45484</v>
      </c>
      <c r="D476" s="655">
        <v>345357</v>
      </c>
      <c r="E476" s="655">
        <v>32868</v>
      </c>
      <c r="F476" s="655">
        <v>26336.2</v>
      </c>
      <c r="G476" s="655">
        <v>4315</v>
      </c>
      <c r="H476" s="655">
        <v>2388</v>
      </c>
      <c r="I476" s="646">
        <v>149000</v>
      </c>
      <c r="J476" s="655">
        <v>177645</v>
      </c>
      <c r="K476" s="655">
        <v>50924.82</v>
      </c>
      <c r="L476" s="655">
        <v>12929</v>
      </c>
      <c r="M476" s="655">
        <v>372509</v>
      </c>
      <c r="N476" s="655">
        <v>7986</v>
      </c>
      <c r="O476" s="655">
        <v>3948</v>
      </c>
      <c r="P476" s="655">
        <v>102.20925</v>
      </c>
      <c r="Q476" s="337">
        <v>0</v>
      </c>
      <c r="R476" s="167">
        <f t="shared" si="25"/>
        <v>149074.98711250001</v>
      </c>
      <c r="S476" s="473">
        <v>9.9117364723472114</v>
      </c>
      <c r="T476" s="473">
        <v>0.50992999999999999</v>
      </c>
      <c r="U476" s="473">
        <v>4.9595211059417178E-3</v>
      </c>
      <c r="V476" s="473">
        <v>1.7000000000000001E-2</v>
      </c>
      <c r="W476" s="473">
        <v>0.27202999999999999</v>
      </c>
      <c r="X476" s="155">
        <v>6.9710000000000001</v>
      </c>
      <c r="Y476" s="473">
        <v>10.63</v>
      </c>
      <c r="Z476" s="337">
        <v>0</v>
      </c>
      <c r="AB476" s="337">
        <v>0</v>
      </c>
      <c r="AC476" s="473">
        <v>0.20784545812367086</v>
      </c>
      <c r="AD476" s="473">
        <v>6.6119774484846253E-2</v>
      </c>
      <c r="AE476" s="473">
        <v>1.4550001299999999</v>
      </c>
      <c r="AF476" s="473">
        <v>17.193151860273485</v>
      </c>
      <c r="AG476" s="172">
        <f t="shared" si="26"/>
        <v>8.4355406622194149</v>
      </c>
      <c r="AH476" s="667">
        <f t="shared" si="24"/>
        <v>202407</v>
      </c>
      <c r="AJ476" s="262" t="s">
        <v>1635</v>
      </c>
      <c r="AK476" s="262"/>
    </row>
    <row r="477" spans="3:37" ht="15.75" hidden="1">
      <c r="C477" s="649">
        <v>45485</v>
      </c>
      <c r="D477" s="645">
        <v>352864</v>
      </c>
      <c r="E477" s="645">
        <v>30887</v>
      </c>
      <c r="F477" s="645">
        <v>26298.959999999999</v>
      </c>
      <c r="G477" s="645">
        <v>4296</v>
      </c>
      <c r="H477" s="645">
        <v>2262</v>
      </c>
      <c r="I477" s="646">
        <v>150300</v>
      </c>
      <c r="J477" s="645">
        <v>176268</v>
      </c>
      <c r="K477" s="645">
        <v>51799.54</v>
      </c>
      <c r="L477" s="645">
        <v>13022</v>
      </c>
      <c r="M477" s="645">
        <v>404246</v>
      </c>
      <c r="N477" s="645">
        <v>8013</v>
      </c>
      <c r="O477" s="645">
        <v>5414</v>
      </c>
      <c r="P477" s="645">
        <v>103.65590399999999</v>
      </c>
      <c r="Q477" s="337">
        <v>0</v>
      </c>
      <c r="R477" s="167">
        <f t="shared" si="25"/>
        <v>150554.55805679999</v>
      </c>
      <c r="S477" s="648">
        <v>9.9635562527785879</v>
      </c>
      <c r="T477" s="648">
        <v>0.51020799999999999</v>
      </c>
      <c r="U477" s="648">
        <v>4.3671332334693476E-3</v>
      </c>
      <c r="V477" s="648">
        <v>1.7000000000000001E-2</v>
      </c>
      <c r="W477" s="472">
        <v>0.26533000000000001</v>
      </c>
      <c r="X477" s="155">
        <v>6.9710000000000001</v>
      </c>
      <c r="Y477" s="472">
        <v>10.6</v>
      </c>
      <c r="AB477" s="337">
        <v>0</v>
      </c>
      <c r="AC477" s="472">
        <v>0.21407515850339942</v>
      </c>
      <c r="AD477" s="472">
        <v>6.4505715750098391E-2</v>
      </c>
      <c r="AE477" s="472">
        <v>1.4499001299999998</v>
      </c>
      <c r="AF477" s="472">
        <v>14.743378819585045</v>
      </c>
      <c r="AG477" s="172">
        <f t="shared" si="26"/>
        <v>8.0031813142674864</v>
      </c>
      <c r="AH477" s="667">
        <f t="shared" si="24"/>
        <v>202407</v>
      </c>
      <c r="AJ477" s="262" t="s">
        <v>1637</v>
      </c>
      <c r="AK477" s="262"/>
    </row>
    <row r="478" spans="3:37" ht="15.75" hidden="1">
      <c r="C478" s="665">
        <v>45486</v>
      </c>
      <c r="D478" s="655">
        <v>352715</v>
      </c>
      <c r="E478" s="655">
        <v>31321</v>
      </c>
      <c r="F478" s="655">
        <v>26321.439999999999</v>
      </c>
      <c r="G478" s="655">
        <v>4344</v>
      </c>
      <c r="H478" s="655">
        <v>2408</v>
      </c>
      <c r="I478" s="646">
        <v>150300</v>
      </c>
      <c r="J478" s="655">
        <v>174773</v>
      </c>
      <c r="K478" s="655">
        <v>53560.55</v>
      </c>
      <c r="L478" s="655">
        <v>13753</v>
      </c>
      <c r="M478" s="655">
        <v>399768</v>
      </c>
      <c r="N478" s="655">
        <v>7995</v>
      </c>
      <c r="O478" s="655">
        <v>6230</v>
      </c>
      <c r="P478" s="655">
        <v>121.64473199999999</v>
      </c>
      <c r="Q478" s="337">
        <v>0</v>
      </c>
      <c r="R478" s="167">
        <f t="shared" si="25"/>
        <v>151235.33337939999</v>
      </c>
      <c r="S478" s="473">
        <v>9.9275938914956061</v>
      </c>
      <c r="T478" s="473">
        <v>0.50976500000000002</v>
      </c>
      <c r="U478" s="473">
        <v>4.4354617199070072E-3</v>
      </c>
      <c r="V478" s="473">
        <v>1.7000000000000001E-2</v>
      </c>
      <c r="W478" s="473">
        <v>0.26902999999999999</v>
      </c>
      <c r="X478" s="155">
        <v>6.9710000000000001</v>
      </c>
      <c r="Y478" s="473">
        <v>10.55</v>
      </c>
      <c r="AB478" s="337">
        <v>0</v>
      </c>
      <c r="AC478" s="473">
        <v>0.2007662531467066</v>
      </c>
      <c r="AD478" s="473">
        <v>6.4788883949176965E-2</v>
      </c>
      <c r="AE478" s="473">
        <v>1.4393001299999999</v>
      </c>
      <c r="AF478" s="473">
        <v>8.235012615143269</v>
      </c>
      <c r="AG478" s="172">
        <f t="shared" si="26"/>
        <v>6.8804358365976475</v>
      </c>
      <c r="AH478" s="667">
        <f t="shared" si="24"/>
        <v>202407</v>
      </c>
      <c r="AJ478" s="262" t="s">
        <v>1636</v>
      </c>
      <c r="AK478" s="262"/>
    </row>
    <row r="479" spans="3:37" ht="19.5" hidden="1" customHeight="1">
      <c r="C479" s="649">
        <v>45487</v>
      </c>
      <c r="D479" s="645">
        <v>356488</v>
      </c>
      <c r="E479" s="645">
        <v>32943</v>
      </c>
      <c r="F479" s="645">
        <v>26423.63</v>
      </c>
      <c r="G479" s="645">
        <v>4351</v>
      </c>
      <c r="H479" s="645">
        <v>2482</v>
      </c>
      <c r="I479" s="646">
        <v>150300</v>
      </c>
      <c r="J479" s="645">
        <v>175428</v>
      </c>
      <c r="K479" s="645">
        <v>51977.47</v>
      </c>
      <c r="L479" s="645">
        <v>13728</v>
      </c>
      <c r="M479" s="645">
        <v>406863</v>
      </c>
      <c r="N479" s="645">
        <v>7993</v>
      </c>
      <c r="O479" s="645">
        <v>6157</v>
      </c>
      <c r="P479" s="645">
        <v>58.935425999999993</v>
      </c>
      <c r="Q479" s="337">
        <v>0</v>
      </c>
      <c r="R479" s="167">
        <f t="shared" si="25"/>
        <v>151904.12224169998</v>
      </c>
      <c r="S479" s="648">
        <v>9.8582176827213548</v>
      </c>
      <c r="T479" s="648">
        <v>0.51874900000000002</v>
      </c>
      <c r="U479" s="648">
        <v>4.6350386666175842E-3</v>
      </c>
      <c r="V479" s="648">
        <v>1.7000000000000001E-2</v>
      </c>
      <c r="W479" s="472">
        <v>0.28158</v>
      </c>
      <c r="X479" s="155">
        <v>6.9710000000000001</v>
      </c>
      <c r="Y479" s="472">
        <v>10.3</v>
      </c>
      <c r="AB479" s="337">
        <v>0</v>
      </c>
      <c r="AC479" s="472">
        <v>0.20218209414209945</v>
      </c>
      <c r="AD479" s="472">
        <v>6.5072052148255538E-2</v>
      </c>
      <c r="AE479" s="472">
        <v>1.4292001299999999</v>
      </c>
      <c r="AF479" s="472">
        <v>14.607826202686132</v>
      </c>
      <c r="AG479" s="172">
        <f t="shared" si="26"/>
        <v>7.9080509497090725</v>
      </c>
      <c r="AH479" s="667">
        <f t="shared" si="24"/>
        <v>202407</v>
      </c>
      <c r="AJ479" s="262"/>
      <c r="AK479" s="262"/>
    </row>
    <row r="480" spans="3:37" ht="15.75" hidden="1">
      <c r="C480" s="665">
        <v>45488</v>
      </c>
      <c r="D480" s="655">
        <v>348594</v>
      </c>
      <c r="E480" s="655">
        <v>33277</v>
      </c>
      <c r="F480" s="655">
        <v>26282.04</v>
      </c>
      <c r="G480" s="655">
        <v>4343</v>
      </c>
      <c r="H480" s="655">
        <v>2330</v>
      </c>
      <c r="I480" s="646">
        <v>150300</v>
      </c>
      <c r="J480" s="655">
        <v>176487</v>
      </c>
      <c r="K480" s="655">
        <v>52108.06</v>
      </c>
      <c r="L480" s="655">
        <v>13228</v>
      </c>
      <c r="M480" s="655">
        <v>414832</v>
      </c>
      <c r="N480" s="655">
        <v>8007.9999999999991</v>
      </c>
      <c r="O480" s="655">
        <v>4786</v>
      </c>
      <c r="P480" s="655">
        <v>104.72516999999999</v>
      </c>
      <c r="Q480" s="337">
        <v>0</v>
      </c>
      <c r="R480" s="167">
        <f t="shared" si="25"/>
        <v>151536.81572649998</v>
      </c>
      <c r="S480" s="473">
        <v>10.021605733589697</v>
      </c>
      <c r="T480" s="473">
        <v>0.51628799999999997</v>
      </c>
      <c r="U480" s="473">
        <v>4.4862904116416101E-3</v>
      </c>
      <c r="V480" s="473">
        <v>1.7000000000000001E-2</v>
      </c>
      <c r="W480" s="473">
        <v>0.27723000000000003</v>
      </c>
      <c r="X480" s="155">
        <v>6.9710000000000001</v>
      </c>
      <c r="Y480" s="473">
        <v>10.63</v>
      </c>
      <c r="Z480" s="337">
        <v>0</v>
      </c>
      <c r="AA480" s="337">
        <v>0</v>
      </c>
      <c r="AB480" s="337">
        <v>0</v>
      </c>
      <c r="AC480" s="473">
        <v>0.21294248570708513</v>
      </c>
      <c r="AD480" s="473">
        <v>6.9177991034894817E-2</v>
      </c>
      <c r="AE480" s="473">
        <v>1.4158001299999998</v>
      </c>
      <c r="AF480" s="473">
        <v>14.609326994141249</v>
      </c>
      <c r="AG480" s="172">
        <f t="shared" si="26"/>
        <v>7.989557773079822</v>
      </c>
      <c r="AH480" s="667">
        <f t="shared" si="24"/>
        <v>202407</v>
      </c>
      <c r="AJ480" s="262"/>
      <c r="AK480" s="262"/>
    </row>
    <row r="481" spans="3:37" ht="15.75" hidden="1">
      <c r="C481" s="649">
        <v>45489</v>
      </c>
      <c r="D481" s="645">
        <v>357153</v>
      </c>
      <c r="E481" s="645">
        <v>30069</v>
      </c>
      <c r="F481" s="645">
        <v>26265.77</v>
      </c>
      <c r="G481" s="645">
        <v>4313</v>
      </c>
      <c r="H481" s="645">
        <v>2263</v>
      </c>
      <c r="I481" s="646">
        <v>150300</v>
      </c>
      <c r="J481" s="645">
        <v>176270</v>
      </c>
      <c r="K481" s="645">
        <v>51761.36</v>
      </c>
      <c r="L481" s="645">
        <v>12898</v>
      </c>
      <c r="M481" s="645">
        <v>409464</v>
      </c>
      <c r="N481" s="645">
        <v>7995</v>
      </c>
      <c r="O481" s="645">
        <v>4129</v>
      </c>
      <c r="P481" s="645">
        <v>110.82627599999999</v>
      </c>
      <c r="Q481" s="337">
        <v>0</v>
      </c>
      <c r="R481" s="167">
        <f t="shared" si="25"/>
        <v>150076.06762420002</v>
      </c>
      <c r="S481" s="648">
        <v>9.7684533636134532</v>
      </c>
      <c r="T481" s="648">
        <v>0.483989</v>
      </c>
      <c r="U481" s="648">
        <v>4.6881043871249079E-3</v>
      </c>
      <c r="V481" s="648">
        <v>1.7000000000000001E-2</v>
      </c>
      <c r="W481" s="472">
        <v>0.28277999999999998</v>
      </c>
      <c r="X481" s="155">
        <v>6.9710000000000001</v>
      </c>
      <c r="Y481" s="472">
        <v>10.75</v>
      </c>
      <c r="AB481" s="337">
        <v>0</v>
      </c>
      <c r="AC481" s="472">
        <v>0.21520783129971369</v>
      </c>
      <c r="AD481" s="472">
        <v>6.3373042953784112E-2</v>
      </c>
      <c r="AE481" s="472">
        <v>1.4032001299999999</v>
      </c>
      <c r="AF481" s="472">
        <v>14.92287914098095</v>
      </c>
      <c r="AG481" s="172">
        <f t="shared" si="26"/>
        <v>8.0574415668617014</v>
      </c>
      <c r="AH481" s="667">
        <f t="shared" si="24"/>
        <v>202407</v>
      </c>
      <c r="AJ481" s="262" t="s">
        <v>1639</v>
      </c>
      <c r="AK481" s="262"/>
    </row>
    <row r="482" spans="3:37" ht="15.75" hidden="1">
      <c r="C482" s="665">
        <v>45490</v>
      </c>
      <c r="D482" s="655">
        <v>352406</v>
      </c>
      <c r="E482" s="655">
        <v>12497</v>
      </c>
      <c r="F482" s="655">
        <v>26181.57</v>
      </c>
      <c r="G482" s="655">
        <v>4283</v>
      </c>
      <c r="H482" s="655">
        <v>2444</v>
      </c>
      <c r="I482" s="646">
        <v>150300</v>
      </c>
      <c r="J482" s="655">
        <v>171525</v>
      </c>
      <c r="K482" s="655">
        <v>51926.54</v>
      </c>
      <c r="L482" s="655">
        <v>13036</v>
      </c>
      <c r="M482" s="655">
        <v>397441</v>
      </c>
      <c r="N482" s="655">
        <v>7964</v>
      </c>
      <c r="O482" s="655">
        <v>4163</v>
      </c>
      <c r="P482" s="655">
        <v>106.29761999999998</v>
      </c>
      <c r="Q482" s="337">
        <v>0</v>
      </c>
      <c r="R482" s="167">
        <f t="shared" si="25"/>
        <v>143697.151529</v>
      </c>
      <c r="S482" s="473">
        <v>8.8634477993583403</v>
      </c>
      <c r="T482" s="473">
        <v>0.341034</v>
      </c>
      <c r="U482" s="473">
        <v>4.6870000311485015E-3</v>
      </c>
      <c r="V482" s="473">
        <v>1.7000000000000001E-2</v>
      </c>
      <c r="W482" s="473">
        <v>0.28255000000000002</v>
      </c>
      <c r="X482" s="155">
        <v>6.9710000000000001</v>
      </c>
      <c r="Y482" s="473">
        <v>10.81</v>
      </c>
      <c r="Z482" s="337">
        <v>0</v>
      </c>
      <c r="AB482" s="337">
        <v>0</v>
      </c>
      <c r="AC482" s="473">
        <v>0.21747317689234227</v>
      </c>
      <c r="AD482" s="473">
        <v>6.7620565939962671E-2</v>
      </c>
      <c r="AE482" s="473">
        <v>1.39640013</v>
      </c>
      <c r="AF482" s="473">
        <v>14.907927860069604</v>
      </c>
      <c r="AG482" s="172">
        <f t="shared" si="26"/>
        <v>8.0096537947329569</v>
      </c>
      <c r="AH482" s="667">
        <f t="shared" si="24"/>
        <v>202407</v>
      </c>
      <c r="AJ482" s="262" t="s">
        <v>1640</v>
      </c>
      <c r="AK482" s="262"/>
    </row>
    <row r="483" spans="3:37" ht="15.75" hidden="1">
      <c r="C483" s="649">
        <v>45491</v>
      </c>
      <c r="D483" s="645">
        <v>344670</v>
      </c>
      <c r="E483" s="645">
        <v>2252</v>
      </c>
      <c r="F483" s="645">
        <v>26280.48</v>
      </c>
      <c r="G483" s="645">
        <v>4292</v>
      </c>
      <c r="H483" s="645">
        <v>2448</v>
      </c>
      <c r="I483" s="646">
        <v>150300</v>
      </c>
      <c r="J483" s="645">
        <v>178486</v>
      </c>
      <c r="K483" s="645">
        <v>48733.14</v>
      </c>
      <c r="L483" s="645">
        <v>12649</v>
      </c>
      <c r="M483" s="645">
        <v>335620</v>
      </c>
      <c r="N483" s="645">
        <v>7786</v>
      </c>
      <c r="O483" s="645">
        <v>3706</v>
      </c>
      <c r="P483" s="645">
        <v>115.669422</v>
      </c>
      <c r="Q483" s="337">
        <v>0</v>
      </c>
      <c r="R483" s="167">
        <f t="shared" si="25"/>
        <v>139077.18048989997</v>
      </c>
      <c r="S483" s="648">
        <v>10.072576009423836</v>
      </c>
      <c r="T483" s="648">
        <v>0.18399799999999999</v>
      </c>
      <c r="U483" s="648">
        <v>4.5816048274514576E-3</v>
      </c>
      <c r="V483" s="648">
        <v>1.7000000000000001E-2</v>
      </c>
      <c r="W483" s="472">
        <v>0.29354000000000002</v>
      </c>
      <c r="X483" s="155">
        <v>6.9710000000000001</v>
      </c>
      <c r="Y483" s="472">
        <v>10.71</v>
      </c>
      <c r="AB483" s="337">
        <v>0</v>
      </c>
      <c r="AC483" s="472">
        <v>0.21096030831353516</v>
      </c>
      <c r="AD483" s="472">
        <v>6.7337397740884111E-2</v>
      </c>
      <c r="AE483" s="472">
        <v>1.3956001299999998</v>
      </c>
      <c r="AF483" s="472">
        <v>14.908692414207113</v>
      </c>
      <c r="AG483" s="172">
        <f t="shared" si="26"/>
        <v>7.9790414511229582</v>
      </c>
      <c r="AH483" s="667">
        <f t="shared" si="24"/>
        <v>202407</v>
      </c>
      <c r="AJ483" s="262" t="s">
        <v>1641</v>
      </c>
      <c r="AK483" s="262"/>
    </row>
    <row r="484" spans="3:37" ht="15.75" hidden="1">
      <c r="C484" s="665">
        <v>45492</v>
      </c>
      <c r="D484" s="655">
        <v>348836</v>
      </c>
      <c r="E484" s="646">
        <v>2252</v>
      </c>
      <c r="F484" s="655">
        <v>26536</v>
      </c>
      <c r="G484" s="655">
        <v>4262</v>
      </c>
      <c r="H484" s="655">
        <v>2367</v>
      </c>
      <c r="I484" s="646">
        <v>140600</v>
      </c>
      <c r="J484" s="655">
        <v>175725</v>
      </c>
      <c r="K484" s="655">
        <v>51562.03</v>
      </c>
      <c r="L484" s="655">
        <v>12558</v>
      </c>
      <c r="M484" s="655">
        <v>344036</v>
      </c>
      <c r="N484" s="655">
        <v>7773</v>
      </c>
      <c r="O484" s="655">
        <v>1141</v>
      </c>
      <c r="P484" s="655">
        <v>105.228354</v>
      </c>
      <c r="Q484" s="337">
        <v>0</v>
      </c>
      <c r="R484" s="167">
        <f t="shared" si="25"/>
        <v>136588.19935929999</v>
      </c>
      <c r="S484" s="473">
        <v>9.5008594154842019</v>
      </c>
      <c r="T484" s="680">
        <v>0.18399799999999999</v>
      </c>
      <c r="U484" s="473">
        <v>4.9628624906908449E-3</v>
      </c>
      <c r="V484" s="473">
        <v>1.7000000000000001E-2</v>
      </c>
      <c r="W484" s="473">
        <v>0.29572000000000004</v>
      </c>
      <c r="X484" s="155">
        <v>6.9710000000000001</v>
      </c>
      <c r="Y484" s="473">
        <v>10.64</v>
      </c>
      <c r="AB484" s="337">
        <v>0</v>
      </c>
      <c r="AC484" s="473">
        <v>0.21322565390616371</v>
      </c>
      <c r="AD484" s="473">
        <v>6.8356803257566962E-2</v>
      </c>
      <c r="AE484" s="473">
        <v>1.3896001299999998</v>
      </c>
      <c r="AF484" s="473">
        <v>14.926985079867592</v>
      </c>
      <c r="AG484" s="172">
        <f t="shared" si="26"/>
        <v>7.9511483815513646</v>
      </c>
      <c r="AH484" s="667">
        <f t="shared" si="24"/>
        <v>202407</v>
      </c>
      <c r="AI484" t="s">
        <v>1644</v>
      </c>
      <c r="AJ484" s="262" t="s">
        <v>1642</v>
      </c>
      <c r="AK484" s="262"/>
    </row>
    <row r="485" spans="3:37" ht="15.75" hidden="1">
      <c r="C485" s="649">
        <v>45493</v>
      </c>
      <c r="D485" s="645">
        <v>339511</v>
      </c>
      <c r="E485" s="645">
        <v>491</v>
      </c>
      <c r="F485" s="645">
        <v>25950.23</v>
      </c>
      <c r="G485" s="645">
        <v>4272</v>
      </c>
      <c r="H485" s="645">
        <v>2388</v>
      </c>
      <c r="I485" s="646">
        <v>140600</v>
      </c>
      <c r="J485" s="645">
        <v>175041</v>
      </c>
      <c r="K485" s="645">
        <v>53109.03</v>
      </c>
      <c r="L485" s="645">
        <v>12680</v>
      </c>
      <c r="M485" s="645">
        <v>372112</v>
      </c>
      <c r="N485" s="645">
        <v>7954</v>
      </c>
      <c r="O485" s="645">
        <v>3830</v>
      </c>
      <c r="P485" s="645">
        <v>121.58183399999999</v>
      </c>
      <c r="Q485" s="337">
        <v>0</v>
      </c>
      <c r="R485" s="167">
        <f t="shared" si="25"/>
        <v>137977.53442530002</v>
      </c>
      <c r="S485" s="648">
        <v>9.7811959325719862</v>
      </c>
      <c r="T485" s="648">
        <v>1.9241000000000001E-2</v>
      </c>
      <c r="U485" s="648">
        <v>5.0380436475462058E-3</v>
      </c>
      <c r="V485" s="648">
        <v>1.7000000000000001E-2</v>
      </c>
      <c r="W485" s="472">
        <v>0.29541000000000001</v>
      </c>
      <c r="X485" s="155">
        <v>6.9710000000000001</v>
      </c>
      <c r="Y485" s="472">
        <v>10.65</v>
      </c>
      <c r="AB485" s="337">
        <v>0</v>
      </c>
      <c r="AC485" s="472">
        <v>0.21492466310063513</v>
      </c>
      <c r="AD485" s="472">
        <v>6.8470070537198391E-2</v>
      </c>
      <c r="AE485" s="472">
        <v>1.37600013</v>
      </c>
      <c r="AF485" s="472">
        <v>14.919028053473481</v>
      </c>
      <c r="AG485" s="172">
        <f t="shared" si="26"/>
        <v>7.9082418953421367</v>
      </c>
      <c r="AH485" s="667">
        <f t="shared" si="24"/>
        <v>202407</v>
      </c>
      <c r="AJ485" s="262" t="s">
        <v>1643</v>
      </c>
      <c r="AK485" s="262"/>
    </row>
    <row r="486" spans="3:37" ht="15.75" hidden="1">
      <c r="C486" s="665">
        <v>45494</v>
      </c>
      <c r="D486" s="655">
        <v>343961</v>
      </c>
      <c r="E486" s="655">
        <v>94</v>
      </c>
      <c r="F486" s="655">
        <v>25566.82</v>
      </c>
      <c r="G486" s="655">
        <v>4276</v>
      </c>
      <c r="H486" s="655">
        <v>2415</v>
      </c>
      <c r="I486" s="646">
        <v>140600</v>
      </c>
      <c r="J486" s="655">
        <v>178016</v>
      </c>
      <c r="K486" s="655">
        <v>51181.1</v>
      </c>
      <c r="L486" s="655">
        <v>12729</v>
      </c>
      <c r="M486" s="655">
        <v>398682</v>
      </c>
      <c r="N486" s="655">
        <v>7810</v>
      </c>
      <c r="O486" s="655">
        <v>5884</v>
      </c>
      <c r="P486" s="655">
        <v>120.44966999999998</v>
      </c>
      <c r="Q486" s="337">
        <v>0</v>
      </c>
      <c r="R486" s="167">
        <f t="shared" si="25"/>
        <v>139905.14170149999</v>
      </c>
      <c r="S486" s="473">
        <v>10.126094799049685</v>
      </c>
      <c r="T486" s="473">
        <v>1.6174000000000001E-2</v>
      </c>
      <c r="U486" s="473">
        <v>4.9249179520143163E-3</v>
      </c>
      <c r="V486" s="473">
        <v>1.7000000000000001E-2</v>
      </c>
      <c r="W486" s="473">
        <v>0.30307999999999996</v>
      </c>
      <c r="X486" s="155">
        <v>6.9710000000000001</v>
      </c>
      <c r="Y486" s="473">
        <v>10.54</v>
      </c>
      <c r="AB486" s="337">
        <v>0</v>
      </c>
      <c r="AC486" s="473">
        <v>0.21662367229510657</v>
      </c>
      <c r="AD486" s="473">
        <v>6.5638388546412685E-2</v>
      </c>
      <c r="AE486" s="473">
        <v>1.3638001299999998</v>
      </c>
      <c r="AF486" s="473">
        <v>14.919622706691545</v>
      </c>
      <c r="AG486" s="172">
        <f t="shared" si="26"/>
        <v>7.8880370904330466</v>
      </c>
      <c r="AH486" s="667">
        <f t="shared" si="24"/>
        <v>202407</v>
      </c>
      <c r="AJ486" s="262" t="s">
        <v>1643</v>
      </c>
      <c r="AK486" s="262"/>
    </row>
    <row r="487" spans="3:37" ht="15.75" hidden="1">
      <c r="C487" s="649">
        <v>45495</v>
      </c>
      <c r="D487" s="645">
        <v>343749</v>
      </c>
      <c r="E487" s="645">
        <v>8566</v>
      </c>
      <c r="F487" s="645">
        <v>25576.959999999999</v>
      </c>
      <c r="G487" s="645">
        <v>4273</v>
      </c>
      <c r="H487" s="645">
        <v>2404</v>
      </c>
      <c r="I487" s="646">
        <v>140600</v>
      </c>
      <c r="J487" s="645">
        <v>178125</v>
      </c>
      <c r="K487" s="645">
        <v>50367.42</v>
      </c>
      <c r="L487" s="645">
        <v>12671</v>
      </c>
      <c r="M487" s="645">
        <v>410972</v>
      </c>
      <c r="N487" s="645">
        <v>8020</v>
      </c>
      <c r="O487" s="645">
        <v>704</v>
      </c>
      <c r="P487" s="645">
        <v>103.089822</v>
      </c>
      <c r="Q487" s="337">
        <v>0</v>
      </c>
      <c r="R487" s="167">
        <f t="shared" si="25"/>
        <v>140428.09806990001</v>
      </c>
      <c r="S487" s="648">
        <v>10.403882802345764</v>
      </c>
      <c r="T487" s="648">
        <v>3.1733999999999998E-2</v>
      </c>
      <c r="U487" s="648">
        <v>4.9467502201632745E-3</v>
      </c>
      <c r="V487" s="648">
        <v>1.7000000000000001E-2</v>
      </c>
      <c r="W487" s="472">
        <v>0.30158999999999997</v>
      </c>
      <c r="X487" s="155">
        <v>6.9710000000000001</v>
      </c>
      <c r="Y487" s="472">
        <v>10.74</v>
      </c>
      <c r="Z487" s="337">
        <v>0</v>
      </c>
      <c r="AB487" s="337">
        <v>0</v>
      </c>
      <c r="AC487" s="472">
        <v>0.21294248570708513</v>
      </c>
      <c r="AD487" s="472">
        <v>6.8158585518211953E-2</v>
      </c>
      <c r="AE487" s="472">
        <v>1.3534001299999998</v>
      </c>
      <c r="AF487" s="472">
        <v>14.907050038652457</v>
      </c>
      <c r="AG487" s="172">
        <f t="shared" si="26"/>
        <v>7.9429662705942849</v>
      </c>
      <c r="AH487" s="667">
        <f t="shared" si="24"/>
        <v>202407</v>
      </c>
      <c r="AJ487" s="262" t="s">
        <v>1645</v>
      </c>
      <c r="AK487" s="262"/>
    </row>
    <row r="488" spans="3:37" ht="15.75" hidden="1">
      <c r="C488" s="665">
        <v>45496</v>
      </c>
      <c r="D488" s="655">
        <v>340268</v>
      </c>
      <c r="E488" s="655">
        <v>20176</v>
      </c>
      <c r="F488" s="655">
        <v>25951.4</v>
      </c>
      <c r="G488" s="655">
        <v>4167</v>
      </c>
      <c r="H488" s="655">
        <v>2407</v>
      </c>
      <c r="I488" s="646">
        <v>140600</v>
      </c>
      <c r="J488" s="655">
        <v>175945</v>
      </c>
      <c r="K488" s="655">
        <v>52731.55</v>
      </c>
      <c r="L488" s="655">
        <v>12450</v>
      </c>
      <c r="M488" s="655">
        <v>413813</v>
      </c>
      <c r="N488" s="655">
        <v>8058.9999999999991</v>
      </c>
      <c r="O488" s="655">
        <v>5717</v>
      </c>
      <c r="P488" s="655">
        <v>98.435369999999992</v>
      </c>
      <c r="Q488" s="337">
        <v>0</v>
      </c>
      <c r="R488" s="167">
        <f t="shared" si="25"/>
        <v>145786.44671649998</v>
      </c>
      <c r="S488" s="473">
        <v>10.154977955355697</v>
      </c>
      <c r="T488" s="473">
        <v>8.1160999999999997E-2</v>
      </c>
      <c r="U488" s="473">
        <v>4.9513375449883471E-3</v>
      </c>
      <c r="V488" s="473">
        <v>1.7000000000000001E-2</v>
      </c>
      <c r="W488" s="473">
        <v>0.29747000000000001</v>
      </c>
      <c r="X488" s="155">
        <v>6.9710000000000001</v>
      </c>
      <c r="Y488" s="473">
        <v>3.23</v>
      </c>
      <c r="AB488" s="337">
        <v>0</v>
      </c>
      <c r="AC488" s="473">
        <v>0.21294248570708513</v>
      </c>
      <c r="AD488" s="473">
        <v>6.7054229541805524E-2</v>
      </c>
      <c r="AE488" s="473">
        <v>1.3452001299999998</v>
      </c>
      <c r="AF488" s="473">
        <v>14.927551416265748</v>
      </c>
      <c r="AG488" s="172">
        <f t="shared" si="26"/>
        <v>5.9931985615598879</v>
      </c>
      <c r="AH488" s="667">
        <f t="shared" si="24"/>
        <v>202407</v>
      </c>
      <c r="AJ488" s="262" t="s">
        <v>1647</v>
      </c>
      <c r="AK488" s="262"/>
    </row>
    <row r="489" spans="3:37" ht="15.75" hidden="1">
      <c r="C489" s="649">
        <v>45497</v>
      </c>
      <c r="D489" s="645">
        <v>339489</v>
      </c>
      <c r="E489" s="645">
        <v>16050</v>
      </c>
      <c r="F489" s="645">
        <v>26478.78</v>
      </c>
      <c r="G489" s="645">
        <v>4223</v>
      </c>
      <c r="H489" s="645">
        <v>2407</v>
      </c>
      <c r="I489" s="646">
        <v>140600</v>
      </c>
      <c r="J489" s="645">
        <v>175457</v>
      </c>
      <c r="K489" s="645">
        <v>52708.92</v>
      </c>
      <c r="L489" s="645">
        <v>12602</v>
      </c>
      <c r="M489" s="645">
        <v>447051</v>
      </c>
      <c r="N489" s="645">
        <v>8000.9999999999991</v>
      </c>
      <c r="O489" s="645">
        <v>5618</v>
      </c>
      <c r="P489" s="645">
        <v>108.49905</v>
      </c>
      <c r="Q489" s="337">
        <v>0</v>
      </c>
      <c r="R489" s="167">
        <f t="shared" si="25"/>
        <v>146243.79897249999</v>
      </c>
      <c r="S489" s="648">
        <v>10.33507292996967</v>
      </c>
      <c r="T489" s="648">
        <v>0.16046099999999999</v>
      </c>
      <c r="U489" s="648">
        <v>4.8585433261503002E-3</v>
      </c>
      <c r="V489" s="648">
        <v>1.7000000000000001E-2</v>
      </c>
      <c r="W489" s="472">
        <v>0.29258000000000001</v>
      </c>
      <c r="X489" s="155">
        <v>6.9710000000000001</v>
      </c>
      <c r="Y489" s="472">
        <v>2.98</v>
      </c>
      <c r="Z489" s="337">
        <v>0</v>
      </c>
      <c r="AB489" s="337">
        <v>0</v>
      </c>
      <c r="AC489" s="472">
        <v>0.21096030831353516</v>
      </c>
      <c r="AD489" s="472">
        <v>7.1811455286325515E-2</v>
      </c>
      <c r="AE489" s="472">
        <v>1.35590013</v>
      </c>
      <c r="AF489" s="472">
        <v>14.473292991303904</v>
      </c>
      <c r="AG489" s="172">
        <f t="shared" si="26"/>
        <v>5.878090718061288</v>
      </c>
      <c r="AH489" s="667">
        <f t="shared" si="24"/>
        <v>202407</v>
      </c>
      <c r="AJ489" s="262" t="s">
        <v>1646</v>
      </c>
      <c r="AK489" s="262"/>
    </row>
    <row r="490" spans="3:37" ht="15.75" hidden="1">
      <c r="C490" s="665">
        <v>45498</v>
      </c>
      <c r="D490" s="655">
        <v>356327</v>
      </c>
      <c r="E490" s="655">
        <v>23447</v>
      </c>
      <c r="F490" s="655">
        <v>26450.59</v>
      </c>
      <c r="G490" s="655">
        <v>4222</v>
      </c>
      <c r="H490" s="655">
        <v>2424</v>
      </c>
      <c r="I490" s="646">
        <v>140600</v>
      </c>
      <c r="J490" s="655">
        <v>174606</v>
      </c>
      <c r="K490" s="655">
        <v>51822.97</v>
      </c>
      <c r="L490" s="655">
        <v>12901</v>
      </c>
      <c r="M490" s="655">
        <v>453953</v>
      </c>
      <c r="N490" s="655">
        <v>8000.9999999999991</v>
      </c>
      <c r="O490" s="655">
        <v>1115</v>
      </c>
      <c r="P490" s="655">
        <v>102.272148</v>
      </c>
      <c r="Q490" s="337">
        <v>0</v>
      </c>
      <c r="R490" s="167">
        <f t="shared" si="25"/>
        <v>146728.17791659999</v>
      </c>
      <c r="S490" s="473">
        <v>10.416059034906141</v>
      </c>
      <c r="T490" s="473">
        <v>0.20316400000000001</v>
      </c>
      <c r="U490" s="473">
        <v>5.0740343256490917E-3</v>
      </c>
      <c r="V490" s="473">
        <v>1.7000000000000001E-2</v>
      </c>
      <c r="W490" s="473">
        <v>0.28969</v>
      </c>
      <c r="X490" s="155">
        <v>6.9710000000000001</v>
      </c>
      <c r="Y490" s="473">
        <v>2.94</v>
      </c>
      <c r="AB490" s="337">
        <v>0</v>
      </c>
      <c r="AC490" s="473">
        <v>0.21350882210524227</v>
      </c>
      <c r="AD490" s="473">
        <v>6.7450665020515541E-2</v>
      </c>
      <c r="AE490" s="473">
        <v>1.3464001299999999</v>
      </c>
      <c r="AF490" s="473">
        <v>14.473632793142798</v>
      </c>
      <c r="AG490" s="172">
        <f t="shared" si="26"/>
        <v>5.8726709375083459</v>
      </c>
      <c r="AH490" s="667">
        <f t="shared" si="24"/>
        <v>202407</v>
      </c>
      <c r="AJ490" s="262" t="s">
        <v>1648</v>
      </c>
      <c r="AK490" s="262"/>
    </row>
    <row r="491" spans="3:37" ht="15.75" hidden="1">
      <c r="C491" s="649">
        <v>45499</v>
      </c>
      <c r="D491" s="683">
        <v>348642</v>
      </c>
      <c r="E491" s="645">
        <v>19308</v>
      </c>
      <c r="F491" s="645">
        <v>26409.13</v>
      </c>
      <c r="G491" s="645">
        <v>4216</v>
      </c>
      <c r="H491" s="645">
        <v>2417</v>
      </c>
      <c r="I491" s="646">
        <f>139.86*1000</f>
        <v>139860</v>
      </c>
      <c r="J491" s="645">
        <v>175897</v>
      </c>
      <c r="K491" s="645">
        <v>53521.440000000002</v>
      </c>
      <c r="L491" s="645">
        <v>12536</v>
      </c>
      <c r="M491" s="645">
        <v>468699</v>
      </c>
      <c r="N491" s="645">
        <v>7986</v>
      </c>
      <c r="O491" s="645">
        <v>5765</v>
      </c>
      <c r="P491" s="645">
        <v>96.737123999999994</v>
      </c>
      <c r="Q491" s="337">
        <v>0</v>
      </c>
      <c r="R491" s="167">
        <f t="shared" si="25"/>
        <v>148364.0229058</v>
      </c>
      <c r="S491" s="648">
        <v>10.202833380999978</v>
      </c>
      <c r="T491" s="648">
        <v>0.20514199999999999</v>
      </c>
      <c r="U491" s="648">
        <v>4.9548771474768293E-3</v>
      </c>
      <c r="V491" s="648">
        <v>1.7000000000000001E-2</v>
      </c>
      <c r="W491" s="472">
        <v>0.28708999999999996</v>
      </c>
      <c r="X491" s="155">
        <v>6.9710000000000001</v>
      </c>
      <c r="Y491" s="472">
        <v>2.94</v>
      </c>
      <c r="Z491" s="337">
        <v>0</v>
      </c>
      <c r="AB491" s="337">
        <v>0</v>
      </c>
      <c r="AC491" s="472">
        <v>0.21379199030432083</v>
      </c>
      <c r="AD491" s="685">
        <v>7.0792049769642665E-2</v>
      </c>
      <c r="AE491" s="472">
        <v>1.33360013</v>
      </c>
      <c r="AF491" s="472">
        <v>14.472670021265932</v>
      </c>
      <c r="AG491" s="172">
        <f t="shared" si="26"/>
        <v>5.861040106060873</v>
      </c>
      <c r="AH491" s="667">
        <f t="shared" si="24"/>
        <v>202407</v>
      </c>
      <c r="AJ491" s="262" t="s">
        <v>1649</v>
      </c>
      <c r="AK491" s="262"/>
    </row>
    <row r="492" spans="3:37" ht="15.75" hidden="1">
      <c r="C492" s="665">
        <v>45500</v>
      </c>
      <c r="D492" s="684">
        <v>358789</v>
      </c>
      <c r="E492" s="655">
        <v>26195</v>
      </c>
      <c r="F492" s="655">
        <v>26438.66</v>
      </c>
      <c r="G492" s="655">
        <v>4220</v>
      </c>
      <c r="H492" s="655">
        <v>2340</v>
      </c>
      <c r="I492" s="646">
        <f t="shared" ref="I492:I497" si="27">139.86*1000</f>
        <v>139860</v>
      </c>
      <c r="J492" s="655">
        <v>175636</v>
      </c>
      <c r="K492" s="655">
        <v>53296.4</v>
      </c>
      <c r="L492" s="655">
        <v>12698</v>
      </c>
      <c r="M492" s="655">
        <v>484347</v>
      </c>
      <c r="N492" s="655">
        <v>7501</v>
      </c>
      <c r="O492" s="684">
        <v>6778</v>
      </c>
      <c r="P492" s="655">
        <v>86.925035999999992</v>
      </c>
      <c r="Q492" s="337">
        <v>0</v>
      </c>
      <c r="R492" s="167">
        <f t="shared" si="25"/>
        <v>151291.89666620002</v>
      </c>
      <c r="S492" s="473">
        <v>10.285801663329998</v>
      </c>
      <c r="T492" s="473">
        <v>0.21004900000000001</v>
      </c>
      <c r="U492" s="473">
        <v>5.1065703517232195E-3</v>
      </c>
      <c r="V492" s="473">
        <v>1.7000000000000001E-2</v>
      </c>
      <c r="W492" s="473">
        <v>0.26869999999999999</v>
      </c>
      <c r="X492" s="155">
        <v>6.9710000000000001</v>
      </c>
      <c r="Y492" s="473">
        <v>2.78</v>
      </c>
      <c r="Z492" s="337">
        <v>0</v>
      </c>
      <c r="AB492" s="337">
        <v>0</v>
      </c>
      <c r="AC492" s="473">
        <v>0.21209298110984942</v>
      </c>
      <c r="AD492" s="686">
        <v>6.8979773295539809E-2</v>
      </c>
      <c r="AE492" s="473">
        <v>1.3244001299999999</v>
      </c>
      <c r="AF492" s="473">
        <v>14.474142495901139</v>
      </c>
      <c r="AG492" s="172">
        <f t="shared" si="26"/>
        <v>5.7995962677126229</v>
      </c>
      <c r="AH492" s="667">
        <f t="shared" si="24"/>
        <v>202407</v>
      </c>
      <c r="AJ492" s="262" t="s">
        <v>1648</v>
      </c>
      <c r="AK492" s="262"/>
    </row>
    <row r="493" spans="3:37" ht="15.75" hidden="1">
      <c r="C493" s="649">
        <v>45501</v>
      </c>
      <c r="D493" s="683">
        <v>342851</v>
      </c>
      <c r="E493" s="683">
        <v>38742</v>
      </c>
      <c r="F493" s="645">
        <v>26412.74</v>
      </c>
      <c r="G493" s="645">
        <v>4213</v>
      </c>
      <c r="H493" s="645">
        <v>2383</v>
      </c>
      <c r="I493" s="646">
        <f t="shared" si="27"/>
        <v>139860</v>
      </c>
      <c r="J493" s="645">
        <v>173771</v>
      </c>
      <c r="K493" s="645">
        <v>51847.11</v>
      </c>
      <c r="L493" s="683">
        <v>13044</v>
      </c>
      <c r="M493" s="645">
        <v>481640</v>
      </c>
      <c r="N493" s="645">
        <v>6967</v>
      </c>
      <c r="O493" s="683">
        <v>5805</v>
      </c>
      <c r="P493" s="645">
        <v>101.768964</v>
      </c>
      <c r="Q493" s="337">
        <v>0</v>
      </c>
      <c r="R493" s="167">
        <f t="shared" si="25"/>
        <v>153019.48463379999</v>
      </c>
      <c r="S493" s="685">
        <v>8.7663211070743916</v>
      </c>
      <c r="T493" s="685">
        <v>0.25830500000000001</v>
      </c>
      <c r="U493" s="648">
        <v>4.4192361820998049E-3</v>
      </c>
      <c r="V493" s="648">
        <v>1.7000000000000001E-2</v>
      </c>
      <c r="W493" s="472">
        <v>0.29408000000000001</v>
      </c>
      <c r="X493" s="155">
        <v>6.9710000000000001</v>
      </c>
      <c r="Y493" s="472">
        <v>3.88</v>
      </c>
      <c r="AB493" s="337">
        <v>0</v>
      </c>
      <c r="AC493" s="472">
        <v>0.2086949627209066</v>
      </c>
      <c r="AD493" s="685">
        <v>7.3085712182179088E-2</v>
      </c>
      <c r="AE493" s="472">
        <v>1.30740013</v>
      </c>
      <c r="AF493" s="472">
        <v>14.467431409582979</v>
      </c>
      <c r="AG493" s="172">
        <f t="shared" si="26"/>
        <v>6.0809019618021667</v>
      </c>
      <c r="AH493" s="667">
        <f t="shared" si="24"/>
        <v>202407</v>
      </c>
      <c r="AJ493" s="262" t="s">
        <v>1650</v>
      </c>
      <c r="AK493" s="262"/>
    </row>
    <row r="494" spans="3:37" ht="15.75" hidden="1">
      <c r="C494" s="665">
        <v>45502</v>
      </c>
      <c r="D494" s="684">
        <v>325258</v>
      </c>
      <c r="E494" s="684">
        <v>30541</v>
      </c>
      <c r="F494" s="655">
        <v>26405.61</v>
      </c>
      <c r="G494" s="684">
        <v>4183</v>
      </c>
      <c r="H494" s="655">
        <v>2384</v>
      </c>
      <c r="I494" s="646">
        <f t="shared" si="27"/>
        <v>139860</v>
      </c>
      <c r="J494" s="655">
        <v>173370</v>
      </c>
      <c r="K494" s="655">
        <v>52902.1</v>
      </c>
      <c r="L494" s="684">
        <v>13126</v>
      </c>
      <c r="M494" s="655">
        <v>477084</v>
      </c>
      <c r="N494" s="655">
        <v>8199</v>
      </c>
      <c r="O494" s="684">
        <v>4070.0000000000005</v>
      </c>
      <c r="P494" s="655">
        <v>101.391576</v>
      </c>
      <c r="Q494" s="337">
        <v>0</v>
      </c>
      <c r="R494" s="167">
        <f t="shared" si="25"/>
        <v>149818.20550920002</v>
      </c>
      <c r="S494" s="686">
        <v>7.4195731522567083</v>
      </c>
      <c r="T494" s="686">
        <v>0.26269700000000001</v>
      </c>
      <c r="U494" s="686">
        <v>5.1195960888808338E-3</v>
      </c>
      <c r="V494" s="473">
        <v>1.7000000000000001E-2</v>
      </c>
      <c r="W494" s="473">
        <v>0.29358999999999996</v>
      </c>
      <c r="X494" s="155">
        <v>6.9710000000000001</v>
      </c>
      <c r="Y494" s="473">
        <v>9</v>
      </c>
      <c r="AB494" s="337">
        <v>0</v>
      </c>
      <c r="AC494" s="473">
        <v>0.25541771556887072</v>
      </c>
      <c r="AD494" s="686">
        <v>7.6653631490569071E-2</v>
      </c>
      <c r="AE494" s="473">
        <v>1.2989001299999998</v>
      </c>
      <c r="AF494" s="473">
        <v>14.466355370426479</v>
      </c>
      <c r="AG494" s="172">
        <f t="shared" si="26"/>
        <v>7.3847369198606501</v>
      </c>
      <c r="AH494" s="667">
        <f t="shared" si="24"/>
        <v>202407</v>
      </c>
      <c r="AJ494" s="262" t="s">
        <v>1648</v>
      </c>
      <c r="AK494" s="262"/>
    </row>
    <row r="495" spans="3:37" ht="15.75" hidden="1">
      <c r="C495" s="649">
        <v>45503</v>
      </c>
      <c r="D495" s="683">
        <v>339244</v>
      </c>
      <c r="E495" s="683">
        <v>31384</v>
      </c>
      <c r="F495" s="645">
        <v>26378.36</v>
      </c>
      <c r="G495" s="683">
        <v>4128</v>
      </c>
      <c r="H495" s="683">
        <v>2369</v>
      </c>
      <c r="I495" s="646">
        <f t="shared" si="27"/>
        <v>139860</v>
      </c>
      <c r="J495" s="683">
        <v>173299</v>
      </c>
      <c r="K495" s="683">
        <v>52512.3</v>
      </c>
      <c r="L495" s="683">
        <v>13135</v>
      </c>
      <c r="M495" s="683">
        <v>474071</v>
      </c>
      <c r="N495" s="683">
        <v>7784</v>
      </c>
      <c r="O495" s="683">
        <v>4006</v>
      </c>
      <c r="P495" s="683">
        <v>98.561166</v>
      </c>
      <c r="R495" s="167">
        <f t="shared" si="25"/>
        <v>150000.5346747</v>
      </c>
      <c r="S495" s="685">
        <v>7.1327237665901162</v>
      </c>
      <c r="T495" s="685">
        <v>0.33562500000000001</v>
      </c>
      <c r="U495" s="648">
        <v>4.9133080558520954E-3</v>
      </c>
      <c r="V495" s="648">
        <v>1.7000000000000001E-2</v>
      </c>
      <c r="W495" s="685">
        <v>0.28626000000000001</v>
      </c>
      <c r="X495" s="155">
        <v>6.9710000000000001</v>
      </c>
      <c r="Y495" s="685">
        <v>10.64</v>
      </c>
      <c r="AC495" s="685">
        <v>0.25117019258269213</v>
      </c>
      <c r="AD495" s="685">
        <v>7.9910065779972644E-2</v>
      </c>
      <c r="AE495" s="685">
        <v>1.2839001299999999</v>
      </c>
      <c r="AF495" s="685">
        <v>11.16455753553053</v>
      </c>
      <c r="AG495" s="172">
        <f t="shared" si="26"/>
        <v>7.2495065716836056</v>
      </c>
      <c r="AH495" s="667">
        <f t="shared" si="24"/>
        <v>202407</v>
      </c>
      <c r="AJ495" s="262" t="s">
        <v>1651</v>
      </c>
      <c r="AK495" s="262"/>
    </row>
    <row r="496" spans="3:37" ht="15.75" hidden="1">
      <c r="C496" s="665">
        <v>45504</v>
      </c>
      <c r="D496" s="684">
        <v>338247</v>
      </c>
      <c r="E496" s="684">
        <v>30327</v>
      </c>
      <c r="F496" s="655">
        <v>26338.32</v>
      </c>
      <c r="G496" s="684">
        <v>4181</v>
      </c>
      <c r="H496" s="655">
        <v>2352</v>
      </c>
      <c r="I496" s="646">
        <f t="shared" si="27"/>
        <v>139860</v>
      </c>
      <c r="J496" s="655">
        <v>174140</v>
      </c>
      <c r="K496" s="655">
        <v>52455.11</v>
      </c>
      <c r="L496" s="684">
        <v>13139</v>
      </c>
      <c r="M496" s="684">
        <v>477261</v>
      </c>
      <c r="N496" s="684">
        <v>7706</v>
      </c>
      <c r="O496" s="684">
        <v>4350</v>
      </c>
      <c r="P496" s="684">
        <v>91.264997999999991</v>
      </c>
      <c r="Q496" s="337">
        <v>0</v>
      </c>
      <c r="R496" s="167">
        <f t="shared" si="25"/>
        <v>150132.2501991</v>
      </c>
      <c r="S496" s="686">
        <v>7.412493947279744</v>
      </c>
      <c r="T496" s="686">
        <v>0.32020399999999999</v>
      </c>
      <c r="U496" s="686">
        <v>5.0330598872424231E-3</v>
      </c>
      <c r="V496" s="473">
        <v>1.7000000000000001E-2</v>
      </c>
      <c r="W496" s="473">
        <v>0.28787000000000001</v>
      </c>
      <c r="X496" s="155">
        <v>6.9710000000000001</v>
      </c>
      <c r="Y496" s="473">
        <v>10.61</v>
      </c>
      <c r="AA496" s="337">
        <v>0</v>
      </c>
      <c r="AC496" s="686">
        <v>0.2075622899245923</v>
      </c>
      <c r="AD496" s="686">
        <v>8.2090460912877639E-2</v>
      </c>
      <c r="AE496" s="686">
        <v>1.2643001299999999</v>
      </c>
      <c r="AF496" s="473">
        <v>17.137197824135558</v>
      </c>
      <c r="AG496" s="172">
        <f t="shared" si="26"/>
        <v>8.2483035569631333</v>
      </c>
      <c r="AH496" s="667">
        <f t="shared" si="24"/>
        <v>202407</v>
      </c>
      <c r="AJ496" s="262"/>
      <c r="AK496" s="262"/>
    </row>
    <row r="497" spans="3:37" ht="15.75" hidden="1">
      <c r="C497" s="649">
        <v>45505</v>
      </c>
      <c r="D497" s="683">
        <v>330698</v>
      </c>
      <c r="E497" s="683">
        <v>26975</v>
      </c>
      <c r="F497" s="645">
        <v>26300.53</v>
      </c>
      <c r="G497" s="683">
        <v>4194</v>
      </c>
      <c r="H497" s="683">
        <v>2342</v>
      </c>
      <c r="I497" s="646">
        <f t="shared" si="27"/>
        <v>139860</v>
      </c>
      <c r="J497" s="683">
        <v>168805</v>
      </c>
      <c r="K497" s="683">
        <v>53568.13</v>
      </c>
      <c r="L497" s="683">
        <v>13134</v>
      </c>
      <c r="M497" s="683">
        <v>460899</v>
      </c>
      <c r="N497" s="683">
        <v>7876</v>
      </c>
      <c r="O497" s="683">
        <v>4412</v>
      </c>
      <c r="P497" s="683">
        <v>93.089039999999997</v>
      </c>
      <c r="Q497" s="337">
        <v>0</v>
      </c>
      <c r="R497" s="167">
        <f t="shared" si="25"/>
        <v>147302.66486799999</v>
      </c>
      <c r="S497" s="685">
        <v>7.4297672074235406</v>
      </c>
      <c r="T497" s="685">
        <v>0.32875500000000002</v>
      </c>
      <c r="U497" s="648">
        <v>5.0102082135767825E-3</v>
      </c>
      <c r="V497" s="648">
        <v>1.7000000000000001E-2</v>
      </c>
      <c r="W497" s="685">
        <v>0.27882999999999997</v>
      </c>
      <c r="X497" s="155">
        <v>6.9710000000000001</v>
      </c>
      <c r="Y497" s="685">
        <v>10.81</v>
      </c>
      <c r="AB497" s="337">
        <v>0</v>
      </c>
      <c r="AC497" s="685">
        <v>0.21294248570708513</v>
      </c>
      <c r="AD497" s="685">
        <v>6.4505715750098391E-2</v>
      </c>
      <c r="AE497" s="685">
        <v>1.2285001299999998</v>
      </c>
      <c r="AF497" s="685">
        <v>14.68674517976933</v>
      </c>
      <c r="AG497" s="172">
        <f t="shared" si="26"/>
        <v>7.8548263170295929</v>
      </c>
      <c r="AH497" s="667">
        <f t="shared" si="24"/>
        <v>202408</v>
      </c>
      <c r="AJ497" s="262" t="s">
        <v>1652</v>
      </c>
      <c r="AK497" s="262"/>
    </row>
    <row r="498" spans="3:37" ht="15.75" hidden="1">
      <c r="C498" s="665">
        <v>45506</v>
      </c>
      <c r="D498" s="684">
        <v>319063</v>
      </c>
      <c r="E498" s="684">
        <v>28642</v>
      </c>
      <c r="F498" s="655">
        <v>26301.42</v>
      </c>
      <c r="G498" s="684">
        <v>4274</v>
      </c>
      <c r="H498" s="655">
        <v>2325</v>
      </c>
      <c r="I498" s="646">
        <v>105530</v>
      </c>
      <c r="J498" s="655">
        <v>170015</v>
      </c>
      <c r="K498" s="655">
        <v>53968.67</v>
      </c>
      <c r="L498" s="684">
        <v>13131</v>
      </c>
      <c r="M498" s="684">
        <v>420213</v>
      </c>
      <c r="N498" s="655">
        <v>7669</v>
      </c>
      <c r="O498" s="684">
        <v>5067</v>
      </c>
      <c r="P498" s="655">
        <v>72.584291999999991</v>
      </c>
      <c r="Q498" s="337">
        <v>0</v>
      </c>
      <c r="R498" s="167">
        <f t="shared" si="25"/>
        <v>139658.18348139996</v>
      </c>
      <c r="S498" s="686">
        <v>7.1281930754048597</v>
      </c>
      <c r="T498" s="686">
        <v>0.31758500000000001</v>
      </c>
      <c r="U498" s="686">
        <v>5.2288423800853469E-3</v>
      </c>
      <c r="V498" s="473">
        <v>1.7000000000000001E-2</v>
      </c>
      <c r="W498" s="473">
        <v>0.27357999999999999</v>
      </c>
      <c r="X498" s="155">
        <v>6.9710000000000001</v>
      </c>
      <c r="Y498" s="473">
        <v>10.63</v>
      </c>
      <c r="AB498" s="337">
        <v>0</v>
      </c>
      <c r="AC498" s="686">
        <v>0.2095444673181423</v>
      </c>
      <c r="AD498" s="686">
        <v>6.6657794063095535E-2</v>
      </c>
      <c r="AE498" s="686">
        <v>1.16440013</v>
      </c>
      <c r="AF498" s="473">
        <v>14.748928916286985</v>
      </c>
      <c r="AG498" s="172">
        <f t="shared" si="26"/>
        <v>7.7751603830069342</v>
      </c>
      <c r="AH498" s="667">
        <f t="shared" si="24"/>
        <v>202408</v>
      </c>
      <c r="AJ498" s="262" t="s">
        <v>1653</v>
      </c>
      <c r="AK498" s="262"/>
    </row>
    <row r="499" spans="3:37" ht="15.75" hidden="1">
      <c r="C499" s="649">
        <v>45507</v>
      </c>
      <c r="D499" s="683">
        <v>330954</v>
      </c>
      <c r="E499" s="683">
        <v>32239</v>
      </c>
      <c r="F499" s="645">
        <v>26231.119999999999</v>
      </c>
      <c r="G499" s="683">
        <v>4191</v>
      </c>
      <c r="H499" s="683">
        <v>2374</v>
      </c>
      <c r="I499" s="646">
        <v>105530</v>
      </c>
      <c r="J499" s="683">
        <v>173367</v>
      </c>
      <c r="K499" s="683">
        <v>51332.18</v>
      </c>
      <c r="L499" s="683">
        <v>5542</v>
      </c>
      <c r="M499" s="683">
        <v>429129</v>
      </c>
      <c r="N499" s="683">
        <v>7431</v>
      </c>
      <c r="O499" s="683">
        <v>3442</v>
      </c>
      <c r="P499" s="683">
        <v>28.555691999999997</v>
      </c>
      <c r="Q499" s="337">
        <v>0</v>
      </c>
      <c r="R499" s="167">
        <f t="shared" si="25"/>
        <v>138904.54396139999</v>
      </c>
      <c r="S499" s="685">
        <v>6.8283179525806554</v>
      </c>
      <c r="T499" s="685">
        <v>0.31206299999999998</v>
      </c>
      <c r="U499" s="648">
        <v>5.2291821819242411E-3</v>
      </c>
      <c r="V499" s="648">
        <v>1.7000000000000001E-2</v>
      </c>
      <c r="W499" s="685">
        <v>0.29618</v>
      </c>
      <c r="X499" s="155">
        <v>6.9710000000000001</v>
      </c>
      <c r="Y499" s="685">
        <v>10.82</v>
      </c>
      <c r="AC499" s="685">
        <v>0.20812862632274942</v>
      </c>
      <c r="AD499" s="685">
        <v>6.787541731913338E-2</v>
      </c>
      <c r="AE499" s="685">
        <v>1.08980013</v>
      </c>
      <c r="AF499" s="685">
        <v>14.748872282647168</v>
      </c>
      <c r="AG499" s="172">
        <f t="shared" si="26"/>
        <v>7.8054942446051347</v>
      </c>
      <c r="AH499" s="667">
        <f t="shared" si="24"/>
        <v>202408</v>
      </c>
      <c r="AJ499" s="262" t="s">
        <v>1654</v>
      </c>
      <c r="AK499" s="262"/>
    </row>
    <row r="500" spans="3:37" ht="15.75" hidden="1">
      <c r="C500" s="665">
        <v>45508</v>
      </c>
      <c r="D500" s="684">
        <v>314308</v>
      </c>
      <c r="E500" s="684">
        <v>32182</v>
      </c>
      <c r="F500" s="655">
        <v>26228.2</v>
      </c>
      <c r="G500" s="684">
        <v>4178</v>
      </c>
      <c r="H500" s="655">
        <v>2449</v>
      </c>
      <c r="I500" s="646">
        <v>105530</v>
      </c>
      <c r="J500" s="655">
        <v>173141</v>
      </c>
      <c r="K500" s="655">
        <v>50576.34</v>
      </c>
      <c r="L500" s="684">
        <v>0</v>
      </c>
      <c r="M500" s="684">
        <v>443285</v>
      </c>
      <c r="N500" s="655">
        <v>7718</v>
      </c>
      <c r="O500" s="684">
        <v>4366</v>
      </c>
      <c r="P500" s="684">
        <v>71.452127999999988</v>
      </c>
      <c r="Q500" s="337">
        <v>0</v>
      </c>
      <c r="R500" s="167">
        <f t="shared" si="25"/>
        <v>137973.07325760002</v>
      </c>
      <c r="S500" s="686">
        <v>7.2530702511985057</v>
      </c>
      <c r="T500" s="686">
        <v>0.31314999999999998</v>
      </c>
      <c r="U500" s="686">
        <v>4.9394727974469551E-3</v>
      </c>
      <c r="V500" s="473">
        <v>1.7000000000000001E-2</v>
      </c>
      <c r="W500" s="473">
        <v>0.29531000000000002</v>
      </c>
      <c r="X500" s="155">
        <v>6.9710000000000001</v>
      </c>
      <c r="Y500" s="473">
        <v>10.79</v>
      </c>
      <c r="Z500" s="337">
        <v>0</v>
      </c>
      <c r="AC500" s="686">
        <v>0.20841179452182801</v>
      </c>
      <c r="AD500" s="686">
        <v>6.8441753717290527E-2</v>
      </c>
      <c r="AE500" s="686">
        <v>1.1961001299999998</v>
      </c>
      <c r="AF500" s="473">
        <v>14.742472681347992</v>
      </c>
      <c r="AG500" s="172">
        <f t="shared" si="26"/>
        <v>7.8537314669743745</v>
      </c>
      <c r="AH500" s="667">
        <f t="shared" si="24"/>
        <v>202408</v>
      </c>
      <c r="AJ500" s="262" t="s">
        <v>1656</v>
      </c>
      <c r="AK500" s="262"/>
    </row>
    <row r="501" spans="3:37" ht="15.75" hidden="1">
      <c r="C501" s="649">
        <v>45509</v>
      </c>
      <c r="D501" s="683">
        <v>308853</v>
      </c>
      <c r="E501" s="683">
        <v>32245</v>
      </c>
      <c r="F501" s="645">
        <v>26218.34</v>
      </c>
      <c r="G501" s="683">
        <v>4165</v>
      </c>
      <c r="H501" s="683">
        <v>2317</v>
      </c>
      <c r="I501" s="646">
        <v>105530</v>
      </c>
      <c r="J501" s="683">
        <v>170469</v>
      </c>
      <c r="K501" s="683">
        <v>51198.66</v>
      </c>
      <c r="L501" s="683">
        <v>0</v>
      </c>
      <c r="M501" s="683">
        <v>436165</v>
      </c>
      <c r="N501" s="683">
        <v>7727</v>
      </c>
      <c r="O501" s="683">
        <v>3518</v>
      </c>
      <c r="P501" s="683">
        <v>137.68372199999999</v>
      </c>
      <c r="Q501" s="337">
        <v>0</v>
      </c>
      <c r="R501" s="167">
        <f t="shared" si="25"/>
        <v>136586.32497490002</v>
      </c>
      <c r="S501" s="685">
        <v>6.4582171163849598</v>
      </c>
      <c r="T501" s="685">
        <v>0.317965</v>
      </c>
      <c r="U501" s="648">
        <v>4.7768209838962242E-3</v>
      </c>
      <c r="V501" s="648">
        <v>1.7000000000000001E-2</v>
      </c>
      <c r="W501" s="685">
        <v>0.28795999999999999</v>
      </c>
      <c r="X501" s="155">
        <v>6.9710000000000001</v>
      </c>
      <c r="Y501" s="685">
        <v>10.54</v>
      </c>
      <c r="Z501" s="337">
        <v>0</v>
      </c>
      <c r="AB501" s="337">
        <v>0</v>
      </c>
      <c r="AC501" s="685">
        <v>0.2086949627209066</v>
      </c>
      <c r="AD501" s="685">
        <v>6.9659376973328385E-2</v>
      </c>
      <c r="AE501" s="685">
        <v>1.2103001299999998</v>
      </c>
      <c r="AF501" s="685">
        <v>14.74354872050449</v>
      </c>
      <c r="AG501" s="172">
        <f t="shared" si="26"/>
        <v>7.7712976777516136</v>
      </c>
      <c r="AH501" s="667">
        <f t="shared" si="24"/>
        <v>202408</v>
      </c>
      <c r="AJ501" s="262" t="s">
        <v>1655</v>
      </c>
      <c r="AK501" s="262"/>
    </row>
    <row r="502" spans="3:37" ht="15.75" hidden="1">
      <c r="C502" s="665">
        <v>45510</v>
      </c>
      <c r="D502" s="684">
        <v>311994</v>
      </c>
      <c r="E502" s="684">
        <v>32365</v>
      </c>
      <c r="F502" s="655">
        <v>26042.87</v>
      </c>
      <c r="G502" s="684">
        <v>4176</v>
      </c>
      <c r="H502" s="655">
        <v>2353</v>
      </c>
      <c r="I502" s="646">
        <v>105530</v>
      </c>
      <c r="J502" s="655">
        <v>173090</v>
      </c>
      <c r="K502" s="655">
        <v>51968.79</v>
      </c>
      <c r="L502" s="684">
        <v>0</v>
      </c>
      <c r="M502" s="684">
        <v>422399</v>
      </c>
      <c r="N502" s="655">
        <v>7537</v>
      </c>
      <c r="O502" s="684">
        <v>4428</v>
      </c>
      <c r="P502" s="684">
        <v>110.19729599999999</v>
      </c>
      <c r="Q502" s="337">
        <v>0</v>
      </c>
      <c r="R502" s="167">
        <f t="shared" si="25"/>
        <v>137264.03668320001</v>
      </c>
      <c r="S502" s="686">
        <v>7.2833692484999171</v>
      </c>
      <c r="T502" s="686">
        <v>0.32230399999999998</v>
      </c>
      <c r="U502" s="686">
        <v>5.0191280118477575E-3</v>
      </c>
      <c r="V502" s="473">
        <v>1.7000000000000001E-2</v>
      </c>
      <c r="W502" s="473">
        <v>0.28587000000000001</v>
      </c>
      <c r="X502" s="155">
        <v>6.9710000000000001</v>
      </c>
      <c r="Y502" s="473">
        <v>10.53</v>
      </c>
      <c r="AB502" s="337">
        <v>0</v>
      </c>
      <c r="AC502" s="686">
        <v>0.20812862632274942</v>
      </c>
      <c r="AD502" s="686">
        <v>6.8158585518211953E-2</v>
      </c>
      <c r="AE502" s="686">
        <v>1.2056001299999999</v>
      </c>
      <c r="AF502" s="473">
        <v>14.741396642191493</v>
      </c>
      <c r="AG502" s="172">
        <f t="shared" si="26"/>
        <v>7.7838663700239827</v>
      </c>
      <c r="AH502" s="667">
        <f t="shared" si="24"/>
        <v>202408</v>
      </c>
      <c r="AJ502" s="262" t="s">
        <v>1657</v>
      </c>
      <c r="AK502" s="262"/>
    </row>
    <row r="503" spans="3:37" ht="15.75" hidden="1">
      <c r="C503" s="649">
        <v>45511</v>
      </c>
      <c r="D503" s="683">
        <v>325287</v>
      </c>
      <c r="E503" s="683">
        <v>32723</v>
      </c>
      <c r="F503" s="645">
        <v>26072.97</v>
      </c>
      <c r="G503" s="683">
        <v>4072</v>
      </c>
      <c r="H503" s="683">
        <v>2307</v>
      </c>
      <c r="I503" s="646">
        <v>105530</v>
      </c>
      <c r="J503" s="683">
        <v>174976</v>
      </c>
      <c r="K503" s="683">
        <v>49093.63</v>
      </c>
      <c r="L503" s="683">
        <v>18363</v>
      </c>
      <c r="M503" s="683">
        <v>407371</v>
      </c>
      <c r="N503" s="683">
        <v>7636</v>
      </c>
      <c r="O503" s="683">
        <v>4696</v>
      </c>
      <c r="P503" s="683">
        <v>81.075521999999992</v>
      </c>
      <c r="Q503" s="337">
        <v>0</v>
      </c>
      <c r="R503" s="167">
        <f t="shared" si="25"/>
        <v>141296.34393489998</v>
      </c>
      <c r="S503" s="685">
        <v>7.8822699895510899</v>
      </c>
      <c r="T503" s="685">
        <v>0.32044400000000001</v>
      </c>
      <c r="U503" s="648">
        <v>5.3561548023910721E-3</v>
      </c>
      <c r="V503" s="648">
        <v>1.7000000000000001E-2</v>
      </c>
      <c r="W503" s="685">
        <v>0.28760000000000002</v>
      </c>
      <c r="X503" s="155">
        <v>6.9710000000000001</v>
      </c>
      <c r="Y503" s="685">
        <v>10.55</v>
      </c>
      <c r="Z503" s="337">
        <v>0</v>
      </c>
      <c r="AB503" s="337">
        <v>0</v>
      </c>
      <c r="AC503" s="685">
        <v>0.21945535428589227</v>
      </c>
      <c r="AD503" s="685">
        <v>6.9659376973328385E-2</v>
      </c>
      <c r="AE503" s="685">
        <v>1.1962001299999998</v>
      </c>
      <c r="AF503" s="685">
        <v>14.742416047708177</v>
      </c>
      <c r="AG503" s="172">
        <f t="shared" si="26"/>
        <v>7.8021542514914746</v>
      </c>
      <c r="AH503" s="667">
        <f t="shared" si="24"/>
        <v>202408</v>
      </c>
      <c r="AJ503" s="262" t="s">
        <v>1660</v>
      </c>
      <c r="AK503" s="262"/>
    </row>
    <row r="504" spans="3:37" ht="15.75" hidden="1">
      <c r="C504" s="665">
        <v>45512</v>
      </c>
      <c r="D504" s="684">
        <v>325831</v>
      </c>
      <c r="E504" s="684">
        <v>32377</v>
      </c>
      <c r="F504" s="655">
        <v>26076</v>
      </c>
      <c r="G504" s="684">
        <v>4221</v>
      </c>
      <c r="H504" s="655">
        <v>2337</v>
      </c>
      <c r="I504" s="646">
        <v>105530</v>
      </c>
      <c r="J504" s="655">
        <v>168505</v>
      </c>
      <c r="K504" s="655">
        <v>52445.66</v>
      </c>
      <c r="L504" s="684">
        <v>42131</v>
      </c>
      <c r="M504" s="684">
        <v>324833</v>
      </c>
      <c r="N504" s="655">
        <v>7625</v>
      </c>
      <c r="O504" s="684">
        <v>3696</v>
      </c>
      <c r="P504" s="684">
        <v>49.752317999999995</v>
      </c>
      <c r="Q504" s="337">
        <v>0</v>
      </c>
      <c r="R504" s="167">
        <f t="shared" si="25"/>
        <v>142494.86339310001</v>
      </c>
      <c r="S504" s="686">
        <v>8.0170580523124961</v>
      </c>
      <c r="T504" s="686">
        <v>0.32463500000000001</v>
      </c>
      <c r="U504" s="686">
        <v>5.1739926999238269E-3</v>
      </c>
      <c r="V504" s="473">
        <v>1.7000000000000001E-2</v>
      </c>
      <c r="W504" s="473">
        <v>0.28779000000000005</v>
      </c>
      <c r="X504" s="155">
        <v>6.9710000000000001</v>
      </c>
      <c r="Y504" s="473">
        <v>10.56</v>
      </c>
      <c r="AB504" s="337">
        <v>0</v>
      </c>
      <c r="AC504" s="686">
        <v>0.20388110333657089</v>
      </c>
      <c r="AD504" s="686">
        <v>7.6625314670661221E-2</v>
      </c>
      <c r="AE504" s="686">
        <v>0.84530013000000004</v>
      </c>
      <c r="AF504" s="473">
        <v>14.704244974472385</v>
      </c>
      <c r="AG504" s="172">
        <f t="shared" si="26"/>
        <v>7.6457410372939592</v>
      </c>
      <c r="AH504" s="667">
        <f t="shared" si="24"/>
        <v>202408</v>
      </c>
      <c r="AJ504" s="262" t="s">
        <v>1661</v>
      </c>
      <c r="AK504" s="262"/>
    </row>
    <row r="505" spans="3:37" ht="15.75" hidden="1">
      <c r="C505" s="649">
        <v>45513</v>
      </c>
      <c r="D505" s="683">
        <v>350267</v>
      </c>
      <c r="E505" s="683">
        <v>33101</v>
      </c>
      <c r="F505" s="645">
        <v>26074</v>
      </c>
      <c r="G505" s="683">
        <v>4235</v>
      </c>
      <c r="H505" s="683">
        <v>2330</v>
      </c>
      <c r="I505" s="646">
        <v>141652</v>
      </c>
      <c r="J505" s="683">
        <v>173689</v>
      </c>
      <c r="K505" s="683">
        <v>53013.36</v>
      </c>
      <c r="L505" s="683">
        <v>16157</v>
      </c>
      <c r="M505" s="683">
        <v>401408</v>
      </c>
      <c r="N505" s="683">
        <v>7661</v>
      </c>
      <c r="O505" s="683">
        <v>399</v>
      </c>
      <c r="P505" s="683">
        <v>68.747513999999995</v>
      </c>
      <c r="Q505" s="337">
        <v>0</v>
      </c>
      <c r="R505" s="167">
        <f t="shared" si="25"/>
        <v>147458.06033129999</v>
      </c>
      <c r="S505" s="685">
        <v>11.411112086468242</v>
      </c>
      <c r="T505" s="685">
        <v>0.32578099999999999</v>
      </c>
      <c r="U505" s="648">
        <v>5.0007220789076495E-3</v>
      </c>
      <c r="V505" s="648">
        <v>1.7000000000000001E-2</v>
      </c>
      <c r="W505" s="685">
        <v>0.28552</v>
      </c>
      <c r="X505" s="155">
        <v>6.9710000000000001</v>
      </c>
      <c r="Y505" s="685">
        <v>10.61</v>
      </c>
      <c r="Z505" s="337">
        <v>0</v>
      </c>
      <c r="AA505" s="337">
        <v>0</v>
      </c>
      <c r="AB505" s="337">
        <v>0</v>
      </c>
      <c r="AC505" s="685">
        <v>0.20444743973472801</v>
      </c>
      <c r="AD505" s="685">
        <v>7.7361551988265512E-2</v>
      </c>
      <c r="AE505" s="685">
        <v>1.1187001299999999</v>
      </c>
      <c r="AF505" s="685">
        <v>14.813236414297728</v>
      </c>
      <c r="AG505" s="172">
        <f t="shared" si="26"/>
        <v>7.8769771527493919</v>
      </c>
      <c r="AH505" s="667">
        <f t="shared" si="24"/>
        <v>202408</v>
      </c>
      <c r="AJ505" s="262" t="s">
        <v>1662</v>
      </c>
      <c r="AK505" s="262"/>
    </row>
    <row r="506" spans="3:37" ht="15.75" hidden="1">
      <c r="C506" s="665">
        <v>45514</v>
      </c>
      <c r="D506" s="684">
        <v>331226</v>
      </c>
      <c r="E506" s="684">
        <v>42855</v>
      </c>
      <c r="F506" s="655">
        <v>9504</v>
      </c>
      <c r="G506" s="684">
        <v>4231</v>
      </c>
      <c r="H506" s="655">
        <v>2331</v>
      </c>
      <c r="I506" s="646">
        <v>141652</v>
      </c>
      <c r="J506" s="655">
        <v>171263</v>
      </c>
      <c r="K506" s="655">
        <v>51799.22</v>
      </c>
      <c r="L506" s="684">
        <v>797</v>
      </c>
      <c r="M506" s="684">
        <v>400626</v>
      </c>
      <c r="N506" s="655">
        <v>7533</v>
      </c>
      <c r="O506" s="684">
        <v>4436</v>
      </c>
      <c r="P506" s="684">
        <v>74.030945999999986</v>
      </c>
      <c r="Q506" s="337">
        <v>0</v>
      </c>
      <c r="R506" s="167">
        <f t="shared" si="25"/>
        <v>134983.71577569999</v>
      </c>
      <c r="S506" s="686">
        <v>11.613011012411262</v>
      </c>
      <c r="T506" s="686">
        <v>0.31601299999999999</v>
      </c>
      <c r="U506" s="686">
        <v>2.6880024465732399E-3</v>
      </c>
      <c r="V506" s="473">
        <v>1.7000000000000001E-2</v>
      </c>
      <c r="W506" s="473">
        <v>0.28573999999999999</v>
      </c>
      <c r="X506" s="155">
        <v>6.9710000000000001</v>
      </c>
      <c r="Y506" s="473">
        <v>10.61</v>
      </c>
      <c r="Z506" s="337">
        <v>0</v>
      </c>
      <c r="AA506" s="337">
        <v>0</v>
      </c>
      <c r="AB506" s="337">
        <v>0</v>
      </c>
      <c r="AC506" s="686">
        <v>0.20926129911906372</v>
      </c>
      <c r="AD506" s="686">
        <v>5.4396611042993426E-2</v>
      </c>
      <c r="AE506" s="686">
        <v>1.0624001299999999</v>
      </c>
      <c r="AF506" s="473">
        <v>14.721008531857839</v>
      </c>
      <c r="AG506" s="172">
        <f t="shared" si="26"/>
        <v>7.8279345623354288</v>
      </c>
      <c r="AH506" s="667">
        <f t="shared" si="24"/>
        <v>202408</v>
      </c>
      <c r="AJ506" s="262" t="s">
        <v>1663</v>
      </c>
      <c r="AK506" s="262"/>
    </row>
    <row r="507" spans="3:37" ht="15.75" hidden="1">
      <c r="C507" s="649">
        <v>45515</v>
      </c>
      <c r="D507" s="683">
        <v>339171</v>
      </c>
      <c r="E507" s="683">
        <v>37767</v>
      </c>
      <c r="F507" s="645">
        <v>11905</v>
      </c>
      <c r="G507" s="683">
        <v>4185</v>
      </c>
      <c r="H507" s="683">
        <v>2382</v>
      </c>
      <c r="I507" s="646">
        <v>141652</v>
      </c>
      <c r="J507" s="683">
        <v>172970</v>
      </c>
      <c r="K507" s="683">
        <v>49583.6</v>
      </c>
      <c r="L507" s="683">
        <v>0</v>
      </c>
      <c r="M507" s="683">
        <v>375824</v>
      </c>
      <c r="N507" s="683">
        <v>7621</v>
      </c>
      <c r="O507" s="683">
        <v>6529</v>
      </c>
      <c r="P507" s="683">
        <v>82.459277999999998</v>
      </c>
      <c r="Q507" s="337">
        <v>0</v>
      </c>
      <c r="R507" s="167">
        <f t="shared" si="25"/>
        <v>135058.41677509999</v>
      </c>
      <c r="S507" s="685">
        <v>13.410279571962947</v>
      </c>
      <c r="T507" s="685">
        <v>0.338364</v>
      </c>
      <c r="U507" s="648">
        <v>2.1862283978060127E-3</v>
      </c>
      <c r="V507" s="648">
        <v>1.7000000000000001E-2</v>
      </c>
      <c r="W507" s="685">
        <v>0.28619</v>
      </c>
      <c r="X507" s="155">
        <v>6.9710000000000001</v>
      </c>
      <c r="Y507" s="685">
        <v>10.64</v>
      </c>
      <c r="Z507" s="337">
        <v>0</v>
      </c>
      <c r="AB507" s="337">
        <v>0</v>
      </c>
      <c r="AC507" s="685">
        <v>0.20727912172551374</v>
      </c>
      <c r="AD507" s="685">
        <v>6.787541731913338E-2</v>
      </c>
      <c r="AE507" s="685">
        <v>1.0500001299999999</v>
      </c>
      <c r="AF507" s="685">
        <v>14.13731392309718</v>
      </c>
      <c r="AG507" s="172">
        <f t="shared" si="26"/>
        <v>7.7837503937347892</v>
      </c>
      <c r="AH507" s="667">
        <f t="shared" si="24"/>
        <v>202408</v>
      </c>
      <c r="AJ507" s="262" t="s">
        <v>1664</v>
      </c>
      <c r="AK507" s="262"/>
    </row>
    <row r="508" spans="3:37" ht="15.75" hidden="1">
      <c r="C508" s="665">
        <v>45516</v>
      </c>
      <c r="D508" s="684">
        <v>366576</v>
      </c>
      <c r="E508" s="684">
        <v>27270</v>
      </c>
      <c r="F508" s="655">
        <v>26135</v>
      </c>
      <c r="G508" s="684">
        <v>4160</v>
      </c>
      <c r="H508" s="655">
        <v>2344</v>
      </c>
      <c r="I508" s="646">
        <v>141652</v>
      </c>
      <c r="J508" s="655">
        <v>171625</v>
      </c>
      <c r="K508" s="655">
        <v>50258.09</v>
      </c>
      <c r="L508" s="684">
        <v>0</v>
      </c>
      <c r="M508" s="684">
        <v>391663</v>
      </c>
      <c r="N508" s="655">
        <v>7683</v>
      </c>
      <c r="O508" s="684">
        <v>5781</v>
      </c>
      <c r="P508" s="684">
        <v>95.164674000000005</v>
      </c>
      <c r="Q508" s="337">
        <v>0</v>
      </c>
      <c r="R508" s="167">
        <f t="shared" si="25"/>
        <v>142933.60220329999</v>
      </c>
      <c r="S508" s="686">
        <v>14.130659470418836</v>
      </c>
      <c r="T508" s="686">
        <v>0.30043999999999998</v>
      </c>
      <c r="U508" s="686">
        <v>4.5613016675775239E-3</v>
      </c>
      <c r="V508" s="473">
        <v>1.7000000000000001E-2</v>
      </c>
      <c r="W508" s="473">
        <v>0.28492000000000001</v>
      </c>
      <c r="X508" s="155">
        <v>6.9710000000000001</v>
      </c>
      <c r="Y508" s="473">
        <v>10.57</v>
      </c>
      <c r="AB508" s="337">
        <v>0</v>
      </c>
      <c r="AC508" s="686">
        <v>0.20699595352643516</v>
      </c>
      <c r="AD508" s="686">
        <v>7.0650465670103385E-2</v>
      </c>
      <c r="AE508" s="686">
        <v>1.0362001300000001</v>
      </c>
      <c r="AF508" s="473">
        <v>14.023367039787964</v>
      </c>
      <c r="AG508" s="172">
        <f t="shared" si="26"/>
        <v>7.7478421413538827</v>
      </c>
      <c r="AH508" s="667">
        <f t="shared" si="24"/>
        <v>202408</v>
      </c>
      <c r="AJ508" s="262" t="s">
        <v>1665</v>
      </c>
      <c r="AK508" s="262"/>
    </row>
    <row r="509" spans="3:37" ht="15.75" hidden="1">
      <c r="C509" s="649">
        <v>45517</v>
      </c>
      <c r="D509" s="683">
        <v>338809</v>
      </c>
      <c r="E509" s="683">
        <v>26686</v>
      </c>
      <c r="F509" s="645">
        <v>26362</v>
      </c>
      <c r="G509" s="683">
        <v>3994</v>
      </c>
      <c r="H509" s="683">
        <v>2316</v>
      </c>
      <c r="I509" s="646">
        <v>141652</v>
      </c>
      <c r="J509" s="683">
        <v>175579</v>
      </c>
      <c r="K509" s="683">
        <v>52533.59</v>
      </c>
      <c r="L509" s="683">
        <v>0</v>
      </c>
      <c r="M509" s="683">
        <v>400646</v>
      </c>
      <c r="N509" s="683">
        <v>7414</v>
      </c>
      <c r="O509" s="683">
        <v>4643</v>
      </c>
      <c r="P509" s="683">
        <v>89.315159999999992</v>
      </c>
      <c r="Q509" s="337">
        <v>0</v>
      </c>
      <c r="R509" s="167">
        <f t="shared" si="25"/>
        <v>143651.21722200001</v>
      </c>
      <c r="S509" s="685">
        <v>14.588542448328884</v>
      </c>
      <c r="T509" s="685">
        <v>0.27118500000000001</v>
      </c>
      <c r="U509" s="648">
        <v>4.6020778882448375E-3</v>
      </c>
      <c r="V509" s="648">
        <v>1.7000000000000001E-2</v>
      </c>
      <c r="W509" s="685">
        <v>0.2848</v>
      </c>
      <c r="X509" s="155">
        <v>6.9710000000000001</v>
      </c>
      <c r="Y509" s="685">
        <v>10.75</v>
      </c>
      <c r="Z509" s="337">
        <v>0</v>
      </c>
      <c r="AA509" s="337">
        <v>0</v>
      </c>
      <c r="AB509" s="337">
        <v>0</v>
      </c>
      <c r="AC509" s="685">
        <v>0.20133258954486374</v>
      </c>
      <c r="AD509" s="685">
        <v>7.1924722565956944E-2</v>
      </c>
      <c r="AE509" s="685">
        <v>1.02330013</v>
      </c>
      <c r="AF509" s="685">
        <v>13.567211387892295</v>
      </c>
      <c r="AG509" s="172">
        <f t="shared" si="26"/>
        <v>7.7137642033961766</v>
      </c>
      <c r="AH509" s="667">
        <f t="shared" si="24"/>
        <v>202408</v>
      </c>
      <c r="AJ509" s="262" t="s">
        <v>1666</v>
      </c>
      <c r="AK509" s="262"/>
    </row>
    <row r="510" spans="3:37" ht="15.75" hidden="1">
      <c r="C510" s="665">
        <v>45518</v>
      </c>
      <c r="D510" s="684">
        <v>352539</v>
      </c>
      <c r="E510" s="684">
        <v>26006</v>
      </c>
      <c r="F510" s="655">
        <v>26340</v>
      </c>
      <c r="G510" s="684">
        <v>4002</v>
      </c>
      <c r="H510" s="655">
        <v>2283</v>
      </c>
      <c r="I510" s="646">
        <v>141652</v>
      </c>
      <c r="J510" s="655">
        <v>175119</v>
      </c>
      <c r="K510" s="655">
        <v>53194.29</v>
      </c>
      <c r="L510" s="684">
        <v>34063</v>
      </c>
      <c r="M510" s="684">
        <v>402325</v>
      </c>
      <c r="N510" s="655">
        <v>7706</v>
      </c>
      <c r="O510" s="684">
        <v>3421</v>
      </c>
      <c r="P510" s="684">
        <v>77.930622</v>
      </c>
      <c r="Q510" s="337">
        <v>0</v>
      </c>
      <c r="R510" s="167">
        <f t="shared" si="25"/>
        <v>151609.01092989999</v>
      </c>
      <c r="S510" s="686">
        <v>14.627902828000801</v>
      </c>
      <c r="T510" s="686">
        <v>0.29943399999999998</v>
      </c>
      <c r="U510" s="686">
        <v>4.8320104658966375E-3</v>
      </c>
      <c r="V510" s="473">
        <v>1.7000000000000001E-2</v>
      </c>
      <c r="W510" s="473">
        <v>0.28502999999999995</v>
      </c>
      <c r="X510" s="155">
        <v>6.9710000000000001</v>
      </c>
      <c r="Y510" s="473">
        <v>10.61</v>
      </c>
      <c r="Z510" s="337">
        <v>0</v>
      </c>
      <c r="AB510" s="337">
        <v>0</v>
      </c>
      <c r="AC510" s="686">
        <v>0.20529694433196374</v>
      </c>
      <c r="AD510" s="686">
        <v>7.2491058964114091E-2</v>
      </c>
      <c r="AE510" s="686">
        <v>1.00720013</v>
      </c>
      <c r="AF510" s="473">
        <v>13.450206288033028</v>
      </c>
      <c r="AG510" s="172">
        <f t="shared" si="26"/>
        <v>7.6598183575807237</v>
      </c>
      <c r="AH510" s="667">
        <f t="shared" si="24"/>
        <v>202408</v>
      </c>
      <c r="AJ510" s="262" t="s">
        <v>1668</v>
      </c>
      <c r="AK510" s="262"/>
    </row>
    <row r="511" spans="3:37" ht="15.75" hidden="1">
      <c r="C511" s="649">
        <v>45519</v>
      </c>
      <c r="D511" s="683">
        <v>340710</v>
      </c>
      <c r="E511" s="683">
        <v>28365</v>
      </c>
      <c r="F511" s="645">
        <v>26404</v>
      </c>
      <c r="G511" s="683">
        <v>3968</v>
      </c>
      <c r="H511" s="683">
        <v>2399</v>
      </c>
      <c r="I511" s="646">
        <v>141652</v>
      </c>
      <c r="J511" s="683">
        <v>174458</v>
      </c>
      <c r="K511" s="683">
        <v>53661.39</v>
      </c>
      <c r="L511" s="683">
        <v>35759</v>
      </c>
      <c r="M511" s="683">
        <v>422949</v>
      </c>
      <c r="N511" s="683">
        <v>7707</v>
      </c>
      <c r="O511" s="683">
        <v>4515</v>
      </c>
      <c r="P511" s="683">
        <v>62.709305999999998</v>
      </c>
      <c r="Q511" s="337">
        <v>0</v>
      </c>
      <c r="R511" s="167">
        <f t="shared" si="25"/>
        <v>153726.38643769998</v>
      </c>
      <c r="S511" s="685">
        <v>13.39980234859704</v>
      </c>
      <c r="T511" s="685">
        <v>0.303869</v>
      </c>
      <c r="U511" s="648">
        <v>5.0392329539823361E-3</v>
      </c>
      <c r="V511" s="648">
        <v>1.7000000000000001E-2</v>
      </c>
      <c r="W511" s="685">
        <v>0.28764000000000001</v>
      </c>
      <c r="X511" s="155">
        <v>6.9710000000000001</v>
      </c>
      <c r="Y511" s="685">
        <v>10.3</v>
      </c>
      <c r="AB511" s="337">
        <v>0</v>
      </c>
      <c r="AC511" s="685">
        <v>0.20614644892919945</v>
      </c>
      <c r="AD511" s="685">
        <v>7.4529869997479806E-2</v>
      </c>
      <c r="AE511" s="685">
        <v>0.99980013000000001</v>
      </c>
      <c r="AF511" s="685">
        <v>13.531560511628301</v>
      </c>
      <c r="AG511" s="172">
        <f t="shared" si="26"/>
        <v>7.5662109301783964</v>
      </c>
      <c r="AH511" s="667">
        <f t="shared" si="24"/>
        <v>202408</v>
      </c>
      <c r="AJ511" s="262" t="s">
        <v>1667</v>
      </c>
      <c r="AK511" s="262"/>
    </row>
    <row r="512" spans="3:37" ht="15.75" hidden="1">
      <c r="C512" s="665">
        <v>45520</v>
      </c>
      <c r="D512" s="684">
        <v>342556</v>
      </c>
      <c r="E512" s="684">
        <v>25862</v>
      </c>
      <c r="F512" s="655">
        <v>26261</v>
      </c>
      <c r="G512" s="684">
        <v>3981</v>
      </c>
      <c r="H512" s="655">
        <v>2433</v>
      </c>
      <c r="I512" s="646">
        <v>138462</v>
      </c>
      <c r="J512" s="655">
        <v>175792</v>
      </c>
      <c r="K512" s="655">
        <v>52201.22</v>
      </c>
      <c r="L512" s="684">
        <v>0</v>
      </c>
      <c r="M512" s="684">
        <v>431795</v>
      </c>
      <c r="N512" s="655">
        <v>7662</v>
      </c>
      <c r="O512" s="684">
        <v>4719</v>
      </c>
      <c r="P512" s="684">
        <v>75.100211999999999</v>
      </c>
      <c r="Q512" s="337">
        <v>0</v>
      </c>
      <c r="R512" s="167">
        <f t="shared" si="25"/>
        <v>144186.62369540002</v>
      </c>
      <c r="S512" s="686">
        <v>7.7588086547528361</v>
      </c>
      <c r="T512" s="686">
        <v>0.29792600000000002</v>
      </c>
      <c r="U512" s="686">
        <v>5.1160848032122596E-3</v>
      </c>
      <c r="V512" s="473">
        <v>1.7000000000000001E-2</v>
      </c>
      <c r="W512" s="473">
        <v>0.29114000000000001</v>
      </c>
      <c r="X512" s="155">
        <v>6.9710000000000001</v>
      </c>
      <c r="Y512" s="473">
        <v>10.8</v>
      </c>
      <c r="AB512" s="337">
        <v>0</v>
      </c>
      <c r="AC512" s="686">
        <v>0.20586328073012086</v>
      </c>
      <c r="AD512" s="686">
        <v>7.5804126893333365E-2</v>
      </c>
      <c r="AE512" s="686">
        <v>0.98230013000000005</v>
      </c>
      <c r="AF512" s="473">
        <v>13.56395495360289</v>
      </c>
      <c r="AG512" s="172">
        <f t="shared" si="26"/>
        <v>7.565963771537179</v>
      </c>
      <c r="AH512" s="667">
        <f t="shared" si="24"/>
        <v>202408</v>
      </c>
      <c r="AJ512" s="262" t="s">
        <v>1669</v>
      </c>
      <c r="AK512" s="262"/>
    </row>
    <row r="513" spans="3:37" ht="15.75" hidden="1">
      <c r="C513" s="649">
        <v>45521</v>
      </c>
      <c r="D513" s="683">
        <v>346830</v>
      </c>
      <c r="E513" s="683">
        <v>28057</v>
      </c>
      <c r="F513" s="645">
        <v>26191</v>
      </c>
      <c r="G513" s="683">
        <v>3978</v>
      </c>
      <c r="H513" s="683">
        <v>2319</v>
      </c>
      <c r="I513" s="646">
        <v>138462</v>
      </c>
      <c r="J513" s="683">
        <v>171630</v>
      </c>
      <c r="K513" s="683">
        <v>51167.09</v>
      </c>
      <c r="L513" s="683">
        <v>0</v>
      </c>
      <c r="M513" s="683">
        <v>426806</v>
      </c>
      <c r="N513" s="683">
        <v>7419</v>
      </c>
      <c r="O513" s="683">
        <v>3200</v>
      </c>
      <c r="P513" s="683">
        <v>76.42107</v>
      </c>
      <c r="Q513" s="337">
        <v>0</v>
      </c>
      <c r="R513" s="167">
        <f t="shared" si="25"/>
        <v>142539.5549815</v>
      </c>
      <c r="S513" s="685">
        <v>12.081088045488139</v>
      </c>
      <c r="T513" s="685">
        <v>0.293074</v>
      </c>
      <c r="U513" s="648">
        <v>5.2057358550405353E-3</v>
      </c>
      <c r="V513" s="648">
        <v>1.7000000000000001E-2</v>
      </c>
      <c r="W513" s="685">
        <v>0.28719</v>
      </c>
      <c r="X513" s="155">
        <v>6.9710000000000001</v>
      </c>
      <c r="Y513" s="685">
        <v>11.23</v>
      </c>
      <c r="AB513" s="337">
        <v>0</v>
      </c>
      <c r="AC513" s="685">
        <v>0.20841179452182801</v>
      </c>
      <c r="AD513" s="685">
        <v>7.6087295092411938E-2</v>
      </c>
      <c r="AE513" s="685">
        <v>0.97390012999999998</v>
      </c>
      <c r="AF513" s="685">
        <v>13.619795722461184</v>
      </c>
      <c r="AG513" s="172">
        <f t="shared" si="26"/>
        <v>7.7785176757020729</v>
      </c>
      <c r="AH513" s="667">
        <f t="shared" ref="AH513:AH577" si="28">IF($AK$1&gt;=C513,(YEAR(C513)*100+MONTH(C513)),0)</f>
        <v>202408</v>
      </c>
      <c r="AJ513" s="262" t="s">
        <v>1670</v>
      </c>
      <c r="AK513" s="262"/>
    </row>
    <row r="514" spans="3:37" ht="15.75" hidden="1">
      <c r="C514" s="665">
        <v>45522</v>
      </c>
      <c r="D514" s="684">
        <v>349967</v>
      </c>
      <c r="E514" s="684">
        <v>31327</v>
      </c>
      <c r="F514" s="655">
        <v>26245</v>
      </c>
      <c r="G514" s="684">
        <v>4005</v>
      </c>
      <c r="H514" s="655">
        <v>2400</v>
      </c>
      <c r="I514" s="646">
        <v>138462</v>
      </c>
      <c r="J514" s="655">
        <v>172657</v>
      </c>
      <c r="K514" s="655">
        <v>52561.17</v>
      </c>
      <c r="L514" s="684">
        <v>0</v>
      </c>
      <c r="M514" s="684">
        <v>430911</v>
      </c>
      <c r="N514" s="655">
        <v>7721</v>
      </c>
      <c r="O514" s="684">
        <v>4552</v>
      </c>
      <c r="P514" s="684">
        <v>82.77376799999999</v>
      </c>
      <c r="Q514" s="337">
        <v>0</v>
      </c>
      <c r="R514" s="167">
        <f t="shared" si="25"/>
        <v>144983.83839559997</v>
      </c>
      <c r="S514" s="686">
        <v>13.131642064069633</v>
      </c>
      <c r="T514" s="686">
        <v>0.29043000000000002</v>
      </c>
      <c r="U514" s="686">
        <v>4.9565195230314857E-3</v>
      </c>
      <c r="V514" s="473">
        <v>1.7000000000000001E-2</v>
      </c>
      <c r="W514" s="473">
        <v>0.28699000000000002</v>
      </c>
      <c r="X514" s="155">
        <v>6.9710000000000001</v>
      </c>
      <c r="Y514" s="473">
        <v>11.06</v>
      </c>
      <c r="AB514" s="337">
        <v>0</v>
      </c>
      <c r="AC514" s="686">
        <v>0.20529694433196374</v>
      </c>
      <c r="AD514" s="686">
        <v>7.6370463291490512E-2</v>
      </c>
      <c r="AE514" s="686">
        <v>0.83250013</v>
      </c>
      <c r="AF514" s="473">
        <v>13.608978697256383</v>
      </c>
      <c r="AG514" s="172">
        <f t="shared" si="26"/>
        <v>7.6917988815728293</v>
      </c>
      <c r="AH514" s="667">
        <f t="shared" si="28"/>
        <v>202408</v>
      </c>
      <c r="AJ514" s="262" t="s">
        <v>1667</v>
      </c>
      <c r="AK514" s="262"/>
    </row>
    <row r="515" spans="3:37" ht="15.75" hidden="1">
      <c r="C515" s="649">
        <v>45523</v>
      </c>
      <c r="D515" s="683">
        <v>346072</v>
      </c>
      <c r="E515" s="683">
        <v>27088</v>
      </c>
      <c r="F515" s="645">
        <v>26273</v>
      </c>
      <c r="G515" s="683">
        <v>4030</v>
      </c>
      <c r="H515" s="683">
        <v>2318</v>
      </c>
      <c r="I515" s="646">
        <v>138462</v>
      </c>
      <c r="J515" s="683">
        <v>171842</v>
      </c>
      <c r="K515" s="683">
        <v>52422.15</v>
      </c>
      <c r="L515" s="683">
        <v>0</v>
      </c>
      <c r="M515" s="683">
        <v>435101</v>
      </c>
      <c r="N515" s="683">
        <v>7676</v>
      </c>
      <c r="O515" s="683">
        <v>4064</v>
      </c>
      <c r="P515" s="683">
        <v>73.968047999999996</v>
      </c>
      <c r="Q515" s="337">
        <v>0</v>
      </c>
      <c r="R515" s="167">
        <f t="shared" si="25"/>
        <v>143416.26632159998</v>
      </c>
      <c r="S515" s="685">
        <v>14.742585948627625</v>
      </c>
      <c r="T515" s="685">
        <v>0.32106299999999999</v>
      </c>
      <c r="U515" s="648">
        <v>5.1309794504837926E-3</v>
      </c>
      <c r="V515" s="648">
        <v>1.7000000000000001E-2</v>
      </c>
      <c r="W515" s="685">
        <v>0.28572000000000003</v>
      </c>
      <c r="X515" s="155">
        <v>6.9710000000000001</v>
      </c>
      <c r="Y515" s="685">
        <v>11.14</v>
      </c>
      <c r="AB515" s="337">
        <v>0</v>
      </c>
      <c r="AC515" s="685">
        <v>0.20614644892919945</v>
      </c>
      <c r="AD515" s="685">
        <v>7.8380957504948348E-2</v>
      </c>
      <c r="AE515" s="685">
        <v>0.93800013000000004</v>
      </c>
      <c r="AF515" s="685">
        <v>13.608837113156843</v>
      </c>
      <c r="AG515" s="172">
        <f t="shared" si="26"/>
        <v>7.8052832911494932</v>
      </c>
      <c r="AH515" s="667">
        <f t="shared" si="28"/>
        <v>202408</v>
      </c>
      <c r="AJ515" s="262" t="s">
        <v>1671</v>
      </c>
      <c r="AK515" s="262"/>
    </row>
    <row r="516" spans="3:37" ht="15.75" hidden="1">
      <c r="C516" s="665">
        <v>45524</v>
      </c>
      <c r="D516" s="684">
        <v>320886</v>
      </c>
      <c r="E516" s="684">
        <v>27799</v>
      </c>
      <c r="F516" s="655">
        <v>26215</v>
      </c>
      <c r="G516" s="684">
        <v>4000</v>
      </c>
      <c r="H516" s="655">
        <v>2270</v>
      </c>
      <c r="I516" s="646">
        <v>138462</v>
      </c>
      <c r="J516" s="655">
        <v>160261</v>
      </c>
      <c r="K516" s="655">
        <v>51436.59</v>
      </c>
      <c r="L516" s="684">
        <v>0</v>
      </c>
      <c r="M516" s="684">
        <v>439333</v>
      </c>
      <c r="N516" s="655">
        <v>7437</v>
      </c>
      <c r="O516" s="684">
        <v>4154</v>
      </c>
      <c r="P516" s="684">
        <v>63.967265999999995</v>
      </c>
      <c r="Q516" s="337">
        <v>0</v>
      </c>
      <c r="R516" s="167">
        <f t="shared" si="25"/>
        <v>139839.87936970001</v>
      </c>
      <c r="S516" s="686">
        <v>13.444826092250537</v>
      </c>
      <c r="T516" s="686">
        <v>0.429641</v>
      </c>
      <c r="U516" s="686">
        <v>5.2113425853822911E-3</v>
      </c>
      <c r="V516" s="473">
        <v>1.7000000000000001E-2</v>
      </c>
      <c r="W516" s="473">
        <v>0.28486</v>
      </c>
      <c r="X516" s="155">
        <v>6.9710000000000001</v>
      </c>
      <c r="Y516" s="473">
        <v>11.23</v>
      </c>
      <c r="AB516" s="337">
        <v>0</v>
      </c>
      <c r="AC516" s="686">
        <v>0.21011080371629942</v>
      </c>
      <c r="AD516" s="686">
        <v>7.7106700609094789E-2</v>
      </c>
      <c r="AE516" s="686">
        <v>0.92940012999999999</v>
      </c>
      <c r="AF516" s="473">
        <v>13.55166545376288</v>
      </c>
      <c r="AG516" s="172">
        <f t="shared" si="26"/>
        <v>7.8135545468328758</v>
      </c>
      <c r="AH516" s="667">
        <f t="shared" si="28"/>
        <v>202408</v>
      </c>
      <c r="AJ516" s="262" t="s">
        <v>1672</v>
      </c>
      <c r="AK516" s="262"/>
    </row>
    <row r="517" spans="3:37" ht="15.75" hidden="1">
      <c r="C517" s="649">
        <v>45525</v>
      </c>
      <c r="D517" s="683">
        <v>334819</v>
      </c>
      <c r="E517" s="683">
        <v>29950</v>
      </c>
      <c r="F517" s="645">
        <v>26187</v>
      </c>
      <c r="G517" s="683">
        <v>4013</v>
      </c>
      <c r="H517" s="683">
        <v>2337</v>
      </c>
      <c r="I517" s="646">
        <v>138462</v>
      </c>
      <c r="J517" s="683">
        <v>169910</v>
      </c>
      <c r="K517" s="683">
        <v>51660.39</v>
      </c>
      <c r="L517" s="683">
        <v>39377</v>
      </c>
      <c r="M517" s="683">
        <v>440315</v>
      </c>
      <c r="N517" s="683">
        <v>7530</v>
      </c>
      <c r="O517" s="683">
        <v>4620</v>
      </c>
      <c r="P517" s="683">
        <v>69.439391999999984</v>
      </c>
      <c r="Q517" s="337">
        <v>0</v>
      </c>
      <c r="R517" s="167">
        <f t="shared" si="25"/>
        <v>153099.16537640002</v>
      </c>
      <c r="S517" s="685">
        <v>10.765488592569101</v>
      </c>
      <c r="T517" s="685">
        <v>0.52998800000000001</v>
      </c>
      <c r="U517" s="648">
        <v>5.1865087343231E-3</v>
      </c>
      <c r="V517" s="648">
        <v>1.7000000000000001E-2</v>
      </c>
      <c r="W517" s="685">
        <v>0.28952</v>
      </c>
      <c r="X517" s="155">
        <v>6.9710000000000001</v>
      </c>
      <c r="Y517" s="685">
        <v>11.1</v>
      </c>
      <c r="AA517" s="337">
        <v>0</v>
      </c>
      <c r="AB517" s="337">
        <v>0</v>
      </c>
      <c r="AC517" s="685">
        <v>0.20727912172551374</v>
      </c>
      <c r="AD517" s="685">
        <v>7.6370463291490512E-2</v>
      </c>
      <c r="AE517" s="685">
        <v>0.91890013000000004</v>
      </c>
      <c r="AF517" s="685">
        <v>13.493247854292971</v>
      </c>
      <c r="AG517" s="172">
        <f t="shared" si="26"/>
        <v>7.7343361850385808</v>
      </c>
      <c r="AH517" s="667">
        <f t="shared" si="28"/>
        <v>202408</v>
      </c>
      <c r="AJ517" s="262" t="s">
        <v>1673</v>
      </c>
      <c r="AK517" s="262"/>
    </row>
    <row r="518" spans="3:37" ht="330.75" hidden="1">
      <c r="C518" s="665">
        <v>45526</v>
      </c>
      <c r="D518" s="684">
        <v>346010</v>
      </c>
      <c r="E518" s="684">
        <v>30711</v>
      </c>
      <c r="F518" s="655">
        <v>26178</v>
      </c>
      <c r="G518" s="684">
        <v>4071</v>
      </c>
      <c r="H518" s="655">
        <v>2324</v>
      </c>
      <c r="I518" s="646">
        <v>138462</v>
      </c>
      <c r="J518" s="655">
        <v>172739</v>
      </c>
      <c r="K518" s="655">
        <v>50281.84</v>
      </c>
      <c r="L518" s="684">
        <v>40982</v>
      </c>
      <c r="M518" s="684">
        <v>437183</v>
      </c>
      <c r="N518" s="655">
        <v>7606</v>
      </c>
      <c r="O518" s="684">
        <v>4903</v>
      </c>
      <c r="P518" s="684">
        <v>64.659143999999998</v>
      </c>
      <c r="Q518" s="337">
        <v>0</v>
      </c>
      <c r="R518" s="167">
        <f t="shared" si="25"/>
        <v>154345.08511480002</v>
      </c>
      <c r="S518" s="686">
        <v>10.149031423175053</v>
      </c>
      <c r="T518" s="686">
        <v>0.55925400000000003</v>
      </c>
      <c r="U518" s="686">
        <v>5.2364879214604684E-3</v>
      </c>
      <c r="V518" s="473">
        <v>1.7000000000000001E-2</v>
      </c>
      <c r="W518" s="473">
        <v>0.28924</v>
      </c>
      <c r="X518" s="155">
        <v>6.9710000000000001</v>
      </c>
      <c r="Y518" s="473">
        <v>11.4</v>
      </c>
      <c r="AA518" s="337">
        <v>0</v>
      </c>
      <c r="AB518" s="337">
        <v>0</v>
      </c>
      <c r="AC518" s="686">
        <v>0.21124347651261371</v>
      </c>
      <c r="AD518" s="686">
        <v>7.7106700609094789E-2</v>
      </c>
      <c r="AE518" s="686">
        <v>0.90770013000000005</v>
      </c>
      <c r="AF518" s="473">
        <v>13.510945866735382</v>
      </c>
      <c r="AG518" s="172">
        <f t="shared" si="26"/>
        <v>7.8044520659254069</v>
      </c>
      <c r="AH518" s="667">
        <f t="shared" si="28"/>
        <v>202408</v>
      </c>
      <c r="AJ518" s="1020" t="s">
        <v>1674</v>
      </c>
      <c r="AK518" s="262"/>
    </row>
    <row r="519" spans="3:37" ht="15.75" hidden="1">
      <c r="C519" s="649">
        <v>45527</v>
      </c>
      <c r="D519" s="683">
        <v>353331</v>
      </c>
      <c r="E519" s="683">
        <v>31113</v>
      </c>
      <c r="F519" s="645">
        <v>26158</v>
      </c>
      <c r="G519" s="683">
        <v>4107</v>
      </c>
      <c r="H519" s="683">
        <v>2339</v>
      </c>
      <c r="I519" s="646">
        <v>143718</v>
      </c>
      <c r="J519" s="683">
        <v>171956</v>
      </c>
      <c r="K519" s="683">
        <v>39528.589999999997</v>
      </c>
      <c r="L519" s="683">
        <v>15928</v>
      </c>
      <c r="M519" s="683">
        <v>447739</v>
      </c>
      <c r="N519" s="683">
        <v>7708</v>
      </c>
      <c r="O519" s="683">
        <v>2766</v>
      </c>
      <c r="P519" s="683">
        <v>66.671879999999987</v>
      </c>
      <c r="Q519" s="337">
        <v>0</v>
      </c>
      <c r="R519" s="167">
        <f t="shared" si="25"/>
        <v>146336.33594600001</v>
      </c>
      <c r="S519" s="685">
        <v>9.9921562408855191</v>
      </c>
      <c r="T519" s="685">
        <v>0.58484899999999995</v>
      </c>
      <c r="U519" s="648">
        <v>4.9148937977669359E-3</v>
      </c>
      <c r="V519" s="648">
        <v>1.7000000000000001E-2</v>
      </c>
      <c r="W519" s="685">
        <v>0.28826000000000002</v>
      </c>
      <c r="X519" s="155">
        <v>6.9710000000000001</v>
      </c>
      <c r="Y519" s="685">
        <v>11.26</v>
      </c>
      <c r="Z519" s="337">
        <v>0</v>
      </c>
      <c r="AA519" s="337">
        <v>0</v>
      </c>
      <c r="AB519" s="337">
        <v>0</v>
      </c>
      <c r="AC519" s="685">
        <v>0.21237614930892801</v>
      </c>
      <c r="AD519" s="685">
        <v>7.6370463291490512E-2</v>
      </c>
      <c r="AE519" s="685">
        <v>0.88780013000000002</v>
      </c>
      <c r="AF519" s="685">
        <v>14.018864665422614</v>
      </c>
      <c r="AG519" s="172">
        <f t="shared" si="26"/>
        <v>7.8473550781853154</v>
      </c>
      <c r="AH519" s="667">
        <f t="shared" si="28"/>
        <v>202408</v>
      </c>
      <c r="AJ519" s="262" t="s">
        <v>1675</v>
      </c>
      <c r="AK519" s="262"/>
    </row>
    <row r="520" spans="3:37" ht="15.75" hidden="1">
      <c r="C520" s="665">
        <v>45528</v>
      </c>
      <c r="D520" s="684">
        <v>372997</v>
      </c>
      <c r="E520" s="684">
        <v>31006</v>
      </c>
      <c r="F520" s="655">
        <v>26027</v>
      </c>
      <c r="G520" s="684">
        <v>4125</v>
      </c>
      <c r="H520" s="655">
        <v>2297</v>
      </c>
      <c r="I520" s="646">
        <v>143718</v>
      </c>
      <c r="J520" s="655">
        <v>174691</v>
      </c>
      <c r="K520" s="655">
        <v>33582.32</v>
      </c>
      <c r="L520" s="684">
        <v>0</v>
      </c>
      <c r="M520" s="684">
        <v>446342</v>
      </c>
      <c r="N520" s="655">
        <v>7711</v>
      </c>
      <c r="O520" s="684">
        <v>4775</v>
      </c>
      <c r="P520" s="684">
        <v>58.117751999999996</v>
      </c>
      <c r="Q520" s="337">
        <v>0</v>
      </c>
      <c r="R520" s="167">
        <f t="shared" si="25"/>
        <v>142763.1336884</v>
      </c>
      <c r="S520" s="686">
        <v>9.7466494122844036</v>
      </c>
      <c r="T520" s="686">
        <v>0.61851299999999998</v>
      </c>
      <c r="U520" s="686">
        <v>5.2119938722401714E-3</v>
      </c>
      <c r="V520" s="473">
        <v>1.7000000000000001E-2</v>
      </c>
      <c r="W520" s="473">
        <v>0.28614999999999996</v>
      </c>
      <c r="X520" s="155">
        <v>6.9710000000000001</v>
      </c>
      <c r="Y520" s="473">
        <v>11.38</v>
      </c>
      <c r="Z520" s="337">
        <v>0</v>
      </c>
      <c r="AB520" s="337">
        <v>0</v>
      </c>
      <c r="AC520" s="686">
        <v>0.20189892594302089</v>
      </c>
      <c r="AD520" s="686">
        <v>7.6540364210937642E-2</v>
      </c>
      <c r="AE520" s="686">
        <v>0.87120012999999996</v>
      </c>
      <c r="AF520" s="473">
        <v>14.019232784081415</v>
      </c>
      <c r="AG520" s="172">
        <f t="shared" si="26"/>
        <v>7.8715791664662866</v>
      </c>
      <c r="AH520" s="667">
        <f t="shared" si="28"/>
        <v>202408</v>
      </c>
      <c r="AJ520" s="262" t="s">
        <v>1676</v>
      </c>
      <c r="AK520" s="262"/>
    </row>
    <row r="521" spans="3:37" ht="15.75" hidden="1">
      <c r="C521" s="649">
        <v>45529</v>
      </c>
      <c r="D521" s="683">
        <v>354040</v>
      </c>
      <c r="E521" s="683">
        <v>31088</v>
      </c>
      <c r="F521" s="645">
        <v>26054</v>
      </c>
      <c r="G521" s="683">
        <v>4084</v>
      </c>
      <c r="H521" s="683">
        <v>2362</v>
      </c>
      <c r="I521" s="646">
        <v>143718</v>
      </c>
      <c r="J521" s="683">
        <v>174687</v>
      </c>
      <c r="K521" s="683">
        <v>40183.81</v>
      </c>
      <c r="L521" s="683">
        <v>0</v>
      </c>
      <c r="M521" s="683">
        <v>443066</v>
      </c>
      <c r="N521" s="683">
        <v>7352</v>
      </c>
      <c r="O521" s="683">
        <v>4083</v>
      </c>
      <c r="P521" s="683">
        <v>62.772204000000002</v>
      </c>
      <c r="Q521" s="337">
        <v>0</v>
      </c>
      <c r="R521" s="167">
        <f t="shared" ref="R521:R584" si="29" xml:space="preserve"> IF(C521&lt; DATE(2024, 11, 1), D521 * (2.31 / 100), D521 * (2.925 / 100))+E521*E$6+F521*F$6+G521*G$6+H521*H$6+I521*I$6+J521*J$6+K521*K$6+L521*L$6+M521*M$6+N521*N$6+O521*O$6+P521*P$6+Q521*Q$6</f>
        <v>143614.8639918</v>
      </c>
      <c r="S521" s="685">
        <v>9.3932554998343445</v>
      </c>
      <c r="T521" s="685">
        <v>0.61946100000000004</v>
      </c>
      <c r="U521" s="648">
        <v>4.8900882635276527E-3</v>
      </c>
      <c r="V521" s="648">
        <v>1.7000000000000001E-2</v>
      </c>
      <c r="W521" s="685">
        <v>0.28627999999999998</v>
      </c>
      <c r="X521" s="155">
        <v>6.9710000000000001</v>
      </c>
      <c r="Y521" s="685">
        <v>11.32</v>
      </c>
      <c r="Z521" s="337">
        <v>0</v>
      </c>
      <c r="AB521" s="337">
        <v>0</v>
      </c>
      <c r="AC521" s="685">
        <v>0.20529694433196374</v>
      </c>
      <c r="AD521" s="685">
        <v>7.7644720187344071E-2</v>
      </c>
      <c r="AE521" s="685">
        <v>0.85670013</v>
      </c>
      <c r="AF521" s="685">
        <v>14.016825854389248</v>
      </c>
      <c r="AG521" s="172">
        <f t="shared" ref="AG521:AG584" si="30" xml:space="preserve"> IF(C521&lt; DATE(2024, 11, 1), S521 * (2.31 / 100), S521 * (2.925 / 100))+T521*T$6+U521*U$6+V521*V$6+W521*W$6+X521*X$6+Y521*Y$6+Z521*Z$6+AA521*AA$6+AB521*AB$6+AC521*AC$6+AD521*AD$6+AE521*AE$6+AF521*AF$6</f>
        <v>7.8418577395282689</v>
      </c>
      <c r="AH521" s="667">
        <f t="shared" si="28"/>
        <v>202408</v>
      </c>
      <c r="AJ521" s="262" t="s">
        <v>1677</v>
      </c>
      <c r="AK521" s="262"/>
    </row>
    <row r="522" spans="3:37" ht="15.75" hidden="1">
      <c r="C522" s="665">
        <v>45530</v>
      </c>
      <c r="D522" s="684">
        <v>354587</v>
      </c>
      <c r="E522" s="684">
        <v>23698</v>
      </c>
      <c r="F522" s="655">
        <v>26072</v>
      </c>
      <c r="G522" s="684">
        <v>4097</v>
      </c>
      <c r="H522" s="655">
        <v>2299</v>
      </c>
      <c r="I522" s="646">
        <v>143718</v>
      </c>
      <c r="J522" s="655">
        <v>173822</v>
      </c>
      <c r="K522" s="655">
        <v>44242.85</v>
      </c>
      <c r="L522" s="684">
        <v>0</v>
      </c>
      <c r="M522" s="684">
        <v>449476</v>
      </c>
      <c r="N522" s="655">
        <v>7613</v>
      </c>
      <c r="O522" s="684">
        <v>4555</v>
      </c>
      <c r="P522" s="684">
        <v>75.603395999999989</v>
      </c>
      <c r="Q522" s="337">
        <v>0</v>
      </c>
      <c r="R522" s="167">
        <f t="shared" si="29"/>
        <v>142857.84372820001</v>
      </c>
      <c r="S522" s="686">
        <v>8.8659963131500508</v>
      </c>
      <c r="T522" s="686">
        <v>0.42013099999999998</v>
      </c>
      <c r="U522" s="686">
        <v>5.1112426270080169E-3</v>
      </c>
      <c r="V522" s="473">
        <v>1.7000000000000001E-2</v>
      </c>
      <c r="W522" s="473">
        <v>0.28508</v>
      </c>
      <c r="X522" s="155">
        <v>6.9710000000000001</v>
      </c>
      <c r="Y522" s="473">
        <v>11.37</v>
      </c>
      <c r="AB522" s="337">
        <v>0</v>
      </c>
      <c r="AC522" s="686">
        <v>0.20982763551722086</v>
      </c>
      <c r="AD522" s="686">
        <v>7.6087295092411938E-2</v>
      </c>
      <c r="AE522" s="686">
        <v>0.84940013000000003</v>
      </c>
      <c r="AF522" s="473">
        <v>14.029143671049166</v>
      </c>
      <c r="AG522" s="172">
        <f t="shared" si="30"/>
        <v>7.7864981951948895</v>
      </c>
      <c r="AH522" s="667">
        <f t="shared" si="28"/>
        <v>202408</v>
      </c>
      <c r="AJ522" s="262" t="s">
        <v>1678</v>
      </c>
      <c r="AK522" s="262"/>
    </row>
    <row r="523" spans="3:37" ht="15.75" hidden="1">
      <c r="C523" s="649">
        <v>45531</v>
      </c>
      <c r="D523" s="683">
        <v>355673</v>
      </c>
      <c r="E523" s="683">
        <v>22270</v>
      </c>
      <c r="F523" s="645">
        <v>26071</v>
      </c>
      <c r="G523" s="683">
        <v>4125</v>
      </c>
      <c r="H523" s="683">
        <v>2185</v>
      </c>
      <c r="I523" s="646">
        <v>143718</v>
      </c>
      <c r="J523" s="683">
        <v>170950</v>
      </c>
      <c r="K523" s="683">
        <v>47719.75</v>
      </c>
      <c r="L523" s="683">
        <v>0</v>
      </c>
      <c r="M523" s="683">
        <v>430054</v>
      </c>
      <c r="N523" s="683">
        <v>7803</v>
      </c>
      <c r="O523" s="683">
        <v>4040</v>
      </c>
      <c r="P523" s="683">
        <v>86.925035999999992</v>
      </c>
      <c r="Q523" s="337">
        <v>0</v>
      </c>
      <c r="R523" s="167">
        <f t="shared" si="29"/>
        <v>141562.29006619999</v>
      </c>
      <c r="S523" s="685">
        <v>9.8400949179803305</v>
      </c>
      <c r="T523" s="685">
        <v>0.40707500000000002</v>
      </c>
      <c r="U523" s="648">
        <v>5.2667019683021515E-3</v>
      </c>
      <c r="V523" s="648">
        <v>1.7000000000000001E-2</v>
      </c>
      <c r="W523" s="685">
        <v>0.28393000000000002</v>
      </c>
      <c r="X523" s="155">
        <v>6.9710000000000001</v>
      </c>
      <c r="Y523" s="685">
        <v>11.37</v>
      </c>
      <c r="Z523" s="337">
        <v>0</v>
      </c>
      <c r="AB523" s="337">
        <v>0</v>
      </c>
      <c r="AC523" s="685">
        <v>0.20926129911906372</v>
      </c>
      <c r="AD523" s="685">
        <v>7.8097789305869789E-2</v>
      </c>
      <c r="AE523" s="685">
        <v>0.84050013000000001</v>
      </c>
      <c r="AF523" s="685">
        <v>13.757585368132817</v>
      </c>
      <c r="AG523" s="172">
        <f t="shared" si="30"/>
        <v>7.7550055636911805</v>
      </c>
      <c r="AH523" s="667">
        <f t="shared" si="28"/>
        <v>202408</v>
      </c>
      <c r="AJ523" s="262" t="s">
        <v>1679</v>
      </c>
      <c r="AK523" s="262"/>
    </row>
    <row r="524" spans="3:37" ht="330.75" hidden="1">
      <c r="C524" s="665">
        <v>45532</v>
      </c>
      <c r="D524" s="684">
        <v>342152</v>
      </c>
      <c r="E524" s="684">
        <v>28252</v>
      </c>
      <c r="F524" s="655">
        <v>26037</v>
      </c>
      <c r="G524" s="684">
        <v>4120</v>
      </c>
      <c r="H524" s="655">
        <v>2303</v>
      </c>
      <c r="I524" s="646">
        <v>143718</v>
      </c>
      <c r="J524" s="655">
        <v>171447</v>
      </c>
      <c r="K524" s="655">
        <v>47852.28</v>
      </c>
      <c r="L524" s="684">
        <v>0</v>
      </c>
      <c r="M524" s="684">
        <v>404465</v>
      </c>
      <c r="N524" s="655">
        <v>7648</v>
      </c>
      <c r="O524" s="684">
        <v>3810</v>
      </c>
      <c r="P524" s="684">
        <v>70.886045999999993</v>
      </c>
      <c r="Q524" s="337">
        <v>0</v>
      </c>
      <c r="R524" s="167">
        <f t="shared" si="29"/>
        <v>141979.31992070001</v>
      </c>
      <c r="S524" s="686">
        <v>9.7183325923765427</v>
      </c>
      <c r="T524" s="686">
        <v>0.44931599999999999</v>
      </c>
      <c r="U524" s="686">
        <v>5.080943629706609E-3</v>
      </c>
      <c r="V524" s="473">
        <v>1.7000000000000001E-2</v>
      </c>
      <c r="W524" s="473">
        <v>0.28352999999999995</v>
      </c>
      <c r="X524" s="155">
        <v>6.9710000000000001</v>
      </c>
      <c r="Y524" s="473">
        <v>11.23</v>
      </c>
      <c r="AB524" s="337">
        <v>0</v>
      </c>
      <c r="AC524" s="686">
        <v>0.20926129911906372</v>
      </c>
      <c r="AD524" s="686">
        <v>7.8380957504948348E-2</v>
      </c>
      <c r="AE524" s="686">
        <v>0.83050013</v>
      </c>
      <c r="AF524" s="473">
        <v>14.014079122858186</v>
      </c>
      <c r="AG524" s="172">
        <f t="shared" si="30"/>
        <v>7.7658850987156613</v>
      </c>
      <c r="AH524" s="667">
        <f t="shared" si="28"/>
        <v>202408</v>
      </c>
      <c r="AJ524" s="1020" t="s">
        <v>1680</v>
      </c>
      <c r="AK524" s="262"/>
    </row>
    <row r="525" spans="3:37" ht="15.75" hidden="1">
      <c r="C525" s="649">
        <v>45533</v>
      </c>
      <c r="D525" s="683">
        <v>353199</v>
      </c>
      <c r="E525" s="683">
        <v>27742</v>
      </c>
      <c r="F525" s="645">
        <v>26050</v>
      </c>
      <c r="G525" s="683">
        <v>4133</v>
      </c>
      <c r="H525" s="683">
        <v>2328</v>
      </c>
      <c r="I525" s="646">
        <v>143718</v>
      </c>
      <c r="J525" s="683">
        <v>169865</v>
      </c>
      <c r="K525" s="683">
        <v>48387.81</v>
      </c>
      <c r="L525" s="683">
        <v>0</v>
      </c>
      <c r="M525" s="683">
        <v>420287</v>
      </c>
      <c r="N525" s="683">
        <v>7683</v>
      </c>
      <c r="O525" s="683">
        <v>4138</v>
      </c>
      <c r="P525" s="683">
        <v>80.886827999999994</v>
      </c>
      <c r="Q525" s="337">
        <v>0</v>
      </c>
      <c r="R525" s="167">
        <f t="shared" si="29"/>
        <v>142632.39847260003</v>
      </c>
      <c r="S525" s="685">
        <v>9.6761405307138357</v>
      </c>
      <c r="T525" s="685">
        <v>0.48311199999999999</v>
      </c>
      <c r="U525" s="648">
        <v>5.1225693549711588E-3</v>
      </c>
      <c r="V525" s="648">
        <v>1.7000000000000001E-2</v>
      </c>
      <c r="W525" s="685">
        <v>0.28354000000000001</v>
      </c>
      <c r="X525" s="155">
        <v>6.9710000000000001</v>
      </c>
      <c r="Y525" s="685">
        <v>11.25</v>
      </c>
      <c r="AC525" s="685">
        <v>0.20133258954486374</v>
      </c>
      <c r="AD525" s="685">
        <v>8.0419768538314063E-2</v>
      </c>
      <c r="AE525" s="685">
        <v>0.82120013000000003</v>
      </c>
      <c r="AF525" s="685">
        <v>14.016571003010077</v>
      </c>
      <c r="AG525" s="172">
        <f t="shared" si="30"/>
        <v>7.7754565060849439</v>
      </c>
      <c r="AH525" s="667">
        <f t="shared" si="28"/>
        <v>202408</v>
      </c>
      <c r="AJ525" s="262" t="s">
        <v>1681</v>
      </c>
      <c r="AK525" s="262"/>
    </row>
    <row r="526" spans="3:37" ht="15.75" hidden="1">
      <c r="C526" s="665">
        <v>45534</v>
      </c>
      <c r="D526" s="684">
        <v>349512</v>
      </c>
      <c r="E526" s="684">
        <v>32459</v>
      </c>
      <c r="F526" s="655">
        <v>26028</v>
      </c>
      <c r="G526" s="684">
        <v>4182</v>
      </c>
      <c r="H526" s="655">
        <v>2295</v>
      </c>
      <c r="I526" s="646">
        <v>151900</v>
      </c>
      <c r="J526" s="655">
        <v>170560</v>
      </c>
      <c r="K526" s="655">
        <v>49245.17</v>
      </c>
      <c r="L526" s="684">
        <v>42192</v>
      </c>
      <c r="M526" s="684">
        <v>433286</v>
      </c>
      <c r="N526" s="655">
        <v>4265</v>
      </c>
      <c r="O526" s="684">
        <v>4192</v>
      </c>
      <c r="P526" s="684">
        <v>70.068371999999997</v>
      </c>
      <c r="Q526" s="337">
        <v>0</v>
      </c>
      <c r="R526" s="167">
        <f t="shared" si="29"/>
        <v>156167.89046739996</v>
      </c>
      <c r="S526" s="686">
        <v>9.9196651819214079</v>
      </c>
      <c r="T526" s="686">
        <v>0.49979499999999999</v>
      </c>
      <c r="U526" s="686">
        <v>5.2417831667832373E-3</v>
      </c>
      <c r="V526" s="473">
        <v>1.7000000000000001E-2</v>
      </c>
      <c r="W526" s="473">
        <v>0.28129000000000004</v>
      </c>
      <c r="X526" s="155">
        <v>6.9710000000000001</v>
      </c>
      <c r="Y526" s="473">
        <v>11.59</v>
      </c>
      <c r="AB526" s="337">
        <v>0</v>
      </c>
      <c r="AC526" s="686">
        <v>0.15432666849782101</v>
      </c>
      <c r="AD526" s="686">
        <v>8.0674619917484786E-2</v>
      </c>
      <c r="AE526" s="686">
        <v>0.81600013000000005</v>
      </c>
      <c r="AF526" s="473">
        <v>10.502821771103818</v>
      </c>
      <c r="AG526" s="172">
        <f t="shared" si="30"/>
        <v>7.2670737050085368</v>
      </c>
      <c r="AH526" s="667">
        <f t="shared" si="28"/>
        <v>202408</v>
      </c>
      <c r="AJ526" s="262" t="s">
        <v>1682</v>
      </c>
      <c r="AK526" s="262"/>
    </row>
    <row r="527" spans="3:37" ht="15.75" hidden="1">
      <c r="C527" s="649">
        <v>45535</v>
      </c>
      <c r="D527" s="683">
        <v>352828</v>
      </c>
      <c r="E527" s="683">
        <v>29214</v>
      </c>
      <c r="F527" s="645">
        <v>25995</v>
      </c>
      <c r="G527" s="683">
        <v>4302</v>
      </c>
      <c r="H527" s="683">
        <v>2295</v>
      </c>
      <c r="I527" s="646">
        <v>151900</v>
      </c>
      <c r="J527" s="683">
        <v>171315</v>
      </c>
      <c r="K527" s="683">
        <v>49238.62</v>
      </c>
      <c r="L527" s="683">
        <v>47614</v>
      </c>
      <c r="M527" s="683">
        <v>445080</v>
      </c>
      <c r="N527" s="683">
        <v>2897</v>
      </c>
      <c r="O527" s="683">
        <v>23</v>
      </c>
      <c r="P527" s="683">
        <v>72.835883999999993</v>
      </c>
      <c r="Q527" s="337">
        <v>0</v>
      </c>
      <c r="R527" s="167">
        <f t="shared" si="29"/>
        <v>155562.88544780004</v>
      </c>
      <c r="S527" s="685">
        <v>9.6999266594364393</v>
      </c>
      <c r="T527" s="685">
        <v>0.48847499999999999</v>
      </c>
      <c r="U527" s="648">
        <v>5.0697868026629142E-3</v>
      </c>
      <c r="V527" s="648">
        <v>1.7000000000000001E-2</v>
      </c>
      <c r="W527" s="685">
        <v>0.28127999999999997</v>
      </c>
      <c r="X527" s="155">
        <v>6.9710000000000001</v>
      </c>
      <c r="Y527" s="685">
        <v>11.18</v>
      </c>
      <c r="AB527" s="337">
        <v>0</v>
      </c>
      <c r="AC527" s="685">
        <v>0.1158157934231354</v>
      </c>
      <c r="AD527" s="685">
        <v>7.8664125704026935E-2</v>
      </c>
      <c r="AE527" s="685">
        <v>0.79880013000000005</v>
      </c>
      <c r="AF527" s="685">
        <v>13.9716038929964</v>
      </c>
      <c r="AG527" s="172">
        <f t="shared" si="30"/>
        <v>7.7291235144623887</v>
      </c>
      <c r="AH527" s="667">
        <f t="shared" si="28"/>
        <v>202408</v>
      </c>
      <c r="AJ527" s="262" t="s">
        <v>1684</v>
      </c>
      <c r="AK527" s="262"/>
    </row>
    <row r="528" spans="3:37" ht="15.75" hidden="1">
      <c r="C528" s="665">
        <v>45536</v>
      </c>
      <c r="D528" s="684">
        <v>337533</v>
      </c>
      <c r="E528" s="684">
        <v>29535</v>
      </c>
      <c r="F528" s="655">
        <v>25819</v>
      </c>
      <c r="G528" s="684">
        <v>4186</v>
      </c>
      <c r="H528" s="655">
        <v>2317</v>
      </c>
      <c r="I528" s="646">
        <v>151900</v>
      </c>
      <c r="J528" s="655">
        <v>173341</v>
      </c>
      <c r="K528" s="655">
        <v>50741.4</v>
      </c>
      <c r="L528" s="684">
        <v>14823</v>
      </c>
      <c r="M528" s="684">
        <v>401374</v>
      </c>
      <c r="N528" s="655">
        <v>7676</v>
      </c>
      <c r="O528" s="684">
        <v>2949</v>
      </c>
      <c r="P528" s="684">
        <v>70.068371999999997</v>
      </c>
      <c r="Q528" s="337">
        <v>0</v>
      </c>
      <c r="R528" s="167">
        <f t="shared" si="29"/>
        <v>148075.2718174</v>
      </c>
      <c r="S528" s="686">
        <v>9.6274356004723245</v>
      </c>
      <c r="T528" s="686">
        <v>0.28904400000000002</v>
      </c>
      <c r="U528" s="686">
        <v>5.0536745321353429E-3</v>
      </c>
      <c r="V528" s="473">
        <v>1.7000000000000001E-2</v>
      </c>
      <c r="W528" s="473">
        <v>0.28173999999999999</v>
      </c>
      <c r="X528" s="155">
        <v>7.6429999999999998</v>
      </c>
      <c r="Y528" s="473">
        <v>11.32</v>
      </c>
      <c r="AB528" s="337">
        <v>0</v>
      </c>
      <c r="AC528" s="686">
        <v>0.21549099949879227</v>
      </c>
      <c r="AD528" s="686">
        <v>6.4505715750098391E-2</v>
      </c>
      <c r="AE528" s="686">
        <v>0.79460012999999996</v>
      </c>
      <c r="AF528" s="473">
        <v>14.011898727725281</v>
      </c>
      <c r="AG528" s="172">
        <f t="shared" si="30"/>
        <v>7.8551123530016103</v>
      </c>
      <c r="AH528" s="667">
        <f t="shared" si="28"/>
        <v>202409</v>
      </c>
      <c r="AJ528" s="262" t="s">
        <v>1683</v>
      </c>
      <c r="AK528" s="262"/>
    </row>
    <row r="529" spans="3:37" ht="409.5" hidden="1">
      <c r="C529" s="649">
        <v>45537</v>
      </c>
      <c r="D529" s="683">
        <v>281163</v>
      </c>
      <c r="E529" s="683">
        <v>28541</v>
      </c>
      <c r="F529" s="645">
        <v>25819</v>
      </c>
      <c r="G529" s="683">
        <v>4194</v>
      </c>
      <c r="H529" s="683">
        <v>2232</v>
      </c>
      <c r="I529" s="646">
        <v>151900</v>
      </c>
      <c r="J529" s="683">
        <v>175094</v>
      </c>
      <c r="K529" s="683">
        <v>48713.15</v>
      </c>
      <c r="L529" s="683">
        <v>11442</v>
      </c>
      <c r="M529" s="683">
        <v>384252</v>
      </c>
      <c r="N529" s="683">
        <v>7705</v>
      </c>
      <c r="O529" s="683">
        <v>4616</v>
      </c>
      <c r="P529" s="683">
        <v>79.503072000000003</v>
      </c>
      <c r="Q529" s="337">
        <v>0</v>
      </c>
      <c r="R529" s="167">
        <f t="shared" si="29"/>
        <v>145546.1516824</v>
      </c>
      <c r="S529" s="685">
        <v>10.441544172823212</v>
      </c>
      <c r="T529" s="685">
        <v>0.26116800000000001</v>
      </c>
      <c r="U529" s="648">
        <v>5.0081127689036008E-3</v>
      </c>
      <c r="V529" s="648">
        <v>1.7000000000000001E-2</v>
      </c>
      <c r="W529" s="685">
        <v>0.27917000000000003</v>
      </c>
      <c r="X529" s="155">
        <v>7.6429999999999998</v>
      </c>
      <c r="Y529" s="685">
        <v>11.35</v>
      </c>
      <c r="Z529" s="337">
        <v>0</v>
      </c>
      <c r="AB529" s="337">
        <v>0</v>
      </c>
      <c r="AC529" s="685">
        <v>0.2287999048554851</v>
      </c>
      <c r="AD529" s="685">
        <v>6.5440170807057677E-2</v>
      </c>
      <c r="AE529" s="685">
        <v>0.78790013000000003</v>
      </c>
      <c r="AF529" s="685">
        <v>13.020356961831757</v>
      </c>
      <c r="AG529" s="172">
        <f t="shared" si="30"/>
        <v>7.7018505091987741</v>
      </c>
      <c r="AH529" s="667">
        <f t="shared" si="28"/>
        <v>202409</v>
      </c>
      <c r="AJ529" s="1020" t="s">
        <v>1685</v>
      </c>
      <c r="AK529" s="262"/>
    </row>
    <row r="530" spans="3:37" ht="15.75" hidden="1">
      <c r="C530" s="665">
        <v>45538</v>
      </c>
      <c r="D530" s="684">
        <v>231698</v>
      </c>
      <c r="E530" s="684">
        <v>28786</v>
      </c>
      <c r="F530" s="655">
        <v>25816</v>
      </c>
      <c r="G530" s="684">
        <v>4200</v>
      </c>
      <c r="H530" s="655">
        <v>2303</v>
      </c>
      <c r="I530" s="646">
        <v>151900</v>
      </c>
      <c r="J530" s="655">
        <v>171828</v>
      </c>
      <c r="K530" s="655">
        <v>49330.080000000002</v>
      </c>
      <c r="L530" s="684">
        <v>7113</v>
      </c>
      <c r="M530" s="684">
        <v>401921</v>
      </c>
      <c r="N530" s="655">
        <v>7704</v>
      </c>
      <c r="O530" s="684">
        <v>3756</v>
      </c>
      <c r="P530" s="684">
        <v>94.28410199999999</v>
      </c>
      <c r="Q530" s="337">
        <v>0</v>
      </c>
      <c r="R530" s="167">
        <f t="shared" si="29"/>
        <v>143171.56289589999</v>
      </c>
      <c r="S530" s="686">
        <v>11.568270436956846</v>
      </c>
      <c r="T530" s="686">
        <v>0.28367599999999998</v>
      </c>
      <c r="U530" s="686">
        <v>5.3299334271563964E-3</v>
      </c>
      <c r="V530" s="473">
        <v>1.7000000000000001E-2</v>
      </c>
      <c r="W530" s="473">
        <v>0.28027999999999997</v>
      </c>
      <c r="X530" s="155">
        <v>7.6429999999999998</v>
      </c>
      <c r="Y530" s="473">
        <v>11.47</v>
      </c>
      <c r="Z530" s="337">
        <v>0</v>
      </c>
      <c r="AB530" s="337">
        <v>0</v>
      </c>
      <c r="AC530" s="686">
        <v>0.22087119528128513</v>
      </c>
      <c r="AD530" s="686">
        <v>7.6625314670661221E-2</v>
      </c>
      <c r="AE530" s="686">
        <v>0.78030006000000007</v>
      </c>
      <c r="AF530" s="473">
        <v>13.122750582618568</v>
      </c>
      <c r="AG530" s="172">
        <f t="shared" si="30"/>
        <v>7.7840791038870751</v>
      </c>
      <c r="AH530" s="667">
        <f t="shared" si="28"/>
        <v>202409</v>
      </c>
      <c r="AJ530" s="262" t="s">
        <v>1686</v>
      </c>
      <c r="AK530" s="262"/>
    </row>
    <row r="531" spans="3:37" ht="15.75" hidden="1">
      <c r="C531" s="649">
        <v>45539</v>
      </c>
      <c r="D531" s="683">
        <v>316162</v>
      </c>
      <c r="E531" s="683">
        <v>29088</v>
      </c>
      <c r="F531" s="645">
        <v>25777</v>
      </c>
      <c r="G531" s="683">
        <v>4107</v>
      </c>
      <c r="H531" s="683">
        <v>2290</v>
      </c>
      <c r="I531" s="646">
        <v>151900</v>
      </c>
      <c r="J531" s="683">
        <v>172617</v>
      </c>
      <c r="K531" s="683">
        <v>49894.29</v>
      </c>
      <c r="L531" s="683">
        <v>10761</v>
      </c>
      <c r="M531" s="683">
        <v>408132</v>
      </c>
      <c r="N531" s="683">
        <v>7776</v>
      </c>
      <c r="O531" s="683">
        <v>3779</v>
      </c>
      <c r="P531" s="683">
        <v>77.867723999999995</v>
      </c>
      <c r="Q531" s="337">
        <v>0</v>
      </c>
      <c r="R531" s="167">
        <f t="shared" si="29"/>
        <v>146601.86642579999</v>
      </c>
      <c r="S531" s="685">
        <v>10.79125689868525</v>
      </c>
      <c r="T531" s="685">
        <v>0.28705599999999998</v>
      </c>
      <c r="U531" s="648">
        <v>5.1795994302655827E-3</v>
      </c>
      <c r="V531" s="648">
        <v>1.7000000000000001E-2</v>
      </c>
      <c r="W531" s="685">
        <v>0.27917000000000003</v>
      </c>
      <c r="X531" s="155">
        <v>7.6429999999999998</v>
      </c>
      <c r="Y531" s="685">
        <v>11.33</v>
      </c>
      <c r="AB531" s="337">
        <v>0</v>
      </c>
      <c r="AC531" s="685">
        <v>0.22143753167944227</v>
      </c>
      <c r="AD531" s="685">
        <v>7.2434425324298377E-2</v>
      </c>
      <c r="AE531" s="685">
        <v>0.76780006000000001</v>
      </c>
      <c r="AF531" s="685">
        <v>12.961599560522954</v>
      </c>
      <c r="AG531" s="172">
        <f t="shared" si="30"/>
        <v>7.6947927248641754</v>
      </c>
      <c r="AH531" s="667">
        <f t="shared" si="28"/>
        <v>202409</v>
      </c>
      <c r="AJ531" s="262" t="s">
        <v>1687</v>
      </c>
      <c r="AK531" s="262"/>
    </row>
    <row r="532" spans="3:37" ht="15.75" hidden="1">
      <c r="C532" s="665">
        <v>45540</v>
      </c>
      <c r="D532" s="684">
        <v>351839</v>
      </c>
      <c r="E532" s="684">
        <v>28409</v>
      </c>
      <c r="F532" s="655">
        <v>25770</v>
      </c>
      <c r="G532" s="684">
        <v>4138</v>
      </c>
      <c r="H532" s="655">
        <v>2303</v>
      </c>
      <c r="I532" s="646">
        <v>151900</v>
      </c>
      <c r="J532" s="655">
        <v>174721</v>
      </c>
      <c r="K532" s="655">
        <v>48987.95</v>
      </c>
      <c r="L532" s="684">
        <v>7206</v>
      </c>
      <c r="M532" s="684">
        <v>417005</v>
      </c>
      <c r="N532" s="655">
        <v>7639</v>
      </c>
      <c r="O532" s="684">
        <v>3754</v>
      </c>
      <c r="P532" s="684">
        <v>71.200536</v>
      </c>
      <c r="Q532" s="337">
        <v>0</v>
      </c>
      <c r="R532" s="167">
        <f t="shared" si="29"/>
        <v>147055.93614120004</v>
      </c>
      <c r="S532" s="686">
        <v>10.404165970544845</v>
      </c>
      <c r="T532" s="686">
        <v>0.27773999999999999</v>
      </c>
      <c r="U532" s="686">
        <v>5.2363180205410214E-3</v>
      </c>
      <c r="V532" s="473">
        <v>1.7000000000000001E-2</v>
      </c>
      <c r="W532" s="473">
        <v>0.28837999999999997</v>
      </c>
      <c r="X532" s="155">
        <v>7.6429999999999998</v>
      </c>
      <c r="Y532" s="473">
        <v>11.44</v>
      </c>
      <c r="AB532" s="337">
        <v>0</v>
      </c>
      <c r="AC532" s="686">
        <v>0.22257020447575654</v>
      </c>
      <c r="AD532" s="686">
        <v>7.6313829651674783E-2</v>
      </c>
      <c r="AE532" s="686">
        <v>0.7599000600000001</v>
      </c>
      <c r="AF532" s="473">
        <v>8.6658247132214061</v>
      </c>
      <c r="AG532" s="172">
        <f t="shared" si="30"/>
        <v>6.9890249391346071</v>
      </c>
      <c r="AH532" s="667">
        <f t="shared" si="28"/>
        <v>202409</v>
      </c>
      <c r="AJ532" s="262" t="s">
        <v>1688</v>
      </c>
      <c r="AK532" s="262"/>
    </row>
    <row r="533" spans="3:37" ht="15.75" hidden="1">
      <c r="C533" s="649">
        <v>45541</v>
      </c>
      <c r="D533" s="683">
        <v>331540</v>
      </c>
      <c r="E533" s="683">
        <v>26384</v>
      </c>
      <c r="F533" s="645">
        <v>25736</v>
      </c>
      <c r="G533" s="683">
        <v>4146</v>
      </c>
      <c r="H533" s="683">
        <v>2309</v>
      </c>
      <c r="I533" s="646">
        <v>148800</v>
      </c>
      <c r="J533" s="683">
        <v>175004</v>
      </c>
      <c r="K533" s="683">
        <v>49393.43</v>
      </c>
      <c r="L533" s="683">
        <v>805</v>
      </c>
      <c r="M533" s="683">
        <v>406236</v>
      </c>
      <c r="N533" s="683">
        <v>7914</v>
      </c>
      <c r="O533" s="683">
        <v>4208</v>
      </c>
      <c r="P533" s="683">
        <v>61.765836</v>
      </c>
      <c r="Q533" s="337">
        <v>0</v>
      </c>
      <c r="R533" s="167">
        <f t="shared" si="29"/>
        <v>143814.03237620002</v>
      </c>
      <c r="S533" s="685">
        <v>11.815759442951517</v>
      </c>
      <c r="T533" s="685">
        <v>0.26468799999999998</v>
      </c>
      <c r="U533" s="648">
        <v>5.2473615803050851E-3</v>
      </c>
      <c r="V533" s="648">
        <v>1.7000000000000001E-2</v>
      </c>
      <c r="W533" s="685">
        <v>0.29161999999999999</v>
      </c>
      <c r="X533" s="155">
        <v>7.6429999999999998</v>
      </c>
      <c r="Y533" s="685">
        <v>11.2</v>
      </c>
      <c r="AB533" s="337">
        <v>0</v>
      </c>
      <c r="AC533" s="685">
        <v>0.2355959416333708</v>
      </c>
      <c r="AD533" s="685">
        <v>7.5351057774807662E-2</v>
      </c>
      <c r="AE533" s="685">
        <v>0.74900006000000008</v>
      </c>
      <c r="AF533" s="685">
        <v>8.525061801459449</v>
      </c>
      <c r="AG533" s="172">
        <f t="shared" si="30"/>
        <v>6.9311694661760939</v>
      </c>
      <c r="AH533" s="667">
        <f t="shared" si="28"/>
        <v>202409</v>
      </c>
      <c r="AJ533" s="262" t="s">
        <v>1689</v>
      </c>
      <c r="AK533" s="262"/>
    </row>
    <row r="534" spans="3:37" ht="15.75" hidden="1">
      <c r="C534" s="665">
        <v>45542</v>
      </c>
      <c r="D534" s="684">
        <v>337273</v>
      </c>
      <c r="E534" s="684">
        <v>26786</v>
      </c>
      <c r="F534" s="655">
        <v>25702</v>
      </c>
      <c r="G534" s="684">
        <v>4010</v>
      </c>
      <c r="H534" s="655">
        <v>2328</v>
      </c>
      <c r="I534" s="646">
        <v>148800</v>
      </c>
      <c r="J534" s="655">
        <v>172510</v>
      </c>
      <c r="K534" s="655">
        <v>48365.03</v>
      </c>
      <c r="L534" s="684">
        <v>2336</v>
      </c>
      <c r="M534" s="684">
        <v>419194</v>
      </c>
      <c r="N534" s="655">
        <v>7943</v>
      </c>
      <c r="O534" s="684">
        <v>3670</v>
      </c>
      <c r="P534" s="684">
        <v>47.928275999999997</v>
      </c>
      <c r="Q534" s="337">
        <v>0</v>
      </c>
      <c r="R534" s="167">
        <f t="shared" si="29"/>
        <v>143746.10152420003</v>
      </c>
      <c r="S534" s="686">
        <v>14.40108510053887</v>
      </c>
      <c r="T534" s="686">
        <v>0.263071</v>
      </c>
      <c r="U534" s="686">
        <v>5.3291971898387922E-3</v>
      </c>
      <c r="V534" s="473">
        <v>1.7000000000000001E-2</v>
      </c>
      <c r="W534" s="473">
        <v>0.28832999999999998</v>
      </c>
      <c r="X534" s="155">
        <v>7.6429999999999998</v>
      </c>
      <c r="Y534" s="473">
        <v>11.05</v>
      </c>
      <c r="AB534" s="337">
        <v>0</v>
      </c>
      <c r="AC534" s="686">
        <v>0.23106525044811366</v>
      </c>
      <c r="AD534" s="686">
        <v>7.2774227163192651E-2</v>
      </c>
      <c r="AE534" s="686">
        <v>0.73880006000000009</v>
      </c>
      <c r="AF534" s="473">
        <v>8.5320560559766889</v>
      </c>
      <c r="AG534" s="172">
        <f t="shared" si="30"/>
        <v>6.9432910987859415</v>
      </c>
      <c r="AH534" s="667">
        <f t="shared" si="28"/>
        <v>202409</v>
      </c>
      <c r="AJ534" s="262" t="s">
        <v>1690</v>
      </c>
      <c r="AK534" s="262"/>
    </row>
    <row r="535" spans="3:37" ht="15.75" hidden="1">
      <c r="C535" s="649">
        <v>45543</v>
      </c>
      <c r="D535" s="683">
        <v>352888</v>
      </c>
      <c r="E535" s="683">
        <v>25094</v>
      </c>
      <c r="F535" s="645">
        <v>25699</v>
      </c>
      <c r="G535" s="683">
        <v>4029</v>
      </c>
      <c r="H535" s="683">
        <v>2281</v>
      </c>
      <c r="I535" s="646">
        <v>148800</v>
      </c>
      <c r="J535" s="683">
        <v>172112</v>
      </c>
      <c r="K535" s="683">
        <v>48690.9</v>
      </c>
      <c r="L535" s="683">
        <v>1639</v>
      </c>
      <c r="M535" s="683">
        <v>423991</v>
      </c>
      <c r="N535" s="683">
        <v>7909</v>
      </c>
      <c r="O535" s="683">
        <v>4303</v>
      </c>
      <c r="P535" s="683">
        <v>67.615349999999992</v>
      </c>
      <c r="Q535" s="337">
        <v>0</v>
      </c>
      <c r="R535" s="167">
        <f t="shared" si="29"/>
        <v>143870.40345750001</v>
      </c>
      <c r="S535" s="685">
        <v>12.187842456540759</v>
      </c>
      <c r="T535" s="685">
        <v>0.26476899999999998</v>
      </c>
      <c r="U535" s="648">
        <v>5.1843849728300112E-3</v>
      </c>
      <c r="V535" s="648">
        <v>1.7000000000000001E-2</v>
      </c>
      <c r="W535" s="685">
        <v>0.28488999999999998</v>
      </c>
      <c r="X535" s="155">
        <v>7.6429999999999998</v>
      </c>
      <c r="Y535" s="685">
        <v>10.99</v>
      </c>
      <c r="AB535" s="337">
        <v>0</v>
      </c>
      <c r="AC535" s="685">
        <v>0.22851673665640654</v>
      </c>
      <c r="AD535" s="685">
        <v>7.3368880381257662E-2</v>
      </c>
      <c r="AE535" s="685">
        <v>0.72840006000000002</v>
      </c>
      <c r="AF535" s="685">
        <v>12.961514610063231</v>
      </c>
      <c r="AG535" s="172">
        <f t="shared" si="30"/>
        <v>7.6217677641225308</v>
      </c>
      <c r="AH535" s="667">
        <f t="shared" si="28"/>
        <v>202409</v>
      </c>
      <c r="AJ535" s="262" t="s">
        <v>1697</v>
      </c>
      <c r="AK535" s="262"/>
    </row>
    <row r="536" spans="3:37" ht="15.75" hidden="1">
      <c r="C536" s="665">
        <v>45544</v>
      </c>
      <c r="D536" s="684">
        <v>354884</v>
      </c>
      <c r="E536" s="684">
        <v>24585</v>
      </c>
      <c r="F536" s="655">
        <v>25684</v>
      </c>
      <c r="G536" s="684">
        <v>4081</v>
      </c>
      <c r="H536" s="655">
        <v>2313</v>
      </c>
      <c r="I536" s="646">
        <v>148800</v>
      </c>
      <c r="J536" s="655">
        <v>171623</v>
      </c>
      <c r="K536" s="655">
        <v>49259.65</v>
      </c>
      <c r="L536" s="684">
        <v>2434</v>
      </c>
      <c r="M536" s="684">
        <v>423654</v>
      </c>
      <c r="N536" s="655">
        <v>7685</v>
      </c>
      <c r="O536" s="684">
        <v>3481</v>
      </c>
      <c r="P536" s="684">
        <v>77.427437999999995</v>
      </c>
      <c r="Q536" s="337">
        <v>0</v>
      </c>
      <c r="R536" s="167">
        <f t="shared" si="29"/>
        <v>143670.9177471</v>
      </c>
      <c r="S536" s="686">
        <v>9.7019088368299915</v>
      </c>
      <c r="T536" s="686">
        <v>0.26114500000000002</v>
      </c>
      <c r="U536" s="686">
        <v>5.2877130486737815E-3</v>
      </c>
      <c r="V536" s="473">
        <v>1.7000000000000001E-2</v>
      </c>
      <c r="W536" s="473">
        <v>0.28373000000000004</v>
      </c>
      <c r="X536" s="155">
        <v>7.6429999999999998</v>
      </c>
      <c r="Y536" s="473">
        <v>11.2</v>
      </c>
      <c r="Z536" s="337">
        <v>0</v>
      </c>
      <c r="AB536" s="337">
        <v>0</v>
      </c>
      <c r="AC536" s="686">
        <v>0.2268177274619351</v>
      </c>
      <c r="AD536" s="686">
        <v>6.6572843603371956E-2</v>
      </c>
      <c r="AE536" s="686">
        <v>0.7226000600000001</v>
      </c>
      <c r="AF536" s="473">
        <v>14.171775492925041</v>
      </c>
      <c r="AG536" s="172">
        <f t="shared" si="30"/>
        <v>7.817105591524264</v>
      </c>
      <c r="AH536" s="667">
        <f t="shared" si="28"/>
        <v>202409</v>
      </c>
      <c r="AJ536" s="262" t="s">
        <v>1698</v>
      </c>
      <c r="AK536" s="262"/>
    </row>
    <row r="537" spans="3:37" ht="15.75" hidden="1">
      <c r="C537" s="649">
        <v>45545</v>
      </c>
      <c r="D537" s="683">
        <v>354298</v>
      </c>
      <c r="E537" s="683">
        <v>24220</v>
      </c>
      <c r="F537" s="645">
        <v>25645</v>
      </c>
      <c r="G537" s="683">
        <v>4093</v>
      </c>
      <c r="H537" s="683">
        <v>2249</v>
      </c>
      <c r="I537" s="646">
        <v>148800</v>
      </c>
      <c r="J537" s="683">
        <v>171503</v>
      </c>
      <c r="K537" s="683">
        <v>47886.13</v>
      </c>
      <c r="L537" s="683">
        <v>5462</v>
      </c>
      <c r="M537" s="683">
        <v>421418</v>
      </c>
      <c r="N537" s="683">
        <v>7993</v>
      </c>
      <c r="O537" s="683">
        <v>4043.9999999999995</v>
      </c>
      <c r="P537" s="683">
        <v>81.893195999999989</v>
      </c>
      <c r="Q537" s="337">
        <v>0</v>
      </c>
      <c r="R537" s="167">
        <f t="shared" si="29"/>
        <v>144001.10573820001</v>
      </c>
      <c r="S537" s="685">
        <v>9.6234712456852218</v>
      </c>
      <c r="T537" s="685">
        <v>0.26184400000000002</v>
      </c>
      <c r="U537" s="648">
        <v>5.198826550983018E-3</v>
      </c>
      <c r="V537" s="648">
        <v>1.7000000000000001E-2</v>
      </c>
      <c r="W537" s="685">
        <v>0.28344999999999998</v>
      </c>
      <c r="X537" s="155">
        <v>7.6429999999999998</v>
      </c>
      <c r="Y537" s="685">
        <v>11.25</v>
      </c>
      <c r="AB537" s="337">
        <v>0</v>
      </c>
      <c r="AC537" s="685">
        <v>0.22257020447575654</v>
      </c>
      <c r="AD537" s="685">
        <v>7.0537198390471956E-2</v>
      </c>
      <c r="AE537" s="685">
        <v>0.71320006000000002</v>
      </c>
      <c r="AF537" s="685">
        <v>14.172851532081539</v>
      </c>
      <c r="AG537" s="172">
        <f t="shared" si="30"/>
        <v>7.8252116336634012</v>
      </c>
      <c r="AH537" s="667">
        <f t="shared" si="28"/>
        <v>202409</v>
      </c>
      <c r="AJ537" s="262" t="s">
        <v>1696</v>
      </c>
      <c r="AK537" s="262"/>
    </row>
    <row r="538" spans="3:37" ht="15.75" hidden="1">
      <c r="C538" s="665">
        <v>45546</v>
      </c>
      <c r="D538" s="684">
        <v>367005</v>
      </c>
      <c r="E538" s="684">
        <v>24818</v>
      </c>
      <c r="F538" s="655">
        <v>25614</v>
      </c>
      <c r="G538" s="684">
        <v>4118</v>
      </c>
      <c r="H538" s="655">
        <v>2267</v>
      </c>
      <c r="I538" s="646">
        <v>148800</v>
      </c>
      <c r="J538" s="655">
        <v>172668</v>
      </c>
      <c r="K538" s="655">
        <v>47758.62</v>
      </c>
      <c r="L538" s="684">
        <v>2724</v>
      </c>
      <c r="M538" s="684">
        <v>422048</v>
      </c>
      <c r="N538" s="655">
        <v>7502</v>
      </c>
      <c r="O538" s="684">
        <v>3502</v>
      </c>
      <c r="P538" s="684">
        <v>80.509439999999998</v>
      </c>
      <c r="Q538" s="337">
        <v>0</v>
      </c>
      <c r="R538" s="167">
        <f t="shared" si="29"/>
        <v>143829.14474799996</v>
      </c>
      <c r="S538" s="686">
        <v>9.8279186854199541</v>
      </c>
      <c r="T538" s="686">
        <v>0.26332699999999998</v>
      </c>
      <c r="U538" s="686">
        <v>5.198826550983018E-3</v>
      </c>
      <c r="V538" s="473">
        <v>1.7000000000000001E-2</v>
      </c>
      <c r="W538" s="473">
        <v>0.28097000000000005</v>
      </c>
      <c r="X538" s="155">
        <v>7.6429999999999998</v>
      </c>
      <c r="Y538" s="473">
        <v>11.13</v>
      </c>
      <c r="AB538" s="337">
        <v>0</v>
      </c>
      <c r="AC538" s="686">
        <v>0.22257020447575654</v>
      </c>
      <c r="AD538" s="686">
        <v>6.8101951878396239E-2</v>
      </c>
      <c r="AE538" s="686">
        <v>0.69760006000000008</v>
      </c>
      <c r="AF538" s="473">
        <v>14.110639478743979</v>
      </c>
      <c r="AG538" s="172">
        <f t="shared" si="30"/>
        <v>7.7780846318490582</v>
      </c>
      <c r="AH538" s="667">
        <f t="shared" si="28"/>
        <v>202409</v>
      </c>
      <c r="AJ538" s="262" t="s">
        <v>1696</v>
      </c>
      <c r="AK538" s="262"/>
    </row>
    <row r="539" spans="3:37" ht="15.75" hidden="1">
      <c r="C539" s="649">
        <v>45547</v>
      </c>
      <c r="D539" s="683">
        <v>355676</v>
      </c>
      <c r="E539" s="683">
        <v>24333</v>
      </c>
      <c r="F539" s="645">
        <v>25568</v>
      </c>
      <c r="G539" s="683">
        <v>4038</v>
      </c>
      <c r="H539" s="683">
        <v>2296</v>
      </c>
      <c r="I539" s="646">
        <v>148800</v>
      </c>
      <c r="J539" s="683">
        <v>173460</v>
      </c>
      <c r="K539" s="683">
        <v>48435.17</v>
      </c>
      <c r="L539" s="683">
        <v>2894</v>
      </c>
      <c r="M539" s="683">
        <v>398000</v>
      </c>
      <c r="N539" s="683">
        <v>7454</v>
      </c>
      <c r="O539" s="683">
        <v>5168</v>
      </c>
      <c r="P539" s="683">
        <v>90.384425999999991</v>
      </c>
      <c r="Q539" s="337">
        <v>0</v>
      </c>
      <c r="R539" s="167">
        <f t="shared" si="29"/>
        <v>143513.00859170003</v>
      </c>
      <c r="S539" s="685">
        <v>9.7364553571175723</v>
      </c>
      <c r="T539" s="685">
        <v>0.22501599999999999</v>
      </c>
      <c r="U539" s="648">
        <v>5.0945073864424725E-3</v>
      </c>
      <c r="V539" s="648">
        <v>1.7000000000000001E-2</v>
      </c>
      <c r="W539" s="685">
        <v>0.27944000000000002</v>
      </c>
      <c r="X539" s="155">
        <v>7.6429999999999998</v>
      </c>
      <c r="Y539" s="685">
        <v>11.01</v>
      </c>
      <c r="AC539" s="685">
        <v>0.21401852486358369</v>
      </c>
      <c r="AD539" s="685">
        <v>7.9173828462368354E-2</v>
      </c>
      <c r="AE539" s="685">
        <v>0.69000006000000003</v>
      </c>
      <c r="AF539" s="685">
        <v>13.10476940197708</v>
      </c>
      <c r="AG539" s="172">
        <f t="shared" si="30"/>
        <v>7.561894988375971</v>
      </c>
      <c r="AH539" s="667">
        <f t="shared" si="28"/>
        <v>202409</v>
      </c>
      <c r="AJ539" s="262" t="s">
        <v>1699</v>
      </c>
      <c r="AK539" s="262"/>
    </row>
    <row r="540" spans="3:37" ht="15.75" hidden="1">
      <c r="C540" s="665">
        <v>45548</v>
      </c>
      <c r="D540" s="684">
        <v>358059</v>
      </c>
      <c r="E540" s="684">
        <v>25440</v>
      </c>
      <c r="F540" s="655">
        <v>25587</v>
      </c>
      <c r="G540" s="684">
        <v>4024</v>
      </c>
      <c r="H540" s="655">
        <v>2293</v>
      </c>
      <c r="I540" s="646">
        <v>144200</v>
      </c>
      <c r="J540" s="655">
        <v>174224</v>
      </c>
      <c r="K540" s="655">
        <v>48996.639999999999</v>
      </c>
      <c r="L540" s="684">
        <v>6892</v>
      </c>
      <c r="M540" s="684">
        <v>426046</v>
      </c>
      <c r="N540" s="655">
        <v>7601</v>
      </c>
      <c r="O540" s="684">
        <v>4219</v>
      </c>
      <c r="P540" s="684">
        <v>68.370125999999985</v>
      </c>
      <c r="Q540" s="337">
        <v>0</v>
      </c>
      <c r="R540" s="167">
        <f t="shared" si="29"/>
        <v>145002.27445669999</v>
      </c>
      <c r="S540" s="686">
        <v>9.7511801034696592</v>
      </c>
      <c r="T540" s="686">
        <v>0.23195399999999999</v>
      </c>
      <c r="U540" s="686">
        <v>5.1186050001840594E-3</v>
      </c>
      <c r="V540" s="473">
        <v>1.7000000000000001E-2</v>
      </c>
      <c r="W540" s="473">
        <v>0.27960000000000002</v>
      </c>
      <c r="X540" s="155">
        <v>7.6429999999999998</v>
      </c>
      <c r="Y540" s="473">
        <v>11.25</v>
      </c>
      <c r="AB540" s="337">
        <v>0</v>
      </c>
      <c r="AC540" s="686">
        <v>0.21350882210524227</v>
      </c>
      <c r="AD540" s="686">
        <v>7.9287095741999783E-2</v>
      </c>
      <c r="AE540" s="686">
        <v>0.68180006000000004</v>
      </c>
      <c r="AF540" s="473">
        <v>12.961684510982678</v>
      </c>
      <c r="AG540" s="172">
        <f t="shared" si="30"/>
        <v>7.5986600664857109</v>
      </c>
      <c r="AH540" s="667">
        <f t="shared" si="28"/>
        <v>202409</v>
      </c>
      <c r="AJ540" s="262" t="s">
        <v>1700</v>
      </c>
      <c r="AK540" s="262"/>
    </row>
    <row r="541" spans="3:37" ht="15.75" hidden="1">
      <c r="C541" s="649">
        <v>45549</v>
      </c>
      <c r="D541" s="683">
        <v>349873</v>
      </c>
      <c r="E541" s="683">
        <v>23560</v>
      </c>
      <c r="F541" s="645">
        <v>25741</v>
      </c>
      <c r="G541" s="683">
        <v>3977</v>
      </c>
      <c r="H541" s="683">
        <v>2296</v>
      </c>
      <c r="I541" s="646">
        <v>144200</v>
      </c>
      <c r="J541" s="683">
        <v>173761</v>
      </c>
      <c r="K541" s="683">
        <v>48480.72</v>
      </c>
      <c r="L541" s="683">
        <v>9580</v>
      </c>
      <c r="M541" s="683">
        <v>422521</v>
      </c>
      <c r="N541" s="683">
        <v>7606</v>
      </c>
      <c r="O541" s="683">
        <v>4365</v>
      </c>
      <c r="P541" s="683">
        <v>71.766617999999994</v>
      </c>
      <c r="Q541" s="337">
        <v>0</v>
      </c>
      <c r="R541" s="167">
        <f t="shared" si="29"/>
        <v>144711.47627810002</v>
      </c>
      <c r="S541" s="685">
        <v>10.373300636845281</v>
      </c>
      <c r="T541" s="685">
        <v>0.254965</v>
      </c>
      <c r="U541" s="648">
        <v>5.3360215434365855E-3</v>
      </c>
      <c r="V541" s="648">
        <v>1.7000000000000001E-2</v>
      </c>
      <c r="W541" s="685">
        <v>0.28108</v>
      </c>
      <c r="X541" s="155">
        <v>7.6429999999999998</v>
      </c>
      <c r="Y541" s="685">
        <v>11.22</v>
      </c>
      <c r="AB541" s="337">
        <v>0</v>
      </c>
      <c r="AC541" s="685">
        <v>0.21152664471169227</v>
      </c>
      <c r="AD541" s="685">
        <v>8.299659914992906E-2</v>
      </c>
      <c r="AE541" s="685">
        <v>0.67560006000000006</v>
      </c>
      <c r="AF541" s="685">
        <v>12.959787284048851</v>
      </c>
      <c r="AG541" s="172">
        <f t="shared" si="30"/>
        <v>7.6112294456580951</v>
      </c>
      <c r="AH541" s="667">
        <f t="shared" si="28"/>
        <v>202409</v>
      </c>
      <c r="AJ541" s="262" t="s">
        <v>1701</v>
      </c>
      <c r="AK541" s="262"/>
    </row>
    <row r="542" spans="3:37" ht="15.75" hidden="1">
      <c r="C542" s="665">
        <v>45550</v>
      </c>
      <c r="D542" s="684">
        <v>355955</v>
      </c>
      <c r="E542" s="684">
        <v>23786</v>
      </c>
      <c r="F542" s="655">
        <v>25693</v>
      </c>
      <c r="G542" s="684">
        <v>3938</v>
      </c>
      <c r="H542" s="655">
        <v>2293</v>
      </c>
      <c r="I542" s="646">
        <v>144200</v>
      </c>
      <c r="J542" s="655">
        <v>173254</v>
      </c>
      <c r="K542" s="655">
        <v>48634.67</v>
      </c>
      <c r="L542" s="684">
        <v>10329</v>
      </c>
      <c r="M542" s="684">
        <v>416026</v>
      </c>
      <c r="N542" s="655">
        <v>7681</v>
      </c>
      <c r="O542" s="684">
        <v>3644</v>
      </c>
      <c r="P542" s="684">
        <v>73.842252000000002</v>
      </c>
      <c r="Q542" s="337">
        <v>0</v>
      </c>
      <c r="R542" s="167">
        <f t="shared" si="29"/>
        <v>144405.23826340001</v>
      </c>
      <c r="S542" s="686">
        <v>9.9587423933942532</v>
      </c>
      <c r="T542" s="686">
        <v>0.244532</v>
      </c>
      <c r="U542" s="686">
        <v>5.4101266611354471E-3</v>
      </c>
      <c r="V542" s="473">
        <v>1.7000000000000001E-2</v>
      </c>
      <c r="W542" s="473">
        <v>0.27875</v>
      </c>
      <c r="X542" s="155">
        <v>7.6429999999999998</v>
      </c>
      <c r="Y542" s="473">
        <v>11.2</v>
      </c>
      <c r="AB542" s="337">
        <v>0</v>
      </c>
      <c r="AC542" s="686">
        <v>0.22143753167944227</v>
      </c>
      <c r="AD542" s="686">
        <v>8.4270856045782633E-2</v>
      </c>
      <c r="AE542" s="686">
        <v>0.66980006000000003</v>
      </c>
      <c r="AF542" s="473">
        <v>12.965592232129961</v>
      </c>
      <c r="AG542" s="172">
        <f t="shared" si="30"/>
        <v>7.5913348553153472</v>
      </c>
      <c r="AH542" s="667">
        <f t="shared" si="28"/>
        <v>202409</v>
      </c>
      <c r="AJ542" s="262" t="s">
        <v>1702</v>
      </c>
      <c r="AK542" s="262"/>
    </row>
    <row r="543" spans="3:37" ht="15.75" hidden="1">
      <c r="C543" s="649">
        <v>45551</v>
      </c>
      <c r="D543" s="683">
        <v>371551</v>
      </c>
      <c r="E543" s="683">
        <v>23937</v>
      </c>
      <c r="F543" s="645">
        <v>25669</v>
      </c>
      <c r="G543" s="683">
        <v>3962</v>
      </c>
      <c r="H543" s="683">
        <v>2276</v>
      </c>
      <c r="I543" s="646">
        <v>144200</v>
      </c>
      <c r="J543" s="683">
        <v>170836</v>
      </c>
      <c r="K543" s="683">
        <v>48575.71</v>
      </c>
      <c r="L543" s="683">
        <v>12574</v>
      </c>
      <c r="M543" s="683">
        <v>415933</v>
      </c>
      <c r="N543" s="683">
        <v>7741</v>
      </c>
      <c r="O543" s="683">
        <v>4134</v>
      </c>
      <c r="P543" s="683">
        <v>90.698915999999997</v>
      </c>
      <c r="Q543" s="337">
        <v>0</v>
      </c>
      <c r="R543" s="167">
        <f t="shared" si="29"/>
        <v>144889.12761220001</v>
      </c>
      <c r="S543" s="685">
        <v>9.9825285221168514</v>
      </c>
      <c r="T543" s="685">
        <v>0.24176500000000001</v>
      </c>
      <c r="U543" s="648">
        <v>5.2120788226998945E-3</v>
      </c>
      <c r="V543" s="648">
        <v>1.7000000000000001E-2</v>
      </c>
      <c r="W543" s="685">
        <v>0.29862</v>
      </c>
      <c r="X543" s="155">
        <v>7.6429999999999998</v>
      </c>
      <c r="Y543" s="685">
        <v>11.22</v>
      </c>
      <c r="AC543" s="685">
        <v>0.21350882210524227</v>
      </c>
      <c r="AD543" s="685">
        <v>7.8041155666054074E-2</v>
      </c>
      <c r="AE543" s="685">
        <v>0.66320006000000009</v>
      </c>
      <c r="AF543" s="685">
        <v>12.967234607684619</v>
      </c>
      <c r="AG543" s="172">
        <f t="shared" si="30"/>
        <v>7.6100137570411714</v>
      </c>
      <c r="AH543" s="667">
        <f t="shared" si="28"/>
        <v>202409</v>
      </c>
      <c r="AJ543" s="262" t="s">
        <v>1702</v>
      </c>
      <c r="AK543" s="262"/>
    </row>
    <row r="544" spans="3:37" ht="15.75" hidden="1">
      <c r="C544" s="665">
        <v>45552</v>
      </c>
      <c r="D544" s="684">
        <v>373908</v>
      </c>
      <c r="E544" s="684">
        <v>26088</v>
      </c>
      <c r="F544" s="655">
        <v>27201</v>
      </c>
      <c r="G544" s="684">
        <v>4004</v>
      </c>
      <c r="H544" s="655">
        <v>2143</v>
      </c>
      <c r="I544" s="646">
        <v>144200</v>
      </c>
      <c r="J544" s="655">
        <v>171128</v>
      </c>
      <c r="K544" s="655">
        <v>48005.5</v>
      </c>
      <c r="L544" s="684">
        <v>11996</v>
      </c>
      <c r="M544" s="684">
        <v>417458</v>
      </c>
      <c r="N544" s="655">
        <v>7618</v>
      </c>
      <c r="O544" s="684">
        <v>4540</v>
      </c>
      <c r="P544" s="684">
        <v>54.532565999999996</v>
      </c>
      <c r="Q544" s="337">
        <v>0</v>
      </c>
      <c r="R544" s="167">
        <f t="shared" si="29"/>
        <v>146472.26445470002</v>
      </c>
      <c r="S544" s="686">
        <v>9.9765819899362</v>
      </c>
      <c r="T544" s="686">
        <v>0.221133</v>
      </c>
      <c r="U544" s="686">
        <v>5.1597210226902671E-3</v>
      </c>
      <c r="V544" s="473">
        <v>1.7000000000000001E-2</v>
      </c>
      <c r="W544" s="473">
        <v>0.31229000000000001</v>
      </c>
      <c r="X544" s="155">
        <v>7.6429999999999998</v>
      </c>
      <c r="Y544" s="473">
        <v>11.4</v>
      </c>
      <c r="AB544" s="337">
        <v>0</v>
      </c>
      <c r="AC544" s="686">
        <v>0.21011080371629942</v>
      </c>
      <c r="AD544" s="686">
        <v>7.8352640685040498E-2</v>
      </c>
      <c r="AE544" s="686">
        <v>0.57290006000000004</v>
      </c>
      <c r="AF544" s="473">
        <v>12.958513027152998</v>
      </c>
      <c r="AG544" s="172">
        <f t="shared" si="30"/>
        <v>7.6223722449822287</v>
      </c>
      <c r="AH544" s="667">
        <f t="shared" si="28"/>
        <v>202409</v>
      </c>
      <c r="AJ544" s="262" t="s">
        <v>1703</v>
      </c>
      <c r="AK544" s="262"/>
    </row>
    <row r="545" spans="3:37" ht="15.75" hidden="1">
      <c r="C545" s="649">
        <v>45553</v>
      </c>
      <c r="D545" s="683">
        <v>351893</v>
      </c>
      <c r="E545" s="683">
        <v>22811</v>
      </c>
      <c r="F545" s="645">
        <v>26613</v>
      </c>
      <c r="G545" s="683">
        <v>4000</v>
      </c>
      <c r="H545" s="683">
        <v>2281</v>
      </c>
      <c r="I545" s="646">
        <v>144200</v>
      </c>
      <c r="J545" s="683">
        <v>166786</v>
      </c>
      <c r="K545" s="683">
        <v>47642.71</v>
      </c>
      <c r="L545" s="683">
        <v>9075</v>
      </c>
      <c r="M545" s="683">
        <v>410274</v>
      </c>
      <c r="N545" s="683">
        <v>7929</v>
      </c>
      <c r="O545" s="683">
        <v>3926</v>
      </c>
      <c r="P545" s="683">
        <v>99.190145999999984</v>
      </c>
      <c r="Q545" s="337">
        <v>0</v>
      </c>
      <c r="R545" s="167">
        <f t="shared" si="29"/>
        <v>142400.3651157</v>
      </c>
      <c r="S545" s="685">
        <v>9.8420770953738792</v>
      </c>
      <c r="T545" s="685">
        <v>0.21284400000000001</v>
      </c>
      <c r="U545" s="648">
        <v>5.3674815303542149E-3</v>
      </c>
      <c r="V545" s="648">
        <v>1.7000000000000001E-2</v>
      </c>
      <c r="W545" s="685">
        <v>0.29825000000000002</v>
      </c>
      <c r="X545" s="155">
        <v>7.6429999999999998</v>
      </c>
      <c r="Y545" s="685">
        <v>11.23</v>
      </c>
      <c r="AC545" s="685">
        <v>0.2016157577439423</v>
      </c>
      <c r="AD545" s="685">
        <v>7.9655214400801935E-2</v>
      </c>
      <c r="AE545" s="685">
        <v>0.62540006000000004</v>
      </c>
      <c r="AF545" s="685">
        <v>12.958513027152998</v>
      </c>
      <c r="AG545" s="172">
        <f t="shared" si="30"/>
        <v>7.5821441587025493</v>
      </c>
      <c r="AH545" s="667">
        <f t="shared" si="28"/>
        <v>202409</v>
      </c>
      <c r="AJ545" s="262" t="s">
        <v>1691</v>
      </c>
      <c r="AK545" s="262"/>
    </row>
    <row r="546" spans="3:37" ht="15.75" hidden="1">
      <c r="C546" s="665">
        <v>45554</v>
      </c>
      <c r="D546" s="684">
        <v>350287</v>
      </c>
      <c r="E546" s="684">
        <v>22893</v>
      </c>
      <c r="F546" s="655">
        <v>26184</v>
      </c>
      <c r="G546" s="684">
        <v>4005</v>
      </c>
      <c r="H546" s="655">
        <v>2268</v>
      </c>
      <c r="I546" s="646">
        <v>144200</v>
      </c>
      <c r="J546" s="655">
        <v>170812</v>
      </c>
      <c r="K546" s="655">
        <v>48274.28</v>
      </c>
      <c r="L546" s="684">
        <v>12050</v>
      </c>
      <c r="M546" s="684">
        <v>404710</v>
      </c>
      <c r="N546" s="655">
        <v>7667</v>
      </c>
      <c r="O546" s="684">
        <v>4057.0000000000005</v>
      </c>
      <c r="P546" s="684">
        <v>50.444195999999991</v>
      </c>
      <c r="R546" s="167">
        <f t="shared" si="29"/>
        <v>143776.06208819998</v>
      </c>
      <c r="S546" s="686">
        <v>9.9893245588947366</v>
      </c>
      <c r="T546" s="686">
        <v>0.230772</v>
      </c>
      <c r="U546" s="686">
        <v>5.4718856453544835E-3</v>
      </c>
      <c r="V546" s="473">
        <v>1.7000000000000001E-2</v>
      </c>
      <c r="W546" s="473">
        <v>0.28523000000000004</v>
      </c>
      <c r="X546" s="155">
        <v>7.6429999999999998</v>
      </c>
      <c r="Y546" s="473">
        <v>11.19</v>
      </c>
      <c r="AC546" s="686">
        <v>0.20727912172551374</v>
      </c>
      <c r="AD546" s="686">
        <v>7.9966699419788345E-2</v>
      </c>
      <c r="AE546" s="686">
        <v>0.63330006000000005</v>
      </c>
      <c r="AF546" s="473">
        <v>12.958513027152998</v>
      </c>
      <c r="AG546" s="172">
        <f t="shared" si="30"/>
        <v>7.5713417820359474</v>
      </c>
      <c r="AH546" s="667">
        <f t="shared" si="28"/>
        <v>202409</v>
      </c>
      <c r="AJ546" s="262" t="s">
        <v>1704</v>
      </c>
      <c r="AK546" s="262"/>
    </row>
    <row r="547" spans="3:37" ht="15.75" hidden="1">
      <c r="C547" s="649">
        <v>45555</v>
      </c>
      <c r="D547" s="683">
        <v>342273</v>
      </c>
      <c r="E547" s="683">
        <v>22912</v>
      </c>
      <c r="F547" s="645">
        <v>25974</v>
      </c>
      <c r="G547" s="683">
        <v>4001</v>
      </c>
      <c r="H547" s="683">
        <v>2284</v>
      </c>
      <c r="I547" s="646">
        <v>145900</v>
      </c>
      <c r="J547" s="683">
        <v>172899</v>
      </c>
      <c r="K547" s="683">
        <v>46239.95</v>
      </c>
      <c r="L547" s="683">
        <v>12288</v>
      </c>
      <c r="M547" s="683">
        <v>412888</v>
      </c>
      <c r="N547" s="683">
        <v>7624</v>
      </c>
      <c r="O547" s="683">
        <v>4385</v>
      </c>
      <c r="P547" s="683">
        <v>68.055635999999993</v>
      </c>
      <c r="Q547" s="337">
        <v>0</v>
      </c>
      <c r="R547" s="167">
        <f t="shared" si="29"/>
        <v>144356.03883620002</v>
      </c>
      <c r="S547" s="685">
        <v>9.8774731202587009</v>
      </c>
      <c r="T547" s="685">
        <v>0.23525799999999999</v>
      </c>
      <c r="U547" s="648">
        <v>5.2095019920882805E-3</v>
      </c>
      <c r="V547" s="648">
        <v>1.7000000000000001E-2</v>
      </c>
      <c r="W547" s="685">
        <v>0.28292</v>
      </c>
      <c r="X547" s="155">
        <v>7.6429999999999998</v>
      </c>
      <c r="Y547" s="685">
        <v>11.23</v>
      </c>
      <c r="AB547" s="337">
        <v>0</v>
      </c>
      <c r="AC547" s="685">
        <v>0.20897813091998516</v>
      </c>
      <c r="AD547" s="685">
        <v>7.9655214400801935E-2</v>
      </c>
      <c r="AE547" s="685">
        <v>0.62860006000000002</v>
      </c>
      <c r="AF547" s="685">
        <v>12.749818064432091</v>
      </c>
      <c r="AG547" s="172">
        <f t="shared" si="30"/>
        <v>7.5403447185874128</v>
      </c>
      <c r="AH547" s="667">
        <f t="shared" si="28"/>
        <v>202409</v>
      </c>
      <c r="AJ547" s="262" t="s">
        <v>1705</v>
      </c>
      <c r="AK547" s="262"/>
    </row>
    <row r="548" spans="3:37" ht="15.75" hidden="1">
      <c r="C548" s="665">
        <v>45556</v>
      </c>
      <c r="D548" s="684">
        <v>334244</v>
      </c>
      <c r="E548" s="684">
        <v>23893</v>
      </c>
      <c r="F548" s="655">
        <v>25772</v>
      </c>
      <c r="G548" s="684">
        <v>3939</v>
      </c>
      <c r="H548" s="655">
        <v>2249</v>
      </c>
      <c r="I548" s="646">
        <v>145900</v>
      </c>
      <c r="J548" s="655">
        <v>172844</v>
      </c>
      <c r="K548" s="655">
        <v>49361</v>
      </c>
      <c r="L548" s="684">
        <v>11525</v>
      </c>
      <c r="M548" s="684">
        <v>404234</v>
      </c>
      <c r="N548" s="655">
        <v>7819</v>
      </c>
      <c r="O548" s="684">
        <v>5111</v>
      </c>
      <c r="P548" s="684">
        <v>92.208467999999996</v>
      </c>
      <c r="Q548" s="337">
        <v>0</v>
      </c>
      <c r="R548" s="167">
        <f t="shared" si="29"/>
        <v>144786.48646059996</v>
      </c>
      <c r="S548" s="686">
        <v>9.6404613376299402</v>
      </c>
      <c r="T548" s="686">
        <v>0.25685799999999998</v>
      </c>
      <c r="U548" s="686">
        <v>5.2980770047600569E-3</v>
      </c>
      <c r="V548" s="473">
        <v>1.7000000000000001E-2</v>
      </c>
      <c r="W548" s="473">
        <v>0.28104000000000001</v>
      </c>
      <c r="X548" s="155">
        <v>7.6429999999999998</v>
      </c>
      <c r="Y548" s="473">
        <v>11.4</v>
      </c>
      <c r="AB548" s="337">
        <v>0</v>
      </c>
      <c r="AC548" s="686">
        <v>0.21407515850339942</v>
      </c>
      <c r="AD548" s="686">
        <v>7.5549275514162656E-2</v>
      </c>
      <c r="AE548" s="686">
        <v>0.62560006000000001</v>
      </c>
      <c r="AF548" s="473">
        <v>12.693439275995548</v>
      </c>
      <c r="AG548" s="172">
        <f t="shared" si="30"/>
        <v>7.5710676523628662</v>
      </c>
      <c r="AH548" s="667">
        <f t="shared" si="28"/>
        <v>202409</v>
      </c>
      <c r="AJ548" s="262" t="s">
        <v>1706</v>
      </c>
      <c r="AK548" s="262"/>
    </row>
    <row r="549" spans="3:37" ht="15.75" hidden="1">
      <c r="C549" s="649">
        <v>45557</v>
      </c>
      <c r="D549" s="683">
        <v>355855</v>
      </c>
      <c r="E549" s="683">
        <v>22987</v>
      </c>
      <c r="F549" s="645">
        <v>25685</v>
      </c>
      <c r="G549" s="683">
        <v>4063</v>
      </c>
      <c r="H549" s="683">
        <v>2271</v>
      </c>
      <c r="I549" s="646">
        <v>145900</v>
      </c>
      <c r="J549" s="683">
        <v>173786</v>
      </c>
      <c r="K549" s="683">
        <v>48104.44</v>
      </c>
      <c r="L549" s="683">
        <v>11997</v>
      </c>
      <c r="M549" s="683">
        <v>397111</v>
      </c>
      <c r="N549" s="683">
        <v>7924</v>
      </c>
      <c r="O549" s="683">
        <v>4062.0000000000005</v>
      </c>
      <c r="P549" s="683">
        <v>54.532565999999996</v>
      </c>
      <c r="Q549" s="337">
        <v>0</v>
      </c>
      <c r="R549" s="167">
        <f t="shared" si="29"/>
        <v>144398.90640469998</v>
      </c>
      <c r="S549" s="685">
        <v>8.8243705878855003</v>
      </c>
      <c r="T549" s="685">
        <v>0.26049800000000001</v>
      </c>
      <c r="U549" s="648">
        <v>5.2825877042704588E-3</v>
      </c>
      <c r="V549" s="648">
        <v>1.7000000000000001E-2</v>
      </c>
      <c r="W549" s="685">
        <v>0.27979999999999999</v>
      </c>
      <c r="X549" s="155">
        <v>7.6429999999999998</v>
      </c>
      <c r="Y549" s="685">
        <v>11.53</v>
      </c>
      <c r="AB549" s="337">
        <v>0</v>
      </c>
      <c r="AC549" s="685">
        <v>0.21464149490155657</v>
      </c>
      <c r="AD549" s="685">
        <v>7.8664125704026935E-2</v>
      </c>
      <c r="AE549" s="685">
        <v>0.61420006000000005</v>
      </c>
      <c r="AF549" s="685">
        <v>12.693665810554812</v>
      </c>
      <c r="AG549" s="172">
        <f t="shared" si="30"/>
        <v>7.5819646614882439</v>
      </c>
      <c r="AH549" s="667">
        <f t="shared" si="28"/>
        <v>202409</v>
      </c>
      <c r="AJ549" s="262" t="s">
        <v>1692</v>
      </c>
      <c r="AK549" s="262"/>
    </row>
    <row r="550" spans="3:37" ht="15.75" hidden="1">
      <c r="C550" s="665">
        <v>45558</v>
      </c>
      <c r="D550" s="684">
        <v>344321</v>
      </c>
      <c r="E550" s="684">
        <v>23019</v>
      </c>
      <c r="F550" s="655">
        <v>25568</v>
      </c>
      <c r="G550" s="684">
        <v>4035</v>
      </c>
      <c r="H550" s="655">
        <v>1796</v>
      </c>
      <c r="I550" s="646">
        <v>145900</v>
      </c>
      <c r="J550" s="655">
        <v>171985</v>
      </c>
      <c r="K550" s="655">
        <v>49271.78</v>
      </c>
      <c r="L550" s="684">
        <v>15970</v>
      </c>
      <c r="M550" s="684">
        <v>426188</v>
      </c>
      <c r="N550" s="655">
        <v>8080</v>
      </c>
      <c r="O550" s="684">
        <v>4187</v>
      </c>
      <c r="P550" s="684">
        <v>82.585074000000006</v>
      </c>
      <c r="Q550" s="337">
        <v>0</v>
      </c>
      <c r="R550" s="167">
        <f t="shared" si="29"/>
        <v>145595.13588329998</v>
      </c>
      <c r="S550" s="686">
        <v>8.2934302146131778</v>
      </c>
      <c r="T550" s="686">
        <v>0.260822</v>
      </c>
      <c r="U550" s="686">
        <v>5.2733564209804977E-3</v>
      </c>
      <c r="V550" s="473">
        <v>1.7000000000000001E-2</v>
      </c>
      <c r="W550" s="473">
        <v>9.4890000000000002E-2</v>
      </c>
      <c r="X550" s="155">
        <v>7.6429999999999998</v>
      </c>
      <c r="Y550" s="473">
        <v>11.44</v>
      </c>
      <c r="AB550" s="337">
        <v>0</v>
      </c>
      <c r="AC550" s="686">
        <v>0.21379199030432083</v>
      </c>
      <c r="AD550" s="686">
        <v>7.9683531220709786E-2</v>
      </c>
      <c r="AE550" s="686">
        <v>0.60720006000000004</v>
      </c>
      <c r="AF550" s="473">
        <v>12.71297788173197</v>
      </c>
      <c r="AG550" s="172">
        <f t="shared" si="30"/>
        <v>7.3619183257684444</v>
      </c>
      <c r="AH550" s="667">
        <f t="shared" si="28"/>
        <v>202409</v>
      </c>
      <c r="AJ550" s="262" t="s">
        <v>1693</v>
      </c>
      <c r="AK550" s="262"/>
    </row>
    <row r="551" spans="3:37" ht="17.25" hidden="1" customHeight="1">
      <c r="C551" s="649">
        <v>45559</v>
      </c>
      <c r="D551" s="683">
        <v>351472</v>
      </c>
      <c r="E551" s="683">
        <v>23044</v>
      </c>
      <c r="F551" s="645">
        <v>25666</v>
      </c>
      <c r="G551" s="683">
        <v>3995</v>
      </c>
      <c r="H551" s="683">
        <v>1632</v>
      </c>
      <c r="I551" s="646">
        <v>145900</v>
      </c>
      <c r="J551" s="683">
        <v>174411</v>
      </c>
      <c r="K551" s="683">
        <v>50201.83</v>
      </c>
      <c r="L551" s="683">
        <v>10189</v>
      </c>
      <c r="M551" s="683">
        <v>447585</v>
      </c>
      <c r="N551" s="683">
        <v>8016</v>
      </c>
      <c r="O551" s="683">
        <v>3737</v>
      </c>
      <c r="P551" s="683">
        <v>67.237961999999996</v>
      </c>
      <c r="Q551" s="337">
        <v>0</v>
      </c>
      <c r="R551" s="167">
        <f t="shared" si="29"/>
        <v>145782.2140329</v>
      </c>
      <c r="S551" s="685">
        <v>8.750746856125069</v>
      </c>
      <c r="T551" s="685">
        <v>0.27619100000000002</v>
      </c>
      <c r="U551" s="648">
        <v>5.3773924173219651E-3</v>
      </c>
      <c r="V551" s="648">
        <v>1.7000000000000001E-2</v>
      </c>
      <c r="W551" s="685">
        <v>5.1639999999999998E-2</v>
      </c>
      <c r="X551" s="155">
        <v>7.6429999999999998</v>
      </c>
      <c r="Y551" s="685">
        <v>11.3</v>
      </c>
      <c r="AB551" s="337">
        <v>0</v>
      </c>
      <c r="AC551" s="685">
        <v>0.20671278532735657</v>
      </c>
      <c r="AD551" s="685">
        <v>7.9938382599880495E-2</v>
      </c>
      <c r="AE551" s="685">
        <v>0.53660006000000005</v>
      </c>
      <c r="AF551" s="685">
        <v>12.405966920290982</v>
      </c>
      <c r="AG551" s="172">
        <f t="shared" si="30"/>
        <v>7.2124161599440439</v>
      </c>
      <c r="AH551" s="667">
        <f t="shared" si="28"/>
        <v>202409</v>
      </c>
      <c r="AJ551" s="262" t="s">
        <v>1694</v>
      </c>
      <c r="AK551" s="262"/>
    </row>
    <row r="552" spans="3:37" ht="15.75" hidden="1">
      <c r="C552" s="665">
        <v>45560</v>
      </c>
      <c r="D552" s="684">
        <v>361861</v>
      </c>
      <c r="E552" s="684">
        <v>22296</v>
      </c>
      <c r="F552" s="655">
        <v>25642</v>
      </c>
      <c r="G552" s="684">
        <v>3941</v>
      </c>
      <c r="H552" s="655">
        <v>1593</v>
      </c>
      <c r="I552" s="646">
        <v>145900</v>
      </c>
      <c r="J552" s="655">
        <v>173465</v>
      </c>
      <c r="K552" s="655">
        <v>47221.65</v>
      </c>
      <c r="L552" s="684">
        <v>11094</v>
      </c>
      <c r="M552" s="684">
        <v>449939</v>
      </c>
      <c r="N552" s="655">
        <v>8086</v>
      </c>
      <c r="O552" s="684">
        <v>4849</v>
      </c>
      <c r="P552" s="684">
        <v>65.539715999999999</v>
      </c>
      <c r="Q552" s="337">
        <v>0</v>
      </c>
      <c r="R552" s="167">
        <f t="shared" si="29"/>
        <v>145510.66197220003</v>
      </c>
      <c r="S552" s="686">
        <v>10.034631470747309</v>
      </c>
      <c r="T552" s="686">
        <v>0.26846700000000001</v>
      </c>
      <c r="U552" s="686">
        <v>5.1843566560101032E-3</v>
      </c>
      <c r="V552" s="473">
        <v>1.7000000000000001E-2</v>
      </c>
      <c r="W552" s="473">
        <v>4.8119999999999996E-2</v>
      </c>
      <c r="X552" s="155">
        <v>7.6429999999999998</v>
      </c>
      <c r="Y552" s="473">
        <v>11.32</v>
      </c>
      <c r="Z552" s="337">
        <v>0</v>
      </c>
      <c r="AB552" s="337">
        <v>0</v>
      </c>
      <c r="AC552" s="686">
        <v>0.20671278532735657</v>
      </c>
      <c r="AD552" s="686">
        <v>7.8834026623474066E-2</v>
      </c>
      <c r="AE552" s="686">
        <v>0.59030006000000002</v>
      </c>
      <c r="AF552" s="473">
        <v>12.40480593067476</v>
      </c>
      <c r="AG552" s="172">
        <f t="shared" si="30"/>
        <v>7.265059178883579</v>
      </c>
      <c r="AH552" s="667">
        <f t="shared" si="28"/>
        <v>202409</v>
      </c>
      <c r="AJ552" s="262" t="s">
        <v>1695</v>
      </c>
      <c r="AK552" s="262"/>
    </row>
    <row r="553" spans="3:37" ht="15.75" hidden="1">
      <c r="C553" s="649">
        <v>45561</v>
      </c>
      <c r="D553" s="683">
        <v>342371</v>
      </c>
      <c r="E553" s="683">
        <v>25201</v>
      </c>
      <c r="F553" s="645">
        <v>25615</v>
      </c>
      <c r="G553" s="683">
        <v>3888</v>
      </c>
      <c r="H553" s="683">
        <v>1589</v>
      </c>
      <c r="I553" s="646">
        <v>145900</v>
      </c>
      <c r="J553" s="683">
        <v>174287</v>
      </c>
      <c r="K553" s="683">
        <v>44193.79</v>
      </c>
      <c r="L553" s="683">
        <v>7394</v>
      </c>
      <c r="M553" s="683">
        <v>445761</v>
      </c>
      <c r="N553" s="683">
        <v>7019</v>
      </c>
      <c r="O553" s="683">
        <v>3882</v>
      </c>
      <c r="P553" s="683">
        <v>69.942575999999988</v>
      </c>
      <c r="Q553" s="337">
        <v>0</v>
      </c>
      <c r="R553" s="167">
        <f t="shared" si="29"/>
        <v>143690.2142592</v>
      </c>
      <c r="S553" s="685">
        <v>8.9631230054339994</v>
      </c>
      <c r="T553" s="685">
        <v>0.271032</v>
      </c>
      <c r="U553" s="648">
        <v>5.1252877696823127E-3</v>
      </c>
      <c r="V553" s="648">
        <v>1.7000000000000001E-2</v>
      </c>
      <c r="W553" s="685">
        <v>3.4619999999999998E-2</v>
      </c>
      <c r="X553" s="155">
        <v>7.6429999999999998</v>
      </c>
      <c r="Y553" s="685">
        <v>11.37</v>
      </c>
      <c r="AB553" s="337">
        <v>0</v>
      </c>
      <c r="AC553" s="685">
        <v>0.18547517039646377</v>
      </c>
      <c r="AD553" s="685">
        <v>7.9117194822552639E-2</v>
      </c>
      <c r="AE553" s="685">
        <v>0.58280006000000006</v>
      </c>
      <c r="AF553" s="685">
        <v>12.407524345385916</v>
      </c>
      <c r="AG553" s="172">
        <f t="shared" si="30"/>
        <v>7.2353227952525412</v>
      </c>
      <c r="AH553" s="667">
        <f t="shared" si="28"/>
        <v>202409</v>
      </c>
      <c r="AJ553" s="262" t="s">
        <v>1707</v>
      </c>
      <c r="AK553" s="262"/>
    </row>
    <row r="554" spans="3:37" ht="15.75" hidden="1">
      <c r="C554" s="665">
        <v>45562</v>
      </c>
      <c r="D554" s="684">
        <v>353572</v>
      </c>
      <c r="E554" s="684">
        <v>27591</v>
      </c>
      <c r="F554" s="655">
        <v>25778</v>
      </c>
      <c r="G554" s="684">
        <v>3912</v>
      </c>
      <c r="H554" s="655">
        <v>1612</v>
      </c>
      <c r="I554" s="646">
        <v>134300</v>
      </c>
      <c r="J554" s="655">
        <v>173371</v>
      </c>
      <c r="K554" s="655">
        <v>47550</v>
      </c>
      <c r="L554" s="684">
        <v>10499</v>
      </c>
      <c r="M554" s="684">
        <v>446490</v>
      </c>
      <c r="N554" s="655">
        <v>7811</v>
      </c>
      <c r="O554" s="684">
        <v>4482</v>
      </c>
      <c r="P554" s="684">
        <v>64.407551999999995</v>
      </c>
      <c r="Q554" s="337">
        <v>0</v>
      </c>
      <c r="R554" s="167">
        <f t="shared" si="29"/>
        <v>144127.12034839997</v>
      </c>
      <c r="S554" s="686">
        <v>9.3068891991153802</v>
      </c>
      <c r="T554" s="686">
        <v>0.28053499999999998</v>
      </c>
      <c r="U554" s="686">
        <v>4.9385949760298118E-3</v>
      </c>
      <c r="V554" s="473">
        <v>1.7000000000000001E-2</v>
      </c>
      <c r="W554" s="473">
        <v>3.3619999999999997E-2</v>
      </c>
      <c r="X554" s="155">
        <v>7.6429999999999998</v>
      </c>
      <c r="Y554" s="473">
        <v>11.16</v>
      </c>
      <c r="AB554" s="337">
        <v>0</v>
      </c>
      <c r="AC554" s="686">
        <v>0.20812862632274942</v>
      </c>
      <c r="AD554" s="686">
        <v>7.9400363021631212E-2</v>
      </c>
      <c r="AE554" s="686">
        <v>0.57450006000000009</v>
      </c>
      <c r="AF554" s="473">
        <v>12.414065530784629</v>
      </c>
      <c r="AG554" s="172">
        <f t="shared" si="30"/>
        <v>7.1900810683203282</v>
      </c>
      <c r="AH554" s="667">
        <f t="shared" si="28"/>
        <v>202409</v>
      </c>
      <c r="AJ554" s="262" t="s">
        <v>1718</v>
      </c>
      <c r="AK554" s="262"/>
    </row>
    <row r="555" spans="3:37" ht="15.75" hidden="1">
      <c r="C555" s="649">
        <v>45563</v>
      </c>
      <c r="D555" s="683">
        <v>351959</v>
      </c>
      <c r="E555" s="683">
        <v>28453</v>
      </c>
      <c r="F555" s="645">
        <v>25734</v>
      </c>
      <c r="G555" s="683">
        <v>3959</v>
      </c>
      <c r="H555" s="683">
        <v>1629</v>
      </c>
      <c r="I555" s="646">
        <v>134300</v>
      </c>
      <c r="J555" s="683">
        <v>167556</v>
      </c>
      <c r="K555" s="683">
        <v>48932.88</v>
      </c>
      <c r="L555" s="683">
        <v>8033</v>
      </c>
      <c r="M555" s="683">
        <v>457921</v>
      </c>
      <c r="N555" s="683">
        <v>7993</v>
      </c>
      <c r="O555" s="683">
        <v>3871</v>
      </c>
      <c r="P555" s="683">
        <v>120.44966999999998</v>
      </c>
      <c r="Q555" s="337">
        <v>0</v>
      </c>
      <c r="R555" s="167">
        <f t="shared" si="29"/>
        <v>142829.27650149999</v>
      </c>
      <c r="S555" s="685">
        <v>8.2138599506721004</v>
      </c>
      <c r="T555" s="685">
        <v>0.285858</v>
      </c>
      <c r="U555" s="648">
        <v>4.8735512407014642E-3</v>
      </c>
      <c r="V555" s="648">
        <v>1.7000000000000001E-2</v>
      </c>
      <c r="W555" s="685">
        <v>3.551E-2</v>
      </c>
      <c r="X555" s="155">
        <v>7.6429999999999998</v>
      </c>
      <c r="Y555" s="685">
        <v>11.24</v>
      </c>
      <c r="AB555" s="337">
        <v>0</v>
      </c>
      <c r="AC555" s="685">
        <v>0.21775634509142086</v>
      </c>
      <c r="AD555" s="685">
        <v>7.7361551988265512E-2</v>
      </c>
      <c r="AE555" s="685">
        <v>0.57360006000000008</v>
      </c>
      <c r="AF555" s="685">
        <v>12.403984742897434</v>
      </c>
      <c r="AG555" s="172">
        <f t="shared" si="30"/>
        <v>7.1870385627769426</v>
      </c>
      <c r="AH555" s="667">
        <f t="shared" si="28"/>
        <v>202409</v>
      </c>
      <c r="AJ555" s="262" t="s">
        <v>1708</v>
      </c>
      <c r="AK555" s="262"/>
    </row>
    <row r="556" spans="3:37" ht="15.75" hidden="1">
      <c r="C556" s="665">
        <v>45564</v>
      </c>
      <c r="D556" s="684">
        <v>343533</v>
      </c>
      <c r="E556" s="684">
        <v>28686</v>
      </c>
      <c r="F556" s="655">
        <v>25984</v>
      </c>
      <c r="G556" s="684">
        <v>3958</v>
      </c>
      <c r="H556" s="655">
        <v>1678</v>
      </c>
      <c r="I556" s="646">
        <v>134300</v>
      </c>
      <c r="J556" s="655">
        <v>168696</v>
      </c>
      <c r="K556" s="655">
        <v>48590</v>
      </c>
      <c r="L556" s="684">
        <v>6902</v>
      </c>
      <c r="M556" s="684">
        <v>458605</v>
      </c>
      <c r="N556" s="655">
        <v>7568</v>
      </c>
      <c r="O556" s="684">
        <v>4182</v>
      </c>
      <c r="P556" s="684">
        <v>49.249133999999998</v>
      </c>
      <c r="Q556" s="337">
        <v>0</v>
      </c>
      <c r="R556" s="167">
        <f t="shared" si="29"/>
        <v>142931.84191029999</v>
      </c>
      <c r="S556" s="686">
        <v>8.0094125109373753</v>
      </c>
      <c r="T556" s="686">
        <v>0.29012399999999999</v>
      </c>
      <c r="U556" s="686">
        <v>4.8885874720725362E-3</v>
      </c>
      <c r="V556" s="473">
        <v>1.7000000000000001E-2</v>
      </c>
      <c r="W556" s="473">
        <v>3.5189999999999999E-2</v>
      </c>
      <c r="X556" s="155">
        <v>7.6429999999999998</v>
      </c>
      <c r="Y556" s="473">
        <v>11.18</v>
      </c>
      <c r="AB556" s="337">
        <v>0</v>
      </c>
      <c r="AC556" s="686">
        <v>0.22228703627667795</v>
      </c>
      <c r="AD556" s="686">
        <v>7.7361551988265512E-2</v>
      </c>
      <c r="AE556" s="686">
        <v>0.56060006000000007</v>
      </c>
      <c r="AF556" s="473">
        <v>12.404522762475683</v>
      </c>
      <c r="AG556" s="172">
        <f t="shared" si="30"/>
        <v>7.1622980116397121</v>
      </c>
      <c r="AH556" s="667">
        <f t="shared" si="28"/>
        <v>202409</v>
      </c>
      <c r="AJ556" s="262" t="s">
        <v>1710</v>
      </c>
      <c r="AK556" s="262"/>
    </row>
    <row r="557" spans="3:37" ht="15.75" hidden="1">
      <c r="C557" s="649">
        <v>45565</v>
      </c>
      <c r="D557" s="683">
        <v>351620</v>
      </c>
      <c r="E557" s="683">
        <v>28818</v>
      </c>
      <c r="F557" s="645">
        <v>25500</v>
      </c>
      <c r="G557" s="683">
        <v>3978</v>
      </c>
      <c r="H557" s="683">
        <v>1626</v>
      </c>
      <c r="I557" s="646">
        <v>134300</v>
      </c>
      <c r="J557" s="683">
        <v>168779</v>
      </c>
      <c r="K557" s="683">
        <v>46839.32</v>
      </c>
      <c r="L557" s="683">
        <v>4061</v>
      </c>
      <c r="M557" s="683">
        <v>461847</v>
      </c>
      <c r="N557" s="683">
        <v>7478</v>
      </c>
      <c r="O557" s="683">
        <v>4531</v>
      </c>
      <c r="P557" s="683">
        <v>67.363758000000004</v>
      </c>
      <c r="Q557" s="337">
        <v>0</v>
      </c>
      <c r="R557" s="167">
        <f t="shared" si="29"/>
        <v>141939.54194109997</v>
      </c>
      <c r="S557" s="685">
        <v>8.0640639733595378</v>
      </c>
      <c r="T557" s="685">
        <v>0.29105199999999998</v>
      </c>
      <c r="U557" s="648">
        <v>5.1980053632056907E-3</v>
      </c>
      <c r="V557" s="648">
        <v>1.7000000000000001E-2</v>
      </c>
      <c r="W557" s="685">
        <v>3.2000000000000001E-2</v>
      </c>
      <c r="X557" s="155">
        <v>7.6429999999999998</v>
      </c>
      <c r="Y557" s="685">
        <v>11.26</v>
      </c>
      <c r="AB557" s="337">
        <v>0</v>
      </c>
      <c r="AC557" s="685">
        <v>0.20303159873933516</v>
      </c>
      <c r="AD557" s="685">
        <v>7.6257196011859082E-2</v>
      </c>
      <c r="AE557" s="685">
        <v>0.55260006000000006</v>
      </c>
      <c r="AF557" s="685">
        <v>12.393026133593093</v>
      </c>
      <c r="AG557" s="172">
        <f t="shared" si="30"/>
        <v>7.1735233455157452</v>
      </c>
      <c r="AH557" s="667">
        <f t="shared" si="28"/>
        <v>202409</v>
      </c>
      <c r="AJ557" s="262" t="s">
        <v>1728</v>
      </c>
      <c r="AK557" s="262"/>
    </row>
    <row r="558" spans="3:37" ht="15.75" hidden="1">
      <c r="C558" s="665">
        <v>45566</v>
      </c>
      <c r="D558" s="684">
        <v>342045</v>
      </c>
      <c r="E558" s="684">
        <v>28761</v>
      </c>
      <c r="F558" s="655">
        <v>25545</v>
      </c>
      <c r="G558" s="684">
        <v>3953</v>
      </c>
      <c r="H558" s="655">
        <v>2074</v>
      </c>
      <c r="I558" s="646">
        <v>134300</v>
      </c>
      <c r="J558" s="655">
        <v>170072</v>
      </c>
      <c r="K558" s="655">
        <v>47974.35</v>
      </c>
      <c r="L558" s="684">
        <v>3938</v>
      </c>
      <c r="M558" s="684">
        <v>392457</v>
      </c>
      <c r="N558" s="655">
        <v>7744</v>
      </c>
      <c r="O558" s="684">
        <v>5769</v>
      </c>
      <c r="P558" s="684">
        <v>68.999105999999998</v>
      </c>
      <c r="Q558" s="337">
        <v>0</v>
      </c>
      <c r="R558" s="167">
        <f t="shared" si="29"/>
        <v>140509.82909770001</v>
      </c>
      <c r="S558" s="686">
        <v>7.6234542555932805</v>
      </c>
      <c r="T558" s="686">
        <v>0.293236</v>
      </c>
      <c r="U558" s="686">
        <v>5.3692654900084095E-3</v>
      </c>
      <c r="V558" s="473">
        <v>1.7000000000000001E-2</v>
      </c>
      <c r="W558" s="473">
        <v>0.22487000000000001</v>
      </c>
      <c r="X558" s="155">
        <v>10.611000000000001</v>
      </c>
      <c r="Y558" s="473">
        <v>11.17</v>
      </c>
      <c r="AB558" s="337">
        <v>0</v>
      </c>
      <c r="AC558" s="686">
        <v>0.20841179452182801</v>
      </c>
      <c r="AD558" s="722">
        <v>7.7361551988265498E-2</v>
      </c>
      <c r="AE558" s="686">
        <v>0.54950006000000007</v>
      </c>
      <c r="AF558" s="473">
        <v>13.463543510209629</v>
      </c>
      <c r="AG558" s="172">
        <f t="shared" si="30"/>
        <v>8.1087513410755552</v>
      </c>
      <c r="AH558" s="667">
        <f t="shared" si="28"/>
        <v>202410</v>
      </c>
      <c r="AJ558" s="262" t="s">
        <v>1729</v>
      </c>
      <c r="AK558" s="262"/>
    </row>
    <row r="559" spans="3:37" ht="15.75" hidden="1">
      <c r="C559" s="649">
        <v>45567</v>
      </c>
      <c r="D559" s="683">
        <v>363019</v>
      </c>
      <c r="E559" s="683">
        <v>28774</v>
      </c>
      <c r="F559" s="645">
        <v>25494</v>
      </c>
      <c r="G559" s="683">
        <v>3977</v>
      </c>
      <c r="H559" s="683">
        <v>2308</v>
      </c>
      <c r="I559" s="646">
        <v>134300</v>
      </c>
      <c r="J559" s="683">
        <v>170342</v>
      </c>
      <c r="K559" s="683">
        <v>48578.71</v>
      </c>
      <c r="L559" s="683">
        <v>12161</v>
      </c>
      <c r="M559" s="683">
        <v>403458</v>
      </c>
      <c r="N559" s="683">
        <v>7826</v>
      </c>
      <c r="O559" s="683">
        <v>3550</v>
      </c>
      <c r="P559" s="683">
        <v>111.45525599999999</v>
      </c>
      <c r="Q559" s="337">
        <v>0</v>
      </c>
      <c r="R559" s="167">
        <f t="shared" si="29"/>
        <v>142993.79251519998</v>
      </c>
      <c r="S559" s="685">
        <v>7.8938798857133143</v>
      </c>
      <c r="T559" s="685">
        <v>0.28870499999999999</v>
      </c>
      <c r="U559" s="648">
        <v>5.0271983055214962E-3</v>
      </c>
      <c r="V559" s="648">
        <v>1.7000000000000001E-2</v>
      </c>
      <c r="W559" s="685">
        <v>0.26538999999999996</v>
      </c>
      <c r="X559" s="155">
        <v>10.611000000000001</v>
      </c>
      <c r="Y559" s="685">
        <v>11.07</v>
      </c>
      <c r="AB559" s="337">
        <v>0</v>
      </c>
      <c r="AC559" s="685">
        <v>0.21180981291077086</v>
      </c>
      <c r="AD559" s="685">
        <v>7.7333235168357647E-2</v>
      </c>
      <c r="AE559" s="685">
        <v>0.54500006000000001</v>
      </c>
      <c r="AF559" s="685">
        <v>13.463345292470274</v>
      </c>
      <c r="AG559" s="172">
        <f t="shared" si="30"/>
        <v>8.1263591143813176</v>
      </c>
      <c r="AH559" s="667">
        <f t="shared" si="28"/>
        <v>202410</v>
      </c>
      <c r="AJ559" s="262" t="s">
        <v>1730</v>
      </c>
      <c r="AK559" s="262"/>
    </row>
    <row r="560" spans="3:37" ht="15.75" hidden="1">
      <c r="C560" s="665">
        <v>45568</v>
      </c>
      <c r="D560" s="684">
        <v>348484</v>
      </c>
      <c r="E560" s="684">
        <v>28283</v>
      </c>
      <c r="F560" s="655">
        <v>25472</v>
      </c>
      <c r="G560" s="684">
        <v>3942</v>
      </c>
      <c r="H560" s="655">
        <v>2342</v>
      </c>
      <c r="I560" s="646">
        <v>134300</v>
      </c>
      <c r="J560" s="655">
        <v>172340</v>
      </c>
      <c r="K560" s="655">
        <v>45549.24</v>
      </c>
      <c r="L560" s="684">
        <v>1437</v>
      </c>
      <c r="M560" s="684">
        <v>417224</v>
      </c>
      <c r="N560" s="655">
        <v>7846</v>
      </c>
      <c r="O560" s="684">
        <v>4136</v>
      </c>
      <c r="P560" s="684">
        <v>72.521393999999987</v>
      </c>
      <c r="Q560" s="337">
        <v>0</v>
      </c>
      <c r="R560" s="167">
        <f t="shared" si="29"/>
        <v>140471.23127729999</v>
      </c>
      <c r="S560" s="686">
        <v>8.1212639495734091</v>
      </c>
      <c r="T560" s="686">
        <v>0.29008099999999998</v>
      </c>
      <c r="U560" s="686">
        <v>5.2174023848425722E-3</v>
      </c>
      <c r="V560" s="473">
        <v>1.7000000000000001E-2</v>
      </c>
      <c r="W560" s="473">
        <v>0.29152999999999996</v>
      </c>
      <c r="X560" s="155">
        <v>10.611000000000001</v>
      </c>
      <c r="Y560" s="473">
        <v>11.1</v>
      </c>
      <c r="AB560" s="337">
        <v>0</v>
      </c>
      <c r="AC560" s="686">
        <v>0.21096030831353516</v>
      </c>
      <c r="AD560" s="722">
        <v>0.11363539829023041</v>
      </c>
      <c r="AE560" s="686">
        <v>0.54030006000000008</v>
      </c>
      <c r="AF560" s="473">
        <v>13.476257762348258</v>
      </c>
      <c r="AG560" s="172">
        <f t="shared" si="30"/>
        <v>8.1805638887343211</v>
      </c>
      <c r="AH560" s="667">
        <f t="shared" si="28"/>
        <v>202410</v>
      </c>
      <c r="AJ560" s="262" t="s">
        <v>1731</v>
      </c>
      <c r="AK560" s="262"/>
    </row>
    <row r="561" spans="3:37" ht="15.75" hidden="1">
      <c r="C561" s="649">
        <v>45569</v>
      </c>
      <c r="D561" s="683">
        <v>345897</v>
      </c>
      <c r="E561" s="683">
        <v>28296</v>
      </c>
      <c r="F561" s="645">
        <v>25469</v>
      </c>
      <c r="G561" s="683">
        <v>3958</v>
      </c>
      <c r="H561" s="683">
        <v>2352</v>
      </c>
      <c r="I561" s="646">
        <v>151400</v>
      </c>
      <c r="J561" s="683">
        <v>173804</v>
      </c>
      <c r="K561" s="683">
        <v>48156.32</v>
      </c>
      <c r="L561" s="683">
        <v>7621</v>
      </c>
      <c r="M561" s="683">
        <v>424204</v>
      </c>
      <c r="N561" s="683">
        <v>7823</v>
      </c>
      <c r="O561" s="683">
        <v>4062.9999999999995</v>
      </c>
      <c r="P561" s="683">
        <v>52.079543999999991</v>
      </c>
      <c r="Q561" s="337">
        <v>0</v>
      </c>
      <c r="R561" s="167">
        <f t="shared" si="29"/>
        <v>146613.45274480002</v>
      </c>
      <c r="S561" s="685">
        <v>7.9309749197926047</v>
      </c>
      <c r="T561" s="685">
        <v>0.32671600000000001</v>
      </c>
      <c r="U561" s="648">
        <v>5.1524435999739477E-3</v>
      </c>
      <c r="V561" s="648">
        <v>1.7000000000000001E-2</v>
      </c>
      <c r="W561" s="685">
        <v>0.29883999999999999</v>
      </c>
      <c r="X561" s="155">
        <v>10.611000000000001</v>
      </c>
      <c r="Y561" s="685">
        <v>11.15</v>
      </c>
      <c r="AB561" s="337">
        <v>0</v>
      </c>
      <c r="AC561" s="685">
        <v>0.21209298110984942</v>
      </c>
      <c r="AD561" s="685">
        <v>0.11490965518608397</v>
      </c>
      <c r="AE561" s="685">
        <v>0.5311000600000001</v>
      </c>
      <c r="AF561" s="685">
        <v>12.461836005969186</v>
      </c>
      <c r="AG561" s="172">
        <f t="shared" si="30"/>
        <v>8.0303667891784691</v>
      </c>
      <c r="AH561" s="667">
        <f t="shared" si="28"/>
        <v>202410</v>
      </c>
      <c r="AJ561" s="262" t="s">
        <v>1734</v>
      </c>
      <c r="AK561" s="262"/>
    </row>
    <row r="562" spans="3:37" ht="15.75" hidden="1">
      <c r="C562" s="665">
        <v>45570</v>
      </c>
      <c r="D562" s="684">
        <v>351291</v>
      </c>
      <c r="E562" s="684">
        <v>28151</v>
      </c>
      <c r="F562" s="655">
        <v>25423</v>
      </c>
      <c r="G562" s="684">
        <v>4023</v>
      </c>
      <c r="H562" s="655">
        <v>2354</v>
      </c>
      <c r="I562" s="646">
        <v>151400</v>
      </c>
      <c r="J562" s="655">
        <v>174860</v>
      </c>
      <c r="K562" s="655">
        <v>48370.04</v>
      </c>
      <c r="L562" s="684">
        <v>13001</v>
      </c>
      <c r="M562" s="684">
        <v>408645</v>
      </c>
      <c r="N562" s="655">
        <v>5026</v>
      </c>
      <c r="O562" s="684">
        <v>4441</v>
      </c>
      <c r="P562" s="684">
        <v>49.626521999999994</v>
      </c>
      <c r="Q562" s="337">
        <v>0</v>
      </c>
      <c r="R562" s="167">
        <f t="shared" si="29"/>
        <v>147547.18528489996</v>
      </c>
      <c r="S562" s="686">
        <v>8.1022916802351421</v>
      </c>
      <c r="T562" s="686">
        <v>0.29025800000000002</v>
      </c>
      <c r="U562" s="686">
        <v>5.1122053988848833E-3</v>
      </c>
      <c r="V562" s="473">
        <v>1.7000000000000001E-2</v>
      </c>
      <c r="W562" s="473">
        <v>0.29335</v>
      </c>
      <c r="X562" s="155">
        <v>10.611000000000001</v>
      </c>
      <c r="Y562" s="473">
        <v>11.28</v>
      </c>
      <c r="AB562" s="337">
        <v>0</v>
      </c>
      <c r="AC562" s="686">
        <v>0.13960192214573533</v>
      </c>
      <c r="AD562" s="722">
        <v>0.11363539829023041</v>
      </c>
      <c r="AE562" s="686">
        <v>0.52450006000000005</v>
      </c>
      <c r="AF562" s="473">
        <v>12.459712244476096</v>
      </c>
      <c r="AG562" s="172">
        <f t="shared" si="30"/>
        <v>8.04094762090571</v>
      </c>
      <c r="AH562" s="667">
        <f t="shared" si="28"/>
        <v>202410</v>
      </c>
      <c r="AJ562" s="262" t="s">
        <v>1732</v>
      </c>
      <c r="AK562" s="262"/>
    </row>
    <row r="563" spans="3:37" ht="15.75" hidden="1">
      <c r="C563" s="649">
        <v>45571</v>
      </c>
      <c r="D563" s="683">
        <v>350620</v>
      </c>
      <c r="E563" s="683">
        <v>28119</v>
      </c>
      <c r="F563" s="645">
        <v>25423</v>
      </c>
      <c r="G563" s="683">
        <v>4015</v>
      </c>
      <c r="H563" s="683">
        <v>2394</v>
      </c>
      <c r="I563" s="646">
        <v>151400</v>
      </c>
      <c r="J563" s="683">
        <v>175188</v>
      </c>
      <c r="K563" s="683">
        <v>47796.22</v>
      </c>
      <c r="L563" s="683">
        <v>10777</v>
      </c>
      <c r="M563" s="683">
        <v>435081</v>
      </c>
      <c r="N563" s="683">
        <v>7498</v>
      </c>
      <c r="O563" s="683">
        <v>4202</v>
      </c>
      <c r="P563" s="683">
        <v>100.511004</v>
      </c>
      <c r="Q563" s="337">
        <v>0</v>
      </c>
      <c r="R563" s="167">
        <f t="shared" si="29"/>
        <v>148220.98820179998</v>
      </c>
      <c r="S563" s="685">
        <v>7.8825531577501753</v>
      </c>
      <c r="T563" s="685">
        <v>0.28698099999999999</v>
      </c>
      <c r="U563" s="648">
        <v>5.0188731604685864E-3</v>
      </c>
      <c r="V563" s="648">
        <v>1.7000000000000001E-2</v>
      </c>
      <c r="W563" s="685">
        <v>0.28549999999999998</v>
      </c>
      <c r="X563" s="155">
        <v>10.611000000000001</v>
      </c>
      <c r="Y563" s="685">
        <v>11.25</v>
      </c>
      <c r="AB563" s="337">
        <v>0</v>
      </c>
      <c r="AC563" s="685">
        <v>0.20982763551722086</v>
      </c>
      <c r="AD563" s="685">
        <v>0.11091698357907612</v>
      </c>
      <c r="AE563" s="685">
        <v>0.51490005999999999</v>
      </c>
      <c r="AF563" s="685">
        <v>12.46019363041453</v>
      </c>
      <c r="AG563" s="172">
        <f t="shared" si="30"/>
        <v>8.0216708366653524</v>
      </c>
      <c r="AH563" s="667">
        <f t="shared" si="28"/>
        <v>202410</v>
      </c>
      <c r="AJ563" s="262" t="s">
        <v>1733</v>
      </c>
      <c r="AK563" s="262"/>
    </row>
    <row r="564" spans="3:37" ht="409.5" hidden="1">
      <c r="C564" s="665">
        <v>45572</v>
      </c>
      <c r="D564" s="684">
        <v>348455</v>
      </c>
      <c r="E564" s="684">
        <v>16346</v>
      </c>
      <c r="F564" s="655">
        <v>9080</v>
      </c>
      <c r="G564" s="684">
        <v>3967</v>
      </c>
      <c r="H564" s="655">
        <v>2355</v>
      </c>
      <c r="I564" s="646">
        <v>151400</v>
      </c>
      <c r="J564" s="655">
        <v>172754</v>
      </c>
      <c r="K564" s="655">
        <v>47779.17</v>
      </c>
      <c r="L564" s="684">
        <v>12393</v>
      </c>
      <c r="M564" s="684">
        <v>436897</v>
      </c>
      <c r="N564" s="655">
        <v>7511</v>
      </c>
      <c r="O564" s="684">
        <v>4654</v>
      </c>
      <c r="P564" s="684">
        <v>71.766617999999994</v>
      </c>
      <c r="Q564" s="337">
        <v>0</v>
      </c>
      <c r="R564" s="167">
        <f t="shared" si="29"/>
        <v>133483.85922809999</v>
      </c>
      <c r="S564" s="686">
        <v>7.7732502329058395</v>
      </c>
      <c r="T564" s="686">
        <v>0.15682499999999999</v>
      </c>
      <c r="U564" s="686">
        <v>2.57065754487508E-3</v>
      </c>
      <c r="V564" s="473">
        <v>1.7000000000000001E-2</v>
      </c>
      <c r="W564" s="473">
        <v>0.28049000000000002</v>
      </c>
      <c r="X564" s="155">
        <v>10.611000000000001</v>
      </c>
      <c r="Y564" s="473">
        <v>11.31</v>
      </c>
      <c r="AB564" s="337">
        <v>0</v>
      </c>
      <c r="AC564" s="686">
        <v>0.2508870243836136</v>
      </c>
      <c r="AD564" s="722">
        <v>0.12360291889779611</v>
      </c>
      <c r="AE564" s="686">
        <v>0.51540006000000005</v>
      </c>
      <c r="AF564" s="473">
        <v>12.461864322789092</v>
      </c>
      <c r="AG564" s="172">
        <f t="shared" si="30"/>
        <v>8.002979992777</v>
      </c>
      <c r="AH564" s="667">
        <f t="shared" si="28"/>
        <v>202410</v>
      </c>
      <c r="AJ564" s="1020" t="s">
        <v>1735</v>
      </c>
      <c r="AK564" s="262"/>
    </row>
    <row r="565" spans="3:37" ht="15.75" hidden="1">
      <c r="C565" s="649">
        <v>45573</v>
      </c>
      <c r="D565" s="683">
        <v>349348</v>
      </c>
      <c r="E565" s="683">
        <v>5572</v>
      </c>
      <c r="F565" s="645">
        <v>2338</v>
      </c>
      <c r="G565" s="683">
        <v>3948</v>
      </c>
      <c r="H565" s="683">
        <v>2306</v>
      </c>
      <c r="I565" s="646">
        <v>151400</v>
      </c>
      <c r="J565" s="683">
        <v>175400</v>
      </c>
      <c r="K565" s="683">
        <v>49127.95</v>
      </c>
      <c r="L565" s="683">
        <v>10791</v>
      </c>
      <c r="M565" s="683">
        <v>430036</v>
      </c>
      <c r="N565" s="683">
        <v>7487</v>
      </c>
      <c r="O565" s="683">
        <v>3717</v>
      </c>
      <c r="P565" s="683">
        <v>56.671097999999994</v>
      </c>
      <c r="Q565" s="337">
        <v>0</v>
      </c>
      <c r="R565" s="167">
        <f t="shared" si="29"/>
        <v>125797.60704410002</v>
      </c>
      <c r="S565" s="685">
        <v>6.6459576323740546</v>
      </c>
      <c r="T565" s="685">
        <v>5.6044999999999998E-2</v>
      </c>
      <c r="U565" s="648">
        <v>1.602335571306E-3</v>
      </c>
      <c r="V565" s="648">
        <v>1.7000000000000001E-2</v>
      </c>
      <c r="W565" s="685">
        <v>0.28531000000000001</v>
      </c>
      <c r="X565" s="155">
        <v>10.611000000000001</v>
      </c>
      <c r="Y565" s="685">
        <v>11.16</v>
      </c>
      <c r="AB565" s="337">
        <v>0</v>
      </c>
      <c r="AC565" s="685">
        <v>0.24494049220296363</v>
      </c>
      <c r="AD565" s="685">
        <v>0.10947282576377543</v>
      </c>
      <c r="AE565" s="685">
        <v>0.50880006</v>
      </c>
      <c r="AF565" s="685">
        <v>12.463053629225223</v>
      </c>
      <c r="AG565" s="172">
        <f t="shared" si="30"/>
        <v>7.9057971346238789</v>
      </c>
      <c r="AH565" s="667">
        <f t="shared" si="28"/>
        <v>202410</v>
      </c>
      <c r="AJ565" s="262" t="s">
        <v>1736</v>
      </c>
      <c r="AK565" s="262"/>
    </row>
    <row r="566" spans="3:37" ht="15.75" hidden="1">
      <c r="C566" s="665">
        <v>45574</v>
      </c>
      <c r="D566" s="684">
        <v>345415</v>
      </c>
      <c r="E566" s="684">
        <v>12572</v>
      </c>
      <c r="F566" s="655">
        <v>8461</v>
      </c>
      <c r="G566" s="684">
        <v>3958</v>
      </c>
      <c r="H566" s="655">
        <v>2348</v>
      </c>
      <c r="I566" s="646">
        <v>151400</v>
      </c>
      <c r="J566" s="655">
        <v>176532</v>
      </c>
      <c r="K566" s="655">
        <v>48455</v>
      </c>
      <c r="L566" s="684">
        <v>9714</v>
      </c>
      <c r="M566" s="684">
        <v>447308</v>
      </c>
      <c r="N566" s="655">
        <v>7499</v>
      </c>
      <c r="O566" s="684">
        <v>5491</v>
      </c>
      <c r="P566" s="684">
        <v>112.14713399999998</v>
      </c>
      <c r="Q566" s="337">
        <v>0</v>
      </c>
      <c r="R566" s="167">
        <f t="shared" si="29"/>
        <v>133222.8752103</v>
      </c>
      <c r="S566" s="686">
        <v>7.0152089639725101</v>
      </c>
      <c r="T566" s="686">
        <v>0.117115</v>
      </c>
      <c r="U566" s="686">
        <v>5.787391652767827E-4</v>
      </c>
      <c r="V566" s="473">
        <v>1.7000000000000001E-2</v>
      </c>
      <c r="W566" s="473">
        <v>0.28814999999999996</v>
      </c>
      <c r="X566" s="155">
        <v>10.611000000000001</v>
      </c>
      <c r="Y566" s="473">
        <v>11.33</v>
      </c>
      <c r="AA566" s="337">
        <v>0</v>
      </c>
      <c r="AB566" s="337">
        <v>0</v>
      </c>
      <c r="AC566" s="686">
        <v>0.21577416769787086</v>
      </c>
      <c r="AD566" s="722">
        <v>0.1139752001291247</v>
      </c>
      <c r="AE566" s="686">
        <v>0.50350006000000003</v>
      </c>
      <c r="AF566" s="473">
        <v>12.468094023168822</v>
      </c>
      <c r="AG566" s="172">
        <f t="shared" si="30"/>
        <v>7.974203743920576</v>
      </c>
      <c r="AH566" s="667">
        <f t="shared" si="28"/>
        <v>202410</v>
      </c>
      <c r="AJ566" s="262" t="s">
        <v>1737</v>
      </c>
      <c r="AK566" s="262"/>
    </row>
    <row r="567" spans="3:37" ht="15.75" hidden="1">
      <c r="C567" s="649">
        <v>45575</v>
      </c>
      <c r="D567" s="683">
        <v>345531</v>
      </c>
      <c r="E567" s="683">
        <v>19377</v>
      </c>
      <c r="F567" s="645">
        <v>25130</v>
      </c>
      <c r="G567" s="683">
        <v>3962</v>
      </c>
      <c r="H567" s="683">
        <v>2324</v>
      </c>
      <c r="I567" s="646">
        <v>151400</v>
      </c>
      <c r="J567" s="683">
        <v>173552</v>
      </c>
      <c r="K567" s="683">
        <v>49020.06</v>
      </c>
      <c r="L567" s="683">
        <v>12044</v>
      </c>
      <c r="M567" s="683">
        <v>433027</v>
      </c>
      <c r="N567" s="683">
        <v>7514</v>
      </c>
      <c r="O567" s="683">
        <v>4109</v>
      </c>
      <c r="P567" s="683">
        <v>81.327113999999995</v>
      </c>
      <c r="Q567" s="337">
        <v>0</v>
      </c>
      <c r="R567" s="167">
        <f t="shared" si="29"/>
        <v>145501.52330130004</v>
      </c>
      <c r="S567" s="685">
        <v>7.3201811143801265</v>
      </c>
      <c r="T567" s="685">
        <v>0.21445</v>
      </c>
      <c r="U567" s="648">
        <v>2.9461385768532649E-3</v>
      </c>
      <c r="V567" s="648">
        <v>1.7000000000000001E-2</v>
      </c>
      <c r="W567" s="685">
        <v>0.28200999999999998</v>
      </c>
      <c r="X567" s="155">
        <v>10.611000000000001</v>
      </c>
      <c r="Y567" s="685">
        <v>11.31</v>
      </c>
      <c r="AB567" s="337">
        <v>0</v>
      </c>
      <c r="AC567" s="685">
        <v>0.21379199030432083</v>
      </c>
      <c r="AD567" s="685">
        <v>0.11946866319124898</v>
      </c>
      <c r="AE567" s="685">
        <v>0.49810006000000001</v>
      </c>
      <c r="AF567" s="685">
        <v>12.470925705159607</v>
      </c>
      <c r="AG567" s="172">
        <f t="shared" si="30"/>
        <v>7.9978769618330867</v>
      </c>
      <c r="AH567" s="667">
        <f t="shared" si="28"/>
        <v>202410</v>
      </c>
      <c r="AJ567" s="262" t="s">
        <v>1738</v>
      </c>
      <c r="AK567" s="262"/>
    </row>
    <row r="568" spans="3:37" ht="15.75" hidden="1">
      <c r="C568" s="665">
        <v>45576</v>
      </c>
      <c r="D568" s="684">
        <v>346723</v>
      </c>
      <c r="E568" s="684">
        <v>24761</v>
      </c>
      <c r="F568" s="655">
        <v>25201</v>
      </c>
      <c r="G568" s="684">
        <v>3991</v>
      </c>
      <c r="H568" s="655">
        <v>2132</v>
      </c>
      <c r="I568" s="646">
        <v>147100</v>
      </c>
      <c r="J568" s="655">
        <v>175699</v>
      </c>
      <c r="K568" s="655">
        <v>53561.91</v>
      </c>
      <c r="L568" s="684">
        <v>9794</v>
      </c>
      <c r="M568" s="684">
        <v>419479</v>
      </c>
      <c r="N568" s="655">
        <v>7522</v>
      </c>
      <c r="O568" s="684">
        <v>4089.0000000000005</v>
      </c>
      <c r="P568" s="684">
        <v>71.137637999999995</v>
      </c>
      <c r="Q568" s="337">
        <v>0</v>
      </c>
      <c r="R568" s="167">
        <f t="shared" si="29"/>
        <v>146592.18323710002</v>
      </c>
      <c r="S568" s="686">
        <v>6.8288842889788093</v>
      </c>
      <c r="T568" s="686">
        <v>0.24188899999999999</v>
      </c>
      <c r="U568" s="686">
        <v>3.447742724701045E-3</v>
      </c>
      <c r="V568" s="473">
        <v>1.7000000000000001E-2</v>
      </c>
      <c r="W568" s="473">
        <v>0.19191</v>
      </c>
      <c r="X568" s="155">
        <v>10.611000000000001</v>
      </c>
      <c r="Y568" s="473">
        <v>11.24</v>
      </c>
      <c r="AB568" s="337">
        <v>0</v>
      </c>
      <c r="AC568" s="686">
        <v>0.21152664471169227</v>
      </c>
      <c r="AD568" s="722">
        <v>0.12040311824820824</v>
      </c>
      <c r="AE568" s="686">
        <v>0.49690005999999998</v>
      </c>
      <c r="AF568" s="473">
        <v>12.466848083092875</v>
      </c>
      <c r="AG568" s="172">
        <f t="shared" si="30"/>
        <v>7.88487905632606</v>
      </c>
      <c r="AH568" s="667">
        <f t="shared" si="28"/>
        <v>202410</v>
      </c>
      <c r="AJ568" s="262" t="s">
        <v>1740</v>
      </c>
      <c r="AK568" s="262"/>
    </row>
    <row r="569" spans="3:37" ht="15.75" hidden="1">
      <c r="C569" s="649">
        <v>45577</v>
      </c>
      <c r="D569" s="683">
        <v>353142</v>
      </c>
      <c r="E569" s="683">
        <v>21063</v>
      </c>
      <c r="F569" s="645">
        <v>25115</v>
      </c>
      <c r="G569" s="683">
        <v>4027</v>
      </c>
      <c r="H569" s="683">
        <v>2381</v>
      </c>
      <c r="I569" s="646">
        <v>147100</v>
      </c>
      <c r="J569" s="683">
        <v>175650</v>
      </c>
      <c r="K569" s="683">
        <v>49594.81</v>
      </c>
      <c r="L569" s="683">
        <v>11498</v>
      </c>
      <c r="M569" s="683">
        <v>423516</v>
      </c>
      <c r="N569" s="683">
        <v>7529</v>
      </c>
      <c r="O569" s="683">
        <v>3352</v>
      </c>
      <c r="P569" s="683">
        <v>80.761032</v>
      </c>
      <c r="Q569" s="337">
        <v>0</v>
      </c>
      <c r="R569" s="167">
        <f t="shared" si="29"/>
        <v>145227.1576644</v>
      </c>
      <c r="S569" s="685">
        <v>6.6482229779666815</v>
      </c>
      <c r="T569" s="685">
        <v>0.227802</v>
      </c>
      <c r="U569" s="648">
        <v>3.2742738859455126E-3</v>
      </c>
      <c r="V569" s="648">
        <v>1.7000000000000001E-2</v>
      </c>
      <c r="W569" s="685">
        <v>0.28226999999999997</v>
      </c>
      <c r="X569" s="155">
        <v>10.611000000000001</v>
      </c>
      <c r="Y569" s="685">
        <v>11.33</v>
      </c>
      <c r="AB569" s="337">
        <v>0</v>
      </c>
      <c r="AC569" s="685">
        <v>0.21294248570708513</v>
      </c>
      <c r="AD569" s="685">
        <v>0.11236114139437683</v>
      </c>
      <c r="AE569" s="685">
        <v>0.49650006000000002</v>
      </c>
      <c r="AF569" s="685">
        <v>12.465941944855825</v>
      </c>
      <c r="AG569" s="172">
        <f t="shared" si="30"/>
        <v>7.9871457701222131</v>
      </c>
      <c r="AH569" s="667">
        <f t="shared" si="28"/>
        <v>202410</v>
      </c>
      <c r="AJ569" s="262" t="s">
        <v>1739</v>
      </c>
      <c r="AK569" s="262"/>
    </row>
    <row r="570" spans="3:37" ht="15.75" hidden="1">
      <c r="C570" s="665">
        <v>45578</v>
      </c>
      <c r="D570" s="684">
        <v>352353</v>
      </c>
      <c r="E570" s="684">
        <v>21314</v>
      </c>
      <c r="F570" s="655">
        <v>25237</v>
      </c>
      <c r="G570" s="684">
        <v>4031</v>
      </c>
      <c r="H570" s="655">
        <v>2337</v>
      </c>
      <c r="I570" s="646">
        <v>147100</v>
      </c>
      <c r="J570" s="655">
        <v>176016</v>
      </c>
      <c r="K570" s="655">
        <v>47797.89</v>
      </c>
      <c r="L570" s="684">
        <v>10037</v>
      </c>
      <c r="M570" s="684">
        <v>361520</v>
      </c>
      <c r="N570" s="655">
        <v>7537</v>
      </c>
      <c r="O570" s="684">
        <v>4709</v>
      </c>
      <c r="P570" s="684">
        <v>63.401183999999994</v>
      </c>
      <c r="Q570" s="337">
        <v>0</v>
      </c>
      <c r="R570" s="167">
        <f t="shared" si="29"/>
        <v>142669.59358280004</v>
      </c>
      <c r="S570" s="686">
        <v>7.9018085952875161</v>
      </c>
      <c r="T570" s="686">
        <v>0.23053199999999999</v>
      </c>
      <c r="U570" s="686">
        <v>3.63769195264295E-3</v>
      </c>
      <c r="V570" s="473">
        <v>1.7000000000000001E-2</v>
      </c>
      <c r="W570" s="473">
        <v>0.27718999999999999</v>
      </c>
      <c r="X570" s="155">
        <v>10.611000000000001</v>
      </c>
      <c r="Y570" s="473">
        <v>11.17</v>
      </c>
      <c r="AB570" s="337">
        <v>0</v>
      </c>
      <c r="AC570" s="686">
        <v>0.21549099949879227</v>
      </c>
      <c r="AD570" s="722">
        <v>0.10514035231787329</v>
      </c>
      <c r="AE570" s="686">
        <v>0.48880005999999998</v>
      </c>
      <c r="AF570" s="473">
        <v>12.449461555669451</v>
      </c>
      <c r="AG570" s="172">
        <f t="shared" si="30"/>
        <v>7.9615404452538163</v>
      </c>
      <c r="AH570" s="667">
        <f t="shared" si="28"/>
        <v>202410</v>
      </c>
      <c r="AJ570" s="262" t="s">
        <v>1741</v>
      </c>
      <c r="AK570" s="262"/>
    </row>
    <row r="571" spans="3:37" ht="15.75" hidden="1">
      <c r="C571" s="649">
        <v>45579</v>
      </c>
      <c r="D571" s="683">
        <v>355981</v>
      </c>
      <c r="E571" s="683">
        <v>22560</v>
      </c>
      <c r="F571" s="645">
        <v>25028</v>
      </c>
      <c r="G571" s="683">
        <v>4035</v>
      </c>
      <c r="H571" s="683">
        <v>2327</v>
      </c>
      <c r="I571" s="646">
        <v>147100</v>
      </c>
      <c r="J571" s="683">
        <v>174369</v>
      </c>
      <c r="K571" s="683">
        <v>49638.96</v>
      </c>
      <c r="L571" s="683">
        <v>10886</v>
      </c>
      <c r="M571" s="683">
        <v>427237</v>
      </c>
      <c r="N571" s="683">
        <v>7491</v>
      </c>
      <c r="O571" s="683">
        <v>4185</v>
      </c>
      <c r="P571" s="683">
        <v>73.590659999999986</v>
      </c>
      <c r="Q571" s="337">
        <v>0</v>
      </c>
      <c r="R571" s="167">
        <f t="shared" si="29"/>
        <v>145590.99439700003</v>
      </c>
      <c r="S571" s="685">
        <v>7.925877892209189</v>
      </c>
      <c r="T571" s="685">
        <v>0.23070499999999999</v>
      </c>
      <c r="U571" s="648">
        <v>3.5547519871328369E-3</v>
      </c>
      <c r="V571" s="648">
        <v>1.7000000000000001E-2</v>
      </c>
      <c r="W571" s="685">
        <v>0.27656000000000003</v>
      </c>
      <c r="X571" s="155">
        <v>10.611000000000001</v>
      </c>
      <c r="Y571" s="685">
        <v>11.23</v>
      </c>
      <c r="AB571" s="337">
        <v>0</v>
      </c>
      <c r="AC571" s="685">
        <v>0.21350882210524227</v>
      </c>
      <c r="AD571" s="685">
        <v>0.11236114139437683</v>
      </c>
      <c r="AE571" s="685">
        <v>0.49940005999999998</v>
      </c>
      <c r="AF571" s="685">
        <v>12.477155405539335</v>
      </c>
      <c r="AG571" s="172">
        <f t="shared" si="30"/>
        <v>7.9892033286320405</v>
      </c>
      <c r="AH571" s="667">
        <f t="shared" si="28"/>
        <v>202410</v>
      </c>
      <c r="AJ571" s="262" t="s">
        <v>1742</v>
      </c>
      <c r="AK571" s="262"/>
    </row>
    <row r="572" spans="3:37" ht="15.75" hidden="1">
      <c r="C572" s="665">
        <v>45580</v>
      </c>
      <c r="D572" s="684">
        <v>350730</v>
      </c>
      <c r="E572" s="684">
        <v>21415</v>
      </c>
      <c r="F572" s="655">
        <v>25024</v>
      </c>
      <c r="G572" s="684">
        <v>4005</v>
      </c>
      <c r="H572" s="655">
        <v>2299</v>
      </c>
      <c r="I572" s="646">
        <v>147100</v>
      </c>
      <c r="J572" s="655">
        <v>173598</v>
      </c>
      <c r="K572" s="655">
        <v>49670.65</v>
      </c>
      <c r="L572" s="684">
        <v>10722</v>
      </c>
      <c r="M572" s="684">
        <v>428131</v>
      </c>
      <c r="N572" s="655">
        <v>7510</v>
      </c>
      <c r="O572" s="684">
        <v>5497</v>
      </c>
      <c r="P572" s="684">
        <v>63.589877999999992</v>
      </c>
      <c r="Q572" s="337">
        <v>0</v>
      </c>
      <c r="R572" s="167">
        <f t="shared" si="29"/>
        <v>145440.79344509999</v>
      </c>
      <c r="S572" s="686">
        <v>7.7112363973076397</v>
      </c>
      <c r="T572" s="686">
        <v>0.229932</v>
      </c>
      <c r="U572" s="686">
        <v>3.6203337420394337E-3</v>
      </c>
      <c r="V572" s="473">
        <v>1.7000000000000001E-2</v>
      </c>
      <c r="W572" s="473">
        <v>0.27199000000000001</v>
      </c>
      <c r="X572" s="155">
        <v>10.611000000000001</v>
      </c>
      <c r="Y572" s="473">
        <v>11.16</v>
      </c>
      <c r="AB572" s="337">
        <v>0</v>
      </c>
      <c r="AC572" s="686">
        <v>0.21775634509142086</v>
      </c>
      <c r="AD572" s="686">
        <v>0.11049223128045828</v>
      </c>
      <c r="AE572" s="686">
        <v>0.49600006000000002</v>
      </c>
      <c r="AF572" s="473">
        <v>12.47381402079021</v>
      </c>
      <c r="AG572" s="172">
        <f t="shared" si="30"/>
        <v>7.9589339354038096</v>
      </c>
      <c r="AH572" s="667">
        <f t="shared" si="28"/>
        <v>202410</v>
      </c>
      <c r="AJ572" s="262" t="s">
        <v>1743</v>
      </c>
      <c r="AK572" s="262"/>
    </row>
    <row r="573" spans="3:37" ht="15.75" hidden="1">
      <c r="C573" s="649">
        <v>45581</v>
      </c>
      <c r="D573" s="683">
        <v>346200</v>
      </c>
      <c r="E573" s="683">
        <v>22151</v>
      </c>
      <c r="F573" s="645">
        <v>24997</v>
      </c>
      <c r="G573" s="683">
        <v>4056</v>
      </c>
      <c r="H573" s="683">
        <v>2300</v>
      </c>
      <c r="I573" s="646">
        <v>147100</v>
      </c>
      <c r="J573" s="683">
        <v>173467</v>
      </c>
      <c r="K573" s="683">
        <v>49697.84</v>
      </c>
      <c r="L573" s="683">
        <v>11618</v>
      </c>
      <c r="M573" s="683">
        <v>420619</v>
      </c>
      <c r="N573" s="683">
        <v>7532</v>
      </c>
      <c r="O573" s="683">
        <v>3583</v>
      </c>
      <c r="P573" s="683">
        <v>87.365321999999992</v>
      </c>
      <c r="Q573" s="337">
        <v>0</v>
      </c>
      <c r="R573" s="167">
        <f t="shared" si="29"/>
        <v>144678.40689489999</v>
      </c>
      <c r="S573" s="685">
        <v>7.5897572399029318</v>
      </c>
      <c r="T573" s="685">
        <v>0.233074</v>
      </c>
      <c r="U573" s="648">
        <v>3.7092485565501055E-3</v>
      </c>
      <c r="V573" s="648">
        <v>1.7000000000000001E-2</v>
      </c>
      <c r="W573" s="685">
        <v>0.27611000000000002</v>
      </c>
      <c r="X573" s="155">
        <v>10.611000000000001</v>
      </c>
      <c r="Y573" s="685">
        <v>11.25</v>
      </c>
      <c r="Z573" s="337">
        <v>0</v>
      </c>
      <c r="AA573" s="337">
        <v>0</v>
      </c>
      <c r="AB573" s="337">
        <v>0</v>
      </c>
      <c r="AC573" s="685">
        <v>0.21747317689234227</v>
      </c>
      <c r="AD573" s="685">
        <v>0.1121912404749297</v>
      </c>
      <c r="AE573" s="685">
        <v>0.49350006000000002</v>
      </c>
      <c r="AF573" s="685">
        <v>12.471123922898961</v>
      </c>
      <c r="AG573" s="172">
        <f t="shared" si="30"/>
        <v>7.983624485772296</v>
      </c>
      <c r="AH573" s="667">
        <f t="shared" si="28"/>
        <v>202410</v>
      </c>
      <c r="AJ573" s="262" t="s">
        <v>1766</v>
      </c>
      <c r="AK573" s="262"/>
    </row>
    <row r="574" spans="3:37" ht="15.75" hidden="1">
      <c r="C574" s="665">
        <v>45582</v>
      </c>
      <c r="D574" s="684">
        <v>352154</v>
      </c>
      <c r="E574" s="684">
        <v>22151</v>
      </c>
      <c r="F574" s="655">
        <v>24914</v>
      </c>
      <c r="G574" s="684">
        <v>4089</v>
      </c>
      <c r="H574" s="655">
        <v>2318</v>
      </c>
      <c r="I574" s="646">
        <v>147100</v>
      </c>
      <c r="J574" s="655">
        <v>174374</v>
      </c>
      <c r="K574" s="655">
        <v>48152.11</v>
      </c>
      <c r="L574" s="684">
        <v>11167</v>
      </c>
      <c r="M574" s="684">
        <v>406344</v>
      </c>
      <c r="N574" s="655">
        <v>7526</v>
      </c>
      <c r="O574" s="684">
        <v>4425</v>
      </c>
      <c r="P574" s="684">
        <v>85.541279999999986</v>
      </c>
      <c r="Q574" s="337">
        <v>0</v>
      </c>
      <c r="R574" s="167">
        <f t="shared" si="29"/>
        <v>144297.24722600001</v>
      </c>
      <c r="S574" s="686">
        <v>8.0193233979051222</v>
      </c>
      <c r="T574" s="686">
        <v>0.23763200000000001</v>
      </c>
      <c r="U574" s="686">
        <v>3.820363757868536E-3</v>
      </c>
      <c r="V574" s="473">
        <v>1.7000000000000001E-2</v>
      </c>
      <c r="W574" s="686">
        <v>0.27537</v>
      </c>
      <c r="X574" s="155">
        <v>10.611000000000001</v>
      </c>
      <c r="Y574" s="686">
        <v>11.27</v>
      </c>
      <c r="AC574" s="686">
        <v>0.21464149490155657</v>
      </c>
      <c r="AD574" s="686">
        <v>0.11643876346110826</v>
      </c>
      <c r="AE574" s="686">
        <v>0.48430005999999998</v>
      </c>
      <c r="AF574" s="473">
        <v>11.534799955825761</v>
      </c>
      <c r="AG574" s="172">
        <f t="shared" si="30"/>
        <v>7.8373883544361114</v>
      </c>
      <c r="AH574" s="667">
        <f t="shared" si="28"/>
        <v>202410</v>
      </c>
      <c r="AJ574" s="262" t="s">
        <v>1767</v>
      </c>
      <c r="AK574" s="262"/>
    </row>
    <row r="575" spans="3:37" ht="15.75" hidden="1">
      <c r="C575" s="649">
        <v>45583</v>
      </c>
      <c r="D575" s="683">
        <v>351270</v>
      </c>
      <c r="E575" s="683">
        <v>22377</v>
      </c>
      <c r="F575" s="645">
        <v>24847.260000000002</v>
      </c>
      <c r="G575" s="683">
        <v>4115</v>
      </c>
      <c r="H575" s="683">
        <v>2302</v>
      </c>
      <c r="I575" s="646">
        <v>139000</v>
      </c>
      <c r="J575" s="683">
        <v>170731</v>
      </c>
      <c r="K575" s="683">
        <v>44530.75</v>
      </c>
      <c r="L575" s="683">
        <v>11047</v>
      </c>
      <c r="M575" s="683">
        <v>437001</v>
      </c>
      <c r="N575" s="683">
        <v>7472</v>
      </c>
      <c r="O575" s="683">
        <v>4006</v>
      </c>
      <c r="P575" s="683">
        <v>70.068371999999997</v>
      </c>
      <c r="Q575" s="337">
        <v>0</v>
      </c>
      <c r="R575" s="167">
        <f t="shared" si="29"/>
        <v>141832.4360174</v>
      </c>
      <c r="S575" s="685">
        <v>7.765887859729804</v>
      </c>
      <c r="T575" s="685">
        <v>0.239699</v>
      </c>
      <c r="U575" s="725">
        <v>3.820363757868536E-3</v>
      </c>
      <c r="V575" s="648">
        <v>1.7000000000000001E-2</v>
      </c>
      <c r="W575" s="685">
        <v>0.29642000000000002</v>
      </c>
      <c r="X575" s="155">
        <v>10.611000000000001</v>
      </c>
      <c r="Y575" s="685">
        <v>11.29</v>
      </c>
      <c r="Z575" s="337"/>
      <c r="AA575" s="337"/>
      <c r="AB575" s="337">
        <v>0</v>
      </c>
      <c r="AC575" s="685">
        <v>0.21407515850339942</v>
      </c>
      <c r="AD575" s="685">
        <v>0.11343718055087541</v>
      </c>
      <c r="AE575" s="685">
        <v>0.47960005999999999</v>
      </c>
      <c r="AF575" s="685">
        <v>13.19779015537439</v>
      </c>
      <c r="AG575" s="172">
        <f t="shared" si="30"/>
        <v>8.1376724872596373</v>
      </c>
      <c r="AH575" s="667">
        <f t="shared" si="28"/>
        <v>202410</v>
      </c>
      <c r="AJ575" s="262" t="s">
        <v>1768</v>
      </c>
      <c r="AK575" s="262"/>
    </row>
    <row r="576" spans="3:37" ht="15.75" hidden="1">
      <c r="C576" s="665">
        <v>45584</v>
      </c>
      <c r="D576" s="684">
        <v>347678</v>
      </c>
      <c r="E576" s="684">
        <v>22396</v>
      </c>
      <c r="F576" s="655">
        <v>24855.769999999997</v>
      </c>
      <c r="G576" s="684">
        <v>4098</v>
      </c>
      <c r="H576" s="655">
        <v>2310</v>
      </c>
      <c r="I576" s="646">
        <v>139000</v>
      </c>
      <c r="J576" s="655">
        <v>176143</v>
      </c>
      <c r="K576" s="655">
        <v>47618.33</v>
      </c>
      <c r="L576" s="684">
        <v>11372</v>
      </c>
      <c r="M576" s="684">
        <v>464124</v>
      </c>
      <c r="N576" s="655">
        <v>7303</v>
      </c>
      <c r="O576" s="684">
        <v>5081</v>
      </c>
      <c r="P576" s="684">
        <v>81.578705999999997</v>
      </c>
      <c r="Q576" s="337">
        <v>0</v>
      </c>
      <c r="R576" s="167">
        <f t="shared" si="29"/>
        <v>145518.9787177</v>
      </c>
      <c r="S576" s="686">
        <v>8.2283015288251047</v>
      </c>
      <c r="T576" s="686">
        <v>0.24180699999999999</v>
      </c>
      <c r="U576" s="725">
        <v>3.820363757868536E-3</v>
      </c>
      <c r="V576" s="473">
        <v>1.7000000000000001E-2</v>
      </c>
      <c r="W576" s="686">
        <v>0.28994999999999999</v>
      </c>
      <c r="X576" s="155">
        <v>10.611000000000001</v>
      </c>
      <c r="Y576" s="686">
        <v>11.28</v>
      </c>
      <c r="AB576" s="337">
        <v>0</v>
      </c>
      <c r="AC576" s="686">
        <v>0.21492466310063513</v>
      </c>
      <c r="AD576" s="686">
        <v>0.11516450656525469</v>
      </c>
      <c r="AE576" s="686">
        <v>0.47460005999999999</v>
      </c>
      <c r="AF576" s="473">
        <v>12.476787286880533</v>
      </c>
      <c r="AG576" s="172">
        <f t="shared" si="30"/>
        <v>8.0158172912832306</v>
      </c>
      <c r="AH576" s="667">
        <f t="shared" si="28"/>
        <v>202410</v>
      </c>
      <c r="AJ576" s="262" t="s">
        <v>1769</v>
      </c>
      <c r="AK576" s="262"/>
    </row>
    <row r="577" spans="3:37" ht="15.75" hidden="1">
      <c r="C577" s="649">
        <v>45585</v>
      </c>
      <c r="D577" s="724">
        <v>347678</v>
      </c>
      <c r="E577" s="683">
        <v>22843</v>
      </c>
      <c r="F577" s="645">
        <v>23816</v>
      </c>
      <c r="G577" s="683">
        <v>4130</v>
      </c>
      <c r="H577" s="683">
        <v>2347</v>
      </c>
      <c r="I577" s="646">
        <v>139000</v>
      </c>
      <c r="J577" s="683">
        <v>176013</v>
      </c>
      <c r="K577" s="683">
        <v>45691.32</v>
      </c>
      <c r="L577" s="683">
        <v>11464</v>
      </c>
      <c r="M577" s="683">
        <v>445358</v>
      </c>
      <c r="N577" s="683">
        <v>7304</v>
      </c>
      <c r="O577" s="683">
        <v>4243</v>
      </c>
      <c r="P577" s="683">
        <v>77.616131999999993</v>
      </c>
      <c r="Q577" s="337">
        <v>0</v>
      </c>
      <c r="R577" s="167">
        <f t="shared" si="29"/>
        <v>143383.95905940002</v>
      </c>
      <c r="S577" s="723">
        <v>8.2283015288251047</v>
      </c>
      <c r="T577" s="685">
        <v>0.24224200000000001</v>
      </c>
      <c r="U577" s="648">
        <v>3.4309508504956855E-3</v>
      </c>
      <c r="V577" s="648">
        <v>1.7000000000000001E-2</v>
      </c>
      <c r="W577" s="685">
        <v>0.28613</v>
      </c>
      <c r="X577" s="155">
        <v>10.611000000000001</v>
      </c>
      <c r="Y577" s="685">
        <v>11.3</v>
      </c>
      <c r="Z577" s="337"/>
      <c r="AA577" s="337"/>
      <c r="AB577" s="337">
        <v>0</v>
      </c>
      <c r="AC577" s="685">
        <v>0.21265931750800657</v>
      </c>
      <c r="AD577" s="685">
        <v>0.11236114139437683</v>
      </c>
      <c r="AE577" s="685">
        <v>0.47280006000000002</v>
      </c>
      <c r="AF577" s="685">
        <v>12.470472636041082</v>
      </c>
      <c r="AG577" s="172">
        <f t="shared" si="30"/>
        <v>8.0137881275218223</v>
      </c>
      <c r="AH577" s="667">
        <f t="shared" si="28"/>
        <v>202410</v>
      </c>
      <c r="AI577" t="s">
        <v>1771</v>
      </c>
      <c r="AJ577" s="262" t="s">
        <v>1770</v>
      </c>
      <c r="AK577" s="262"/>
    </row>
    <row r="578" spans="3:37" ht="15.75" hidden="1">
      <c r="C578" s="665">
        <v>45586</v>
      </c>
      <c r="D578" s="684">
        <v>369440</v>
      </c>
      <c r="E578" s="684">
        <v>22855</v>
      </c>
      <c r="F578" s="655">
        <v>24826</v>
      </c>
      <c r="G578" s="684">
        <v>4090</v>
      </c>
      <c r="H578" s="655">
        <v>2314</v>
      </c>
      <c r="I578" s="646">
        <v>139000</v>
      </c>
      <c r="J578" s="655">
        <v>175307</v>
      </c>
      <c r="K578" s="655">
        <v>47605.56</v>
      </c>
      <c r="L578" s="684">
        <v>9866</v>
      </c>
      <c r="M578" s="684">
        <v>444792</v>
      </c>
      <c r="N578" s="655">
        <v>7310</v>
      </c>
      <c r="O578" s="684">
        <v>3939</v>
      </c>
      <c r="P578" s="684">
        <v>87.805608000000007</v>
      </c>
      <c r="Q578" s="337">
        <v>0</v>
      </c>
      <c r="R578" s="167">
        <f t="shared" si="29"/>
        <v>144314.3890236</v>
      </c>
      <c r="S578" s="686">
        <v>9.0424101011759976</v>
      </c>
      <c r="T578" s="686">
        <v>0.257691</v>
      </c>
      <c r="U578" s="686">
        <v>3.60320206599518E-3</v>
      </c>
      <c r="V578" s="473">
        <v>1.7000000000000001E-2</v>
      </c>
      <c r="W578" s="686">
        <v>0.27250999999999997</v>
      </c>
      <c r="X578" s="155">
        <v>10.611000000000001</v>
      </c>
      <c r="Y578" s="686">
        <v>11.29</v>
      </c>
      <c r="AB578" s="337">
        <v>0</v>
      </c>
      <c r="AC578" s="686">
        <v>0.2027484305402566</v>
      </c>
      <c r="AD578" s="686">
        <v>0.11601401116249041</v>
      </c>
      <c r="AE578" s="686">
        <v>0.47280006000000002</v>
      </c>
      <c r="AF578" s="473">
        <v>12.468943527766056</v>
      </c>
      <c r="AG578" s="172">
        <f t="shared" si="30"/>
        <v>8.0207768433280169</v>
      </c>
      <c r="AH578" s="667">
        <f>IF($AK$1&gt;=C578,(YEAR(C578)*100+MONTH(C578)),0)</f>
        <v>202410</v>
      </c>
      <c r="AJ578" s="262" t="s">
        <v>1772</v>
      </c>
      <c r="AK578" s="262"/>
    </row>
    <row r="579" spans="3:37" ht="15.75" hidden="1">
      <c r="C579" s="649">
        <v>45587</v>
      </c>
      <c r="D579" s="683">
        <v>352942</v>
      </c>
      <c r="E579" s="683">
        <v>22761</v>
      </c>
      <c r="F579" s="645">
        <v>24810</v>
      </c>
      <c r="G579" s="683">
        <v>4143</v>
      </c>
      <c r="H579" s="683">
        <v>2334</v>
      </c>
      <c r="I579" s="646">
        <v>139000</v>
      </c>
      <c r="J579" s="683">
        <v>171879</v>
      </c>
      <c r="K579" s="683">
        <v>48324.08</v>
      </c>
      <c r="L579" s="683">
        <v>12481</v>
      </c>
      <c r="M579" s="683">
        <v>442287</v>
      </c>
      <c r="N579" s="683">
        <v>7311</v>
      </c>
      <c r="O579" s="683">
        <v>4790</v>
      </c>
      <c r="P579" s="683">
        <v>98.875655999999992</v>
      </c>
      <c r="Q579" s="337">
        <v>0</v>
      </c>
      <c r="R579" s="167">
        <f t="shared" si="29"/>
        <v>144107.71549520001</v>
      </c>
      <c r="S579" s="685">
        <v>11.362690324425804</v>
      </c>
      <c r="T579" s="685">
        <v>0.24391499999999999</v>
      </c>
      <c r="U579" s="648">
        <v>3.5260104149263619E-3</v>
      </c>
      <c r="V579" s="648">
        <v>1.7000000000000001E-2</v>
      </c>
      <c r="W579" s="685">
        <v>0.27711000000000002</v>
      </c>
      <c r="X579" s="155">
        <v>10.611000000000001</v>
      </c>
      <c r="Y579" s="685">
        <v>11.48</v>
      </c>
      <c r="AB579" s="337">
        <v>0</v>
      </c>
      <c r="AC579" s="685">
        <v>0.2095444673181423</v>
      </c>
      <c r="AD579" s="685">
        <v>0.11643876346110826</v>
      </c>
      <c r="AE579" s="685">
        <v>0.49020005999999999</v>
      </c>
      <c r="AF579" s="685">
        <v>12.470642536960527</v>
      </c>
      <c r="AG579" s="172">
        <f t="shared" si="30"/>
        <v>8.1336380588574144</v>
      </c>
      <c r="AH579" s="667">
        <f t="shared" ref="AH579:AH629" si="31">IF($AK$1&gt;=C579,(YEAR(C579)*100+MONTH(C579)),0)</f>
        <v>202410</v>
      </c>
      <c r="AJ579" s="262" t="s">
        <v>1773</v>
      </c>
      <c r="AK579" s="262"/>
    </row>
    <row r="580" spans="3:37" ht="15.75" hidden="1">
      <c r="C580" s="665">
        <v>45588</v>
      </c>
      <c r="D580" s="684">
        <v>357180</v>
      </c>
      <c r="E580" s="684">
        <v>22836</v>
      </c>
      <c r="F580" s="655">
        <v>24802</v>
      </c>
      <c r="G580" s="684">
        <v>4170</v>
      </c>
      <c r="H580" s="655">
        <v>2256</v>
      </c>
      <c r="I580" s="646">
        <v>139000</v>
      </c>
      <c r="J580" s="655">
        <v>171035</v>
      </c>
      <c r="K580" s="655">
        <v>49549.02</v>
      </c>
      <c r="L580" s="684">
        <v>11623</v>
      </c>
      <c r="M580" s="684">
        <v>449839</v>
      </c>
      <c r="N580" s="655">
        <v>5733</v>
      </c>
      <c r="O580" s="684">
        <v>4009.0000000000005</v>
      </c>
      <c r="P580" s="684">
        <v>78.245111999999992</v>
      </c>
      <c r="Q580" s="337">
        <v>0</v>
      </c>
      <c r="R580" s="167">
        <f t="shared" si="29"/>
        <v>143842.38205040005</v>
      </c>
      <c r="S580" s="686">
        <v>10.743118304841891</v>
      </c>
      <c r="T580" s="686">
        <v>0.24313599999999999</v>
      </c>
      <c r="U580" s="686">
        <v>3.4795991470973841E-3</v>
      </c>
      <c r="V580" s="473">
        <v>1.7000000000000001E-2</v>
      </c>
      <c r="W580" s="686">
        <v>0.27168999999999999</v>
      </c>
      <c r="X580" s="155">
        <v>10.611000000000001</v>
      </c>
      <c r="Y580" s="686">
        <v>11.33</v>
      </c>
      <c r="AB580" s="337">
        <v>0</v>
      </c>
      <c r="AC580" s="686">
        <v>0.18660784319277807</v>
      </c>
      <c r="AD580" s="686">
        <v>0.11949698001115681</v>
      </c>
      <c r="AE580" s="686">
        <v>0.49250006000000002</v>
      </c>
      <c r="AF580" s="473">
        <v>12.757520239447029</v>
      </c>
      <c r="AG580" s="172">
        <f t="shared" si="30"/>
        <v>8.1231675947064801</v>
      </c>
      <c r="AH580" s="667">
        <f t="shared" si="31"/>
        <v>202410</v>
      </c>
      <c r="AJ580" s="262" t="s">
        <v>1774</v>
      </c>
      <c r="AK580" s="262"/>
    </row>
    <row r="581" spans="3:37" ht="15.75" hidden="1">
      <c r="C581" s="649">
        <v>45589</v>
      </c>
      <c r="D581" s="683">
        <v>361951</v>
      </c>
      <c r="E581" s="683">
        <v>22736</v>
      </c>
      <c r="F581" s="645">
        <v>24801.280000000002</v>
      </c>
      <c r="G581" s="683">
        <v>4078</v>
      </c>
      <c r="H581" s="683">
        <v>2190</v>
      </c>
      <c r="I581" s="646">
        <v>139000</v>
      </c>
      <c r="J581" s="683">
        <v>175318</v>
      </c>
      <c r="K581" s="683">
        <v>51818.03</v>
      </c>
      <c r="L581" s="683">
        <v>11490</v>
      </c>
      <c r="M581" s="683">
        <v>435987</v>
      </c>
      <c r="N581" s="683">
        <v>7302</v>
      </c>
      <c r="O581" s="683">
        <v>5222</v>
      </c>
      <c r="P581" s="683">
        <v>94.28410199999999</v>
      </c>
      <c r="Q581" s="337">
        <v>0</v>
      </c>
      <c r="R581" s="167">
        <f t="shared" si="29"/>
        <v>145572.76194590001</v>
      </c>
      <c r="S581" s="685">
        <v>10.553112443260174</v>
      </c>
      <c r="T581" s="685">
        <v>0.29258499999999998</v>
      </c>
      <c r="U581" s="648">
        <v>3.4795991470973841E-3</v>
      </c>
      <c r="V581" s="648">
        <v>1.7000000000000001E-2</v>
      </c>
      <c r="W581" s="685">
        <v>0.26780999999999999</v>
      </c>
      <c r="X581" s="155">
        <v>10.611000000000001</v>
      </c>
      <c r="Y581" s="685">
        <v>11.28</v>
      </c>
      <c r="AA581" s="337">
        <v>0</v>
      </c>
      <c r="AB581" s="337">
        <v>0</v>
      </c>
      <c r="AC581" s="685">
        <v>0.22483555006838513</v>
      </c>
      <c r="AD581" s="685">
        <v>0.11859084177410539</v>
      </c>
      <c r="AE581" s="685">
        <v>0.41900006000000001</v>
      </c>
      <c r="AF581" s="685">
        <v>12.758001625385463</v>
      </c>
      <c r="AG581" s="172">
        <f t="shared" si="30"/>
        <v>8.086099117374971</v>
      </c>
      <c r="AH581" s="667">
        <f t="shared" si="31"/>
        <v>202410</v>
      </c>
      <c r="AJ581" s="262" t="s">
        <v>1775</v>
      </c>
      <c r="AK581" s="262"/>
    </row>
    <row r="582" spans="3:37" ht="15.75" hidden="1">
      <c r="C582" s="665">
        <v>45590</v>
      </c>
      <c r="D582" s="684">
        <v>352558</v>
      </c>
      <c r="E582" s="684">
        <v>22780</v>
      </c>
      <c r="F582" s="655">
        <v>24685</v>
      </c>
      <c r="G582" s="684">
        <v>4186</v>
      </c>
      <c r="H582" s="655">
        <v>2249</v>
      </c>
      <c r="I582" s="646">
        <v>146700</v>
      </c>
      <c r="J582" s="655">
        <v>171549</v>
      </c>
      <c r="K582" s="655">
        <v>48685.47</v>
      </c>
      <c r="L582" s="684">
        <v>9513</v>
      </c>
      <c r="M582" s="684">
        <v>442815</v>
      </c>
      <c r="N582" s="655">
        <v>7300</v>
      </c>
      <c r="O582" s="684">
        <v>4480</v>
      </c>
      <c r="P582" s="684">
        <v>57.488771999999997</v>
      </c>
      <c r="Q582" s="337">
        <v>0</v>
      </c>
      <c r="R582" s="167">
        <f t="shared" si="29"/>
        <v>144658.7784974</v>
      </c>
      <c r="S582" s="686">
        <v>11.484735818228669</v>
      </c>
      <c r="T582" s="686">
        <v>0.23902000000000001</v>
      </c>
      <c r="U582" s="686">
        <v>3.4042764061424846E-3</v>
      </c>
      <c r="V582" s="473">
        <v>1.7000000000000001E-2</v>
      </c>
      <c r="W582" s="686">
        <v>0.26462999999999998</v>
      </c>
      <c r="X582" s="155">
        <v>10.611000000000001</v>
      </c>
      <c r="Y582" s="686">
        <v>11.21</v>
      </c>
      <c r="AB582" s="337">
        <v>0</v>
      </c>
      <c r="AC582" s="686">
        <v>0.22483555006838513</v>
      </c>
      <c r="AD582" s="686">
        <v>0.1190439108926311</v>
      </c>
      <c r="AE582" s="686">
        <v>0.48010006</v>
      </c>
      <c r="AF582" s="473">
        <v>12.85119227970222</v>
      </c>
      <c r="AG582" s="172">
        <f t="shared" si="30"/>
        <v>8.1152429802993353</v>
      </c>
      <c r="AH582" s="667">
        <f t="shared" si="31"/>
        <v>202410</v>
      </c>
      <c r="AJ582" s="262" t="s">
        <v>1776</v>
      </c>
      <c r="AK582" s="262"/>
    </row>
    <row r="583" spans="3:37" ht="15.75" hidden="1">
      <c r="C583" s="649">
        <v>45591</v>
      </c>
      <c r="D583" s="683">
        <v>343789</v>
      </c>
      <c r="E583" s="683">
        <v>22616</v>
      </c>
      <c r="F583" s="645">
        <v>24720</v>
      </c>
      <c r="G583" s="683">
        <v>4111</v>
      </c>
      <c r="H583" s="683">
        <v>2274</v>
      </c>
      <c r="I583" s="646">
        <v>146700</v>
      </c>
      <c r="J583" s="683">
        <v>174147</v>
      </c>
      <c r="K583" s="683">
        <v>48277.38</v>
      </c>
      <c r="L583" s="683">
        <v>12101</v>
      </c>
      <c r="M583" s="683">
        <v>422601</v>
      </c>
      <c r="N583" s="683">
        <v>7300</v>
      </c>
      <c r="O583" s="683">
        <v>4129</v>
      </c>
      <c r="P583" s="683">
        <v>67.426655999999994</v>
      </c>
      <c r="Q583" s="337">
        <v>0</v>
      </c>
      <c r="R583" s="167">
        <f t="shared" si="29"/>
        <v>144677.25914520002</v>
      </c>
      <c r="S583" s="685">
        <v>13.884303137220481</v>
      </c>
      <c r="T583" s="685">
        <v>0.23947599999999999</v>
      </c>
      <c r="U583" s="648">
        <v>3.317938422243428E-3</v>
      </c>
      <c r="V583" s="648">
        <v>1.7000000000000001E-2</v>
      </c>
      <c r="W583" s="685">
        <v>0.27562000000000003</v>
      </c>
      <c r="X583" s="155">
        <v>10.611000000000001</v>
      </c>
      <c r="Y583" s="685">
        <v>11.14</v>
      </c>
      <c r="AB583" s="337">
        <v>0</v>
      </c>
      <c r="AC583" s="685">
        <v>0.22426921367022795</v>
      </c>
      <c r="AD583" s="685">
        <v>0.11949698001115681</v>
      </c>
      <c r="AE583" s="685">
        <v>0.46520005999999997</v>
      </c>
      <c r="AF583" s="685">
        <v>12.847341192194751</v>
      </c>
      <c r="AG583" s="172">
        <f t="shared" si="30"/>
        <v>8.15628491454666</v>
      </c>
      <c r="AH583" s="667">
        <f t="shared" si="31"/>
        <v>202410</v>
      </c>
      <c r="AJ583" s="262" t="s">
        <v>1777</v>
      </c>
      <c r="AK583" s="262"/>
    </row>
    <row r="584" spans="3:37" ht="15.75" hidden="1">
      <c r="C584" s="665">
        <v>45592</v>
      </c>
      <c r="D584" s="684">
        <v>344968</v>
      </c>
      <c r="E584" s="684">
        <v>22704</v>
      </c>
      <c r="F584" s="655">
        <v>24745</v>
      </c>
      <c r="G584" s="684">
        <v>4078</v>
      </c>
      <c r="H584" s="655">
        <v>2305</v>
      </c>
      <c r="I584" s="646">
        <v>146700</v>
      </c>
      <c r="J584" s="655">
        <v>172994</v>
      </c>
      <c r="K584" s="655">
        <v>46040.17</v>
      </c>
      <c r="L584" s="684">
        <v>10583</v>
      </c>
      <c r="M584" s="684">
        <v>430601</v>
      </c>
      <c r="N584" s="655">
        <v>6967</v>
      </c>
      <c r="O584" s="684">
        <v>3740</v>
      </c>
      <c r="P584" s="684">
        <v>87.239525999999984</v>
      </c>
      <c r="Q584" s="337">
        <v>0</v>
      </c>
      <c r="R584" s="167">
        <f t="shared" si="29"/>
        <v>143671.63983669999</v>
      </c>
      <c r="S584" s="686">
        <v>11.400351694903252</v>
      </c>
      <c r="T584" s="686">
        <v>0.23938999999999999</v>
      </c>
      <c r="U584" s="686">
        <v>3.2313739037851102E-3</v>
      </c>
      <c r="V584" s="473">
        <v>1.7000000000000001E-2</v>
      </c>
      <c r="W584" s="686">
        <v>0.27044999999999997</v>
      </c>
      <c r="X584" s="155">
        <v>10.611000000000001</v>
      </c>
      <c r="Y584" s="686">
        <v>11.38</v>
      </c>
      <c r="AB584" s="337">
        <v>0</v>
      </c>
      <c r="AC584" s="686">
        <v>0.22511871826746369</v>
      </c>
      <c r="AD584" s="686">
        <v>0.11859084177410539</v>
      </c>
      <c r="AE584" s="686">
        <v>0.46090006</v>
      </c>
      <c r="AF584" s="473">
        <v>12.842725550549769</v>
      </c>
      <c r="AG584" s="172">
        <f t="shared" si="30"/>
        <v>8.1530631521974399</v>
      </c>
      <c r="AH584" s="667">
        <f t="shared" si="31"/>
        <v>202410</v>
      </c>
      <c r="AJ584" s="262" t="s">
        <v>1777</v>
      </c>
      <c r="AK584" s="262"/>
    </row>
    <row r="585" spans="3:37" ht="15.75" hidden="1">
      <c r="C585" s="649">
        <v>45593</v>
      </c>
      <c r="D585" s="683">
        <v>340616</v>
      </c>
      <c r="E585" s="683">
        <v>22535</v>
      </c>
      <c r="F585" s="645">
        <v>24771</v>
      </c>
      <c r="G585" s="683">
        <v>3924</v>
      </c>
      <c r="H585" s="683">
        <v>2296</v>
      </c>
      <c r="I585" s="646">
        <v>146700</v>
      </c>
      <c r="J585" s="683">
        <v>176058</v>
      </c>
      <c r="K585" s="683">
        <v>47916.03</v>
      </c>
      <c r="L585" s="683">
        <v>11401</v>
      </c>
      <c r="M585" s="683">
        <v>358859</v>
      </c>
      <c r="N585" s="683">
        <v>7108</v>
      </c>
      <c r="O585" s="683">
        <v>4905</v>
      </c>
      <c r="P585" s="683">
        <v>59.187017999999995</v>
      </c>
      <c r="Q585" s="337">
        <v>0</v>
      </c>
      <c r="R585" s="167">
        <f t="shared" ref="R585:R648" si="32" xml:space="preserve"> IF(C585&lt; DATE(2024, 11, 1), D585 * (2.31 / 100), D585 * (2.925 / 100))+E585*E$6+F585*F$6+G585*G$6+H585*H$6+I585*I$6+J585*J$6+K585*K$6+L585*L$6+M585*M$6+N585*N$6+O585*O$6+P585*P$6+Q585*Q$6</f>
        <v>142519.83250810002</v>
      </c>
      <c r="S585" s="685">
        <v>10.893763786751693</v>
      </c>
      <c r="T585" s="685">
        <v>0.24121100000000001</v>
      </c>
      <c r="U585" s="648">
        <v>3.4798539984765551E-3</v>
      </c>
      <c r="V585" s="648">
        <v>1.7000000000000001E-2</v>
      </c>
      <c r="W585" s="685">
        <v>0.26693</v>
      </c>
      <c r="X585" s="155">
        <v>10.611000000000001</v>
      </c>
      <c r="Y585" s="685">
        <v>11.42</v>
      </c>
      <c r="AB585" s="337">
        <v>0</v>
      </c>
      <c r="AC585" s="685">
        <v>0.22398604547114939</v>
      </c>
      <c r="AD585" s="685">
        <v>0.11949698001115681</v>
      </c>
      <c r="AE585" s="685">
        <v>0.46010005999999998</v>
      </c>
      <c r="AF585" s="685">
        <v>12.55746190679802</v>
      </c>
      <c r="AG585" s="172">
        <f t="shared" ref="AG585:AG588" si="33" xml:space="preserve"> IF(C585&lt; DATE(2024, 11, 1), S585 * (2.31 / 100), S585 * (2.925 / 100))+T585*T$6+U585*U$6+V585*V$6+W585*W$6+X585*X$6+Y585*Y$6+Z585*Z$6+AA585*AA$6+AB585*AB$6+AC585*AC$6+AD585*AD$6+AE585*AE$6+AF585*AF$6</f>
        <v>8.1002896194348519</v>
      </c>
      <c r="AH585" s="667">
        <f t="shared" si="31"/>
        <v>202410</v>
      </c>
      <c r="AJ585" s="262" t="s">
        <v>1778</v>
      </c>
      <c r="AK585" s="262"/>
    </row>
    <row r="586" spans="3:37" ht="15.75" hidden="1">
      <c r="C586" s="665">
        <v>45594</v>
      </c>
      <c r="D586" s="684">
        <v>340724</v>
      </c>
      <c r="E586" s="684">
        <v>22459</v>
      </c>
      <c r="F586" s="655">
        <v>24771</v>
      </c>
      <c r="G586" s="684">
        <v>4046</v>
      </c>
      <c r="H586" s="655">
        <v>2274</v>
      </c>
      <c r="I586" s="646">
        <v>146700</v>
      </c>
      <c r="J586" s="655">
        <v>176067</v>
      </c>
      <c r="K586" s="655">
        <v>47293.2</v>
      </c>
      <c r="L586" s="684">
        <v>10089</v>
      </c>
      <c r="M586" s="684">
        <v>270765</v>
      </c>
      <c r="N586" s="655">
        <v>7120</v>
      </c>
      <c r="O586" s="684">
        <v>4258</v>
      </c>
      <c r="P586" s="684">
        <v>73.842252000000002</v>
      </c>
      <c r="Q586" s="337">
        <v>0</v>
      </c>
      <c r="R586" s="167">
        <f t="shared" si="32"/>
        <v>138296.27466340002</v>
      </c>
      <c r="S586" s="686">
        <v>13.017808448040048</v>
      </c>
      <c r="T586" s="686">
        <v>0.23996000000000001</v>
      </c>
      <c r="U586" s="686">
        <v>3.3306526743820558E-3</v>
      </c>
      <c r="V586" s="473">
        <v>1.7000000000000001E-2</v>
      </c>
      <c r="W586" s="686">
        <v>0.26574999999999999</v>
      </c>
      <c r="X586" s="155">
        <v>10.611000000000001</v>
      </c>
      <c r="Y586" s="686">
        <v>11.4</v>
      </c>
      <c r="AB586" s="337">
        <v>0</v>
      </c>
      <c r="AC586" s="686">
        <v>0.22426921367022795</v>
      </c>
      <c r="AD586" s="686">
        <v>0.11949698001115681</v>
      </c>
      <c r="AE586" s="686">
        <v>0.45710005999999997</v>
      </c>
      <c r="AF586" s="473">
        <v>12.468462141827624</v>
      </c>
      <c r="AG586" s="172">
        <f t="shared" si="33"/>
        <v>8.1260840286406779</v>
      </c>
      <c r="AH586" s="667">
        <f t="shared" si="31"/>
        <v>202410</v>
      </c>
      <c r="AJ586" s="262" t="s">
        <v>1778</v>
      </c>
      <c r="AK586" s="262"/>
    </row>
    <row r="587" spans="3:37" ht="15.75" hidden="1">
      <c r="C587" s="649">
        <v>45595</v>
      </c>
      <c r="D587" s="683">
        <v>354367</v>
      </c>
      <c r="E587" s="683">
        <v>22101</v>
      </c>
      <c r="F587" s="645">
        <v>24491</v>
      </c>
      <c r="G587" s="683">
        <v>4120</v>
      </c>
      <c r="H587" s="683">
        <v>2256</v>
      </c>
      <c r="I587" s="646">
        <v>146700</v>
      </c>
      <c r="J587" s="683">
        <v>174476</v>
      </c>
      <c r="K587" s="683">
        <v>47074.61</v>
      </c>
      <c r="L587" s="683">
        <v>11412</v>
      </c>
      <c r="M587" s="683">
        <v>246353</v>
      </c>
      <c r="N587" s="683">
        <v>7237</v>
      </c>
      <c r="O587" s="683">
        <v>5173</v>
      </c>
      <c r="P587" s="683">
        <v>90.069935999999998</v>
      </c>
      <c r="Q587" s="337">
        <v>0</v>
      </c>
      <c r="R587" s="167">
        <f t="shared" si="32"/>
        <v>137598.32667120002</v>
      </c>
      <c r="S587" s="685">
        <v>11.830767357502685</v>
      </c>
      <c r="T587" s="685">
        <v>0.23832700000000001</v>
      </c>
      <c r="U587" s="648">
        <v>3.5350717972968764E-3</v>
      </c>
      <c r="V587" s="648">
        <v>1.7000000000000001E-2</v>
      </c>
      <c r="W587" s="685">
        <v>0.26577000000000001</v>
      </c>
      <c r="X587" s="155">
        <v>10.611000000000001</v>
      </c>
      <c r="Y587" s="685">
        <v>11.41</v>
      </c>
      <c r="AA587" s="337">
        <v>0</v>
      </c>
      <c r="AB587" s="337">
        <v>0</v>
      </c>
      <c r="AC587" s="685">
        <v>0.22228703627667795</v>
      </c>
      <c r="AD587" s="685">
        <v>0.11669361484027899</v>
      </c>
      <c r="AE587" s="685">
        <v>0.46150005999999999</v>
      </c>
      <c r="AF587" s="685">
        <v>12.334920019142169</v>
      </c>
      <c r="AG587" s="172">
        <f t="shared" si="33"/>
        <v>8.078924016397135</v>
      </c>
      <c r="AH587" s="667">
        <f t="shared" si="31"/>
        <v>202410</v>
      </c>
      <c r="AJ587" s="262" t="s">
        <v>1779</v>
      </c>
      <c r="AK587" s="262"/>
    </row>
    <row r="588" spans="3:37" ht="15.75" hidden="1">
      <c r="C588" s="665">
        <v>45596</v>
      </c>
      <c r="D588" s="684">
        <v>355612</v>
      </c>
      <c r="E588" s="684">
        <v>22403</v>
      </c>
      <c r="F588" s="655">
        <v>24400</v>
      </c>
      <c r="G588" s="684">
        <v>4139</v>
      </c>
      <c r="H588" s="655">
        <v>2255</v>
      </c>
      <c r="I588" s="646">
        <v>146700</v>
      </c>
      <c r="J588" s="655">
        <v>173204</v>
      </c>
      <c r="K588" s="655">
        <v>46869.2</v>
      </c>
      <c r="L588" s="684">
        <v>11958</v>
      </c>
      <c r="M588" s="684">
        <v>343680</v>
      </c>
      <c r="N588" s="655">
        <v>7279</v>
      </c>
      <c r="O588" s="684">
        <v>3982</v>
      </c>
      <c r="P588" s="684">
        <v>48.494357999999998</v>
      </c>
      <c r="Q588" s="337">
        <v>0</v>
      </c>
      <c r="R588" s="167">
        <f t="shared" si="32"/>
        <v>140805.66716109999</v>
      </c>
      <c r="S588" s="686">
        <v>11.433765542394529</v>
      </c>
      <c r="T588" s="686">
        <v>0.229765</v>
      </c>
      <c r="U588" s="686">
        <v>3.6796291629264863E-3</v>
      </c>
      <c r="V588" s="473">
        <v>1.7000000000000001E-2</v>
      </c>
      <c r="W588" s="686">
        <v>0.26599</v>
      </c>
      <c r="X588" s="155">
        <v>10.611000000000001</v>
      </c>
      <c r="Y588" s="686">
        <v>11.49</v>
      </c>
      <c r="AC588" s="686">
        <v>0.22172069987852083</v>
      </c>
      <c r="AD588" s="686">
        <v>0.1190439108926311</v>
      </c>
      <c r="AE588" s="686">
        <v>0.45760005999999998</v>
      </c>
      <c r="AF588" s="473">
        <v>12.361707730775002</v>
      </c>
      <c r="AG588" s="172">
        <f t="shared" si="33"/>
        <v>8.0922394570188025</v>
      </c>
      <c r="AH588" s="667">
        <f t="shared" si="31"/>
        <v>202410</v>
      </c>
      <c r="AJ588" s="262" t="s">
        <v>1780</v>
      </c>
      <c r="AK588" s="262"/>
    </row>
    <row r="589" spans="3:37" ht="15.75" hidden="1">
      <c r="C589" s="649">
        <v>45597</v>
      </c>
      <c r="D589" s="683">
        <v>342224</v>
      </c>
      <c r="E589" s="683">
        <v>22956</v>
      </c>
      <c r="F589" s="645">
        <v>8271</v>
      </c>
      <c r="G589" s="683">
        <v>4101</v>
      </c>
      <c r="H589" s="683">
        <v>2269</v>
      </c>
      <c r="I589" s="646">
        <v>144800</v>
      </c>
      <c r="J589" s="683">
        <v>170692</v>
      </c>
      <c r="K589" s="683">
        <v>47786.78</v>
      </c>
      <c r="L589" s="683">
        <v>11649</v>
      </c>
      <c r="M589" s="683">
        <v>420935</v>
      </c>
      <c r="N589" s="683">
        <v>7238</v>
      </c>
      <c r="O589" s="683">
        <v>4460</v>
      </c>
      <c r="P589" s="683">
        <v>77.993520000000004</v>
      </c>
      <c r="Q589" s="337">
        <v>0</v>
      </c>
      <c r="R589" s="167">
        <f t="shared" si="32"/>
        <v>133866.985334</v>
      </c>
      <c r="S589" s="685">
        <v>12.107139519803368</v>
      </c>
      <c r="T589" s="685">
        <v>0.21601600000000001</v>
      </c>
      <c r="U589" s="648">
        <v>1.1770452531098946E-3</v>
      </c>
      <c r="V589" s="648">
        <v>1.7000000000000001E-2</v>
      </c>
      <c r="W589" s="685">
        <v>0.26662999999999998</v>
      </c>
      <c r="X589" s="721">
        <v>11.148</v>
      </c>
      <c r="Y589" s="685">
        <v>11.26</v>
      </c>
      <c r="AA589" s="337">
        <v>0</v>
      </c>
      <c r="AB589" s="337">
        <v>0</v>
      </c>
      <c r="AC589" s="685">
        <v>0.22455238186930654</v>
      </c>
      <c r="AD589" s="685">
        <v>0.11006747898184041</v>
      </c>
      <c r="AE589" s="685">
        <v>0.45480006000000001</v>
      </c>
      <c r="AF589" s="685">
        <v>12.324102993937368</v>
      </c>
      <c r="AG589" s="172">
        <f xml:space="preserve"> IF(C589&lt; DATE(2024, 11, 1), S589 * (2.31 / 100), S589 * (2.925 / 100))+T589*T$6+U589*U$6+V589*V$6+W589*W$6+X589*X$6+Y589*Y$6+Z589*Z$6+AA589*AA$6+AB589*AB$6+AC589*AC$6+AD589*AD$6+AE589*AE$6+AF589*AF$6</f>
        <v>8.2140973721991379</v>
      </c>
      <c r="AH589" s="667">
        <f t="shared" si="31"/>
        <v>202411</v>
      </c>
      <c r="AJ589" s="262" t="s">
        <v>1783</v>
      </c>
      <c r="AK589" s="262"/>
    </row>
    <row r="590" spans="3:37" ht="15.75" hidden="1">
      <c r="C590" s="665">
        <v>45598</v>
      </c>
      <c r="D590" s="684">
        <v>345975</v>
      </c>
      <c r="E590" s="684">
        <v>23201</v>
      </c>
      <c r="F590" s="655">
        <v>5787</v>
      </c>
      <c r="G590" s="684">
        <v>4095</v>
      </c>
      <c r="H590" s="655">
        <v>2229</v>
      </c>
      <c r="I590" s="646">
        <v>144800</v>
      </c>
      <c r="J590" s="655">
        <v>171737</v>
      </c>
      <c r="K590" s="655">
        <v>47247.56</v>
      </c>
      <c r="L590" s="684">
        <v>11024</v>
      </c>
      <c r="M590" s="684">
        <v>413556</v>
      </c>
      <c r="N590" s="655">
        <v>7217</v>
      </c>
      <c r="O590" s="684">
        <v>4364</v>
      </c>
      <c r="P590" s="684">
        <v>56.859791999999992</v>
      </c>
      <c r="Q590" s="337">
        <v>0</v>
      </c>
      <c r="R590" s="167">
        <f t="shared" si="32"/>
        <v>131901.7856564</v>
      </c>
      <c r="S590" s="686">
        <v>11.166737930663436</v>
      </c>
      <c r="T590" s="686">
        <v>0.29588500000000001</v>
      </c>
      <c r="U590" s="686">
        <v>5.8712094396950847E-4</v>
      </c>
      <c r="V590" s="473">
        <v>1.7000000000000001E-2</v>
      </c>
      <c r="W590" s="686">
        <v>0.2656</v>
      </c>
      <c r="X590" s="721">
        <v>11.148</v>
      </c>
      <c r="Y590" s="686">
        <v>11.32</v>
      </c>
      <c r="AA590" s="337">
        <v>0</v>
      </c>
      <c r="AB590" s="337">
        <v>0</v>
      </c>
      <c r="AC590" s="686">
        <v>0.24805534239282789</v>
      </c>
      <c r="AD590" s="686">
        <v>0.11091698357907612</v>
      </c>
      <c r="AE590" s="686">
        <v>0.44940005999999999</v>
      </c>
      <c r="AF590" s="473">
        <v>12.333079425848158</v>
      </c>
      <c r="AG590" s="172">
        <f t="shared" ref="AG590:AG625" si="34" xml:space="preserve"> IF(C590&lt; DATE(2024, 11, 1), S590 * (2.31 / 100), S590 * (2.925 / 100))+T590*T$6+U590*U$6+V590*V$6+W590*W$6+X590*X$6+Y590*Y$6+Z590*Z$6+AA590*AA$6+AB590*AB$6+AC590*AC$6+AD590*AD$6+AE590*AE$6+AF590*AF$6</f>
        <v>8.2243334296217121</v>
      </c>
      <c r="AH590" s="667">
        <f t="shared" si="31"/>
        <v>202411</v>
      </c>
      <c r="AJ590" s="262" t="s">
        <v>1782</v>
      </c>
      <c r="AK590" s="262"/>
    </row>
    <row r="591" spans="3:37" ht="15.75" hidden="1">
      <c r="C591" s="649">
        <v>45599</v>
      </c>
      <c r="D591" s="683">
        <v>347041</v>
      </c>
      <c r="E591" s="683">
        <v>23899</v>
      </c>
      <c r="F591" s="645">
        <v>24876</v>
      </c>
      <c r="G591" s="683">
        <v>4163</v>
      </c>
      <c r="H591" s="683">
        <v>2257</v>
      </c>
      <c r="I591" s="646">
        <v>144800</v>
      </c>
      <c r="J591" s="683">
        <v>172350</v>
      </c>
      <c r="K591" s="683">
        <v>49689.599999999999</v>
      </c>
      <c r="L591" s="683">
        <v>11480</v>
      </c>
      <c r="M591" s="683">
        <v>412979</v>
      </c>
      <c r="N591" s="683">
        <v>7134</v>
      </c>
      <c r="O591" s="683">
        <v>4394</v>
      </c>
      <c r="P591" s="683">
        <v>78.811193999999986</v>
      </c>
      <c r="Q591" s="337">
        <v>0</v>
      </c>
      <c r="R591" s="167">
        <f t="shared" si="32"/>
        <v>146415.29428729997</v>
      </c>
      <c r="S591" s="685">
        <v>11.273209173516976</v>
      </c>
      <c r="T591" s="685">
        <v>0.28309000000000001</v>
      </c>
      <c r="U591" s="648">
        <v>2.7135159013102188E-3</v>
      </c>
      <c r="V591" s="648">
        <v>1.7000000000000001E-2</v>
      </c>
      <c r="W591" s="685">
        <v>0.26926</v>
      </c>
      <c r="X591" s="721">
        <v>11.148</v>
      </c>
      <c r="Y591" s="685">
        <v>11.24</v>
      </c>
      <c r="AA591" s="337">
        <v>0</v>
      </c>
      <c r="AB591" s="337">
        <v>0</v>
      </c>
      <c r="AC591" s="685">
        <v>0.2296494094527208</v>
      </c>
      <c r="AD591" s="685">
        <v>0.11669361484027899</v>
      </c>
      <c r="AE591" s="685">
        <v>0.43920006</v>
      </c>
      <c r="AF591" s="685">
        <v>12.322942004321146</v>
      </c>
      <c r="AG591" s="172">
        <f t="shared" si="34"/>
        <v>8.2023141781667963</v>
      </c>
      <c r="AH591" s="667">
        <f t="shared" si="31"/>
        <v>202411</v>
      </c>
      <c r="AJ591" s="262" t="s">
        <v>1781</v>
      </c>
      <c r="AK591" s="262"/>
    </row>
    <row r="592" spans="3:37" ht="15.75" hidden="1">
      <c r="C592" s="665">
        <v>45600</v>
      </c>
      <c r="D592" s="684">
        <v>353056</v>
      </c>
      <c r="E592" s="684">
        <v>28208</v>
      </c>
      <c r="F592" s="655">
        <v>24783</v>
      </c>
      <c r="G592" s="684">
        <v>4219</v>
      </c>
      <c r="H592" s="655">
        <v>2260</v>
      </c>
      <c r="I592" s="646">
        <v>144800</v>
      </c>
      <c r="J592" s="655">
        <v>172684</v>
      </c>
      <c r="K592" s="655">
        <v>49142.64</v>
      </c>
      <c r="L592" s="684">
        <v>11639</v>
      </c>
      <c r="M592" s="684">
        <v>429624</v>
      </c>
      <c r="N592" s="655">
        <v>7031</v>
      </c>
      <c r="O592" s="684">
        <v>4120</v>
      </c>
      <c r="P592" s="684">
        <v>80.38364399999999</v>
      </c>
      <c r="Q592" s="337">
        <v>0</v>
      </c>
      <c r="R592" s="167">
        <f t="shared" si="32"/>
        <v>148254.59938980002</v>
      </c>
      <c r="S592" s="686">
        <v>11.327577467740058</v>
      </c>
      <c r="T592" s="686">
        <v>0.30254199999999998</v>
      </c>
      <c r="U592" s="686">
        <v>2.9173403710069743E-3</v>
      </c>
      <c r="V592" s="473">
        <v>1.7000000000000001E-2</v>
      </c>
      <c r="W592" s="686">
        <v>0.26697000000000004</v>
      </c>
      <c r="X592" s="721">
        <v>11.148</v>
      </c>
      <c r="Y592" s="686">
        <v>11.32</v>
      </c>
      <c r="AA592" s="337">
        <v>0</v>
      </c>
      <c r="AB592" s="337">
        <v>0</v>
      </c>
      <c r="AC592" s="686">
        <v>0.21832268148957798</v>
      </c>
      <c r="AD592" s="686">
        <v>0.10859500434663184</v>
      </c>
      <c r="AE592" s="686">
        <v>0.43760006000000001</v>
      </c>
      <c r="AF592" s="473">
        <v>12.321894281984555</v>
      </c>
      <c r="AG592" s="172">
        <f t="shared" si="34"/>
        <v>8.2224256708309831</v>
      </c>
      <c r="AH592" s="667">
        <f t="shared" si="31"/>
        <v>202411</v>
      </c>
      <c r="AJ592" s="262" t="s">
        <v>1784</v>
      </c>
      <c r="AK592" s="262"/>
    </row>
    <row r="593" spans="3:37" ht="15.75" hidden="1">
      <c r="C593" s="649">
        <v>45601</v>
      </c>
      <c r="D593" s="683">
        <v>355144</v>
      </c>
      <c r="E593" s="683">
        <v>29478</v>
      </c>
      <c r="F593" s="645">
        <v>24261</v>
      </c>
      <c r="G593" s="683">
        <v>4049</v>
      </c>
      <c r="H593" s="683">
        <v>2222</v>
      </c>
      <c r="I593" s="646">
        <v>144800</v>
      </c>
      <c r="J593" s="683">
        <v>170463</v>
      </c>
      <c r="K593" s="683">
        <v>48470.26</v>
      </c>
      <c r="L593" s="683">
        <v>11278</v>
      </c>
      <c r="M593" s="683">
        <v>434229</v>
      </c>
      <c r="N593" s="683">
        <v>7223</v>
      </c>
      <c r="O593" s="683">
        <v>5036</v>
      </c>
      <c r="P593" s="683">
        <v>59.061222000000001</v>
      </c>
      <c r="Q593" s="337">
        <v>0</v>
      </c>
      <c r="R593" s="167">
        <f t="shared" si="32"/>
        <v>147899.6520499</v>
      </c>
      <c r="S593" s="685">
        <v>11.192223068580505</v>
      </c>
      <c r="T593" s="685">
        <v>0.30790899999999999</v>
      </c>
      <c r="U593" s="648">
        <v>3.292453284326357E-3</v>
      </c>
      <c r="V593" s="648">
        <v>1.7000000000000001E-2</v>
      </c>
      <c r="W593" s="685">
        <v>0.26611000000000001</v>
      </c>
      <c r="X593" s="721">
        <v>11.148</v>
      </c>
      <c r="Y593" s="685">
        <v>11.22</v>
      </c>
      <c r="AB593" s="337">
        <v>0</v>
      </c>
      <c r="AC593" s="685">
        <v>0.21152664471169227</v>
      </c>
      <c r="AD593" s="685">
        <v>0.10901975664524971</v>
      </c>
      <c r="AE593" s="685">
        <v>0.43200006000000002</v>
      </c>
      <c r="AF593" s="685">
        <v>12.327161210487416</v>
      </c>
      <c r="AG593" s="172">
        <f t="shared" si="34"/>
        <v>8.1911159384142564</v>
      </c>
      <c r="AH593" s="667">
        <f t="shared" si="31"/>
        <v>202411</v>
      </c>
      <c r="AJ593" s="262" t="s">
        <v>1785</v>
      </c>
      <c r="AK593" s="262"/>
    </row>
    <row r="594" spans="3:37" ht="17.25" hidden="1" customHeight="1">
      <c r="C594" s="665">
        <v>45602</v>
      </c>
      <c r="D594" s="684">
        <v>352173</v>
      </c>
      <c r="E594" s="684">
        <v>29472</v>
      </c>
      <c r="F594" s="655">
        <v>24750</v>
      </c>
      <c r="G594" s="684">
        <v>4170</v>
      </c>
      <c r="H594" s="655">
        <v>2240</v>
      </c>
      <c r="I594" s="646">
        <v>144800</v>
      </c>
      <c r="J594" s="655">
        <v>172958</v>
      </c>
      <c r="K594" s="655">
        <v>48710.49</v>
      </c>
      <c r="L594" s="684">
        <v>11017</v>
      </c>
      <c r="M594" s="684">
        <v>437098</v>
      </c>
      <c r="N594" s="655">
        <v>7130</v>
      </c>
      <c r="O594" s="684">
        <v>4408</v>
      </c>
      <c r="P594" s="684">
        <v>60.444977999999992</v>
      </c>
      <c r="Q594" s="337">
        <v>0</v>
      </c>
      <c r="R594" s="167">
        <f t="shared" si="32"/>
        <v>148731.67424010002</v>
      </c>
      <c r="S594" s="686">
        <v>11.245175521808198</v>
      </c>
      <c r="T594" s="686">
        <v>0.30985200000000002</v>
      </c>
      <c r="U594" s="686">
        <v>3.4327914437896961E-3</v>
      </c>
      <c r="V594" s="473">
        <v>1.7000000000000001E-2</v>
      </c>
      <c r="W594" s="686">
        <v>0.26721</v>
      </c>
      <c r="X594" s="721">
        <v>11.148</v>
      </c>
      <c r="Y594" s="686">
        <v>11.3</v>
      </c>
      <c r="AA594" s="337">
        <v>0</v>
      </c>
      <c r="AB594" s="337">
        <v>0</v>
      </c>
      <c r="AC594" s="686">
        <v>0.21520783129971369</v>
      </c>
      <c r="AD594" s="686">
        <v>0.11049223128045828</v>
      </c>
      <c r="AE594" s="686">
        <v>0.42950006000000002</v>
      </c>
      <c r="AF594" s="473">
        <v>12.462090857348356</v>
      </c>
      <c r="AG594" s="172">
        <f t="shared" si="34"/>
        <v>8.2379946047279162</v>
      </c>
      <c r="AH594" s="667">
        <f t="shared" si="31"/>
        <v>202411</v>
      </c>
      <c r="AJ594" s="262" t="s">
        <v>1785</v>
      </c>
      <c r="AK594" s="262"/>
    </row>
    <row r="595" spans="3:37" ht="15.75" hidden="1">
      <c r="C595" s="649">
        <v>45603</v>
      </c>
      <c r="D595" s="683">
        <v>351953</v>
      </c>
      <c r="E595" s="683">
        <v>29396</v>
      </c>
      <c r="F595" s="645">
        <v>24709</v>
      </c>
      <c r="G595" s="683">
        <v>4153</v>
      </c>
      <c r="H595" s="683">
        <v>2251</v>
      </c>
      <c r="I595" s="646">
        <v>144800</v>
      </c>
      <c r="J595" s="683">
        <v>174111</v>
      </c>
      <c r="K595" s="683">
        <v>47854.92</v>
      </c>
      <c r="L595" s="683">
        <v>11786</v>
      </c>
      <c r="M595" s="683">
        <v>434004</v>
      </c>
      <c r="N595" s="683">
        <v>7116</v>
      </c>
      <c r="O595" s="683">
        <v>4225</v>
      </c>
      <c r="P595" s="683">
        <v>56.859791999999992</v>
      </c>
      <c r="Q595" s="337">
        <v>0</v>
      </c>
      <c r="R595" s="167">
        <f t="shared" si="32"/>
        <v>148749.81465640001</v>
      </c>
      <c r="S595" s="685">
        <v>11.246025026405434</v>
      </c>
      <c r="T595" s="685">
        <v>0.30407099999999998</v>
      </c>
      <c r="U595" s="648">
        <v>3.5260387317462699E-3</v>
      </c>
      <c r="V595" s="648">
        <v>1.7000000000000001E-2</v>
      </c>
      <c r="W595" s="685">
        <v>0.26743</v>
      </c>
      <c r="X595" s="721">
        <v>11.148</v>
      </c>
      <c r="Y595" s="685">
        <v>11.21</v>
      </c>
      <c r="AA595" s="337">
        <v>0</v>
      </c>
      <c r="AB595" s="337">
        <v>0</v>
      </c>
      <c r="AC595" s="685">
        <v>0.2095444673181423</v>
      </c>
      <c r="AD595" s="685">
        <v>0.11091698357907612</v>
      </c>
      <c r="AE595" s="685">
        <v>0.42630005999999998</v>
      </c>
      <c r="AF595" s="685">
        <v>11.114521714753344</v>
      </c>
      <c r="AG595" s="172">
        <f t="shared" si="34"/>
        <v>7.9823640324792757</v>
      </c>
      <c r="AH595" s="667">
        <f t="shared" si="31"/>
        <v>202411</v>
      </c>
      <c r="AJ595" s="262" t="s">
        <v>1786</v>
      </c>
      <c r="AK595" s="262"/>
    </row>
    <row r="596" spans="3:37" ht="15.75" hidden="1">
      <c r="C596" s="665">
        <v>45604</v>
      </c>
      <c r="D596" s="684">
        <v>351767</v>
      </c>
      <c r="E596" s="684">
        <v>29553</v>
      </c>
      <c r="F596" s="655">
        <v>24691</v>
      </c>
      <c r="G596" s="684">
        <v>4111</v>
      </c>
      <c r="H596" s="655">
        <v>2249</v>
      </c>
      <c r="I596" s="646">
        <v>137700</v>
      </c>
      <c r="J596" s="655">
        <v>171350</v>
      </c>
      <c r="K596" s="655">
        <v>47679.44</v>
      </c>
      <c r="L596" s="684">
        <v>10781</v>
      </c>
      <c r="M596" s="684">
        <v>393111</v>
      </c>
      <c r="N596" s="655">
        <v>7089</v>
      </c>
      <c r="O596" s="684">
        <v>3475</v>
      </c>
      <c r="P596" s="684">
        <v>83.528543999999997</v>
      </c>
      <c r="Q596" s="337">
        <v>0</v>
      </c>
      <c r="R596" s="167">
        <f t="shared" si="32"/>
        <v>144400.2888448</v>
      </c>
      <c r="S596" s="686">
        <v>11.153995361704901</v>
      </c>
      <c r="T596" s="686">
        <v>0.30793599999999999</v>
      </c>
      <c r="U596" s="686">
        <v>3.342177620084554E-3</v>
      </c>
      <c r="V596" s="473">
        <v>1.7000000000000001E-2</v>
      </c>
      <c r="W596" s="686">
        <v>0.26995999999999998</v>
      </c>
      <c r="X596" s="721">
        <v>11.148</v>
      </c>
      <c r="Y596" s="686">
        <v>11.28</v>
      </c>
      <c r="AB596" s="337">
        <v>0</v>
      </c>
      <c r="AC596" s="686">
        <v>0.21719000869326369</v>
      </c>
      <c r="AD596" s="686">
        <v>0.11236114139437683</v>
      </c>
      <c r="AE596" s="686">
        <v>0.41630005999999997</v>
      </c>
      <c r="AF596" s="473">
        <v>9.2708135705527717</v>
      </c>
      <c r="AG596" s="172">
        <f t="shared" si="34"/>
        <v>7.6848053001719077</v>
      </c>
      <c r="AH596" s="667">
        <f t="shared" si="31"/>
        <v>202411</v>
      </c>
      <c r="AJ596" s="262" t="s">
        <v>1788</v>
      </c>
      <c r="AK596" s="262"/>
    </row>
    <row r="597" spans="3:37" ht="15.75" hidden="1">
      <c r="C597" s="649">
        <v>45605</v>
      </c>
      <c r="D597" s="683">
        <v>339220</v>
      </c>
      <c r="E597" s="683">
        <v>29289</v>
      </c>
      <c r="F597" s="645">
        <v>24688</v>
      </c>
      <c r="G597" s="683">
        <v>4030</v>
      </c>
      <c r="H597" s="683">
        <v>2235</v>
      </c>
      <c r="I597" s="646">
        <v>137700</v>
      </c>
      <c r="J597" s="683">
        <v>172434</v>
      </c>
      <c r="K597" s="683">
        <v>48715.21</v>
      </c>
      <c r="L597" s="683">
        <v>11057</v>
      </c>
      <c r="M597" s="741">
        <v>424843</v>
      </c>
      <c r="N597" s="683">
        <v>7087</v>
      </c>
      <c r="O597" s="683">
        <v>4708</v>
      </c>
      <c r="P597" s="683">
        <v>59.375711999999993</v>
      </c>
      <c r="Q597" s="337">
        <v>0</v>
      </c>
      <c r="R597" s="167">
        <f t="shared" si="32"/>
        <v>146264.16782040003</v>
      </c>
      <c r="S597" s="685">
        <v>11.372884379592634</v>
      </c>
      <c r="T597" s="685">
        <v>0.30709799999999998</v>
      </c>
      <c r="U597" s="648">
        <v>3.3245079244620507E-3</v>
      </c>
      <c r="V597" s="648">
        <v>1.7000000000000001E-2</v>
      </c>
      <c r="W597" s="685">
        <v>0.26569999999999999</v>
      </c>
      <c r="X597" s="721">
        <v>11.148</v>
      </c>
      <c r="Y597" s="685">
        <v>11.38</v>
      </c>
      <c r="AB597" s="337">
        <v>0</v>
      </c>
      <c r="AC597" s="685">
        <v>0.22143753167944227</v>
      </c>
      <c r="AD597" s="685">
        <v>0.1127858936929947</v>
      </c>
      <c r="AE597" s="685">
        <v>0.42170005999999999</v>
      </c>
      <c r="AF597" s="685">
        <v>14.272243569958118</v>
      </c>
      <c r="AG597" s="172">
        <f t="shared" si="34"/>
        <v>8.5660194035050257</v>
      </c>
      <c r="AH597" s="667">
        <f t="shared" si="31"/>
        <v>202411</v>
      </c>
      <c r="AJ597" s="262" t="s">
        <v>1785</v>
      </c>
      <c r="AK597" s="262"/>
    </row>
    <row r="598" spans="3:37" ht="15.75" hidden="1">
      <c r="C598" s="665">
        <v>45606</v>
      </c>
      <c r="D598" s="684">
        <v>341359</v>
      </c>
      <c r="E598" s="684">
        <v>29044</v>
      </c>
      <c r="F598" s="655">
        <v>24705</v>
      </c>
      <c r="G598" s="684">
        <v>3985</v>
      </c>
      <c r="H598" s="655">
        <v>2363</v>
      </c>
      <c r="I598" s="646">
        <v>137700</v>
      </c>
      <c r="J598" s="655">
        <v>173209</v>
      </c>
      <c r="K598" s="655">
        <v>49404.22</v>
      </c>
      <c r="L598" s="684">
        <v>11937</v>
      </c>
      <c r="M598" s="745">
        <v>419592</v>
      </c>
      <c r="N598" s="655">
        <v>7077</v>
      </c>
      <c r="O598" s="684">
        <v>4558</v>
      </c>
      <c r="P598" s="684">
        <v>72.584291999999991</v>
      </c>
      <c r="Q598" s="337">
        <v>0</v>
      </c>
      <c r="R598" s="167">
        <f t="shared" si="32"/>
        <v>146698.83993140003</v>
      </c>
      <c r="S598" s="686">
        <v>11.279438873896703</v>
      </c>
      <c r="T598" s="686">
        <v>0.30432999999999999</v>
      </c>
      <c r="U598" s="686">
        <v>3.3255839636185495E-3</v>
      </c>
      <c r="V598" s="473">
        <v>1.7000000000000001E-2</v>
      </c>
      <c r="W598" s="686">
        <v>0.27144999999999997</v>
      </c>
      <c r="X598" s="721">
        <v>11.148</v>
      </c>
      <c r="Y598" s="686">
        <v>11.24</v>
      </c>
      <c r="AB598" s="337">
        <v>0</v>
      </c>
      <c r="AC598" s="686">
        <v>0.22087119528128513</v>
      </c>
      <c r="AD598" s="686">
        <v>0.11151163679714113</v>
      </c>
      <c r="AE598" s="686">
        <v>0.41490006000000001</v>
      </c>
      <c r="AF598" s="473">
        <v>13.668868771361501</v>
      </c>
      <c r="AG598" s="172">
        <f t="shared" si="34"/>
        <v>8.4256838001672651</v>
      </c>
      <c r="AH598" s="667">
        <f t="shared" si="31"/>
        <v>202411</v>
      </c>
      <c r="AJ598" s="262" t="s">
        <v>1785</v>
      </c>
      <c r="AK598" s="262"/>
    </row>
    <row r="599" spans="3:37" ht="15.75" hidden="1">
      <c r="C599" s="649">
        <v>45607</v>
      </c>
      <c r="D599" s="741">
        <v>344615</v>
      </c>
      <c r="E599" s="741">
        <v>29453</v>
      </c>
      <c r="F599" s="645">
        <v>24665.5</v>
      </c>
      <c r="G599" s="741">
        <v>3972</v>
      </c>
      <c r="H599" s="683">
        <v>2318</v>
      </c>
      <c r="I599" s="646">
        <v>137700</v>
      </c>
      <c r="J599" s="683">
        <v>173753</v>
      </c>
      <c r="K599" s="683">
        <v>48330.13</v>
      </c>
      <c r="L599" s="683">
        <v>10546</v>
      </c>
      <c r="M599" s="741">
        <v>417418</v>
      </c>
      <c r="N599" s="683">
        <v>7112</v>
      </c>
      <c r="O599" s="683">
        <v>5011</v>
      </c>
      <c r="P599" s="683">
        <v>61.325549999999993</v>
      </c>
      <c r="Q599" s="337">
        <v>0</v>
      </c>
      <c r="R599" s="167">
        <f t="shared" si="32"/>
        <v>146455.72024749999</v>
      </c>
      <c r="S599" s="743">
        <v>11.192506236779581</v>
      </c>
      <c r="T599" s="743">
        <v>0.30387399999999998</v>
      </c>
      <c r="U599" s="742">
        <v>3.3255839636185495E-3</v>
      </c>
      <c r="V599" s="744">
        <v>1.7000000000000001E-2</v>
      </c>
      <c r="W599" s="685">
        <v>0.26655000000000001</v>
      </c>
      <c r="X599" s="721">
        <v>11.148</v>
      </c>
      <c r="Y599" s="685">
        <v>11.36</v>
      </c>
      <c r="AB599" s="337">
        <v>0</v>
      </c>
      <c r="AC599" s="685">
        <v>0.21945535428589227</v>
      </c>
      <c r="AD599" s="685">
        <v>0.11151163679714113</v>
      </c>
      <c r="AE599" s="685">
        <v>0.41040006000000001</v>
      </c>
      <c r="AF599" s="685">
        <v>12.82420635033</v>
      </c>
      <c r="AG599" s="172">
        <f t="shared" si="34"/>
        <v>8.3035445464467408</v>
      </c>
      <c r="AH599" s="667">
        <f t="shared" si="31"/>
        <v>202411</v>
      </c>
      <c r="AJ599" s="262" t="s">
        <v>1784</v>
      </c>
      <c r="AK599" s="262"/>
    </row>
    <row r="600" spans="3:37" ht="15.75" hidden="1">
      <c r="C600" s="665">
        <v>45608</v>
      </c>
      <c r="D600" s="745">
        <v>358003</v>
      </c>
      <c r="E600" s="745">
        <v>28943</v>
      </c>
      <c r="F600" s="748">
        <v>24628.19</v>
      </c>
      <c r="G600" s="745">
        <v>3827</v>
      </c>
      <c r="H600" s="745">
        <v>2325</v>
      </c>
      <c r="I600" s="646">
        <v>137700</v>
      </c>
      <c r="J600" s="745">
        <v>175523</v>
      </c>
      <c r="K600" s="745">
        <v>50274.36</v>
      </c>
      <c r="L600" s="745">
        <v>13382</v>
      </c>
      <c r="M600" s="745">
        <v>428983</v>
      </c>
      <c r="N600" s="745">
        <v>7103</v>
      </c>
      <c r="O600" s="745">
        <v>3933</v>
      </c>
      <c r="P600" s="745">
        <v>70.634454000000005</v>
      </c>
      <c r="Q600" s="337">
        <v>0</v>
      </c>
      <c r="R600" s="167">
        <f t="shared" si="32"/>
        <v>148283.04375430002</v>
      </c>
      <c r="S600" s="746">
        <v>11.20977949692338</v>
      </c>
      <c r="T600" s="746">
        <v>0.30117100000000002</v>
      </c>
      <c r="U600" s="747">
        <v>3.4170472919209278E-3</v>
      </c>
      <c r="V600" s="750">
        <v>1.7000000000000001E-2</v>
      </c>
      <c r="W600" s="746">
        <v>0.26658999999999999</v>
      </c>
      <c r="X600" s="721">
        <v>11.148</v>
      </c>
      <c r="Y600" s="746">
        <v>11.31</v>
      </c>
      <c r="Z600" s="337">
        <v>0</v>
      </c>
      <c r="AA600" s="417">
        <v>0</v>
      </c>
      <c r="AB600" s="417">
        <v>0</v>
      </c>
      <c r="AC600" s="746">
        <v>0.21860584968865654</v>
      </c>
      <c r="AD600" s="746">
        <v>0.11236114139437683</v>
      </c>
      <c r="AE600" s="746">
        <v>0.41740006000000002</v>
      </c>
      <c r="AF600" s="746">
        <v>12.328662001942533</v>
      </c>
      <c r="AG600" s="172">
        <f t="shared" si="34"/>
        <v>8.2095778207430872</v>
      </c>
      <c r="AH600" s="667">
        <f t="shared" si="31"/>
        <v>202411</v>
      </c>
      <c r="AJ600" s="262" t="s">
        <v>1790</v>
      </c>
      <c r="AK600" s="262"/>
    </row>
    <row r="601" spans="3:37" ht="15.75" hidden="1">
      <c r="C601" s="649">
        <v>45609</v>
      </c>
      <c r="D601" s="741">
        <v>353108</v>
      </c>
      <c r="E601" s="741">
        <v>29176</v>
      </c>
      <c r="F601" s="749">
        <v>24628.41</v>
      </c>
      <c r="G601" s="741">
        <v>4006</v>
      </c>
      <c r="H601" s="741">
        <v>2330</v>
      </c>
      <c r="I601" s="646">
        <v>137700</v>
      </c>
      <c r="J601" s="741">
        <v>175369</v>
      </c>
      <c r="K601" s="741">
        <v>49587.06</v>
      </c>
      <c r="L601" s="741">
        <v>10625</v>
      </c>
      <c r="M601" s="741">
        <v>337144</v>
      </c>
      <c r="N601" s="741">
        <v>7088</v>
      </c>
      <c r="O601" s="741">
        <v>4677</v>
      </c>
      <c r="P601" s="741">
        <v>62.394815999999999</v>
      </c>
      <c r="Q601" s="337">
        <v>0</v>
      </c>
      <c r="R601" s="167">
        <f t="shared" si="32"/>
        <v>144039.11991719998</v>
      </c>
      <c r="S601" s="743">
        <v>11.671626829620525</v>
      </c>
      <c r="T601" s="743">
        <v>0.30591400000000002</v>
      </c>
      <c r="U601" s="742">
        <v>3.4629488569915602E-3</v>
      </c>
      <c r="V601" s="744">
        <v>1.7000000000000001E-2</v>
      </c>
      <c r="W601" s="743">
        <v>0.27885000000000004</v>
      </c>
      <c r="X601" s="721">
        <v>11.148</v>
      </c>
      <c r="Y601" s="743">
        <v>11.28</v>
      </c>
      <c r="Z601" s="751">
        <v>0</v>
      </c>
      <c r="AA601" s="751">
        <v>0</v>
      </c>
      <c r="AB601" s="751">
        <v>0</v>
      </c>
      <c r="AC601" s="743">
        <v>0.21464149490155657</v>
      </c>
      <c r="AD601" s="743">
        <v>0.11380529920967755</v>
      </c>
      <c r="AE601" s="743">
        <v>0.41730005999999997</v>
      </c>
      <c r="AF601" s="743">
        <v>12.329228338340691</v>
      </c>
      <c r="AG601" s="172">
        <f t="shared" si="34"/>
        <v>8.2290524576072546</v>
      </c>
      <c r="AH601" s="667">
        <f t="shared" si="31"/>
        <v>202411</v>
      </c>
      <c r="AJ601" s="262" t="s">
        <v>1791</v>
      </c>
      <c r="AK601" s="262"/>
    </row>
    <row r="602" spans="3:37" ht="15.75" hidden="1">
      <c r="C602" s="665">
        <v>45610</v>
      </c>
      <c r="D602" s="745">
        <v>348307</v>
      </c>
      <c r="E602" s="745">
        <v>29270</v>
      </c>
      <c r="F602" s="748">
        <v>24639.1</v>
      </c>
      <c r="G602" s="745">
        <v>4065</v>
      </c>
      <c r="H602" s="745">
        <v>2366</v>
      </c>
      <c r="I602" s="646">
        <v>137700</v>
      </c>
      <c r="J602" s="745">
        <v>176261</v>
      </c>
      <c r="K602" s="745">
        <v>48192.82</v>
      </c>
      <c r="L602" s="745">
        <v>12043</v>
      </c>
      <c r="M602" s="745">
        <v>422586</v>
      </c>
      <c r="N602" s="745">
        <v>6827</v>
      </c>
      <c r="O602" s="745">
        <v>4086.9999999999995</v>
      </c>
      <c r="P602" s="745">
        <v>76.861356000000001</v>
      </c>
      <c r="Q602" s="337">
        <v>0</v>
      </c>
      <c r="R602" s="167">
        <f t="shared" si="32"/>
        <v>147381.98611019997</v>
      </c>
      <c r="S602" s="746">
        <v>11.536555598660049</v>
      </c>
      <c r="T602" s="746">
        <v>0.29896099999999998</v>
      </c>
      <c r="U602" s="747">
        <v>2.9884439057955999E-3</v>
      </c>
      <c r="V602" s="750">
        <v>1.7000000000000001E-2</v>
      </c>
      <c r="W602" s="746">
        <v>0.29236000000000001</v>
      </c>
      <c r="X602" s="721">
        <v>11.148</v>
      </c>
      <c r="Y602" s="746">
        <v>11.19</v>
      </c>
      <c r="Z602" s="337">
        <v>0</v>
      </c>
      <c r="AA602" s="337">
        <v>0</v>
      </c>
      <c r="AB602" s="337">
        <v>0</v>
      </c>
      <c r="AC602" s="746">
        <v>0.22228703627667795</v>
      </c>
      <c r="AD602" s="746">
        <v>0.11363539829023041</v>
      </c>
      <c r="AE602" s="746">
        <v>0.41210005999999999</v>
      </c>
      <c r="AF602" s="746">
        <v>12.332371505350462</v>
      </c>
      <c r="AG602" s="172">
        <f t="shared" si="34"/>
        <v>8.2119695482109698</v>
      </c>
      <c r="AH602" s="667">
        <f t="shared" si="31"/>
        <v>202411</v>
      </c>
      <c r="AJ602" s="262" t="s">
        <v>1796</v>
      </c>
      <c r="AK602" s="262"/>
    </row>
    <row r="603" spans="3:37" ht="15.75" hidden="1">
      <c r="C603" s="649">
        <v>45611</v>
      </c>
      <c r="D603" s="741">
        <v>353811</v>
      </c>
      <c r="E603" s="741">
        <v>28239</v>
      </c>
      <c r="F603" s="749">
        <v>24608.31</v>
      </c>
      <c r="G603" s="741">
        <v>4119</v>
      </c>
      <c r="H603" s="741">
        <v>2329</v>
      </c>
      <c r="I603" s="646">
        <v>148100</v>
      </c>
      <c r="J603" s="741">
        <v>175525</v>
      </c>
      <c r="K603" s="741">
        <v>50922.22</v>
      </c>
      <c r="L603" s="741">
        <v>12209</v>
      </c>
      <c r="M603" s="741">
        <v>399883</v>
      </c>
      <c r="N603" s="741">
        <v>7025</v>
      </c>
      <c r="O603" s="741">
        <v>5231</v>
      </c>
      <c r="P603" s="741">
        <v>60.507875999999989</v>
      </c>
      <c r="Q603" s="337">
        <v>0</v>
      </c>
      <c r="R603" s="167">
        <f t="shared" si="32"/>
        <v>149407.9935442</v>
      </c>
      <c r="S603" s="743">
        <v>11.663414951847246</v>
      </c>
      <c r="T603" s="743">
        <v>0.29625899999999999</v>
      </c>
      <c r="U603" s="742">
        <v>3.26841230422459E-3</v>
      </c>
      <c r="V603" s="744">
        <v>1.7000000000000001E-2</v>
      </c>
      <c r="W603" s="743">
        <v>0.28797</v>
      </c>
      <c r="X603" s="721">
        <v>11.148</v>
      </c>
      <c r="Y603" s="743">
        <v>11.09</v>
      </c>
      <c r="Z603" s="337">
        <v>0</v>
      </c>
      <c r="AA603" s="337">
        <v>0</v>
      </c>
      <c r="AB603" s="337">
        <v>0</v>
      </c>
      <c r="AC603" s="743">
        <v>0.22257020447575654</v>
      </c>
      <c r="AD603" s="743">
        <v>0.11507955610553113</v>
      </c>
      <c r="AE603" s="743">
        <v>0.41310005999999999</v>
      </c>
      <c r="AF603" s="743">
        <v>12.471265506998501</v>
      </c>
      <c r="AG603" s="172">
        <f t="shared" si="34"/>
        <v>8.20942741407878</v>
      </c>
      <c r="AH603" s="667">
        <f t="shared" si="31"/>
        <v>202411</v>
      </c>
      <c r="AJ603" s="262" t="s">
        <v>1793</v>
      </c>
      <c r="AK603" s="262"/>
    </row>
    <row r="604" spans="3:37" ht="15.75" hidden="1">
      <c r="C604" s="665">
        <v>45612</v>
      </c>
      <c r="D604" s="745">
        <v>362379</v>
      </c>
      <c r="E604" s="745">
        <v>27226</v>
      </c>
      <c r="F604" s="748">
        <v>24566.54</v>
      </c>
      <c r="G604" s="745">
        <v>4010</v>
      </c>
      <c r="H604" s="745">
        <v>2291</v>
      </c>
      <c r="I604" s="646">
        <v>148100</v>
      </c>
      <c r="J604" s="745">
        <v>174792</v>
      </c>
      <c r="K604" s="745">
        <v>51166.15</v>
      </c>
      <c r="L604" s="745">
        <v>12865</v>
      </c>
      <c r="M604" s="745">
        <v>389453</v>
      </c>
      <c r="N604" s="745">
        <v>6990</v>
      </c>
      <c r="O604" s="745">
        <v>4022.9999999999995</v>
      </c>
      <c r="P604" s="745">
        <v>100.76259599999999</v>
      </c>
      <c r="Q604" s="337">
        <v>0</v>
      </c>
      <c r="R604" s="167">
        <f t="shared" si="32"/>
        <v>148405.8856682</v>
      </c>
      <c r="S604" s="746">
        <v>11.483319977233275</v>
      </c>
      <c r="T604" s="746">
        <v>0.28581099999999998</v>
      </c>
      <c r="U604" s="747">
        <v>3.1441297816490019E-3</v>
      </c>
      <c r="V604" s="750">
        <v>1.7000000000000001E-2</v>
      </c>
      <c r="W604" s="746">
        <v>0.28711000000000003</v>
      </c>
      <c r="X604" s="721">
        <v>11.148</v>
      </c>
      <c r="Y604" s="746">
        <v>11.23</v>
      </c>
      <c r="Z604" s="337">
        <v>0</v>
      </c>
      <c r="AA604" s="337">
        <v>0</v>
      </c>
      <c r="AB604" s="337">
        <v>0</v>
      </c>
      <c r="AC604" s="746">
        <v>0.21520783129971369</v>
      </c>
      <c r="AD604" s="746">
        <v>0.11669361484027899</v>
      </c>
      <c r="AE604" s="746">
        <v>0.41010005999999999</v>
      </c>
      <c r="AF604" s="746">
        <v>12.464865905699325</v>
      </c>
      <c r="AG604" s="172">
        <f t="shared" si="34"/>
        <v>8.2341895085291945</v>
      </c>
      <c r="AH604" s="667">
        <f t="shared" si="31"/>
        <v>202411</v>
      </c>
      <c r="AJ604" s="262" t="s">
        <v>1794</v>
      </c>
      <c r="AK604" s="262"/>
    </row>
    <row r="605" spans="3:37" ht="15.75" hidden="1">
      <c r="C605" s="649">
        <v>45613</v>
      </c>
      <c r="D605" s="741">
        <v>353108</v>
      </c>
      <c r="E605" s="741">
        <v>27497</v>
      </c>
      <c r="F605" s="749">
        <v>24547.040000000001</v>
      </c>
      <c r="G605" s="741">
        <v>4072</v>
      </c>
      <c r="H605" s="741">
        <v>2247</v>
      </c>
      <c r="I605" s="646">
        <v>148100</v>
      </c>
      <c r="J605" s="741">
        <v>174805</v>
      </c>
      <c r="K605" s="741">
        <v>49154.2</v>
      </c>
      <c r="L605" s="741">
        <v>11219</v>
      </c>
      <c r="M605" s="741">
        <v>413094</v>
      </c>
      <c r="N605" s="741">
        <v>6797</v>
      </c>
      <c r="O605" s="741">
        <v>4531</v>
      </c>
      <c r="P605" s="741">
        <v>57.866159999999994</v>
      </c>
      <c r="Q605" s="337">
        <v>0</v>
      </c>
      <c r="R605" s="167">
        <f t="shared" si="32"/>
        <v>148392.830522</v>
      </c>
      <c r="S605" s="743">
        <v>11.723163441852829</v>
      </c>
      <c r="T605" s="743">
        <v>0.28696199999999999</v>
      </c>
      <c r="U605" s="742">
        <v>3.3331728713538551E-3</v>
      </c>
      <c r="V605" s="744">
        <v>1.7000000000000001E-2</v>
      </c>
      <c r="W605" s="743">
        <v>0.27788000000000002</v>
      </c>
      <c r="X605" s="721">
        <v>11.148</v>
      </c>
      <c r="Y605" s="743">
        <v>11.29</v>
      </c>
      <c r="Z605" s="337">
        <v>0</v>
      </c>
      <c r="AA605" s="337">
        <v>0</v>
      </c>
      <c r="AB605" s="337">
        <v>0</v>
      </c>
      <c r="AC605" s="743">
        <v>0.22087119528128513</v>
      </c>
      <c r="AD605" s="743">
        <v>0.11408846740875613</v>
      </c>
      <c r="AE605" s="743">
        <v>0.40250005999999999</v>
      </c>
      <c r="AF605" s="743">
        <v>12.461920956428909</v>
      </c>
      <c r="AG605" s="172">
        <f t="shared" si="34"/>
        <v>8.2436782997215019</v>
      </c>
      <c r="AH605" s="667">
        <f t="shared" si="31"/>
        <v>202411</v>
      </c>
      <c r="AJ605" s="262" t="s">
        <v>1792</v>
      </c>
      <c r="AK605" s="262"/>
    </row>
    <row r="606" spans="3:37" ht="15.75" hidden="1">
      <c r="C606" s="665">
        <v>45614</v>
      </c>
      <c r="D606" s="745">
        <v>352852</v>
      </c>
      <c r="E606" s="745">
        <v>27340</v>
      </c>
      <c r="F606" s="748">
        <v>24543.43</v>
      </c>
      <c r="G606" s="745">
        <v>4041</v>
      </c>
      <c r="H606" s="745">
        <v>2274</v>
      </c>
      <c r="I606" s="646">
        <v>148100</v>
      </c>
      <c r="J606" s="745">
        <v>174122</v>
      </c>
      <c r="K606" s="745">
        <v>50705.83</v>
      </c>
      <c r="L606" s="745">
        <v>10726</v>
      </c>
      <c r="M606" s="745">
        <v>408323</v>
      </c>
      <c r="N606" s="745">
        <v>6812</v>
      </c>
      <c r="O606" s="745">
        <v>4482</v>
      </c>
      <c r="P606" s="745">
        <v>15.535806000000001</v>
      </c>
      <c r="Q606" s="337">
        <v>0</v>
      </c>
      <c r="R606" s="167">
        <f t="shared" si="32"/>
        <v>148215.47811270002</v>
      </c>
      <c r="S606" s="746">
        <v>11.727694133038085</v>
      </c>
      <c r="T606" s="746">
        <v>0.28356199999999998</v>
      </c>
      <c r="U606" s="747">
        <v>3.3535326648676E-3</v>
      </c>
      <c r="V606" s="750">
        <v>1.7000000000000001E-2</v>
      </c>
      <c r="W606" s="746">
        <v>0.27222000000000002</v>
      </c>
      <c r="X606" s="721">
        <v>11.148</v>
      </c>
      <c r="Y606" s="746">
        <v>11.3</v>
      </c>
      <c r="Z606" s="337">
        <v>0</v>
      </c>
      <c r="AA606" s="417">
        <v>0</v>
      </c>
      <c r="AB606" s="417">
        <v>0</v>
      </c>
      <c r="AC606" s="746">
        <v>0.2296494094527208</v>
      </c>
      <c r="AD606" s="746">
        <v>0.11553262522405683</v>
      </c>
      <c r="AE606" s="746">
        <v>0.39990006</v>
      </c>
      <c r="AF606" s="746">
        <v>12.374705151112709</v>
      </c>
      <c r="AG606" s="172">
        <f t="shared" si="34"/>
        <v>8.2253936540753543</v>
      </c>
      <c r="AH606" s="667">
        <f t="shared" si="31"/>
        <v>202411</v>
      </c>
      <c r="AJ606" s="262" t="s">
        <v>1795</v>
      </c>
      <c r="AK606" s="262"/>
    </row>
    <row r="607" spans="3:37" ht="15.75" hidden="1">
      <c r="C607" s="649">
        <v>45615</v>
      </c>
      <c r="D607" s="741">
        <v>350010</v>
      </c>
      <c r="E607" s="741">
        <v>24698</v>
      </c>
      <c r="F607" s="749">
        <v>24433</v>
      </c>
      <c r="G607" s="741">
        <v>3985</v>
      </c>
      <c r="H607" s="741">
        <v>2233</v>
      </c>
      <c r="I607" s="646">
        <v>148100</v>
      </c>
      <c r="J607" s="741">
        <v>166373</v>
      </c>
      <c r="K607" s="741">
        <v>49800.37</v>
      </c>
      <c r="L607" s="741">
        <v>12056</v>
      </c>
      <c r="M607" s="741">
        <v>428510</v>
      </c>
      <c r="N607" s="741">
        <v>6820</v>
      </c>
      <c r="O607" s="741">
        <v>4617</v>
      </c>
      <c r="P607" s="741">
        <v>89.566751999999994</v>
      </c>
      <c r="Q607" s="337">
        <v>0</v>
      </c>
      <c r="R607" s="167">
        <f t="shared" si="32"/>
        <v>146248.14003839999</v>
      </c>
      <c r="S607" s="743">
        <v>12.012844509510204</v>
      </c>
      <c r="T607" s="743">
        <v>0.27379500000000001</v>
      </c>
      <c r="U607" s="742">
        <v>3.3864934432403502E-3</v>
      </c>
      <c r="V607" s="744">
        <v>1.7000000000000001E-2</v>
      </c>
      <c r="W607" s="743">
        <v>0.26839999999999997</v>
      </c>
      <c r="X607" s="721">
        <v>11.148</v>
      </c>
      <c r="Y607" s="743">
        <v>11.09</v>
      </c>
      <c r="Z607" s="337">
        <v>0</v>
      </c>
      <c r="AA607" s="337">
        <v>0</v>
      </c>
      <c r="AB607" s="337">
        <v>0</v>
      </c>
      <c r="AC607" s="743">
        <v>0.23049891404995654</v>
      </c>
      <c r="AD607" s="743">
        <v>0.11822272311530324</v>
      </c>
      <c r="AE607" s="743">
        <v>0.39840006</v>
      </c>
      <c r="AF607" s="743">
        <v>12.209957892888795</v>
      </c>
      <c r="AG607" s="172">
        <f t="shared" si="34"/>
        <v>8.1451877358961529</v>
      </c>
      <c r="AH607" s="667">
        <f t="shared" si="31"/>
        <v>202411</v>
      </c>
      <c r="AJ607" s="262" t="s">
        <v>1797</v>
      </c>
      <c r="AK607" s="262"/>
    </row>
    <row r="608" spans="3:37" ht="15.75" hidden="1">
      <c r="C608" s="665">
        <v>45616</v>
      </c>
      <c r="D608" s="745">
        <v>358831</v>
      </c>
      <c r="E608" s="745">
        <v>25453</v>
      </c>
      <c r="F608" s="748">
        <v>24460</v>
      </c>
      <c r="G608" s="745">
        <v>3967</v>
      </c>
      <c r="H608" s="745">
        <v>2208</v>
      </c>
      <c r="I608" s="646">
        <v>148100</v>
      </c>
      <c r="J608" s="745">
        <v>173392</v>
      </c>
      <c r="K608" s="745">
        <v>50509.75</v>
      </c>
      <c r="L608" s="745">
        <v>10036</v>
      </c>
      <c r="M608" s="745">
        <v>439660</v>
      </c>
      <c r="N608" s="745">
        <v>6561</v>
      </c>
      <c r="O608" s="745">
        <v>4824</v>
      </c>
      <c r="P608" s="745">
        <v>59.753099999999996</v>
      </c>
      <c r="Q608" s="337">
        <v>0</v>
      </c>
      <c r="R608" s="167">
        <f t="shared" si="32"/>
        <v>148696.758145</v>
      </c>
      <c r="S608" s="746">
        <v>11.825387161720187</v>
      </c>
      <c r="T608" s="746">
        <v>0.26735300000000001</v>
      </c>
      <c r="U608" s="747">
        <v>3.2810699227234E-3</v>
      </c>
      <c r="V608" s="750">
        <v>1.7000000000000001E-2</v>
      </c>
      <c r="W608" s="746">
        <v>0.26805000000000001</v>
      </c>
      <c r="X608" s="721">
        <v>11.148</v>
      </c>
      <c r="Y608" s="746">
        <v>11.13</v>
      </c>
      <c r="Z608" s="337">
        <v>0</v>
      </c>
      <c r="AA608" s="417">
        <v>0</v>
      </c>
      <c r="AB608" s="417">
        <v>0</v>
      </c>
      <c r="AC608" s="746">
        <v>0.23191475504534936</v>
      </c>
      <c r="AD608" s="746">
        <v>0.11125678541797041</v>
      </c>
      <c r="AE608" s="746">
        <v>0.39390006</v>
      </c>
      <c r="AF608" s="746">
        <v>12.203360073850266</v>
      </c>
      <c r="AG608" s="172">
        <f t="shared" si="34"/>
        <v>8.1421642102029441</v>
      </c>
      <c r="AH608" s="667">
        <f t="shared" si="31"/>
        <v>202411</v>
      </c>
      <c r="AJ608" s="262" t="s">
        <v>1790</v>
      </c>
      <c r="AK608" s="262"/>
    </row>
    <row r="609" spans="3:37" ht="15.75" hidden="1">
      <c r="C609" s="649">
        <v>45617</v>
      </c>
      <c r="D609" s="741">
        <v>340353</v>
      </c>
      <c r="E609" s="741">
        <v>25484</v>
      </c>
      <c r="F609" s="749">
        <v>24490</v>
      </c>
      <c r="G609" s="741">
        <v>3766</v>
      </c>
      <c r="H609" s="741">
        <v>2240</v>
      </c>
      <c r="I609" s="646">
        <v>148100</v>
      </c>
      <c r="J609" s="741">
        <v>174264</v>
      </c>
      <c r="K609" s="741">
        <v>50219.05</v>
      </c>
      <c r="L609" s="741">
        <v>11979</v>
      </c>
      <c r="M609" s="741">
        <v>445352</v>
      </c>
      <c r="N609" s="741">
        <v>6608</v>
      </c>
      <c r="O609" s="741">
        <v>4863</v>
      </c>
      <c r="P609" s="741">
        <v>91.390793999999985</v>
      </c>
      <c r="Q609" s="337">
        <v>0</v>
      </c>
      <c r="R609" s="167">
        <f t="shared" si="32"/>
        <v>149002.62735730002</v>
      </c>
      <c r="S609" s="743">
        <v>11.884569315327612</v>
      </c>
      <c r="T609" s="743">
        <v>0.27060000000000001</v>
      </c>
      <c r="U609" s="742">
        <v>3.3705227568123185E-3</v>
      </c>
      <c r="V609" s="744">
        <v>1.7000000000000001E-2</v>
      </c>
      <c r="W609" s="743">
        <v>0.27512999999999999</v>
      </c>
      <c r="X609" s="721">
        <v>11.148</v>
      </c>
      <c r="Y609" s="743">
        <v>11.16</v>
      </c>
      <c r="Z609" s="751">
        <v>0</v>
      </c>
      <c r="AA609" s="751">
        <v>0</v>
      </c>
      <c r="AB609" s="751">
        <v>0</v>
      </c>
      <c r="AC609" s="743">
        <v>0.22087119528128513</v>
      </c>
      <c r="AD609" s="743">
        <v>0.11253104231382399</v>
      </c>
      <c r="AE609" s="743">
        <v>0.39900005999999999</v>
      </c>
      <c r="AF609" s="743">
        <v>12.210156110628152</v>
      </c>
      <c r="AG609" s="172">
        <f t="shared" si="34"/>
        <v>8.1624598326163582</v>
      </c>
      <c r="AH609" s="667">
        <f t="shared" si="31"/>
        <v>202411</v>
      </c>
      <c r="AJ609" s="262" t="s">
        <v>1798</v>
      </c>
      <c r="AK609" s="262"/>
    </row>
    <row r="610" spans="3:37" ht="15.75" hidden="1">
      <c r="C610" s="665">
        <v>45618</v>
      </c>
      <c r="D610" s="745">
        <v>361118</v>
      </c>
      <c r="E610" s="745">
        <v>25352</v>
      </c>
      <c r="F610" s="748">
        <v>24488</v>
      </c>
      <c r="G610" s="745">
        <v>3716</v>
      </c>
      <c r="H610" s="745">
        <v>2237</v>
      </c>
      <c r="I610" s="646">
        <v>155865</v>
      </c>
      <c r="J610" s="745">
        <v>174903</v>
      </c>
      <c r="K610" s="745">
        <v>49544.51</v>
      </c>
      <c r="L610" s="745">
        <v>11366</v>
      </c>
      <c r="M610" s="745">
        <v>437505</v>
      </c>
      <c r="N610" s="745">
        <v>6809</v>
      </c>
      <c r="O610" s="745">
        <v>3985</v>
      </c>
      <c r="P610" s="745">
        <v>67.237961999999996</v>
      </c>
      <c r="Q610" s="337">
        <v>0</v>
      </c>
      <c r="R610" s="167">
        <f t="shared" si="32"/>
        <v>150293.7435829</v>
      </c>
      <c r="S610" s="746">
        <v>11.834731712289784</v>
      </c>
      <c r="T610" s="746">
        <v>0.26847900000000002</v>
      </c>
      <c r="U610" s="747">
        <v>3.2302978646286101E-3</v>
      </c>
      <c r="V610" s="750">
        <v>1.7000000000000001E-2</v>
      </c>
      <c r="W610" s="746">
        <v>0.26732999999999996</v>
      </c>
      <c r="X610" s="721">
        <v>11.148</v>
      </c>
      <c r="Y610" s="746">
        <v>11.33</v>
      </c>
      <c r="Z610" s="337">
        <v>0</v>
      </c>
      <c r="AA610" s="337">
        <v>0</v>
      </c>
      <c r="AB610" s="337">
        <v>0</v>
      </c>
      <c r="AC610" s="746">
        <v>0.23814445542507792</v>
      </c>
      <c r="AD610" s="746">
        <v>0.11567420932359612</v>
      </c>
      <c r="AE610" s="746">
        <v>0.39760005999999998</v>
      </c>
      <c r="AF610" s="746">
        <v>12.199112550864086</v>
      </c>
      <c r="AG610" s="172">
        <f t="shared" si="34"/>
        <v>8.1973811755628088</v>
      </c>
      <c r="AH610" s="667">
        <f t="shared" si="31"/>
        <v>202411</v>
      </c>
      <c r="AJ610" s="262" t="s">
        <v>1799</v>
      </c>
      <c r="AK610" s="262"/>
    </row>
    <row r="611" spans="3:37" ht="15.75" hidden="1">
      <c r="C611" s="649">
        <v>45619</v>
      </c>
      <c r="D611" s="741">
        <v>337609</v>
      </c>
      <c r="E611" s="741">
        <v>25132</v>
      </c>
      <c r="F611" s="749">
        <v>24467</v>
      </c>
      <c r="G611" s="741">
        <v>3743</v>
      </c>
      <c r="H611" s="741">
        <v>2217</v>
      </c>
      <c r="I611" s="646">
        <v>155865</v>
      </c>
      <c r="J611" s="741">
        <v>171683</v>
      </c>
      <c r="K611" s="741">
        <v>49059.19</v>
      </c>
      <c r="L611" s="741">
        <v>11138</v>
      </c>
      <c r="M611" s="741">
        <v>444387</v>
      </c>
      <c r="N611" s="741">
        <v>7025</v>
      </c>
      <c r="O611" s="741">
        <v>4307</v>
      </c>
      <c r="P611" s="741">
        <v>67.866941999999995</v>
      </c>
      <c r="Q611" s="337">
        <v>0</v>
      </c>
      <c r="R611" s="167">
        <f t="shared" si="32"/>
        <v>148940.09337389999</v>
      </c>
      <c r="S611" s="743">
        <v>11.716933741473099</v>
      </c>
      <c r="T611" s="743">
        <v>0.26588000000000001</v>
      </c>
      <c r="U611" s="742">
        <v>3.2159695537552348E-3</v>
      </c>
      <c r="V611" s="744">
        <v>1.7000000000000001E-2</v>
      </c>
      <c r="W611" s="743">
        <v>0.26362000000000002</v>
      </c>
      <c r="X611" s="721">
        <v>11.148</v>
      </c>
      <c r="Y611" s="743">
        <v>11.4</v>
      </c>
      <c r="Z611" s="337">
        <v>0</v>
      </c>
      <c r="AA611" s="337">
        <v>0</v>
      </c>
      <c r="AB611" s="337">
        <v>0</v>
      </c>
      <c r="AC611" s="743">
        <v>0.23927712822139219</v>
      </c>
      <c r="AD611" s="743">
        <v>0.11864747541392112</v>
      </c>
      <c r="AE611" s="743">
        <v>0.39030003000000002</v>
      </c>
      <c r="AF611" s="743">
        <v>12.256454111177499</v>
      </c>
      <c r="AG611" s="172">
        <f t="shared" si="34"/>
        <v>8.2154907772958143</v>
      </c>
      <c r="AH611" s="667">
        <f t="shared" si="31"/>
        <v>202411</v>
      </c>
      <c r="AJ611" s="262" t="s">
        <v>1799</v>
      </c>
      <c r="AK611" s="262"/>
    </row>
    <row r="612" spans="3:37" ht="15.75" hidden="1">
      <c r="C612" s="665">
        <v>45620</v>
      </c>
      <c r="D612" s="745">
        <v>337881</v>
      </c>
      <c r="E612" s="745">
        <v>25314</v>
      </c>
      <c r="F612" s="748">
        <v>24450</v>
      </c>
      <c r="G612" s="745">
        <v>3714</v>
      </c>
      <c r="H612" s="745">
        <v>2232</v>
      </c>
      <c r="I612" s="646">
        <v>155865</v>
      </c>
      <c r="J612" s="745">
        <v>175950</v>
      </c>
      <c r="K612" s="745">
        <v>49721.120000000003</v>
      </c>
      <c r="L612" s="745">
        <v>12983</v>
      </c>
      <c r="M612" s="745">
        <v>439502</v>
      </c>
      <c r="N612" s="745">
        <v>6987</v>
      </c>
      <c r="O612" s="745">
        <v>4090</v>
      </c>
      <c r="P612" s="745">
        <v>77.301641999999987</v>
      </c>
      <c r="Q612" s="337">
        <v>0</v>
      </c>
      <c r="R612" s="167">
        <f t="shared" si="32"/>
        <v>150423.66373890001</v>
      </c>
      <c r="S612" s="746">
        <v>11.652654560282258</v>
      </c>
      <c r="T612" s="746">
        <v>0.261048</v>
      </c>
      <c r="U612" s="747">
        <v>3.34418811429801E-3</v>
      </c>
      <c r="V612" s="750">
        <v>1.7000000000000001E-2</v>
      </c>
      <c r="W612" s="746">
        <v>0.26569999999999999</v>
      </c>
      <c r="X612" s="721">
        <v>11.148</v>
      </c>
      <c r="Y612" s="746">
        <v>11.67</v>
      </c>
      <c r="Z612" s="337">
        <v>0</v>
      </c>
      <c r="AA612" s="337">
        <v>0</v>
      </c>
      <c r="AB612" s="337">
        <v>0</v>
      </c>
      <c r="AC612" s="746">
        <v>0.23927712822139219</v>
      </c>
      <c r="AD612" s="746">
        <v>0.11253104231382399</v>
      </c>
      <c r="AE612" s="746">
        <v>0.37150003000000004</v>
      </c>
      <c r="AF612" s="746">
        <v>12.30161943893053</v>
      </c>
      <c r="AG612" s="172">
        <f t="shared" si="34"/>
        <v>8.2814472567163371</v>
      </c>
      <c r="AH612" s="667">
        <f t="shared" si="31"/>
        <v>202411</v>
      </c>
      <c r="AJ612" s="262" t="s">
        <v>1799</v>
      </c>
      <c r="AK612" s="262"/>
    </row>
    <row r="613" spans="3:37" ht="15.75" hidden="1">
      <c r="C613" s="649">
        <v>45621</v>
      </c>
      <c r="D613" s="741">
        <v>351422</v>
      </c>
      <c r="E613" s="741">
        <v>22711</v>
      </c>
      <c r="F613" s="749">
        <v>24468</v>
      </c>
      <c r="G613" s="741">
        <v>3717</v>
      </c>
      <c r="H613" s="741">
        <v>2229</v>
      </c>
      <c r="I613" s="646">
        <v>155865</v>
      </c>
      <c r="J613" s="741">
        <v>174542</v>
      </c>
      <c r="K613" s="741">
        <v>51064.36</v>
      </c>
      <c r="L613" s="741">
        <v>10665</v>
      </c>
      <c r="M613" s="741">
        <v>433202</v>
      </c>
      <c r="N613" s="741">
        <v>7006</v>
      </c>
      <c r="O613" s="741">
        <v>5412</v>
      </c>
      <c r="P613" s="741">
        <v>55.664729999999992</v>
      </c>
      <c r="Q613" s="337">
        <v>0</v>
      </c>
      <c r="R613" s="167">
        <f t="shared" si="32"/>
        <v>149807.69387849997</v>
      </c>
      <c r="S613" s="743">
        <v>12.208513735073499</v>
      </c>
      <c r="T613" s="743">
        <v>0.25</v>
      </c>
      <c r="U613" s="742">
        <v>3.3820760193347199E-3</v>
      </c>
      <c r="V613" s="744">
        <v>1.7000000000000001E-2</v>
      </c>
      <c r="W613" s="743">
        <v>0.26399</v>
      </c>
      <c r="X613" s="721">
        <v>11.148</v>
      </c>
      <c r="Y613" s="743">
        <v>11.82</v>
      </c>
      <c r="Z613" s="337">
        <v>0</v>
      </c>
      <c r="AA613" s="337">
        <v>0</v>
      </c>
      <c r="AB613" s="751">
        <v>0</v>
      </c>
      <c r="AC613" s="743">
        <v>0.23418010063797792</v>
      </c>
      <c r="AD613" s="743">
        <v>0.11842094085465826</v>
      </c>
      <c r="AE613" s="743">
        <v>0.38260003000000004</v>
      </c>
      <c r="AF613" s="743">
        <v>12.459060957618215</v>
      </c>
      <c r="AG613" s="172">
        <f t="shared" si="34"/>
        <v>8.365595043671572</v>
      </c>
      <c r="AH613" s="667">
        <f t="shared" si="31"/>
        <v>202411</v>
      </c>
      <c r="AJ613" s="262" t="s">
        <v>1801</v>
      </c>
      <c r="AK613" s="262"/>
    </row>
    <row r="614" spans="3:37" ht="15.75" hidden="1">
      <c r="C614" s="665">
        <v>45622</v>
      </c>
      <c r="D614" s="745">
        <v>354779</v>
      </c>
      <c r="E614" s="745">
        <v>24950</v>
      </c>
      <c r="F614" s="748">
        <v>24438</v>
      </c>
      <c r="G614" s="745">
        <v>3749</v>
      </c>
      <c r="H614" s="745">
        <v>2235</v>
      </c>
      <c r="I614" s="646">
        <v>155865</v>
      </c>
      <c r="J614" s="745">
        <v>174028</v>
      </c>
      <c r="K614" s="745">
        <v>51270.93</v>
      </c>
      <c r="L614" s="745">
        <v>10613</v>
      </c>
      <c r="M614" s="745">
        <v>429807</v>
      </c>
      <c r="N614" s="745">
        <v>6968</v>
      </c>
      <c r="O614" s="745">
        <v>4134</v>
      </c>
      <c r="P614" s="745">
        <v>102.397944</v>
      </c>
      <c r="Q614" s="337">
        <v>0</v>
      </c>
      <c r="R614" s="167">
        <f t="shared" si="32"/>
        <v>149786.72357480001</v>
      </c>
      <c r="S614" s="746">
        <v>12.713119465831509</v>
      </c>
      <c r="T614" s="746">
        <v>0.265963</v>
      </c>
      <c r="U614" s="747">
        <v>3.4042480893225801E-3</v>
      </c>
      <c r="V614" s="750">
        <v>1.7000000000000001E-2</v>
      </c>
      <c r="W614" s="746">
        <v>0.26219999999999999</v>
      </c>
      <c r="X614" s="721">
        <v>11.148</v>
      </c>
      <c r="Y614" s="746">
        <v>11.68</v>
      </c>
      <c r="Z614" s="337">
        <v>0</v>
      </c>
      <c r="AA614" s="337">
        <v>0</v>
      </c>
      <c r="AB614" s="337">
        <v>0</v>
      </c>
      <c r="AC614" s="746">
        <v>0.2355959416333708</v>
      </c>
      <c r="AD614" s="746">
        <v>0.1127858936929947</v>
      </c>
      <c r="AE614" s="746">
        <v>0.38900003000000005</v>
      </c>
      <c r="AF614" s="746">
        <v>12.457163730684389</v>
      </c>
      <c r="AG614" s="172">
        <f t="shared" si="34"/>
        <v>8.3469494868113117</v>
      </c>
      <c r="AH614" s="667">
        <f t="shared" si="31"/>
        <v>202411</v>
      </c>
      <c r="AJ614" s="262" t="s">
        <v>1800</v>
      </c>
      <c r="AK614" s="262"/>
    </row>
    <row r="615" spans="3:37" ht="15.75" hidden="1">
      <c r="C615" s="649">
        <v>45623</v>
      </c>
      <c r="D615" s="741">
        <v>351880</v>
      </c>
      <c r="E615" s="741">
        <v>25264</v>
      </c>
      <c r="F615" s="749">
        <v>24434</v>
      </c>
      <c r="G615" s="741">
        <v>3817</v>
      </c>
      <c r="H615" s="741">
        <v>2213</v>
      </c>
      <c r="I615" s="646">
        <v>155865</v>
      </c>
      <c r="J615" s="741">
        <v>172934</v>
      </c>
      <c r="K615" s="741">
        <v>51748.87</v>
      </c>
      <c r="L615" s="741">
        <v>11983</v>
      </c>
      <c r="M615" s="741">
        <v>422137</v>
      </c>
      <c r="N615" s="741">
        <v>6955</v>
      </c>
      <c r="O615" s="741">
        <v>4553</v>
      </c>
      <c r="P615" s="741">
        <v>68.558819999999997</v>
      </c>
      <c r="Q615" s="337">
        <v>0</v>
      </c>
      <c r="R615" s="167">
        <f t="shared" si="32"/>
        <v>149805.60771899999</v>
      </c>
      <c r="S615" s="743">
        <v>13.61189532970689</v>
      </c>
      <c r="T615" s="743">
        <v>0.26814100000000002</v>
      </c>
      <c r="U615" s="742">
        <v>3.4079575927305102E-3</v>
      </c>
      <c r="V615" s="744">
        <v>1.7000000000000001E-2</v>
      </c>
      <c r="W615" s="743">
        <v>0.26300000000000001</v>
      </c>
      <c r="X615" s="721">
        <v>11.148</v>
      </c>
      <c r="Y615" s="743">
        <v>11.16</v>
      </c>
      <c r="Z615" s="751">
        <v>0</v>
      </c>
      <c r="AA615" s="751">
        <v>0</v>
      </c>
      <c r="AB615" s="751">
        <v>0</v>
      </c>
      <c r="AC615" s="743">
        <v>0.23729495082784224</v>
      </c>
      <c r="AD615" s="743">
        <v>0.11408846740875613</v>
      </c>
      <c r="AE615" s="743">
        <v>0.38130003000000001</v>
      </c>
      <c r="AF615" s="743">
        <v>12.444081359886958</v>
      </c>
      <c r="AG615" s="172">
        <f t="shared" si="34"/>
        <v>8.2344482549441853</v>
      </c>
      <c r="AH615" s="667">
        <f t="shared" si="31"/>
        <v>202411</v>
      </c>
      <c r="AJ615" s="262" t="s">
        <v>1802</v>
      </c>
      <c r="AK615" s="262"/>
    </row>
    <row r="616" spans="3:37" ht="15.75" hidden="1">
      <c r="C616" s="665">
        <v>45624</v>
      </c>
      <c r="D616" s="745">
        <v>351205</v>
      </c>
      <c r="E616" s="745">
        <v>25220</v>
      </c>
      <c r="F616" s="748">
        <v>24416.23</v>
      </c>
      <c r="G616" s="745">
        <v>3819</v>
      </c>
      <c r="H616" s="745">
        <v>2220</v>
      </c>
      <c r="I616" s="646">
        <v>155865</v>
      </c>
      <c r="J616" s="745">
        <v>174424</v>
      </c>
      <c r="K616" s="745">
        <v>52019.65</v>
      </c>
      <c r="L616" s="745">
        <v>15750</v>
      </c>
      <c r="M616" s="745">
        <v>332264</v>
      </c>
      <c r="N616" s="745">
        <v>6768</v>
      </c>
      <c r="O616" s="745">
        <v>4565</v>
      </c>
      <c r="P616" s="745">
        <v>126.86526600000001</v>
      </c>
      <c r="Q616" s="337">
        <v>0</v>
      </c>
      <c r="R616" s="167">
        <f t="shared" si="32"/>
        <v>147548.9766197</v>
      </c>
      <c r="S616" s="746">
        <v>13.547049812117901</v>
      </c>
      <c r="T616" s="746">
        <v>0.27074999999999999</v>
      </c>
      <c r="U616" s="680">
        <v>3.4079575927305102E-3</v>
      </c>
      <c r="V616" s="750">
        <v>1.7000000000000001E-2</v>
      </c>
      <c r="W616" s="746">
        <v>0.26693</v>
      </c>
      <c r="X616" s="721">
        <v>11.148</v>
      </c>
      <c r="Y616" s="746">
        <v>11.22</v>
      </c>
      <c r="Z616" s="417">
        <v>0</v>
      </c>
      <c r="AA616" s="417">
        <v>0</v>
      </c>
      <c r="AB616" s="417">
        <v>0</v>
      </c>
      <c r="AC616" s="746">
        <v>0.2355959416333708</v>
      </c>
      <c r="AD616" s="752">
        <v>0.1127858936929947</v>
      </c>
      <c r="AE616" s="746">
        <v>0.39090003000000001</v>
      </c>
      <c r="AF616" s="746">
        <v>12.46030689769416</v>
      </c>
      <c r="AG616" s="172">
        <f t="shared" si="34"/>
        <v>8.2591563744842365</v>
      </c>
      <c r="AH616" s="667">
        <f t="shared" si="31"/>
        <v>202411</v>
      </c>
      <c r="AJ616" s="262" t="s">
        <v>1803</v>
      </c>
      <c r="AK616" s="262"/>
    </row>
    <row r="617" spans="3:37" ht="15.75" hidden="1">
      <c r="C617" s="649">
        <v>45625</v>
      </c>
      <c r="D617" s="741">
        <v>369497</v>
      </c>
      <c r="E617" s="741">
        <v>21799</v>
      </c>
      <c r="F617" s="749">
        <v>7747.31</v>
      </c>
      <c r="G617" s="741">
        <v>3767</v>
      </c>
      <c r="H617" s="741">
        <v>2181</v>
      </c>
      <c r="I617" s="646">
        <v>154326</v>
      </c>
      <c r="J617" s="741">
        <v>172572</v>
      </c>
      <c r="K617" s="741">
        <v>52483.91</v>
      </c>
      <c r="L617" s="741">
        <v>10964</v>
      </c>
      <c r="M617" s="741">
        <v>331399</v>
      </c>
      <c r="N617" s="741">
        <v>6786</v>
      </c>
      <c r="O617" s="741">
        <v>5030</v>
      </c>
      <c r="P617" s="741">
        <v>67.866941999999995</v>
      </c>
      <c r="Q617" s="337">
        <v>0</v>
      </c>
      <c r="R617" s="167">
        <f t="shared" si="32"/>
        <v>133726.0568739</v>
      </c>
      <c r="S617" s="743">
        <v>13.720631918153062</v>
      </c>
      <c r="T617" s="743">
        <v>0.242399</v>
      </c>
      <c r="U617" s="680">
        <v>3.4079575927305102E-3</v>
      </c>
      <c r="V617" s="744">
        <v>1.7000000000000001E-2</v>
      </c>
      <c r="W617" s="743">
        <v>0.27109</v>
      </c>
      <c r="X617" s="721">
        <v>11.148</v>
      </c>
      <c r="Y617" s="743">
        <v>11.28</v>
      </c>
      <c r="Z617" s="337">
        <v>0</v>
      </c>
      <c r="AA617" s="337">
        <v>0</v>
      </c>
      <c r="AB617" s="337">
        <v>0</v>
      </c>
      <c r="AC617" s="743">
        <v>0.23531277343429224</v>
      </c>
      <c r="AD617" s="753">
        <v>0.11995004912968253</v>
      </c>
      <c r="AE617" s="743">
        <v>0.38500003000000005</v>
      </c>
      <c r="AF617" s="743">
        <v>12.453171059077381</v>
      </c>
      <c r="AG617" s="172">
        <f t="shared" si="34"/>
        <v>8.2753053021936882</v>
      </c>
      <c r="AH617" s="667">
        <f t="shared" si="31"/>
        <v>202411</v>
      </c>
      <c r="AJ617" s="262" t="s">
        <v>1804</v>
      </c>
      <c r="AK617" s="262"/>
    </row>
    <row r="618" spans="3:37" ht="15.75" hidden="1">
      <c r="C618" s="665">
        <v>45626</v>
      </c>
      <c r="D618" s="745">
        <v>359465</v>
      </c>
      <c r="E618" s="745">
        <v>21006</v>
      </c>
      <c r="F618" s="646">
        <v>7747.31</v>
      </c>
      <c r="G618" s="745">
        <v>3765</v>
      </c>
      <c r="H618" s="745">
        <v>2222</v>
      </c>
      <c r="I618" s="646">
        <v>154326</v>
      </c>
      <c r="J618" s="745">
        <v>172101</v>
      </c>
      <c r="K618" s="745">
        <v>50395.81</v>
      </c>
      <c r="L618" s="745">
        <v>11342</v>
      </c>
      <c r="M618" s="745">
        <v>450487</v>
      </c>
      <c r="N618" s="745">
        <v>6782</v>
      </c>
      <c r="O618" s="745">
        <v>3798</v>
      </c>
      <c r="P618" s="745">
        <v>86.987933999999996</v>
      </c>
      <c r="Q618" s="337">
        <v>0</v>
      </c>
      <c r="R618" s="167">
        <f t="shared" si="32"/>
        <v>136984.1028203</v>
      </c>
      <c r="S618" s="746">
        <v>13.54676664391882</v>
      </c>
      <c r="T618" s="746">
        <v>0.23302200000000001</v>
      </c>
      <c r="U618" s="680">
        <v>3.4079575927305102E-3</v>
      </c>
      <c r="V618" s="750">
        <v>1.7000000000000001E-2</v>
      </c>
      <c r="W618" s="746">
        <v>0.27056999999999998</v>
      </c>
      <c r="X618" s="721">
        <v>11.148</v>
      </c>
      <c r="Y618" s="746">
        <v>11.43</v>
      </c>
      <c r="Z618" s="337">
        <v>0</v>
      </c>
      <c r="AA618" s="337">
        <v>0</v>
      </c>
      <c r="AB618" s="337">
        <v>0</v>
      </c>
      <c r="AC618" s="746">
        <v>0.23248109144350654</v>
      </c>
      <c r="AD618" s="752">
        <v>0.11864747541392112</v>
      </c>
      <c r="AE618" s="746">
        <v>0.38790003000000001</v>
      </c>
      <c r="AF618" s="746">
        <v>12.502923711655486</v>
      </c>
      <c r="AG618" s="172">
        <f t="shared" si="34"/>
        <v>8.3150983893553239</v>
      </c>
      <c r="AH618" s="667">
        <f t="shared" si="31"/>
        <v>202411</v>
      </c>
      <c r="AI618" t="s">
        <v>1805</v>
      </c>
      <c r="AJ618" s="262" t="s">
        <v>1806</v>
      </c>
      <c r="AK618" s="262"/>
    </row>
    <row r="619" spans="3:37" ht="15.75" hidden="1">
      <c r="C619" s="649">
        <v>45627</v>
      </c>
      <c r="D619" s="741">
        <v>360983</v>
      </c>
      <c r="E619" s="741">
        <v>21792</v>
      </c>
      <c r="F619" s="749">
        <v>1720.55</v>
      </c>
      <c r="G619" s="741">
        <v>3894</v>
      </c>
      <c r="H619" s="741">
        <v>2246</v>
      </c>
      <c r="I619" s="646">
        <v>154326</v>
      </c>
      <c r="J619" s="741">
        <v>171812</v>
      </c>
      <c r="K619" s="741">
        <v>50955.3</v>
      </c>
      <c r="L619" s="741">
        <v>9941</v>
      </c>
      <c r="M619" s="741">
        <v>440107</v>
      </c>
      <c r="N619" s="741">
        <v>6778</v>
      </c>
      <c r="O619" s="741">
        <v>4386</v>
      </c>
      <c r="P619" s="741">
        <v>48.745949999999993</v>
      </c>
      <c r="Q619" s="337">
        <v>0</v>
      </c>
      <c r="R619" s="167">
        <f t="shared" si="32"/>
        <v>132639.58467750001</v>
      </c>
      <c r="S619" s="743">
        <v>13.153729183597765</v>
      </c>
      <c r="T619" s="743">
        <v>0.237765</v>
      </c>
      <c r="U619" s="680">
        <v>3.4079575927305102E-3</v>
      </c>
      <c r="V619" s="744">
        <v>1.7000000000000001E-2</v>
      </c>
      <c r="W619" s="743">
        <v>0.26900000000000002</v>
      </c>
      <c r="X619" s="155">
        <v>13.071</v>
      </c>
      <c r="Y619" s="743">
        <v>11.93</v>
      </c>
      <c r="Z619" s="337">
        <v>0</v>
      </c>
      <c r="AA619" s="337">
        <v>0</v>
      </c>
      <c r="AB619" s="337">
        <v>0</v>
      </c>
      <c r="AC619" s="743">
        <v>0.23814445542507792</v>
      </c>
      <c r="AD619" s="753">
        <v>0.11822272311530324</v>
      </c>
      <c r="AE619" s="743">
        <v>0.38340003</v>
      </c>
      <c r="AF619" s="743">
        <v>12.828397239676395</v>
      </c>
      <c r="AG619" s="172">
        <f t="shared" si="34"/>
        <v>8.8716712225230143</v>
      </c>
      <c r="AH619" s="667">
        <f t="shared" si="31"/>
        <v>202412</v>
      </c>
      <c r="AJ619" s="262" t="s">
        <v>1807</v>
      </c>
      <c r="AK619" s="262"/>
    </row>
    <row r="620" spans="3:37" ht="15.75" hidden="1">
      <c r="C620" s="665">
        <v>45628</v>
      </c>
      <c r="D620" s="745">
        <v>363703</v>
      </c>
      <c r="E620" s="745">
        <v>21623</v>
      </c>
      <c r="F620" s="748">
        <v>1721.77</v>
      </c>
      <c r="G620" s="745">
        <v>3927</v>
      </c>
      <c r="H620" s="745">
        <v>2322</v>
      </c>
      <c r="I620" s="646">
        <v>154326</v>
      </c>
      <c r="J620" s="745">
        <v>171471</v>
      </c>
      <c r="K620" s="745">
        <v>49629.13</v>
      </c>
      <c r="L620" s="745">
        <v>10943</v>
      </c>
      <c r="M620" s="745">
        <v>430488</v>
      </c>
      <c r="N620" s="745">
        <v>6734</v>
      </c>
      <c r="O620" s="745">
        <v>4429</v>
      </c>
      <c r="P620" s="745">
        <v>81.893195999999989</v>
      </c>
      <c r="Q620" s="337">
        <v>0</v>
      </c>
      <c r="R620" s="167">
        <f t="shared" si="32"/>
        <v>132230.91493820003</v>
      </c>
      <c r="S620" s="746">
        <v>13.041594576762648</v>
      </c>
      <c r="T620" s="746">
        <v>0.23194999999999999</v>
      </c>
      <c r="U620" s="680">
        <v>3.4079575927305102E-3</v>
      </c>
      <c r="V620" s="750">
        <v>1.7000000000000001E-2</v>
      </c>
      <c r="W620" s="746">
        <v>0.28595999999999999</v>
      </c>
      <c r="X620" s="155">
        <v>13.071</v>
      </c>
      <c r="Y620" s="746">
        <v>11.54</v>
      </c>
      <c r="Z620" s="337">
        <v>0</v>
      </c>
      <c r="AA620" s="337">
        <v>0</v>
      </c>
      <c r="AB620" s="337">
        <v>0</v>
      </c>
      <c r="AC620" s="746">
        <v>0.23446326883705648</v>
      </c>
      <c r="AD620" s="752">
        <v>0.11465480380691327</v>
      </c>
      <c r="AE620" s="746">
        <v>0.37660003000000003</v>
      </c>
      <c r="AF620" s="746">
        <v>12.828170705117133</v>
      </c>
      <c r="AG620" s="172">
        <f t="shared" si="34"/>
        <v>8.7774506261499727</v>
      </c>
      <c r="AH620" s="667">
        <f t="shared" si="31"/>
        <v>202412</v>
      </c>
      <c r="AJ620" s="262" t="s">
        <v>1807</v>
      </c>
      <c r="AK620" s="262"/>
    </row>
    <row r="621" spans="3:37" ht="15.75" hidden="1">
      <c r="C621" s="649">
        <v>45629</v>
      </c>
      <c r="D621" s="741">
        <v>345086</v>
      </c>
      <c r="E621" s="741">
        <v>22289</v>
      </c>
      <c r="F621" s="749">
        <v>1721.95</v>
      </c>
      <c r="G621" s="741">
        <v>4035</v>
      </c>
      <c r="H621" s="741">
        <v>2520</v>
      </c>
      <c r="I621" s="646">
        <v>154326</v>
      </c>
      <c r="J621" s="741">
        <v>170919</v>
      </c>
      <c r="K621" s="741">
        <v>51957</v>
      </c>
      <c r="L621" s="741">
        <v>11415</v>
      </c>
      <c r="M621" s="741">
        <v>439003</v>
      </c>
      <c r="N621" s="741">
        <v>6798</v>
      </c>
      <c r="O621" s="741">
        <v>4142</v>
      </c>
      <c r="P621" s="741">
        <v>73.024577999999991</v>
      </c>
      <c r="Q621" s="337">
        <v>0</v>
      </c>
      <c r="R621" s="167">
        <f t="shared" si="32"/>
        <v>132899.48031009999</v>
      </c>
      <c r="S621" s="743">
        <v>12.734923417160555</v>
      </c>
      <c r="T621" s="743">
        <v>0.23415</v>
      </c>
      <c r="U621" s="680">
        <v>3.4079575927305102E-3</v>
      </c>
      <c r="V621" s="744">
        <v>1.7000000000000001E-2</v>
      </c>
      <c r="W621" s="743">
        <v>0.29661999999999999</v>
      </c>
      <c r="X621" s="155">
        <v>13.071</v>
      </c>
      <c r="Y621" s="743">
        <v>11.48</v>
      </c>
      <c r="Z621" s="337">
        <v>0</v>
      </c>
      <c r="AA621" s="337">
        <v>0</v>
      </c>
      <c r="AB621" s="337">
        <v>0</v>
      </c>
      <c r="AC621" s="743">
        <v>0.2395602964204708</v>
      </c>
      <c r="AD621" s="753">
        <v>0.1142300515082954</v>
      </c>
      <c r="AE621" s="743">
        <v>0.37710003000000003</v>
      </c>
      <c r="AF621" s="743">
        <v>12.828029121017591</v>
      </c>
      <c r="AG621" s="172">
        <f t="shared" si="34"/>
        <v>8.7647261975494182</v>
      </c>
      <c r="AH621" s="667">
        <f t="shared" si="31"/>
        <v>202412</v>
      </c>
      <c r="AJ621" s="262" t="s">
        <v>1809</v>
      </c>
      <c r="AK621" s="262"/>
    </row>
    <row r="622" spans="3:37" ht="15.75" hidden="1">
      <c r="C622" s="665">
        <v>45630</v>
      </c>
      <c r="D622" s="745">
        <v>339731</v>
      </c>
      <c r="E622" s="745">
        <v>20855</v>
      </c>
      <c r="F622" s="748">
        <v>9915.73</v>
      </c>
      <c r="G622" s="745">
        <v>4055</v>
      </c>
      <c r="H622" s="745">
        <v>2303</v>
      </c>
      <c r="I622" s="646">
        <v>154326</v>
      </c>
      <c r="J622" s="745">
        <v>170487</v>
      </c>
      <c r="K622" s="745">
        <v>52785.1</v>
      </c>
      <c r="L622" s="745">
        <v>11507</v>
      </c>
      <c r="M622" s="745">
        <v>433640</v>
      </c>
      <c r="N622" s="745">
        <v>6785</v>
      </c>
      <c r="O622" s="745">
        <v>4468</v>
      </c>
      <c r="P622" s="745">
        <v>83.968829999999997</v>
      </c>
      <c r="Q622" s="337">
        <v>0</v>
      </c>
      <c r="R622" s="167">
        <f t="shared" si="32"/>
        <v>137920.58747350003</v>
      </c>
      <c r="S622" s="746">
        <v>12.888400581061143</v>
      </c>
      <c r="T622" s="746">
        <v>0.23055800000000001</v>
      </c>
      <c r="U622" s="680">
        <v>3.4079575927305102E-3</v>
      </c>
      <c r="V622" s="750">
        <v>1.7000000000000001E-2</v>
      </c>
      <c r="W622" s="746">
        <v>0.28058</v>
      </c>
      <c r="X622" s="155">
        <v>13.071</v>
      </c>
      <c r="Y622" s="746">
        <v>11.51</v>
      </c>
      <c r="Z622" s="337">
        <v>0</v>
      </c>
      <c r="AA622" s="337">
        <v>0</v>
      </c>
      <c r="AB622" s="337">
        <v>0</v>
      </c>
      <c r="AC622" s="746">
        <v>0.24663950139743507</v>
      </c>
      <c r="AD622" s="752">
        <v>0.11669361484027899</v>
      </c>
      <c r="AE622" s="746">
        <v>0.37440003000000005</v>
      </c>
      <c r="AF622" s="746">
        <v>12.83162535714589</v>
      </c>
      <c r="AG622" s="172">
        <f t="shared" si="34"/>
        <v>8.7611660626155796</v>
      </c>
      <c r="AH622" s="667">
        <f t="shared" si="31"/>
        <v>202412</v>
      </c>
      <c r="AJ622" s="262" t="s">
        <v>1808</v>
      </c>
      <c r="AK622" s="262"/>
    </row>
    <row r="623" spans="3:37" ht="15.75" hidden="1">
      <c r="C623" s="649">
        <v>45631</v>
      </c>
      <c r="D623" s="741">
        <v>359347</v>
      </c>
      <c r="E623" s="741">
        <v>20220</v>
      </c>
      <c r="F623" s="749">
        <v>25138.58</v>
      </c>
      <c r="G623" s="741">
        <v>4020</v>
      </c>
      <c r="H623" s="741">
        <v>2340</v>
      </c>
      <c r="I623" s="646">
        <v>154326</v>
      </c>
      <c r="J623" s="741">
        <v>169400</v>
      </c>
      <c r="K623" s="741">
        <v>52641.79</v>
      </c>
      <c r="L623" s="741">
        <v>11875</v>
      </c>
      <c r="M623" s="741">
        <v>435903</v>
      </c>
      <c r="N623" s="741">
        <v>6851</v>
      </c>
      <c r="O623" s="741">
        <v>4779</v>
      </c>
      <c r="P623" s="741">
        <v>84.472013999999987</v>
      </c>
      <c r="Q623" s="337">
        <v>0</v>
      </c>
      <c r="R623" s="167">
        <f t="shared" si="32"/>
        <v>148991.13940629998</v>
      </c>
      <c r="S623" s="743">
        <v>12.891515431251012</v>
      </c>
      <c r="T623" s="743">
        <v>0.218001</v>
      </c>
      <c r="U623" s="680">
        <v>3.4079575927305102E-3</v>
      </c>
      <c r="V623" s="744">
        <v>1.7000000000000001E-2</v>
      </c>
      <c r="W623" s="743">
        <v>0.28504000000000002</v>
      </c>
      <c r="X623" s="155">
        <v>13.071</v>
      </c>
      <c r="Y623" s="743">
        <v>11.52</v>
      </c>
      <c r="Z623" s="337">
        <v>0</v>
      </c>
      <c r="AA623" s="337">
        <v>0</v>
      </c>
      <c r="AB623" s="337">
        <v>0</v>
      </c>
      <c r="AC623" s="743">
        <v>0.23729495082784224</v>
      </c>
      <c r="AD623" s="753">
        <v>0.11236114139437683</v>
      </c>
      <c r="AE623" s="743">
        <v>0.38540003</v>
      </c>
      <c r="AF623" s="743">
        <v>12.819505758225327</v>
      </c>
      <c r="AG623" s="172">
        <f t="shared" si="34"/>
        <v>8.7650555602261235</v>
      </c>
      <c r="AH623" s="667">
        <f t="shared" si="31"/>
        <v>202412</v>
      </c>
      <c r="AJ623" s="262" t="s">
        <v>1810</v>
      </c>
      <c r="AK623" s="262"/>
    </row>
    <row r="624" spans="3:37" ht="15.75" hidden="1">
      <c r="C624" s="665">
        <v>45632</v>
      </c>
      <c r="D624" s="745">
        <v>352710</v>
      </c>
      <c r="E624" s="745">
        <v>24465</v>
      </c>
      <c r="F624" s="748">
        <v>24904.26</v>
      </c>
      <c r="G624" s="745">
        <v>4083</v>
      </c>
      <c r="H624" s="745">
        <v>2353</v>
      </c>
      <c r="I624" s="646">
        <v>145975</v>
      </c>
      <c r="J624" s="745">
        <v>171023</v>
      </c>
      <c r="K624" s="745">
        <v>51205.5</v>
      </c>
      <c r="L624" s="745">
        <v>10247</v>
      </c>
      <c r="M624" s="745">
        <v>439775</v>
      </c>
      <c r="N624" s="745">
        <v>6868</v>
      </c>
      <c r="O624" s="745">
        <v>4608</v>
      </c>
      <c r="P624" s="745">
        <v>88.497485999999995</v>
      </c>
      <c r="Q624" s="337">
        <v>0</v>
      </c>
      <c r="R624" s="167">
        <f t="shared" si="32"/>
        <v>147913.74711870003</v>
      </c>
      <c r="S624" s="746">
        <v>12.823555063472151</v>
      </c>
      <c r="T624" s="746">
        <v>0.23768400000000001</v>
      </c>
      <c r="U624" s="680">
        <v>3.4079575927305102E-3</v>
      </c>
      <c r="V624" s="750">
        <v>1.7000000000000001E-2</v>
      </c>
      <c r="W624" s="746">
        <v>0.28386</v>
      </c>
      <c r="X624" s="155">
        <v>13.071</v>
      </c>
      <c r="Y624" s="746">
        <v>11.56</v>
      </c>
      <c r="Z624" s="337">
        <v>0</v>
      </c>
      <c r="AA624" s="337">
        <v>0</v>
      </c>
      <c r="AB624" s="337">
        <v>0</v>
      </c>
      <c r="AC624" s="746">
        <v>0.23672861442968507</v>
      </c>
      <c r="AD624" s="752">
        <v>0.1098126276026697</v>
      </c>
      <c r="AE624" s="746">
        <v>0.41560005999999999</v>
      </c>
      <c r="AF624" s="746">
        <v>12.823555063472151</v>
      </c>
      <c r="AG624" s="172">
        <f t="shared" si="34"/>
        <v>8.7907988223400721</v>
      </c>
      <c r="AH624" s="667">
        <f t="shared" si="31"/>
        <v>202412</v>
      </c>
      <c r="AJ624" s="262" t="s">
        <v>1811</v>
      </c>
      <c r="AK624" s="262"/>
    </row>
    <row r="625" spans="3:37" ht="15.75" hidden="1">
      <c r="C625" s="649">
        <v>45633</v>
      </c>
      <c r="D625" s="741">
        <v>349177</v>
      </c>
      <c r="E625" s="741">
        <v>26220</v>
      </c>
      <c r="F625" s="749">
        <v>23192.92</v>
      </c>
      <c r="G625" s="741">
        <v>4094</v>
      </c>
      <c r="H625" s="741">
        <v>2366</v>
      </c>
      <c r="I625" s="646">
        <v>145975</v>
      </c>
      <c r="J625" s="741">
        <v>172955</v>
      </c>
      <c r="K625" s="741">
        <v>51516.33</v>
      </c>
      <c r="L625" s="741">
        <v>11443</v>
      </c>
      <c r="M625" s="741">
        <v>435871</v>
      </c>
      <c r="N625" s="741">
        <v>6440</v>
      </c>
      <c r="O625" s="741">
        <v>53</v>
      </c>
      <c r="P625" s="741">
        <v>81.26421599999999</v>
      </c>
      <c r="Q625" s="337">
        <v>0</v>
      </c>
      <c r="R625" s="167">
        <f t="shared" si="32"/>
        <v>145944.8863972</v>
      </c>
      <c r="S625" s="743">
        <v>13.909221938739392</v>
      </c>
      <c r="T625" s="743">
        <v>0.26791700000000002</v>
      </c>
      <c r="U625" s="680">
        <v>3.4079575927305102E-3</v>
      </c>
      <c r="V625" s="744">
        <v>1.7000000000000001E-2</v>
      </c>
      <c r="W625" s="743">
        <v>0.28039999999999998</v>
      </c>
      <c r="X625" s="155">
        <v>13.071</v>
      </c>
      <c r="Y625" s="743">
        <v>11.53</v>
      </c>
      <c r="Z625" s="337">
        <v>0</v>
      </c>
      <c r="AA625" s="337">
        <v>0</v>
      </c>
      <c r="AB625" s="337">
        <v>0</v>
      </c>
      <c r="AC625" s="743">
        <v>0.23248109144350654</v>
      </c>
      <c r="AD625" s="753">
        <v>0.11711836713889683</v>
      </c>
      <c r="AE625" s="743">
        <v>0.42880005999999998</v>
      </c>
      <c r="AF625" s="743">
        <v>12.822309123396204</v>
      </c>
      <c r="AG625" s="172">
        <f t="shared" si="34"/>
        <v>8.8276407469147387</v>
      </c>
      <c r="AH625" s="667">
        <f t="shared" si="31"/>
        <v>202412</v>
      </c>
      <c r="AJ625" s="262" t="s">
        <v>1815</v>
      </c>
      <c r="AK625" s="262"/>
    </row>
    <row r="626" spans="3:37" ht="15.75" hidden="1">
      <c r="C626" s="665">
        <v>45634</v>
      </c>
      <c r="D626" s="745">
        <v>343812</v>
      </c>
      <c r="E626" s="745">
        <v>29082</v>
      </c>
      <c r="F626" s="748">
        <v>19634.669999999998</v>
      </c>
      <c r="G626" s="745">
        <v>4143</v>
      </c>
      <c r="H626" s="745">
        <v>2411</v>
      </c>
      <c r="I626" s="646">
        <v>145975</v>
      </c>
      <c r="J626" s="745">
        <v>172957</v>
      </c>
      <c r="K626" s="745">
        <v>51336.21</v>
      </c>
      <c r="L626" s="745">
        <v>11530</v>
      </c>
      <c r="M626" s="745">
        <v>435496</v>
      </c>
      <c r="N626" s="745">
        <v>6920</v>
      </c>
      <c r="O626" s="745">
        <v>2814</v>
      </c>
      <c r="P626" s="745">
        <v>99.001452</v>
      </c>
      <c r="Q626" s="337">
        <v>0</v>
      </c>
      <c r="R626" s="167">
        <f t="shared" si="32"/>
        <v>145266.08565340002</v>
      </c>
      <c r="S626" s="746">
        <v>13.919132825707139</v>
      </c>
      <c r="T626" s="746">
        <v>0.30171399999999998</v>
      </c>
      <c r="U626" s="680">
        <v>3.4079575927305102E-3</v>
      </c>
      <c r="V626" s="750">
        <v>1.7000000000000001E-2</v>
      </c>
      <c r="W626" s="746">
        <v>0.28155000000000002</v>
      </c>
      <c r="X626" s="155">
        <v>13.071</v>
      </c>
      <c r="Y626" s="746">
        <v>11.63</v>
      </c>
      <c r="Z626" s="337">
        <v>0</v>
      </c>
      <c r="AA626" s="337">
        <v>0</v>
      </c>
      <c r="AB626" s="337">
        <v>0</v>
      </c>
      <c r="AC626" s="746">
        <v>0.23502960523521368</v>
      </c>
      <c r="AD626" s="752">
        <v>0.11253104231382399</v>
      </c>
      <c r="AE626" s="746">
        <v>0.37970003000000002</v>
      </c>
      <c r="AF626" s="746">
        <v>12.821742786998048</v>
      </c>
      <c r="AG626" s="172">
        <f xml:space="preserve"> IF(C626&lt; DATE(2024, 11, 1), S626 * (2.31 / 100), S626 * (2.925 / 100))+T626*T$6+U626*U$6+V626*V$6+W626*W$6+X626*X$6+Y626*Y$6+Z626*Z$6+AA626*AA$6+AB626*AB$6+AC626*AC$6+AD626*AD$6+AE626*AE$6+AF626*AF$6</f>
        <v>8.8404599462579156</v>
      </c>
      <c r="AH626" s="667">
        <f t="shared" si="31"/>
        <v>202412</v>
      </c>
      <c r="AJ626" s="262" t="s">
        <v>1814</v>
      </c>
      <c r="AK626" s="262"/>
    </row>
    <row r="627" spans="3:37" ht="15.75" hidden="1">
      <c r="C627" s="649">
        <v>45635</v>
      </c>
      <c r="D627" s="741">
        <v>351102</v>
      </c>
      <c r="E627" s="741">
        <v>30019</v>
      </c>
      <c r="F627" s="749">
        <v>24700.38</v>
      </c>
      <c r="G627" s="741">
        <v>4125</v>
      </c>
      <c r="H627" s="741">
        <v>2381</v>
      </c>
      <c r="I627" s="646">
        <v>145975</v>
      </c>
      <c r="J627" s="741">
        <v>176304</v>
      </c>
      <c r="K627" s="741">
        <v>51014.400000000001</v>
      </c>
      <c r="L627" s="741">
        <v>9689</v>
      </c>
      <c r="M627" s="741">
        <v>418331</v>
      </c>
      <c r="N627" s="741">
        <v>7005</v>
      </c>
      <c r="O627" s="741">
        <v>7463</v>
      </c>
      <c r="P627" s="741">
        <v>98.18377799999999</v>
      </c>
      <c r="Q627" s="337">
        <v>0</v>
      </c>
      <c r="R627" s="167">
        <f t="shared" si="32"/>
        <v>150766.91345009999</v>
      </c>
      <c r="S627" s="743">
        <v>13.780663576357723</v>
      </c>
      <c r="T627" s="743">
        <v>0.29279699999999997</v>
      </c>
      <c r="U627" s="680">
        <v>3.4079575927305102E-3</v>
      </c>
      <c r="V627" s="744">
        <v>1.7000000000000001E-2</v>
      </c>
      <c r="W627" s="743">
        <v>0.28194999999999998</v>
      </c>
      <c r="X627" s="155">
        <v>13.071</v>
      </c>
      <c r="Y627" s="743">
        <v>11.73</v>
      </c>
      <c r="Z627" s="337"/>
      <c r="AA627" s="337"/>
      <c r="AB627" s="337">
        <v>0</v>
      </c>
      <c r="AC627" s="743">
        <v>0.23587910983244936</v>
      </c>
      <c r="AD627" s="753">
        <v>0.11567420932359612</v>
      </c>
      <c r="AE627" s="743">
        <v>0.40030006000000001</v>
      </c>
      <c r="AF627" s="743">
        <v>12.898509685768248</v>
      </c>
      <c r="AG627" s="172">
        <f xml:space="preserve"> IF(C627&lt; DATE(2024, 11, 1), S627 * (2.31 / 100), S627 * (2.925 / 100))+T627*T$6+U627*U$6+V627*V$6+W627*W$6+X627*X$6+Y627*Y$6+Z627*Z$6+AA627*AA$6+AB627*AB$6+AC627*AC$6+AD627*AD$6+AE627*AE$6+AF627*AF$6</f>
        <v>8.8840732293149856</v>
      </c>
      <c r="AH627" s="667">
        <f t="shared" si="31"/>
        <v>202412</v>
      </c>
      <c r="AJ627" s="262" t="s">
        <v>1812</v>
      </c>
      <c r="AK627" s="262"/>
    </row>
    <row r="628" spans="3:37" ht="15.75" hidden="1">
      <c r="C628" s="665">
        <v>45636</v>
      </c>
      <c r="D628" s="745">
        <v>357419</v>
      </c>
      <c r="E628" s="745">
        <v>28113</v>
      </c>
      <c r="F628" s="748">
        <v>24630.87</v>
      </c>
      <c r="G628" s="745">
        <v>4144</v>
      </c>
      <c r="H628" s="745">
        <v>2330</v>
      </c>
      <c r="I628" s="646">
        <v>145975</v>
      </c>
      <c r="J628" s="745">
        <v>178101</v>
      </c>
      <c r="K628" s="745">
        <v>50829.1</v>
      </c>
      <c r="L628" s="745">
        <v>12608</v>
      </c>
      <c r="M628" s="745">
        <v>434702</v>
      </c>
      <c r="N628" s="745">
        <v>6988</v>
      </c>
      <c r="O628" s="745">
        <v>6107</v>
      </c>
      <c r="P628" s="745">
        <v>103.02692399999999</v>
      </c>
      <c r="Q628" s="745">
        <v>0</v>
      </c>
      <c r="R628" s="167">
        <f t="shared" si="32"/>
        <v>151584.76186579998</v>
      </c>
      <c r="S628" s="746">
        <v>13.921398171299773</v>
      </c>
      <c r="T628" s="746">
        <v>0.28628300000000001</v>
      </c>
      <c r="U628" s="680">
        <v>3.4079575927305102E-3</v>
      </c>
      <c r="V628" s="750">
        <v>1.7000000000000001E-2</v>
      </c>
      <c r="W628" s="746">
        <v>0.28238999999999997</v>
      </c>
      <c r="X628" s="155">
        <v>13.071</v>
      </c>
      <c r="Y628" s="746">
        <v>11.72</v>
      </c>
      <c r="Z628" s="337"/>
      <c r="AA628" s="337"/>
      <c r="AB628" s="337">
        <v>0</v>
      </c>
      <c r="AC628" s="746">
        <v>0.23021574585087798</v>
      </c>
      <c r="AD628" s="752">
        <v>0.11111520131843113</v>
      </c>
      <c r="AE628" s="746">
        <v>0.41930005999999997</v>
      </c>
      <c r="AF628" s="746">
        <v>12.904767702967886</v>
      </c>
      <c r="AG628" s="172">
        <f xml:space="preserve"> IF(C628&lt; DATE(2024, 11, 1), S628 * (2.31 / 100), S628 * (2.925 / 100))+T628*T$6+U628*U$6+V628*V$6+W628*W$6+X628*X$6+Y628*Y$6+Z628*Z$6+AA628*AA$6+AB628*AB$6+AC628*AC$6+AD628*AD$6+AE628*AE$6+AF628*AF$6</f>
        <v>8.8914382259009397</v>
      </c>
      <c r="AH628" s="667">
        <f t="shared" si="31"/>
        <v>202412</v>
      </c>
      <c r="AJ628" s="262" t="s">
        <v>1813</v>
      </c>
      <c r="AK628" s="262"/>
    </row>
    <row r="629" spans="3:37" ht="15.75" hidden="1">
      <c r="C629" s="649">
        <v>45637</v>
      </c>
      <c r="D629" s="741">
        <v>366206</v>
      </c>
      <c r="E629" s="741">
        <v>28182</v>
      </c>
      <c r="F629" s="749">
        <v>24555.57</v>
      </c>
      <c r="G629" s="741">
        <v>4163</v>
      </c>
      <c r="H629" s="741">
        <v>2354</v>
      </c>
      <c r="I629" s="646">
        <v>145975</v>
      </c>
      <c r="J629" s="741">
        <v>175501</v>
      </c>
      <c r="K629" s="741">
        <v>50754.44</v>
      </c>
      <c r="L629" s="741">
        <v>12132</v>
      </c>
      <c r="M629" s="741">
        <v>428443</v>
      </c>
      <c r="N629" s="741">
        <v>6913</v>
      </c>
      <c r="O629" s="741">
        <v>5257</v>
      </c>
      <c r="P629" s="741">
        <v>80.257847999999996</v>
      </c>
      <c r="Q629" s="337">
        <v>0</v>
      </c>
      <c r="R629" s="167">
        <f t="shared" si="32"/>
        <v>150422.84553159995</v>
      </c>
      <c r="S629" s="743">
        <v>14.05165554287591</v>
      </c>
      <c r="T629" s="743">
        <v>0.28525800000000001</v>
      </c>
      <c r="U629" s="680">
        <v>3.4079575927305102E-3</v>
      </c>
      <c r="V629" s="744">
        <v>1.7000000000000001E-2</v>
      </c>
      <c r="W629" s="743">
        <v>0.28236</v>
      </c>
      <c r="X629" s="155">
        <v>13.071</v>
      </c>
      <c r="Y629" s="743">
        <v>11.57</v>
      </c>
      <c r="Z629" s="337"/>
      <c r="AA629" s="337"/>
      <c r="AB629" s="337">
        <v>0</v>
      </c>
      <c r="AC629" s="743">
        <v>0.2296494094527208</v>
      </c>
      <c r="AD629" s="753">
        <v>0.1142300515082954</v>
      </c>
      <c r="AE629" s="743">
        <v>0.41360005999999999</v>
      </c>
      <c r="AF629" s="743">
        <v>12.897065527952948</v>
      </c>
      <c r="AG629" s="172">
        <f xml:space="preserve"> IF(C629&lt; DATE(2024, 11, 1), S629 * (2.31 / 100), S629 * (2.925 / 100))+T629*T$6+U629*U$6+V629*V$6+W629*W$6+X629*X$6+Y629*Y$6+Z629*Z$6+AA629*AA$6+AB629*AB$6+AC629*AC$6+AD629*AD$6+AE629*AE$6+AF629*AF$6</f>
        <v>8.8532507773391504</v>
      </c>
      <c r="AH629" s="667">
        <f t="shared" si="31"/>
        <v>202412</v>
      </c>
      <c r="AJ629" s="262" t="s">
        <v>1813</v>
      </c>
      <c r="AK629" s="262"/>
    </row>
    <row r="630" spans="3:37" ht="15.75" hidden="1">
      <c r="C630" s="649">
        <v>45638</v>
      </c>
      <c r="D630" s="745">
        <v>347985</v>
      </c>
      <c r="E630" s="745">
        <v>28591</v>
      </c>
      <c r="F630" s="748">
        <v>24502</v>
      </c>
      <c r="G630" s="745">
        <v>4177</v>
      </c>
      <c r="H630" s="745">
        <v>2346</v>
      </c>
      <c r="I630" s="646">
        <v>145975</v>
      </c>
      <c r="J630" s="745">
        <v>173731</v>
      </c>
      <c r="K630" s="745">
        <v>51624.91</v>
      </c>
      <c r="L630" s="745">
        <v>10213</v>
      </c>
      <c r="M630" s="745">
        <v>422528</v>
      </c>
      <c r="N630" s="745">
        <v>6902</v>
      </c>
      <c r="O630" s="745">
        <v>4300</v>
      </c>
      <c r="P630" s="745">
        <v>101.70606600000001</v>
      </c>
      <c r="Q630" s="337">
        <v>0</v>
      </c>
      <c r="R630" s="167">
        <f t="shared" si="32"/>
        <v>148645.3127297</v>
      </c>
      <c r="S630" s="746">
        <v>14.792989888063605</v>
      </c>
      <c r="T630" s="746">
        <v>0.28440399999999999</v>
      </c>
      <c r="U630" s="680">
        <v>3.4079575927305102E-3</v>
      </c>
      <c r="V630" s="750">
        <v>2.5000000000000001E-2</v>
      </c>
      <c r="W630" s="746">
        <v>0.28132999999999997</v>
      </c>
      <c r="X630" s="155">
        <v>13.071</v>
      </c>
      <c r="Y630" s="746">
        <v>11.51</v>
      </c>
      <c r="Z630" s="337">
        <v>0</v>
      </c>
      <c r="AA630" s="337">
        <v>0</v>
      </c>
      <c r="AB630" s="337">
        <v>0</v>
      </c>
      <c r="AC630" s="746">
        <v>0.22908307305456366</v>
      </c>
      <c r="AD630" s="752">
        <v>0.11363539829023041</v>
      </c>
      <c r="AE630" s="746">
        <v>0.40960005999999999</v>
      </c>
      <c r="AF630" s="746">
        <v>12.884606127193491</v>
      </c>
      <c r="AG630" s="172">
        <f xml:space="preserve"> IF(C630&lt; DATE(2024, 11, 1), S630 * (2.31 / 100), S630 * (2.925 / 100))+T630*T$6+U630*U$6+V630*V$6+W630*W$6+X630*X$6+Y630*Y$6+Z630*Z$6+AA630*AA$6+AB630*AB$6+AC630*AC$6+AD630*AD$6+AE630*AE$6+AF630*AF$6</f>
        <v>8.8578559705157591</v>
      </c>
      <c r="AH630" s="667">
        <f>IF($AK$1&gt;=C630,(YEAR(C630)*100+MONTH(C630)),0)</f>
        <v>202412</v>
      </c>
      <c r="AJ630" s="262" t="s">
        <v>1798</v>
      </c>
      <c r="AK630" s="262"/>
    </row>
    <row r="631" spans="3:37" ht="15.75" hidden="1">
      <c r="C631" s="649">
        <v>45639</v>
      </c>
      <c r="D631" s="741">
        <v>320151</v>
      </c>
      <c r="E631" s="741">
        <v>29774</v>
      </c>
      <c r="F631" s="749">
        <v>24490.46</v>
      </c>
      <c r="G631" s="741">
        <v>4201</v>
      </c>
      <c r="H631" s="741">
        <v>2375</v>
      </c>
      <c r="I631" s="646">
        <v>152303</v>
      </c>
      <c r="J631" s="741">
        <v>173165</v>
      </c>
      <c r="K631" s="741">
        <v>50789.760000000002</v>
      </c>
      <c r="L631" s="741">
        <v>11107</v>
      </c>
      <c r="M631" s="741">
        <v>402763</v>
      </c>
      <c r="N631" s="741">
        <v>6761</v>
      </c>
      <c r="O631" s="741">
        <v>3921</v>
      </c>
      <c r="P631" s="741">
        <v>85.981566000000001</v>
      </c>
      <c r="Q631" s="337">
        <v>0</v>
      </c>
      <c r="R631" s="167">
        <f t="shared" si="32"/>
        <v>148344.04420469998</v>
      </c>
      <c r="S631" s="743">
        <v>14.964306648506144</v>
      </c>
      <c r="T631" s="743">
        <v>0.296292</v>
      </c>
      <c r="U631" s="680">
        <v>3.4079575927305102E-3</v>
      </c>
      <c r="V631" s="744">
        <v>2.5000000000000001E-2</v>
      </c>
      <c r="W631" s="743">
        <v>0.27958999999999995</v>
      </c>
      <c r="X631" s="155">
        <v>13.071</v>
      </c>
      <c r="Y631" s="743">
        <v>11.31</v>
      </c>
      <c r="Z631" s="337">
        <v>0</v>
      </c>
      <c r="AA631" s="337">
        <v>0</v>
      </c>
      <c r="AB631" s="337">
        <v>0</v>
      </c>
      <c r="AC631" s="743">
        <v>0.22936624125364222</v>
      </c>
      <c r="AD631" s="753">
        <v>0.11553262522405683</v>
      </c>
      <c r="AE631" s="743">
        <v>0.41220005999999998</v>
      </c>
      <c r="AF631" s="743">
        <v>12.884209691714782</v>
      </c>
      <c r="AG631" s="172">
        <f t="shared" ref="AG631:AG640" si="35" xml:space="preserve"> IF(C631&lt; DATE(2024, 11, 1), S631 * (2.31 / 100), S631 * (2.925 / 100))+T631*T$6+U631*U$6+V631*V$6+W631*W$6+X631*X$6+Y631*Y$6+Z631*Z$6+AA631*AA$6+AB631*AB$6+AC631*AC$6+AD631*AD$6+AE631*AE$6+AF631*AF$6</f>
        <v>8.8142293910027547</v>
      </c>
      <c r="AH631" s="667">
        <f t="shared" ref="AH631:AH694" si="36">IF($AK$1&gt;=C631,(YEAR(C631)*100+MONTH(C631)),0)</f>
        <v>202412</v>
      </c>
      <c r="AJ631" s="262" t="s">
        <v>1798</v>
      </c>
      <c r="AK631" s="262"/>
    </row>
    <row r="632" spans="3:37" ht="15.75" hidden="1">
      <c r="C632" s="649">
        <v>45640</v>
      </c>
      <c r="D632" s="745">
        <v>349408</v>
      </c>
      <c r="E632" s="745">
        <v>29994</v>
      </c>
      <c r="F632" s="748">
        <v>24420.560000000001</v>
      </c>
      <c r="G632" s="745">
        <v>4226</v>
      </c>
      <c r="H632" s="745">
        <v>2395</v>
      </c>
      <c r="I632" s="646">
        <v>152303</v>
      </c>
      <c r="J632" s="745">
        <v>177996</v>
      </c>
      <c r="K632" s="745">
        <v>51737.29</v>
      </c>
      <c r="L632" s="745">
        <v>11559</v>
      </c>
      <c r="M632" s="745">
        <v>440421</v>
      </c>
      <c r="N632" s="745">
        <v>6975</v>
      </c>
      <c r="O632" s="745">
        <v>5281</v>
      </c>
      <c r="P632" s="745">
        <v>89.252261999999988</v>
      </c>
      <c r="Q632" s="337">
        <v>0</v>
      </c>
      <c r="R632" s="167">
        <f t="shared" si="32"/>
        <v>152920.10076789997</v>
      </c>
      <c r="S632" s="746">
        <v>15.116651139610415</v>
      </c>
      <c r="T632" s="746">
        <v>0.29512300000000002</v>
      </c>
      <c r="U632" s="680">
        <v>3.4079575927305102E-3</v>
      </c>
      <c r="V632" s="750">
        <v>2.5000000000000001E-2</v>
      </c>
      <c r="W632" s="746">
        <v>0.28087000000000001</v>
      </c>
      <c r="X632" s="155">
        <v>13.071</v>
      </c>
      <c r="Y632" s="746">
        <v>11.47</v>
      </c>
      <c r="Z632" s="337">
        <v>0</v>
      </c>
      <c r="AA632" s="337">
        <v>0</v>
      </c>
      <c r="AB632" s="337">
        <v>0</v>
      </c>
      <c r="AC632" s="746">
        <v>0.22002169068404939</v>
      </c>
      <c r="AD632" s="752">
        <v>0.11864747541392112</v>
      </c>
      <c r="AE632" s="746">
        <v>0.40550006</v>
      </c>
      <c r="AF632" s="746">
        <v>13.26359844484025</v>
      </c>
      <c r="AG632" s="172">
        <f t="shared" si="35"/>
        <v>8.9229489649121732</v>
      </c>
      <c r="AH632" s="667">
        <f t="shared" si="36"/>
        <v>202412</v>
      </c>
      <c r="AJ632" s="262" t="s">
        <v>1798</v>
      </c>
      <c r="AK632" s="262"/>
    </row>
    <row r="633" spans="3:37" ht="15.75" hidden="1">
      <c r="C633" s="649">
        <v>45641</v>
      </c>
      <c r="D633" s="741">
        <v>368957</v>
      </c>
      <c r="E633" s="741">
        <v>30522</v>
      </c>
      <c r="F633" s="749">
        <v>23027.11</v>
      </c>
      <c r="G633" s="741">
        <v>4208</v>
      </c>
      <c r="H633" s="741">
        <v>2368</v>
      </c>
      <c r="I633" s="646">
        <v>152303</v>
      </c>
      <c r="J633" s="741">
        <v>177007</v>
      </c>
      <c r="K633" s="741">
        <v>50510.400000000001</v>
      </c>
      <c r="L633" s="741">
        <v>11219</v>
      </c>
      <c r="M633" s="741">
        <v>443002</v>
      </c>
      <c r="N633" s="741">
        <v>6950</v>
      </c>
      <c r="O633" s="741">
        <v>3904</v>
      </c>
      <c r="P633" s="741">
        <v>104.03329199999999</v>
      </c>
      <c r="Q633" s="337">
        <v>0</v>
      </c>
      <c r="R633" s="167">
        <f t="shared" si="32"/>
        <v>151533.50798140001</v>
      </c>
      <c r="S633" s="743">
        <v>15.620407365771197</v>
      </c>
      <c r="T633" s="743">
        <v>0.30304999999999999</v>
      </c>
      <c r="U633" s="680">
        <v>3.4079575927305102E-3</v>
      </c>
      <c r="V633" s="744">
        <v>2.5000000000000001E-2</v>
      </c>
      <c r="W633" s="743">
        <v>0.28088999999999997</v>
      </c>
      <c r="X633" s="155">
        <v>13.071</v>
      </c>
      <c r="Y633" s="743">
        <v>11.47</v>
      </c>
      <c r="Z633" s="337">
        <v>0</v>
      </c>
      <c r="AA633" s="337">
        <v>0</v>
      </c>
      <c r="AB633" s="337">
        <v>0</v>
      </c>
      <c r="AC633" s="743">
        <v>0.21832268148957798</v>
      </c>
      <c r="AD633" s="753">
        <v>0.11635381300138468</v>
      </c>
      <c r="AE633" s="743">
        <v>0.40000005999999999</v>
      </c>
      <c r="AF633" s="743">
        <v>13.24799587707102</v>
      </c>
      <c r="AG633" s="172">
        <f t="shared" si="35"/>
        <v>8.9336123320302008</v>
      </c>
      <c r="AH633" s="667">
        <f t="shared" si="36"/>
        <v>202412</v>
      </c>
      <c r="AJ633" s="262" t="s">
        <v>1816</v>
      </c>
      <c r="AK633" s="262"/>
    </row>
    <row r="634" spans="3:37" ht="15.75" hidden="1">
      <c r="C634" s="649">
        <v>45642</v>
      </c>
      <c r="D634" s="745">
        <v>360275</v>
      </c>
      <c r="E634" s="745">
        <v>30994</v>
      </c>
      <c r="F634" s="748">
        <v>24116.75</v>
      </c>
      <c r="G634" s="745">
        <v>4258</v>
      </c>
      <c r="H634" s="745">
        <v>2345</v>
      </c>
      <c r="I634" s="646">
        <v>152303</v>
      </c>
      <c r="J634" s="745">
        <v>175824</v>
      </c>
      <c r="K634" s="745">
        <v>52138.13</v>
      </c>
      <c r="L634" s="745">
        <v>9814</v>
      </c>
      <c r="M634" s="745">
        <v>437189</v>
      </c>
      <c r="N634" s="745">
        <v>7107</v>
      </c>
      <c r="O634" s="745">
        <v>3996</v>
      </c>
      <c r="P634" s="745">
        <v>83.276951999999994</v>
      </c>
      <c r="Q634" s="337">
        <v>0</v>
      </c>
      <c r="R634" s="167">
        <f t="shared" si="32"/>
        <v>151744.35337839997</v>
      </c>
      <c r="S634" s="746">
        <v>14.712570119525294</v>
      </c>
      <c r="T634" s="746">
        <v>0.305755</v>
      </c>
      <c r="U634" s="680">
        <v>3.4079575927305102E-3</v>
      </c>
      <c r="V634" s="747">
        <v>2.5000000000000001E-2</v>
      </c>
      <c r="W634" s="746">
        <v>0.27861999999999998</v>
      </c>
      <c r="X634" s="155">
        <v>13.071</v>
      </c>
      <c r="Y634" s="746">
        <v>11.5</v>
      </c>
      <c r="Z634" s="751"/>
      <c r="AA634" s="751"/>
      <c r="AB634" s="751"/>
      <c r="AC634" s="746">
        <v>0.22228703627667795</v>
      </c>
      <c r="AD634" s="752">
        <v>0.11949698001115681</v>
      </c>
      <c r="AE634" s="746">
        <v>0.39930006000000001</v>
      </c>
      <c r="AF634" s="746">
        <v>13.7506760640753</v>
      </c>
      <c r="AG634" s="172">
        <f t="shared" si="35"/>
        <v>9.0001524201987255</v>
      </c>
      <c r="AH634" s="667">
        <f t="shared" si="36"/>
        <v>202412</v>
      </c>
      <c r="AJ634" s="262" t="s">
        <v>1822</v>
      </c>
      <c r="AK634" s="262"/>
    </row>
    <row r="635" spans="3:37" ht="15.75" hidden="1">
      <c r="C635" s="649">
        <v>45643</v>
      </c>
      <c r="D635" s="741">
        <v>350549</v>
      </c>
      <c r="E635" s="741">
        <v>31214</v>
      </c>
      <c r="F635" s="749">
        <v>24460.98</v>
      </c>
      <c r="G635" s="741">
        <v>4207</v>
      </c>
      <c r="H635" s="741">
        <v>2328</v>
      </c>
      <c r="I635" s="646">
        <v>152303</v>
      </c>
      <c r="J635" s="741">
        <v>175478</v>
      </c>
      <c r="K635" s="741">
        <v>51251.59</v>
      </c>
      <c r="L635" s="741">
        <v>11950</v>
      </c>
      <c r="M635" s="741">
        <v>436829</v>
      </c>
      <c r="N635" s="741">
        <v>7049</v>
      </c>
      <c r="O635" s="741">
        <v>4976</v>
      </c>
      <c r="P635" s="741">
        <v>101.328678</v>
      </c>
      <c r="Q635" s="337">
        <v>0</v>
      </c>
      <c r="R635" s="167">
        <f t="shared" si="32"/>
        <v>152300.78715510003</v>
      </c>
      <c r="S635" s="743">
        <v>15.19763724454689</v>
      </c>
      <c r="T635" s="743">
        <v>0.30791499999999999</v>
      </c>
      <c r="U635" s="680">
        <v>3.4079575927305102E-3</v>
      </c>
      <c r="V635" s="742">
        <v>2.5999999999999999E-2</v>
      </c>
      <c r="W635" s="743">
        <v>0.27788000000000002</v>
      </c>
      <c r="X635" s="155">
        <v>13.071</v>
      </c>
      <c r="Y635" s="743">
        <v>11.43</v>
      </c>
      <c r="Z635" s="751"/>
      <c r="AA635" s="751"/>
      <c r="AB635" s="751"/>
      <c r="AC635" s="743">
        <v>0.22200386807759939</v>
      </c>
      <c r="AD635" s="753">
        <v>0.11995004912968253</v>
      </c>
      <c r="AE635" s="743">
        <v>0.39530006000000001</v>
      </c>
      <c r="AF635" s="743">
        <v>13.749571708098893</v>
      </c>
      <c r="AG635" s="172">
        <f t="shared" si="35"/>
        <v>8.9946461722351287</v>
      </c>
      <c r="AH635" s="667">
        <f t="shared" si="36"/>
        <v>202412</v>
      </c>
      <c r="AJ635" s="262" t="s">
        <v>1822</v>
      </c>
      <c r="AK635" s="262"/>
    </row>
    <row r="636" spans="3:37" ht="15.75" hidden="1">
      <c r="C636" s="649">
        <v>45644</v>
      </c>
      <c r="D636" s="745">
        <v>336550</v>
      </c>
      <c r="E636" s="745">
        <v>31547</v>
      </c>
      <c r="F636" s="748">
        <v>24495.69</v>
      </c>
      <c r="G636" s="745">
        <v>4170</v>
      </c>
      <c r="H636" s="745">
        <v>2271</v>
      </c>
      <c r="I636" s="646">
        <v>152303</v>
      </c>
      <c r="J636" s="745">
        <v>175490</v>
      </c>
      <c r="K636" s="745">
        <v>47905.05</v>
      </c>
      <c r="L636" s="745">
        <v>11373</v>
      </c>
      <c r="M636" s="745">
        <v>428222</v>
      </c>
      <c r="N636" s="745">
        <v>7105</v>
      </c>
      <c r="O636" s="745">
        <v>4329</v>
      </c>
      <c r="P636" s="745">
        <v>71.074740000000006</v>
      </c>
      <c r="Q636" s="337">
        <v>0</v>
      </c>
      <c r="R636" s="167">
        <f t="shared" si="32"/>
        <v>150346.772883</v>
      </c>
      <c r="S636" s="746">
        <v>15.052938294817743</v>
      </c>
      <c r="T636" s="746">
        <v>0.309919</v>
      </c>
      <c r="U636" s="680">
        <v>3.4079575927305102E-3</v>
      </c>
      <c r="V636" s="747">
        <v>2.5000000000000001E-2</v>
      </c>
      <c r="W636" s="746">
        <v>0.27855000000000002</v>
      </c>
      <c r="X636" s="155">
        <v>13.071</v>
      </c>
      <c r="Y636" s="746">
        <v>11.64</v>
      </c>
      <c r="Z636" s="337">
        <v>0</v>
      </c>
      <c r="AA636" s="337">
        <v>0</v>
      </c>
      <c r="AB636" s="337">
        <v>0</v>
      </c>
      <c r="AC636" s="746">
        <v>0.22483555006838513</v>
      </c>
      <c r="AD636" s="752">
        <v>0.11842094085465826</v>
      </c>
      <c r="AE636" s="746">
        <v>0.39430006000000001</v>
      </c>
      <c r="AF636" s="746">
        <v>14.31423741388147</v>
      </c>
      <c r="AG636" s="172">
        <f t="shared" si="35"/>
        <v>9.1409678196475657</v>
      </c>
      <c r="AH636" s="667">
        <f t="shared" si="36"/>
        <v>202412</v>
      </c>
      <c r="AJ636" s="262" t="s">
        <v>1823</v>
      </c>
      <c r="AK636" s="262"/>
    </row>
    <row r="637" spans="3:37" ht="15.75" hidden="1">
      <c r="C637" s="649">
        <v>45645</v>
      </c>
      <c r="D637" s="741">
        <v>348739</v>
      </c>
      <c r="E637" s="741">
        <v>31585</v>
      </c>
      <c r="F637" s="749">
        <v>24575.279999999999</v>
      </c>
      <c r="G637" s="741">
        <v>4193</v>
      </c>
      <c r="H637" s="741">
        <v>2311</v>
      </c>
      <c r="I637" s="646">
        <v>152303</v>
      </c>
      <c r="J637" s="741">
        <v>175860</v>
      </c>
      <c r="K637" s="741">
        <v>28299.21</v>
      </c>
      <c r="L637" s="741">
        <v>10783</v>
      </c>
      <c r="M637" s="741">
        <v>444976</v>
      </c>
      <c r="N637" s="741">
        <v>7114</v>
      </c>
      <c r="O637" s="741">
        <v>4935</v>
      </c>
      <c r="P637" s="741">
        <v>103.46720999999999</v>
      </c>
      <c r="Q637" s="337">
        <v>0</v>
      </c>
      <c r="R637" s="167">
        <f t="shared" si="32"/>
        <v>146801.30324449998</v>
      </c>
      <c r="S637" s="743">
        <v>12.570402693495911</v>
      </c>
      <c r="T637" s="743">
        <v>0.30976500000000001</v>
      </c>
      <c r="U637" s="680">
        <v>3.4079575927305102E-3</v>
      </c>
      <c r="V637" s="742">
        <v>2.5999999999999999E-2</v>
      </c>
      <c r="W637" s="743">
        <v>0.27660000000000001</v>
      </c>
      <c r="X637" s="155">
        <v>13.071</v>
      </c>
      <c r="Y637" s="743">
        <v>11.58</v>
      </c>
      <c r="Z637" s="337">
        <v>0</v>
      </c>
      <c r="AA637" s="337">
        <v>0</v>
      </c>
      <c r="AB637" s="337">
        <v>0</v>
      </c>
      <c r="AC637" s="743">
        <v>0.22540188646654225</v>
      </c>
      <c r="AD637" s="753">
        <v>0.11887400997318398</v>
      </c>
      <c r="AE637" s="743">
        <v>0.40570005999999997</v>
      </c>
      <c r="AF637" s="743">
        <v>14.339496017239279</v>
      </c>
      <c r="AG637" s="172">
        <f t="shared" si="35"/>
        <v>9.060929560530937</v>
      </c>
      <c r="AH637" s="667">
        <f t="shared" si="36"/>
        <v>202412</v>
      </c>
      <c r="AJ637" s="262" t="s">
        <v>1825</v>
      </c>
      <c r="AK637" s="262"/>
    </row>
    <row r="638" spans="3:37" ht="15.75" hidden="1">
      <c r="C638" s="649">
        <v>45646</v>
      </c>
      <c r="D638" s="745">
        <v>353148</v>
      </c>
      <c r="E638" s="745">
        <v>31415</v>
      </c>
      <c r="F638" s="748">
        <v>24664.560000000001</v>
      </c>
      <c r="G638" s="745">
        <v>4220</v>
      </c>
      <c r="H638" s="745">
        <v>2308</v>
      </c>
      <c r="I638" s="646">
        <v>174483</v>
      </c>
      <c r="J638" s="745">
        <v>175460</v>
      </c>
      <c r="K638" s="745">
        <v>49176.18</v>
      </c>
      <c r="L638" s="745">
        <v>10641</v>
      </c>
      <c r="M638" s="745">
        <v>428789</v>
      </c>
      <c r="N638" s="745">
        <v>7210</v>
      </c>
      <c r="O638" s="745">
        <v>4365</v>
      </c>
      <c r="P638" s="745">
        <v>90.195731999999992</v>
      </c>
      <c r="Q638" s="337">
        <v>0</v>
      </c>
      <c r="R638" s="167">
        <f t="shared" si="32"/>
        <v>155603.45532940002</v>
      </c>
      <c r="S638" s="746">
        <v>12.185577110948133</v>
      </c>
      <c r="T638" s="746">
        <v>0.30888300000000002</v>
      </c>
      <c r="U638" s="680">
        <v>3.4079575927305102E-3</v>
      </c>
      <c r="V638" s="747">
        <v>2.5999999999999999E-2</v>
      </c>
      <c r="W638" s="746">
        <v>0.27779000000000004</v>
      </c>
      <c r="X638" s="155">
        <v>13.071</v>
      </c>
      <c r="Y638" s="746">
        <v>11.61</v>
      </c>
      <c r="Z638" s="337">
        <v>0</v>
      </c>
      <c r="AA638" s="337">
        <v>0</v>
      </c>
      <c r="AB638" s="337">
        <v>0</v>
      </c>
      <c r="AC638" s="746">
        <v>0.22766723205917078</v>
      </c>
      <c r="AD638" s="752">
        <v>0.11949698001115681</v>
      </c>
      <c r="AE638" s="746">
        <v>0.39710005999999998</v>
      </c>
      <c r="AF638" s="746">
        <v>14.317069095872256</v>
      </c>
      <c r="AG638" s="172">
        <f t="shared" si="35"/>
        <v>9.0512410716393994</v>
      </c>
      <c r="AH638" s="667">
        <f t="shared" si="36"/>
        <v>202412</v>
      </c>
      <c r="AJ638" s="262" t="s">
        <v>1826</v>
      </c>
      <c r="AK638" s="262"/>
    </row>
    <row r="639" spans="3:37" ht="15.75" hidden="1">
      <c r="C639" s="649">
        <v>45647</v>
      </c>
      <c r="D639" s="741">
        <v>350691</v>
      </c>
      <c r="E639" s="741">
        <v>22843</v>
      </c>
      <c r="F639" s="749">
        <v>24337.54</v>
      </c>
      <c r="G639" s="741">
        <v>4281</v>
      </c>
      <c r="H639" s="741">
        <v>2287</v>
      </c>
      <c r="I639" s="646">
        <v>174483</v>
      </c>
      <c r="J639" s="741">
        <v>182691</v>
      </c>
      <c r="K639" s="741">
        <v>51547.05</v>
      </c>
      <c r="L639" s="741">
        <v>10711</v>
      </c>
      <c r="M639" s="741">
        <v>433483</v>
      </c>
      <c r="N639" s="741">
        <v>7300</v>
      </c>
      <c r="O639" s="741">
        <v>3522</v>
      </c>
      <c r="P639" s="741">
        <v>99.378839999999997</v>
      </c>
      <c r="Q639" s="337">
        <v>0</v>
      </c>
      <c r="R639" s="167">
        <f t="shared" si="32"/>
        <v>155351.99147800001</v>
      </c>
      <c r="S639" s="743">
        <v>12.343301797834897</v>
      </c>
      <c r="T639" s="743">
        <v>0.27085700000000001</v>
      </c>
      <c r="U639" s="680">
        <v>3.4079575927305102E-3</v>
      </c>
      <c r="V639" s="742">
        <v>2.5999999999999999E-2</v>
      </c>
      <c r="W639" s="743">
        <v>0.27626999999999996</v>
      </c>
      <c r="X639" s="155">
        <v>13.071</v>
      </c>
      <c r="Y639" s="743">
        <v>11.61</v>
      </c>
      <c r="Z639" s="337">
        <v>0</v>
      </c>
      <c r="AA639" s="337">
        <v>0</v>
      </c>
      <c r="AB639" s="337">
        <v>0</v>
      </c>
      <c r="AC639" s="743">
        <v>0.22710089566101366</v>
      </c>
      <c r="AD639" s="753">
        <v>0.11995004912968253</v>
      </c>
      <c r="AE639" s="743">
        <v>0.38710003000000004</v>
      </c>
      <c r="AF639" s="743">
        <v>13.301599617156594</v>
      </c>
      <c r="AG639" s="172">
        <f t="shared" si="35"/>
        <v>8.8670566044927881</v>
      </c>
      <c r="AH639" s="667">
        <f t="shared" si="36"/>
        <v>202412</v>
      </c>
      <c r="AJ639" s="262" t="s">
        <v>1829</v>
      </c>
      <c r="AK639" s="262"/>
    </row>
    <row r="640" spans="3:37" ht="15.75" hidden="1">
      <c r="C640" s="649">
        <v>45648</v>
      </c>
      <c r="D640" s="745">
        <v>362306</v>
      </c>
      <c r="E640" s="745">
        <v>35340</v>
      </c>
      <c r="F640" s="748">
        <v>24379.29</v>
      </c>
      <c r="G640" s="745">
        <v>4336</v>
      </c>
      <c r="H640" s="745">
        <v>2305</v>
      </c>
      <c r="I640" s="646">
        <v>174483</v>
      </c>
      <c r="J640" s="745">
        <v>176217</v>
      </c>
      <c r="K640" s="745">
        <v>51036.7</v>
      </c>
      <c r="L640" s="745">
        <v>10797</v>
      </c>
      <c r="M640" s="745">
        <v>421620</v>
      </c>
      <c r="N640" s="745">
        <v>7312</v>
      </c>
      <c r="O640" s="745">
        <v>5243</v>
      </c>
      <c r="P640" s="745">
        <v>79.125683999999993</v>
      </c>
      <c r="Q640" s="337">
        <v>0</v>
      </c>
      <c r="R640" s="167">
        <f t="shared" si="32"/>
        <v>157556.6513078</v>
      </c>
      <c r="S640" s="746">
        <v>13.106156926152563</v>
      </c>
      <c r="T640" s="746">
        <v>0.28700599999999998</v>
      </c>
      <c r="U640" s="680">
        <v>3.4079575927305102E-3</v>
      </c>
      <c r="V640" s="747">
        <v>2.7E-2</v>
      </c>
      <c r="W640" s="746">
        <v>0.25892000000000004</v>
      </c>
      <c r="X640" s="155">
        <v>13.071</v>
      </c>
      <c r="Y640" s="746">
        <v>11.54</v>
      </c>
      <c r="Z640" s="337">
        <v>0</v>
      </c>
      <c r="AA640" s="337">
        <v>0</v>
      </c>
      <c r="AB640" s="337">
        <v>0</v>
      </c>
      <c r="AC640" s="746">
        <v>0.2296494094527208</v>
      </c>
      <c r="AD640" s="752">
        <v>0.1203748014283004</v>
      </c>
      <c r="AE640" s="746">
        <v>0.39040003000000001</v>
      </c>
      <c r="AF640" s="746">
        <v>13.275010123263117</v>
      </c>
      <c r="AG640" s="172">
        <f t="shared" si="35"/>
        <v>8.8560953704707224</v>
      </c>
      <c r="AH640" s="667">
        <f t="shared" si="36"/>
        <v>202412</v>
      </c>
      <c r="AJ640" s="262" t="s">
        <v>1830</v>
      </c>
      <c r="AK640" s="262"/>
    </row>
    <row r="641" spans="3:37" ht="15.75" hidden="1">
      <c r="C641" s="649">
        <v>45649</v>
      </c>
      <c r="D641" s="741">
        <v>354249</v>
      </c>
      <c r="E641" s="741">
        <v>33780</v>
      </c>
      <c r="F641" s="749">
        <v>24610.240000000002</v>
      </c>
      <c r="G641" s="741">
        <v>4340</v>
      </c>
      <c r="H641" s="741">
        <v>2343</v>
      </c>
      <c r="I641" s="646">
        <v>174483</v>
      </c>
      <c r="J641" s="741">
        <v>175294</v>
      </c>
      <c r="K641" s="741">
        <v>52067.360000000001</v>
      </c>
      <c r="L641" s="741">
        <v>11216</v>
      </c>
      <c r="M641" s="741">
        <v>440938</v>
      </c>
      <c r="N641" s="741">
        <v>7399</v>
      </c>
      <c r="O641" s="741">
        <v>4236</v>
      </c>
      <c r="P641" s="741">
        <v>98.498267999999996</v>
      </c>
      <c r="Q641" s="337">
        <v>0</v>
      </c>
      <c r="R641" s="167">
        <f t="shared" si="32"/>
        <v>157608.42547059999</v>
      </c>
      <c r="S641" s="743">
        <v>13.2061153004273</v>
      </c>
      <c r="T641" s="743">
        <v>0.33198499999999997</v>
      </c>
      <c r="U641" s="680">
        <v>3.4079575927305102E-3</v>
      </c>
      <c r="V641" s="742">
        <v>2.3E-2</v>
      </c>
      <c r="W641" s="743">
        <v>0.28216000000000002</v>
      </c>
      <c r="X641" s="155">
        <v>13.071</v>
      </c>
      <c r="Y641" s="743">
        <v>11.46</v>
      </c>
      <c r="Z641" s="337">
        <v>0</v>
      </c>
      <c r="AA641" s="337">
        <v>0</v>
      </c>
      <c r="AB641" s="337">
        <v>0</v>
      </c>
      <c r="AC641" s="743">
        <v>0.22936624125364222</v>
      </c>
      <c r="AD641" s="753">
        <v>0.10630134193409543</v>
      </c>
      <c r="AE641" s="743">
        <v>0.39120003000000003</v>
      </c>
      <c r="AF641" s="743">
        <v>13.325640597258365</v>
      </c>
      <c r="AG641" s="172">
        <f xml:space="preserve"> IF(C641&lt; DATE(2024, 11, 1), S641 * (2.31 / 100), S641 * (2.925 / 100))+T641*T$6+U641*U$6+V641*V$6+W641*W$6+X641*X$6+Y641*Y$6+Z641*Z$6+AA641*AA$6+AB641*AB$6+AC641*AC$6+AD641*AD$6+AE641*AE$6+AF641*AF$6</f>
        <v>8.874910131197872</v>
      </c>
      <c r="AH641" s="667">
        <f t="shared" si="36"/>
        <v>202412</v>
      </c>
      <c r="AJ641" s="262" t="s">
        <v>1830</v>
      </c>
      <c r="AK641" s="262"/>
    </row>
    <row r="642" spans="3:37" ht="15.75" hidden="1">
      <c r="C642" s="649">
        <v>45650</v>
      </c>
      <c r="D642" s="745">
        <v>359196</v>
      </c>
      <c r="E642" s="745">
        <v>36862</v>
      </c>
      <c r="F642" s="748">
        <v>24592.880000000001</v>
      </c>
      <c r="G642" s="745">
        <v>4374</v>
      </c>
      <c r="H642" s="745">
        <v>2300</v>
      </c>
      <c r="I642" s="646">
        <v>174483</v>
      </c>
      <c r="J642" s="745">
        <v>175857</v>
      </c>
      <c r="K642" s="745">
        <v>50930.9</v>
      </c>
      <c r="L642" s="745">
        <v>10444</v>
      </c>
      <c r="M642" s="745">
        <v>428167</v>
      </c>
      <c r="N642" s="745">
        <v>7412</v>
      </c>
      <c r="O642" s="745">
        <v>4519</v>
      </c>
      <c r="P642" s="745">
        <v>97.932186000000002</v>
      </c>
      <c r="Q642" s="337">
        <v>0</v>
      </c>
      <c r="R642" s="167">
        <f t="shared" si="32"/>
        <v>157826.66848370002</v>
      </c>
      <c r="S642" s="746">
        <v>12.708022438248094</v>
      </c>
      <c r="T642" s="746">
        <v>0.357761</v>
      </c>
      <c r="U642" s="680">
        <v>3.4079575927305102E-3</v>
      </c>
      <c r="V642" s="747">
        <v>2.1000000000000001E-2</v>
      </c>
      <c r="W642" s="746">
        <v>0.28254000000000001</v>
      </c>
      <c r="X642" s="155">
        <v>13.071</v>
      </c>
      <c r="Y642" s="746">
        <v>11.38</v>
      </c>
      <c r="Z642" s="337">
        <v>0</v>
      </c>
      <c r="AA642" s="337">
        <v>0</v>
      </c>
      <c r="AB642" s="337">
        <v>0</v>
      </c>
      <c r="AC642" s="746">
        <v>0.22851673665640654</v>
      </c>
      <c r="AD642" s="752">
        <v>0.1203748014283004</v>
      </c>
      <c r="AE642" s="746">
        <v>0.39020003000000003</v>
      </c>
      <c r="AF642" s="746">
        <v>13.321393074272185</v>
      </c>
      <c r="AG642" s="172">
        <f t="shared" ref="AG642:AG650" si="37" xml:space="preserve"> IF(C642&lt; DATE(2024, 11, 1), S642 * (2.31 / 100), S642 * (2.925 / 100))+T642*T$6+U642*U$6+V642*V$6+W642*W$6+X642*X$6+Y642*Y$6+Z642*Z$6+AA642*AA$6+AB642*AB$6+AC642*AC$6+AD642*AD$6+AE642*AE$6+AF642*AF$6</f>
        <v>8.8502442943634652</v>
      </c>
      <c r="AH642" s="667">
        <f t="shared" si="36"/>
        <v>202412</v>
      </c>
      <c r="AJ642" s="262" t="s">
        <v>1831</v>
      </c>
      <c r="AK642" s="262"/>
    </row>
    <row r="643" spans="3:37" ht="15.75" hidden="1">
      <c r="C643" s="649">
        <v>45651</v>
      </c>
      <c r="D643" s="741">
        <v>344523</v>
      </c>
      <c r="E643" s="741">
        <v>31252</v>
      </c>
      <c r="F643" s="749">
        <v>24529.24</v>
      </c>
      <c r="G643" s="741">
        <v>4396</v>
      </c>
      <c r="H643" s="741">
        <v>2314</v>
      </c>
      <c r="I643" s="646">
        <v>174483</v>
      </c>
      <c r="J643" s="741">
        <v>172966</v>
      </c>
      <c r="K643" s="741">
        <v>51025.14</v>
      </c>
      <c r="L643" s="741">
        <v>10521</v>
      </c>
      <c r="M643" s="741">
        <v>421347</v>
      </c>
      <c r="N643" s="741">
        <v>7414</v>
      </c>
      <c r="O643" s="741">
        <v>4091</v>
      </c>
      <c r="P643" s="741">
        <v>95.416265999999993</v>
      </c>
      <c r="Q643" s="337">
        <v>0</v>
      </c>
      <c r="R643" s="167">
        <f t="shared" si="32"/>
        <v>154708.79931970002</v>
      </c>
      <c r="S643" s="743">
        <v>12.521414595055299</v>
      </c>
      <c r="T643" s="743">
        <v>0.35112100000000002</v>
      </c>
      <c r="U643" s="680">
        <v>3.4079575927305102E-3</v>
      </c>
      <c r="V643" s="742">
        <v>2.3E-2</v>
      </c>
      <c r="W643" s="743">
        <v>0.28358</v>
      </c>
      <c r="X643" s="155">
        <v>13.071</v>
      </c>
      <c r="Y643" s="743">
        <v>11.24</v>
      </c>
      <c r="Z643" s="337">
        <v>0</v>
      </c>
      <c r="AA643" s="337">
        <v>0</v>
      </c>
      <c r="AB643" s="337">
        <v>0</v>
      </c>
      <c r="AC643" s="743">
        <v>0.22625139106377798</v>
      </c>
      <c r="AD643" s="753">
        <v>0.12190390970332467</v>
      </c>
      <c r="AE643" s="743">
        <v>0.38120003000000002</v>
      </c>
      <c r="AF643" s="743">
        <v>14.043556932382266</v>
      </c>
      <c r="AG643" s="172">
        <f t="shared" si="37"/>
        <v>8.9277135261236111</v>
      </c>
      <c r="AH643" s="667">
        <f t="shared" si="36"/>
        <v>202412</v>
      </c>
      <c r="AJ643" s="262" t="s">
        <v>1832</v>
      </c>
      <c r="AK643" s="262"/>
    </row>
    <row r="644" spans="3:37" ht="15.75" hidden="1">
      <c r="C644" s="649">
        <v>45652</v>
      </c>
      <c r="D644" s="745">
        <v>339838</v>
      </c>
      <c r="E644" s="745">
        <v>29019</v>
      </c>
      <c r="F644" s="748">
        <v>24467.72</v>
      </c>
      <c r="G644" s="745">
        <v>4426</v>
      </c>
      <c r="H644" s="745">
        <v>2304</v>
      </c>
      <c r="I644" s="646">
        <v>174483</v>
      </c>
      <c r="J644" s="745">
        <v>173882</v>
      </c>
      <c r="K644" s="745">
        <v>51790.68</v>
      </c>
      <c r="L644" s="745">
        <v>10566</v>
      </c>
      <c r="M644" s="745">
        <v>409714</v>
      </c>
      <c r="N644" s="745">
        <v>7403</v>
      </c>
      <c r="O644" s="745">
        <v>4575</v>
      </c>
      <c r="P644" s="745">
        <v>60.444977999999992</v>
      </c>
      <c r="Q644" s="337">
        <v>0</v>
      </c>
      <c r="R644" s="167">
        <f t="shared" si="32"/>
        <v>154082.52324009998</v>
      </c>
      <c r="S644" s="746">
        <v>12.601834363593627</v>
      </c>
      <c r="T644" s="746">
        <v>0.31977499999999998</v>
      </c>
      <c r="U644" s="680">
        <v>3.4079575927305102E-3</v>
      </c>
      <c r="V644" s="747">
        <v>2.4E-2</v>
      </c>
      <c r="W644" s="746">
        <v>0.28326000000000001</v>
      </c>
      <c r="X644" s="155">
        <v>13.071</v>
      </c>
      <c r="Y644" s="746">
        <v>11.39</v>
      </c>
      <c r="Z644" s="337">
        <v>0</v>
      </c>
      <c r="AA644" s="337">
        <v>0</v>
      </c>
      <c r="AB644" s="337">
        <v>0</v>
      </c>
      <c r="AC644" s="746">
        <v>0.24040980101770651</v>
      </c>
      <c r="AD644" s="752">
        <v>0.1203748014283004</v>
      </c>
      <c r="AE644" s="746">
        <v>0.38690003000000001</v>
      </c>
      <c r="AF644" s="746">
        <v>14.032400105338569</v>
      </c>
      <c r="AG644" s="172">
        <f t="shared" si="37"/>
        <v>8.9623965055408501</v>
      </c>
      <c r="AH644" s="667">
        <f t="shared" si="36"/>
        <v>202412</v>
      </c>
      <c r="AJ644" s="262" t="s">
        <v>1833</v>
      </c>
      <c r="AK644" s="262"/>
    </row>
    <row r="645" spans="3:37" ht="15.75" hidden="1">
      <c r="C645" s="649">
        <v>45653</v>
      </c>
      <c r="D645" s="741">
        <v>345300</v>
      </c>
      <c r="E645" s="741">
        <v>34597</v>
      </c>
      <c r="F645" s="749">
        <v>24417.96</v>
      </c>
      <c r="G645" s="741">
        <v>4525</v>
      </c>
      <c r="H645" s="741">
        <v>2259</v>
      </c>
      <c r="I645" s="646">
        <v>174483</v>
      </c>
      <c r="J645" s="741">
        <v>175242</v>
      </c>
      <c r="K645" s="741">
        <v>51631.72</v>
      </c>
      <c r="L645" s="741">
        <v>10837</v>
      </c>
      <c r="M645" s="741">
        <v>408131</v>
      </c>
      <c r="N645" s="741">
        <v>7496</v>
      </c>
      <c r="O645" s="741">
        <v>4242</v>
      </c>
      <c r="P645" s="741">
        <v>97.743491999999989</v>
      </c>
      <c r="Q645" s="337">
        <v>0</v>
      </c>
      <c r="R645" s="167">
        <f t="shared" si="32"/>
        <v>155927.74782139997</v>
      </c>
      <c r="S645" s="743">
        <v>12.422872061775974</v>
      </c>
      <c r="T645" s="743">
        <v>0.28946</v>
      </c>
      <c r="U645" s="680">
        <v>3.4079575927305102E-3</v>
      </c>
      <c r="V645" s="742">
        <v>2.3E-2</v>
      </c>
      <c r="W645" s="743">
        <v>0.28489999999999999</v>
      </c>
      <c r="X645" s="155">
        <v>13.071</v>
      </c>
      <c r="Y645" s="743">
        <v>11.32</v>
      </c>
      <c r="Z645" s="337">
        <v>0</v>
      </c>
      <c r="AA645" s="337">
        <v>0</v>
      </c>
      <c r="AB645" s="337">
        <v>0</v>
      </c>
      <c r="AC645" s="743">
        <v>0.25994840675412784</v>
      </c>
      <c r="AD645" s="753">
        <v>0.12190390970332467</v>
      </c>
      <c r="AE645" s="743">
        <v>0.38160003000000003</v>
      </c>
      <c r="AF645" s="743">
        <v>14.323383746711709</v>
      </c>
      <c r="AG645" s="172">
        <f t="shared" si="37"/>
        <v>8.9817599171871336</v>
      </c>
      <c r="AH645" s="667">
        <f t="shared" si="36"/>
        <v>202412</v>
      </c>
      <c r="AJ645" s="262" t="s">
        <v>1834</v>
      </c>
      <c r="AK645" s="262"/>
    </row>
    <row r="646" spans="3:37" ht="15.75" hidden="1">
      <c r="C646" s="649">
        <v>45654</v>
      </c>
      <c r="D646" s="745">
        <v>351213</v>
      </c>
      <c r="E646" s="745">
        <v>31956</v>
      </c>
      <c r="F646" s="748">
        <v>7655.75</v>
      </c>
      <c r="G646" s="745">
        <v>4508</v>
      </c>
      <c r="H646" s="745">
        <v>2266</v>
      </c>
      <c r="I646" s="646">
        <v>174483</v>
      </c>
      <c r="J646" s="745">
        <v>175089</v>
      </c>
      <c r="K646" s="745">
        <v>51166.44</v>
      </c>
      <c r="L646" s="745">
        <v>10243</v>
      </c>
      <c r="M646" s="745">
        <v>430934</v>
      </c>
      <c r="N646" s="745">
        <v>7463</v>
      </c>
      <c r="O646" s="745">
        <v>4546</v>
      </c>
      <c r="P646" s="745">
        <v>75.917885999999996</v>
      </c>
      <c r="Q646" s="337">
        <v>0</v>
      </c>
      <c r="R646" s="167">
        <f t="shared" si="32"/>
        <v>144373.45204869998</v>
      </c>
      <c r="S646" s="746">
        <v>13.125129195490832</v>
      </c>
      <c r="T646" s="746">
        <v>0.32507000000000003</v>
      </c>
      <c r="U646" s="680">
        <v>3.4079575927305102E-3</v>
      </c>
      <c r="V646" s="747">
        <v>2.1999999999999999E-2</v>
      </c>
      <c r="W646" s="746">
        <v>0.28602999999999995</v>
      </c>
      <c r="X646" s="155">
        <v>13.071</v>
      </c>
      <c r="Y646" s="746">
        <v>11.29</v>
      </c>
      <c r="Z646" s="337">
        <v>0</v>
      </c>
      <c r="AA646" s="337">
        <v>0</v>
      </c>
      <c r="AB646" s="337">
        <v>0</v>
      </c>
      <c r="AC646" s="746">
        <v>0.27665533049976354</v>
      </c>
      <c r="AD646" s="752">
        <v>0.11907222771253896</v>
      </c>
      <c r="AE646" s="746">
        <v>0.37610003000000003</v>
      </c>
      <c r="AF646" s="746">
        <v>14.319504342384333</v>
      </c>
      <c r="AG646" s="172">
        <f t="shared" si="37"/>
        <v>9.0023162284283451</v>
      </c>
      <c r="AH646" s="667">
        <f t="shared" si="36"/>
        <v>202412</v>
      </c>
      <c r="AJ646" s="262" t="s">
        <v>1835</v>
      </c>
      <c r="AK646" s="262"/>
    </row>
    <row r="647" spans="3:37" ht="15.75" hidden="1">
      <c r="C647" s="649">
        <v>45655</v>
      </c>
      <c r="D647" s="741">
        <v>365212</v>
      </c>
      <c r="E647" s="741">
        <v>32094</v>
      </c>
      <c r="F647" s="749">
        <v>717.3</v>
      </c>
      <c r="G647" s="741">
        <v>4567</v>
      </c>
      <c r="H647" s="741">
        <v>2310</v>
      </c>
      <c r="I647" s="646">
        <v>174483</v>
      </c>
      <c r="J647" s="741">
        <v>175711</v>
      </c>
      <c r="K647" s="741">
        <v>52377.66</v>
      </c>
      <c r="L647" s="741">
        <v>10993</v>
      </c>
      <c r="M647" s="741">
        <v>399931</v>
      </c>
      <c r="N647" s="741">
        <v>7529</v>
      </c>
      <c r="O647" s="741">
        <v>4137</v>
      </c>
      <c r="P647" s="741">
        <v>81.515808000000007</v>
      </c>
      <c r="Q647" s="337">
        <v>0</v>
      </c>
      <c r="R647" s="167">
        <f t="shared" si="32"/>
        <v>139288.28936359996</v>
      </c>
      <c r="S647" s="743">
        <v>12.557943292736452</v>
      </c>
      <c r="T647" s="743">
        <v>0.32674500000000001</v>
      </c>
      <c r="U647" s="680">
        <v>3.4079575927305102E-3</v>
      </c>
      <c r="V647" s="742">
        <v>2.1000000000000001E-2</v>
      </c>
      <c r="W647" s="743">
        <v>0.28486</v>
      </c>
      <c r="X647" s="155">
        <v>13.071</v>
      </c>
      <c r="Y647" s="743">
        <v>11.44</v>
      </c>
      <c r="Z647" s="337">
        <v>0</v>
      </c>
      <c r="AA647" s="337">
        <v>0</v>
      </c>
      <c r="AB647" s="337">
        <v>0</v>
      </c>
      <c r="AC647" s="743">
        <v>0.27297414391174213</v>
      </c>
      <c r="AD647" s="753">
        <v>0.12190390970332467</v>
      </c>
      <c r="AE647" s="743">
        <v>0.37790003000000005</v>
      </c>
      <c r="AF647" s="743">
        <v>14.308659000359622</v>
      </c>
      <c r="AG647" s="172">
        <f t="shared" si="37"/>
        <v>9.0232023249002093</v>
      </c>
      <c r="AH647" s="667">
        <f t="shared" si="36"/>
        <v>202412</v>
      </c>
      <c r="AJ647" s="262" t="s">
        <v>1849</v>
      </c>
      <c r="AK647" s="262"/>
    </row>
    <row r="648" spans="3:37" ht="15.75" hidden="1">
      <c r="C648" s="649">
        <v>45656</v>
      </c>
      <c r="D648" s="761">
        <v>356857</v>
      </c>
      <c r="E648" s="745">
        <v>33352</v>
      </c>
      <c r="F648" s="748">
        <v>997.33</v>
      </c>
      <c r="G648" s="745">
        <v>4559</v>
      </c>
      <c r="H648" s="761">
        <v>2251</v>
      </c>
      <c r="I648" s="646">
        <v>174483</v>
      </c>
      <c r="J648" s="761">
        <v>175910</v>
      </c>
      <c r="K648" s="745">
        <v>52395.98</v>
      </c>
      <c r="L648" s="761">
        <v>10846</v>
      </c>
      <c r="M648" s="761">
        <v>434399</v>
      </c>
      <c r="N648" s="761">
        <v>7365</v>
      </c>
      <c r="O648" s="745">
        <v>4421</v>
      </c>
      <c r="P648" s="745">
        <v>109.00223399999999</v>
      </c>
      <c r="Q648" s="337">
        <v>0</v>
      </c>
      <c r="R648" s="167">
        <f t="shared" si="32"/>
        <v>141024.09175529997</v>
      </c>
      <c r="S648" s="746">
        <v>12.477806692397216</v>
      </c>
      <c r="T648" s="746">
        <v>0.30938700000000002</v>
      </c>
      <c r="U648" s="680">
        <v>3.4079575927305102E-3</v>
      </c>
      <c r="V648" s="747">
        <v>2.1999999999999999E-2</v>
      </c>
      <c r="W648" s="746">
        <v>0.28449999999999998</v>
      </c>
      <c r="X648" s="155">
        <v>13.071</v>
      </c>
      <c r="Y648" s="746">
        <v>11.4</v>
      </c>
      <c r="Z648" s="337">
        <v>0</v>
      </c>
      <c r="AA648" s="337">
        <v>0</v>
      </c>
      <c r="AB648" s="337">
        <v>0</v>
      </c>
      <c r="AC648" s="746">
        <v>0.27495632130529213</v>
      </c>
      <c r="AD648" s="752">
        <v>0.11907222771253896</v>
      </c>
      <c r="AE648" s="746">
        <v>0.38610003000000004</v>
      </c>
      <c r="AF648" s="746">
        <v>14.308205931241098</v>
      </c>
      <c r="AG648" s="172">
        <f t="shared" si="37"/>
        <v>9.0086100143071146</v>
      </c>
      <c r="AH648" s="667">
        <f t="shared" si="36"/>
        <v>202412</v>
      </c>
      <c r="AJ648" s="262" t="s">
        <v>1836</v>
      </c>
      <c r="AK648" s="262"/>
    </row>
    <row r="649" spans="3:37" ht="15.75" hidden="1">
      <c r="C649" s="649">
        <v>45657</v>
      </c>
      <c r="D649" s="741">
        <v>354091</v>
      </c>
      <c r="E649" s="741">
        <v>34025</v>
      </c>
      <c r="F649" s="749">
        <v>845</v>
      </c>
      <c r="G649" s="741">
        <v>4544</v>
      </c>
      <c r="H649" s="762">
        <v>2269</v>
      </c>
      <c r="I649" s="646">
        <v>174483</v>
      </c>
      <c r="J649" s="762">
        <v>176089</v>
      </c>
      <c r="K649" s="741">
        <v>53021.22</v>
      </c>
      <c r="L649" s="762">
        <v>9476</v>
      </c>
      <c r="M649" s="762">
        <v>442792</v>
      </c>
      <c r="N649" s="762">
        <v>7331</v>
      </c>
      <c r="O649" s="741">
        <v>4738</v>
      </c>
      <c r="P649" s="741">
        <v>87.176627999999994</v>
      </c>
      <c r="Q649" s="337">
        <v>0</v>
      </c>
      <c r="R649" s="167">
        <f t="shared" ref="R649:R712" si="38" xml:space="preserve"> IF(C649&lt; DATE(2024, 11, 1), D649 * (2.31 / 100), D649 * (2.925 / 100))+E649*E$6+F649*F$6+G649*G$6+H649*H$6+I649*I$6+J649*J$6+K649*K$6+L649*L$6+M649*M$6+N649*N$6+O649*O$6+P649*P$6+Q649*Q$6</f>
        <v>141350.06123260001</v>
      </c>
      <c r="S649" s="743">
        <v>11.624337740374404</v>
      </c>
      <c r="T649" s="743">
        <v>0.33065</v>
      </c>
      <c r="U649" s="680">
        <v>3.4079575927305102E-3</v>
      </c>
      <c r="V649" s="742">
        <v>2.1999999999999999E-2</v>
      </c>
      <c r="W649" s="743">
        <v>0.28398000000000001</v>
      </c>
      <c r="X649" s="155">
        <v>13.071</v>
      </c>
      <c r="Y649" s="743">
        <v>11.55</v>
      </c>
      <c r="Z649" s="337">
        <v>0</v>
      </c>
      <c r="AA649" s="337">
        <v>0</v>
      </c>
      <c r="AB649" s="337">
        <v>0</v>
      </c>
      <c r="AC649" s="743">
        <v>0.27637216230068495</v>
      </c>
      <c r="AD649" s="753">
        <v>0.12190390970332467</v>
      </c>
      <c r="AE649" s="743">
        <v>0.40210005999999998</v>
      </c>
      <c r="AF649" s="743">
        <v>14.26230436617046</v>
      </c>
      <c r="AG649" s="172">
        <f t="shared" si="37"/>
        <v>9.0285522202042472</v>
      </c>
      <c r="AH649" s="667">
        <f t="shared" si="36"/>
        <v>202412</v>
      </c>
      <c r="AJ649" s="262" t="s">
        <v>1837</v>
      </c>
      <c r="AK649" s="262"/>
    </row>
    <row r="650" spans="3:37" ht="15.75" hidden="1">
      <c r="C650" s="649">
        <v>45658</v>
      </c>
      <c r="D650" s="745">
        <v>350912</v>
      </c>
      <c r="E650" s="745">
        <v>32862</v>
      </c>
      <c r="F650" s="748">
        <v>14963</v>
      </c>
      <c r="G650" s="745">
        <v>4537</v>
      </c>
      <c r="H650" s="761">
        <v>2246</v>
      </c>
      <c r="I650" s="646">
        <v>174483</v>
      </c>
      <c r="J650" s="761">
        <v>175952</v>
      </c>
      <c r="K650" s="745">
        <v>51877</v>
      </c>
      <c r="L650" s="761">
        <v>11684</v>
      </c>
      <c r="M650" s="761">
        <v>418880</v>
      </c>
      <c r="N650" s="761">
        <v>7383</v>
      </c>
      <c r="O650" s="745">
        <v>4449</v>
      </c>
      <c r="P650" s="745">
        <v>78.811193999999986</v>
      </c>
      <c r="Q650" s="337">
        <v>0</v>
      </c>
      <c r="R650" s="167">
        <f t="shared" si="38"/>
        <v>149940.0460373</v>
      </c>
      <c r="S650" s="746">
        <v>12.154428609049489</v>
      </c>
      <c r="T650" s="746">
        <v>0.33203700000000003</v>
      </c>
      <c r="U650" s="680">
        <v>3.4079575927305102E-3</v>
      </c>
      <c r="V650" s="747">
        <v>2.1999999999999999E-2</v>
      </c>
      <c r="W650" s="746">
        <v>0.28414999999999996</v>
      </c>
      <c r="X650" s="155">
        <v>11.661289999999999</v>
      </c>
      <c r="Y650" s="746">
        <v>11.39</v>
      </c>
      <c r="Z650" s="337">
        <v>0</v>
      </c>
      <c r="AA650" s="337">
        <v>0</v>
      </c>
      <c r="AB650" s="337">
        <v>0</v>
      </c>
      <c r="AC650" s="746">
        <v>0.27637216230068495</v>
      </c>
      <c r="AD650" s="752">
        <v>0.11822272311530324</v>
      </c>
      <c r="AE650" s="746">
        <v>0.39210003000000004</v>
      </c>
      <c r="AF650" s="746">
        <v>16.385000000000002</v>
      </c>
      <c r="AG650" s="172">
        <f t="shared" si="37"/>
        <v>9.0759456377288075</v>
      </c>
      <c r="AH650" s="667">
        <f t="shared" si="36"/>
        <v>202501</v>
      </c>
      <c r="AJ650" s="262" t="s">
        <v>1860</v>
      </c>
      <c r="AK650" s="262"/>
    </row>
    <row r="651" spans="3:37" ht="15.75" hidden="1">
      <c r="C651" s="649">
        <v>45659</v>
      </c>
      <c r="D651" s="741">
        <v>331041</v>
      </c>
      <c r="E651" s="741">
        <v>32654</v>
      </c>
      <c r="F651" s="749">
        <v>19454.669999999998</v>
      </c>
      <c r="G651" s="741">
        <v>4552</v>
      </c>
      <c r="H651" s="762">
        <v>2240</v>
      </c>
      <c r="I651" s="646">
        <v>174483</v>
      </c>
      <c r="J651" s="762">
        <v>176222</v>
      </c>
      <c r="K651" s="741">
        <v>51536.78</v>
      </c>
      <c r="L651" s="762">
        <v>10699</v>
      </c>
      <c r="M651" s="762">
        <v>407699</v>
      </c>
      <c r="N651" s="762">
        <v>7279</v>
      </c>
      <c r="O651" s="741">
        <v>3750</v>
      </c>
      <c r="P651" s="741">
        <v>118.940118</v>
      </c>
      <c r="Q651" s="337">
        <v>0</v>
      </c>
      <c r="R651" s="167">
        <f t="shared" si="38"/>
        <v>151475.62005310002</v>
      </c>
      <c r="S651" s="743">
        <v>12.751630340906193</v>
      </c>
      <c r="T651" s="743">
        <v>0.33125100000000002</v>
      </c>
      <c r="U651" s="680">
        <v>3.4079575927305102E-3</v>
      </c>
      <c r="V651" s="742">
        <v>2.1999999999999999E-2</v>
      </c>
      <c r="W651" s="743">
        <v>0.28448000000000001</v>
      </c>
      <c r="X651" s="155">
        <v>11.661289999999999</v>
      </c>
      <c r="Y651" s="743">
        <v>11.28</v>
      </c>
      <c r="Z651" s="337">
        <v>0</v>
      </c>
      <c r="AA651" s="337">
        <v>0</v>
      </c>
      <c r="AB651" s="337">
        <v>0</v>
      </c>
      <c r="AC651" s="743">
        <v>0.27637216230068495</v>
      </c>
      <c r="AD651" s="753">
        <v>0.11822272311530324</v>
      </c>
      <c r="AE651" s="743">
        <v>0.39510005999999998</v>
      </c>
      <c r="AF651" s="743">
        <v>16.459151571441918</v>
      </c>
      <c r="AG651" s="172">
        <f xml:space="preserve"> IF(C651&lt; DATE(2024, 11, 1), S651 * (2.31 / 100), S651 * (2.925 / 100))+T651*T$6+U651*U$6+V651*V$6+W651*W$6+X651*X$6+Y651*Y$6+Z651*Z$6+AA651*AA$6+AB651*AB$6+AC651*AC$6+AD651*AD$6+AE651*AE$6+AF651*AF$6</f>
        <v>9.0788873490307402</v>
      </c>
      <c r="AH651" s="667">
        <f t="shared" si="36"/>
        <v>202501</v>
      </c>
      <c r="AJ651" s="262" t="s">
        <v>1838</v>
      </c>
      <c r="AK651" s="262"/>
    </row>
    <row r="652" spans="3:37" ht="15.75" hidden="1">
      <c r="C652" s="649">
        <v>45660</v>
      </c>
      <c r="D652" s="745">
        <v>363571</v>
      </c>
      <c r="E652" s="745">
        <v>33553</v>
      </c>
      <c r="F652" s="748">
        <v>22468.86</v>
      </c>
      <c r="G652" s="745">
        <v>4559</v>
      </c>
      <c r="H652" s="761">
        <v>2292</v>
      </c>
      <c r="I652" s="646">
        <v>168010</v>
      </c>
      <c r="J652" s="761">
        <v>175456</v>
      </c>
      <c r="K652" s="745">
        <v>52090.23</v>
      </c>
      <c r="L652" s="761">
        <v>8006</v>
      </c>
      <c r="M652" s="761">
        <v>409729</v>
      </c>
      <c r="N652" s="761">
        <v>7295</v>
      </c>
      <c r="O652" s="745">
        <v>4403</v>
      </c>
      <c r="P652" s="745">
        <v>88.434587999999991</v>
      </c>
      <c r="Q652" s="337">
        <v>0</v>
      </c>
      <c r="R652" s="167">
        <f t="shared" si="38"/>
        <v>153160.63431460003</v>
      </c>
      <c r="S652" s="746">
        <v>12.121297929757294</v>
      </c>
      <c r="T652" s="746">
        <v>0.32894099999999998</v>
      </c>
      <c r="U652" s="680">
        <v>3.4079575927305102E-3</v>
      </c>
      <c r="V652" s="747">
        <v>2.1000000000000001E-2</v>
      </c>
      <c r="W652" s="746">
        <v>0.28279000000000004</v>
      </c>
      <c r="X652" s="155">
        <v>11.661289999999999</v>
      </c>
      <c r="Y652" s="746">
        <v>11.36</v>
      </c>
      <c r="Z652" s="337">
        <v>0</v>
      </c>
      <c r="AA652" s="337">
        <v>0</v>
      </c>
      <c r="AB652" s="337">
        <v>0</v>
      </c>
      <c r="AC652" s="746">
        <v>0.2726909757126636</v>
      </c>
      <c r="AD652" s="752">
        <v>0.11949698001115681</v>
      </c>
      <c r="AE652" s="746">
        <v>0.39820006000000002</v>
      </c>
      <c r="AF652" s="746">
        <v>15.88143181168182</v>
      </c>
      <c r="AG652" s="172">
        <f t="shared" ref="AG652:AG715" si="39" xml:space="preserve"> IF(C652&lt; DATE(2024, 11, 1), S652 * (2.31 / 100), S652 * (2.925 / 100))+T652*T$6+U652*U$6+V652*V$6+W652*W$6+X652*X$6+Y652*Y$6+Z652*Z$6+AA652*AA$6+AB652*AB$6+AC652*AC$6+AD652*AD$6+AE652*AE$6+AF652*AF$6</f>
        <v>8.981723839079077</v>
      </c>
      <c r="AH652" s="667">
        <f t="shared" si="36"/>
        <v>202501</v>
      </c>
      <c r="AJ652" s="262" t="s">
        <v>1847</v>
      </c>
      <c r="AK652" s="262"/>
    </row>
    <row r="653" spans="3:37" ht="15.75" hidden="1">
      <c r="C653" s="649">
        <v>45661</v>
      </c>
      <c r="D653" s="741">
        <v>352256</v>
      </c>
      <c r="E653" s="741">
        <v>31220</v>
      </c>
      <c r="F653" s="749">
        <v>24714.14</v>
      </c>
      <c r="G653" s="741">
        <v>4507</v>
      </c>
      <c r="H653" s="762">
        <v>2243</v>
      </c>
      <c r="I653" s="646">
        <v>168010</v>
      </c>
      <c r="J653" s="762">
        <v>175788</v>
      </c>
      <c r="K653" s="741">
        <v>52751.71</v>
      </c>
      <c r="L653" s="762">
        <v>11156</v>
      </c>
      <c r="M653" s="762">
        <v>392441</v>
      </c>
      <c r="N653" s="762">
        <v>7184</v>
      </c>
      <c r="O653" s="741">
        <v>4059.9999999999995</v>
      </c>
      <c r="P653" s="741">
        <v>98.120879999999985</v>
      </c>
      <c r="Q653" s="337">
        <v>0</v>
      </c>
      <c r="R653" s="167">
        <f t="shared" si="38"/>
        <v>153871.51289599997</v>
      </c>
      <c r="S653" s="743">
        <v>12.100343483025483</v>
      </c>
      <c r="T653" s="743">
        <v>0.31304100000000001</v>
      </c>
      <c r="U653" s="680">
        <v>3.4079575927305102E-3</v>
      </c>
      <c r="V653" s="742">
        <v>2.1999999999999999E-2</v>
      </c>
      <c r="W653" s="743">
        <v>0.28292</v>
      </c>
      <c r="X653" s="155">
        <v>11.661289999999999</v>
      </c>
      <c r="Y653" s="743">
        <v>11.27</v>
      </c>
      <c r="Z653" s="337">
        <v>0</v>
      </c>
      <c r="AA653" s="337">
        <v>0</v>
      </c>
      <c r="AB653" s="337">
        <v>0</v>
      </c>
      <c r="AC653" s="743">
        <v>0.27580582590252783</v>
      </c>
      <c r="AD653" s="753">
        <v>0.11363539829023041</v>
      </c>
      <c r="AE653" s="743">
        <v>0.39830006000000001</v>
      </c>
      <c r="AF653" s="743">
        <v>15.966807023704011</v>
      </c>
      <c r="AG653" s="172">
        <f t="shared" si="39"/>
        <v>8.9666047083884592</v>
      </c>
      <c r="AH653" s="667">
        <f t="shared" si="36"/>
        <v>202501</v>
      </c>
      <c r="AJ653" s="262" t="s">
        <v>1840</v>
      </c>
      <c r="AK653" s="262"/>
    </row>
    <row r="654" spans="3:37" ht="15.75" hidden="1">
      <c r="C654" s="649">
        <v>45662</v>
      </c>
      <c r="D654" s="745">
        <v>323135</v>
      </c>
      <c r="E654" s="745">
        <v>19780</v>
      </c>
      <c r="F654" s="748">
        <v>24630.78</v>
      </c>
      <c r="G654" s="745">
        <v>4500</v>
      </c>
      <c r="H654" s="761">
        <v>2300</v>
      </c>
      <c r="I654" s="646">
        <v>168010</v>
      </c>
      <c r="J654" s="761">
        <v>175811</v>
      </c>
      <c r="K654" s="745">
        <v>53945.29</v>
      </c>
      <c r="L654" s="761">
        <v>10443</v>
      </c>
      <c r="M654" s="761">
        <v>388153</v>
      </c>
      <c r="N654" s="761">
        <v>7016</v>
      </c>
      <c r="O654" s="745">
        <v>4324</v>
      </c>
      <c r="P654" s="745">
        <v>83.088257999999996</v>
      </c>
      <c r="Q654" s="337">
        <v>0</v>
      </c>
      <c r="R654" s="167">
        <f t="shared" si="38"/>
        <v>149967.2707161</v>
      </c>
      <c r="S654" s="746">
        <v>11.99613758576457</v>
      </c>
      <c r="T654" s="746">
        <v>0.23776800000000001</v>
      </c>
      <c r="U654" s="680">
        <v>3.4079575927305102E-3</v>
      </c>
      <c r="V654" s="747">
        <v>2.4E-2</v>
      </c>
      <c r="W654" s="746">
        <v>0.28408999999999995</v>
      </c>
      <c r="X654" s="155">
        <v>11.661289999999999</v>
      </c>
      <c r="Y654" s="746">
        <v>11.46</v>
      </c>
      <c r="Z654" s="337">
        <v>0</v>
      </c>
      <c r="AA654" s="337">
        <v>0</v>
      </c>
      <c r="AB654" s="337">
        <v>0</v>
      </c>
      <c r="AC654" s="746">
        <v>0.27354048030989925</v>
      </c>
      <c r="AD654" s="752">
        <v>0.11236114139437683</v>
      </c>
      <c r="AE654" s="746">
        <v>0.39270003000000003</v>
      </c>
      <c r="AF654" s="746">
        <v>15.965730984547513</v>
      </c>
      <c r="AG654" s="172">
        <f t="shared" si="39"/>
        <v>8.9913411449634424</v>
      </c>
      <c r="AH654" s="667">
        <f t="shared" si="36"/>
        <v>202501</v>
      </c>
      <c r="AJ654" s="262" t="s">
        <v>1839</v>
      </c>
      <c r="AK654" s="262"/>
    </row>
    <row r="655" spans="3:37" ht="15.75" hidden="1">
      <c r="C655" s="649">
        <v>45663</v>
      </c>
      <c r="D655" s="741">
        <v>325021</v>
      </c>
      <c r="E655" s="741">
        <v>20094</v>
      </c>
      <c r="F655" s="749">
        <v>24634.51</v>
      </c>
      <c r="G655" s="741">
        <v>4435</v>
      </c>
      <c r="H655" s="762">
        <v>2285</v>
      </c>
      <c r="I655" s="646">
        <v>168010</v>
      </c>
      <c r="J655" s="762">
        <v>176245</v>
      </c>
      <c r="K655" s="741">
        <v>53610.68</v>
      </c>
      <c r="L655" s="762">
        <v>11452</v>
      </c>
      <c r="M655" s="762">
        <v>374729</v>
      </c>
      <c r="N655" s="762">
        <v>7108</v>
      </c>
      <c r="O655" s="741">
        <v>3955</v>
      </c>
      <c r="P655" s="741">
        <v>115.79521799999999</v>
      </c>
      <c r="Q655" s="337">
        <v>0</v>
      </c>
      <c r="R655" s="167">
        <f t="shared" si="38"/>
        <v>149675.2140981</v>
      </c>
      <c r="S655" s="743">
        <v>14.248457441235518</v>
      </c>
      <c r="T655" s="743">
        <v>0.22489200000000001</v>
      </c>
      <c r="U655" s="680">
        <v>3.4079575927305102E-3</v>
      </c>
      <c r="V655" s="742">
        <v>2.3E-2</v>
      </c>
      <c r="W655" s="743">
        <v>0.28226999999999997</v>
      </c>
      <c r="X655" s="155">
        <v>11.661289999999999</v>
      </c>
      <c r="Y655" s="743">
        <v>11.39</v>
      </c>
      <c r="Z655" s="337">
        <v>0</v>
      </c>
      <c r="AA655" s="337">
        <v>0</v>
      </c>
      <c r="AB655" s="337">
        <v>0</v>
      </c>
      <c r="AC655" s="743">
        <v>0.27212463931450637</v>
      </c>
      <c r="AD655" s="753">
        <v>0.1127858936929947</v>
      </c>
      <c r="AE655" s="743">
        <v>0.39770006000000002</v>
      </c>
      <c r="AF655" s="743">
        <v>15.965362865888709</v>
      </c>
      <c r="AG655" s="172">
        <f t="shared" si="39"/>
        <v>9.0354265724739253</v>
      </c>
      <c r="AH655" s="667">
        <f t="shared" si="36"/>
        <v>202501</v>
      </c>
      <c r="AJ655" s="262" t="s">
        <v>1846</v>
      </c>
      <c r="AK655" s="262"/>
    </row>
    <row r="656" spans="3:37" ht="15.75" hidden="1">
      <c r="C656" s="649">
        <v>45664</v>
      </c>
      <c r="D656" s="745">
        <v>321171</v>
      </c>
      <c r="E656" s="745">
        <v>29874</v>
      </c>
      <c r="F656" s="748">
        <v>24727.21</v>
      </c>
      <c r="G656" s="745">
        <v>4402</v>
      </c>
      <c r="H656" s="761">
        <v>2257</v>
      </c>
      <c r="I656" s="646">
        <v>168010</v>
      </c>
      <c r="J656" s="761">
        <v>176324</v>
      </c>
      <c r="K656" s="745">
        <v>51892.21</v>
      </c>
      <c r="L656" s="761">
        <v>9224</v>
      </c>
      <c r="M656" s="761">
        <v>364911</v>
      </c>
      <c r="N656" s="761">
        <v>7045</v>
      </c>
      <c r="O656" s="745">
        <v>4813</v>
      </c>
      <c r="P656" s="745">
        <v>84.534911999999991</v>
      </c>
      <c r="Q656" s="337">
        <v>0</v>
      </c>
      <c r="R656" s="167">
        <f t="shared" si="38"/>
        <v>151206.49196040002</v>
      </c>
      <c r="S656" s="746">
        <v>14.844243332096829</v>
      </c>
      <c r="T656" s="746">
        <v>0.240701</v>
      </c>
      <c r="U656" s="680">
        <v>3.4079575927305102E-3</v>
      </c>
      <c r="V656" s="747">
        <v>2.3E-2</v>
      </c>
      <c r="W656" s="746">
        <v>0.28254000000000001</v>
      </c>
      <c r="X656" s="155">
        <v>11.661289999999999</v>
      </c>
      <c r="Y656" s="746">
        <v>11.31</v>
      </c>
      <c r="Z656" s="337">
        <v>0</v>
      </c>
      <c r="AA656" s="337">
        <v>0</v>
      </c>
      <c r="AB656" s="337">
        <v>0</v>
      </c>
      <c r="AC656" s="746">
        <v>0.27523948950437072</v>
      </c>
      <c r="AD656" s="752">
        <v>4.9214632999855581E-2</v>
      </c>
      <c r="AE656" s="746">
        <v>0.40720005999999997</v>
      </c>
      <c r="AF656" s="746">
        <v>15.965221281789169</v>
      </c>
      <c r="AG656" s="172">
        <f t="shared" si="39"/>
        <v>9.0157567997283259</v>
      </c>
      <c r="AH656" s="667">
        <f t="shared" si="36"/>
        <v>202501</v>
      </c>
      <c r="AJ656" s="262" t="s">
        <v>1841</v>
      </c>
      <c r="AK656" s="262"/>
    </row>
    <row r="657" spans="3:37" ht="15.75" hidden="1">
      <c r="C657" s="649">
        <v>45665</v>
      </c>
      <c r="D657" s="741">
        <v>334448</v>
      </c>
      <c r="E657" s="741">
        <v>30610</v>
      </c>
      <c r="F657" s="749">
        <v>24732.59</v>
      </c>
      <c r="G657" s="741">
        <v>4423</v>
      </c>
      <c r="H657" s="762">
        <v>2291</v>
      </c>
      <c r="I657" s="646">
        <v>168010</v>
      </c>
      <c r="J657" s="762">
        <v>175116</v>
      </c>
      <c r="K657" s="741">
        <v>52793.66</v>
      </c>
      <c r="L657" s="762">
        <v>7252</v>
      </c>
      <c r="M657" s="762">
        <v>394402</v>
      </c>
      <c r="N657" s="762">
        <v>7066</v>
      </c>
      <c r="O657" s="741">
        <v>4313</v>
      </c>
      <c r="P657" s="741">
        <v>79.188581999999997</v>
      </c>
      <c r="Q657" s="337">
        <v>0</v>
      </c>
      <c r="R657" s="167">
        <f t="shared" si="38"/>
        <v>152256.91186190004</v>
      </c>
      <c r="S657" s="743">
        <v>14.779680982706919</v>
      </c>
      <c r="T657" s="743">
        <v>0.318301</v>
      </c>
      <c r="U657" s="680">
        <v>3.4079575927305102E-3</v>
      </c>
      <c r="V657" s="742">
        <v>2.1999999999999999E-2</v>
      </c>
      <c r="W657" s="743">
        <v>0.28326999999999997</v>
      </c>
      <c r="X657" s="155">
        <v>11.661289999999999</v>
      </c>
      <c r="Y657" s="743">
        <v>11.23</v>
      </c>
      <c r="Z657" s="337">
        <v>0</v>
      </c>
      <c r="AA657" s="337">
        <v>0</v>
      </c>
      <c r="AB657" s="337">
        <v>0</v>
      </c>
      <c r="AC657" s="743">
        <v>0.28061968528686354</v>
      </c>
      <c r="AD657" s="753">
        <v>4.0776220667314171E-2</v>
      </c>
      <c r="AE657" s="743">
        <v>0.40960005999999999</v>
      </c>
      <c r="AF657" s="743">
        <v>15.966410588225301</v>
      </c>
      <c r="AG657" s="172">
        <f t="shared" si="39"/>
        <v>9.0127489897058695</v>
      </c>
      <c r="AH657" s="667">
        <f t="shared" si="36"/>
        <v>202501</v>
      </c>
      <c r="AJ657" s="262" t="s">
        <v>1848</v>
      </c>
      <c r="AK657" s="262"/>
    </row>
    <row r="658" spans="3:37" ht="15.75" hidden="1">
      <c r="C658" s="649">
        <v>45666</v>
      </c>
      <c r="D658" s="745">
        <v>338992</v>
      </c>
      <c r="E658" s="745">
        <v>29553</v>
      </c>
      <c r="F658" s="748">
        <v>24643.96</v>
      </c>
      <c r="G658" s="745">
        <v>4401</v>
      </c>
      <c r="H658" s="761">
        <v>2282</v>
      </c>
      <c r="I658" s="646">
        <v>168010</v>
      </c>
      <c r="J658" s="761">
        <v>172287</v>
      </c>
      <c r="K658" s="745">
        <v>52013.919999999998</v>
      </c>
      <c r="L658" s="761">
        <v>11917</v>
      </c>
      <c r="M658" s="761">
        <v>402385</v>
      </c>
      <c r="N658" s="761">
        <v>7103</v>
      </c>
      <c r="O658" s="745">
        <v>3534</v>
      </c>
      <c r="P658" s="745">
        <v>106.86370199999999</v>
      </c>
      <c r="Q658" s="337">
        <v>0</v>
      </c>
      <c r="R658" s="167">
        <f t="shared" si="38"/>
        <v>152241.59291589996</v>
      </c>
      <c r="S658" s="746">
        <v>14.610912736056093</v>
      </c>
      <c r="T658" s="746">
        <v>0.33051599999999998</v>
      </c>
      <c r="U658" s="680">
        <v>3.4079575927305102E-3</v>
      </c>
      <c r="V658" s="747">
        <v>2.1999999999999999E-2</v>
      </c>
      <c r="W658" s="746">
        <v>0.28175</v>
      </c>
      <c r="X658" s="155">
        <v>11.661289999999999</v>
      </c>
      <c r="Y658" s="746">
        <v>11.25</v>
      </c>
      <c r="Z658" s="337">
        <v>0</v>
      </c>
      <c r="AA658" s="337">
        <v>0</v>
      </c>
      <c r="AB658" s="337">
        <v>0</v>
      </c>
      <c r="AC658" s="746">
        <v>0.28090285348594207</v>
      </c>
      <c r="AD658" s="752">
        <v>4.6156416449807017E-2</v>
      </c>
      <c r="AE658" s="746">
        <v>0.40270059999999996</v>
      </c>
      <c r="AF658" s="746">
        <v>15.893579727422292</v>
      </c>
      <c r="AG658" s="172">
        <f t="shared" si="39"/>
        <v>9.0014877919697192</v>
      </c>
      <c r="AH658" s="667">
        <f t="shared" si="36"/>
        <v>202501</v>
      </c>
      <c r="AJ658" s="262" t="s">
        <v>1845</v>
      </c>
      <c r="AK658" s="262"/>
    </row>
    <row r="659" spans="3:37" ht="15.75" hidden="1">
      <c r="C659" s="649">
        <v>45667</v>
      </c>
      <c r="D659" s="741">
        <v>334769</v>
      </c>
      <c r="E659" s="741">
        <v>28038</v>
      </c>
      <c r="F659" s="749">
        <v>24533</v>
      </c>
      <c r="G659" s="741">
        <v>4418</v>
      </c>
      <c r="H659" s="762">
        <v>2249</v>
      </c>
      <c r="I659" s="646">
        <v>151470</v>
      </c>
      <c r="J659" s="762">
        <v>168985</v>
      </c>
      <c r="K659" s="741">
        <v>50077.09</v>
      </c>
      <c r="L659" s="762">
        <v>12294</v>
      </c>
      <c r="M659" s="762">
        <v>401981</v>
      </c>
      <c r="N659" s="762">
        <v>7110</v>
      </c>
      <c r="O659" s="741">
        <v>3887</v>
      </c>
      <c r="P659" s="741">
        <v>91.076303999999993</v>
      </c>
      <c r="Q659" s="337">
        <v>0</v>
      </c>
      <c r="R659" s="167">
        <f t="shared" si="38"/>
        <v>147165.77758679999</v>
      </c>
      <c r="S659" s="743">
        <v>14.490849419646771</v>
      </c>
      <c r="T659" s="743">
        <v>0.327658</v>
      </c>
      <c r="U659" s="680">
        <v>3.4079575927305102E-3</v>
      </c>
      <c r="V659" s="742">
        <v>2.4E-2</v>
      </c>
      <c r="W659" s="743">
        <v>0.28169</v>
      </c>
      <c r="X659" s="155">
        <v>11.661289999999999</v>
      </c>
      <c r="Y659" s="743">
        <v>10.94</v>
      </c>
      <c r="Z659" s="337">
        <v>0</v>
      </c>
      <c r="AA659" s="337">
        <v>0</v>
      </c>
      <c r="AB659" s="337">
        <v>0</v>
      </c>
      <c r="AC659" s="743">
        <v>0.28175235808317778</v>
      </c>
      <c r="AD659" s="753">
        <v>4.3183150359482024E-2</v>
      </c>
      <c r="AE659" s="743">
        <v>0.40200005999999999</v>
      </c>
      <c r="AF659" s="743">
        <v>15.878147060572507</v>
      </c>
      <c r="AG659" s="172">
        <f t="shared" si="39"/>
        <v>8.9135096226698476</v>
      </c>
      <c r="AH659" s="667">
        <f t="shared" si="36"/>
        <v>202501</v>
      </c>
      <c r="AJ659" s="262" t="s">
        <v>1850</v>
      </c>
      <c r="AK659" s="262"/>
    </row>
    <row r="660" spans="3:37" ht="15.75" hidden="1">
      <c r="C660" s="649">
        <v>45668</v>
      </c>
      <c r="D660" s="745">
        <v>332595</v>
      </c>
      <c r="E660" s="745">
        <v>28258</v>
      </c>
      <c r="F660" s="748">
        <v>24138</v>
      </c>
      <c r="G660" s="745">
        <v>4457</v>
      </c>
      <c r="H660" s="761">
        <v>2270</v>
      </c>
      <c r="I660" s="646">
        <v>151470</v>
      </c>
      <c r="J660" s="761">
        <v>169182</v>
      </c>
      <c r="K660" s="745">
        <v>50531</v>
      </c>
      <c r="L660" s="761">
        <v>11810</v>
      </c>
      <c r="M660" s="761">
        <v>418213</v>
      </c>
      <c r="N660" s="761">
        <v>7012</v>
      </c>
      <c r="O660" s="745">
        <v>4339</v>
      </c>
      <c r="P660" s="745">
        <v>94.158305999999996</v>
      </c>
      <c r="Q660" s="337">
        <v>0</v>
      </c>
      <c r="R660" s="167">
        <f t="shared" si="38"/>
        <v>147794.20748770001</v>
      </c>
      <c r="S660" s="746">
        <v>15.065114527378119</v>
      </c>
      <c r="T660" s="746">
        <v>0.32610299999999998</v>
      </c>
      <c r="U660" s="680">
        <v>3.4079575927305102E-3</v>
      </c>
      <c r="V660" s="747">
        <v>2.4E-2</v>
      </c>
      <c r="W660" s="746">
        <v>0.28229000000000004</v>
      </c>
      <c r="X660" s="155">
        <v>11.661289999999999</v>
      </c>
      <c r="Y660" s="746">
        <v>10.75</v>
      </c>
      <c r="Z660" s="337">
        <v>0</v>
      </c>
      <c r="AA660" s="337">
        <v>0</v>
      </c>
      <c r="AB660" s="337">
        <v>0</v>
      </c>
      <c r="AC660" s="746">
        <v>0.27892067609239207</v>
      </c>
      <c r="AD660" s="752">
        <v>4.2333645762246318E-2</v>
      </c>
      <c r="AE660" s="746">
        <v>0.40540006000000001</v>
      </c>
      <c r="AF660" s="746">
        <v>15.877467456894719</v>
      </c>
      <c r="AG660" s="172">
        <f t="shared" si="39"/>
        <v>8.8818502075878847</v>
      </c>
      <c r="AH660" s="667">
        <f t="shared" si="36"/>
        <v>202501</v>
      </c>
      <c r="AJ660" s="262" t="s">
        <v>1851</v>
      </c>
      <c r="AK660" s="262"/>
    </row>
    <row r="661" spans="3:37" ht="15.75" hidden="1">
      <c r="C661" s="649">
        <v>45669</v>
      </c>
      <c r="D661" s="741">
        <v>335456</v>
      </c>
      <c r="E661" s="741">
        <v>28415</v>
      </c>
      <c r="F661" s="749">
        <v>24493.56</v>
      </c>
      <c r="G661" s="741">
        <v>4500</v>
      </c>
      <c r="H661" s="762">
        <v>2332</v>
      </c>
      <c r="I661" s="646">
        <v>151470</v>
      </c>
      <c r="J661" s="762">
        <v>170823</v>
      </c>
      <c r="K661" s="741">
        <v>51658.66</v>
      </c>
      <c r="L661" s="762">
        <v>8221</v>
      </c>
      <c r="M661" s="762">
        <v>409469</v>
      </c>
      <c r="N661" s="762">
        <v>7088</v>
      </c>
      <c r="O661" s="741">
        <v>4327</v>
      </c>
      <c r="P661" s="741">
        <v>91.327895999999996</v>
      </c>
      <c r="Q661" s="337">
        <v>0</v>
      </c>
      <c r="R661" s="167">
        <f t="shared" si="38"/>
        <v>147747.92880320002</v>
      </c>
      <c r="S661" s="743">
        <v>14.645742424542755</v>
      </c>
      <c r="T661" s="743">
        <v>0.32969999999999999</v>
      </c>
      <c r="U661" s="680">
        <v>3.4079575927305102E-3</v>
      </c>
      <c r="V661" s="742">
        <v>2.4E-2</v>
      </c>
      <c r="W661" s="743">
        <v>0.28191000000000005</v>
      </c>
      <c r="X661" s="155">
        <v>11.661289999999999</v>
      </c>
      <c r="Y661" s="743">
        <v>10.78</v>
      </c>
      <c r="Z661" s="337">
        <v>0</v>
      </c>
      <c r="AA661" s="337">
        <v>0</v>
      </c>
      <c r="AB661" s="337">
        <v>0</v>
      </c>
      <c r="AC661" s="743">
        <v>0.27750483509699925</v>
      </c>
      <c r="AD661" s="753">
        <v>4.6269683729438446E-2</v>
      </c>
      <c r="AE661" s="743">
        <v>0.39930006000000001</v>
      </c>
      <c r="AF661" s="743">
        <v>15.790591453417415</v>
      </c>
      <c r="AG661" s="172">
        <f t="shared" si="39"/>
        <v>8.8618795156661925</v>
      </c>
      <c r="AH661" s="667">
        <f t="shared" si="36"/>
        <v>202501</v>
      </c>
      <c r="AJ661" s="262" t="s">
        <v>1855</v>
      </c>
      <c r="AK661" s="262"/>
    </row>
    <row r="662" spans="3:37" ht="15.75" hidden="1">
      <c r="C662" s="649">
        <v>45670</v>
      </c>
      <c r="D662" s="745">
        <v>339763</v>
      </c>
      <c r="E662" s="745">
        <v>29013</v>
      </c>
      <c r="F662" s="748">
        <v>23649</v>
      </c>
      <c r="G662" s="745">
        <v>4524</v>
      </c>
      <c r="H662" s="761">
        <v>2281</v>
      </c>
      <c r="I662" s="646">
        <v>151470</v>
      </c>
      <c r="J662" s="761">
        <v>173643</v>
      </c>
      <c r="K662" s="745">
        <v>51907.93</v>
      </c>
      <c r="L662" s="761">
        <v>8378</v>
      </c>
      <c r="M662" s="761">
        <v>421556</v>
      </c>
      <c r="N662" s="761">
        <v>7101</v>
      </c>
      <c r="O662" s="745">
        <v>4359</v>
      </c>
      <c r="P662" s="745">
        <v>111.89554199999999</v>
      </c>
      <c r="Q662" s="337">
        <v>0</v>
      </c>
      <c r="R662" s="167">
        <f t="shared" si="38"/>
        <v>148745.53574389999</v>
      </c>
      <c r="S662" s="746">
        <v>14.739754266636838</v>
      </c>
      <c r="T662" s="746">
        <v>0.32395499999999999</v>
      </c>
      <c r="U662" s="680">
        <v>3.4079575927305102E-3</v>
      </c>
      <c r="V662" s="747">
        <v>2.4E-2</v>
      </c>
      <c r="W662" s="746">
        <v>0.28050999999999998</v>
      </c>
      <c r="X662" s="155">
        <v>11.661289999999999</v>
      </c>
      <c r="Y662" s="746">
        <v>10.88</v>
      </c>
      <c r="Z662" s="337">
        <v>0</v>
      </c>
      <c r="AA662" s="337">
        <v>0</v>
      </c>
      <c r="AB662" s="337">
        <v>0</v>
      </c>
      <c r="AC662" s="746">
        <v>0.27410681670805642</v>
      </c>
      <c r="AD662" s="752">
        <v>4.2418596221969883E-2</v>
      </c>
      <c r="AE662" s="746">
        <v>0.39440006</v>
      </c>
      <c r="AF662" s="746">
        <v>15.790279968398428</v>
      </c>
      <c r="AG662" s="172">
        <f t="shared" si="39"/>
        <v>8.8835060425684453</v>
      </c>
      <c r="AH662" s="667">
        <f t="shared" si="36"/>
        <v>202501</v>
      </c>
      <c r="AJ662" s="262" t="s">
        <v>1852</v>
      </c>
    </row>
    <row r="663" spans="3:37" ht="15.75" hidden="1">
      <c r="C663" s="649">
        <v>45671</v>
      </c>
      <c r="D663" s="741">
        <v>345474</v>
      </c>
      <c r="E663" s="741">
        <v>32277</v>
      </c>
      <c r="F663" s="749">
        <v>23568.38</v>
      </c>
      <c r="G663" s="741">
        <v>4508</v>
      </c>
      <c r="H663" s="762">
        <v>2266</v>
      </c>
      <c r="I663" s="646">
        <v>151470</v>
      </c>
      <c r="J663" s="762">
        <v>173847</v>
      </c>
      <c r="K663" s="741">
        <v>52834.01</v>
      </c>
      <c r="L663" s="762">
        <v>12245</v>
      </c>
      <c r="M663" s="762">
        <v>396108</v>
      </c>
      <c r="N663" s="762">
        <v>7119</v>
      </c>
      <c r="O663" s="741">
        <v>0</v>
      </c>
      <c r="P663" s="741">
        <v>100.511004</v>
      </c>
      <c r="Q663" s="337">
        <v>0</v>
      </c>
      <c r="R663" s="167">
        <f t="shared" si="38"/>
        <v>148167.2392018</v>
      </c>
      <c r="S663" s="743">
        <v>14.749665153604585</v>
      </c>
      <c r="T663" s="743">
        <v>0.325737</v>
      </c>
      <c r="U663" s="680">
        <v>3.4079575927305102E-3</v>
      </c>
      <c r="V663" s="742">
        <v>2.4E-2</v>
      </c>
      <c r="W663" s="743">
        <v>0.28200999999999998</v>
      </c>
      <c r="X663" s="155">
        <v>11.661289999999999</v>
      </c>
      <c r="Y663" s="743">
        <v>11.06</v>
      </c>
      <c r="Z663" s="337">
        <v>0</v>
      </c>
      <c r="AA663" s="751">
        <v>0</v>
      </c>
      <c r="AB663" s="751">
        <v>0</v>
      </c>
      <c r="AC663" s="743">
        <v>0.27438998490713495</v>
      </c>
      <c r="AD663" s="753">
        <v>3.6840182700122043E-2</v>
      </c>
      <c r="AE663" s="743">
        <v>0.39150003000000005</v>
      </c>
      <c r="AF663" s="743">
        <v>15.79183739349336</v>
      </c>
      <c r="AG663" s="172">
        <f t="shared" si="39"/>
        <v>8.9293366078715515</v>
      </c>
      <c r="AH663" s="667">
        <f t="shared" si="36"/>
        <v>202501</v>
      </c>
      <c r="AJ663" s="335" t="s">
        <v>1853</v>
      </c>
      <c r="AK663" s="262"/>
    </row>
    <row r="664" spans="3:37" ht="15.75" hidden="1">
      <c r="C664" s="649">
        <v>45672</v>
      </c>
      <c r="D664" s="745">
        <v>334774</v>
      </c>
      <c r="E664" s="745">
        <v>30887</v>
      </c>
      <c r="F664" s="748">
        <v>23509.81</v>
      </c>
      <c r="G664" s="789">
        <v>4454</v>
      </c>
      <c r="H664" s="761">
        <v>2285</v>
      </c>
      <c r="I664" s="646">
        <v>151470</v>
      </c>
      <c r="J664" s="761">
        <v>174745</v>
      </c>
      <c r="K664" s="745">
        <v>52545.94</v>
      </c>
      <c r="L664" s="761">
        <v>11568</v>
      </c>
      <c r="M664" s="761">
        <v>409597</v>
      </c>
      <c r="N664" s="761">
        <v>7218</v>
      </c>
      <c r="O664" s="745">
        <v>7076</v>
      </c>
      <c r="P664" s="745">
        <v>101.26578000000001</v>
      </c>
      <c r="R664" s="167">
        <f t="shared" si="38"/>
        <v>150809.29110099998</v>
      </c>
      <c r="S664" s="746">
        <v>13.750930915454466</v>
      </c>
      <c r="T664" s="746">
        <v>0.33133699999999999</v>
      </c>
      <c r="U664" s="680">
        <v>3.4079575927305102E-3</v>
      </c>
      <c r="V664" s="747">
        <v>2.4E-2</v>
      </c>
      <c r="W664" s="746">
        <v>0.28177999999999997</v>
      </c>
      <c r="X664" s="155">
        <v>11.661289999999999</v>
      </c>
      <c r="Y664" s="746">
        <v>11.21</v>
      </c>
      <c r="Z664" s="417">
        <v>0</v>
      </c>
      <c r="AA664" s="417">
        <v>0</v>
      </c>
      <c r="AB664" s="417">
        <v>0</v>
      </c>
      <c r="AC664" s="746">
        <v>0.25060385618453501</v>
      </c>
      <c r="AD664" s="752">
        <v>4.9356217099394868E-2</v>
      </c>
      <c r="AE664" s="746">
        <v>0.38550003000000005</v>
      </c>
      <c r="AF664" s="746">
        <v>15.665657643983948</v>
      </c>
      <c r="AG664" s="172">
        <f t="shared" si="39"/>
        <v>8.9186450135892841</v>
      </c>
      <c r="AH664" s="667">
        <f t="shared" si="36"/>
        <v>202501</v>
      </c>
      <c r="AJ664" s="262" t="s">
        <v>1854</v>
      </c>
      <c r="AK664" s="262"/>
    </row>
    <row r="665" spans="3:37" ht="15.75" hidden="1">
      <c r="C665" s="649">
        <v>45673</v>
      </c>
      <c r="D665" s="741">
        <v>333858</v>
      </c>
      <c r="E665" s="741">
        <v>31176</v>
      </c>
      <c r="F665" s="749">
        <v>23483</v>
      </c>
      <c r="G665" s="741">
        <v>4422</v>
      </c>
      <c r="H665" s="762">
        <v>2278</v>
      </c>
      <c r="I665" s="646">
        <v>151470</v>
      </c>
      <c r="J665" s="762">
        <v>174359</v>
      </c>
      <c r="K665" s="741">
        <v>53221.1</v>
      </c>
      <c r="L665" s="762">
        <v>10310</v>
      </c>
      <c r="M665" s="762">
        <v>409523</v>
      </c>
      <c r="N665" s="762">
        <v>7202</v>
      </c>
      <c r="O665" s="741">
        <v>4645</v>
      </c>
      <c r="P665" s="741">
        <v>86.107361999999995</v>
      </c>
      <c r="Q665" s="337">
        <v>0</v>
      </c>
      <c r="R665" s="167">
        <f t="shared" si="38"/>
        <v>149599.75731290001</v>
      </c>
      <c r="S665" s="743">
        <v>14.964872984904304</v>
      </c>
      <c r="T665" s="743">
        <v>0.396366</v>
      </c>
      <c r="U665" s="680">
        <v>3.4079575927305102E-3</v>
      </c>
      <c r="V665" s="742">
        <v>2.5000000000000001E-2</v>
      </c>
      <c r="W665" s="743">
        <v>0.28332999999999997</v>
      </c>
      <c r="X665" s="155">
        <v>11.661289999999999</v>
      </c>
      <c r="Y665" s="743">
        <v>11.09</v>
      </c>
      <c r="Z665" s="337">
        <v>0</v>
      </c>
      <c r="AA665" s="337">
        <v>0</v>
      </c>
      <c r="AB665" s="337">
        <v>0</v>
      </c>
      <c r="AC665" s="743">
        <v>0.24069296921678507</v>
      </c>
      <c r="AD665" s="753">
        <v>4.1342557065471318E-2</v>
      </c>
      <c r="AE665" s="743">
        <v>0.38690003000000001</v>
      </c>
      <c r="AF665" s="743">
        <v>10.16333141722852</v>
      </c>
      <c r="AG665" s="172">
        <f t="shared" si="39"/>
        <v>8.0034995289922453</v>
      </c>
      <c r="AH665" s="667">
        <f t="shared" si="36"/>
        <v>202501</v>
      </c>
      <c r="AJ665" s="335" t="s">
        <v>1856</v>
      </c>
      <c r="AK665" s="262"/>
    </row>
    <row r="666" spans="3:37" ht="15.75" hidden="1">
      <c r="C666" s="649">
        <v>45674</v>
      </c>
      <c r="D666" s="745">
        <v>344650</v>
      </c>
      <c r="E666" s="745">
        <v>28667</v>
      </c>
      <c r="F666" s="748">
        <v>23468</v>
      </c>
      <c r="G666" s="745">
        <v>4437</v>
      </c>
      <c r="H666" s="761">
        <v>2250</v>
      </c>
      <c r="I666" s="646">
        <v>156540</v>
      </c>
      <c r="J666" s="761">
        <v>175282</v>
      </c>
      <c r="K666" s="745">
        <v>53081</v>
      </c>
      <c r="L666" s="761">
        <v>10944</v>
      </c>
      <c r="M666" s="761">
        <v>419311</v>
      </c>
      <c r="N666" s="761">
        <v>7214</v>
      </c>
      <c r="O666" s="745">
        <v>4927</v>
      </c>
      <c r="P666" s="745">
        <v>101.51737199999999</v>
      </c>
      <c r="Q666" s="337">
        <v>0</v>
      </c>
      <c r="R666" s="167">
        <f t="shared" si="38"/>
        <v>151091.47531739998</v>
      </c>
      <c r="S666" s="746">
        <v>15.178098638810466</v>
      </c>
      <c r="T666" s="746">
        <v>0.35338999999999998</v>
      </c>
      <c r="U666" s="680">
        <v>3.4079575927305102E-3</v>
      </c>
      <c r="V666" s="747">
        <v>2.4E-2</v>
      </c>
      <c r="W666" s="746">
        <v>0.29438999999999999</v>
      </c>
      <c r="X666" s="155">
        <v>11.661289999999999</v>
      </c>
      <c r="Y666" s="746">
        <v>11.03</v>
      </c>
      <c r="Z666" s="337">
        <v>0</v>
      </c>
      <c r="AA666" s="337">
        <v>0</v>
      </c>
      <c r="AB666" s="337">
        <v>0</v>
      </c>
      <c r="AC666" s="746">
        <v>0.2375781190269208</v>
      </c>
      <c r="AD666" s="752">
        <v>4.1484141165010605E-2</v>
      </c>
      <c r="AE666" s="746">
        <v>0.38610003000000004</v>
      </c>
      <c r="AF666" s="746">
        <v>16.186092477070453</v>
      </c>
      <c r="AG666" s="172">
        <f t="shared" si="39"/>
        <v>9.0163162396610605</v>
      </c>
      <c r="AH666" s="667">
        <f t="shared" si="36"/>
        <v>202501</v>
      </c>
      <c r="AJ666" s="262" t="s">
        <v>1859</v>
      </c>
      <c r="AK666" s="262"/>
    </row>
    <row r="667" spans="3:37" ht="15.75" hidden="1">
      <c r="C667" s="649">
        <v>45675</v>
      </c>
      <c r="D667" s="741">
        <v>338751</v>
      </c>
      <c r="E667" s="741">
        <v>31874</v>
      </c>
      <c r="F667" s="749">
        <v>23407</v>
      </c>
      <c r="G667" s="741">
        <v>4443</v>
      </c>
      <c r="H667" s="762">
        <v>2277</v>
      </c>
      <c r="I667" s="646">
        <v>156540</v>
      </c>
      <c r="J667" s="762">
        <v>176042</v>
      </c>
      <c r="K667" s="741">
        <v>52238.49</v>
      </c>
      <c r="L667" s="762">
        <v>9434</v>
      </c>
      <c r="M667" s="762">
        <v>421930</v>
      </c>
      <c r="N667" s="762">
        <v>7315</v>
      </c>
      <c r="O667" s="741">
        <v>3707</v>
      </c>
      <c r="P667" s="741">
        <v>106.48631399999999</v>
      </c>
      <c r="Q667" s="337">
        <v>0</v>
      </c>
      <c r="R667" s="167">
        <f t="shared" si="38"/>
        <v>151024.91059129999</v>
      </c>
      <c r="S667" s="743">
        <v>15.016692765335682</v>
      </c>
      <c r="T667" s="743">
        <v>0.30937799999999999</v>
      </c>
      <c r="U667" s="680">
        <v>3.4079575927305102E-3</v>
      </c>
      <c r="V667" s="742">
        <v>2.4E-2</v>
      </c>
      <c r="W667" s="743">
        <v>0.31022000000000005</v>
      </c>
      <c r="X667" s="155">
        <v>11.661289999999999</v>
      </c>
      <c r="Y667" s="743">
        <v>11.24</v>
      </c>
      <c r="Z667" s="337">
        <v>0</v>
      </c>
      <c r="AA667" s="751"/>
      <c r="AB667" s="337">
        <v>0</v>
      </c>
      <c r="AC667" s="743">
        <v>0.24012663281862792</v>
      </c>
      <c r="AD667" s="753">
        <v>3.7010083619569187E-2</v>
      </c>
      <c r="AE667" s="743">
        <v>0.38620003000000003</v>
      </c>
      <c r="AF667" s="743">
        <v>16.543677278866873</v>
      </c>
      <c r="AG667" s="172">
        <f t="shared" si="39"/>
        <v>9.129467007666225</v>
      </c>
      <c r="AH667" s="667">
        <f t="shared" si="36"/>
        <v>202501</v>
      </c>
      <c r="AJ667" s="931" t="s">
        <v>1858</v>
      </c>
      <c r="AK667" s="262"/>
    </row>
    <row r="668" spans="3:37" ht="15.75" hidden="1">
      <c r="C668" s="649">
        <v>45676</v>
      </c>
      <c r="D668" s="745">
        <v>338288</v>
      </c>
      <c r="E668" s="745">
        <v>32346</v>
      </c>
      <c r="F668" s="748">
        <v>23738</v>
      </c>
      <c r="G668" s="745">
        <v>4454</v>
      </c>
      <c r="H668" s="761">
        <v>2305</v>
      </c>
      <c r="I668" s="646">
        <v>156540</v>
      </c>
      <c r="J668" s="761">
        <v>174945</v>
      </c>
      <c r="K668" s="745">
        <v>51422.22</v>
      </c>
      <c r="L668" s="761">
        <v>11859</v>
      </c>
      <c r="M668" s="761">
        <v>424000</v>
      </c>
      <c r="N668" s="761">
        <v>7309</v>
      </c>
      <c r="O668" s="745">
        <v>4616</v>
      </c>
      <c r="P668" s="745">
        <v>102.272148</v>
      </c>
      <c r="Q668" s="337">
        <v>0</v>
      </c>
      <c r="R668" s="167">
        <f t="shared" si="38"/>
        <v>151943.59521659999</v>
      </c>
      <c r="S668" s="746">
        <v>14.848490855083014</v>
      </c>
      <c r="T668" s="746">
        <v>0.32514300000000002</v>
      </c>
      <c r="U668" s="680">
        <v>3.4079575927305102E-3</v>
      </c>
      <c r="V668" s="747">
        <v>2.4E-2</v>
      </c>
      <c r="W668" s="746">
        <v>0.30598999999999998</v>
      </c>
      <c r="X668" s="155">
        <v>11.661289999999999</v>
      </c>
      <c r="Y668" s="746">
        <v>11.07</v>
      </c>
      <c r="Z668" s="337">
        <v>0</v>
      </c>
      <c r="AA668" s="337">
        <v>0</v>
      </c>
      <c r="AB668" s="337">
        <v>0</v>
      </c>
      <c r="AC668" s="746">
        <v>0.23842762362415651</v>
      </c>
      <c r="AD668" s="752">
        <v>3.9077211472842752E-2</v>
      </c>
      <c r="AE668" s="746">
        <v>0.37830003000000001</v>
      </c>
      <c r="AF668" s="746">
        <v>16.130591510051101</v>
      </c>
      <c r="AG668" s="172">
        <f t="shared" si="39"/>
        <v>9.0072340312225698</v>
      </c>
      <c r="AH668" s="667">
        <f t="shared" si="36"/>
        <v>202501</v>
      </c>
      <c r="AJ668" s="262" t="s">
        <v>1865</v>
      </c>
      <c r="AK668" s="262"/>
    </row>
    <row r="669" spans="3:37" ht="15.75" hidden="1">
      <c r="C669" s="649">
        <v>45677</v>
      </c>
      <c r="D669" s="741">
        <v>337821</v>
      </c>
      <c r="E669" s="741">
        <v>32365</v>
      </c>
      <c r="F669" s="749">
        <v>24796</v>
      </c>
      <c r="G669" s="741">
        <v>4438</v>
      </c>
      <c r="H669" s="762">
        <v>2252</v>
      </c>
      <c r="I669" s="646">
        <v>156540</v>
      </c>
      <c r="J669" s="762">
        <v>173343</v>
      </c>
      <c r="K669" s="741">
        <v>50412.51</v>
      </c>
      <c r="L669" s="762">
        <v>10194</v>
      </c>
      <c r="M669" s="762">
        <v>413502</v>
      </c>
      <c r="N669" s="762">
        <v>7310</v>
      </c>
      <c r="O669" s="741">
        <v>3453</v>
      </c>
      <c r="P669" s="741">
        <v>85.038095999999996</v>
      </c>
      <c r="Q669" s="337">
        <v>0</v>
      </c>
      <c r="R669" s="167">
        <f t="shared" si="38"/>
        <v>150651.27139320003</v>
      </c>
      <c r="S669" s="743">
        <v>15.328460952521189</v>
      </c>
      <c r="T669" s="743">
        <v>0.32835700000000001</v>
      </c>
      <c r="U669" s="680">
        <v>3.4079575927305102E-3</v>
      </c>
      <c r="V669" s="742">
        <v>2.4E-2</v>
      </c>
      <c r="W669" s="743">
        <v>0.29994999999999999</v>
      </c>
      <c r="X669" s="155">
        <v>11.661289999999999</v>
      </c>
      <c r="Y669" s="743">
        <v>10.96</v>
      </c>
      <c r="Z669" s="337">
        <v>0</v>
      </c>
      <c r="AA669" s="337">
        <v>0</v>
      </c>
      <c r="AB669" s="337">
        <v>0</v>
      </c>
      <c r="AC669" s="743">
        <v>0.23729495082784224</v>
      </c>
      <c r="AD669" s="753">
        <v>8.1609074974444071E-2</v>
      </c>
      <c r="AE669" s="743">
        <v>0.37920003000000002</v>
      </c>
      <c r="AF669" s="743">
        <v>15.884178543212883</v>
      </c>
      <c r="AG669" s="172">
        <f t="shared" si="39"/>
        <v>8.962903883603186</v>
      </c>
      <c r="AH669" s="667">
        <f t="shared" si="36"/>
        <v>202501</v>
      </c>
      <c r="AJ669" s="262" t="s">
        <v>1861</v>
      </c>
      <c r="AK669" s="262"/>
    </row>
    <row r="670" spans="3:37" ht="15.75" hidden="1">
      <c r="C670" s="649">
        <v>45678</v>
      </c>
      <c r="D670" s="745">
        <v>339928</v>
      </c>
      <c r="E670" s="745">
        <v>32497</v>
      </c>
      <c r="F670" s="748">
        <v>25141</v>
      </c>
      <c r="G670" s="745">
        <v>4301</v>
      </c>
      <c r="H670" s="761">
        <v>2240</v>
      </c>
      <c r="I670" s="646">
        <v>156540</v>
      </c>
      <c r="J670" s="761">
        <v>172617</v>
      </c>
      <c r="K670" s="745">
        <v>50270.16</v>
      </c>
      <c r="L670" s="761">
        <v>10050</v>
      </c>
      <c r="M670" s="761">
        <v>411122</v>
      </c>
      <c r="N670" s="761">
        <v>7320</v>
      </c>
      <c r="O670" s="745">
        <v>5188</v>
      </c>
      <c r="P670" s="745">
        <v>93.592224000000002</v>
      </c>
      <c r="Q670" s="337">
        <v>0</v>
      </c>
      <c r="R670" s="167">
        <f t="shared" si="38"/>
        <v>151254.20300080004</v>
      </c>
      <c r="S670" s="746">
        <v>14.87086114281022</v>
      </c>
      <c r="T670" s="746">
        <v>0.32556299999999999</v>
      </c>
      <c r="U670" s="680">
        <v>3.4079575927305102E-3</v>
      </c>
      <c r="V670" s="747">
        <v>2.1999999999999999E-2</v>
      </c>
      <c r="W670" s="746">
        <v>0.30472000000000005</v>
      </c>
      <c r="X670" s="155">
        <v>11.661289999999999</v>
      </c>
      <c r="Y670" s="746">
        <v>11.23</v>
      </c>
      <c r="Z670" s="337">
        <v>0</v>
      </c>
      <c r="AA670" s="337">
        <v>0</v>
      </c>
      <c r="AB670" s="337">
        <v>0</v>
      </c>
      <c r="AC670" s="746">
        <v>0.23531277343429224</v>
      </c>
      <c r="AD670" s="752">
        <v>4.958275165865772E-2</v>
      </c>
      <c r="AE670" s="746">
        <v>0.37490003000000005</v>
      </c>
      <c r="AF670" s="746">
        <v>15.883923691833713</v>
      </c>
      <c r="AG670" s="172">
        <f t="shared" si="39"/>
        <v>9.0077278155950768</v>
      </c>
      <c r="AH670" s="667">
        <f t="shared" si="36"/>
        <v>202501</v>
      </c>
      <c r="AJ670" s="262" t="s">
        <v>1862</v>
      </c>
      <c r="AK670" s="262"/>
    </row>
    <row r="671" spans="3:37" ht="15.75" hidden="1">
      <c r="C671" s="649">
        <v>45679</v>
      </c>
      <c r="D671" s="741">
        <v>332170</v>
      </c>
      <c r="E671" s="741">
        <v>32497</v>
      </c>
      <c r="F671" s="749">
        <v>24687.14</v>
      </c>
      <c r="G671" s="741">
        <v>4242</v>
      </c>
      <c r="H671" s="762">
        <v>2268</v>
      </c>
      <c r="I671" s="646">
        <v>156540</v>
      </c>
      <c r="J671" s="762">
        <v>171196</v>
      </c>
      <c r="K671" s="741">
        <v>51676.17</v>
      </c>
      <c r="L671" s="762">
        <v>11198</v>
      </c>
      <c r="M671" s="762">
        <v>418715</v>
      </c>
      <c r="N671" s="762">
        <v>7304</v>
      </c>
      <c r="O671" s="741">
        <v>83</v>
      </c>
      <c r="P671" s="741">
        <v>110.07149999999999</v>
      </c>
      <c r="Q671" s="337">
        <v>0</v>
      </c>
      <c r="R671" s="167">
        <f t="shared" si="38"/>
        <v>149234.45267500001</v>
      </c>
      <c r="S671" s="743">
        <v>14.646308760940908</v>
      </c>
      <c r="T671" s="743">
        <v>0.32522200000000001</v>
      </c>
      <c r="U671" s="680">
        <v>3.4079575927305102E-3</v>
      </c>
      <c r="V671" s="742">
        <v>2.1000000000000001E-2</v>
      </c>
      <c r="W671" s="743">
        <v>0.30943999999999999</v>
      </c>
      <c r="X671" s="155">
        <v>11.661289999999999</v>
      </c>
      <c r="Y671" s="743">
        <v>11.39</v>
      </c>
      <c r="Z671" s="337">
        <v>0</v>
      </c>
      <c r="AA671" s="337">
        <v>0</v>
      </c>
      <c r="AB671" s="337">
        <v>0</v>
      </c>
      <c r="AC671" s="743">
        <v>0.23616227803152792</v>
      </c>
      <c r="AD671" s="753">
        <v>4.5844931430820593E-2</v>
      </c>
      <c r="AE671" s="743">
        <v>0.37450003000000004</v>
      </c>
      <c r="AF671" s="743">
        <v>15.880695574364216</v>
      </c>
      <c r="AG671" s="172">
        <f t="shared" si="39"/>
        <v>9.0447571258701469</v>
      </c>
      <c r="AH671" s="667">
        <f t="shared" si="36"/>
        <v>202501</v>
      </c>
      <c r="AJ671" s="262" t="s">
        <v>1863</v>
      </c>
      <c r="AK671" s="262"/>
    </row>
    <row r="672" spans="3:37" ht="15.75" hidden="1">
      <c r="C672" s="649">
        <v>45680</v>
      </c>
      <c r="D672" s="745">
        <v>331909</v>
      </c>
      <c r="E672" s="745">
        <v>32314</v>
      </c>
      <c r="F672" s="748">
        <v>25147</v>
      </c>
      <c r="G672" s="745">
        <v>4345</v>
      </c>
      <c r="H672" s="761">
        <v>2256</v>
      </c>
      <c r="I672" s="646">
        <v>156540</v>
      </c>
      <c r="J672" s="761">
        <v>169442</v>
      </c>
      <c r="K672" s="745">
        <v>51734.13</v>
      </c>
      <c r="L672" s="761">
        <v>9856</v>
      </c>
      <c r="M672" s="761">
        <v>435416</v>
      </c>
      <c r="N672" s="761">
        <v>7321</v>
      </c>
      <c r="O672" s="745">
        <v>6522</v>
      </c>
      <c r="P672" s="745">
        <v>93.655121999999992</v>
      </c>
      <c r="Q672" s="337">
        <v>0</v>
      </c>
      <c r="R672" s="167">
        <f t="shared" si="38"/>
        <v>152011.62555489998</v>
      </c>
      <c r="S672" s="746">
        <v>14.997437327798334</v>
      </c>
      <c r="T672" s="746">
        <v>0.324436</v>
      </c>
      <c r="U672" s="680">
        <v>3.4079575927305102E-3</v>
      </c>
      <c r="V672" s="747">
        <v>2.1999999999999999E-2</v>
      </c>
      <c r="W672" s="746">
        <v>0.30016000000000004</v>
      </c>
      <c r="X672" s="155">
        <v>11.661289999999999</v>
      </c>
      <c r="Y672" s="746">
        <v>11.31</v>
      </c>
      <c r="Z672" s="337">
        <v>0</v>
      </c>
      <c r="AA672" s="337">
        <v>0</v>
      </c>
      <c r="AB672" s="337">
        <v>0</v>
      </c>
      <c r="AC672" s="746">
        <v>0.23531277343429224</v>
      </c>
      <c r="AD672" s="752">
        <v>4.8110277023449159E-2</v>
      </c>
      <c r="AE672" s="746">
        <v>0.37430003000000001</v>
      </c>
      <c r="AF672" s="746">
        <v>15.88222468263924</v>
      </c>
      <c r="AG672" s="172">
        <f t="shared" si="39"/>
        <v>9.0262180575888351</v>
      </c>
      <c r="AH672" s="667">
        <f t="shared" si="36"/>
        <v>202501</v>
      </c>
      <c r="AJ672" s="262" t="s">
        <v>1864</v>
      </c>
      <c r="AK672" s="262"/>
    </row>
    <row r="673" spans="3:37" ht="15.75" hidden="1">
      <c r="C673" s="649">
        <v>45681</v>
      </c>
      <c r="D673" s="741">
        <v>356078</v>
      </c>
      <c r="E673" s="741">
        <v>32434</v>
      </c>
      <c r="F673" s="749">
        <v>25051</v>
      </c>
      <c r="G673" s="741">
        <v>4322</v>
      </c>
      <c r="H673" s="762">
        <v>2224</v>
      </c>
      <c r="I673" s="646">
        <v>165540</v>
      </c>
      <c r="J673" s="762">
        <v>169151</v>
      </c>
      <c r="K673" s="741">
        <v>52055.24</v>
      </c>
      <c r="L673" s="762">
        <v>12370</v>
      </c>
      <c r="M673" s="762">
        <v>434900</v>
      </c>
      <c r="N673" s="762">
        <v>7304</v>
      </c>
      <c r="O673" s="741">
        <v>4896</v>
      </c>
      <c r="P673" s="741">
        <v>91.264997999999991</v>
      </c>
      <c r="Q673" s="337">
        <v>0</v>
      </c>
      <c r="R673" s="167">
        <f t="shared" si="38"/>
        <v>154377.4032491</v>
      </c>
      <c r="S673" s="743">
        <v>13.27634101379879</v>
      </c>
      <c r="T673" s="743">
        <v>0.325409</v>
      </c>
      <c r="U673" s="680">
        <v>3.4079575927305102E-3</v>
      </c>
      <c r="V673" s="742">
        <v>2.1000000000000001E-2</v>
      </c>
      <c r="W673" s="743">
        <v>0.29624</v>
      </c>
      <c r="X673" s="155">
        <v>11.661289999999999</v>
      </c>
      <c r="Y673" s="743">
        <v>11.14</v>
      </c>
      <c r="Z673" s="337">
        <v>0</v>
      </c>
      <c r="AA673" s="337">
        <v>0</v>
      </c>
      <c r="AB673" s="337">
        <v>0</v>
      </c>
      <c r="AC673" s="743">
        <v>0.23672861442968507</v>
      </c>
      <c r="AD673" s="753">
        <v>4.7713841544739156E-2</v>
      </c>
      <c r="AE673" s="743">
        <v>0.37490003000000005</v>
      </c>
      <c r="AF673" s="743">
        <v>15.884036959113345</v>
      </c>
      <c r="AG673" s="172">
        <f t="shared" si="39"/>
        <v>8.9280939557229573</v>
      </c>
      <c r="AH673" s="667">
        <f t="shared" si="36"/>
        <v>202501</v>
      </c>
      <c r="AJ673" s="262" t="s">
        <v>1866</v>
      </c>
      <c r="AK673" s="262"/>
    </row>
    <row r="674" spans="3:37" ht="15.75" hidden="1">
      <c r="C674" s="649">
        <v>45682</v>
      </c>
      <c r="D674" s="745">
        <v>66964</v>
      </c>
      <c r="E674" s="745">
        <v>33497</v>
      </c>
      <c r="F674" s="748">
        <v>24333</v>
      </c>
      <c r="G674" s="745">
        <v>4209</v>
      </c>
      <c r="H674" s="761">
        <v>2335</v>
      </c>
      <c r="I674" s="646">
        <v>165540</v>
      </c>
      <c r="J674" s="761">
        <v>171249</v>
      </c>
      <c r="K674" s="745">
        <v>50871.9</v>
      </c>
      <c r="L674" s="761">
        <v>10510</v>
      </c>
      <c r="M674" s="761">
        <v>339627</v>
      </c>
      <c r="N674" s="761">
        <v>7324</v>
      </c>
      <c r="O674" s="745">
        <v>5099</v>
      </c>
      <c r="P674" s="745">
        <v>69.124901999999992</v>
      </c>
      <c r="Q674" s="337">
        <v>0</v>
      </c>
      <c r="R674" s="167">
        <f t="shared" si="38"/>
        <v>141823.1657059</v>
      </c>
      <c r="S674" s="746">
        <v>2.2503376780774009</v>
      </c>
      <c r="T674" s="746">
        <v>0.32875100000000002</v>
      </c>
      <c r="U674" s="680">
        <v>3.4079575927305102E-3</v>
      </c>
      <c r="V674" s="747">
        <v>1.9E-2</v>
      </c>
      <c r="W674" s="746">
        <v>0.29511000000000004</v>
      </c>
      <c r="X674" s="155">
        <v>11.661289999999999</v>
      </c>
      <c r="Y674" s="746">
        <v>11.32</v>
      </c>
      <c r="Z674" s="337">
        <v>0</v>
      </c>
      <c r="AA674" s="337">
        <v>0</v>
      </c>
      <c r="AB674" s="337">
        <v>0</v>
      </c>
      <c r="AC674" s="746">
        <v>0.2296494094527208</v>
      </c>
      <c r="AD674" s="752">
        <v>4.8251861122988439E-2</v>
      </c>
      <c r="AE674" s="746">
        <v>0.37620003000000002</v>
      </c>
      <c r="AF674" s="746">
        <v>15.891682500488466</v>
      </c>
      <c r="AG674" s="172">
        <f t="shared" si="39"/>
        <v>8.652476935470709</v>
      </c>
      <c r="AH674" s="667">
        <f t="shared" si="36"/>
        <v>202501</v>
      </c>
      <c r="AJ674" s="262" t="s">
        <v>1867</v>
      </c>
      <c r="AK674" s="262"/>
    </row>
    <row r="675" spans="3:37" ht="15.75" hidden="1">
      <c r="C675" s="649">
        <v>45683</v>
      </c>
      <c r="D675" s="741">
        <v>239489</v>
      </c>
      <c r="E675" s="741">
        <v>22950</v>
      </c>
      <c r="F675" s="749">
        <v>24327</v>
      </c>
      <c r="G675" s="741">
        <v>4143</v>
      </c>
      <c r="H675" s="762">
        <v>2249</v>
      </c>
      <c r="I675" s="646">
        <v>165540</v>
      </c>
      <c r="J675" s="762">
        <v>170640</v>
      </c>
      <c r="K675" s="741">
        <v>50674.45</v>
      </c>
      <c r="L675" s="762">
        <v>12791</v>
      </c>
      <c r="M675" s="762">
        <v>414882</v>
      </c>
      <c r="N675" s="762">
        <v>7340</v>
      </c>
      <c r="O675" s="741">
        <v>3880</v>
      </c>
      <c r="P675" s="741">
        <v>115.669422</v>
      </c>
      <c r="Q675" s="337">
        <v>0</v>
      </c>
      <c r="R675" s="167">
        <f t="shared" si="38"/>
        <v>146786.52573989998</v>
      </c>
      <c r="S675" s="743">
        <v>6.1453162564031416</v>
      </c>
      <c r="T675" s="743">
        <v>0.27430199999999999</v>
      </c>
      <c r="U675" s="680">
        <v>3.4079575927305102E-3</v>
      </c>
      <c r="V675" s="742">
        <v>0.02</v>
      </c>
      <c r="W675" s="743">
        <v>0.29481000000000002</v>
      </c>
      <c r="X675" s="155">
        <v>11.661289999999999</v>
      </c>
      <c r="Y675" s="743">
        <v>11.33</v>
      </c>
      <c r="Z675" s="337">
        <v>0</v>
      </c>
      <c r="AA675" s="337">
        <v>0</v>
      </c>
      <c r="AB675" s="337">
        <v>0</v>
      </c>
      <c r="AC675" s="743">
        <v>0.23333059604074224</v>
      </c>
      <c r="AD675" s="753">
        <v>4.1880576643720607E-2</v>
      </c>
      <c r="AE675" s="743">
        <v>0.37830003000000001</v>
      </c>
      <c r="AF675" s="743">
        <v>15.883697157274449</v>
      </c>
      <c r="AG675" s="172">
        <f t="shared" si="39"/>
        <v>8.7519477372733299</v>
      </c>
      <c r="AH675" s="667">
        <f t="shared" si="36"/>
        <v>202501</v>
      </c>
      <c r="AJ675" s="262" t="s">
        <v>1879</v>
      </c>
      <c r="AK675" s="262"/>
    </row>
    <row r="676" spans="3:37" ht="15.75" hidden="1">
      <c r="C676" s="649">
        <v>45684</v>
      </c>
      <c r="D676" s="745">
        <v>316213</v>
      </c>
      <c r="E676" s="745">
        <v>22943</v>
      </c>
      <c r="F676" s="748">
        <v>24178</v>
      </c>
      <c r="G676" s="745">
        <v>4139</v>
      </c>
      <c r="H676" s="761">
        <v>2272</v>
      </c>
      <c r="I676" s="646">
        <v>165540</v>
      </c>
      <c r="J676" s="790">
        <v>171073</v>
      </c>
      <c r="K676" s="745">
        <v>50997.39</v>
      </c>
      <c r="L676" s="761">
        <v>9695</v>
      </c>
      <c r="M676" s="761">
        <v>415586</v>
      </c>
      <c r="N676" s="761">
        <v>7333</v>
      </c>
      <c r="O676" s="745">
        <v>715</v>
      </c>
      <c r="P676" s="745">
        <v>77.741927999999987</v>
      </c>
      <c r="Q676" s="337">
        <v>0</v>
      </c>
      <c r="R676" s="167">
        <f t="shared" si="38"/>
        <v>147136.2403676</v>
      </c>
      <c r="S676" s="746">
        <v>10.432199622253624</v>
      </c>
      <c r="T676" s="746">
        <v>0.249081</v>
      </c>
      <c r="U676" s="680">
        <v>3.4079575927305102E-3</v>
      </c>
      <c r="V676" s="747">
        <v>0.02</v>
      </c>
      <c r="W676" s="746">
        <v>0.2873</v>
      </c>
      <c r="X676" s="155">
        <v>11.661289999999999</v>
      </c>
      <c r="Y676" s="786">
        <v>11.38</v>
      </c>
      <c r="Z676" s="337">
        <v>0</v>
      </c>
      <c r="AA676" s="337">
        <v>0</v>
      </c>
      <c r="AB676" s="337">
        <v>0</v>
      </c>
      <c r="AC676" s="746">
        <v>0.23474643703613507</v>
      </c>
      <c r="AD676" s="752">
        <v>5.0488889895709148E-2</v>
      </c>
      <c r="AE676" s="746">
        <v>0.36930003</v>
      </c>
      <c r="AF676" s="746">
        <v>15.838730047260773</v>
      </c>
      <c r="AG676" s="172">
        <f t="shared" si="39"/>
        <v>8.8679240648324189</v>
      </c>
      <c r="AH676" s="667">
        <f t="shared" si="36"/>
        <v>202501</v>
      </c>
      <c r="AJ676" s="262" t="s">
        <v>1868</v>
      </c>
      <c r="AK676" s="262"/>
    </row>
    <row r="677" spans="3:37" ht="15.75" hidden="1">
      <c r="C677" s="775">
        <v>45685</v>
      </c>
      <c r="D677" s="773">
        <v>301553</v>
      </c>
      <c r="E677" s="773">
        <v>22157</v>
      </c>
      <c r="F677" s="774">
        <v>23703</v>
      </c>
      <c r="G677" s="773">
        <v>4085</v>
      </c>
      <c r="H677" s="792">
        <v>2240</v>
      </c>
      <c r="I677" s="646">
        <v>165540</v>
      </c>
      <c r="J677" s="776">
        <v>170487</v>
      </c>
      <c r="K677" s="773">
        <v>50698.53</v>
      </c>
      <c r="L677" s="776">
        <v>8683</v>
      </c>
      <c r="M677" s="776">
        <v>437661</v>
      </c>
      <c r="N677" s="776">
        <v>7427</v>
      </c>
      <c r="O677" s="773">
        <v>6048</v>
      </c>
      <c r="P677" s="773">
        <v>107.42978399999998</v>
      </c>
      <c r="Q677" s="337">
        <v>0</v>
      </c>
      <c r="R677" s="777">
        <f t="shared" si="38"/>
        <v>148672.39490280001</v>
      </c>
      <c r="S677" s="743">
        <v>13.3805469110597</v>
      </c>
      <c r="T677" s="743">
        <v>0.2419</v>
      </c>
      <c r="U677" s="680">
        <v>3.4079575927305102E-3</v>
      </c>
      <c r="V677" s="742">
        <v>2.1000000000000001E-2</v>
      </c>
      <c r="W677" s="743">
        <v>0.29174</v>
      </c>
      <c r="X677" s="155">
        <v>11.661289999999999</v>
      </c>
      <c r="Y677" s="743">
        <v>11.42</v>
      </c>
      <c r="Z677" s="337">
        <v>0</v>
      </c>
      <c r="AA677" s="337">
        <v>0</v>
      </c>
      <c r="AB677" s="337">
        <v>0</v>
      </c>
      <c r="AC677" s="743">
        <v>0.2296494094527208</v>
      </c>
      <c r="AD677" s="753">
        <v>8.3732836467533336E-2</v>
      </c>
      <c r="AE677" s="743">
        <v>0.36960003000000002</v>
      </c>
      <c r="AF677" s="743">
        <v>15.828196190255047</v>
      </c>
      <c r="AG677" s="172">
        <f t="shared" si="39"/>
        <v>8.9786455029335794</v>
      </c>
      <c r="AH677" s="667">
        <f t="shared" si="36"/>
        <v>202501</v>
      </c>
      <c r="AJ677" s="262" t="s">
        <v>1869</v>
      </c>
      <c r="AK677" s="262"/>
    </row>
    <row r="678" spans="3:37" ht="15.75" hidden="1">
      <c r="C678" s="649">
        <v>45686</v>
      </c>
      <c r="D678" s="795">
        <v>290001</v>
      </c>
      <c r="E678" s="782">
        <v>22088</v>
      </c>
      <c r="F678" s="779">
        <v>23874</v>
      </c>
      <c r="G678" s="782">
        <v>4068</v>
      </c>
      <c r="H678" s="790">
        <v>2208</v>
      </c>
      <c r="I678" s="646">
        <v>165540</v>
      </c>
      <c r="J678" s="785">
        <v>170833</v>
      </c>
      <c r="K678" s="782">
        <v>52832.41</v>
      </c>
      <c r="L678" s="780">
        <v>10760</v>
      </c>
      <c r="M678" s="780">
        <v>428913</v>
      </c>
      <c r="N678" s="780">
        <v>7436</v>
      </c>
      <c r="O678" s="781">
        <v>0</v>
      </c>
      <c r="P678" s="781">
        <v>107.55558000000001</v>
      </c>
      <c r="Q678" s="778">
        <v>0</v>
      </c>
      <c r="R678" s="777">
        <f t="shared" si="38"/>
        <v>146751.50176099996</v>
      </c>
      <c r="S678" s="786">
        <v>14.15104758075249</v>
      </c>
      <c r="T678" s="746">
        <v>0.24210300000000001</v>
      </c>
      <c r="U678" s="680">
        <v>3.4079575927305102E-3</v>
      </c>
      <c r="V678" s="747">
        <v>2.1999999999999999E-2</v>
      </c>
      <c r="W678" s="786">
        <v>0.28991</v>
      </c>
      <c r="X678" s="155">
        <v>11.661289999999999</v>
      </c>
      <c r="Y678" s="746">
        <v>11.31</v>
      </c>
      <c r="Z678" s="337">
        <v>0</v>
      </c>
      <c r="AA678" s="337">
        <v>0</v>
      </c>
      <c r="AB678" s="337">
        <v>0</v>
      </c>
      <c r="AC678" s="746">
        <v>0.2296494094527208</v>
      </c>
      <c r="AD678" s="752">
        <v>8.3704519647625486E-2</v>
      </c>
      <c r="AE678" s="746">
        <v>0.36620003000000001</v>
      </c>
      <c r="AF678" s="746">
        <v>15.825760943742971</v>
      </c>
      <c r="AG678" s="172">
        <f t="shared" si="39"/>
        <v>8.9693521388870767</v>
      </c>
      <c r="AH678" s="667">
        <f t="shared" si="36"/>
        <v>202501</v>
      </c>
      <c r="AJ678" s="262" t="s">
        <v>1870</v>
      </c>
      <c r="AK678" s="262"/>
    </row>
    <row r="679" spans="3:37" ht="15.75" hidden="1">
      <c r="C679" s="649">
        <v>45687</v>
      </c>
      <c r="D679" s="794">
        <v>319987</v>
      </c>
      <c r="E679" s="741">
        <v>22170</v>
      </c>
      <c r="F679" s="749">
        <v>23864</v>
      </c>
      <c r="G679" s="741">
        <v>4051</v>
      </c>
      <c r="H679" s="792">
        <v>2234</v>
      </c>
      <c r="I679" s="646">
        <v>165540</v>
      </c>
      <c r="J679" s="762">
        <v>169815</v>
      </c>
      <c r="K679" s="741">
        <v>50313.17</v>
      </c>
      <c r="L679" s="762">
        <v>10032</v>
      </c>
      <c r="M679" s="762">
        <v>441355</v>
      </c>
      <c r="N679" s="762">
        <v>7433</v>
      </c>
      <c r="O679" s="741">
        <v>5672</v>
      </c>
      <c r="P679" s="741">
        <v>86.170259999999985</v>
      </c>
      <c r="Q679" s="784">
        <v>0</v>
      </c>
      <c r="R679" s="783">
        <f t="shared" si="38"/>
        <v>149347.63886699997</v>
      </c>
      <c r="S679" s="793">
        <v>14.961191798316278</v>
      </c>
      <c r="T679" s="743">
        <v>0.234069</v>
      </c>
      <c r="U679" s="680">
        <v>3.4079575927305102E-3</v>
      </c>
      <c r="V679" s="742">
        <v>2.3E-2</v>
      </c>
      <c r="W679" s="743">
        <v>0.29077999999999998</v>
      </c>
      <c r="X679" s="155">
        <v>11.661289999999999</v>
      </c>
      <c r="Y679" s="743">
        <v>11.24</v>
      </c>
      <c r="Z679" s="337">
        <v>0</v>
      </c>
      <c r="AA679" s="337">
        <v>0</v>
      </c>
      <c r="AB679" s="337">
        <v>0</v>
      </c>
      <c r="AC679" s="743">
        <v>0.22738406386009222</v>
      </c>
      <c r="AD679" s="753">
        <v>8.3053232789744774E-2</v>
      </c>
      <c r="AE679" s="743">
        <v>0.36290003000000004</v>
      </c>
      <c r="AF679" s="743">
        <v>15.829328863051364</v>
      </c>
      <c r="AG679" s="172">
        <f t="shared" si="39"/>
        <v>8.9726615207749028</v>
      </c>
      <c r="AH679" s="667">
        <f t="shared" si="36"/>
        <v>202501</v>
      </c>
      <c r="AJ679" s="262" t="s">
        <v>1871</v>
      </c>
      <c r="AK679" s="262"/>
    </row>
    <row r="680" spans="3:37" ht="15.75" hidden="1">
      <c r="C680" s="649">
        <v>45688</v>
      </c>
      <c r="D680" s="789">
        <v>323981</v>
      </c>
      <c r="E680" s="789">
        <v>22201</v>
      </c>
      <c r="F680" s="791">
        <v>23863.49</v>
      </c>
      <c r="G680" s="789">
        <v>4014</v>
      </c>
      <c r="H680" s="790">
        <v>2315</v>
      </c>
      <c r="I680" s="646">
        <v>163400</v>
      </c>
      <c r="J680" s="790">
        <v>171495</v>
      </c>
      <c r="K680" s="789">
        <v>50718.63</v>
      </c>
      <c r="L680" s="790">
        <v>5993</v>
      </c>
      <c r="M680" s="790">
        <v>432419</v>
      </c>
      <c r="N680" s="790">
        <v>7500</v>
      </c>
      <c r="O680" s="789">
        <v>6809</v>
      </c>
      <c r="P680" s="789">
        <v>108.31035599999998</v>
      </c>
      <c r="Q680" s="784">
        <v>0</v>
      </c>
      <c r="R680" s="783">
        <f t="shared" si="38"/>
        <v>148785.42566020001</v>
      </c>
      <c r="S680" s="786">
        <v>15.163940228856537</v>
      </c>
      <c r="T680" s="786">
        <v>0.23162099999999999</v>
      </c>
      <c r="U680" s="680">
        <v>3.4079575927305102E-3</v>
      </c>
      <c r="V680" s="787">
        <v>2.4E-2</v>
      </c>
      <c r="W680" s="786">
        <v>0.29008999999999996</v>
      </c>
      <c r="X680" s="155">
        <v>11.661289999999999</v>
      </c>
      <c r="Y680" s="786">
        <v>11.35</v>
      </c>
      <c r="Z680" s="337">
        <v>0</v>
      </c>
      <c r="AA680" s="337">
        <v>0</v>
      </c>
      <c r="AB680" s="337">
        <v>0</v>
      </c>
      <c r="AC680" s="786">
        <v>0.22710089566101366</v>
      </c>
      <c r="AD680" s="788">
        <v>8.4355806505506198E-2</v>
      </c>
      <c r="AE680" s="786">
        <v>0.36460003000000002</v>
      </c>
      <c r="AF680" s="786">
        <v>15.844308460782621</v>
      </c>
      <c r="AG680" s="172">
        <f t="shared" si="39"/>
        <v>9.0101423649669243</v>
      </c>
      <c r="AH680" s="667">
        <f t="shared" si="36"/>
        <v>202501</v>
      </c>
      <c r="AJ680" s="262" t="s">
        <v>1872</v>
      </c>
      <c r="AK680" s="262"/>
    </row>
    <row r="681" spans="3:37" ht="15.75" hidden="1">
      <c r="C681" s="649">
        <v>45689</v>
      </c>
      <c r="D681" s="741">
        <v>334022</v>
      </c>
      <c r="E681" s="741">
        <v>22126</v>
      </c>
      <c r="F681" s="749">
        <v>23991.39</v>
      </c>
      <c r="G681" s="741">
        <v>3978</v>
      </c>
      <c r="H681" s="792">
        <v>2274</v>
      </c>
      <c r="I681" s="646">
        <v>163400</v>
      </c>
      <c r="J681" s="762">
        <v>169476</v>
      </c>
      <c r="K681" s="741">
        <v>52011.519999999997</v>
      </c>
      <c r="L681" s="762">
        <v>7181</v>
      </c>
      <c r="M681" s="762">
        <v>429518</v>
      </c>
      <c r="N681" s="762">
        <v>7407</v>
      </c>
      <c r="O681" s="741">
        <v>6452</v>
      </c>
      <c r="P681" s="741">
        <v>92.33426399999999</v>
      </c>
      <c r="Q681" s="784">
        <v>0</v>
      </c>
      <c r="R681" s="783">
        <f t="shared" si="38"/>
        <v>148898.0331688</v>
      </c>
      <c r="S681" s="793">
        <v>14.903991822102407</v>
      </c>
      <c r="T681" s="743">
        <v>0.23546</v>
      </c>
      <c r="U681" s="680">
        <v>3.4079575927305102E-3</v>
      </c>
      <c r="V681" s="742">
        <v>2.4E-2</v>
      </c>
      <c r="W681" s="743">
        <v>0.28873000000000004</v>
      </c>
      <c r="X681" s="771">
        <v>12.37857</v>
      </c>
      <c r="Y681" s="786">
        <v>11.33</v>
      </c>
      <c r="Z681" s="337">
        <v>0</v>
      </c>
      <c r="AA681" s="337">
        <v>0</v>
      </c>
      <c r="AB681" s="337">
        <v>0</v>
      </c>
      <c r="AC681" s="743">
        <v>0.22653455926285654</v>
      </c>
      <c r="AD681" s="753">
        <v>8.3931054206888345E-2</v>
      </c>
      <c r="AE681" s="743">
        <v>0.35580003000000004</v>
      </c>
      <c r="AF681" s="743">
        <v>15.828734209833296</v>
      </c>
      <c r="AG681" s="172">
        <f t="shared" si="39"/>
        <v>9.1336315834847372</v>
      </c>
      <c r="AH681" s="667">
        <f t="shared" si="36"/>
        <v>202502</v>
      </c>
      <c r="AJ681" s="262" t="s">
        <v>1873</v>
      </c>
      <c r="AK681" s="262"/>
    </row>
    <row r="682" spans="3:37" ht="15.75" hidden="1">
      <c r="C682" s="649">
        <v>45690</v>
      </c>
      <c r="D682" s="789">
        <v>338767</v>
      </c>
      <c r="E682" s="789">
        <v>22019</v>
      </c>
      <c r="F682" s="791">
        <v>24064.02</v>
      </c>
      <c r="G682" s="789">
        <v>4001</v>
      </c>
      <c r="H682" s="790">
        <v>2305</v>
      </c>
      <c r="I682" s="646">
        <v>163400</v>
      </c>
      <c r="J682" s="790">
        <v>170666</v>
      </c>
      <c r="K682" s="789">
        <v>50958.34</v>
      </c>
      <c r="L682" s="790">
        <v>10019</v>
      </c>
      <c r="M682" s="790">
        <v>442489</v>
      </c>
      <c r="N682" s="790">
        <v>7402</v>
      </c>
      <c r="O682" s="789">
        <v>4655</v>
      </c>
      <c r="P682" s="789">
        <v>95.038877999999997</v>
      </c>
      <c r="Q682" s="784">
        <v>0</v>
      </c>
      <c r="R682" s="783">
        <f t="shared" si="38"/>
        <v>149632.75499510003</v>
      </c>
      <c r="S682" s="786">
        <v>14.86406510603233</v>
      </c>
      <c r="T682" s="786">
        <v>0.242365</v>
      </c>
      <c r="U682" s="680">
        <v>3.4079575927305102E-3</v>
      </c>
      <c r="V682" s="787">
        <v>2.3E-2</v>
      </c>
      <c r="W682" s="786">
        <v>0.28693000000000002</v>
      </c>
      <c r="X682" s="771">
        <v>12.37857</v>
      </c>
      <c r="Y682" s="786">
        <v>11.47</v>
      </c>
      <c r="Z682" s="337">
        <v>0</v>
      </c>
      <c r="AA682" s="337">
        <v>0</v>
      </c>
      <c r="AB682" s="337">
        <v>0</v>
      </c>
      <c r="AC682" s="786">
        <v>0.22341970907299225</v>
      </c>
      <c r="AD682" s="788">
        <v>7.387858313959908E-2</v>
      </c>
      <c r="AE682" s="786">
        <v>0.36060003000000002</v>
      </c>
      <c r="AF682" s="786">
        <v>15.827290052017998</v>
      </c>
      <c r="AG682" s="172">
        <f t="shared" si="39"/>
        <v>9.1659789482632856</v>
      </c>
      <c r="AH682" s="667">
        <f t="shared" si="36"/>
        <v>202502</v>
      </c>
      <c r="AJ682" s="262" t="s">
        <v>1874</v>
      </c>
      <c r="AK682" s="262"/>
    </row>
    <row r="683" spans="3:37" ht="15.75" hidden="1">
      <c r="C683" s="649">
        <v>45691</v>
      </c>
      <c r="D683" s="741">
        <v>344675</v>
      </c>
      <c r="E683" s="741">
        <v>25151</v>
      </c>
      <c r="F683" s="749">
        <v>23880.41</v>
      </c>
      <c r="G683" s="741">
        <v>3913</v>
      </c>
      <c r="H683" s="762">
        <v>2267</v>
      </c>
      <c r="I683" s="646">
        <v>163400</v>
      </c>
      <c r="J683" s="762">
        <v>171747</v>
      </c>
      <c r="K683" s="741">
        <v>49963.839999999997</v>
      </c>
      <c r="L683" s="762">
        <v>13885</v>
      </c>
      <c r="M683" s="762">
        <v>438306</v>
      </c>
      <c r="N683" s="762">
        <v>7416</v>
      </c>
      <c r="O683" s="741">
        <v>3719</v>
      </c>
      <c r="P683" s="741">
        <v>100.00782</v>
      </c>
      <c r="Q683" s="784">
        <v>0</v>
      </c>
      <c r="R683" s="783">
        <f t="shared" si="38"/>
        <v>150867.84051899999</v>
      </c>
      <c r="S683" s="743">
        <v>15.067096704771664</v>
      </c>
      <c r="T683" s="793">
        <v>0.23868500000000001</v>
      </c>
      <c r="U683" s="680">
        <v>3.4079575927305102E-3</v>
      </c>
      <c r="V683" s="742">
        <v>2.4E-2</v>
      </c>
      <c r="W683" s="743">
        <v>0.28443999999999997</v>
      </c>
      <c r="X683" s="771">
        <v>12.37857</v>
      </c>
      <c r="Y683" s="743">
        <v>11.45</v>
      </c>
      <c r="Z683" s="337">
        <v>0</v>
      </c>
      <c r="AA683" s="337">
        <v>0</v>
      </c>
      <c r="AB683" s="337">
        <v>0</v>
      </c>
      <c r="AC683" s="743">
        <v>0.2256850546656208</v>
      </c>
      <c r="AD683" s="753">
        <v>8.8235210832882618E-2</v>
      </c>
      <c r="AE683" s="743">
        <v>0.35330003000000004</v>
      </c>
      <c r="AF683" s="743">
        <v>15.594185990536516</v>
      </c>
      <c r="AG683" s="172">
        <f t="shared" si="39"/>
        <v>9.1268131711670613</v>
      </c>
      <c r="AH683" s="667">
        <f t="shared" si="36"/>
        <v>202502</v>
      </c>
      <c r="AJ683" s="262" t="s">
        <v>1875</v>
      </c>
      <c r="AK683" s="262"/>
    </row>
    <row r="684" spans="3:37" ht="15.75" hidden="1">
      <c r="C684" s="649">
        <v>45692</v>
      </c>
      <c r="D684" s="789">
        <v>346273</v>
      </c>
      <c r="E684" s="789">
        <v>25849</v>
      </c>
      <c r="F684" s="791">
        <v>23515.88</v>
      </c>
      <c r="G684" s="789">
        <v>3933</v>
      </c>
      <c r="H684" s="790">
        <v>2303</v>
      </c>
      <c r="I684" s="646">
        <v>163400</v>
      </c>
      <c r="J684" s="790">
        <v>171559</v>
      </c>
      <c r="K684" s="789">
        <v>51108.34</v>
      </c>
      <c r="L684" s="790">
        <v>11315</v>
      </c>
      <c r="M684" s="790">
        <v>439175</v>
      </c>
      <c r="N684" s="790">
        <v>7412</v>
      </c>
      <c r="O684" s="789">
        <v>4495</v>
      </c>
      <c r="P684" s="789">
        <v>95.353367999999989</v>
      </c>
      <c r="Q684" s="784">
        <v>0</v>
      </c>
      <c r="R684" s="783">
        <f t="shared" si="38"/>
        <v>150853.72901559999</v>
      </c>
      <c r="S684" s="786">
        <v>14.662449348288391</v>
      </c>
      <c r="T684" s="786">
        <v>0.23877100000000001</v>
      </c>
      <c r="U684" s="680">
        <v>3.4079575927305102E-3</v>
      </c>
      <c r="V684" s="787">
        <v>2.4E-2</v>
      </c>
      <c r="W684" s="786">
        <v>0.28152999999999995</v>
      </c>
      <c r="X684" s="771">
        <v>12.37857</v>
      </c>
      <c r="Y684" s="786">
        <v>11.49</v>
      </c>
      <c r="Z684" s="337">
        <v>0</v>
      </c>
      <c r="AA684" s="337">
        <v>0</v>
      </c>
      <c r="AB684" s="337">
        <v>0</v>
      </c>
      <c r="AC684" s="786">
        <v>0.22341970907299225</v>
      </c>
      <c r="AD684" s="788">
        <v>9.0104120946801189E-2</v>
      </c>
      <c r="AE684" s="786">
        <v>0.36300003000000003</v>
      </c>
      <c r="AF684" s="786">
        <v>15.593647970958267</v>
      </c>
      <c r="AG684" s="172">
        <f t="shared" si="39"/>
        <v>9.1272623686920014</v>
      </c>
      <c r="AH684" s="667">
        <f t="shared" si="36"/>
        <v>202502</v>
      </c>
      <c r="AJ684" s="262" t="s">
        <v>1876</v>
      </c>
      <c r="AK684" s="262"/>
    </row>
    <row r="685" spans="3:37" ht="15.75" hidden="1">
      <c r="C685" s="649">
        <v>45693</v>
      </c>
      <c r="D685" s="741">
        <v>333769</v>
      </c>
      <c r="E685" s="741">
        <v>24901</v>
      </c>
      <c r="F685" s="749">
        <v>23485.79</v>
      </c>
      <c r="G685" s="741">
        <v>3947</v>
      </c>
      <c r="H685" s="762">
        <v>2302</v>
      </c>
      <c r="I685" s="646">
        <v>163400</v>
      </c>
      <c r="J685" s="762">
        <v>172557</v>
      </c>
      <c r="K685" s="741">
        <v>52017.43</v>
      </c>
      <c r="L685" s="762">
        <v>7352</v>
      </c>
      <c r="M685" s="762">
        <v>431709</v>
      </c>
      <c r="N685" s="762">
        <v>7427</v>
      </c>
      <c r="O685" s="741">
        <v>4526</v>
      </c>
      <c r="P685" s="741">
        <v>114.22276799999999</v>
      </c>
      <c r="Q685" s="784">
        <v>0</v>
      </c>
      <c r="R685" s="783">
        <f t="shared" si="38"/>
        <v>149471.54399559999</v>
      </c>
      <c r="S685" s="743">
        <v>15.342053026076961</v>
      </c>
      <c r="T685" s="743">
        <v>0.24621199999999999</v>
      </c>
      <c r="U685" s="680">
        <v>3.4079575927305102E-3</v>
      </c>
      <c r="V685" s="742">
        <v>2.4E-2</v>
      </c>
      <c r="W685" s="743">
        <v>0.27867999999999998</v>
      </c>
      <c r="X685" s="771">
        <v>12.37857</v>
      </c>
      <c r="Y685" s="743">
        <v>11.51</v>
      </c>
      <c r="Z685" s="337">
        <v>0</v>
      </c>
      <c r="AA685" s="751">
        <v>0</v>
      </c>
      <c r="AB685" s="751">
        <v>0</v>
      </c>
      <c r="AC685" s="743">
        <v>0.21520783129971369</v>
      </c>
      <c r="AD685" s="753">
        <v>9.7919563241369745E-2</v>
      </c>
      <c r="AE685" s="743">
        <v>0.37840003000000005</v>
      </c>
      <c r="AF685" s="743">
        <v>15.597414108006014</v>
      </c>
      <c r="AG685" s="172">
        <f t="shared" si="39"/>
        <v>9.1612929599282005</v>
      </c>
      <c r="AH685" s="667">
        <f t="shared" si="36"/>
        <v>202502</v>
      </c>
      <c r="AJ685" s="262" t="s">
        <v>1877</v>
      </c>
      <c r="AK685" s="262"/>
    </row>
    <row r="686" spans="3:37" ht="409.5" hidden="1">
      <c r="C686" s="649">
        <v>45694</v>
      </c>
      <c r="D686" s="745">
        <v>348091</v>
      </c>
      <c r="E686" s="789">
        <v>22151</v>
      </c>
      <c r="F686" s="791">
        <v>23698.13</v>
      </c>
      <c r="G686" s="745">
        <v>3872</v>
      </c>
      <c r="H686" s="790">
        <v>2268</v>
      </c>
      <c r="I686" s="646">
        <v>163400</v>
      </c>
      <c r="J686" s="761">
        <v>170409</v>
      </c>
      <c r="K686" s="789">
        <v>50352.29</v>
      </c>
      <c r="L686" s="790">
        <v>9850</v>
      </c>
      <c r="M686" s="790">
        <v>424102</v>
      </c>
      <c r="N686" s="790">
        <v>7442</v>
      </c>
      <c r="O686" s="789">
        <v>4657</v>
      </c>
      <c r="P686" s="789">
        <v>83.968829999999997</v>
      </c>
      <c r="Q686" s="337">
        <v>0</v>
      </c>
      <c r="R686" s="783">
        <f t="shared" si="38"/>
        <v>148589.13372349998</v>
      </c>
      <c r="S686" s="746">
        <v>15.187726357579141</v>
      </c>
      <c r="T686" s="786">
        <v>0.247339</v>
      </c>
      <c r="U686" s="680">
        <v>3.4079575927305102E-3</v>
      </c>
      <c r="V686" s="747">
        <v>2.3E-2</v>
      </c>
      <c r="W686" s="786">
        <v>0.30349999999999999</v>
      </c>
      <c r="X686" s="771">
        <v>12.37857</v>
      </c>
      <c r="Y686" s="746">
        <v>11.42</v>
      </c>
      <c r="Z686" s="337">
        <v>0</v>
      </c>
      <c r="AA686" s="337">
        <v>0</v>
      </c>
      <c r="AB686" s="337">
        <v>0</v>
      </c>
      <c r="AC686" s="786">
        <v>0.22625139106377798</v>
      </c>
      <c r="AD686" s="788">
        <v>9.3756990714914751E-2</v>
      </c>
      <c r="AE686" s="786">
        <v>0.37350003000000004</v>
      </c>
      <c r="AF686" s="786">
        <v>15.735345337777185</v>
      </c>
      <c r="AG686" s="172">
        <f t="shared" si="39"/>
        <v>9.1787962664992051</v>
      </c>
      <c r="AH686" s="667">
        <f t="shared" si="36"/>
        <v>202502</v>
      </c>
      <c r="AJ686" s="1052" t="s">
        <v>1900</v>
      </c>
      <c r="AK686" s="262"/>
    </row>
    <row r="687" spans="3:37" ht="15.75" hidden="1">
      <c r="C687" s="649">
        <v>45695</v>
      </c>
      <c r="D687" s="741">
        <v>342147</v>
      </c>
      <c r="E687" s="741">
        <v>18478</v>
      </c>
      <c r="F687" s="749">
        <v>24804</v>
      </c>
      <c r="G687" s="741">
        <v>3812</v>
      </c>
      <c r="H687" s="762">
        <v>2359</v>
      </c>
      <c r="I687" s="646">
        <v>160770</v>
      </c>
      <c r="J687" s="762">
        <v>168795</v>
      </c>
      <c r="K687" s="741">
        <v>50087.38</v>
      </c>
      <c r="L687" s="762">
        <v>10370</v>
      </c>
      <c r="M687" s="762">
        <v>428841</v>
      </c>
      <c r="N687" s="762">
        <v>7434</v>
      </c>
      <c r="O687" s="741">
        <v>4264</v>
      </c>
      <c r="P687" s="741">
        <v>118.18534199999999</v>
      </c>
      <c r="Q687" s="337">
        <v>0</v>
      </c>
      <c r="R687" s="783">
        <f t="shared" si="38"/>
        <v>147419.13065390001</v>
      </c>
      <c r="S687" s="743">
        <v>15.025187811308038</v>
      </c>
      <c r="T687" s="743">
        <v>0.24652299999999999</v>
      </c>
      <c r="U687" s="680">
        <v>3.4079575927305102E-3</v>
      </c>
      <c r="V687" s="742">
        <v>2.4E-2</v>
      </c>
      <c r="W687" s="743">
        <v>0.30607999999999996</v>
      </c>
      <c r="X687" s="771">
        <v>12.37857</v>
      </c>
      <c r="Y687" s="743">
        <v>11.44</v>
      </c>
      <c r="Z687" s="337">
        <v>0</v>
      </c>
      <c r="AA687" s="337">
        <v>0</v>
      </c>
      <c r="AB687" s="337">
        <v>0</v>
      </c>
      <c r="AC687" s="743">
        <v>0.22143753167944227</v>
      </c>
      <c r="AD687" s="753">
        <v>9.7947880061277595E-2</v>
      </c>
      <c r="AE687" s="743">
        <v>0.37200003000000004</v>
      </c>
      <c r="AF687" s="743">
        <v>15.829328863051364</v>
      </c>
      <c r="AG687" s="172">
        <f t="shared" si="39"/>
        <v>9.1985507245236526</v>
      </c>
      <c r="AH687" s="667">
        <f t="shared" si="36"/>
        <v>202502</v>
      </c>
      <c r="AJ687" s="262" t="s">
        <v>1878</v>
      </c>
      <c r="AK687" s="262"/>
    </row>
    <row r="688" spans="3:37" ht="15.75" hidden="1">
      <c r="C688" s="649">
        <v>45696</v>
      </c>
      <c r="D688" s="745">
        <v>324018</v>
      </c>
      <c r="E688" s="745">
        <v>18050</v>
      </c>
      <c r="F688" s="748">
        <v>24857</v>
      </c>
      <c r="G688" s="745">
        <v>3837</v>
      </c>
      <c r="H688" s="761">
        <v>2300</v>
      </c>
      <c r="I688" s="646">
        <v>160770</v>
      </c>
      <c r="J688" s="761">
        <v>168821</v>
      </c>
      <c r="K688" s="745">
        <v>47887.33</v>
      </c>
      <c r="L688" s="761">
        <v>9728</v>
      </c>
      <c r="M688" s="761">
        <v>437185</v>
      </c>
      <c r="N688" s="761">
        <v>7409</v>
      </c>
      <c r="O688" s="745">
        <v>3488</v>
      </c>
      <c r="P688" s="745">
        <v>93.718019999999996</v>
      </c>
      <c r="Q688" s="337">
        <v>0</v>
      </c>
      <c r="R688" s="783">
        <f t="shared" si="38"/>
        <v>146075.36210900001</v>
      </c>
      <c r="S688" s="746">
        <v>15.338938175887096</v>
      </c>
      <c r="T688" s="746">
        <v>0.23497599999999999</v>
      </c>
      <c r="U688" s="680">
        <v>3.4079575927305102E-3</v>
      </c>
      <c r="V688" s="747">
        <v>2.4E-2</v>
      </c>
      <c r="W688" s="746">
        <v>0.30386000000000002</v>
      </c>
      <c r="X688" s="771">
        <v>12.37857</v>
      </c>
      <c r="Y688" s="746">
        <v>11.39</v>
      </c>
      <c r="Z688" s="337">
        <v>0</v>
      </c>
      <c r="AA688" s="337">
        <v>0</v>
      </c>
      <c r="AB688" s="337">
        <v>0</v>
      </c>
      <c r="AC688" s="746">
        <v>0.22257020447575654</v>
      </c>
      <c r="AD688" s="752">
        <v>9.1123526463484039E-2</v>
      </c>
      <c r="AE688" s="746">
        <v>0.37560003000000003</v>
      </c>
      <c r="AF688" s="746">
        <v>15.878826664250296</v>
      </c>
      <c r="AG688" s="172">
        <f t="shared" si="39"/>
        <v>9.1968197114598862</v>
      </c>
      <c r="AH688" s="667">
        <f t="shared" si="36"/>
        <v>202502</v>
      </c>
      <c r="AJ688" s="262" t="s">
        <v>1881</v>
      </c>
      <c r="AK688" s="262"/>
    </row>
    <row r="689" spans="3:37" ht="15.75" hidden="1">
      <c r="C689" s="649">
        <v>45697</v>
      </c>
      <c r="D689" s="741">
        <v>329577</v>
      </c>
      <c r="E689" s="741">
        <v>20906</v>
      </c>
      <c r="F689" s="749">
        <v>23894</v>
      </c>
      <c r="G689" s="797">
        <v>3842</v>
      </c>
      <c r="H689" s="762">
        <v>2246</v>
      </c>
      <c r="I689" s="646">
        <v>160770</v>
      </c>
      <c r="J689" s="762">
        <v>168241</v>
      </c>
      <c r="K689" s="741">
        <v>49124.77</v>
      </c>
      <c r="L689" s="762">
        <v>9050</v>
      </c>
      <c r="M689" s="762">
        <v>438733</v>
      </c>
      <c r="N689" s="762">
        <v>7387</v>
      </c>
      <c r="O689" s="741">
        <v>4494</v>
      </c>
      <c r="P689" s="741">
        <v>115.79521799999999</v>
      </c>
      <c r="Q689" s="337">
        <v>0</v>
      </c>
      <c r="R689" s="783">
        <f t="shared" si="38"/>
        <v>146750.31009810002</v>
      </c>
      <c r="S689" s="743">
        <v>15.733957813601704</v>
      </c>
      <c r="T689" s="743">
        <v>0.228214</v>
      </c>
      <c r="U689" s="680">
        <v>3.4079575927305102E-3</v>
      </c>
      <c r="V689" s="742">
        <v>2.3E-2</v>
      </c>
      <c r="W689" s="743">
        <v>0.28839999999999999</v>
      </c>
      <c r="X689" s="771">
        <v>12.37857</v>
      </c>
      <c r="Y689" s="743">
        <v>11.39</v>
      </c>
      <c r="Z689" s="337">
        <v>0</v>
      </c>
      <c r="AA689" s="337">
        <v>0</v>
      </c>
      <c r="AB689" s="337">
        <v>0</v>
      </c>
      <c r="AC689" s="743">
        <v>0.21747317689234227</v>
      </c>
      <c r="AD689" s="753">
        <v>0.10338470948358615</v>
      </c>
      <c r="AE689" s="743">
        <v>0.37460003000000003</v>
      </c>
      <c r="AF689" s="743">
        <v>15.881884880800346</v>
      </c>
      <c r="AG689" s="172">
        <f t="shared" si="39"/>
        <v>9.1950019928504112</v>
      </c>
      <c r="AH689" s="667">
        <f t="shared" si="36"/>
        <v>202502</v>
      </c>
      <c r="AJ689" s="262" t="s">
        <v>1880</v>
      </c>
      <c r="AK689" s="262"/>
    </row>
    <row r="690" spans="3:37" ht="15.75" hidden="1">
      <c r="C690" s="649">
        <v>45698</v>
      </c>
      <c r="D690" s="745">
        <v>327732</v>
      </c>
      <c r="E690" s="745">
        <v>21384</v>
      </c>
      <c r="F690" s="748">
        <v>19402</v>
      </c>
      <c r="G690" s="804">
        <v>3941</v>
      </c>
      <c r="H690" s="761">
        <v>2246</v>
      </c>
      <c r="I690" s="646">
        <v>160770</v>
      </c>
      <c r="J690" s="761">
        <v>167332</v>
      </c>
      <c r="K690" s="745">
        <v>50069.66</v>
      </c>
      <c r="L690" s="761">
        <v>8850</v>
      </c>
      <c r="M690" s="761">
        <v>432875</v>
      </c>
      <c r="N690" s="761">
        <v>7414</v>
      </c>
      <c r="O690" s="745">
        <v>3923</v>
      </c>
      <c r="P690" s="745">
        <v>95.164674000000005</v>
      </c>
      <c r="Q690" s="337">
        <v>0</v>
      </c>
      <c r="R690" s="783">
        <f t="shared" si="38"/>
        <v>143213.10260330001</v>
      </c>
      <c r="S690" s="746">
        <v>15.853737961811932</v>
      </c>
      <c r="T690" s="746">
        <v>0.23371700000000001</v>
      </c>
      <c r="U690" s="680">
        <v>3.4079575927305102E-3</v>
      </c>
      <c r="V690" s="747">
        <v>2.4E-2</v>
      </c>
      <c r="W690" s="746">
        <v>0.30343000000000003</v>
      </c>
      <c r="X690" s="771">
        <v>12.37857</v>
      </c>
      <c r="Y690" s="746">
        <v>11.42</v>
      </c>
      <c r="Z690" s="337">
        <v>0</v>
      </c>
      <c r="AA690" s="337">
        <v>0</v>
      </c>
      <c r="AB690" s="337">
        <v>0</v>
      </c>
      <c r="AC690" s="746">
        <v>0.22030485888312798</v>
      </c>
      <c r="AD690" s="752">
        <v>8.087283765683978E-2</v>
      </c>
      <c r="AE690" s="746">
        <v>0.37790003000000005</v>
      </c>
      <c r="AF690" s="746">
        <v>15.890125075393531</v>
      </c>
      <c r="AG690" s="172">
        <f t="shared" si="39"/>
        <v>9.2175139415546905</v>
      </c>
      <c r="AH690" s="667">
        <f t="shared" si="36"/>
        <v>202502</v>
      </c>
      <c r="AJ690" s="262" t="s">
        <v>1883</v>
      </c>
      <c r="AK690" s="262"/>
    </row>
    <row r="691" spans="3:37" ht="15.75" hidden="1">
      <c r="C691" s="649">
        <v>45699</v>
      </c>
      <c r="D691" s="741">
        <v>314674</v>
      </c>
      <c r="E691" s="741">
        <v>21987</v>
      </c>
      <c r="F691" s="749">
        <v>2413.36</v>
      </c>
      <c r="G691" s="797">
        <v>3977</v>
      </c>
      <c r="H691" s="762">
        <v>2305</v>
      </c>
      <c r="I691" s="646">
        <v>160770</v>
      </c>
      <c r="J691" s="762">
        <v>170629</v>
      </c>
      <c r="K691" s="741">
        <v>47365.84</v>
      </c>
      <c r="L691" s="762">
        <v>7494</v>
      </c>
      <c r="M691" s="762">
        <v>428830</v>
      </c>
      <c r="N691" s="762">
        <v>7398</v>
      </c>
      <c r="O691" s="741">
        <v>4798</v>
      </c>
      <c r="P691" s="741">
        <v>97.932186000000002</v>
      </c>
      <c r="Q691" s="337">
        <v>0</v>
      </c>
      <c r="R691" s="783">
        <f t="shared" si="38"/>
        <v>131220.73348370002</v>
      </c>
      <c r="S691" s="743">
        <v>14.560225628421023</v>
      </c>
      <c r="T691" s="743">
        <v>0.2422</v>
      </c>
      <c r="U691" s="680">
        <v>3.4079575927305102E-3</v>
      </c>
      <c r="V691" s="742">
        <v>2.5000000000000001E-2</v>
      </c>
      <c r="W691" s="743">
        <v>0.30016999999999999</v>
      </c>
      <c r="X691" s="771">
        <v>12.37857</v>
      </c>
      <c r="Y691" s="743">
        <v>11.42</v>
      </c>
      <c r="Z691" s="337">
        <v>0</v>
      </c>
      <c r="AA691" s="337">
        <v>0</v>
      </c>
      <c r="AB691" s="337">
        <v>0</v>
      </c>
      <c r="AC691" s="743">
        <v>0.21945535428589227</v>
      </c>
      <c r="AD691" s="753">
        <v>8.0504718998037642E-2</v>
      </c>
      <c r="AE691" s="743">
        <v>0.36680003000000005</v>
      </c>
      <c r="AF691" s="743">
        <v>15.881460128501729</v>
      </c>
      <c r="AG691" s="172">
        <f t="shared" si="39"/>
        <v>9.172500381862184</v>
      </c>
      <c r="AH691" s="667">
        <f t="shared" si="36"/>
        <v>202502</v>
      </c>
      <c r="AJ691" s="262" t="s">
        <v>1884</v>
      </c>
      <c r="AK691" s="262"/>
    </row>
    <row r="692" spans="3:37" ht="15.75" hidden="1">
      <c r="C692" s="649">
        <v>45700</v>
      </c>
      <c r="D692" s="745">
        <v>333511</v>
      </c>
      <c r="E692" s="745">
        <v>22811</v>
      </c>
      <c r="F692" s="748">
        <v>2346</v>
      </c>
      <c r="G692" s="804">
        <v>3987</v>
      </c>
      <c r="H692" s="761">
        <v>2322</v>
      </c>
      <c r="I692" s="646">
        <v>160770</v>
      </c>
      <c r="J692" s="761">
        <v>172425</v>
      </c>
      <c r="K692" s="745">
        <v>49801.55</v>
      </c>
      <c r="L692" s="761">
        <v>10011</v>
      </c>
      <c r="M692" s="761">
        <v>414390</v>
      </c>
      <c r="N692" s="761">
        <v>7398</v>
      </c>
      <c r="O692" s="745">
        <v>3785</v>
      </c>
      <c r="P692" s="745">
        <v>99.630431999999999</v>
      </c>
      <c r="Q692" s="337">
        <v>0</v>
      </c>
      <c r="R692" s="783">
        <f t="shared" si="38"/>
        <v>132670.1216944</v>
      </c>
      <c r="S692" s="746">
        <v>15.571136099131522</v>
      </c>
      <c r="T692" s="746">
        <v>0.24918399999999999</v>
      </c>
      <c r="U692" s="680">
        <v>3.4079575927305102E-3</v>
      </c>
      <c r="V692" s="747">
        <v>2.3E-2</v>
      </c>
      <c r="W692" s="746">
        <v>0.29966000000000004</v>
      </c>
      <c r="X692" s="771">
        <v>12.37857</v>
      </c>
      <c r="Y692" s="746">
        <v>11.37</v>
      </c>
      <c r="Z692" s="337">
        <v>0</v>
      </c>
      <c r="AA692" s="337">
        <v>0</v>
      </c>
      <c r="AB692" s="337">
        <v>0</v>
      </c>
      <c r="AC692" s="746">
        <v>0.21917218608681371</v>
      </c>
      <c r="AD692" s="752">
        <v>7.77013538271598E-2</v>
      </c>
      <c r="AE692" s="746">
        <v>0.36990003000000005</v>
      </c>
      <c r="AF692" s="746">
        <v>15.887236759762931</v>
      </c>
      <c r="AG692" s="172">
        <f t="shared" si="39"/>
        <v>9.1906697258746206</v>
      </c>
      <c r="AH692" s="667">
        <f t="shared" si="36"/>
        <v>202502</v>
      </c>
      <c r="AJ692" s="262" t="s">
        <v>1882</v>
      </c>
      <c r="AK692" s="262"/>
    </row>
    <row r="693" spans="3:37" ht="15.75" hidden="1">
      <c r="C693" s="649">
        <v>45701</v>
      </c>
      <c r="D693" s="741">
        <v>327082</v>
      </c>
      <c r="E693" s="741">
        <v>22937</v>
      </c>
      <c r="F693" s="749">
        <v>2392</v>
      </c>
      <c r="G693" s="797">
        <v>3973</v>
      </c>
      <c r="H693" s="762">
        <v>2320</v>
      </c>
      <c r="I693" s="646">
        <v>160770</v>
      </c>
      <c r="J693" s="762">
        <v>174814</v>
      </c>
      <c r="K693" s="741">
        <v>50559.31</v>
      </c>
      <c r="L693" s="762">
        <v>7814</v>
      </c>
      <c r="M693" s="762">
        <v>417982</v>
      </c>
      <c r="N693" s="762">
        <v>7096</v>
      </c>
      <c r="O693" s="741">
        <v>4491</v>
      </c>
      <c r="P693" s="741">
        <v>122.52530399999999</v>
      </c>
      <c r="Q693" s="337">
        <v>0</v>
      </c>
      <c r="R693" s="783">
        <f t="shared" si="38"/>
        <v>133223.00988680002</v>
      </c>
      <c r="S693" s="743">
        <v>14.151613917150648</v>
      </c>
      <c r="T693" s="743">
        <v>0.25526599999999999</v>
      </c>
      <c r="U693" s="680">
        <v>3.4079575927305102E-3</v>
      </c>
      <c r="V693" s="742">
        <v>2.4E-2</v>
      </c>
      <c r="W693" s="743">
        <v>0.29788999999999999</v>
      </c>
      <c r="X693" s="771">
        <v>12.37857</v>
      </c>
      <c r="Y693" s="743">
        <v>11.39</v>
      </c>
      <c r="Z693" s="337">
        <v>0</v>
      </c>
      <c r="AA693" s="337">
        <v>0</v>
      </c>
      <c r="AB693" s="337">
        <v>0</v>
      </c>
      <c r="AC693" s="743">
        <v>0.21350882210524227</v>
      </c>
      <c r="AD693" s="753">
        <v>8.274174777075835E-2</v>
      </c>
      <c r="AE693" s="743">
        <v>0.36380003000000005</v>
      </c>
      <c r="AF693" s="743">
        <v>15.880837158463756</v>
      </c>
      <c r="AG693" s="172">
        <f t="shared" si="39"/>
        <v>9.1522810973702882</v>
      </c>
      <c r="AH693" s="667">
        <f t="shared" si="36"/>
        <v>202502</v>
      </c>
      <c r="AJ693" s="262" t="s">
        <v>1885</v>
      </c>
      <c r="AK693" s="262"/>
    </row>
    <row r="694" spans="3:37" ht="15.75" hidden="1">
      <c r="C694" s="649">
        <v>45702</v>
      </c>
      <c r="D694" s="745">
        <v>337725</v>
      </c>
      <c r="E694" s="745">
        <v>24252</v>
      </c>
      <c r="F694" s="748">
        <v>15126</v>
      </c>
      <c r="G694" s="804">
        <v>4084</v>
      </c>
      <c r="H694" s="761">
        <v>2296</v>
      </c>
      <c r="I694" s="646">
        <v>149050</v>
      </c>
      <c r="J694" s="761">
        <v>175595</v>
      </c>
      <c r="K694" s="745">
        <v>49311.65</v>
      </c>
      <c r="L694" s="761">
        <v>11500</v>
      </c>
      <c r="M694" s="761">
        <v>420060</v>
      </c>
      <c r="N694" s="761">
        <v>7254</v>
      </c>
      <c r="O694" s="745">
        <v>4046.9999999999995</v>
      </c>
      <c r="P694" s="745">
        <v>81.830297999999999</v>
      </c>
      <c r="Q694" s="337">
        <v>0</v>
      </c>
      <c r="R694" s="783">
        <f t="shared" si="38"/>
        <v>141175.64738410001</v>
      </c>
      <c r="S694" s="746">
        <v>14.064681280033525</v>
      </c>
      <c r="T694" s="746">
        <v>0.252079</v>
      </c>
      <c r="U694" s="680">
        <v>3.4079575927305102E-3</v>
      </c>
      <c r="V694" s="747">
        <v>2.4E-2</v>
      </c>
      <c r="W694" s="746">
        <v>0.29468</v>
      </c>
      <c r="X694" s="771">
        <v>12.37857</v>
      </c>
      <c r="Y694" s="746">
        <v>11.36</v>
      </c>
      <c r="Z694" s="337">
        <v>0</v>
      </c>
      <c r="AA694" s="337">
        <v>0</v>
      </c>
      <c r="AB694" s="337">
        <v>0</v>
      </c>
      <c r="AC694" s="746">
        <v>0.21945535428589227</v>
      </c>
      <c r="AD694" s="752">
        <v>8.3308084168915497E-2</v>
      </c>
      <c r="AE694" s="746">
        <v>0.37080003</v>
      </c>
      <c r="AF694" s="746">
        <v>15.880469039804952</v>
      </c>
      <c r="AG694" s="172">
        <f t="shared" si="39"/>
        <v>9.1418359006617482</v>
      </c>
      <c r="AH694" s="667">
        <f t="shared" si="36"/>
        <v>202502</v>
      </c>
      <c r="AJ694" s="262" t="s">
        <v>1886</v>
      </c>
      <c r="AK694" s="262"/>
    </row>
    <row r="695" spans="3:37" ht="15.75" hidden="1">
      <c r="C695" s="649">
        <v>45703</v>
      </c>
      <c r="D695" s="741">
        <v>317169</v>
      </c>
      <c r="E695" s="741">
        <v>26660</v>
      </c>
      <c r="F695" s="749">
        <v>24377</v>
      </c>
      <c r="G695" s="797">
        <v>4094</v>
      </c>
      <c r="H695" s="762">
        <v>2274</v>
      </c>
      <c r="I695" s="646">
        <v>149050</v>
      </c>
      <c r="J695" s="762">
        <v>173136</v>
      </c>
      <c r="K695" s="741">
        <v>48830.39</v>
      </c>
      <c r="L695" s="762">
        <v>6615</v>
      </c>
      <c r="M695" s="762">
        <v>406184</v>
      </c>
      <c r="N695" s="762">
        <v>7437</v>
      </c>
      <c r="O695" s="741">
        <v>5093</v>
      </c>
      <c r="P695" s="741">
        <v>106.17182399999999</v>
      </c>
      <c r="Q695" s="337">
        <v>0</v>
      </c>
      <c r="R695" s="783">
        <f t="shared" si="38"/>
        <v>145639.52682080003</v>
      </c>
      <c r="S695" s="743">
        <v>14.430251425043959</v>
      </c>
      <c r="T695" s="743">
        <v>0.24813499999999999</v>
      </c>
      <c r="U695" s="680">
        <v>3.4079575927305102E-3</v>
      </c>
      <c r="V695" s="742">
        <v>2.4E-2</v>
      </c>
      <c r="W695" s="743">
        <v>0.28394999999999998</v>
      </c>
      <c r="X695" s="771">
        <v>12.37857</v>
      </c>
      <c r="Y695" s="743">
        <v>11.31</v>
      </c>
      <c r="Z695" s="337">
        <v>0</v>
      </c>
      <c r="AA695" s="337">
        <v>0</v>
      </c>
      <c r="AB695" s="337">
        <v>0</v>
      </c>
      <c r="AC695" s="743">
        <v>0.22087119528128513</v>
      </c>
      <c r="AD695" s="753">
        <v>8.3081549609652638E-2</v>
      </c>
      <c r="AE695" s="743">
        <v>0.36050003000000003</v>
      </c>
      <c r="AF695" s="743">
        <v>15.893976162901001</v>
      </c>
      <c r="AG695" s="172">
        <f t="shared" si="39"/>
        <v>9.1254602870154198</v>
      </c>
      <c r="AH695" s="667">
        <f t="shared" ref="AH695:AH698" si="40">IF($AK$1&gt;=C695,(YEAR(C695)*100+MONTH(C695)),0)</f>
        <v>202502</v>
      </c>
      <c r="AJ695" s="262" t="s">
        <v>1887</v>
      </c>
      <c r="AK695" s="262"/>
    </row>
    <row r="696" spans="3:37" ht="15.75" hidden="1">
      <c r="C696" s="649">
        <v>45704</v>
      </c>
      <c r="D696" s="745">
        <v>355836</v>
      </c>
      <c r="E696" s="745">
        <v>30648</v>
      </c>
      <c r="F696" s="748">
        <v>24221</v>
      </c>
      <c r="G696" s="804">
        <v>4164</v>
      </c>
      <c r="H696" s="761">
        <v>2249</v>
      </c>
      <c r="I696" s="646">
        <v>149050</v>
      </c>
      <c r="J696" s="761">
        <v>172477</v>
      </c>
      <c r="K696" s="745">
        <v>50710.1</v>
      </c>
      <c r="L696" s="761">
        <v>10934</v>
      </c>
      <c r="M696" s="761">
        <v>412549</v>
      </c>
      <c r="N696" s="761">
        <v>7316</v>
      </c>
      <c r="O696" s="745">
        <v>3797</v>
      </c>
      <c r="P696" s="745">
        <v>78.999887999999999</v>
      </c>
      <c r="Q696" s="337">
        <v>0</v>
      </c>
      <c r="R696" s="783">
        <f t="shared" si="38"/>
        <v>148799.30544960001</v>
      </c>
      <c r="S696" s="746">
        <v>14.257801991805115</v>
      </c>
      <c r="T696" s="746">
        <v>0.23774799999999999</v>
      </c>
      <c r="U696" s="680">
        <v>3.4079575927305102E-3</v>
      </c>
      <c r="V696" s="747">
        <v>2.4E-2</v>
      </c>
      <c r="W696" s="746">
        <v>0.28099000000000002</v>
      </c>
      <c r="X696" s="771">
        <v>12.37857</v>
      </c>
      <c r="Y696" s="746">
        <v>11.28</v>
      </c>
      <c r="Z696" s="337">
        <v>0</v>
      </c>
      <c r="AA696" s="337">
        <v>0</v>
      </c>
      <c r="AB696" s="337">
        <v>0</v>
      </c>
      <c r="AC696" s="746">
        <v>0.21860584968865654</v>
      </c>
      <c r="AD696" s="752">
        <v>8.8263527652790483E-2</v>
      </c>
      <c r="AE696" s="746">
        <v>0.34880003000000004</v>
      </c>
      <c r="AF696" s="746">
        <v>15.886528839265235</v>
      </c>
      <c r="AG696" s="172">
        <f t="shared" si="39"/>
        <v>9.1021442092771689</v>
      </c>
      <c r="AH696" s="667">
        <f t="shared" si="40"/>
        <v>202502</v>
      </c>
      <c r="AJ696" s="262" t="s">
        <v>1888</v>
      </c>
      <c r="AK696" s="262"/>
    </row>
    <row r="697" spans="3:37" ht="15.75" hidden="1">
      <c r="C697" s="649">
        <v>45705</v>
      </c>
      <c r="D697" s="741">
        <v>342238</v>
      </c>
      <c r="E697" s="741">
        <v>30006</v>
      </c>
      <c r="F697" s="749">
        <v>24414.9</v>
      </c>
      <c r="G697" s="797">
        <v>4192</v>
      </c>
      <c r="H697" s="762">
        <v>2263</v>
      </c>
      <c r="I697" s="646">
        <v>149050</v>
      </c>
      <c r="J697" s="762">
        <v>171339</v>
      </c>
      <c r="K697" s="741">
        <v>50319.68</v>
      </c>
      <c r="L697" s="762">
        <v>6366</v>
      </c>
      <c r="M697" s="762">
        <v>404543</v>
      </c>
      <c r="N697" s="762">
        <v>7424</v>
      </c>
      <c r="O697" s="741">
        <v>121</v>
      </c>
      <c r="P697" s="741">
        <v>125.16701999999998</v>
      </c>
      <c r="Q697" s="337">
        <v>0</v>
      </c>
      <c r="R697" s="783">
        <f t="shared" si="38"/>
        <v>145138.45415899999</v>
      </c>
      <c r="S697" s="743">
        <v>14.085635726765339</v>
      </c>
      <c r="T697" s="743">
        <v>0.28083599999999997</v>
      </c>
      <c r="U697" s="680">
        <v>3.4079575927305102E-3</v>
      </c>
      <c r="V697" s="742">
        <v>2.4E-2</v>
      </c>
      <c r="W697" s="743">
        <v>0.28072000000000003</v>
      </c>
      <c r="X697" s="771">
        <v>12.37857</v>
      </c>
      <c r="Y697" s="743">
        <v>11.41</v>
      </c>
      <c r="Z697" s="337">
        <v>0</v>
      </c>
      <c r="AA697" s="337">
        <v>0</v>
      </c>
      <c r="AB697" s="337">
        <v>0</v>
      </c>
      <c r="AC697" s="743">
        <v>0.21973852248497083</v>
      </c>
      <c r="AD697" s="753">
        <v>7.8918977083197644E-2</v>
      </c>
      <c r="AE697" s="743">
        <v>0.34320003000000004</v>
      </c>
      <c r="AF697" s="743">
        <v>15.962644451177555</v>
      </c>
      <c r="AG697" s="172">
        <f t="shared" si="39"/>
        <v>9.1490785338296075</v>
      </c>
      <c r="AH697" s="667">
        <f t="shared" si="40"/>
        <v>202502</v>
      </c>
      <c r="AJ697" s="262" t="s">
        <v>1889</v>
      </c>
      <c r="AK697" s="262"/>
    </row>
    <row r="698" spans="3:37" ht="15.75" hidden="1">
      <c r="C698" s="649">
        <v>45706</v>
      </c>
      <c r="D698" s="745">
        <v>346938</v>
      </c>
      <c r="E698" s="745">
        <v>28811</v>
      </c>
      <c r="F698" s="748">
        <v>24187</v>
      </c>
      <c r="G698" s="804">
        <v>4341</v>
      </c>
      <c r="H698" s="761">
        <v>2239</v>
      </c>
      <c r="I698" s="646">
        <v>149050</v>
      </c>
      <c r="J698" s="761">
        <v>172126</v>
      </c>
      <c r="K698" s="745">
        <v>50158.45</v>
      </c>
      <c r="L698" s="761">
        <v>9722</v>
      </c>
      <c r="M698" s="761">
        <v>413897</v>
      </c>
      <c r="N698" s="761">
        <v>7422</v>
      </c>
      <c r="O698" s="745">
        <v>7319</v>
      </c>
      <c r="P698" s="745">
        <v>115.16623799999998</v>
      </c>
      <c r="Q698" s="337">
        <v>0</v>
      </c>
      <c r="R698" s="783">
        <f t="shared" si="38"/>
        <v>149066.83630710002</v>
      </c>
      <c r="S698" s="746">
        <v>14.120465415252006</v>
      </c>
      <c r="T698" s="746">
        <v>0.240728</v>
      </c>
      <c r="U698" s="680">
        <v>3.4079575927305102E-3</v>
      </c>
      <c r="V698" s="747">
        <v>2.4E-2</v>
      </c>
      <c r="W698" s="746">
        <v>0.28017999999999998</v>
      </c>
      <c r="X698" s="771">
        <v>12.37857</v>
      </c>
      <c r="Y698" s="746">
        <v>11.48</v>
      </c>
      <c r="Z698" s="337">
        <v>0</v>
      </c>
      <c r="AA698" s="337">
        <v>0</v>
      </c>
      <c r="AB698" s="337">
        <v>0</v>
      </c>
      <c r="AC698" s="746">
        <v>0.22228703627667795</v>
      </c>
      <c r="AD698" s="752">
        <v>8.4922142903663345E-2</v>
      </c>
      <c r="AE698" s="746">
        <v>0.36160003000000002</v>
      </c>
      <c r="AF698" s="746">
        <v>15.964938113590092</v>
      </c>
      <c r="AG698" s="172">
        <f t="shared" si="39"/>
        <v>9.1682796676732501</v>
      </c>
      <c r="AH698" s="667">
        <f t="shared" si="40"/>
        <v>202502</v>
      </c>
      <c r="AJ698" s="262" t="s">
        <v>1890</v>
      </c>
      <c r="AK698" s="262"/>
    </row>
    <row r="699" spans="3:37" ht="15.75" hidden="1">
      <c r="C699" s="649">
        <v>45707</v>
      </c>
      <c r="D699" s="741">
        <v>339749</v>
      </c>
      <c r="E699" s="741">
        <v>25352</v>
      </c>
      <c r="F699" s="749">
        <v>23879</v>
      </c>
      <c r="G699" s="797">
        <v>4415</v>
      </c>
      <c r="H699" s="762">
        <v>2253</v>
      </c>
      <c r="I699" s="646">
        <v>149050</v>
      </c>
      <c r="J699" s="762">
        <v>170275</v>
      </c>
      <c r="K699" s="741">
        <v>49504.38</v>
      </c>
      <c r="L699" s="762">
        <v>11734</v>
      </c>
      <c r="M699" s="762">
        <v>407814</v>
      </c>
      <c r="N699" s="762">
        <v>7407</v>
      </c>
      <c r="O699" s="741">
        <v>5882</v>
      </c>
      <c r="P699" s="741">
        <v>101.45447399999999</v>
      </c>
      <c r="Q699" s="337">
        <v>0</v>
      </c>
      <c r="R699" s="783">
        <f t="shared" si="38"/>
        <v>146772.70526329998</v>
      </c>
      <c r="S699" s="743">
        <v>13.553562680696709</v>
      </c>
      <c r="T699" s="743">
        <v>0.21110200000000001</v>
      </c>
      <c r="U699" s="680">
        <v>3.4079575927305102E-3</v>
      </c>
      <c r="V699" s="742">
        <v>2.4E-2</v>
      </c>
      <c r="W699" s="743">
        <v>0.27977999999999997</v>
      </c>
      <c r="X699" s="771">
        <v>12.37857</v>
      </c>
      <c r="Y699" s="743">
        <v>11.3</v>
      </c>
      <c r="Z699" s="337">
        <v>0</v>
      </c>
      <c r="AA699" s="337">
        <v>0</v>
      </c>
      <c r="AB699" s="337">
        <v>0</v>
      </c>
      <c r="AC699" s="743">
        <v>0.22087119528128513</v>
      </c>
      <c r="AD699" s="753">
        <v>8.3308084168915497E-2</v>
      </c>
      <c r="AE699" s="743">
        <v>0.37010003000000002</v>
      </c>
      <c r="AF699" s="743">
        <v>15.963862074433592</v>
      </c>
      <c r="AG699" s="172">
        <f t="shared" si="39"/>
        <v>9.0993394500275091</v>
      </c>
      <c r="AH699" s="667">
        <f>IF($AK$1&gt;=C699,(YEAR(C699)*100+MONTH(C699)),0)</f>
        <v>202502</v>
      </c>
      <c r="AJ699" s="262" t="s">
        <v>1891</v>
      </c>
      <c r="AK699" s="262"/>
    </row>
    <row r="700" spans="3:37" ht="15.75" hidden="1">
      <c r="C700" s="649">
        <v>45708</v>
      </c>
      <c r="D700" s="781">
        <v>341036</v>
      </c>
      <c r="E700" s="805">
        <v>20849</v>
      </c>
      <c r="F700" s="806">
        <v>23800.32</v>
      </c>
      <c r="G700" s="807">
        <v>4279</v>
      </c>
      <c r="H700" s="808">
        <v>2285</v>
      </c>
      <c r="I700" s="646">
        <v>149050</v>
      </c>
      <c r="J700" s="780">
        <v>167631</v>
      </c>
      <c r="K700" s="781">
        <v>50009.2</v>
      </c>
      <c r="L700" s="808">
        <v>11499</v>
      </c>
      <c r="M700" s="808">
        <v>392452</v>
      </c>
      <c r="N700" s="808">
        <v>7427</v>
      </c>
      <c r="O700" s="805">
        <v>4466</v>
      </c>
      <c r="P700" s="805">
        <v>89.126465999999994</v>
      </c>
      <c r="Q700" s="337">
        <v>0</v>
      </c>
      <c r="R700" s="783">
        <f t="shared" si="38"/>
        <v>143701.30765969999</v>
      </c>
      <c r="S700" s="813">
        <v>13.749515074459076</v>
      </c>
      <c r="T700" s="814">
        <v>0.21215200000000001</v>
      </c>
      <c r="U700" s="559">
        <v>3.4079575927305102E-3</v>
      </c>
      <c r="V700" s="750">
        <v>2.4E-2</v>
      </c>
      <c r="W700" s="814">
        <v>0.27903</v>
      </c>
      <c r="X700" s="771">
        <v>12.37857</v>
      </c>
      <c r="Y700" s="813">
        <v>11.28</v>
      </c>
      <c r="Z700" s="337">
        <v>0</v>
      </c>
      <c r="AA700" s="337">
        <v>0</v>
      </c>
      <c r="AB700" s="337">
        <v>0</v>
      </c>
      <c r="AC700" s="814">
        <v>0.22285337267483513</v>
      </c>
      <c r="AD700" s="815">
        <v>7.3821949499783379E-2</v>
      </c>
      <c r="AE700" s="814">
        <v>0.36690003000000004</v>
      </c>
      <c r="AF700" s="814">
        <v>15.963380688495157</v>
      </c>
      <c r="AG700" s="172">
        <f t="shared" si="39"/>
        <v>9.0943063075811619</v>
      </c>
      <c r="AH700" s="667">
        <f>IF($AK$1&gt;=C700,(YEAR(C700)*100+MONTH(C700)),0)</f>
        <v>202502</v>
      </c>
      <c r="AJ700" s="262" t="s">
        <v>1892</v>
      </c>
      <c r="AK700" s="262"/>
    </row>
    <row r="701" spans="3:37" ht="15.75" hidden="1">
      <c r="C701" s="649">
        <v>45709</v>
      </c>
      <c r="D701" s="809">
        <v>355614</v>
      </c>
      <c r="E701" s="809">
        <v>14239</v>
      </c>
      <c r="F701" s="810">
        <v>23743</v>
      </c>
      <c r="G701" s="811">
        <v>4201</v>
      </c>
      <c r="H701" s="812">
        <v>2227</v>
      </c>
      <c r="I701" s="646">
        <v>158020</v>
      </c>
      <c r="J701" s="812">
        <v>170773</v>
      </c>
      <c r="K701" s="809">
        <v>50200.32</v>
      </c>
      <c r="L701" s="812">
        <v>12146</v>
      </c>
      <c r="M701" s="812">
        <v>382337</v>
      </c>
      <c r="N701" s="812">
        <v>7402</v>
      </c>
      <c r="O701" s="812">
        <v>0</v>
      </c>
      <c r="P701" s="809">
        <v>130.51335</v>
      </c>
      <c r="Q701" s="337">
        <v>0</v>
      </c>
      <c r="R701" s="783">
        <f t="shared" si="38"/>
        <v>142845.55300750001</v>
      </c>
      <c r="S701" s="816">
        <v>14.180780241655743</v>
      </c>
      <c r="T701" s="816">
        <v>0.146673</v>
      </c>
      <c r="U701" s="559">
        <v>3.4079575927305102E-3</v>
      </c>
      <c r="V701" s="744">
        <v>2.4E-2</v>
      </c>
      <c r="W701" s="816">
        <v>0.27929999999999999</v>
      </c>
      <c r="X701" s="771">
        <v>12.37857</v>
      </c>
      <c r="Y701" s="816">
        <v>11.47</v>
      </c>
      <c r="Z701" s="337">
        <v>0</v>
      </c>
      <c r="AA701" s="337">
        <v>0</v>
      </c>
      <c r="AB701" s="337">
        <v>0</v>
      </c>
      <c r="AC701" s="816">
        <v>0.21492466310063513</v>
      </c>
      <c r="AD701" s="817">
        <v>8.4355806505506198E-2</v>
      </c>
      <c r="AE701" s="816">
        <v>0.36710003000000002</v>
      </c>
      <c r="AF701" s="816">
        <v>15.963154153935896</v>
      </c>
      <c r="AG701" s="172">
        <f t="shared" si="39"/>
        <v>9.1423043575957177</v>
      </c>
      <c r="AH701" s="667">
        <f t="shared" ref="AH701:AH764" si="41">IF($AK$1&gt;=C701,(YEAR(C701)*100+MONTH(C701)),0)</f>
        <v>202502</v>
      </c>
      <c r="AJ701" s="262" t="s">
        <v>1893</v>
      </c>
      <c r="AK701" s="262"/>
    </row>
    <row r="702" spans="3:37" ht="15.75" hidden="1">
      <c r="C702" s="649">
        <v>45710</v>
      </c>
      <c r="D702" s="781">
        <v>345732</v>
      </c>
      <c r="E702" s="781">
        <v>13063</v>
      </c>
      <c r="F702" s="779">
        <v>23497</v>
      </c>
      <c r="G702" s="807">
        <v>4211</v>
      </c>
      <c r="H702" s="780">
        <v>2234</v>
      </c>
      <c r="I702" s="646">
        <v>158020</v>
      </c>
      <c r="J702" s="780">
        <v>167424</v>
      </c>
      <c r="K702" s="781">
        <v>48818.33</v>
      </c>
      <c r="L702" s="780">
        <v>10390</v>
      </c>
      <c r="M702" s="780">
        <v>363226</v>
      </c>
      <c r="N702" s="780">
        <v>7201</v>
      </c>
      <c r="O702" s="781">
        <v>6574</v>
      </c>
      <c r="P702" s="781">
        <v>102.83823</v>
      </c>
      <c r="Q702" s="337">
        <v>0</v>
      </c>
      <c r="R702" s="783">
        <f t="shared" si="38"/>
        <v>142269.50820349998</v>
      </c>
      <c r="S702" s="813">
        <v>14.471593982109431</v>
      </c>
      <c r="T702" s="813">
        <v>0.14287</v>
      </c>
      <c r="U702" s="559">
        <v>3.4079575927305102E-3</v>
      </c>
      <c r="V702" s="750">
        <v>2.4E-2</v>
      </c>
      <c r="W702" s="813">
        <v>0.27750000000000002</v>
      </c>
      <c r="X702" s="771">
        <v>12.37857</v>
      </c>
      <c r="Y702" s="813">
        <v>11.25</v>
      </c>
      <c r="Z702" s="337">
        <v>0</v>
      </c>
      <c r="AA702" s="337">
        <v>0</v>
      </c>
      <c r="AB702" s="337">
        <v>0</v>
      </c>
      <c r="AC702" s="813">
        <v>0.21888901788773513</v>
      </c>
      <c r="AD702" s="818">
        <v>8.3308084168915497E-2</v>
      </c>
      <c r="AE702" s="813">
        <v>0.36680003000000005</v>
      </c>
      <c r="AF702" s="813">
        <v>15.977963850747702</v>
      </c>
      <c r="AG702" s="172">
        <f t="shared" si="39"/>
        <v>9.0931834880539384</v>
      </c>
      <c r="AH702" s="667">
        <f t="shared" si="41"/>
        <v>202502</v>
      </c>
      <c r="AJ702" s="262" t="s">
        <v>1894</v>
      </c>
      <c r="AK702" s="262"/>
    </row>
    <row r="703" spans="3:37" ht="15.75" hidden="1">
      <c r="C703" s="649">
        <v>45711</v>
      </c>
      <c r="D703" s="809">
        <v>338536</v>
      </c>
      <c r="E703" s="809">
        <v>15925</v>
      </c>
      <c r="F703" s="810">
        <v>24854</v>
      </c>
      <c r="G703" s="811">
        <v>4256</v>
      </c>
      <c r="H703" s="812">
        <v>2249</v>
      </c>
      <c r="I703" s="646">
        <v>158020</v>
      </c>
      <c r="J703" s="812">
        <v>175706</v>
      </c>
      <c r="K703" s="809">
        <v>42265.17</v>
      </c>
      <c r="L703" s="812">
        <v>12278</v>
      </c>
      <c r="M703" s="812">
        <v>371959</v>
      </c>
      <c r="N703" s="812">
        <v>6024</v>
      </c>
      <c r="O703" s="809">
        <v>6432</v>
      </c>
      <c r="P703" s="809">
        <v>117.30476999999999</v>
      </c>
      <c r="Q703" s="337">
        <v>0</v>
      </c>
      <c r="R703" s="783">
        <f t="shared" si="38"/>
        <v>144959.2351465</v>
      </c>
      <c r="S703" s="816">
        <v>14.624787977810939</v>
      </c>
      <c r="T703" s="816">
        <v>0.16759399999999999</v>
      </c>
      <c r="U703" s="559">
        <v>3.4079575927305102E-3</v>
      </c>
      <c r="V703" s="744">
        <v>2.5000000000000001E-2</v>
      </c>
      <c r="W703" s="816">
        <v>0.27687</v>
      </c>
      <c r="X703" s="771">
        <v>12.37857</v>
      </c>
      <c r="Y703" s="816">
        <v>11.42</v>
      </c>
      <c r="Z703" s="337">
        <v>0</v>
      </c>
      <c r="AA703" s="337">
        <v>0</v>
      </c>
      <c r="AB703" s="337">
        <v>0</v>
      </c>
      <c r="AC703" s="816">
        <v>0.19991674854947089</v>
      </c>
      <c r="AD703" s="817">
        <v>8.2430262751771927E-2</v>
      </c>
      <c r="AE703" s="816">
        <v>0.36400003000000003</v>
      </c>
      <c r="AF703" s="816">
        <v>15.966070786386405</v>
      </c>
      <c r="AG703" s="172">
        <f t="shared" si="39"/>
        <v>9.1426899932927199</v>
      </c>
      <c r="AH703" s="667">
        <f t="shared" si="41"/>
        <v>202502</v>
      </c>
      <c r="AJ703" s="262" t="s">
        <v>1895</v>
      </c>
      <c r="AK703" s="262"/>
    </row>
    <row r="704" spans="3:37" ht="15.75" hidden="1">
      <c r="C704" s="649">
        <v>45712</v>
      </c>
      <c r="D704" s="781">
        <v>328386</v>
      </c>
      <c r="E704" s="781">
        <v>17126</v>
      </c>
      <c r="F704" s="779">
        <v>25517</v>
      </c>
      <c r="G704" s="807">
        <v>4269</v>
      </c>
      <c r="H704" s="780">
        <v>2239</v>
      </c>
      <c r="I704" s="646">
        <v>158020</v>
      </c>
      <c r="J704" s="780">
        <v>172731</v>
      </c>
      <c r="K704" s="781">
        <v>37900.769999999997</v>
      </c>
      <c r="L704" s="780">
        <v>10728</v>
      </c>
      <c r="M704" s="780">
        <v>374799</v>
      </c>
      <c r="N704" s="780">
        <v>7112</v>
      </c>
      <c r="O704" s="781">
        <v>4864</v>
      </c>
      <c r="P704" s="781">
        <v>101.391576</v>
      </c>
      <c r="R704" s="783">
        <f t="shared" si="38"/>
        <v>142807.59920920004</v>
      </c>
      <c r="S704" s="813">
        <v>14.288384157305595</v>
      </c>
      <c r="T704" s="813">
        <v>0.206563</v>
      </c>
      <c r="U704" s="559">
        <v>3.4079575927305102E-3</v>
      </c>
      <c r="V704" s="750">
        <v>2.5000000000000001E-2</v>
      </c>
      <c r="W704" s="813">
        <v>0.27732000000000001</v>
      </c>
      <c r="X704" s="771">
        <v>12.37857</v>
      </c>
      <c r="Y704" s="813">
        <v>11.55</v>
      </c>
      <c r="Z704" s="337">
        <v>0</v>
      </c>
      <c r="AA704" s="337">
        <v>0</v>
      </c>
      <c r="AB704" s="337">
        <v>0</v>
      </c>
      <c r="AC704" s="813">
        <v>0.21294248570708513</v>
      </c>
      <c r="AD704" s="818">
        <v>8.3562935548086206E-2</v>
      </c>
      <c r="AE704" s="813">
        <v>0.36380003000000005</v>
      </c>
      <c r="AF704" s="813">
        <v>15.906860315959076</v>
      </c>
      <c r="AG704" s="172">
        <f t="shared" si="39"/>
        <v>9.1693519317761574</v>
      </c>
      <c r="AH704" s="667">
        <f t="shared" si="41"/>
        <v>202502</v>
      </c>
      <c r="AJ704" s="262" t="s">
        <v>1895</v>
      </c>
      <c r="AK704" s="262"/>
    </row>
    <row r="705" spans="3:37" ht="15.75" hidden="1">
      <c r="C705" s="649">
        <v>45713</v>
      </c>
      <c r="D705" s="809">
        <v>326504</v>
      </c>
      <c r="E705" s="809">
        <v>21956</v>
      </c>
      <c r="F705" s="810">
        <v>26411</v>
      </c>
      <c r="G705" s="811">
        <v>4292</v>
      </c>
      <c r="H705" s="812">
        <v>2210</v>
      </c>
      <c r="I705" s="646">
        <v>158020</v>
      </c>
      <c r="J705" s="812">
        <v>172782</v>
      </c>
      <c r="K705" s="809">
        <v>50244.38</v>
      </c>
      <c r="L705" s="812">
        <v>13449</v>
      </c>
      <c r="M705" s="812">
        <v>329697</v>
      </c>
      <c r="N705" s="812">
        <v>7416</v>
      </c>
      <c r="O705" s="809">
        <v>3734</v>
      </c>
      <c r="P705" s="809">
        <v>115.669422</v>
      </c>
      <c r="Q705" s="337">
        <v>0</v>
      </c>
      <c r="R705" s="783">
        <f t="shared" si="38"/>
        <v>146204.33948990001</v>
      </c>
      <c r="S705" s="816">
        <v>14.231750517489887</v>
      </c>
      <c r="T705" s="816">
        <v>0.26593299999999997</v>
      </c>
      <c r="U705" s="559">
        <v>3.4079575927305102E-3</v>
      </c>
      <c r="V705" s="744">
        <v>2.3E-2</v>
      </c>
      <c r="W705" s="816">
        <v>0.27779999999999999</v>
      </c>
      <c r="X705" s="771">
        <v>12.37857</v>
      </c>
      <c r="Y705" s="816">
        <v>11.52</v>
      </c>
      <c r="Z705" s="337">
        <v>0</v>
      </c>
      <c r="AA705" s="337">
        <v>0</v>
      </c>
      <c r="AB705" s="337">
        <v>0</v>
      </c>
      <c r="AC705" s="816">
        <v>0.22370287727207083</v>
      </c>
      <c r="AD705" s="817">
        <v>8.3789470107349065E-2</v>
      </c>
      <c r="AE705" s="816">
        <v>0.36360003000000002</v>
      </c>
      <c r="AF705" s="816">
        <v>15.917932192543047</v>
      </c>
      <c r="AG705" s="172">
        <f t="shared" si="39"/>
        <v>9.1784717737266774</v>
      </c>
      <c r="AH705" s="667">
        <f t="shared" si="41"/>
        <v>202502</v>
      </c>
      <c r="AJ705" s="262" t="s">
        <v>1896</v>
      </c>
      <c r="AK705" s="262"/>
    </row>
    <row r="706" spans="3:37" ht="15.75" hidden="1">
      <c r="C706" s="649">
        <v>45714</v>
      </c>
      <c r="D706" s="781">
        <v>344954</v>
      </c>
      <c r="E706" s="781">
        <v>29585</v>
      </c>
      <c r="F706" s="779">
        <v>26311</v>
      </c>
      <c r="G706" s="807">
        <v>4273</v>
      </c>
      <c r="H706" s="780">
        <v>2223</v>
      </c>
      <c r="I706" s="646">
        <v>158020</v>
      </c>
      <c r="J706" s="780">
        <v>172948</v>
      </c>
      <c r="K706" s="781">
        <v>51513.7</v>
      </c>
      <c r="L706" s="780">
        <v>4510</v>
      </c>
      <c r="M706" s="780">
        <v>403680</v>
      </c>
      <c r="N706" s="780">
        <v>7515</v>
      </c>
      <c r="O706" s="781">
        <v>3751</v>
      </c>
      <c r="P706" s="781">
        <v>85.226789999999994</v>
      </c>
      <c r="Q706" s="337">
        <v>0</v>
      </c>
      <c r="R706" s="783">
        <f t="shared" si="38"/>
        <v>149904.5990555</v>
      </c>
      <c r="S706" s="813">
        <v>14.126978283830809</v>
      </c>
      <c r="T706" s="813">
        <v>0.27512599999999998</v>
      </c>
      <c r="U706" s="559">
        <v>3.4079575927305102E-3</v>
      </c>
      <c r="V706" s="750">
        <v>2.1999999999999999E-2</v>
      </c>
      <c r="W706" s="813">
        <v>0.27832999999999997</v>
      </c>
      <c r="X706" s="771">
        <v>12.37857</v>
      </c>
      <c r="Y706" s="813">
        <v>11.44</v>
      </c>
      <c r="Z706" s="337">
        <v>0</v>
      </c>
      <c r="AA706" s="337">
        <v>0</v>
      </c>
      <c r="AB706" s="337">
        <v>0</v>
      </c>
      <c r="AC706" s="813">
        <v>0.22370287727207083</v>
      </c>
      <c r="AD706" s="818">
        <v>8.3194816889284068E-2</v>
      </c>
      <c r="AE706" s="813">
        <v>0.24900003000000001</v>
      </c>
      <c r="AF706" s="813">
        <v>15.918668429860652</v>
      </c>
      <c r="AG706" s="172">
        <f t="shared" si="39"/>
        <v>9.105436594948916</v>
      </c>
      <c r="AH706" s="667">
        <f t="shared" si="41"/>
        <v>202502</v>
      </c>
      <c r="AJ706" s="262" t="s">
        <v>1897</v>
      </c>
      <c r="AK706" s="262"/>
    </row>
    <row r="707" spans="3:37" ht="15.75" hidden="1">
      <c r="C707" s="649">
        <v>45715</v>
      </c>
      <c r="D707" s="809">
        <v>339815</v>
      </c>
      <c r="E707" s="809">
        <v>28698</v>
      </c>
      <c r="F707" s="810">
        <v>26446</v>
      </c>
      <c r="G707" s="811">
        <v>4362</v>
      </c>
      <c r="H707" s="812">
        <v>2234</v>
      </c>
      <c r="I707" s="646">
        <v>158020</v>
      </c>
      <c r="J707" s="812">
        <v>172274</v>
      </c>
      <c r="K707" s="809">
        <v>52360.85</v>
      </c>
      <c r="L707" s="812">
        <v>9643</v>
      </c>
      <c r="M707" s="812">
        <v>409921</v>
      </c>
      <c r="N707" s="812">
        <v>7296</v>
      </c>
      <c r="O707" s="809">
        <v>4335</v>
      </c>
      <c r="P707" s="809">
        <v>0</v>
      </c>
      <c r="Q707" s="337">
        <v>0</v>
      </c>
      <c r="R707" s="783">
        <f t="shared" si="38"/>
        <v>151360.47499999998</v>
      </c>
      <c r="S707" s="816">
        <v>14.045709010695258</v>
      </c>
      <c r="T707" s="816">
        <v>0.32660699999999998</v>
      </c>
      <c r="U707" s="559">
        <v>3.4079575927305102E-3</v>
      </c>
      <c r="V707" s="744">
        <v>2.4E-2</v>
      </c>
      <c r="W707" s="816">
        <v>0.2767</v>
      </c>
      <c r="X707" s="771">
        <v>12.37857</v>
      </c>
      <c r="Y707" s="816">
        <v>11.52</v>
      </c>
      <c r="Z707" s="337">
        <v>0</v>
      </c>
      <c r="AA707" s="337">
        <v>0</v>
      </c>
      <c r="AB707" s="337">
        <v>0</v>
      </c>
      <c r="AC707" s="816">
        <v>0.22030485888312798</v>
      </c>
      <c r="AD707" s="817">
        <v>7.2292841224759083E-2</v>
      </c>
      <c r="AE707" s="816">
        <v>4.24E-2</v>
      </c>
      <c r="AF707" s="816">
        <v>15.906209029101193</v>
      </c>
      <c r="AG707" s="172">
        <f t="shared" si="39"/>
        <v>9.0373066547919976</v>
      </c>
      <c r="AH707" s="667">
        <f t="shared" si="41"/>
        <v>202502</v>
      </c>
      <c r="AJ707" s="262" t="s">
        <v>1898</v>
      </c>
      <c r="AK707" s="262"/>
    </row>
    <row r="708" spans="3:37" ht="15.75" hidden="1">
      <c r="C708" s="649">
        <v>45716</v>
      </c>
      <c r="D708" s="781">
        <v>351205</v>
      </c>
      <c r="E708" s="781">
        <v>29786</v>
      </c>
      <c r="F708" s="779">
        <v>26244</v>
      </c>
      <c r="G708" s="807">
        <v>4378</v>
      </c>
      <c r="H708" s="780">
        <v>2215</v>
      </c>
      <c r="I708" s="646">
        <v>141660</v>
      </c>
      <c r="J708" s="780">
        <v>172531</v>
      </c>
      <c r="K708" s="781">
        <v>53806.94</v>
      </c>
      <c r="L708" s="780">
        <v>5872</v>
      </c>
      <c r="M708" s="780">
        <v>450043</v>
      </c>
      <c r="N708" s="780">
        <v>6965</v>
      </c>
      <c r="O708" s="781">
        <v>4019.9999999999995</v>
      </c>
      <c r="P708" s="781">
        <v>0</v>
      </c>
      <c r="Q708" s="337">
        <v>0</v>
      </c>
      <c r="R708" s="783">
        <f t="shared" si="38"/>
        <v>149524.05124999999</v>
      </c>
      <c r="S708" s="813">
        <v>14.387776195182177</v>
      </c>
      <c r="T708" s="813">
        <v>0.32750899999999999</v>
      </c>
      <c r="U708" s="559">
        <v>3.4079575927305102E-3</v>
      </c>
      <c r="V708" s="750">
        <v>2.1999999999999999E-2</v>
      </c>
      <c r="W708" s="813">
        <v>0.27672000000000002</v>
      </c>
      <c r="X708" s="771">
        <v>12.37857</v>
      </c>
      <c r="Y708" s="813">
        <v>11.47</v>
      </c>
      <c r="Z708" s="337">
        <v>0</v>
      </c>
      <c r="AA708" s="337">
        <v>0</v>
      </c>
      <c r="AB708" s="337">
        <v>0</v>
      </c>
      <c r="AC708" s="813">
        <v>0.2095444673181423</v>
      </c>
      <c r="AD708" s="818">
        <v>8.5176994282834054E-2</v>
      </c>
      <c r="AE708" s="813">
        <v>2.7099999999999999E-2</v>
      </c>
      <c r="AF708" s="813">
        <v>15.909153978371611</v>
      </c>
      <c r="AG708" s="172">
        <f t="shared" si="39"/>
        <v>9.0311613194652942</v>
      </c>
      <c r="AH708" s="667">
        <f t="shared" si="41"/>
        <v>202502</v>
      </c>
      <c r="AJ708" s="262" t="s">
        <v>1899</v>
      </c>
      <c r="AK708" s="262"/>
    </row>
    <row r="709" spans="3:37" ht="15.75" hidden="1">
      <c r="C709" s="649">
        <v>45717</v>
      </c>
      <c r="D709" s="809">
        <v>342984</v>
      </c>
      <c r="E709" s="809">
        <v>30472</v>
      </c>
      <c r="F709" s="810">
        <v>26068</v>
      </c>
      <c r="G709" s="811">
        <v>4355</v>
      </c>
      <c r="H709" s="812">
        <v>2232</v>
      </c>
      <c r="I709" s="646">
        <v>141660</v>
      </c>
      <c r="J709" s="812">
        <v>172664</v>
      </c>
      <c r="K709" s="809">
        <v>52773.71</v>
      </c>
      <c r="L709" s="812">
        <v>159</v>
      </c>
      <c r="M709" s="812">
        <v>389082</v>
      </c>
      <c r="N709" s="812">
        <v>7510</v>
      </c>
      <c r="O709" s="809">
        <v>4518</v>
      </c>
      <c r="P709" s="809">
        <v>0</v>
      </c>
      <c r="Q709" s="337">
        <v>0</v>
      </c>
      <c r="R709" s="783">
        <f t="shared" si="38"/>
        <v>145569.82825000002</v>
      </c>
      <c r="S709" s="816">
        <v>14.407031632719518</v>
      </c>
      <c r="T709" s="816">
        <v>0.32665499999999997</v>
      </c>
      <c r="U709" s="559">
        <v>3.4079575927305102E-3</v>
      </c>
      <c r="V709" s="744">
        <v>2.3E-2</v>
      </c>
      <c r="W709" s="816">
        <v>0.27777999999999997</v>
      </c>
      <c r="X709" s="771">
        <v>12.37857</v>
      </c>
      <c r="Y709" s="816">
        <v>11.48</v>
      </c>
      <c r="Z709" s="337">
        <v>0</v>
      </c>
      <c r="AA709" s="337">
        <v>0</v>
      </c>
      <c r="AB709" s="337">
        <v>0</v>
      </c>
      <c r="AC709" s="816">
        <v>0.20812862632274942</v>
      </c>
      <c r="AD709" s="817">
        <v>8.5545112941636192E-2</v>
      </c>
      <c r="AE709" s="816">
        <v>6.4999999999999997E-3</v>
      </c>
      <c r="AF709" s="816">
        <v>15.907964671935481</v>
      </c>
      <c r="AG709" s="172">
        <f t="shared" si="39"/>
        <v>9.0261732838731472</v>
      </c>
      <c r="AH709" s="667">
        <f t="shared" si="41"/>
        <v>202503</v>
      </c>
      <c r="AJ709" s="262" t="s">
        <v>1899</v>
      </c>
      <c r="AK709" s="262"/>
    </row>
    <row r="710" spans="3:37" ht="15.75" hidden="1">
      <c r="C710" s="649">
        <v>45718</v>
      </c>
      <c r="D710" s="781">
        <v>334617</v>
      </c>
      <c r="E710" s="781">
        <v>31107</v>
      </c>
      <c r="F710" s="779">
        <v>26159</v>
      </c>
      <c r="G710" s="807">
        <v>4405</v>
      </c>
      <c r="H710" s="780">
        <v>2207</v>
      </c>
      <c r="I710" s="646">
        <v>141660</v>
      </c>
      <c r="J710" s="780">
        <v>171454</v>
      </c>
      <c r="K710" s="781">
        <v>51421.75</v>
      </c>
      <c r="L710" s="780">
        <v>150</v>
      </c>
      <c r="M710" s="780">
        <v>380248</v>
      </c>
      <c r="N710" s="780">
        <v>7312</v>
      </c>
      <c r="O710" s="781">
        <v>3920</v>
      </c>
      <c r="P710" s="781">
        <v>0</v>
      </c>
      <c r="Q710" s="337">
        <v>0</v>
      </c>
      <c r="R710" s="783">
        <f t="shared" si="38"/>
        <v>144291.14225000003</v>
      </c>
      <c r="S710" s="813">
        <v>14.255819814411559</v>
      </c>
      <c r="T710" s="813">
        <v>0.32935999999999999</v>
      </c>
      <c r="U710" s="559">
        <v>3.4079575927305102E-3</v>
      </c>
      <c r="V710" s="750">
        <v>2.3E-2</v>
      </c>
      <c r="W710" s="813">
        <v>0.2762</v>
      </c>
      <c r="X710" s="771">
        <v>12.37857</v>
      </c>
      <c r="Y710" s="813">
        <v>11.46</v>
      </c>
      <c r="Z710" s="337">
        <v>0</v>
      </c>
      <c r="AA710" s="337">
        <v>0</v>
      </c>
      <c r="AB710" s="337">
        <v>0</v>
      </c>
      <c r="AC710" s="813">
        <v>0.21492466310063513</v>
      </c>
      <c r="AD710" s="818">
        <v>8.3081549609652638E-2</v>
      </c>
      <c r="AE710" s="813">
        <v>0</v>
      </c>
      <c r="AF710" s="813">
        <v>15.91051318572719</v>
      </c>
      <c r="AG710" s="172">
        <f t="shared" si="39"/>
        <v>9.0129710742450033</v>
      </c>
      <c r="AH710" s="667">
        <f t="shared" si="41"/>
        <v>202503</v>
      </c>
      <c r="AJ710" s="262" t="s">
        <v>1901</v>
      </c>
      <c r="AK710" s="262"/>
    </row>
    <row r="711" spans="3:37" ht="15.75" hidden="1">
      <c r="C711" s="649">
        <v>45719</v>
      </c>
      <c r="D711" s="809">
        <v>344588</v>
      </c>
      <c r="E711" s="809">
        <v>27711</v>
      </c>
      <c r="F711" s="810">
        <v>26130</v>
      </c>
      <c r="G711" s="811">
        <v>4358</v>
      </c>
      <c r="H711" s="812">
        <v>2248</v>
      </c>
      <c r="I711" s="646">
        <v>141660</v>
      </c>
      <c r="J711" s="812">
        <v>172890</v>
      </c>
      <c r="K711" s="809">
        <v>52348.23</v>
      </c>
      <c r="L711" s="812">
        <v>208</v>
      </c>
      <c r="M711" s="812">
        <v>376144</v>
      </c>
      <c r="N711" s="812">
        <v>7317</v>
      </c>
      <c r="O711" s="809">
        <v>4341</v>
      </c>
      <c r="P711" s="809">
        <v>0</v>
      </c>
      <c r="Q711" s="337">
        <v>0</v>
      </c>
      <c r="R711" s="783">
        <f t="shared" si="38"/>
        <v>144286.83649999998</v>
      </c>
      <c r="S711" s="816">
        <v>14.332275228162775</v>
      </c>
      <c r="T711" s="816">
        <v>0.29289599999999999</v>
      </c>
      <c r="U711" s="559">
        <v>3.4079575927305102E-3</v>
      </c>
      <c r="V711" s="744">
        <v>2.3E-2</v>
      </c>
      <c r="W711" s="816">
        <v>0.30395999999999995</v>
      </c>
      <c r="X711" s="771">
        <v>12.37857</v>
      </c>
      <c r="Y711" s="816">
        <v>11.4</v>
      </c>
      <c r="Z711" s="337">
        <v>0</v>
      </c>
      <c r="AA711" s="337">
        <v>0</v>
      </c>
      <c r="AB711" s="337">
        <v>0</v>
      </c>
      <c r="AC711" s="816">
        <v>0.21549099949879227</v>
      </c>
      <c r="AD711" s="817">
        <v>8.5545112941636192E-2</v>
      </c>
      <c r="AE711" s="816">
        <v>0</v>
      </c>
      <c r="AF711" s="816">
        <v>15.907370018717417</v>
      </c>
      <c r="AG711" s="172">
        <f t="shared" si="39"/>
        <v>9.0180354990421563</v>
      </c>
      <c r="AH711" s="667">
        <f t="shared" si="41"/>
        <v>202503</v>
      </c>
      <c r="AJ711" s="262" t="s">
        <v>1902</v>
      </c>
      <c r="AK711" s="262"/>
    </row>
    <row r="712" spans="3:37" ht="15.75" hidden="1">
      <c r="C712" s="649">
        <v>45720</v>
      </c>
      <c r="D712" s="805">
        <v>339352</v>
      </c>
      <c r="E712" s="805">
        <v>29138</v>
      </c>
      <c r="F712" s="806">
        <v>26099.97</v>
      </c>
      <c r="G712" s="807">
        <v>4420</v>
      </c>
      <c r="H712" s="780">
        <v>2279</v>
      </c>
      <c r="I712" s="646">
        <v>141660</v>
      </c>
      <c r="J712" s="808">
        <v>172203</v>
      </c>
      <c r="K712" s="781">
        <v>52218.14</v>
      </c>
      <c r="L712" s="808">
        <v>1530</v>
      </c>
      <c r="M712" s="808">
        <v>354220</v>
      </c>
      <c r="N712" s="808">
        <v>7105</v>
      </c>
      <c r="O712" s="781">
        <v>4088</v>
      </c>
      <c r="P712" s="805">
        <v>0</v>
      </c>
      <c r="Q712" s="337">
        <v>0</v>
      </c>
      <c r="R712" s="783">
        <f t="shared" si="38"/>
        <v>143666.26250000001</v>
      </c>
      <c r="S712" s="814">
        <v>14.204566370378339</v>
      </c>
      <c r="T712" s="814">
        <v>0.32956600000000003</v>
      </c>
      <c r="U712" s="559">
        <v>3.4079575927305102E-3</v>
      </c>
      <c r="V712" s="750">
        <v>2.4E-2</v>
      </c>
      <c r="W712" s="813">
        <v>0.30274000000000001</v>
      </c>
      <c r="X712" s="771">
        <v>12.37857</v>
      </c>
      <c r="Y712" s="814">
        <v>11.41</v>
      </c>
      <c r="Z712" s="337">
        <v>0</v>
      </c>
      <c r="AA712" s="337">
        <v>0</v>
      </c>
      <c r="AB712" s="337">
        <v>0</v>
      </c>
      <c r="AC712" s="814">
        <v>0.2106771401144566</v>
      </c>
      <c r="AD712" s="818">
        <v>7.2944128082639809E-2</v>
      </c>
      <c r="AE712" s="814">
        <v>0</v>
      </c>
      <c r="AF712" s="814">
        <v>15.908191206494745</v>
      </c>
      <c r="AG712" s="172">
        <f t="shared" si="39"/>
        <v>9.0206505983982304</v>
      </c>
      <c r="AH712" s="667">
        <f t="shared" si="41"/>
        <v>202503</v>
      </c>
      <c r="AJ712" s="262" t="s">
        <v>1903</v>
      </c>
      <c r="AK712" s="262"/>
    </row>
    <row r="713" spans="3:37" ht="15.75" hidden="1">
      <c r="C713" s="649">
        <v>45721</v>
      </c>
      <c r="D713" s="809">
        <v>337316</v>
      </c>
      <c r="E713" s="809">
        <v>26151</v>
      </c>
      <c r="F713" s="810">
        <v>26095</v>
      </c>
      <c r="G713" s="811">
        <v>4457</v>
      </c>
      <c r="H713" s="812">
        <v>2259</v>
      </c>
      <c r="I713" s="646">
        <v>141660</v>
      </c>
      <c r="J713" s="812">
        <v>171824</v>
      </c>
      <c r="K713" s="809">
        <v>52260.02</v>
      </c>
      <c r="L713" s="812">
        <v>2501</v>
      </c>
      <c r="M713" s="812">
        <v>351907</v>
      </c>
      <c r="N713" s="812">
        <v>7012</v>
      </c>
      <c r="O713" s="809">
        <v>4701</v>
      </c>
      <c r="P713" s="809">
        <v>61.765836</v>
      </c>
      <c r="Q713" s="337">
        <v>0</v>
      </c>
      <c r="R713" s="783">
        <f t="shared" ref="R713:R776" si="42" xml:space="preserve"> IF(C713&lt; DATE(2024, 11, 1), D713 * (2.31 / 100), D713 * (2.925 / 100))+E713*E$6+F713*F$6+G713*G$6+H713*H$6+I713*I$6+J713*J$6+K713*K$6+L713*L$6+M713*M$6+N713*N$6+O713*O$6+P713*P$6+Q713*Q$6</f>
        <v>143111.66887620001</v>
      </c>
      <c r="S713" s="816">
        <v>14.225237648911076</v>
      </c>
      <c r="T713" s="816">
        <v>0.32967200000000002</v>
      </c>
      <c r="U713" s="559">
        <v>3.4079575927305102E-3</v>
      </c>
      <c r="V713" s="744">
        <v>2.4E-2</v>
      </c>
      <c r="W713" s="816">
        <v>0.29672999999999999</v>
      </c>
      <c r="X713" s="771">
        <v>12.37857</v>
      </c>
      <c r="Y713" s="816">
        <v>11.41</v>
      </c>
      <c r="Z713" s="337">
        <v>0</v>
      </c>
      <c r="AA713" s="337">
        <v>0</v>
      </c>
      <c r="AB713" s="337">
        <v>0</v>
      </c>
      <c r="AC713" s="816">
        <v>0.21124347651261371</v>
      </c>
      <c r="AD713" s="817">
        <v>7.4161751338677667E-2</v>
      </c>
      <c r="AE713" s="816">
        <v>0.30100003000000003</v>
      </c>
      <c r="AF713" s="816">
        <v>15.909069027911887</v>
      </c>
      <c r="AG713" s="172">
        <f t="shared" si="39"/>
        <v>9.1514224427424402</v>
      </c>
      <c r="AH713" s="667">
        <f t="shared" si="41"/>
        <v>202503</v>
      </c>
      <c r="AJ713" s="262" t="s">
        <v>1904</v>
      </c>
      <c r="AK713" s="262"/>
    </row>
    <row r="714" spans="3:37" ht="15.75" hidden="1">
      <c r="C714" s="649">
        <v>45722</v>
      </c>
      <c r="D714" s="781">
        <v>331850</v>
      </c>
      <c r="E714" s="781">
        <v>29069</v>
      </c>
      <c r="F714" s="806">
        <v>26117.21</v>
      </c>
      <c r="G714" s="819">
        <v>4527</v>
      </c>
      <c r="H714" s="808">
        <v>2290</v>
      </c>
      <c r="I714" s="646">
        <v>141660</v>
      </c>
      <c r="J714" s="780">
        <v>160566</v>
      </c>
      <c r="K714" s="805">
        <v>51058.14</v>
      </c>
      <c r="L714" s="780">
        <v>9715</v>
      </c>
      <c r="M714" s="780">
        <v>366260</v>
      </c>
      <c r="N714" s="780">
        <v>7026</v>
      </c>
      <c r="O714" s="781">
        <v>3867</v>
      </c>
      <c r="P714" s="781">
        <v>107.55558000000001</v>
      </c>
      <c r="Q714" s="337">
        <v>0</v>
      </c>
      <c r="R714" s="783">
        <f t="shared" si="42"/>
        <v>142596.68826099997</v>
      </c>
      <c r="S714" s="813">
        <v>13.907522929544923</v>
      </c>
      <c r="T714" s="813">
        <v>0.32780799999999999</v>
      </c>
      <c r="U714" s="559">
        <v>3.4079575927305102E-3</v>
      </c>
      <c r="V714" s="820">
        <v>2.4E-2</v>
      </c>
      <c r="W714" s="814">
        <v>0.29372000000000004</v>
      </c>
      <c r="X714" s="771">
        <v>12.37857</v>
      </c>
      <c r="Y714" s="813">
        <v>11.2</v>
      </c>
      <c r="Z714" s="337">
        <v>0</v>
      </c>
      <c r="AA714" s="337">
        <v>0</v>
      </c>
      <c r="AB714" s="337">
        <v>0</v>
      </c>
      <c r="AC714" s="813">
        <v>0.2106771401144566</v>
      </c>
      <c r="AD714" s="818">
        <v>7.7191651068818368E-2</v>
      </c>
      <c r="AE714" s="813">
        <v>0.33210003000000005</v>
      </c>
      <c r="AF714" s="813">
        <v>15.906378930020644</v>
      </c>
      <c r="AG714" s="172">
        <f t="shared" si="39"/>
        <v>9.0987033534477266</v>
      </c>
      <c r="AH714" s="667">
        <f t="shared" si="41"/>
        <v>202503</v>
      </c>
      <c r="AJ714" s="262" t="s">
        <v>1907</v>
      </c>
      <c r="AK714" s="262"/>
    </row>
    <row r="715" spans="3:37" ht="15.75" hidden="1">
      <c r="C715" s="649">
        <v>45723</v>
      </c>
      <c r="D715" s="809">
        <v>322758</v>
      </c>
      <c r="E715" s="809">
        <v>31774</v>
      </c>
      <c r="F715" s="810">
        <v>25874.29</v>
      </c>
      <c r="G715" s="811">
        <v>4369</v>
      </c>
      <c r="H715" s="812">
        <v>1913</v>
      </c>
      <c r="I715" s="646">
        <v>140380</v>
      </c>
      <c r="J715" s="812">
        <v>169395</v>
      </c>
      <c r="K715" s="809">
        <v>49350.01</v>
      </c>
      <c r="L715" s="812">
        <v>10631</v>
      </c>
      <c r="M715" s="812">
        <v>368686</v>
      </c>
      <c r="N715" s="812">
        <v>7054</v>
      </c>
      <c r="O715" s="809">
        <v>4118</v>
      </c>
      <c r="P715" s="809">
        <v>61.388447999999997</v>
      </c>
      <c r="Q715" s="337">
        <v>0</v>
      </c>
      <c r="R715" s="783">
        <f t="shared" si="42"/>
        <v>144448.29055160002</v>
      </c>
      <c r="S715" s="816">
        <v>13.702792321611115</v>
      </c>
      <c r="T715" s="816">
        <v>0.31981300000000001</v>
      </c>
      <c r="U715" s="559">
        <v>3.4079575927305102E-3</v>
      </c>
      <c r="V715" s="744">
        <v>2.1000000000000001E-2</v>
      </c>
      <c r="W715" s="816">
        <v>0.14965999999999999</v>
      </c>
      <c r="X715" s="771">
        <v>12.37857</v>
      </c>
      <c r="Y715" s="816">
        <v>11.43</v>
      </c>
      <c r="Z715" s="337">
        <v>0</v>
      </c>
      <c r="AA715" s="337">
        <v>0</v>
      </c>
      <c r="AB715" s="337">
        <v>0</v>
      </c>
      <c r="AC715" s="816">
        <v>0.20926129911906372</v>
      </c>
      <c r="AD715" s="817">
        <v>8.5573429761544043E-2</v>
      </c>
      <c r="AE715" s="816">
        <v>0.33860003000000005</v>
      </c>
      <c r="AF715" s="816">
        <v>15.906095761821565</v>
      </c>
      <c r="AG715" s="172">
        <f t="shared" si="39"/>
        <v>9.0108701635394173</v>
      </c>
      <c r="AH715" s="667">
        <f t="shared" si="41"/>
        <v>202503</v>
      </c>
      <c r="AJ715" s="262" t="s">
        <v>1905</v>
      </c>
      <c r="AK715" s="262"/>
    </row>
    <row r="716" spans="3:37" ht="15.75" hidden="1">
      <c r="C716" s="649">
        <v>45724</v>
      </c>
      <c r="D716" s="781">
        <v>320652</v>
      </c>
      <c r="E716" s="805">
        <v>17440</v>
      </c>
      <c r="F716" s="806">
        <v>25626.34</v>
      </c>
      <c r="G716" s="819">
        <v>4292</v>
      </c>
      <c r="H716" s="780">
        <v>1996</v>
      </c>
      <c r="I716" s="646">
        <v>140380</v>
      </c>
      <c r="J716" s="780">
        <v>168434</v>
      </c>
      <c r="K716" s="805">
        <v>50735.02</v>
      </c>
      <c r="L716" s="808">
        <v>9651</v>
      </c>
      <c r="M716" s="780">
        <v>389080</v>
      </c>
      <c r="N716" s="808">
        <v>7076</v>
      </c>
      <c r="O716" s="805">
        <v>4181</v>
      </c>
      <c r="P716" s="805">
        <v>134.66461799999999</v>
      </c>
      <c r="Q716" s="337">
        <v>0</v>
      </c>
      <c r="R716" s="783">
        <f t="shared" si="42"/>
        <v>141123.76682809999</v>
      </c>
      <c r="S716" s="813">
        <v>13.581313164206403</v>
      </c>
      <c r="T716" s="814">
        <v>0.182865</v>
      </c>
      <c r="U716" s="559">
        <v>3.4079575927305102E-3</v>
      </c>
      <c r="V716" s="820">
        <v>2.1000000000000001E-2</v>
      </c>
      <c r="W716" s="813">
        <v>0.17502000000000001</v>
      </c>
      <c r="X716" s="771">
        <v>12.37857</v>
      </c>
      <c r="Y716" s="813">
        <v>11.28</v>
      </c>
      <c r="Z716" s="337">
        <v>0</v>
      </c>
      <c r="AA716" s="337">
        <v>0</v>
      </c>
      <c r="AB716" s="337">
        <v>0</v>
      </c>
      <c r="AC716" s="814">
        <v>0.2095444673181423</v>
      </c>
      <c r="AD716" s="815">
        <v>8.17223422540755E-2</v>
      </c>
      <c r="AE716" s="814">
        <v>0.34350003000000001</v>
      </c>
      <c r="AF716" s="813">
        <v>15.91277853131982</v>
      </c>
      <c r="AG716" s="172">
        <f t="shared" ref="AG716:AG779" si="43" xml:space="preserve"> IF(C716&lt; DATE(2024, 11, 1), S716 * (2.31 / 100), S716 * (2.925 / 100))+T716*T$6+U716*U$6+V716*V$6+W716*W$6+X716*X$6+Y716*Y$6+Z716*Z$6+AA716*AA$6+AB716*AB$6+AC716*AC$6+AD716*AD$6+AE716*AE$6+AF716*AF$6</f>
        <v>8.9585327224989442</v>
      </c>
      <c r="AH716" s="667">
        <f t="shared" si="41"/>
        <v>202503</v>
      </c>
      <c r="AJ716" s="262" t="s">
        <v>1906</v>
      </c>
      <c r="AK716" s="262"/>
    </row>
    <row r="717" spans="3:37" ht="15.75" hidden="1">
      <c r="C717" s="649">
        <v>45725</v>
      </c>
      <c r="D717" s="809">
        <v>306856</v>
      </c>
      <c r="E717" s="809">
        <v>5484</v>
      </c>
      <c r="F717" s="810">
        <v>25013</v>
      </c>
      <c r="G717" s="811">
        <v>4320</v>
      </c>
      <c r="H717" s="812">
        <v>1905</v>
      </c>
      <c r="I717" s="646">
        <v>140380</v>
      </c>
      <c r="J717" s="812">
        <v>169654</v>
      </c>
      <c r="K717" s="809">
        <v>48057.69</v>
      </c>
      <c r="L717" s="812">
        <v>11790</v>
      </c>
      <c r="M717" s="812">
        <v>388894</v>
      </c>
      <c r="N717" s="812">
        <v>7098</v>
      </c>
      <c r="O717" s="809">
        <v>3572</v>
      </c>
      <c r="P717" s="809">
        <v>200.83331399999997</v>
      </c>
      <c r="Q717" s="337">
        <v>0</v>
      </c>
      <c r="R717" s="783">
        <f t="shared" si="42"/>
        <v>136930.83299129998</v>
      </c>
      <c r="S717" s="816">
        <v>13.51958249680728</v>
      </c>
      <c r="T717" s="816">
        <v>5.0242000000000002E-2</v>
      </c>
      <c r="U717" s="559">
        <v>3.4079575927305102E-3</v>
      </c>
      <c r="V717" s="744">
        <v>2.1000000000000001E-2</v>
      </c>
      <c r="W717" s="816">
        <v>0.11487</v>
      </c>
      <c r="X717" s="771">
        <v>12.37857</v>
      </c>
      <c r="Y717" s="816">
        <v>11.2</v>
      </c>
      <c r="Z717" s="337">
        <v>0</v>
      </c>
      <c r="AA717" s="337">
        <v>0</v>
      </c>
      <c r="AB717" s="337">
        <v>0</v>
      </c>
      <c r="AC717" s="816">
        <v>0.21039397191537801</v>
      </c>
      <c r="AD717" s="817">
        <v>8.200551045315406E-2</v>
      </c>
      <c r="AE717" s="816">
        <v>0.32000003000000005</v>
      </c>
      <c r="AF717" s="816">
        <v>15.90165002109603</v>
      </c>
      <c r="AG717" s="172">
        <f t="shared" si="43"/>
        <v>8.8277087565248031</v>
      </c>
      <c r="AH717" s="667">
        <f t="shared" si="41"/>
        <v>202503</v>
      </c>
      <c r="AJ717" s="262" t="s">
        <v>1908</v>
      </c>
      <c r="AK717" s="262"/>
    </row>
    <row r="718" spans="3:37" ht="15.75" hidden="1">
      <c r="C718" s="649">
        <v>45726</v>
      </c>
      <c r="D718" s="781">
        <v>331213</v>
      </c>
      <c r="E718" s="781">
        <v>12881</v>
      </c>
      <c r="F718" s="779">
        <v>25333</v>
      </c>
      <c r="G718" s="807">
        <v>4288</v>
      </c>
      <c r="H718" s="780">
        <v>2237</v>
      </c>
      <c r="I718" s="646">
        <v>140380</v>
      </c>
      <c r="J718" s="808">
        <v>167908</v>
      </c>
      <c r="K718" s="781">
        <v>51476.79</v>
      </c>
      <c r="L718" s="780">
        <v>11615</v>
      </c>
      <c r="M718" s="780">
        <v>394633</v>
      </c>
      <c r="N718" s="780">
        <v>7069</v>
      </c>
      <c r="O718" s="781">
        <v>4543</v>
      </c>
      <c r="P718" s="781">
        <v>152.08736399999998</v>
      </c>
      <c r="Q718" s="337">
        <v>0</v>
      </c>
      <c r="R718" s="783">
        <f t="shared" si="42"/>
        <v>141131.89581379999</v>
      </c>
      <c r="S718" s="813">
        <v>14.097245622927559</v>
      </c>
      <c r="T718" s="813">
        <v>6.6507999999999998E-2</v>
      </c>
      <c r="U718" s="559">
        <v>3.4079575927305102E-3</v>
      </c>
      <c r="V718" s="750">
        <v>2.1000000000000001E-2</v>
      </c>
      <c r="W718" s="813">
        <v>0.27383999999999997</v>
      </c>
      <c r="X718" s="771">
        <v>12.37857</v>
      </c>
      <c r="Y718" s="814">
        <v>11.1</v>
      </c>
      <c r="Z718" s="337">
        <v>0</v>
      </c>
      <c r="AA718" s="337">
        <v>0</v>
      </c>
      <c r="AB718" s="337">
        <v>0</v>
      </c>
      <c r="AC718" s="813">
        <v>0.2086949627209066</v>
      </c>
      <c r="AD718" s="818">
        <v>8.1920559993430481E-2</v>
      </c>
      <c r="AE718" s="813">
        <v>0.30460003000000002</v>
      </c>
      <c r="AF718" s="813">
        <v>15.897204280370495</v>
      </c>
      <c r="AG718" s="172">
        <f t="shared" si="43"/>
        <v>8.9740605758451988</v>
      </c>
      <c r="AH718" s="667">
        <f t="shared" si="41"/>
        <v>202503</v>
      </c>
      <c r="AJ718" s="262" t="s">
        <v>1909</v>
      </c>
      <c r="AK718" s="262"/>
    </row>
    <row r="719" spans="3:37" ht="15.75" hidden="1">
      <c r="C719" s="649">
        <v>45727</v>
      </c>
      <c r="D719" s="809">
        <v>329249</v>
      </c>
      <c r="E719" s="809">
        <v>14730</v>
      </c>
      <c r="F719" s="810">
        <v>25559</v>
      </c>
      <c r="G719" s="811">
        <v>4249</v>
      </c>
      <c r="H719" s="812">
        <v>2113</v>
      </c>
      <c r="I719" s="646">
        <v>140380</v>
      </c>
      <c r="J719" s="812">
        <v>165938</v>
      </c>
      <c r="K719" s="809">
        <v>51737.43</v>
      </c>
      <c r="L719" s="812">
        <v>12405</v>
      </c>
      <c r="M719" s="812">
        <v>396987</v>
      </c>
      <c r="N719" s="812">
        <v>7069</v>
      </c>
      <c r="O719" s="809">
        <v>4002</v>
      </c>
      <c r="P719" s="809">
        <v>184.35403799999997</v>
      </c>
      <c r="Q719" s="337">
        <v>0</v>
      </c>
      <c r="R719" s="783">
        <f t="shared" si="42"/>
        <v>141224.2063171</v>
      </c>
      <c r="S719" s="816">
        <v>13.574800295627595</v>
      </c>
      <c r="T719" s="816">
        <v>0.166155</v>
      </c>
      <c r="U719" s="559">
        <v>3.4079575927305102E-3</v>
      </c>
      <c r="V719" s="744">
        <v>2.1000000000000001E-2</v>
      </c>
      <c r="W719" s="816">
        <v>0.20805999999999999</v>
      </c>
      <c r="X719" s="771">
        <v>12.37857</v>
      </c>
      <c r="Y719" s="816">
        <v>11.05</v>
      </c>
      <c r="Z719" s="337">
        <v>0</v>
      </c>
      <c r="AA719" s="337">
        <v>0</v>
      </c>
      <c r="AB719" s="337">
        <v>0</v>
      </c>
      <c r="AC719" s="816">
        <v>0.2086949627209066</v>
      </c>
      <c r="AD719" s="817">
        <v>8.2147094552693339E-2</v>
      </c>
      <c r="AE719" s="816">
        <v>0.31320003000000002</v>
      </c>
      <c r="AF719" s="816">
        <v>15.897770616768652</v>
      </c>
      <c r="AG719" s="172">
        <f t="shared" si="43"/>
        <v>8.9109606310330669</v>
      </c>
      <c r="AH719" s="667">
        <f t="shared" si="41"/>
        <v>202503</v>
      </c>
      <c r="AJ719" s="262" t="s">
        <v>1910</v>
      </c>
      <c r="AK719" s="262"/>
    </row>
    <row r="720" spans="3:37" ht="17.25" hidden="1" customHeight="1">
      <c r="C720" s="649">
        <v>45728</v>
      </c>
      <c r="D720" s="781">
        <v>330046</v>
      </c>
      <c r="E720" s="781">
        <v>19245</v>
      </c>
      <c r="F720" s="779">
        <v>25601</v>
      </c>
      <c r="G720" s="807">
        <v>4191</v>
      </c>
      <c r="H720" s="808">
        <v>2184</v>
      </c>
      <c r="I720" s="646">
        <v>140380</v>
      </c>
      <c r="J720" s="808">
        <v>165715</v>
      </c>
      <c r="K720" s="781">
        <v>51428.58</v>
      </c>
      <c r="L720" s="780">
        <v>8324</v>
      </c>
      <c r="M720" s="780">
        <v>407652</v>
      </c>
      <c r="N720" s="780">
        <v>7081</v>
      </c>
      <c r="O720" s="781">
        <v>3416</v>
      </c>
      <c r="P720" s="781">
        <v>124.28644800000001</v>
      </c>
      <c r="Q720" s="337">
        <v>0</v>
      </c>
      <c r="R720" s="783">
        <f t="shared" si="42"/>
        <v>141584.72440159999</v>
      </c>
      <c r="S720" s="813">
        <v>13.727994291329107</v>
      </c>
      <c r="T720" s="813">
        <v>0.22777600000000001</v>
      </c>
      <c r="U720" s="559">
        <v>3.4079575927305102E-3</v>
      </c>
      <c r="V720" s="750">
        <v>2.1999999999999999E-2</v>
      </c>
      <c r="W720" s="814">
        <v>0.23283999999999999</v>
      </c>
      <c r="X720" s="771">
        <v>12.37857</v>
      </c>
      <c r="Y720" s="814">
        <v>11.35</v>
      </c>
      <c r="Z720" s="337">
        <v>0</v>
      </c>
      <c r="AA720" s="337">
        <v>0</v>
      </c>
      <c r="AB720" s="337">
        <v>0</v>
      </c>
      <c r="AC720" s="813">
        <v>0.20586328073012086</v>
      </c>
      <c r="AD720" s="818">
        <v>8.3308084168915497E-2</v>
      </c>
      <c r="AE720" s="813">
        <v>0.43290005999999998</v>
      </c>
      <c r="AF720" s="814">
        <v>15.900687249219164</v>
      </c>
      <c r="AG720" s="172">
        <f t="shared" si="43"/>
        <v>9.0898729772514262</v>
      </c>
      <c r="AH720" s="667">
        <f t="shared" si="41"/>
        <v>202503</v>
      </c>
      <c r="AJ720" s="262" t="s">
        <v>1911</v>
      </c>
      <c r="AK720" s="262"/>
    </row>
    <row r="721" spans="3:37" ht="15.75" hidden="1">
      <c r="C721" s="649">
        <v>45729</v>
      </c>
      <c r="D721" s="809">
        <v>336441</v>
      </c>
      <c r="E721" s="809">
        <v>26635</v>
      </c>
      <c r="F721" s="810">
        <v>25544</v>
      </c>
      <c r="G721" s="811">
        <v>4190</v>
      </c>
      <c r="H721" s="812">
        <v>2159</v>
      </c>
      <c r="I721" s="646">
        <v>140380</v>
      </c>
      <c r="J721" s="812">
        <v>168268</v>
      </c>
      <c r="K721" s="809">
        <v>51895.31</v>
      </c>
      <c r="L721" s="812">
        <v>12658</v>
      </c>
      <c r="M721" s="812">
        <v>392092</v>
      </c>
      <c r="N721" s="812">
        <v>7079</v>
      </c>
      <c r="O721" s="809">
        <v>5678</v>
      </c>
      <c r="P721" s="809">
        <v>126.17338799999999</v>
      </c>
      <c r="Q721" s="337">
        <v>0</v>
      </c>
      <c r="R721" s="783">
        <f t="shared" si="42"/>
        <v>145810.74727460003</v>
      </c>
      <c r="S721" s="816">
        <v>13.556960699085648</v>
      </c>
      <c r="T721" s="816">
        <v>0.27011099999999999</v>
      </c>
      <c r="U721" s="559">
        <v>3.4079575927305102E-3</v>
      </c>
      <c r="V721" s="744">
        <v>2.1999999999999999E-2</v>
      </c>
      <c r="W721" s="816">
        <v>0.24033000000000002</v>
      </c>
      <c r="X721" s="771">
        <v>12.37857</v>
      </c>
      <c r="Y721" s="816">
        <v>11.23</v>
      </c>
      <c r="Z721" s="337">
        <v>0</v>
      </c>
      <c r="AA721" s="337">
        <v>0</v>
      </c>
      <c r="AB721" s="337">
        <v>0</v>
      </c>
      <c r="AC721" s="816">
        <v>0.20671278532735657</v>
      </c>
      <c r="AD721" s="817">
        <v>8.274174777075835E-2</v>
      </c>
      <c r="AE721" s="816">
        <v>0.36850003000000003</v>
      </c>
      <c r="AF721" s="816">
        <v>15.897912200868191</v>
      </c>
      <c r="AG721" s="172">
        <f t="shared" si="43"/>
        <v>9.0430058339050738</v>
      </c>
      <c r="AH721" s="667">
        <f t="shared" si="41"/>
        <v>202503</v>
      </c>
      <c r="AJ721" s="262" t="s">
        <v>1916</v>
      </c>
      <c r="AK721" s="262"/>
    </row>
    <row r="722" spans="3:37" ht="15.75" hidden="1">
      <c r="C722" s="649">
        <v>45730</v>
      </c>
      <c r="D722" s="805">
        <v>342865</v>
      </c>
      <c r="E722" s="781">
        <v>29755</v>
      </c>
      <c r="F722" s="779">
        <v>25522</v>
      </c>
      <c r="G722" s="807">
        <v>4278</v>
      </c>
      <c r="H722" s="808">
        <v>2094</v>
      </c>
      <c r="I722" s="646">
        <v>156210</v>
      </c>
      <c r="J722" s="808">
        <v>169057</v>
      </c>
      <c r="K722" s="781">
        <v>50989.599999999999</v>
      </c>
      <c r="L722" s="780">
        <v>11280</v>
      </c>
      <c r="M722" s="808">
        <v>391029</v>
      </c>
      <c r="N722" s="780">
        <v>7139</v>
      </c>
      <c r="O722" s="781">
        <v>3169</v>
      </c>
      <c r="P722" s="781">
        <v>141.89788799999999</v>
      </c>
      <c r="Q722" s="337">
        <v>0</v>
      </c>
      <c r="R722" s="783">
        <f t="shared" si="42"/>
        <v>148584.47529959999</v>
      </c>
      <c r="S722" s="814">
        <v>13.738188346495933</v>
      </c>
      <c r="T722" s="813">
        <v>0.32350400000000001</v>
      </c>
      <c r="U722" s="559">
        <v>3.4079575927305102E-3</v>
      </c>
      <c r="V722" s="750">
        <v>2.1999999999999999E-2</v>
      </c>
      <c r="W722" s="814">
        <v>0.23347000000000001</v>
      </c>
      <c r="X722" s="771">
        <v>12.37857</v>
      </c>
      <c r="Y722" s="814">
        <v>11.4</v>
      </c>
      <c r="Z722" s="337">
        <v>0</v>
      </c>
      <c r="AA722" s="337">
        <v>0</v>
      </c>
      <c r="AB722" s="337">
        <v>0</v>
      </c>
      <c r="AC722" s="813">
        <v>0.20529694433196374</v>
      </c>
      <c r="AD722" s="818">
        <v>8.4610657884676921E-2</v>
      </c>
      <c r="AE722" s="813">
        <v>0.34670003000000005</v>
      </c>
      <c r="AF722" s="814">
        <v>15.898252002707087</v>
      </c>
      <c r="AG722" s="172">
        <f t="shared" si="43"/>
        <v>9.0909024404405088</v>
      </c>
      <c r="AH722" s="667">
        <f t="shared" si="41"/>
        <v>202503</v>
      </c>
      <c r="AJ722" s="262" t="s">
        <v>1912</v>
      </c>
      <c r="AK722" s="262"/>
    </row>
    <row r="723" spans="3:37" ht="15.75" hidden="1">
      <c r="C723" s="649">
        <v>45731</v>
      </c>
      <c r="D723" s="809">
        <v>331504</v>
      </c>
      <c r="E723" s="809">
        <v>26623</v>
      </c>
      <c r="F723" s="810">
        <v>25420</v>
      </c>
      <c r="G723" s="811">
        <v>4328</v>
      </c>
      <c r="H723" s="812">
        <v>2091</v>
      </c>
      <c r="I723" s="646">
        <v>156210</v>
      </c>
      <c r="J723" s="812">
        <v>166521</v>
      </c>
      <c r="K723" s="809">
        <v>51966.86</v>
      </c>
      <c r="L723" s="812">
        <v>9860</v>
      </c>
      <c r="M723" s="812">
        <v>382019</v>
      </c>
      <c r="N723" s="812">
        <v>7159</v>
      </c>
      <c r="O723" s="809">
        <v>4372</v>
      </c>
      <c r="P723" s="809">
        <v>141.39470399999999</v>
      </c>
      <c r="Q723" s="337">
        <v>0</v>
      </c>
      <c r="R723" s="783">
        <f t="shared" si="42"/>
        <v>146722.27961679999</v>
      </c>
      <c r="S723" s="816">
        <v>12.946166893673174</v>
      </c>
      <c r="T723" s="816">
        <v>0.32290600000000003</v>
      </c>
      <c r="U723" s="559">
        <v>3.4079575927305102E-3</v>
      </c>
      <c r="V723" s="744">
        <v>2.3E-2</v>
      </c>
      <c r="W723" s="816">
        <v>0.23555000000000001</v>
      </c>
      <c r="X723" s="771">
        <v>12.37857</v>
      </c>
      <c r="Y723" s="816">
        <v>11.19</v>
      </c>
      <c r="Z723" s="337">
        <v>0</v>
      </c>
      <c r="AA723" s="337">
        <v>0</v>
      </c>
      <c r="AB723" s="337">
        <v>0</v>
      </c>
      <c r="AC723" s="816">
        <v>0.20104942134578516</v>
      </c>
      <c r="AD723" s="817">
        <v>7.5889077353056944E-2</v>
      </c>
      <c r="AE723" s="816">
        <v>0.33130003000000002</v>
      </c>
      <c r="AF723" s="816">
        <v>15.898336953166812</v>
      </c>
      <c r="AG723" s="172">
        <f t="shared" si="43"/>
        <v>9.0046829347824691</v>
      </c>
      <c r="AH723" s="667">
        <f t="shared" si="41"/>
        <v>202503</v>
      </c>
      <c r="AJ723" s="262" t="s">
        <v>1915</v>
      </c>
      <c r="AK723" s="262"/>
    </row>
    <row r="724" spans="3:37" ht="15.75" hidden="1">
      <c r="C724" s="649">
        <v>45732</v>
      </c>
      <c r="D724" s="805">
        <v>336867</v>
      </c>
      <c r="E724" s="805">
        <v>23321</v>
      </c>
      <c r="F724" s="806">
        <v>25007.96</v>
      </c>
      <c r="G724" s="819">
        <v>4341</v>
      </c>
      <c r="H724" s="808">
        <v>2132</v>
      </c>
      <c r="I724" s="646">
        <v>156210</v>
      </c>
      <c r="J724" s="808">
        <v>169139</v>
      </c>
      <c r="K724" s="805">
        <v>51092.13</v>
      </c>
      <c r="L724" s="808">
        <v>7854</v>
      </c>
      <c r="M724" s="808">
        <v>392223</v>
      </c>
      <c r="N724" s="808">
        <v>7160</v>
      </c>
      <c r="O724" s="805">
        <v>4392</v>
      </c>
      <c r="P724" s="805">
        <v>153.97430399999999</v>
      </c>
      <c r="Q724" s="337">
        <v>0</v>
      </c>
      <c r="R724" s="783">
        <f t="shared" si="42"/>
        <v>146146.6601868</v>
      </c>
      <c r="S724" s="814">
        <v>9.9417523014495384</v>
      </c>
      <c r="T724" s="814">
        <v>0.31168299999999999</v>
      </c>
      <c r="U724" s="559">
        <v>3.4079575927305102E-3</v>
      </c>
      <c r="V724" s="820">
        <v>2.1999999999999999E-2</v>
      </c>
      <c r="W724" s="814">
        <v>0.23691000000000001</v>
      </c>
      <c r="X724" s="771">
        <v>12.37857</v>
      </c>
      <c r="Y724" s="814">
        <v>11.21</v>
      </c>
      <c r="Z724" s="337">
        <v>0</v>
      </c>
      <c r="AA724" s="337">
        <v>0</v>
      </c>
      <c r="AB724" s="337">
        <v>0</v>
      </c>
      <c r="AC724" s="815">
        <v>0.20019991674854948</v>
      </c>
      <c r="AD724" s="815">
        <v>8.7074221216660488E-2</v>
      </c>
      <c r="AE724" s="815">
        <v>0.31650003000000004</v>
      </c>
      <c r="AF724" s="814">
        <v>12.6334359346108</v>
      </c>
      <c r="AG724" s="172">
        <f t="shared" si="43"/>
        <v>8.3625210368451519</v>
      </c>
      <c r="AH724" s="667">
        <f t="shared" si="41"/>
        <v>202503</v>
      </c>
      <c r="AJ724" s="262" t="s">
        <v>1914</v>
      </c>
      <c r="AK724" s="262"/>
    </row>
    <row r="725" spans="3:37" ht="15.75" hidden="1">
      <c r="C725" s="649">
        <v>45733</v>
      </c>
      <c r="D725" s="809">
        <v>331795</v>
      </c>
      <c r="E725" s="809">
        <v>25088</v>
      </c>
      <c r="F725" s="810">
        <v>25410.46</v>
      </c>
      <c r="G725" s="811">
        <v>4355</v>
      </c>
      <c r="H725" s="812">
        <v>2071</v>
      </c>
      <c r="I725" s="646">
        <v>156210</v>
      </c>
      <c r="J725" s="812">
        <v>170089</v>
      </c>
      <c r="K725" s="809">
        <v>45414.98</v>
      </c>
      <c r="L725" s="812">
        <v>8449</v>
      </c>
      <c r="M725" s="812">
        <v>372490</v>
      </c>
      <c r="N725" s="812">
        <v>7167</v>
      </c>
      <c r="O725" s="809">
        <v>3831</v>
      </c>
      <c r="P725" s="809">
        <v>151.01809800000001</v>
      </c>
      <c r="Q725" s="337">
        <v>0</v>
      </c>
      <c r="R725" s="783">
        <f t="shared" si="42"/>
        <v>144660.12014409999</v>
      </c>
      <c r="S725" s="816">
        <v>9.7347563479231045</v>
      </c>
      <c r="T725" s="816">
        <v>0.315527</v>
      </c>
      <c r="U725" s="559">
        <v>3.4079575927305102E-3</v>
      </c>
      <c r="V725" s="744">
        <v>2.1999999999999999E-2</v>
      </c>
      <c r="W725" s="816">
        <v>0.23843999999999999</v>
      </c>
      <c r="X725" s="771">
        <v>12.37857</v>
      </c>
      <c r="Y725" s="816">
        <v>11.41</v>
      </c>
      <c r="Z725" s="337">
        <v>0</v>
      </c>
      <c r="AA725" s="337">
        <v>0</v>
      </c>
      <c r="AB725" s="337">
        <v>0</v>
      </c>
      <c r="AC725" s="817">
        <v>0.19680189835960663</v>
      </c>
      <c r="AD725" s="817">
        <v>7.9230462102184068E-2</v>
      </c>
      <c r="AE725" s="817">
        <v>0.30090003000000004</v>
      </c>
      <c r="AF725" s="816">
        <v>12.513004499542681</v>
      </c>
      <c r="AG725" s="172">
        <f t="shared" si="43"/>
        <v>8.380029655574349</v>
      </c>
      <c r="AH725" s="667">
        <f t="shared" si="41"/>
        <v>202503</v>
      </c>
      <c r="AJ725" s="262" t="s">
        <v>1913</v>
      </c>
      <c r="AK725" s="262"/>
    </row>
    <row r="726" spans="3:37" ht="15.75" hidden="1">
      <c r="C726" s="649">
        <v>45734</v>
      </c>
      <c r="D726" s="781">
        <v>340351</v>
      </c>
      <c r="E726" s="781">
        <v>29786</v>
      </c>
      <c r="F726" s="779">
        <v>25391</v>
      </c>
      <c r="G726" s="807">
        <v>4462</v>
      </c>
      <c r="H726" s="780">
        <v>2047</v>
      </c>
      <c r="I726" s="646">
        <v>156210</v>
      </c>
      <c r="J726" s="780">
        <v>170963</v>
      </c>
      <c r="K726" s="781">
        <v>50182.76</v>
      </c>
      <c r="L726" s="780">
        <v>14500</v>
      </c>
      <c r="M726" s="780">
        <v>382403</v>
      </c>
      <c r="N726" s="780">
        <v>7153</v>
      </c>
      <c r="O726" s="781">
        <v>3486</v>
      </c>
      <c r="P726" s="781">
        <v>189.07138799999998</v>
      </c>
      <c r="Q726" s="337">
        <v>0</v>
      </c>
      <c r="R726" s="783">
        <f t="shared" si="42"/>
        <v>149347.81387459999</v>
      </c>
      <c r="S726" s="813">
        <v>9.4674455679929359</v>
      </c>
      <c r="T726" s="813">
        <v>0.31157000000000001</v>
      </c>
      <c r="U726" s="559">
        <v>3.4079575927305102E-3</v>
      </c>
      <c r="V726" s="750">
        <v>2.3E-2</v>
      </c>
      <c r="W726" s="813">
        <v>0.24018</v>
      </c>
      <c r="X726" s="771">
        <v>12.37857</v>
      </c>
      <c r="Y726" s="813">
        <v>11.25</v>
      </c>
      <c r="Z726" s="337">
        <v>0</v>
      </c>
      <c r="AA726" s="337">
        <v>0</v>
      </c>
      <c r="AB726" s="337">
        <v>0</v>
      </c>
      <c r="AC726" s="818">
        <v>0.20019991674854948</v>
      </c>
      <c r="AD726" s="818">
        <v>8.0363134898498362E-2</v>
      </c>
      <c r="AE726" s="818">
        <v>0.30490003000000004</v>
      </c>
      <c r="AF726" s="813">
        <v>12.516430834751533</v>
      </c>
      <c r="AG726" s="172">
        <f t="shared" si="43"/>
        <v>8.3349917533882056</v>
      </c>
      <c r="AH726" s="667">
        <f t="shared" si="41"/>
        <v>202503</v>
      </c>
      <c r="AJ726" s="262" t="s">
        <v>1917</v>
      </c>
      <c r="AK726" s="262"/>
    </row>
    <row r="727" spans="3:37" ht="15.75" hidden="1">
      <c r="C727" s="649">
        <v>45735</v>
      </c>
      <c r="D727" s="809">
        <v>363288</v>
      </c>
      <c r="E727" s="809">
        <v>29893</v>
      </c>
      <c r="F727" s="810">
        <v>25193</v>
      </c>
      <c r="G727" s="811">
        <v>4498</v>
      </c>
      <c r="H727" s="812">
        <v>2018</v>
      </c>
      <c r="I727" s="646">
        <v>156210</v>
      </c>
      <c r="J727" s="812">
        <v>167725</v>
      </c>
      <c r="K727" s="809">
        <v>51049.74</v>
      </c>
      <c r="L727" s="812">
        <v>14273</v>
      </c>
      <c r="M727" s="812">
        <v>401575</v>
      </c>
      <c r="N727" s="812">
        <v>7212</v>
      </c>
      <c r="O727" s="809">
        <v>5077</v>
      </c>
      <c r="P727" s="809">
        <v>130.82784000000001</v>
      </c>
      <c r="Q727" s="337">
        <v>0</v>
      </c>
      <c r="R727" s="783">
        <f t="shared" si="42"/>
        <v>150601.67277799998</v>
      </c>
      <c r="S727" s="816">
        <v>9.7540117854604436</v>
      </c>
      <c r="T727" s="816">
        <v>0.30889899999999998</v>
      </c>
      <c r="U727" s="559">
        <v>3.4079575927305102E-3</v>
      </c>
      <c r="V727" s="744">
        <v>2.8000000000000001E-2</v>
      </c>
      <c r="W727" s="816">
        <v>0.24203</v>
      </c>
      <c r="X727" s="771">
        <v>12.37857</v>
      </c>
      <c r="Y727" s="816">
        <v>11.06</v>
      </c>
      <c r="Z727" s="337">
        <v>0</v>
      </c>
      <c r="AA727" s="337">
        <v>0</v>
      </c>
      <c r="AB727" s="337">
        <v>0</v>
      </c>
      <c r="AC727" s="817">
        <v>0.20048308494762804</v>
      </c>
      <c r="AD727" s="817">
        <v>8.6281350259240483E-2</v>
      </c>
      <c r="AE727" s="817">
        <v>0.34050003000000001</v>
      </c>
      <c r="AF727" s="816">
        <v>12.513061133182498</v>
      </c>
      <c r="AG727" s="172">
        <f t="shared" si="43"/>
        <v>8.31544823062859</v>
      </c>
      <c r="AH727" s="667">
        <f t="shared" si="41"/>
        <v>202503</v>
      </c>
      <c r="AJ727" s="262" t="s">
        <v>1918</v>
      </c>
      <c r="AK727" s="262"/>
    </row>
    <row r="728" spans="3:37" ht="15.75" hidden="1">
      <c r="C728" s="649">
        <v>45736</v>
      </c>
      <c r="D728" s="781">
        <v>338958</v>
      </c>
      <c r="E728" s="781">
        <v>29774</v>
      </c>
      <c r="F728" s="779">
        <v>25361</v>
      </c>
      <c r="G728" s="819">
        <v>4550</v>
      </c>
      <c r="H728" s="808">
        <v>2101</v>
      </c>
      <c r="I728" s="646">
        <v>156210</v>
      </c>
      <c r="J728" s="780">
        <v>170044</v>
      </c>
      <c r="K728" s="805">
        <v>49766.21</v>
      </c>
      <c r="L728" s="780">
        <v>10145</v>
      </c>
      <c r="M728" s="780">
        <v>392998</v>
      </c>
      <c r="N728" s="780">
        <v>7224</v>
      </c>
      <c r="O728" s="805">
        <v>3504</v>
      </c>
      <c r="P728" s="781">
        <v>142.08658199999999</v>
      </c>
      <c r="Q728" s="337">
        <v>0</v>
      </c>
      <c r="R728" s="783">
        <f t="shared" si="42"/>
        <v>148404.77421190005</v>
      </c>
      <c r="S728" s="813">
        <v>10.094379960752887</v>
      </c>
      <c r="T728" s="813">
        <v>0.31173499999999998</v>
      </c>
      <c r="U728" s="559">
        <v>3.4079575927305102E-3</v>
      </c>
      <c r="V728" s="820">
        <v>2.8000000000000001E-2</v>
      </c>
      <c r="W728" s="814">
        <v>0.25436999999999999</v>
      </c>
      <c r="X728" s="771">
        <v>12.37857</v>
      </c>
      <c r="Y728" s="813">
        <v>11.1</v>
      </c>
      <c r="Z728" s="337">
        <v>0</v>
      </c>
      <c r="AA728" s="337">
        <v>0</v>
      </c>
      <c r="AB728" s="337">
        <v>0</v>
      </c>
      <c r="AC728" s="818">
        <v>0.20982763551722086</v>
      </c>
      <c r="AD728" s="815">
        <v>8.2260361832324769E-2</v>
      </c>
      <c r="AE728" s="818">
        <v>0.34270003000000004</v>
      </c>
      <c r="AF728" s="813">
        <v>9.1163453179554104</v>
      </c>
      <c r="AG728" s="172">
        <f t="shared" si="43"/>
        <v>7.7718775363591774</v>
      </c>
      <c r="AH728" s="667">
        <f t="shared" si="41"/>
        <v>202503</v>
      </c>
      <c r="AJ728" s="931" t="s">
        <v>1919</v>
      </c>
      <c r="AK728" s="262"/>
    </row>
    <row r="729" spans="3:37" ht="15.75" hidden="1">
      <c r="C729" s="649">
        <v>45737</v>
      </c>
      <c r="D729" s="809">
        <v>319405</v>
      </c>
      <c r="E729" s="809">
        <v>29208</v>
      </c>
      <c r="F729" s="810">
        <v>25202.63</v>
      </c>
      <c r="G729" s="811">
        <v>4584</v>
      </c>
      <c r="H729" s="812">
        <v>2176</v>
      </c>
      <c r="I729" s="470">
        <v>158680</v>
      </c>
      <c r="J729" s="812">
        <v>165815</v>
      </c>
      <c r="K729" s="809">
        <v>49400.02</v>
      </c>
      <c r="L729" s="812">
        <v>9772</v>
      </c>
      <c r="M729" s="812">
        <v>384012</v>
      </c>
      <c r="N729" s="812">
        <v>7222</v>
      </c>
      <c r="O729" s="809">
        <v>4518</v>
      </c>
      <c r="P729" s="809">
        <v>146.86682999999999</v>
      </c>
      <c r="Q729" s="337">
        <v>0</v>
      </c>
      <c r="R729" s="783">
        <f t="shared" si="42"/>
        <v>146922.18732350002</v>
      </c>
      <c r="S729" s="816">
        <v>12.798069925555078</v>
      </c>
      <c r="T729" s="816">
        <v>0.30541000000000001</v>
      </c>
      <c r="U729" s="559">
        <v>3.4079575927305102E-3</v>
      </c>
      <c r="V729" s="744">
        <v>2.5999999999999999E-2</v>
      </c>
      <c r="W729" s="816">
        <v>0.27938000000000002</v>
      </c>
      <c r="X729" s="771">
        <v>12.37857</v>
      </c>
      <c r="Y729" s="816">
        <v>11.01</v>
      </c>
      <c r="Z729" s="337">
        <v>0</v>
      </c>
      <c r="AA729" s="337">
        <v>0</v>
      </c>
      <c r="AB729" s="337">
        <v>0</v>
      </c>
      <c r="AC729" s="817">
        <v>0.21322565390616371</v>
      </c>
      <c r="AD729" s="817">
        <v>8.1665708614259772E-2</v>
      </c>
      <c r="AE729" s="817">
        <v>0.32140003</v>
      </c>
      <c r="AF729" s="816">
        <v>8.7449702248638665</v>
      </c>
      <c r="AG729" s="172">
        <f t="shared" si="43"/>
        <v>7.7772798727396371</v>
      </c>
      <c r="AH729" s="667">
        <f t="shared" si="41"/>
        <v>202503</v>
      </c>
      <c r="AJ729" s="262" t="s">
        <v>1920</v>
      </c>
      <c r="AK729" s="262"/>
    </row>
    <row r="730" spans="3:37" ht="15.75" hidden="1">
      <c r="C730" s="649">
        <v>45738</v>
      </c>
      <c r="D730" s="781">
        <v>326261</v>
      </c>
      <c r="E730" s="781">
        <v>29226</v>
      </c>
      <c r="F730" s="806">
        <v>25239.31</v>
      </c>
      <c r="G730" s="819">
        <v>4589</v>
      </c>
      <c r="H730" s="780">
        <v>2107</v>
      </c>
      <c r="I730" s="470">
        <v>158680</v>
      </c>
      <c r="J730" s="808">
        <v>168203</v>
      </c>
      <c r="K730" s="805">
        <v>49432.89</v>
      </c>
      <c r="L730" s="808">
        <v>10030</v>
      </c>
      <c r="M730" s="780">
        <v>378338</v>
      </c>
      <c r="N730" s="808">
        <v>7198</v>
      </c>
      <c r="O730" s="805">
        <v>4170</v>
      </c>
      <c r="P730" s="805">
        <v>158.25136799999999</v>
      </c>
      <c r="Q730" s="337">
        <v>0</v>
      </c>
      <c r="R730" s="783">
        <f t="shared" si="42"/>
        <v>147414.42436559999</v>
      </c>
      <c r="S730" s="813">
        <v>12.724163025595573</v>
      </c>
      <c r="T730" s="813">
        <v>0.30016999999999999</v>
      </c>
      <c r="U730" s="559">
        <v>3.4079575927305102E-3</v>
      </c>
      <c r="V730" s="820">
        <v>2.5999999999999999E-2</v>
      </c>
      <c r="W730" s="813">
        <v>0.27676999999999996</v>
      </c>
      <c r="X730" s="771">
        <v>12.37857</v>
      </c>
      <c r="Y730" s="814">
        <v>11.04</v>
      </c>
      <c r="Z730" s="337">
        <v>0</v>
      </c>
      <c r="AA730" s="337">
        <v>0</v>
      </c>
      <c r="AB730" s="337">
        <v>0</v>
      </c>
      <c r="AC730" s="815">
        <v>0.21124347651261371</v>
      </c>
      <c r="AD730" s="815">
        <v>8.084452083693193E-2</v>
      </c>
      <c r="AE730" s="815">
        <v>0.31700003000000004</v>
      </c>
      <c r="AF730" s="813">
        <v>13.109016924963257</v>
      </c>
      <c r="AG730" s="172">
        <f t="shared" si="43"/>
        <v>8.5182547203084944</v>
      </c>
      <c r="AH730" s="667">
        <f t="shared" si="41"/>
        <v>202503</v>
      </c>
      <c r="AJ730" s="262" t="s">
        <v>1920</v>
      </c>
      <c r="AK730" s="262"/>
    </row>
    <row r="731" spans="3:37" ht="15.75" hidden="1">
      <c r="C731" s="649">
        <v>45739</v>
      </c>
      <c r="D731" s="809">
        <v>323988</v>
      </c>
      <c r="E731" s="809">
        <v>28296</v>
      </c>
      <c r="F731" s="810">
        <v>25185</v>
      </c>
      <c r="G731" s="811">
        <v>4616</v>
      </c>
      <c r="H731" s="812">
        <v>2157</v>
      </c>
      <c r="I731" s="470">
        <v>158680</v>
      </c>
      <c r="J731" s="812">
        <v>169463</v>
      </c>
      <c r="K731" s="809">
        <v>49272.94</v>
      </c>
      <c r="L731" s="812">
        <v>7073</v>
      </c>
      <c r="M731" s="812">
        <v>388253</v>
      </c>
      <c r="N731" s="812">
        <v>7210</v>
      </c>
      <c r="O731" s="809">
        <v>3755</v>
      </c>
      <c r="P731" s="809">
        <v>132.651882</v>
      </c>
      <c r="Q731" s="337">
        <v>0</v>
      </c>
      <c r="R731" s="783">
        <f t="shared" si="42"/>
        <v>146916.95859690002</v>
      </c>
      <c r="S731" s="816">
        <v>12.683669973127333</v>
      </c>
      <c r="T731" s="816">
        <v>0.29997099999999999</v>
      </c>
      <c r="U731" s="559">
        <v>3.4079575927305102E-3</v>
      </c>
      <c r="V731" s="744">
        <v>2.5000000000000001E-2</v>
      </c>
      <c r="W731" s="816">
        <v>0.27676000000000001</v>
      </c>
      <c r="X731" s="771">
        <v>12.37857</v>
      </c>
      <c r="Y731" s="816">
        <v>11.11</v>
      </c>
      <c r="Z731" s="337">
        <v>0</v>
      </c>
      <c r="AA731" s="337">
        <v>0</v>
      </c>
      <c r="AB731" s="337">
        <v>0</v>
      </c>
      <c r="AC731" s="817">
        <v>0.21407515850339942</v>
      </c>
      <c r="AD731" s="817">
        <v>8.084452083693193E-2</v>
      </c>
      <c r="AE731" s="817">
        <v>0.31910003000000003</v>
      </c>
      <c r="AF731" s="816">
        <v>13.104429600138186</v>
      </c>
      <c r="AG731" s="172">
        <f t="shared" si="43"/>
        <v>8.5351832083225236</v>
      </c>
      <c r="AH731" s="667">
        <f t="shared" si="41"/>
        <v>202503</v>
      </c>
      <c r="AJ731" s="262" t="s">
        <v>1921</v>
      </c>
      <c r="AK731" s="262"/>
    </row>
    <row r="732" spans="3:37" ht="15.75" hidden="1">
      <c r="C732" s="649">
        <v>45740</v>
      </c>
      <c r="D732" s="805">
        <v>332823</v>
      </c>
      <c r="E732" s="781">
        <v>29717</v>
      </c>
      <c r="F732" s="779">
        <v>25212</v>
      </c>
      <c r="G732" s="807">
        <v>4520</v>
      </c>
      <c r="H732" s="780">
        <v>2174</v>
      </c>
      <c r="I732" s="470">
        <v>158680</v>
      </c>
      <c r="J732" s="808">
        <v>170945</v>
      </c>
      <c r="K732" s="781">
        <v>50661.45</v>
      </c>
      <c r="L732" s="780">
        <v>7510</v>
      </c>
      <c r="M732" s="780">
        <v>390720</v>
      </c>
      <c r="N732" s="780">
        <v>7195</v>
      </c>
      <c r="O732" s="781">
        <v>4660</v>
      </c>
      <c r="P732" s="781">
        <v>156.86761200000001</v>
      </c>
      <c r="R732" s="783">
        <f t="shared" si="42"/>
        <v>148854.75317540002</v>
      </c>
      <c r="S732" s="814">
        <v>12.900576813621523</v>
      </c>
      <c r="T732" s="813">
        <v>0.31256299999999998</v>
      </c>
      <c r="U732" s="559">
        <v>3.4079575927305102E-3</v>
      </c>
      <c r="V732" s="750">
        <v>2.4E-2</v>
      </c>
      <c r="W732" s="813">
        <v>0.27629000000000004</v>
      </c>
      <c r="X732" s="771">
        <v>12.37857</v>
      </c>
      <c r="Y732" s="814">
        <v>11.12</v>
      </c>
      <c r="Z732" s="337">
        <v>0</v>
      </c>
      <c r="AA732" s="337">
        <v>0</v>
      </c>
      <c r="AB732" s="337">
        <v>0</v>
      </c>
      <c r="AC732" s="818">
        <v>0.20982763551722086</v>
      </c>
      <c r="AD732" s="818">
        <v>8.1637391794351921E-2</v>
      </c>
      <c r="AE732" s="818">
        <v>0.31770003000000002</v>
      </c>
      <c r="AF732" s="813">
        <v>13.093017921715319</v>
      </c>
      <c r="AG732" s="172">
        <f t="shared" si="43"/>
        <v>8.5438375089295793</v>
      </c>
      <c r="AH732" s="667">
        <f t="shared" si="41"/>
        <v>202503</v>
      </c>
      <c r="AJ732" s="931" t="s">
        <v>1923</v>
      </c>
      <c r="AK732" s="262"/>
    </row>
    <row r="733" spans="3:37" ht="15.75" hidden="1">
      <c r="C733" s="649">
        <v>45741</v>
      </c>
      <c r="D733" s="809">
        <v>323329</v>
      </c>
      <c r="E733" s="809">
        <v>27686</v>
      </c>
      <c r="F733" s="810">
        <v>8883.4</v>
      </c>
      <c r="G733" s="811">
        <v>4364</v>
      </c>
      <c r="H733" s="812">
        <v>2173</v>
      </c>
      <c r="I733" s="470">
        <v>158680</v>
      </c>
      <c r="J733" s="812">
        <v>172771</v>
      </c>
      <c r="K733" s="809">
        <v>49010.39</v>
      </c>
      <c r="L733" s="812">
        <v>8797</v>
      </c>
      <c r="M733" s="812">
        <v>401278</v>
      </c>
      <c r="N733" s="812">
        <v>7226</v>
      </c>
      <c r="O733" s="809">
        <v>4611</v>
      </c>
      <c r="P733" s="809">
        <v>139.88515199999998</v>
      </c>
      <c r="Q733" s="337">
        <v>0</v>
      </c>
      <c r="R733" s="783">
        <f t="shared" si="42"/>
        <v>137290.63531839999</v>
      </c>
      <c r="S733" s="816">
        <v>13.850322953331045</v>
      </c>
      <c r="T733" s="816">
        <v>0.30243300000000001</v>
      </c>
      <c r="U733" s="559">
        <v>3.4079575927305102E-3</v>
      </c>
      <c r="V733" s="744">
        <v>2.3E-2</v>
      </c>
      <c r="W733" s="816">
        <v>0.27423999999999998</v>
      </c>
      <c r="X733" s="771">
        <v>12.37857</v>
      </c>
      <c r="Y733" s="816">
        <v>11</v>
      </c>
      <c r="Z733" s="337">
        <v>0</v>
      </c>
      <c r="AA733" s="337">
        <v>0</v>
      </c>
      <c r="AB733" s="337">
        <v>0</v>
      </c>
      <c r="AC733" s="817">
        <v>0.20642961712827801</v>
      </c>
      <c r="AD733" s="817">
        <v>8.5601746581451921E-2</v>
      </c>
      <c r="AE733" s="817">
        <v>0.32210003000000004</v>
      </c>
      <c r="AF733" s="816">
        <v>13.089619903326374</v>
      </c>
      <c r="AG733" s="172">
        <f t="shared" si="43"/>
        <v>8.5377467802820206</v>
      </c>
      <c r="AH733" s="667">
        <f t="shared" si="41"/>
        <v>202503</v>
      </c>
      <c r="AI733" s="826"/>
      <c r="AJ733" s="262" t="s">
        <v>1924</v>
      </c>
      <c r="AK733" s="262"/>
    </row>
    <row r="734" spans="3:37" ht="15.75" hidden="1">
      <c r="C734" s="649">
        <v>45742</v>
      </c>
      <c r="D734" s="805">
        <v>332265</v>
      </c>
      <c r="E734" s="805">
        <v>30440</v>
      </c>
      <c r="F734" s="806">
        <v>2111.56</v>
      </c>
      <c r="G734" s="819">
        <v>4316</v>
      </c>
      <c r="H734" s="808">
        <v>2163</v>
      </c>
      <c r="I734" s="470">
        <v>158680</v>
      </c>
      <c r="J734" s="808">
        <v>169145</v>
      </c>
      <c r="K734" s="805">
        <v>50537.59</v>
      </c>
      <c r="L734" s="808">
        <v>8629</v>
      </c>
      <c r="M734" s="808">
        <v>398296</v>
      </c>
      <c r="N734" s="808">
        <v>7230</v>
      </c>
      <c r="O734" s="805">
        <v>3890</v>
      </c>
      <c r="P734" s="805">
        <v>159.949614</v>
      </c>
      <c r="Q734" s="337">
        <v>0</v>
      </c>
      <c r="R734" s="783">
        <f t="shared" si="42"/>
        <v>132521.60432629997</v>
      </c>
      <c r="S734" s="814">
        <v>13.76877051199642</v>
      </c>
      <c r="T734" s="814">
        <v>0.24956900000000001</v>
      </c>
      <c r="U734" s="559">
        <v>3.4079575927305102E-3</v>
      </c>
      <c r="V734" s="820">
        <v>2.1999999999999999E-2</v>
      </c>
      <c r="W734" s="814">
        <v>0.27300999999999997</v>
      </c>
      <c r="X734" s="771">
        <v>12.37857</v>
      </c>
      <c r="Y734" s="814">
        <v>11.11</v>
      </c>
      <c r="Z734" s="827">
        <v>0</v>
      </c>
      <c r="AA734" s="337">
        <v>0</v>
      </c>
      <c r="AB734" s="827">
        <v>0</v>
      </c>
      <c r="AC734" s="815">
        <v>0.20642961712827801</v>
      </c>
      <c r="AD734" s="815">
        <v>8.3902737386980494E-2</v>
      </c>
      <c r="AE734" s="815">
        <v>0.32390003000000001</v>
      </c>
      <c r="AF734" s="813">
        <v>13.090752576122689</v>
      </c>
      <c r="AG734" s="172">
        <f t="shared" si="43"/>
        <v>8.5482810420705668</v>
      </c>
      <c r="AH734" s="667">
        <f t="shared" si="41"/>
        <v>202503</v>
      </c>
      <c r="AI734" s="826"/>
      <c r="AJ734" s="262" t="s">
        <v>1925</v>
      </c>
      <c r="AK734" s="262"/>
    </row>
    <row r="735" spans="3:37" ht="15.75" hidden="1">
      <c r="C735" s="649">
        <v>45743</v>
      </c>
      <c r="D735" s="809">
        <v>355923</v>
      </c>
      <c r="E735" s="809">
        <v>27478</v>
      </c>
      <c r="F735" s="810">
        <v>1510.54</v>
      </c>
      <c r="G735" s="811">
        <v>4388</v>
      </c>
      <c r="H735" s="812">
        <v>2139</v>
      </c>
      <c r="I735" s="470">
        <v>158680</v>
      </c>
      <c r="J735" s="812">
        <v>169917</v>
      </c>
      <c r="K735" s="809">
        <v>50576.81</v>
      </c>
      <c r="L735" s="812">
        <v>8493</v>
      </c>
      <c r="M735" s="812">
        <v>396212</v>
      </c>
      <c r="N735" s="812">
        <v>7308</v>
      </c>
      <c r="O735" s="809">
        <v>3960</v>
      </c>
      <c r="P735" s="809">
        <v>160.57859400000001</v>
      </c>
      <c r="Q735" s="337">
        <v>0</v>
      </c>
      <c r="R735" s="783">
        <f t="shared" si="42"/>
        <v>132136.36486730003</v>
      </c>
      <c r="S735" s="816">
        <v>13.790291295126391</v>
      </c>
      <c r="T735" s="816">
        <v>0.29577199999999998</v>
      </c>
      <c r="U735" s="559">
        <v>3.4079575927305102E-3</v>
      </c>
      <c r="V735" s="744">
        <v>2.1000000000000001E-2</v>
      </c>
      <c r="W735" s="816">
        <v>0.27412999999999998</v>
      </c>
      <c r="X735" s="771">
        <v>12.37857</v>
      </c>
      <c r="Y735" s="816">
        <v>11.05</v>
      </c>
      <c r="Z735" s="337">
        <v>0</v>
      </c>
      <c r="AA735" s="337">
        <v>0</v>
      </c>
      <c r="AB735" s="751">
        <v>0</v>
      </c>
      <c r="AC735" s="817">
        <v>0.20388110333657089</v>
      </c>
      <c r="AD735" s="817">
        <v>8.1325906775365497E-2</v>
      </c>
      <c r="AE735" s="817">
        <v>0.32010003000000004</v>
      </c>
      <c r="AF735" s="816">
        <v>13.09273475351624</v>
      </c>
      <c r="AG735" s="172">
        <f t="shared" si="43"/>
        <v>8.5437212363722885</v>
      </c>
      <c r="AH735" s="667">
        <f t="shared" si="41"/>
        <v>202503</v>
      </c>
      <c r="AI735" s="826"/>
      <c r="AJ735" s="262" t="s">
        <v>1926</v>
      </c>
      <c r="AK735" s="262"/>
    </row>
    <row r="736" spans="3:37" ht="15.75" hidden="1">
      <c r="C736" s="649">
        <v>45744</v>
      </c>
      <c r="D736" s="781">
        <v>339059</v>
      </c>
      <c r="E736" s="805">
        <v>25956</v>
      </c>
      <c r="F736" s="779">
        <v>1436</v>
      </c>
      <c r="G736" s="819">
        <v>4390</v>
      </c>
      <c r="H736" s="808">
        <v>2130</v>
      </c>
      <c r="I736" s="470">
        <v>156900</v>
      </c>
      <c r="J736" s="780">
        <v>172031</v>
      </c>
      <c r="K736" s="781">
        <v>50482</v>
      </c>
      <c r="L736" s="808">
        <v>7422</v>
      </c>
      <c r="M736" s="780">
        <v>416769</v>
      </c>
      <c r="N736" s="808">
        <v>7243</v>
      </c>
      <c r="O736" s="781">
        <v>5094</v>
      </c>
      <c r="P736" s="805">
        <v>148.87956600000001</v>
      </c>
      <c r="Q736" s="337">
        <v>0</v>
      </c>
      <c r="R736" s="783">
        <f t="shared" si="42"/>
        <v>132346.99905470002</v>
      </c>
      <c r="S736" s="813">
        <v>13.728843795926339</v>
      </c>
      <c r="T736" s="814">
        <v>0.32626899999999998</v>
      </c>
      <c r="U736" s="559">
        <v>3.4079575927305102E-3</v>
      </c>
      <c r="V736" s="750">
        <v>2.1999999999999999E-2</v>
      </c>
      <c r="W736" s="814">
        <v>0.27124000000000004</v>
      </c>
      <c r="X736" s="771">
        <v>12.37857</v>
      </c>
      <c r="Y736" s="813">
        <v>11.12</v>
      </c>
      <c r="Z736" s="827"/>
      <c r="AA736" s="337">
        <v>0</v>
      </c>
      <c r="AB736" s="337">
        <v>0</v>
      </c>
      <c r="AC736" s="815">
        <v>0.20218209414209945</v>
      </c>
      <c r="AD736" s="815">
        <v>8.3336400988823348E-2</v>
      </c>
      <c r="AE736" s="815">
        <v>0.31930003000000001</v>
      </c>
      <c r="AF736" s="813">
        <v>9.3951244099482647</v>
      </c>
      <c r="AG736" s="172">
        <f t="shared" si="43"/>
        <v>7.9376316352881222</v>
      </c>
      <c r="AH736" s="667">
        <f t="shared" si="41"/>
        <v>202503</v>
      </c>
      <c r="AI736" s="826"/>
      <c r="AJ736" s="262" t="s">
        <v>1926</v>
      </c>
      <c r="AK736" s="262"/>
    </row>
    <row r="737" spans="3:66" ht="15.75" hidden="1">
      <c r="C737" s="649">
        <v>45745</v>
      </c>
      <c r="D737" s="809">
        <v>310720</v>
      </c>
      <c r="E737" s="809">
        <v>24170</v>
      </c>
      <c r="F737" s="810">
        <v>1438</v>
      </c>
      <c r="G737" s="811">
        <v>4423</v>
      </c>
      <c r="H737" s="812">
        <v>2117</v>
      </c>
      <c r="I737" s="470">
        <v>156900</v>
      </c>
      <c r="J737" s="812">
        <v>171687</v>
      </c>
      <c r="K737" s="809">
        <v>48541.120000000003</v>
      </c>
      <c r="L737" s="812">
        <v>7842</v>
      </c>
      <c r="M737" s="812">
        <v>415084</v>
      </c>
      <c r="N737" s="812">
        <v>7266</v>
      </c>
      <c r="O737" s="809">
        <v>4768</v>
      </c>
      <c r="P737" s="809">
        <v>134.60171999999997</v>
      </c>
      <c r="Q737" s="337">
        <v>0</v>
      </c>
      <c r="R737" s="783">
        <f t="shared" si="42"/>
        <v>130365.733274</v>
      </c>
      <c r="S737" s="816">
        <v>13.684952725069163</v>
      </c>
      <c r="T737" s="816">
        <v>0.39920600000000001</v>
      </c>
      <c r="U737" s="559">
        <v>3.4079575927305102E-3</v>
      </c>
      <c r="V737" s="744">
        <v>2.1000000000000001E-2</v>
      </c>
      <c r="W737" s="816">
        <v>0.27147000000000004</v>
      </c>
      <c r="X737" s="771">
        <v>12.37857</v>
      </c>
      <c r="Y737" s="816">
        <v>11.18</v>
      </c>
      <c r="Z737" s="751"/>
      <c r="AA737" s="337">
        <v>0</v>
      </c>
      <c r="AB737" s="337">
        <v>0</v>
      </c>
      <c r="AC737" s="817">
        <v>0.2007662531467066</v>
      </c>
      <c r="AD737" s="817">
        <v>8.3562935548086206E-2</v>
      </c>
      <c r="AE737" s="817">
        <v>0.30900003000000004</v>
      </c>
      <c r="AF737" s="816">
        <v>5.4469385270156616</v>
      </c>
      <c r="AG737" s="172">
        <f t="shared" si="43"/>
        <v>7.2954790826812195</v>
      </c>
      <c r="AH737" s="667">
        <f t="shared" si="41"/>
        <v>202503</v>
      </c>
      <c r="AI737" s="826"/>
      <c r="AJ737" s="262" t="s">
        <v>1927</v>
      </c>
      <c r="AK737" s="262"/>
      <c r="AL737" s="262"/>
      <c r="AM737" s="675"/>
      <c r="AN737" s="675"/>
      <c r="AO737" s="675"/>
      <c r="AP737" s="675"/>
      <c r="AQ737" s="675"/>
      <c r="AR737" s="675"/>
      <c r="AS737" s="675"/>
      <c r="AT737" s="675"/>
      <c r="AU737" s="675"/>
      <c r="AV737" s="675"/>
      <c r="AW737" s="675"/>
      <c r="AX737" s="675"/>
      <c r="AY737" s="675"/>
      <c r="AZ737" s="675"/>
      <c r="BA737" s="675"/>
      <c r="BB737" s="675"/>
      <c r="BC737" s="675"/>
      <c r="BD737" s="675"/>
      <c r="BE737" s="675"/>
      <c r="BF737" s="675"/>
      <c r="BG737" s="675"/>
      <c r="BH737" s="675"/>
      <c r="BI737" s="675"/>
      <c r="BJ737" s="675"/>
      <c r="BK737" s="675"/>
      <c r="BL737" s="675"/>
      <c r="BM737" s="675"/>
      <c r="BN737" s="675"/>
    </row>
    <row r="738" spans="3:66" ht="15.75" hidden="1">
      <c r="C738" s="649">
        <v>45746</v>
      </c>
      <c r="D738" s="781">
        <v>323281</v>
      </c>
      <c r="E738" s="781">
        <v>26541</v>
      </c>
      <c r="F738" s="779">
        <v>1972</v>
      </c>
      <c r="G738" s="807">
        <v>4454</v>
      </c>
      <c r="H738" s="780">
        <v>2116</v>
      </c>
      <c r="I738" s="470">
        <v>156900</v>
      </c>
      <c r="J738" s="780">
        <v>171764</v>
      </c>
      <c r="K738" s="781">
        <v>49711.53</v>
      </c>
      <c r="L738" s="780">
        <v>7215</v>
      </c>
      <c r="M738" s="780">
        <v>414078</v>
      </c>
      <c r="N738" s="780">
        <v>7217</v>
      </c>
      <c r="O738" s="781">
        <v>3189</v>
      </c>
      <c r="P738" s="781">
        <v>158.25136799999999</v>
      </c>
      <c r="Q738" s="337">
        <v>0</v>
      </c>
      <c r="R738" s="783">
        <f t="shared" si="42"/>
        <v>131256.3836156</v>
      </c>
      <c r="S738" s="813">
        <v>13.4558696520146</v>
      </c>
      <c r="T738" s="813">
        <v>0.41522199999999998</v>
      </c>
      <c r="U738" s="559">
        <v>3.4079575927305102E-3</v>
      </c>
      <c r="V738" s="750">
        <v>2.1000000000000001E-2</v>
      </c>
      <c r="W738" s="813">
        <v>0.27112999999999998</v>
      </c>
      <c r="X738" s="771">
        <v>12.37857</v>
      </c>
      <c r="Y738" s="813">
        <v>11.07</v>
      </c>
      <c r="Z738" s="337">
        <v>0</v>
      </c>
      <c r="AA738" s="337">
        <v>0</v>
      </c>
      <c r="AB738" s="337">
        <v>0</v>
      </c>
      <c r="AC738" s="818">
        <v>0.1987840757531566</v>
      </c>
      <c r="AD738" s="818">
        <v>8.3562935548086206E-2</v>
      </c>
      <c r="AE738" s="818">
        <v>0.29900003000000003</v>
      </c>
      <c r="AF738" s="813">
        <v>1.4870294806412061</v>
      </c>
      <c r="AG738" s="172">
        <f t="shared" si="43"/>
        <v>6.586260145397425</v>
      </c>
      <c r="AH738" s="667">
        <f t="shared" si="41"/>
        <v>202503</v>
      </c>
      <c r="AI738" s="826"/>
      <c r="AJ738" s="262" t="s">
        <v>1927</v>
      </c>
      <c r="AK738" s="262"/>
      <c r="AL738" s="262"/>
      <c r="AM738" s="675"/>
      <c r="AN738" s="675"/>
      <c r="AO738" s="675"/>
      <c r="AP738" s="675"/>
      <c r="AQ738" s="675"/>
      <c r="AR738" s="675"/>
      <c r="AS738" s="675"/>
      <c r="AT738" s="675"/>
      <c r="AU738" s="675"/>
      <c r="AV738" s="675"/>
      <c r="AW738" s="675"/>
      <c r="AX738" s="675"/>
      <c r="AY738" s="675"/>
      <c r="AZ738" s="675"/>
      <c r="BA738" s="675"/>
      <c r="BB738" s="675"/>
      <c r="BC738" s="675"/>
      <c r="BD738" s="675"/>
      <c r="BE738" s="675"/>
      <c r="BF738" s="675"/>
      <c r="BG738" s="675"/>
      <c r="BH738" s="675"/>
      <c r="BI738" s="675"/>
      <c r="BJ738" s="675"/>
      <c r="BK738" s="675"/>
      <c r="BL738" s="675"/>
      <c r="BM738" s="675"/>
      <c r="BN738" s="675"/>
    </row>
    <row r="739" spans="3:66" ht="15.75" hidden="1">
      <c r="C739" s="649">
        <v>45747</v>
      </c>
      <c r="D739" s="809">
        <v>326256</v>
      </c>
      <c r="E739" s="809">
        <v>24019</v>
      </c>
      <c r="F739" s="810">
        <v>10396</v>
      </c>
      <c r="G739" s="811">
        <v>4537</v>
      </c>
      <c r="H739" s="812">
        <v>2117</v>
      </c>
      <c r="I739" s="470">
        <v>156900</v>
      </c>
      <c r="J739" s="812">
        <v>171428</v>
      </c>
      <c r="K739" s="809">
        <v>49846.25</v>
      </c>
      <c r="L739" s="812">
        <v>8111</v>
      </c>
      <c r="M739" s="812">
        <v>406252</v>
      </c>
      <c r="N739" s="812">
        <v>7069</v>
      </c>
      <c r="O739" s="809">
        <v>4104</v>
      </c>
      <c r="P739" s="809">
        <v>130.32465599999998</v>
      </c>
      <c r="Q739" s="337">
        <v>0</v>
      </c>
      <c r="R739" s="783">
        <f t="shared" si="42"/>
        <v>136788.35534519999</v>
      </c>
      <c r="S739" s="816">
        <v>13.540820111738169</v>
      </c>
      <c r="T739" s="816">
        <v>0.42936099999999999</v>
      </c>
      <c r="U739" s="559">
        <v>3.4079575927305102E-3</v>
      </c>
      <c r="V739" s="744">
        <v>2.1999999999999999E-2</v>
      </c>
      <c r="W739" s="816">
        <v>0.26974999999999999</v>
      </c>
      <c r="X739" s="771">
        <v>12.37857</v>
      </c>
      <c r="Y739" s="816">
        <v>10.85</v>
      </c>
      <c r="Z739" s="337">
        <v>0</v>
      </c>
      <c r="AA739" s="337">
        <v>0</v>
      </c>
      <c r="AB739" s="337">
        <v>0</v>
      </c>
      <c r="AC739" s="817">
        <v>0.2007662531467066</v>
      </c>
      <c r="AD739" s="817">
        <v>7.9655214400801935E-2</v>
      </c>
      <c r="AE739" s="817">
        <v>0.28440003000000003</v>
      </c>
      <c r="AF739" s="816">
        <v>12.929771454946522</v>
      </c>
      <c r="AG739" s="172">
        <f t="shared" si="43"/>
        <v>8.4718335630306214</v>
      </c>
      <c r="AH739" s="667">
        <f t="shared" si="41"/>
        <v>202503</v>
      </c>
      <c r="AI739" s="826"/>
      <c r="AJ739" s="262" t="s">
        <v>1928</v>
      </c>
      <c r="AK739" s="262"/>
      <c r="AL739" s="262"/>
      <c r="AM739" s="675"/>
      <c r="AN739" s="675"/>
      <c r="AO739" s="675"/>
      <c r="AP739" s="675"/>
      <c r="AQ739" s="675"/>
      <c r="AR739" s="675"/>
      <c r="AS739" s="675"/>
      <c r="AT739" s="675"/>
      <c r="AU739" s="675"/>
      <c r="AV739" s="675"/>
      <c r="AW739" s="675"/>
      <c r="AX739" s="675"/>
      <c r="AY739" s="675"/>
      <c r="AZ739" s="675"/>
      <c r="BA739" s="675"/>
      <c r="BB739" s="675"/>
      <c r="BC739" s="675"/>
      <c r="BD739" s="675"/>
      <c r="BE739" s="675"/>
      <c r="BF739" s="675"/>
      <c r="BG739" s="675"/>
      <c r="BH739" s="675"/>
      <c r="BI739" s="675"/>
      <c r="BJ739" s="675"/>
      <c r="BK739" s="675"/>
      <c r="BL739" s="675"/>
      <c r="BM739" s="675"/>
      <c r="BN739" s="675"/>
    </row>
    <row r="740" spans="3:66" ht="15.75" hidden="1">
      <c r="C740" s="649">
        <v>45748</v>
      </c>
      <c r="D740" s="805">
        <v>328152</v>
      </c>
      <c r="E740" s="781">
        <v>29509</v>
      </c>
      <c r="F740" s="779">
        <v>26226</v>
      </c>
      <c r="G740" s="807">
        <v>4591</v>
      </c>
      <c r="H740" s="780">
        <v>2120</v>
      </c>
      <c r="I740" s="470">
        <v>156900</v>
      </c>
      <c r="J740" s="808">
        <v>170250</v>
      </c>
      <c r="K740" s="781">
        <v>49457.2</v>
      </c>
      <c r="L740" s="780">
        <v>9435</v>
      </c>
      <c r="M740" s="780">
        <v>412868</v>
      </c>
      <c r="N740" s="780">
        <v>7352</v>
      </c>
      <c r="O740" s="781">
        <v>4376</v>
      </c>
      <c r="P740" s="781">
        <v>141.20600999999999</v>
      </c>
      <c r="Q740" s="337">
        <v>0</v>
      </c>
      <c r="R740" s="783">
        <f t="shared" si="42"/>
        <v>149762.45245449999</v>
      </c>
      <c r="S740" s="814">
        <v>13.788025949533761</v>
      </c>
      <c r="T740" s="813">
        <v>0.46978500000000001</v>
      </c>
      <c r="U740" s="559">
        <v>3.4079575927305102E-3</v>
      </c>
      <c r="V740" s="750">
        <v>2.3E-2</v>
      </c>
      <c r="W740" s="813">
        <v>0.26856999999999998</v>
      </c>
      <c r="X740" s="771">
        <v>12.37857</v>
      </c>
      <c r="Y740" s="814">
        <v>3.33</v>
      </c>
      <c r="Z740" s="337">
        <v>0</v>
      </c>
      <c r="AA740" s="337">
        <v>0</v>
      </c>
      <c r="AB740" s="337">
        <v>0</v>
      </c>
      <c r="AC740" s="818">
        <v>0.22058802708220654</v>
      </c>
      <c r="AD740" s="818">
        <v>8.4412440145321913E-2</v>
      </c>
      <c r="AE740" s="818">
        <v>0.32580003000000002</v>
      </c>
      <c r="AF740" s="813">
        <v>12.508247273798164</v>
      </c>
      <c r="AG740" s="172">
        <f t="shared" si="43"/>
        <v>6.4851529884216337</v>
      </c>
      <c r="AH740" s="667">
        <f t="shared" si="41"/>
        <v>202504</v>
      </c>
      <c r="AI740" s="826"/>
      <c r="AJ740" s="262" t="s">
        <v>1929</v>
      </c>
      <c r="AK740" s="262"/>
      <c r="AL740" s="262"/>
      <c r="AM740" s="675"/>
      <c r="AN740" s="675"/>
      <c r="AO740" s="675"/>
      <c r="AP740" s="675"/>
      <c r="AQ740" s="675"/>
      <c r="AR740" s="675"/>
      <c r="AS740" s="675"/>
      <c r="AT740" s="675"/>
      <c r="AU740" s="675"/>
      <c r="AV740" s="675"/>
      <c r="AW740" s="675"/>
      <c r="AX740" s="675"/>
      <c r="AY740" s="675"/>
      <c r="AZ740" s="675"/>
      <c r="BA740" s="675"/>
      <c r="BB740" s="675"/>
      <c r="BC740" s="675"/>
      <c r="BD740" s="675"/>
      <c r="BE740" s="675"/>
      <c r="BF740" s="675"/>
      <c r="BG740" s="675"/>
      <c r="BH740" s="675"/>
      <c r="BI740" s="675"/>
      <c r="BJ740" s="675"/>
      <c r="BK740" s="675"/>
      <c r="BL740" s="675"/>
      <c r="BM740" s="675"/>
      <c r="BN740" s="675"/>
    </row>
    <row r="741" spans="3:66" ht="15.75" hidden="1">
      <c r="C741" s="649">
        <v>45749</v>
      </c>
      <c r="D741" s="809">
        <v>320656</v>
      </c>
      <c r="E741" s="809">
        <v>28950</v>
      </c>
      <c r="F741" s="810">
        <v>25854</v>
      </c>
      <c r="G741" s="811">
        <v>4669</v>
      </c>
      <c r="H741" s="812">
        <v>2117</v>
      </c>
      <c r="I741" s="470">
        <v>156900</v>
      </c>
      <c r="J741" s="812">
        <v>171046</v>
      </c>
      <c r="K741" s="809">
        <v>48851.67</v>
      </c>
      <c r="L741" s="812">
        <v>8831</v>
      </c>
      <c r="M741" s="812">
        <v>421976</v>
      </c>
      <c r="N741" s="812">
        <v>7248</v>
      </c>
      <c r="O741" s="809">
        <v>4965</v>
      </c>
      <c r="P741" s="809">
        <v>118.940118</v>
      </c>
      <c r="Q741" s="337">
        <v>0</v>
      </c>
      <c r="R741" s="783">
        <f t="shared" si="42"/>
        <v>149656.18730310001</v>
      </c>
      <c r="S741" s="816">
        <v>13.754612102042495</v>
      </c>
      <c r="T741" s="816">
        <v>0.451291</v>
      </c>
      <c r="U741" s="559">
        <v>3.4079575927305102E-3</v>
      </c>
      <c r="V741" s="744">
        <v>2.8000000000000001E-2</v>
      </c>
      <c r="W741" s="816">
        <v>0.26885000000000003</v>
      </c>
      <c r="X741" s="771">
        <v>12.37857</v>
      </c>
      <c r="Y741" s="830">
        <v>2.4900000000000002</v>
      </c>
      <c r="Z741" s="337">
        <v>0</v>
      </c>
      <c r="AA741" s="337">
        <v>0</v>
      </c>
      <c r="AB741" s="337">
        <v>0</v>
      </c>
      <c r="AC741" s="817">
        <v>0.19510288916513518</v>
      </c>
      <c r="AD741" s="817">
        <v>8.2600163671219057E-2</v>
      </c>
      <c r="AE741" s="817">
        <v>0.41340006000000001</v>
      </c>
      <c r="AF741" s="816">
        <v>11.275474519109606</v>
      </c>
      <c r="AG741" s="172">
        <f t="shared" si="43"/>
        <v>6.0898826228249403</v>
      </c>
      <c r="AH741" s="667">
        <f t="shared" si="41"/>
        <v>202504</v>
      </c>
      <c r="AI741" s="826"/>
      <c r="AJ741" s="262" t="s">
        <v>1930</v>
      </c>
      <c r="AK741" s="262"/>
      <c r="AL741" s="262"/>
      <c r="AM741" s="675"/>
      <c r="AN741" s="675"/>
      <c r="AO741" s="675"/>
      <c r="AP741" s="675"/>
      <c r="AQ741" s="675"/>
      <c r="AR741" s="675"/>
      <c r="AS741" s="675"/>
      <c r="AT741" s="675"/>
      <c r="AU741" s="675"/>
      <c r="AV741" s="675"/>
      <c r="AW741" s="675"/>
      <c r="AX741" s="675"/>
      <c r="AY741" s="675"/>
      <c r="AZ741" s="675"/>
      <c r="BA741" s="675"/>
      <c r="BB741" s="675"/>
      <c r="BC741" s="675"/>
      <c r="BD741" s="675"/>
      <c r="BE741" s="675"/>
      <c r="BF741" s="675"/>
      <c r="BG741" s="675"/>
      <c r="BH741" s="675"/>
      <c r="BI741" s="675"/>
      <c r="BJ741" s="675"/>
      <c r="BK741" s="675"/>
      <c r="BL741" s="675"/>
      <c r="BM741" s="675"/>
      <c r="BN741" s="675"/>
    </row>
    <row r="742" spans="3:66" ht="15.75" hidden="1">
      <c r="C742" s="649">
        <v>45750</v>
      </c>
      <c r="D742" s="805">
        <v>320992</v>
      </c>
      <c r="E742" s="805">
        <v>27780</v>
      </c>
      <c r="F742" s="806">
        <v>25730</v>
      </c>
      <c r="G742" s="819">
        <v>4813</v>
      </c>
      <c r="H742" s="808">
        <v>2132</v>
      </c>
      <c r="I742" s="470">
        <v>156900</v>
      </c>
      <c r="J742" s="808">
        <v>169299</v>
      </c>
      <c r="K742" s="805">
        <v>48555.29</v>
      </c>
      <c r="L742" s="808">
        <v>10107</v>
      </c>
      <c r="M742" s="808">
        <v>410103</v>
      </c>
      <c r="N742" s="780">
        <v>7251</v>
      </c>
      <c r="O742" s="781">
        <v>4027.9999999999995</v>
      </c>
      <c r="P742" s="805">
        <v>156.30152999999999</v>
      </c>
      <c r="Q742" s="337">
        <v>0</v>
      </c>
      <c r="R742" s="783">
        <f t="shared" si="42"/>
        <v>148297.2579385</v>
      </c>
      <c r="S742" s="814">
        <v>14.315001968018979</v>
      </c>
      <c r="T742" s="814">
        <v>0.44600800000000002</v>
      </c>
      <c r="U742" s="559">
        <v>3.4079575927305102E-3</v>
      </c>
      <c r="V742" s="820">
        <v>0.03</v>
      </c>
      <c r="W742" s="814">
        <v>0.27023000000000003</v>
      </c>
      <c r="X742" s="829">
        <v>12.37857</v>
      </c>
      <c r="Y742" s="814">
        <v>3.77</v>
      </c>
      <c r="Z742" s="337">
        <v>0</v>
      </c>
      <c r="AA742" s="337">
        <v>0</v>
      </c>
      <c r="AB742" s="337">
        <v>0</v>
      </c>
      <c r="AC742" s="818">
        <v>0.19227120717434948</v>
      </c>
      <c r="AD742" s="818">
        <v>8.1665708614259772E-2</v>
      </c>
      <c r="AE742" s="815">
        <v>0.38700003000000005</v>
      </c>
      <c r="AF742" s="814">
        <v>13.92536252608687</v>
      </c>
      <c r="AG742" s="172">
        <f t="shared" si="43"/>
        <v>6.8779432970491179</v>
      </c>
      <c r="AH742" s="667">
        <f t="shared" si="41"/>
        <v>202504</v>
      </c>
      <c r="AI742" s="826"/>
      <c r="AJ742" s="262" t="s">
        <v>1929</v>
      </c>
      <c r="AK742" s="262"/>
      <c r="AL742" s="262"/>
      <c r="AM742" s="675"/>
      <c r="AN742" s="675"/>
      <c r="AO742" s="675"/>
      <c r="AP742" s="675"/>
      <c r="AQ742" s="675"/>
      <c r="AR742" s="675"/>
      <c r="AS742" s="675"/>
      <c r="AT742" s="675"/>
      <c r="AU742" s="675"/>
      <c r="AV742" s="675"/>
      <c r="AW742" s="675"/>
      <c r="AX742" s="675"/>
      <c r="AY742" s="675"/>
      <c r="AZ742" s="675"/>
      <c r="BA742" s="675"/>
      <c r="BB742" s="675"/>
      <c r="BC742" s="675"/>
      <c r="BD742" s="675"/>
      <c r="BE742" s="675"/>
      <c r="BF742" s="675"/>
      <c r="BG742" s="675"/>
      <c r="BH742" s="675"/>
      <c r="BI742" s="675"/>
      <c r="BJ742" s="675"/>
      <c r="BK742" s="675"/>
      <c r="BL742" s="675"/>
      <c r="BM742" s="675"/>
      <c r="BN742" s="675"/>
    </row>
    <row r="743" spans="3:66" ht="15.75" hidden="1">
      <c r="C743" s="649">
        <v>45751</v>
      </c>
      <c r="D743" s="809">
        <v>324411</v>
      </c>
      <c r="E743" s="809">
        <v>28516</v>
      </c>
      <c r="F743" s="810">
        <v>25568.82</v>
      </c>
      <c r="G743" s="811">
        <v>4834</v>
      </c>
      <c r="H743" s="812">
        <v>2146</v>
      </c>
      <c r="I743" s="470">
        <v>148888</v>
      </c>
      <c r="J743" s="812">
        <v>164620</v>
      </c>
      <c r="K743" s="809">
        <v>39694.1</v>
      </c>
      <c r="L743" s="812">
        <v>10470</v>
      </c>
      <c r="M743" s="812">
        <v>409730</v>
      </c>
      <c r="N743" s="812">
        <v>7263</v>
      </c>
      <c r="O743" s="809">
        <v>5075</v>
      </c>
      <c r="P743" s="809">
        <v>149.06825999999998</v>
      </c>
      <c r="Q743" s="337">
        <v>0</v>
      </c>
      <c r="R743" s="783">
        <f t="shared" si="42"/>
        <v>143962.93896699999</v>
      </c>
      <c r="S743" s="816">
        <v>15.135906577147759</v>
      </c>
      <c r="T743" s="816">
        <v>0.441027</v>
      </c>
      <c r="U743" s="559">
        <v>3.4079575927305102E-3</v>
      </c>
      <c r="V743" s="744">
        <v>2.8000000000000001E-2</v>
      </c>
      <c r="W743" s="816">
        <v>0.27522000000000002</v>
      </c>
      <c r="X743" s="829">
        <v>12.37857</v>
      </c>
      <c r="Y743" s="830">
        <v>10.66</v>
      </c>
      <c r="Z743" s="337">
        <v>0</v>
      </c>
      <c r="AA743" s="337">
        <v>0</v>
      </c>
      <c r="AB743" s="337">
        <v>0</v>
      </c>
      <c r="AC743" s="817">
        <v>0.19510288916513518</v>
      </c>
      <c r="AD743" s="817">
        <v>8.2260361832324769E-2</v>
      </c>
      <c r="AE743" s="817">
        <v>0.37010003000000002</v>
      </c>
      <c r="AF743" s="816">
        <v>14.292603363471867</v>
      </c>
      <c r="AG743" s="172">
        <f t="shared" si="43"/>
        <v>8.7513751755277962</v>
      </c>
      <c r="AH743" s="667">
        <f t="shared" si="41"/>
        <v>202504</v>
      </c>
      <c r="AI743" s="826"/>
      <c r="AJ743" s="262" t="s">
        <v>1929</v>
      </c>
      <c r="AK743" s="262"/>
      <c r="AL743" s="262"/>
      <c r="AM743" s="675"/>
      <c r="AN743" s="675"/>
      <c r="AO743" s="675"/>
      <c r="AP743" s="675"/>
      <c r="AQ743" s="675"/>
      <c r="AR743" s="675"/>
      <c r="AS743" s="675"/>
      <c r="AT743" s="675"/>
      <c r="AU743" s="675"/>
      <c r="AV743" s="675"/>
      <c r="AW743" s="675"/>
      <c r="AX743" s="675"/>
      <c r="AY743" s="675"/>
      <c r="AZ743" s="675"/>
      <c r="BA743" s="675"/>
      <c r="BB743" s="675"/>
      <c r="BC743" s="675"/>
      <c r="BD743" s="675"/>
      <c r="BE743" s="675"/>
      <c r="BF743" s="675"/>
      <c r="BG743" s="675"/>
      <c r="BH743" s="675"/>
      <c r="BI743" s="675"/>
      <c r="BJ743" s="675"/>
      <c r="BK743" s="675"/>
      <c r="BL743" s="675"/>
      <c r="BM743" s="675"/>
      <c r="BN743" s="675"/>
    </row>
    <row r="744" spans="3:66" ht="15.75" hidden="1">
      <c r="C744" s="649">
        <v>45752</v>
      </c>
      <c r="D744" s="805">
        <v>332512</v>
      </c>
      <c r="E744" s="805">
        <v>28440</v>
      </c>
      <c r="F744" s="806">
        <v>18337.04</v>
      </c>
      <c r="G744" s="819">
        <v>4875</v>
      </c>
      <c r="H744" s="808">
        <v>2156</v>
      </c>
      <c r="I744" s="470">
        <v>148888</v>
      </c>
      <c r="J744" s="808">
        <v>169598</v>
      </c>
      <c r="K744" s="805">
        <v>50245.73</v>
      </c>
      <c r="L744" s="808">
        <v>9923</v>
      </c>
      <c r="M744" s="808">
        <v>399160</v>
      </c>
      <c r="N744" s="808">
        <v>7270</v>
      </c>
      <c r="O744" s="805">
        <v>4202</v>
      </c>
      <c r="P744" s="805">
        <v>110.82627599999999</v>
      </c>
      <c r="Q744" s="337">
        <v>0</v>
      </c>
      <c r="R744" s="783">
        <f t="shared" si="42"/>
        <v>142159.41207420002</v>
      </c>
      <c r="S744" s="814">
        <v>12.529060136430438</v>
      </c>
      <c r="T744" s="814">
        <v>0.435697</v>
      </c>
      <c r="U744" s="559">
        <v>3.4079575927305102E-3</v>
      </c>
      <c r="V744" s="820">
        <v>2.8000000000000001E-2</v>
      </c>
      <c r="W744" s="814">
        <v>0.29041</v>
      </c>
      <c r="X744" s="829">
        <v>12.37857</v>
      </c>
      <c r="Y744" s="814">
        <v>10.67</v>
      </c>
      <c r="Z744" s="337">
        <v>0</v>
      </c>
      <c r="AA744" s="337">
        <v>0</v>
      </c>
      <c r="AB744" s="337">
        <v>0</v>
      </c>
      <c r="AC744" s="815">
        <v>0.19085536617895663</v>
      </c>
      <c r="AD744" s="815">
        <v>8.4497390605045491E-2</v>
      </c>
      <c r="AE744" s="815">
        <v>0.35180003000000004</v>
      </c>
      <c r="AF744" s="814">
        <v>14.290791086997766</v>
      </c>
      <c r="AG744" s="172">
        <f t="shared" si="43"/>
        <v>8.6833603141168254</v>
      </c>
      <c r="AH744" s="667">
        <f t="shared" si="41"/>
        <v>202504</v>
      </c>
      <c r="AI744" s="826"/>
      <c r="AJ744" s="262" t="s">
        <v>1931</v>
      </c>
      <c r="AK744" s="262"/>
      <c r="AL744" s="262"/>
      <c r="AM744" s="675"/>
      <c r="AN744" s="675"/>
      <c r="AO744" s="675"/>
      <c r="AP744" s="675"/>
      <c r="AQ744" s="675"/>
      <c r="AR744" s="675"/>
      <c r="AS744" s="675"/>
      <c r="AT744" s="675"/>
      <c r="AU744" s="675"/>
      <c r="AV744" s="675"/>
      <c r="AW744" s="675"/>
      <c r="AX744" s="675"/>
      <c r="AY744" s="675"/>
      <c r="AZ744" s="675"/>
      <c r="BA744" s="675"/>
      <c r="BB744" s="675"/>
      <c r="BC744" s="675"/>
      <c r="BD744" s="675"/>
      <c r="BE744" s="675"/>
      <c r="BF744" s="675"/>
      <c r="BG744" s="675"/>
      <c r="BH744" s="675"/>
      <c r="BI744" s="675"/>
      <c r="BJ744" s="675"/>
      <c r="BK744" s="675"/>
      <c r="BL744" s="675"/>
      <c r="BM744" s="675"/>
      <c r="BN744" s="675"/>
    </row>
    <row r="745" spans="3:66" ht="15.75" hidden="1">
      <c r="C745" s="649">
        <v>45753</v>
      </c>
      <c r="D745" s="809">
        <v>335512</v>
      </c>
      <c r="E745" s="809">
        <v>28528</v>
      </c>
      <c r="F745" s="810">
        <v>25359</v>
      </c>
      <c r="G745" s="811">
        <v>4822</v>
      </c>
      <c r="H745" s="812">
        <v>2157</v>
      </c>
      <c r="I745" s="470">
        <v>148888</v>
      </c>
      <c r="J745" s="812">
        <v>168934</v>
      </c>
      <c r="K745" s="809">
        <v>49366.16</v>
      </c>
      <c r="L745" s="812">
        <v>9633</v>
      </c>
      <c r="M745" s="812">
        <v>404752</v>
      </c>
      <c r="N745" s="812">
        <v>7224</v>
      </c>
      <c r="O745" s="809">
        <v>3086</v>
      </c>
      <c r="P745" s="809">
        <v>130.38755399999999</v>
      </c>
      <c r="Q745" s="337">
        <v>0</v>
      </c>
      <c r="R745" s="783">
        <f t="shared" si="42"/>
        <v>146479.32164930002</v>
      </c>
      <c r="S745" s="816">
        <v>12.446658190498573</v>
      </c>
      <c r="T745" s="816">
        <v>0.43611</v>
      </c>
      <c r="U745" s="559">
        <v>3.4079575927305102E-3</v>
      </c>
      <c r="V745" s="744">
        <v>2.7E-2</v>
      </c>
      <c r="W745" s="816">
        <v>0.28874</v>
      </c>
      <c r="X745" s="829">
        <v>12.37857</v>
      </c>
      <c r="Y745" s="830">
        <v>10.61</v>
      </c>
      <c r="Z745" s="337">
        <v>0</v>
      </c>
      <c r="AA745" s="337">
        <v>0</v>
      </c>
      <c r="AB745" s="337">
        <v>0</v>
      </c>
      <c r="AC745" s="817">
        <v>0.19227120717434948</v>
      </c>
      <c r="AD745" s="817">
        <v>8.084452083693193E-2</v>
      </c>
      <c r="AE745" s="817">
        <v>0.34260003000000006</v>
      </c>
      <c r="AF745" s="816">
        <v>14.04191455682761</v>
      </c>
      <c r="AG745" s="172">
        <f t="shared" si="43"/>
        <v>8.6155371516716386</v>
      </c>
      <c r="AH745" s="667">
        <f t="shared" si="41"/>
        <v>202504</v>
      </c>
      <c r="AI745" s="826"/>
      <c r="AJ745" s="262" t="s">
        <v>1932</v>
      </c>
      <c r="AK745" s="262"/>
      <c r="AL745" s="262"/>
      <c r="AM745" s="675"/>
      <c r="AN745" s="675"/>
      <c r="AO745" s="675"/>
      <c r="AP745" s="675"/>
      <c r="AQ745" s="675"/>
      <c r="AR745" s="675"/>
      <c r="AS745" s="675"/>
      <c r="AT745" s="675"/>
      <c r="AU745" s="675"/>
      <c r="AV745" s="675"/>
      <c r="AW745" s="675"/>
      <c r="AX745" s="675"/>
      <c r="AY745" s="675"/>
      <c r="AZ745" s="675"/>
      <c r="BA745" s="675"/>
      <c r="BB745" s="675"/>
      <c r="BC745" s="675"/>
      <c r="BD745" s="675"/>
      <c r="BE745" s="675"/>
      <c r="BF745" s="675"/>
      <c r="BG745" s="675"/>
      <c r="BH745" s="675"/>
      <c r="BI745" s="675"/>
      <c r="BJ745" s="675"/>
      <c r="BK745" s="675"/>
      <c r="BL745" s="675"/>
      <c r="BM745" s="675"/>
      <c r="BN745" s="675"/>
    </row>
    <row r="746" spans="3:66" ht="15.75" hidden="1">
      <c r="C746" s="649">
        <v>45754</v>
      </c>
      <c r="D746" s="805">
        <v>323480</v>
      </c>
      <c r="E746" s="805">
        <v>28151</v>
      </c>
      <c r="F746" s="806">
        <v>25303</v>
      </c>
      <c r="G746" s="819">
        <v>4773</v>
      </c>
      <c r="H746" s="808">
        <v>2092</v>
      </c>
      <c r="I746" s="470">
        <v>148888</v>
      </c>
      <c r="J746" s="808">
        <v>168975</v>
      </c>
      <c r="K746" s="805">
        <v>40443.360000000001</v>
      </c>
      <c r="L746" s="808">
        <v>9250</v>
      </c>
      <c r="M746" s="808">
        <v>397158</v>
      </c>
      <c r="N746" s="808">
        <v>7209</v>
      </c>
      <c r="O746" s="805">
        <v>5191</v>
      </c>
      <c r="P746" s="805">
        <v>145.98625799999999</v>
      </c>
      <c r="R746" s="783">
        <f t="shared" si="42"/>
        <v>144128.06631609998</v>
      </c>
      <c r="S746" s="814">
        <v>11.707872359102584</v>
      </c>
      <c r="T746" s="814">
        <v>0.425537</v>
      </c>
      <c r="U746" s="559">
        <v>3.4079575927305102E-3</v>
      </c>
      <c r="V746" s="831">
        <v>2.7E-2</v>
      </c>
      <c r="W746" s="814">
        <v>0.27994000000000002</v>
      </c>
      <c r="X746" s="829">
        <v>12.37857</v>
      </c>
      <c r="Y746" s="814">
        <v>10.69</v>
      </c>
      <c r="Z746" s="337">
        <v>0</v>
      </c>
      <c r="AA746" s="337">
        <v>0</v>
      </c>
      <c r="AB746" s="337">
        <v>0</v>
      </c>
      <c r="AC746" s="815">
        <v>0.19028902978079948</v>
      </c>
      <c r="AD746" s="815">
        <v>8.0617986277669099E-2</v>
      </c>
      <c r="AE746" s="815">
        <v>0.33800003000000001</v>
      </c>
      <c r="AF746" s="814">
        <v>13.708115883753791</v>
      </c>
      <c r="AG746" s="172">
        <f t="shared" si="43"/>
        <v>8.543948528343762</v>
      </c>
      <c r="AH746" s="667">
        <f t="shared" si="41"/>
        <v>202504</v>
      </c>
      <c r="AI746" s="826"/>
      <c r="AJ746" s="262" t="s">
        <v>1933</v>
      </c>
      <c r="AK746" s="262"/>
      <c r="AL746" s="262"/>
      <c r="AM746" s="675"/>
      <c r="AN746" s="675"/>
      <c r="AO746" s="675"/>
      <c r="AP746" s="675"/>
      <c r="AQ746" s="675"/>
      <c r="AR746" s="675"/>
      <c r="AS746" s="675"/>
      <c r="AT746" s="675"/>
      <c r="AU746" s="675"/>
      <c r="AV746" s="675"/>
      <c r="AW746" s="675"/>
      <c r="AX746" s="675"/>
      <c r="AY746" s="675"/>
      <c r="AZ746" s="675"/>
      <c r="BA746" s="675"/>
      <c r="BB746" s="675"/>
      <c r="BC746" s="675"/>
      <c r="BD746" s="675"/>
      <c r="BE746" s="675"/>
      <c r="BF746" s="675"/>
      <c r="BG746" s="675"/>
      <c r="BH746" s="675"/>
      <c r="BI746" s="675"/>
      <c r="BJ746" s="675"/>
      <c r="BK746" s="675"/>
      <c r="BL746" s="675"/>
      <c r="BM746" s="675"/>
      <c r="BN746" s="675"/>
    </row>
    <row r="747" spans="3:66" ht="15.75" hidden="1">
      <c r="C747" s="649">
        <v>45755</v>
      </c>
      <c r="D747" s="809">
        <v>327994</v>
      </c>
      <c r="E747" s="809">
        <v>28962</v>
      </c>
      <c r="F747" s="810">
        <v>25253</v>
      </c>
      <c r="G747" s="811">
        <v>4805</v>
      </c>
      <c r="H747" s="812">
        <v>2108</v>
      </c>
      <c r="I747" s="470">
        <v>148888</v>
      </c>
      <c r="J747" s="812">
        <v>170346</v>
      </c>
      <c r="K747" s="809">
        <v>51436.15</v>
      </c>
      <c r="L747" s="812">
        <v>8057</v>
      </c>
      <c r="M747" s="812">
        <v>405496</v>
      </c>
      <c r="N747" s="812">
        <v>7217</v>
      </c>
      <c r="O747" s="809">
        <v>3531</v>
      </c>
      <c r="P747" s="809">
        <v>105.98313</v>
      </c>
      <c r="Q747" s="337">
        <v>0</v>
      </c>
      <c r="R747" s="783">
        <f t="shared" si="42"/>
        <v>146945.31565850001</v>
      </c>
      <c r="S747" s="816">
        <v>10.371601627650808</v>
      </c>
      <c r="T747" s="816">
        <v>0.42355199999999998</v>
      </c>
      <c r="U747" s="559">
        <v>3.4079575927305102E-3</v>
      </c>
      <c r="V747" s="832">
        <v>0.03</v>
      </c>
      <c r="W747" s="816">
        <v>0.27477999999999997</v>
      </c>
      <c r="X747" s="829">
        <v>12.37857</v>
      </c>
      <c r="Y747" s="816">
        <v>10.64</v>
      </c>
      <c r="Z747" s="337">
        <v>0</v>
      </c>
      <c r="AA747" s="337">
        <v>0</v>
      </c>
      <c r="AB747" s="337">
        <v>0</v>
      </c>
      <c r="AC747" s="817">
        <v>0.19142170257711377</v>
      </c>
      <c r="AD747" s="817">
        <v>7.3142345821994803E-2</v>
      </c>
      <c r="AE747" s="817">
        <v>0.33590003000000002</v>
      </c>
      <c r="AF747" s="816">
        <v>13.572591583674786</v>
      </c>
      <c r="AG747" s="172">
        <f t="shared" si="43"/>
        <v>8.4608168662606928</v>
      </c>
      <c r="AH747" s="667">
        <f t="shared" si="41"/>
        <v>202504</v>
      </c>
      <c r="AI747" s="826"/>
      <c r="AJ747" s="262" t="s">
        <v>1933</v>
      </c>
      <c r="AK747" s="262"/>
      <c r="AL747" s="262"/>
      <c r="AM747" s="675"/>
      <c r="AN747" s="675"/>
      <c r="AO747" s="675"/>
      <c r="AP747" s="675"/>
      <c r="AQ747" s="675"/>
      <c r="AR747" s="675"/>
      <c r="AS747" s="675"/>
      <c r="AT747" s="675"/>
      <c r="AU747" s="675"/>
      <c r="AV747" s="675"/>
      <c r="AW747" s="675"/>
      <c r="AX747" s="675"/>
      <c r="AY747" s="675"/>
      <c r="AZ747" s="675"/>
      <c r="BA747" s="675"/>
      <c r="BB747" s="675"/>
      <c r="BC747" s="675"/>
      <c r="BD747" s="675"/>
      <c r="BE747" s="675"/>
      <c r="BF747" s="675"/>
      <c r="BG747" s="675"/>
      <c r="BH747" s="675"/>
      <c r="BI747" s="675"/>
      <c r="BJ747" s="675"/>
      <c r="BK747" s="675"/>
      <c r="BL747" s="675"/>
      <c r="BM747" s="675"/>
      <c r="BN747" s="675"/>
    </row>
    <row r="748" spans="3:66" ht="15.75" hidden="1">
      <c r="C748" s="649">
        <v>45756</v>
      </c>
      <c r="D748" s="805">
        <v>333185</v>
      </c>
      <c r="E748" s="805">
        <v>29258</v>
      </c>
      <c r="F748" s="806">
        <v>25205</v>
      </c>
      <c r="G748" s="819">
        <v>4815</v>
      </c>
      <c r="H748" s="808">
        <v>2144</v>
      </c>
      <c r="I748" s="470">
        <v>148888</v>
      </c>
      <c r="J748" s="808">
        <v>171928</v>
      </c>
      <c r="K748" s="805">
        <v>50672.41</v>
      </c>
      <c r="L748" s="808">
        <v>7405</v>
      </c>
      <c r="M748" s="808">
        <v>383008</v>
      </c>
      <c r="N748" s="808">
        <v>7224</v>
      </c>
      <c r="O748" s="805">
        <v>4210</v>
      </c>
      <c r="P748" s="805">
        <v>111.26656200000001</v>
      </c>
      <c r="Q748" s="337">
        <v>0</v>
      </c>
      <c r="R748" s="783">
        <f t="shared" si="42"/>
        <v>146622.7899529</v>
      </c>
      <c r="S748" s="814">
        <v>9.3918396588389559</v>
      </c>
      <c r="T748" s="814">
        <v>0.43039899999999998</v>
      </c>
      <c r="U748" s="559">
        <v>3.4079575927305102E-3</v>
      </c>
      <c r="V748" s="831">
        <v>2.9000000000000001E-2</v>
      </c>
      <c r="W748" s="814">
        <v>0.29719000000000001</v>
      </c>
      <c r="X748" s="829">
        <v>12.37857</v>
      </c>
      <c r="Y748" s="814">
        <v>10.74</v>
      </c>
      <c r="Z748" s="337">
        <v>0</v>
      </c>
      <c r="AA748" s="337">
        <v>0</v>
      </c>
      <c r="AB748" s="337">
        <v>0</v>
      </c>
      <c r="AC748" s="815">
        <v>0.19113853437803519</v>
      </c>
      <c r="AD748" s="815">
        <v>7.5379374594715512E-2</v>
      </c>
      <c r="AE748" s="815">
        <v>0.33050003000000006</v>
      </c>
      <c r="AF748" s="814">
        <v>13.573412771452114</v>
      </c>
      <c r="AG748" s="172">
        <f t="shared" si="43"/>
        <v>8.4804907836022796</v>
      </c>
      <c r="AH748" s="667">
        <f t="shared" si="41"/>
        <v>202504</v>
      </c>
      <c r="AI748" s="826"/>
      <c r="AJ748" s="262" t="s">
        <v>1934</v>
      </c>
      <c r="AK748" s="262"/>
      <c r="AL748" s="262"/>
      <c r="AM748" s="675"/>
      <c r="AN748" s="675"/>
      <c r="AO748" s="675"/>
      <c r="AP748" s="675"/>
      <c r="AQ748" s="675"/>
      <c r="AR748" s="675"/>
      <c r="AS748" s="675"/>
      <c r="AT748" s="675"/>
      <c r="AU748" s="675"/>
      <c r="AV748" s="675"/>
      <c r="AW748" s="675"/>
      <c r="AX748" s="675"/>
      <c r="AY748" s="675"/>
      <c r="AZ748" s="675"/>
      <c r="BA748" s="675"/>
      <c r="BB748" s="675"/>
      <c r="BC748" s="675"/>
      <c r="BD748" s="675"/>
      <c r="BE748" s="675"/>
      <c r="BF748" s="675"/>
      <c r="BG748" s="675"/>
      <c r="BH748" s="675"/>
      <c r="BI748" s="675"/>
      <c r="BJ748" s="675"/>
      <c r="BK748" s="675"/>
      <c r="BL748" s="675"/>
      <c r="BM748" s="675"/>
      <c r="BN748" s="675"/>
    </row>
    <row r="749" spans="3:66" ht="15.75" hidden="1">
      <c r="C749" s="649">
        <v>45757</v>
      </c>
      <c r="D749" s="809">
        <v>319489</v>
      </c>
      <c r="E749" s="809">
        <v>29132</v>
      </c>
      <c r="F749" s="810">
        <v>25192</v>
      </c>
      <c r="G749" s="811">
        <v>4854</v>
      </c>
      <c r="H749" s="812">
        <v>2129</v>
      </c>
      <c r="I749" s="470">
        <v>148888</v>
      </c>
      <c r="J749" s="812">
        <v>165728</v>
      </c>
      <c r="K749" s="809">
        <v>49819.57</v>
      </c>
      <c r="L749" s="812">
        <v>10326</v>
      </c>
      <c r="M749" s="812">
        <v>300884</v>
      </c>
      <c r="N749" s="812">
        <v>7290</v>
      </c>
      <c r="O749" s="809">
        <v>4074</v>
      </c>
      <c r="P749" s="809">
        <v>141.64629599999998</v>
      </c>
      <c r="Q749" s="337">
        <v>0</v>
      </c>
      <c r="R749" s="783">
        <f t="shared" si="42"/>
        <v>141744.61408319999</v>
      </c>
      <c r="S749" s="816">
        <v>9.3932554998343445</v>
      </c>
      <c r="T749" s="816">
        <v>0.42766100000000001</v>
      </c>
      <c r="U749" s="559">
        <v>3.4079575927305102E-3</v>
      </c>
      <c r="V749" s="832">
        <v>2.8000000000000001E-2</v>
      </c>
      <c r="W749" s="816">
        <v>0.28699000000000002</v>
      </c>
      <c r="X749" s="829">
        <v>12.37857</v>
      </c>
      <c r="Y749" s="816">
        <v>10.79</v>
      </c>
      <c r="Z749" s="337">
        <v>0</v>
      </c>
      <c r="AA749" s="337">
        <v>0</v>
      </c>
      <c r="AB749" s="337">
        <v>0</v>
      </c>
      <c r="AC749" s="817">
        <v>0.18972269338264236</v>
      </c>
      <c r="AD749" s="817">
        <v>7.8607492064211207E-2</v>
      </c>
      <c r="AE749" s="817">
        <v>0.32780003000000002</v>
      </c>
      <c r="AF749" s="816">
        <v>13.572166831376169</v>
      </c>
      <c r="AG749" s="172">
        <f t="shared" si="43"/>
        <v>8.4818016316167899</v>
      </c>
      <c r="AH749" s="667">
        <f t="shared" si="41"/>
        <v>202504</v>
      </c>
      <c r="AI749" s="826"/>
      <c r="AJ749" s="262" t="s">
        <v>1935</v>
      </c>
      <c r="AK749" s="262"/>
      <c r="AL749" s="262"/>
      <c r="AM749" s="675"/>
      <c r="AN749" s="675"/>
      <c r="AO749" s="675"/>
      <c r="AP749" s="675"/>
      <c r="AQ749" s="675"/>
      <c r="AR749" s="675"/>
      <c r="AS749" s="675"/>
      <c r="AT749" s="675"/>
      <c r="AU749" s="675"/>
      <c r="AV749" s="675"/>
      <c r="AW749" s="675"/>
      <c r="AX749" s="675"/>
      <c r="AY749" s="675"/>
      <c r="AZ749" s="675"/>
      <c r="BA749" s="675"/>
      <c r="BB749" s="675"/>
      <c r="BC749" s="675"/>
      <c r="BD749" s="675"/>
      <c r="BE749" s="675"/>
      <c r="BF749" s="675"/>
      <c r="BG749" s="675"/>
      <c r="BH749" s="675"/>
      <c r="BI749" s="675"/>
      <c r="BJ749" s="675"/>
      <c r="BK749" s="675"/>
      <c r="BL749" s="675"/>
      <c r="BM749" s="675"/>
      <c r="BN749" s="675"/>
    </row>
    <row r="750" spans="3:66" ht="15.75" hidden="1">
      <c r="C750" s="649">
        <v>45758</v>
      </c>
      <c r="D750" s="805">
        <v>320946</v>
      </c>
      <c r="E750" s="805">
        <v>29547</v>
      </c>
      <c r="F750" s="806">
        <v>25157.77</v>
      </c>
      <c r="G750" s="819">
        <v>4823</v>
      </c>
      <c r="H750" s="808">
        <v>2110</v>
      </c>
      <c r="I750" s="470">
        <v>151969</v>
      </c>
      <c r="J750" s="808">
        <v>170966</v>
      </c>
      <c r="K750" s="805">
        <v>51180.35</v>
      </c>
      <c r="L750" s="808">
        <v>14724</v>
      </c>
      <c r="M750" s="808">
        <v>321106</v>
      </c>
      <c r="N750" s="808">
        <v>7298</v>
      </c>
      <c r="O750" s="805">
        <v>4823</v>
      </c>
      <c r="P750" s="805">
        <v>137.11763999999999</v>
      </c>
      <c r="Q750" s="337">
        <v>0</v>
      </c>
      <c r="R750" s="783">
        <f t="shared" si="42"/>
        <v>146327.43493800002</v>
      </c>
      <c r="S750" s="814">
        <v>10.409546166327337</v>
      </c>
      <c r="T750" s="814">
        <v>0.42605100000000001</v>
      </c>
      <c r="U750" s="559">
        <v>3.4079575927305102E-3</v>
      </c>
      <c r="V750" s="831">
        <v>2.7E-2</v>
      </c>
      <c r="W750" s="814">
        <v>0.28025</v>
      </c>
      <c r="X750" s="829">
        <v>12.37857</v>
      </c>
      <c r="Y750" s="814">
        <v>10.71</v>
      </c>
      <c r="Z750" s="337">
        <v>0</v>
      </c>
      <c r="AA750" s="337">
        <v>0</v>
      </c>
      <c r="AB750" s="337">
        <v>0</v>
      </c>
      <c r="AC750" s="815">
        <v>0.19057219797987807</v>
      </c>
      <c r="AD750" s="815">
        <v>7.886234344338193E-2</v>
      </c>
      <c r="AE750" s="815">
        <v>0.32710003000000004</v>
      </c>
      <c r="AF750" s="814">
        <v>13.567013170152938</v>
      </c>
      <c r="AG750" s="172">
        <f t="shared" si="43"/>
        <v>8.4820576972611263</v>
      </c>
      <c r="AH750" s="667">
        <f t="shared" si="41"/>
        <v>202504</v>
      </c>
      <c r="AI750" s="826"/>
      <c r="AJ750" s="262" t="s">
        <v>1936</v>
      </c>
      <c r="AK750" s="262"/>
      <c r="AL750" s="262"/>
      <c r="AM750" s="676"/>
      <c r="AN750" s="676"/>
      <c r="AO750" s="676"/>
      <c r="AP750" s="676"/>
      <c r="AQ750" s="676"/>
      <c r="AR750" s="676"/>
      <c r="AS750" s="676"/>
      <c r="AT750" s="676"/>
      <c r="AU750" s="676"/>
      <c r="AV750" s="676"/>
      <c r="AW750" s="676"/>
      <c r="AX750" s="676"/>
      <c r="AY750" s="676"/>
      <c r="AZ750" s="676"/>
      <c r="BA750" s="676"/>
      <c r="BB750" s="676"/>
      <c r="BC750" s="676"/>
      <c r="BD750" s="676"/>
      <c r="BE750" s="676"/>
      <c r="BF750" s="676"/>
      <c r="BG750" s="676"/>
      <c r="BH750" s="676"/>
      <c r="BI750" s="676"/>
      <c r="BJ750" s="676"/>
      <c r="BK750" s="675"/>
      <c r="BL750" s="675"/>
      <c r="BM750" s="675"/>
      <c r="BN750" s="675"/>
    </row>
    <row r="751" spans="3:66" ht="15.75" hidden="1">
      <c r="C751" s="649">
        <v>45759</v>
      </c>
      <c r="D751" s="855">
        <v>313616</v>
      </c>
      <c r="E751" s="855">
        <v>29264</v>
      </c>
      <c r="F751" s="856">
        <v>25102.240000000002</v>
      </c>
      <c r="G751" s="868">
        <v>4864</v>
      </c>
      <c r="H751" s="857">
        <v>2107</v>
      </c>
      <c r="I751" s="851">
        <v>151969</v>
      </c>
      <c r="J751" s="857">
        <v>171052</v>
      </c>
      <c r="K751" s="855">
        <v>48915.93</v>
      </c>
      <c r="L751" s="857">
        <v>13427</v>
      </c>
      <c r="M751" s="857">
        <v>323611</v>
      </c>
      <c r="N751" s="857">
        <v>7294</v>
      </c>
      <c r="O751" s="855">
        <v>3834</v>
      </c>
      <c r="P751" s="855">
        <v>101.64316799999999</v>
      </c>
      <c r="Q751" s="337">
        <v>0</v>
      </c>
      <c r="R751" s="783">
        <f t="shared" si="42"/>
        <v>144846.8016756</v>
      </c>
      <c r="S751" s="863">
        <v>10.485152075481313</v>
      </c>
      <c r="T751" s="863">
        <v>0.43002699999999999</v>
      </c>
      <c r="U751" s="859">
        <v>3.4079575927305102E-3</v>
      </c>
      <c r="V751" s="869">
        <v>2.8000000000000001E-2</v>
      </c>
      <c r="W751" s="863">
        <v>0.27860000000000001</v>
      </c>
      <c r="X751" s="860">
        <v>12.37857</v>
      </c>
      <c r="Y751" s="863">
        <v>10.7</v>
      </c>
      <c r="Z751" s="337">
        <v>0</v>
      </c>
      <c r="AA751" s="337">
        <v>0</v>
      </c>
      <c r="AB751" s="337">
        <v>0</v>
      </c>
      <c r="AC751" s="864">
        <v>0.19057219797987807</v>
      </c>
      <c r="AD751" s="864">
        <v>7.4614820457203371E-2</v>
      </c>
      <c r="AE751" s="864">
        <v>0.33070003000000003</v>
      </c>
      <c r="AF751" s="863">
        <v>13.527143087722676</v>
      </c>
      <c r="AG751" s="172">
        <f t="shared" si="43"/>
        <v>8.4747357668962628</v>
      </c>
      <c r="AH751" s="667">
        <f t="shared" si="41"/>
        <v>202504</v>
      </c>
      <c r="AI751" s="826"/>
      <c r="AJ751" s="262" t="s">
        <v>1936</v>
      </c>
      <c r="AK751" s="262"/>
      <c r="AL751" s="262"/>
      <c r="AM751" s="676"/>
      <c r="AN751" s="676"/>
      <c r="AO751" s="676"/>
      <c r="AP751" s="676"/>
      <c r="AQ751" s="676"/>
      <c r="AR751" s="676"/>
      <c r="AS751" s="676"/>
      <c r="AT751" s="676"/>
      <c r="AU751" s="676"/>
      <c r="AV751" s="676"/>
      <c r="AW751" s="676"/>
      <c r="AX751" s="676"/>
      <c r="AY751" s="676"/>
      <c r="AZ751" s="676"/>
      <c r="BA751" s="676"/>
      <c r="BB751" s="676"/>
      <c r="BC751" s="676"/>
      <c r="BD751" s="676"/>
      <c r="BE751" s="676"/>
      <c r="BF751" s="676"/>
      <c r="BG751" s="676"/>
      <c r="BH751" s="676"/>
      <c r="BI751" s="676"/>
      <c r="BJ751" s="676"/>
      <c r="BK751" s="675"/>
      <c r="BL751" s="675"/>
      <c r="BM751" s="675"/>
      <c r="BN751" s="675"/>
    </row>
    <row r="752" spans="3:66" ht="15.75" hidden="1">
      <c r="C752" s="649">
        <v>45760</v>
      </c>
      <c r="D752" s="850">
        <v>325125</v>
      </c>
      <c r="E752" s="850">
        <v>10491</v>
      </c>
      <c r="F752" s="865">
        <v>25076.23</v>
      </c>
      <c r="G752" s="866">
        <v>4942</v>
      </c>
      <c r="H752" s="852">
        <v>2106</v>
      </c>
      <c r="I752" s="851">
        <v>151969</v>
      </c>
      <c r="J752" s="852">
        <v>173666</v>
      </c>
      <c r="K752" s="850">
        <v>50641.61</v>
      </c>
      <c r="L752" s="852">
        <v>14122</v>
      </c>
      <c r="M752" s="852">
        <v>339837</v>
      </c>
      <c r="N752" s="852">
        <v>7306</v>
      </c>
      <c r="O752" s="850">
        <v>4932</v>
      </c>
      <c r="P752" s="850">
        <v>162.52843199999998</v>
      </c>
      <c r="Q752" s="337">
        <v>0</v>
      </c>
      <c r="R752" s="783">
        <f t="shared" si="42"/>
        <v>142530.21004440001</v>
      </c>
      <c r="S752" s="858">
        <v>10.25040563844518</v>
      </c>
      <c r="T752" s="858">
        <v>6.8048999999999998E-2</v>
      </c>
      <c r="U752" s="859">
        <v>3.4079575927305102E-3</v>
      </c>
      <c r="V752" s="867">
        <v>2.8000000000000001E-2</v>
      </c>
      <c r="W752" s="858">
        <v>0.27661000000000002</v>
      </c>
      <c r="X752" s="860">
        <v>12.37857</v>
      </c>
      <c r="Y752" s="858">
        <v>10.81</v>
      </c>
      <c r="Z752" s="337">
        <v>0</v>
      </c>
      <c r="AA752" s="337">
        <v>0</v>
      </c>
      <c r="AB752" s="337">
        <v>0</v>
      </c>
      <c r="AC752" s="861">
        <v>0.18660784319277807</v>
      </c>
      <c r="AD752" s="861">
        <v>7.4614820457203371E-2</v>
      </c>
      <c r="AE752" s="861">
        <v>0.35340003000000003</v>
      </c>
      <c r="AF752" s="858">
        <v>13.527652790481017</v>
      </c>
      <c r="AG752" s="172">
        <f t="shared" si="43"/>
        <v>8.406610944055295</v>
      </c>
      <c r="AH752" s="667">
        <f t="shared" si="41"/>
        <v>202504</v>
      </c>
      <c r="AI752" s="826"/>
      <c r="AJ752" s="931" t="s">
        <v>1937</v>
      </c>
      <c r="AK752" s="262"/>
      <c r="AL752" s="262"/>
      <c r="AM752" s="676"/>
      <c r="AN752" s="676"/>
      <c r="AO752" s="676"/>
      <c r="AP752" s="676"/>
      <c r="AQ752" s="676"/>
      <c r="AR752" s="676"/>
      <c r="AS752" s="676"/>
      <c r="AT752" s="676"/>
      <c r="AU752" s="676"/>
      <c r="AV752" s="676"/>
      <c r="AW752" s="676"/>
      <c r="AX752" s="676"/>
      <c r="AY752" s="676"/>
      <c r="AZ752" s="676"/>
      <c r="BA752" s="676"/>
      <c r="BB752" s="676"/>
      <c r="BC752" s="676"/>
      <c r="BD752" s="676"/>
      <c r="BE752" s="676"/>
      <c r="BF752" s="676"/>
      <c r="BG752" s="676"/>
      <c r="BH752" s="676"/>
      <c r="BI752" s="676"/>
      <c r="BJ752" s="676"/>
      <c r="BK752" s="675"/>
      <c r="BL752" s="675"/>
      <c r="BM752" s="675"/>
      <c r="BN752" s="675"/>
    </row>
    <row r="753" spans="3:66" ht="409.5" hidden="1">
      <c r="C753" s="649">
        <v>45761</v>
      </c>
      <c r="D753" s="855">
        <v>345650</v>
      </c>
      <c r="E753" s="855">
        <v>20031</v>
      </c>
      <c r="F753" s="856">
        <v>25012.14</v>
      </c>
      <c r="G753" s="868">
        <v>4954</v>
      </c>
      <c r="H753" s="857">
        <v>2091</v>
      </c>
      <c r="I753" s="851">
        <v>151969</v>
      </c>
      <c r="J753" s="857">
        <v>171797</v>
      </c>
      <c r="K753" s="855">
        <v>50894.52</v>
      </c>
      <c r="L753" s="857">
        <v>8942</v>
      </c>
      <c r="M753" s="857">
        <v>330840</v>
      </c>
      <c r="N753" s="857">
        <v>7312</v>
      </c>
      <c r="O753" s="855">
        <v>3262</v>
      </c>
      <c r="P753" s="855">
        <v>113.65668599999999</v>
      </c>
      <c r="Q753" s="337">
        <v>0</v>
      </c>
      <c r="R753" s="783">
        <f t="shared" si="42"/>
        <v>142930.90350869999</v>
      </c>
      <c r="S753" s="863">
        <v>10.461649114957794</v>
      </c>
      <c r="T753" s="863">
        <v>0.15179599999999999</v>
      </c>
      <c r="U753" s="859">
        <v>3.4079575927305102E-3</v>
      </c>
      <c r="V753" s="869">
        <v>2.9000000000000001E-2</v>
      </c>
      <c r="W753" s="863">
        <v>0.27645999999999998</v>
      </c>
      <c r="X753" s="860">
        <v>12.37857</v>
      </c>
      <c r="Y753" s="863">
        <v>10.58</v>
      </c>
      <c r="Z753" s="337">
        <v>0</v>
      </c>
      <c r="AA753" s="337">
        <v>0</v>
      </c>
      <c r="AB753" s="337">
        <v>0</v>
      </c>
      <c r="AC753" s="864">
        <v>0.19028902978079948</v>
      </c>
      <c r="AD753" s="864">
        <v>7.4841355016466216E-2</v>
      </c>
      <c r="AE753" s="864">
        <v>0.34940003000000003</v>
      </c>
      <c r="AF753" s="863">
        <v>13.383491860330118</v>
      </c>
      <c r="AG753" s="172">
        <f t="shared" si="43"/>
        <v>8.3501396919660209</v>
      </c>
      <c r="AH753" s="667">
        <f t="shared" si="41"/>
        <v>202504</v>
      </c>
      <c r="AI753" s="826"/>
      <c r="AJ753" s="1052" t="s">
        <v>1938</v>
      </c>
      <c r="AK753" s="262"/>
      <c r="AL753" s="262"/>
      <c r="AM753" s="676"/>
      <c r="AN753" s="676"/>
      <c r="AO753" s="676"/>
      <c r="AP753" s="676"/>
      <c r="AQ753" s="676"/>
      <c r="AR753" s="676"/>
      <c r="AS753" s="676"/>
      <c r="AT753" s="676"/>
      <c r="AU753" s="676"/>
      <c r="AV753" s="676"/>
      <c r="AW753" s="676"/>
      <c r="AX753" s="676"/>
      <c r="AY753" s="676"/>
      <c r="AZ753" s="676"/>
      <c r="BA753" s="676"/>
      <c r="BB753" s="676"/>
      <c r="BC753" s="676"/>
      <c r="BD753" s="676"/>
      <c r="BE753" s="676"/>
      <c r="BF753" s="676"/>
      <c r="BG753" s="676"/>
      <c r="BH753" s="676"/>
      <c r="BI753" s="676"/>
      <c r="BJ753" s="676"/>
      <c r="BK753" s="675"/>
      <c r="BL753" s="675"/>
      <c r="BM753" s="675"/>
      <c r="BN753" s="675"/>
    </row>
    <row r="754" spans="3:66" ht="15.75" hidden="1">
      <c r="C754" s="649">
        <v>45762</v>
      </c>
      <c r="D754" s="850">
        <v>323697</v>
      </c>
      <c r="E754" s="850">
        <v>27805</v>
      </c>
      <c r="F754" s="865">
        <v>24670</v>
      </c>
      <c r="G754" s="866">
        <v>4912</v>
      </c>
      <c r="H754" s="852">
        <v>2100</v>
      </c>
      <c r="I754" s="851">
        <v>151969</v>
      </c>
      <c r="J754" s="852">
        <v>166973</v>
      </c>
      <c r="K754" s="850">
        <v>49857.22</v>
      </c>
      <c r="L754" s="852">
        <v>10777</v>
      </c>
      <c r="M754" s="852">
        <v>327721</v>
      </c>
      <c r="N754" s="852">
        <v>7113</v>
      </c>
      <c r="O754" s="850">
        <v>4928</v>
      </c>
      <c r="P754" s="850">
        <v>116.29840199999998</v>
      </c>
      <c r="Q754" s="337">
        <v>0</v>
      </c>
      <c r="R754" s="783">
        <f t="shared" si="42"/>
        <v>143586.3277809</v>
      </c>
      <c r="S754" s="858">
        <v>10.09353045615565</v>
      </c>
      <c r="T754" s="858">
        <v>0.230049</v>
      </c>
      <c r="U754" s="859">
        <v>3.4079575927305102E-3</v>
      </c>
      <c r="V754" s="867">
        <v>2.9000000000000001E-2</v>
      </c>
      <c r="W754" s="858">
        <v>0.27482999999999996</v>
      </c>
      <c r="X754" s="860">
        <v>12.37857</v>
      </c>
      <c r="Y754" s="858">
        <v>10.67</v>
      </c>
      <c r="Z754" s="337">
        <v>0</v>
      </c>
      <c r="AA754" s="337">
        <v>0</v>
      </c>
      <c r="AB754" s="337">
        <v>0</v>
      </c>
      <c r="AC754" s="861">
        <v>0.18745734779001377</v>
      </c>
      <c r="AD754" s="861">
        <v>7.1245118888168382E-2</v>
      </c>
      <c r="AE754" s="861">
        <v>0.34470003000000005</v>
      </c>
      <c r="AF754" s="858">
        <v>13.383859978988919</v>
      </c>
      <c r="AG754" s="172">
        <f t="shared" si="43"/>
        <v>8.3784681318977494</v>
      </c>
      <c r="AH754" s="667">
        <f t="shared" si="41"/>
        <v>202504</v>
      </c>
      <c r="AI754" s="826"/>
      <c r="AJ754" s="262" t="s">
        <v>1939</v>
      </c>
      <c r="AK754" s="262"/>
      <c r="AL754" s="262"/>
      <c r="AM754" s="676"/>
      <c r="AN754" s="676"/>
      <c r="AO754" s="676"/>
      <c r="AP754" s="676"/>
      <c r="AQ754" s="676"/>
      <c r="AR754" s="676"/>
      <c r="AS754" s="676"/>
      <c r="AT754" s="676"/>
      <c r="AU754" s="676"/>
      <c r="AV754" s="676"/>
      <c r="AW754" s="676"/>
      <c r="AX754" s="676"/>
      <c r="AY754" s="676"/>
      <c r="AZ754" s="676"/>
      <c r="BA754" s="676"/>
      <c r="BB754" s="676"/>
      <c r="BC754" s="676"/>
      <c r="BD754" s="676"/>
      <c r="BE754" s="676"/>
      <c r="BF754" s="676"/>
      <c r="BG754" s="676"/>
      <c r="BH754" s="676"/>
      <c r="BI754" s="676"/>
      <c r="BJ754" s="676"/>
      <c r="BK754" s="675"/>
      <c r="BL754" s="675"/>
      <c r="BM754" s="675"/>
      <c r="BN754" s="675"/>
    </row>
    <row r="755" spans="3:66" ht="15.75" hidden="1">
      <c r="C755" s="649">
        <v>45763</v>
      </c>
      <c r="D755" s="855">
        <v>316454</v>
      </c>
      <c r="E755" s="855">
        <v>25245</v>
      </c>
      <c r="F755" s="856">
        <v>24944</v>
      </c>
      <c r="G755" s="868">
        <v>5017</v>
      </c>
      <c r="H755" s="857">
        <v>2109</v>
      </c>
      <c r="I755" s="851">
        <v>151969</v>
      </c>
      <c r="J755" s="857">
        <v>170854</v>
      </c>
      <c r="K755" s="855">
        <v>48848.88</v>
      </c>
      <c r="L755" s="857">
        <v>10613</v>
      </c>
      <c r="M755" s="857">
        <v>270589</v>
      </c>
      <c r="N755" s="857">
        <v>7287</v>
      </c>
      <c r="O755" s="855">
        <v>3152</v>
      </c>
      <c r="P755" s="855">
        <v>138.24980399999998</v>
      </c>
      <c r="Q755" s="337">
        <v>0</v>
      </c>
      <c r="R755" s="783">
        <f t="shared" si="42"/>
        <v>140687.31816180001</v>
      </c>
      <c r="S755" s="863">
        <v>11.835864385086094</v>
      </c>
      <c r="T755" s="863">
        <v>0.297182</v>
      </c>
      <c r="U755" s="859">
        <v>3.4079575927305102E-3</v>
      </c>
      <c r="V755" s="869">
        <v>2.8000000000000001E-2</v>
      </c>
      <c r="W755" s="863">
        <v>0.30245</v>
      </c>
      <c r="X755" s="860">
        <v>12.37857</v>
      </c>
      <c r="Y755" s="863">
        <v>10.75</v>
      </c>
      <c r="Z755" s="337">
        <v>0</v>
      </c>
      <c r="AA755" s="337">
        <v>0</v>
      </c>
      <c r="AB755" s="337">
        <v>0</v>
      </c>
      <c r="AC755" s="864">
        <v>0.19255437537342804</v>
      </c>
      <c r="AD755" s="864">
        <v>7.2406108504390512E-2</v>
      </c>
      <c r="AE755" s="864">
        <v>0.34300003000000001</v>
      </c>
      <c r="AF755" s="863">
        <v>13.593800881785771</v>
      </c>
      <c r="AG755" s="172">
        <f t="shared" si="43"/>
        <v>8.5314273316750935</v>
      </c>
      <c r="AH755" s="667">
        <f t="shared" si="41"/>
        <v>202504</v>
      </c>
      <c r="AI755" s="826"/>
      <c r="AJ755" s="262" t="s">
        <v>1942</v>
      </c>
      <c r="AK755" s="262"/>
      <c r="AL755" s="262"/>
      <c r="AM755" s="676"/>
      <c r="AN755" s="676"/>
      <c r="AO755" s="676"/>
      <c r="AP755" s="676"/>
      <c r="AQ755" s="676"/>
      <c r="AR755" s="676"/>
      <c r="AS755" s="676"/>
      <c r="AT755" s="676"/>
      <c r="AU755" s="676"/>
      <c r="AV755" s="676"/>
      <c r="AW755" s="676"/>
      <c r="AX755" s="676"/>
      <c r="AY755" s="676"/>
      <c r="AZ755" s="676"/>
      <c r="BA755" s="676"/>
      <c r="BB755" s="676"/>
      <c r="BC755" s="676"/>
      <c r="BD755" s="676"/>
      <c r="BE755" s="676"/>
      <c r="BF755" s="676"/>
      <c r="BG755" s="676"/>
      <c r="BH755" s="676"/>
      <c r="BI755" s="676"/>
      <c r="BJ755" s="676"/>
      <c r="BK755" s="675"/>
      <c r="BL755" s="675"/>
      <c r="BM755" s="675"/>
      <c r="BN755" s="675"/>
    </row>
    <row r="756" spans="3:66" ht="15.75" hidden="1">
      <c r="C756" s="649">
        <v>45764</v>
      </c>
      <c r="D756" s="850">
        <v>335617</v>
      </c>
      <c r="E756" s="850">
        <v>24616</v>
      </c>
      <c r="F756" s="865">
        <v>24932.39</v>
      </c>
      <c r="G756" s="866">
        <v>5072</v>
      </c>
      <c r="H756" s="852">
        <v>2122</v>
      </c>
      <c r="I756" s="851">
        <v>151969</v>
      </c>
      <c r="J756" s="852">
        <v>169882</v>
      </c>
      <c r="K756" s="850">
        <v>49473.62</v>
      </c>
      <c r="L756" s="852">
        <v>13699</v>
      </c>
      <c r="M756" s="852">
        <v>265984</v>
      </c>
      <c r="N756" s="852">
        <v>7281</v>
      </c>
      <c r="O756" s="850">
        <v>4777</v>
      </c>
      <c r="P756" s="850">
        <v>150.389118</v>
      </c>
      <c r="Q756" s="337">
        <v>0</v>
      </c>
      <c r="R756" s="783">
        <f t="shared" si="42"/>
        <v>142228.94410309999</v>
      </c>
      <c r="S756" s="858">
        <v>11.235547803039527</v>
      </c>
      <c r="T756" s="858">
        <v>0.27858100000000002</v>
      </c>
      <c r="U756" s="859">
        <v>3.4079575927305102E-3</v>
      </c>
      <c r="V756" s="867">
        <v>2.9000000000000001E-2</v>
      </c>
      <c r="W756" s="858">
        <v>0.29898000000000002</v>
      </c>
      <c r="X756" s="860">
        <v>12.37857</v>
      </c>
      <c r="Y756" s="858">
        <v>10.88</v>
      </c>
      <c r="Z756" s="337">
        <v>0</v>
      </c>
      <c r="AA756" s="337">
        <v>0</v>
      </c>
      <c r="AB756" s="337">
        <v>0</v>
      </c>
      <c r="AC756" s="861">
        <v>0.18717417959093521</v>
      </c>
      <c r="AD756" s="861">
        <v>7.6143928732227653E-2</v>
      </c>
      <c r="AE756" s="861">
        <v>0.34260003000000006</v>
      </c>
      <c r="AF756" s="858">
        <v>13.234630338074512</v>
      </c>
      <c r="AG756" s="172">
        <f t="shared" si="43"/>
        <v>8.4793401157743791</v>
      </c>
      <c r="AH756" s="667">
        <f t="shared" si="41"/>
        <v>202504</v>
      </c>
      <c r="AI756" s="826"/>
      <c r="AJ756" s="262" t="s">
        <v>1942</v>
      </c>
      <c r="AK756" s="262"/>
      <c r="AL756" s="262"/>
      <c r="AM756" s="676"/>
      <c r="AN756" s="676"/>
      <c r="AO756" s="676"/>
      <c r="AP756" s="676"/>
      <c r="AQ756" s="676"/>
      <c r="AR756" s="676"/>
      <c r="AS756" s="676"/>
      <c r="AT756" s="676"/>
      <c r="AU756" s="676"/>
      <c r="AV756" s="676"/>
      <c r="AW756" s="676"/>
      <c r="AX756" s="676"/>
      <c r="AY756" s="676"/>
      <c r="AZ756" s="676"/>
      <c r="BA756" s="676"/>
      <c r="BB756" s="676"/>
      <c r="BC756" s="676"/>
      <c r="BD756" s="676"/>
      <c r="BE756" s="676"/>
      <c r="BF756" s="676"/>
      <c r="BG756" s="676"/>
      <c r="BH756" s="676"/>
      <c r="BI756" s="676"/>
      <c r="BJ756" s="676"/>
      <c r="BK756" s="675"/>
      <c r="BL756" s="675"/>
      <c r="BM756" s="675"/>
      <c r="BN756" s="675"/>
    </row>
    <row r="757" spans="3:66" ht="15.75" hidden="1">
      <c r="C757" s="649">
        <v>45765</v>
      </c>
      <c r="D757" s="855">
        <v>333272</v>
      </c>
      <c r="E757" s="855">
        <v>26717</v>
      </c>
      <c r="F757" s="856">
        <v>24873.43</v>
      </c>
      <c r="G757" s="868">
        <v>5063</v>
      </c>
      <c r="H757" s="857">
        <v>2034</v>
      </c>
      <c r="I757" s="851">
        <v>158650</v>
      </c>
      <c r="J757" s="857">
        <v>169589</v>
      </c>
      <c r="K757" s="855">
        <v>48159.96</v>
      </c>
      <c r="L757" s="857">
        <v>7211</v>
      </c>
      <c r="M757" s="857">
        <v>267420</v>
      </c>
      <c r="N757" s="857">
        <v>7200</v>
      </c>
      <c r="O757" s="855">
        <v>4349</v>
      </c>
      <c r="P757" s="855">
        <v>143.40744000000001</v>
      </c>
      <c r="Q757" s="337">
        <v>0</v>
      </c>
      <c r="R757" s="783">
        <f t="shared" si="42"/>
        <v>141834.41409800001</v>
      </c>
      <c r="S757" s="863">
        <v>10.491664944060121</v>
      </c>
      <c r="T757" s="863">
        <v>0.30718600000000001</v>
      </c>
      <c r="U757" s="859">
        <v>3.4079575927305102E-3</v>
      </c>
      <c r="V757" s="869">
        <v>2.9000000000000001E-2</v>
      </c>
      <c r="W757" s="863">
        <v>0.28161000000000003</v>
      </c>
      <c r="X757" s="860">
        <v>12.37857</v>
      </c>
      <c r="Y757" s="863">
        <v>10.93</v>
      </c>
      <c r="Z757" s="337">
        <v>0</v>
      </c>
      <c r="AA757" s="337">
        <v>0</v>
      </c>
      <c r="AB757" s="337">
        <v>0</v>
      </c>
      <c r="AC757" s="864">
        <v>0.1815108156093638</v>
      </c>
      <c r="AD757" s="864">
        <v>7.2434425324298377E-2</v>
      </c>
      <c r="AE757" s="864">
        <v>0.33940003000000002</v>
      </c>
      <c r="AF757" s="863">
        <v>13.32028871829578</v>
      </c>
      <c r="AG757" s="172">
        <f t="shared" si="43"/>
        <v>8.4719500453857037</v>
      </c>
      <c r="AH757" s="667">
        <f t="shared" si="41"/>
        <v>202504</v>
      </c>
      <c r="AI757" s="826"/>
      <c r="AJ757" s="262" t="s">
        <v>1943</v>
      </c>
      <c r="AK757" s="262"/>
      <c r="AL757" s="262"/>
      <c r="AM757" s="676"/>
      <c r="AN757" s="676"/>
      <c r="AO757" s="676"/>
      <c r="AP757" s="676"/>
      <c r="AQ757" s="676"/>
      <c r="AR757" s="676"/>
      <c r="AS757" s="676"/>
      <c r="AT757" s="676"/>
      <c r="AU757" s="676"/>
      <c r="AV757" s="676"/>
      <c r="AW757" s="676"/>
      <c r="AX757" s="676"/>
      <c r="AY757" s="676"/>
      <c r="AZ757" s="676"/>
      <c r="BA757" s="676"/>
      <c r="BB757" s="676"/>
      <c r="BC757" s="676"/>
      <c r="BD757" s="676"/>
      <c r="BE757" s="676"/>
      <c r="BF757" s="676"/>
      <c r="BG757" s="676"/>
      <c r="BH757" s="676"/>
      <c r="BI757" s="676"/>
      <c r="BJ757" s="676"/>
      <c r="BK757" s="675"/>
      <c r="BL757" s="675"/>
      <c r="BM757" s="675"/>
      <c r="BN757" s="675"/>
    </row>
    <row r="758" spans="3:66" ht="15.75" hidden="1">
      <c r="C758" s="649">
        <v>45766</v>
      </c>
      <c r="D758" s="795">
        <v>327439</v>
      </c>
      <c r="E758" s="795">
        <v>28107</v>
      </c>
      <c r="F758" s="833">
        <v>24915.93</v>
      </c>
      <c r="G758" s="834">
        <v>5091</v>
      </c>
      <c r="H758" s="835">
        <v>2038</v>
      </c>
      <c r="I758" s="851">
        <v>158650</v>
      </c>
      <c r="J758" s="835">
        <v>168591</v>
      </c>
      <c r="K758" s="795">
        <v>49380.45</v>
      </c>
      <c r="L758" s="835">
        <v>7014</v>
      </c>
      <c r="M758" s="835">
        <v>269677</v>
      </c>
      <c r="N758" s="835">
        <v>7210</v>
      </c>
      <c r="O758" s="795">
        <v>4279</v>
      </c>
      <c r="P758" s="795">
        <v>105.98313</v>
      </c>
      <c r="Q758" s="337">
        <v>0</v>
      </c>
      <c r="R758" s="777">
        <f t="shared" si="42"/>
        <v>142131.50415850003</v>
      </c>
      <c r="S758" s="836">
        <v>9.9570433841997801</v>
      </c>
      <c r="T758" s="836">
        <v>0.28813800000000001</v>
      </c>
      <c r="U758" s="837">
        <v>3.4079575927305102E-3</v>
      </c>
      <c r="V758" s="838">
        <v>2.9000000000000001E-2</v>
      </c>
      <c r="W758" s="836">
        <v>0.26055</v>
      </c>
      <c r="X758" s="839">
        <v>12.37857</v>
      </c>
      <c r="Y758" s="836">
        <v>11</v>
      </c>
      <c r="Z758" s="337">
        <v>0</v>
      </c>
      <c r="AA758" s="337">
        <v>0</v>
      </c>
      <c r="AB758" s="337">
        <v>0</v>
      </c>
      <c r="AC758" s="840">
        <v>0.18122764741028524</v>
      </c>
      <c r="AD758" s="840">
        <v>5.6208887517096282E-2</v>
      </c>
      <c r="AE758" s="840">
        <v>0.34090003000000002</v>
      </c>
      <c r="AF758" s="836">
        <v>13.383038791211591</v>
      </c>
      <c r="AG758" s="841">
        <f t="shared" si="43"/>
        <v>8.4531305535306949</v>
      </c>
      <c r="AH758" s="842">
        <f t="shared" si="41"/>
        <v>202504</v>
      </c>
      <c r="AI758" s="826"/>
      <c r="AJ758" s="262" t="s">
        <v>1944</v>
      </c>
      <c r="AK758" s="262"/>
      <c r="AL758" s="262"/>
      <c r="AM758" s="676"/>
      <c r="AN758" s="676"/>
      <c r="AO758" s="676"/>
      <c r="AP758" s="676"/>
      <c r="AQ758" s="676"/>
      <c r="AR758" s="676"/>
      <c r="AS758" s="676"/>
      <c r="AT758" s="676"/>
      <c r="AU758" s="676"/>
      <c r="AV758" s="676"/>
      <c r="AW758" s="676"/>
      <c r="AX758" s="676"/>
      <c r="AY758" s="676"/>
      <c r="AZ758" s="676"/>
      <c r="BA758" s="676"/>
      <c r="BB758" s="676"/>
      <c r="BC758" s="676"/>
      <c r="BD758" s="676"/>
      <c r="BE758" s="676"/>
      <c r="BF758" s="676"/>
      <c r="BG758" s="676"/>
      <c r="BH758" s="676"/>
      <c r="BI758" s="676"/>
      <c r="BJ758" s="676"/>
      <c r="BK758" s="675"/>
      <c r="BL758" s="675"/>
      <c r="BM758" s="675"/>
      <c r="BN758" s="675"/>
    </row>
    <row r="759" spans="3:66" ht="15.75" hidden="1">
      <c r="C759" s="649">
        <v>45767</v>
      </c>
      <c r="D759" s="773">
        <v>350898</v>
      </c>
      <c r="E759" s="773">
        <v>27994</v>
      </c>
      <c r="F759" s="845">
        <v>25012.61</v>
      </c>
      <c r="G759" s="848">
        <v>5005</v>
      </c>
      <c r="H759" s="776">
        <v>2025</v>
      </c>
      <c r="I759" s="851">
        <v>158650</v>
      </c>
      <c r="J759" s="776">
        <v>170253</v>
      </c>
      <c r="K759" s="846">
        <v>49974.61</v>
      </c>
      <c r="L759" s="776">
        <v>10253</v>
      </c>
      <c r="M759" s="776">
        <v>280013</v>
      </c>
      <c r="N759" s="776">
        <v>7200</v>
      </c>
      <c r="O759" s="773">
        <v>4086.0000000000005</v>
      </c>
      <c r="P759" s="773">
        <v>121.33024199999998</v>
      </c>
      <c r="Q759" s="337">
        <v>0</v>
      </c>
      <c r="R759" s="777">
        <f t="shared" si="42"/>
        <v>144502.96085889998</v>
      </c>
      <c r="S759" s="843">
        <v>9.0511883153474297</v>
      </c>
      <c r="T759" s="843">
        <v>0.28900300000000001</v>
      </c>
      <c r="U759" s="837">
        <v>3.4079575927305102E-3</v>
      </c>
      <c r="V759" s="849">
        <v>2.8000000000000001E-2</v>
      </c>
      <c r="W759" s="843">
        <v>0.26650999999999997</v>
      </c>
      <c r="X759" s="839">
        <v>12.37857</v>
      </c>
      <c r="Y759" s="843">
        <v>10.74</v>
      </c>
      <c r="Z759" s="337">
        <v>0</v>
      </c>
      <c r="AA759" s="337">
        <v>0</v>
      </c>
      <c r="AB759" s="751">
        <v>0</v>
      </c>
      <c r="AC759" s="844">
        <v>0.18179398380844236</v>
      </c>
      <c r="AD759" s="844">
        <v>6.9432842414065526E-2</v>
      </c>
      <c r="AE759" s="844">
        <v>0.32850003000000005</v>
      </c>
      <c r="AF759" s="843">
        <v>13.38267067255279</v>
      </c>
      <c r="AG759" s="841">
        <f t="shared" si="43"/>
        <v>8.3644371415573531</v>
      </c>
      <c r="AH759" s="842">
        <f t="shared" si="41"/>
        <v>202504</v>
      </c>
      <c r="AI759" s="826"/>
      <c r="AJ759" s="262" t="s">
        <v>1945</v>
      </c>
      <c r="AK759" s="262"/>
      <c r="AL759" s="262"/>
      <c r="AM759" s="676"/>
      <c r="AN759" s="676"/>
      <c r="AO759" s="676"/>
      <c r="AP759" s="676"/>
      <c r="AQ759" s="676"/>
      <c r="AR759" s="676"/>
      <c r="AS759" s="676"/>
      <c r="AT759" s="676"/>
      <c r="AU759" s="676"/>
      <c r="AV759" s="676"/>
      <c r="AW759" s="676"/>
      <c r="AX759" s="676"/>
      <c r="AY759" s="676"/>
      <c r="AZ759" s="676"/>
      <c r="BA759" s="676"/>
      <c r="BB759" s="676"/>
      <c r="BC759" s="676"/>
      <c r="BD759" s="676"/>
      <c r="BE759" s="676"/>
      <c r="BF759" s="676"/>
      <c r="BG759" s="676"/>
      <c r="BH759" s="676"/>
      <c r="BI759" s="676"/>
      <c r="BJ759" s="676"/>
      <c r="BK759" s="675"/>
      <c r="BL759" s="675"/>
      <c r="BM759" s="675"/>
      <c r="BN759" s="675"/>
    </row>
    <row r="760" spans="3:66" ht="15.75" hidden="1">
      <c r="C760" s="649">
        <v>45768</v>
      </c>
      <c r="D760" s="850">
        <v>324245</v>
      </c>
      <c r="E760" s="850">
        <v>27937</v>
      </c>
      <c r="F760" s="865">
        <v>25171</v>
      </c>
      <c r="G760" s="866">
        <v>4966</v>
      </c>
      <c r="H760" s="852">
        <v>1998</v>
      </c>
      <c r="I760" s="851">
        <v>158650</v>
      </c>
      <c r="J760" s="852">
        <v>170322</v>
      </c>
      <c r="K760" s="850">
        <v>48869.81</v>
      </c>
      <c r="L760" s="852">
        <v>13575</v>
      </c>
      <c r="M760" s="852">
        <v>250784</v>
      </c>
      <c r="N760" s="852">
        <v>4065.0000000000005</v>
      </c>
      <c r="O760" s="850">
        <v>4065.0000000000005</v>
      </c>
      <c r="P760" s="850">
        <v>144.28801200000001</v>
      </c>
      <c r="Q760" s="853">
        <v>0</v>
      </c>
      <c r="R760" s="854">
        <f t="shared" si="42"/>
        <v>142803.43710539996</v>
      </c>
      <c r="S760" s="858">
        <v>8.7320577549858829</v>
      </c>
      <c r="T760" s="858">
        <v>0.28884399999999999</v>
      </c>
      <c r="U760" s="859">
        <v>3.4079575927305102E-3</v>
      </c>
      <c r="V760" s="867">
        <v>2.8000000000000001E-2</v>
      </c>
      <c r="W760" s="858">
        <v>0.26093</v>
      </c>
      <c r="X760" s="860">
        <v>12.37857</v>
      </c>
      <c r="Y760" s="858">
        <v>10.8</v>
      </c>
      <c r="Z760" s="853">
        <v>0</v>
      </c>
      <c r="AA760" s="853">
        <v>0</v>
      </c>
      <c r="AB760" s="853">
        <v>0</v>
      </c>
      <c r="AC760" s="861">
        <v>7.0820366589550515E-2</v>
      </c>
      <c r="AD760" s="861">
        <v>7.0820366589550515E-2</v>
      </c>
      <c r="AE760" s="861">
        <v>0.33240003000000001</v>
      </c>
      <c r="AF760" s="858">
        <v>13.384624533126431</v>
      </c>
      <c r="AG760" s="862">
        <f t="shared" si="43"/>
        <v>8.3555147107404117</v>
      </c>
      <c r="AH760" s="842">
        <f t="shared" si="41"/>
        <v>202504</v>
      </c>
      <c r="AI760" s="826"/>
      <c r="AJ760" s="262" t="s">
        <v>1950</v>
      </c>
      <c r="AK760" s="262"/>
      <c r="AL760" s="262"/>
      <c r="AM760" s="676"/>
      <c r="AN760" s="676"/>
      <c r="AO760" s="676"/>
      <c r="AP760" s="676"/>
      <c r="AQ760" s="676"/>
      <c r="AR760" s="676"/>
      <c r="AS760" s="676"/>
      <c r="AT760" s="676"/>
      <c r="AU760" s="676"/>
      <c r="AV760" s="676"/>
      <c r="AW760" s="676"/>
      <c r="AX760" s="676"/>
      <c r="AY760" s="676"/>
      <c r="AZ760" s="676"/>
      <c r="BA760" s="676"/>
      <c r="BB760" s="676"/>
      <c r="BC760" s="676"/>
      <c r="BD760" s="676"/>
      <c r="BE760" s="676"/>
      <c r="BF760" s="676"/>
      <c r="BG760" s="676"/>
      <c r="BH760" s="676"/>
      <c r="BI760" s="676"/>
      <c r="BJ760" s="676"/>
      <c r="BK760" s="675"/>
      <c r="BL760" s="675"/>
      <c r="BM760" s="675"/>
      <c r="BN760" s="675"/>
    </row>
    <row r="761" spans="3:66" ht="15.75" hidden="1">
      <c r="C761" s="649">
        <v>45769</v>
      </c>
      <c r="D761" s="855">
        <v>315964</v>
      </c>
      <c r="E761" s="855">
        <v>27843</v>
      </c>
      <c r="F761" s="856">
        <v>25117</v>
      </c>
      <c r="G761" s="868">
        <v>5040</v>
      </c>
      <c r="H761" s="857">
        <v>1975</v>
      </c>
      <c r="I761" s="851">
        <v>158650</v>
      </c>
      <c r="J761" s="857">
        <v>169707</v>
      </c>
      <c r="K761" s="855">
        <v>46371.89</v>
      </c>
      <c r="L761" s="857">
        <v>8582</v>
      </c>
      <c r="M761" s="857">
        <v>282972</v>
      </c>
      <c r="N761" s="857">
        <v>7106</v>
      </c>
      <c r="O761" s="855">
        <v>5490</v>
      </c>
      <c r="P761" s="855">
        <v>126.80236799999999</v>
      </c>
      <c r="Q761" s="853">
        <v>0</v>
      </c>
      <c r="R761" s="854">
        <f t="shared" si="42"/>
        <v>142707.25806560001</v>
      </c>
      <c r="S761" s="863">
        <v>9.206930824840649</v>
      </c>
      <c r="T761" s="863">
        <v>0.285968</v>
      </c>
      <c r="U761" s="859">
        <v>3.4079575927305102E-3</v>
      </c>
      <c r="V761" s="869">
        <v>2.8000000000000001E-2</v>
      </c>
      <c r="W761" s="863">
        <v>0.28561000000000003</v>
      </c>
      <c r="X761" s="860">
        <v>12.37857</v>
      </c>
      <c r="Y761" s="863">
        <v>10.81</v>
      </c>
      <c r="Z761" s="853">
        <v>0</v>
      </c>
      <c r="AA761" s="853">
        <v>0</v>
      </c>
      <c r="AB761" s="853">
        <v>0</v>
      </c>
      <c r="AC761" s="864">
        <v>0.20529694433196374</v>
      </c>
      <c r="AD761" s="864">
        <v>7.7786304286883365E-2</v>
      </c>
      <c r="AE761" s="864">
        <v>0.33310003000000005</v>
      </c>
      <c r="AF761" s="863">
        <v>13.384709483586155</v>
      </c>
      <c r="AG761" s="862">
        <f t="shared" si="43"/>
        <v>8.4138164682424161</v>
      </c>
      <c r="AH761" s="842">
        <f t="shared" si="41"/>
        <v>202504</v>
      </c>
      <c r="AI761" s="826"/>
      <c r="AJ761" s="262" t="s">
        <v>1951</v>
      </c>
      <c r="AK761" s="262"/>
      <c r="AL761" s="262"/>
      <c r="AM761" s="676"/>
      <c r="AN761" s="676"/>
      <c r="AO761" s="676"/>
      <c r="AP761" s="676"/>
      <c r="AQ761" s="676"/>
      <c r="AR761" s="676"/>
      <c r="AS761" s="676"/>
      <c r="AT761" s="676"/>
      <c r="AU761" s="676"/>
      <c r="AV761" s="676"/>
      <c r="AW761" s="676"/>
      <c r="AX761" s="676"/>
      <c r="AY761" s="676"/>
      <c r="AZ761" s="676"/>
      <c r="BA761" s="676"/>
      <c r="BB761" s="676"/>
      <c r="BC761" s="676"/>
      <c r="BD761" s="676"/>
      <c r="BE761" s="676"/>
      <c r="BF761" s="676"/>
      <c r="BG761" s="676"/>
      <c r="BH761" s="676"/>
      <c r="BI761" s="676"/>
      <c r="BJ761" s="676"/>
      <c r="BK761" s="675"/>
      <c r="BL761" s="675"/>
      <c r="BM761" s="675"/>
      <c r="BN761" s="675"/>
    </row>
    <row r="762" spans="3:66" ht="15.75" hidden="1">
      <c r="C762" s="649">
        <v>45770</v>
      </c>
      <c r="D762" s="874">
        <v>325667</v>
      </c>
      <c r="E762" s="874">
        <v>27868</v>
      </c>
      <c r="F762" s="875">
        <v>24509</v>
      </c>
      <c r="G762" s="876">
        <v>5059</v>
      </c>
      <c r="H762" s="877">
        <v>2035</v>
      </c>
      <c r="I762" s="889">
        <v>158650</v>
      </c>
      <c r="J762" s="877">
        <v>171285</v>
      </c>
      <c r="K762" s="874">
        <v>46716.9</v>
      </c>
      <c r="L762" s="877">
        <v>12057</v>
      </c>
      <c r="M762" s="877">
        <v>290537</v>
      </c>
      <c r="N762" s="877">
        <v>7057</v>
      </c>
      <c r="O762" s="874">
        <v>3822</v>
      </c>
      <c r="P762" s="874">
        <v>153</v>
      </c>
      <c r="R762" s="854">
        <f t="shared" si="42"/>
        <v>143618.39600000001</v>
      </c>
      <c r="S762" s="884">
        <v>9.4748079411689758</v>
      </c>
      <c r="T762" s="884">
        <v>0.28508099999999997</v>
      </c>
      <c r="U762" s="879">
        <v>3.4079575927305102E-3</v>
      </c>
      <c r="V762" s="885">
        <v>2.7E-2</v>
      </c>
      <c r="W762" s="884">
        <v>0.28549000000000002</v>
      </c>
      <c r="X762" s="881">
        <v>12.37857</v>
      </c>
      <c r="Y762" s="884">
        <v>10.89</v>
      </c>
      <c r="Z762" s="882">
        <v>0</v>
      </c>
      <c r="AA762" s="882">
        <v>0</v>
      </c>
      <c r="AB762" s="882">
        <v>0</v>
      </c>
      <c r="AC762" s="886">
        <v>0.19340387997066377</v>
      </c>
      <c r="AD762" s="886">
        <v>5.1706513151747006E-2</v>
      </c>
      <c r="AE762" s="886">
        <v>0.33380003000000003</v>
      </c>
      <c r="AF762" s="884">
        <v>13.384567899486616</v>
      </c>
      <c r="AG762" s="862">
        <f t="shared" si="43"/>
        <v>8.4301431610643007</v>
      </c>
      <c r="AH762" s="842">
        <f t="shared" si="41"/>
        <v>202504</v>
      </c>
      <c r="AI762" s="826"/>
      <c r="AJ762" s="262" t="s">
        <v>1952</v>
      </c>
      <c r="AK762" s="262"/>
      <c r="AL762" s="262"/>
      <c r="AM762" s="676"/>
      <c r="AN762" s="676"/>
      <c r="AO762" s="676"/>
      <c r="AP762" s="676"/>
      <c r="AQ762" s="676"/>
      <c r="AR762" s="676"/>
      <c r="AS762" s="676"/>
      <c r="AT762" s="676"/>
      <c r="AU762" s="676"/>
      <c r="AV762" s="676"/>
      <c r="AW762" s="676"/>
      <c r="AX762" s="676"/>
      <c r="AY762" s="676"/>
      <c r="AZ762" s="676"/>
      <c r="BA762" s="676"/>
      <c r="BB762" s="676"/>
      <c r="BC762" s="676"/>
      <c r="BD762" s="676"/>
      <c r="BE762" s="676"/>
      <c r="BF762" s="676"/>
      <c r="BG762" s="676"/>
      <c r="BH762" s="676"/>
      <c r="BI762" s="676"/>
      <c r="BJ762" s="676"/>
      <c r="BK762" s="675"/>
      <c r="BL762" s="675"/>
      <c r="BM762" s="675"/>
      <c r="BN762" s="675"/>
    </row>
    <row r="763" spans="3:66" ht="15.75" hidden="1">
      <c r="C763" s="649">
        <v>45771</v>
      </c>
      <c r="D763" s="870">
        <v>312958</v>
      </c>
      <c r="E763" s="870">
        <v>28069</v>
      </c>
      <c r="F763" s="871">
        <v>24672</v>
      </c>
      <c r="G763" s="872">
        <v>4954</v>
      </c>
      <c r="H763" s="873">
        <v>2108</v>
      </c>
      <c r="I763" s="889">
        <v>158650</v>
      </c>
      <c r="J763" s="873">
        <v>170854</v>
      </c>
      <c r="K763" s="870">
        <v>45986.87</v>
      </c>
      <c r="L763" s="873">
        <v>12717</v>
      </c>
      <c r="M763" s="873">
        <v>288862</v>
      </c>
      <c r="N763" s="873">
        <v>7069</v>
      </c>
      <c r="O763" s="870">
        <v>3788</v>
      </c>
      <c r="P763" s="870">
        <v>121.45603799999998</v>
      </c>
      <c r="Q763" s="337">
        <v>0</v>
      </c>
      <c r="R763" s="854">
        <f t="shared" si="42"/>
        <v>143206.71046710003</v>
      </c>
      <c r="S763" s="878">
        <v>8.4924974585654081</v>
      </c>
      <c r="T763" s="878">
        <v>0.28199000000000002</v>
      </c>
      <c r="U763" s="879">
        <v>3.4079575927305102E-3</v>
      </c>
      <c r="V763" s="880">
        <v>2.7E-2</v>
      </c>
      <c r="W763" s="878">
        <v>0.28249999999999997</v>
      </c>
      <c r="X763" s="881">
        <v>12.37857</v>
      </c>
      <c r="Y763" s="878">
        <v>10.81</v>
      </c>
      <c r="Z763" s="882">
        <v>0</v>
      </c>
      <c r="AA763" s="882">
        <v>0</v>
      </c>
      <c r="AB763" s="882">
        <v>0</v>
      </c>
      <c r="AC763" s="883">
        <v>0.19340387997066377</v>
      </c>
      <c r="AD763" s="883">
        <v>7.2264524404851233E-2</v>
      </c>
      <c r="AE763" s="883">
        <v>0.33510003000000005</v>
      </c>
      <c r="AF763" s="878">
        <v>13.38490770132551</v>
      </c>
      <c r="AG763" s="862">
        <f t="shared" si="43"/>
        <v>8.3856519802620006</v>
      </c>
      <c r="AH763" s="842">
        <f t="shared" si="41"/>
        <v>202504</v>
      </c>
      <c r="AI763" s="826"/>
      <c r="AJ763" s="262" t="s">
        <v>1952</v>
      </c>
      <c r="AK763" s="262"/>
      <c r="AL763" s="262"/>
      <c r="AM763" s="676"/>
      <c r="AN763" s="676"/>
      <c r="AO763" s="676"/>
      <c r="AP763" s="676"/>
      <c r="AQ763" s="676"/>
      <c r="AR763" s="676"/>
      <c r="AS763" s="676"/>
      <c r="AT763" s="676"/>
      <c r="AU763" s="676"/>
      <c r="AV763" s="676"/>
      <c r="AW763" s="676"/>
      <c r="AX763" s="676"/>
      <c r="AY763" s="676"/>
      <c r="AZ763" s="676"/>
      <c r="BA763" s="676"/>
      <c r="BB763" s="676"/>
      <c r="BC763" s="676"/>
      <c r="BD763" s="676"/>
      <c r="BE763" s="676"/>
      <c r="BF763" s="676"/>
      <c r="BG763" s="676"/>
      <c r="BH763" s="676"/>
      <c r="BI763" s="676"/>
      <c r="BJ763" s="676"/>
      <c r="BK763" s="675"/>
      <c r="BL763" s="675"/>
      <c r="BM763" s="675"/>
      <c r="BN763" s="675"/>
    </row>
    <row r="764" spans="3:66" ht="15.75" hidden="1">
      <c r="C764" s="649">
        <v>45772</v>
      </c>
      <c r="D764" s="874">
        <v>310782</v>
      </c>
      <c r="E764" s="874">
        <v>27849</v>
      </c>
      <c r="F764" s="875">
        <v>25057</v>
      </c>
      <c r="G764" s="876">
        <v>5026</v>
      </c>
      <c r="H764" s="877">
        <v>2079</v>
      </c>
      <c r="I764" s="889">
        <v>157020</v>
      </c>
      <c r="J764" s="877">
        <v>171412</v>
      </c>
      <c r="K764" s="874">
        <v>48503.199999999997</v>
      </c>
      <c r="L764" s="877">
        <v>12894</v>
      </c>
      <c r="M764" s="877">
        <v>254367</v>
      </c>
      <c r="N764" s="877">
        <v>6708</v>
      </c>
      <c r="O764" s="874">
        <v>4832</v>
      </c>
      <c r="P764" s="874">
        <v>120.88995599999998</v>
      </c>
      <c r="Q764" s="337">
        <v>0</v>
      </c>
      <c r="R764" s="854">
        <f t="shared" si="42"/>
        <v>142848.86148019999</v>
      </c>
      <c r="S764" s="884">
        <v>8.8855349188864707</v>
      </c>
      <c r="T764" s="884">
        <v>0.26852700000000002</v>
      </c>
      <c r="U764" s="879">
        <v>3.4079575927305102E-3</v>
      </c>
      <c r="V764" s="885">
        <v>2.7E-2</v>
      </c>
      <c r="W764" s="884">
        <v>0.28201999999999999</v>
      </c>
      <c r="X764" s="881">
        <v>12.37857</v>
      </c>
      <c r="Y764" s="884">
        <v>10.89</v>
      </c>
      <c r="Z764" s="882">
        <v>0</v>
      </c>
      <c r="AA764" s="882">
        <v>0</v>
      </c>
      <c r="AB764" s="882">
        <v>0</v>
      </c>
      <c r="AC764" s="886">
        <v>0.2055801125310423</v>
      </c>
      <c r="AD764" s="886">
        <v>4.1965527103444172E-2</v>
      </c>
      <c r="AE764" s="886">
        <v>0.33220003000000004</v>
      </c>
      <c r="AF764" s="884">
        <v>13.384114830368089</v>
      </c>
      <c r="AG764" s="862">
        <f t="shared" si="43"/>
        <v>8.4016133145747105</v>
      </c>
      <c r="AH764" s="842">
        <f t="shared" si="41"/>
        <v>202504</v>
      </c>
      <c r="AI764" s="826"/>
      <c r="AJ764" s="262" t="s">
        <v>1952</v>
      </c>
      <c r="AK764" s="262"/>
      <c r="AL764" s="262"/>
      <c r="AM764" s="676"/>
      <c r="AN764" s="676"/>
      <c r="AO764" s="676"/>
      <c r="AP764" s="676"/>
      <c r="AQ764" s="676"/>
      <c r="AR764" s="676"/>
      <c r="AS764" s="676"/>
      <c r="AT764" s="676"/>
      <c r="AU764" s="676"/>
      <c r="AV764" s="676"/>
      <c r="AW764" s="676"/>
      <c r="AX764" s="676"/>
      <c r="AY764" s="676"/>
      <c r="AZ764" s="676"/>
      <c r="BA764" s="676"/>
      <c r="BB764" s="676"/>
      <c r="BC764" s="676"/>
      <c r="BD764" s="676"/>
      <c r="BE764" s="676"/>
      <c r="BF764" s="676"/>
      <c r="BG764" s="676"/>
      <c r="BH764" s="676"/>
      <c r="BI764" s="676"/>
      <c r="BJ764" s="676"/>
      <c r="BK764" s="675"/>
      <c r="BL764" s="675"/>
      <c r="BM764" s="675"/>
      <c r="BN764" s="675"/>
    </row>
    <row r="765" spans="3:66" ht="15.75" hidden="1">
      <c r="C765" s="649">
        <v>45773</v>
      </c>
      <c r="D765" s="870">
        <v>325413</v>
      </c>
      <c r="E765" s="870">
        <v>27176</v>
      </c>
      <c r="F765" s="871">
        <v>25089</v>
      </c>
      <c r="G765" s="872">
        <v>5065</v>
      </c>
      <c r="H765" s="873">
        <v>2008</v>
      </c>
      <c r="I765" s="889">
        <v>157020</v>
      </c>
      <c r="J765" s="873">
        <v>169885</v>
      </c>
      <c r="K765" s="870">
        <v>50193.99</v>
      </c>
      <c r="L765" s="873">
        <v>12299</v>
      </c>
      <c r="M765" s="873">
        <v>308801</v>
      </c>
      <c r="N765" s="873">
        <v>7017</v>
      </c>
      <c r="O765" s="870">
        <v>4035.9999999999995</v>
      </c>
      <c r="P765" s="870">
        <v>144.47670599999998</v>
      </c>
      <c r="Q765" s="337">
        <v>0</v>
      </c>
      <c r="R765" s="854">
        <f t="shared" si="42"/>
        <v>144851.70601769999</v>
      </c>
      <c r="S765" s="878">
        <v>8.6703270875867542</v>
      </c>
      <c r="T765" s="878">
        <v>0.28120400000000001</v>
      </c>
      <c r="U765" s="879">
        <v>3.4079575927305102E-3</v>
      </c>
      <c r="V765" s="880">
        <v>2.5999999999999999E-2</v>
      </c>
      <c r="W765" s="878">
        <v>0.27606000000000003</v>
      </c>
      <c r="X765" s="881">
        <v>12.37857</v>
      </c>
      <c r="Y765" s="878">
        <v>10.66</v>
      </c>
      <c r="Z765" s="882">
        <v>0</v>
      </c>
      <c r="AA765" s="882">
        <v>0</v>
      </c>
      <c r="AB765" s="882">
        <v>0</v>
      </c>
      <c r="AC765" s="883">
        <v>0.19453655276697804</v>
      </c>
      <c r="AD765" s="883">
        <v>6.2551855176456256E-2</v>
      </c>
      <c r="AE765" s="883">
        <v>0.33200003</v>
      </c>
      <c r="AF765" s="878">
        <v>13.38465284994634</v>
      </c>
      <c r="AG765" s="862">
        <f t="shared" si="43"/>
        <v>8.339502478492653</v>
      </c>
      <c r="AH765" s="842">
        <f t="shared" ref="AH765:AH818" si="44">IF($AK$1&gt;=C765,(YEAR(C765)*100+MONTH(C765)),0)</f>
        <v>202504</v>
      </c>
      <c r="AI765" s="826"/>
      <c r="AJ765" s="262" t="s">
        <v>1952</v>
      </c>
      <c r="AK765" s="262"/>
      <c r="AL765" s="262"/>
      <c r="AM765" s="676"/>
      <c r="AN765" s="676"/>
      <c r="AO765" s="676"/>
      <c r="AP765" s="676"/>
      <c r="AQ765" s="676"/>
      <c r="AR765" s="676"/>
      <c r="AS765" s="676"/>
      <c r="AT765" s="676"/>
      <c r="AU765" s="676"/>
      <c r="AV765" s="676"/>
      <c r="AW765" s="676"/>
      <c r="AX765" s="676"/>
      <c r="AY765" s="676"/>
      <c r="AZ765" s="676"/>
      <c r="BA765" s="676"/>
      <c r="BB765" s="676"/>
      <c r="BC765" s="676"/>
      <c r="BD765" s="676"/>
      <c r="BE765" s="676"/>
      <c r="BF765" s="676"/>
      <c r="BG765" s="676"/>
      <c r="BH765" s="676"/>
      <c r="BI765" s="676"/>
      <c r="BJ765" s="676"/>
      <c r="BK765" s="675"/>
      <c r="BL765" s="675"/>
      <c r="BM765" s="675"/>
      <c r="BN765" s="675"/>
    </row>
    <row r="766" spans="3:66" ht="15.75" hidden="1">
      <c r="C766" s="649">
        <v>45774</v>
      </c>
      <c r="D766" s="874">
        <v>324468</v>
      </c>
      <c r="E766" s="874">
        <v>25195</v>
      </c>
      <c r="F766" s="875">
        <v>25087</v>
      </c>
      <c r="G766" s="876">
        <v>5028</v>
      </c>
      <c r="H766" s="877">
        <v>1998</v>
      </c>
      <c r="I766" s="889">
        <v>157020</v>
      </c>
      <c r="J766" s="877">
        <v>169461</v>
      </c>
      <c r="K766" s="874">
        <v>50831.09</v>
      </c>
      <c r="L766" s="877">
        <v>10737</v>
      </c>
      <c r="M766" s="877">
        <v>344998</v>
      </c>
      <c r="N766" s="877">
        <v>7079</v>
      </c>
      <c r="O766" s="874">
        <v>4685</v>
      </c>
      <c r="P766" s="874">
        <v>141.709194</v>
      </c>
      <c r="Q766" s="337">
        <v>0</v>
      </c>
      <c r="R766" s="854">
        <f t="shared" si="42"/>
        <v>145644.55188730001</v>
      </c>
      <c r="S766" s="884">
        <v>8.8189903921030037</v>
      </c>
      <c r="T766" s="884">
        <v>0.25157600000000002</v>
      </c>
      <c r="U766" s="879">
        <v>3.4079575927305102E-3</v>
      </c>
      <c r="V766" s="885">
        <v>2.5999999999999999E-2</v>
      </c>
      <c r="W766" s="884">
        <v>0.26704</v>
      </c>
      <c r="X766" s="881">
        <v>12.37857</v>
      </c>
      <c r="Y766" s="884">
        <v>11.07</v>
      </c>
      <c r="Z766" s="882">
        <v>0</v>
      </c>
      <c r="AA766" s="882">
        <v>0</v>
      </c>
      <c r="AB766" s="882">
        <v>0</v>
      </c>
      <c r="AC766" s="886">
        <v>0.19538605736421377</v>
      </c>
      <c r="AD766" s="886">
        <v>6.8243535977935532E-2</v>
      </c>
      <c r="AE766" s="886">
        <v>0.32750003000000005</v>
      </c>
      <c r="AF766" s="884">
        <v>13.384624533126431</v>
      </c>
      <c r="AG766" s="862">
        <f t="shared" si="43"/>
        <v>8.4337716241166572</v>
      </c>
      <c r="AH766" s="842">
        <f t="shared" si="44"/>
        <v>202504</v>
      </c>
      <c r="AI766" s="826"/>
      <c r="AJ766" s="262" t="s">
        <v>1954</v>
      </c>
      <c r="AK766" s="262"/>
      <c r="AL766" s="262"/>
      <c r="AM766" s="676"/>
      <c r="AN766" s="676"/>
      <c r="AO766" s="676"/>
      <c r="AP766" s="676"/>
      <c r="AQ766" s="676"/>
      <c r="AR766" s="676"/>
      <c r="AS766" s="676"/>
      <c r="AT766" s="676"/>
      <c r="AU766" s="676"/>
      <c r="AV766" s="676"/>
      <c r="AW766" s="676"/>
      <c r="AX766" s="676"/>
      <c r="AY766" s="676"/>
      <c r="AZ766" s="676"/>
      <c r="BA766" s="676"/>
      <c r="BB766" s="676"/>
      <c r="BC766" s="676"/>
      <c r="BD766" s="676"/>
      <c r="BE766" s="676"/>
      <c r="BF766" s="676"/>
      <c r="BG766" s="676"/>
      <c r="BH766" s="676"/>
      <c r="BI766" s="676"/>
      <c r="BJ766" s="676"/>
      <c r="BK766" s="675"/>
      <c r="BL766" s="675"/>
      <c r="BM766" s="675"/>
      <c r="BN766" s="675"/>
    </row>
    <row r="767" spans="3:66" ht="15.75" hidden="1">
      <c r="C767" s="649">
        <v>45775</v>
      </c>
      <c r="D767" s="870">
        <v>329569</v>
      </c>
      <c r="E767" s="870">
        <v>23736</v>
      </c>
      <c r="F767" s="871">
        <v>25055</v>
      </c>
      <c r="G767" s="872">
        <v>5015</v>
      </c>
      <c r="H767" s="873">
        <v>2142</v>
      </c>
      <c r="I767" s="889">
        <v>157020</v>
      </c>
      <c r="J767" s="873">
        <v>167521</v>
      </c>
      <c r="K767" s="870">
        <v>51773.77</v>
      </c>
      <c r="L767" s="873">
        <v>10563</v>
      </c>
      <c r="M767" s="873">
        <v>354305</v>
      </c>
      <c r="N767" s="873">
        <v>7104</v>
      </c>
      <c r="O767" s="870">
        <v>4412</v>
      </c>
      <c r="P767" s="870">
        <v>131.77131</v>
      </c>
      <c r="R767" s="854">
        <f t="shared" si="42"/>
        <v>145465.57658949998</v>
      </c>
      <c r="S767" s="878">
        <v>8.8518379031961203</v>
      </c>
      <c r="T767" s="878">
        <v>0.23574700000000001</v>
      </c>
      <c r="U767" s="879">
        <v>3.4079575927305102E-3</v>
      </c>
      <c r="V767" s="880">
        <v>2.5999999999999999E-2</v>
      </c>
      <c r="W767" s="878">
        <v>0.30310999999999999</v>
      </c>
      <c r="X767" s="881">
        <v>12.37857</v>
      </c>
      <c r="Y767" s="878">
        <v>10.98</v>
      </c>
      <c r="Z767" s="882">
        <v>0</v>
      </c>
      <c r="AA767" s="882">
        <v>0</v>
      </c>
      <c r="AB767" s="882">
        <v>0</v>
      </c>
      <c r="AC767" s="883">
        <v>0.19595239376237089</v>
      </c>
      <c r="AD767" s="883">
        <v>7.0622148850195535E-2</v>
      </c>
      <c r="AE767" s="883">
        <v>0.33060003000000004</v>
      </c>
      <c r="AF767" s="878">
        <v>13.389749877529754</v>
      </c>
      <c r="AG767" s="862">
        <f t="shared" si="43"/>
        <v>8.4464086345173968</v>
      </c>
      <c r="AH767" s="842">
        <f t="shared" si="44"/>
        <v>202504</v>
      </c>
      <c r="AI767" s="826"/>
      <c r="AJ767" s="262" t="s">
        <v>1955</v>
      </c>
      <c r="AK767" s="262"/>
      <c r="AL767" s="262"/>
      <c r="AM767" s="676"/>
      <c r="AN767" s="676"/>
      <c r="AO767" s="676"/>
      <c r="AP767" s="676"/>
      <c r="AQ767" s="676"/>
      <c r="AR767" s="676"/>
      <c r="AS767" s="676"/>
      <c r="AT767" s="676"/>
      <c r="AU767" s="676"/>
      <c r="AV767" s="676"/>
      <c r="AW767" s="676"/>
      <c r="AX767" s="676"/>
      <c r="AY767" s="676"/>
      <c r="AZ767" s="676"/>
      <c r="BA767" s="676"/>
      <c r="BB767" s="676"/>
      <c r="BC767" s="676"/>
      <c r="BD767" s="676"/>
      <c r="BE767" s="676"/>
      <c r="BF767" s="676"/>
      <c r="BG767" s="676"/>
      <c r="BH767" s="676"/>
      <c r="BI767" s="676"/>
      <c r="BJ767" s="676"/>
      <c r="BK767" s="675"/>
      <c r="BL767" s="675"/>
      <c r="BM767" s="675"/>
      <c r="BN767" s="675"/>
    </row>
    <row r="768" spans="3:66" ht="15.75" hidden="1">
      <c r="C768" s="649">
        <v>45776</v>
      </c>
      <c r="D768" s="874">
        <v>303779</v>
      </c>
      <c r="E768" s="874">
        <v>23528</v>
      </c>
      <c r="F768" s="875">
        <v>25035</v>
      </c>
      <c r="G768" s="876">
        <v>5051</v>
      </c>
      <c r="H768" s="877">
        <v>2186</v>
      </c>
      <c r="I768" s="889">
        <v>157020</v>
      </c>
      <c r="J768" s="877">
        <v>168015</v>
      </c>
      <c r="K768" s="874">
        <v>52122.94</v>
      </c>
      <c r="L768" s="877">
        <v>9381</v>
      </c>
      <c r="M768" s="877">
        <v>391644</v>
      </c>
      <c r="N768" s="877">
        <v>7105</v>
      </c>
      <c r="O768" s="874">
        <v>4713</v>
      </c>
      <c r="P768" s="874">
        <v>111.32945999999998</v>
      </c>
      <c r="Q768" s="337">
        <v>0</v>
      </c>
      <c r="R768" s="854">
        <f t="shared" si="42"/>
        <v>146238.50525700001</v>
      </c>
      <c r="S768" s="884">
        <v>8.8563685943813795</v>
      </c>
      <c r="T768" s="884">
        <v>0.20990900000000001</v>
      </c>
      <c r="U768" s="879">
        <v>3.4079575927305102E-3</v>
      </c>
      <c r="V768" s="885">
        <v>2.9000000000000001E-2</v>
      </c>
      <c r="W768" s="884">
        <v>0.31143999999999999</v>
      </c>
      <c r="X768" s="881">
        <v>12.37857</v>
      </c>
      <c r="Y768" s="884">
        <v>10.88</v>
      </c>
      <c r="Z768" s="882">
        <v>0</v>
      </c>
      <c r="AA768" s="882">
        <v>0</v>
      </c>
      <c r="AB768" s="882">
        <v>0</v>
      </c>
      <c r="AC768" s="886">
        <v>0.19765140295684233</v>
      </c>
      <c r="AD768" s="886">
        <v>6.0597994602814127E-2</v>
      </c>
      <c r="AE768" s="886">
        <v>0.33070003000000003</v>
      </c>
      <c r="AF768" s="884">
        <v>13.383803345349103</v>
      </c>
      <c r="AG768" s="862">
        <f t="shared" si="43"/>
        <v>8.4186062160762933</v>
      </c>
      <c r="AH768" s="842">
        <f t="shared" si="44"/>
        <v>202504</v>
      </c>
      <c r="AI768" s="826"/>
      <c r="AJ768" s="262" t="s">
        <v>1956</v>
      </c>
      <c r="AK768" s="262"/>
      <c r="AL768" s="262"/>
    </row>
    <row r="769" spans="3:38" ht="15.75" hidden="1">
      <c r="C769" s="649">
        <v>45777</v>
      </c>
      <c r="D769" s="870">
        <v>326740</v>
      </c>
      <c r="E769" s="870">
        <v>24522</v>
      </c>
      <c r="F769" s="871">
        <v>25047.38</v>
      </c>
      <c r="G769" s="872">
        <v>5104</v>
      </c>
      <c r="H769" s="873">
        <v>2202</v>
      </c>
      <c r="I769" s="889">
        <v>157020</v>
      </c>
      <c r="J769" s="873">
        <v>167798</v>
      </c>
      <c r="K769" s="870">
        <v>53031.58</v>
      </c>
      <c r="L769" s="873">
        <v>9807</v>
      </c>
      <c r="M769" s="873">
        <v>402123</v>
      </c>
      <c r="N769" s="873">
        <v>7049</v>
      </c>
      <c r="O769" s="870">
        <v>4387</v>
      </c>
      <c r="P769" s="870">
        <v>144.728298</v>
      </c>
      <c r="Q769" s="337">
        <v>0</v>
      </c>
      <c r="R769" s="854">
        <f t="shared" si="42"/>
        <v>147800.80248410002</v>
      </c>
      <c r="S769" s="878">
        <v>13.940653608837112</v>
      </c>
      <c r="T769" s="878">
        <v>0.24005499999999999</v>
      </c>
      <c r="U769" s="879">
        <v>3.4079575927305102E-3</v>
      </c>
      <c r="V769" s="880">
        <v>0.03</v>
      </c>
      <c r="W769" s="878">
        <v>0.30452999999999997</v>
      </c>
      <c r="X769" s="881">
        <v>12.37857</v>
      </c>
      <c r="Y769" s="878">
        <v>10.93</v>
      </c>
      <c r="Z769" s="882">
        <v>0</v>
      </c>
      <c r="AA769" s="882">
        <v>0</v>
      </c>
      <c r="AB769" s="882">
        <v>0</v>
      </c>
      <c r="AC769" s="883">
        <v>0.1996335803503923</v>
      </c>
      <c r="AD769" s="883">
        <v>5.4368294223085568E-2</v>
      </c>
      <c r="AE769" s="883">
        <v>0.32390003000000001</v>
      </c>
      <c r="AF769" s="878">
        <v>13.369616618575266</v>
      </c>
      <c r="AG769" s="862">
        <f t="shared" si="43"/>
        <v>8.5743053885589688</v>
      </c>
      <c r="AH769" s="842">
        <f t="shared" si="44"/>
        <v>202504</v>
      </c>
      <c r="AI769" s="826"/>
      <c r="AJ769" s="262" t="s">
        <v>1957</v>
      </c>
      <c r="AK769" s="262"/>
      <c r="AL769" s="262"/>
    </row>
    <row r="770" spans="3:38" ht="16.5" hidden="1" customHeight="1">
      <c r="C770" s="649">
        <v>45778</v>
      </c>
      <c r="D770" s="874">
        <v>307169</v>
      </c>
      <c r="E770" s="874">
        <v>24019</v>
      </c>
      <c r="F770" s="875">
        <v>24983</v>
      </c>
      <c r="G770" s="876">
        <v>5065</v>
      </c>
      <c r="H770" s="877">
        <v>2203</v>
      </c>
      <c r="I770" s="889">
        <v>157020</v>
      </c>
      <c r="J770" s="877">
        <v>169128</v>
      </c>
      <c r="K770" s="874">
        <v>55583.9</v>
      </c>
      <c r="L770" s="877">
        <v>9964</v>
      </c>
      <c r="M770" s="877">
        <v>379050</v>
      </c>
      <c r="N770" s="877">
        <v>7088</v>
      </c>
      <c r="O770" s="874">
        <v>4526</v>
      </c>
      <c r="P770" s="874">
        <v>134.979108</v>
      </c>
      <c r="Q770" s="337">
        <v>0</v>
      </c>
      <c r="R770" s="854">
        <f t="shared" si="42"/>
        <v>147183.3138486</v>
      </c>
      <c r="S770" s="884">
        <v>8.6425766040770569</v>
      </c>
      <c r="T770" s="884">
        <v>0.23696</v>
      </c>
      <c r="U770" s="879">
        <v>3.4079575927305102E-3</v>
      </c>
      <c r="V770" s="885">
        <v>0.03</v>
      </c>
      <c r="W770" s="884">
        <v>0.29293999999999998</v>
      </c>
      <c r="X770" s="881">
        <v>12.37857</v>
      </c>
      <c r="Y770" s="884">
        <v>10.83</v>
      </c>
      <c r="Z770" s="882">
        <v>0</v>
      </c>
      <c r="AA770" s="882">
        <v>0</v>
      </c>
      <c r="AB770" s="882">
        <v>0</v>
      </c>
      <c r="AC770" s="886">
        <v>0.18320982480383521</v>
      </c>
      <c r="AD770" s="886">
        <v>5.7737995792120564E-2</v>
      </c>
      <c r="AE770" s="886">
        <v>0.31820003000000002</v>
      </c>
      <c r="AF770" s="884">
        <v>13.671672136532377</v>
      </c>
      <c r="AG770" s="862">
        <f t="shared" si="43"/>
        <v>8.4292366917399395</v>
      </c>
      <c r="AH770" s="842">
        <f t="shared" si="44"/>
        <v>202505</v>
      </c>
      <c r="AI770" s="826"/>
      <c r="AJ770" s="262" t="s">
        <v>1958</v>
      </c>
      <c r="AK770" s="262"/>
      <c r="AL770" s="262"/>
    </row>
    <row r="771" spans="3:38" ht="15.75" hidden="1">
      <c r="C771" s="649">
        <v>45779</v>
      </c>
      <c r="D771" s="870">
        <v>303663</v>
      </c>
      <c r="E771" s="870">
        <v>24119</v>
      </c>
      <c r="F771" s="871">
        <v>24958</v>
      </c>
      <c r="G771" s="872">
        <v>4966</v>
      </c>
      <c r="H771" s="873">
        <v>2226</v>
      </c>
      <c r="I771" s="889">
        <v>144410</v>
      </c>
      <c r="J771" s="873">
        <v>167032</v>
      </c>
      <c r="K771" s="870">
        <v>53479.76</v>
      </c>
      <c r="L771" s="873">
        <v>14757</v>
      </c>
      <c r="M771" s="873">
        <v>393166</v>
      </c>
      <c r="N771" s="873">
        <v>7335</v>
      </c>
      <c r="O771" s="870">
        <v>5251</v>
      </c>
      <c r="P771" s="870">
        <v>113.59378799999999</v>
      </c>
      <c r="Q771" s="337">
        <v>0</v>
      </c>
      <c r="R771" s="854">
        <f t="shared" si="42"/>
        <v>145499.26620459999</v>
      </c>
      <c r="S771" s="878">
        <v>8.4503053969027047</v>
      </c>
      <c r="T771" s="878">
        <v>0.23558799999999999</v>
      </c>
      <c r="U771" s="879">
        <v>3.4079575927305102E-3</v>
      </c>
      <c r="V771" s="880">
        <v>0.03</v>
      </c>
      <c r="W771" s="878">
        <v>0.28848000000000001</v>
      </c>
      <c r="X771" s="881">
        <v>12.37857</v>
      </c>
      <c r="Y771" s="878">
        <v>10.78</v>
      </c>
      <c r="Z771" s="882">
        <v>0</v>
      </c>
      <c r="AA771" s="882">
        <v>0</v>
      </c>
      <c r="AB771" s="882">
        <v>0</v>
      </c>
      <c r="AC771" s="883">
        <v>0.19991674854947089</v>
      </c>
      <c r="AD771" s="883">
        <v>6.8385120077474812E-2</v>
      </c>
      <c r="AE771" s="883">
        <v>0.31700003000000004</v>
      </c>
      <c r="AF771" s="878">
        <v>13.671785403812009</v>
      </c>
      <c r="AG771" s="862">
        <f t="shared" si="43"/>
        <v>8.4113581856937891</v>
      </c>
      <c r="AH771" s="842">
        <f t="shared" si="44"/>
        <v>202505</v>
      </c>
      <c r="AI771" s="826"/>
      <c r="AJ771" s="262" t="s">
        <v>1960</v>
      </c>
      <c r="AK771" s="262"/>
      <c r="AL771" s="262"/>
    </row>
    <row r="772" spans="3:38" ht="15.75" hidden="1">
      <c r="C772" s="649">
        <v>45780</v>
      </c>
      <c r="D772" s="874">
        <v>314110</v>
      </c>
      <c r="E772" s="874">
        <v>25145</v>
      </c>
      <c r="F772" s="875">
        <v>24950</v>
      </c>
      <c r="G772" s="876">
        <v>4753</v>
      </c>
      <c r="H772" s="877">
        <v>2150</v>
      </c>
      <c r="I772" s="889">
        <v>144410</v>
      </c>
      <c r="J772" s="877">
        <v>167151</v>
      </c>
      <c r="K772" s="874">
        <v>52010.06</v>
      </c>
      <c r="L772" s="877">
        <v>12716</v>
      </c>
      <c r="M772" s="877">
        <v>403486</v>
      </c>
      <c r="N772" s="877">
        <v>7341</v>
      </c>
      <c r="O772" s="874">
        <v>3992</v>
      </c>
      <c r="P772" s="874">
        <v>160.01251199999999</v>
      </c>
      <c r="Q772" s="337">
        <v>0</v>
      </c>
      <c r="R772" s="854">
        <f t="shared" si="42"/>
        <v>144995.63313040001</v>
      </c>
      <c r="S772" s="884">
        <v>8.5890578144512038</v>
      </c>
      <c r="T772" s="884">
        <v>0.24574399999999999</v>
      </c>
      <c r="U772" s="879">
        <v>3.4079575927305102E-3</v>
      </c>
      <c r="V772" s="885">
        <v>2.9000000000000001E-2</v>
      </c>
      <c r="W772" s="884">
        <v>0.28583999999999998</v>
      </c>
      <c r="X772" s="881">
        <v>12.37857</v>
      </c>
      <c r="Y772" s="884">
        <v>10.87</v>
      </c>
      <c r="Z772" s="882">
        <v>0</v>
      </c>
      <c r="AA772" s="882">
        <v>0</v>
      </c>
      <c r="AB772" s="882">
        <v>0</v>
      </c>
      <c r="AC772" s="886">
        <v>0.19312071177158521</v>
      </c>
      <c r="AD772" s="886">
        <v>5.6860174374976986E-2</v>
      </c>
      <c r="AE772" s="886">
        <v>0.32190003</v>
      </c>
      <c r="AF772" s="884">
        <v>13.671105800134221</v>
      </c>
      <c r="AG772" s="862">
        <f t="shared" si="43"/>
        <v>8.4351507389552918</v>
      </c>
      <c r="AH772" s="842">
        <f t="shared" si="44"/>
        <v>202505</v>
      </c>
      <c r="AI772" s="826"/>
      <c r="AJ772" s="262" t="s">
        <v>1959</v>
      </c>
      <c r="AK772" s="262"/>
      <c r="AL772" s="262"/>
    </row>
    <row r="773" spans="3:38" ht="15.75" hidden="1">
      <c r="C773" s="649">
        <v>45781</v>
      </c>
      <c r="D773" s="870">
        <v>298952</v>
      </c>
      <c r="E773" s="870">
        <v>27403</v>
      </c>
      <c r="F773" s="871">
        <v>24941</v>
      </c>
      <c r="G773" s="872">
        <v>5030</v>
      </c>
      <c r="H773" s="873">
        <v>2207</v>
      </c>
      <c r="I773" s="889">
        <v>144410</v>
      </c>
      <c r="J773" s="873">
        <v>167355</v>
      </c>
      <c r="K773" s="870">
        <v>51667.94</v>
      </c>
      <c r="L773" s="873">
        <v>8209</v>
      </c>
      <c r="M773" s="873">
        <v>374073</v>
      </c>
      <c r="N773" s="873">
        <v>7339</v>
      </c>
      <c r="O773" s="870">
        <v>4553</v>
      </c>
      <c r="P773" s="870">
        <v>119.50619999999999</v>
      </c>
      <c r="Q773" s="337">
        <v>0</v>
      </c>
      <c r="R773" s="854">
        <f t="shared" si="42"/>
        <v>143260.75004000001</v>
      </c>
      <c r="S773" s="878">
        <v>9.0146596176663003</v>
      </c>
      <c r="T773" s="878">
        <v>0.25239800000000001</v>
      </c>
      <c r="U773" s="879">
        <v>3.4079575927305102E-3</v>
      </c>
      <c r="V773" s="880">
        <v>0.03</v>
      </c>
      <c r="W773" s="878">
        <v>0.28625</v>
      </c>
      <c r="X773" s="881">
        <v>12.37857</v>
      </c>
      <c r="Y773" s="878">
        <v>10.75</v>
      </c>
      <c r="Z773" s="882">
        <v>0</v>
      </c>
      <c r="AA773" s="882">
        <v>0</v>
      </c>
      <c r="AB773" s="882">
        <v>0</v>
      </c>
      <c r="AC773" s="883">
        <v>0.18632467499369951</v>
      </c>
      <c r="AD773" s="883">
        <v>5.9040569507881981E-2</v>
      </c>
      <c r="AE773" s="883">
        <v>0.32600003000000005</v>
      </c>
      <c r="AF773" s="878">
        <v>13.671983621551364</v>
      </c>
      <c r="AG773" s="862">
        <f t="shared" si="43"/>
        <v>8.4212249953478437</v>
      </c>
      <c r="AH773" s="842">
        <f t="shared" si="44"/>
        <v>202505</v>
      </c>
      <c r="AI773" s="826"/>
      <c r="AJ773" s="262" t="s">
        <v>1961</v>
      </c>
      <c r="AK773" s="262"/>
      <c r="AL773" s="262"/>
    </row>
    <row r="774" spans="3:38" ht="15.75" hidden="1">
      <c r="C774" s="649">
        <v>45782</v>
      </c>
      <c r="D774" s="874">
        <v>309477</v>
      </c>
      <c r="E774" s="874">
        <v>24541</v>
      </c>
      <c r="F774" s="875">
        <v>24932</v>
      </c>
      <c r="G774" s="876">
        <v>5017</v>
      </c>
      <c r="H774" s="877">
        <v>2210</v>
      </c>
      <c r="I774" s="889">
        <v>144410</v>
      </c>
      <c r="J774" s="877">
        <v>167758</v>
      </c>
      <c r="K774" s="874">
        <v>52249.42</v>
      </c>
      <c r="L774" s="877">
        <v>9834</v>
      </c>
      <c r="M774" s="877">
        <v>382723</v>
      </c>
      <c r="N774" s="877">
        <v>7355</v>
      </c>
      <c r="O774" s="874">
        <v>4014.0000000000005</v>
      </c>
      <c r="P774" s="874">
        <v>137.87241600000002</v>
      </c>
      <c r="Q774" s="337">
        <v>0</v>
      </c>
      <c r="R774" s="854">
        <f t="shared" si="42"/>
        <v>143568.6723372</v>
      </c>
      <c r="S774" s="884">
        <v>7.7653215233316439</v>
      </c>
      <c r="T774" s="884">
        <v>0.29552299999999998</v>
      </c>
      <c r="U774" s="879">
        <v>3.4079575927305102E-3</v>
      </c>
      <c r="V774" s="885">
        <v>2.9000000000000001E-2</v>
      </c>
      <c r="W774" s="884">
        <v>0.28482000000000002</v>
      </c>
      <c r="X774" s="881">
        <v>12.37857</v>
      </c>
      <c r="Y774" s="884">
        <v>10.75</v>
      </c>
      <c r="Z774" s="882">
        <v>0</v>
      </c>
      <c r="AA774" s="882">
        <v>0</v>
      </c>
      <c r="AB774" s="882">
        <v>0</v>
      </c>
      <c r="AC774" s="886">
        <v>0.19368704816974233</v>
      </c>
      <c r="AD774" s="886">
        <v>6.6431259503832676E-2</v>
      </c>
      <c r="AE774" s="886">
        <v>0.32250003000000005</v>
      </c>
      <c r="AF774" s="884">
        <v>13.672181839290721</v>
      </c>
      <c r="AG774" s="862">
        <f t="shared" si="43"/>
        <v>8.3966204401519899</v>
      </c>
      <c r="AH774" s="842">
        <f t="shared" si="44"/>
        <v>202505</v>
      </c>
      <c r="AI774" s="826"/>
      <c r="AJ774" s="931" t="s">
        <v>1962</v>
      </c>
      <c r="AK774" s="262"/>
      <c r="AL774" s="262"/>
    </row>
    <row r="775" spans="3:38" ht="15.75" hidden="1">
      <c r="C775" s="649">
        <v>45783</v>
      </c>
      <c r="D775" s="870">
        <v>306026</v>
      </c>
      <c r="E775" s="870">
        <v>24352</v>
      </c>
      <c r="F775" s="871">
        <v>24848</v>
      </c>
      <c r="G775" s="872">
        <v>4929</v>
      </c>
      <c r="H775" s="873">
        <v>2232</v>
      </c>
      <c r="I775" s="889">
        <v>144410</v>
      </c>
      <c r="J775" s="873">
        <v>161956</v>
      </c>
      <c r="K775" s="870">
        <v>53809.34</v>
      </c>
      <c r="L775" s="873">
        <v>10820</v>
      </c>
      <c r="M775" s="873">
        <v>389809</v>
      </c>
      <c r="N775" s="873">
        <v>7450</v>
      </c>
      <c r="O775" s="870">
        <v>4605</v>
      </c>
      <c r="P775" s="870">
        <v>94.850183999999999</v>
      </c>
      <c r="Q775" s="337">
        <v>0</v>
      </c>
      <c r="R775" s="854">
        <f t="shared" si="42"/>
        <v>142966.16308279999</v>
      </c>
      <c r="S775" s="878">
        <v>7.8426264416800908</v>
      </c>
      <c r="T775" s="878">
        <v>0.39954299999999998</v>
      </c>
      <c r="U775" s="879">
        <v>3.4079575927305102E-3</v>
      </c>
      <c r="V775" s="880">
        <v>2.9000000000000001E-2</v>
      </c>
      <c r="W775" s="878">
        <v>0.27344999999999997</v>
      </c>
      <c r="X775" s="881">
        <v>12.37857</v>
      </c>
      <c r="Y775" s="878">
        <v>10.54</v>
      </c>
      <c r="Z775" s="882">
        <v>0</v>
      </c>
      <c r="AA775" s="882">
        <v>0</v>
      </c>
      <c r="AB775" s="882">
        <v>0</v>
      </c>
      <c r="AC775" s="883">
        <v>0.19028902978079948</v>
      </c>
      <c r="AD775" s="883">
        <v>7.0367297471024812E-2</v>
      </c>
      <c r="AE775" s="883">
        <v>0.31960003000000003</v>
      </c>
      <c r="AF775" s="878">
        <v>13.671842037451825</v>
      </c>
      <c r="AG775" s="862">
        <f t="shared" si="43"/>
        <v>8.3608348758651623</v>
      </c>
      <c r="AH775" s="842">
        <f t="shared" si="44"/>
        <v>202505</v>
      </c>
      <c r="AI775" s="826"/>
      <c r="AJ775" s="262" t="s">
        <v>1963</v>
      </c>
      <c r="AK775" s="262"/>
      <c r="AL775" s="262"/>
    </row>
    <row r="776" spans="3:38" ht="15.75" hidden="1">
      <c r="C776" s="649">
        <v>45784</v>
      </c>
      <c r="D776" s="874">
        <v>278395</v>
      </c>
      <c r="E776" s="874">
        <v>28006</v>
      </c>
      <c r="F776" s="875">
        <v>24882.79</v>
      </c>
      <c r="G776" s="876">
        <v>4664</v>
      </c>
      <c r="H776" s="877">
        <v>2205</v>
      </c>
      <c r="I776" s="889">
        <v>144410</v>
      </c>
      <c r="J776" s="877">
        <v>166482</v>
      </c>
      <c r="K776" s="874">
        <v>51781.5</v>
      </c>
      <c r="L776" s="877">
        <v>14208</v>
      </c>
      <c r="M776" s="877">
        <v>432770</v>
      </c>
      <c r="N776" s="877">
        <v>7479</v>
      </c>
      <c r="O776" s="874">
        <v>4345</v>
      </c>
      <c r="P776" s="874">
        <v>166.17651599999999</v>
      </c>
      <c r="Q776" s="337">
        <v>0</v>
      </c>
      <c r="R776" s="854">
        <f t="shared" si="42"/>
        <v>146146.2711822</v>
      </c>
      <c r="S776" s="884">
        <v>8.9951210119298786</v>
      </c>
      <c r="T776" s="884">
        <v>0.47684100000000001</v>
      </c>
      <c r="U776" s="879">
        <v>3.4079575927305102E-3</v>
      </c>
      <c r="V776" s="885">
        <v>2.7E-2</v>
      </c>
      <c r="W776" s="884">
        <v>0.27467999999999998</v>
      </c>
      <c r="X776" s="881">
        <v>12.37857</v>
      </c>
      <c r="Y776" s="884">
        <v>10.73</v>
      </c>
      <c r="Z776" s="882">
        <v>0</v>
      </c>
      <c r="AA776" s="882">
        <v>0</v>
      </c>
      <c r="AB776" s="887">
        <v>0</v>
      </c>
      <c r="AC776" s="886">
        <v>0.18915635698448519</v>
      </c>
      <c r="AD776" s="886">
        <v>8.0306501258682633E-2</v>
      </c>
      <c r="AE776" s="886">
        <v>0.32990003000000001</v>
      </c>
      <c r="AF776" s="884">
        <v>13.671955304731457</v>
      </c>
      <c r="AG776" s="862">
        <f t="shared" si="43"/>
        <v>8.4735511449899743</v>
      </c>
      <c r="AH776" s="842">
        <f t="shared" si="44"/>
        <v>202505</v>
      </c>
      <c r="AI776" s="826"/>
      <c r="AJ776" s="262" t="s">
        <v>1964</v>
      </c>
      <c r="AK776" s="262"/>
      <c r="AL776" s="262"/>
    </row>
    <row r="777" spans="3:38" ht="15.75" hidden="1">
      <c r="C777" s="649">
        <v>45785</v>
      </c>
      <c r="D777" s="870">
        <v>342796</v>
      </c>
      <c r="E777" s="870">
        <v>30101</v>
      </c>
      <c r="F777" s="871">
        <v>24853</v>
      </c>
      <c r="G777" s="872">
        <v>4440</v>
      </c>
      <c r="H777" s="873">
        <v>2200</v>
      </c>
      <c r="I777" s="889">
        <v>144410</v>
      </c>
      <c r="J777" s="873">
        <v>166498</v>
      </c>
      <c r="K777" s="870">
        <v>53520.19</v>
      </c>
      <c r="L777" s="873">
        <v>8150</v>
      </c>
      <c r="M777" s="873">
        <v>429679</v>
      </c>
      <c r="N777" s="873">
        <v>7433</v>
      </c>
      <c r="O777" s="870">
        <v>4740</v>
      </c>
      <c r="P777" s="870">
        <v>147.43291199999999</v>
      </c>
      <c r="Q777" s="337">
        <v>0</v>
      </c>
      <c r="R777" s="854">
        <f t="shared" ref="R777:R817" si="45" xml:space="preserve"> IF(C777&lt; DATE(2024, 11, 1), D777 * (2.31 / 100), D777 * (2.925 / 100))+E777*E$6+F777*F$6+G777*G$6+H777*H$6+I777*I$6+J777*J$6+K777*K$6+L777*L$6+M777*M$6+N777*N$6+O777*O$6+P777*P$6+Q777*Q$6</f>
        <v>147456.00281040001</v>
      </c>
      <c r="S777" s="878">
        <v>8.6573013504291421</v>
      </c>
      <c r="T777" s="878">
        <v>0.51268899999999995</v>
      </c>
      <c r="U777" s="879">
        <v>3.4079575927305102E-3</v>
      </c>
      <c r="V777" s="880">
        <v>2.4E-2</v>
      </c>
      <c r="W777" s="878">
        <v>0.28805000000000003</v>
      </c>
      <c r="X777" s="881">
        <v>12.37857</v>
      </c>
      <c r="Y777" s="878">
        <v>10.77</v>
      </c>
      <c r="Z777" s="882">
        <v>0</v>
      </c>
      <c r="AA777" s="882">
        <v>0</v>
      </c>
      <c r="AB777" s="882">
        <v>0</v>
      </c>
      <c r="AC777" s="883">
        <v>0.18575833859554233</v>
      </c>
      <c r="AD777" s="883">
        <v>8.5035410183294774E-2</v>
      </c>
      <c r="AE777" s="883">
        <v>0.32620003000000003</v>
      </c>
      <c r="AF777" s="878">
        <v>13.673371145726849</v>
      </c>
      <c r="AG777" s="862">
        <f t="shared" si="43"/>
        <v>8.4957123544073561</v>
      </c>
      <c r="AH777" s="888">
        <f t="shared" si="44"/>
        <v>202505</v>
      </c>
      <c r="AI777" s="826"/>
      <c r="AJ777" s="262" t="s">
        <v>1965</v>
      </c>
      <c r="AK777" s="262"/>
      <c r="AL777" s="262"/>
    </row>
    <row r="778" spans="3:38" ht="15.75" hidden="1">
      <c r="C778" s="649">
        <v>45786</v>
      </c>
      <c r="D778" s="874">
        <v>348703</v>
      </c>
      <c r="E778" s="874">
        <v>30862</v>
      </c>
      <c r="F778" s="875">
        <v>24835.23</v>
      </c>
      <c r="G778" s="876">
        <v>4552</v>
      </c>
      <c r="H778" s="877">
        <v>2205</v>
      </c>
      <c r="I778" s="889">
        <v>138080</v>
      </c>
      <c r="J778" s="877">
        <v>168586</v>
      </c>
      <c r="K778" s="874">
        <v>54210.74</v>
      </c>
      <c r="L778" s="877">
        <v>10150</v>
      </c>
      <c r="M778" s="877">
        <v>424680</v>
      </c>
      <c r="N778" s="877">
        <v>7428</v>
      </c>
      <c r="O778" s="874">
        <v>3845</v>
      </c>
      <c r="P778" s="874">
        <v>106.73790599999998</v>
      </c>
      <c r="Q778" s="337">
        <v>0</v>
      </c>
      <c r="R778" s="854">
        <f t="shared" si="45"/>
        <v>147238.00830769999</v>
      </c>
      <c r="S778" s="884">
        <v>12.657335330613027</v>
      </c>
      <c r="T778" s="884">
        <v>0.52195800000000003</v>
      </c>
      <c r="U778" s="879">
        <v>3.4079575927305102E-3</v>
      </c>
      <c r="V778" s="885">
        <v>2.5999999999999999E-2</v>
      </c>
      <c r="W778" s="884">
        <v>0.28673999999999999</v>
      </c>
      <c r="X778" s="881">
        <v>12.37857</v>
      </c>
      <c r="Y778" s="884">
        <v>10.66</v>
      </c>
      <c r="Z778" s="882">
        <v>0</v>
      </c>
      <c r="AA778" s="882">
        <v>0</v>
      </c>
      <c r="AB778" s="882">
        <v>0</v>
      </c>
      <c r="AC778" s="886">
        <v>0.18972269338264236</v>
      </c>
      <c r="AD778" s="886">
        <v>6.0116608664380559E-2</v>
      </c>
      <c r="AE778" s="886">
        <v>0.32770003000000003</v>
      </c>
      <c r="AF778" s="884">
        <v>13.587061478647701</v>
      </c>
      <c r="AG778" s="862">
        <f t="shared" si="43"/>
        <v>8.5627768933432939</v>
      </c>
      <c r="AH778" s="888">
        <f t="shared" si="44"/>
        <v>202505</v>
      </c>
      <c r="AI778" s="826"/>
      <c r="AJ778" s="262"/>
      <c r="AK778" s="262"/>
      <c r="AL778" s="262"/>
    </row>
    <row r="779" spans="3:38" ht="15.75" hidden="1">
      <c r="C779" s="649">
        <v>45787</v>
      </c>
      <c r="D779" s="870">
        <v>349261</v>
      </c>
      <c r="E779" s="870">
        <v>31283</v>
      </c>
      <c r="F779" s="871">
        <v>24794.6</v>
      </c>
      <c r="G779" s="872">
        <v>4593</v>
      </c>
      <c r="H779" s="873">
        <v>2193</v>
      </c>
      <c r="I779" s="889">
        <v>138080</v>
      </c>
      <c r="J779" s="873">
        <v>169697</v>
      </c>
      <c r="K779" s="870">
        <v>54974.34</v>
      </c>
      <c r="L779" s="873">
        <v>12087</v>
      </c>
      <c r="M779" s="873">
        <v>424539</v>
      </c>
      <c r="N779" s="873">
        <v>7408</v>
      </c>
      <c r="O779" s="870">
        <v>4512</v>
      </c>
      <c r="P779" s="870">
        <v>146.55233999999999</v>
      </c>
      <c r="Q779" s="337">
        <v>0</v>
      </c>
      <c r="R779" s="854">
        <f t="shared" si="45"/>
        <v>148571.996553</v>
      </c>
      <c r="S779" s="878">
        <v>12.536139341407402</v>
      </c>
      <c r="T779" s="878">
        <v>0.52503599999999995</v>
      </c>
      <c r="U779" s="879">
        <v>3.4079575927305102E-3</v>
      </c>
      <c r="V779" s="880">
        <v>2.4E-2</v>
      </c>
      <c r="W779" s="878">
        <v>0.28669</v>
      </c>
      <c r="X779" s="881">
        <v>12.37857</v>
      </c>
      <c r="Y779" s="878">
        <v>10.66</v>
      </c>
      <c r="Z779" s="882">
        <v>0</v>
      </c>
      <c r="AA779" s="882">
        <v>0</v>
      </c>
      <c r="AB779" s="882">
        <v>0</v>
      </c>
      <c r="AC779" s="883">
        <v>0.19198803897527092</v>
      </c>
      <c r="AD779" s="883">
        <v>8.6111449339793339E-2</v>
      </c>
      <c r="AE779" s="883">
        <v>0.32410003000000004</v>
      </c>
      <c r="AF779" s="878">
        <v>13.586268607690281</v>
      </c>
      <c r="AG779" s="862">
        <f t="shared" si="43"/>
        <v>8.5679053068816238</v>
      </c>
      <c r="AH779" s="888">
        <f t="shared" si="44"/>
        <v>202505</v>
      </c>
      <c r="AI779" s="826"/>
      <c r="AJ779" s="262"/>
      <c r="AK779" s="262"/>
      <c r="AL779" s="262"/>
    </row>
    <row r="780" spans="3:38" ht="15.75" hidden="1">
      <c r="C780" s="649">
        <v>45788</v>
      </c>
      <c r="D780" s="874">
        <v>334749</v>
      </c>
      <c r="E780" s="874">
        <v>31478</v>
      </c>
      <c r="F780" s="875">
        <v>24784</v>
      </c>
      <c r="G780" s="876">
        <v>4654</v>
      </c>
      <c r="H780" s="877">
        <v>2209</v>
      </c>
      <c r="I780" s="889">
        <v>138080</v>
      </c>
      <c r="J780" s="877">
        <v>170453</v>
      </c>
      <c r="K780" s="874">
        <v>54085.9</v>
      </c>
      <c r="L780" s="877">
        <v>4171</v>
      </c>
      <c r="M780" s="877">
        <v>437168</v>
      </c>
      <c r="N780" s="877">
        <v>7424</v>
      </c>
      <c r="O780" s="874">
        <v>4291</v>
      </c>
      <c r="P780" s="874">
        <v>153.28242599999999</v>
      </c>
      <c r="Q780" s="337">
        <v>0</v>
      </c>
      <c r="R780" s="854">
        <f t="shared" si="45"/>
        <v>146725.51409170002</v>
      </c>
      <c r="S780" s="884">
        <v>12.77485013323064</v>
      </c>
      <c r="T780" s="884">
        <v>0.52720400000000001</v>
      </c>
      <c r="U780" s="879">
        <v>3.4079575927305102E-3</v>
      </c>
      <c r="V780" s="885">
        <v>2.5000000000000001E-2</v>
      </c>
      <c r="W780" s="884">
        <v>0.28610000000000002</v>
      </c>
      <c r="X780" s="881">
        <v>12.37857</v>
      </c>
      <c r="Y780" s="884">
        <v>10.7</v>
      </c>
      <c r="Z780" s="882">
        <v>0</v>
      </c>
      <c r="AA780" s="882">
        <v>0</v>
      </c>
      <c r="AB780" s="882">
        <v>0</v>
      </c>
      <c r="AC780" s="886">
        <v>0.1996335803503923</v>
      </c>
      <c r="AD780" s="886">
        <v>8.9481150908828327E-2</v>
      </c>
      <c r="AE780" s="886">
        <v>0.32370003000000003</v>
      </c>
      <c r="AF780" s="884">
        <v>13.592271773510747</v>
      </c>
      <c r="AG780" s="862">
        <f t="shared" ref="AG780:AG830" si="46" xml:space="preserve"> IF(C780&lt; DATE(2024, 11, 1), S780 * (2.31 / 100), S780 * (2.925 / 100))+T780*T$6+U780*U$6+V780*V$6+W780*W$6+X780*X$6+Y780*Y$6+Z780*Z$6+AA780*AA$6+AB780*AB$6+AC780*AC$6+AD780*AD$6+AE780*AE$6+AF780*AF$6</f>
        <v>8.5888123859108099</v>
      </c>
      <c r="AH780" s="888">
        <f t="shared" si="44"/>
        <v>202505</v>
      </c>
      <c r="AI780" s="826"/>
      <c r="AJ780" s="262" t="s">
        <v>1966</v>
      </c>
      <c r="AK780" s="262"/>
      <c r="AL780" s="262"/>
    </row>
    <row r="781" spans="3:38" ht="15.75" hidden="1">
      <c r="C781" s="649">
        <v>45789</v>
      </c>
      <c r="D781" s="870">
        <v>331548</v>
      </c>
      <c r="E781" s="870">
        <v>32176</v>
      </c>
      <c r="F781" s="871">
        <v>24752</v>
      </c>
      <c r="G781" s="872">
        <v>4752</v>
      </c>
      <c r="H781" s="873">
        <v>2071</v>
      </c>
      <c r="I781" s="889">
        <v>138080</v>
      </c>
      <c r="J781" s="873">
        <v>170893</v>
      </c>
      <c r="K781" s="870">
        <v>51571.79</v>
      </c>
      <c r="L781" s="873">
        <v>1649</v>
      </c>
      <c r="M781" s="873">
        <v>423465</v>
      </c>
      <c r="N781" s="873">
        <v>7412</v>
      </c>
      <c r="O781" s="870">
        <v>5215</v>
      </c>
      <c r="P781" s="870">
        <v>102.58663799999998</v>
      </c>
      <c r="Q781" s="337">
        <v>0</v>
      </c>
      <c r="R781" s="854">
        <f t="shared" si="45"/>
        <v>145383.7317371</v>
      </c>
      <c r="S781" s="878">
        <v>9.0194734770506315</v>
      </c>
      <c r="T781" s="878">
        <v>0.52925900000000003</v>
      </c>
      <c r="U781" s="879">
        <v>3.4079575927305102E-3</v>
      </c>
      <c r="V781" s="880">
        <v>2.8000000000000001E-2</v>
      </c>
      <c r="W781" s="878">
        <v>0.23400000000000001</v>
      </c>
      <c r="X781" s="881">
        <v>12.37857</v>
      </c>
      <c r="Y781" s="878">
        <v>10.68</v>
      </c>
      <c r="Z781" s="882">
        <v>0</v>
      </c>
      <c r="AA781" s="882">
        <v>0</v>
      </c>
      <c r="AB781" s="882">
        <v>0</v>
      </c>
      <c r="AC781" s="883">
        <v>0.20048308494762804</v>
      </c>
      <c r="AD781" s="883">
        <v>8.2118777732785489E-2</v>
      </c>
      <c r="AE781" s="883">
        <v>0.32090003</v>
      </c>
      <c r="AF781" s="878">
        <v>13.965685677635658</v>
      </c>
      <c r="AG781" s="862">
        <f t="shared" si="46"/>
        <v>8.4830913286540568</v>
      </c>
      <c r="AH781" s="888">
        <f t="shared" si="44"/>
        <v>202505</v>
      </c>
      <c r="AI781" s="826"/>
      <c r="AJ781" s="262" t="s">
        <v>1967</v>
      </c>
      <c r="AK781" s="262"/>
      <c r="AL781" s="262"/>
    </row>
    <row r="782" spans="3:38" ht="15.75" hidden="1">
      <c r="C782" s="649">
        <v>45790</v>
      </c>
      <c r="D782" s="874">
        <v>326128</v>
      </c>
      <c r="E782" s="874">
        <v>28723</v>
      </c>
      <c r="F782" s="875">
        <v>24763.56</v>
      </c>
      <c r="G782" s="876">
        <v>4571</v>
      </c>
      <c r="H782" s="877">
        <v>2218</v>
      </c>
      <c r="I782" s="889">
        <v>138080</v>
      </c>
      <c r="J782" s="877">
        <v>170686</v>
      </c>
      <c r="K782" s="874">
        <v>52657.18</v>
      </c>
      <c r="L782" s="877">
        <v>10440</v>
      </c>
      <c r="M782" s="877">
        <v>405519</v>
      </c>
      <c r="N782" s="877">
        <v>7247</v>
      </c>
      <c r="O782" s="874">
        <v>3866</v>
      </c>
      <c r="P782" s="874">
        <v>145.79756399999999</v>
      </c>
      <c r="Q782" s="337">
        <v>0</v>
      </c>
      <c r="R782" s="854">
        <f t="shared" si="45"/>
        <v>145439.6899038</v>
      </c>
      <c r="S782" s="884">
        <v>8.8926141238634315</v>
      </c>
      <c r="T782" s="884">
        <v>0.30668499999999999</v>
      </c>
      <c r="U782" s="879">
        <v>3.4079575927305102E-3</v>
      </c>
      <c r="V782" s="885">
        <v>2.5999999999999999E-2</v>
      </c>
      <c r="W782" s="884">
        <v>0.30680000000000002</v>
      </c>
      <c r="X782" s="881">
        <v>12.37857</v>
      </c>
      <c r="Y782" s="884">
        <v>10.75</v>
      </c>
      <c r="Z782" s="882">
        <v>0</v>
      </c>
      <c r="AA782" s="882">
        <v>0</v>
      </c>
      <c r="AB782" s="887">
        <v>0</v>
      </c>
      <c r="AC782" s="886">
        <v>0.19085536617895663</v>
      </c>
      <c r="AD782" s="886">
        <v>7.0961950689089809E-2</v>
      </c>
      <c r="AE782" s="886">
        <v>0.31300003000000004</v>
      </c>
      <c r="AF782" s="884">
        <v>13.954217365572976</v>
      </c>
      <c r="AG782" s="862">
        <f t="shared" si="46"/>
        <v>8.4982593196406437</v>
      </c>
      <c r="AH782" s="888">
        <f t="shared" si="44"/>
        <v>202505</v>
      </c>
      <c r="AI782" s="826"/>
      <c r="AJ782" s="262"/>
      <c r="AK782" s="262"/>
      <c r="AL782" s="262"/>
    </row>
    <row r="783" spans="3:38" ht="15.75" hidden="1">
      <c r="C783" s="649">
        <v>45791</v>
      </c>
      <c r="D783" s="870">
        <v>332903</v>
      </c>
      <c r="E783" s="870">
        <v>29912</v>
      </c>
      <c r="F783" s="871">
        <v>24783.18</v>
      </c>
      <c r="G783" s="872">
        <v>4589</v>
      </c>
      <c r="H783" s="873">
        <v>2298</v>
      </c>
      <c r="I783" s="889">
        <v>138080</v>
      </c>
      <c r="J783" s="873">
        <v>162629</v>
      </c>
      <c r="K783" s="870">
        <v>54138.32</v>
      </c>
      <c r="L783" s="873">
        <v>14104</v>
      </c>
      <c r="M783" s="873">
        <v>416904</v>
      </c>
      <c r="N783" s="873">
        <v>7528</v>
      </c>
      <c r="O783" s="870">
        <v>4971</v>
      </c>
      <c r="P783" s="870">
        <v>115.48072799999998</v>
      </c>
      <c r="R783" s="854">
        <f t="shared" si="45"/>
        <v>146135.69507759999</v>
      </c>
      <c r="S783" s="878">
        <v>8.8776062093122654</v>
      </c>
      <c r="T783" s="878">
        <v>0.26796799999999998</v>
      </c>
      <c r="U783" s="879">
        <v>3.4079575927305102E-3</v>
      </c>
      <c r="V783" s="880">
        <v>2.5000000000000001E-2</v>
      </c>
      <c r="W783" s="878">
        <v>0.31933</v>
      </c>
      <c r="X783" s="881">
        <v>12.37857</v>
      </c>
      <c r="Y783" s="878">
        <v>10.64</v>
      </c>
      <c r="Z783" s="882">
        <v>0</v>
      </c>
      <c r="AA783" s="882">
        <v>0</v>
      </c>
      <c r="AB783" s="882">
        <v>0</v>
      </c>
      <c r="AC783" s="883">
        <v>0.19453655276697804</v>
      </c>
      <c r="AD783" s="883">
        <v>7.4275018618309097E-2</v>
      </c>
      <c r="AE783" s="883">
        <v>0.31490003000000005</v>
      </c>
      <c r="AF783" s="878">
        <v>14.098038493884982</v>
      </c>
      <c r="AG783" s="862">
        <f t="shared" si="46"/>
        <v>8.4978314976494342</v>
      </c>
      <c r="AH783" s="888">
        <f t="shared" si="44"/>
        <v>202505</v>
      </c>
      <c r="AJ783" s="262" t="s">
        <v>1968</v>
      </c>
      <c r="AK783" s="262"/>
      <c r="AL783" s="262"/>
    </row>
    <row r="784" spans="3:38" ht="15.75" hidden="1">
      <c r="C784" s="649">
        <v>45792</v>
      </c>
      <c r="D784" s="874">
        <v>332492</v>
      </c>
      <c r="E784" s="874">
        <v>30107</v>
      </c>
      <c r="F784" s="875">
        <v>19755</v>
      </c>
      <c r="G784" s="876">
        <v>4574</v>
      </c>
      <c r="H784" s="877">
        <v>2298</v>
      </c>
      <c r="I784" s="889">
        <v>138080</v>
      </c>
      <c r="J784" s="877">
        <v>167619</v>
      </c>
      <c r="K784" s="874">
        <v>51896.67</v>
      </c>
      <c r="L784" s="877">
        <v>14408</v>
      </c>
      <c r="M784" s="877">
        <v>389318</v>
      </c>
      <c r="N784" s="877">
        <v>7412</v>
      </c>
      <c r="O784" s="874">
        <v>5077</v>
      </c>
      <c r="P784" s="874">
        <v>148.942464</v>
      </c>
      <c r="R784" s="854">
        <f t="shared" si="45"/>
        <v>142400.68260879998</v>
      </c>
      <c r="S784" s="884">
        <v>9.2828199021937046</v>
      </c>
      <c r="T784" s="884">
        <v>0.28900500000000001</v>
      </c>
      <c r="U784" s="879">
        <v>3.4079575927305102E-3</v>
      </c>
      <c r="V784" s="885">
        <v>2.7E-2</v>
      </c>
      <c r="W784" s="884">
        <v>0.31398000000000004</v>
      </c>
      <c r="X784" s="881">
        <v>12.37857</v>
      </c>
      <c r="Y784" s="884">
        <v>10.62</v>
      </c>
      <c r="Z784" s="882">
        <v>0</v>
      </c>
      <c r="AA784" s="882">
        <v>0</v>
      </c>
      <c r="AB784" s="882">
        <v>0</v>
      </c>
      <c r="AC784" s="886">
        <v>0.18943952518356377</v>
      </c>
      <c r="AD784" s="886">
        <v>5.9748490005578407E-2</v>
      </c>
      <c r="AE784" s="886">
        <v>0.30970003000000002</v>
      </c>
      <c r="AF784" s="884">
        <v>14.100303839477609</v>
      </c>
      <c r="AG784" s="862">
        <f t="shared" si="46"/>
        <v>8.4974878124376936</v>
      </c>
      <c r="AH784" s="888">
        <f t="shared" si="44"/>
        <v>202505</v>
      </c>
      <c r="AJ784" s="262" t="s">
        <v>1969</v>
      </c>
      <c r="AK784" s="262"/>
      <c r="AL784" s="262"/>
    </row>
    <row r="785" spans="3:38" ht="15.75" hidden="1">
      <c r="C785" s="649">
        <v>45793</v>
      </c>
      <c r="D785" s="870">
        <v>332918</v>
      </c>
      <c r="E785" s="870">
        <v>30321</v>
      </c>
      <c r="F785" s="871">
        <v>1839.02</v>
      </c>
      <c r="G785" s="872">
        <v>4645</v>
      </c>
      <c r="H785" s="873">
        <v>2030</v>
      </c>
      <c r="I785" s="889">
        <v>137040</v>
      </c>
      <c r="J785" s="873">
        <v>170752</v>
      </c>
      <c r="K785" s="870">
        <v>50530.97</v>
      </c>
      <c r="L785" s="873">
        <v>11969</v>
      </c>
      <c r="M785" s="873">
        <v>415286</v>
      </c>
      <c r="N785" s="873">
        <v>7095</v>
      </c>
      <c r="O785" s="870">
        <v>3922</v>
      </c>
      <c r="P785" s="870">
        <v>116.424198</v>
      </c>
      <c r="R785" s="854">
        <f t="shared" si="45"/>
        <v>129901.20013910001</v>
      </c>
      <c r="S785" s="878">
        <v>10.209063081379703</v>
      </c>
      <c r="T785" s="878">
        <v>0.29629800000000001</v>
      </c>
      <c r="U785" s="879">
        <v>3.4079575927305102E-3</v>
      </c>
      <c r="V785" s="880">
        <v>2.7E-2</v>
      </c>
      <c r="W785" s="878">
        <v>0.21048</v>
      </c>
      <c r="X785" s="881">
        <v>12.37857</v>
      </c>
      <c r="Y785" s="878">
        <v>10.71</v>
      </c>
      <c r="Z785" s="882">
        <v>0</v>
      </c>
      <c r="AA785" s="882">
        <v>0</v>
      </c>
      <c r="AB785" s="882">
        <v>0</v>
      </c>
      <c r="AC785" s="883">
        <v>0.18009497461397095</v>
      </c>
      <c r="AD785" s="883">
        <v>8.2826698230481915E-2</v>
      </c>
      <c r="AE785" s="883">
        <v>0.31420003000000002</v>
      </c>
      <c r="AF785" s="878">
        <v>14.09871809756277</v>
      </c>
      <c r="AG785" s="862">
        <f t="shared" si="46"/>
        <v>8.4564083420306684</v>
      </c>
      <c r="AH785" s="888">
        <f t="shared" si="44"/>
        <v>202505</v>
      </c>
      <c r="AJ785" s="262" t="s">
        <v>1970</v>
      </c>
      <c r="AK785" s="262"/>
      <c r="AL785" s="262"/>
    </row>
    <row r="786" spans="3:38" ht="15.75" hidden="1">
      <c r="C786" s="649">
        <v>45794</v>
      </c>
      <c r="D786" s="874">
        <v>331967</v>
      </c>
      <c r="E786" s="874">
        <v>31038</v>
      </c>
      <c r="F786" s="875">
        <v>1781.05</v>
      </c>
      <c r="G786" s="876">
        <v>4820</v>
      </c>
      <c r="H786" s="877">
        <v>1860</v>
      </c>
      <c r="I786" s="889">
        <v>137040</v>
      </c>
      <c r="J786" s="877">
        <v>170792</v>
      </c>
      <c r="K786" s="874">
        <v>52559.87</v>
      </c>
      <c r="L786" s="877">
        <v>10700</v>
      </c>
      <c r="M786" s="877">
        <v>433449</v>
      </c>
      <c r="N786" s="877">
        <v>7468</v>
      </c>
      <c r="O786" s="874">
        <v>4586</v>
      </c>
      <c r="P786" s="874">
        <v>148.18768799999998</v>
      </c>
      <c r="R786" s="854">
        <f t="shared" si="45"/>
        <v>131202.81670959998</v>
      </c>
      <c r="S786" s="884">
        <v>9.6628316253571462</v>
      </c>
      <c r="T786" s="884">
        <v>0.29882799999999998</v>
      </c>
      <c r="U786" s="879">
        <v>3.4079575927305102E-3</v>
      </c>
      <c r="V786" s="885">
        <v>2.7E-2</v>
      </c>
      <c r="W786" s="884">
        <v>9.715E-2</v>
      </c>
      <c r="X786" s="881">
        <v>12.37857</v>
      </c>
      <c r="Y786" s="884">
        <v>10.71</v>
      </c>
      <c r="Z786" s="882">
        <v>0</v>
      </c>
      <c r="AA786" s="882">
        <v>0</v>
      </c>
      <c r="AB786" s="882">
        <v>0</v>
      </c>
      <c r="AC786" s="886">
        <v>0.18462566579922807</v>
      </c>
      <c r="AD786" s="886">
        <v>5.4198393303638424E-2</v>
      </c>
      <c r="AE786" s="886">
        <v>0.31370003000000002</v>
      </c>
      <c r="AF786" s="884">
        <v>14.098689780742863</v>
      </c>
      <c r="AG786" s="862">
        <f t="shared" si="46"/>
        <v>8.3166014121422656</v>
      </c>
      <c r="AH786" s="888">
        <f t="shared" si="44"/>
        <v>202505</v>
      </c>
      <c r="AJ786" s="262" t="s">
        <v>1970</v>
      </c>
      <c r="AK786" s="262"/>
      <c r="AL786" s="262"/>
    </row>
    <row r="787" spans="3:38" ht="15.75" hidden="1">
      <c r="C787" s="649">
        <v>45795</v>
      </c>
      <c r="D787" s="870">
        <v>331980</v>
      </c>
      <c r="E787" s="870">
        <v>29434</v>
      </c>
      <c r="F787" s="871">
        <v>981</v>
      </c>
      <c r="G787" s="872">
        <v>4814</v>
      </c>
      <c r="H787" s="873">
        <v>1859</v>
      </c>
      <c r="I787" s="889">
        <v>137040</v>
      </c>
      <c r="J787" s="873">
        <v>168945</v>
      </c>
      <c r="K787" s="870">
        <v>53366.45</v>
      </c>
      <c r="L787" s="873">
        <v>13460</v>
      </c>
      <c r="M787" s="873">
        <v>419958</v>
      </c>
      <c r="N787" s="873">
        <v>7403</v>
      </c>
      <c r="O787" s="870">
        <v>5056</v>
      </c>
      <c r="P787" s="870">
        <v>124.72673399999998</v>
      </c>
      <c r="R787" s="854">
        <f t="shared" si="45"/>
        <v>130224.0095303</v>
      </c>
      <c r="S787" s="878">
        <v>9.2882000979761958</v>
      </c>
      <c r="T787" s="878">
        <v>0.25430700000000001</v>
      </c>
      <c r="U787" s="879">
        <v>3.4079575927305102E-3</v>
      </c>
      <c r="V787" s="880">
        <v>2.7E-2</v>
      </c>
      <c r="W787" s="878">
        <v>9.7269999999999995E-2</v>
      </c>
      <c r="X787" s="881">
        <v>12.37857</v>
      </c>
      <c r="Y787" s="878">
        <v>10.76</v>
      </c>
      <c r="Z787" s="882">
        <v>0</v>
      </c>
      <c r="AA787" s="882">
        <v>0</v>
      </c>
      <c r="AB787" s="882">
        <v>0</v>
      </c>
      <c r="AC787" s="883">
        <v>0.18717417959093521</v>
      </c>
      <c r="AD787" s="883">
        <v>5.4198393303638424E-2</v>
      </c>
      <c r="AE787" s="883">
        <v>0.30190003000000004</v>
      </c>
      <c r="AF787" s="878">
        <v>14.099992354458625</v>
      </c>
      <c r="AG787" s="862">
        <f t="shared" si="46"/>
        <v>8.3019345440151397</v>
      </c>
      <c r="AH787" s="888">
        <f t="shared" si="44"/>
        <v>202505</v>
      </c>
      <c r="AJ787" s="262" t="s">
        <v>1971</v>
      </c>
      <c r="AK787" s="262"/>
      <c r="AL787" s="262"/>
    </row>
    <row r="788" spans="3:38" ht="15.75" hidden="1">
      <c r="C788" s="649">
        <v>45796</v>
      </c>
      <c r="D788" s="874">
        <v>344202</v>
      </c>
      <c r="E788" s="874">
        <v>31956</v>
      </c>
      <c r="F788" s="875">
        <v>660.9</v>
      </c>
      <c r="G788" s="876">
        <v>4720</v>
      </c>
      <c r="H788" s="877">
        <v>1822</v>
      </c>
      <c r="I788" s="889">
        <v>137040</v>
      </c>
      <c r="J788" s="877">
        <v>171370</v>
      </c>
      <c r="K788" s="874">
        <v>47409.75</v>
      </c>
      <c r="L788" s="877">
        <v>12766</v>
      </c>
      <c r="M788" s="877">
        <v>422997</v>
      </c>
      <c r="N788" s="877">
        <v>7378</v>
      </c>
      <c r="O788" s="874">
        <v>4125</v>
      </c>
      <c r="P788" s="874">
        <v>131.14232999999999</v>
      </c>
      <c r="R788" s="854">
        <f t="shared" si="45"/>
        <v>129677.56754850001</v>
      </c>
      <c r="S788" s="884">
        <v>8.8846854142892333</v>
      </c>
      <c r="T788" s="884">
        <v>0.30911300000000003</v>
      </c>
      <c r="U788" s="879">
        <v>3.4079575927305102E-3</v>
      </c>
      <c r="V788" s="885">
        <v>2.7E-2</v>
      </c>
      <c r="W788" s="884">
        <v>9.8080000000000001E-2</v>
      </c>
      <c r="X788" s="881">
        <v>12.37857</v>
      </c>
      <c r="Y788" s="884">
        <v>10.61</v>
      </c>
      <c r="Z788" s="882">
        <v>0</v>
      </c>
      <c r="AA788" s="882">
        <v>0</v>
      </c>
      <c r="AB788" s="882">
        <v>0</v>
      </c>
      <c r="AC788" s="886">
        <v>0.1834929930029138</v>
      </c>
      <c r="AD788" s="886">
        <v>7.4218384978493368E-2</v>
      </c>
      <c r="AE788" s="886">
        <v>0.30230003</v>
      </c>
      <c r="AF788" s="884">
        <v>13.733431120751415</v>
      </c>
      <c r="AG788" s="862">
        <f t="shared" si="46"/>
        <v>8.2122070159323286</v>
      </c>
      <c r="AH788" s="888">
        <f t="shared" si="44"/>
        <v>202505</v>
      </c>
      <c r="AJ788" s="262" t="s">
        <v>1970</v>
      </c>
      <c r="AK788" s="262"/>
      <c r="AL788" s="262"/>
    </row>
    <row r="789" spans="3:38" ht="15.75" hidden="1">
      <c r="C789" s="649">
        <v>45797</v>
      </c>
      <c r="D789" s="870">
        <v>322828</v>
      </c>
      <c r="E789" s="870">
        <v>31409</v>
      </c>
      <c r="F789" s="871">
        <v>306.94</v>
      </c>
      <c r="G789" s="872">
        <v>4715</v>
      </c>
      <c r="H789" s="873">
        <v>1978</v>
      </c>
      <c r="I789" s="889">
        <v>137040</v>
      </c>
      <c r="J789" s="873">
        <v>170031</v>
      </c>
      <c r="K789" s="870">
        <v>51513.919999999998</v>
      </c>
      <c r="L789" s="873">
        <v>10786</v>
      </c>
      <c r="M789" s="873">
        <v>438817</v>
      </c>
      <c r="N789" s="873">
        <v>7307</v>
      </c>
      <c r="O789" s="870">
        <v>4797</v>
      </c>
      <c r="P789" s="870">
        <v>149.69723999999999</v>
      </c>
      <c r="R789" s="854">
        <f t="shared" si="45"/>
        <v>129912.78325800002</v>
      </c>
      <c r="S789" s="878">
        <v>9.1293427382931167</v>
      </c>
      <c r="T789" s="878">
        <v>0.289906</v>
      </c>
      <c r="U789" s="879">
        <v>3.4079575927305102E-3</v>
      </c>
      <c r="V789" s="880">
        <v>2.8000000000000001E-2</v>
      </c>
      <c r="W789" s="878">
        <v>0.20602999999999999</v>
      </c>
      <c r="X789" s="881">
        <v>12.37857</v>
      </c>
      <c r="Y789" s="878">
        <v>10.64</v>
      </c>
      <c r="Z789" s="882">
        <v>0</v>
      </c>
      <c r="AA789" s="882">
        <v>0</v>
      </c>
      <c r="AB789" s="882">
        <v>0</v>
      </c>
      <c r="AC789" s="883">
        <v>0.18519200219738521</v>
      </c>
      <c r="AD789" s="883">
        <v>7.4218384978493368E-2</v>
      </c>
      <c r="AE789" s="883">
        <v>0.30530003000000006</v>
      </c>
      <c r="AF789" s="878">
        <v>13.804704556459491</v>
      </c>
      <c r="AG789" s="862">
        <f t="shared" si="46"/>
        <v>8.3440807277412095</v>
      </c>
      <c r="AH789" s="888">
        <f t="shared" si="44"/>
        <v>202505</v>
      </c>
      <c r="AJ789" s="262" t="s">
        <v>1972</v>
      </c>
      <c r="AK789" s="262"/>
      <c r="AL789" s="262"/>
    </row>
    <row r="790" spans="3:38" ht="15.75" hidden="1">
      <c r="C790" s="649">
        <v>45798</v>
      </c>
      <c r="D790" s="874">
        <v>316456</v>
      </c>
      <c r="E790" s="874">
        <v>25893</v>
      </c>
      <c r="F790" s="875">
        <v>613.45000000000005</v>
      </c>
      <c r="G790" s="876">
        <v>4865</v>
      </c>
      <c r="H790" s="877">
        <v>2292</v>
      </c>
      <c r="I790" s="889">
        <v>137040</v>
      </c>
      <c r="J790" s="877">
        <v>171039</v>
      </c>
      <c r="K790" s="874">
        <v>51426.51</v>
      </c>
      <c r="L790" s="877">
        <v>13714</v>
      </c>
      <c r="M790" s="877">
        <v>417692</v>
      </c>
      <c r="N790" s="877">
        <v>7198</v>
      </c>
      <c r="O790" s="874">
        <v>4861</v>
      </c>
      <c r="P790" s="874">
        <v>115.48072799999998</v>
      </c>
      <c r="R790" s="854">
        <f t="shared" si="45"/>
        <v>128940.45932759999</v>
      </c>
      <c r="S790" s="884">
        <v>8.9416022223040219</v>
      </c>
      <c r="T790" s="884">
        <v>0.26177699999999998</v>
      </c>
      <c r="U790" s="879">
        <v>3.4079575927305102E-3</v>
      </c>
      <c r="V790" s="885">
        <v>2.5000000000000001E-2</v>
      </c>
      <c r="W790" s="884">
        <v>0.25763999999999998</v>
      </c>
      <c r="X790" s="881">
        <v>12.37857</v>
      </c>
      <c r="Y790" s="884">
        <v>10.67</v>
      </c>
      <c r="Z790" s="882">
        <v>0</v>
      </c>
      <c r="AA790" s="882">
        <v>0</v>
      </c>
      <c r="AB790" s="882">
        <v>0</v>
      </c>
      <c r="AC790" s="886">
        <v>0.18547517039646377</v>
      </c>
      <c r="AD790" s="886">
        <v>6.8838189196000529E-2</v>
      </c>
      <c r="AE790" s="886">
        <v>0.30670003000000001</v>
      </c>
      <c r="AF790" s="884">
        <v>13.58522088535369</v>
      </c>
      <c r="AG790" s="862">
        <f t="shared" si="46"/>
        <v>8.3501013337494427</v>
      </c>
      <c r="AH790" s="888">
        <f t="shared" si="44"/>
        <v>202505</v>
      </c>
      <c r="AJ790" s="262" t="s">
        <v>1973</v>
      </c>
      <c r="AK790" s="262"/>
      <c r="AL790" s="262"/>
    </row>
    <row r="791" spans="3:38" ht="15.75" hidden="1">
      <c r="C791" s="649">
        <v>45799</v>
      </c>
      <c r="D791" s="870">
        <v>300935</v>
      </c>
      <c r="E791" s="870">
        <v>29082</v>
      </c>
      <c r="F791" s="871">
        <v>14447.71</v>
      </c>
      <c r="G791" s="872">
        <v>4859</v>
      </c>
      <c r="H791" s="873">
        <v>2107</v>
      </c>
      <c r="I791" s="889">
        <v>137040</v>
      </c>
      <c r="J791" s="873">
        <v>171404</v>
      </c>
      <c r="K791" s="870">
        <v>51131.42</v>
      </c>
      <c r="L791" s="873">
        <v>8244</v>
      </c>
      <c r="M791" s="873">
        <v>406756</v>
      </c>
      <c r="N791" s="873">
        <v>7260</v>
      </c>
      <c r="O791" s="870">
        <v>4357</v>
      </c>
      <c r="P791" s="870">
        <v>123.40587599999999</v>
      </c>
      <c r="R791" s="854">
        <f t="shared" si="45"/>
        <v>136916.31839419997</v>
      </c>
      <c r="S791" s="878">
        <v>8.9500972682763837</v>
      </c>
      <c r="T791" s="878">
        <v>0.26620300000000002</v>
      </c>
      <c r="U791" s="879">
        <v>3.4079575927305102E-3</v>
      </c>
      <c r="V791" s="880">
        <v>2.7E-2</v>
      </c>
      <c r="W791" s="878">
        <v>0.24434999999999998</v>
      </c>
      <c r="X791" s="881">
        <v>12.37857</v>
      </c>
      <c r="Y791" s="878">
        <v>10.77</v>
      </c>
      <c r="Z791" s="882">
        <v>0</v>
      </c>
      <c r="AA791" s="882">
        <v>0</v>
      </c>
      <c r="AB791" s="882">
        <v>0</v>
      </c>
      <c r="AC791" s="883">
        <v>0.18915635698448519</v>
      </c>
      <c r="AD791" s="883">
        <v>7.4699770916926936E-2</v>
      </c>
      <c r="AE791" s="883">
        <v>0.30570003000000001</v>
      </c>
      <c r="AF791" s="878">
        <v>14.058394946013983</v>
      </c>
      <c r="AG791" s="862">
        <f t="shared" si="46"/>
        <v>8.4479939873694363</v>
      </c>
      <c r="AH791" s="888">
        <f t="shared" si="44"/>
        <v>202505</v>
      </c>
      <c r="AJ791" s="262" t="s">
        <v>1974</v>
      </c>
      <c r="AK791" s="262"/>
      <c r="AL791" s="262"/>
    </row>
    <row r="792" spans="3:38" ht="15.75" hidden="1">
      <c r="C792" s="649">
        <v>45800</v>
      </c>
      <c r="D792" s="874">
        <v>313038</v>
      </c>
      <c r="E792" s="874">
        <v>23755</v>
      </c>
      <c r="F792" s="875">
        <v>25244.02</v>
      </c>
      <c r="G792" s="876">
        <v>4878</v>
      </c>
      <c r="H792" s="877">
        <v>2200</v>
      </c>
      <c r="I792" s="889">
        <v>131380</v>
      </c>
      <c r="J792" s="877">
        <v>174079</v>
      </c>
      <c r="K792" s="874">
        <v>48167.87</v>
      </c>
      <c r="L792" s="877">
        <v>8556</v>
      </c>
      <c r="M792" s="877">
        <v>364418</v>
      </c>
      <c r="N792" s="877">
        <v>7155</v>
      </c>
      <c r="O792" s="874">
        <v>4715</v>
      </c>
      <c r="P792" s="874">
        <v>153.59691599999999</v>
      </c>
      <c r="R792" s="854">
        <f t="shared" si="45"/>
        <v>140841.55661219996</v>
      </c>
      <c r="S792" s="884">
        <v>8.7198815224255064</v>
      </c>
      <c r="T792" s="884">
        <v>0.28217500000000001</v>
      </c>
      <c r="U792" s="879">
        <v>3.4079575927305102E-3</v>
      </c>
      <c r="V792" s="885">
        <v>2.5999999999999999E-2</v>
      </c>
      <c r="W792" s="884">
        <v>0.28455999999999998</v>
      </c>
      <c r="X792" s="881">
        <v>12.37857</v>
      </c>
      <c r="Y792" s="884">
        <v>10.66</v>
      </c>
      <c r="Z792" s="882">
        <v>0</v>
      </c>
      <c r="AA792" s="882">
        <v>0</v>
      </c>
      <c r="AB792" s="882">
        <v>0</v>
      </c>
      <c r="AC792" s="886">
        <v>0.18632467499369951</v>
      </c>
      <c r="AD792" s="886">
        <v>5.5302749280044854E-2</v>
      </c>
      <c r="AE792" s="886">
        <v>0.30650003000000003</v>
      </c>
      <c r="AF792" s="884">
        <v>14.006037146004354</v>
      </c>
      <c r="AG792" s="862">
        <f t="shared" si="46"/>
        <v>8.4400714971279243</v>
      </c>
      <c r="AH792" s="888">
        <f t="shared" si="44"/>
        <v>202505</v>
      </c>
      <c r="AJ792" s="262" t="s">
        <v>1975</v>
      </c>
      <c r="AK792" s="262"/>
      <c r="AL792" s="262"/>
    </row>
    <row r="793" spans="3:38" ht="15.75" hidden="1">
      <c r="C793" s="649">
        <v>45801</v>
      </c>
      <c r="D793" s="870">
        <v>331866</v>
      </c>
      <c r="E793" s="870">
        <v>24264</v>
      </c>
      <c r="F793" s="871">
        <v>25027.48</v>
      </c>
      <c r="G793" s="872">
        <v>4822</v>
      </c>
      <c r="H793" s="873">
        <v>2175</v>
      </c>
      <c r="I793" s="889">
        <v>131380</v>
      </c>
      <c r="J793" s="873">
        <v>172961</v>
      </c>
      <c r="K793" s="870">
        <v>50944.76</v>
      </c>
      <c r="L793" s="873">
        <v>7330</v>
      </c>
      <c r="M793" s="873">
        <v>411332</v>
      </c>
      <c r="N793" s="873">
        <v>7153</v>
      </c>
      <c r="O793" s="870">
        <v>4565</v>
      </c>
      <c r="P793" s="870">
        <v>105.73153799999999</v>
      </c>
      <c r="R793" s="854">
        <f t="shared" si="45"/>
        <v>143227.69819209998</v>
      </c>
      <c r="S793" s="878">
        <v>8.9775645835870037</v>
      </c>
      <c r="T793" s="878">
        <v>0.285439</v>
      </c>
      <c r="U793" s="879">
        <v>3.4079575927305102E-3</v>
      </c>
      <c r="V793" s="880">
        <v>2.5000000000000001E-2</v>
      </c>
      <c r="W793" s="878">
        <v>0.28172000000000003</v>
      </c>
      <c r="X793" s="881">
        <v>12.37857</v>
      </c>
      <c r="Y793" s="878">
        <v>10.62</v>
      </c>
      <c r="Z793" s="882">
        <v>0</v>
      </c>
      <c r="AA793" s="882">
        <v>0</v>
      </c>
      <c r="AB793" s="882">
        <v>0</v>
      </c>
      <c r="AC793" s="883">
        <v>0.19000586158172092</v>
      </c>
      <c r="AD793" s="883">
        <v>6.886650601590838E-2</v>
      </c>
      <c r="AE793" s="883">
        <v>0.30330003000000005</v>
      </c>
      <c r="AF793" s="878">
        <v>14.007566254279379</v>
      </c>
      <c r="AG793" s="862">
        <f t="shared" si="46"/>
        <v>8.4394003882926771</v>
      </c>
      <c r="AH793" s="888">
        <f t="shared" si="44"/>
        <v>202505</v>
      </c>
      <c r="AJ793" s="262" t="s">
        <v>1976</v>
      </c>
      <c r="AK793" s="262"/>
      <c r="AL793" s="262"/>
    </row>
    <row r="794" spans="3:38" ht="15.75" hidden="1">
      <c r="C794" s="649">
        <v>45802</v>
      </c>
      <c r="D794" s="874">
        <v>309993</v>
      </c>
      <c r="E794" s="874">
        <v>24377</v>
      </c>
      <c r="F794" s="875">
        <v>24826.94</v>
      </c>
      <c r="G794" s="876">
        <v>4830</v>
      </c>
      <c r="H794" s="877">
        <v>2183</v>
      </c>
      <c r="I794" s="889">
        <v>131380</v>
      </c>
      <c r="J794" s="877">
        <v>174435</v>
      </c>
      <c r="K794" s="874">
        <v>53145.41</v>
      </c>
      <c r="L794" s="877">
        <v>7641</v>
      </c>
      <c r="M794" s="877">
        <v>424476</v>
      </c>
      <c r="N794" s="877">
        <v>7352</v>
      </c>
      <c r="O794" s="874">
        <v>4862</v>
      </c>
      <c r="P794" s="874">
        <v>126.04759199999998</v>
      </c>
      <c r="R794" s="854">
        <f t="shared" si="45"/>
        <v>144174.06841639997</v>
      </c>
      <c r="S794" s="884">
        <v>8.5607409945433499</v>
      </c>
      <c r="T794" s="884">
        <v>0.297176</v>
      </c>
      <c r="U794" s="879">
        <v>3.4079575927305102E-3</v>
      </c>
      <c r="V794" s="885">
        <v>2.5999999999999999E-2</v>
      </c>
      <c r="W794" s="884">
        <v>0.28944999999999999</v>
      </c>
      <c r="X794" s="881">
        <v>12.37857</v>
      </c>
      <c r="Y794" s="884">
        <v>10.56</v>
      </c>
      <c r="Z794" s="882">
        <v>0</v>
      </c>
      <c r="AA794" s="882">
        <v>0</v>
      </c>
      <c r="AB794" s="882">
        <v>0</v>
      </c>
      <c r="AC794" s="886">
        <v>0.19000586158172092</v>
      </c>
      <c r="AD794" s="886">
        <v>9.0387289145879762E-2</v>
      </c>
      <c r="AE794" s="886">
        <v>0.30050003000000003</v>
      </c>
      <c r="AF794" s="884">
        <v>13.919614211645575</v>
      </c>
      <c r="AG794" s="862">
        <f t="shared" si="46"/>
        <v>8.4154037543173938</v>
      </c>
      <c r="AH794" s="888">
        <f t="shared" si="44"/>
        <v>202505</v>
      </c>
      <c r="AJ794" s="262" t="s">
        <v>1977</v>
      </c>
      <c r="AK794" s="262"/>
      <c r="AL794" s="262"/>
    </row>
    <row r="795" spans="3:38" ht="15.75" hidden="1">
      <c r="C795" s="649">
        <v>45803</v>
      </c>
      <c r="D795" s="870">
        <v>311913</v>
      </c>
      <c r="E795" s="870">
        <v>26396</v>
      </c>
      <c r="F795" s="871">
        <v>24930.46</v>
      </c>
      <c r="G795" s="872">
        <v>4723</v>
      </c>
      <c r="H795" s="873">
        <v>2183</v>
      </c>
      <c r="I795" s="889">
        <v>131380</v>
      </c>
      <c r="J795" s="873">
        <v>169889</v>
      </c>
      <c r="K795" s="870">
        <v>51429.02</v>
      </c>
      <c r="L795" s="873">
        <v>6593</v>
      </c>
      <c r="M795" s="873">
        <v>412951</v>
      </c>
      <c r="N795" s="873">
        <v>7457</v>
      </c>
      <c r="O795" s="870">
        <v>3833</v>
      </c>
      <c r="P795" s="870">
        <v>150.26332199999999</v>
      </c>
      <c r="R795" s="854">
        <f t="shared" si="45"/>
        <v>142080.2819949</v>
      </c>
      <c r="S795" s="878">
        <v>8.4746578620234629</v>
      </c>
      <c r="T795" s="878">
        <v>0.30060900000000002</v>
      </c>
      <c r="U795" s="879">
        <v>3.4079575927305102E-3</v>
      </c>
      <c r="V795" s="880">
        <v>2.5999999999999999E-2</v>
      </c>
      <c r="W795" s="878">
        <v>0.29052999999999995</v>
      </c>
      <c r="X795" s="881">
        <v>12.37857</v>
      </c>
      <c r="Y795" s="878">
        <v>10.5</v>
      </c>
      <c r="Z795" s="882">
        <v>0</v>
      </c>
      <c r="AA795" s="882">
        <v>0</v>
      </c>
      <c r="AB795" s="882">
        <v>0</v>
      </c>
      <c r="AC795" s="883">
        <v>0.18802368418817092</v>
      </c>
      <c r="AD795" s="883">
        <v>5.4679779242071999E-2</v>
      </c>
      <c r="AE795" s="883">
        <v>0.28260003</v>
      </c>
      <c r="AF795" s="878">
        <v>14.1078361135731</v>
      </c>
      <c r="AG795" s="862">
        <f t="shared" si="46"/>
        <v>8.4087344125440531</v>
      </c>
      <c r="AH795" s="888">
        <f t="shared" si="44"/>
        <v>202505</v>
      </c>
      <c r="AJ795" s="931" t="s">
        <v>1978</v>
      </c>
      <c r="AK795" s="262"/>
      <c r="AL795" s="262"/>
    </row>
    <row r="796" spans="3:38" ht="15.75" hidden="1">
      <c r="C796" s="649">
        <v>45804</v>
      </c>
      <c r="D796" s="874">
        <v>324116</v>
      </c>
      <c r="E796" s="874">
        <v>30868</v>
      </c>
      <c r="F796" s="875">
        <v>24480.61</v>
      </c>
      <c r="G796" s="876">
        <v>4764</v>
      </c>
      <c r="H796" s="877">
        <v>2195</v>
      </c>
      <c r="I796" s="889">
        <v>131380</v>
      </c>
      <c r="J796" s="877">
        <v>156395</v>
      </c>
      <c r="K796" s="874">
        <v>50810.31</v>
      </c>
      <c r="L796" s="877">
        <v>10458</v>
      </c>
      <c r="M796" s="877">
        <v>419845</v>
      </c>
      <c r="N796" s="877">
        <v>7458</v>
      </c>
      <c r="O796" s="874">
        <v>4942</v>
      </c>
      <c r="P796" s="874">
        <v>144.79119599999999</v>
      </c>
      <c r="R796" s="854">
        <f t="shared" si="45"/>
        <v>141348.58603819998</v>
      </c>
      <c r="S796" s="884">
        <v>8.8144597009177499</v>
      </c>
      <c r="T796" s="884">
        <v>0.302597</v>
      </c>
      <c r="U796" s="879">
        <v>3.4079575927305102E-3</v>
      </c>
      <c r="V796" s="885">
        <v>2.5999999999999999E-2</v>
      </c>
      <c r="W796" s="884">
        <v>0.27967999999999998</v>
      </c>
      <c r="X796" s="881">
        <v>12.37857</v>
      </c>
      <c r="Y796" s="884">
        <v>10.01</v>
      </c>
      <c r="Z796" s="882">
        <v>0</v>
      </c>
      <c r="AA796" s="882">
        <v>0</v>
      </c>
      <c r="AB796" s="882">
        <v>0</v>
      </c>
      <c r="AC796" s="886">
        <v>0.18887318878540663</v>
      </c>
      <c r="AD796" s="886">
        <v>5.0545523535524862E-2</v>
      </c>
      <c r="AE796" s="886">
        <v>0.28650003000000002</v>
      </c>
      <c r="AF796" s="884">
        <v>13.960163897753626</v>
      </c>
      <c r="AG796" s="862">
        <f t="shared" si="46"/>
        <v>8.2560508428654771</v>
      </c>
      <c r="AH796" s="888">
        <f t="shared" si="44"/>
        <v>202505</v>
      </c>
      <c r="AJ796" s="262" t="s">
        <v>2018</v>
      </c>
      <c r="AK796" s="262"/>
      <c r="AL796" s="262"/>
    </row>
    <row r="797" spans="3:38" ht="15.75" hidden="1">
      <c r="C797" s="649">
        <v>45805</v>
      </c>
      <c r="D797" s="870">
        <v>328820</v>
      </c>
      <c r="E797" s="870">
        <v>28277</v>
      </c>
      <c r="F797" s="871">
        <v>24406.11</v>
      </c>
      <c r="G797" s="872">
        <v>4613</v>
      </c>
      <c r="H797" s="873">
        <v>2142</v>
      </c>
      <c r="I797" s="889">
        <v>131380</v>
      </c>
      <c r="J797" s="873">
        <v>169224</v>
      </c>
      <c r="K797" s="870">
        <v>52961.99</v>
      </c>
      <c r="L797" s="873">
        <v>14702</v>
      </c>
      <c r="M797" s="873">
        <v>420150</v>
      </c>
      <c r="N797" s="873">
        <v>7467</v>
      </c>
      <c r="O797" s="870">
        <v>4435</v>
      </c>
      <c r="P797" s="870">
        <v>115.983912</v>
      </c>
      <c r="Q797" s="337">
        <v>0</v>
      </c>
      <c r="R797" s="854">
        <f t="shared" si="45"/>
        <v>145300.7097604</v>
      </c>
      <c r="S797" s="878">
        <v>9.1064061141677524</v>
      </c>
      <c r="T797" s="878">
        <v>0.32995200000000002</v>
      </c>
      <c r="U797" s="879">
        <v>3.4079575927305102E-3</v>
      </c>
      <c r="V797" s="880">
        <v>2.5000000000000001E-2</v>
      </c>
      <c r="W797" s="878">
        <v>0.28401999999999999</v>
      </c>
      <c r="X797" s="881">
        <v>12.37857</v>
      </c>
      <c r="Y797" s="878">
        <v>10.48</v>
      </c>
      <c r="Z797" s="882">
        <v>0</v>
      </c>
      <c r="AA797" s="882">
        <v>0</v>
      </c>
      <c r="AB797" s="882">
        <v>0</v>
      </c>
      <c r="AC797" s="883">
        <v>0.18717417959093521</v>
      </c>
      <c r="AD797" s="883">
        <v>6.9574426513604806E-2</v>
      </c>
      <c r="AE797" s="883">
        <v>0.29950003000000003</v>
      </c>
      <c r="AF797" s="878">
        <v>14.297700391055281</v>
      </c>
      <c r="AG797" s="862">
        <f t="shared" si="46"/>
        <v>8.4686719994941608</v>
      </c>
      <c r="AH797" s="888">
        <f t="shared" si="44"/>
        <v>202505</v>
      </c>
      <c r="AJ797" s="262"/>
      <c r="AK797" s="262"/>
      <c r="AL797" s="262"/>
    </row>
    <row r="798" spans="3:38" ht="15.75" hidden="1">
      <c r="C798" s="649">
        <v>45806</v>
      </c>
      <c r="D798" s="874">
        <v>318146</v>
      </c>
      <c r="E798" s="874">
        <v>28447</v>
      </c>
      <c r="F798" s="875">
        <v>24383.42</v>
      </c>
      <c r="G798" s="876">
        <v>4665</v>
      </c>
      <c r="H798" s="877">
        <v>2185</v>
      </c>
      <c r="I798" s="889">
        <v>131380</v>
      </c>
      <c r="J798" s="877">
        <v>167225</v>
      </c>
      <c r="K798" s="874">
        <v>52264.31</v>
      </c>
      <c r="L798" s="877">
        <v>14016</v>
      </c>
      <c r="M798" s="877">
        <v>417112</v>
      </c>
      <c r="N798" s="877">
        <v>7429</v>
      </c>
      <c r="O798" s="874">
        <v>4403</v>
      </c>
      <c r="P798" s="874">
        <v>119.128812</v>
      </c>
      <c r="Q798" s="337">
        <v>0</v>
      </c>
      <c r="R798" s="854">
        <f t="shared" si="45"/>
        <v>144090.76996540002</v>
      </c>
      <c r="S798" s="884">
        <v>8.3659212735772908</v>
      </c>
      <c r="T798" s="884">
        <v>0.43992399999999998</v>
      </c>
      <c r="U798" s="879">
        <v>3.4079575927305102E-3</v>
      </c>
      <c r="V798" s="885">
        <v>2.5999999999999999E-2</v>
      </c>
      <c r="W798" s="884">
        <v>0.27538000000000001</v>
      </c>
      <c r="X798" s="881">
        <v>12.37857</v>
      </c>
      <c r="Y798" s="884">
        <v>10.54</v>
      </c>
      <c r="Z798" s="887">
        <v>0</v>
      </c>
      <c r="AA798" s="887">
        <v>0</v>
      </c>
      <c r="AB798" s="887">
        <v>0</v>
      </c>
      <c r="AC798" s="886">
        <v>0.18490883399830665</v>
      </c>
      <c r="AD798" s="886">
        <v>6.3203142034336982E-2</v>
      </c>
      <c r="AE798" s="886">
        <v>0.2974</v>
      </c>
      <c r="AF798" s="884">
        <v>14.299682568448832</v>
      </c>
      <c r="AG798" s="862">
        <f t="shared" si="46"/>
        <v>8.4807595127568973</v>
      </c>
      <c r="AH798" s="888">
        <f t="shared" si="44"/>
        <v>202505</v>
      </c>
      <c r="AJ798" s="262"/>
      <c r="AK798" s="262"/>
      <c r="AL798" s="262"/>
    </row>
    <row r="799" spans="3:38" ht="15.75" hidden="1">
      <c r="C799" s="649">
        <v>45807</v>
      </c>
      <c r="D799" s="870">
        <v>326166</v>
      </c>
      <c r="E799" s="870">
        <v>29673</v>
      </c>
      <c r="F799" s="871">
        <v>24401.94</v>
      </c>
      <c r="G799" s="872">
        <v>4661</v>
      </c>
      <c r="H799" s="873">
        <v>2073</v>
      </c>
      <c r="I799" s="889">
        <v>134430</v>
      </c>
      <c r="J799" s="873">
        <v>170563</v>
      </c>
      <c r="K799" s="870">
        <v>50245.89</v>
      </c>
      <c r="L799" s="873">
        <v>13875</v>
      </c>
      <c r="M799" s="873">
        <v>421340</v>
      </c>
      <c r="N799" s="873">
        <v>7307</v>
      </c>
      <c r="O799" s="870">
        <v>4291</v>
      </c>
      <c r="P799" s="870">
        <v>157.05630599999998</v>
      </c>
      <c r="Q799" s="337">
        <v>0</v>
      </c>
      <c r="R799" s="854">
        <f t="shared" si="45"/>
        <v>145622.5650877</v>
      </c>
      <c r="S799" s="878">
        <v>8.6870340113323898</v>
      </c>
      <c r="T799" s="878">
        <v>0.51780999999999999</v>
      </c>
      <c r="U799" s="879">
        <v>3.4079575927305102E-3</v>
      </c>
      <c r="V799" s="880">
        <v>2.5000000000000001E-2</v>
      </c>
      <c r="W799" s="878">
        <v>0.27182000000000001</v>
      </c>
      <c r="X799" s="881">
        <v>12.37857</v>
      </c>
      <c r="Y799" s="878">
        <v>10.47</v>
      </c>
      <c r="Z799" s="882">
        <v>0</v>
      </c>
      <c r="AA799" s="882">
        <v>0</v>
      </c>
      <c r="AB799" s="882">
        <v>0</v>
      </c>
      <c r="AC799" s="883">
        <v>0.1834929930029138</v>
      </c>
      <c r="AD799" s="883">
        <v>5.9748490005578407E-2</v>
      </c>
      <c r="AE799" s="883">
        <v>0.29550003000000002</v>
      </c>
      <c r="AF799" s="878">
        <v>14.446052210552546</v>
      </c>
      <c r="AG799" s="862">
        <f t="shared" si="46"/>
        <v>8.5114115296728698</v>
      </c>
      <c r="AH799" s="888">
        <f t="shared" si="44"/>
        <v>202505</v>
      </c>
      <c r="AJ799" s="262"/>
      <c r="AK799" s="262"/>
      <c r="AL799" s="262"/>
    </row>
    <row r="800" spans="3:38" ht="15.75" hidden="1">
      <c r="C800" s="649">
        <v>45808</v>
      </c>
      <c r="D800" s="874">
        <v>330968</v>
      </c>
      <c r="E800" s="874">
        <v>33440</v>
      </c>
      <c r="F800" s="875">
        <v>24282.92</v>
      </c>
      <c r="G800" s="876">
        <v>4792</v>
      </c>
      <c r="H800" s="877">
        <v>2141</v>
      </c>
      <c r="I800" s="889">
        <v>134430</v>
      </c>
      <c r="J800" s="877">
        <v>170171</v>
      </c>
      <c r="K800" s="874">
        <v>52229.86</v>
      </c>
      <c r="L800" s="877">
        <v>9996</v>
      </c>
      <c r="M800" s="877">
        <v>421122</v>
      </c>
      <c r="N800" s="877">
        <v>7106</v>
      </c>
      <c r="O800" s="874">
        <v>4237</v>
      </c>
      <c r="P800" s="874">
        <v>136.80314999999999</v>
      </c>
      <c r="Q800" s="337">
        <v>0</v>
      </c>
      <c r="R800" s="854">
        <f t="shared" si="45"/>
        <v>146227.01941749998</v>
      </c>
      <c r="S800" s="884">
        <v>8.6632478826097898</v>
      </c>
      <c r="T800" s="884">
        <v>0.53784399999999999</v>
      </c>
      <c r="U800" s="879">
        <v>3.4079575927305102E-3</v>
      </c>
      <c r="V800" s="885">
        <v>2.5000000000000001E-2</v>
      </c>
      <c r="W800" s="884">
        <v>0.26737</v>
      </c>
      <c r="X800" s="881">
        <v>12.37857</v>
      </c>
      <c r="Y800" s="884">
        <v>10.42</v>
      </c>
      <c r="Z800" s="882">
        <v>0</v>
      </c>
      <c r="AA800" s="882">
        <v>0</v>
      </c>
      <c r="AB800" s="882">
        <v>0</v>
      </c>
      <c r="AC800" s="886">
        <v>0.18490883399830665</v>
      </c>
      <c r="AD800" s="886">
        <v>6.1334231920418404E-2</v>
      </c>
      <c r="AE800" s="886">
        <v>0.29280003000000004</v>
      </c>
      <c r="AF800" s="884">
        <v>14.417678757004873</v>
      </c>
      <c r="AG800" s="862">
        <f t="shared" si="46"/>
        <v>8.4934265175800583</v>
      </c>
      <c r="AH800" s="888">
        <f t="shared" si="44"/>
        <v>202505</v>
      </c>
      <c r="AJ800" s="262"/>
      <c r="AK800" s="262"/>
      <c r="AL800" s="262"/>
    </row>
    <row r="801" spans="3:38" ht="15.75" hidden="1">
      <c r="C801" s="649">
        <v>45809</v>
      </c>
      <c r="D801" s="870">
        <v>330143</v>
      </c>
      <c r="E801" s="870">
        <v>31013</v>
      </c>
      <c r="F801" s="871">
        <v>24556.39</v>
      </c>
      <c r="G801" s="872">
        <v>4871</v>
      </c>
      <c r="H801" s="873">
        <v>2105</v>
      </c>
      <c r="I801" s="889">
        <v>134430</v>
      </c>
      <c r="J801" s="873">
        <v>172415</v>
      </c>
      <c r="K801" s="870">
        <v>54162.26</v>
      </c>
      <c r="L801" s="873">
        <v>11166</v>
      </c>
      <c r="M801" s="873">
        <v>423156</v>
      </c>
      <c r="N801" s="873">
        <v>7088</v>
      </c>
      <c r="O801" s="870">
        <v>5420</v>
      </c>
      <c r="P801" s="870">
        <v>129.44408399999998</v>
      </c>
      <c r="Q801" s="337">
        <v>0</v>
      </c>
      <c r="R801" s="854">
        <f t="shared" si="45"/>
        <v>147640.5980878</v>
      </c>
      <c r="S801" s="878">
        <v>13.581596332405484</v>
      </c>
      <c r="T801" s="878">
        <v>0.54041899999999998</v>
      </c>
      <c r="U801" s="879">
        <v>3.4079575927305102E-3</v>
      </c>
      <c r="V801" s="880">
        <v>2.5999999999999999E-2</v>
      </c>
      <c r="W801" s="878">
        <v>0.26558999999999999</v>
      </c>
      <c r="X801" s="881">
        <v>12.37857</v>
      </c>
      <c r="Y801" s="878">
        <v>10.66</v>
      </c>
      <c r="Z801" s="882">
        <v>0</v>
      </c>
      <c r="AA801" s="882">
        <v>0</v>
      </c>
      <c r="AB801" s="882">
        <v>0</v>
      </c>
      <c r="AC801" s="883">
        <v>0.18320982480383521</v>
      </c>
      <c r="AD801" s="883">
        <v>6.6317992224201247E-2</v>
      </c>
      <c r="AE801" s="883">
        <v>0.28440003000000003</v>
      </c>
      <c r="AF801" s="878">
        <v>14.445146072315493</v>
      </c>
      <c r="AG801" s="862">
        <f t="shared" si="46"/>
        <v>8.7017995164495083</v>
      </c>
      <c r="AH801" s="890">
        <f t="shared" si="44"/>
        <v>202506</v>
      </c>
      <c r="AJ801" s="262"/>
      <c r="AK801" s="262"/>
      <c r="AL801" s="262"/>
    </row>
    <row r="802" spans="3:38" ht="15.75" hidden="1">
      <c r="C802" s="649">
        <v>45810</v>
      </c>
      <c r="D802" s="874">
        <v>328416</v>
      </c>
      <c r="E802" s="874">
        <v>30541</v>
      </c>
      <c r="F802" s="875">
        <v>24546.16</v>
      </c>
      <c r="G802" s="876">
        <v>4806</v>
      </c>
      <c r="H802" s="877">
        <v>2077</v>
      </c>
      <c r="I802" s="889">
        <v>134430</v>
      </c>
      <c r="J802" s="877">
        <v>167751</v>
      </c>
      <c r="K802" s="874">
        <v>50496.81</v>
      </c>
      <c r="L802" s="877">
        <v>14123</v>
      </c>
      <c r="M802" s="877">
        <v>419109</v>
      </c>
      <c r="N802" s="877">
        <v>7032</v>
      </c>
      <c r="O802" s="874">
        <v>4078.9999999999995</v>
      </c>
      <c r="P802" s="874">
        <v>146.803932</v>
      </c>
      <c r="Q802" s="337">
        <v>0</v>
      </c>
      <c r="R802" s="854">
        <f t="shared" si="45"/>
        <v>145282.7280194</v>
      </c>
      <c r="S802" s="884">
        <v>10.573500553593828</v>
      </c>
      <c r="T802" s="884">
        <v>0.54676400000000003</v>
      </c>
      <c r="U802" s="879">
        <v>3.4079575927305102E-3</v>
      </c>
      <c r="V802" s="885">
        <v>2.7E-2</v>
      </c>
      <c r="W802" s="884">
        <v>0.25639000000000001</v>
      </c>
      <c r="X802" s="881">
        <v>12.37857</v>
      </c>
      <c r="Y802" s="884">
        <v>10.65</v>
      </c>
      <c r="Z802" s="882">
        <v>0</v>
      </c>
      <c r="AA802" s="882">
        <v>0</v>
      </c>
      <c r="AB802" s="882">
        <v>0</v>
      </c>
      <c r="AC802" s="886">
        <v>0.18179398380844236</v>
      </c>
      <c r="AD802" s="886">
        <v>6.0569677782906256E-2</v>
      </c>
      <c r="AE802" s="886">
        <v>0.30020003000000001</v>
      </c>
      <c r="AF802" s="884">
        <v>14.436764293622767</v>
      </c>
      <c r="AG802" s="862">
        <f t="shared" si="46"/>
        <v>8.6074558942554926</v>
      </c>
      <c r="AH802" s="890">
        <f t="shared" si="44"/>
        <v>202506</v>
      </c>
      <c r="AJ802" s="262" t="s">
        <v>2019</v>
      </c>
      <c r="AK802" s="262"/>
      <c r="AL802" s="262"/>
    </row>
    <row r="803" spans="3:38" ht="15.75" hidden="1">
      <c r="C803" s="649">
        <v>45811</v>
      </c>
      <c r="D803" s="870">
        <v>331490</v>
      </c>
      <c r="E803" s="870">
        <v>31730</v>
      </c>
      <c r="F803" s="871">
        <v>24534.11</v>
      </c>
      <c r="G803" s="872">
        <v>4783</v>
      </c>
      <c r="H803" s="873">
        <v>2157</v>
      </c>
      <c r="I803" s="889">
        <v>134430</v>
      </c>
      <c r="J803" s="873">
        <v>168782</v>
      </c>
      <c r="K803" s="870">
        <v>54060.26</v>
      </c>
      <c r="L803" s="873">
        <v>10954</v>
      </c>
      <c r="M803" s="873">
        <v>428652</v>
      </c>
      <c r="N803" s="873">
        <v>7037</v>
      </c>
      <c r="O803" s="870">
        <v>4672</v>
      </c>
      <c r="P803" s="870">
        <v>136.42576199999999</v>
      </c>
      <c r="Q803" s="337">
        <v>0</v>
      </c>
      <c r="R803" s="854">
        <f t="shared" si="45"/>
        <v>146762.93859290003</v>
      </c>
      <c r="S803" s="878">
        <v>10.433898631448097</v>
      </c>
      <c r="T803" s="878">
        <v>0.54448399999999997</v>
      </c>
      <c r="U803" s="879">
        <v>3.4079575927305102E-3</v>
      </c>
      <c r="V803" s="880">
        <v>2.5999999999999999E-2</v>
      </c>
      <c r="W803" s="878">
        <v>0.25688</v>
      </c>
      <c r="X803" s="881">
        <v>12.37857</v>
      </c>
      <c r="Y803" s="878">
        <v>10.38</v>
      </c>
      <c r="Z803" s="882">
        <v>0</v>
      </c>
      <c r="AA803" s="882">
        <v>0</v>
      </c>
      <c r="AB803" s="882">
        <v>0</v>
      </c>
      <c r="AC803" s="883">
        <v>0.1928375435725066</v>
      </c>
      <c r="AD803" s="883">
        <v>6.0569677782906256E-2</v>
      </c>
      <c r="AE803" s="883">
        <v>0.30180003000000005</v>
      </c>
      <c r="AF803" s="878">
        <v>14.436424491783873</v>
      </c>
      <c r="AG803" s="862">
        <f t="shared" si="46"/>
        <v>8.5344239632941647</v>
      </c>
      <c r="AH803" s="890">
        <f t="shared" si="44"/>
        <v>202506</v>
      </c>
      <c r="AJ803" s="262" t="s">
        <v>2019</v>
      </c>
      <c r="AK803" s="262"/>
      <c r="AL803" s="262"/>
    </row>
    <row r="804" spans="3:38" ht="15.75" hidden="1">
      <c r="C804" s="649">
        <v>45812</v>
      </c>
      <c r="D804" s="874">
        <v>332522</v>
      </c>
      <c r="E804" s="874">
        <v>32044</v>
      </c>
      <c r="F804" s="875">
        <v>24689.75</v>
      </c>
      <c r="G804" s="876">
        <v>4802</v>
      </c>
      <c r="H804" s="877">
        <v>2169</v>
      </c>
      <c r="I804" s="889">
        <v>134430</v>
      </c>
      <c r="J804" s="877">
        <v>169010</v>
      </c>
      <c r="K804" s="874">
        <v>51544.85</v>
      </c>
      <c r="L804" s="877">
        <v>12768</v>
      </c>
      <c r="M804" s="877">
        <v>421388</v>
      </c>
      <c r="N804" s="877">
        <v>6804</v>
      </c>
      <c r="O804" s="874">
        <v>4426</v>
      </c>
      <c r="P804" s="874">
        <v>113.34219599999999</v>
      </c>
      <c r="Q804" s="337">
        <v>0</v>
      </c>
      <c r="R804" s="854">
        <f t="shared" si="45"/>
        <v>146451.42998819999</v>
      </c>
      <c r="S804" s="884">
        <v>8.7971864407739506</v>
      </c>
      <c r="T804" s="884">
        <v>0.54320999999999997</v>
      </c>
      <c r="U804" s="879">
        <v>3.4079575927305102E-3</v>
      </c>
      <c r="V804" s="885">
        <v>2.5999999999999999E-2</v>
      </c>
      <c r="W804" s="884">
        <v>0.25052999999999997</v>
      </c>
      <c r="X804" s="881">
        <v>12.37857</v>
      </c>
      <c r="Y804" s="884">
        <v>10.42</v>
      </c>
      <c r="Z804" s="882">
        <v>0</v>
      </c>
      <c r="AA804" s="882">
        <v>0</v>
      </c>
      <c r="AB804" s="882">
        <v>0</v>
      </c>
      <c r="AC804" s="886">
        <v>0.19453655276697804</v>
      </c>
      <c r="AD804" s="886">
        <v>7.4444919537756199E-2</v>
      </c>
      <c r="AE804" s="886">
        <v>0.29580003000000005</v>
      </c>
      <c r="AF804" s="884">
        <v>9.0962120590009263</v>
      </c>
      <c r="AG804" s="862">
        <f t="shared" si="46"/>
        <v>7.5854570258571776</v>
      </c>
      <c r="AH804" s="890">
        <f t="shared" si="44"/>
        <v>202506</v>
      </c>
      <c r="AJ804" s="262" t="s">
        <v>2020</v>
      </c>
      <c r="AK804" s="262"/>
      <c r="AL804" s="262"/>
    </row>
    <row r="805" spans="3:38" ht="15.75" hidden="1">
      <c r="C805" s="649">
        <v>45813</v>
      </c>
      <c r="D805" s="870">
        <v>329835</v>
      </c>
      <c r="E805" s="870">
        <v>31616</v>
      </c>
      <c r="F805" s="871">
        <v>24710.7</v>
      </c>
      <c r="G805" s="872">
        <v>4824</v>
      </c>
      <c r="H805" s="873">
        <v>2137</v>
      </c>
      <c r="I805" s="889">
        <v>134430</v>
      </c>
      <c r="J805" s="873">
        <v>162236</v>
      </c>
      <c r="K805" s="870">
        <v>51619.42</v>
      </c>
      <c r="L805" s="873">
        <v>12436</v>
      </c>
      <c r="M805" s="873">
        <v>420125</v>
      </c>
      <c r="N805" s="873">
        <v>6885</v>
      </c>
      <c r="O805" s="870">
        <v>4117</v>
      </c>
      <c r="P805" s="870">
        <v>131.268126</v>
      </c>
      <c r="Q805" s="337">
        <v>0</v>
      </c>
      <c r="R805" s="854">
        <f t="shared" si="45"/>
        <v>144271.10440669997</v>
      </c>
      <c r="S805" s="878">
        <v>8.0547194227899439</v>
      </c>
      <c r="T805" s="878">
        <v>0.54373199999999999</v>
      </c>
      <c r="U805" s="879">
        <v>3.4079575927305102E-3</v>
      </c>
      <c r="V805" s="880">
        <v>2.3E-2</v>
      </c>
      <c r="W805" s="878">
        <v>0.25086999999999998</v>
      </c>
      <c r="X805" s="881">
        <v>12.37857</v>
      </c>
      <c r="Y805" s="878">
        <v>10.41</v>
      </c>
      <c r="Z805" s="882">
        <v>0</v>
      </c>
      <c r="AA805" s="882">
        <v>0</v>
      </c>
      <c r="AB805" s="882">
        <v>0</v>
      </c>
      <c r="AC805" s="883">
        <v>0.1996335803503923</v>
      </c>
      <c r="AD805" s="883">
        <v>5.4651462422164135E-2</v>
      </c>
      <c r="AE805" s="883">
        <v>0.29590003000000004</v>
      </c>
      <c r="AF805" s="878">
        <v>14.0296250569876</v>
      </c>
      <c r="AG805" s="862">
        <f t="shared" si="46"/>
        <v>8.3914893054268163</v>
      </c>
      <c r="AH805" s="890">
        <f t="shared" si="44"/>
        <v>202506</v>
      </c>
      <c r="AJ805" s="262" t="s">
        <v>2021</v>
      </c>
      <c r="AK805" s="262"/>
      <c r="AL805" s="262"/>
    </row>
    <row r="806" spans="3:38" ht="15.75" hidden="1">
      <c r="C806" s="649">
        <v>45814</v>
      </c>
      <c r="D806" s="874">
        <v>331615</v>
      </c>
      <c r="E806" s="874">
        <v>32138</v>
      </c>
      <c r="F806" s="875">
        <v>24628.12</v>
      </c>
      <c r="G806" s="876">
        <v>4806</v>
      </c>
      <c r="H806" s="877">
        <v>2051</v>
      </c>
      <c r="I806" s="889">
        <v>130300</v>
      </c>
      <c r="J806" s="877">
        <v>168225</v>
      </c>
      <c r="K806" s="874">
        <v>51156.959999999999</v>
      </c>
      <c r="L806" s="877">
        <v>11554</v>
      </c>
      <c r="M806" s="877">
        <v>421413</v>
      </c>
      <c r="N806" s="877">
        <v>6879</v>
      </c>
      <c r="O806" s="874">
        <v>4555</v>
      </c>
      <c r="P806" s="874">
        <v>117.17897399999998</v>
      </c>
      <c r="Q806" s="337">
        <v>0</v>
      </c>
      <c r="R806" s="854">
        <f t="shared" si="45"/>
        <v>144933.76578829999</v>
      </c>
      <c r="S806" s="884">
        <v>9.6676454847414828</v>
      </c>
      <c r="T806" s="884">
        <v>0.549593</v>
      </c>
      <c r="U806" s="879">
        <v>3.4079575927305102E-3</v>
      </c>
      <c r="V806" s="885">
        <v>2.4E-2</v>
      </c>
      <c r="W806" s="884">
        <v>0.25235000000000002</v>
      </c>
      <c r="X806" s="881">
        <v>12.37857</v>
      </c>
      <c r="Y806" s="884">
        <v>10.53</v>
      </c>
      <c r="Z806" s="882">
        <v>0</v>
      </c>
      <c r="AA806" s="882">
        <v>0</v>
      </c>
      <c r="AB806" s="882">
        <v>0</v>
      </c>
      <c r="AC806" s="886">
        <v>0.18717417959093521</v>
      </c>
      <c r="AD806" s="886">
        <v>5.8870668588434844E-2</v>
      </c>
      <c r="AE806" s="886">
        <v>0.29340003000000003</v>
      </c>
      <c r="AF806" s="884">
        <v>14.018723081323074</v>
      </c>
      <c r="AG806" s="862">
        <f t="shared" si="46"/>
        <v>8.4707686752588991</v>
      </c>
      <c r="AH806" s="890">
        <f t="shared" si="44"/>
        <v>202506</v>
      </c>
      <c r="AJ806" s="262" t="s">
        <v>2022</v>
      </c>
      <c r="AK806" s="262"/>
      <c r="AL806" s="262"/>
    </row>
    <row r="807" spans="3:38" ht="15.75" hidden="1">
      <c r="C807" s="649">
        <v>45815</v>
      </c>
      <c r="D807" s="870">
        <v>333646</v>
      </c>
      <c r="E807" s="870">
        <v>32679</v>
      </c>
      <c r="F807" s="871">
        <v>24587.27</v>
      </c>
      <c r="G807" s="872">
        <v>4780</v>
      </c>
      <c r="H807" s="873">
        <v>2034</v>
      </c>
      <c r="I807" s="889">
        <v>130300</v>
      </c>
      <c r="J807" s="873">
        <v>167231</v>
      </c>
      <c r="K807" s="870">
        <v>49451.85</v>
      </c>
      <c r="L807" s="873">
        <v>12494</v>
      </c>
      <c r="M807" s="873">
        <v>417950</v>
      </c>
      <c r="N807" s="873">
        <v>6885</v>
      </c>
      <c r="O807" s="870">
        <v>5176</v>
      </c>
      <c r="P807" s="870">
        <v>150.89230199999997</v>
      </c>
      <c r="Q807" s="337">
        <v>0</v>
      </c>
      <c r="R807" s="854">
        <f t="shared" si="45"/>
        <v>144748.41603589998</v>
      </c>
      <c r="S807" s="878">
        <v>8.0668956553503239</v>
      </c>
      <c r="T807" s="878">
        <v>0.55022199999999999</v>
      </c>
      <c r="U807" s="879">
        <v>3.4079575927305102E-3</v>
      </c>
      <c r="V807" s="880">
        <v>2.3E-2</v>
      </c>
      <c r="W807" s="878">
        <v>0.25263999999999998</v>
      </c>
      <c r="X807" s="881">
        <v>12.37857</v>
      </c>
      <c r="Y807" s="878">
        <v>10.66</v>
      </c>
      <c r="Z807" s="882">
        <v>0</v>
      </c>
      <c r="AA807" s="882">
        <v>0</v>
      </c>
      <c r="AB807" s="882">
        <v>0</v>
      </c>
      <c r="AC807" s="883">
        <v>0.18547517039646377</v>
      </c>
      <c r="AD807" s="883">
        <v>5.4877996981426994E-2</v>
      </c>
      <c r="AE807" s="883">
        <v>0.29800003000000003</v>
      </c>
      <c r="AF807" s="878">
        <v>13.957558750322102</v>
      </c>
      <c r="AG807" s="862">
        <f t="shared" si="46"/>
        <v>8.4475946768248473</v>
      </c>
      <c r="AH807" s="890">
        <f t="shared" si="44"/>
        <v>202506</v>
      </c>
      <c r="AJ807" s="262" t="s">
        <v>2022</v>
      </c>
      <c r="AK807" s="262"/>
      <c r="AL807" s="262"/>
    </row>
    <row r="808" spans="3:38" ht="15.75" hidden="1">
      <c r="C808" s="649">
        <v>45816</v>
      </c>
      <c r="D808" s="874">
        <v>320206</v>
      </c>
      <c r="E808" s="874">
        <v>32321</v>
      </c>
      <c r="F808" s="875">
        <v>24578.37</v>
      </c>
      <c r="G808" s="876">
        <v>4761</v>
      </c>
      <c r="H808" s="877">
        <v>2143</v>
      </c>
      <c r="I808" s="889">
        <v>130300</v>
      </c>
      <c r="J808" s="877">
        <v>170615</v>
      </c>
      <c r="K808" s="874">
        <v>51784.31</v>
      </c>
      <c r="L808" s="877">
        <v>12745</v>
      </c>
      <c r="M808" s="877">
        <v>372479</v>
      </c>
      <c r="N808" s="877">
        <v>6724</v>
      </c>
      <c r="O808" s="874">
        <v>4331</v>
      </c>
      <c r="P808" s="874">
        <v>157.245</v>
      </c>
      <c r="Q808" s="337">
        <v>0</v>
      </c>
      <c r="R808" s="854">
        <f t="shared" si="45"/>
        <v>143703.72349999999</v>
      </c>
      <c r="S808" s="884">
        <v>7.1112029834601449</v>
      </c>
      <c r="T808" s="884">
        <v>0.56329200000000001</v>
      </c>
      <c r="U808" s="879">
        <v>3.4079575927305102E-3</v>
      </c>
      <c r="V808" s="885">
        <v>2.5000000000000001E-2</v>
      </c>
      <c r="W808" s="884">
        <v>0.25059999999999999</v>
      </c>
      <c r="X808" s="881">
        <v>12.37857</v>
      </c>
      <c r="Y808" s="884">
        <v>10.67</v>
      </c>
      <c r="Z808" s="882">
        <v>0</v>
      </c>
      <c r="AA808" s="882">
        <v>0</v>
      </c>
      <c r="AB808" s="882">
        <v>0</v>
      </c>
      <c r="AC808" s="886">
        <v>0.1834929930029138</v>
      </c>
      <c r="AD808" s="886">
        <v>5.4623145602256284E-2</v>
      </c>
      <c r="AE808" s="886">
        <v>0.29920003000000001</v>
      </c>
      <c r="AF808" s="884">
        <v>14.082039490637042</v>
      </c>
      <c r="AG808" s="862">
        <f t="shared" si="46"/>
        <v>8.4461113119606424</v>
      </c>
      <c r="AH808" s="890">
        <f t="shared" si="44"/>
        <v>202506</v>
      </c>
      <c r="AJ808" s="262" t="s">
        <v>2023</v>
      </c>
      <c r="AK808" s="262"/>
      <c r="AL808" s="262"/>
    </row>
    <row r="809" spans="3:38" ht="15.75" hidden="1">
      <c r="C809" s="649">
        <v>45817</v>
      </c>
      <c r="D809" s="870">
        <v>297755</v>
      </c>
      <c r="E809" s="870">
        <v>32849</v>
      </c>
      <c r="F809" s="871">
        <v>24567.59</v>
      </c>
      <c r="G809" s="872">
        <v>4749</v>
      </c>
      <c r="H809" s="873">
        <v>2111</v>
      </c>
      <c r="I809" s="889">
        <v>130300</v>
      </c>
      <c r="J809" s="873">
        <v>170381</v>
      </c>
      <c r="K809" s="870">
        <v>50932.74</v>
      </c>
      <c r="L809" s="873">
        <v>9050</v>
      </c>
      <c r="M809" s="873">
        <v>373961</v>
      </c>
      <c r="N809" s="873">
        <v>6864</v>
      </c>
      <c r="O809" s="870">
        <v>4740</v>
      </c>
      <c r="P809" s="870">
        <v>118.37403599999999</v>
      </c>
      <c r="Q809" s="337">
        <v>0</v>
      </c>
      <c r="R809" s="854">
        <f t="shared" si="45"/>
        <v>142199.6825662</v>
      </c>
      <c r="S809" s="878">
        <v>7.4022998921129179</v>
      </c>
      <c r="T809" s="878">
        <v>0.55107899999999999</v>
      </c>
      <c r="U809" s="879">
        <v>3.4079575927305102E-3</v>
      </c>
      <c r="V809" s="880">
        <v>2.4E-2</v>
      </c>
      <c r="W809" s="878">
        <v>0.25113999999999997</v>
      </c>
      <c r="X809" s="881">
        <v>12.37857</v>
      </c>
      <c r="Y809" s="878">
        <v>10.79</v>
      </c>
      <c r="Z809" s="882">
        <v>0</v>
      </c>
      <c r="AA809" s="882">
        <v>0</v>
      </c>
      <c r="AB809" s="882">
        <v>0</v>
      </c>
      <c r="AC809" s="883">
        <v>0.18717417959093521</v>
      </c>
      <c r="AD809" s="883">
        <v>5.3433839166126283E-2</v>
      </c>
      <c r="AE809" s="883">
        <v>0.30190003000000004</v>
      </c>
      <c r="AF809" s="878">
        <v>14.366396996151744</v>
      </c>
      <c r="AG809" s="862">
        <f t="shared" si="46"/>
        <v>8.5320533704264641</v>
      </c>
      <c r="AH809" s="890">
        <f t="shared" si="44"/>
        <v>202506</v>
      </c>
      <c r="AJ809" s="262" t="s">
        <v>2024</v>
      </c>
      <c r="AK809" s="262"/>
      <c r="AL809" s="262"/>
    </row>
    <row r="810" spans="3:38" ht="15.75" hidden="1">
      <c r="C810" s="649">
        <v>45818</v>
      </c>
      <c r="D810" s="874">
        <v>332477</v>
      </c>
      <c r="E810" s="874">
        <v>32862</v>
      </c>
      <c r="F810" s="875">
        <v>24535.66</v>
      </c>
      <c r="G810" s="876">
        <v>4690</v>
      </c>
      <c r="H810" s="877">
        <v>2083</v>
      </c>
      <c r="I810" s="889">
        <v>130300</v>
      </c>
      <c r="J810" s="877">
        <v>171479</v>
      </c>
      <c r="K810" s="877">
        <v>51207.29</v>
      </c>
      <c r="L810" s="877">
        <v>11489</v>
      </c>
      <c r="M810" s="877">
        <v>424408</v>
      </c>
      <c r="N810" s="877">
        <v>6876</v>
      </c>
      <c r="O810" s="874">
        <v>4509</v>
      </c>
      <c r="P810" s="874">
        <v>136.11127199999999</v>
      </c>
      <c r="Q810" s="337">
        <v>0</v>
      </c>
      <c r="R810" s="854">
        <f t="shared" si="45"/>
        <v>146016.26807239998</v>
      </c>
      <c r="S810" s="884">
        <v>7.9236125466165621</v>
      </c>
      <c r="T810" s="884">
        <v>0.52974299999999996</v>
      </c>
      <c r="U810" s="879">
        <v>3.4079575927305102E-3</v>
      </c>
      <c r="V810" s="885">
        <v>2.5000000000000001E-2</v>
      </c>
      <c r="W810" s="884">
        <v>0.27844000000000002</v>
      </c>
      <c r="X810" s="881">
        <v>12.37857</v>
      </c>
      <c r="Y810" s="884">
        <v>10.76</v>
      </c>
      <c r="Z810" s="882">
        <v>0</v>
      </c>
      <c r="AA810" s="887">
        <v>0</v>
      </c>
      <c r="AB810" s="887">
        <v>0</v>
      </c>
      <c r="AC810" s="886">
        <v>0.18632467499369951</v>
      </c>
      <c r="AD810" s="886">
        <v>0.14113103042075961</v>
      </c>
      <c r="AE810" s="886">
        <v>0.28740003000000003</v>
      </c>
      <c r="AF810" s="884">
        <v>14.707048339643263</v>
      </c>
      <c r="AG810" s="862">
        <f t="shared" si="46"/>
        <v>8.6479122049604111</v>
      </c>
      <c r="AH810" s="890">
        <f t="shared" si="44"/>
        <v>202506</v>
      </c>
      <c r="AJ810" s="262" t="s">
        <v>2025</v>
      </c>
      <c r="AK810" s="262"/>
      <c r="AL810" s="262"/>
    </row>
    <row r="811" spans="3:38" ht="15.75" hidden="1">
      <c r="C811" s="649">
        <v>45819</v>
      </c>
      <c r="D811" s="870">
        <v>335307</v>
      </c>
      <c r="E811" s="870">
        <v>30119</v>
      </c>
      <c r="F811" s="871">
        <v>7785.34</v>
      </c>
      <c r="G811" s="872">
        <v>4701</v>
      </c>
      <c r="H811" s="873">
        <v>2090</v>
      </c>
      <c r="I811" s="889">
        <v>130300</v>
      </c>
      <c r="J811" s="873">
        <v>171786</v>
      </c>
      <c r="K811" s="873">
        <v>52192.480000000003</v>
      </c>
      <c r="L811" s="873">
        <v>13832</v>
      </c>
      <c r="M811" s="873">
        <v>434813</v>
      </c>
      <c r="N811" s="873">
        <v>6737</v>
      </c>
      <c r="O811" s="892">
        <v>0</v>
      </c>
      <c r="P811" s="870">
        <v>155.04356999999999</v>
      </c>
      <c r="Q811" s="337">
        <v>0</v>
      </c>
      <c r="R811" s="854">
        <f t="shared" si="45"/>
        <v>133142.90735649999</v>
      </c>
      <c r="S811" s="878">
        <v>7.6008007996669962</v>
      </c>
      <c r="T811" s="878">
        <v>0.51089600000000002</v>
      </c>
      <c r="U811" s="879">
        <v>3.4079575927305102E-3</v>
      </c>
      <c r="V811" s="880">
        <v>2.7E-2</v>
      </c>
      <c r="W811" s="878">
        <v>0.28499000000000002</v>
      </c>
      <c r="X811" s="881">
        <v>12.37857</v>
      </c>
      <c r="Y811" s="878">
        <v>10.75</v>
      </c>
      <c r="Z811" s="882">
        <v>0</v>
      </c>
      <c r="AA811" s="882">
        <v>0</v>
      </c>
      <c r="AB811" s="882">
        <v>0</v>
      </c>
      <c r="AC811" s="883">
        <v>0.18575833859554233</v>
      </c>
      <c r="AD811" s="893">
        <v>5.445324468280914E-2</v>
      </c>
      <c r="AE811" s="883">
        <v>0.29980003000000005</v>
      </c>
      <c r="AF811" s="891">
        <v>14.463155569776891</v>
      </c>
      <c r="AG811" s="862">
        <f t="shared" si="46"/>
        <v>8.5677160891858755</v>
      </c>
      <c r="AH811" s="890">
        <f t="shared" si="44"/>
        <v>202506</v>
      </c>
      <c r="AJ811" s="262" t="s">
        <v>2026</v>
      </c>
      <c r="AK811" s="262"/>
      <c r="AL811" s="262"/>
    </row>
    <row r="812" spans="3:38" ht="15.75" hidden="1">
      <c r="C812" s="649">
        <v>45820</v>
      </c>
      <c r="D812" s="874">
        <v>325520</v>
      </c>
      <c r="E812" s="874">
        <v>30220</v>
      </c>
      <c r="F812" s="875">
        <v>520.82000000000005</v>
      </c>
      <c r="G812" s="876">
        <v>4486</v>
      </c>
      <c r="H812" s="877">
        <v>2127</v>
      </c>
      <c r="I812" s="889">
        <v>130300</v>
      </c>
      <c r="J812" s="877">
        <v>171800</v>
      </c>
      <c r="K812" s="877">
        <v>50461.5</v>
      </c>
      <c r="L812" s="877">
        <v>9718</v>
      </c>
      <c r="M812" s="877">
        <v>434140</v>
      </c>
      <c r="N812" s="877">
        <v>6802</v>
      </c>
      <c r="O812" s="874">
        <v>7749</v>
      </c>
      <c r="P812" s="874">
        <v>120.952854</v>
      </c>
      <c r="Q812" s="337">
        <v>0</v>
      </c>
      <c r="R812" s="854">
        <f t="shared" si="45"/>
        <v>129371.12528430003</v>
      </c>
      <c r="S812" s="884">
        <v>7.5234958813185457</v>
      </c>
      <c r="T812" s="884">
        <v>0.51608200000000004</v>
      </c>
      <c r="U812" s="879">
        <v>3.4079575927305102E-3</v>
      </c>
      <c r="V812" s="885">
        <v>2.5000000000000001E-2</v>
      </c>
      <c r="W812" s="884">
        <v>0.27403</v>
      </c>
      <c r="X812" s="881">
        <v>12.37857</v>
      </c>
      <c r="Y812" s="884">
        <v>10.78</v>
      </c>
      <c r="Z812" s="882">
        <v>0</v>
      </c>
      <c r="AA812" s="882">
        <v>0</v>
      </c>
      <c r="AB812" s="882">
        <v>0</v>
      </c>
      <c r="AC812" s="886">
        <v>0.19821773935499948</v>
      </c>
      <c r="AD812" s="886">
        <v>5.445324468280914E-2</v>
      </c>
      <c r="AE812" s="886">
        <v>0.29390003000000003</v>
      </c>
      <c r="AF812" s="884">
        <v>14.657918657103131</v>
      </c>
      <c r="AG812" s="862">
        <f t="shared" si="46"/>
        <v>8.5945203992531845</v>
      </c>
      <c r="AH812" s="890">
        <f t="shared" si="44"/>
        <v>202506</v>
      </c>
      <c r="AJ812" s="262" t="s">
        <v>2027</v>
      </c>
      <c r="AK812" s="262"/>
      <c r="AL812" s="262"/>
    </row>
    <row r="813" spans="3:38" ht="15.75" hidden="1">
      <c r="C813" s="649">
        <v>45821</v>
      </c>
      <c r="D813" s="870">
        <v>335962</v>
      </c>
      <c r="E813" s="870">
        <v>30170</v>
      </c>
      <c r="F813" s="871">
        <v>522.44000000000005</v>
      </c>
      <c r="G813" s="872">
        <v>4417</v>
      </c>
      <c r="H813" s="873">
        <v>2212</v>
      </c>
      <c r="I813" s="889">
        <v>134830</v>
      </c>
      <c r="J813" s="873">
        <v>171275</v>
      </c>
      <c r="K813" s="873">
        <v>51540.47</v>
      </c>
      <c r="L813" s="873">
        <v>7739</v>
      </c>
      <c r="M813" s="873">
        <v>406139</v>
      </c>
      <c r="N813" s="873">
        <v>6823</v>
      </c>
      <c r="O813" s="870">
        <v>6812</v>
      </c>
      <c r="P813" s="870">
        <v>152.40185399999999</v>
      </c>
      <c r="Q813" s="337">
        <v>0</v>
      </c>
      <c r="R813" s="854">
        <f t="shared" si="45"/>
        <v>128798.1185843</v>
      </c>
      <c r="S813" s="878">
        <v>8.7414023055554768</v>
      </c>
      <c r="T813" s="878">
        <v>0.52237900000000004</v>
      </c>
      <c r="U813" s="879">
        <v>3.4079575927305102E-3</v>
      </c>
      <c r="V813" s="880">
        <v>2.4E-2</v>
      </c>
      <c r="W813" s="878">
        <v>0.27065</v>
      </c>
      <c r="X813" s="881">
        <v>12.37857</v>
      </c>
      <c r="Y813" s="878">
        <v>10.82</v>
      </c>
      <c r="Z813" s="882">
        <v>0</v>
      </c>
      <c r="AA813" s="882">
        <v>0</v>
      </c>
      <c r="AB813" s="882">
        <v>0</v>
      </c>
      <c r="AC813" s="883">
        <v>0.20303159873933516</v>
      </c>
      <c r="AD813" s="883">
        <v>5.5727501578662707E-2</v>
      </c>
      <c r="AE813" s="883">
        <v>0.29930003000000005</v>
      </c>
      <c r="AF813" s="878">
        <v>14.690652900916616</v>
      </c>
      <c r="AG813" s="862">
        <f t="shared" si="46"/>
        <v>8.647398400901027</v>
      </c>
      <c r="AH813" s="890">
        <f t="shared" si="44"/>
        <v>202506</v>
      </c>
      <c r="AJ813" s="262" t="s">
        <v>2028</v>
      </c>
      <c r="AK813" s="262"/>
      <c r="AL813" s="262"/>
    </row>
    <row r="814" spans="3:38" ht="15.75" hidden="1">
      <c r="C814" s="649">
        <v>45822</v>
      </c>
      <c r="D814" s="874">
        <v>331525</v>
      </c>
      <c r="E814" s="874">
        <v>30522</v>
      </c>
      <c r="F814" s="875">
        <v>524.13</v>
      </c>
      <c r="G814" s="876">
        <v>4473</v>
      </c>
      <c r="H814" s="877">
        <v>2054</v>
      </c>
      <c r="I814" s="889">
        <v>134830</v>
      </c>
      <c r="J814" s="877">
        <v>171348</v>
      </c>
      <c r="K814" s="877">
        <v>50372.39</v>
      </c>
      <c r="L814" s="877">
        <v>15775</v>
      </c>
      <c r="M814" s="877">
        <v>430685</v>
      </c>
      <c r="N814" s="877">
        <v>6832</v>
      </c>
      <c r="O814" s="874">
        <v>4571</v>
      </c>
      <c r="P814" s="874">
        <v>113.34219599999999</v>
      </c>
      <c r="Q814" s="337">
        <v>0</v>
      </c>
      <c r="R814" s="854">
        <f t="shared" si="45"/>
        <v>130369.05748819999</v>
      </c>
      <c r="S814" s="884">
        <v>7.86726207499993</v>
      </c>
      <c r="T814" s="884">
        <v>0.52643300000000004</v>
      </c>
      <c r="U814" s="879">
        <v>3.4079575927305102E-3</v>
      </c>
      <c r="V814" s="885">
        <v>2.3E-2</v>
      </c>
      <c r="W814" s="884">
        <v>0.26402999999999999</v>
      </c>
      <c r="X814" s="881">
        <v>12.37857</v>
      </c>
      <c r="Y814" s="884">
        <v>10.79</v>
      </c>
      <c r="Z814" s="882">
        <v>0</v>
      </c>
      <c r="AA814" s="882">
        <v>0</v>
      </c>
      <c r="AB814" s="882">
        <v>0</v>
      </c>
      <c r="AC814" s="886">
        <v>0.18859002058632807</v>
      </c>
      <c r="AD814" s="886">
        <v>5.759641169258127E-2</v>
      </c>
      <c r="AE814" s="886">
        <v>0.31880003000000001</v>
      </c>
      <c r="AF814" s="884">
        <v>14.693201414708321</v>
      </c>
      <c r="AG814" s="862">
        <f t="shared" si="46"/>
        <v>8.6163716169506017</v>
      </c>
      <c r="AH814" s="890">
        <f t="shared" si="44"/>
        <v>202506</v>
      </c>
      <c r="AJ814" s="262" t="s">
        <v>2029</v>
      </c>
      <c r="AK814" s="262"/>
      <c r="AL814" s="262"/>
    </row>
    <row r="815" spans="3:38" ht="15.75" hidden="1">
      <c r="C815" s="649">
        <v>45823</v>
      </c>
      <c r="D815" s="870">
        <v>275134</v>
      </c>
      <c r="E815" s="870">
        <v>30906</v>
      </c>
      <c r="F815" s="871">
        <v>517.36</v>
      </c>
      <c r="G815" s="872">
        <v>4408</v>
      </c>
      <c r="H815" s="873">
        <v>2125</v>
      </c>
      <c r="I815" s="889">
        <v>134830</v>
      </c>
      <c r="J815" s="873">
        <v>171596</v>
      </c>
      <c r="K815" s="873">
        <v>51628.43</v>
      </c>
      <c r="L815" s="873">
        <v>8923</v>
      </c>
      <c r="M815" s="873">
        <v>429753</v>
      </c>
      <c r="N815" s="873">
        <v>6829</v>
      </c>
      <c r="O815" s="870">
        <v>4360</v>
      </c>
      <c r="P815" s="870">
        <v>167.11998599999998</v>
      </c>
      <c r="Q815" s="337">
        <v>0</v>
      </c>
      <c r="R815" s="854">
        <f t="shared" si="45"/>
        <v>127484.6967437</v>
      </c>
      <c r="S815" s="878">
        <v>7.325561310162624</v>
      </c>
      <c r="T815" s="878">
        <v>0.52871800000000002</v>
      </c>
      <c r="U815" s="879">
        <v>3.4079575927305102E-3</v>
      </c>
      <c r="V815" s="880">
        <v>2.4E-2</v>
      </c>
      <c r="W815" s="878">
        <v>0.25836999999999999</v>
      </c>
      <c r="X815" s="881">
        <v>12.37857</v>
      </c>
      <c r="Y815" s="878">
        <v>10.78</v>
      </c>
      <c r="Z815" s="882">
        <v>0</v>
      </c>
      <c r="AA815" s="882">
        <v>0</v>
      </c>
      <c r="AB815" s="882">
        <v>0</v>
      </c>
      <c r="AC815" s="883">
        <v>0.20189892594302089</v>
      </c>
      <c r="AD815" s="883">
        <v>6.1589083299589113E-2</v>
      </c>
      <c r="AE815" s="883">
        <v>0.31840003</v>
      </c>
      <c r="AF815" s="878">
        <v>14.692493494210625</v>
      </c>
      <c r="AG815" s="862">
        <f t="shared" si="46"/>
        <v>8.5961445213265417</v>
      </c>
      <c r="AH815" s="890">
        <f t="shared" si="44"/>
        <v>202506</v>
      </c>
      <c r="AJ815" s="262" t="s">
        <v>2044</v>
      </c>
      <c r="AK815" s="262"/>
      <c r="AL815" s="262"/>
    </row>
    <row r="816" spans="3:38" ht="15.75" hidden="1">
      <c r="C816" s="649">
        <v>45824</v>
      </c>
      <c r="D816" s="874">
        <v>306553</v>
      </c>
      <c r="E816" s="874">
        <v>30994</v>
      </c>
      <c r="F816" s="875">
        <v>522.91</v>
      </c>
      <c r="G816" s="876">
        <v>4351</v>
      </c>
      <c r="H816" s="877">
        <v>2055</v>
      </c>
      <c r="I816" s="889">
        <v>134830</v>
      </c>
      <c r="J816" s="877">
        <v>170895</v>
      </c>
      <c r="K816" s="877">
        <v>51193.88</v>
      </c>
      <c r="L816" s="877">
        <v>10168</v>
      </c>
      <c r="M816" s="877">
        <v>431211</v>
      </c>
      <c r="N816" s="877">
        <v>6828</v>
      </c>
      <c r="O816" s="874">
        <v>5135</v>
      </c>
      <c r="P816" s="874">
        <v>158.44006200000001</v>
      </c>
      <c r="Q816" s="337">
        <v>0</v>
      </c>
      <c r="R816" s="854">
        <f t="shared" si="45"/>
        <v>128706.61027790001</v>
      </c>
      <c r="S816" s="884">
        <v>7.3881414821589892</v>
      </c>
      <c r="T816" s="884">
        <v>0.52878199999999997</v>
      </c>
      <c r="U816" s="879">
        <v>3.4079575927305102E-3</v>
      </c>
      <c r="V816" s="885">
        <v>2.4E-2</v>
      </c>
      <c r="W816" s="884">
        <v>0.25718000000000002</v>
      </c>
      <c r="X816" s="881">
        <v>12.37857</v>
      </c>
      <c r="Y816" s="884">
        <v>10.74</v>
      </c>
      <c r="Z816" s="882">
        <v>0</v>
      </c>
      <c r="AA816" s="882">
        <v>0</v>
      </c>
      <c r="AB816" s="887">
        <v>0</v>
      </c>
      <c r="AC816" s="886"/>
      <c r="AD816" s="886">
        <v>6.5949873565399109E-2</v>
      </c>
      <c r="AE816" s="886">
        <v>0.31260003000000003</v>
      </c>
      <c r="AF816" s="884">
        <v>14.515343468867073</v>
      </c>
      <c r="AG816" s="862">
        <f t="shared" si="46"/>
        <v>8.5332122013016232</v>
      </c>
      <c r="AH816" s="890">
        <f t="shared" si="44"/>
        <v>202506</v>
      </c>
      <c r="AJ816" s="262" t="s">
        <v>2045</v>
      </c>
      <c r="AK816" s="262"/>
      <c r="AL816" s="262"/>
    </row>
    <row r="817" spans="3:38" ht="15.75" hidden="1">
      <c r="C817" s="649">
        <v>45825</v>
      </c>
      <c r="D817" s="870">
        <v>301378</v>
      </c>
      <c r="E817" s="870">
        <v>30572</v>
      </c>
      <c r="F817" s="871">
        <v>519.23</v>
      </c>
      <c r="G817" s="872">
        <v>4284</v>
      </c>
      <c r="H817" s="873">
        <v>2105</v>
      </c>
      <c r="I817" s="889">
        <v>134830</v>
      </c>
      <c r="J817" s="873">
        <v>170813</v>
      </c>
      <c r="K817" s="873">
        <v>50956.51</v>
      </c>
      <c r="L817" s="873">
        <v>12718</v>
      </c>
      <c r="M817" s="873">
        <v>443026</v>
      </c>
      <c r="N817" s="873">
        <v>6823</v>
      </c>
      <c r="O817" s="870">
        <v>0</v>
      </c>
      <c r="P817" s="870">
        <v>119.380404</v>
      </c>
      <c r="Q817" s="337">
        <v>0</v>
      </c>
      <c r="R817" s="854">
        <f t="shared" si="45"/>
        <v>127390.22368180001</v>
      </c>
      <c r="S817" s="878">
        <v>7.4838523334475466</v>
      </c>
      <c r="T817" s="878">
        <v>0.52523799999999998</v>
      </c>
      <c r="U817" s="879">
        <v>3.4079575927305102E-3</v>
      </c>
      <c r="V817" s="880">
        <v>2.4E-2</v>
      </c>
      <c r="W817" s="878">
        <v>0.26174000000000003</v>
      </c>
      <c r="X817" s="881">
        <v>12.37857</v>
      </c>
      <c r="Y817" s="878">
        <v>10.78</v>
      </c>
      <c r="Z817" s="882">
        <v>0</v>
      </c>
      <c r="AA817" s="882">
        <v>0</v>
      </c>
      <c r="AB817" s="882">
        <v>0</v>
      </c>
      <c r="AC817" s="883">
        <v>0.19991674854947089</v>
      </c>
      <c r="AD817" s="883">
        <v>7.2151257125219803E-2</v>
      </c>
      <c r="AE817" s="883">
        <v>0.31620003000000002</v>
      </c>
      <c r="AF817" s="878">
        <v>14.528624057403855</v>
      </c>
      <c r="AG817" s="862">
        <f t="shared" si="46"/>
        <v>8.5783639595174357</v>
      </c>
      <c r="AH817" s="890">
        <f t="shared" si="44"/>
        <v>202506</v>
      </c>
      <c r="AJ817" s="262" t="s">
        <v>2035</v>
      </c>
      <c r="AK817" s="262"/>
      <c r="AL817" s="262"/>
    </row>
    <row r="818" spans="3:38" ht="15.75" hidden="1">
      <c r="C818" s="649">
        <v>45826</v>
      </c>
      <c r="D818" s="874">
        <v>305855</v>
      </c>
      <c r="E818" s="874">
        <v>29899</v>
      </c>
      <c r="F818" s="875">
        <v>510.97</v>
      </c>
      <c r="G818" s="876">
        <v>4122</v>
      </c>
      <c r="H818" s="877">
        <v>2037</v>
      </c>
      <c r="I818" s="889">
        <v>134830</v>
      </c>
      <c r="J818" s="877">
        <v>168608</v>
      </c>
      <c r="K818" s="877">
        <v>49566.23</v>
      </c>
      <c r="L818" s="877">
        <v>14370</v>
      </c>
      <c r="M818" s="877">
        <v>439049</v>
      </c>
      <c r="N818" s="877">
        <v>6947</v>
      </c>
      <c r="O818" s="874">
        <v>7277</v>
      </c>
      <c r="P818" s="874">
        <v>167.11998599999998</v>
      </c>
      <c r="Q818" s="337">
        <v>0</v>
      </c>
      <c r="R818" s="854">
        <f xml:space="preserve"> IF(C818&lt; DATE(2024, 11, 1), D818 * (2.31 / 100), D818 * (2.925 / 100))+E818*E$6+F818*F$6+G818*G$6+H818*H$6+I818*I$6+J818*J$6+K818*K$6+L818*L$6+M818*M$6+N818*N$6+O818*O$6+P818*P$6+Q818*Q$6</f>
        <v>129449.2017437</v>
      </c>
      <c r="S818" s="884">
        <v>8.0963451480544943</v>
      </c>
      <c r="T818" s="884">
        <v>0.524146</v>
      </c>
      <c r="U818" s="879">
        <v>3.4079575927305102E-3</v>
      </c>
      <c r="V818" s="885">
        <v>2.3E-2</v>
      </c>
      <c r="W818" s="884">
        <v>0.25197999999999998</v>
      </c>
      <c r="X818" s="881">
        <v>12.37857</v>
      </c>
      <c r="Y818" s="884">
        <v>10.75</v>
      </c>
      <c r="Z818" s="882">
        <v>0</v>
      </c>
      <c r="AA818" s="882">
        <v>0</v>
      </c>
      <c r="AB818" s="882">
        <v>0</v>
      </c>
      <c r="AC818" s="886">
        <v>0.20444743973472801</v>
      </c>
      <c r="AD818" s="886">
        <v>7.1273435708076233E-2</v>
      </c>
      <c r="AE818" s="886">
        <v>0.30880003</v>
      </c>
      <c r="AF818" s="884">
        <v>14.828244328848891</v>
      </c>
      <c r="AG818" s="862">
        <f t="shared" si="46"/>
        <v>8.6256772279538687</v>
      </c>
      <c r="AH818" s="890">
        <f t="shared" si="44"/>
        <v>202506</v>
      </c>
      <c r="AJ818" s="262" t="s">
        <v>2034</v>
      </c>
      <c r="AK818" s="262"/>
      <c r="AL818" s="262"/>
    </row>
    <row r="819" spans="3:38" ht="15.75" hidden="1">
      <c r="C819" s="649">
        <v>45827</v>
      </c>
      <c r="D819" s="870">
        <v>303718</v>
      </c>
      <c r="E819" s="870">
        <v>29516</v>
      </c>
      <c r="F819" s="871">
        <v>513.92999999999995</v>
      </c>
      <c r="G819" s="872">
        <v>4104</v>
      </c>
      <c r="H819" s="873">
        <v>2090</v>
      </c>
      <c r="I819" s="889">
        <v>134830</v>
      </c>
      <c r="J819" s="873">
        <v>172186</v>
      </c>
      <c r="K819" s="873">
        <v>46061.96</v>
      </c>
      <c r="L819" s="873">
        <v>11888</v>
      </c>
      <c r="M819" s="873">
        <v>442129</v>
      </c>
      <c r="N819" s="873">
        <v>6686</v>
      </c>
      <c r="O819" s="870">
        <v>6837</v>
      </c>
      <c r="P819" s="870">
        <v>133.65824999999998</v>
      </c>
      <c r="Q819" s="337">
        <v>0</v>
      </c>
      <c r="R819" s="854">
        <f t="shared" ref="R819:R830" si="47" xml:space="preserve"> IF(C819&lt; DATE(2024, 11, 1), D819 * (2.31 / 100), D819 * (2.925 / 100))+E819*E$6+F819*F$6+G819*G$6+H819*H$6+I819*I$6+J819*J$6+K819*K$6+L819*L$6+M819*M$6+N819*N$6+O819*O$6+P819*P$6+Q819*Q$6</f>
        <v>128688.21871250001</v>
      </c>
      <c r="S819" s="878">
        <v>7.5891909035047718</v>
      </c>
      <c r="T819" s="878">
        <v>0.52271599999999996</v>
      </c>
      <c r="U819" s="879">
        <v>3.4079575927305102E-3</v>
      </c>
      <c r="V819" s="880">
        <v>2.4E-2</v>
      </c>
      <c r="W819" s="878">
        <v>0.25286999999999998</v>
      </c>
      <c r="X819" s="881">
        <v>12.37857</v>
      </c>
      <c r="Y819" s="878">
        <v>10.84</v>
      </c>
      <c r="Z819" s="882">
        <v>0</v>
      </c>
      <c r="AA819" s="882">
        <v>0</v>
      </c>
      <c r="AB819" s="882">
        <v>0</v>
      </c>
      <c r="AC819" s="883">
        <v>0.20189892594302089</v>
      </c>
      <c r="AD819" s="883">
        <v>7.0338980651116947E-2</v>
      </c>
      <c r="AE819" s="883">
        <v>0.31520003000000002</v>
      </c>
      <c r="AF819" s="878">
        <v>14.830877793100324</v>
      </c>
      <c r="AG819" s="862">
        <f t="shared" si="46"/>
        <v>8.6379204366836611</v>
      </c>
      <c r="AH819" s="890">
        <f>IF($AK$1&gt;=C819,(YEAR(C819)*100+MONTH(C819)),0)</f>
        <v>202506</v>
      </c>
      <c r="AJ819" s="931" t="s">
        <v>2036</v>
      </c>
      <c r="AK819" s="262"/>
      <c r="AL819" s="262"/>
    </row>
    <row r="820" spans="3:38" ht="15.75" hidden="1" customHeight="1">
      <c r="C820" s="649">
        <v>45828</v>
      </c>
      <c r="D820" s="874">
        <v>307567</v>
      </c>
      <c r="E820" s="874">
        <v>29126</v>
      </c>
      <c r="F820" s="875">
        <v>906.24</v>
      </c>
      <c r="G820" s="876">
        <v>4242</v>
      </c>
      <c r="H820" s="877">
        <v>2054</v>
      </c>
      <c r="I820" s="889">
        <v>133736</v>
      </c>
      <c r="J820" s="877">
        <v>169880</v>
      </c>
      <c r="K820" s="877">
        <v>48671.26</v>
      </c>
      <c r="L820" s="877">
        <v>12866</v>
      </c>
      <c r="M820" s="877">
        <v>421030</v>
      </c>
      <c r="N820" s="877">
        <v>7025</v>
      </c>
      <c r="O820" s="874">
        <v>5010</v>
      </c>
      <c r="P820" s="874">
        <v>172.34051999999997</v>
      </c>
      <c r="Q820" s="337">
        <v>0</v>
      </c>
      <c r="R820" s="854">
        <f t="shared" si="47"/>
        <v>127552.96348400001</v>
      </c>
      <c r="S820" s="884">
        <v>7.5716344751619005</v>
      </c>
      <c r="T820" s="884">
        <v>0.52110199999999995</v>
      </c>
      <c r="U820" s="879">
        <v>3.4079575927305102E-3</v>
      </c>
      <c r="V820" s="885">
        <v>2.4E-2</v>
      </c>
      <c r="W820" s="884">
        <v>0.25724999999999998</v>
      </c>
      <c r="X820" s="881">
        <v>12.37857</v>
      </c>
      <c r="Y820" s="884">
        <v>10.14</v>
      </c>
      <c r="Z820" s="882">
        <v>0</v>
      </c>
      <c r="AA820" s="882">
        <v>0</v>
      </c>
      <c r="AB820" s="882">
        <v>0</v>
      </c>
      <c r="AC820" s="886">
        <v>0.18745734779001377</v>
      </c>
      <c r="AD820" s="886">
        <v>7.0084129271946238E-2</v>
      </c>
      <c r="AE820" s="886">
        <v>0.30990003000000005</v>
      </c>
      <c r="AF820" s="884">
        <v>14.911892214856703</v>
      </c>
      <c r="AG820" s="862">
        <f t="shared" si="46"/>
        <v>8.4690480687047156</v>
      </c>
      <c r="AH820" s="890">
        <f>IF($AK$1&gt;=C820,(YEAR(C820)*100+MONTH(C820)),0)</f>
        <v>202506</v>
      </c>
      <c r="AJ820" s="262" t="s">
        <v>2037</v>
      </c>
      <c r="AK820" s="262"/>
      <c r="AL820" s="262"/>
    </row>
    <row r="821" spans="3:38" ht="15.75" hidden="1" customHeight="1">
      <c r="C821" s="649">
        <v>45829</v>
      </c>
      <c r="D821" s="870">
        <v>318248</v>
      </c>
      <c r="E821" s="870">
        <v>29516</v>
      </c>
      <c r="F821" s="871">
        <v>10177.39</v>
      </c>
      <c r="G821" s="872">
        <v>4272</v>
      </c>
      <c r="H821" s="873">
        <v>2155</v>
      </c>
      <c r="I821" s="889">
        <v>133736</v>
      </c>
      <c r="J821" s="873">
        <v>171353</v>
      </c>
      <c r="K821" s="873">
        <v>49313.31</v>
      </c>
      <c r="L821" s="873">
        <v>10895</v>
      </c>
      <c r="M821" s="873">
        <v>430939</v>
      </c>
      <c r="N821" s="873">
        <v>6508</v>
      </c>
      <c r="O821" s="870">
        <v>4553</v>
      </c>
      <c r="P821" s="870">
        <v>126.04759199999998</v>
      </c>
      <c r="Q821" s="337">
        <v>0</v>
      </c>
      <c r="R821" s="854">
        <f t="shared" si="47"/>
        <v>134780.33466640001</v>
      </c>
      <c r="S821" s="878">
        <v>7.6203394054034153</v>
      </c>
      <c r="T821" s="878">
        <v>0.52575300000000003</v>
      </c>
      <c r="U821" s="879">
        <v>3.4079575927305102E-3</v>
      </c>
      <c r="V821" s="880">
        <v>2.4E-2</v>
      </c>
      <c r="W821" s="878">
        <v>0.25788</v>
      </c>
      <c r="X821" s="881">
        <v>12.37857</v>
      </c>
      <c r="Y821" s="878">
        <v>9.77</v>
      </c>
      <c r="Z821" s="882">
        <v>0</v>
      </c>
      <c r="AA821" s="882">
        <v>0</v>
      </c>
      <c r="AB821" s="882">
        <v>0</v>
      </c>
      <c r="AC821" s="883">
        <v>0.18320982480383521</v>
      </c>
      <c r="AD821" s="883">
        <v>7.2349474864574811E-2</v>
      </c>
      <c r="AE821" s="883">
        <v>0.29930003000000005</v>
      </c>
      <c r="AF821" s="878">
        <v>14.835266900186042</v>
      </c>
      <c r="AG821" s="862">
        <f t="shared" si="46"/>
        <v>8.3588010651288407</v>
      </c>
      <c r="AH821" s="890">
        <f>IF($AK$1&gt;=C821,(YEAR(C821)*100+MONTH(C821)),0)</f>
        <v>202506</v>
      </c>
      <c r="AJ821" s="262" t="s">
        <v>2038</v>
      </c>
      <c r="AK821" s="262"/>
      <c r="AL821" s="262"/>
    </row>
    <row r="822" spans="3:38" ht="15.75" hidden="1">
      <c r="C822" s="649">
        <v>45830</v>
      </c>
      <c r="D822" s="874">
        <v>319693</v>
      </c>
      <c r="E822" s="874">
        <v>29648</v>
      </c>
      <c r="F822" s="875">
        <v>25753.279999999999</v>
      </c>
      <c r="G822" s="876">
        <v>4290</v>
      </c>
      <c r="H822" s="877">
        <v>2098</v>
      </c>
      <c r="I822" s="889">
        <v>133736</v>
      </c>
      <c r="J822" s="877">
        <v>169104</v>
      </c>
      <c r="K822" s="877">
        <v>51654.03</v>
      </c>
      <c r="L822" s="877">
        <v>12395</v>
      </c>
      <c r="M822" s="877">
        <v>463319</v>
      </c>
      <c r="N822" s="877">
        <v>5059</v>
      </c>
      <c r="O822" s="874">
        <v>0</v>
      </c>
      <c r="P822" s="874">
        <v>138.56429399999999</v>
      </c>
      <c r="Q822" s="337">
        <v>0</v>
      </c>
      <c r="R822" s="854">
        <f t="shared" si="47"/>
        <v>145395.92143229998</v>
      </c>
      <c r="S822" s="884">
        <v>7.8689610841944031</v>
      </c>
      <c r="T822" s="884">
        <v>0.49842500000000001</v>
      </c>
      <c r="U822" s="879">
        <v>3.4079575927305102E-3</v>
      </c>
      <c r="V822" s="885">
        <v>2.5000000000000001E-2</v>
      </c>
      <c r="W822" s="884">
        <v>0.25785000000000002</v>
      </c>
      <c r="X822" s="881">
        <v>12.37857</v>
      </c>
      <c r="Y822" s="884">
        <v>9.73</v>
      </c>
      <c r="Z822" s="882">
        <v>0</v>
      </c>
      <c r="AA822" s="882">
        <v>0</v>
      </c>
      <c r="AB822" s="882">
        <v>0</v>
      </c>
      <c r="AC822" s="886">
        <v>0.1766969562250281</v>
      </c>
      <c r="AD822" s="886">
        <v>7.784293792669908E-2</v>
      </c>
      <c r="AE822" s="886">
        <v>0.28670003000000005</v>
      </c>
      <c r="AF822" s="884">
        <v>14.854352436803936</v>
      </c>
      <c r="AG822" s="862">
        <f t="shared" si="46"/>
        <v>8.3478202001397008</v>
      </c>
      <c r="AH822" s="890">
        <f>IF($AK$1&gt;=C822,(YEAR(C822)*100+MONTH(C822)),0)</f>
        <v>202506</v>
      </c>
      <c r="AJ822" s="262" t="s">
        <v>135</v>
      </c>
      <c r="AK822" s="262"/>
      <c r="AL822" s="262"/>
    </row>
    <row r="823" spans="3:38" ht="15.75" hidden="1">
      <c r="C823" s="649">
        <v>45831</v>
      </c>
      <c r="D823" s="870">
        <v>309065</v>
      </c>
      <c r="E823" s="870">
        <v>29566</v>
      </c>
      <c r="F823" s="871">
        <v>25258.629999999997</v>
      </c>
      <c r="G823" s="872">
        <v>4405</v>
      </c>
      <c r="H823" s="873">
        <v>2131</v>
      </c>
      <c r="I823" s="889">
        <v>133736</v>
      </c>
      <c r="J823" s="873">
        <v>165954</v>
      </c>
      <c r="K823" s="873">
        <v>45461.59</v>
      </c>
      <c r="L823" s="873">
        <v>11266</v>
      </c>
      <c r="M823" s="873">
        <v>446885</v>
      </c>
      <c r="N823" s="873">
        <v>6569</v>
      </c>
      <c r="O823" s="870">
        <v>7149</v>
      </c>
      <c r="P823" s="870">
        <v>149.19405599999999</v>
      </c>
      <c r="Q823" s="337">
        <v>0</v>
      </c>
      <c r="R823" s="854">
        <f t="shared" si="47"/>
        <v>144540.79957519998</v>
      </c>
      <c r="S823" s="878">
        <v>8.0479233860120551</v>
      </c>
      <c r="T823" s="878">
        <v>0.482655</v>
      </c>
      <c r="U823" s="879">
        <v>3.4079575927305102E-3</v>
      </c>
      <c r="V823" s="880">
        <v>2.5000000000000001E-2</v>
      </c>
      <c r="W823" s="878">
        <v>0.25729000000000002</v>
      </c>
      <c r="X823" s="881">
        <v>12.37857</v>
      </c>
      <c r="Y823" s="878">
        <v>9.66</v>
      </c>
      <c r="Z823" s="882">
        <v>0</v>
      </c>
      <c r="AA823" s="882">
        <v>0</v>
      </c>
      <c r="AB823" s="882">
        <v>0</v>
      </c>
      <c r="AC823" s="883">
        <v>0.15262765930334957</v>
      </c>
      <c r="AD823" s="883">
        <v>9.0698774164866186E-2</v>
      </c>
      <c r="AE823" s="883">
        <v>0.26400003000000005</v>
      </c>
      <c r="AF823" s="878">
        <v>14.842346105163006</v>
      </c>
      <c r="AG823" s="862">
        <f t="shared" si="46"/>
        <v>8.3202755829227897</v>
      </c>
      <c r="AH823" s="890">
        <f>IF($AK$1&gt;=C823,(YEAR(C823)*100+MONTH(C823)),0)</f>
        <v>202506</v>
      </c>
      <c r="AJ823" s="262" t="s">
        <v>2059</v>
      </c>
      <c r="AK823" s="262"/>
      <c r="AL823" s="262"/>
    </row>
    <row r="824" spans="3:38" ht="15.75" hidden="1">
      <c r="C824" s="649">
        <v>45832</v>
      </c>
      <c r="D824" s="874">
        <v>302383</v>
      </c>
      <c r="E824" s="874">
        <v>29447</v>
      </c>
      <c r="F824" s="875">
        <v>25294.5</v>
      </c>
      <c r="G824" s="876">
        <v>4414</v>
      </c>
      <c r="H824" s="877">
        <v>2047</v>
      </c>
      <c r="I824" s="889">
        <v>133736</v>
      </c>
      <c r="J824" s="877">
        <v>163602</v>
      </c>
      <c r="K824" s="877">
        <v>52622.47</v>
      </c>
      <c r="L824" s="877">
        <v>12207</v>
      </c>
      <c r="M824" s="877">
        <v>463491</v>
      </c>
      <c r="N824" s="877">
        <v>7098</v>
      </c>
      <c r="O824" s="874">
        <v>7235</v>
      </c>
      <c r="P824" s="874">
        <v>126.04759199999998</v>
      </c>
      <c r="Q824" s="337">
        <v>0</v>
      </c>
      <c r="R824" s="854">
        <f t="shared" si="47"/>
        <v>146410.96041639996</v>
      </c>
      <c r="S824" s="884">
        <v>7.8123274443786856</v>
      </c>
      <c r="T824" s="884">
        <v>0.48269299999999998</v>
      </c>
      <c r="U824" s="879">
        <v>3.4079575927305102E-3</v>
      </c>
      <c r="V824" s="885">
        <v>2.5000000000000001E-2</v>
      </c>
      <c r="W824" s="884">
        <v>0.28616000000000003</v>
      </c>
      <c r="X824" s="881">
        <v>12.37857</v>
      </c>
      <c r="Y824" s="884">
        <v>9.61</v>
      </c>
      <c r="Z824" s="882">
        <v>0</v>
      </c>
      <c r="AA824" s="882">
        <v>0</v>
      </c>
      <c r="AB824" s="882">
        <v>0</v>
      </c>
      <c r="AC824" s="886">
        <v>0.19340387997066377</v>
      </c>
      <c r="AD824" s="886">
        <v>8.7753824894449051E-2</v>
      </c>
      <c r="AE824" s="886">
        <v>0.25450002999999999</v>
      </c>
      <c r="AF824" s="884">
        <v>14.83883481949443</v>
      </c>
      <c r="AG824" s="862">
        <f t="shared" si="46"/>
        <v>8.3277001476315942</v>
      </c>
      <c r="AH824" s="890">
        <f t="shared" ref="AH824:AH830" si="48">IF($AK$1&gt;=C824,(YEAR(C824)*100+MONTH(C824)),0)</f>
        <v>202506</v>
      </c>
      <c r="AJ824" s="262" t="s">
        <v>2055</v>
      </c>
      <c r="AK824" s="262"/>
      <c r="AL824" s="262"/>
    </row>
    <row r="825" spans="3:38" ht="15.75" hidden="1">
      <c r="C825" s="649">
        <v>45833</v>
      </c>
      <c r="D825" s="870">
        <v>328141</v>
      </c>
      <c r="E825" s="870">
        <v>29780</v>
      </c>
      <c r="F825" s="871">
        <v>24910.84</v>
      </c>
      <c r="G825" s="872">
        <v>4472</v>
      </c>
      <c r="H825" s="873">
        <v>2123</v>
      </c>
      <c r="I825" s="889">
        <v>133736</v>
      </c>
      <c r="J825" s="873">
        <v>170863</v>
      </c>
      <c r="K825" s="873">
        <v>51833.5</v>
      </c>
      <c r="L825" s="873">
        <v>9837</v>
      </c>
      <c r="M825" s="873">
        <v>432559</v>
      </c>
      <c r="N825" s="873">
        <v>7138</v>
      </c>
      <c r="O825" s="870">
        <v>5078</v>
      </c>
      <c r="P825" s="870">
        <v>102.272148</v>
      </c>
      <c r="Q825" s="337">
        <v>0</v>
      </c>
      <c r="R825" s="854">
        <f t="shared" si="47"/>
        <v>146103.20596660001</v>
      </c>
      <c r="S825" s="878">
        <v>7.7740997375030778</v>
      </c>
      <c r="T825" s="878">
        <v>0.48211599999999999</v>
      </c>
      <c r="U825" s="879">
        <v>3.4079575927305102E-3</v>
      </c>
      <c r="V825" s="880">
        <v>2.5000000000000001E-2</v>
      </c>
      <c r="W825" s="878">
        <v>0.28786</v>
      </c>
      <c r="X825" s="881">
        <v>12.37857</v>
      </c>
      <c r="Y825" s="878">
        <v>9.93</v>
      </c>
      <c r="Z825" s="882">
        <v>0</v>
      </c>
      <c r="AA825" s="921">
        <v>0</v>
      </c>
      <c r="AB825" s="921">
        <v>0</v>
      </c>
      <c r="AC825" s="883">
        <v>0.19000586158172092</v>
      </c>
      <c r="AD825" s="883">
        <v>8.4355806505506198E-2</v>
      </c>
      <c r="AE825" s="883">
        <v>0.25500002999999999</v>
      </c>
      <c r="AF825" s="878">
        <v>14.837673829878209</v>
      </c>
      <c r="AG825" s="862">
        <f t="shared" si="46"/>
        <v>8.409620839592364</v>
      </c>
      <c r="AH825" s="890">
        <f t="shared" si="48"/>
        <v>202506</v>
      </c>
      <c r="AJ825" s="262" t="s">
        <v>2039</v>
      </c>
      <c r="AK825" s="262"/>
      <c r="AL825" s="262"/>
    </row>
    <row r="826" spans="3:38" ht="15.75" hidden="1">
      <c r="C826" s="649">
        <v>45834</v>
      </c>
      <c r="D826" s="874">
        <v>319510</v>
      </c>
      <c r="E826" s="874">
        <v>30597</v>
      </c>
      <c r="F826" s="875">
        <v>23509.87</v>
      </c>
      <c r="G826" s="876">
        <v>4575</v>
      </c>
      <c r="H826" s="877">
        <v>2099</v>
      </c>
      <c r="I826" s="889">
        <v>133736</v>
      </c>
      <c r="J826" s="877">
        <v>169527</v>
      </c>
      <c r="K826" s="877">
        <v>49608.67</v>
      </c>
      <c r="L826" s="877">
        <v>13591</v>
      </c>
      <c r="M826" s="877">
        <v>457994</v>
      </c>
      <c r="N826" s="877">
        <v>7307</v>
      </c>
      <c r="O826" s="874">
        <v>0</v>
      </c>
      <c r="P826" s="874">
        <v>156.553122</v>
      </c>
      <c r="Q826" s="337">
        <v>0</v>
      </c>
      <c r="R826" s="854">
        <f t="shared" si="47"/>
        <v>144149.46165489999</v>
      </c>
      <c r="S826" s="884">
        <v>7.8703769251897944</v>
      </c>
      <c r="T826" s="884">
        <v>0.430925</v>
      </c>
      <c r="U826" s="879">
        <v>3.4079575927305102E-3</v>
      </c>
      <c r="V826" s="885">
        <v>2.5999999999999999E-2</v>
      </c>
      <c r="W826" s="884">
        <v>0.28285000000000005</v>
      </c>
      <c r="X826" s="881">
        <v>12.37857</v>
      </c>
      <c r="Y826" s="884">
        <v>10.57</v>
      </c>
      <c r="Z826" s="882">
        <v>0</v>
      </c>
      <c r="AA826" s="882">
        <v>0</v>
      </c>
      <c r="AB826" s="882">
        <v>0</v>
      </c>
      <c r="AC826" s="886">
        <v>0.18859002058632807</v>
      </c>
      <c r="AD826" s="886">
        <v>6.0682945062537685E-2</v>
      </c>
      <c r="AE826" s="886">
        <v>0.26570003000000003</v>
      </c>
      <c r="AF826" s="884">
        <v>14.763965147658057</v>
      </c>
      <c r="AG826" s="862">
        <f t="shared" si="46"/>
        <v>8.5431650142680944</v>
      </c>
      <c r="AH826" s="890">
        <f t="shared" si="48"/>
        <v>202506</v>
      </c>
      <c r="AJ826" s="262" t="s">
        <v>2040</v>
      </c>
      <c r="AK826" s="262"/>
      <c r="AL826" s="262"/>
    </row>
    <row r="827" spans="3:38" ht="15.75" hidden="1">
      <c r="C827" s="649">
        <v>45835</v>
      </c>
      <c r="D827" s="870">
        <v>328136</v>
      </c>
      <c r="E827" s="870">
        <v>24057</v>
      </c>
      <c r="F827" s="871">
        <v>23944.89</v>
      </c>
      <c r="G827" s="872">
        <v>4603</v>
      </c>
      <c r="H827" s="873">
        <v>2103</v>
      </c>
      <c r="I827" s="889">
        <v>133736</v>
      </c>
      <c r="J827" s="873">
        <v>162969</v>
      </c>
      <c r="K827" s="873">
        <v>50231.73</v>
      </c>
      <c r="L827" s="873">
        <v>10952</v>
      </c>
      <c r="M827" s="873">
        <v>451634</v>
      </c>
      <c r="N827" s="873">
        <v>7408</v>
      </c>
      <c r="O827" s="870">
        <v>7243</v>
      </c>
      <c r="P827" s="870">
        <v>113.53089</v>
      </c>
      <c r="Q827" s="337">
        <v>0</v>
      </c>
      <c r="R827" s="854">
        <f t="shared" si="47"/>
        <v>143407.06240050003</v>
      </c>
      <c r="S827" s="878">
        <v>7.4660127369055962</v>
      </c>
      <c r="T827" s="878">
        <v>0.43693599999999999</v>
      </c>
      <c r="U827" s="879">
        <v>3.4079575927305102E-3</v>
      </c>
      <c r="V827" s="880">
        <v>2.5999999999999999E-2</v>
      </c>
      <c r="W827" s="878">
        <v>0.27856999999999998</v>
      </c>
      <c r="X827" s="881">
        <v>12.37857</v>
      </c>
      <c r="Y827" s="878">
        <v>10.75</v>
      </c>
      <c r="Z827" s="882">
        <v>0</v>
      </c>
      <c r="AA827" s="882">
        <v>0</v>
      </c>
      <c r="AB827" s="882">
        <v>0</v>
      </c>
      <c r="AC827" s="883">
        <v>0.19113853437803519</v>
      </c>
      <c r="AD827" s="883">
        <v>6.6402942683924826E-2</v>
      </c>
      <c r="AE827" s="883">
        <v>0.29480003000000005</v>
      </c>
      <c r="AF827" s="878">
        <v>13.493814190691127</v>
      </c>
      <c r="AG827" s="862">
        <f t="shared" si="46"/>
        <v>8.3752180046420452</v>
      </c>
      <c r="AH827" s="890">
        <f t="shared" si="48"/>
        <v>202506</v>
      </c>
      <c r="AJ827" s="262" t="s">
        <v>2063</v>
      </c>
      <c r="AK827" s="262"/>
      <c r="AL827" s="262"/>
    </row>
    <row r="828" spans="3:38" ht="15.75" hidden="1">
      <c r="C828" s="649">
        <v>45836</v>
      </c>
      <c r="D828" s="874">
        <v>333758</v>
      </c>
      <c r="E828" s="874">
        <v>30239</v>
      </c>
      <c r="F828" s="875">
        <v>25014.32</v>
      </c>
      <c r="G828" s="876">
        <v>4572</v>
      </c>
      <c r="H828" s="877">
        <v>2053</v>
      </c>
      <c r="I828" s="889">
        <v>133736</v>
      </c>
      <c r="J828" s="877">
        <v>168984</v>
      </c>
      <c r="K828" s="877">
        <v>50021.9</v>
      </c>
      <c r="L828" s="877">
        <v>12712</v>
      </c>
      <c r="M828" s="877">
        <v>447966</v>
      </c>
      <c r="N828" s="877">
        <v>7419</v>
      </c>
      <c r="O828" s="874">
        <v>6058</v>
      </c>
      <c r="P828" s="874">
        <v>131.582616</v>
      </c>
      <c r="Q828" s="337">
        <v>0</v>
      </c>
      <c r="R828" s="919">
        <f t="shared" si="47"/>
        <v>147248.40267720004</v>
      </c>
      <c r="S828" s="884">
        <v>7.5580424016061283</v>
      </c>
      <c r="T828" s="884">
        <v>0.44184000000000001</v>
      </c>
      <c r="U828" s="879">
        <v>3.4079575927305102E-3</v>
      </c>
      <c r="V828" s="885">
        <v>2.5000000000000001E-2</v>
      </c>
      <c r="W828" s="884">
        <v>0.27301999999999998</v>
      </c>
      <c r="X828" s="881">
        <v>12.37857</v>
      </c>
      <c r="Y828" s="884">
        <v>10.7</v>
      </c>
      <c r="Z828" s="882">
        <v>0</v>
      </c>
      <c r="AA828" s="882">
        <v>0</v>
      </c>
      <c r="AB828" s="882">
        <v>0</v>
      </c>
      <c r="AC828" s="886">
        <v>0.19566922556329233</v>
      </c>
      <c r="AD828" s="886">
        <v>6.47039334894534E-2</v>
      </c>
      <c r="AE828" s="886">
        <v>0.29270003000000006</v>
      </c>
      <c r="AF828" s="884">
        <v>13.62987651034838</v>
      </c>
      <c r="AG828" s="920">
        <f t="shared" si="46"/>
        <v>8.3821883190288595</v>
      </c>
      <c r="AH828" s="888">
        <f t="shared" si="48"/>
        <v>202506</v>
      </c>
      <c r="AJ828" s="262" t="s">
        <v>2041</v>
      </c>
      <c r="AK828" s="262"/>
      <c r="AL828" s="262"/>
    </row>
    <row r="829" spans="3:38" ht="15.75" hidden="1">
      <c r="C829" s="649">
        <v>45837</v>
      </c>
      <c r="D829" s="870">
        <v>330636</v>
      </c>
      <c r="E829" s="870">
        <v>29629</v>
      </c>
      <c r="F829" s="871">
        <v>24874.560000000001</v>
      </c>
      <c r="G829" s="872">
        <v>4584</v>
      </c>
      <c r="H829" s="873">
        <v>2142</v>
      </c>
      <c r="I829" s="889">
        <v>133736</v>
      </c>
      <c r="J829" s="873">
        <v>168653</v>
      </c>
      <c r="K829" s="873">
        <v>50516.27</v>
      </c>
      <c r="L829" s="873">
        <v>11038</v>
      </c>
      <c r="M829" s="873">
        <v>387201</v>
      </c>
      <c r="N829" s="873">
        <v>7511</v>
      </c>
      <c r="O829" s="870">
        <v>4875</v>
      </c>
      <c r="P829" s="870">
        <v>149.25695400000001</v>
      </c>
      <c r="Q829" s="337">
        <v>0</v>
      </c>
      <c r="R829" s="919">
        <f t="shared" si="47"/>
        <v>143737.50562929999</v>
      </c>
      <c r="S829" s="878">
        <v>7.2816702393054404</v>
      </c>
      <c r="T829" s="878">
        <v>0.43409500000000001</v>
      </c>
      <c r="U829" s="879">
        <v>3.4079575927305102E-3</v>
      </c>
      <c r="V829" s="880">
        <v>2.5000000000000001E-2</v>
      </c>
      <c r="W829" s="878">
        <v>0.27112999999999998</v>
      </c>
      <c r="X829" s="881">
        <v>12.37857</v>
      </c>
      <c r="Y829" s="878">
        <v>10.68</v>
      </c>
      <c r="Z829" s="882">
        <v>0</v>
      </c>
      <c r="AA829" s="882">
        <v>0</v>
      </c>
      <c r="AB829" s="882">
        <v>0</v>
      </c>
      <c r="AC829" s="883">
        <v>0.19736823475776374</v>
      </c>
      <c r="AD829" s="883">
        <v>7.8465907964671927E-2</v>
      </c>
      <c r="AE829" s="883">
        <v>0.27720003000000004</v>
      </c>
      <c r="AF829" s="878">
        <v>13.499675772412054</v>
      </c>
      <c r="AG829" s="920">
        <f t="shared" si="46"/>
        <v>8.3415058386338679</v>
      </c>
      <c r="AH829" s="888">
        <f t="shared" si="48"/>
        <v>202506</v>
      </c>
      <c r="AJ829" s="262" t="s">
        <v>2042</v>
      </c>
      <c r="AK829" s="262"/>
      <c r="AL829" s="262"/>
    </row>
    <row r="830" spans="3:38" ht="17.25" hidden="1" customHeight="1">
      <c r="C830" s="649">
        <v>45838</v>
      </c>
      <c r="D830" s="874">
        <v>354475</v>
      </c>
      <c r="E830" s="874">
        <v>30289</v>
      </c>
      <c r="F830" s="875">
        <v>24785.19</v>
      </c>
      <c r="G830" s="876">
        <v>4693</v>
      </c>
      <c r="H830" s="877">
        <v>2043</v>
      </c>
      <c r="I830" s="889">
        <v>133736</v>
      </c>
      <c r="J830" s="877">
        <v>158305</v>
      </c>
      <c r="K830" s="877">
        <v>51361.53</v>
      </c>
      <c r="L830" s="877">
        <v>11355</v>
      </c>
      <c r="M830" s="877">
        <v>357340</v>
      </c>
      <c r="N830" s="877">
        <v>7781</v>
      </c>
      <c r="O830" s="874">
        <v>4899</v>
      </c>
      <c r="P830" s="874">
        <v>161.64785999999998</v>
      </c>
      <c r="Q830" s="337">
        <v>0</v>
      </c>
      <c r="R830" s="919">
        <f t="shared" si="47"/>
        <v>140953.68453699999</v>
      </c>
      <c r="S830" s="884">
        <v>7.9270105650055092</v>
      </c>
      <c r="T830" s="884">
        <v>0.43715999999999999</v>
      </c>
      <c r="U830" s="879">
        <v>3.4079575927305102E-3</v>
      </c>
      <c r="V830" s="885">
        <v>2.5000000000000001E-2</v>
      </c>
      <c r="W830" s="884">
        <v>0.26618000000000003</v>
      </c>
      <c r="X830" s="881">
        <v>12.37857</v>
      </c>
      <c r="Y830" s="884">
        <v>10.59</v>
      </c>
      <c r="Z830" s="882">
        <v>0</v>
      </c>
      <c r="AA830" s="882">
        <v>0</v>
      </c>
      <c r="AB830" s="882">
        <v>0</v>
      </c>
      <c r="AC830" s="886">
        <v>0.19680189835960663</v>
      </c>
      <c r="AD830" s="886">
        <v>6.858333781682982E-2</v>
      </c>
      <c r="AE830" s="886">
        <v>0.24160002999999999</v>
      </c>
      <c r="AF830" s="884">
        <v>13.590855932515353</v>
      </c>
      <c r="AG830" s="920">
        <f t="shared" si="46"/>
        <v>8.3283248953152231</v>
      </c>
      <c r="AH830" s="888">
        <f t="shared" si="48"/>
        <v>202506</v>
      </c>
      <c r="AJ830" s="262" t="s">
        <v>2043</v>
      </c>
      <c r="AK830" s="262"/>
      <c r="AL830" s="262"/>
    </row>
    <row r="831" spans="3:38" ht="15.75" hidden="1">
      <c r="C831" s="649">
        <v>45839</v>
      </c>
      <c r="D831" s="870">
        <v>337618</v>
      </c>
      <c r="E831" s="870">
        <v>30478</v>
      </c>
      <c r="F831" s="871">
        <v>23858.87</v>
      </c>
      <c r="G831" s="872">
        <v>4927</v>
      </c>
      <c r="H831" s="873">
        <v>2042</v>
      </c>
      <c r="I831" s="889">
        <v>138050</v>
      </c>
      <c r="J831" s="873">
        <v>170343</v>
      </c>
      <c r="K831" s="873">
        <v>44492.97</v>
      </c>
      <c r="L831" s="873">
        <v>12548</v>
      </c>
      <c r="M831" s="873">
        <v>350543</v>
      </c>
      <c r="N831" s="873">
        <v>7622</v>
      </c>
      <c r="O831" s="870">
        <v>4795</v>
      </c>
      <c r="P831" s="870">
        <v>0</v>
      </c>
      <c r="Q831" s="337">
        <v>0</v>
      </c>
      <c r="R831" s="919">
        <f xml:space="preserve"> IF(C831&lt; DATE(2024, 11, 1), D831 * (2.31 / 100), D831 * (2.925 / 100))+E831*E$6+F831*F$6+G831*G$6+H831*H$6+I831*I$6+J831*J$6+K831*K$6+L831*L$6+M831*M$6+N831*N$6+O831*O$6+P831*P$6+Q831*Q$6</f>
        <v>142138.86299999998</v>
      </c>
      <c r="S831" s="878">
        <v>7.7350225260302388</v>
      </c>
      <c r="T831" s="878">
        <v>0.44255699999999998</v>
      </c>
      <c r="U831" s="879">
        <v>3.4079575927305102E-3</v>
      </c>
      <c r="V831" s="880">
        <v>2.5000000000000001E-2</v>
      </c>
      <c r="W831" s="878">
        <v>0.26449</v>
      </c>
      <c r="X831" s="881">
        <v>12.37857</v>
      </c>
      <c r="Y831" s="878">
        <v>10.56</v>
      </c>
      <c r="Z831" s="882">
        <v>0</v>
      </c>
      <c r="AA831" s="882">
        <v>0</v>
      </c>
      <c r="AB831" s="882">
        <v>0</v>
      </c>
      <c r="AC831" s="883">
        <v>0.19510288916513518</v>
      </c>
      <c r="AD831" s="883">
        <v>6.776215003950195E-2</v>
      </c>
      <c r="AE831" s="883">
        <v>0</v>
      </c>
      <c r="AF831" s="878">
        <v>13.49259656743509</v>
      </c>
      <c r="AG831" s="920">
        <f xml:space="preserve"> IF(C831&lt; DATE(2024, 11, 1), S831 * (2.31 / 100), S831 * (2.925 / 100))+T831*T$6+U831*U$6+V831*V$6+W831*W$6+X831*X$6+Y831*Y$6+Z831*Z$6+AA831*AA$6+AB831*AB$6+AC831*AC$6+AD831*AD$6+AE831*AE$6+AF831*AF$6</f>
        <v>8.1887369634892266</v>
      </c>
      <c r="AH831" s="888">
        <f>IF($AK$1&gt;=C831,(YEAR(C831)*100+MONTH(C831)),0)</f>
        <v>202507</v>
      </c>
      <c r="AJ831" s="262" t="s">
        <v>2065</v>
      </c>
      <c r="AK831" s="262"/>
      <c r="AL831" s="262"/>
    </row>
    <row r="832" spans="3:38" ht="15.75" hidden="1">
      <c r="C832" s="649">
        <v>45840</v>
      </c>
      <c r="D832" s="874">
        <v>331057</v>
      </c>
      <c r="E832" s="874">
        <v>31044</v>
      </c>
      <c r="F832" s="875">
        <v>24345.1</v>
      </c>
      <c r="G832" s="876">
        <v>5153</v>
      </c>
      <c r="H832" s="877">
        <v>2070</v>
      </c>
      <c r="I832" s="889">
        <v>138050</v>
      </c>
      <c r="J832" s="877">
        <v>169163</v>
      </c>
      <c r="K832" s="877">
        <v>50510.48</v>
      </c>
      <c r="L832" s="877">
        <v>12240</v>
      </c>
      <c r="M832" s="877">
        <v>364406</v>
      </c>
      <c r="N832" s="877">
        <v>7594</v>
      </c>
      <c r="O832" s="874">
        <v>4687</v>
      </c>
      <c r="P832" s="874">
        <v>0</v>
      </c>
      <c r="Q832" s="337">
        <v>0</v>
      </c>
      <c r="R832" s="919">
        <f xml:space="preserve"> IF(C832&lt; DATE(2024, 11, 1), D832 * (2.31 / 100), D832 * (2.925 / 100))+E832*E$6+F832*F$6+G832*G$6+H832*H$6+I832*I$6+J832*J$6+K832*K$6+L832*L$6+M832*M$6+N832*N$6+O832*O$6+P832*P$6+Q832*Q$6</f>
        <v>144212.64724999998</v>
      </c>
      <c r="S832" s="884">
        <v>7.6237374237923587</v>
      </c>
      <c r="T832" s="884">
        <v>0.44201800000000002</v>
      </c>
      <c r="U832" s="879">
        <v>3.4079575927305102E-3</v>
      </c>
      <c r="V832" s="885">
        <v>2.5999999999999999E-2</v>
      </c>
      <c r="W832" s="884">
        <v>0.28372000000000003</v>
      </c>
      <c r="X832" s="881">
        <v>12.37857</v>
      </c>
      <c r="Y832" s="884">
        <v>10.51</v>
      </c>
      <c r="Z832" s="882">
        <v>0</v>
      </c>
      <c r="AA832" s="882">
        <v>0</v>
      </c>
      <c r="AB832" s="882">
        <v>0</v>
      </c>
      <c r="AC832" s="886">
        <v>0.19708506655868518</v>
      </c>
      <c r="AD832" s="886">
        <v>6.5525121266781255E-2</v>
      </c>
      <c r="AE832" s="886">
        <v>0</v>
      </c>
      <c r="AF832" s="884">
        <v>13.503470226279706</v>
      </c>
      <c r="AG832" s="920">
        <f xml:space="preserve"> IF(C832&lt; DATE(2024, 11, 1), S832 * (2.31 / 100), S832 * (2.925 / 100))+T832*T$6+U832*U$6+V832*V$6+W832*W$6+X832*X$6+Y832*Y$6+Z832*Z$6+AA832*AA$6+AB832*AB$6+AC832*AC$6+AD832*AD$6+AE832*AE$6+AF832*AF$6</f>
        <v>8.1932380942565555</v>
      </c>
      <c r="AH832" s="888">
        <f>IF($AK$1&gt;=C832,(YEAR(C832)*100+MONTH(C832)),0)</f>
        <v>202507</v>
      </c>
      <c r="AJ832" s="262" t="s">
        <v>2066</v>
      </c>
      <c r="AK832" s="262"/>
      <c r="AL832" s="262"/>
    </row>
    <row r="833" spans="3:38" ht="15.75" hidden="1">
      <c r="C833" s="649">
        <v>45841</v>
      </c>
      <c r="D833" s="870">
        <v>323213</v>
      </c>
      <c r="E833" s="870">
        <v>30774</v>
      </c>
      <c r="F833" s="871">
        <v>24516.62</v>
      </c>
      <c r="G833" s="872">
        <v>5018</v>
      </c>
      <c r="H833" s="873">
        <v>1928</v>
      </c>
      <c r="I833" s="889">
        <v>138050</v>
      </c>
      <c r="J833" s="873">
        <v>167611</v>
      </c>
      <c r="K833" s="873">
        <v>51784.59</v>
      </c>
      <c r="L833" s="873">
        <v>10955</v>
      </c>
      <c r="M833" s="873">
        <v>363385</v>
      </c>
      <c r="N833" s="873">
        <v>7863</v>
      </c>
      <c r="O833" s="870">
        <v>4725</v>
      </c>
      <c r="P833" s="870">
        <v>0</v>
      </c>
      <c r="Q833" s="337">
        <v>0</v>
      </c>
      <c r="R833" s="919">
        <f t="shared" ref="R833:R896" si="49" xml:space="preserve"> IF(C833&lt; DATE(2024, 11, 1), D833 * (2.31 / 100), D833 * (2.925 / 100))+E833*E$6+F833*F$6+G833*G$6+H833*H$6+I833*I$6+J833*J$6+K833*K$6+L833*L$6+M833*M$6+N833*N$6+O833*O$6+P833*P$6+Q833*Q$6</f>
        <v>143429.82550000001</v>
      </c>
      <c r="S833" s="878">
        <v>7.8647135612082222</v>
      </c>
      <c r="T833" s="878">
        <v>0.44353599999999999</v>
      </c>
      <c r="U833" s="879">
        <v>3.4079575927305102E-3</v>
      </c>
      <c r="V833" s="880">
        <v>2.4E-2</v>
      </c>
      <c r="W833" s="878">
        <v>0.23583999999999999</v>
      </c>
      <c r="X833" s="881">
        <v>12.37857</v>
      </c>
      <c r="Y833" s="878">
        <v>10.59</v>
      </c>
      <c r="Z833" s="882">
        <v>0</v>
      </c>
      <c r="AA833" s="882">
        <v>0</v>
      </c>
      <c r="AB833" s="882">
        <v>0</v>
      </c>
      <c r="AC833" s="883">
        <v>0.20019991674854948</v>
      </c>
      <c r="AD833" s="883">
        <v>6.7309080920976247E-2</v>
      </c>
      <c r="AE833" s="883">
        <v>0</v>
      </c>
      <c r="AF833" s="878">
        <v>13.975653198243224</v>
      </c>
      <c r="AG833" s="920">
        <f t="shared" ref="AG833:AG896" si="50" xml:space="preserve"> IF(C833&lt; DATE(2024, 11, 1), S833 * (2.31 / 100), S833 * (2.925 / 100))+T833*T$6+U833*U$6+V833*V$6+W833*W$6+X833*X$6+Y833*Y$6+Z833*Z$6+AA833*AA$6+AB833*AB$6+AC833*AC$6+AD833*AD$6+AE833*AE$6+AF833*AF$6</f>
        <v>8.2539438288923304</v>
      </c>
      <c r="AH833" s="888">
        <f t="shared" ref="AH833:AH896" si="51">IF($AK$1&gt;=C833,(YEAR(C833)*100+MONTH(C833)),0)</f>
        <v>202507</v>
      </c>
      <c r="AJ833" s="262" t="s">
        <v>2067</v>
      </c>
      <c r="AK833" s="262"/>
      <c r="AL833" s="262"/>
    </row>
    <row r="834" spans="3:38" ht="15.75" hidden="1">
      <c r="C834" s="649">
        <v>45842</v>
      </c>
      <c r="D834" s="874">
        <v>322599</v>
      </c>
      <c r="E834" s="874">
        <v>31126</v>
      </c>
      <c r="F834" s="875">
        <v>24475</v>
      </c>
      <c r="G834" s="876">
        <v>4916</v>
      </c>
      <c r="H834" s="877">
        <v>2107</v>
      </c>
      <c r="I834" s="889">
        <v>135650</v>
      </c>
      <c r="J834" s="877">
        <v>166190</v>
      </c>
      <c r="K834" s="877">
        <v>51159.61</v>
      </c>
      <c r="L834" s="877">
        <v>11285</v>
      </c>
      <c r="M834" s="877">
        <v>362328</v>
      </c>
      <c r="N834" s="877">
        <v>7708</v>
      </c>
      <c r="O834" s="874">
        <v>4800</v>
      </c>
      <c r="P834" s="874">
        <v>0</v>
      </c>
      <c r="Q834" s="337">
        <v>0</v>
      </c>
      <c r="R834" s="919">
        <f t="shared" si="49"/>
        <v>142650.34950000001</v>
      </c>
      <c r="S834" s="884">
        <v>7.9400363021631204</v>
      </c>
      <c r="T834" s="884">
        <v>0.44294499999999998</v>
      </c>
      <c r="U834" s="879">
        <v>3.4079575927305102E-3</v>
      </c>
      <c r="V834" s="885">
        <v>2.5000000000000001E-2</v>
      </c>
      <c r="W834" s="884">
        <v>0.25956000000000001</v>
      </c>
      <c r="X834" s="881">
        <v>12.37857</v>
      </c>
      <c r="Y834" s="884">
        <v>10.66</v>
      </c>
      <c r="Z834" s="882">
        <v>0</v>
      </c>
      <c r="AA834" s="882">
        <v>0</v>
      </c>
      <c r="AB834" s="882">
        <v>0</v>
      </c>
      <c r="AC834" s="886">
        <v>0.20388110333657089</v>
      </c>
      <c r="AD834" s="886">
        <v>6.7337397740884111E-2</v>
      </c>
      <c r="AE834" s="886">
        <v>0</v>
      </c>
      <c r="AF834" s="884">
        <v>14.549153751837052</v>
      </c>
      <c r="AG834" s="920">
        <f t="shared" si="50"/>
        <v>8.3963188004288583</v>
      </c>
      <c r="AH834" s="888">
        <f t="shared" si="51"/>
        <v>202507</v>
      </c>
      <c r="AJ834" s="262" t="s">
        <v>2068</v>
      </c>
      <c r="AK834" s="262"/>
      <c r="AL834" s="262"/>
    </row>
    <row r="835" spans="3:38" ht="15.75" hidden="1">
      <c r="C835" s="649">
        <v>45843</v>
      </c>
      <c r="D835" s="870">
        <v>319603</v>
      </c>
      <c r="E835" s="870">
        <v>30786</v>
      </c>
      <c r="F835" s="871">
        <v>24481.61</v>
      </c>
      <c r="G835" s="872">
        <v>4972</v>
      </c>
      <c r="H835" s="873">
        <v>2122</v>
      </c>
      <c r="I835" s="889">
        <v>135650</v>
      </c>
      <c r="J835" s="873">
        <v>167269</v>
      </c>
      <c r="K835" s="873">
        <v>50358.91</v>
      </c>
      <c r="L835" s="873">
        <v>14442</v>
      </c>
      <c r="M835" s="873">
        <v>400850</v>
      </c>
      <c r="N835" s="873">
        <v>7720</v>
      </c>
      <c r="O835" s="870">
        <v>5006</v>
      </c>
      <c r="P835" s="870">
        <v>0</v>
      </c>
      <c r="Q835" s="337">
        <v>0</v>
      </c>
      <c r="R835" s="919">
        <f t="shared" si="49"/>
        <v>144985.13475000003</v>
      </c>
      <c r="S835" s="878">
        <v>8.2894658598260751</v>
      </c>
      <c r="T835" s="878">
        <v>0.44208199999999997</v>
      </c>
      <c r="U835" s="879">
        <v>3.4079575927305102E-3</v>
      </c>
      <c r="V835" s="880">
        <v>2.5999999999999999E-2</v>
      </c>
      <c r="W835" s="878">
        <v>0.27300999999999997</v>
      </c>
      <c r="X835" s="881">
        <v>12.37857</v>
      </c>
      <c r="Y835" s="878">
        <v>10.77</v>
      </c>
      <c r="Z835" s="882">
        <v>0</v>
      </c>
      <c r="AA835" s="882">
        <v>0</v>
      </c>
      <c r="AB835" s="882">
        <v>0</v>
      </c>
      <c r="AC835" s="883">
        <v>0.19850090755407804</v>
      </c>
      <c r="AD835" s="883">
        <v>6.2240370157469832E-2</v>
      </c>
      <c r="AE835" s="883">
        <v>0</v>
      </c>
      <c r="AF835" s="878">
        <v>14.540517121765157</v>
      </c>
      <c r="AG835" s="920">
        <f t="shared" si="50"/>
        <v>8.4447577453088378</v>
      </c>
      <c r="AH835" s="888">
        <f t="shared" si="51"/>
        <v>202507</v>
      </c>
      <c r="AJ835" s="262" t="s">
        <v>2068</v>
      </c>
      <c r="AK835" s="262"/>
      <c r="AL835" s="262"/>
    </row>
    <row r="836" spans="3:38" ht="15.75" hidden="1">
      <c r="C836" s="649">
        <v>45844</v>
      </c>
      <c r="D836" s="874">
        <v>322562</v>
      </c>
      <c r="E836" s="874">
        <v>30748</v>
      </c>
      <c r="F836" s="875">
        <v>24517.820000000003</v>
      </c>
      <c r="G836" s="876">
        <v>4922</v>
      </c>
      <c r="H836" s="877">
        <v>1882</v>
      </c>
      <c r="I836" s="889">
        <v>135650</v>
      </c>
      <c r="J836" s="877">
        <v>169403</v>
      </c>
      <c r="K836" s="877">
        <v>50222.85</v>
      </c>
      <c r="L836" s="877">
        <v>11418</v>
      </c>
      <c r="M836" s="877">
        <v>391861</v>
      </c>
      <c r="N836" s="877">
        <v>7531</v>
      </c>
      <c r="O836" s="874">
        <v>4884</v>
      </c>
      <c r="P836" s="874">
        <v>0</v>
      </c>
      <c r="Q836" s="337">
        <v>0</v>
      </c>
      <c r="R836" s="919">
        <f t="shared" si="49"/>
        <v>144183.9075</v>
      </c>
      <c r="S836" s="884">
        <v>8.2175411372601257</v>
      </c>
      <c r="T836" s="884">
        <v>0.43922499999999998</v>
      </c>
      <c r="U836" s="879">
        <v>3.4079575927305102E-3</v>
      </c>
      <c r="V836" s="885">
        <v>2.5000000000000001E-2</v>
      </c>
      <c r="W836" s="884">
        <v>0.22184999999999999</v>
      </c>
      <c r="X836" s="881">
        <v>12.37857</v>
      </c>
      <c r="Y836" s="884">
        <v>10.82</v>
      </c>
      <c r="Z836" s="882">
        <v>0</v>
      </c>
      <c r="AA836" s="882">
        <v>0</v>
      </c>
      <c r="AB836" s="882">
        <v>0</v>
      </c>
      <c r="AC836" s="886">
        <v>0.20048308494762804</v>
      </c>
      <c r="AD836" s="886">
        <v>6.6431259503832676E-2</v>
      </c>
      <c r="AE836" s="886">
        <v>0</v>
      </c>
      <c r="AF836" s="884">
        <v>14.528227621925145</v>
      </c>
      <c r="AG836" s="920">
        <f t="shared" si="50"/>
        <v>8.4030277374528168</v>
      </c>
      <c r="AH836" s="888">
        <f t="shared" si="51"/>
        <v>202507</v>
      </c>
      <c r="AJ836" s="262" t="s">
        <v>2069</v>
      </c>
      <c r="AK836" s="262"/>
      <c r="AL836" s="262"/>
    </row>
    <row r="837" spans="3:38" ht="15.75" hidden="1">
      <c r="C837" s="649">
        <v>45845</v>
      </c>
      <c r="D837" s="870">
        <v>322172</v>
      </c>
      <c r="E837" s="870">
        <v>30258</v>
      </c>
      <c r="F837" s="871">
        <v>19831.07</v>
      </c>
      <c r="G837" s="872">
        <v>4760</v>
      </c>
      <c r="H837" s="873">
        <v>2142</v>
      </c>
      <c r="I837" s="889">
        <v>135650</v>
      </c>
      <c r="J837" s="873">
        <v>169555</v>
      </c>
      <c r="K837" s="873">
        <v>48081.120000000003</v>
      </c>
      <c r="L837" s="873">
        <v>10953</v>
      </c>
      <c r="M837" s="873">
        <v>348836</v>
      </c>
      <c r="N837" s="873">
        <v>7299</v>
      </c>
      <c r="O837" s="870">
        <v>4862</v>
      </c>
      <c r="P837" s="870">
        <v>0</v>
      </c>
      <c r="Q837" s="751"/>
      <c r="R837" s="919">
        <f t="shared" si="49"/>
        <v>138575.06125</v>
      </c>
      <c r="S837" s="878">
        <v>8.4936301313617282</v>
      </c>
      <c r="T837" s="878">
        <v>0.43949199999999999</v>
      </c>
      <c r="U837" s="879">
        <v>3.4079575927305102E-3</v>
      </c>
      <c r="V837" s="880">
        <v>2.5000000000000001E-2</v>
      </c>
      <c r="W837" s="878">
        <v>0.27327999999999997</v>
      </c>
      <c r="X837" s="881">
        <v>12.37857</v>
      </c>
      <c r="Y837" s="878">
        <v>10.79</v>
      </c>
      <c r="Z837" s="882">
        <v>0</v>
      </c>
      <c r="AA837" s="882">
        <v>0</v>
      </c>
      <c r="AB837" s="882">
        <v>0</v>
      </c>
      <c r="AC837" s="883">
        <v>0.19566922556329233</v>
      </c>
      <c r="AD837" s="883">
        <v>7.1131851608536953E-2</v>
      </c>
      <c r="AE837" s="883">
        <v>0</v>
      </c>
      <c r="AF837" s="878">
        <v>14.532871580390037</v>
      </c>
      <c r="AG837" s="920">
        <f t="shared" si="50"/>
        <v>8.4569456157789258</v>
      </c>
      <c r="AH837" s="888">
        <f t="shared" si="51"/>
        <v>202507</v>
      </c>
      <c r="AJ837" s="262" t="s">
        <v>2070</v>
      </c>
      <c r="AK837" s="262"/>
      <c r="AL837" s="262"/>
    </row>
    <row r="838" spans="3:38" ht="15.75" hidden="1">
      <c r="C838" s="649">
        <v>45846</v>
      </c>
      <c r="D838" s="874">
        <v>323441</v>
      </c>
      <c r="E838" s="874">
        <v>30321</v>
      </c>
      <c r="F838" s="875">
        <v>13298.22</v>
      </c>
      <c r="G838" s="876">
        <v>4682</v>
      </c>
      <c r="H838" s="877">
        <v>1788</v>
      </c>
      <c r="I838" s="889">
        <v>135650</v>
      </c>
      <c r="J838" s="877">
        <v>167716</v>
      </c>
      <c r="K838" s="877">
        <v>48209.52</v>
      </c>
      <c r="L838" s="877">
        <v>11575</v>
      </c>
      <c r="M838" s="877">
        <v>379451</v>
      </c>
      <c r="N838" s="877">
        <v>7305</v>
      </c>
      <c r="O838" s="874">
        <v>4794</v>
      </c>
      <c r="P838" s="874">
        <v>0</v>
      </c>
      <c r="Q838" s="751"/>
      <c r="R838" s="919">
        <f t="shared" si="49"/>
        <v>134565.272</v>
      </c>
      <c r="S838" s="884">
        <v>8.153828292467443</v>
      </c>
      <c r="T838" s="884">
        <v>0.436529</v>
      </c>
      <c r="U838" s="879">
        <v>3.4079575927305102E-3</v>
      </c>
      <c r="V838" s="885">
        <v>2.4E-2</v>
      </c>
      <c r="W838" s="884">
        <v>0.12789</v>
      </c>
      <c r="X838" s="881">
        <v>12.37857</v>
      </c>
      <c r="Y838" s="884">
        <v>10.88</v>
      </c>
      <c r="Z838" s="882">
        <v>0</v>
      </c>
      <c r="AA838" s="882">
        <v>0</v>
      </c>
      <c r="AB838" s="882">
        <v>0</v>
      </c>
      <c r="AC838" s="886">
        <v>0.2047306079338066</v>
      </c>
      <c r="AD838" s="886">
        <v>7.5889077353056944E-2</v>
      </c>
      <c r="AE838" s="886">
        <v>0</v>
      </c>
      <c r="AF838" s="884">
        <v>14.673804393071441</v>
      </c>
      <c r="AG838" s="920">
        <f t="shared" si="50"/>
        <v>8.3505746225056718</v>
      </c>
      <c r="AH838" s="888">
        <f t="shared" si="51"/>
        <v>202507</v>
      </c>
      <c r="AJ838" s="262" t="s">
        <v>2071</v>
      </c>
      <c r="AK838" s="262"/>
      <c r="AL838" s="262"/>
    </row>
    <row r="839" spans="3:38" ht="15.75" hidden="1">
      <c r="C839" s="649">
        <v>45847</v>
      </c>
      <c r="D839" s="870">
        <v>321896</v>
      </c>
      <c r="E839" s="870">
        <v>30497</v>
      </c>
      <c r="F839" s="871">
        <v>24514.720000000001</v>
      </c>
      <c r="G839" s="872">
        <v>4214</v>
      </c>
      <c r="H839" s="873">
        <v>1796</v>
      </c>
      <c r="I839" s="889">
        <v>135650</v>
      </c>
      <c r="J839" s="873">
        <v>167421</v>
      </c>
      <c r="K839" s="873">
        <v>48491.18</v>
      </c>
      <c r="L839" s="873">
        <v>11591</v>
      </c>
      <c r="M839" s="873">
        <v>430970</v>
      </c>
      <c r="N839" s="873">
        <v>7308</v>
      </c>
      <c r="O839" s="870">
        <v>4657</v>
      </c>
      <c r="P839" s="870">
        <v>0</v>
      </c>
      <c r="Q839" s="751"/>
      <c r="R839" s="919">
        <f t="shared" si="49"/>
        <v>144197.01574999999</v>
      </c>
      <c r="S839" s="878">
        <v>8.9254616349565481</v>
      </c>
      <c r="T839" s="878">
        <v>0.44082500000000002</v>
      </c>
      <c r="U839" s="879">
        <v>3.4079575927305102E-3</v>
      </c>
      <c r="V839" s="880">
        <v>2.5000000000000001E-2</v>
      </c>
      <c r="W839" s="878">
        <v>0.15502000000000002</v>
      </c>
      <c r="X839" s="881">
        <v>12.37857</v>
      </c>
      <c r="Y839" s="878">
        <v>10.76</v>
      </c>
      <c r="Z839" s="882">
        <v>0</v>
      </c>
      <c r="AA839" s="882">
        <v>0</v>
      </c>
      <c r="AB839" s="882">
        <v>0</v>
      </c>
      <c r="AC839" s="883">
        <v>0.20048308494762804</v>
      </c>
      <c r="AD839" s="883">
        <v>7.2037989845588374E-2</v>
      </c>
      <c r="AE839" s="883">
        <v>0</v>
      </c>
      <c r="AF839" s="878">
        <v>14.673889343531162</v>
      </c>
      <c r="AG839" s="920">
        <f t="shared" si="50"/>
        <v>8.3687415968201631</v>
      </c>
      <c r="AH839" s="888">
        <f t="shared" si="51"/>
        <v>202507</v>
      </c>
      <c r="AJ839" s="262" t="s">
        <v>2072</v>
      </c>
      <c r="AK839" s="262"/>
      <c r="AL839" s="262"/>
    </row>
    <row r="840" spans="3:38" ht="15.75" hidden="1">
      <c r="C840" s="649">
        <v>45848</v>
      </c>
      <c r="D840" s="874">
        <v>331008</v>
      </c>
      <c r="E840" s="874">
        <v>30623</v>
      </c>
      <c r="F840" s="875">
        <v>24416.02</v>
      </c>
      <c r="G840" s="876">
        <v>4519</v>
      </c>
      <c r="H840" s="877">
        <v>2140</v>
      </c>
      <c r="I840" s="889">
        <v>135650</v>
      </c>
      <c r="J840" s="877">
        <v>160524</v>
      </c>
      <c r="K840" s="877">
        <v>49185.22</v>
      </c>
      <c r="L840" s="877">
        <v>12189</v>
      </c>
      <c r="M840" s="877">
        <v>430510</v>
      </c>
      <c r="N840" s="877">
        <v>6995</v>
      </c>
      <c r="O840" s="874">
        <v>4829</v>
      </c>
      <c r="P840" s="874">
        <v>0</v>
      </c>
      <c r="Q840" s="337">
        <v>0</v>
      </c>
      <c r="R840" s="919">
        <f t="shared" si="49"/>
        <v>143465.49924999999</v>
      </c>
      <c r="S840" s="884">
        <v>9.2411941769291506</v>
      </c>
      <c r="T840" s="884">
        <v>0.449604</v>
      </c>
      <c r="U840" s="879">
        <v>3.4079575927305102E-3</v>
      </c>
      <c r="V840" s="885">
        <v>2.5999999999999999E-2</v>
      </c>
      <c r="W840" s="884">
        <v>0.28660000000000002</v>
      </c>
      <c r="X840" s="881">
        <v>12.37857</v>
      </c>
      <c r="Y840" s="884">
        <v>10.73</v>
      </c>
      <c r="Z840" s="882">
        <v>0</v>
      </c>
      <c r="AA840" s="882">
        <v>0</v>
      </c>
      <c r="AB840" s="882">
        <v>0</v>
      </c>
      <c r="AC840" s="886">
        <v>0.1928375435725066</v>
      </c>
      <c r="AD840" s="886">
        <v>6.6884328622358394E-2</v>
      </c>
      <c r="AE840" s="886">
        <v>0</v>
      </c>
      <c r="AF840" s="884">
        <v>14.673181423033466</v>
      </c>
      <c r="AG840" s="920">
        <f t="shared" si="50"/>
        <v>8.5016042831476977</v>
      </c>
      <c r="AH840" s="888">
        <f t="shared" si="51"/>
        <v>202507</v>
      </c>
      <c r="AJ840" s="262" t="s">
        <v>2073</v>
      </c>
      <c r="AK840" s="262"/>
      <c r="AL840" s="262"/>
    </row>
    <row r="841" spans="3:38" ht="15.75" hidden="1">
      <c r="C841" s="649">
        <v>45849</v>
      </c>
      <c r="D841" s="870">
        <v>335732</v>
      </c>
      <c r="E841" s="870">
        <v>31044</v>
      </c>
      <c r="F841" s="871">
        <v>24382.329999999998</v>
      </c>
      <c r="G841" s="872">
        <v>4574</v>
      </c>
      <c r="H841" s="873">
        <v>2119</v>
      </c>
      <c r="I841" s="889">
        <v>135548</v>
      </c>
      <c r="J841" s="873">
        <v>166580</v>
      </c>
      <c r="K841" s="873">
        <v>50950.12</v>
      </c>
      <c r="L841" s="873">
        <v>11330</v>
      </c>
      <c r="M841" s="873">
        <v>423218</v>
      </c>
      <c r="N841" s="873">
        <v>7300</v>
      </c>
      <c r="O841" s="870">
        <v>5081</v>
      </c>
      <c r="P841" s="870">
        <v>0</v>
      </c>
      <c r="Q841" s="337">
        <v>0</v>
      </c>
      <c r="R841" s="919">
        <f t="shared" si="49"/>
        <v>145331.0845</v>
      </c>
      <c r="S841" s="878">
        <v>9.2029664700535498</v>
      </c>
      <c r="T841" s="878">
        <v>0.445272</v>
      </c>
      <c r="U841" s="879">
        <v>3.4079575927305102E-3</v>
      </c>
      <c r="V841" s="880">
        <v>2.5999999999999999E-2</v>
      </c>
      <c r="W841" s="878">
        <v>0.27582999999999996</v>
      </c>
      <c r="X841" s="881">
        <v>12.37857</v>
      </c>
      <c r="Y841" s="878">
        <v>10.72</v>
      </c>
      <c r="Z841" s="882">
        <v>0</v>
      </c>
      <c r="AA841" s="882">
        <v>0</v>
      </c>
      <c r="AB841" s="882">
        <v>0</v>
      </c>
      <c r="AC841" s="883">
        <v>0.19708506655868518</v>
      </c>
      <c r="AD841" s="883">
        <v>7.2037989845588374E-2</v>
      </c>
      <c r="AE841" s="883">
        <v>0</v>
      </c>
      <c r="AF841" s="878">
        <v>14.672020433417245</v>
      </c>
      <c r="AG841" s="920">
        <f t="shared" si="50"/>
        <v>8.4882778065046018</v>
      </c>
      <c r="AH841" s="888">
        <f t="shared" si="51"/>
        <v>202507</v>
      </c>
      <c r="AJ841" s="262" t="s">
        <v>2073</v>
      </c>
      <c r="AK841" s="262"/>
      <c r="AL841" s="262"/>
    </row>
    <row r="842" spans="3:38" ht="15.75" hidden="1">
      <c r="C842" s="649">
        <v>45850</v>
      </c>
      <c r="D842" s="874">
        <v>310494</v>
      </c>
      <c r="E842" s="874">
        <v>30774</v>
      </c>
      <c r="F842" s="875">
        <v>24373.25</v>
      </c>
      <c r="G842" s="876">
        <v>4579</v>
      </c>
      <c r="H842" s="877">
        <v>2085</v>
      </c>
      <c r="I842" s="889">
        <v>135548</v>
      </c>
      <c r="J842" s="877">
        <v>163676</v>
      </c>
      <c r="K842" s="877">
        <v>50678.49</v>
      </c>
      <c r="L842" s="877">
        <v>12163</v>
      </c>
      <c r="M842" s="877">
        <v>392818</v>
      </c>
      <c r="N842" s="877">
        <v>7347</v>
      </c>
      <c r="O842" s="874">
        <v>4849</v>
      </c>
      <c r="P842" s="874">
        <v>0</v>
      </c>
      <c r="Q842" s="337">
        <v>0</v>
      </c>
      <c r="R842" s="919">
        <f t="shared" si="49"/>
        <v>142556.50075000001</v>
      </c>
      <c r="S842" s="884">
        <v>9.8958790531988061</v>
      </c>
      <c r="T842" s="884">
        <v>0.44567699999999999</v>
      </c>
      <c r="U842" s="879">
        <v>3.4079575927305102E-3</v>
      </c>
      <c r="V842" s="885">
        <v>2.8000000000000001E-2</v>
      </c>
      <c r="W842" s="884">
        <v>0.27359</v>
      </c>
      <c r="X842" s="881">
        <v>12.37857</v>
      </c>
      <c r="Y842" s="884">
        <v>11.05</v>
      </c>
      <c r="Z842" s="882">
        <v>0</v>
      </c>
      <c r="AA842" s="882">
        <v>0</v>
      </c>
      <c r="AB842" s="882">
        <v>0</v>
      </c>
      <c r="AC842" s="886">
        <v>0.20727912172551374</v>
      </c>
      <c r="AD842" s="886">
        <v>7.2660959883561221E-2</v>
      </c>
      <c r="AE842" s="886">
        <v>0</v>
      </c>
      <c r="AF842" s="884">
        <v>14.307271476184138</v>
      </c>
      <c r="AG842" s="920">
        <f t="shared" si="50"/>
        <v>8.5325780609155117</v>
      </c>
      <c r="AH842" s="888">
        <f t="shared" si="51"/>
        <v>202507</v>
      </c>
      <c r="AJ842" s="262" t="s">
        <v>2074</v>
      </c>
      <c r="AK842" s="262"/>
      <c r="AL842" s="262"/>
    </row>
    <row r="843" spans="3:38" ht="15.75" hidden="1">
      <c r="C843" s="649">
        <v>45851</v>
      </c>
      <c r="D843" s="870">
        <v>309836</v>
      </c>
      <c r="E843" s="870">
        <v>31151</v>
      </c>
      <c r="F843" s="871">
        <v>24327.43</v>
      </c>
      <c r="G843" s="872">
        <v>4672</v>
      </c>
      <c r="H843" s="873">
        <v>2113</v>
      </c>
      <c r="I843" s="889">
        <v>135548</v>
      </c>
      <c r="J843" s="873">
        <v>164803</v>
      </c>
      <c r="K843" s="873">
        <v>49966.37</v>
      </c>
      <c r="L843" s="873">
        <v>12152</v>
      </c>
      <c r="M843" s="873">
        <v>432039</v>
      </c>
      <c r="N843" s="873">
        <v>7347</v>
      </c>
      <c r="O843" s="870">
        <v>4872</v>
      </c>
      <c r="P843" s="870">
        <v>0</v>
      </c>
      <c r="Q843" s="337">
        <v>0</v>
      </c>
      <c r="R843" s="919">
        <f t="shared" si="49"/>
        <v>144371.84650000001</v>
      </c>
      <c r="S843" s="878">
        <v>10.30392442807103</v>
      </c>
      <c r="T843" s="878">
        <v>0.43739</v>
      </c>
      <c r="U843" s="879">
        <v>3.4079575927305102E-3</v>
      </c>
      <c r="V843" s="880">
        <v>2.9000000000000001E-2</v>
      </c>
      <c r="W843" s="878">
        <v>0.27350999999999998</v>
      </c>
      <c r="X843" s="881">
        <v>12.37857</v>
      </c>
      <c r="Y843" s="878">
        <v>11.01</v>
      </c>
      <c r="Z843" s="882">
        <v>0</v>
      </c>
      <c r="AA843" s="882">
        <v>0</v>
      </c>
      <c r="AB843" s="882">
        <v>0</v>
      </c>
      <c r="AC843" s="883">
        <v>0.20926129911906372</v>
      </c>
      <c r="AD843" s="883">
        <v>7.2632643063653371E-2</v>
      </c>
      <c r="AE843" s="883">
        <v>0</v>
      </c>
      <c r="AF843" s="878">
        <v>14.733467932617295</v>
      </c>
      <c r="AG843" s="920">
        <f t="shared" si="50"/>
        <v>8.6049560085094861</v>
      </c>
      <c r="AH843" s="888">
        <f t="shared" si="51"/>
        <v>202507</v>
      </c>
      <c r="AJ843" s="262" t="s">
        <v>2075</v>
      </c>
      <c r="AK843" s="262"/>
      <c r="AL843" s="262"/>
    </row>
    <row r="844" spans="3:38" ht="15.75" hidden="1">
      <c r="C844" s="649">
        <v>45852</v>
      </c>
      <c r="D844" s="874">
        <v>307145</v>
      </c>
      <c r="E844" s="874">
        <v>31352</v>
      </c>
      <c r="F844" s="875">
        <v>24334.14</v>
      </c>
      <c r="G844" s="876">
        <v>4604</v>
      </c>
      <c r="H844" s="877">
        <v>2164</v>
      </c>
      <c r="I844" s="889">
        <v>135548</v>
      </c>
      <c r="J844" s="877">
        <v>165474</v>
      </c>
      <c r="K844" s="877">
        <v>48924.74</v>
      </c>
      <c r="L844" s="877">
        <v>12243</v>
      </c>
      <c r="M844" s="877">
        <v>442608</v>
      </c>
      <c r="N844" s="877">
        <v>7220</v>
      </c>
      <c r="O844" s="874">
        <v>4961</v>
      </c>
      <c r="P844" s="874">
        <v>0</v>
      </c>
      <c r="Q844" s="337">
        <v>0</v>
      </c>
      <c r="R844" s="919">
        <f t="shared" si="49"/>
        <v>144749.49800000002</v>
      </c>
      <c r="S844" s="884">
        <v>10.532441164727437</v>
      </c>
      <c r="T844" s="884">
        <v>0.43481999999999998</v>
      </c>
      <c r="U844" s="879">
        <v>3.4079575927305102E-3</v>
      </c>
      <c r="V844" s="885">
        <v>2.8000000000000001E-2</v>
      </c>
      <c r="W844" s="884">
        <v>0.27288999999999997</v>
      </c>
      <c r="X844" s="881">
        <v>12.37857</v>
      </c>
      <c r="Y844" s="884">
        <v>10.81</v>
      </c>
      <c r="Z844" s="882">
        <v>0</v>
      </c>
      <c r="AA844" s="882">
        <v>0</v>
      </c>
      <c r="AB844" s="882">
        <v>0</v>
      </c>
      <c r="AC844" s="886">
        <v>0.1987840757531566</v>
      </c>
      <c r="AD844" s="886">
        <v>7.3680365400244086E-2</v>
      </c>
      <c r="AE844" s="886">
        <v>0</v>
      </c>
      <c r="AF844" s="884">
        <v>14.680373895290062</v>
      </c>
      <c r="AG844" s="920">
        <f t="shared" si="50"/>
        <v>8.5480668310754453</v>
      </c>
      <c r="AH844" s="888">
        <f t="shared" si="51"/>
        <v>202507</v>
      </c>
      <c r="AJ844" s="262" t="s">
        <v>2076</v>
      </c>
      <c r="AK844" s="262"/>
      <c r="AL844" s="262"/>
    </row>
    <row r="845" spans="3:38" ht="15.75" hidden="1">
      <c r="C845" s="649">
        <v>45853</v>
      </c>
      <c r="D845" s="870">
        <v>325269</v>
      </c>
      <c r="E845" s="870">
        <v>32717</v>
      </c>
      <c r="F845" s="871">
        <v>24259.47</v>
      </c>
      <c r="G845" s="872">
        <v>4561</v>
      </c>
      <c r="H845" s="873">
        <v>2156</v>
      </c>
      <c r="I845" s="889">
        <v>135548</v>
      </c>
      <c r="J845" s="873">
        <v>168216</v>
      </c>
      <c r="K845" s="873">
        <v>48563.87</v>
      </c>
      <c r="L845" s="873">
        <v>10502</v>
      </c>
      <c r="M845" s="873">
        <v>445133</v>
      </c>
      <c r="N845" s="873">
        <v>7413</v>
      </c>
      <c r="O845" s="870">
        <v>4045</v>
      </c>
      <c r="P845" s="870">
        <v>0</v>
      </c>
      <c r="Q845" s="337">
        <v>0</v>
      </c>
      <c r="R845" s="919">
        <f t="shared" si="49"/>
        <v>145524.92225</v>
      </c>
      <c r="S845" s="878">
        <v>10.708005448156145</v>
      </c>
      <c r="T845" s="878">
        <v>0.43240400000000001</v>
      </c>
      <c r="U845" s="879">
        <v>3.4079575927305102E-3</v>
      </c>
      <c r="V845" s="880">
        <v>2.9000000000000001E-2</v>
      </c>
      <c r="W845" s="878">
        <v>0.27329000000000003</v>
      </c>
      <c r="X845" s="881">
        <v>12.37857</v>
      </c>
      <c r="Y845" s="878">
        <v>10.86</v>
      </c>
      <c r="Z845" s="882">
        <v>0</v>
      </c>
      <c r="AA845" s="882">
        <v>0</v>
      </c>
      <c r="AB845" s="882">
        <v>0</v>
      </c>
      <c r="AC845" s="883">
        <v>0.23049891404995654</v>
      </c>
      <c r="AD845" s="883">
        <v>7.3425514021073376E-2</v>
      </c>
      <c r="AE845" s="883">
        <v>0</v>
      </c>
      <c r="AF845" s="878">
        <v>14.683120626821124</v>
      </c>
      <c r="AG845" s="920">
        <f t="shared" si="50"/>
        <v>8.570303402386994</v>
      </c>
      <c r="AH845" s="888">
        <f t="shared" si="51"/>
        <v>202507</v>
      </c>
      <c r="AJ845" s="262" t="s">
        <v>2077</v>
      </c>
      <c r="AK845" s="262"/>
      <c r="AL845" s="262"/>
    </row>
    <row r="846" spans="3:38" ht="15.75" hidden="1">
      <c r="C846" s="649">
        <v>45854</v>
      </c>
      <c r="D846" s="874">
        <v>325859</v>
      </c>
      <c r="E846" s="874">
        <v>31157</v>
      </c>
      <c r="F846" s="875">
        <v>24200.57</v>
      </c>
      <c r="G846" s="876">
        <v>4539</v>
      </c>
      <c r="H846" s="877">
        <v>2106</v>
      </c>
      <c r="I846" s="889">
        <v>135548</v>
      </c>
      <c r="J846" s="877">
        <v>167640</v>
      </c>
      <c r="K846" s="877">
        <v>46330.71</v>
      </c>
      <c r="L846" s="877">
        <v>11332</v>
      </c>
      <c r="M846" s="877">
        <v>443906</v>
      </c>
      <c r="N846" s="877">
        <v>7397</v>
      </c>
      <c r="O846" s="874">
        <v>5681</v>
      </c>
      <c r="P846" s="874">
        <v>0</v>
      </c>
      <c r="Q846" s="337">
        <v>0</v>
      </c>
      <c r="R846" s="919">
        <f t="shared" si="49"/>
        <v>145114.49725000001</v>
      </c>
      <c r="S846" s="884">
        <v>10.477789702305268</v>
      </c>
      <c r="T846" s="884">
        <v>0.43285000000000001</v>
      </c>
      <c r="U846" s="879">
        <v>3.4079575927305102E-3</v>
      </c>
      <c r="V846" s="885">
        <v>2.9000000000000001E-2</v>
      </c>
      <c r="W846" s="884">
        <v>0.27233999999999997</v>
      </c>
      <c r="X846" s="881">
        <v>12.37857</v>
      </c>
      <c r="Y846" s="884">
        <v>10.8</v>
      </c>
      <c r="Z846" s="882">
        <v>0</v>
      </c>
      <c r="AA846" s="882">
        <v>0</v>
      </c>
      <c r="AB846" s="882">
        <v>0</v>
      </c>
      <c r="AC846" s="886">
        <v>0.20982763551722086</v>
      </c>
      <c r="AD846" s="886">
        <v>7.900392754292121E-2</v>
      </c>
      <c r="AE846" s="886">
        <v>0</v>
      </c>
      <c r="AF846" s="884">
        <v>14.700280619685286</v>
      </c>
      <c r="AG846" s="920">
        <f t="shared" si="50"/>
        <v>8.5500147353779017</v>
      </c>
      <c r="AH846" s="888">
        <f t="shared" si="51"/>
        <v>202507</v>
      </c>
      <c r="AJ846" s="262" t="s">
        <v>2078</v>
      </c>
      <c r="AK846" s="262"/>
      <c r="AL846" s="262"/>
    </row>
    <row r="847" spans="3:38" ht="15.75" hidden="1">
      <c r="C847" s="649">
        <v>45855</v>
      </c>
      <c r="D847" s="870">
        <v>332001</v>
      </c>
      <c r="E847" s="870">
        <v>28736</v>
      </c>
      <c r="F847" s="871">
        <v>24188.959999999999</v>
      </c>
      <c r="G847" s="872">
        <v>4587</v>
      </c>
      <c r="H847" s="873">
        <v>2107</v>
      </c>
      <c r="I847" s="889">
        <v>135548</v>
      </c>
      <c r="J847" s="873">
        <v>165435</v>
      </c>
      <c r="K847" s="873">
        <v>46251.41</v>
      </c>
      <c r="L847" s="873">
        <v>14117</v>
      </c>
      <c r="M847" s="873">
        <v>452526</v>
      </c>
      <c r="N847" s="873">
        <v>7405</v>
      </c>
      <c r="O847" s="870">
        <v>4909</v>
      </c>
      <c r="P847" s="870">
        <v>0</v>
      </c>
      <c r="Q847" s="337">
        <v>0</v>
      </c>
      <c r="R847" s="919">
        <f t="shared" si="49"/>
        <v>144772.99000000002</v>
      </c>
      <c r="S847" s="878">
        <v>10.324312538404687</v>
      </c>
      <c r="T847" s="878">
        <v>0.43325799999999998</v>
      </c>
      <c r="U847" s="879">
        <v>3.4079575927305102E-3</v>
      </c>
      <c r="V847" s="880">
        <v>2.9000000000000001E-2</v>
      </c>
      <c r="W847" s="878">
        <v>0.27168000000000003</v>
      </c>
      <c r="X847" s="881">
        <v>12.37857</v>
      </c>
      <c r="Y847" s="878">
        <v>10.83</v>
      </c>
      <c r="Z847" s="882">
        <v>0</v>
      </c>
      <c r="AA847" s="882">
        <v>0</v>
      </c>
      <c r="AB847" s="882">
        <v>0</v>
      </c>
      <c r="AC847" s="883">
        <v>0.2075622899245923</v>
      </c>
      <c r="AD847" s="883">
        <v>8.3704519647625486E-2</v>
      </c>
      <c r="AE847" s="883">
        <v>0</v>
      </c>
      <c r="AF847" s="878">
        <v>14.699855867386667</v>
      </c>
      <c r="AG847" s="920">
        <f t="shared" si="50"/>
        <v>8.5543345292697364</v>
      </c>
      <c r="AH847" s="888">
        <f t="shared" si="51"/>
        <v>202507</v>
      </c>
      <c r="AJ847" s="262" t="s">
        <v>2081</v>
      </c>
      <c r="AK847" s="262"/>
      <c r="AL847" s="262"/>
    </row>
    <row r="848" spans="3:38" ht="15.75" hidden="1">
      <c r="C848" s="649">
        <v>45856</v>
      </c>
      <c r="D848" s="874">
        <v>307077</v>
      </c>
      <c r="E848" s="874">
        <v>31535</v>
      </c>
      <c r="F848" s="875">
        <v>24159.690000000002</v>
      </c>
      <c r="G848" s="876">
        <v>4607</v>
      </c>
      <c r="H848" s="877">
        <v>2112</v>
      </c>
      <c r="I848" s="889">
        <v>132217</v>
      </c>
      <c r="J848" s="877">
        <v>168162</v>
      </c>
      <c r="K848" s="877">
        <v>45298.58</v>
      </c>
      <c r="L848" s="877">
        <v>3702</v>
      </c>
      <c r="M848" s="877">
        <v>440177</v>
      </c>
      <c r="N848" s="877">
        <v>7407</v>
      </c>
      <c r="O848" s="874">
        <v>5004</v>
      </c>
      <c r="P848" s="874">
        <v>0</v>
      </c>
      <c r="Q848" s="337">
        <v>0</v>
      </c>
      <c r="R848" s="919">
        <f t="shared" si="49"/>
        <v>141630.45775</v>
      </c>
      <c r="S848" s="884">
        <v>11.073292424967507</v>
      </c>
      <c r="T848" s="884">
        <v>0.433558</v>
      </c>
      <c r="U848" s="879">
        <v>3.4079575927305102E-3</v>
      </c>
      <c r="V848" s="885">
        <v>2.9000000000000001E-2</v>
      </c>
      <c r="W848" s="884">
        <v>0.27076999999999996</v>
      </c>
      <c r="X848" s="881">
        <v>12.37857</v>
      </c>
      <c r="Y848" s="884">
        <v>11.1</v>
      </c>
      <c r="Z848" s="882">
        <v>0</v>
      </c>
      <c r="AA848" s="882">
        <v>0</v>
      </c>
      <c r="AB848" s="882">
        <v>0</v>
      </c>
      <c r="AC848" s="886">
        <v>0.20926129911906372</v>
      </c>
      <c r="AD848" s="886">
        <v>9.0387289145879762E-2</v>
      </c>
      <c r="AE848" s="886">
        <v>0</v>
      </c>
      <c r="AF848" s="884">
        <v>14.659107963539263</v>
      </c>
      <c r="AG848" s="920">
        <f t="shared" si="50"/>
        <v>8.6415460461083349</v>
      </c>
      <c r="AH848" s="888">
        <f t="shared" si="51"/>
        <v>202507</v>
      </c>
      <c r="AJ848" s="931" t="s">
        <v>2079</v>
      </c>
      <c r="AK848" s="262"/>
      <c r="AL848" s="262"/>
    </row>
    <row r="849" spans="3:38" ht="15.75" hidden="1">
      <c r="C849" s="649">
        <v>45857</v>
      </c>
      <c r="D849" s="870">
        <v>352582</v>
      </c>
      <c r="E849" s="870">
        <v>31478</v>
      </c>
      <c r="F849" s="871">
        <v>24176.16</v>
      </c>
      <c r="G849" s="872">
        <v>4591</v>
      </c>
      <c r="H849" s="873">
        <v>2103</v>
      </c>
      <c r="I849" s="889">
        <v>132217</v>
      </c>
      <c r="J849" s="873">
        <v>168520</v>
      </c>
      <c r="K849" s="873">
        <v>44741.24</v>
      </c>
      <c r="L849" s="873">
        <v>9138</v>
      </c>
      <c r="M849" s="873">
        <v>451135</v>
      </c>
      <c r="N849" s="873">
        <v>7412</v>
      </c>
      <c r="O849" s="870">
        <v>4897</v>
      </c>
      <c r="P849" s="870">
        <v>0</v>
      </c>
      <c r="Q849" s="337">
        <v>0</v>
      </c>
      <c r="R849" s="919">
        <f t="shared" si="49"/>
        <v>144601.86800000002</v>
      </c>
      <c r="S849" s="878">
        <v>12.017375200695463</v>
      </c>
      <c r="T849" s="878">
        <v>0.437967</v>
      </c>
      <c r="U849" s="879">
        <v>3.4079575927305102E-3</v>
      </c>
      <c r="V849" s="880">
        <v>0.03</v>
      </c>
      <c r="W849" s="878">
        <v>0.27109</v>
      </c>
      <c r="X849" s="881">
        <v>12.37857</v>
      </c>
      <c r="Y849" s="878">
        <v>11.06</v>
      </c>
      <c r="Z849" s="882">
        <v>0</v>
      </c>
      <c r="AA849" s="882">
        <v>0</v>
      </c>
      <c r="AB849" s="882">
        <v>0</v>
      </c>
      <c r="AC849" s="883">
        <v>0.20586328073012086</v>
      </c>
      <c r="AD849" s="883">
        <v>8.684768665739763E-2</v>
      </c>
      <c r="AE849" s="883">
        <v>0</v>
      </c>
      <c r="AF849" s="878">
        <v>14.143798474856078</v>
      </c>
      <c r="AG849" s="920">
        <f t="shared" si="50"/>
        <v>8.5713786612040614</v>
      </c>
      <c r="AH849" s="888">
        <f t="shared" si="51"/>
        <v>202507</v>
      </c>
      <c r="AJ849" s="262" t="s">
        <v>2080</v>
      </c>
      <c r="AK849" s="262"/>
      <c r="AL849" s="262"/>
    </row>
    <row r="850" spans="3:38" ht="15.75" hidden="1">
      <c r="C850" s="1025">
        <v>45858</v>
      </c>
      <c r="D850" s="874">
        <v>343772</v>
      </c>
      <c r="E850" s="874">
        <v>31629</v>
      </c>
      <c r="F850" s="875">
        <v>24199.600000000002</v>
      </c>
      <c r="G850" s="876">
        <v>4548</v>
      </c>
      <c r="H850" s="877">
        <v>2120</v>
      </c>
      <c r="I850" s="889">
        <v>132217</v>
      </c>
      <c r="J850" s="877">
        <v>169575</v>
      </c>
      <c r="K850" s="877">
        <v>46868.09</v>
      </c>
      <c r="L850" s="877">
        <v>14020</v>
      </c>
      <c r="M850" s="877">
        <v>450583</v>
      </c>
      <c r="N850" s="877">
        <v>7411</v>
      </c>
      <c r="O850" s="874">
        <v>5015</v>
      </c>
      <c r="P850" s="874">
        <v>0</v>
      </c>
      <c r="Q850" s="337">
        <v>0</v>
      </c>
      <c r="R850" s="919">
        <f t="shared" si="49"/>
        <v>146405.65849999999</v>
      </c>
      <c r="S850" s="884">
        <v>9.9072057811619487</v>
      </c>
      <c r="T850" s="884">
        <v>0.43732300000000002</v>
      </c>
      <c r="U850" s="879">
        <v>3.4079575927305102E-3</v>
      </c>
      <c r="V850" s="885">
        <v>0.03</v>
      </c>
      <c r="W850" s="884">
        <v>0.27015</v>
      </c>
      <c r="X850" s="881">
        <v>12.37857</v>
      </c>
      <c r="Y850" s="884">
        <v>11.14</v>
      </c>
      <c r="Z850" s="882">
        <v>0</v>
      </c>
      <c r="AA850" s="882">
        <v>0</v>
      </c>
      <c r="AB850" s="882">
        <v>0</v>
      </c>
      <c r="AC850" s="886">
        <v>0.20781714130376303</v>
      </c>
      <c r="AD850" s="886">
        <v>8.3449668268454777E-2</v>
      </c>
      <c r="AE850" s="886">
        <v>0</v>
      </c>
      <c r="AF850" s="884">
        <v>14.662222813729127</v>
      </c>
      <c r="AG850" s="920">
        <f t="shared" si="50"/>
        <v>8.616330180598645</v>
      </c>
      <c r="AH850" s="888">
        <f t="shared" si="51"/>
        <v>202507</v>
      </c>
      <c r="AJ850" s="931" t="s">
        <v>2080</v>
      </c>
      <c r="AK850" s="262"/>
      <c r="AL850" s="262"/>
    </row>
    <row r="851" spans="3:38" ht="15.75" hidden="1">
      <c r="C851" s="649">
        <v>45859</v>
      </c>
      <c r="D851" s="870">
        <v>322428</v>
      </c>
      <c r="E851" s="870">
        <v>31421</v>
      </c>
      <c r="F851" s="871">
        <v>24122.58</v>
      </c>
      <c r="G851" s="872">
        <v>4550</v>
      </c>
      <c r="H851" s="873">
        <v>2083</v>
      </c>
      <c r="I851" s="889">
        <v>132217</v>
      </c>
      <c r="J851" s="873">
        <v>165499</v>
      </c>
      <c r="K851" s="873">
        <v>47078.080000000002</v>
      </c>
      <c r="L851" s="873">
        <v>12517</v>
      </c>
      <c r="M851" s="873">
        <v>441942</v>
      </c>
      <c r="N851" s="873">
        <v>7408</v>
      </c>
      <c r="O851" s="870">
        <v>5026</v>
      </c>
      <c r="P851" s="870">
        <v>0</v>
      </c>
      <c r="Q851" s="337">
        <v>0</v>
      </c>
      <c r="R851" s="919">
        <f t="shared" si="49"/>
        <v>143923.84124999997</v>
      </c>
      <c r="S851" s="878">
        <v>8.8014339637601342</v>
      </c>
      <c r="T851" s="878">
        <v>0.43159399999999998</v>
      </c>
      <c r="U851" s="879">
        <v>3.4079575927305102E-3</v>
      </c>
      <c r="V851" s="880">
        <v>0.03</v>
      </c>
      <c r="W851" s="878">
        <v>0.26935999999999999</v>
      </c>
      <c r="X851" s="881">
        <v>12.37857</v>
      </c>
      <c r="Y851" s="878">
        <v>10.97</v>
      </c>
      <c r="Z851" s="882">
        <v>0</v>
      </c>
      <c r="AA851" s="882">
        <v>0</v>
      </c>
      <c r="AB851" s="882">
        <v>0</v>
      </c>
      <c r="AC851" s="883">
        <v>0.20812862632274942</v>
      </c>
      <c r="AD851" s="883">
        <v>9.4040158913993324E-2</v>
      </c>
      <c r="AE851" s="883">
        <v>0</v>
      </c>
      <c r="AF851" s="878">
        <v>14.655058658292438</v>
      </c>
      <c r="AG851" s="920">
        <f t="shared" si="50"/>
        <v>8.5405020781257086</v>
      </c>
      <c r="AH851" s="888">
        <f t="shared" si="51"/>
        <v>202507</v>
      </c>
      <c r="AJ851" s="262" t="s">
        <v>2082</v>
      </c>
      <c r="AK851" s="262"/>
      <c r="AL851" s="262"/>
    </row>
    <row r="852" spans="3:38" ht="15.75" hidden="1">
      <c r="C852" s="649">
        <v>45860</v>
      </c>
      <c r="D852" s="874">
        <v>322224</v>
      </c>
      <c r="E852" s="874">
        <v>31503</v>
      </c>
      <c r="F852" s="875">
        <v>24132.95</v>
      </c>
      <c r="G852" s="876">
        <v>4609</v>
      </c>
      <c r="H852" s="877">
        <v>2124</v>
      </c>
      <c r="I852" s="889">
        <v>132217</v>
      </c>
      <c r="J852" s="877">
        <v>166465</v>
      </c>
      <c r="K852" s="877">
        <v>47997.82</v>
      </c>
      <c r="L852" s="877">
        <v>9244</v>
      </c>
      <c r="M852" s="877">
        <v>438128</v>
      </c>
      <c r="N852" s="877">
        <v>7406</v>
      </c>
      <c r="O852" s="874">
        <v>5089</v>
      </c>
      <c r="P852" s="874">
        <v>0</v>
      </c>
      <c r="Q852" s="337">
        <v>0</v>
      </c>
      <c r="R852" s="919">
        <f t="shared" si="49"/>
        <v>143581.677</v>
      </c>
      <c r="S852" s="884">
        <v>8.6122776067756508</v>
      </c>
      <c r="T852" s="884">
        <v>0.43734699999999999</v>
      </c>
      <c r="U852" s="879">
        <v>3.4079575927305102E-3</v>
      </c>
      <c r="V852" s="885">
        <v>3.1E-2</v>
      </c>
      <c r="W852" s="884">
        <v>0.26863999999999999</v>
      </c>
      <c r="X852" s="881">
        <v>12.37857</v>
      </c>
      <c r="Y852" s="884">
        <v>10.55</v>
      </c>
      <c r="Z852" s="882">
        <v>0</v>
      </c>
      <c r="AA852" s="882">
        <v>0</v>
      </c>
      <c r="AB852" s="882">
        <v>0</v>
      </c>
      <c r="AC852" s="886">
        <v>0.2075622899245923</v>
      </c>
      <c r="AD852" s="886">
        <v>9.2992436577402596E-2</v>
      </c>
      <c r="AE852" s="886">
        <v>0</v>
      </c>
      <c r="AF852" s="884">
        <v>14.639314506423668</v>
      </c>
      <c r="AG852" s="920">
        <f t="shared" si="50"/>
        <v>8.4239446729277887</v>
      </c>
      <c r="AH852" s="888">
        <f t="shared" si="51"/>
        <v>202507</v>
      </c>
      <c r="AJ852" s="262" t="s">
        <v>2083</v>
      </c>
      <c r="AK852" s="262"/>
      <c r="AL852" s="262"/>
    </row>
    <row r="853" spans="3:38" ht="15.75" hidden="1">
      <c r="C853" s="649">
        <v>45861</v>
      </c>
      <c r="D853" s="870">
        <v>325446</v>
      </c>
      <c r="E853" s="870">
        <v>31560</v>
      </c>
      <c r="F853" s="871">
        <v>24086.560000000001</v>
      </c>
      <c r="G853" s="872">
        <v>4535</v>
      </c>
      <c r="H853" s="873">
        <v>2161</v>
      </c>
      <c r="I853" s="889">
        <v>132217</v>
      </c>
      <c r="J853" s="873">
        <v>169323</v>
      </c>
      <c r="K853" s="873">
        <v>49334.96</v>
      </c>
      <c r="L853" s="873">
        <v>11678</v>
      </c>
      <c r="M853" s="873">
        <v>439930</v>
      </c>
      <c r="N853" s="873">
        <v>6835</v>
      </c>
      <c r="O853" s="870">
        <v>5168</v>
      </c>
      <c r="P853" s="870">
        <v>0</v>
      </c>
      <c r="Q853" s="337">
        <v>0</v>
      </c>
      <c r="R853" s="919">
        <f t="shared" si="49"/>
        <v>145364.27500000002</v>
      </c>
      <c r="S853" s="878">
        <v>8.3741331513505699</v>
      </c>
      <c r="T853" s="878">
        <v>0.43367299999999998</v>
      </c>
      <c r="U853" s="879">
        <v>3.4079575927305102E-3</v>
      </c>
      <c r="V853" s="880">
        <v>0.03</v>
      </c>
      <c r="W853" s="878">
        <v>0.26811000000000001</v>
      </c>
      <c r="X853" s="881">
        <v>12.37857</v>
      </c>
      <c r="Y853" s="878">
        <v>10.83</v>
      </c>
      <c r="Z853" s="882">
        <v>0</v>
      </c>
      <c r="AA853" s="882">
        <v>0</v>
      </c>
      <c r="AB853" s="882">
        <v>0</v>
      </c>
      <c r="AC853" s="883">
        <v>0.19397021636882089</v>
      </c>
      <c r="AD853" s="883">
        <v>8.0929471296655495E-2</v>
      </c>
      <c r="AE853" s="883">
        <v>0</v>
      </c>
      <c r="AF853" s="878">
        <v>14.637445596309751</v>
      </c>
      <c r="AG853" s="920">
        <f t="shared" si="50"/>
        <v>8.4811189386838066</v>
      </c>
      <c r="AH853" s="888">
        <f t="shared" si="51"/>
        <v>202507</v>
      </c>
      <c r="AJ853" s="262" t="s">
        <v>2084</v>
      </c>
      <c r="AK853" s="262"/>
      <c r="AL853" s="262"/>
    </row>
    <row r="854" spans="3:38" ht="15.75" hidden="1">
      <c r="C854" s="649">
        <v>45862</v>
      </c>
      <c r="D854" s="874">
        <v>318375</v>
      </c>
      <c r="E854" s="874">
        <v>31283</v>
      </c>
      <c r="F854" s="875">
        <v>24081.46</v>
      </c>
      <c r="G854" s="876">
        <v>4585</v>
      </c>
      <c r="H854" s="877">
        <v>2164</v>
      </c>
      <c r="I854" s="889">
        <v>132217</v>
      </c>
      <c r="J854" s="877">
        <v>170485</v>
      </c>
      <c r="K854" s="877">
        <v>47848.89</v>
      </c>
      <c r="L854" s="877">
        <v>11393</v>
      </c>
      <c r="M854" s="877">
        <v>450016</v>
      </c>
      <c r="N854" s="877">
        <v>7407</v>
      </c>
      <c r="O854" s="874">
        <v>4895</v>
      </c>
      <c r="P854" s="874">
        <v>0</v>
      </c>
      <c r="Q854" s="337">
        <v>0</v>
      </c>
      <c r="R854" s="919">
        <f t="shared" si="49"/>
        <v>145326.09449999998</v>
      </c>
      <c r="S854" s="884">
        <v>8.528742988047469</v>
      </c>
      <c r="T854" s="884">
        <v>0.43111899999999997</v>
      </c>
      <c r="U854" s="879">
        <v>3.4079575927305102E-3</v>
      </c>
      <c r="V854" s="885">
        <v>3.1E-2</v>
      </c>
      <c r="W854" s="884">
        <v>0.26822000000000001</v>
      </c>
      <c r="X854" s="881">
        <v>12.37857</v>
      </c>
      <c r="Y854" s="884">
        <v>10.96</v>
      </c>
      <c r="Z854" s="882">
        <v>0</v>
      </c>
      <c r="AA854" s="882">
        <v>0</v>
      </c>
      <c r="AB854" s="882">
        <v>0</v>
      </c>
      <c r="AC854" s="886">
        <v>0.20416427153564945</v>
      </c>
      <c r="AD854" s="886">
        <v>8.2345312292048348E-2</v>
      </c>
      <c r="AE854" s="886">
        <v>0</v>
      </c>
      <c r="AF854" s="884">
        <v>14.63891807094496</v>
      </c>
      <c r="AG854" s="920">
        <f t="shared" si="50"/>
        <v>8.5212996995616859</v>
      </c>
      <c r="AH854" s="888">
        <f t="shared" si="51"/>
        <v>202507</v>
      </c>
      <c r="AJ854" s="262" t="s">
        <v>2085</v>
      </c>
      <c r="AK854" s="262"/>
      <c r="AL854" s="262"/>
    </row>
    <row r="855" spans="3:38" ht="15.75" hidden="1">
      <c r="C855" s="649">
        <v>45863</v>
      </c>
      <c r="D855" s="870">
        <v>323447</v>
      </c>
      <c r="E855" s="870">
        <v>31428</v>
      </c>
      <c r="F855" s="871">
        <v>24058.89</v>
      </c>
      <c r="G855" s="872">
        <v>4534</v>
      </c>
      <c r="H855" s="873">
        <v>2115</v>
      </c>
      <c r="I855" s="889">
        <v>122172</v>
      </c>
      <c r="J855" s="873">
        <v>166737</v>
      </c>
      <c r="K855" s="873">
        <v>48681.06</v>
      </c>
      <c r="L855" s="873">
        <v>4270</v>
      </c>
      <c r="M855" s="873">
        <v>440798</v>
      </c>
      <c r="N855" s="873">
        <v>7206</v>
      </c>
      <c r="O855" s="870">
        <v>4829</v>
      </c>
      <c r="P855" s="870">
        <v>0</v>
      </c>
      <c r="Q855" s="337">
        <v>0</v>
      </c>
      <c r="R855" s="919">
        <f t="shared" si="49"/>
        <v>140512.21025</v>
      </c>
      <c r="S855" s="878">
        <v>8.3863093839109517</v>
      </c>
      <c r="T855" s="878">
        <v>0.433892</v>
      </c>
      <c r="U855" s="879">
        <v>3.4079575927305102E-3</v>
      </c>
      <c r="V855" s="880">
        <v>3.1E-2</v>
      </c>
      <c r="W855" s="878">
        <v>0.26752999999999999</v>
      </c>
      <c r="X855" s="881">
        <v>12.37857</v>
      </c>
      <c r="Y855" s="878">
        <v>10.96</v>
      </c>
      <c r="Z855" s="882">
        <v>0</v>
      </c>
      <c r="AA855" s="882">
        <v>0</v>
      </c>
      <c r="AB855" s="882">
        <v>0</v>
      </c>
      <c r="AC855" s="883">
        <v>0.19368704816974233</v>
      </c>
      <c r="AD855" s="883">
        <v>8.1382540415181212E-2</v>
      </c>
      <c r="AE855" s="883">
        <v>0</v>
      </c>
      <c r="AF855" s="878">
        <v>14.641664802476022</v>
      </c>
      <c r="AG855" s="920">
        <f t="shared" si="50"/>
        <v>8.5161215676799742</v>
      </c>
      <c r="AH855" s="888">
        <f t="shared" si="51"/>
        <v>202507</v>
      </c>
      <c r="AJ855" s="931" t="s">
        <v>2086</v>
      </c>
      <c r="AK855" s="262"/>
      <c r="AL855" s="262"/>
    </row>
    <row r="856" spans="3:38" ht="15.75" hidden="1">
      <c r="C856" s="649">
        <v>45864</v>
      </c>
      <c r="D856" s="874">
        <v>325625</v>
      </c>
      <c r="E856" s="874">
        <v>31616</v>
      </c>
      <c r="F856" s="875">
        <v>23967.88</v>
      </c>
      <c r="G856" s="876">
        <v>3925</v>
      </c>
      <c r="H856" s="877">
        <v>2056</v>
      </c>
      <c r="I856" s="889">
        <v>122172</v>
      </c>
      <c r="J856" s="877">
        <v>168005</v>
      </c>
      <c r="K856" s="877">
        <v>49270.51</v>
      </c>
      <c r="L856" s="877">
        <v>8304</v>
      </c>
      <c r="M856" s="877">
        <v>442776</v>
      </c>
      <c r="N856" s="877">
        <v>7195</v>
      </c>
      <c r="O856" s="874">
        <v>5018</v>
      </c>
      <c r="P856" s="874">
        <v>0</v>
      </c>
      <c r="Q856" s="337">
        <v>0</v>
      </c>
      <c r="R856" s="919">
        <f t="shared" si="49"/>
        <v>141803.22475000002</v>
      </c>
      <c r="S856" s="884">
        <v>8.4565350972824334</v>
      </c>
      <c r="T856" s="884">
        <v>0.43349199999999999</v>
      </c>
      <c r="U856" s="879">
        <v>3.4079575927305102E-3</v>
      </c>
      <c r="V856" s="885">
        <v>2.9000000000000001E-2</v>
      </c>
      <c r="W856" s="884">
        <v>0.26618999999999998</v>
      </c>
      <c r="X856" s="881">
        <v>12.37857</v>
      </c>
      <c r="Y856" s="884">
        <v>10.83</v>
      </c>
      <c r="Z856" s="882">
        <v>0</v>
      </c>
      <c r="AA856" s="882">
        <v>0</v>
      </c>
      <c r="AB856" s="882">
        <v>0</v>
      </c>
      <c r="AC856" s="886">
        <v>0.19623556196144945</v>
      </c>
      <c r="AD856" s="886">
        <v>8.0787887197116215E-2</v>
      </c>
      <c r="AE856" s="886">
        <v>0</v>
      </c>
      <c r="AF856" s="884">
        <v>14.642910742551969</v>
      </c>
      <c r="AG856" s="920">
        <f t="shared" si="50"/>
        <v>8.4821819548388646</v>
      </c>
      <c r="AH856" s="888">
        <f t="shared" si="51"/>
        <v>202507</v>
      </c>
      <c r="AJ856" s="262" t="s">
        <v>2087</v>
      </c>
      <c r="AK856" s="262"/>
      <c r="AL856" s="262"/>
    </row>
    <row r="857" spans="3:38" ht="15.75" hidden="1">
      <c r="C857" s="649">
        <v>45865</v>
      </c>
      <c r="D857" s="870">
        <v>330134</v>
      </c>
      <c r="E857" s="870">
        <v>31377</v>
      </c>
      <c r="F857" s="871">
        <v>23913.33</v>
      </c>
      <c r="G857" s="872">
        <v>4710</v>
      </c>
      <c r="H857" s="873">
        <v>2073</v>
      </c>
      <c r="I857" s="889">
        <v>122172</v>
      </c>
      <c r="J857" s="873">
        <v>164630</v>
      </c>
      <c r="K857" s="873">
        <v>48699.54</v>
      </c>
      <c r="L857" s="873">
        <v>11881</v>
      </c>
      <c r="M857" s="873">
        <v>443497</v>
      </c>
      <c r="N857" s="873">
        <v>7439</v>
      </c>
      <c r="O857" s="870">
        <v>4824</v>
      </c>
      <c r="P857" s="870">
        <v>0</v>
      </c>
      <c r="Q857" s="337">
        <v>0</v>
      </c>
      <c r="R857" s="919">
        <f t="shared" si="49"/>
        <v>142062.68675000002</v>
      </c>
      <c r="S857" s="878">
        <v>12.057585084964616</v>
      </c>
      <c r="T857" s="878">
        <v>0.432369</v>
      </c>
      <c r="U857" s="879">
        <v>3.4079575927305102E-3</v>
      </c>
      <c r="V857" s="880">
        <v>3.2000000000000001E-2</v>
      </c>
      <c r="W857" s="878">
        <v>0.26868000000000003</v>
      </c>
      <c r="X857" s="881">
        <v>12.37857</v>
      </c>
      <c r="Y857" s="878">
        <v>10.83</v>
      </c>
      <c r="Z857" s="882">
        <v>0</v>
      </c>
      <c r="AA857" s="882">
        <v>0</v>
      </c>
      <c r="AB857" s="882">
        <v>0</v>
      </c>
      <c r="AC857" s="883">
        <v>0.20926129911906372</v>
      </c>
      <c r="AD857" s="883">
        <v>9.7806295961738315E-2</v>
      </c>
      <c r="AE857" s="883">
        <v>0</v>
      </c>
      <c r="AF857" s="878">
        <v>14.64285410891215</v>
      </c>
      <c r="AG857" s="920">
        <f t="shared" si="50"/>
        <v>8.5994300238529853</v>
      </c>
      <c r="AH857" s="888">
        <f t="shared" si="51"/>
        <v>202507</v>
      </c>
      <c r="AJ857" s="262" t="s">
        <v>2088</v>
      </c>
      <c r="AK857" s="262"/>
      <c r="AL857" s="262"/>
    </row>
    <row r="858" spans="3:38" ht="15.75" hidden="1">
      <c r="C858" s="649">
        <v>45866</v>
      </c>
      <c r="D858" s="874">
        <v>343999</v>
      </c>
      <c r="E858" s="874">
        <v>31648</v>
      </c>
      <c r="F858" s="875">
        <v>23965.190000000002</v>
      </c>
      <c r="G858" s="876">
        <v>4649</v>
      </c>
      <c r="H858" s="877">
        <v>2061</v>
      </c>
      <c r="I858" s="889">
        <v>122172</v>
      </c>
      <c r="J858" s="877">
        <v>163514</v>
      </c>
      <c r="K858" s="877">
        <v>48987.13</v>
      </c>
      <c r="L858" s="877">
        <v>14703</v>
      </c>
      <c r="M858" s="877">
        <v>450006</v>
      </c>
      <c r="N858" s="877">
        <v>7387</v>
      </c>
      <c r="O858" s="874">
        <v>5090</v>
      </c>
      <c r="P858" s="874">
        <v>0</v>
      </c>
      <c r="Q858" s="337">
        <v>0</v>
      </c>
      <c r="R858" s="919">
        <f t="shared" si="49"/>
        <v>143358.79500000001</v>
      </c>
      <c r="S858" s="884">
        <v>12.635814547483056</v>
      </c>
      <c r="T858" s="884">
        <v>0.434643</v>
      </c>
      <c r="U858" s="879">
        <v>3.4079575927305102E-3</v>
      </c>
      <c r="V858" s="885">
        <v>3.2000000000000001E-2</v>
      </c>
      <c r="W858" s="884">
        <v>0.26716000000000001</v>
      </c>
      <c r="X858" s="881">
        <v>12.37857</v>
      </c>
      <c r="Y858" s="884">
        <v>10.93</v>
      </c>
      <c r="Z858" s="882">
        <v>0</v>
      </c>
      <c r="AA858" s="882">
        <v>0</v>
      </c>
      <c r="AB858" s="882">
        <v>0</v>
      </c>
      <c r="AC858" s="886">
        <v>0.21265931750800657</v>
      </c>
      <c r="AD858" s="886">
        <v>8.6762736197674051E-2</v>
      </c>
      <c r="AE858" s="886">
        <v>0</v>
      </c>
      <c r="AF858" s="884">
        <v>14.644100048988099</v>
      </c>
      <c r="AG858" s="920">
        <f t="shared" si="50"/>
        <v>8.6376053835617181</v>
      </c>
      <c r="AH858" s="888">
        <f t="shared" si="51"/>
        <v>202507</v>
      </c>
      <c r="AJ858" s="262" t="s">
        <v>2089</v>
      </c>
      <c r="AK858" s="262"/>
      <c r="AL858" s="262"/>
    </row>
    <row r="859" spans="3:38" ht="15.75" hidden="1">
      <c r="C859" s="649">
        <v>45867</v>
      </c>
      <c r="D859" s="870">
        <v>342355</v>
      </c>
      <c r="E859" s="870">
        <v>31459</v>
      </c>
      <c r="F859" s="871">
        <v>24012.25</v>
      </c>
      <c r="G859" s="872">
        <v>4680</v>
      </c>
      <c r="H859" s="873">
        <v>2117</v>
      </c>
      <c r="I859" s="889">
        <v>122172</v>
      </c>
      <c r="J859" s="873">
        <v>165783</v>
      </c>
      <c r="K859" s="873">
        <v>49431.02</v>
      </c>
      <c r="L859" s="873">
        <v>9304</v>
      </c>
      <c r="M859" s="873">
        <v>452651</v>
      </c>
      <c r="N859" s="873">
        <v>7410</v>
      </c>
      <c r="O859" s="870">
        <v>4827</v>
      </c>
      <c r="P859" s="870">
        <v>0</v>
      </c>
      <c r="Q859" s="337">
        <v>0</v>
      </c>
      <c r="R859" s="919">
        <f t="shared" si="49"/>
        <v>142765.65375</v>
      </c>
      <c r="S859" s="878">
        <v>9.890215689217241</v>
      </c>
      <c r="T859" s="878">
        <v>0.43298700000000001</v>
      </c>
      <c r="U859" s="879">
        <v>3.4079575927305102E-3</v>
      </c>
      <c r="V859" s="880">
        <v>3.2000000000000001E-2</v>
      </c>
      <c r="W859" s="878">
        <v>0.26935000000000003</v>
      </c>
      <c r="X859" s="881">
        <v>12.37857</v>
      </c>
      <c r="Y859" s="878">
        <v>10.87</v>
      </c>
      <c r="Z859" s="882">
        <v>0</v>
      </c>
      <c r="AA859" s="882">
        <v>0</v>
      </c>
      <c r="AB859" s="882">
        <v>0</v>
      </c>
      <c r="AC859" s="883">
        <v>0.20784545812367086</v>
      </c>
      <c r="AD859" s="883">
        <v>7.2037989845588374E-2</v>
      </c>
      <c r="AE859" s="883">
        <v>0</v>
      </c>
      <c r="AF859" s="878">
        <v>14.645091137684872</v>
      </c>
      <c r="AG859" s="920">
        <f t="shared" si="50"/>
        <v>8.5371885589627841</v>
      </c>
      <c r="AH859" s="888">
        <f t="shared" si="51"/>
        <v>202507</v>
      </c>
      <c r="AJ859" s="262" t="s">
        <v>2090</v>
      </c>
      <c r="AK859" s="262"/>
      <c r="AL859" s="262"/>
    </row>
    <row r="860" spans="3:38" ht="15.75" hidden="1">
      <c r="C860" s="649">
        <v>45868</v>
      </c>
      <c r="D860" s="874">
        <v>342780</v>
      </c>
      <c r="E860" s="874">
        <v>31591</v>
      </c>
      <c r="F860" s="875">
        <v>23982.519999999997</v>
      </c>
      <c r="G860" s="876">
        <v>4761</v>
      </c>
      <c r="H860" s="877">
        <v>2096</v>
      </c>
      <c r="I860" s="889">
        <v>122172</v>
      </c>
      <c r="J860" s="877">
        <v>165155</v>
      </c>
      <c r="K860" s="877">
        <v>49422.31</v>
      </c>
      <c r="L860" s="877">
        <v>12094</v>
      </c>
      <c r="M860" s="877">
        <v>447899</v>
      </c>
      <c r="N860" s="877">
        <v>7405</v>
      </c>
      <c r="O860" s="874">
        <v>4906</v>
      </c>
      <c r="P860" s="874">
        <v>0</v>
      </c>
      <c r="Q860" s="337">
        <v>0</v>
      </c>
      <c r="R860" s="919">
        <f t="shared" si="49"/>
        <v>143161.01399999997</v>
      </c>
      <c r="S860" s="884">
        <v>8.323729211914582</v>
      </c>
      <c r="T860" s="884">
        <v>0.20066300000000001</v>
      </c>
      <c r="U860" s="879">
        <v>3.4079575927305102E-3</v>
      </c>
      <c r="V860" s="885">
        <v>3.1E-2</v>
      </c>
      <c r="W860" s="884">
        <v>0.26859</v>
      </c>
      <c r="X860" s="881">
        <v>12.37857</v>
      </c>
      <c r="Y860" s="884">
        <v>10.71</v>
      </c>
      <c r="Z860" s="882">
        <v>0</v>
      </c>
      <c r="AA860" s="882">
        <v>0</v>
      </c>
      <c r="AB860" s="882">
        <v>0</v>
      </c>
      <c r="AC860" s="886">
        <v>0.20784545812367086</v>
      </c>
      <c r="AD860" s="886">
        <v>7.4331652258124797E-2</v>
      </c>
      <c r="AE860" s="886">
        <v>0</v>
      </c>
      <c r="AF860" s="884">
        <v>14.644751335845976</v>
      </c>
      <c r="AG860" s="920">
        <f t="shared" si="50"/>
        <v>8.3866410481540825</v>
      </c>
      <c r="AH860" s="888">
        <f t="shared" si="51"/>
        <v>202507</v>
      </c>
      <c r="AJ860" s="262" t="s">
        <v>2091</v>
      </c>
      <c r="AK860" s="262"/>
      <c r="AL860" s="262"/>
    </row>
    <row r="861" spans="3:38" ht="15" hidden="1" customHeight="1">
      <c r="C861" s="649">
        <v>45869</v>
      </c>
      <c r="D861" s="870">
        <v>330492</v>
      </c>
      <c r="E861" s="870">
        <v>31629</v>
      </c>
      <c r="F861" s="871">
        <v>23903.149999999998</v>
      </c>
      <c r="G861" s="872">
        <v>4902</v>
      </c>
      <c r="H861" s="873">
        <v>2073</v>
      </c>
      <c r="I861" s="889">
        <v>122172</v>
      </c>
      <c r="J861" s="873">
        <v>165230</v>
      </c>
      <c r="K861" s="873">
        <v>49617.82</v>
      </c>
      <c r="L861" s="873">
        <v>14340</v>
      </c>
      <c r="M861" s="873">
        <v>460630</v>
      </c>
      <c r="N861" s="873">
        <v>7382</v>
      </c>
      <c r="O861" s="870">
        <v>5140</v>
      </c>
      <c r="P861" s="870">
        <v>0</v>
      </c>
      <c r="Q861" s="337">
        <v>0</v>
      </c>
      <c r="R861" s="919">
        <f t="shared" si="49"/>
        <v>144014.32599999997</v>
      </c>
      <c r="S861" s="878">
        <v>9.3672040255191167</v>
      </c>
      <c r="T861" s="878">
        <v>0.43263000000000001</v>
      </c>
      <c r="U861" s="879">
        <v>3.4079575927305102E-3</v>
      </c>
      <c r="V861" s="880">
        <v>3.2000000000000001E-2</v>
      </c>
      <c r="W861" s="878">
        <v>0.26806999999999997</v>
      </c>
      <c r="X861" s="881">
        <v>12.37857</v>
      </c>
      <c r="Y861" s="878">
        <v>10.54</v>
      </c>
      <c r="Z861" s="882">
        <v>0</v>
      </c>
      <c r="AA861" s="882">
        <v>0</v>
      </c>
      <c r="AB861" s="882">
        <v>0</v>
      </c>
      <c r="AC861" s="883">
        <v>0.21605733589694942</v>
      </c>
      <c r="AD861" s="883">
        <v>7.3793632679875515E-2</v>
      </c>
      <c r="AE861" s="883">
        <v>0</v>
      </c>
      <c r="AF861" s="878">
        <v>14.66652697035512</v>
      </c>
      <c r="AG861" s="920">
        <f t="shared" si="50"/>
        <v>8.4399637330423296</v>
      </c>
      <c r="AH861" s="888">
        <f t="shared" si="51"/>
        <v>202507</v>
      </c>
      <c r="AJ861" s="262" t="s">
        <v>2091</v>
      </c>
      <c r="AK861" s="262"/>
      <c r="AL861" s="262"/>
    </row>
    <row r="862" spans="3:38" ht="15.75" hidden="1">
      <c r="C862" s="649">
        <v>45870</v>
      </c>
      <c r="D862" s="874">
        <v>330347</v>
      </c>
      <c r="E862" s="874">
        <v>31453</v>
      </c>
      <c r="F862" s="875">
        <v>23934.32</v>
      </c>
      <c r="G862" s="876">
        <v>5236</v>
      </c>
      <c r="H862" s="877">
        <v>2171</v>
      </c>
      <c r="I862" s="889">
        <v>0</v>
      </c>
      <c r="J862" s="877">
        <v>166065</v>
      </c>
      <c r="K862" s="877">
        <v>50309.77</v>
      </c>
      <c r="L862" s="877">
        <v>8872</v>
      </c>
      <c r="M862" s="877">
        <v>390684</v>
      </c>
      <c r="N862" s="877">
        <v>7402</v>
      </c>
      <c r="O862" s="874">
        <v>4967</v>
      </c>
      <c r="P862" s="874">
        <v>0</v>
      </c>
      <c r="Q862" s="337">
        <v>0</v>
      </c>
      <c r="R862" s="919">
        <f t="shared" si="49"/>
        <v>116021.07625000001</v>
      </c>
      <c r="S862" s="884">
        <v>11.699660481329303</v>
      </c>
      <c r="T862" s="884">
        <v>0.432863</v>
      </c>
      <c r="U862" s="879">
        <v>3.4079575927305102E-3</v>
      </c>
      <c r="V862" s="885">
        <v>3.1E-2</v>
      </c>
      <c r="W862" s="884">
        <v>0.29422999999999999</v>
      </c>
      <c r="X862" s="881">
        <v>0</v>
      </c>
      <c r="Y862" s="884">
        <v>10.8</v>
      </c>
      <c r="Z862" s="882">
        <v>0</v>
      </c>
      <c r="AA862" s="882">
        <v>0</v>
      </c>
      <c r="AB862" s="882">
        <v>0</v>
      </c>
      <c r="AC862" s="886">
        <v>0.21152664471169227</v>
      </c>
      <c r="AD862" s="886">
        <v>7.5605909153978371E-2</v>
      </c>
      <c r="AE862" s="886">
        <v>0</v>
      </c>
      <c r="AF862" s="884">
        <v>14.662421031468481</v>
      </c>
      <c r="AG862" s="920">
        <f t="shared" si="50"/>
        <v>6.1253255193233134</v>
      </c>
      <c r="AH862" s="888">
        <f t="shared" si="51"/>
        <v>202508</v>
      </c>
      <c r="AJ862" s="262" t="s">
        <v>2092</v>
      </c>
      <c r="AK862" s="262"/>
      <c r="AL862" s="262"/>
    </row>
    <row r="863" spans="3:38" ht="17.25" hidden="1" customHeight="1">
      <c r="C863" s="649">
        <v>45871</v>
      </c>
      <c r="D863" s="873">
        <v>310464</v>
      </c>
      <c r="E863" s="870">
        <v>31484</v>
      </c>
      <c r="F863" s="871">
        <v>23917.79</v>
      </c>
      <c r="G863" s="872">
        <v>5278</v>
      </c>
      <c r="H863" s="873">
        <v>2137</v>
      </c>
      <c r="I863" s="889">
        <v>0</v>
      </c>
      <c r="J863" s="873">
        <v>166317</v>
      </c>
      <c r="K863" s="873">
        <v>49592.59</v>
      </c>
      <c r="L863" s="873">
        <v>11394</v>
      </c>
      <c r="M863" s="873">
        <v>379802</v>
      </c>
      <c r="N863" s="873">
        <v>7402</v>
      </c>
      <c r="O863" s="870">
        <v>5152</v>
      </c>
      <c r="P863" s="870">
        <v>0</v>
      </c>
      <c r="Q863" s="337">
        <v>0</v>
      </c>
      <c r="R863" s="919">
        <f t="shared" si="49"/>
        <v>115556.675</v>
      </c>
      <c r="S863" s="878">
        <v>9.1712516317567498</v>
      </c>
      <c r="T863" s="878">
        <v>0.43354999999999999</v>
      </c>
      <c r="U863" s="879">
        <v>3.4079575927305102E-3</v>
      </c>
      <c r="V863" s="880">
        <v>3.1E-2</v>
      </c>
      <c r="W863" s="878">
        <v>0.29943000000000003</v>
      </c>
      <c r="X863" s="881">
        <v>0</v>
      </c>
      <c r="Y863" s="878">
        <v>10.8</v>
      </c>
      <c r="Z863" s="882">
        <v>0</v>
      </c>
      <c r="AA863" s="882">
        <v>0</v>
      </c>
      <c r="AB863" s="882">
        <v>0</v>
      </c>
      <c r="AC863" s="883">
        <v>0.21464149490155657</v>
      </c>
      <c r="AD863" s="883">
        <v>7.5605909153978371E-2</v>
      </c>
      <c r="AE863" s="883">
        <v>0</v>
      </c>
      <c r="AF863" s="878">
        <v>14.680515479389602</v>
      </c>
      <c r="AG863" s="920">
        <f t="shared" si="50"/>
        <v>6.060173740140792</v>
      </c>
      <c r="AH863" s="888">
        <f t="shared" si="51"/>
        <v>202508</v>
      </c>
      <c r="AJ863" s="262" t="s">
        <v>2093</v>
      </c>
      <c r="AK863" s="262"/>
      <c r="AL863" s="262"/>
    </row>
    <row r="864" spans="3:38" ht="15.75" hidden="1">
      <c r="C864" s="649">
        <v>45872</v>
      </c>
      <c r="D864" s="874">
        <v>307874</v>
      </c>
      <c r="E864" s="874">
        <v>31415</v>
      </c>
      <c r="F864" s="875">
        <v>23945.07</v>
      </c>
      <c r="G864" s="876">
        <v>5332</v>
      </c>
      <c r="H864" s="877">
        <v>2178</v>
      </c>
      <c r="I864" s="889">
        <v>0</v>
      </c>
      <c r="J864" s="877">
        <v>166651</v>
      </c>
      <c r="K864" s="877">
        <v>49933.53</v>
      </c>
      <c r="L864" s="877">
        <v>13067</v>
      </c>
      <c r="M864" s="877">
        <v>410720</v>
      </c>
      <c r="N864" s="877">
        <v>7594</v>
      </c>
      <c r="O864" s="874">
        <v>5029</v>
      </c>
      <c r="P864" s="874">
        <v>0</v>
      </c>
      <c r="Q864" s="337">
        <v>0</v>
      </c>
      <c r="R864" s="919">
        <f t="shared" si="49"/>
        <v>117333.70975000002</v>
      </c>
      <c r="S864" s="884">
        <v>9.0053150670967046</v>
      </c>
      <c r="T864" s="884">
        <v>0.43113499999999999</v>
      </c>
      <c r="U864" s="879">
        <v>3.4079575927305102E-3</v>
      </c>
      <c r="V864" s="885">
        <v>0.03</v>
      </c>
      <c r="W864" s="884">
        <v>0.29431999999999997</v>
      </c>
      <c r="X864" s="881">
        <v>0</v>
      </c>
      <c r="Y864" s="884">
        <v>10.78</v>
      </c>
      <c r="Z864" s="882">
        <v>0</v>
      </c>
      <c r="AA864" s="882">
        <v>0</v>
      </c>
      <c r="AB864" s="882">
        <v>0</v>
      </c>
      <c r="AC864" s="886">
        <v>0.21039397191537801</v>
      </c>
      <c r="AD864" s="886">
        <v>7.3652048580336235E-2</v>
      </c>
      <c r="AE864" s="886">
        <v>0</v>
      </c>
      <c r="AF864" s="884">
        <v>14.662421031468481</v>
      </c>
      <c r="AG864" s="920">
        <f t="shared" si="50"/>
        <v>6.0395332177199581</v>
      </c>
      <c r="AH864" s="888">
        <f t="shared" si="51"/>
        <v>202508</v>
      </c>
      <c r="AJ864" s="262" t="s">
        <v>2094</v>
      </c>
      <c r="AK864" s="262"/>
      <c r="AL864" s="262"/>
    </row>
    <row r="865" spans="3:38" ht="15.75" hidden="1">
      <c r="C865" s="649">
        <v>45873</v>
      </c>
      <c r="D865" s="870">
        <v>311013</v>
      </c>
      <c r="E865" s="870">
        <v>31302</v>
      </c>
      <c r="F865" s="871">
        <v>23862.429999999997</v>
      </c>
      <c r="G865" s="872">
        <v>5344</v>
      </c>
      <c r="H865" s="873">
        <v>2131</v>
      </c>
      <c r="I865" s="889">
        <v>0</v>
      </c>
      <c r="J865" s="873">
        <v>166585</v>
      </c>
      <c r="K865" s="873">
        <v>45766.91</v>
      </c>
      <c r="L865" s="873">
        <v>7060</v>
      </c>
      <c r="M865" s="873">
        <v>403996</v>
      </c>
      <c r="N865" s="873">
        <v>7248</v>
      </c>
      <c r="O865" s="870">
        <v>5046</v>
      </c>
      <c r="P865" s="870">
        <v>0</v>
      </c>
      <c r="Q865" s="337">
        <v>0</v>
      </c>
      <c r="R865" s="919">
        <f t="shared" si="49"/>
        <v>114487.94375000001</v>
      </c>
      <c r="S865" s="878">
        <v>9.2397783359337602</v>
      </c>
      <c r="T865" s="878">
        <v>0.37453599999999998</v>
      </c>
      <c r="U865" s="879">
        <v>3.4079575927305102E-3</v>
      </c>
      <c r="V865" s="880">
        <v>2.9000000000000001E-2</v>
      </c>
      <c r="W865" s="878">
        <v>0.28456999999999999</v>
      </c>
      <c r="X865" s="881">
        <v>0</v>
      </c>
      <c r="Y865" s="878">
        <v>3.31</v>
      </c>
      <c r="Z865" s="882">
        <v>0</v>
      </c>
      <c r="AA865" s="882">
        <v>0</v>
      </c>
      <c r="AB865" s="882">
        <v>0</v>
      </c>
      <c r="AC865" s="883">
        <v>0.21011080371629942</v>
      </c>
      <c r="AD865" s="883">
        <v>7.7984522026238359E-2</v>
      </c>
      <c r="AE865" s="883">
        <v>0</v>
      </c>
      <c r="AF865" s="878">
        <v>14.555581669956135</v>
      </c>
      <c r="AG865" s="920">
        <f t="shared" si="50"/>
        <v>4.0621986877528053</v>
      </c>
      <c r="AH865" s="888">
        <f t="shared" si="51"/>
        <v>202508</v>
      </c>
      <c r="AJ865" s="262" t="s">
        <v>2095</v>
      </c>
      <c r="AK865" s="262"/>
      <c r="AL865" s="262"/>
    </row>
    <row r="866" spans="3:38" ht="15.75" hidden="1">
      <c r="C866" s="649">
        <v>45874</v>
      </c>
      <c r="D866" s="874">
        <v>305593</v>
      </c>
      <c r="E866" s="874">
        <v>28044</v>
      </c>
      <c r="F866" s="875">
        <v>23922.84</v>
      </c>
      <c r="G866" s="876">
        <v>5321</v>
      </c>
      <c r="H866" s="877">
        <v>2217</v>
      </c>
      <c r="I866" s="889">
        <v>0</v>
      </c>
      <c r="J866" s="877">
        <v>167555</v>
      </c>
      <c r="K866" s="877">
        <v>47230.400000000001</v>
      </c>
      <c r="L866" s="877">
        <v>10316</v>
      </c>
      <c r="M866" s="877">
        <v>425174</v>
      </c>
      <c r="N866" s="877">
        <v>7138</v>
      </c>
      <c r="O866" s="874">
        <v>1500</v>
      </c>
      <c r="P866" s="874">
        <v>0</v>
      </c>
      <c r="Q866" s="337">
        <v>0</v>
      </c>
      <c r="R866" s="919">
        <f t="shared" si="49"/>
        <v>114386.73824999999</v>
      </c>
      <c r="S866" s="884">
        <v>9.4991604062897359</v>
      </c>
      <c r="T866" s="884">
        <v>0.43176999999999999</v>
      </c>
      <c r="U866" s="879">
        <v>3.4079575927305102E-3</v>
      </c>
      <c r="V866" s="885">
        <v>2.9000000000000001E-2</v>
      </c>
      <c r="W866" s="884">
        <v>0.27705000000000002</v>
      </c>
      <c r="X866" s="881">
        <v>0</v>
      </c>
      <c r="Y866" s="884">
        <v>2.95</v>
      </c>
      <c r="Z866" s="882">
        <v>0</v>
      </c>
      <c r="AA866" s="882">
        <v>0</v>
      </c>
      <c r="AB866" s="882">
        <v>0</v>
      </c>
      <c r="AC866" s="886">
        <v>0.20189892594302089</v>
      </c>
      <c r="AD866" s="886">
        <v>8.1071055396194774E-2</v>
      </c>
      <c r="AE866" s="886">
        <v>0</v>
      </c>
      <c r="AF866" s="884">
        <v>14.551305830150049</v>
      </c>
      <c r="AG866" s="920">
        <f t="shared" si="50"/>
        <v>3.9837232073366051</v>
      </c>
      <c r="AH866" s="888">
        <f t="shared" si="51"/>
        <v>202508</v>
      </c>
      <c r="AJ866" s="262" t="s">
        <v>2096</v>
      </c>
      <c r="AK866" s="262"/>
      <c r="AL866" s="262"/>
    </row>
    <row r="867" spans="3:38" ht="15.75" hidden="1">
      <c r="C867" s="649">
        <v>45875</v>
      </c>
      <c r="D867" s="870">
        <v>326872</v>
      </c>
      <c r="E867" s="870">
        <v>29013</v>
      </c>
      <c r="F867" s="871">
        <v>23891.120000000003</v>
      </c>
      <c r="G867" s="872">
        <v>5256</v>
      </c>
      <c r="H867" s="873">
        <v>2132</v>
      </c>
      <c r="I867" s="889">
        <v>0</v>
      </c>
      <c r="J867" s="873">
        <v>165905</v>
      </c>
      <c r="K867" s="873">
        <v>46584.66</v>
      </c>
      <c r="L867" s="873">
        <v>13779</v>
      </c>
      <c r="M867" s="873">
        <v>429029</v>
      </c>
      <c r="N867" s="873">
        <v>7604</v>
      </c>
      <c r="O867" s="870">
        <v>6725</v>
      </c>
      <c r="P867" s="870">
        <v>0</v>
      </c>
      <c r="Q867" s="337">
        <v>0</v>
      </c>
      <c r="R867" s="919">
        <f t="shared" si="49"/>
        <v>117671.54875000002</v>
      </c>
      <c r="S867" s="878">
        <v>9.114051655542875</v>
      </c>
      <c r="T867" s="878">
        <v>0.43079899999999999</v>
      </c>
      <c r="U867" s="879">
        <v>3.4079575927305102E-3</v>
      </c>
      <c r="V867" s="880">
        <v>2.9000000000000001E-2</v>
      </c>
      <c r="W867" s="878">
        <v>0.27454000000000001</v>
      </c>
      <c r="X867" s="881">
        <v>0</v>
      </c>
      <c r="Y867" s="878">
        <v>2.4900000000000002</v>
      </c>
      <c r="Z867" s="882">
        <v>0</v>
      </c>
      <c r="AA867" s="882">
        <v>0</v>
      </c>
      <c r="AB867" s="882">
        <v>0</v>
      </c>
      <c r="AC867" s="883">
        <v>0.20727912172551374</v>
      </c>
      <c r="AD867" s="883">
        <v>9.1378377842654748E-2</v>
      </c>
      <c r="AE867" s="883">
        <v>0</v>
      </c>
      <c r="AF867" s="878">
        <v>14.550371375093091</v>
      </c>
      <c r="AG867" s="920">
        <f t="shared" si="50"/>
        <v>3.8546424995322344</v>
      </c>
      <c r="AH867" s="888">
        <f t="shared" si="51"/>
        <v>202508</v>
      </c>
      <c r="AJ867" s="262" t="s">
        <v>2097</v>
      </c>
      <c r="AK867" s="262"/>
      <c r="AL867" s="262"/>
    </row>
    <row r="868" spans="3:38" ht="15.75" hidden="1">
      <c r="C868" s="649">
        <v>45876</v>
      </c>
      <c r="D868" s="874">
        <v>364173</v>
      </c>
      <c r="E868" s="874">
        <v>31270</v>
      </c>
      <c r="F868" s="875">
        <v>23859.25</v>
      </c>
      <c r="G868" s="876">
        <v>5221</v>
      </c>
      <c r="H868" s="877">
        <v>2122</v>
      </c>
      <c r="I868" s="889">
        <v>0</v>
      </c>
      <c r="J868" s="877">
        <v>165667</v>
      </c>
      <c r="K868" s="877">
        <v>49453.24</v>
      </c>
      <c r="L868" s="877">
        <v>15838</v>
      </c>
      <c r="M868" s="877">
        <v>429628</v>
      </c>
      <c r="N868" s="877">
        <v>7607</v>
      </c>
      <c r="O868" s="874">
        <v>6447</v>
      </c>
      <c r="P868" s="874">
        <v>0</v>
      </c>
      <c r="Q868" s="337">
        <v>0</v>
      </c>
      <c r="R868" s="919">
        <f t="shared" si="49"/>
        <v>120387.27274999999</v>
      </c>
      <c r="S868" s="884">
        <v>9.7979028563176271</v>
      </c>
      <c r="T868" s="884">
        <v>0.432195</v>
      </c>
      <c r="U868" s="879">
        <v>3.4079575927305102E-3</v>
      </c>
      <c r="V868" s="885">
        <v>0.03</v>
      </c>
      <c r="W868" s="884">
        <v>0.27282000000000001</v>
      </c>
      <c r="X868" s="881">
        <v>0</v>
      </c>
      <c r="Y868" s="884">
        <v>2.4300000000000002</v>
      </c>
      <c r="Z868" s="882">
        <v>0</v>
      </c>
      <c r="AA868" s="882">
        <v>0</v>
      </c>
      <c r="AB868" s="882">
        <v>0</v>
      </c>
      <c r="AC868" s="886">
        <v>0.20784545812367086</v>
      </c>
      <c r="AD868" s="886">
        <v>9.8004513701093296E-2</v>
      </c>
      <c r="AE868" s="886">
        <v>0</v>
      </c>
      <c r="AF868" s="884">
        <v>14.552778304785258</v>
      </c>
      <c r="AG868" s="920">
        <f t="shared" si="50"/>
        <v>3.861323996549737</v>
      </c>
      <c r="AH868" s="888">
        <f t="shared" si="51"/>
        <v>202508</v>
      </c>
      <c r="AJ868" s="262" t="s">
        <v>2098</v>
      </c>
      <c r="AK868" s="262"/>
      <c r="AL868" s="262"/>
    </row>
    <row r="869" spans="3:38" ht="15.75" hidden="1">
      <c r="C869" s="649">
        <v>45877</v>
      </c>
      <c r="D869" s="870">
        <v>319223</v>
      </c>
      <c r="E869" s="870">
        <v>27698</v>
      </c>
      <c r="F869" s="871">
        <v>23851.489999999998</v>
      </c>
      <c r="G869" s="872">
        <v>5103</v>
      </c>
      <c r="H869" s="873">
        <v>2096</v>
      </c>
      <c r="I869" s="889">
        <v>0</v>
      </c>
      <c r="J869" s="873">
        <v>166135</v>
      </c>
      <c r="K869" s="873">
        <v>48536.69</v>
      </c>
      <c r="L869" s="873">
        <v>11660</v>
      </c>
      <c r="M869" s="873">
        <v>435293</v>
      </c>
      <c r="N869" s="873">
        <v>7639</v>
      </c>
      <c r="O869" s="870">
        <v>5147</v>
      </c>
      <c r="P869" s="870">
        <v>0</v>
      </c>
      <c r="Q869" s="337">
        <v>0</v>
      </c>
      <c r="R869" s="919">
        <f t="shared" si="49"/>
        <v>116612.33325000001</v>
      </c>
      <c r="S869" s="878">
        <v>8.9803962655777898</v>
      </c>
      <c r="T869" s="878">
        <v>0.41602899999999998</v>
      </c>
      <c r="U869" s="879">
        <v>3.4079575927305102E-3</v>
      </c>
      <c r="V869" s="880">
        <v>0.03</v>
      </c>
      <c r="W869" s="878">
        <v>0.27177999999999997</v>
      </c>
      <c r="X869" s="881">
        <v>0</v>
      </c>
      <c r="Y869" s="878">
        <v>2.41</v>
      </c>
      <c r="Z869" s="882">
        <v>0</v>
      </c>
      <c r="AA869" s="882">
        <v>0</v>
      </c>
      <c r="AB869" s="882">
        <v>0</v>
      </c>
      <c r="AC869" s="883">
        <v>0.21152664471169227</v>
      </c>
      <c r="AD869" s="883">
        <v>7.3057395362271238E-2</v>
      </c>
      <c r="AE869" s="883">
        <v>0</v>
      </c>
      <c r="AF869" s="878">
        <v>14.576960868986568</v>
      </c>
      <c r="AG869" s="920">
        <f t="shared" si="50"/>
        <v>3.8213442278739729</v>
      </c>
      <c r="AH869" s="888">
        <f t="shared" si="51"/>
        <v>202508</v>
      </c>
      <c r="AJ869" s="262" t="s">
        <v>2098</v>
      </c>
      <c r="AK869" s="262"/>
      <c r="AL869" s="262"/>
    </row>
    <row r="870" spans="3:38" ht="15.75" hidden="1">
      <c r="C870" s="649">
        <v>45878</v>
      </c>
      <c r="D870" s="874">
        <v>335991</v>
      </c>
      <c r="E870" s="874">
        <v>19730</v>
      </c>
      <c r="F870" s="875">
        <v>23849.26</v>
      </c>
      <c r="G870" s="876">
        <v>5034</v>
      </c>
      <c r="H870" s="877">
        <v>2135</v>
      </c>
      <c r="I870" s="889">
        <v>0</v>
      </c>
      <c r="J870" s="877">
        <v>166325</v>
      </c>
      <c r="K870" s="877">
        <v>48334.64</v>
      </c>
      <c r="L870" s="877">
        <v>10021</v>
      </c>
      <c r="M870" s="877">
        <v>428000</v>
      </c>
      <c r="N870" s="877">
        <v>7735</v>
      </c>
      <c r="O870" s="874">
        <v>5020</v>
      </c>
      <c r="P870" s="874">
        <v>0</v>
      </c>
      <c r="Q870" s="337">
        <v>0</v>
      </c>
      <c r="R870" s="919">
        <f t="shared" si="49"/>
        <v>114225.89500000002</v>
      </c>
      <c r="S870" s="884">
        <v>9.150580353224008</v>
      </c>
      <c r="T870" s="884">
        <v>0.332791</v>
      </c>
      <c r="U870" s="879">
        <v>3.4079575927305102E-3</v>
      </c>
      <c r="V870" s="885">
        <v>2.9000000000000001E-2</v>
      </c>
      <c r="W870" s="884">
        <v>0.26891000000000004</v>
      </c>
      <c r="X870" s="881">
        <v>0</v>
      </c>
      <c r="Y870" s="884">
        <v>4.12</v>
      </c>
      <c r="Z870" s="882">
        <v>0</v>
      </c>
      <c r="AA870" s="882">
        <v>0</v>
      </c>
      <c r="AB870" s="882">
        <v>0</v>
      </c>
      <c r="AC870" s="886">
        <v>0.21634050409602798</v>
      </c>
      <c r="AD870" s="886">
        <v>9.1066892823668324E-2</v>
      </c>
      <c r="AE870" s="886">
        <v>0</v>
      </c>
      <c r="AF870" s="884">
        <v>14.619662633407616</v>
      </c>
      <c r="AG870" s="920">
        <f t="shared" si="50"/>
        <v>4.2600704759060388</v>
      </c>
      <c r="AH870" s="888">
        <f t="shared" si="51"/>
        <v>202508</v>
      </c>
      <c r="AJ870" s="262" t="s">
        <v>2099</v>
      </c>
      <c r="AK870" s="262"/>
      <c r="AL870" s="262"/>
    </row>
    <row r="871" spans="3:38" ht="409.5" hidden="1">
      <c r="C871" s="649">
        <v>45879</v>
      </c>
      <c r="D871" s="870">
        <v>326447</v>
      </c>
      <c r="E871" s="870">
        <v>21377</v>
      </c>
      <c r="F871" s="871">
        <v>23832.799999999999</v>
      </c>
      <c r="G871" s="872">
        <v>5048</v>
      </c>
      <c r="H871" s="873">
        <v>2071</v>
      </c>
      <c r="I871" s="889">
        <v>0</v>
      </c>
      <c r="J871" s="873">
        <v>164620</v>
      </c>
      <c r="K871" s="873">
        <v>49315.09</v>
      </c>
      <c r="L871" s="873">
        <v>8024</v>
      </c>
      <c r="M871" s="873">
        <v>426576</v>
      </c>
      <c r="N871" s="873">
        <v>7720</v>
      </c>
      <c r="O871" s="870">
        <v>4922</v>
      </c>
      <c r="P871" s="870">
        <v>0</v>
      </c>
      <c r="Q871" s="337">
        <v>0</v>
      </c>
      <c r="R871" s="919">
        <f t="shared" si="49"/>
        <v>113545.12724999999</v>
      </c>
      <c r="S871" s="878">
        <v>9.2536535776886133</v>
      </c>
      <c r="T871" s="878">
        <v>0.35518699999999997</v>
      </c>
      <c r="U871" s="879">
        <v>3.4079575927305102E-3</v>
      </c>
      <c r="V871" s="880">
        <v>2.9000000000000001E-2</v>
      </c>
      <c r="W871" s="878">
        <v>0.26389999999999997</v>
      </c>
      <c r="X871" s="881">
        <v>0</v>
      </c>
      <c r="Y871" s="878">
        <v>7.01</v>
      </c>
      <c r="Z871" s="882">
        <v>0</v>
      </c>
      <c r="AA871" s="882">
        <v>0</v>
      </c>
      <c r="AB871" s="882">
        <v>0</v>
      </c>
      <c r="AC871" s="883">
        <v>0.21322565390616371</v>
      </c>
      <c r="AD871" s="883">
        <v>9.9335404236762584E-2</v>
      </c>
      <c r="AE871" s="883">
        <v>0</v>
      </c>
      <c r="AF871" s="878">
        <v>14.610997686515811</v>
      </c>
      <c r="AG871" s="920">
        <f t="shared" si="50"/>
        <v>5.0170140177943745</v>
      </c>
      <c r="AH871" s="888">
        <f t="shared" si="51"/>
        <v>202508</v>
      </c>
      <c r="AJ871" s="1052" t="s">
        <v>2100</v>
      </c>
      <c r="AK871" s="262"/>
      <c r="AL871" s="262"/>
    </row>
    <row r="872" spans="3:38" ht="15.75" hidden="1">
      <c r="C872" s="649">
        <v>45880</v>
      </c>
      <c r="D872" s="874">
        <v>333887</v>
      </c>
      <c r="E872" s="874">
        <v>27943</v>
      </c>
      <c r="F872" s="875">
        <v>23798.02</v>
      </c>
      <c r="G872" s="876">
        <v>5019</v>
      </c>
      <c r="H872" s="877">
        <v>2104</v>
      </c>
      <c r="I872" s="889">
        <v>0</v>
      </c>
      <c r="J872" s="877">
        <v>165663</v>
      </c>
      <c r="K872" s="877">
        <v>48276.19</v>
      </c>
      <c r="L872" s="877">
        <v>15247</v>
      </c>
      <c r="M872" s="877">
        <v>435799</v>
      </c>
      <c r="N872" s="877">
        <v>7912</v>
      </c>
      <c r="O872" s="874">
        <v>4939</v>
      </c>
      <c r="P872" s="874">
        <v>0</v>
      </c>
      <c r="Q872" s="337">
        <v>0</v>
      </c>
      <c r="R872" s="919">
        <f t="shared" si="49"/>
        <v>117680.565</v>
      </c>
      <c r="S872" s="884">
        <v>9.6894494360705288</v>
      </c>
      <c r="T872" s="884">
        <v>0.37791200000000003</v>
      </c>
      <c r="U872" s="879">
        <v>3.4079575927305102E-3</v>
      </c>
      <c r="V872" s="885">
        <v>2.9000000000000001E-2</v>
      </c>
      <c r="W872" s="884">
        <v>0.26038</v>
      </c>
      <c r="X872" s="881">
        <v>0</v>
      </c>
      <c r="Y872" s="884">
        <v>10.78</v>
      </c>
      <c r="Z872" s="882">
        <v>0</v>
      </c>
      <c r="AA872" s="882">
        <v>0</v>
      </c>
      <c r="AB872" s="882">
        <v>0</v>
      </c>
      <c r="AC872" s="886">
        <v>0.21747317689234227</v>
      </c>
      <c r="AD872" s="886">
        <v>0.11669361484027899</v>
      </c>
      <c r="AE872" s="886">
        <v>0</v>
      </c>
      <c r="AF872" s="884">
        <v>14.599104622154512</v>
      </c>
      <c r="AG872" s="920">
        <f t="shared" si="50"/>
        <v>6.0179654874805113</v>
      </c>
      <c r="AH872" s="888">
        <f t="shared" si="51"/>
        <v>202508</v>
      </c>
      <c r="AJ872" s="262" t="s">
        <v>2098</v>
      </c>
      <c r="AK872" s="262"/>
      <c r="AL872" s="262"/>
    </row>
    <row r="873" spans="3:38" ht="15.75" hidden="1">
      <c r="C873" s="649">
        <v>45881</v>
      </c>
      <c r="D873" s="870">
        <v>335849</v>
      </c>
      <c r="E873" s="870">
        <v>29075</v>
      </c>
      <c r="F873" s="871">
        <v>23800.400000000001</v>
      </c>
      <c r="G873" s="872">
        <v>4985</v>
      </c>
      <c r="H873" s="873">
        <v>2100</v>
      </c>
      <c r="I873" s="889">
        <v>0</v>
      </c>
      <c r="J873" s="873">
        <v>166676</v>
      </c>
      <c r="K873" s="873">
        <v>48036.82</v>
      </c>
      <c r="L873" s="873">
        <v>13971</v>
      </c>
      <c r="M873" s="873">
        <v>452346</v>
      </c>
      <c r="N873" s="873">
        <v>7929</v>
      </c>
      <c r="O873" s="870">
        <v>0</v>
      </c>
      <c r="P873" s="870">
        <v>0</v>
      </c>
      <c r="Q873" s="337">
        <v>0</v>
      </c>
      <c r="R873" s="919">
        <f t="shared" si="49"/>
        <v>116608.11200000001</v>
      </c>
      <c r="S873" s="878">
        <v>10.54518373368597</v>
      </c>
      <c r="T873" s="878">
        <v>0.42145100000000002</v>
      </c>
      <c r="U873" s="879">
        <v>3.4079575927305102E-3</v>
      </c>
      <c r="V873" s="880">
        <v>3.1E-2</v>
      </c>
      <c r="W873" s="878">
        <v>0.27379999999999999</v>
      </c>
      <c r="X873" s="881">
        <v>0</v>
      </c>
      <c r="Y873" s="878">
        <v>10.79</v>
      </c>
      <c r="Z873" s="882">
        <v>0</v>
      </c>
      <c r="AA873" s="882">
        <v>0</v>
      </c>
      <c r="AB873" s="882">
        <v>0</v>
      </c>
      <c r="AC873" s="883">
        <v>0.21945535428589227</v>
      </c>
      <c r="AD873" s="883">
        <v>6.8243535977935532E-2</v>
      </c>
      <c r="AE873" s="883">
        <v>0</v>
      </c>
      <c r="AF873" s="878">
        <v>14.599104622154512</v>
      </c>
      <c r="AG873" s="920">
        <f t="shared" si="50"/>
        <v>6.052609253654115</v>
      </c>
      <c r="AH873" s="888">
        <f t="shared" si="51"/>
        <v>202508</v>
      </c>
      <c r="AJ873" s="931" t="s">
        <v>2101</v>
      </c>
      <c r="AK873" s="262"/>
      <c r="AL873" s="262"/>
    </row>
    <row r="874" spans="3:38" ht="15.75" hidden="1">
      <c r="C874" s="649">
        <v>45882</v>
      </c>
      <c r="D874" s="874">
        <v>307873</v>
      </c>
      <c r="E874" s="874">
        <v>21377</v>
      </c>
      <c r="F874" s="875">
        <v>23691.24</v>
      </c>
      <c r="G874" s="876">
        <v>4972</v>
      </c>
      <c r="H874" s="877">
        <v>2085</v>
      </c>
      <c r="I874" s="889">
        <v>0</v>
      </c>
      <c r="J874" s="877">
        <v>167022</v>
      </c>
      <c r="K874" s="877">
        <v>48637.08</v>
      </c>
      <c r="L874" s="877">
        <v>10834</v>
      </c>
      <c r="M874" s="877">
        <v>433779</v>
      </c>
      <c r="N874" s="877">
        <v>7955</v>
      </c>
      <c r="O874" s="874">
        <v>6751</v>
      </c>
      <c r="P874" s="874">
        <v>0</v>
      </c>
      <c r="Q874" s="337">
        <v>0</v>
      </c>
      <c r="R874" s="919">
        <f t="shared" si="49"/>
        <v>115057.24575</v>
      </c>
      <c r="S874" s="884">
        <v>9.2335486355540333</v>
      </c>
      <c r="T874" s="884">
        <v>0.23988000000000001</v>
      </c>
      <c r="U874" s="879">
        <v>3.4079575927305102E-3</v>
      </c>
      <c r="V874" s="885">
        <v>3.1E-2</v>
      </c>
      <c r="W874" s="884">
        <v>0.27171000000000001</v>
      </c>
      <c r="X874" s="881">
        <v>0</v>
      </c>
      <c r="Y874" s="884">
        <v>10.84</v>
      </c>
      <c r="Z874" s="882">
        <v>0</v>
      </c>
      <c r="AA874" s="882">
        <v>0</v>
      </c>
      <c r="AB874" s="882">
        <v>0</v>
      </c>
      <c r="AC874" s="886">
        <v>0.22172069987852083</v>
      </c>
      <c r="AD874" s="886">
        <v>9.6928474544594745E-2</v>
      </c>
      <c r="AE874" s="886">
        <v>0</v>
      </c>
      <c r="AF874" s="884">
        <v>14.99066960784036</v>
      </c>
      <c r="AG874" s="920">
        <f t="shared" si="50"/>
        <v>6.0544189680422038</v>
      </c>
      <c r="AH874" s="888">
        <f t="shared" si="51"/>
        <v>202508</v>
      </c>
      <c r="AJ874" s="262" t="s">
        <v>2102</v>
      </c>
      <c r="AK874" s="262"/>
      <c r="AL874" s="262"/>
    </row>
    <row r="875" spans="3:38" ht="15.75" hidden="1">
      <c r="C875" s="649">
        <v>45883</v>
      </c>
      <c r="D875" s="870">
        <v>322077</v>
      </c>
      <c r="E875" s="870">
        <v>25453</v>
      </c>
      <c r="F875" s="871">
        <v>23747.33</v>
      </c>
      <c r="G875" s="872">
        <v>4901</v>
      </c>
      <c r="H875" s="873">
        <v>2074</v>
      </c>
      <c r="I875" s="889">
        <v>0</v>
      </c>
      <c r="J875" s="873">
        <v>167676</v>
      </c>
      <c r="K875" s="873">
        <v>48506.68</v>
      </c>
      <c r="L875" s="873">
        <v>13359</v>
      </c>
      <c r="M875" s="873">
        <v>422615</v>
      </c>
      <c r="N875" s="873">
        <v>7901</v>
      </c>
      <c r="O875" s="870">
        <v>6762</v>
      </c>
      <c r="P875" s="870">
        <v>0</v>
      </c>
      <c r="Q875" s="337">
        <v>0</v>
      </c>
      <c r="R875" s="919">
        <f t="shared" si="49"/>
        <v>116864.492</v>
      </c>
      <c r="S875" s="878">
        <v>9.5235128714104871</v>
      </c>
      <c r="T875" s="878">
        <v>0.16711899999999999</v>
      </c>
      <c r="U875" s="879">
        <v>3.4079575927305102E-3</v>
      </c>
      <c r="V875" s="880">
        <v>3.2000000000000001E-2</v>
      </c>
      <c r="W875" s="878">
        <v>0.26738999999999996</v>
      </c>
      <c r="X875" s="881">
        <v>0</v>
      </c>
      <c r="Y875" s="878">
        <v>10.65</v>
      </c>
      <c r="Z875" s="882">
        <v>0</v>
      </c>
      <c r="AA875" s="882">
        <v>0</v>
      </c>
      <c r="AB875" s="882">
        <v>0</v>
      </c>
      <c r="AC875" s="883">
        <v>0.21917218608681371</v>
      </c>
      <c r="AD875" s="883">
        <v>7.27459103432848E-2</v>
      </c>
      <c r="AE875" s="883">
        <v>0</v>
      </c>
      <c r="AF875" s="878">
        <v>14.980418919033715</v>
      </c>
      <c r="AG875" s="920">
        <f t="shared" si="50"/>
        <v>5.978338972646263</v>
      </c>
      <c r="AH875" s="888">
        <f t="shared" si="51"/>
        <v>202508</v>
      </c>
      <c r="AJ875" s="262" t="s">
        <v>2103</v>
      </c>
      <c r="AK875" s="262"/>
      <c r="AL875" s="262"/>
    </row>
    <row r="876" spans="3:38" ht="15.75" hidden="1">
      <c r="C876" s="649">
        <v>45884</v>
      </c>
      <c r="D876" s="874">
        <v>321490</v>
      </c>
      <c r="E876" s="874">
        <v>27465</v>
      </c>
      <c r="F876" s="875">
        <v>23632.12</v>
      </c>
      <c r="G876" s="876">
        <v>4825</v>
      </c>
      <c r="H876" s="877">
        <v>2076</v>
      </c>
      <c r="I876" s="889">
        <v>0</v>
      </c>
      <c r="J876" s="877">
        <v>166959</v>
      </c>
      <c r="K876" s="877">
        <v>49521.48</v>
      </c>
      <c r="L876" s="877">
        <v>11074</v>
      </c>
      <c r="M876" s="877">
        <v>445103</v>
      </c>
      <c r="N876" s="877">
        <v>7891</v>
      </c>
      <c r="O876" s="874">
        <v>6615</v>
      </c>
      <c r="P876" s="874">
        <v>0</v>
      </c>
      <c r="Q876" s="337">
        <v>0</v>
      </c>
      <c r="R876" s="919">
        <f t="shared" si="49"/>
        <v>117629.55899999998</v>
      </c>
      <c r="S876" s="884">
        <v>9.2604496144664949</v>
      </c>
      <c r="T876" s="884">
        <v>0.23857300000000001</v>
      </c>
      <c r="U876" s="879">
        <v>3.4079575927305102E-3</v>
      </c>
      <c r="V876" s="885">
        <v>0.03</v>
      </c>
      <c r="W876" s="884">
        <v>0.26550999999999997</v>
      </c>
      <c r="X876" s="881">
        <v>0</v>
      </c>
      <c r="Y876" s="884">
        <v>10.78</v>
      </c>
      <c r="Z876" s="882">
        <v>0</v>
      </c>
      <c r="AA876" s="882">
        <v>0</v>
      </c>
      <c r="AB876" s="882">
        <v>0</v>
      </c>
      <c r="AC876" s="886">
        <v>0.21265931750800657</v>
      </c>
      <c r="AD876" s="886">
        <v>7.1811455286325515E-2</v>
      </c>
      <c r="AE876" s="886">
        <v>0</v>
      </c>
      <c r="AF876" s="884">
        <v>14.867066688942563</v>
      </c>
      <c r="AG876" s="920">
        <f t="shared" si="50"/>
        <v>6.0004968756987029</v>
      </c>
      <c r="AH876" s="888">
        <f t="shared" si="51"/>
        <v>202508</v>
      </c>
      <c r="AJ876" s="262" t="s">
        <v>2103</v>
      </c>
      <c r="AK876" s="262"/>
      <c r="AL876" s="262"/>
    </row>
    <row r="877" spans="3:38" ht="15.75" hidden="1">
      <c r="C877" s="649">
        <v>45885</v>
      </c>
      <c r="D877" s="870">
        <v>327886</v>
      </c>
      <c r="E877" s="870">
        <v>27126</v>
      </c>
      <c r="F877" s="871">
        <v>23684.16</v>
      </c>
      <c r="G877" s="872">
        <v>4815</v>
      </c>
      <c r="H877" s="873">
        <v>2100</v>
      </c>
      <c r="I877" s="889">
        <v>0</v>
      </c>
      <c r="J877" s="873">
        <v>165260</v>
      </c>
      <c r="K877" s="873">
        <v>48705.42</v>
      </c>
      <c r="L877" s="873">
        <v>12959</v>
      </c>
      <c r="M877" s="873">
        <v>440499</v>
      </c>
      <c r="N877" s="873">
        <v>7845</v>
      </c>
      <c r="O877" s="870">
        <v>5130</v>
      </c>
      <c r="P877" s="870">
        <v>0</v>
      </c>
      <c r="Q877" s="337">
        <v>0</v>
      </c>
      <c r="R877" s="919">
        <f t="shared" si="49"/>
        <v>116806.32124999999</v>
      </c>
      <c r="S877" s="878">
        <v>9.5903405663930297</v>
      </c>
      <c r="T877" s="878">
        <v>0.28809899999999999</v>
      </c>
      <c r="U877" s="879">
        <v>3.4079575927305102E-3</v>
      </c>
      <c r="V877" s="880">
        <v>0.03</v>
      </c>
      <c r="W877" s="878">
        <v>0.26599</v>
      </c>
      <c r="X877" s="881">
        <v>0</v>
      </c>
      <c r="Y877" s="878">
        <v>10.86</v>
      </c>
      <c r="Z877" s="882">
        <v>0</v>
      </c>
      <c r="AA877" s="882">
        <v>0</v>
      </c>
      <c r="AB877" s="882">
        <v>0</v>
      </c>
      <c r="AC877" s="883">
        <v>0.21973852248497083</v>
      </c>
      <c r="AD877" s="883">
        <v>7.3482147660889091E-2</v>
      </c>
      <c r="AE877" s="883">
        <v>0</v>
      </c>
      <c r="AF877" s="878">
        <v>14.866387085264774</v>
      </c>
      <c r="AG877" s="920">
        <f t="shared" si="50"/>
        <v>6.0461296629146215</v>
      </c>
      <c r="AH877" s="888">
        <f t="shared" si="51"/>
        <v>202508</v>
      </c>
      <c r="AJ877" s="262" t="s">
        <v>2103</v>
      </c>
      <c r="AK877" s="262"/>
      <c r="AL877" s="262"/>
    </row>
    <row r="878" spans="3:38" ht="15.75" hidden="1">
      <c r="C878" s="649">
        <v>45886</v>
      </c>
      <c r="D878" s="874">
        <v>324750</v>
      </c>
      <c r="E878" s="874">
        <v>30189</v>
      </c>
      <c r="F878" s="875">
        <v>23705.329999999998</v>
      </c>
      <c r="G878" s="876">
        <v>4859</v>
      </c>
      <c r="H878" s="877">
        <v>2052</v>
      </c>
      <c r="I878" s="889">
        <v>0</v>
      </c>
      <c r="J878" s="877">
        <v>166908</v>
      </c>
      <c r="K878" s="877">
        <v>47964.11</v>
      </c>
      <c r="L878" s="877">
        <v>12749</v>
      </c>
      <c r="M878" s="877">
        <v>458547</v>
      </c>
      <c r="N878" s="877">
        <v>7564</v>
      </c>
      <c r="O878" s="874">
        <v>5180</v>
      </c>
      <c r="P878" s="874">
        <v>0</v>
      </c>
      <c r="Q878" s="337">
        <v>0</v>
      </c>
      <c r="R878" s="919">
        <f t="shared" si="49"/>
        <v>118433.92224999999</v>
      </c>
      <c r="S878" s="884">
        <v>8.9945546755317221</v>
      </c>
      <c r="T878" s="884">
        <v>0.29333300000000001</v>
      </c>
      <c r="U878" s="879">
        <v>3.4079575927305102E-3</v>
      </c>
      <c r="V878" s="885">
        <v>0.03</v>
      </c>
      <c r="W878" s="884">
        <v>0.26657999999999998</v>
      </c>
      <c r="X878" s="881">
        <v>0</v>
      </c>
      <c r="Y878" s="884">
        <v>10.89</v>
      </c>
      <c r="Z878" s="882">
        <v>0</v>
      </c>
      <c r="AA878" s="882">
        <v>0</v>
      </c>
      <c r="AB878" s="882">
        <v>0</v>
      </c>
      <c r="AC878" s="886">
        <v>0.21832268148957798</v>
      </c>
      <c r="AD878" s="886">
        <v>7.685184922992408E-2</v>
      </c>
      <c r="AE878" s="886">
        <v>0</v>
      </c>
      <c r="AF878" s="884">
        <v>14.866415402084685</v>
      </c>
      <c r="AG878" s="920">
        <f t="shared" si="50"/>
        <v>6.0397030575844344</v>
      </c>
      <c r="AH878" s="888">
        <f t="shared" si="51"/>
        <v>202508</v>
      </c>
      <c r="AJ878" s="262" t="s">
        <v>2104</v>
      </c>
      <c r="AK878" s="262"/>
      <c r="AL878" s="262"/>
    </row>
    <row r="879" spans="3:38" ht="15.75" hidden="1">
      <c r="C879" s="649">
        <v>45887</v>
      </c>
      <c r="D879" s="870">
        <v>334872</v>
      </c>
      <c r="E879" s="870">
        <v>29799</v>
      </c>
      <c r="F879" s="871">
        <v>23695.73</v>
      </c>
      <c r="G879" s="872">
        <v>4802</v>
      </c>
      <c r="H879" s="873">
        <v>2081</v>
      </c>
      <c r="I879" s="889">
        <v>0</v>
      </c>
      <c r="J879" s="873">
        <v>166916</v>
      </c>
      <c r="K879" s="873">
        <v>38861.839999999997</v>
      </c>
      <c r="L879" s="873">
        <v>10316</v>
      </c>
      <c r="M879" s="873">
        <v>435849</v>
      </c>
      <c r="N879" s="873">
        <v>7495</v>
      </c>
      <c r="O879" s="870">
        <v>5124</v>
      </c>
      <c r="P879" s="870">
        <v>0</v>
      </c>
      <c r="Q879" s="337">
        <v>0</v>
      </c>
      <c r="R879" s="919">
        <f t="shared" si="49"/>
        <v>114820.11200000001</v>
      </c>
      <c r="S879" s="878">
        <v>9.1163170011355064</v>
      </c>
      <c r="T879" s="878">
        <v>0.29314499999999999</v>
      </c>
      <c r="U879" s="879">
        <v>3.4079575927305102E-3</v>
      </c>
      <c r="V879" s="880">
        <v>0.03</v>
      </c>
      <c r="W879" s="878">
        <v>0.26587</v>
      </c>
      <c r="X879" s="881">
        <v>0</v>
      </c>
      <c r="Y879" s="878">
        <v>10.91</v>
      </c>
      <c r="Z879" s="882">
        <v>0</v>
      </c>
      <c r="AA879" s="921">
        <v>0</v>
      </c>
      <c r="AB879" s="921">
        <v>0</v>
      </c>
      <c r="AC879" s="883">
        <v>0.21407515850339942</v>
      </c>
      <c r="AD879" s="883">
        <v>7.685184922992408E-2</v>
      </c>
      <c r="AE879" s="883">
        <v>0</v>
      </c>
      <c r="AF879" s="878">
        <v>14.867434807601366</v>
      </c>
      <c r="AG879" s="920">
        <f t="shared" si="50"/>
        <v>6.0474099170177009</v>
      </c>
      <c r="AH879" s="888">
        <f t="shared" si="51"/>
        <v>202508</v>
      </c>
      <c r="AJ879" s="262" t="s">
        <v>2104</v>
      </c>
      <c r="AK879" s="262"/>
      <c r="AL879" s="262"/>
    </row>
    <row r="880" spans="3:38" ht="15.75" hidden="1">
      <c r="C880" s="649">
        <v>45888</v>
      </c>
      <c r="D880" s="874">
        <v>343556</v>
      </c>
      <c r="E880" s="874">
        <v>25239</v>
      </c>
      <c r="F880" s="875">
        <v>23683.51</v>
      </c>
      <c r="G880" s="876">
        <v>4740</v>
      </c>
      <c r="H880" s="877">
        <v>2057</v>
      </c>
      <c r="I880" s="889">
        <v>0</v>
      </c>
      <c r="J880" s="877">
        <v>160555</v>
      </c>
      <c r="K880" s="877">
        <v>53780</v>
      </c>
      <c r="L880" s="877">
        <v>13767</v>
      </c>
      <c r="M880" s="877">
        <v>436522</v>
      </c>
      <c r="N880" s="877">
        <v>7006</v>
      </c>
      <c r="O880" s="874">
        <v>0</v>
      </c>
      <c r="P880" s="874">
        <v>0</v>
      </c>
      <c r="Q880" s="337">
        <v>0</v>
      </c>
      <c r="R880" s="919">
        <f t="shared" si="49"/>
        <v>114611.12875</v>
      </c>
      <c r="S880" s="884">
        <v>9.1168833375336646</v>
      </c>
      <c r="T880" s="884">
        <v>0.28613300000000003</v>
      </c>
      <c r="U880" s="879">
        <v>3.4079575927305102E-3</v>
      </c>
      <c r="V880" s="885">
        <v>2.7E-2</v>
      </c>
      <c r="W880" s="884">
        <v>0.26516000000000001</v>
      </c>
      <c r="X880" s="881">
        <v>0</v>
      </c>
      <c r="Y880" s="884">
        <v>10.83</v>
      </c>
      <c r="Z880" s="882">
        <v>0</v>
      </c>
      <c r="AA880" s="882">
        <v>0</v>
      </c>
      <c r="AB880" s="882">
        <v>0</v>
      </c>
      <c r="AC880" s="886">
        <v>0.21832268148957798</v>
      </c>
      <c r="AD880" s="886">
        <v>8.1439174054996927E-2</v>
      </c>
      <c r="AE880" s="886">
        <v>0</v>
      </c>
      <c r="AF880" s="884">
        <v>14.869388668175008</v>
      </c>
      <c r="AG880" s="920">
        <f t="shared" si="50"/>
        <v>6.0251575561133759</v>
      </c>
      <c r="AH880" s="888">
        <f t="shared" si="51"/>
        <v>202508</v>
      </c>
      <c r="AJ880" s="262" t="s">
        <v>2105</v>
      </c>
      <c r="AK880" s="262"/>
      <c r="AL880" s="262"/>
    </row>
    <row r="881" spans="3:38" ht="15.75" hidden="1">
      <c r="C881" s="649">
        <v>45889</v>
      </c>
      <c r="D881" s="870">
        <v>338997</v>
      </c>
      <c r="E881" s="870">
        <v>24792</v>
      </c>
      <c r="F881" s="871">
        <v>23687.350000000002</v>
      </c>
      <c r="G881" s="872">
        <v>4789</v>
      </c>
      <c r="H881" s="873">
        <v>2030</v>
      </c>
      <c r="I881" s="889">
        <v>0</v>
      </c>
      <c r="J881" s="873">
        <v>161069</v>
      </c>
      <c r="K881" s="873">
        <v>51241.94</v>
      </c>
      <c r="L881" s="873">
        <v>13134</v>
      </c>
      <c r="M881" s="873">
        <v>442400</v>
      </c>
      <c r="N881" s="873">
        <v>7380</v>
      </c>
      <c r="O881" s="870">
        <v>6573</v>
      </c>
      <c r="P881" s="870">
        <v>0</v>
      </c>
      <c r="Q881" s="337">
        <v>0</v>
      </c>
      <c r="R881" s="919">
        <f t="shared" si="49"/>
        <v>116609.14975</v>
      </c>
      <c r="S881" s="878">
        <v>9.3303921596389063</v>
      </c>
      <c r="T881" s="878">
        <v>0.29022700000000001</v>
      </c>
      <c r="U881" s="879">
        <v>3.4079575927305102E-3</v>
      </c>
      <c r="V881" s="880">
        <v>2.7E-2</v>
      </c>
      <c r="W881" s="878">
        <v>0.26339999999999997</v>
      </c>
      <c r="X881" s="881">
        <v>0</v>
      </c>
      <c r="Y881" s="878">
        <v>10.65</v>
      </c>
      <c r="Z881" s="882">
        <v>0</v>
      </c>
      <c r="AA881" s="882">
        <v>0</v>
      </c>
      <c r="AB881" s="882">
        <v>0</v>
      </c>
      <c r="AC881" s="883">
        <v>0.21832268148957798</v>
      </c>
      <c r="AD881" s="883">
        <v>7.8126106125777639E-2</v>
      </c>
      <c r="AE881" s="883">
        <v>0</v>
      </c>
      <c r="AF881" s="878">
        <v>14.868539163577772</v>
      </c>
      <c r="AG881" s="920">
        <f t="shared" si="50"/>
        <v>5.9824784262067361</v>
      </c>
      <c r="AH881" s="888">
        <f t="shared" si="51"/>
        <v>202508</v>
      </c>
      <c r="AJ881" s="262" t="s">
        <v>2106</v>
      </c>
      <c r="AK881" s="262"/>
      <c r="AL881" s="262"/>
    </row>
    <row r="882" spans="3:38" ht="15.75" hidden="1">
      <c r="C882" s="649">
        <v>45890</v>
      </c>
      <c r="D882" s="874">
        <v>336521</v>
      </c>
      <c r="E882" s="874">
        <v>26226</v>
      </c>
      <c r="F882" s="875">
        <v>23685.73</v>
      </c>
      <c r="G882" s="876">
        <v>4812</v>
      </c>
      <c r="H882" s="877">
        <v>2069</v>
      </c>
      <c r="I882" s="889">
        <v>0</v>
      </c>
      <c r="J882" s="877">
        <v>163701</v>
      </c>
      <c r="K882" s="877">
        <v>49098.09</v>
      </c>
      <c r="L882" s="877">
        <v>10912</v>
      </c>
      <c r="M882" s="877">
        <v>455598</v>
      </c>
      <c r="N882" s="877">
        <v>7304</v>
      </c>
      <c r="O882" s="874">
        <v>6187</v>
      </c>
      <c r="P882" s="874">
        <v>0</v>
      </c>
      <c r="Q882" s="337">
        <v>0</v>
      </c>
      <c r="R882" s="919">
        <f t="shared" si="49"/>
        <v>116950.73275000001</v>
      </c>
      <c r="S882" s="884">
        <v>9.0857348356350158</v>
      </c>
      <c r="T882" s="884">
        <v>0.28703200000000001</v>
      </c>
      <c r="U882" s="879">
        <v>3.4079575927305102E-3</v>
      </c>
      <c r="V882" s="885">
        <v>2.5999999999999999E-2</v>
      </c>
      <c r="W882" s="884">
        <v>0.26312999999999998</v>
      </c>
      <c r="X882" s="881">
        <v>0</v>
      </c>
      <c r="Y882" s="884">
        <v>10.66</v>
      </c>
      <c r="Z882" s="882">
        <v>0</v>
      </c>
      <c r="AA882" s="882">
        <v>0</v>
      </c>
      <c r="AB882" s="882">
        <v>0</v>
      </c>
      <c r="AC882" s="886">
        <v>0.21747317689234227</v>
      </c>
      <c r="AD882" s="886">
        <v>8.4044321486519774E-2</v>
      </c>
      <c r="AE882" s="886">
        <v>0</v>
      </c>
      <c r="AF882" s="884">
        <v>13.401586308251238</v>
      </c>
      <c r="AG882" s="920">
        <f t="shared" si="50"/>
        <v>5.7291814047127119</v>
      </c>
      <c r="AH882" s="888">
        <f t="shared" si="51"/>
        <v>202508</v>
      </c>
      <c r="AJ882" s="262" t="s">
        <v>2106</v>
      </c>
      <c r="AK882" s="262"/>
      <c r="AL882" s="262"/>
    </row>
    <row r="883" spans="3:38" ht="15.75" hidden="1">
      <c r="C883" s="649">
        <v>45891</v>
      </c>
      <c r="D883" s="870">
        <v>330484</v>
      </c>
      <c r="E883" s="870">
        <v>30560</v>
      </c>
      <c r="F883" s="871">
        <v>23557.65</v>
      </c>
      <c r="G883" s="872">
        <v>4871</v>
      </c>
      <c r="H883" s="873">
        <v>2026</v>
      </c>
      <c r="I883" s="889">
        <v>75200</v>
      </c>
      <c r="J883" s="873">
        <v>165453</v>
      </c>
      <c r="K883" s="873">
        <v>47581.26</v>
      </c>
      <c r="L883" s="873">
        <v>10640</v>
      </c>
      <c r="M883" s="873">
        <v>441772</v>
      </c>
      <c r="N883" s="873">
        <v>6696</v>
      </c>
      <c r="O883" s="870">
        <v>6743</v>
      </c>
      <c r="P883" s="870">
        <v>0</v>
      </c>
      <c r="Q883" s="337">
        <v>0</v>
      </c>
      <c r="R883" s="919">
        <f t="shared" si="49"/>
        <v>132494.34700000001</v>
      </c>
      <c r="S883" s="878">
        <v>8.9968200211243445</v>
      </c>
      <c r="T883" s="878">
        <v>0.29366199999999998</v>
      </c>
      <c r="U883" s="879">
        <v>3.4079575927305102E-3</v>
      </c>
      <c r="V883" s="880">
        <v>2.5999999999999999E-2</v>
      </c>
      <c r="W883" s="878">
        <v>0.26168000000000002</v>
      </c>
      <c r="X883" s="881">
        <v>0</v>
      </c>
      <c r="Y883" s="878">
        <v>10.64</v>
      </c>
      <c r="Z883" s="882">
        <v>0</v>
      </c>
      <c r="AA883" s="882">
        <v>0</v>
      </c>
      <c r="AB883" s="882">
        <v>0</v>
      </c>
      <c r="AC883" s="883">
        <v>0.22172069987852083</v>
      </c>
      <c r="AD883" s="883">
        <v>9.6956791364502595E-2</v>
      </c>
      <c r="AE883" s="883">
        <v>0</v>
      </c>
      <c r="AF883" s="878">
        <v>13.40087838775354</v>
      </c>
      <c r="AG883" s="920">
        <f t="shared" si="50"/>
        <v>5.7272326153833397</v>
      </c>
      <c r="AH883" s="888">
        <f t="shared" si="51"/>
        <v>202508</v>
      </c>
      <c r="AJ883" s="262" t="s">
        <v>2107</v>
      </c>
      <c r="AK883" s="262"/>
      <c r="AL883" s="262"/>
    </row>
    <row r="884" spans="3:38" ht="15.75" hidden="1">
      <c r="C884" s="649">
        <v>45892</v>
      </c>
      <c r="D884" s="874">
        <v>335497</v>
      </c>
      <c r="E884" s="874">
        <v>28252</v>
      </c>
      <c r="F884" s="875">
        <v>23652.47</v>
      </c>
      <c r="G884" s="876">
        <v>4896</v>
      </c>
      <c r="H884" s="877">
        <v>2029</v>
      </c>
      <c r="I884" s="889">
        <v>75200</v>
      </c>
      <c r="J884" s="877">
        <v>166885</v>
      </c>
      <c r="K884" s="877">
        <v>48606.53</v>
      </c>
      <c r="L884" s="877">
        <v>14006</v>
      </c>
      <c r="M884" s="877">
        <v>450501</v>
      </c>
      <c r="N884" s="877">
        <v>7031</v>
      </c>
      <c r="O884" s="874">
        <v>6337</v>
      </c>
      <c r="P884" s="874">
        <v>0</v>
      </c>
      <c r="Q884" s="337">
        <v>0</v>
      </c>
      <c r="R884" s="919">
        <f t="shared" si="49"/>
        <v>133763.98624999999</v>
      </c>
      <c r="S884" s="884">
        <v>12.920115419357947</v>
      </c>
      <c r="T884" s="884">
        <v>0.33295799999999998</v>
      </c>
      <c r="U884" s="879">
        <v>3.4079575927305102E-3</v>
      </c>
      <c r="V884" s="885">
        <v>2.9000000000000001E-2</v>
      </c>
      <c r="W884" s="884">
        <v>0.26157999999999998</v>
      </c>
      <c r="X884" s="881">
        <v>0</v>
      </c>
      <c r="Y884" s="884">
        <v>10.66</v>
      </c>
      <c r="Z884" s="882">
        <v>0</v>
      </c>
      <c r="AA884" s="882">
        <v>0</v>
      </c>
      <c r="AB884" s="882">
        <v>0</v>
      </c>
      <c r="AC884" s="886">
        <v>0.21265931750800657</v>
      </c>
      <c r="AD884" s="886">
        <v>9.6673623165424036E-2</v>
      </c>
      <c r="AE884" s="886">
        <v>0</v>
      </c>
      <c r="AF884" s="884">
        <v>13.402690664227643</v>
      </c>
      <c r="AG884" s="920">
        <f t="shared" si="50"/>
        <v>5.8583969934418816</v>
      </c>
      <c r="AH884" s="888">
        <f t="shared" si="51"/>
        <v>202508</v>
      </c>
      <c r="AJ884" s="262" t="s">
        <v>2108</v>
      </c>
      <c r="AK884" s="262"/>
      <c r="AL884" s="262"/>
    </row>
    <row r="885" spans="3:38" ht="15.75" hidden="1">
      <c r="C885" s="649">
        <v>45893</v>
      </c>
      <c r="D885" s="870">
        <v>330730</v>
      </c>
      <c r="E885" s="870">
        <v>29434</v>
      </c>
      <c r="F885" s="871">
        <v>23651.86</v>
      </c>
      <c r="G885" s="872">
        <v>4839</v>
      </c>
      <c r="H885" s="873">
        <v>2026</v>
      </c>
      <c r="I885" s="889">
        <v>75200</v>
      </c>
      <c r="J885" s="873">
        <v>166928</v>
      </c>
      <c r="K885" s="873">
        <v>47913.67</v>
      </c>
      <c r="L885" s="873">
        <v>12317</v>
      </c>
      <c r="M885" s="873">
        <v>456234</v>
      </c>
      <c r="N885" s="873">
        <v>7028</v>
      </c>
      <c r="O885" s="870">
        <v>5104</v>
      </c>
      <c r="P885" s="870">
        <v>0</v>
      </c>
      <c r="Q885" s="337">
        <v>0</v>
      </c>
      <c r="R885" s="919">
        <f t="shared" si="49"/>
        <v>133078.04824999999</v>
      </c>
      <c r="S885" s="878">
        <v>8.9234794575629941</v>
      </c>
      <c r="T885" s="878">
        <v>0.45821899999999999</v>
      </c>
      <c r="U885" s="879">
        <v>3.4079575927305102E-3</v>
      </c>
      <c r="V885" s="880">
        <v>2.9000000000000001E-2</v>
      </c>
      <c r="W885" s="878">
        <v>0.25979000000000002</v>
      </c>
      <c r="X885" s="881">
        <v>0</v>
      </c>
      <c r="Y885" s="878">
        <v>10.72</v>
      </c>
      <c r="Z885" s="882">
        <v>0</v>
      </c>
      <c r="AA885" s="882">
        <v>0</v>
      </c>
      <c r="AB885" s="882">
        <v>0</v>
      </c>
      <c r="AC885" s="883">
        <v>0.20303159873933516</v>
      </c>
      <c r="AD885" s="883">
        <v>0.10250688806644258</v>
      </c>
      <c r="AE885" s="883">
        <v>0</v>
      </c>
      <c r="AF885" s="878">
        <v>13.409939770124055</v>
      </c>
      <c r="AG885" s="920">
        <f t="shared" si="50"/>
        <v>5.7916324664576226</v>
      </c>
      <c r="AH885" s="888">
        <f t="shared" si="51"/>
        <v>202508</v>
      </c>
      <c r="AJ885" s="262" t="s">
        <v>2109</v>
      </c>
      <c r="AK885" s="262"/>
      <c r="AL885" s="262"/>
    </row>
    <row r="886" spans="3:38" ht="15.75" hidden="1">
      <c r="C886" s="649">
        <v>45894</v>
      </c>
      <c r="D886" s="874">
        <v>331111</v>
      </c>
      <c r="E886" s="874">
        <v>30006</v>
      </c>
      <c r="F886" s="875">
        <v>23651.420000000002</v>
      </c>
      <c r="G886" s="876">
        <v>4848</v>
      </c>
      <c r="H886" s="877">
        <v>2118</v>
      </c>
      <c r="I886" s="889">
        <v>75200</v>
      </c>
      <c r="J886" s="877">
        <v>167812</v>
      </c>
      <c r="K886" s="877">
        <v>49500.08</v>
      </c>
      <c r="L886" s="877">
        <v>12857</v>
      </c>
      <c r="M886" s="877">
        <v>457590</v>
      </c>
      <c r="N886" s="877">
        <v>7033</v>
      </c>
      <c r="O886" s="874">
        <v>5453</v>
      </c>
      <c r="P886" s="874">
        <v>0</v>
      </c>
      <c r="Q886" s="337">
        <v>0</v>
      </c>
      <c r="R886" s="919">
        <f t="shared" si="49"/>
        <v>134290.93200000003</v>
      </c>
      <c r="S886" s="884">
        <v>8.9687863694155716</v>
      </c>
      <c r="T886" s="884">
        <v>0.49921900000000002</v>
      </c>
      <c r="U886" s="879">
        <v>3.4079575927305102E-3</v>
      </c>
      <c r="V886" s="885">
        <v>0.03</v>
      </c>
      <c r="W886" s="884">
        <v>0.29108000000000001</v>
      </c>
      <c r="X886" s="881">
        <v>0</v>
      </c>
      <c r="Y886" s="884">
        <v>10.77</v>
      </c>
      <c r="Z886" s="882">
        <v>0</v>
      </c>
      <c r="AA886" s="882">
        <v>0</v>
      </c>
      <c r="AB886" s="882">
        <v>0</v>
      </c>
      <c r="AC886" s="886">
        <v>0.21152664471169227</v>
      </c>
      <c r="AD886" s="886">
        <v>0.10015659201409044</v>
      </c>
      <c r="AE886" s="886">
        <v>0</v>
      </c>
      <c r="AF886" s="884">
        <v>13.405465712578614</v>
      </c>
      <c r="AG886" s="920">
        <f t="shared" si="50"/>
        <v>5.8480514404826032</v>
      </c>
      <c r="AH886" s="888">
        <f t="shared" si="51"/>
        <v>202508</v>
      </c>
      <c r="AJ886" s="262" t="s">
        <v>2110</v>
      </c>
      <c r="AK886" s="262"/>
      <c r="AL886" s="262"/>
    </row>
    <row r="887" spans="3:38" ht="15.75" hidden="1">
      <c r="C887" s="649">
        <v>45895</v>
      </c>
      <c r="D887" s="870">
        <v>352549</v>
      </c>
      <c r="E887" s="870">
        <v>31258</v>
      </c>
      <c r="F887" s="871">
        <v>23597.38</v>
      </c>
      <c r="G887" s="872">
        <v>4880</v>
      </c>
      <c r="H887" s="873">
        <v>2180</v>
      </c>
      <c r="I887" s="889">
        <v>75200</v>
      </c>
      <c r="J887" s="873">
        <v>167015</v>
      </c>
      <c r="K887" s="873">
        <v>47128.18</v>
      </c>
      <c r="L887" s="873">
        <v>12387</v>
      </c>
      <c r="M887" s="873">
        <v>456908</v>
      </c>
      <c r="N887" s="873">
        <v>7302</v>
      </c>
      <c r="O887" s="870">
        <v>5071</v>
      </c>
      <c r="P887" s="870">
        <v>0</v>
      </c>
      <c r="Q887" s="337">
        <v>0</v>
      </c>
      <c r="R887" s="919">
        <f t="shared" si="49"/>
        <v>134232.133</v>
      </c>
      <c r="S887" s="878">
        <v>9.0146596176662985</v>
      </c>
      <c r="T887" s="878">
        <v>0.49991000000000002</v>
      </c>
      <c r="U887" s="879">
        <v>3.4079575927305102E-3</v>
      </c>
      <c r="V887" s="880">
        <v>3.4000000000000002E-2</v>
      </c>
      <c r="W887" s="878">
        <v>0.29719000000000001</v>
      </c>
      <c r="X887" s="881">
        <v>0</v>
      </c>
      <c r="Y887" s="878">
        <v>10.68</v>
      </c>
      <c r="Z887" s="882">
        <v>0</v>
      </c>
      <c r="AA887" s="882">
        <v>0</v>
      </c>
      <c r="AB887" s="882">
        <v>0</v>
      </c>
      <c r="AC887" s="883">
        <v>0.21124347651261371</v>
      </c>
      <c r="AD887" s="883">
        <v>8.2288678652232633E-2</v>
      </c>
      <c r="AE887" s="883">
        <v>0</v>
      </c>
      <c r="AF887" s="878">
        <v>13.400057199976214</v>
      </c>
      <c r="AG887" s="920">
        <f t="shared" si="50"/>
        <v>5.8261920420048874</v>
      </c>
      <c r="AH887" s="888">
        <f t="shared" si="51"/>
        <v>202508</v>
      </c>
      <c r="AJ887" s="262" t="s">
        <v>2110</v>
      </c>
      <c r="AK887" s="262"/>
      <c r="AL887" s="262"/>
    </row>
    <row r="888" spans="3:38" ht="15.75" hidden="1">
      <c r="C888" s="649">
        <v>45896</v>
      </c>
      <c r="D888" s="874">
        <v>344923</v>
      </c>
      <c r="E888" s="874">
        <v>31031</v>
      </c>
      <c r="F888" s="875">
        <v>23489.280000000002</v>
      </c>
      <c r="G888" s="876">
        <v>4894</v>
      </c>
      <c r="H888" s="877">
        <v>2200</v>
      </c>
      <c r="I888" s="889">
        <v>75200</v>
      </c>
      <c r="J888" s="877">
        <v>165227</v>
      </c>
      <c r="K888" s="877">
        <v>48343.39</v>
      </c>
      <c r="L888" s="877">
        <v>11971</v>
      </c>
      <c r="M888" s="877">
        <v>454319</v>
      </c>
      <c r="N888" s="877">
        <v>7207</v>
      </c>
      <c r="O888" s="874">
        <v>4749</v>
      </c>
      <c r="P888" s="874">
        <v>0</v>
      </c>
      <c r="Q888" s="337">
        <v>0</v>
      </c>
      <c r="R888" s="919">
        <f t="shared" si="49"/>
        <v>133394.86500000002</v>
      </c>
      <c r="S888" s="884">
        <v>8.9265943077528647</v>
      </c>
      <c r="T888" s="884">
        <v>0.49928899999999998</v>
      </c>
      <c r="U888" s="879">
        <v>3.4079575927305102E-3</v>
      </c>
      <c r="V888" s="885">
        <v>3.2000000000000001E-2</v>
      </c>
      <c r="W888" s="884">
        <v>0.28705000000000003</v>
      </c>
      <c r="X888" s="881">
        <v>0</v>
      </c>
      <c r="Y888" s="884">
        <v>10.76</v>
      </c>
      <c r="Z888" s="882">
        <v>0</v>
      </c>
      <c r="AA888" s="882">
        <v>0</v>
      </c>
      <c r="AB888" s="882">
        <v>0</v>
      </c>
      <c r="AC888" s="886">
        <v>0.21113020923298229</v>
      </c>
      <c r="AD888" s="886">
        <v>7.7191651068818368E-2</v>
      </c>
      <c r="AE888" s="886">
        <v>0</v>
      </c>
      <c r="AF888" s="884">
        <v>13.347302964487875</v>
      </c>
      <c r="AG888" s="920">
        <f t="shared" si="50"/>
        <v>5.8220889712227777</v>
      </c>
      <c r="AH888" s="888">
        <f t="shared" si="51"/>
        <v>202508</v>
      </c>
      <c r="AJ888" s="262" t="s">
        <v>2104</v>
      </c>
      <c r="AK888" s="262"/>
      <c r="AL888" s="262"/>
    </row>
    <row r="889" spans="3:38" ht="15.75" hidden="1">
      <c r="C889" s="649">
        <v>45897</v>
      </c>
      <c r="D889" s="870">
        <v>305810</v>
      </c>
      <c r="E889" s="870">
        <v>31050</v>
      </c>
      <c r="F889" s="871">
        <v>23274.460000000003</v>
      </c>
      <c r="G889" s="872">
        <v>4850</v>
      </c>
      <c r="H889" s="873">
        <v>2170</v>
      </c>
      <c r="I889" s="889">
        <v>75200</v>
      </c>
      <c r="J889" s="873">
        <v>166433</v>
      </c>
      <c r="K889" s="873">
        <v>47187.45</v>
      </c>
      <c r="L889" s="873">
        <v>10004</v>
      </c>
      <c r="M889" s="873">
        <v>450968</v>
      </c>
      <c r="N889" s="873">
        <v>7206</v>
      </c>
      <c r="O889" s="870">
        <v>5368</v>
      </c>
      <c r="P889" s="870">
        <v>0</v>
      </c>
      <c r="Q889" s="337">
        <v>0</v>
      </c>
      <c r="R889" s="919">
        <f t="shared" si="49"/>
        <v>131717.052</v>
      </c>
      <c r="S889" s="878">
        <v>8.9823784429713402</v>
      </c>
      <c r="T889" s="878">
        <v>0.50026099999999996</v>
      </c>
      <c r="U889" s="879">
        <v>3.4079575927305102E-3</v>
      </c>
      <c r="V889" s="880">
        <v>3.3000000000000002E-2</v>
      </c>
      <c r="W889" s="878">
        <v>0.28625</v>
      </c>
      <c r="X889" s="881">
        <v>0</v>
      </c>
      <c r="Y889" s="878">
        <v>10.69</v>
      </c>
      <c r="Z889" s="921">
        <v>0</v>
      </c>
      <c r="AA889" s="921">
        <v>0</v>
      </c>
      <c r="AB889" s="921">
        <v>0</v>
      </c>
      <c r="AC889" s="883">
        <v>0.2095444673181423</v>
      </c>
      <c r="AD889" s="883">
        <v>8.274174777075835E-2</v>
      </c>
      <c r="AE889" s="883">
        <v>0</v>
      </c>
      <c r="AF889" s="878">
        <v>13.40999640376387</v>
      </c>
      <c r="AG889" s="920">
        <f t="shared" si="50"/>
        <v>5.8181865889249798</v>
      </c>
      <c r="AH889" s="888">
        <f t="shared" si="51"/>
        <v>202508</v>
      </c>
      <c r="AJ889" s="262" t="s">
        <v>2111</v>
      </c>
      <c r="AK889" s="262"/>
      <c r="AL889" s="262"/>
    </row>
    <row r="890" spans="3:38" ht="15.75" hidden="1">
      <c r="C890" s="649">
        <v>45898</v>
      </c>
      <c r="D890" s="874">
        <v>351154</v>
      </c>
      <c r="E890" s="874">
        <v>31478</v>
      </c>
      <c r="F890" s="875">
        <v>23380.73</v>
      </c>
      <c r="G890" s="876">
        <v>4937</v>
      </c>
      <c r="H890" s="877">
        <v>2151</v>
      </c>
      <c r="I890" s="889">
        <v>147420</v>
      </c>
      <c r="J890" s="877">
        <v>166312</v>
      </c>
      <c r="K890" s="877">
        <v>48058.96</v>
      </c>
      <c r="L890" s="877">
        <v>12838</v>
      </c>
      <c r="M890" s="877">
        <v>450524</v>
      </c>
      <c r="N890" s="877">
        <v>7245</v>
      </c>
      <c r="O890" s="874">
        <v>5231</v>
      </c>
      <c r="P890" s="874">
        <v>0</v>
      </c>
      <c r="Q890" s="337"/>
      <c r="R890" s="919">
        <f t="shared" si="49"/>
        <v>148503.663</v>
      </c>
      <c r="S890" s="884">
        <v>9.0775229578617385</v>
      </c>
      <c r="T890" s="884">
        <v>0.50116000000000005</v>
      </c>
      <c r="U890" s="879">
        <v>3.4079575927305102E-3</v>
      </c>
      <c r="V890" s="885">
        <v>3.2000000000000001E-2</v>
      </c>
      <c r="W890" s="884">
        <v>0.28902</v>
      </c>
      <c r="X890" s="881">
        <v>0</v>
      </c>
      <c r="Y890" s="884">
        <v>10.6</v>
      </c>
      <c r="Z890" s="882">
        <v>0</v>
      </c>
      <c r="AA890" s="882">
        <v>0</v>
      </c>
      <c r="AB890" s="882">
        <v>0</v>
      </c>
      <c r="AC890" s="886">
        <v>0.21265931750800657</v>
      </c>
      <c r="AD890" s="886">
        <v>8.1297589955457633E-2</v>
      </c>
      <c r="AE890" s="886">
        <v>0</v>
      </c>
      <c r="AF890" s="884">
        <v>13.404361356602207</v>
      </c>
      <c r="AG890" s="920">
        <f t="shared" si="50"/>
        <v>5.7988893083628064</v>
      </c>
      <c r="AH890" s="888">
        <f t="shared" si="51"/>
        <v>202508</v>
      </c>
      <c r="AJ890" s="262" t="s">
        <v>2111</v>
      </c>
      <c r="AK890" s="262"/>
      <c r="AL890" s="262"/>
    </row>
    <row r="891" spans="3:38" ht="15.75" hidden="1">
      <c r="C891" s="649">
        <v>45899</v>
      </c>
      <c r="D891" s="870">
        <v>317228</v>
      </c>
      <c r="E891" s="870">
        <v>31403</v>
      </c>
      <c r="F891" s="871">
        <v>23580.49</v>
      </c>
      <c r="G891" s="872">
        <v>5011</v>
      </c>
      <c r="H891" s="873">
        <v>2127</v>
      </c>
      <c r="I891" s="889">
        <v>147420</v>
      </c>
      <c r="J891" s="873">
        <v>163447</v>
      </c>
      <c r="K891" s="873">
        <v>48153.440000000002</v>
      </c>
      <c r="L891" s="873">
        <v>12478</v>
      </c>
      <c r="M891" s="873">
        <v>399027</v>
      </c>
      <c r="N891" s="873">
        <v>7422</v>
      </c>
      <c r="O891" s="870">
        <v>5146</v>
      </c>
      <c r="P891" s="870">
        <v>0</v>
      </c>
      <c r="Q891" s="337"/>
      <c r="R891" s="919">
        <f t="shared" si="49"/>
        <v>144761.3695</v>
      </c>
      <c r="S891" s="878">
        <v>9.1058397777695976</v>
      </c>
      <c r="T891" s="878">
        <v>0.50230200000000003</v>
      </c>
      <c r="U891" s="879">
        <v>3.4079575927305102E-3</v>
      </c>
      <c r="V891" s="880">
        <v>3.1E-2</v>
      </c>
      <c r="W891" s="878">
        <v>0.28277999999999998</v>
      </c>
      <c r="X891" s="881">
        <v>0</v>
      </c>
      <c r="Y891" s="878">
        <v>10.7</v>
      </c>
      <c r="Z891" s="882">
        <v>0</v>
      </c>
      <c r="AA891" s="882">
        <v>0</v>
      </c>
      <c r="AB891" s="882">
        <v>0</v>
      </c>
      <c r="AC891" s="883">
        <v>0.20359793513749233</v>
      </c>
      <c r="AD891" s="883">
        <v>8.3081549609652638E-2</v>
      </c>
      <c r="AE891" s="883">
        <v>0</v>
      </c>
      <c r="AF891" s="878">
        <v>13.403313634265617</v>
      </c>
      <c r="AG891" s="920">
        <f t="shared" si="50"/>
        <v>5.8188246343488128</v>
      </c>
      <c r="AH891" s="888">
        <f t="shared" si="51"/>
        <v>202508</v>
      </c>
      <c r="AJ891" s="262" t="s">
        <v>2112</v>
      </c>
      <c r="AK891" s="262"/>
      <c r="AL891" s="262"/>
    </row>
    <row r="892" spans="3:38" ht="15.75" hidden="1">
      <c r="C892" s="649">
        <v>45900</v>
      </c>
      <c r="D892" s="874">
        <v>342838</v>
      </c>
      <c r="E892" s="874">
        <v>31327</v>
      </c>
      <c r="F892" s="875">
        <v>23602.97</v>
      </c>
      <c r="G892" s="876">
        <v>5073</v>
      </c>
      <c r="H892" s="877">
        <v>2149</v>
      </c>
      <c r="I892" s="889">
        <v>147420</v>
      </c>
      <c r="J892" s="877">
        <v>164236</v>
      </c>
      <c r="K892" s="877">
        <v>49647.65</v>
      </c>
      <c r="L892" s="877">
        <v>9969</v>
      </c>
      <c r="M892" s="877">
        <v>404371</v>
      </c>
      <c r="N892" s="877">
        <v>7213</v>
      </c>
      <c r="O892" s="874">
        <v>4954</v>
      </c>
      <c r="P892" s="874">
        <v>0</v>
      </c>
      <c r="Q892" s="337"/>
      <c r="R892" s="919">
        <f t="shared" si="49"/>
        <v>145646.04425000001</v>
      </c>
      <c r="S892" s="884">
        <v>10.571235208001202</v>
      </c>
      <c r="T892" s="884">
        <v>0.50136700000000001</v>
      </c>
      <c r="U892" s="879">
        <v>3.4079575927305102E-3</v>
      </c>
      <c r="V892" s="885">
        <v>3.2000000000000001E-2</v>
      </c>
      <c r="W892" s="884">
        <v>0.28476999999999997</v>
      </c>
      <c r="X892" s="881">
        <v>0</v>
      </c>
      <c r="Y892" s="884">
        <v>10.64</v>
      </c>
      <c r="Z892" s="882">
        <v>0</v>
      </c>
      <c r="AA892" s="882">
        <v>0</v>
      </c>
      <c r="AB892" s="882">
        <v>0</v>
      </c>
      <c r="AC892" s="886">
        <v>0.2086949627209066</v>
      </c>
      <c r="AD892" s="886">
        <v>8.4695608344400486E-2</v>
      </c>
      <c r="AE892" s="886">
        <v>0</v>
      </c>
      <c r="AF892" s="884">
        <v>13.446808269644086</v>
      </c>
      <c r="AG892" s="920">
        <f t="shared" si="50"/>
        <v>5.8569253852255017</v>
      </c>
      <c r="AH892" s="888">
        <f t="shared" si="51"/>
        <v>202508</v>
      </c>
      <c r="AJ892" s="262" t="s">
        <v>2113</v>
      </c>
      <c r="AK892" s="262"/>
      <c r="AL892" s="262"/>
    </row>
    <row r="893" spans="3:38" ht="15.75" hidden="1">
      <c r="C893" s="649">
        <v>45901</v>
      </c>
      <c r="D893" s="870">
        <v>331680</v>
      </c>
      <c r="E893" s="870">
        <v>31377</v>
      </c>
      <c r="F893" s="871">
        <v>23544.55</v>
      </c>
      <c r="G893" s="872">
        <v>5063</v>
      </c>
      <c r="H893" s="873">
        <v>2082</v>
      </c>
      <c r="I893" s="889">
        <v>147420</v>
      </c>
      <c r="J893" s="873">
        <v>166090</v>
      </c>
      <c r="K893" s="873">
        <v>50412.21</v>
      </c>
      <c r="L893" s="873">
        <v>11552</v>
      </c>
      <c r="M893" s="873">
        <v>363781</v>
      </c>
      <c r="N893" s="873">
        <v>7331</v>
      </c>
      <c r="O893" s="870">
        <v>5184</v>
      </c>
      <c r="P893" s="870">
        <v>0</v>
      </c>
      <c r="Q893" s="337"/>
      <c r="R893" s="919">
        <f t="shared" si="49"/>
        <v>144756.73749999999</v>
      </c>
      <c r="S893" s="878">
        <v>9.1519961942194055</v>
      </c>
      <c r="T893" s="878">
        <v>0.50051999999999996</v>
      </c>
      <c r="U893" s="879">
        <v>3.4079575927305102E-3</v>
      </c>
      <c r="V893" s="880">
        <v>3.2000000000000001E-2</v>
      </c>
      <c r="W893" s="878">
        <v>0.27800000000000002</v>
      </c>
      <c r="X893" s="881">
        <v>0</v>
      </c>
      <c r="Y893" s="878">
        <v>10.84</v>
      </c>
      <c r="Z893" s="882">
        <v>0</v>
      </c>
      <c r="AA893" s="882">
        <v>0</v>
      </c>
      <c r="AB893" s="882">
        <v>0</v>
      </c>
      <c r="AC893" s="883">
        <v>0.19850090755407804</v>
      </c>
      <c r="AD893" s="883">
        <v>0.10771718292948827</v>
      </c>
      <c r="AE893" s="883">
        <v>0</v>
      </c>
      <c r="AF893" s="878">
        <v>11.882247336095165</v>
      </c>
      <c r="AG893" s="920">
        <f t="shared" si="50"/>
        <v>5.6025258791347516</v>
      </c>
      <c r="AH893" s="888">
        <f t="shared" si="51"/>
        <v>202509</v>
      </c>
      <c r="AJ893" s="262" t="s">
        <v>2114</v>
      </c>
      <c r="AK893" s="262"/>
      <c r="AL893" s="262"/>
    </row>
    <row r="894" spans="3:38" ht="15.75" hidden="1">
      <c r="C894" s="649">
        <v>45902</v>
      </c>
      <c r="D894" s="874">
        <v>338180</v>
      </c>
      <c r="E894" s="874">
        <v>17321</v>
      </c>
      <c r="F894" s="875">
        <v>23563.01</v>
      </c>
      <c r="G894" s="876">
        <v>5089</v>
      </c>
      <c r="H894" s="877">
        <v>2138</v>
      </c>
      <c r="I894" s="889">
        <v>147420</v>
      </c>
      <c r="J894" s="877">
        <v>167514</v>
      </c>
      <c r="K894" s="877">
        <v>49903.07</v>
      </c>
      <c r="L894" s="877">
        <v>5573</v>
      </c>
      <c r="M894" s="877">
        <v>373057</v>
      </c>
      <c r="N894" s="877">
        <v>6759</v>
      </c>
      <c r="O894" s="874">
        <v>5271</v>
      </c>
      <c r="P894" s="874">
        <v>0</v>
      </c>
      <c r="Q894" s="337">
        <v>0</v>
      </c>
      <c r="R894" s="919">
        <f t="shared" si="49"/>
        <v>140377.10574999999</v>
      </c>
      <c r="S894" s="884">
        <v>9.0047487306985463</v>
      </c>
      <c r="T894" s="884">
        <v>0.18110000000000001</v>
      </c>
      <c r="U894" s="879">
        <v>3.4079575927305102E-3</v>
      </c>
      <c r="V894" s="885">
        <v>3.2000000000000001E-2</v>
      </c>
      <c r="W894" s="884">
        <v>0.27512999999999999</v>
      </c>
      <c r="X894" s="881">
        <v>0</v>
      </c>
      <c r="Y894" s="884">
        <v>10.73</v>
      </c>
      <c r="Z894" s="882">
        <v>0</v>
      </c>
      <c r="AA894" s="882">
        <v>0</v>
      </c>
      <c r="AB894" s="882">
        <v>0</v>
      </c>
      <c r="AC894" s="886">
        <v>0.23672861442968507</v>
      </c>
      <c r="AD894" s="886">
        <v>9.6616989525608307E-2</v>
      </c>
      <c r="AE894" s="886">
        <v>0</v>
      </c>
      <c r="AF894" s="884">
        <v>11.882049118355811</v>
      </c>
      <c r="AG894" s="920">
        <f t="shared" si="50"/>
        <v>5.4802367642058405</v>
      </c>
      <c r="AH894" s="888">
        <f t="shared" si="51"/>
        <v>202509</v>
      </c>
      <c r="AJ894" s="262" t="s">
        <v>2115</v>
      </c>
      <c r="AK894" s="262"/>
      <c r="AL894" s="262"/>
    </row>
    <row r="895" spans="3:38" ht="15.75" hidden="1">
      <c r="C895" s="649">
        <v>45903</v>
      </c>
      <c r="D895" s="870">
        <v>318215</v>
      </c>
      <c r="E895" s="870">
        <v>26667</v>
      </c>
      <c r="F895" s="871">
        <v>23545.01</v>
      </c>
      <c r="G895" s="872">
        <v>5075</v>
      </c>
      <c r="H895" s="873">
        <v>2195</v>
      </c>
      <c r="I895" s="889">
        <v>147420</v>
      </c>
      <c r="J895" s="873">
        <v>167652</v>
      </c>
      <c r="K895" s="873">
        <v>48695.14</v>
      </c>
      <c r="L895" s="873">
        <v>3039</v>
      </c>
      <c r="M895" s="873">
        <v>366319</v>
      </c>
      <c r="N895" s="873">
        <v>7304</v>
      </c>
      <c r="O895" s="870">
        <v>5320</v>
      </c>
      <c r="P895" s="870">
        <v>0</v>
      </c>
      <c r="Q895" s="337">
        <v>0</v>
      </c>
      <c r="R895" s="919">
        <f t="shared" si="49"/>
        <v>141286.54950000002</v>
      </c>
      <c r="S895" s="878">
        <v>9.0378794099907349</v>
      </c>
      <c r="T895" s="878">
        <v>0.14670800000000001</v>
      </c>
      <c r="U895" s="879">
        <v>3.4079575927305102E-3</v>
      </c>
      <c r="V895" s="880">
        <v>3.1E-2</v>
      </c>
      <c r="W895" s="878">
        <v>0.27511000000000002</v>
      </c>
      <c r="X895" s="881">
        <v>0</v>
      </c>
      <c r="Y895" s="878">
        <v>10.69</v>
      </c>
      <c r="Z895" s="921">
        <v>0</v>
      </c>
      <c r="AA895" s="921">
        <v>0</v>
      </c>
      <c r="AB895" s="921">
        <v>0</v>
      </c>
      <c r="AC895" s="883">
        <v>0.20982763551722086</v>
      </c>
      <c r="AD895" s="883">
        <v>0.10015659201409044</v>
      </c>
      <c r="AE895" s="883">
        <v>0</v>
      </c>
      <c r="AF895" s="878">
        <v>11.883748127550282</v>
      </c>
      <c r="AG895" s="920">
        <f t="shared" si="50"/>
        <v>5.459745561453218</v>
      </c>
      <c r="AH895" s="888">
        <f t="shared" si="51"/>
        <v>202509</v>
      </c>
      <c r="AJ895" s="262" t="s">
        <v>2116</v>
      </c>
      <c r="AK895" s="262"/>
      <c r="AL895" s="262"/>
    </row>
    <row r="896" spans="3:38" ht="15.75" hidden="1">
      <c r="C896" s="649">
        <v>45904</v>
      </c>
      <c r="D896" s="874">
        <v>330336</v>
      </c>
      <c r="E896" s="874">
        <v>26484</v>
      </c>
      <c r="F896" s="875">
        <v>23123.18</v>
      </c>
      <c r="G896" s="876">
        <v>5094</v>
      </c>
      <c r="H896" s="877">
        <v>2091</v>
      </c>
      <c r="I896" s="889">
        <v>147420</v>
      </c>
      <c r="J896" s="877">
        <v>167577</v>
      </c>
      <c r="K896" s="877">
        <v>48997.52</v>
      </c>
      <c r="L896" s="877">
        <v>1692</v>
      </c>
      <c r="M896" s="877">
        <v>379938</v>
      </c>
      <c r="N896" s="877">
        <v>7450</v>
      </c>
      <c r="O896" s="874">
        <v>5162</v>
      </c>
      <c r="P896" s="874">
        <v>0</v>
      </c>
      <c r="Q896" s="337">
        <v>0</v>
      </c>
      <c r="R896" s="919">
        <f t="shared" si="49"/>
        <v>141430.649</v>
      </c>
      <c r="S896" s="884">
        <v>9.0540199973382194</v>
      </c>
      <c r="T896" s="884">
        <v>0.21176400000000001</v>
      </c>
      <c r="U896" s="879">
        <v>3.4079575927305102E-3</v>
      </c>
      <c r="V896" s="885">
        <v>3.1E-2</v>
      </c>
      <c r="W896" s="884">
        <v>0.26172000000000001</v>
      </c>
      <c r="X896" s="881">
        <v>0</v>
      </c>
      <c r="Y896" s="884">
        <v>10.78</v>
      </c>
      <c r="Z896" s="882">
        <v>0</v>
      </c>
      <c r="AA896" s="882">
        <v>0</v>
      </c>
      <c r="AB896" s="882">
        <v>0</v>
      </c>
      <c r="AC896" s="886">
        <v>0.20218209414209945</v>
      </c>
      <c r="AD896" s="886">
        <v>0.10250688806644258</v>
      </c>
      <c r="AE896" s="886">
        <v>0</v>
      </c>
      <c r="AF896" s="884">
        <v>11.882643771573877</v>
      </c>
      <c r="AG896" s="920">
        <f t="shared" si="50"/>
        <v>5.4877041619868212</v>
      </c>
      <c r="AH896" s="888">
        <f t="shared" si="51"/>
        <v>202509</v>
      </c>
      <c r="AJ896" s="262" t="s">
        <v>2117</v>
      </c>
      <c r="AK896" s="262"/>
      <c r="AL896" s="262"/>
    </row>
    <row r="897" spans="3:38" ht="15.75" hidden="1">
      <c r="C897" s="649">
        <v>45905</v>
      </c>
      <c r="D897" s="870">
        <v>326657</v>
      </c>
      <c r="E897" s="870">
        <v>23208</v>
      </c>
      <c r="F897" s="871">
        <v>22673.11</v>
      </c>
      <c r="G897" s="872">
        <v>5124</v>
      </c>
      <c r="H897" s="873">
        <v>2030</v>
      </c>
      <c r="I897" s="889">
        <v>147420</v>
      </c>
      <c r="J897" s="873">
        <v>167738</v>
      </c>
      <c r="K897" s="873">
        <v>40186.370000000003</v>
      </c>
      <c r="L897" s="873">
        <v>1077</v>
      </c>
      <c r="M897" s="873">
        <v>426863</v>
      </c>
      <c r="N897" s="873">
        <v>7509</v>
      </c>
      <c r="O897" s="870">
        <v>5184</v>
      </c>
      <c r="P897" s="870">
        <v>0</v>
      </c>
      <c r="Q897" s="337">
        <v>0</v>
      </c>
      <c r="R897" s="919">
        <f t="shared" ref="R897:R960" si="52" xml:space="preserve"> IF(C897&lt; DATE(2024, 11, 1), D897 * (2.31 / 100), D897 * (2.925 / 100))+E897*E$6+F897*F$6+G897*G$6+H897*H$6+I897*I$6+J897*J$6+K897*K$6+L897*L$6+M897*M$6+N897*N$6+O897*O$6+P897*P$6+Q897*Q$6</f>
        <v>139660.46299999999</v>
      </c>
      <c r="S897" s="878">
        <v>9.0248536728331263</v>
      </c>
      <c r="T897" s="878">
        <v>0.245729</v>
      </c>
      <c r="U897" s="879">
        <v>3.4079575927305102E-3</v>
      </c>
      <c r="V897" s="880">
        <v>3.2000000000000001E-2</v>
      </c>
      <c r="W897" s="878">
        <v>0.25917000000000001</v>
      </c>
      <c r="X897" s="881">
        <v>0</v>
      </c>
      <c r="Y897" s="878">
        <v>10.62</v>
      </c>
      <c r="Z897" s="882">
        <v>0</v>
      </c>
      <c r="AA897" s="882">
        <v>0</v>
      </c>
      <c r="AB897" s="882">
        <v>0</v>
      </c>
      <c r="AC897" s="883">
        <v>0.19170487077619233</v>
      </c>
      <c r="AD897" s="883">
        <v>8.8858180870855466E-2</v>
      </c>
      <c r="AE897" s="883">
        <v>0</v>
      </c>
      <c r="AF897" s="878">
        <v>11.627933976502701</v>
      </c>
      <c r="AG897" s="920">
        <f t="shared" ref="AG897:AG960" si="53" xml:space="preserve"> IF(C897&lt; DATE(2024, 11, 1), S897 * (2.31 / 100), S897 * (2.925 / 100))+T897*T$6+U897*U$6+V897*V$6+W897*W$6+X897*X$6+Y897*Y$6+Z897*Z$6+AA897*AA$6+AB897*AB$6+AC897*AC$6+AD897*AD$6+AE897*AE$6+AF897*AF$6</f>
        <v>5.4024589543844632</v>
      </c>
      <c r="AH897" s="888">
        <f t="shared" ref="AH897:AH960" si="54">IF($AK$1&gt;=C897,(YEAR(C897)*100+MONTH(C897)),0)</f>
        <v>202509</v>
      </c>
      <c r="AJ897" s="931" t="s">
        <v>2118</v>
      </c>
      <c r="AK897" s="262"/>
      <c r="AL897" s="262"/>
    </row>
    <row r="898" spans="3:38" ht="15.75" hidden="1">
      <c r="C898" s="649">
        <v>45906</v>
      </c>
      <c r="D898" s="795">
        <v>309596</v>
      </c>
      <c r="E898" s="874">
        <v>24396</v>
      </c>
      <c r="F898" s="875">
        <v>23471.040000000001</v>
      </c>
      <c r="G898" s="876">
        <v>5085</v>
      </c>
      <c r="H898" s="877">
        <v>2132</v>
      </c>
      <c r="I898" s="889">
        <v>147420</v>
      </c>
      <c r="J898" s="877">
        <v>166156</v>
      </c>
      <c r="K898" s="877">
        <v>37893.61</v>
      </c>
      <c r="L898" s="877">
        <v>1099</v>
      </c>
      <c r="M898" s="877">
        <v>417554</v>
      </c>
      <c r="N898" s="877">
        <v>7504</v>
      </c>
      <c r="O898" s="874">
        <v>5031</v>
      </c>
      <c r="P898" s="874">
        <v>0</v>
      </c>
      <c r="Q898" s="337">
        <v>0</v>
      </c>
      <c r="R898" s="919">
        <f t="shared" si="52"/>
        <v>138709.92724999998</v>
      </c>
      <c r="S898" s="884">
        <v>8.8982774878450055</v>
      </c>
      <c r="T898" s="884">
        <v>0.35239300000000001</v>
      </c>
      <c r="U898" s="879">
        <v>3.4079575927305102E-3</v>
      </c>
      <c r="V898" s="885">
        <v>3.2000000000000001E-2</v>
      </c>
      <c r="W898" s="884">
        <v>0.26123000000000002</v>
      </c>
      <c r="X898" s="881">
        <v>0</v>
      </c>
      <c r="Y898" s="884">
        <v>10.75</v>
      </c>
      <c r="Z898" s="882">
        <v>0</v>
      </c>
      <c r="AA898" s="882">
        <v>0</v>
      </c>
      <c r="AB898" s="882">
        <v>0</v>
      </c>
      <c r="AC898" s="886">
        <v>0.18802368418817092</v>
      </c>
      <c r="AD898" s="886">
        <v>8.7498973515278328E-2</v>
      </c>
      <c r="AE898" s="886">
        <v>0</v>
      </c>
      <c r="AF898" s="884">
        <v>12.190645821711637</v>
      </c>
      <c r="AG898" s="920">
        <f t="shared" si="53"/>
        <v>5.5581282811921664</v>
      </c>
      <c r="AH898" s="888">
        <f t="shared" si="54"/>
        <v>202509</v>
      </c>
      <c r="AJ898" s="262" t="s">
        <v>2118</v>
      </c>
      <c r="AK898" s="262"/>
      <c r="AL898" s="262"/>
    </row>
    <row r="899" spans="3:38" ht="15.75" hidden="1">
      <c r="C899" s="649">
        <v>45907</v>
      </c>
      <c r="D899" s="870">
        <v>332080</v>
      </c>
      <c r="E899" s="870">
        <v>23931</v>
      </c>
      <c r="F899" s="871">
        <v>23463.93</v>
      </c>
      <c r="G899" s="872">
        <v>5131</v>
      </c>
      <c r="H899" s="873">
        <v>2053</v>
      </c>
      <c r="I899" s="889">
        <v>147420</v>
      </c>
      <c r="J899" s="873">
        <v>168187</v>
      </c>
      <c r="K899" s="873">
        <v>43958.33</v>
      </c>
      <c r="L899" s="873">
        <v>1106</v>
      </c>
      <c r="M899" s="873">
        <v>418223</v>
      </c>
      <c r="N899" s="873">
        <v>7600</v>
      </c>
      <c r="O899" s="870">
        <v>5078</v>
      </c>
      <c r="P899" s="870">
        <v>0</v>
      </c>
      <c r="Q899" s="337">
        <v>0</v>
      </c>
      <c r="R899" s="919">
        <f t="shared" si="52"/>
        <v>141283.10600000003</v>
      </c>
      <c r="S899" s="878">
        <v>9.5979861077681541</v>
      </c>
      <c r="T899" s="878">
        <v>0.34955599999999998</v>
      </c>
      <c r="U899" s="879">
        <v>3.4079575927305102E-3</v>
      </c>
      <c r="V899" s="880">
        <v>3.2000000000000001E-2</v>
      </c>
      <c r="W899" s="878">
        <v>0.27417000000000002</v>
      </c>
      <c r="X899" s="881">
        <v>0</v>
      </c>
      <c r="Y899" s="878">
        <v>10.69</v>
      </c>
      <c r="Z899" s="882">
        <v>0</v>
      </c>
      <c r="AA899" s="882">
        <v>0</v>
      </c>
      <c r="AB899" s="882">
        <v>0</v>
      </c>
      <c r="AC899" s="883">
        <v>0.1775464608222638</v>
      </c>
      <c r="AD899" s="883">
        <v>8.8659963131500472E-2</v>
      </c>
      <c r="AE899" s="883">
        <v>0</v>
      </c>
      <c r="AF899" s="878">
        <v>11.882615454753967</v>
      </c>
      <c r="AG899" s="920">
        <f t="shared" si="53"/>
        <v>5.5221155072183539</v>
      </c>
      <c r="AH899" s="888">
        <f t="shared" si="54"/>
        <v>202509</v>
      </c>
      <c r="AJ899" s="262" t="s">
        <v>2119</v>
      </c>
      <c r="AK899" s="262"/>
      <c r="AL899" s="262"/>
    </row>
    <row r="900" spans="3:38" ht="15.75" hidden="1">
      <c r="C900" s="649">
        <v>45908</v>
      </c>
      <c r="D900" s="874">
        <v>342037</v>
      </c>
      <c r="E900" s="874">
        <v>24522</v>
      </c>
      <c r="F900" s="875">
        <v>23496.02</v>
      </c>
      <c r="G900" s="876">
        <v>5145</v>
      </c>
      <c r="H900" s="877">
        <v>2117</v>
      </c>
      <c r="I900" s="889">
        <v>144002</v>
      </c>
      <c r="J900" s="877">
        <v>165970</v>
      </c>
      <c r="K900" s="877">
        <v>43870.15</v>
      </c>
      <c r="L900" s="877">
        <v>5437</v>
      </c>
      <c r="M900" s="877">
        <v>410061</v>
      </c>
      <c r="N900" s="877">
        <v>7607</v>
      </c>
      <c r="O900" s="874">
        <v>5030</v>
      </c>
      <c r="P900" s="874">
        <v>0</v>
      </c>
      <c r="Q900" s="337">
        <v>0</v>
      </c>
      <c r="R900" s="919">
        <f t="shared" si="52"/>
        <v>141245.26</v>
      </c>
      <c r="S900" s="884">
        <v>11.535139757664655</v>
      </c>
      <c r="T900" s="884">
        <v>0.32336100000000001</v>
      </c>
      <c r="U900" s="879">
        <v>3.4079575927305102E-3</v>
      </c>
      <c r="V900" s="885">
        <v>3.2000000000000001E-2</v>
      </c>
      <c r="W900" s="884">
        <v>0.30673</v>
      </c>
      <c r="X900" s="881">
        <v>0</v>
      </c>
      <c r="Y900" s="884">
        <v>10.59</v>
      </c>
      <c r="Z900" s="882">
        <v>0</v>
      </c>
      <c r="AA900" s="882">
        <v>0</v>
      </c>
      <c r="AB900" s="882">
        <v>0</v>
      </c>
      <c r="AC900" s="886">
        <v>0.2055801125310423</v>
      </c>
      <c r="AD900" s="886">
        <v>5.8049480811106981E-2</v>
      </c>
      <c r="AE900" s="886">
        <v>0</v>
      </c>
      <c r="AF900" s="884">
        <v>11.883380008891482</v>
      </c>
      <c r="AG900" s="920">
        <f t="shared" si="53"/>
        <v>5.5692340844410122</v>
      </c>
      <c r="AH900" s="888">
        <f t="shared" si="54"/>
        <v>202509</v>
      </c>
      <c r="AJ900" s="262" t="s">
        <v>2120</v>
      </c>
      <c r="AK900" s="262"/>
      <c r="AL900" s="262"/>
    </row>
    <row r="901" spans="3:38" ht="15.75" hidden="1">
      <c r="C901" s="649">
        <v>45909</v>
      </c>
      <c r="D901" s="870">
        <v>318704</v>
      </c>
      <c r="E901" s="870">
        <v>25132</v>
      </c>
      <c r="F901" s="871">
        <v>23434.329999999998</v>
      </c>
      <c r="G901" s="872">
        <v>5068</v>
      </c>
      <c r="H901" s="873">
        <v>2108</v>
      </c>
      <c r="I901" s="889">
        <v>144002</v>
      </c>
      <c r="J901" s="873">
        <v>166094</v>
      </c>
      <c r="K901" s="873">
        <v>43636.99</v>
      </c>
      <c r="L901" s="873">
        <v>12203</v>
      </c>
      <c r="M901" s="873">
        <v>415981</v>
      </c>
      <c r="N901" s="873">
        <v>7609</v>
      </c>
      <c r="O901" s="870">
        <v>5140</v>
      </c>
      <c r="P901" s="870">
        <v>0</v>
      </c>
      <c r="Q901" s="337">
        <v>0</v>
      </c>
      <c r="R901" s="919">
        <f t="shared" si="52"/>
        <v>142524.05424999999</v>
      </c>
      <c r="S901" s="878">
        <v>12.689616505307983</v>
      </c>
      <c r="T901" s="878">
        <v>0.422707</v>
      </c>
      <c r="U901" s="879">
        <v>3.4079575927305102E-3</v>
      </c>
      <c r="V901" s="880">
        <v>3.2000000000000001E-2</v>
      </c>
      <c r="W901" s="878">
        <v>0.29019</v>
      </c>
      <c r="X901" s="881">
        <v>0</v>
      </c>
      <c r="Y901" s="878">
        <v>10.71</v>
      </c>
      <c r="Z901" s="882">
        <v>0</v>
      </c>
      <c r="AA901" s="882">
        <v>0</v>
      </c>
      <c r="AB901" s="882">
        <v>0</v>
      </c>
      <c r="AC901" s="883">
        <v>0.18066131101212807</v>
      </c>
      <c r="AD901" s="883">
        <v>9.1689862861641186E-2</v>
      </c>
      <c r="AE901" s="883">
        <v>0</v>
      </c>
      <c r="AF901" s="878">
        <v>11.883719810730376</v>
      </c>
      <c r="AG901" s="920">
        <f t="shared" si="53"/>
        <v>5.655258800275325</v>
      </c>
      <c r="AH901" s="888">
        <f t="shared" si="54"/>
        <v>202509</v>
      </c>
      <c r="AJ901" s="262" t="s">
        <v>2123</v>
      </c>
      <c r="AK901" s="262"/>
      <c r="AL901" s="262"/>
    </row>
    <row r="902" spans="3:38" ht="15.75" hidden="1">
      <c r="C902" s="649">
        <v>45910</v>
      </c>
      <c r="D902" s="874">
        <v>319057</v>
      </c>
      <c r="E902" s="874">
        <v>24730</v>
      </c>
      <c r="F902" s="875">
        <v>23412.57</v>
      </c>
      <c r="G902" s="876">
        <v>5110</v>
      </c>
      <c r="H902" s="877">
        <v>2097</v>
      </c>
      <c r="I902" s="889">
        <v>144002</v>
      </c>
      <c r="J902" s="877">
        <v>168003</v>
      </c>
      <c r="K902" s="877">
        <v>45407.75</v>
      </c>
      <c r="L902" s="877">
        <v>11776</v>
      </c>
      <c r="M902" s="877">
        <v>426480</v>
      </c>
      <c r="N902" s="877">
        <v>7604</v>
      </c>
      <c r="O902" s="874">
        <v>5185</v>
      </c>
      <c r="P902" s="874">
        <v>0</v>
      </c>
      <c r="Q902" s="337">
        <v>0</v>
      </c>
      <c r="R902" s="919">
        <f t="shared" si="52"/>
        <v>143694.03375</v>
      </c>
      <c r="S902" s="884">
        <v>11.231017111854266</v>
      </c>
      <c r="T902" s="884">
        <v>0.48894799999999999</v>
      </c>
      <c r="U902" s="879">
        <v>3.4079575927305102E-3</v>
      </c>
      <c r="V902" s="885">
        <v>3.1E-2</v>
      </c>
      <c r="W902" s="884">
        <v>0.27633999999999997</v>
      </c>
      <c r="X902" s="881">
        <v>0</v>
      </c>
      <c r="Y902" s="884">
        <v>10.8</v>
      </c>
      <c r="Z902" s="882">
        <v>0</v>
      </c>
      <c r="AA902" s="882">
        <v>0</v>
      </c>
      <c r="AB902" s="882">
        <v>0</v>
      </c>
      <c r="AC902" s="886">
        <v>0.18490883399830665</v>
      </c>
      <c r="AD902" s="886">
        <v>8.9707685468091186E-2</v>
      </c>
      <c r="AE902" s="886">
        <v>0</v>
      </c>
      <c r="AF902" s="884">
        <v>11.599362305215674</v>
      </c>
      <c r="AG902" s="920">
        <f t="shared" si="53"/>
        <v>5.5908634186503638</v>
      </c>
      <c r="AH902" s="888">
        <f t="shared" si="54"/>
        <v>202509</v>
      </c>
      <c r="AJ902" s="262" t="s">
        <v>2122</v>
      </c>
      <c r="AK902" s="262"/>
      <c r="AL902" s="262"/>
    </row>
    <row r="903" spans="3:38" ht="15.75" hidden="1">
      <c r="C903" s="649">
        <v>45911</v>
      </c>
      <c r="D903" s="870">
        <v>317213</v>
      </c>
      <c r="E903" s="870">
        <v>24371</v>
      </c>
      <c r="F903" s="871">
        <v>23420.11</v>
      </c>
      <c r="G903" s="872">
        <v>5071</v>
      </c>
      <c r="H903" s="873">
        <v>2158</v>
      </c>
      <c r="I903" s="889">
        <v>144002</v>
      </c>
      <c r="J903" s="873">
        <v>168473</v>
      </c>
      <c r="K903" s="873">
        <v>46147.92</v>
      </c>
      <c r="L903" s="873">
        <v>748</v>
      </c>
      <c r="M903" s="873">
        <v>401017</v>
      </c>
      <c r="N903" s="873">
        <v>7555</v>
      </c>
      <c r="O903" s="870">
        <v>5038</v>
      </c>
      <c r="P903" s="870">
        <v>0</v>
      </c>
      <c r="Q903" s="337">
        <v>0</v>
      </c>
      <c r="R903" s="919">
        <f t="shared" si="52"/>
        <v>140153.97224999999</v>
      </c>
      <c r="S903" s="878">
        <v>12.497062129934561</v>
      </c>
      <c r="T903" s="878">
        <v>0.51384099999999999</v>
      </c>
      <c r="U903" s="879">
        <v>3.4079575927305102E-3</v>
      </c>
      <c r="V903" s="880">
        <v>3.2000000000000001E-2</v>
      </c>
      <c r="W903" s="878">
        <v>0.28055999999999998</v>
      </c>
      <c r="X903" s="881">
        <v>0</v>
      </c>
      <c r="Y903" s="878">
        <v>10.69</v>
      </c>
      <c r="Z903" s="882">
        <v>0</v>
      </c>
      <c r="AA903" s="882">
        <v>0</v>
      </c>
      <c r="AB903" s="882">
        <v>0</v>
      </c>
      <c r="AC903" s="883">
        <v>0.18632467499369951</v>
      </c>
      <c r="AD903" s="883">
        <v>9.2624317918600457E-2</v>
      </c>
      <c r="AE903" s="883">
        <v>0</v>
      </c>
      <c r="AF903" s="878">
        <v>11.600948047130515</v>
      </c>
      <c r="AG903" s="920">
        <f t="shared" si="53"/>
        <v>5.6123283170444322</v>
      </c>
      <c r="AH903" s="888">
        <f t="shared" si="54"/>
        <v>202509</v>
      </c>
      <c r="AJ903" s="262" t="s">
        <v>2124</v>
      </c>
      <c r="AK903" s="262"/>
      <c r="AL903" s="262"/>
    </row>
    <row r="904" spans="3:38" ht="15.75" hidden="1">
      <c r="C904" s="649">
        <v>45912</v>
      </c>
      <c r="D904" s="874">
        <v>329660</v>
      </c>
      <c r="E904" s="874">
        <v>28792</v>
      </c>
      <c r="F904" s="875">
        <v>23420.79</v>
      </c>
      <c r="G904" s="876">
        <v>5038</v>
      </c>
      <c r="H904" s="877">
        <v>2084</v>
      </c>
      <c r="I904" s="889">
        <v>144002</v>
      </c>
      <c r="J904" s="877">
        <v>169065</v>
      </c>
      <c r="K904" s="877">
        <v>44871.1</v>
      </c>
      <c r="L904" s="877">
        <v>1110</v>
      </c>
      <c r="M904" s="877">
        <v>431895</v>
      </c>
      <c r="N904" s="877">
        <v>7573</v>
      </c>
      <c r="O904" s="874">
        <v>4870</v>
      </c>
      <c r="P904" s="874">
        <v>0</v>
      </c>
      <c r="Q904" s="337">
        <v>0</v>
      </c>
      <c r="R904" s="919">
        <f t="shared" si="52"/>
        <v>142713.64049999998</v>
      </c>
      <c r="S904" s="884">
        <v>13.495513199885597</v>
      </c>
      <c r="T904" s="884">
        <v>0.51848399999999994</v>
      </c>
      <c r="U904" s="879">
        <v>3.4079575927305102E-3</v>
      </c>
      <c r="V904" s="885">
        <v>0.03</v>
      </c>
      <c r="W904" s="884">
        <v>0.27035999999999999</v>
      </c>
      <c r="X904" s="881">
        <v>0</v>
      </c>
      <c r="Y904" s="884">
        <v>10.71</v>
      </c>
      <c r="Z904" s="882">
        <v>0</v>
      </c>
      <c r="AA904" s="882">
        <v>0</v>
      </c>
      <c r="AB904" s="882">
        <v>0</v>
      </c>
      <c r="AC904" s="886">
        <v>0.18745734779001377</v>
      </c>
      <c r="AD904" s="886">
        <v>7.3538781300704806E-2</v>
      </c>
      <c r="AE904" s="886">
        <v>0</v>
      </c>
      <c r="AF904" s="884">
        <v>11.600438344372172</v>
      </c>
      <c r="AG904" s="920">
        <f t="shared" si="53"/>
        <v>5.629190350732018</v>
      </c>
      <c r="AH904" s="888">
        <f t="shared" si="54"/>
        <v>202509</v>
      </c>
      <c r="AJ904" s="262" t="s">
        <v>2124</v>
      </c>
      <c r="AK904" s="262"/>
      <c r="AL904" s="262"/>
    </row>
    <row r="905" spans="3:38" ht="15.75" hidden="1">
      <c r="C905" s="649">
        <v>45913</v>
      </c>
      <c r="D905" s="870">
        <v>339217</v>
      </c>
      <c r="E905" s="870">
        <v>31755</v>
      </c>
      <c r="F905" s="871">
        <v>23378.45</v>
      </c>
      <c r="G905" s="872">
        <v>5080</v>
      </c>
      <c r="H905" s="873">
        <v>2108</v>
      </c>
      <c r="I905" s="889">
        <v>144002</v>
      </c>
      <c r="J905" s="873">
        <v>167523</v>
      </c>
      <c r="K905" s="873">
        <v>45062.87</v>
      </c>
      <c r="L905" s="873">
        <v>1108</v>
      </c>
      <c r="M905" s="873">
        <v>438282</v>
      </c>
      <c r="N905" s="873">
        <v>7598</v>
      </c>
      <c r="O905" s="870">
        <v>4838</v>
      </c>
      <c r="P905" s="870">
        <v>0</v>
      </c>
      <c r="Q905" s="337">
        <v>0</v>
      </c>
      <c r="R905" s="919">
        <f t="shared" si="52"/>
        <v>143700.52475000001</v>
      </c>
      <c r="S905" s="878">
        <v>13.2140440100015</v>
      </c>
      <c r="T905" s="878">
        <v>0.497838</v>
      </c>
      <c r="U905" s="879">
        <v>3.4079575927305102E-3</v>
      </c>
      <c r="V905" s="880">
        <v>0.03</v>
      </c>
      <c r="W905" s="878">
        <v>0.27288000000000001</v>
      </c>
      <c r="X905" s="881">
        <v>0</v>
      </c>
      <c r="Y905" s="878">
        <v>10.46</v>
      </c>
      <c r="Z905" s="882">
        <v>0</v>
      </c>
      <c r="AA905" s="882">
        <v>0</v>
      </c>
      <c r="AB905" s="882">
        <v>0</v>
      </c>
      <c r="AC905" s="883">
        <v>0.19085536617895663</v>
      </c>
      <c r="AD905" s="883">
        <v>7.8380957504948348E-2</v>
      </c>
      <c r="AE905" s="883">
        <v>0</v>
      </c>
      <c r="AF905" s="878">
        <v>11.598512800618439</v>
      </c>
      <c r="AG905" s="920">
        <f t="shared" si="53"/>
        <v>5.554886266994254</v>
      </c>
      <c r="AH905" s="888">
        <f t="shared" si="54"/>
        <v>202509</v>
      </c>
      <c r="AJ905" s="262" t="s">
        <v>2124</v>
      </c>
      <c r="AK905" s="262"/>
      <c r="AL905" s="262"/>
    </row>
    <row r="906" spans="3:38" ht="15.75" hidden="1">
      <c r="C906" s="649">
        <v>45914</v>
      </c>
      <c r="D906" s="874">
        <v>334954</v>
      </c>
      <c r="E906" s="874">
        <v>30189</v>
      </c>
      <c r="F906" s="875">
        <v>23402.639999999999</v>
      </c>
      <c r="G906" s="876">
        <v>5265</v>
      </c>
      <c r="H906" s="877">
        <v>2129</v>
      </c>
      <c r="I906" s="889">
        <v>144002</v>
      </c>
      <c r="J906" s="877">
        <v>168173</v>
      </c>
      <c r="K906" s="877">
        <v>46393.69</v>
      </c>
      <c r="L906" s="877">
        <v>1095</v>
      </c>
      <c r="M906" s="877">
        <v>427955</v>
      </c>
      <c r="N906" s="877">
        <v>7528</v>
      </c>
      <c r="O906" s="874">
        <v>5015</v>
      </c>
      <c r="P906" s="874">
        <v>0</v>
      </c>
      <c r="Q906" s="337">
        <v>0</v>
      </c>
      <c r="R906" s="919">
        <f t="shared" si="52"/>
        <v>143432.03375</v>
      </c>
      <c r="S906" s="884">
        <v>13.459550838602622</v>
      </c>
      <c r="T906" s="884">
        <v>0.49913999999999997</v>
      </c>
      <c r="U906" s="879">
        <v>3.4079575927305102E-3</v>
      </c>
      <c r="V906" s="885">
        <v>3.2000000000000001E-2</v>
      </c>
      <c r="W906" s="884">
        <v>0.26685000000000003</v>
      </c>
      <c r="X906" s="881">
        <v>0</v>
      </c>
      <c r="Y906" s="884">
        <v>10.72</v>
      </c>
      <c r="Z906" s="882">
        <v>0</v>
      </c>
      <c r="AA906" s="882">
        <v>0</v>
      </c>
      <c r="AB906" s="882">
        <v>0</v>
      </c>
      <c r="AC906" s="886">
        <v>0.20897813091998516</v>
      </c>
      <c r="AD906" s="886">
        <v>8.5092043823110475E-2</v>
      </c>
      <c r="AE906" s="886">
        <v>0</v>
      </c>
      <c r="AF906" s="884">
        <v>11.597323494182309</v>
      </c>
      <c r="AG906" s="920">
        <f t="shared" si="53"/>
        <v>5.6294646382854738</v>
      </c>
      <c r="AH906" s="888">
        <f t="shared" si="54"/>
        <v>202509</v>
      </c>
      <c r="AJ906" s="262" t="s">
        <v>2125</v>
      </c>
      <c r="AK906" s="262"/>
      <c r="AL906" s="262"/>
    </row>
    <row r="907" spans="3:38" ht="15.75" hidden="1">
      <c r="C907" s="649">
        <v>45915</v>
      </c>
      <c r="D907" s="870">
        <v>317287</v>
      </c>
      <c r="E907" s="870">
        <v>31239</v>
      </c>
      <c r="F907" s="871">
        <v>23377.42</v>
      </c>
      <c r="G907" s="872">
        <v>5105</v>
      </c>
      <c r="H907" s="873">
        <v>2135</v>
      </c>
      <c r="I907" s="889">
        <v>141102</v>
      </c>
      <c r="J907" s="873">
        <v>167761</v>
      </c>
      <c r="K907" s="873">
        <v>46508.52</v>
      </c>
      <c r="L907" s="873">
        <v>7176</v>
      </c>
      <c r="M907" s="873">
        <v>430152</v>
      </c>
      <c r="N907" s="873">
        <v>7456</v>
      </c>
      <c r="O907" s="870">
        <v>4122</v>
      </c>
      <c r="P907" s="870">
        <v>0</v>
      </c>
      <c r="Q907" s="337">
        <v>0</v>
      </c>
      <c r="R907" s="919">
        <f t="shared" si="52"/>
        <v>143638.50875000001</v>
      </c>
      <c r="S907" s="878">
        <v>13.394705321013628</v>
      </c>
      <c r="T907" s="878">
        <v>0.501633</v>
      </c>
      <c r="U907" s="879">
        <v>3.4079575927305102E-3</v>
      </c>
      <c r="V907" s="880">
        <v>3.1E-2</v>
      </c>
      <c r="W907" s="878">
        <v>0.28619</v>
      </c>
      <c r="X907" s="881">
        <v>0</v>
      </c>
      <c r="Y907" s="878">
        <v>10.79</v>
      </c>
      <c r="Z907" s="882">
        <v>0</v>
      </c>
      <c r="AA907" s="882">
        <v>0</v>
      </c>
      <c r="AB907" s="882">
        <v>0</v>
      </c>
      <c r="AC907" s="883">
        <v>0.20897813091998516</v>
      </c>
      <c r="AD907" s="883">
        <v>7.8267690225316919E-2</v>
      </c>
      <c r="AE907" s="883">
        <v>0</v>
      </c>
      <c r="AF907" s="878">
        <v>11.591631813380831</v>
      </c>
      <c r="AG907" s="920">
        <f t="shared" si="53"/>
        <v>5.6615836897206266</v>
      </c>
      <c r="AH907" s="888">
        <f t="shared" si="54"/>
        <v>202509</v>
      </c>
      <c r="AJ907" s="262" t="s">
        <v>2124</v>
      </c>
      <c r="AK907" s="262"/>
      <c r="AL907" s="262"/>
    </row>
    <row r="908" spans="3:38" ht="15.75" hidden="1">
      <c r="C908" s="649">
        <v>45916</v>
      </c>
      <c r="D908" s="874">
        <v>327417</v>
      </c>
      <c r="E908" s="874">
        <v>31428</v>
      </c>
      <c r="F908" s="875">
        <v>23335.03</v>
      </c>
      <c r="G908" s="876">
        <v>5129</v>
      </c>
      <c r="H908" s="877">
        <v>1814</v>
      </c>
      <c r="I908" s="889">
        <v>141102</v>
      </c>
      <c r="J908" s="877">
        <v>167383</v>
      </c>
      <c r="K908" s="877">
        <v>45052.39</v>
      </c>
      <c r="L908" s="877">
        <v>14998</v>
      </c>
      <c r="M908" s="877">
        <v>437295</v>
      </c>
      <c r="N908" s="877">
        <v>7564</v>
      </c>
      <c r="O908" s="874">
        <v>4155</v>
      </c>
      <c r="P908" s="874">
        <v>0</v>
      </c>
      <c r="Q908" s="337">
        <v>0</v>
      </c>
      <c r="R908" s="919">
        <f t="shared" si="52"/>
        <v>145382.71325</v>
      </c>
      <c r="S908" s="884">
        <v>13.456435988412757</v>
      </c>
      <c r="T908" s="884">
        <v>0.49936199999999997</v>
      </c>
      <c r="U908" s="879">
        <v>3.4079575927305102E-3</v>
      </c>
      <c r="V908" s="885">
        <v>3.2000000000000001E-2</v>
      </c>
      <c r="W908" s="884">
        <v>0.13094999999999998</v>
      </c>
      <c r="X908" s="881">
        <v>0</v>
      </c>
      <c r="Y908" s="884">
        <v>10.75</v>
      </c>
      <c r="Z908" s="882">
        <v>0</v>
      </c>
      <c r="AA908" s="882">
        <v>0</v>
      </c>
      <c r="AB908" s="882">
        <v>0</v>
      </c>
      <c r="AC908" s="886">
        <v>0.19481972096605663</v>
      </c>
      <c r="AD908" s="886">
        <v>8.2062144092969788E-2</v>
      </c>
      <c r="AE908" s="886">
        <v>0</v>
      </c>
      <c r="AF908" s="884">
        <v>11.591320328361842</v>
      </c>
      <c r="AG908" s="920">
        <f t="shared" si="53"/>
        <v>5.4975435457409523</v>
      </c>
      <c r="AH908" s="888">
        <f t="shared" si="54"/>
        <v>202509</v>
      </c>
      <c r="AJ908" s="262" t="s">
        <v>2127</v>
      </c>
      <c r="AK908" s="262"/>
      <c r="AL908" s="262"/>
    </row>
    <row r="909" spans="3:38" ht="15.75" hidden="1">
      <c r="C909" s="649">
        <v>45917</v>
      </c>
      <c r="D909" s="870">
        <v>354191</v>
      </c>
      <c r="E909" s="870">
        <v>30604</v>
      </c>
      <c r="F909" s="871">
        <v>23377.18</v>
      </c>
      <c r="G909" s="872">
        <v>5144</v>
      </c>
      <c r="H909" s="873">
        <v>1781</v>
      </c>
      <c r="I909" s="889">
        <v>141102</v>
      </c>
      <c r="J909" s="873">
        <v>168591</v>
      </c>
      <c r="K909" s="873">
        <v>47005.120000000003</v>
      </c>
      <c r="L909" s="873">
        <v>13526</v>
      </c>
      <c r="M909" s="873">
        <v>448383</v>
      </c>
      <c r="N909" s="873">
        <v>7252</v>
      </c>
      <c r="O909" s="870">
        <v>4781</v>
      </c>
      <c r="P909" s="870">
        <v>0</v>
      </c>
      <c r="Q909" s="337">
        <v>0</v>
      </c>
      <c r="R909" s="919">
        <f t="shared" si="52"/>
        <v>147054.12025000001</v>
      </c>
      <c r="S909" s="878">
        <v>13.304091497308484</v>
      </c>
      <c r="T909" s="878">
        <v>0.507077</v>
      </c>
      <c r="U909" s="879">
        <v>3.4079575927305102E-3</v>
      </c>
      <c r="V909" s="880">
        <v>3.2000000000000001E-2</v>
      </c>
      <c r="W909" s="878">
        <v>9.9670000000000009E-2</v>
      </c>
      <c r="X909" s="881">
        <v>0</v>
      </c>
      <c r="Y909" s="878">
        <v>10.64</v>
      </c>
      <c r="Z909" s="882">
        <v>0</v>
      </c>
      <c r="AA909" s="921">
        <v>0</v>
      </c>
      <c r="AB909" s="921">
        <v>0</v>
      </c>
      <c r="AC909" s="883">
        <v>0.19481972096605663</v>
      </c>
      <c r="AD909" s="883">
        <v>8.4554024244861206E-2</v>
      </c>
      <c r="AE909" s="883">
        <v>0</v>
      </c>
      <c r="AF909" s="878">
        <v>11.604062897320379</v>
      </c>
      <c r="AG909" s="920">
        <f t="shared" si="53"/>
        <v>5.43845350815986</v>
      </c>
      <c r="AH909" s="888">
        <f t="shared" si="54"/>
        <v>202509</v>
      </c>
      <c r="AJ909" s="262" t="s">
        <v>2127</v>
      </c>
      <c r="AK909" s="262"/>
      <c r="AL909" s="262"/>
    </row>
    <row r="910" spans="3:38" ht="15.75" hidden="1">
      <c r="C910" s="649">
        <v>45918</v>
      </c>
      <c r="D910" s="874">
        <v>350069</v>
      </c>
      <c r="E910" s="874">
        <v>31283</v>
      </c>
      <c r="F910" s="875">
        <v>23375.439999999999</v>
      </c>
      <c r="G910" s="876">
        <v>5137</v>
      </c>
      <c r="H910" s="877">
        <v>1790</v>
      </c>
      <c r="I910" s="889">
        <v>141102</v>
      </c>
      <c r="J910" s="877">
        <v>167862</v>
      </c>
      <c r="K910" s="877">
        <v>47571.56</v>
      </c>
      <c r="L910" s="877">
        <v>10831</v>
      </c>
      <c r="M910" s="877">
        <v>456406</v>
      </c>
      <c r="N910" s="877">
        <v>7018</v>
      </c>
      <c r="O910" s="874">
        <v>4883</v>
      </c>
      <c r="P910" s="874">
        <v>0</v>
      </c>
      <c r="Q910" s="337">
        <v>0</v>
      </c>
      <c r="R910" s="919">
        <f t="shared" si="52"/>
        <v>146759.04500000001</v>
      </c>
      <c r="S910" s="884">
        <v>13.546200307520667</v>
      </c>
      <c r="T910" s="884">
        <v>0.502637</v>
      </c>
      <c r="U910" s="879">
        <v>3.4079575927305102E-3</v>
      </c>
      <c r="V910" s="885">
        <v>0.03</v>
      </c>
      <c r="W910" s="884">
        <v>9.9150000000000002E-2</v>
      </c>
      <c r="X910" s="881">
        <v>0</v>
      </c>
      <c r="Y910" s="884">
        <v>10.62</v>
      </c>
      <c r="Z910" s="882">
        <v>0</v>
      </c>
      <c r="AA910" s="882">
        <v>0</v>
      </c>
      <c r="AB910" s="882">
        <v>0</v>
      </c>
      <c r="AC910" s="886">
        <v>0.20048308494762804</v>
      </c>
      <c r="AD910" s="886">
        <v>9.5371049449662598E-2</v>
      </c>
      <c r="AE910" s="886">
        <v>0</v>
      </c>
      <c r="AF910" s="884">
        <v>11.597181910082769</v>
      </c>
      <c r="AG910" s="920">
        <f t="shared" si="53"/>
        <v>5.4413964031480662</v>
      </c>
      <c r="AH910" s="888">
        <f t="shared" si="54"/>
        <v>202509</v>
      </c>
      <c r="AJ910" s="262" t="s">
        <v>2128</v>
      </c>
      <c r="AK910" s="262"/>
      <c r="AL910" s="262"/>
    </row>
    <row r="911" spans="3:38" ht="15.75" hidden="1">
      <c r="C911" s="649">
        <v>45919</v>
      </c>
      <c r="D911" s="870">
        <v>323153</v>
      </c>
      <c r="E911" s="870">
        <v>31503</v>
      </c>
      <c r="F911" s="871">
        <v>23348.839999999997</v>
      </c>
      <c r="G911" s="872">
        <v>5153</v>
      </c>
      <c r="H911" s="873">
        <v>1934</v>
      </c>
      <c r="I911" s="889">
        <v>141102</v>
      </c>
      <c r="J911" s="873">
        <v>169677</v>
      </c>
      <c r="K911" s="873">
        <v>45888.04</v>
      </c>
      <c r="L911" s="873">
        <v>12454</v>
      </c>
      <c r="M911" s="873">
        <v>450173</v>
      </c>
      <c r="N911" s="873">
        <v>7305</v>
      </c>
      <c r="O911" s="870">
        <v>0</v>
      </c>
      <c r="P911" s="870">
        <v>0</v>
      </c>
      <c r="Q911" s="337">
        <v>0</v>
      </c>
      <c r="R911" s="919">
        <f t="shared" si="52"/>
        <v>144436.15075</v>
      </c>
      <c r="S911" s="878">
        <v>13.213477673603343</v>
      </c>
      <c r="T911" s="878">
        <v>0.50681299999999996</v>
      </c>
      <c r="U911" s="879">
        <v>3.4079575927305102E-3</v>
      </c>
      <c r="V911" s="880">
        <v>3.2000000000000001E-2</v>
      </c>
      <c r="W911" s="878">
        <v>0.10197000000000001</v>
      </c>
      <c r="X911" s="881">
        <v>0</v>
      </c>
      <c r="Y911" s="878">
        <v>10.75</v>
      </c>
      <c r="Z911" s="882">
        <v>0</v>
      </c>
      <c r="AA911" s="882">
        <v>0</v>
      </c>
      <c r="AB911" s="882">
        <v>0</v>
      </c>
      <c r="AC911" s="883">
        <v>0.19736823475776374</v>
      </c>
      <c r="AD911" s="883">
        <v>9.8655800558974022E-2</v>
      </c>
      <c r="AE911" s="883">
        <v>0</v>
      </c>
      <c r="AF911" s="878">
        <v>12.461949273248816</v>
      </c>
      <c r="AG911" s="920">
        <f t="shared" si="53"/>
        <v>5.6183935047670523</v>
      </c>
      <c r="AH911" s="888">
        <f t="shared" si="54"/>
        <v>202509</v>
      </c>
      <c r="AJ911" s="262" t="s">
        <v>2130</v>
      </c>
      <c r="AK911" s="262"/>
      <c r="AL911" s="262"/>
    </row>
    <row r="912" spans="3:38" ht="15.75" hidden="1">
      <c r="C912" s="649">
        <v>45920</v>
      </c>
      <c r="D912" s="874">
        <v>322847</v>
      </c>
      <c r="E912" s="874">
        <v>31050</v>
      </c>
      <c r="F912" s="875">
        <v>23318.31</v>
      </c>
      <c r="G912" s="876">
        <v>5136</v>
      </c>
      <c r="H912" s="877">
        <v>2377</v>
      </c>
      <c r="I912" s="889">
        <v>141102</v>
      </c>
      <c r="J912" s="877">
        <v>168257</v>
      </c>
      <c r="K912" s="877">
        <v>46575.97</v>
      </c>
      <c r="L912" s="877">
        <v>10168</v>
      </c>
      <c r="M912" s="877">
        <v>445094</v>
      </c>
      <c r="N912" s="877">
        <v>7215</v>
      </c>
      <c r="O912" s="874">
        <v>0</v>
      </c>
      <c r="P912" s="874">
        <v>0</v>
      </c>
      <c r="Q912" s="337">
        <v>0</v>
      </c>
      <c r="R912" s="919">
        <f t="shared" si="52"/>
        <v>143756.24424999999</v>
      </c>
      <c r="S912" s="884">
        <v>9.8868176708282913</v>
      </c>
      <c r="T912" s="884">
        <v>0.50725299999999995</v>
      </c>
      <c r="U912" s="879">
        <v>3.4079575927305102E-3</v>
      </c>
      <c r="V912" s="885">
        <v>3.2000000000000001E-2</v>
      </c>
      <c r="W912" s="884">
        <v>0.23182</v>
      </c>
      <c r="X912" s="881">
        <v>0</v>
      </c>
      <c r="Y912" s="884">
        <v>10.64</v>
      </c>
      <c r="Z912" s="882">
        <v>0</v>
      </c>
      <c r="AA912" s="882">
        <v>0</v>
      </c>
      <c r="AB912" s="882">
        <v>0</v>
      </c>
      <c r="AC912" s="886">
        <v>0.20501377613288516</v>
      </c>
      <c r="AD912" s="886">
        <v>7.8126106125777639E-2</v>
      </c>
      <c r="AE912" s="886">
        <v>0</v>
      </c>
      <c r="AF912" s="884">
        <v>12.745683808725545</v>
      </c>
      <c r="AG912" s="920">
        <f t="shared" si="53"/>
        <v>5.6633215024949104</v>
      </c>
      <c r="AH912" s="888">
        <f t="shared" si="54"/>
        <v>202509</v>
      </c>
      <c r="AJ912" s="931" t="s">
        <v>2129</v>
      </c>
      <c r="AK912" s="262"/>
      <c r="AL912" s="262"/>
    </row>
    <row r="913" spans="3:38" ht="15.75" hidden="1">
      <c r="C913" s="649">
        <v>45921</v>
      </c>
      <c r="D913" s="870">
        <v>353951</v>
      </c>
      <c r="E913" s="870">
        <v>31497</v>
      </c>
      <c r="F913" s="871">
        <v>23302.34</v>
      </c>
      <c r="G913" s="872">
        <v>5148</v>
      </c>
      <c r="H913" s="873">
        <v>2677</v>
      </c>
      <c r="I913" s="889">
        <v>141102</v>
      </c>
      <c r="J913" s="873">
        <v>168209</v>
      </c>
      <c r="K913" s="873">
        <v>48685.87</v>
      </c>
      <c r="L913" s="873">
        <v>12421</v>
      </c>
      <c r="M913" s="873">
        <v>436712</v>
      </c>
      <c r="N913" s="873">
        <v>7275</v>
      </c>
      <c r="O913" s="870">
        <v>6270</v>
      </c>
      <c r="P913" s="870">
        <v>0</v>
      </c>
      <c r="Q913" s="337">
        <v>0</v>
      </c>
      <c r="R913" s="919">
        <f t="shared" si="52"/>
        <v>148319.39850000001</v>
      </c>
      <c r="S913" s="878">
        <v>9.2352476447484992</v>
      </c>
      <c r="T913" s="878">
        <v>0.50757300000000005</v>
      </c>
      <c r="U913" s="879">
        <v>3.4079575927305102E-3</v>
      </c>
      <c r="V913" s="880">
        <v>3.4000000000000002E-2</v>
      </c>
      <c r="W913" s="878">
        <v>0.29944999999999999</v>
      </c>
      <c r="X913" s="881">
        <v>0</v>
      </c>
      <c r="Y913" s="878">
        <v>10.63</v>
      </c>
      <c r="Z913" s="882">
        <v>0</v>
      </c>
      <c r="AA913" s="921">
        <v>0</v>
      </c>
      <c r="AB913" s="921">
        <v>0</v>
      </c>
      <c r="AC913" s="883">
        <v>0.20586328073012086</v>
      </c>
      <c r="AD913" s="883">
        <v>7.9343729381815498E-2</v>
      </c>
      <c r="AE913" s="883">
        <v>0</v>
      </c>
      <c r="AF913" s="878">
        <v>12.739057672867105</v>
      </c>
      <c r="AG913" s="920">
        <f t="shared" si="53"/>
        <v>5.7098335309442518</v>
      </c>
      <c r="AH913" s="888">
        <f t="shared" si="54"/>
        <v>202509</v>
      </c>
      <c r="AJ913" s="262" t="s">
        <v>2129</v>
      </c>
      <c r="AK913" s="262"/>
      <c r="AL913" s="262"/>
    </row>
    <row r="914" spans="3:38" ht="15.75" hidden="1">
      <c r="C914" s="649">
        <v>45922</v>
      </c>
      <c r="D914" s="874">
        <v>341768</v>
      </c>
      <c r="E914" s="874">
        <v>31201</v>
      </c>
      <c r="F914" s="875">
        <v>23316.31</v>
      </c>
      <c r="G914" s="876">
        <v>5177</v>
      </c>
      <c r="H914" s="877">
        <v>2429</v>
      </c>
      <c r="I914" s="889">
        <v>133786</v>
      </c>
      <c r="J914" s="877">
        <v>168629</v>
      </c>
      <c r="K914" s="877">
        <v>48545.120000000003</v>
      </c>
      <c r="L914" s="877">
        <v>9695</v>
      </c>
      <c r="M914" s="877">
        <v>432282</v>
      </c>
      <c r="N914" s="877">
        <v>7362</v>
      </c>
      <c r="O914" s="874">
        <v>7290</v>
      </c>
      <c r="P914" s="874">
        <v>0</v>
      </c>
      <c r="Q914" s="337">
        <v>0</v>
      </c>
      <c r="R914" s="919">
        <f t="shared" si="52"/>
        <v>145852.93975000002</v>
      </c>
      <c r="S914" s="884">
        <v>9.7053068552189306</v>
      </c>
      <c r="T914" s="884">
        <v>0.50817000000000001</v>
      </c>
      <c r="U914" s="879">
        <v>3.4079575927305102E-3</v>
      </c>
      <c r="V914" s="885">
        <v>3.3000000000000002E-2</v>
      </c>
      <c r="W914" s="884">
        <v>0.28667000000000004</v>
      </c>
      <c r="X914" s="881">
        <v>0</v>
      </c>
      <c r="Y914" s="884">
        <v>10.69</v>
      </c>
      <c r="Z914" s="882">
        <v>0</v>
      </c>
      <c r="AA914" s="887">
        <v>0</v>
      </c>
      <c r="AB914" s="887">
        <v>0</v>
      </c>
      <c r="AC914" s="886">
        <v>0.20614644892919945</v>
      </c>
      <c r="AD914" s="886">
        <v>7.4926305476189795E-2</v>
      </c>
      <c r="AE914" s="886">
        <v>0</v>
      </c>
      <c r="AF914" s="884">
        <v>12.739312524246277</v>
      </c>
      <c r="AG914" s="920">
        <f t="shared" si="53"/>
        <v>5.7243714565246195</v>
      </c>
      <c r="AH914" s="888">
        <f t="shared" si="54"/>
        <v>202509</v>
      </c>
      <c r="AJ914" s="262" t="s">
        <v>2131</v>
      </c>
      <c r="AK914" s="262"/>
      <c r="AL914" s="262"/>
    </row>
    <row r="915" spans="3:38" ht="15.75" hidden="1">
      <c r="C915" s="649">
        <v>45923</v>
      </c>
      <c r="D915" s="870">
        <v>340335</v>
      </c>
      <c r="E915" s="870">
        <v>31138</v>
      </c>
      <c r="F915" s="871">
        <v>22795.829999999998</v>
      </c>
      <c r="G915" s="872">
        <v>5135</v>
      </c>
      <c r="H915" s="873">
        <v>2371</v>
      </c>
      <c r="I915" s="889">
        <v>133786</v>
      </c>
      <c r="J915" s="873">
        <v>165140</v>
      </c>
      <c r="K915" s="873">
        <v>46645.78</v>
      </c>
      <c r="L915" s="873">
        <v>11960</v>
      </c>
      <c r="M915" s="873">
        <v>443821</v>
      </c>
      <c r="N915" s="873">
        <v>7365</v>
      </c>
      <c r="O915" s="870">
        <v>7048</v>
      </c>
      <c r="P915" s="870">
        <v>0</v>
      </c>
      <c r="Q915" s="337">
        <v>0</v>
      </c>
      <c r="R915" s="919">
        <f t="shared" si="52"/>
        <v>144880.22475000002</v>
      </c>
      <c r="S915" s="878">
        <v>11.485585322825901</v>
      </c>
      <c r="T915" s="878">
        <v>0.50337900000000002</v>
      </c>
      <c r="U915" s="879">
        <v>3.4079575927305102E-3</v>
      </c>
      <c r="V915" s="880">
        <v>3.3000000000000002E-2</v>
      </c>
      <c r="W915" s="878">
        <v>0.27973000000000003</v>
      </c>
      <c r="X915" s="881">
        <v>0</v>
      </c>
      <c r="Y915" s="878">
        <v>10.62</v>
      </c>
      <c r="Z915" s="882">
        <v>0</v>
      </c>
      <c r="AA915" s="882">
        <v>0</v>
      </c>
      <c r="AB915" s="882">
        <v>0</v>
      </c>
      <c r="AC915" s="883">
        <v>0.19198803897527092</v>
      </c>
      <c r="AD915" s="883">
        <v>7.5379374594715512E-2</v>
      </c>
      <c r="AE915" s="883">
        <v>0</v>
      </c>
      <c r="AF915" s="878">
        <v>12.739284207426369</v>
      </c>
      <c r="AG915" s="920">
        <f t="shared" si="53"/>
        <v>5.7486300203952183</v>
      </c>
      <c r="AH915" s="888">
        <f t="shared" si="54"/>
        <v>202509</v>
      </c>
      <c r="AJ915" s="262" t="s">
        <v>2132</v>
      </c>
      <c r="AK915" s="262"/>
      <c r="AL915" s="262"/>
    </row>
    <row r="916" spans="3:38" ht="15.75" hidden="1">
      <c r="C916" s="649">
        <v>45924</v>
      </c>
      <c r="D916" s="874">
        <v>334667</v>
      </c>
      <c r="E916" s="874">
        <v>31447</v>
      </c>
      <c r="F916" s="875">
        <v>22958.03</v>
      </c>
      <c r="G916" s="876">
        <v>5204</v>
      </c>
      <c r="H916" s="877">
        <v>2298</v>
      </c>
      <c r="I916" s="889">
        <v>133786</v>
      </c>
      <c r="J916" s="877">
        <v>158863</v>
      </c>
      <c r="K916" s="877">
        <v>47235.39</v>
      </c>
      <c r="L916" s="877">
        <v>12582</v>
      </c>
      <c r="M916" s="877">
        <v>442909</v>
      </c>
      <c r="N916" s="877">
        <v>6514</v>
      </c>
      <c r="O916" s="874">
        <v>6403</v>
      </c>
      <c r="P916" s="874">
        <v>0</v>
      </c>
      <c r="Q916" s="337">
        <v>0</v>
      </c>
      <c r="R916" s="919">
        <f t="shared" si="52"/>
        <v>143150.25575000004</v>
      </c>
      <c r="S916" s="884">
        <v>15.858268652997193</v>
      </c>
      <c r="T916" s="884">
        <v>0.50450700000000004</v>
      </c>
      <c r="U916" s="879">
        <v>3.4079575927305102E-3</v>
      </c>
      <c r="V916" s="885">
        <v>3.3000000000000002E-2</v>
      </c>
      <c r="W916" s="884">
        <v>0.27356000000000003</v>
      </c>
      <c r="X916" s="881">
        <v>0</v>
      </c>
      <c r="Y916" s="884">
        <v>10.48</v>
      </c>
      <c r="Z916" s="882">
        <v>0</v>
      </c>
      <c r="AA916" s="882">
        <v>0</v>
      </c>
      <c r="AB916" s="882">
        <v>0</v>
      </c>
      <c r="AC916" s="886">
        <v>0.15772468688676386</v>
      </c>
      <c r="AD916" s="886">
        <v>7.0707099309919086E-2</v>
      </c>
      <c r="AE916" s="886">
        <v>0</v>
      </c>
      <c r="AF916" s="884">
        <v>12.73925589060646</v>
      </c>
      <c r="AG916" s="920">
        <f t="shared" si="53"/>
        <v>5.8286228750996898</v>
      </c>
      <c r="AH916" s="888">
        <f t="shared" si="54"/>
        <v>202509</v>
      </c>
      <c r="AJ916" s="262" t="s">
        <v>2132</v>
      </c>
      <c r="AK916" s="262"/>
      <c r="AL916" s="262"/>
    </row>
    <row r="917" spans="3:38" ht="15.75" hidden="1">
      <c r="C917" s="649">
        <v>45925</v>
      </c>
      <c r="D917" s="870">
        <v>324008</v>
      </c>
      <c r="E917" s="870">
        <v>31440</v>
      </c>
      <c r="F917" s="871">
        <v>23314.23</v>
      </c>
      <c r="G917" s="872">
        <v>5187</v>
      </c>
      <c r="H917" s="873">
        <v>2361</v>
      </c>
      <c r="I917" s="889">
        <v>133786</v>
      </c>
      <c r="J917" s="873">
        <v>165088</v>
      </c>
      <c r="K917" s="873">
        <v>47667.73</v>
      </c>
      <c r="L917" s="873">
        <v>13399</v>
      </c>
      <c r="M917" s="873">
        <v>425103</v>
      </c>
      <c r="N917" s="873">
        <v>7021</v>
      </c>
      <c r="O917" s="870">
        <v>4818</v>
      </c>
      <c r="P917" s="870">
        <v>0</v>
      </c>
      <c r="Q917" s="337">
        <v>0</v>
      </c>
      <c r="R917" s="919">
        <f t="shared" si="52"/>
        <v>143773.64624999999</v>
      </c>
      <c r="S917" s="878">
        <v>14.372768280631009</v>
      </c>
      <c r="T917" s="878">
        <v>0.50327599999999995</v>
      </c>
      <c r="U917" s="879">
        <v>3.4079575927305102E-3</v>
      </c>
      <c r="V917" s="880">
        <v>3.1E-2</v>
      </c>
      <c r="W917" s="878">
        <v>0.26238</v>
      </c>
      <c r="X917" s="881">
        <v>0</v>
      </c>
      <c r="Y917" s="878">
        <v>10.49</v>
      </c>
      <c r="Z917" s="882">
        <v>0</v>
      </c>
      <c r="AA917" s="882">
        <v>0</v>
      </c>
      <c r="AB917" s="882">
        <v>0</v>
      </c>
      <c r="AC917" s="883">
        <v>0.18943952518356377</v>
      </c>
      <c r="AD917" s="883">
        <v>7.4529869997479806E-2</v>
      </c>
      <c r="AE917" s="883">
        <v>0</v>
      </c>
      <c r="AF917" s="878">
        <v>12.75485845837569</v>
      </c>
      <c r="AG917" s="920">
        <f t="shared" si="53"/>
        <v>5.7829297962164201</v>
      </c>
      <c r="AH917" s="888">
        <f t="shared" si="54"/>
        <v>202509</v>
      </c>
      <c r="AJ917" s="262" t="s">
        <v>2133</v>
      </c>
      <c r="AK917" s="262"/>
      <c r="AL917" s="262"/>
    </row>
    <row r="918" spans="3:38" ht="15.75" hidden="1">
      <c r="C918" s="649">
        <v>45926</v>
      </c>
      <c r="D918" s="874">
        <v>335974</v>
      </c>
      <c r="E918" s="874">
        <v>31352</v>
      </c>
      <c r="F918" s="875">
        <v>23244.93</v>
      </c>
      <c r="G918" s="876">
        <v>5222</v>
      </c>
      <c r="H918" s="877">
        <v>2351</v>
      </c>
      <c r="I918" s="889">
        <v>133786</v>
      </c>
      <c r="J918" s="877">
        <v>166063</v>
      </c>
      <c r="K918" s="877">
        <v>46661.81</v>
      </c>
      <c r="L918" s="877">
        <v>11372</v>
      </c>
      <c r="M918" s="877">
        <v>413400</v>
      </c>
      <c r="N918" s="877">
        <v>6805</v>
      </c>
      <c r="O918" s="874">
        <v>4529</v>
      </c>
      <c r="P918" s="874">
        <v>0</v>
      </c>
      <c r="Q918" s="337">
        <v>0</v>
      </c>
      <c r="R918" s="919">
        <f t="shared" si="52"/>
        <v>142964.408</v>
      </c>
      <c r="S918" s="884">
        <v>13.654653727767757</v>
      </c>
      <c r="T918" s="884">
        <v>0.50485199999999997</v>
      </c>
      <c r="U918" s="879">
        <v>3.4079575927305102E-3</v>
      </c>
      <c r="V918" s="885">
        <v>3.2000000000000001E-2</v>
      </c>
      <c r="W918" s="884">
        <v>0.27150999999999997</v>
      </c>
      <c r="X918" s="881">
        <v>1.18</v>
      </c>
      <c r="Y918" s="884">
        <v>10.41</v>
      </c>
      <c r="Z918" s="882">
        <v>0</v>
      </c>
      <c r="AA918" s="882">
        <v>0</v>
      </c>
      <c r="AB918" s="882">
        <v>0</v>
      </c>
      <c r="AC918" s="886">
        <v>0.18320982480383521</v>
      </c>
      <c r="AD918" s="886">
        <v>7.3057395362271238E-2</v>
      </c>
      <c r="AE918" s="886">
        <v>0</v>
      </c>
      <c r="AF918" s="884">
        <v>12.748657074815869</v>
      </c>
      <c r="AG918" s="920">
        <f t="shared" si="53"/>
        <v>5.9848519734441474</v>
      </c>
      <c r="AH918" s="888">
        <f t="shared" si="54"/>
        <v>202509</v>
      </c>
      <c r="AJ918" s="262" t="s">
        <v>2132</v>
      </c>
      <c r="AK918" s="262"/>
      <c r="AL918" s="262"/>
    </row>
    <row r="919" spans="3:38" ht="15.75" hidden="1" customHeight="1">
      <c r="C919" s="649">
        <v>45927</v>
      </c>
      <c r="D919" s="870">
        <v>342119</v>
      </c>
      <c r="E919" s="870">
        <v>30774</v>
      </c>
      <c r="F919" s="871">
        <v>23317.62</v>
      </c>
      <c r="G919" s="872">
        <v>5263</v>
      </c>
      <c r="H919" s="873">
        <v>2442</v>
      </c>
      <c r="I919" s="889">
        <v>133786</v>
      </c>
      <c r="J919" s="873">
        <v>166385</v>
      </c>
      <c r="K919" s="873">
        <v>47814.879999999997</v>
      </c>
      <c r="L919" s="873">
        <v>12095</v>
      </c>
      <c r="M919" s="873">
        <v>433853</v>
      </c>
      <c r="N919" s="873">
        <v>6825</v>
      </c>
      <c r="O919" s="870">
        <v>4746</v>
      </c>
      <c r="P919" s="870">
        <v>0</v>
      </c>
      <c r="Q919" s="337">
        <v>0</v>
      </c>
      <c r="R919" s="919">
        <f t="shared" si="52"/>
        <v>144604.00349999999</v>
      </c>
      <c r="S919" s="878">
        <v>12.927760960733067</v>
      </c>
      <c r="T919" s="878">
        <v>0.50336700000000001</v>
      </c>
      <c r="U919" s="879">
        <v>3.4079575927305102E-3</v>
      </c>
      <c r="V919" s="880">
        <v>3.2000000000000001E-2</v>
      </c>
      <c r="W919" s="878">
        <v>0.28254000000000001</v>
      </c>
      <c r="X919" s="881">
        <v>1.18</v>
      </c>
      <c r="Y919" s="878">
        <v>10.54</v>
      </c>
      <c r="Z919" s="882">
        <v>0</v>
      </c>
      <c r="AA919" s="882">
        <v>0</v>
      </c>
      <c r="AB919" s="882">
        <v>0</v>
      </c>
      <c r="AC919" s="883">
        <v>0.19113853437803519</v>
      </c>
      <c r="AD919" s="883">
        <v>6.7790466859409815E-2</v>
      </c>
      <c r="AE919" s="883">
        <v>0</v>
      </c>
      <c r="AF919" s="878">
        <v>12.749478262593199</v>
      </c>
      <c r="AG919" s="920">
        <f t="shared" si="53"/>
        <v>6.0069243985825445</v>
      </c>
      <c r="AH919" s="888">
        <f t="shared" si="54"/>
        <v>202509</v>
      </c>
      <c r="AJ919" s="262" t="s">
        <v>2132</v>
      </c>
      <c r="AK919" s="262"/>
      <c r="AL919" s="262"/>
    </row>
    <row r="920" spans="3:38" ht="15.75" hidden="1">
      <c r="C920" s="649">
        <v>45928</v>
      </c>
      <c r="D920" s="874">
        <v>330185</v>
      </c>
      <c r="E920" s="874">
        <v>30855</v>
      </c>
      <c r="F920" s="875">
        <v>23274</v>
      </c>
      <c r="G920" s="876">
        <v>5317</v>
      </c>
      <c r="H920" s="877">
        <v>2472</v>
      </c>
      <c r="I920" s="889">
        <v>133786</v>
      </c>
      <c r="J920" s="877">
        <v>148084</v>
      </c>
      <c r="K920" s="877">
        <v>43840.45</v>
      </c>
      <c r="L920" s="877">
        <v>12630</v>
      </c>
      <c r="M920" s="877">
        <v>448917</v>
      </c>
      <c r="N920" s="877">
        <v>6830</v>
      </c>
      <c r="O920" s="874">
        <v>4756</v>
      </c>
      <c r="P920" s="874">
        <v>0</v>
      </c>
      <c r="Q920" s="337">
        <v>0</v>
      </c>
      <c r="R920" s="919">
        <f t="shared" si="52"/>
        <v>139287.58124999999</v>
      </c>
      <c r="S920" s="884">
        <v>12.6035333727881</v>
      </c>
      <c r="T920" s="884">
        <v>0.50393600000000005</v>
      </c>
      <c r="U920" s="879">
        <v>3.4079575927305102E-3</v>
      </c>
      <c r="V920" s="885">
        <v>3.3000000000000002E-2</v>
      </c>
      <c r="W920" s="884">
        <v>0.28104000000000001</v>
      </c>
      <c r="X920" s="881">
        <v>1.18</v>
      </c>
      <c r="Y920" s="884">
        <v>10.039999999999999</v>
      </c>
      <c r="Z920" s="882">
        <v>0</v>
      </c>
      <c r="AA920" s="882">
        <v>0</v>
      </c>
      <c r="AB920" s="882">
        <v>0</v>
      </c>
      <c r="AC920" s="886">
        <v>0.20699595352643516</v>
      </c>
      <c r="AD920" s="886">
        <v>7.0707099309919086E-2</v>
      </c>
      <c r="AE920" s="886">
        <v>0</v>
      </c>
      <c r="AF920" s="884">
        <v>12.74811905523762</v>
      </c>
      <c r="AG920" s="920">
        <f t="shared" si="53"/>
        <v>5.8692742754712341</v>
      </c>
      <c r="AH920" s="888">
        <f t="shared" si="54"/>
        <v>202509</v>
      </c>
      <c r="AJ920" s="262" t="s">
        <v>2132</v>
      </c>
      <c r="AK920" s="262"/>
      <c r="AL920" s="262"/>
    </row>
    <row r="921" spans="3:38" ht="15.75" hidden="1">
      <c r="C921" s="649">
        <v>45929</v>
      </c>
      <c r="D921" s="870">
        <v>318836</v>
      </c>
      <c r="E921" s="870">
        <v>30390</v>
      </c>
      <c r="F921" s="871">
        <v>22752.720000000001</v>
      </c>
      <c r="G921" s="872">
        <v>5223</v>
      </c>
      <c r="H921" s="873">
        <v>2427</v>
      </c>
      <c r="I921" s="889">
        <v>112680</v>
      </c>
      <c r="J921" s="873">
        <v>151831</v>
      </c>
      <c r="K921" s="873">
        <v>47299.1</v>
      </c>
      <c r="L921" s="873">
        <v>11534</v>
      </c>
      <c r="M921" s="873">
        <v>461159</v>
      </c>
      <c r="N921" s="873">
        <v>7067</v>
      </c>
      <c r="O921" s="870">
        <v>4828</v>
      </c>
      <c r="P921" s="870">
        <v>0</v>
      </c>
      <c r="Q921" s="337">
        <v>0</v>
      </c>
      <c r="R921" s="919">
        <f t="shared" si="52"/>
        <v>136270.99950000001</v>
      </c>
      <c r="S921" s="878">
        <v>14.657352320704975</v>
      </c>
      <c r="T921" s="878">
        <v>0.50164699999999995</v>
      </c>
      <c r="U921" s="879">
        <v>3.4079575927305102E-3</v>
      </c>
      <c r="V921" s="880">
        <v>3.3000000000000002E-2</v>
      </c>
      <c r="W921" s="878">
        <v>0.27588000000000001</v>
      </c>
      <c r="X921" s="881">
        <v>1.18</v>
      </c>
      <c r="Y921" s="878">
        <v>10.32</v>
      </c>
      <c r="Z921" s="882">
        <v>0</v>
      </c>
      <c r="AA921" s="882">
        <v>0</v>
      </c>
      <c r="AB921" s="882">
        <v>0</v>
      </c>
      <c r="AC921" s="883">
        <v>0.20416427153564945</v>
      </c>
      <c r="AD921" s="883">
        <v>6.756393230014697E-2</v>
      </c>
      <c r="AE921" s="883">
        <v>0</v>
      </c>
      <c r="AF921" s="878">
        <v>12.748713708455684</v>
      </c>
      <c r="AG921" s="920">
        <f t="shared" si="53"/>
        <v>5.9949027889219781</v>
      </c>
      <c r="AH921" s="888">
        <f t="shared" si="54"/>
        <v>202509</v>
      </c>
      <c r="AJ921" s="262" t="s">
        <v>2132</v>
      </c>
      <c r="AK921" s="262"/>
      <c r="AL921" s="262"/>
    </row>
    <row r="922" spans="3:38" ht="15.75" hidden="1">
      <c r="C922" s="649">
        <v>45930</v>
      </c>
      <c r="D922" s="874">
        <v>326908</v>
      </c>
      <c r="E922" s="874">
        <v>30711</v>
      </c>
      <c r="F922" s="875">
        <v>23173.35</v>
      </c>
      <c r="G922" s="876">
        <v>5117</v>
      </c>
      <c r="H922" s="877">
        <v>2421</v>
      </c>
      <c r="I922" s="889">
        <v>112680</v>
      </c>
      <c r="J922" s="877">
        <v>167583</v>
      </c>
      <c r="K922" s="877">
        <v>48454.57</v>
      </c>
      <c r="L922" s="877">
        <v>12125</v>
      </c>
      <c r="M922" s="877">
        <v>468218</v>
      </c>
      <c r="N922" s="877">
        <v>7030</v>
      </c>
      <c r="O922" s="874">
        <v>4679</v>
      </c>
      <c r="P922" s="874">
        <v>0</v>
      </c>
      <c r="Q922" s="337">
        <v>0</v>
      </c>
      <c r="R922" s="919">
        <f t="shared" si="52"/>
        <v>141574.87275000001</v>
      </c>
      <c r="S922" s="884">
        <v>14.813661166596349</v>
      </c>
      <c r="T922" s="884">
        <v>0.50315600000000005</v>
      </c>
      <c r="U922" s="879">
        <v>3.4079575927305102E-3</v>
      </c>
      <c r="V922" s="885">
        <v>3.2000000000000001E-2</v>
      </c>
      <c r="W922" s="884">
        <v>0.28047000000000005</v>
      </c>
      <c r="X922" s="881">
        <v>1.18</v>
      </c>
      <c r="Y922" s="884">
        <v>10.52</v>
      </c>
      <c r="Z922" s="882">
        <v>0</v>
      </c>
      <c r="AA922" s="882">
        <v>0</v>
      </c>
      <c r="AB922" s="882">
        <v>0</v>
      </c>
      <c r="AC922" s="886">
        <v>0.20642961712827801</v>
      </c>
      <c r="AD922" s="886">
        <v>7.7418185628081213E-2</v>
      </c>
      <c r="AE922" s="886">
        <v>0</v>
      </c>
      <c r="AF922" s="884">
        <v>12.715384811424137</v>
      </c>
      <c r="AG922" s="920">
        <f t="shared" si="53"/>
        <v>6.0544972295153006</v>
      </c>
      <c r="AH922" s="888">
        <f t="shared" si="54"/>
        <v>202509</v>
      </c>
      <c r="AJ922" s="262" t="s">
        <v>2134</v>
      </c>
      <c r="AK922" s="262"/>
      <c r="AL922" s="262"/>
    </row>
    <row r="923" spans="3:38" ht="15.75" hidden="1">
      <c r="C923" s="649">
        <v>45931</v>
      </c>
      <c r="D923" s="870">
        <v>323077</v>
      </c>
      <c r="E923" s="870">
        <v>30987</v>
      </c>
      <c r="F923" s="871">
        <v>22847.62</v>
      </c>
      <c r="G923" s="872">
        <v>4270</v>
      </c>
      <c r="H923" s="873">
        <v>2376</v>
      </c>
      <c r="I923" s="889">
        <v>112680</v>
      </c>
      <c r="J923" s="873">
        <v>166729</v>
      </c>
      <c r="K923" s="873">
        <v>49144.34</v>
      </c>
      <c r="L923" s="873">
        <v>13088</v>
      </c>
      <c r="M923" s="873">
        <v>439287</v>
      </c>
      <c r="N923" s="873">
        <v>7029</v>
      </c>
      <c r="O923" s="870">
        <v>4562</v>
      </c>
      <c r="P923" s="870">
        <v>0</v>
      </c>
      <c r="Q923" s="337">
        <v>0</v>
      </c>
      <c r="R923" s="919">
        <f t="shared" si="52"/>
        <v>139819.40124999997</v>
      </c>
      <c r="S923" s="878">
        <v>14.545217713869864</v>
      </c>
      <c r="T923" s="878">
        <v>0.50531599999999999</v>
      </c>
      <c r="U923" s="879">
        <v>3.4079575927305102E-3</v>
      </c>
      <c r="V923" s="880">
        <v>3.2000000000000001E-2</v>
      </c>
      <c r="W923" s="878">
        <v>0.28091000000000005</v>
      </c>
      <c r="X923" s="881">
        <v>1.18</v>
      </c>
      <c r="Y923" s="878">
        <v>10.54</v>
      </c>
      <c r="Z923" s="882">
        <v>0</v>
      </c>
      <c r="AA923" s="882">
        <v>0</v>
      </c>
      <c r="AB923" s="882">
        <v>0</v>
      </c>
      <c r="AC923" s="883">
        <v>0.20642961712827801</v>
      </c>
      <c r="AD923" s="883">
        <v>0.10771718292948827</v>
      </c>
      <c r="AE923" s="883">
        <v>0</v>
      </c>
      <c r="AF923" s="878">
        <v>12.749449945773289</v>
      </c>
      <c r="AG923" s="920">
        <f t="shared" si="53"/>
        <v>6.0707791302829701</v>
      </c>
      <c r="AH923" s="888">
        <f t="shared" si="54"/>
        <v>202510</v>
      </c>
      <c r="AJ923" s="262" t="s">
        <v>2135</v>
      </c>
      <c r="AK923" s="262"/>
      <c r="AL923" s="262"/>
    </row>
    <row r="924" spans="3:38" ht="15.75" hidden="1">
      <c r="C924" s="649">
        <v>45932</v>
      </c>
      <c r="D924" s="874">
        <v>359561</v>
      </c>
      <c r="E924" s="874">
        <v>30931</v>
      </c>
      <c r="F924" s="875">
        <v>23172.39</v>
      </c>
      <c r="G924" s="876">
        <v>5319</v>
      </c>
      <c r="H924" s="877">
        <v>2337</v>
      </c>
      <c r="I924" s="889">
        <v>112680</v>
      </c>
      <c r="J924" s="877">
        <v>162993</v>
      </c>
      <c r="K924" s="877">
        <v>48981.69</v>
      </c>
      <c r="L924" s="877">
        <v>12780</v>
      </c>
      <c r="M924" s="877">
        <v>433949</v>
      </c>
      <c r="N924" s="877">
        <v>7057</v>
      </c>
      <c r="O924" s="874">
        <v>4737</v>
      </c>
      <c r="P924" s="874">
        <v>0</v>
      </c>
      <c r="Q924" s="337">
        <v>0</v>
      </c>
      <c r="R924" s="919">
        <f t="shared" si="52"/>
        <v>140357.50974999997</v>
      </c>
      <c r="S924" s="884">
        <v>10.298261064089459</v>
      </c>
      <c r="T924" s="884">
        <v>0.50729000000000002</v>
      </c>
      <c r="U924" s="879">
        <v>3.4079575927305102E-3</v>
      </c>
      <c r="V924" s="885">
        <v>3.3000000000000002E-2</v>
      </c>
      <c r="W924" s="884">
        <v>0.28041000000000005</v>
      </c>
      <c r="X924" s="881">
        <v>1.18</v>
      </c>
      <c r="Y924" s="884">
        <v>10.41</v>
      </c>
      <c r="Z924" s="882">
        <v>0</v>
      </c>
      <c r="AA924" s="882">
        <v>0</v>
      </c>
      <c r="AB924" s="882">
        <v>0</v>
      </c>
      <c r="AC924" s="886">
        <v>0.19481972096605663</v>
      </c>
      <c r="AD924" s="886">
        <v>7.4699770916926936E-2</v>
      </c>
      <c r="AE924" s="886">
        <v>0</v>
      </c>
      <c r="AF924" s="884">
        <v>12.749534896233012</v>
      </c>
      <c r="AG924" s="920">
        <f t="shared" si="53"/>
        <v>5.8988190164721779</v>
      </c>
      <c r="AH924" s="888">
        <f t="shared" si="54"/>
        <v>202510</v>
      </c>
      <c r="AJ924" s="262" t="s">
        <v>2134</v>
      </c>
      <c r="AK924" s="262"/>
      <c r="AL924" s="262"/>
    </row>
    <row r="925" spans="3:38" ht="15.75" hidden="1">
      <c r="C925" s="649">
        <v>45933</v>
      </c>
      <c r="D925" s="870">
        <v>330002</v>
      </c>
      <c r="E925" s="870">
        <v>30937</v>
      </c>
      <c r="F925" s="871">
        <v>23178.43</v>
      </c>
      <c r="G925" s="872">
        <v>5383</v>
      </c>
      <c r="H925" s="873">
        <v>2317</v>
      </c>
      <c r="I925" s="889">
        <v>112680</v>
      </c>
      <c r="J925" s="873">
        <v>164106</v>
      </c>
      <c r="K925" s="873">
        <v>47220.15</v>
      </c>
      <c r="L925" s="873">
        <v>12153</v>
      </c>
      <c r="M925" s="873">
        <v>432190</v>
      </c>
      <c r="N925" s="873">
        <v>7007</v>
      </c>
      <c r="O925" s="870">
        <v>4377</v>
      </c>
      <c r="P925" s="870">
        <v>0</v>
      </c>
      <c r="Q925" s="337">
        <v>0</v>
      </c>
      <c r="R925" s="919">
        <f t="shared" si="52"/>
        <v>138988.62824999998</v>
      </c>
      <c r="S925" s="878">
        <v>10.046524535108608</v>
      </c>
      <c r="T925" s="878">
        <v>0.49792799999999998</v>
      </c>
      <c r="U925" s="879">
        <v>3.4079575927305102E-3</v>
      </c>
      <c r="V925" s="880">
        <v>3.3000000000000002E-2</v>
      </c>
      <c r="W925" s="878">
        <v>0.27858999999999995</v>
      </c>
      <c r="X925" s="881">
        <v>1.18</v>
      </c>
      <c r="Y925" s="878">
        <v>10.45</v>
      </c>
      <c r="Z925" s="882">
        <v>0</v>
      </c>
      <c r="AA925" s="882">
        <v>0</v>
      </c>
      <c r="AB925" s="882">
        <v>0</v>
      </c>
      <c r="AC925" s="883">
        <v>0.20529694433196374</v>
      </c>
      <c r="AD925" s="883">
        <v>0.12247024610148181</v>
      </c>
      <c r="AE925" s="883">
        <v>0</v>
      </c>
      <c r="AF925" s="878">
        <v>12.756359249830806</v>
      </c>
      <c r="AG925" s="920">
        <f t="shared" si="53"/>
        <v>5.9189288077551838</v>
      </c>
      <c r="AH925" s="888">
        <f t="shared" si="54"/>
        <v>202510</v>
      </c>
      <c r="AJ925" s="262" t="s">
        <v>2134</v>
      </c>
      <c r="AK925" s="262"/>
      <c r="AL925" s="262"/>
    </row>
    <row r="926" spans="3:38" ht="15.75" hidden="1">
      <c r="C926" s="649">
        <v>45934</v>
      </c>
      <c r="D926" s="874">
        <v>336944</v>
      </c>
      <c r="E926" s="874">
        <v>31000</v>
      </c>
      <c r="F926" s="875">
        <v>23122.71</v>
      </c>
      <c r="G926" s="876">
        <v>5073</v>
      </c>
      <c r="H926" s="877">
        <v>2452</v>
      </c>
      <c r="I926" s="889">
        <v>112680</v>
      </c>
      <c r="J926" s="877">
        <v>164172</v>
      </c>
      <c r="K926" s="877">
        <v>45331.64</v>
      </c>
      <c r="L926" s="877">
        <v>12744</v>
      </c>
      <c r="M926" s="877">
        <v>435762</v>
      </c>
      <c r="N926" s="877">
        <v>7027</v>
      </c>
      <c r="O926" s="874">
        <v>4723</v>
      </c>
      <c r="P926" s="874">
        <v>0</v>
      </c>
      <c r="Q926" s="337">
        <v>0</v>
      </c>
      <c r="R926" s="919">
        <f t="shared" si="52"/>
        <v>139120.77900000001</v>
      </c>
      <c r="S926" s="884">
        <v>10.99513800202182</v>
      </c>
      <c r="T926" s="884">
        <v>0.48560500000000001</v>
      </c>
      <c r="U926" s="879">
        <v>3.4079575927305102E-3</v>
      </c>
      <c r="V926" s="885">
        <v>3.3000000000000002E-2</v>
      </c>
      <c r="W926" s="884">
        <v>0.27748</v>
      </c>
      <c r="X926" s="881">
        <v>1.18</v>
      </c>
      <c r="Y926" s="884">
        <v>10.48</v>
      </c>
      <c r="Z926" s="882">
        <v>0</v>
      </c>
      <c r="AA926" s="882">
        <v>0</v>
      </c>
      <c r="AB926" s="882">
        <v>0</v>
      </c>
      <c r="AC926" s="886">
        <v>0.20642961712827801</v>
      </c>
      <c r="AD926" s="886">
        <v>0.10035480975344545</v>
      </c>
      <c r="AE926" s="886">
        <v>0</v>
      </c>
      <c r="AF926" s="884">
        <v>12.747496085199646</v>
      </c>
      <c r="AG926" s="920">
        <f t="shared" si="53"/>
        <v>5.9398102231434784</v>
      </c>
      <c r="AH926" s="888">
        <f t="shared" si="54"/>
        <v>202510</v>
      </c>
      <c r="AJ926" s="262" t="s">
        <v>2134</v>
      </c>
      <c r="AK926" s="262"/>
      <c r="AL926" s="262"/>
    </row>
    <row r="927" spans="3:38" ht="15.75" hidden="1">
      <c r="C927" s="649">
        <v>45935</v>
      </c>
      <c r="D927" s="870">
        <v>340622</v>
      </c>
      <c r="E927" s="870">
        <v>30836</v>
      </c>
      <c r="F927" s="871">
        <v>23131.68</v>
      </c>
      <c r="G927" s="872">
        <v>5190</v>
      </c>
      <c r="H927" s="873">
        <v>2359</v>
      </c>
      <c r="I927" s="889">
        <v>112680</v>
      </c>
      <c r="J927" s="873">
        <v>164936</v>
      </c>
      <c r="K927" s="873">
        <v>49339.73</v>
      </c>
      <c r="L927" s="873">
        <v>13007</v>
      </c>
      <c r="M927" s="873">
        <v>438992</v>
      </c>
      <c r="N927" s="873">
        <v>6984</v>
      </c>
      <c r="O927" s="870">
        <v>4771</v>
      </c>
      <c r="P927" s="870">
        <v>0</v>
      </c>
      <c r="Q927" s="337">
        <v>0</v>
      </c>
      <c r="R927" s="919">
        <f t="shared" si="52"/>
        <v>140563.64074999999</v>
      </c>
      <c r="S927" s="878">
        <v>10.172251215499495</v>
      </c>
      <c r="T927" s="878">
        <v>0.486373</v>
      </c>
      <c r="U927" s="879">
        <v>3.4079575927305102E-3</v>
      </c>
      <c r="V927" s="880">
        <v>3.3000000000000002E-2</v>
      </c>
      <c r="W927" s="878">
        <v>0.27632999999999996</v>
      </c>
      <c r="X927" s="881">
        <v>1.18</v>
      </c>
      <c r="Y927" s="878">
        <v>10.39</v>
      </c>
      <c r="Z927" s="882">
        <v>0</v>
      </c>
      <c r="AA927" s="882">
        <v>0</v>
      </c>
      <c r="AB927" s="882">
        <v>0</v>
      </c>
      <c r="AC927" s="883">
        <v>0.20331476693841372</v>
      </c>
      <c r="AD927" s="883">
        <v>6.3033241114889824E-2</v>
      </c>
      <c r="AE927" s="883">
        <v>0</v>
      </c>
      <c r="AF927" s="878">
        <v>12.739652326085171</v>
      </c>
      <c r="AG927" s="920">
        <f t="shared" si="53"/>
        <v>5.8747934446119316</v>
      </c>
      <c r="AH927" s="888">
        <f t="shared" si="54"/>
        <v>202510</v>
      </c>
      <c r="AJ927" s="262" t="s">
        <v>2134</v>
      </c>
      <c r="AK927" s="262"/>
      <c r="AL927" s="262"/>
    </row>
    <row r="928" spans="3:38" ht="15.75" hidden="1">
      <c r="C928" s="649">
        <v>45936</v>
      </c>
      <c r="D928" s="874">
        <v>332480</v>
      </c>
      <c r="E928" s="874">
        <v>30780</v>
      </c>
      <c r="F928" s="875">
        <v>23117.439999999999</v>
      </c>
      <c r="G928" s="876">
        <v>5206</v>
      </c>
      <c r="H928" s="877">
        <v>2435</v>
      </c>
      <c r="I928" s="889">
        <v>150724</v>
      </c>
      <c r="J928" s="877">
        <v>163448</v>
      </c>
      <c r="K928" s="877">
        <v>49980.27</v>
      </c>
      <c r="L928" s="877">
        <v>12893</v>
      </c>
      <c r="M928" s="877">
        <v>424801</v>
      </c>
      <c r="N928" s="877">
        <v>7015</v>
      </c>
      <c r="O928" s="874">
        <v>4631</v>
      </c>
      <c r="P928" s="874">
        <v>0</v>
      </c>
      <c r="Q928" s="337">
        <v>0</v>
      </c>
      <c r="R928" s="919">
        <f t="shared" si="52"/>
        <v>147118.72175</v>
      </c>
      <c r="S928" s="884">
        <v>9.6979444820428888</v>
      </c>
      <c r="T928" s="884">
        <v>0.48480499999999999</v>
      </c>
      <c r="U928" s="879">
        <v>3.4079575927305102E-3</v>
      </c>
      <c r="V928" s="885">
        <v>3.3000000000000002E-2</v>
      </c>
      <c r="W928" s="884">
        <v>0.26632</v>
      </c>
      <c r="X928" s="881">
        <v>1.18</v>
      </c>
      <c r="Y928" s="884">
        <v>10.4</v>
      </c>
      <c r="Z928" s="882">
        <v>0</v>
      </c>
      <c r="AA928" s="882">
        <v>0</v>
      </c>
      <c r="AB928" s="882">
        <v>0</v>
      </c>
      <c r="AC928" s="886">
        <v>0.19481972096605663</v>
      </c>
      <c r="AD928" s="886">
        <v>6.5610071726504834E-2</v>
      </c>
      <c r="AE928" s="886">
        <v>0</v>
      </c>
      <c r="AF928" s="884">
        <v>12.738576286928671</v>
      </c>
      <c r="AG928" s="920">
        <f t="shared" si="53"/>
        <v>5.8529999631894079</v>
      </c>
      <c r="AH928" s="888">
        <f t="shared" si="54"/>
        <v>202510</v>
      </c>
      <c r="AJ928" s="931" t="s">
        <v>2134</v>
      </c>
      <c r="AK928" s="262"/>
      <c r="AL928" s="262"/>
    </row>
    <row r="929" spans="3:38" ht="15.75" hidden="1">
      <c r="C929" s="649">
        <v>45937</v>
      </c>
      <c r="D929" s="870">
        <v>354453</v>
      </c>
      <c r="E929" s="870">
        <v>30937</v>
      </c>
      <c r="F929" s="871">
        <v>23109.989999999998</v>
      </c>
      <c r="G929" s="872">
        <v>5211</v>
      </c>
      <c r="H929" s="873">
        <v>2402</v>
      </c>
      <c r="I929" s="889">
        <v>150724</v>
      </c>
      <c r="J929" s="873">
        <v>163401</v>
      </c>
      <c r="K929" s="873">
        <v>50186.47</v>
      </c>
      <c r="L929" s="873">
        <v>13030</v>
      </c>
      <c r="M929" s="873">
        <v>426910</v>
      </c>
      <c r="N929" s="873">
        <v>7099</v>
      </c>
      <c r="O929" s="870">
        <v>4628</v>
      </c>
      <c r="P929" s="870">
        <v>0</v>
      </c>
      <c r="Q929" s="337">
        <v>0</v>
      </c>
      <c r="R929" s="919">
        <f t="shared" si="52"/>
        <v>147932.88825000005</v>
      </c>
      <c r="S929" s="878">
        <v>9.2768733700130515</v>
      </c>
      <c r="T929" s="878">
        <v>0.48617199999999999</v>
      </c>
      <c r="U929" s="879">
        <v>3.4079575927305102E-3</v>
      </c>
      <c r="V929" s="880">
        <v>3.2000000000000001E-2</v>
      </c>
      <c r="W929" s="878">
        <v>0.25901999999999997</v>
      </c>
      <c r="X929" s="881">
        <v>1.18</v>
      </c>
      <c r="Y929" s="878">
        <v>10.44</v>
      </c>
      <c r="Z929" s="882">
        <v>0</v>
      </c>
      <c r="AA929" s="882">
        <v>0</v>
      </c>
      <c r="AB929" s="882">
        <v>0</v>
      </c>
      <c r="AC929" s="883">
        <v>0.19510288916513518</v>
      </c>
      <c r="AD929" s="883">
        <v>7.7163334248910503E-2</v>
      </c>
      <c r="AE929" s="883">
        <v>0</v>
      </c>
      <c r="AF929" s="878">
        <v>12.739907177464341</v>
      </c>
      <c r="AG929" s="920">
        <f t="shared" si="53"/>
        <v>5.8485314280644598</v>
      </c>
      <c r="AH929" s="888">
        <f t="shared" si="54"/>
        <v>202510</v>
      </c>
      <c r="AJ929" s="262" t="s">
        <v>2134</v>
      </c>
      <c r="AK929" s="262"/>
      <c r="AL929" s="262"/>
    </row>
    <row r="930" spans="3:38" ht="15.75" hidden="1">
      <c r="C930" s="649">
        <v>45938</v>
      </c>
      <c r="D930" s="874">
        <v>331831</v>
      </c>
      <c r="E930" s="874">
        <v>30610</v>
      </c>
      <c r="F930" s="875">
        <v>23111.88</v>
      </c>
      <c r="G930" s="876">
        <v>5187</v>
      </c>
      <c r="H930" s="877">
        <v>2464</v>
      </c>
      <c r="I930" s="889">
        <v>150724</v>
      </c>
      <c r="J930" s="877">
        <v>163094</v>
      </c>
      <c r="K930" s="877">
        <v>46480.98</v>
      </c>
      <c r="L930" s="877">
        <v>13501</v>
      </c>
      <c r="M930" s="877">
        <v>416449</v>
      </c>
      <c r="N930" s="877">
        <v>7097</v>
      </c>
      <c r="O930" s="874">
        <v>4636</v>
      </c>
      <c r="P930" s="874">
        <v>0</v>
      </c>
      <c r="Q930" s="337">
        <v>0</v>
      </c>
      <c r="R930" s="919">
        <f t="shared" si="52"/>
        <v>145926.20400000003</v>
      </c>
      <c r="S930" s="884">
        <v>10.544334229088733</v>
      </c>
      <c r="T930" s="884">
        <v>0.48355700000000001</v>
      </c>
      <c r="U930" s="879">
        <v>3.4079575927305102E-3</v>
      </c>
      <c r="V930" s="885">
        <v>3.3000000000000002E-2</v>
      </c>
      <c r="W930" s="884">
        <v>0.27617999999999998</v>
      </c>
      <c r="X930" s="881">
        <v>1.18</v>
      </c>
      <c r="Y930" s="884">
        <v>10.35</v>
      </c>
      <c r="Z930" s="882">
        <v>0</v>
      </c>
      <c r="AA930" s="882">
        <v>0</v>
      </c>
      <c r="AB930" s="882">
        <v>0</v>
      </c>
      <c r="AC930" s="886">
        <v>0.19708506655868518</v>
      </c>
      <c r="AD930" s="886">
        <v>7.3057395362271238E-2</v>
      </c>
      <c r="AE930" s="886">
        <v>0</v>
      </c>
      <c r="AF930" s="884">
        <v>12.739935494284248</v>
      </c>
      <c r="AG930" s="920">
        <f t="shared" si="53"/>
        <v>5.8777390860104433</v>
      </c>
      <c r="AH930" s="888">
        <f t="shared" si="54"/>
        <v>202510</v>
      </c>
      <c r="AJ930" s="262" t="s">
        <v>2136</v>
      </c>
      <c r="AK930" s="262"/>
      <c r="AL930" s="262"/>
    </row>
    <row r="931" spans="3:38" ht="15.75" hidden="1">
      <c r="C931" s="649">
        <v>45939</v>
      </c>
      <c r="D931" s="870">
        <v>325624</v>
      </c>
      <c r="E931" s="870">
        <v>31258</v>
      </c>
      <c r="F931" s="871">
        <v>23102.75</v>
      </c>
      <c r="G931" s="872">
        <v>5127</v>
      </c>
      <c r="H931" s="873">
        <v>2512</v>
      </c>
      <c r="I931" s="889">
        <v>150724</v>
      </c>
      <c r="J931" s="873">
        <v>162796</v>
      </c>
      <c r="K931" s="873">
        <v>49997.26</v>
      </c>
      <c r="L931" s="873">
        <v>13182</v>
      </c>
      <c r="M931" s="873">
        <v>402875</v>
      </c>
      <c r="N931" s="873">
        <v>6511</v>
      </c>
      <c r="O931" s="870">
        <v>4705</v>
      </c>
      <c r="P931" s="870">
        <v>0</v>
      </c>
      <c r="Q931" s="337">
        <v>0</v>
      </c>
      <c r="R931" s="919">
        <f t="shared" si="52"/>
        <v>146076.0295</v>
      </c>
      <c r="S931" s="878">
        <v>10.605781728288784</v>
      </c>
      <c r="T931" s="878">
        <v>0.48482900000000001</v>
      </c>
      <c r="U931" s="879">
        <v>3.4079575927305102E-3</v>
      </c>
      <c r="V931" s="880">
        <v>3.3000000000000002E-2</v>
      </c>
      <c r="W931" s="878">
        <v>0.27961000000000003</v>
      </c>
      <c r="X931" s="881">
        <v>1.18</v>
      </c>
      <c r="Y931" s="878">
        <v>10.32</v>
      </c>
      <c r="Z931" s="882">
        <v>0</v>
      </c>
      <c r="AA931" s="882">
        <v>0</v>
      </c>
      <c r="AB931" s="882">
        <v>0</v>
      </c>
      <c r="AC931" s="883">
        <v>0.18575833859554233</v>
      </c>
      <c r="AD931" s="883">
        <v>7.0990267508997673E-2</v>
      </c>
      <c r="AE931" s="883">
        <v>0</v>
      </c>
      <c r="AF931" s="878">
        <v>12.746420046043148</v>
      </c>
      <c r="AG931" s="920">
        <f t="shared" si="53"/>
        <v>5.8745394479438033</v>
      </c>
      <c r="AH931" s="888">
        <f t="shared" si="54"/>
        <v>202510</v>
      </c>
      <c r="AJ931" s="262" t="s">
        <v>2137</v>
      </c>
      <c r="AK931" s="262"/>
      <c r="AL931" s="262"/>
    </row>
    <row r="932" spans="3:38" ht="15.75" hidden="1">
      <c r="C932" s="649">
        <v>45940</v>
      </c>
      <c r="D932" s="874">
        <v>337632</v>
      </c>
      <c r="E932" s="874">
        <v>31956</v>
      </c>
      <c r="F932" s="875">
        <v>23085.83</v>
      </c>
      <c r="G932" s="876">
        <v>5028</v>
      </c>
      <c r="H932" s="877">
        <v>2485</v>
      </c>
      <c r="I932" s="889">
        <v>150724</v>
      </c>
      <c r="J932" s="877">
        <v>162914</v>
      </c>
      <c r="K932" s="877">
        <v>51393.04</v>
      </c>
      <c r="L932" s="877">
        <v>11936</v>
      </c>
      <c r="M932" s="877">
        <v>419254</v>
      </c>
      <c r="N932" s="877">
        <v>6825</v>
      </c>
      <c r="O932" s="874">
        <v>4665</v>
      </c>
      <c r="P932" s="874">
        <v>0</v>
      </c>
      <c r="Q932" s="337">
        <v>0</v>
      </c>
      <c r="R932" s="919">
        <f t="shared" si="52"/>
        <v>147280.10699999999</v>
      </c>
      <c r="S932" s="884">
        <v>10.286934336126315</v>
      </c>
      <c r="T932" s="884">
        <v>0.48306500000000002</v>
      </c>
      <c r="U932" s="879">
        <v>3.4079575927305102E-3</v>
      </c>
      <c r="V932" s="885">
        <v>3.3000000000000002E-2</v>
      </c>
      <c r="W932" s="884">
        <v>0.27220999999999995</v>
      </c>
      <c r="X932" s="881">
        <v>1.18</v>
      </c>
      <c r="Y932" s="884">
        <v>10.43</v>
      </c>
      <c r="Z932" s="882">
        <v>0</v>
      </c>
      <c r="AA932" s="882">
        <v>0</v>
      </c>
      <c r="AB932" s="882">
        <v>0</v>
      </c>
      <c r="AC932" s="886">
        <v>0.18604150679462095</v>
      </c>
      <c r="AD932" s="886">
        <v>8.5431845662004763E-2</v>
      </c>
      <c r="AE932" s="886">
        <v>0</v>
      </c>
      <c r="AF932" s="884">
        <v>12.740530147502314</v>
      </c>
      <c r="AG932" s="920">
        <f t="shared" si="53"/>
        <v>5.8907433787342107</v>
      </c>
      <c r="AH932" s="888">
        <f t="shared" si="54"/>
        <v>202510</v>
      </c>
      <c r="AJ932" s="262" t="s">
        <v>2138</v>
      </c>
      <c r="AK932" s="262"/>
      <c r="AL932" s="262"/>
    </row>
    <row r="933" spans="3:38" ht="15.75" hidden="1">
      <c r="C933" s="649">
        <v>45941</v>
      </c>
      <c r="D933" s="870">
        <v>363764</v>
      </c>
      <c r="E933" s="870">
        <v>30208</v>
      </c>
      <c r="F933" s="871">
        <v>23098.559999999998</v>
      </c>
      <c r="G933" s="872">
        <v>4915</v>
      </c>
      <c r="H933" s="873">
        <v>2441</v>
      </c>
      <c r="I933" s="889">
        <v>150724</v>
      </c>
      <c r="J933" s="873">
        <v>162550</v>
      </c>
      <c r="K933" s="873">
        <v>50251.99</v>
      </c>
      <c r="L933" s="873">
        <v>13812</v>
      </c>
      <c r="M933" s="873">
        <v>419254</v>
      </c>
      <c r="N933" s="873">
        <v>7027</v>
      </c>
      <c r="O933" s="870">
        <v>4775</v>
      </c>
      <c r="P933" s="870">
        <v>0</v>
      </c>
      <c r="Q933" s="337">
        <v>0</v>
      </c>
      <c r="R933" s="919">
        <f t="shared" si="52"/>
        <v>147619.82149999999</v>
      </c>
      <c r="S933" s="878">
        <v>11.518716002118097</v>
      </c>
      <c r="T933" s="891">
        <v>0.48292000000000002</v>
      </c>
      <c r="U933" s="879">
        <v>3.4079575927305102E-3</v>
      </c>
      <c r="V933" s="880">
        <v>3.2000000000000001E-2</v>
      </c>
      <c r="W933" s="878">
        <v>0.27100000000000002</v>
      </c>
      <c r="X933" s="881">
        <v>1.18</v>
      </c>
      <c r="Y933" s="878">
        <v>10.48</v>
      </c>
      <c r="Z933" s="882">
        <v>0</v>
      </c>
      <c r="AA933" s="882">
        <v>0</v>
      </c>
      <c r="AB933" s="882">
        <v>0</v>
      </c>
      <c r="AC933" s="883">
        <v>0.19000586158172092</v>
      </c>
      <c r="AD933" s="883">
        <v>8.1580758154536206E-2</v>
      </c>
      <c r="AE933" s="883">
        <v>0</v>
      </c>
      <c r="AF933" s="883">
        <v>12.740784998881486</v>
      </c>
      <c r="AG933" s="920">
        <f t="shared" si="53"/>
        <v>5.9369628112225223</v>
      </c>
      <c r="AH933" s="888">
        <f t="shared" si="54"/>
        <v>202510</v>
      </c>
      <c r="AJ933" s="262" t="s">
        <v>2137</v>
      </c>
      <c r="AK933" s="262"/>
      <c r="AL933" s="262"/>
    </row>
    <row r="934" spans="3:38" ht="15.75" hidden="1">
      <c r="C934" s="649">
        <v>45942</v>
      </c>
      <c r="D934" s="874">
        <v>336421</v>
      </c>
      <c r="E934" s="874">
        <v>30893</v>
      </c>
      <c r="F934" s="875">
        <v>23072.43</v>
      </c>
      <c r="G934" s="876">
        <v>4859</v>
      </c>
      <c r="H934" s="877">
        <v>2497</v>
      </c>
      <c r="I934" s="889">
        <v>150724</v>
      </c>
      <c r="J934" s="877">
        <v>164534</v>
      </c>
      <c r="K934" s="877">
        <v>48873.66</v>
      </c>
      <c r="L934" s="877">
        <v>16236</v>
      </c>
      <c r="M934" s="877">
        <v>388565</v>
      </c>
      <c r="N934" s="877">
        <v>5723</v>
      </c>
      <c r="O934" s="874">
        <v>4645</v>
      </c>
      <c r="P934" s="874">
        <v>0</v>
      </c>
      <c r="Q934" s="337">
        <v>0</v>
      </c>
      <c r="R934" s="919">
        <f t="shared" si="52"/>
        <v>146347.74525000001</v>
      </c>
      <c r="S934" s="884">
        <v>9.6534870747875541</v>
      </c>
      <c r="T934" s="884">
        <v>0.483431</v>
      </c>
      <c r="U934" s="879">
        <v>3.4079575927305102E-3</v>
      </c>
      <c r="V934" s="885">
        <v>3.2000000000000001E-2</v>
      </c>
      <c r="W934" s="884">
        <v>0.29100999999999999</v>
      </c>
      <c r="X934" s="881">
        <v>1.18</v>
      </c>
      <c r="Y934" s="884">
        <v>10.33</v>
      </c>
      <c r="Z934" s="882">
        <v>0</v>
      </c>
      <c r="AA934" s="882">
        <v>0</v>
      </c>
      <c r="AB934" s="882">
        <v>0</v>
      </c>
      <c r="AC934" s="886">
        <v>0.17301576963700668</v>
      </c>
      <c r="AD934" s="886">
        <v>7.9145511642460503E-2</v>
      </c>
      <c r="AE934" s="886">
        <v>0</v>
      </c>
      <c r="AF934" s="884">
        <v>12.734017278923506</v>
      </c>
      <c r="AG934" s="920">
        <f t="shared" si="53"/>
        <v>5.8595593139864981</v>
      </c>
      <c r="AH934" s="888">
        <f t="shared" si="54"/>
        <v>202510</v>
      </c>
      <c r="AJ934" s="262" t="s">
        <v>2139</v>
      </c>
      <c r="AK934" s="262"/>
      <c r="AL934" s="262"/>
    </row>
    <row r="935" spans="3:38" ht="15.75" hidden="1">
      <c r="C935" s="649">
        <v>45943</v>
      </c>
      <c r="D935" s="870">
        <v>326097</v>
      </c>
      <c r="E935" s="870">
        <v>30541</v>
      </c>
      <c r="F935" s="871">
        <v>23098.09</v>
      </c>
      <c r="G935" s="872">
        <v>4815</v>
      </c>
      <c r="H935" s="873">
        <v>2568</v>
      </c>
      <c r="I935" s="889">
        <v>147333</v>
      </c>
      <c r="J935" s="873">
        <v>163665</v>
      </c>
      <c r="K935" s="873">
        <v>49497.13</v>
      </c>
      <c r="L935" s="873">
        <v>16093</v>
      </c>
      <c r="M935" s="873">
        <v>403425</v>
      </c>
      <c r="N935" s="873">
        <v>6687</v>
      </c>
      <c r="O935" s="870">
        <v>4730</v>
      </c>
      <c r="P935" s="870">
        <v>0</v>
      </c>
      <c r="Q935" s="337">
        <v>0</v>
      </c>
      <c r="R935" s="919">
        <f t="shared" si="52"/>
        <v>145969.359</v>
      </c>
      <c r="S935" s="878">
        <v>9.4224218243394393</v>
      </c>
      <c r="T935" s="878">
        <v>0.48560999999999999</v>
      </c>
      <c r="U935" s="879">
        <v>3.4079575927305102E-3</v>
      </c>
      <c r="V935" s="880">
        <v>3.3000000000000002E-2</v>
      </c>
      <c r="W935" s="891">
        <v>0.29616000000000003</v>
      </c>
      <c r="X935" s="881">
        <v>1.18</v>
      </c>
      <c r="Y935" s="878">
        <v>10.54</v>
      </c>
      <c r="Z935" s="882">
        <v>0</v>
      </c>
      <c r="AA935" s="930">
        <v>0</v>
      </c>
      <c r="AB935" s="930">
        <v>0</v>
      </c>
      <c r="AC935" s="893">
        <v>0.18320982480383521</v>
      </c>
      <c r="AD935" s="893">
        <v>7.8918977083197644E-2</v>
      </c>
      <c r="AE935" s="893">
        <v>0</v>
      </c>
      <c r="AF935" s="878">
        <v>0.11295579461244183</v>
      </c>
      <c r="AG935" s="920">
        <f t="shared" si="53"/>
        <v>3.7690892653226555</v>
      </c>
      <c r="AH935" s="888">
        <f t="shared" si="54"/>
        <v>202510</v>
      </c>
      <c r="AJ935" s="262" t="s">
        <v>2140</v>
      </c>
      <c r="AK935" s="262"/>
      <c r="AL935" s="262"/>
    </row>
    <row r="936" spans="3:38" ht="15.75" hidden="1">
      <c r="C936" s="649">
        <v>45944</v>
      </c>
      <c r="D936" s="874">
        <v>313048</v>
      </c>
      <c r="E936" s="874">
        <v>30648</v>
      </c>
      <c r="F936" s="875">
        <v>23076.99</v>
      </c>
      <c r="G936" s="876">
        <v>4831</v>
      </c>
      <c r="H936" s="877">
        <v>2547</v>
      </c>
      <c r="I936" s="889">
        <v>147333</v>
      </c>
      <c r="J936" s="877">
        <v>165574</v>
      </c>
      <c r="K936" s="877">
        <v>49937.79</v>
      </c>
      <c r="L936" s="877">
        <v>16339</v>
      </c>
      <c r="M936" s="877">
        <v>418064</v>
      </c>
      <c r="N936" s="877">
        <v>6804</v>
      </c>
      <c r="O936" s="874">
        <v>4518</v>
      </c>
      <c r="P936" s="874">
        <v>0</v>
      </c>
      <c r="Q936" s="337">
        <v>0</v>
      </c>
      <c r="R936" s="919">
        <f t="shared" si="52"/>
        <v>146768.27825000003</v>
      </c>
      <c r="S936" s="884">
        <v>9.8092295842807626</v>
      </c>
      <c r="T936" s="884">
        <v>0.48062899999999997</v>
      </c>
      <c r="U936" s="879">
        <v>3.4079575927305102E-3</v>
      </c>
      <c r="V936" s="885">
        <v>3.2000000000000001E-2</v>
      </c>
      <c r="W936" s="884">
        <v>0.28997000000000001</v>
      </c>
      <c r="X936" s="881">
        <v>1.18</v>
      </c>
      <c r="Y936" s="884">
        <v>10.38</v>
      </c>
      <c r="Z936" s="882">
        <v>0</v>
      </c>
      <c r="AA936" s="882">
        <v>0</v>
      </c>
      <c r="AB936" s="882">
        <v>0</v>
      </c>
      <c r="AC936" s="886">
        <v>0.1795286382158138</v>
      </c>
      <c r="AD936" s="886">
        <v>7.3000761722455509E-2</v>
      </c>
      <c r="AE936" s="886">
        <v>0</v>
      </c>
      <c r="AF936" s="884">
        <v>0</v>
      </c>
      <c r="AG936" s="920">
        <f t="shared" si="53"/>
        <v>3.7087938205478457</v>
      </c>
      <c r="AH936" s="888">
        <f t="shared" si="54"/>
        <v>202510</v>
      </c>
      <c r="AJ936" s="262" t="s">
        <v>2141</v>
      </c>
      <c r="AK936" s="262"/>
      <c r="AL936" s="262"/>
    </row>
    <row r="937" spans="3:38" ht="15.75" hidden="1">
      <c r="C937" s="649">
        <v>45945</v>
      </c>
      <c r="D937" s="870">
        <v>349038</v>
      </c>
      <c r="E937" s="870">
        <v>30723</v>
      </c>
      <c r="F937" s="871">
        <v>23052.050000000003</v>
      </c>
      <c r="G937" s="872">
        <v>4931</v>
      </c>
      <c r="H937" s="873">
        <v>2542</v>
      </c>
      <c r="I937" s="889">
        <v>147333</v>
      </c>
      <c r="J937" s="873">
        <v>163223</v>
      </c>
      <c r="K937" s="873">
        <v>49909.02</v>
      </c>
      <c r="L937" s="873">
        <v>12276</v>
      </c>
      <c r="M937" s="873">
        <v>427864</v>
      </c>
      <c r="N937" s="873">
        <v>6885</v>
      </c>
      <c r="O937" s="870">
        <v>4632</v>
      </c>
      <c r="P937" s="870">
        <v>0</v>
      </c>
      <c r="Q937" s="337">
        <v>0</v>
      </c>
      <c r="R937" s="919">
        <f t="shared" si="52"/>
        <v>146716.63650000002</v>
      </c>
      <c r="S937" s="878">
        <v>11.117749832222845</v>
      </c>
      <c r="T937" s="878">
        <v>0.48376400000000003</v>
      </c>
      <c r="U937" s="879">
        <v>3.4079575927305102E-3</v>
      </c>
      <c r="V937" s="880">
        <v>3.2000000000000001E-2</v>
      </c>
      <c r="W937" s="878">
        <v>0.28458</v>
      </c>
      <c r="X937" s="881">
        <v>1.18</v>
      </c>
      <c r="Y937" s="878">
        <v>10.44</v>
      </c>
      <c r="Z937" s="882">
        <v>0</v>
      </c>
      <c r="AA937" s="882">
        <v>0</v>
      </c>
      <c r="AB937" s="882">
        <v>0</v>
      </c>
      <c r="AC937" s="883">
        <v>0.18717417959093521</v>
      </c>
      <c r="AD937" s="883">
        <v>8.0929471296655495E-2</v>
      </c>
      <c r="AE937" s="883">
        <v>0</v>
      </c>
      <c r="AF937" s="878">
        <v>0.14175400045873249</v>
      </c>
      <c r="AG937" s="920">
        <f t="shared" si="53"/>
        <v>3.786235161259079</v>
      </c>
      <c r="AH937" s="888">
        <f t="shared" si="54"/>
        <v>202510</v>
      </c>
      <c r="AJ937" s="931" t="s">
        <v>2142</v>
      </c>
      <c r="AK937" s="262"/>
      <c r="AL937" s="262"/>
    </row>
    <row r="938" spans="3:38" ht="15.75" hidden="1">
      <c r="C938" s="649">
        <v>45946</v>
      </c>
      <c r="D938" s="874">
        <v>354583</v>
      </c>
      <c r="E938" s="874">
        <v>30855</v>
      </c>
      <c r="F938" s="875">
        <v>23015.54</v>
      </c>
      <c r="G938" s="876">
        <v>5015</v>
      </c>
      <c r="H938" s="877">
        <v>2530</v>
      </c>
      <c r="I938" s="889">
        <v>147333</v>
      </c>
      <c r="J938" s="877">
        <v>166581</v>
      </c>
      <c r="K938" s="877">
        <v>47159.35</v>
      </c>
      <c r="L938" s="877">
        <v>13290</v>
      </c>
      <c r="M938" s="877">
        <v>434995</v>
      </c>
      <c r="N938" s="877">
        <v>7022</v>
      </c>
      <c r="O938" s="874">
        <v>4440</v>
      </c>
      <c r="P938" s="874">
        <v>0</v>
      </c>
      <c r="Q938" s="337">
        <v>0</v>
      </c>
      <c r="R938" s="919">
        <f t="shared" si="52"/>
        <v>147572.71075</v>
      </c>
      <c r="S938" s="884">
        <v>12.348965161816468</v>
      </c>
      <c r="T938" s="884">
        <v>0.48333399999999999</v>
      </c>
      <c r="U938" s="879">
        <v>3.4079575927305102E-3</v>
      </c>
      <c r="V938" s="885">
        <v>3.4000000000000002E-2</v>
      </c>
      <c r="W938" s="884">
        <v>0.28283999999999998</v>
      </c>
      <c r="X938" s="881">
        <v>1.18</v>
      </c>
      <c r="Y938" s="884">
        <v>10.45</v>
      </c>
      <c r="Z938" s="882">
        <v>0</v>
      </c>
      <c r="AA938" s="882">
        <v>0</v>
      </c>
      <c r="AB938" s="882">
        <v>0</v>
      </c>
      <c r="AC938" s="886">
        <v>0.18320982480383521</v>
      </c>
      <c r="AD938" s="886">
        <v>7.8550858424395506E-2</v>
      </c>
      <c r="AE938" s="886">
        <v>0</v>
      </c>
      <c r="AF938" s="884">
        <v>7.9039040399606968</v>
      </c>
      <c r="AG938" s="920">
        <f t="shared" si="53"/>
        <v>5.1421700921895415</v>
      </c>
      <c r="AH938" s="888">
        <f t="shared" si="54"/>
        <v>202510</v>
      </c>
      <c r="AJ938" s="262" t="s">
        <v>2143</v>
      </c>
      <c r="AK938" s="262"/>
      <c r="AL938" s="262"/>
    </row>
    <row r="939" spans="3:38" ht="15.75" hidden="1">
      <c r="C939" s="649">
        <v>45947</v>
      </c>
      <c r="D939" s="870">
        <v>312215</v>
      </c>
      <c r="E939" s="870">
        <v>30805</v>
      </c>
      <c r="F939" s="871">
        <v>22423.72</v>
      </c>
      <c r="G939" s="872">
        <v>5102</v>
      </c>
      <c r="H939" s="873">
        <v>2486</v>
      </c>
      <c r="I939" s="889">
        <v>147333</v>
      </c>
      <c r="J939" s="873">
        <v>167257</v>
      </c>
      <c r="K939" s="873">
        <v>44808.38</v>
      </c>
      <c r="L939" s="873">
        <v>14612</v>
      </c>
      <c r="M939" s="873">
        <v>440626</v>
      </c>
      <c r="N939" s="873">
        <v>7086</v>
      </c>
      <c r="O939" s="870">
        <v>4459</v>
      </c>
      <c r="P939" s="870">
        <v>0</v>
      </c>
      <c r="Q939" s="337"/>
      <c r="R939" s="919">
        <f t="shared" si="52"/>
        <v>146052.00274999999</v>
      </c>
      <c r="S939" s="878">
        <v>11.521264515909802</v>
      </c>
      <c r="T939" s="878">
        <v>0.483794</v>
      </c>
      <c r="U939" s="879">
        <v>3.4079575927305102E-3</v>
      </c>
      <c r="V939" s="880">
        <v>3.3000000000000002E-2</v>
      </c>
      <c r="W939" s="878">
        <v>0.27447000000000005</v>
      </c>
      <c r="X939" s="881">
        <v>1.18</v>
      </c>
      <c r="Y939" s="878">
        <v>10.43</v>
      </c>
      <c r="Z939" s="882">
        <v>0</v>
      </c>
      <c r="AA939" s="882">
        <v>0</v>
      </c>
      <c r="AB939" s="882">
        <v>0</v>
      </c>
      <c r="AC939" s="883">
        <v>0.19198803897527092</v>
      </c>
      <c r="AD939" s="883">
        <v>9.1944714240811895E-2</v>
      </c>
      <c r="AE939" s="883">
        <v>0</v>
      </c>
      <c r="AF939" s="878">
        <f>446.184*0.0283168</f>
        <v>12.634503091200001</v>
      </c>
      <c r="AG939" s="920">
        <f t="shared" si="53"/>
        <v>5.9145390328928773</v>
      </c>
      <c r="AH939" s="888">
        <f t="shared" si="54"/>
        <v>202510</v>
      </c>
      <c r="AJ939" s="262" t="s">
        <v>2143</v>
      </c>
      <c r="AK939" s="262"/>
      <c r="AL939" s="262"/>
    </row>
    <row r="940" spans="3:38" ht="15.75" hidden="1">
      <c r="C940" s="649">
        <v>45948</v>
      </c>
      <c r="D940" s="874">
        <v>338337</v>
      </c>
      <c r="E940" s="874">
        <v>30503</v>
      </c>
      <c r="F940" s="875">
        <v>22723.16</v>
      </c>
      <c r="G940" s="876">
        <v>5163</v>
      </c>
      <c r="H940" s="877">
        <v>2430</v>
      </c>
      <c r="I940" s="889">
        <v>147333</v>
      </c>
      <c r="J940" s="877">
        <v>168803</v>
      </c>
      <c r="K940" s="877">
        <v>48306.03</v>
      </c>
      <c r="L940" s="877">
        <v>12277</v>
      </c>
      <c r="M940" s="877">
        <v>419350</v>
      </c>
      <c r="N940" s="877">
        <v>6954</v>
      </c>
      <c r="O940" s="874">
        <v>4568</v>
      </c>
      <c r="P940" s="874">
        <v>0</v>
      </c>
      <c r="Q940" s="337"/>
      <c r="R940" s="919">
        <f t="shared" si="52"/>
        <v>146809.73300000001</v>
      </c>
      <c r="S940" s="884">
        <v>11.967820765856708</v>
      </c>
      <c r="T940" s="884">
        <v>0.48314099999999999</v>
      </c>
      <c r="U940" s="879">
        <v>3.4079575927305102E-3</v>
      </c>
      <c r="V940" s="885">
        <v>3.3000000000000002E-2</v>
      </c>
      <c r="W940" s="884">
        <v>0.27583999999999997</v>
      </c>
      <c r="X940" s="881">
        <v>1.18</v>
      </c>
      <c r="Y940" s="884">
        <v>10.51</v>
      </c>
      <c r="Z940" s="882">
        <v>0</v>
      </c>
      <c r="AA940" s="882">
        <v>0</v>
      </c>
      <c r="AB940" s="882">
        <v>0</v>
      </c>
      <c r="AC940" s="886">
        <v>0.19623556196144945</v>
      </c>
      <c r="AD940" s="886">
        <v>9.4521544852426892E-2</v>
      </c>
      <c r="AE940" s="886">
        <v>0</v>
      </c>
      <c r="AF940" s="884">
        <f xml:space="preserve"> 510.341*0.0283168</f>
        <v>14.4512240288</v>
      </c>
      <c r="AG940" s="920">
        <f t="shared" si="53"/>
        <v>6.2599350123689508</v>
      </c>
      <c r="AH940" s="888">
        <f t="shared" si="54"/>
        <v>202510</v>
      </c>
      <c r="AJ940" s="262" t="s">
        <v>2143</v>
      </c>
      <c r="AK940" s="262"/>
      <c r="AL940" s="262"/>
    </row>
    <row r="941" spans="3:38" ht="15.75" hidden="1">
      <c r="C941" s="649">
        <v>45949</v>
      </c>
      <c r="D941" s="870">
        <v>350531</v>
      </c>
      <c r="E941" s="870">
        <v>30987</v>
      </c>
      <c r="F941" s="871">
        <v>22929.039999999997</v>
      </c>
      <c r="G941" s="872">
        <v>5252</v>
      </c>
      <c r="H941" s="873">
        <v>2485</v>
      </c>
      <c r="I941" s="889">
        <v>147333</v>
      </c>
      <c r="J941" s="873">
        <v>169376</v>
      </c>
      <c r="K941" s="873">
        <v>48970.01</v>
      </c>
      <c r="L941" s="873">
        <v>12197</v>
      </c>
      <c r="M941" s="873">
        <v>431881</v>
      </c>
      <c r="N941" s="873">
        <v>7034</v>
      </c>
      <c r="O941" s="870">
        <v>4606</v>
      </c>
      <c r="P941" s="870">
        <v>0</v>
      </c>
      <c r="Q941" s="337"/>
      <c r="R941" s="919">
        <f t="shared" si="52"/>
        <v>148361.61849999998</v>
      </c>
      <c r="S941" s="878">
        <v>12.472709664813802</v>
      </c>
      <c r="T941" s="878">
        <v>0.48477799999999999</v>
      </c>
      <c r="U941" s="879">
        <v>3.4079575927305102E-3</v>
      </c>
      <c r="V941" s="880">
        <v>3.5000000000000003E-2</v>
      </c>
      <c r="W941" s="878">
        <v>0.27033999999999997</v>
      </c>
      <c r="X941" s="881">
        <v>1.18</v>
      </c>
      <c r="Y941" s="878">
        <v>10.35</v>
      </c>
      <c r="Z941" s="882">
        <v>0</v>
      </c>
      <c r="AA941" s="882">
        <v>0</v>
      </c>
      <c r="AB941" s="882">
        <v>0</v>
      </c>
      <c r="AC941" s="883">
        <v>0.19935041215131374</v>
      </c>
      <c r="AD941" s="883">
        <v>8.3081549609652638E-2</v>
      </c>
      <c r="AE941" s="883">
        <v>0</v>
      </c>
      <c r="AF941" s="878">
        <f xml:space="preserve"> 508.282*0.0283168</f>
        <v>14.3929197376</v>
      </c>
      <c r="AG941" s="920">
        <f t="shared" si="53"/>
        <v>6.2148999085832211</v>
      </c>
      <c r="AH941" s="888">
        <f t="shared" si="54"/>
        <v>202510</v>
      </c>
      <c r="AJ941" s="262" t="s">
        <v>2144</v>
      </c>
      <c r="AK941" s="262"/>
      <c r="AL941" s="262"/>
    </row>
    <row r="942" spans="3:38" ht="15.75" hidden="1">
      <c r="C942" s="649">
        <v>45950</v>
      </c>
      <c r="D942" s="874">
        <v>321609</v>
      </c>
      <c r="E942" s="874">
        <v>31491</v>
      </c>
      <c r="F942" s="875">
        <v>21890.26</v>
      </c>
      <c r="G942" s="876">
        <v>5357</v>
      </c>
      <c r="H942" s="877">
        <v>2446</v>
      </c>
      <c r="I942" s="889">
        <v>147681</v>
      </c>
      <c r="J942" s="877">
        <v>169882</v>
      </c>
      <c r="K942" s="877">
        <v>49447.25</v>
      </c>
      <c r="L942" s="877">
        <v>7367</v>
      </c>
      <c r="M942" s="877">
        <v>435202</v>
      </c>
      <c r="N942" s="877">
        <v>7150</v>
      </c>
      <c r="O942" s="874">
        <v>4571</v>
      </c>
      <c r="P942" s="874">
        <v>0</v>
      </c>
      <c r="Q942" s="337">
        <v>0</v>
      </c>
      <c r="R942" s="919">
        <f t="shared" si="52"/>
        <v>146224.91650000002</v>
      </c>
      <c r="S942" s="884">
        <v>12.544351219180683</v>
      </c>
      <c r="T942" s="884">
        <v>0.48799999999999999</v>
      </c>
      <c r="U942" s="879">
        <v>3.4079575927305102E-3</v>
      </c>
      <c r="V942" s="885">
        <v>3.5000000000000003E-2</v>
      </c>
      <c r="W942" s="884">
        <v>0.26749000000000001</v>
      </c>
      <c r="X942" s="881">
        <v>1.18</v>
      </c>
      <c r="Y942" s="884">
        <v>10.42</v>
      </c>
      <c r="Z942" s="882">
        <v>0</v>
      </c>
      <c r="AA942" s="921"/>
      <c r="AB942" s="882">
        <v>0</v>
      </c>
      <c r="AC942" s="886">
        <v>0.20104942134578516</v>
      </c>
      <c r="AD942" s="886">
        <v>8.4242539225874769E-2</v>
      </c>
      <c r="AE942" s="886">
        <v>0</v>
      </c>
      <c r="AF942" s="884">
        <v>14.458511611312003</v>
      </c>
      <c r="AG942" s="920">
        <f t="shared" si="53"/>
        <v>6.2450172694373727</v>
      </c>
      <c r="AH942" s="888">
        <f t="shared" si="54"/>
        <v>202510</v>
      </c>
      <c r="AJ942" s="262" t="s">
        <v>2145</v>
      </c>
      <c r="AK942" s="262"/>
      <c r="AL942" s="262"/>
    </row>
    <row r="943" spans="3:38" ht="15.75" hidden="1">
      <c r="C943" s="649">
        <v>45951</v>
      </c>
      <c r="D943" s="870">
        <v>378019</v>
      </c>
      <c r="E943" s="870">
        <v>31862</v>
      </c>
      <c r="F943" s="871">
        <v>20015.440000000002</v>
      </c>
      <c r="G943" s="872">
        <v>5404</v>
      </c>
      <c r="H943" s="873">
        <v>2515</v>
      </c>
      <c r="I943" s="889">
        <v>147681</v>
      </c>
      <c r="J943" s="873">
        <v>165777</v>
      </c>
      <c r="K943" s="873">
        <v>50581.72</v>
      </c>
      <c r="L943" s="873">
        <v>3351</v>
      </c>
      <c r="M943" s="873">
        <v>418634</v>
      </c>
      <c r="N943" s="873">
        <v>7091</v>
      </c>
      <c r="O943" s="870">
        <v>4408</v>
      </c>
      <c r="P943" s="870">
        <v>0</v>
      </c>
      <c r="Q943" s="337">
        <v>0</v>
      </c>
      <c r="R943" s="919">
        <f t="shared" si="52"/>
        <v>144268.25250000003</v>
      </c>
      <c r="S943" s="878">
        <v>12.175383055781303</v>
      </c>
      <c r="T943" s="878">
        <v>0.49009999999999998</v>
      </c>
      <c r="U943" s="879">
        <v>3.4079575927305102E-3</v>
      </c>
      <c r="V943" s="880">
        <v>3.5000000000000003E-2</v>
      </c>
      <c r="W943" s="878">
        <v>0.27979999999999999</v>
      </c>
      <c r="X943" s="881">
        <v>1.18</v>
      </c>
      <c r="Y943" s="878">
        <v>10.220000000000001</v>
      </c>
      <c r="Z943" s="882">
        <v>0</v>
      </c>
      <c r="AA943" s="882">
        <v>0</v>
      </c>
      <c r="AB943" s="882">
        <v>0</v>
      </c>
      <c r="AC943" s="883">
        <v>0.20048308494762804</v>
      </c>
      <c r="AD943" s="883">
        <v>8.0306501258682633E-2</v>
      </c>
      <c r="AE943" s="883">
        <v>0</v>
      </c>
      <c r="AF943" s="878">
        <v>14.458766462691173</v>
      </c>
      <c r="AG943" s="920">
        <f t="shared" si="53"/>
        <v>6.1935085632017266</v>
      </c>
      <c r="AH943" s="888">
        <f t="shared" si="54"/>
        <v>202510</v>
      </c>
      <c r="AJ943" s="931" t="s">
        <v>2146</v>
      </c>
      <c r="AK943" s="262"/>
      <c r="AL943" s="262"/>
    </row>
    <row r="944" spans="3:38" ht="15.75" hidden="1">
      <c r="C944" s="649">
        <v>45952</v>
      </c>
      <c r="D944" s="874">
        <v>345313</v>
      </c>
      <c r="E944" s="874">
        <v>31786</v>
      </c>
      <c r="F944" s="875">
        <v>6699.37</v>
      </c>
      <c r="G944" s="876">
        <v>5441</v>
      </c>
      <c r="H944" s="877">
        <v>2491</v>
      </c>
      <c r="I944" s="889">
        <v>147681</v>
      </c>
      <c r="J944" s="877">
        <v>164434</v>
      </c>
      <c r="K944" s="877">
        <v>52145.7</v>
      </c>
      <c r="L944" s="877">
        <v>13685</v>
      </c>
      <c r="M944" s="877">
        <v>431909</v>
      </c>
      <c r="N944" s="877">
        <v>7106</v>
      </c>
      <c r="O944" s="874">
        <v>4818</v>
      </c>
      <c r="P944" s="874">
        <v>0</v>
      </c>
      <c r="Q944" s="337">
        <v>0</v>
      </c>
      <c r="R944" s="919">
        <f t="shared" si="52"/>
        <v>137195.87550000002</v>
      </c>
      <c r="S944" s="884">
        <v>12.135173171512148</v>
      </c>
      <c r="T944" s="884">
        <v>0.49162600000000001</v>
      </c>
      <c r="U944" s="879">
        <v>3.4079575927305102E-3</v>
      </c>
      <c r="V944" s="885">
        <v>3.5999999999999997E-2</v>
      </c>
      <c r="W944" s="884">
        <v>0.28950999999999999</v>
      </c>
      <c r="X944" s="881">
        <v>1.18</v>
      </c>
      <c r="Y944" s="884">
        <v>10.45</v>
      </c>
      <c r="Z944" s="882">
        <v>0</v>
      </c>
      <c r="AA944" s="882">
        <v>0</v>
      </c>
      <c r="AB944" s="882">
        <v>0</v>
      </c>
      <c r="AC944" s="886">
        <v>0.20982763551722086</v>
      </c>
      <c r="AD944" s="886">
        <v>6.6317992224201247E-2</v>
      </c>
      <c r="AE944" s="886">
        <v>0</v>
      </c>
      <c r="AF944" s="884">
        <v>14.460040719587026</v>
      </c>
      <c r="AG944" s="920">
        <f t="shared" si="53"/>
        <v>6.2584035647080105</v>
      </c>
      <c r="AH944" s="888">
        <f t="shared" si="54"/>
        <v>202510</v>
      </c>
      <c r="AJ944" s="931" t="s">
        <v>2147</v>
      </c>
      <c r="AK944" s="262"/>
      <c r="AL944" s="262"/>
    </row>
    <row r="945" spans="1:38" ht="15.75" hidden="1">
      <c r="C945" s="649">
        <v>45953</v>
      </c>
      <c r="D945" s="870">
        <v>329631</v>
      </c>
      <c r="E945" s="870">
        <v>31780</v>
      </c>
      <c r="F945" s="871">
        <v>22960.57</v>
      </c>
      <c r="G945" s="872">
        <v>5465</v>
      </c>
      <c r="H945" s="873">
        <v>2563</v>
      </c>
      <c r="I945" s="889">
        <v>147681</v>
      </c>
      <c r="J945" s="873">
        <v>164495</v>
      </c>
      <c r="K945" s="873">
        <v>49752.44</v>
      </c>
      <c r="L945" s="873">
        <v>16149</v>
      </c>
      <c r="M945" s="873">
        <v>415845</v>
      </c>
      <c r="N945" s="873">
        <v>6797</v>
      </c>
      <c r="O945" s="870">
        <v>4636</v>
      </c>
      <c r="P945" s="870">
        <v>0</v>
      </c>
      <c r="Q945" s="337">
        <v>0</v>
      </c>
      <c r="R945" s="919">
        <f t="shared" si="52"/>
        <v>147465.03200000001</v>
      </c>
      <c r="S945" s="878">
        <v>12.307905772950074</v>
      </c>
      <c r="T945" s="878">
        <v>0.49270399999999998</v>
      </c>
      <c r="U945" s="879">
        <v>3.4079575927305102E-3</v>
      </c>
      <c r="V945" s="880">
        <v>3.4000000000000002E-2</v>
      </c>
      <c r="W945" s="878">
        <v>0.29366000000000003</v>
      </c>
      <c r="X945" s="881">
        <v>1.18</v>
      </c>
      <c r="Y945" s="878">
        <v>10.41</v>
      </c>
      <c r="Z945" s="882">
        <v>0</v>
      </c>
      <c r="AA945" s="882">
        <v>0</v>
      </c>
      <c r="AB945" s="882">
        <v>0</v>
      </c>
      <c r="AC945" s="883">
        <v>0.2007662531467066</v>
      </c>
      <c r="AD945" s="883">
        <v>7.0707099309919086E-2</v>
      </c>
      <c r="AE945" s="883">
        <v>0</v>
      </c>
      <c r="AF945" s="878">
        <v>14.457548839435136</v>
      </c>
      <c r="AG945" s="920">
        <f t="shared" si="53"/>
        <v>6.2568323244477799</v>
      </c>
      <c r="AH945" s="888">
        <f t="shared" si="54"/>
        <v>202510</v>
      </c>
      <c r="AJ945" s="931" t="s">
        <v>2148</v>
      </c>
      <c r="AK945" s="262"/>
      <c r="AL945" s="262"/>
    </row>
    <row r="946" spans="1:38" ht="15.75" hidden="1">
      <c r="C946" s="649">
        <v>45954</v>
      </c>
      <c r="D946" s="874">
        <v>344971</v>
      </c>
      <c r="E946" s="874">
        <v>31862</v>
      </c>
      <c r="F946" s="875">
        <v>22992.240000000002</v>
      </c>
      <c r="G946" s="876">
        <v>5423</v>
      </c>
      <c r="H946" s="877">
        <v>2519</v>
      </c>
      <c r="I946" s="889">
        <v>147681</v>
      </c>
      <c r="J946" s="877">
        <v>166237</v>
      </c>
      <c r="K946" s="877">
        <v>50873.08</v>
      </c>
      <c r="L946" s="877">
        <v>14846</v>
      </c>
      <c r="M946" s="877">
        <v>404135</v>
      </c>
      <c r="N946" s="877">
        <v>7096</v>
      </c>
      <c r="O946" s="874">
        <v>4523</v>
      </c>
      <c r="P946" s="874">
        <v>0</v>
      </c>
      <c r="Q946" s="337">
        <v>0</v>
      </c>
      <c r="R946" s="919">
        <f t="shared" si="52"/>
        <v>147831.05725000001</v>
      </c>
      <c r="S946" s="884">
        <v>12.192373147726014</v>
      </c>
      <c r="T946" s="884">
        <v>0.49252899999999999</v>
      </c>
      <c r="U946" s="879">
        <v>3.4079575927305102E-3</v>
      </c>
      <c r="V946" s="885">
        <v>3.6999999999999998E-2</v>
      </c>
      <c r="W946" s="884">
        <v>0.28669</v>
      </c>
      <c r="X946" s="881">
        <v>1.18</v>
      </c>
      <c r="Y946" s="884">
        <v>10.37</v>
      </c>
      <c r="Z946" s="882">
        <v>0</v>
      </c>
      <c r="AA946" s="882">
        <v>0</v>
      </c>
      <c r="AB946" s="882">
        <v>0</v>
      </c>
      <c r="AC946" s="886">
        <v>0.22370287727207083</v>
      </c>
      <c r="AD946" s="886">
        <v>8.7470656695370477E-2</v>
      </c>
      <c r="AE946" s="886">
        <v>0</v>
      </c>
      <c r="AF946" s="884">
        <v>14.456444483458728</v>
      </c>
      <c r="AG946" s="920">
        <f t="shared" si="53"/>
        <v>6.2465764562519572</v>
      </c>
      <c r="AH946" s="888">
        <f t="shared" si="54"/>
        <v>202510</v>
      </c>
      <c r="AJ946" s="931" t="s">
        <v>2148</v>
      </c>
      <c r="AK946" s="262"/>
      <c r="AL946" s="262"/>
    </row>
    <row r="947" spans="1:38" ht="15.75" hidden="1">
      <c r="C947" s="649">
        <v>45955</v>
      </c>
      <c r="D947" s="870">
        <v>332131</v>
      </c>
      <c r="E947" s="870">
        <v>32189</v>
      </c>
      <c r="F947" s="871">
        <v>23016.399999999998</v>
      </c>
      <c r="G947" s="872">
        <v>5464</v>
      </c>
      <c r="H947" s="873">
        <v>2512</v>
      </c>
      <c r="I947" s="889">
        <v>147681</v>
      </c>
      <c r="J947" s="873">
        <v>164931</v>
      </c>
      <c r="K947" s="873">
        <v>50939.19</v>
      </c>
      <c r="L947" s="873">
        <v>10220</v>
      </c>
      <c r="M947" s="873">
        <v>399289</v>
      </c>
      <c r="N947" s="873">
        <v>7073</v>
      </c>
      <c r="O947" s="870">
        <v>4637</v>
      </c>
      <c r="P947" s="870">
        <v>0</v>
      </c>
      <c r="Q947" s="337">
        <v>0</v>
      </c>
      <c r="R947" s="919">
        <f t="shared" si="52"/>
        <v>145984.36424999998</v>
      </c>
      <c r="S947" s="878">
        <v>11.568270436956846</v>
      </c>
      <c r="T947" s="878">
        <v>0.49543799999999999</v>
      </c>
      <c r="U947" s="879">
        <v>3.4079575927305102E-3</v>
      </c>
      <c r="V947" s="880">
        <v>3.5999999999999997E-2</v>
      </c>
      <c r="W947" s="878">
        <v>0.28148000000000001</v>
      </c>
      <c r="X947" s="881">
        <v>1.18</v>
      </c>
      <c r="Y947" s="878">
        <v>10.3</v>
      </c>
      <c r="Z947" s="882">
        <v>0</v>
      </c>
      <c r="AA947" s="882">
        <v>0</v>
      </c>
      <c r="AB947" s="882">
        <v>0</v>
      </c>
      <c r="AC947" s="883">
        <v>0.22257020447575654</v>
      </c>
      <c r="AD947" s="883">
        <v>8.0306501258682633E-2</v>
      </c>
      <c r="AE947" s="883">
        <v>0</v>
      </c>
      <c r="AF947" s="878">
        <v>14.457775373994398</v>
      </c>
      <c r="AG947" s="920">
        <f t="shared" si="53"/>
        <v>6.2024328771707538</v>
      </c>
      <c r="AH947" s="888">
        <f t="shared" si="54"/>
        <v>202510</v>
      </c>
      <c r="AJ947" s="931" t="s">
        <v>2148</v>
      </c>
      <c r="AK947" s="262"/>
      <c r="AL947" s="262"/>
    </row>
    <row r="948" spans="1:38" ht="15.75" hidden="1">
      <c r="C948" s="649">
        <v>45956</v>
      </c>
      <c r="D948" s="874">
        <v>336112</v>
      </c>
      <c r="E948" s="874">
        <v>32830</v>
      </c>
      <c r="F948" s="875">
        <v>22989.57</v>
      </c>
      <c r="G948" s="876">
        <v>5411</v>
      </c>
      <c r="H948" s="877">
        <v>2461</v>
      </c>
      <c r="I948" s="889">
        <v>147681</v>
      </c>
      <c r="J948" s="877">
        <v>164359</v>
      </c>
      <c r="K948" s="877">
        <v>51308.88</v>
      </c>
      <c r="L948" s="877">
        <v>11712</v>
      </c>
      <c r="M948" s="877">
        <v>411042</v>
      </c>
      <c r="N948" s="877">
        <v>7123</v>
      </c>
      <c r="O948" s="874">
        <v>4706</v>
      </c>
      <c r="P948" s="874">
        <v>0</v>
      </c>
      <c r="Q948" s="337">
        <v>0</v>
      </c>
      <c r="R948" s="919">
        <f t="shared" si="52"/>
        <v>146984.465</v>
      </c>
      <c r="S948" s="884">
        <v>10.557926302644505</v>
      </c>
      <c r="T948" s="884">
        <v>0.49962699999999999</v>
      </c>
      <c r="U948" s="879">
        <v>3.4079575927305102E-3</v>
      </c>
      <c r="V948" s="885">
        <v>3.5999999999999997E-2</v>
      </c>
      <c r="W948" s="884">
        <v>0.2747</v>
      </c>
      <c r="X948" s="881">
        <v>1.18</v>
      </c>
      <c r="Y948" s="884">
        <v>10.27</v>
      </c>
      <c r="Z948" s="882">
        <v>0</v>
      </c>
      <c r="AA948" s="887">
        <v>0</v>
      </c>
      <c r="AB948" s="887">
        <v>0</v>
      </c>
      <c r="AC948" s="886">
        <v>0.21350882210524227</v>
      </c>
      <c r="AD948" s="886">
        <v>7.4501553177571941E-2</v>
      </c>
      <c r="AE948" s="886">
        <v>0</v>
      </c>
      <c r="AF948" s="884">
        <v>14.458794779511081</v>
      </c>
      <c r="AG948" s="920">
        <f t="shared" si="53"/>
        <v>6.1562859088867521</v>
      </c>
      <c r="AH948" s="888">
        <f t="shared" si="54"/>
        <v>202510</v>
      </c>
      <c r="AJ948" s="931" t="s">
        <v>2148</v>
      </c>
      <c r="AK948" s="262"/>
      <c r="AL948" s="262"/>
    </row>
    <row r="949" spans="1:38" ht="15.75" hidden="1">
      <c r="C949" s="649">
        <v>45957</v>
      </c>
      <c r="D949" s="870">
        <v>343745</v>
      </c>
      <c r="E949" s="870">
        <v>33132</v>
      </c>
      <c r="F949" s="871">
        <v>22950.379999999997</v>
      </c>
      <c r="G949" s="872">
        <v>5290</v>
      </c>
      <c r="H949" s="873">
        <v>2424</v>
      </c>
      <c r="I949" s="889">
        <v>158521</v>
      </c>
      <c r="J949" s="873">
        <v>164751</v>
      </c>
      <c r="K949" s="873">
        <v>51246.71</v>
      </c>
      <c r="L949" s="873">
        <v>10531</v>
      </c>
      <c r="M949" s="873">
        <v>416996</v>
      </c>
      <c r="N949" s="873">
        <v>7131</v>
      </c>
      <c r="O949" s="870">
        <v>4735</v>
      </c>
      <c r="P949" s="870">
        <v>0</v>
      </c>
      <c r="Q949" s="337">
        <v>0</v>
      </c>
      <c r="R949" s="919">
        <f t="shared" si="52"/>
        <v>149384.43849999999</v>
      </c>
      <c r="S949" s="878">
        <v>9.2182575528037951</v>
      </c>
      <c r="T949" s="878">
        <v>0.50263100000000005</v>
      </c>
      <c r="U949" s="879">
        <v>3.4079575927305102E-3</v>
      </c>
      <c r="V949" s="880">
        <v>3.4000000000000002E-2</v>
      </c>
      <c r="W949" s="878">
        <v>0.26935999999999999</v>
      </c>
      <c r="X949" s="881">
        <v>1.18</v>
      </c>
      <c r="Y949" s="878">
        <v>10.35</v>
      </c>
      <c r="Z949" s="882">
        <v>0</v>
      </c>
      <c r="AA949" s="921">
        <v>0</v>
      </c>
      <c r="AB949" s="921">
        <v>0</v>
      </c>
      <c r="AC949" s="883">
        <v>0.21973852248497083</v>
      </c>
      <c r="AD949" s="883">
        <v>8.3308084168915497E-2</v>
      </c>
      <c r="AE949" s="883">
        <v>0</v>
      </c>
      <c r="AF949" s="878">
        <v>14.460578739165276</v>
      </c>
      <c r="AG949" s="920">
        <f t="shared" si="53"/>
        <v>6.1368828305334322</v>
      </c>
      <c r="AH949" s="888">
        <f t="shared" si="54"/>
        <v>202510</v>
      </c>
      <c r="AJ949" s="262"/>
      <c r="AK949" s="262"/>
      <c r="AL949" s="262"/>
    </row>
    <row r="950" spans="1:38" ht="15.75" hidden="1">
      <c r="C950" s="649">
        <v>45958</v>
      </c>
      <c r="D950" s="874">
        <v>322607</v>
      </c>
      <c r="E950" s="874">
        <v>33308</v>
      </c>
      <c r="F950" s="875">
        <v>22884.45</v>
      </c>
      <c r="G950" s="876">
        <v>5309</v>
      </c>
      <c r="H950" s="877">
        <v>2441</v>
      </c>
      <c r="I950" s="889">
        <v>158521</v>
      </c>
      <c r="J950" s="877">
        <v>166334</v>
      </c>
      <c r="K950" s="877">
        <v>50705.36</v>
      </c>
      <c r="L950" s="877">
        <v>15050</v>
      </c>
      <c r="M950" s="877">
        <v>433964</v>
      </c>
      <c r="N950" s="877">
        <v>7227</v>
      </c>
      <c r="O950" s="874">
        <v>4703</v>
      </c>
      <c r="P950" s="874">
        <v>0</v>
      </c>
      <c r="Q950" s="337">
        <v>0</v>
      </c>
      <c r="R950" s="919">
        <f t="shared" si="52"/>
        <v>150836.95225</v>
      </c>
      <c r="S950" s="884">
        <v>8.6165251297618255</v>
      </c>
      <c r="T950" s="884">
        <v>0.50419800000000004</v>
      </c>
      <c r="U950" s="879">
        <v>3.4079575927305102E-3</v>
      </c>
      <c r="V950" s="885">
        <v>3.6999999999999998E-2</v>
      </c>
      <c r="W950" s="884">
        <v>0.27526999999999996</v>
      </c>
      <c r="X950" s="881">
        <v>1.18</v>
      </c>
      <c r="Y950" s="884">
        <v>10.34</v>
      </c>
      <c r="Z950" s="887">
        <v>0</v>
      </c>
      <c r="AA950" s="887">
        <v>0</v>
      </c>
      <c r="AB950" s="887">
        <v>0</v>
      </c>
      <c r="AC950" s="886">
        <v>0.21407515850339942</v>
      </c>
      <c r="AD950" s="886">
        <v>8.2911648690205494E-2</v>
      </c>
      <c r="AE950" s="886">
        <v>0</v>
      </c>
      <c r="AF950" s="884">
        <v>14.460465471885644</v>
      </c>
      <c r="AG950" s="920">
        <f t="shared" si="53"/>
        <v>6.1237144474924605</v>
      </c>
      <c r="AH950" s="888">
        <f t="shared" si="54"/>
        <v>202510</v>
      </c>
      <c r="AJ950" s="262"/>
      <c r="AK950" s="262"/>
      <c r="AL950" s="262"/>
    </row>
    <row r="951" spans="1:38" ht="15.75" hidden="1">
      <c r="C951" s="649">
        <v>45959</v>
      </c>
      <c r="D951" s="870">
        <v>337422</v>
      </c>
      <c r="E951" s="870">
        <v>33698</v>
      </c>
      <c r="F951" s="871">
        <v>7712.8200000000006</v>
      </c>
      <c r="G951" s="872">
        <v>5193</v>
      </c>
      <c r="H951" s="873">
        <v>2403</v>
      </c>
      <c r="I951" s="889">
        <v>158521</v>
      </c>
      <c r="J951" s="873">
        <v>166262</v>
      </c>
      <c r="K951" s="873">
        <v>52310.09</v>
      </c>
      <c r="L951" s="873">
        <v>12245</v>
      </c>
      <c r="M951" s="873">
        <v>453705</v>
      </c>
      <c r="N951" s="873">
        <v>7229</v>
      </c>
      <c r="O951" s="870">
        <v>4640</v>
      </c>
      <c r="P951" s="870">
        <v>0</v>
      </c>
      <c r="Q951" s="337">
        <v>0</v>
      </c>
      <c r="R951" s="919">
        <f t="shared" si="52"/>
        <v>141129.86624999999</v>
      </c>
      <c r="S951" s="878">
        <v>9.1913565738913299</v>
      </c>
      <c r="T951" s="878">
        <v>0.50510900000000003</v>
      </c>
      <c r="U951" s="879">
        <v>3.4079575927305102E-3</v>
      </c>
      <c r="V951" s="880">
        <v>3.6999999999999998E-2</v>
      </c>
      <c r="W951" s="891">
        <v>0.2918</v>
      </c>
      <c r="X951" s="881">
        <v>1.18</v>
      </c>
      <c r="Y951" s="891">
        <v>10.36</v>
      </c>
      <c r="Z951" s="882">
        <v>0</v>
      </c>
      <c r="AA951" s="882">
        <v>0</v>
      </c>
      <c r="AB951" s="882">
        <v>0</v>
      </c>
      <c r="AC951" s="883">
        <v>0.21407515850339942</v>
      </c>
      <c r="AD951" s="883">
        <v>8.0306501258682633E-2</v>
      </c>
      <c r="AE951" s="893">
        <v>0</v>
      </c>
      <c r="AF951" s="891">
        <v>14.31610632399539</v>
      </c>
      <c r="AG951" s="920">
        <f t="shared" si="53"/>
        <v>6.1369211231192962</v>
      </c>
      <c r="AH951" s="888">
        <f t="shared" si="54"/>
        <v>202510</v>
      </c>
      <c r="AJ951" s="931" t="s">
        <v>2148</v>
      </c>
      <c r="AK951" s="262"/>
      <c r="AL951" s="262"/>
    </row>
    <row r="952" spans="1:38" ht="15.75" hidden="1">
      <c r="C952" s="649">
        <v>45960</v>
      </c>
      <c r="D952" s="874">
        <v>339622</v>
      </c>
      <c r="E952" s="874">
        <v>33314</v>
      </c>
      <c r="F952" s="875">
        <v>1466.4099999999999</v>
      </c>
      <c r="G952" s="876">
        <v>5215</v>
      </c>
      <c r="H952" s="877">
        <v>2428</v>
      </c>
      <c r="I952" s="889">
        <v>158521</v>
      </c>
      <c r="J952" s="877">
        <v>164018</v>
      </c>
      <c r="K952" s="877">
        <v>50649.9</v>
      </c>
      <c r="L952" s="877">
        <v>11270</v>
      </c>
      <c r="M952" s="877">
        <v>455754</v>
      </c>
      <c r="N952" s="877">
        <v>6808</v>
      </c>
      <c r="O952" s="874">
        <v>4780</v>
      </c>
      <c r="P952" s="874">
        <v>0</v>
      </c>
      <c r="Q952" s="337">
        <v>0</v>
      </c>
      <c r="R952" s="919">
        <f t="shared" si="52"/>
        <v>135611.99299999999</v>
      </c>
      <c r="S952" s="884">
        <v>11.143234970139913</v>
      </c>
      <c r="T952" s="884">
        <v>0.50217400000000001</v>
      </c>
      <c r="U952" s="879">
        <v>3.4079575927305102E-3</v>
      </c>
      <c r="V952" s="885">
        <v>3.5999999999999997E-2</v>
      </c>
      <c r="W952" s="884">
        <v>0.28599000000000002</v>
      </c>
      <c r="X952" s="881">
        <v>1.18</v>
      </c>
      <c r="Y952" s="884">
        <v>10.44</v>
      </c>
      <c r="Z952" s="887">
        <v>0</v>
      </c>
      <c r="AA952" s="887">
        <v>0</v>
      </c>
      <c r="AB952" s="887">
        <v>0</v>
      </c>
      <c r="AC952" s="886">
        <v>0.20926129911906372</v>
      </c>
      <c r="AD952" s="886">
        <v>7.9655214400801935E-2</v>
      </c>
      <c r="AE952" s="886">
        <v>0</v>
      </c>
      <c r="AF952" s="884">
        <v>14.31621959127502</v>
      </c>
      <c r="AG952" s="920">
        <f t="shared" si="53"/>
        <v>6.2069403323716745</v>
      </c>
      <c r="AH952" s="888">
        <f t="shared" si="54"/>
        <v>202510</v>
      </c>
      <c r="AJ952" s="931" t="s">
        <v>2161</v>
      </c>
      <c r="AK952" s="262"/>
      <c r="AL952" s="262"/>
    </row>
    <row r="953" spans="1:38" ht="15.75" hidden="1">
      <c r="C953" s="649">
        <v>45961</v>
      </c>
      <c r="D953" s="870">
        <v>340390</v>
      </c>
      <c r="E953" s="870">
        <v>33157</v>
      </c>
      <c r="F953" s="871">
        <v>1359.86</v>
      </c>
      <c r="G953" s="872">
        <v>5152</v>
      </c>
      <c r="H953" s="873">
        <v>2407</v>
      </c>
      <c r="I953" s="889">
        <v>158521</v>
      </c>
      <c r="J953" s="873">
        <v>165677</v>
      </c>
      <c r="K953" s="873">
        <v>47965.86</v>
      </c>
      <c r="L953" s="873">
        <v>13575</v>
      </c>
      <c r="M953" s="873">
        <v>472821</v>
      </c>
      <c r="N953" s="873">
        <v>6044</v>
      </c>
      <c r="O953" s="870">
        <v>4608</v>
      </c>
      <c r="P953" s="870">
        <v>0</v>
      </c>
      <c r="Q953" s="337">
        <v>0</v>
      </c>
      <c r="R953" s="919">
        <f t="shared" si="52"/>
        <v>136311.23325000002</v>
      </c>
      <c r="S953" s="878">
        <v>10.79692026266682</v>
      </c>
      <c r="T953" s="878">
        <v>0.496199</v>
      </c>
      <c r="U953" s="879">
        <v>3.4079575927305102E-3</v>
      </c>
      <c r="V953" s="880">
        <v>3.4000000000000002E-2</v>
      </c>
      <c r="W953" s="878">
        <v>0.28164999999999996</v>
      </c>
      <c r="X953" s="881">
        <v>1.18</v>
      </c>
      <c r="Y953" s="878">
        <v>10.47</v>
      </c>
      <c r="Z953" s="882">
        <v>0</v>
      </c>
      <c r="AA953" s="882">
        <v>0</v>
      </c>
      <c r="AB953" s="882">
        <v>0</v>
      </c>
      <c r="AC953" s="883">
        <v>0.22172069987852083</v>
      </c>
      <c r="AD953" s="883">
        <v>8.687600347730548E-2</v>
      </c>
      <c r="AE953" s="883">
        <v>0</v>
      </c>
      <c r="AF953" s="878">
        <v>14.312651671966631</v>
      </c>
      <c r="AG953" s="920">
        <f t="shared" si="53"/>
        <v>6.2013096806098034</v>
      </c>
      <c r="AH953" s="888">
        <f t="shared" si="54"/>
        <v>202510</v>
      </c>
      <c r="AJ953" s="931" t="s">
        <v>2161</v>
      </c>
      <c r="AK953" s="262"/>
      <c r="AL953" s="262"/>
    </row>
    <row r="954" spans="1:38" ht="15.75" hidden="1">
      <c r="A954" s="754"/>
      <c r="C954" s="649">
        <v>45962</v>
      </c>
      <c r="D954" s="874">
        <v>381959</v>
      </c>
      <c r="E954" s="874">
        <v>33182</v>
      </c>
      <c r="F954" s="875">
        <v>1465.8600000000001</v>
      </c>
      <c r="G954" s="874">
        <v>4902</v>
      </c>
      <c r="H954" s="874">
        <v>2439</v>
      </c>
      <c r="I954" s="889">
        <v>158521</v>
      </c>
      <c r="J954" s="877">
        <v>164642</v>
      </c>
      <c r="K954" s="877">
        <v>50262.19</v>
      </c>
      <c r="L954" s="877">
        <v>12579</v>
      </c>
      <c r="M954" s="877">
        <v>419401</v>
      </c>
      <c r="N954" s="877">
        <v>5820</v>
      </c>
      <c r="O954" s="874">
        <v>4987</v>
      </c>
      <c r="P954" s="874">
        <v>0</v>
      </c>
      <c r="Q954" s="337">
        <v>0</v>
      </c>
      <c r="R954" s="919">
        <f t="shared" si="52"/>
        <v>135569.93400000001</v>
      </c>
      <c r="S954" s="884">
        <v>11.506539769557723</v>
      </c>
      <c r="T954" s="884">
        <v>0.45944499999999999</v>
      </c>
      <c r="U954" s="879">
        <v>3.4079575927305102E-3</v>
      </c>
      <c r="V954" s="885">
        <v>3.3000000000000002E-2</v>
      </c>
      <c r="W954" s="885">
        <v>0.28027999999999997</v>
      </c>
      <c r="X954" s="881">
        <v>1.18</v>
      </c>
      <c r="Y954" s="884">
        <v>10.48</v>
      </c>
      <c r="Z954" s="882">
        <v>0</v>
      </c>
      <c r="AA954" s="882">
        <v>0</v>
      </c>
      <c r="AB954" s="882">
        <v>0</v>
      </c>
      <c r="AC954" s="886">
        <v>0.1834929930029138</v>
      </c>
      <c r="AD954" s="886">
        <v>8.6422934358779763E-2</v>
      </c>
      <c r="AE954" s="886">
        <v>0</v>
      </c>
      <c r="AF954" s="884">
        <v>14.458285076752739</v>
      </c>
      <c r="AG954" s="920">
        <f t="shared" si="53"/>
        <v>6.2332438745962726</v>
      </c>
      <c r="AH954" s="888">
        <f t="shared" si="54"/>
        <v>202511</v>
      </c>
      <c r="AJ954" s="931" t="s">
        <v>2162</v>
      </c>
      <c r="AK954" s="262"/>
      <c r="AL954" s="262"/>
    </row>
    <row r="955" spans="1:38" ht="15.75" hidden="1">
      <c r="C955" s="649">
        <v>45963</v>
      </c>
      <c r="D955" s="870">
        <v>367958</v>
      </c>
      <c r="E955" s="870">
        <v>31887</v>
      </c>
      <c r="F955" s="871">
        <v>1462.9199999999998</v>
      </c>
      <c r="G955" s="870">
        <v>4913</v>
      </c>
      <c r="H955" s="870">
        <v>2413</v>
      </c>
      <c r="I955" s="889">
        <v>158521</v>
      </c>
      <c r="J955" s="873">
        <v>164105</v>
      </c>
      <c r="K955" s="873">
        <v>50008.32</v>
      </c>
      <c r="L955" s="873">
        <v>13838</v>
      </c>
      <c r="M955" s="873">
        <v>433492</v>
      </c>
      <c r="N955" s="873">
        <v>7230</v>
      </c>
      <c r="O955" s="870">
        <v>4548</v>
      </c>
      <c r="P955" s="870">
        <v>0</v>
      </c>
      <c r="Q955" s="337">
        <v>0</v>
      </c>
      <c r="R955" s="919">
        <f t="shared" si="52"/>
        <v>135431.98300000001</v>
      </c>
      <c r="S955" s="878">
        <v>12.390874055280094</v>
      </c>
      <c r="T955" s="878">
        <v>0.49695</v>
      </c>
      <c r="U955" s="879">
        <v>3.4079575927305102E-3</v>
      </c>
      <c r="V955" s="880">
        <v>3.4000000000000002E-2</v>
      </c>
      <c r="W955" s="880">
        <v>0.28044000000000002</v>
      </c>
      <c r="X955" s="881">
        <v>1.18</v>
      </c>
      <c r="Y955" s="878">
        <v>10.4</v>
      </c>
      <c r="Z955" s="882">
        <v>0</v>
      </c>
      <c r="AA955" s="882">
        <v>0</v>
      </c>
      <c r="AB955" s="882">
        <v>0</v>
      </c>
      <c r="AC955" s="883">
        <v>0.22257020447575654</v>
      </c>
      <c r="AD955" s="883">
        <v>9.103857600376046E-2</v>
      </c>
      <c r="AE955" s="883">
        <v>0</v>
      </c>
      <c r="AF955" s="878">
        <v>14.458171809473109</v>
      </c>
      <c r="AG955" s="920">
        <f t="shared" si="53"/>
        <v>6.2552224969361205</v>
      </c>
      <c r="AH955" s="888">
        <f t="shared" si="54"/>
        <v>202511</v>
      </c>
      <c r="AJ955" s="931" t="s">
        <v>2163</v>
      </c>
      <c r="AK955" s="262"/>
      <c r="AL955" s="262"/>
    </row>
    <row r="956" spans="1:38" ht="15.75" hidden="1">
      <c r="C956" s="649">
        <v>45964</v>
      </c>
      <c r="D956" s="874">
        <v>359065</v>
      </c>
      <c r="E956" s="874">
        <v>32447</v>
      </c>
      <c r="F956" s="875">
        <v>1446.53</v>
      </c>
      <c r="G956" s="874">
        <v>4880</v>
      </c>
      <c r="H956" s="874">
        <v>2418</v>
      </c>
      <c r="I956" s="889">
        <v>163000</v>
      </c>
      <c r="J956" s="877">
        <v>164712</v>
      </c>
      <c r="K956" s="877">
        <v>50653.39</v>
      </c>
      <c r="L956" s="877">
        <v>8029</v>
      </c>
      <c r="M956" s="877">
        <v>422875</v>
      </c>
      <c r="N956" s="877">
        <v>7351</v>
      </c>
      <c r="O956" s="874">
        <v>4749</v>
      </c>
      <c r="P956" s="874">
        <v>0</v>
      </c>
      <c r="Q956" s="337">
        <v>0</v>
      </c>
      <c r="R956" s="919">
        <f t="shared" si="52"/>
        <v>134782.58599999998</v>
      </c>
      <c r="S956" s="884">
        <v>12.641761079663711</v>
      </c>
      <c r="T956" s="884">
        <v>0.50184099999999998</v>
      </c>
      <c r="U956" s="879">
        <v>3.4079575927305102E-3</v>
      </c>
      <c r="V956" s="885">
        <v>3.2000000000000001E-2</v>
      </c>
      <c r="W956" s="885">
        <v>0.28811000000000003</v>
      </c>
      <c r="X956" s="881">
        <v>1.18</v>
      </c>
      <c r="Y956" s="884">
        <v>10.43</v>
      </c>
      <c r="Z956" s="882">
        <v>0</v>
      </c>
      <c r="AA956" s="882">
        <v>0</v>
      </c>
      <c r="AB956" s="882">
        <v>0</v>
      </c>
      <c r="AC956" s="886">
        <v>0.22398604547114939</v>
      </c>
      <c r="AD956" s="886">
        <v>8.4752241984216201E-2</v>
      </c>
      <c r="AE956" s="886">
        <v>0</v>
      </c>
      <c r="AF956" s="884">
        <v>14.458539928131909</v>
      </c>
      <c r="AG956" s="920">
        <f t="shared" si="53"/>
        <v>6.2760553014730132</v>
      </c>
      <c r="AH956" s="888">
        <f t="shared" si="54"/>
        <v>202511</v>
      </c>
      <c r="AJ956" s="931" t="s">
        <v>2166</v>
      </c>
      <c r="AK956" s="262"/>
      <c r="AL956" s="262"/>
    </row>
    <row r="957" spans="1:38" ht="15.75" hidden="1">
      <c r="C957" s="649">
        <v>45965</v>
      </c>
      <c r="D957" s="870">
        <v>326232</v>
      </c>
      <c r="E957" s="870">
        <v>32824</v>
      </c>
      <c r="F957" s="871">
        <v>1449.4699999999998</v>
      </c>
      <c r="G957" s="870">
        <v>4800</v>
      </c>
      <c r="H957" s="870">
        <v>2480</v>
      </c>
      <c r="I957" s="889">
        <v>163000</v>
      </c>
      <c r="J957" s="873">
        <v>164876</v>
      </c>
      <c r="K957" s="873">
        <v>49508.92</v>
      </c>
      <c r="L957" s="873">
        <v>13990</v>
      </c>
      <c r="M957" s="873">
        <v>423523</v>
      </c>
      <c r="N957" s="873">
        <v>7333</v>
      </c>
      <c r="O957" s="870">
        <v>4671</v>
      </c>
      <c r="P957" s="870">
        <v>0</v>
      </c>
      <c r="Q957" s="337">
        <v>0</v>
      </c>
      <c r="R957" s="919">
        <f t="shared" si="52"/>
        <v>135135.42249999999</v>
      </c>
      <c r="S957" s="878">
        <v>12.49819480273087</v>
      </c>
      <c r="T957" s="878">
        <v>0.49962600000000001</v>
      </c>
      <c r="U957" s="879">
        <v>3.4079575927305102E-3</v>
      </c>
      <c r="V957" s="880">
        <v>3.3000000000000002E-2</v>
      </c>
      <c r="W957" s="880">
        <v>0.28589999999999999</v>
      </c>
      <c r="X957" s="881">
        <v>1.18</v>
      </c>
      <c r="Y957" s="878">
        <v>10.44</v>
      </c>
      <c r="Z957" s="882">
        <v>0</v>
      </c>
      <c r="AA957" s="882">
        <v>0</v>
      </c>
      <c r="AB957" s="882">
        <v>0</v>
      </c>
      <c r="AC957" s="883">
        <v>0.22143753167944227</v>
      </c>
      <c r="AD957" s="883">
        <v>9.602233630754331E-2</v>
      </c>
      <c r="AE957" s="883">
        <v>0</v>
      </c>
      <c r="AF957" s="878">
        <v>14.457209037596241</v>
      </c>
      <c r="AG957" s="920">
        <f t="shared" si="53"/>
        <v>6.2761493876939056</v>
      </c>
      <c r="AH957" s="888">
        <f t="shared" si="54"/>
        <v>202511</v>
      </c>
      <c r="AJ957" s="931" t="s">
        <v>2167</v>
      </c>
      <c r="AK957" s="262"/>
      <c r="AL957" s="262"/>
    </row>
    <row r="958" spans="1:38" ht="15.75" hidden="1">
      <c r="C958" s="649">
        <v>45966</v>
      </c>
      <c r="D958" s="1001">
        <v>305328</v>
      </c>
      <c r="E958" s="1001">
        <v>32836</v>
      </c>
      <c r="F958" s="1002">
        <v>1444.6</v>
      </c>
      <c r="G958" s="1001">
        <v>4988</v>
      </c>
      <c r="H958" s="1001">
        <v>2425</v>
      </c>
      <c r="I958" s="889">
        <v>163000</v>
      </c>
      <c r="J958" s="1003">
        <v>163200</v>
      </c>
      <c r="K958" s="1003">
        <v>47948.26</v>
      </c>
      <c r="L958" s="1003">
        <v>13016</v>
      </c>
      <c r="M958" s="1003">
        <v>414829</v>
      </c>
      <c r="N958" s="1003">
        <v>7369</v>
      </c>
      <c r="O958" s="1001">
        <v>4830</v>
      </c>
      <c r="P958" s="1003">
        <v>0</v>
      </c>
      <c r="Q958" s="337">
        <v>0</v>
      </c>
      <c r="R958" s="919">
        <f t="shared" si="52"/>
        <v>133221.709</v>
      </c>
      <c r="S958" s="884">
        <v>12.364822580964869</v>
      </c>
      <c r="T958" s="1007">
        <v>0.49898500000000001</v>
      </c>
      <c r="U958" s="1008">
        <v>3.4079575927305102E-3</v>
      </c>
      <c r="V958" s="1009">
        <v>3.4000000000000002E-2</v>
      </c>
      <c r="W958" s="1009">
        <v>0.28442000000000001</v>
      </c>
      <c r="X958" s="1010">
        <v>1.18</v>
      </c>
      <c r="Y958" s="1007">
        <v>10.49</v>
      </c>
      <c r="Z958" s="1011">
        <v>0</v>
      </c>
      <c r="AA958" s="1011">
        <v>0</v>
      </c>
      <c r="AB958" s="1011">
        <v>0</v>
      </c>
      <c r="AC958" s="1012">
        <v>0.21945535428589227</v>
      </c>
      <c r="AD958" s="1012">
        <v>9.602233630754331E-2</v>
      </c>
      <c r="AE958" s="1012">
        <v>0</v>
      </c>
      <c r="AF958" s="1007">
        <v>14.458256759932832</v>
      </c>
      <c r="AG958" s="1013">
        <f t="shared" si="53"/>
        <v>6.2840552534911804</v>
      </c>
      <c r="AH958" s="1014">
        <f t="shared" si="54"/>
        <v>202511</v>
      </c>
      <c r="AJ958" s="931" t="s">
        <v>2168</v>
      </c>
      <c r="AK958" s="262"/>
      <c r="AL958" s="262"/>
    </row>
    <row r="959" spans="1:38" ht="15.75" hidden="1">
      <c r="C959" s="649">
        <v>45967</v>
      </c>
      <c r="D959" s="1004">
        <v>294200</v>
      </c>
      <c r="E959" s="1004">
        <v>32799</v>
      </c>
      <c r="F959" s="1005">
        <v>1470.61</v>
      </c>
      <c r="G959" s="1004">
        <v>5039</v>
      </c>
      <c r="H959" s="1004">
        <v>2442</v>
      </c>
      <c r="I959" s="889">
        <v>163000</v>
      </c>
      <c r="J959" s="1006">
        <v>162133</v>
      </c>
      <c r="K959" s="1006">
        <v>53145.08</v>
      </c>
      <c r="L959" s="1006">
        <v>11368</v>
      </c>
      <c r="M959" s="1006">
        <v>401572</v>
      </c>
      <c r="N959" s="1006">
        <v>7557</v>
      </c>
      <c r="O959" s="1004">
        <v>4813</v>
      </c>
      <c r="P959" s="1006">
        <v>0</v>
      </c>
      <c r="Q959" s="337">
        <v>0</v>
      </c>
      <c r="R959" s="919">
        <f t="shared" si="52"/>
        <v>133054.73700000002</v>
      </c>
      <c r="S959" s="878">
        <v>12.450622545285675</v>
      </c>
      <c r="T959" s="1015">
        <v>0.49793199999999999</v>
      </c>
      <c r="U959" s="1008">
        <v>3.4079575927305102E-3</v>
      </c>
      <c r="V959" s="1016">
        <v>3.4000000000000002E-2</v>
      </c>
      <c r="W959" s="1016">
        <v>0.28299000000000002</v>
      </c>
      <c r="X959" s="1010">
        <v>1.18</v>
      </c>
      <c r="Y959" s="1015">
        <v>10.47</v>
      </c>
      <c r="Z959" s="1017">
        <v>0</v>
      </c>
      <c r="AA959" s="1017">
        <v>0</v>
      </c>
      <c r="AB959" s="1017">
        <v>0</v>
      </c>
      <c r="AC959" s="1018">
        <v>0.21775634509142086</v>
      </c>
      <c r="AD959" s="1018">
        <v>9.0981942363944759E-2</v>
      </c>
      <c r="AE959" s="1018">
        <v>0</v>
      </c>
      <c r="AF959" s="1015">
        <v>14.469413586976527</v>
      </c>
      <c r="AG959" s="1013">
        <f t="shared" si="53"/>
        <v>6.2793442044561623</v>
      </c>
      <c r="AH959" s="1014">
        <f t="shared" si="54"/>
        <v>202511</v>
      </c>
      <c r="AJ959" s="931" t="s">
        <v>2169</v>
      </c>
      <c r="AK959" s="262"/>
      <c r="AL959" s="262"/>
    </row>
    <row r="960" spans="1:38" ht="393.75" hidden="1">
      <c r="C960" s="649">
        <v>45968</v>
      </c>
      <c r="D960" s="1001">
        <v>326647</v>
      </c>
      <c r="E960" s="1001">
        <v>32887</v>
      </c>
      <c r="F960" s="1002">
        <v>20724.879999999997</v>
      </c>
      <c r="G960" s="1001">
        <v>4968</v>
      </c>
      <c r="H960" s="1001">
        <v>2450</v>
      </c>
      <c r="I960" s="889">
        <v>163000</v>
      </c>
      <c r="J960" s="1003">
        <v>159287</v>
      </c>
      <c r="K960" s="1003">
        <v>49489.91</v>
      </c>
      <c r="L960" s="1003">
        <v>9955</v>
      </c>
      <c r="M960" s="1003">
        <v>398461</v>
      </c>
      <c r="N960" s="1003">
        <v>7574</v>
      </c>
      <c r="O960" s="1001">
        <v>4810</v>
      </c>
      <c r="P960" s="1003">
        <v>0</v>
      </c>
      <c r="Q960" s="337">
        <v>0</v>
      </c>
      <c r="R960" s="919">
        <f t="shared" si="52"/>
        <v>145359.652</v>
      </c>
      <c r="S960" s="1007">
        <v>12.4820542153834</v>
      </c>
      <c r="T960" s="1007">
        <v>0.49693999999999999</v>
      </c>
      <c r="U960" s="1008">
        <v>3.4079575927305102E-3</v>
      </c>
      <c r="V960" s="1009">
        <v>3.4000000000000002E-2</v>
      </c>
      <c r="W960" s="1009">
        <v>0.28366000000000002</v>
      </c>
      <c r="X960" s="1010">
        <v>1.18</v>
      </c>
      <c r="Y960" s="1007">
        <v>10.47</v>
      </c>
      <c r="Z960" s="1011">
        <v>0</v>
      </c>
      <c r="AA960" s="1011">
        <v>0</v>
      </c>
      <c r="AB960" s="1011">
        <v>0</v>
      </c>
      <c r="AC960" s="1012">
        <v>0.21322565390616371</v>
      </c>
      <c r="AD960" s="1012">
        <v>8.4610657884676921E-2</v>
      </c>
      <c r="AE960" s="1012">
        <v>0</v>
      </c>
      <c r="AF960" s="1007">
        <v>14.463297153876431</v>
      </c>
      <c r="AG960" s="1013">
        <f t="shared" si="53"/>
        <v>6.2765790573574183</v>
      </c>
      <c r="AH960" s="1014">
        <f t="shared" si="54"/>
        <v>202511</v>
      </c>
      <c r="AJ960" s="1052" t="s">
        <v>2171</v>
      </c>
      <c r="AK960" s="262"/>
      <c r="AL960" s="262"/>
    </row>
    <row r="961" spans="3:38" ht="15.75" hidden="1">
      <c r="C961" s="649">
        <v>45969</v>
      </c>
      <c r="D961" s="1004">
        <v>283004</v>
      </c>
      <c r="E961" s="1004">
        <v>32943</v>
      </c>
      <c r="F961" s="1005">
        <v>23523.21</v>
      </c>
      <c r="G961" s="1004">
        <v>5006</v>
      </c>
      <c r="H961" s="1004">
        <v>2409</v>
      </c>
      <c r="I961" s="889">
        <v>163000</v>
      </c>
      <c r="J961" s="1006">
        <v>160305</v>
      </c>
      <c r="K961" s="1006">
        <v>48881.41</v>
      </c>
      <c r="L961" s="1006">
        <v>14706</v>
      </c>
      <c r="M961" s="1006">
        <v>400830</v>
      </c>
      <c r="N961" s="1006">
        <v>7562</v>
      </c>
      <c r="O961" s="1004">
        <v>4725</v>
      </c>
      <c r="P961" s="1006">
        <v>0</v>
      </c>
      <c r="Q961" s="337">
        <v>0</v>
      </c>
      <c r="R961" s="919">
        <f t="shared" ref="R961:R1019" si="55" xml:space="preserve"> IF(C961&lt; DATE(2024, 11, 1), D961 * (2.31 / 100), D961 * (2.925 / 100))+E961*E$6+F961*F$6+G961*G$6+H961*H$6+I961*I$6+J961*J$6+K961*K$6+L961*L$6+M961*M$6+N961*N$6+O961*O$6+P961*P$6+Q961*Q$6</f>
        <v>147353.21900000001</v>
      </c>
      <c r="S961" s="1015">
        <v>12.366521590159339</v>
      </c>
      <c r="T961" s="1015">
        <v>0.49736999999999998</v>
      </c>
      <c r="U961" s="1008">
        <v>3.4079575927305102E-3</v>
      </c>
      <c r="V961" s="1016">
        <v>3.3000000000000002E-2</v>
      </c>
      <c r="W961" s="1016">
        <v>0.28173000000000004</v>
      </c>
      <c r="X961" s="1010">
        <v>1.18</v>
      </c>
      <c r="Y961" s="1015">
        <v>10.54</v>
      </c>
      <c r="Z961" s="1011">
        <v>0</v>
      </c>
      <c r="AA961" s="1011">
        <v>0</v>
      </c>
      <c r="AB961" s="1011">
        <v>0</v>
      </c>
      <c r="AC961" s="1018">
        <v>0.21690684049418513</v>
      </c>
      <c r="AD961" s="1018">
        <v>8.6621152098134771E-2</v>
      </c>
      <c r="AE961" s="1018">
        <v>0</v>
      </c>
      <c r="AF961" s="1015">
        <v>14.463976757554219</v>
      </c>
      <c r="AG961" s="1013">
        <f t="shared" ref="AG961:AG1013" si="56" xml:space="preserve"> IF(C961&lt; DATE(2024, 11, 1), S961 * (2.31 / 100), S961 * (2.925 / 100))+T961*T$6+U961*U$6+V961*V$6+W961*W$6+X961*X$6+Y961*Y$6+Z961*Z$6+AA961*AA$6+AB961*AB$6+AC961*AC$6+AD961*AD$6+AE961*AE$6+AF961*AF$6</f>
        <v>6.2904104889049037</v>
      </c>
      <c r="AH961" s="1014">
        <f t="shared" ref="AH961:AH987" si="57">IF($AK$1&gt;=C961,(YEAR(C961)*100+MONTH(C961)),0)</f>
        <v>202511</v>
      </c>
      <c r="AJ961" s="931" t="s">
        <v>2170</v>
      </c>
      <c r="AK961" s="262"/>
      <c r="AL961" s="262"/>
    </row>
    <row r="962" spans="3:38" ht="15.75" hidden="1">
      <c r="C962" s="649">
        <v>45970</v>
      </c>
      <c r="D962" s="1001">
        <v>377375</v>
      </c>
      <c r="E962" s="1001">
        <v>32774</v>
      </c>
      <c r="F962" s="1002">
        <v>23412.03</v>
      </c>
      <c r="G962" s="1001">
        <v>4991</v>
      </c>
      <c r="H962" s="1001">
        <v>2352</v>
      </c>
      <c r="I962" s="889">
        <v>163000</v>
      </c>
      <c r="J962" s="1003">
        <v>164207</v>
      </c>
      <c r="K962" s="1003">
        <v>49284.4</v>
      </c>
      <c r="L962" s="1003">
        <v>16626</v>
      </c>
      <c r="M962" s="1003">
        <v>365404</v>
      </c>
      <c r="N962" s="1003">
        <v>7658</v>
      </c>
      <c r="O962" s="1001">
        <v>4640</v>
      </c>
      <c r="P962" s="1003">
        <v>0</v>
      </c>
      <c r="Q962" s="337">
        <v>0</v>
      </c>
      <c r="R962" s="919">
        <f t="shared" si="55"/>
        <v>150063.60225</v>
      </c>
      <c r="S962" s="1007">
        <v>12.839978819018709</v>
      </c>
      <c r="T962" s="1007">
        <v>0.49608400000000002</v>
      </c>
      <c r="U962" s="1008">
        <v>3.4079575927305102E-3</v>
      </c>
      <c r="V962" s="1009">
        <v>3.3000000000000002E-2</v>
      </c>
      <c r="W962" s="1009">
        <v>0.26857999999999999</v>
      </c>
      <c r="X962" s="1010">
        <v>1.18</v>
      </c>
      <c r="Y962" s="1007">
        <v>10.57</v>
      </c>
      <c r="Z962" s="1011">
        <v>0</v>
      </c>
      <c r="AA962" s="1011">
        <v>0</v>
      </c>
      <c r="AB962" s="1011">
        <v>0</v>
      </c>
      <c r="AC962" s="1012">
        <v>0.22115436348036369</v>
      </c>
      <c r="AD962" s="1012">
        <v>9.0443922785695463E-2</v>
      </c>
      <c r="AE962" s="1012">
        <v>0</v>
      </c>
      <c r="AF962" s="1007">
        <v>14.463353787516246</v>
      </c>
      <c r="AG962" s="1013">
        <f t="shared" si="56"/>
        <v>6.3004523237460894</v>
      </c>
      <c r="AH962" s="1014">
        <f t="shared" si="57"/>
        <v>202511</v>
      </c>
      <c r="AJ962" s="931" t="s">
        <v>2172</v>
      </c>
      <c r="AK962" s="262"/>
      <c r="AL962" s="262"/>
    </row>
    <row r="963" spans="3:38" ht="15.75" hidden="1">
      <c r="C963" s="649">
        <v>45971</v>
      </c>
      <c r="D963" s="1004">
        <v>341938</v>
      </c>
      <c r="E963" s="1004">
        <v>32711</v>
      </c>
      <c r="F963" s="1005">
        <v>23326.58</v>
      </c>
      <c r="G963" s="1004">
        <v>5053</v>
      </c>
      <c r="H963" s="1004">
        <v>2373</v>
      </c>
      <c r="I963" s="889">
        <v>161440</v>
      </c>
      <c r="J963" s="1006">
        <v>163336</v>
      </c>
      <c r="K963" s="1006">
        <v>48949.22</v>
      </c>
      <c r="L963" s="1006">
        <v>11629</v>
      </c>
      <c r="M963" s="1006">
        <v>410007</v>
      </c>
      <c r="N963" s="1006">
        <v>7433</v>
      </c>
      <c r="O963" s="1004">
        <v>0</v>
      </c>
      <c r="P963" s="1006">
        <v>0</v>
      </c>
      <c r="Q963" s="337">
        <v>0</v>
      </c>
      <c r="R963" s="919">
        <f t="shared" si="55"/>
        <v>147077.83374999999</v>
      </c>
      <c r="S963" s="1015">
        <v>12.429951266752932</v>
      </c>
      <c r="T963" s="1015">
        <v>0.49535299999999999</v>
      </c>
      <c r="U963" s="1008">
        <v>3.4079575927305102E-3</v>
      </c>
      <c r="V963" s="1016">
        <v>3.4000000000000002E-2</v>
      </c>
      <c r="W963" s="1016">
        <v>0.28492000000000001</v>
      </c>
      <c r="X963" s="1010">
        <v>1.18</v>
      </c>
      <c r="Y963" s="1015">
        <v>10.41</v>
      </c>
      <c r="Z963" s="1011">
        <v>0</v>
      </c>
      <c r="AA963" s="1011">
        <v>0</v>
      </c>
      <c r="AB963" s="1011">
        <v>0</v>
      </c>
      <c r="AC963" s="1018">
        <v>0.21492466310063513</v>
      </c>
      <c r="AD963" s="1018">
        <v>0.11626886254166111</v>
      </c>
      <c r="AE963" s="1018">
        <v>0</v>
      </c>
      <c r="AF963" s="1015">
        <v>14.463976757554219</v>
      </c>
      <c r="AG963" s="1013">
        <f t="shared" si="56"/>
        <v>6.2732522616093869</v>
      </c>
      <c r="AH963" s="1014">
        <f t="shared" si="57"/>
        <v>202511</v>
      </c>
      <c r="AJ963" s="931" t="s">
        <v>2173</v>
      </c>
      <c r="AK963" s="262"/>
      <c r="AL963" s="262"/>
    </row>
    <row r="964" spans="3:38" ht="15.75" hidden="1">
      <c r="C964" s="649">
        <v>45972</v>
      </c>
      <c r="D964" s="1001">
        <v>328112</v>
      </c>
      <c r="E964" s="1001">
        <v>32969</v>
      </c>
      <c r="F964" s="1002">
        <v>23334.199999999997</v>
      </c>
      <c r="G964" s="1001">
        <v>5069</v>
      </c>
      <c r="H964" s="1001">
        <v>2400</v>
      </c>
      <c r="I964" s="889">
        <v>161440</v>
      </c>
      <c r="J964" s="1003">
        <v>165705</v>
      </c>
      <c r="K964" s="1003">
        <v>49722.7</v>
      </c>
      <c r="L964" s="1003">
        <v>7884</v>
      </c>
      <c r="M964" s="1003">
        <v>416122</v>
      </c>
      <c r="N964" s="1003">
        <v>7557</v>
      </c>
      <c r="O964" s="1001">
        <v>6735</v>
      </c>
      <c r="P964" s="1003">
        <v>0</v>
      </c>
      <c r="Q964" s="751"/>
      <c r="R964" s="919">
        <f t="shared" si="55"/>
        <v>149641.48599999998</v>
      </c>
      <c r="S964" s="1007">
        <v>12.437879976327139</v>
      </c>
      <c r="T964" s="1007">
        <v>0.49635000000000001</v>
      </c>
      <c r="U964" s="1008">
        <v>3.4079575927305102E-3</v>
      </c>
      <c r="V964" s="1009">
        <v>3.4000000000000002E-2</v>
      </c>
      <c r="W964" s="1009">
        <v>0.28786</v>
      </c>
      <c r="X964" s="1010">
        <v>1.18</v>
      </c>
      <c r="Y964" s="1007">
        <v>10.51</v>
      </c>
      <c r="Z964" s="1011">
        <v>0</v>
      </c>
      <c r="AA964" s="1011">
        <v>0</v>
      </c>
      <c r="AB964" s="1011">
        <v>0</v>
      </c>
      <c r="AC964" s="1012">
        <v>0.19821773935499948</v>
      </c>
      <c r="AD964" s="1012">
        <v>7.9711848040617636E-2</v>
      </c>
      <c r="AE964" s="1012">
        <v>0</v>
      </c>
      <c r="AF964" s="1007">
        <v>14.463098936137076</v>
      </c>
      <c r="AG964" s="1013">
        <f t="shared" si="56"/>
        <v>6.2860835693110797</v>
      </c>
      <c r="AH964" s="1014">
        <f t="shared" si="57"/>
        <v>202511</v>
      </c>
      <c r="AJ964" s="931" t="s">
        <v>2174</v>
      </c>
      <c r="AK964" s="262"/>
      <c r="AL964" s="262"/>
    </row>
    <row r="965" spans="3:38" ht="15.75" hidden="1">
      <c r="C965" s="649">
        <v>45973</v>
      </c>
      <c r="D965" s="1004">
        <v>331516</v>
      </c>
      <c r="E965" s="1004">
        <v>32830</v>
      </c>
      <c r="F965" s="1005">
        <v>23365.800000000003</v>
      </c>
      <c r="G965" s="1004">
        <v>5290</v>
      </c>
      <c r="H965" s="1004">
        <v>2450</v>
      </c>
      <c r="I965" s="889">
        <v>161440</v>
      </c>
      <c r="J965" s="1006">
        <v>166780</v>
      </c>
      <c r="K965" s="1006">
        <v>47913.75</v>
      </c>
      <c r="L965" s="1006">
        <v>13887</v>
      </c>
      <c r="M965" s="1006">
        <v>423344</v>
      </c>
      <c r="N965" s="1006">
        <v>7627</v>
      </c>
      <c r="O965" s="1004">
        <v>6645</v>
      </c>
      <c r="P965" s="1006">
        <v>0</v>
      </c>
      <c r="Q965" s="337">
        <v>0</v>
      </c>
      <c r="R965" s="919">
        <f t="shared" si="55"/>
        <v>151422.20925000001</v>
      </c>
      <c r="S965" s="1015">
        <v>12.282137466833925</v>
      </c>
      <c r="T965" s="1015">
        <v>0.49632700000000002</v>
      </c>
      <c r="U965" s="1008">
        <v>3.4079575927305102E-3</v>
      </c>
      <c r="V965" s="1016">
        <v>3.4000000000000002E-2</v>
      </c>
      <c r="W965" s="1016">
        <v>0.28733999999999998</v>
      </c>
      <c r="X965" s="1010">
        <v>1.18</v>
      </c>
      <c r="Y965" s="1015">
        <v>10.39</v>
      </c>
      <c r="Z965" s="1011">
        <v>0</v>
      </c>
      <c r="AA965" s="1011">
        <v>0</v>
      </c>
      <c r="AB965" s="1011">
        <v>0</v>
      </c>
      <c r="AC965" s="1018">
        <v>0.21152664471169227</v>
      </c>
      <c r="AD965" s="1018">
        <v>7.9711848040617636E-2</v>
      </c>
      <c r="AE965" s="1018">
        <v>0</v>
      </c>
      <c r="AF965" s="1015">
        <v>14.464514777132468</v>
      </c>
      <c r="AG965" s="1013">
        <f t="shared" si="56"/>
        <v>6.2515065634668563</v>
      </c>
      <c r="AH965" s="1014">
        <f t="shared" si="57"/>
        <v>202511</v>
      </c>
      <c r="AJ965" s="931" t="s">
        <v>2175</v>
      </c>
      <c r="AK965" s="262"/>
      <c r="AL965" s="262"/>
    </row>
    <row r="966" spans="3:38" ht="15.75" hidden="1">
      <c r="C966" s="649">
        <v>45974</v>
      </c>
      <c r="D966" s="1001">
        <v>338387</v>
      </c>
      <c r="E966" s="1001">
        <v>33157</v>
      </c>
      <c r="F966" s="1002">
        <v>23170.89</v>
      </c>
      <c r="G966" s="1001">
        <v>5376</v>
      </c>
      <c r="H966" s="1001">
        <v>2405</v>
      </c>
      <c r="I966" s="889">
        <v>161440</v>
      </c>
      <c r="J966" s="1003">
        <v>168983</v>
      </c>
      <c r="K966" s="1003">
        <v>54118.07</v>
      </c>
      <c r="L966" s="1003">
        <v>15843</v>
      </c>
      <c r="M966" s="1003">
        <v>424322</v>
      </c>
      <c r="N966" s="1003">
        <v>7620</v>
      </c>
      <c r="O966" s="1001">
        <v>5689</v>
      </c>
      <c r="P966" s="1003">
        <v>0</v>
      </c>
      <c r="Q966" s="337">
        <v>0</v>
      </c>
      <c r="R966" s="919">
        <f t="shared" si="55"/>
        <v>153824.73400000003</v>
      </c>
      <c r="S966" s="1007">
        <v>12.474125505809194</v>
      </c>
      <c r="T966" s="1007">
        <v>0.49632799999999999</v>
      </c>
      <c r="U966" s="1008">
        <v>3.4079575927305102E-3</v>
      </c>
      <c r="V966" s="1009">
        <v>3.5000000000000003E-2</v>
      </c>
      <c r="W966" s="1009">
        <v>0.28327999999999998</v>
      </c>
      <c r="X966" s="1010">
        <v>1.18</v>
      </c>
      <c r="Y966" s="1007">
        <v>10.4</v>
      </c>
      <c r="Z966" s="1011">
        <v>0</v>
      </c>
      <c r="AA966" s="1011">
        <v>0</v>
      </c>
      <c r="AB966" s="1011">
        <v>0</v>
      </c>
      <c r="AC966" s="1012">
        <v>0.21152664471169227</v>
      </c>
      <c r="AD966" s="1012">
        <v>8.1467490874904777E-2</v>
      </c>
      <c r="AE966" s="1012">
        <v>0</v>
      </c>
      <c r="AF966" s="1007">
        <v>13.88928689752426</v>
      </c>
      <c r="AG966" s="1013">
        <f t="shared" si="56"/>
        <v>6.159076001207203</v>
      </c>
      <c r="AH966" s="1014">
        <f t="shared" si="57"/>
        <v>202511</v>
      </c>
      <c r="AJ966" s="931" t="s">
        <v>2176</v>
      </c>
      <c r="AK966" s="262"/>
      <c r="AL966" s="262"/>
    </row>
    <row r="967" spans="3:38" ht="15.75" hidden="1">
      <c r="C967" s="649">
        <v>45975</v>
      </c>
      <c r="D967" s="1004">
        <v>345901</v>
      </c>
      <c r="E967" s="1004">
        <v>32698</v>
      </c>
      <c r="F967" s="1005">
        <v>23087.22</v>
      </c>
      <c r="G967" s="1004">
        <v>5424</v>
      </c>
      <c r="H967" s="1004">
        <v>2402</v>
      </c>
      <c r="I967" s="889">
        <v>161440</v>
      </c>
      <c r="J967" s="1006">
        <v>167255</v>
      </c>
      <c r="K967" s="1006">
        <v>41439.949999999997</v>
      </c>
      <c r="L967" s="1006">
        <v>14646</v>
      </c>
      <c r="M967" s="1006">
        <v>424322</v>
      </c>
      <c r="N967" s="1006">
        <v>7601</v>
      </c>
      <c r="O967" s="1004">
        <v>5010</v>
      </c>
      <c r="P967" s="1006">
        <v>0</v>
      </c>
      <c r="Q967" s="337">
        <v>0</v>
      </c>
      <c r="R967" s="919">
        <f t="shared" si="55"/>
        <v>149701.74325</v>
      </c>
      <c r="S967" s="1015">
        <v>12.61117891416322</v>
      </c>
      <c r="T967" s="1015">
        <v>0.49608799999999997</v>
      </c>
      <c r="U967" s="1008">
        <v>3.4079575927305102E-3</v>
      </c>
      <c r="V967" s="1016">
        <v>3.4000000000000002E-2</v>
      </c>
      <c r="W967" s="1016">
        <v>0.28099000000000002</v>
      </c>
      <c r="X967" s="1010">
        <v>1.18</v>
      </c>
      <c r="Y967" s="1015">
        <v>10.44</v>
      </c>
      <c r="Z967" s="1017">
        <v>0</v>
      </c>
      <c r="AA967" s="1017">
        <v>0</v>
      </c>
      <c r="AB967" s="1017"/>
      <c r="AC967" s="1018">
        <v>0.21492466310063513</v>
      </c>
      <c r="AD967" s="1018">
        <v>7.8550858424395506E-2</v>
      </c>
      <c r="AE967" s="1018">
        <v>0</v>
      </c>
      <c r="AF967" s="1015">
        <v>13.889201947064535</v>
      </c>
      <c r="AG967" s="1013">
        <f t="shared" si="56"/>
        <v>6.1698227008659838</v>
      </c>
      <c r="AH967" s="1014">
        <f t="shared" si="57"/>
        <v>202511</v>
      </c>
      <c r="AJ967" s="931" t="s">
        <v>2176</v>
      </c>
      <c r="AK967" s="262"/>
      <c r="AL967" s="262"/>
    </row>
    <row r="968" spans="3:38" ht="15.75" hidden="1">
      <c r="C968" s="649">
        <v>45976</v>
      </c>
      <c r="D968" s="1001">
        <v>342825</v>
      </c>
      <c r="E968" s="1001">
        <v>32906</v>
      </c>
      <c r="F968" s="1002">
        <v>22979.47</v>
      </c>
      <c r="G968" s="1001">
        <v>5445</v>
      </c>
      <c r="H968" s="1001">
        <v>2417</v>
      </c>
      <c r="I968" s="889">
        <v>161440</v>
      </c>
      <c r="J968" s="1003">
        <v>168208</v>
      </c>
      <c r="K968" s="1003">
        <v>4405.16</v>
      </c>
      <c r="L968" s="1003">
        <v>15211</v>
      </c>
      <c r="M968" s="1003">
        <v>438086</v>
      </c>
      <c r="N968" s="1003">
        <v>7609</v>
      </c>
      <c r="O968" s="1001">
        <v>0</v>
      </c>
      <c r="P968" s="1003">
        <v>0</v>
      </c>
      <c r="Q968" s="337">
        <v>0</v>
      </c>
      <c r="R968" s="919">
        <f t="shared" si="55"/>
        <v>139290.83399999997</v>
      </c>
      <c r="S968" s="1007">
        <v>12.443260172109632</v>
      </c>
      <c r="T968" s="1007">
        <v>0.495226</v>
      </c>
      <c r="U968" s="1008">
        <v>3.4079575927305102E-3</v>
      </c>
      <c r="V968" s="1009">
        <v>3.7999999999999999E-2</v>
      </c>
      <c r="W968" s="1009">
        <v>0.27914999999999995</v>
      </c>
      <c r="X968" s="1010">
        <v>1.18</v>
      </c>
      <c r="Y968" s="1007">
        <v>10.54</v>
      </c>
      <c r="Z968" s="1011">
        <v>0</v>
      </c>
      <c r="AA968" s="1019">
        <v>0</v>
      </c>
      <c r="AB968" s="1019">
        <v>0</v>
      </c>
      <c r="AC968" s="1012">
        <v>0.21237614930892801</v>
      </c>
      <c r="AD968" s="1012">
        <v>7.8550858424395506E-2</v>
      </c>
      <c r="AE968" s="1012">
        <v>0</v>
      </c>
      <c r="AF968" s="1007">
        <v>13.89138234219744</v>
      </c>
      <c r="AG968" s="1013">
        <f t="shared" si="56"/>
        <v>6.1909286683164231</v>
      </c>
      <c r="AH968" s="1014">
        <f t="shared" si="57"/>
        <v>202511</v>
      </c>
      <c r="AJ968" s="931" t="s">
        <v>2176</v>
      </c>
      <c r="AK968" s="262"/>
      <c r="AL968" s="262"/>
    </row>
    <row r="969" spans="3:38" ht="15.75" hidden="1">
      <c r="C969" s="649">
        <v>45977</v>
      </c>
      <c r="D969" s="1004">
        <v>322130</v>
      </c>
      <c r="E969" s="1004">
        <v>32868</v>
      </c>
      <c r="F969" s="1005">
        <v>22978.16</v>
      </c>
      <c r="G969" s="1004">
        <v>5457</v>
      </c>
      <c r="H969" s="1004">
        <v>2426</v>
      </c>
      <c r="I969" s="889">
        <v>161440</v>
      </c>
      <c r="J969" s="1006">
        <v>166375</v>
      </c>
      <c r="K969" s="1006">
        <v>2416.34</v>
      </c>
      <c r="L969" s="1006">
        <v>12115</v>
      </c>
      <c r="M969" s="1006">
        <v>438527</v>
      </c>
      <c r="N969" s="1006">
        <v>7214</v>
      </c>
      <c r="O969" s="1004">
        <v>6797</v>
      </c>
      <c r="P969" s="1006">
        <v>0</v>
      </c>
      <c r="Q969" s="337">
        <v>0</v>
      </c>
      <c r="R969" s="919">
        <f t="shared" si="55"/>
        <v>139661.62325</v>
      </c>
      <c r="S969" s="1015">
        <v>12.442410667512398</v>
      </c>
      <c r="T969" s="1015">
        <v>0.49554100000000001</v>
      </c>
      <c r="U969" s="1008">
        <v>3.4079575927305102E-3</v>
      </c>
      <c r="V969" s="1016">
        <v>3.4000000000000002E-2</v>
      </c>
      <c r="W969" s="1016">
        <v>0.27400000000000002</v>
      </c>
      <c r="X969" s="1010">
        <v>1.18</v>
      </c>
      <c r="Y969" s="1015">
        <v>10.36</v>
      </c>
      <c r="Z969" s="1011">
        <v>0</v>
      </c>
      <c r="AA969" s="1017">
        <v>0</v>
      </c>
      <c r="AB969" s="1017">
        <v>0</v>
      </c>
      <c r="AC969" s="1018">
        <v>0.21265931750800657</v>
      </c>
      <c r="AD969" s="1018">
        <v>8.0051649879511924E-2</v>
      </c>
      <c r="AE969" s="1018">
        <v>0</v>
      </c>
      <c r="AF969" s="1015">
        <v>13.890023134841863</v>
      </c>
      <c r="AG969" s="1013">
        <f t="shared" si="56"/>
        <v>6.137439270140451</v>
      </c>
      <c r="AH969" s="1014">
        <f t="shared" si="57"/>
        <v>202511</v>
      </c>
      <c r="AJ969" s="931" t="s">
        <v>2176</v>
      </c>
      <c r="AK969" s="262"/>
      <c r="AL969" s="262"/>
    </row>
    <row r="970" spans="3:38" ht="15.75" hidden="1">
      <c r="C970" s="649">
        <v>45978</v>
      </c>
      <c r="D970" s="1001">
        <v>357208</v>
      </c>
      <c r="E970" s="1001">
        <v>14761</v>
      </c>
      <c r="F970" s="1002">
        <v>22971.24</v>
      </c>
      <c r="G970" s="1001">
        <v>5580</v>
      </c>
      <c r="H970" s="1001">
        <v>2403</v>
      </c>
      <c r="I970" s="889">
        <v>140181</v>
      </c>
      <c r="J970" s="1003">
        <v>164720</v>
      </c>
      <c r="K970" s="1003">
        <v>1990.35</v>
      </c>
      <c r="L970" s="1003">
        <v>8909</v>
      </c>
      <c r="M970" s="1003">
        <v>379705</v>
      </c>
      <c r="N970" s="1003">
        <v>7355</v>
      </c>
      <c r="O970" s="1001">
        <v>7066</v>
      </c>
      <c r="P970" s="1003">
        <v>0</v>
      </c>
      <c r="Q970" s="337">
        <v>0</v>
      </c>
      <c r="R970" s="919">
        <f t="shared" si="55"/>
        <v>128040.60575</v>
      </c>
      <c r="S970" s="1007">
        <v>12.106573183405208</v>
      </c>
      <c r="T970" s="1007">
        <v>0.22070799999999999</v>
      </c>
      <c r="U970" s="1008">
        <v>3.4079575927305102E-3</v>
      </c>
      <c r="V970" s="1009">
        <v>3.5000000000000003E-2</v>
      </c>
      <c r="W970" s="1009">
        <v>0.29708999999999997</v>
      </c>
      <c r="X970" s="1010">
        <v>1.18</v>
      </c>
      <c r="Y970" s="1007">
        <v>10.32</v>
      </c>
      <c r="Z970" s="1011">
        <v>0</v>
      </c>
      <c r="AA970" s="1011">
        <v>0</v>
      </c>
      <c r="AB970" s="1011">
        <v>0</v>
      </c>
      <c r="AC970" s="1012">
        <v>0.21690684049418513</v>
      </c>
      <c r="AD970" s="1012">
        <v>8.9622735008367621E-2</v>
      </c>
      <c r="AE970" s="1012">
        <v>0</v>
      </c>
      <c r="AF970" s="1007">
        <v>13.890617788059929</v>
      </c>
      <c r="AG970" s="1013">
        <f t="shared" si="56"/>
        <v>6.0709978663574091</v>
      </c>
      <c r="AH970" s="1014">
        <f t="shared" si="57"/>
        <v>202511</v>
      </c>
      <c r="AJ970" s="931" t="s">
        <v>2177</v>
      </c>
      <c r="AK970" s="262"/>
      <c r="AL970" s="262"/>
    </row>
    <row r="971" spans="3:38" ht="15.75" hidden="1">
      <c r="C971" s="649">
        <v>45979</v>
      </c>
      <c r="D971" s="1004">
        <v>338873</v>
      </c>
      <c r="E971" s="1004">
        <v>11824</v>
      </c>
      <c r="F971" s="1005">
        <v>22916.920000000002</v>
      </c>
      <c r="G971" s="1004">
        <v>5452</v>
      </c>
      <c r="H971" s="1004">
        <v>2464</v>
      </c>
      <c r="I971" s="889">
        <v>140181</v>
      </c>
      <c r="J971" s="1006">
        <v>165443</v>
      </c>
      <c r="K971" s="1006">
        <v>13167.62</v>
      </c>
      <c r="L971" s="1006">
        <v>11245</v>
      </c>
      <c r="M971" s="1006">
        <v>428046</v>
      </c>
      <c r="N971" s="1006">
        <v>7535</v>
      </c>
      <c r="O971" s="1004">
        <v>5053</v>
      </c>
      <c r="P971" s="1006">
        <v>0</v>
      </c>
      <c r="Q971" s="337">
        <v>0</v>
      </c>
      <c r="R971" s="919">
        <f t="shared" si="55"/>
        <v>131364.39050000001</v>
      </c>
      <c r="S971" s="1015">
        <v>12.636947220279373</v>
      </c>
      <c r="T971" s="1015">
        <v>4.1870999999999998E-2</v>
      </c>
      <c r="U971" s="1008">
        <v>3.4079575927305102E-3</v>
      </c>
      <c r="V971" s="1016">
        <v>3.5000000000000003E-2</v>
      </c>
      <c r="W971" s="1016">
        <v>0.29731000000000002</v>
      </c>
      <c r="X971" s="1010">
        <v>1.18</v>
      </c>
      <c r="Y971" s="1015">
        <v>10.46</v>
      </c>
      <c r="Z971" s="1011">
        <v>0</v>
      </c>
      <c r="AA971" s="1017">
        <v>0</v>
      </c>
      <c r="AB971" s="1017">
        <v>0</v>
      </c>
      <c r="AC971" s="1018">
        <v>0.22483555006838513</v>
      </c>
      <c r="AD971" s="1018">
        <v>7.9541947121170506E-2</v>
      </c>
      <c r="AE971" s="1018">
        <v>0</v>
      </c>
      <c r="AF971" s="1015">
        <v>14.320750282460278</v>
      </c>
      <c r="AG971" s="1013">
        <f t="shared" si="56"/>
        <v>6.1448076838823216</v>
      </c>
      <c r="AH971" s="1014">
        <f t="shared" si="57"/>
        <v>202511</v>
      </c>
      <c r="AJ971" s="931" t="s">
        <v>2178</v>
      </c>
      <c r="AK971" s="262"/>
      <c r="AL971" s="262"/>
    </row>
    <row r="972" spans="3:38" ht="15.75" hidden="1">
      <c r="C972" s="649">
        <v>45980</v>
      </c>
      <c r="D972" s="1001">
        <v>347303</v>
      </c>
      <c r="E972" s="1001">
        <v>2868</v>
      </c>
      <c r="F972" s="1002">
        <v>22865.439999999999</v>
      </c>
      <c r="G972" s="1001">
        <v>5396</v>
      </c>
      <c r="H972" s="1001">
        <v>2466</v>
      </c>
      <c r="I972" s="889">
        <v>140181</v>
      </c>
      <c r="J972" s="1003">
        <v>165356</v>
      </c>
      <c r="K972" s="1003">
        <v>39870.53</v>
      </c>
      <c r="L972" s="1003">
        <v>11666</v>
      </c>
      <c r="M972" s="1003">
        <v>426679</v>
      </c>
      <c r="N972" s="1003">
        <v>7526</v>
      </c>
      <c r="O972" s="1001">
        <v>4989</v>
      </c>
      <c r="P972" s="1003">
        <v>0</v>
      </c>
      <c r="Q972" s="337">
        <v>0</v>
      </c>
      <c r="R972" s="919">
        <f t="shared" si="55"/>
        <v>135804.21575</v>
      </c>
      <c r="S972" s="1007">
        <v>12.608630400371515</v>
      </c>
      <c r="T972" s="1007">
        <v>3.604E-3</v>
      </c>
      <c r="U972" s="1008">
        <v>3.4079575927305102E-3</v>
      </c>
      <c r="V972" s="1009">
        <v>3.3000000000000002E-2</v>
      </c>
      <c r="W972" s="1009">
        <v>0.29137999999999997</v>
      </c>
      <c r="X972" s="1010">
        <v>1.18</v>
      </c>
      <c r="Y972" s="1007">
        <v>10.46</v>
      </c>
      <c r="Z972" s="1011">
        <v>0</v>
      </c>
      <c r="AA972" s="1019">
        <v>0</v>
      </c>
      <c r="AB972" s="1019">
        <v>0</v>
      </c>
      <c r="AC972" s="1012">
        <v>0.21803951329049942</v>
      </c>
      <c r="AD972" s="1012">
        <v>7.5322740954899797E-2</v>
      </c>
      <c r="AE972" s="1012">
        <v>0</v>
      </c>
      <c r="AF972" s="1007">
        <v>14.464033391194034</v>
      </c>
      <c r="AG972" s="1013">
        <f t="shared" si="56"/>
        <v>6.1486402088726795</v>
      </c>
      <c r="AH972" s="1014">
        <f t="shared" si="57"/>
        <v>202511</v>
      </c>
      <c r="AJ972" s="931" t="s">
        <v>2178</v>
      </c>
      <c r="AK972" s="262"/>
      <c r="AL972" s="262"/>
    </row>
    <row r="973" spans="3:38" ht="15.75" hidden="1">
      <c r="C973" s="649">
        <v>45981</v>
      </c>
      <c r="D973" s="1004">
        <v>349968</v>
      </c>
      <c r="E973" s="1004">
        <v>63</v>
      </c>
      <c r="F973" s="1005">
        <v>22856.09</v>
      </c>
      <c r="G973" s="1004">
        <v>5333</v>
      </c>
      <c r="H973" s="1004">
        <v>2466</v>
      </c>
      <c r="I973" s="889">
        <v>140181</v>
      </c>
      <c r="J973" s="1006">
        <v>160132</v>
      </c>
      <c r="K973" s="1006">
        <v>34816.22</v>
      </c>
      <c r="L973" s="1006">
        <v>13497</v>
      </c>
      <c r="M973" s="1006">
        <v>425350</v>
      </c>
      <c r="N973" s="1006">
        <v>7524</v>
      </c>
      <c r="O973" s="1004">
        <v>4944</v>
      </c>
      <c r="P973" s="1006">
        <v>0</v>
      </c>
      <c r="Q973" s="337">
        <v>0</v>
      </c>
      <c r="R973" s="919">
        <f t="shared" si="55"/>
        <v>132835.30324999997</v>
      </c>
      <c r="S973" s="1015">
        <v>12.653370975825935</v>
      </c>
      <c r="T973" s="1015">
        <v>1.8245999999999998E-2</v>
      </c>
      <c r="U973" s="1008">
        <v>3.4079575927305102E-3</v>
      </c>
      <c r="V973" s="1016">
        <v>3.4000000000000002E-2</v>
      </c>
      <c r="W973" s="1016">
        <v>0.29300999999999999</v>
      </c>
      <c r="X973" s="1010">
        <v>1.18</v>
      </c>
      <c r="Y973" s="1015">
        <v>10.43</v>
      </c>
      <c r="Z973" s="1011">
        <v>0</v>
      </c>
      <c r="AA973" s="1017">
        <v>0</v>
      </c>
      <c r="AB973" s="1017">
        <v>0</v>
      </c>
      <c r="AC973" s="1018">
        <v>0.21520783129971369</v>
      </c>
      <c r="AD973" s="1018">
        <v>0.20603318164956802</v>
      </c>
      <c r="AE973" s="1018">
        <v>0</v>
      </c>
      <c r="AF973" s="1015">
        <v>14.465958934947768</v>
      </c>
      <c r="AG973" s="1013">
        <f t="shared" si="56"/>
        <v>6.200532244401737</v>
      </c>
      <c r="AH973" s="1014">
        <f t="shared" si="57"/>
        <v>202511</v>
      </c>
      <c r="AJ973" s="931" t="s">
        <v>2179</v>
      </c>
      <c r="AK973" s="262"/>
      <c r="AL973" s="262"/>
    </row>
    <row r="974" spans="3:38" ht="15.75" hidden="1">
      <c r="C974" s="649">
        <v>45982</v>
      </c>
      <c r="D974" s="1001">
        <v>344988</v>
      </c>
      <c r="E974" s="1001">
        <v>63</v>
      </c>
      <c r="F974" s="1002">
        <v>22845.53</v>
      </c>
      <c r="G974" s="1001">
        <v>5451</v>
      </c>
      <c r="H974" s="1001">
        <v>2408</v>
      </c>
      <c r="I974" s="889">
        <v>140181</v>
      </c>
      <c r="J974" s="1003">
        <v>164543</v>
      </c>
      <c r="K974" s="1003">
        <v>44786.93</v>
      </c>
      <c r="L974" s="1003">
        <v>13491</v>
      </c>
      <c r="M974" s="1003">
        <v>436461</v>
      </c>
      <c r="N974" s="1003">
        <v>7412</v>
      </c>
      <c r="O974" s="1001">
        <v>4767</v>
      </c>
      <c r="P974" s="1003">
        <v>0</v>
      </c>
      <c r="Q974" s="337">
        <v>0</v>
      </c>
      <c r="R974" s="919">
        <f t="shared" si="55"/>
        <v>136682.65625</v>
      </c>
      <c r="S974" s="1007">
        <v>12.780796665411284</v>
      </c>
      <c r="T974" s="1007">
        <v>4.8939999999999999E-3</v>
      </c>
      <c r="U974" s="1008">
        <v>3.4079575927305102E-3</v>
      </c>
      <c r="V974" s="1009">
        <v>2.8000000000000001E-2</v>
      </c>
      <c r="W974" s="1009">
        <v>0.28944999999999999</v>
      </c>
      <c r="X974" s="1010">
        <v>1.18</v>
      </c>
      <c r="Y974" s="1007">
        <v>10.4</v>
      </c>
      <c r="Z974" s="1011">
        <v>0</v>
      </c>
      <c r="AA974" s="1011">
        <v>0</v>
      </c>
      <c r="AB974" s="1011">
        <v>0</v>
      </c>
      <c r="AC974" s="1012">
        <v>0.20444743973472801</v>
      </c>
      <c r="AD974" s="1012">
        <v>7.1471653447431241E-2</v>
      </c>
      <c r="AE974" s="1012">
        <v>0</v>
      </c>
      <c r="AF974" s="1007">
        <v>14.465449232189428</v>
      </c>
      <c r="AG974" s="1013">
        <f t="shared" si="56"/>
        <v>6.1311995020001877</v>
      </c>
      <c r="AH974" s="1014">
        <f t="shared" si="57"/>
        <v>202511</v>
      </c>
      <c r="AJ974" s="931" t="s">
        <v>2180</v>
      </c>
      <c r="AK974" s="262"/>
      <c r="AL974" s="262"/>
    </row>
    <row r="975" spans="3:38" ht="15.75" hidden="1">
      <c r="C975" s="649">
        <v>45983</v>
      </c>
      <c r="D975" s="1004">
        <v>333769</v>
      </c>
      <c r="E975" s="1004">
        <v>13</v>
      </c>
      <c r="F975" s="1005">
        <v>22795.79</v>
      </c>
      <c r="G975" s="1004">
        <v>5547</v>
      </c>
      <c r="H975" s="1004">
        <v>2420</v>
      </c>
      <c r="I975" s="889">
        <v>140181</v>
      </c>
      <c r="J975" s="1006">
        <v>167628</v>
      </c>
      <c r="K975" s="1006">
        <v>46204.11</v>
      </c>
      <c r="L975" s="1006">
        <v>12989</v>
      </c>
      <c r="M975" s="1006">
        <v>460849</v>
      </c>
      <c r="N975" s="1006">
        <v>7525</v>
      </c>
      <c r="O975" s="1004">
        <v>4790</v>
      </c>
      <c r="P975" s="1006">
        <v>0</v>
      </c>
      <c r="Q975" s="337">
        <v>0</v>
      </c>
      <c r="R975" s="919">
        <f t="shared" si="55"/>
        <v>138398.62</v>
      </c>
      <c r="S975" s="1015">
        <v>12.772867955837091</v>
      </c>
      <c r="T975" s="1015">
        <v>3.952E-2</v>
      </c>
      <c r="U975" s="1008">
        <v>3.4079575927305102E-3</v>
      </c>
      <c r="V975" s="1016">
        <v>3.4000000000000002E-2</v>
      </c>
      <c r="W975" s="1016">
        <v>0.28613</v>
      </c>
      <c r="X975" s="1010">
        <v>1.18</v>
      </c>
      <c r="Y975" s="1015">
        <v>10.41</v>
      </c>
      <c r="Z975" s="1011">
        <v>0</v>
      </c>
      <c r="AA975" s="1011">
        <v>0</v>
      </c>
      <c r="AB975" s="1011">
        <v>0</v>
      </c>
      <c r="AC975" s="1018">
        <v>0.215774167697871</v>
      </c>
      <c r="AD975" s="1018">
        <v>7.0593832030287657E-2</v>
      </c>
      <c r="AE975" s="1018">
        <v>0</v>
      </c>
      <c r="AF975" s="1015">
        <v>14.464288242573206</v>
      </c>
      <c r="AG975" s="1013">
        <f t="shared" si="56"/>
        <v>6.1432940505194722</v>
      </c>
      <c r="AH975" s="1014">
        <f t="shared" si="57"/>
        <v>202511</v>
      </c>
      <c r="AJ975" s="931" t="s">
        <v>2180</v>
      </c>
      <c r="AK975" s="262"/>
      <c r="AL975" s="262"/>
    </row>
    <row r="976" spans="3:38" ht="15.75" hidden="1">
      <c r="C976" s="649">
        <v>45984</v>
      </c>
      <c r="D976" s="1001">
        <v>300560</v>
      </c>
      <c r="E976" s="1001">
        <v>0</v>
      </c>
      <c r="F976" s="1002">
        <v>22802.82</v>
      </c>
      <c r="G976" s="1001">
        <v>5527</v>
      </c>
      <c r="H976" s="1001">
        <v>2419</v>
      </c>
      <c r="I976" s="889">
        <v>140181</v>
      </c>
      <c r="J976" s="1003">
        <v>166566</v>
      </c>
      <c r="K976" s="1003">
        <v>47789.64</v>
      </c>
      <c r="L976" s="1003">
        <v>10664</v>
      </c>
      <c r="M976" s="1003">
        <v>457644</v>
      </c>
      <c r="N976" s="1003">
        <v>7578</v>
      </c>
      <c r="O976" s="1001">
        <v>4970</v>
      </c>
      <c r="P976" s="1003">
        <v>0</v>
      </c>
      <c r="Q976" s="337">
        <v>0</v>
      </c>
      <c r="R976" s="919">
        <f t="shared" si="55"/>
        <v>136926.65400000001</v>
      </c>
      <c r="S976" s="1007">
        <v>12.71028778384072</v>
      </c>
      <c r="T976" s="1007">
        <v>2.1170999999999999E-2</v>
      </c>
      <c r="U976" s="1008">
        <v>3.4079575927305102E-3</v>
      </c>
      <c r="V976" s="1009">
        <v>3.5000000000000003E-2</v>
      </c>
      <c r="W976" s="1009">
        <v>0.28329000000000004</v>
      </c>
      <c r="X976" s="1010">
        <v>1.18</v>
      </c>
      <c r="Y976" s="1007">
        <v>10.29</v>
      </c>
      <c r="Z976" s="1011">
        <v>0</v>
      </c>
      <c r="AA976" s="1019">
        <v>0</v>
      </c>
      <c r="AB976" s="1019">
        <v>0</v>
      </c>
      <c r="AC976" s="1012">
        <v>0.21747317689234227</v>
      </c>
      <c r="AD976" s="1012">
        <v>7.0112446091854103E-2</v>
      </c>
      <c r="AE976" s="1012">
        <v>0</v>
      </c>
      <c r="AF976" s="1007">
        <v>14.464797945331547</v>
      </c>
      <c r="AG976" s="1013">
        <f t="shared" si="56"/>
        <v>6.1030503365935154</v>
      </c>
      <c r="AH976" s="1014">
        <f t="shared" si="57"/>
        <v>202511</v>
      </c>
      <c r="AJ976" s="931" t="s">
        <v>2180</v>
      </c>
      <c r="AK976" s="262"/>
      <c r="AL976" s="262"/>
    </row>
    <row r="977" spans="3:38" ht="15.75" hidden="1">
      <c r="C977" s="649">
        <v>45985</v>
      </c>
      <c r="D977" s="1004">
        <v>319586</v>
      </c>
      <c r="E977" s="1004">
        <v>0</v>
      </c>
      <c r="F977" s="1005">
        <v>22801.02</v>
      </c>
      <c r="G977" s="1004">
        <v>5544</v>
      </c>
      <c r="H977" s="1004">
        <v>2386</v>
      </c>
      <c r="I977" s="889">
        <v>134940</v>
      </c>
      <c r="J977" s="1006">
        <v>163972</v>
      </c>
      <c r="K977" s="1006">
        <v>45647.5</v>
      </c>
      <c r="L977" s="1006">
        <v>14859</v>
      </c>
      <c r="M977" s="1006">
        <v>448351</v>
      </c>
      <c r="N977" s="1006">
        <v>7518</v>
      </c>
      <c r="O977" s="1004">
        <v>4892</v>
      </c>
      <c r="P977" s="1006">
        <v>0</v>
      </c>
      <c r="Q977" s="337">
        <v>0</v>
      </c>
      <c r="R977" s="919">
        <f t="shared" si="55"/>
        <v>135801.75325000001</v>
      </c>
      <c r="S977" s="1015">
        <v>12.94503422087686</v>
      </c>
      <c r="T977" s="1015">
        <v>1.1594E-2</v>
      </c>
      <c r="U977" s="1008">
        <v>3.4079575927305102E-3</v>
      </c>
      <c r="V977" s="1016">
        <v>3.3000000000000002E-2</v>
      </c>
      <c r="W977" s="1016">
        <v>0.28050999999999998</v>
      </c>
      <c r="X977" s="1010">
        <v>1.18</v>
      </c>
      <c r="Y977" s="1015">
        <v>10.25</v>
      </c>
      <c r="Z977" s="1011">
        <v>0</v>
      </c>
      <c r="AA977" s="1017">
        <v>0</v>
      </c>
      <c r="AB977" s="1017">
        <v>0</v>
      </c>
      <c r="AC977" s="1018">
        <v>0.21634050409602798</v>
      </c>
      <c r="AD977" s="1018">
        <v>6.97160106131441E-2</v>
      </c>
      <c r="AE977" s="1018">
        <v>0</v>
      </c>
      <c r="AF977" s="1015">
        <v>13.890447887140482</v>
      </c>
      <c r="AG977" s="1013">
        <f t="shared" si="56"/>
        <v>5.9952282017852632</v>
      </c>
      <c r="AH977" s="1014">
        <f t="shared" si="57"/>
        <v>202511</v>
      </c>
      <c r="AJ977" s="931" t="s">
        <v>2181</v>
      </c>
      <c r="AK977" s="262"/>
      <c r="AL977" s="262"/>
    </row>
    <row r="978" spans="3:38" ht="15.75" hidden="1">
      <c r="C978" s="649">
        <v>45986</v>
      </c>
      <c r="D978" s="1001">
        <v>332692</v>
      </c>
      <c r="E978" s="1001">
        <v>0</v>
      </c>
      <c r="F978" s="1002">
        <v>22752.91</v>
      </c>
      <c r="G978" s="1001">
        <v>5610</v>
      </c>
      <c r="H978" s="1001">
        <v>2393</v>
      </c>
      <c r="I978" s="889">
        <v>134940</v>
      </c>
      <c r="J978" s="1003">
        <v>157745</v>
      </c>
      <c r="K978" s="1003">
        <v>50375.97</v>
      </c>
      <c r="L978" s="1003">
        <v>14136</v>
      </c>
      <c r="M978" s="1003">
        <v>450931</v>
      </c>
      <c r="N978" s="1003">
        <v>7623</v>
      </c>
      <c r="O978" s="1001">
        <v>4786</v>
      </c>
      <c r="P978" s="1003">
        <v>0</v>
      </c>
      <c r="Q978" s="337">
        <v>0</v>
      </c>
      <c r="R978" s="919">
        <f t="shared" si="55"/>
        <v>135652.45049999998</v>
      </c>
      <c r="S978" s="1007">
        <v>12.530192809226753</v>
      </c>
      <c r="T978" s="1007">
        <v>1.3004E-2</v>
      </c>
      <c r="U978" s="1008">
        <v>3.4079575927305102E-3</v>
      </c>
      <c r="V978" s="1009">
        <v>3.4000000000000002E-2</v>
      </c>
      <c r="W978" s="1009">
        <v>0.27538000000000001</v>
      </c>
      <c r="X978" s="1010">
        <v>1.18</v>
      </c>
      <c r="Y978" s="1007">
        <v>10.19</v>
      </c>
      <c r="Z978" s="1011">
        <v>0</v>
      </c>
      <c r="AA978" s="1011">
        <v>0</v>
      </c>
      <c r="AB978" s="1011">
        <v>0</v>
      </c>
      <c r="AC978" s="1012">
        <v>0.22398604547114939</v>
      </c>
      <c r="AD978" s="1012">
        <v>0.10545183733685973</v>
      </c>
      <c r="AE978" s="1012">
        <v>0</v>
      </c>
      <c r="AF978" s="1007">
        <v>13.888125907908037</v>
      </c>
      <c r="AG978" s="1013">
        <f t="shared" si="56"/>
        <v>5.9779853942657306</v>
      </c>
      <c r="AH978" s="1014">
        <f t="shared" si="57"/>
        <v>202511</v>
      </c>
      <c r="AJ978" s="931" t="s">
        <v>2182</v>
      </c>
      <c r="AK978" s="262"/>
      <c r="AL978" s="262"/>
    </row>
    <row r="979" spans="3:38" ht="15.75" hidden="1">
      <c r="C979" s="649">
        <v>45987</v>
      </c>
      <c r="D979" s="1004">
        <v>349499</v>
      </c>
      <c r="E979" s="1004">
        <v>0</v>
      </c>
      <c r="F979" s="1005">
        <v>22725.66</v>
      </c>
      <c r="G979" s="1004">
        <v>5604</v>
      </c>
      <c r="H979" s="1004">
        <v>2434</v>
      </c>
      <c r="I979" s="889">
        <v>134940</v>
      </c>
      <c r="J979" s="1006">
        <v>162414</v>
      </c>
      <c r="K979" s="1006">
        <v>49931.79</v>
      </c>
      <c r="L979" s="1006">
        <v>12287</v>
      </c>
      <c r="M979" s="1006">
        <v>455018</v>
      </c>
      <c r="N979" s="1006">
        <v>7655</v>
      </c>
      <c r="O979" s="1004">
        <v>4923</v>
      </c>
      <c r="P979" s="1006">
        <v>0</v>
      </c>
      <c r="Q979" s="337">
        <v>0</v>
      </c>
      <c r="R979" s="919">
        <f t="shared" si="55"/>
        <v>137041.60399999999</v>
      </c>
      <c r="S979" s="1015">
        <v>12.571535366292224</v>
      </c>
      <c r="T979" s="1015">
        <v>7.7889999999999999E-3</v>
      </c>
      <c r="U979" s="1008">
        <v>3.4079575927305102E-3</v>
      </c>
      <c r="V979" s="1016">
        <v>3.6999999999999998E-2</v>
      </c>
      <c r="W979" s="1016">
        <v>0.27259</v>
      </c>
      <c r="X979" s="1010">
        <v>1.18</v>
      </c>
      <c r="Y979" s="1015">
        <v>10.32</v>
      </c>
      <c r="Z979" s="1011">
        <v>0</v>
      </c>
      <c r="AA979" s="1011">
        <v>0</v>
      </c>
      <c r="AB979" s="1011">
        <v>0</v>
      </c>
      <c r="AC979" s="1018">
        <v>0.22710089566101366</v>
      </c>
      <c r="AD979" s="1018">
        <v>0.105791639175754</v>
      </c>
      <c r="AE979" s="1018">
        <v>0</v>
      </c>
      <c r="AF979" s="1015">
        <v>13.890023134841863</v>
      </c>
      <c r="AG979" s="1013">
        <f t="shared" si="56"/>
        <v>6.0110976968950887</v>
      </c>
      <c r="AH979" s="1014">
        <f t="shared" si="57"/>
        <v>202511</v>
      </c>
      <c r="AJ979" s="931" t="s">
        <v>2183</v>
      </c>
      <c r="AK979" s="262"/>
      <c r="AL979" s="262"/>
    </row>
    <row r="980" spans="3:38" ht="15.75" hidden="1">
      <c r="C980" s="649">
        <v>45988</v>
      </c>
      <c r="D980" s="1001">
        <v>338894</v>
      </c>
      <c r="E980" s="1001">
        <v>0</v>
      </c>
      <c r="F980" s="1002">
        <v>22697.66</v>
      </c>
      <c r="G980" s="1001">
        <v>5461</v>
      </c>
      <c r="H980" s="1001">
        <v>2310</v>
      </c>
      <c r="I980" s="889">
        <v>134940</v>
      </c>
      <c r="J980" s="1003">
        <v>160973</v>
      </c>
      <c r="K980" s="1003">
        <v>50485.91</v>
      </c>
      <c r="L980" s="1003">
        <v>11854</v>
      </c>
      <c r="M980" s="1003">
        <v>458542</v>
      </c>
      <c r="N980" s="1003">
        <v>7609</v>
      </c>
      <c r="O980" s="1001">
        <v>5040</v>
      </c>
      <c r="P980" s="1003">
        <v>0</v>
      </c>
      <c r="Q980" s="337">
        <v>0</v>
      </c>
      <c r="R980" s="919">
        <f t="shared" si="55"/>
        <v>136358.41649999999</v>
      </c>
      <c r="S980" s="1007">
        <v>12.586826449042466</v>
      </c>
      <c r="T980" s="1007">
        <v>6.0099999999999997E-3</v>
      </c>
      <c r="U980" s="1008">
        <v>3.4079575927305102E-3</v>
      </c>
      <c r="V980" s="1009">
        <v>3.4000000000000002E-2</v>
      </c>
      <c r="W980" s="1009">
        <v>0.27113999999999999</v>
      </c>
      <c r="X980" s="1010">
        <v>1.18</v>
      </c>
      <c r="Y980" s="1007">
        <v>10.25</v>
      </c>
      <c r="Z980" s="1011">
        <v>0</v>
      </c>
      <c r="AA980" s="1011">
        <v>0</v>
      </c>
      <c r="AB980" s="1011">
        <v>0</v>
      </c>
      <c r="AC980" s="1012">
        <v>0.21888901788773513</v>
      </c>
      <c r="AD980" s="1012">
        <v>0.10621639147437185</v>
      </c>
      <c r="AE980" s="1012">
        <v>0</v>
      </c>
      <c r="AF980" s="1007">
        <v>13.890844322619191</v>
      </c>
      <c r="AG980" s="1013">
        <f t="shared" si="56"/>
        <v>5.9893208273520653</v>
      </c>
      <c r="AH980" s="1014">
        <f t="shared" si="57"/>
        <v>202511</v>
      </c>
      <c r="AJ980" s="931" t="s">
        <v>2184</v>
      </c>
      <c r="AK980" s="262"/>
      <c r="AL980" s="262"/>
    </row>
    <row r="981" spans="3:38" ht="15.75" hidden="1">
      <c r="C981" s="649">
        <v>45989</v>
      </c>
      <c r="D981" s="1004">
        <v>328275</v>
      </c>
      <c r="E981" s="1004">
        <v>31</v>
      </c>
      <c r="F981" s="1005">
        <v>22632.560000000001</v>
      </c>
      <c r="G981" s="1004">
        <v>3792</v>
      </c>
      <c r="H981" s="1004">
        <v>2372</v>
      </c>
      <c r="I981" s="889">
        <v>134940</v>
      </c>
      <c r="J981" s="1006">
        <v>164280</v>
      </c>
      <c r="K981" s="1006">
        <v>52633.65</v>
      </c>
      <c r="L981" s="1006">
        <v>13368</v>
      </c>
      <c r="M981" s="1006">
        <v>454825</v>
      </c>
      <c r="N981" s="1006">
        <v>7625</v>
      </c>
      <c r="O981" s="1004">
        <v>4987</v>
      </c>
      <c r="P981" s="1006">
        <v>0</v>
      </c>
      <c r="Q981" s="337">
        <v>0</v>
      </c>
      <c r="R981" s="919">
        <f t="shared" si="55"/>
        <v>136831.99825</v>
      </c>
      <c r="S981" s="1015">
        <v>12.57238487088946</v>
      </c>
      <c r="T981" s="1015">
        <v>5.6829999999999997E-3</v>
      </c>
      <c r="U981" s="1008">
        <v>3.4079575927305102E-3</v>
      </c>
      <c r="V981" s="1016">
        <v>3.4000000000000002E-2</v>
      </c>
      <c r="W981" s="1016">
        <v>0.28820000000000001</v>
      </c>
      <c r="X981" s="1010">
        <v>1.18</v>
      </c>
      <c r="Y981" s="1015">
        <v>10.210000000000001</v>
      </c>
      <c r="Z981" s="1011">
        <v>0</v>
      </c>
      <c r="AA981" s="1011">
        <v>0</v>
      </c>
      <c r="AB981" s="1011">
        <v>0</v>
      </c>
      <c r="AC981" s="1018">
        <v>0.22030485888312798</v>
      </c>
      <c r="AD981" s="1018">
        <v>6.5298586707518397E-2</v>
      </c>
      <c r="AE981" s="1018">
        <v>0</v>
      </c>
      <c r="AF981" s="1015">
        <v>13.889938184382141</v>
      </c>
      <c r="AG981" s="1013">
        <f t="shared" si="56"/>
        <v>5.9791046982935434</v>
      </c>
      <c r="AH981" s="1014">
        <f t="shared" si="57"/>
        <v>202511</v>
      </c>
      <c r="AJ981" s="931" t="s">
        <v>2185</v>
      </c>
      <c r="AK981" s="262"/>
      <c r="AL981" s="262"/>
    </row>
    <row r="982" spans="3:38" ht="15.75" hidden="1">
      <c r="C982" s="649">
        <v>45990</v>
      </c>
      <c r="D982" s="1001">
        <v>348212</v>
      </c>
      <c r="E982" s="1001">
        <v>0</v>
      </c>
      <c r="F982" s="1002">
        <v>22715.609999999997</v>
      </c>
      <c r="G982" s="1001">
        <v>5382</v>
      </c>
      <c r="H982" s="1001">
        <v>2373</v>
      </c>
      <c r="I982" s="889">
        <v>134940</v>
      </c>
      <c r="J982" s="1003">
        <v>160420</v>
      </c>
      <c r="K982" s="1003">
        <v>53764.41</v>
      </c>
      <c r="L982" s="1003">
        <v>13108</v>
      </c>
      <c r="M982" s="1003">
        <v>464916</v>
      </c>
      <c r="N982" s="1003">
        <v>7630</v>
      </c>
      <c r="O982" s="1001">
        <v>4726</v>
      </c>
      <c r="P982" s="1003">
        <v>0</v>
      </c>
      <c r="Q982" s="337">
        <v>0</v>
      </c>
      <c r="R982" s="919">
        <f t="shared" si="55"/>
        <v>137777.07550000001</v>
      </c>
      <c r="S982" s="1007">
        <v>12.786743197591935</v>
      </c>
      <c r="T982" s="1007">
        <v>5.1029999999999999E-3</v>
      </c>
      <c r="U982" s="1008">
        <v>3.4079575927305102E-3</v>
      </c>
      <c r="V982" s="1009">
        <v>3.4000000000000002E-2</v>
      </c>
      <c r="W982" s="1009">
        <v>0.28898000000000001</v>
      </c>
      <c r="X982" s="1010">
        <v>1.18</v>
      </c>
      <c r="Y982" s="1007">
        <v>10.42</v>
      </c>
      <c r="Z982" s="1011">
        <v>0</v>
      </c>
      <c r="AA982" s="1011">
        <v>0</v>
      </c>
      <c r="AB982" s="1011">
        <v>0</v>
      </c>
      <c r="AC982" s="1012">
        <v>0.22823356845732798</v>
      </c>
      <c r="AD982" s="1012">
        <v>8.789540899398833E-2</v>
      </c>
      <c r="AE982" s="1012">
        <v>0</v>
      </c>
      <c r="AF982" s="1007">
        <v>13.889343531164075</v>
      </c>
      <c r="AG982" s="1013">
        <f t="shared" si="56"/>
        <v>6.0504078752702704</v>
      </c>
      <c r="AH982" s="1014">
        <f t="shared" si="57"/>
        <v>202511</v>
      </c>
      <c r="AJ982" s="931" t="s">
        <v>2185</v>
      </c>
      <c r="AK982" s="262"/>
      <c r="AL982" s="262"/>
    </row>
    <row r="983" spans="3:38" ht="15.75" hidden="1">
      <c r="C983" s="649">
        <v>45991</v>
      </c>
      <c r="D983" s="1004">
        <v>342550</v>
      </c>
      <c r="E983" s="1004">
        <v>0</v>
      </c>
      <c r="F983" s="1005">
        <v>22690.11</v>
      </c>
      <c r="G983" s="1004">
        <v>5438</v>
      </c>
      <c r="H983" s="1004">
        <v>2315</v>
      </c>
      <c r="I983" s="889">
        <v>134940</v>
      </c>
      <c r="J983" s="1006">
        <v>161253</v>
      </c>
      <c r="K983" s="1006">
        <v>50779.15</v>
      </c>
      <c r="L983" s="1006">
        <v>11803</v>
      </c>
      <c r="M983" s="1006">
        <v>418419</v>
      </c>
      <c r="N983" s="1006">
        <v>7724</v>
      </c>
      <c r="O983" s="1006">
        <v>5044</v>
      </c>
      <c r="P983" s="1006">
        <v>0</v>
      </c>
      <c r="Q983" s="337">
        <v>0</v>
      </c>
      <c r="R983" s="919">
        <f t="shared" si="55"/>
        <v>134996.70575000002</v>
      </c>
      <c r="S983" s="1015">
        <v>12.671493740566959</v>
      </c>
      <c r="T983" s="1015">
        <v>5.2570000000000004E-3</v>
      </c>
      <c r="U983" s="1008">
        <v>3.4079575927305102E-3</v>
      </c>
      <c r="V983" s="1016">
        <v>3.4000000000000002E-2</v>
      </c>
      <c r="W983" s="1016">
        <v>0.28570000000000001</v>
      </c>
      <c r="X983" s="1010">
        <v>1.18</v>
      </c>
      <c r="Y983" s="1015">
        <v>10.47</v>
      </c>
      <c r="Z983" s="1011">
        <v>0</v>
      </c>
      <c r="AA983" s="1011">
        <v>0</v>
      </c>
      <c r="AB983" s="1011">
        <v>0</v>
      </c>
      <c r="AC983" s="1018">
        <v>0.2355959416333708</v>
      </c>
      <c r="AD983" s="1015">
        <v>9.5710851288556886E-2</v>
      </c>
      <c r="AE983" s="1018">
        <v>0</v>
      </c>
      <c r="AF983" s="1015">
        <v>13.91978411256502</v>
      </c>
      <c r="AG983" s="1013">
        <f t="shared" si="56"/>
        <v>6.0659093454576425</v>
      </c>
      <c r="AH983" s="1014">
        <f t="shared" si="57"/>
        <v>202511</v>
      </c>
      <c r="AJ983" s="931" t="s">
        <v>2185</v>
      </c>
      <c r="AK983" s="262"/>
      <c r="AL983" s="262"/>
    </row>
    <row r="984" spans="3:38" ht="15.75" hidden="1">
      <c r="C984" s="649">
        <v>45992</v>
      </c>
      <c r="D984" s="1001">
        <v>342069</v>
      </c>
      <c r="E984" s="1002">
        <v>0</v>
      </c>
      <c r="F984" s="1002">
        <v>22633.539999999997</v>
      </c>
      <c r="G984" s="1001">
        <v>5405</v>
      </c>
      <c r="H984" s="1001">
        <v>2317</v>
      </c>
      <c r="I984" s="889">
        <v>147959</v>
      </c>
      <c r="J984" s="1003">
        <v>158212</v>
      </c>
      <c r="K984" s="1003">
        <v>50908.83</v>
      </c>
      <c r="L984" s="1003">
        <v>12219</v>
      </c>
      <c r="M984" s="1003">
        <v>436912</v>
      </c>
      <c r="N984" s="1003">
        <v>7634</v>
      </c>
      <c r="O984" s="1001">
        <v>4913</v>
      </c>
      <c r="P984" s="1003">
        <v>0</v>
      </c>
      <c r="Q984" s="337">
        <v>0</v>
      </c>
      <c r="R984" s="919">
        <f t="shared" si="55"/>
        <v>137551.87750000003</v>
      </c>
      <c r="S984" s="1007">
        <v>12.678006609145767</v>
      </c>
      <c r="T984" s="1007">
        <v>5.0769999999999999E-3</v>
      </c>
      <c r="U984" s="1008">
        <v>3.4079575927305102E-3</v>
      </c>
      <c r="V984" s="1009">
        <v>3.5999999999999997E-2</v>
      </c>
      <c r="W984" s="1009">
        <v>0.28498000000000001</v>
      </c>
      <c r="X984" s="1010">
        <v>1.18</v>
      </c>
      <c r="Y984" s="1007">
        <v>10.34</v>
      </c>
      <c r="Z984" s="1011">
        <v>0</v>
      </c>
      <c r="AA984" s="1011">
        <v>0</v>
      </c>
      <c r="AB984" s="1011">
        <v>0</v>
      </c>
      <c r="AC984" s="1012">
        <v>0.23049891404995654</v>
      </c>
      <c r="AD984" s="1012">
        <v>0.12640628406867396</v>
      </c>
      <c r="AE984" s="1012">
        <v>0</v>
      </c>
      <c r="AF984" s="1007">
        <v>13.745522402852069</v>
      </c>
      <c r="AG984" s="1013">
        <f t="shared" si="56"/>
        <v>6.0146242562902419</v>
      </c>
      <c r="AH984" s="1014">
        <f t="shared" si="57"/>
        <v>202512</v>
      </c>
      <c r="AJ984" s="931" t="s">
        <v>2185</v>
      </c>
      <c r="AK984" s="262"/>
      <c r="AL984" s="262"/>
    </row>
    <row r="985" spans="3:38" ht="15.75" hidden="1">
      <c r="C985" s="649">
        <v>45993</v>
      </c>
      <c r="D985" s="1004">
        <v>334564</v>
      </c>
      <c r="E985" s="1004">
        <v>0</v>
      </c>
      <c r="F985" s="1005">
        <v>22635.469999999998</v>
      </c>
      <c r="G985" s="1004">
        <v>5345</v>
      </c>
      <c r="H985" s="1004">
        <v>2311</v>
      </c>
      <c r="I985" s="889">
        <v>147959</v>
      </c>
      <c r="J985" s="1006">
        <v>148721</v>
      </c>
      <c r="K985" s="1006">
        <v>50036.53</v>
      </c>
      <c r="L985" s="1006">
        <v>13099</v>
      </c>
      <c r="M985" s="1006">
        <v>446502</v>
      </c>
      <c r="N985" s="1006">
        <v>6846</v>
      </c>
      <c r="O985" s="1004">
        <v>5263</v>
      </c>
      <c r="P985" s="1006">
        <v>0</v>
      </c>
      <c r="Q985" s="337">
        <v>0</v>
      </c>
      <c r="R985" s="919">
        <f t="shared" si="55"/>
        <v>135261.19225000002</v>
      </c>
      <c r="S985" s="1015">
        <v>13.619824039281092</v>
      </c>
      <c r="T985" s="1015">
        <v>5.7429999999999998E-3</v>
      </c>
      <c r="U985" s="1008">
        <v>3.4079575927305102E-3</v>
      </c>
      <c r="V985" s="1016">
        <v>0.03</v>
      </c>
      <c r="W985" s="1016">
        <v>0.28505000000000003</v>
      </c>
      <c r="X985" s="1010">
        <v>1.18</v>
      </c>
      <c r="Y985" s="1018">
        <v>9.9600000000000009</v>
      </c>
      <c r="Z985" s="1011">
        <v>0</v>
      </c>
      <c r="AA985" s="1011">
        <v>0</v>
      </c>
      <c r="AB985" s="1011">
        <v>0</v>
      </c>
      <c r="AC985" s="1018">
        <v>0.23049891404995654</v>
      </c>
      <c r="AD985" s="1018">
        <v>0.12640628406867396</v>
      </c>
      <c r="AE985" s="1018">
        <v>0</v>
      </c>
      <c r="AF985" s="1015">
        <v>13.746145372890041</v>
      </c>
      <c r="AG985" s="1013">
        <f t="shared" si="56"/>
        <v>5.9407281410281554</v>
      </c>
      <c r="AH985" s="1014">
        <f t="shared" si="57"/>
        <v>202512</v>
      </c>
      <c r="AJ985" s="931" t="s">
        <v>2186</v>
      </c>
      <c r="AK985" s="262"/>
      <c r="AL985" s="262"/>
    </row>
    <row r="986" spans="3:38" ht="15.75" hidden="1">
      <c r="C986" s="649">
        <v>45994</v>
      </c>
      <c r="D986" s="1001">
        <v>332116</v>
      </c>
      <c r="E986" s="1001">
        <v>0</v>
      </c>
      <c r="F986" s="1002">
        <v>22637.46</v>
      </c>
      <c r="G986" s="1001">
        <v>5419</v>
      </c>
      <c r="H986" s="1001">
        <v>2300</v>
      </c>
      <c r="I986" s="889">
        <v>147959</v>
      </c>
      <c r="J986" s="1003">
        <v>157299</v>
      </c>
      <c r="K986" s="1003">
        <v>51183.18</v>
      </c>
      <c r="L986" s="1003">
        <v>8353</v>
      </c>
      <c r="M986" s="1003">
        <v>444133</v>
      </c>
      <c r="N986" s="1003">
        <v>7372</v>
      </c>
      <c r="O986" s="1001">
        <v>0</v>
      </c>
      <c r="P986" s="1003">
        <v>0</v>
      </c>
      <c r="Q986" s="337">
        <v>0</v>
      </c>
      <c r="R986" s="919">
        <f t="shared" si="55"/>
        <v>134446.85125000001</v>
      </c>
      <c r="S986" s="1007">
        <v>15.111554112026997</v>
      </c>
      <c r="T986" s="1007">
        <v>2.0149999999999999E-3</v>
      </c>
      <c r="U986" s="1008">
        <v>3.4079575927305102E-3</v>
      </c>
      <c r="V986" s="1009">
        <v>3.2000000000000001E-2</v>
      </c>
      <c r="W986" s="1009">
        <v>0.28482000000000002</v>
      </c>
      <c r="X986" s="1010">
        <v>1.18</v>
      </c>
      <c r="Y986" s="1012">
        <v>10.09</v>
      </c>
      <c r="Z986" s="1011">
        <v>0</v>
      </c>
      <c r="AA986" s="1011">
        <v>0</v>
      </c>
      <c r="AB986" s="1011">
        <v>0</v>
      </c>
      <c r="AC986" s="1012">
        <v>0.22795040025824939</v>
      </c>
      <c r="AD986" s="1012">
        <v>8.9594418188459757E-2</v>
      </c>
      <c r="AE986" s="1012">
        <v>0</v>
      </c>
      <c r="AF986" s="1007">
        <v>13.753507746066086</v>
      </c>
      <c r="AG986" s="1013">
        <f t="shared" si="56"/>
        <v>6.0041712062267276</v>
      </c>
      <c r="AH986" s="1014">
        <f t="shared" si="57"/>
        <v>202512</v>
      </c>
      <c r="AJ986" s="931" t="s">
        <v>2188</v>
      </c>
      <c r="AK986" s="262"/>
      <c r="AL986" s="262"/>
    </row>
    <row r="987" spans="3:38" ht="15.75" hidden="1">
      <c r="C987" s="649">
        <v>45995</v>
      </c>
      <c r="D987" s="1004">
        <v>337929</v>
      </c>
      <c r="E987" s="1004">
        <v>0</v>
      </c>
      <c r="F987" s="1004">
        <v>22214.94</v>
      </c>
      <c r="G987" s="1004">
        <v>5451</v>
      </c>
      <c r="H987" s="1004">
        <v>2328</v>
      </c>
      <c r="I987" s="889">
        <v>147959</v>
      </c>
      <c r="J987" s="1004">
        <v>162683</v>
      </c>
      <c r="K987" s="1004">
        <v>51228.24</v>
      </c>
      <c r="L987" s="1004">
        <v>11659</v>
      </c>
      <c r="M987" s="1006">
        <v>436114</v>
      </c>
      <c r="N987" s="1004">
        <v>7430</v>
      </c>
      <c r="O987" s="1004">
        <v>7018</v>
      </c>
      <c r="P987" s="1006">
        <v>0</v>
      </c>
      <c r="Q987" s="337">
        <v>0</v>
      </c>
      <c r="R987" s="919">
        <f t="shared" si="55"/>
        <v>139066.61500000002</v>
      </c>
      <c r="S987" s="1015">
        <v>15.221989709667643</v>
      </c>
      <c r="T987" s="1015">
        <v>1.06E-3</v>
      </c>
      <c r="U987" s="1008">
        <v>3.4079575927305102E-3</v>
      </c>
      <c r="V987" s="1015">
        <v>3.2907840000000001E-2</v>
      </c>
      <c r="W987" s="1016">
        <v>0.28276000000000001</v>
      </c>
      <c r="X987" s="1010">
        <v>1.18</v>
      </c>
      <c r="Y987" s="1018">
        <v>10.24</v>
      </c>
      <c r="Z987" s="1022">
        <v>0</v>
      </c>
      <c r="AA987" s="1018">
        <v>0</v>
      </c>
      <c r="AB987" s="1018">
        <v>0</v>
      </c>
      <c r="AC987" s="1018">
        <v>0.23432168473751724</v>
      </c>
      <c r="AD987" s="1018">
        <v>7.1160168428444803E-2</v>
      </c>
      <c r="AE987" s="1018">
        <v>0</v>
      </c>
      <c r="AF987" s="1015">
        <v>13.743030522700179</v>
      </c>
      <c r="AG987" s="1013">
        <f t="shared" si="56"/>
        <v>6.036083530874226</v>
      </c>
      <c r="AH987" s="1014">
        <f t="shared" si="57"/>
        <v>202512</v>
      </c>
      <c r="AJ987" s="931" t="s">
        <v>2187</v>
      </c>
      <c r="AK987" s="262"/>
      <c r="AL987" s="262"/>
    </row>
    <row r="988" spans="3:38" ht="15.75" hidden="1">
      <c r="C988" s="649">
        <v>45996</v>
      </c>
      <c r="D988" s="1001">
        <v>339344</v>
      </c>
      <c r="E988" s="1001">
        <v>0</v>
      </c>
      <c r="F988" s="1001">
        <v>22099.01</v>
      </c>
      <c r="G988" s="1001">
        <v>5493</v>
      </c>
      <c r="H988" s="1001">
        <v>2274</v>
      </c>
      <c r="I988" s="889">
        <v>147959</v>
      </c>
      <c r="J988" s="1001">
        <v>159963</v>
      </c>
      <c r="K988" s="1001">
        <v>49363.53</v>
      </c>
      <c r="L988" s="1024">
        <v>13371</v>
      </c>
      <c r="M988" s="1001">
        <v>431688</v>
      </c>
      <c r="N988" s="1001">
        <v>7363</v>
      </c>
      <c r="O988" s="1001">
        <v>6860</v>
      </c>
      <c r="P988" s="1001">
        <v>0</v>
      </c>
      <c r="Q988" s="337">
        <v>0</v>
      </c>
      <c r="R988" s="919">
        <f t="shared" si="55"/>
        <v>137985.88524999999</v>
      </c>
      <c r="S988" s="1009">
        <v>14.113103042075965</v>
      </c>
      <c r="T988" s="1009">
        <v>9.6599999999999995E-4</v>
      </c>
      <c r="U988" s="1008">
        <v>3.4079575927305102E-3</v>
      </c>
      <c r="V988" s="1009">
        <v>3.3009792000000003E-2</v>
      </c>
      <c r="W988" s="1009">
        <v>0.28114</v>
      </c>
      <c r="X988" s="1010">
        <v>1.18</v>
      </c>
      <c r="Y988" s="1007">
        <v>10.25</v>
      </c>
      <c r="Z988" s="1021">
        <v>0</v>
      </c>
      <c r="AA988" s="1007">
        <v>0</v>
      </c>
      <c r="AB988" s="1021">
        <v>0</v>
      </c>
      <c r="AC988" s="1007">
        <v>0.24267514661033507</v>
      </c>
      <c r="AD988" s="1007">
        <v>5.5331066099952704E-2</v>
      </c>
      <c r="AE988" s="1007">
        <v>0</v>
      </c>
      <c r="AF988" s="1007">
        <v>13.630924232684972</v>
      </c>
      <c r="AG988" s="1013">
        <f t="shared" si="56"/>
        <v>5.9801833624191971</v>
      </c>
      <c r="AH988" s="1014">
        <v>202512</v>
      </c>
      <c r="AJ988" s="931" t="s">
        <v>2189</v>
      </c>
      <c r="AK988" s="262"/>
      <c r="AL988" s="262"/>
    </row>
    <row r="989" spans="3:38" ht="15.75" hidden="1">
      <c r="C989" s="649">
        <v>45997</v>
      </c>
      <c r="D989" s="1004">
        <v>336712</v>
      </c>
      <c r="E989" s="1004">
        <v>0</v>
      </c>
      <c r="F989" s="1004">
        <v>22559.63</v>
      </c>
      <c r="G989" s="1004">
        <v>5396</v>
      </c>
      <c r="H989" s="1004">
        <v>2271</v>
      </c>
      <c r="I989" s="889">
        <v>147959</v>
      </c>
      <c r="J989" s="1004">
        <v>160702</v>
      </c>
      <c r="K989" s="1004">
        <v>49815.07</v>
      </c>
      <c r="L989" s="1004">
        <v>8414</v>
      </c>
      <c r="M989" s="1004">
        <v>423808</v>
      </c>
      <c r="N989" s="1006">
        <v>7219</v>
      </c>
      <c r="O989" s="1006">
        <v>6273</v>
      </c>
      <c r="P989" s="1006">
        <v>0</v>
      </c>
      <c r="Q989" s="337">
        <v>0</v>
      </c>
      <c r="R989" s="919">
        <f t="shared" si="55"/>
        <v>136723.14200000002</v>
      </c>
      <c r="S989" s="1015">
        <v>12.700376896872973</v>
      </c>
      <c r="T989" s="1015">
        <v>7.7099999999999998E-4</v>
      </c>
      <c r="U989" s="1008">
        <v>3.4079575927305102E-3</v>
      </c>
      <c r="V989" s="1015">
        <v>3.9568704000000003E-2</v>
      </c>
      <c r="W989" s="1023">
        <v>0.28148000000000001</v>
      </c>
      <c r="X989" s="1010">
        <v>1.18</v>
      </c>
      <c r="Y989" s="1018">
        <v>10.19</v>
      </c>
      <c r="Z989" s="1011">
        <v>0</v>
      </c>
      <c r="AA989" s="1011">
        <v>0</v>
      </c>
      <c r="AB989" s="1011">
        <v>0</v>
      </c>
      <c r="AC989" s="1018">
        <v>0.2315749532064551</v>
      </c>
      <c r="AD989" s="1018">
        <v>7.0508881570564105E-2</v>
      </c>
      <c r="AE989" s="1018">
        <v>0</v>
      </c>
      <c r="AF989" s="1018">
        <v>13.630924232684972</v>
      </c>
      <c r="AG989" s="1013">
        <f t="shared" si="56"/>
        <v>5.9316780335858272</v>
      </c>
      <c r="AH989" s="1014">
        <v>202512</v>
      </c>
      <c r="AJ989" s="931" t="s">
        <v>2187</v>
      </c>
      <c r="AK989" s="262"/>
      <c r="AL989" s="262"/>
    </row>
    <row r="990" spans="3:38" ht="14.25" hidden="1" customHeight="1">
      <c r="C990" s="1025">
        <v>45998</v>
      </c>
      <c r="D990" s="1001">
        <v>338252</v>
      </c>
      <c r="E990" s="1001">
        <v>0</v>
      </c>
      <c r="F990" s="1001">
        <v>22586.07</v>
      </c>
      <c r="G990" s="1001">
        <v>5364</v>
      </c>
      <c r="H990" s="1001">
        <v>2251</v>
      </c>
      <c r="I990" s="889">
        <v>147959</v>
      </c>
      <c r="J990" s="1001">
        <v>162179</v>
      </c>
      <c r="K990" s="1000">
        <v>49815.07</v>
      </c>
      <c r="L990" s="1001">
        <v>14850</v>
      </c>
      <c r="M990" s="1001">
        <v>419308</v>
      </c>
      <c r="N990" s="1001">
        <v>7312</v>
      </c>
      <c r="O990" s="1001">
        <v>5019</v>
      </c>
      <c r="P990" s="1001">
        <v>0</v>
      </c>
      <c r="Q990" s="337">
        <v>0</v>
      </c>
      <c r="R990" s="919">
        <f t="shared" si="55"/>
        <v>138016.03</v>
      </c>
      <c r="S990" s="1009">
        <v>12.80429962593481</v>
      </c>
      <c r="T990" s="1009">
        <v>8.2700000000000004E-4</v>
      </c>
      <c r="U990" s="1008">
        <v>3.4079575927305102E-3</v>
      </c>
      <c r="V990" s="1007">
        <v>3.2000000000000001E-2</v>
      </c>
      <c r="W990" s="1007">
        <v>0.27954000000000001</v>
      </c>
      <c r="X990" s="1010">
        <v>1.18</v>
      </c>
      <c r="Y990" s="1007">
        <v>10.23</v>
      </c>
      <c r="Z990" s="1007"/>
      <c r="AA990" s="1007">
        <v>0</v>
      </c>
      <c r="AB990" s="1007">
        <v>0</v>
      </c>
      <c r="AC990" s="1007">
        <v>0.22285337267483513</v>
      </c>
      <c r="AD990" s="1007">
        <v>7.0707099309919086E-2</v>
      </c>
      <c r="AE990" s="1007">
        <v>0</v>
      </c>
      <c r="AF990" s="1007">
        <v>13.630924232684972</v>
      </c>
      <c r="AG990" s="1013">
        <f t="shared" si="56"/>
        <v>5.93852845464815</v>
      </c>
      <c r="AH990" s="1014">
        <v>202512</v>
      </c>
      <c r="AI990" t="s">
        <v>2192</v>
      </c>
      <c r="AJ990" s="931" t="s">
        <v>2189</v>
      </c>
      <c r="AK990" s="262"/>
      <c r="AL990" s="262"/>
    </row>
    <row r="991" spans="3:38" ht="15.75" hidden="1">
      <c r="C991" s="1025">
        <v>45999</v>
      </c>
      <c r="D991" s="1004">
        <v>329634</v>
      </c>
      <c r="E991" s="1004">
        <v>0</v>
      </c>
      <c r="F991" s="1004">
        <v>22560.22</v>
      </c>
      <c r="G991" s="1004">
        <v>5324</v>
      </c>
      <c r="H991" s="1004">
        <v>2319</v>
      </c>
      <c r="I991" s="1029">
        <v>149582</v>
      </c>
      <c r="J991" s="1004">
        <v>155814</v>
      </c>
      <c r="K991" s="1000">
        <v>49815.07</v>
      </c>
      <c r="L991" s="1004">
        <v>14423</v>
      </c>
      <c r="M991" s="1004">
        <v>309999</v>
      </c>
      <c r="N991" s="1004">
        <v>7299</v>
      </c>
      <c r="O991" s="1004">
        <v>5045</v>
      </c>
      <c r="P991" s="1004">
        <v>0</v>
      </c>
      <c r="Q991" s="337">
        <v>0</v>
      </c>
      <c r="R991" s="919">
        <f t="shared" si="55"/>
        <v>131997.15475000002</v>
      </c>
      <c r="S991" s="1015">
        <v>12.643460088858181</v>
      </c>
      <c r="T991" s="1016">
        <v>6.0800000000000003E-4</v>
      </c>
      <c r="U991" s="1008">
        <v>3.4079575927305102E-3</v>
      </c>
      <c r="V991" s="1015">
        <v>3.5000000000000003E-2</v>
      </c>
      <c r="W991" s="1015">
        <v>0.27826000000000001</v>
      </c>
      <c r="X991" s="1010">
        <v>1.18</v>
      </c>
      <c r="Y991" s="1015">
        <v>10.119999999999999</v>
      </c>
      <c r="Z991" s="1015"/>
      <c r="AA991" s="1021">
        <v>0</v>
      </c>
      <c r="AB991" s="1021">
        <v>0</v>
      </c>
      <c r="AC991" s="1015">
        <v>0.22766723205917078</v>
      </c>
      <c r="AD991" s="1015">
        <v>0.10565005507621471</v>
      </c>
      <c r="AE991" s="1015">
        <v>0</v>
      </c>
      <c r="AF991" s="1015">
        <v>13.742973889060362</v>
      </c>
      <c r="AG991" s="1013">
        <f t="shared" si="56"/>
        <v>5.93893991661127</v>
      </c>
      <c r="AH991" s="1014">
        <v>202512</v>
      </c>
      <c r="AI991" t="s">
        <v>2192</v>
      </c>
      <c r="AJ991" s="931" t="s">
        <v>2190</v>
      </c>
      <c r="AK991" s="262"/>
      <c r="AL991" s="262"/>
    </row>
    <row r="992" spans="3:38" ht="15.75" hidden="1">
      <c r="C992" s="1025">
        <v>46000</v>
      </c>
      <c r="D992" s="1001">
        <v>320016</v>
      </c>
      <c r="E992" s="1001">
        <v>0</v>
      </c>
      <c r="F992" s="1001">
        <v>22564.68</v>
      </c>
      <c r="G992" s="1001">
        <v>5380</v>
      </c>
      <c r="H992" s="1001">
        <v>2243</v>
      </c>
      <c r="I992" s="1029">
        <v>149582</v>
      </c>
      <c r="J992" s="1001">
        <v>160977</v>
      </c>
      <c r="K992" s="1000">
        <v>49815.07</v>
      </c>
      <c r="L992" s="1001">
        <v>9838</v>
      </c>
      <c r="M992" s="1001">
        <v>309084</v>
      </c>
      <c r="N992" s="1001">
        <v>7303</v>
      </c>
      <c r="O992" s="1001">
        <v>5028</v>
      </c>
      <c r="P992" s="1001">
        <v>0</v>
      </c>
      <c r="Q992" s="337">
        <v>0</v>
      </c>
      <c r="R992" s="919">
        <f t="shared" si="55"/>
        <v>131864.239</v>
      </c>
      <c r="S992" s="1009">
        <v>12.571535366292224</v>
      </c>
      <c r="T992" s="1007">
        <v>6.1899999999999998E-4</v>
      </c>
      <c r="U992" s="1008">
        <v>3.4079575927305102E-3</v>
      </c>
      <c r="V992" s="1007">
        <v>3.3661152E-2</v>
      </c>
      <c r="W992" s="1007">
        <v>0.27444999999999997</v>
      </c>
      <c r="X992" s="1010">
        <v>1.18</v>
      </c>
      <c r="Y992" s="1007">
        <v>10.01</v>
      </c>
      <c r="Z992" s="1015"/>
      <c r="AA992" s="1021">
        <v>0</v>
      </c>
      <c r="AB992" s="1021">
        <v>0</v>
      </c>
      <c r="AC992" s="1007">
        <v>0.22823356845732798</v>
      </c>
      <c r="AD992" s="1007">
        <v>0.1117948049962197</v>
      </c>
      <c r="AE992" s="1007">
        <v>0</v>
      </c>
      <c r="AF992" s="1007">
        <v>14.029370205608428</v>
      </c>
      <c r="AG992" s="1013">
        <f t="shared" si="56"/>
        <v>5.9549672352611855</v>
      </c>
      <c r="AH992" s="1014">
        <v>202512</v>
      </c>
      <c r="AI992" t="s">
        <v>2192</v>
      </c>
      <c r="AJ992" s="931" t="s">
        <v>2191</v>
      </c>
      <c r="AK992" s="262"/>
      <c r="AL992" s="262"/>
    </row>
    <row r="993" spans="3:38" ht="15.75" hidden="1">
      <c r="C993" s="1025">
        <v>46001</v>
      </c>
      <c r="D993" s="1004">
        <v>343783</v>
      </c>
      <c r="E993" s="1004">
        <v>0</v>
      </c>
      <c r="F993" s="1004">
        <v>22550.11</v>
      </c>
      <c r="G993" s="1004">
        <v>5260</v>
      </c>
      <c r="H993" s="1004">
        <v>2244</v>
      </c>
      <c r="I993" s="1029">
        <v>149582</v>
      </c>
      <c r="J993" s="1004">
        <v>162029</v>
      </c>
      <c r="K993" s="1000">
        <v>49815.07</v>
      </c>
      <c r="L993" s="1004">
        <v>6022</v>
      </c>
      <c r="M993" s="1004">
        <v>417251</v>
      </c>
      <c r="N993" s="1004">
        <v>7401</v>
      </c>
      <c r="O993" s="1004">
        <v>4936</v>
      </c>
      <c r="P993" s="1004">
        <v>0</v>
      </c>
      <c r="Q993" s="337">
        <v>0</v>
      </c>
      <c r="R993" s="919">
        <f t="shared" si="55"/>
        <v>136143.79474999997</v>
      </c>
      <c r="S993" s="1015">
        <v>12.654503648622248</v>
      </c>
      <c r="T993" s="1015">
        <v>6.0400000000000004E-4</v>
      </c>
      <c r="U993" s="1008">
        <v>3.4079575927305102E-3</v>
      </c>
      <c r="V993" s="1023">
        <v>3.4236048000000005E-2</v>
      </c>
      <c r="W993" s="1015">
        <v>0.27781</v>
      </c>
      <c r="X993" s="1010">
        <v>1.18</v>
      </c>
      <c r="Y993" s="1015">
        <v>9.89</v>
      </c>
      <c r="Z993" s="1015"/>
      <c r="AA993" s="1021">
        <v>0</v>
      </c>
      <c r="AB993" s="1021">
        <v>0</v>
      </c>
      <c r="AC993" s="1015">
        <v>0.22823356845732798</v>
      </c>
      <c r="AD993" s="1015">
        <v>0.13235281624932393</v>
      </c>
      <c r="AE993" s="1015">
        <v>0</v>
      </c>
      <c r="AF993" s="1015">
        <v>14.030049809286217</v>
      </c>
      <c r="AG993" s="1013">
        <f t="shared" si="56"/>
        <v>5.9381761926458045</v>
      </c>
      <c r="AH993" s="1014">
        <v>202512</v>
      </c>
      <c r="AI993" t="s">
        <v>2192</v>
      </c>
      <c r="AJ993" s="931" t="s">
        <v>2193</v>
      </c>
      <c r="AK993" s="262"/>
      <c r="AL993" s="262"/>
    </row>
    <row r="994" spans="3:38" ht="15.75" hidden="1">
      <c r="C994" s="1025">
        <v>46002</v>
      </c>
      <c r="D994" s="1001">
        <v>346203</v>
      </c>
      <c r="E994" s="1001">
        <v>0</v>
      </c>
      <c r="F994" s="1001">
        <v>22545.7</v>
      </c>
      <c r="G994" s="1001">
        <v>5164</v>
      </c>
      <c r="H994" s="1001">
        <v>2279</v>
      </c>
      <c r="I994" s="1029">
        <v>149582</v>
      </c>
      <c r="J994" s="1001">
        <v>162247</v>
      </c>
      <c r="K994" s="1000">
        <v>49815.07</v>
      </c>
      <c r="L994" s="1001">
        <v>1200</v>
      </c>
      <c r="M994" s="1001">
        <v>409082</v>
      </c>
      <c r="N994" s="1001">
        <v>7393</v>
      </c>
      <c r="O994" s="1001">
        <v>5100</v>
      </c>
      <c r="P994" s="1001">
        <v>0</v>
      </c>
      <c r="Q994" s="337">
        <v>0</v>
      </c>
      <c r="R994" s="919">
        <f t="shared" si="55"/>
        <v>134829.82525000002</v>
      </c>
      <c r="S994" s="1009">
        <v>13.589808210178765</v>
      </c>
      <c r="T994" s="1009">
        <v>7.6499999999999995E-4</v>
      </c>
      <c r="U994" s="1008">
        <v>3.4079575927305102E-3</v>
      </c>
      <c r="V994" s="1009">
        <v>3.3879216000000004E-2</v>
      </c>
      <c r="W994" s="1009">
        <v>0.29531000000000002</v>
      </c>
      <c r="X994" s="1010">
        <v>1.18</v>
      </c>
      <c r="Y994" s="1009">
        <v>9.8699999999999992</v>
      </c>
      <c r="Z994" s="1009"/>
      <c r="AA994" s="1026">
        <v>0</v>
      </c>
      <c r="AB994" s="1026">
        <v>0</v>
      </c>
      <c r="AC994" s="1009">
        <v>0.23333059604074224</v>
      </c>
      <c r="AD994" s="1009">
        <v>0.10443243182017686</v>
      </c>
      <c r="AE994" s="1009">
        <v>0</v>
      </c>
      <c r="AF994" s="1009">
        <v>14.032116937139492</v>
      </c>
      <c r="AG994" s="1013">
        <f t="shared" si="56"/>
        <v>5.9674428360689067</v>
      </c>
      <c r="AH994" s="1014">
        <v>202512</v>
      </c>
      <c r="AI994" t="s">
        <v>2192</v>
      </c>
      <c r="AJ994" s="931" t="s">
        <v>2193</v>
      </c>
      <c r="AK994" s="262"/>
      <c r="AL994" s="262"/>
    </row>
    <row r="995" spans="3:38" ht="15.75" hidden="1">
      <c r="C995" s="1025">
        <v>46003</v>
      </c>
      <c r="D995" s="1004">
        <v>342426</v>
      </c>
      <c r="E995" s="1004">
        <v>0</v>
      </c>
      <c r="F995" s="1004">
        <v>22511.95</v>
      </c>
      <c r="G995" s="1004">
        <v>5202</v>
      </c>
      <c r="H995" s="1004">
        <v>2339</v>
      </c>
      <c r="I995" s="1029">
        <v>149582</v>
      </c>
      <c r="J995" s="1004">
        <v>163873</v>
      </c>
      <c r="K995" s="1000">
        <v>49815.07</v>
      </c>
      <c r="L995" s="1004">
        <v>1200</v>
      </c>
      <c r="M995" s="1004">
        <v>426167</v>
      </c>
      <c r="N995" s="1004">
        <v>7388</v>
      </c>
      <c r="O995" s="1004">
        <v>4964</v>
      </c>
      <c r="P995" s="1004">
        <v>0</v>
      </c>
      <c r="Q995" s="337">
        <v>0</v>
      </c>
      <c r="R995" s="919">
        <f t="shared" si="55"/>
        <v>135825.93300000002</v>
      </c>
      <c r="S995" s="1023">
        <v>12.514901726476509</v>
      </c>
      <c r="T995" s="1023">
        <v>7.4399999999999998E-4</v>
      </c>
      <c r="U995" s="1008">
        <v>3.4079575927305102E-3</v>
      </c>
      <c r="V995" s="1023">
        <v>3.3573360000000003E-2</v>
      </c>
      <c r="W995" s="1023">
        <v>0.30610000000000004</v>
      </c>
      <c r="X995" s="1010">
        <v>1.18</v>
      </c>
      <c r="Y995" s="1023">
        <v>10.09</v>
      </c>
      <c r="Z995" s="1023"/>
      <c r="AA995" s="1027">
        <v>0</v>
      </c>
      <c r="AB995" s="1027">
        <v>0</v>
      </c>
      <c r="AC995" s="1023">
        <v>0.23106525044811366</v>
      </c>
      <c r="AD995" s="1023">
        <v>0.10443243182017686</v>
      </c>
      <c r="AE995" s="1023">
        <v>0</v>
      </c>
      <c r="AF995" s="1023">
        <v>14.031040897982992</v>
      </c>
      <c r="AG995" s="1013">
        <f t="shared" si="56"/>
        <v>6.0034011087488217</v>
      </c>
      <c r="AH995" s="1014">
        <v>202512</v>
      </c>
      <c r="AI995" t="s">
        <v>2192</v>
      </c>
      <c r="AJ995" s="931" t="s">
        <v>2195</v>
      </c>
      <c r="AK995" s="262"/>
      <c r="AL995" s="262"/>
    </row>
    <row r="996" spans="3:38" ht="15.75" hidden="1">
      <c r="C996" s="1025">
        <v>46004</v>
      </c>
      <c r="D996" s="1001">
        <v>322618</v>
      </c>
      <c r="E996" s="1001">
        <v>0</v>
      </c>
      <c r="F996" s="1001">
        <v>22537.7</v>
      </c>
      <c r="G996" s="1001">
        <v>5239</v>
      </c>
      <c r="H996" s="1001">
        <v>2307</v>
      </c>
      <c r="I996" s="1029">
        <v>149582</v>
      </c>
      <c r="J996" s="1001">
        <v>164737</v>
      </c>
      <c r="K996" s="1000">
        <v>49815.07</v>
      </c>
      <c r="L996" s="1001">
        <v>1102</v>
      </c>
      <c r="M996" s="1001">
        <v>435191</v>
      </c>
      <c r="N996" s="1001">
        <v>7169</v>
      </c>
      <c r="O996" s="1001">
        <v>5167</v>
      </c>
      <c r="P996" s="1001">
        <v>0</v>
      </c>
      <c r="Q996" s="337">
        <v>0</v>
      </c>
      <c r="R996" s="919">
        <f t="shared" si="55"/>
        <v>135870.1415</v>
      </c>
      <c r="S996" s="1009">
        <v>14.201734688387553</v>
      </c>
      <c r="T996" s="1009">
        <v>1.194E-3</v>
      </c>
      <c r="U996" s="1008">
        <v>3.4079575927305102E-3</v>
      </c>
      <c r="V996" s="1009">
        <v>3.2769072000000003E-2</v>
      </c>
      <c r="W996" s="1009">
        <v>0.30101</v>
      </c>
      <c r="X996" s="1010">
        <v>1.18</v>
      </c>
      <c r="Y996" s="1009">
        <v>10.17</v>
      </c>
      <c r="Z996" s="1009"/>
      <c r="AA996" s="1026">
        <v>0</v>
      </c>
      <c r="AB996" s="1026">
        <v>0</v>
      </c>
      <c r="AC996" s="1009">
        <v>0.20699595352643516</v>
      </c>
      <c r="AD996" s="1009">
        <v>0.10839678660727685</v>
      </c>
      <c r="AE996" s="1009">
        <v>0</v>
      </c>
      <c r="AF996" s="1009">
        <v>14.028605651470917</v>
      </c>
      <c r="AG996" s="1013">
        <f t="shared" si="56"/>
        <v>6.0666944562311222</v>
      </c>
      <c r="AH996" s="1014">
        <v>202512</v>
      </c>
      <c r="AI996" t="s">
        <v>2192</v>
      </c>
      <c r="AJ996" s="931" t="s">
        <v>2195</v>
      </c>
      <c r="AK996" s="262"/>
      <c r="AL996" s="262"/>
    </row>
    <row r="997" spans="3:38" ht="15.75" hidden="1">
      <c r="C997" s="1025">
        <v>46005</v>
      </c>
      <c r="D997" s="1004">
        <v>332330</v>
      </c>
      <c r="E997" s="1004">
        <v>0</v>
      </c>
      <c r="F997" s="1004">
        <v>22528.309999999998</v>
      </c>
      <c r="G997" s="1004">
        <v>5115</v>
      </c>
      <c r="H997" s="1004">
        <v>2292</v>
      </c>
      <c r="I997" s="1029">
        <v>149582</v>
      </c>
      <c r="J997" s="1004">
        <v>164053</v>
      </c>
      <c r="K997" s="1000">
        <v>49815.07</v>
      </c>
      <c r="L997" s="1004">
        <v>1200</v>
      </c>
      <c r="M997" s="1004">
        <v>439777</v>
      </c>
      <c r="N997" s="1004">
        <v>7062</v>
      </c>
      <c r="O997" s="1004">
        <v>5012</v>
      </c>
      <c r="P997" s="1004">
        <v>0</v>
      </c>
      <c r="Q997" s="337">
        <v>0</v>
      </c>
      <c r="R997" s="919">
        <f t="shared" si="55"/>
        <v>136026.117</v>
      </c>
      <c r="S997" s="1023">
        <v>12.807131307925593</v>
      </c>
      <c r="T997" s="1015">
        <v>4.7100000000000001E-4</v>
      </c>
      <c r="U997" s="1008">
        <v>3.4079575927305102E-3</v>
      </c>
      <c r="V997" s="1015">
        <v>3.2613311999999998E-2</v>
      </c>
      <c r="W997" s="1015">
        <v>0.29485</v>
      </c>
      <c r="X997" s="1010">
        <v>1.18</v>
      </c>
      <c r="Y997" s="1023">
        <v>10.210000000000001</v>
      </c>
      <c r="Z997" s="1028"/>
      <c r="AA997" s="1028">
        <v>0</v>
      </c>
      <c r="AB997" s="1028">
        <v>0</v>
      </c>
      <c r="AC997" s="1016">
        <v>0.23219792324442792</v>
      </c>
      <c r="AD997" s="1016">
        <v>0.10060966113261616</v>
      </c>
      <c r="AE997" s="1023">
        <v>0</v>
      </c>
      <c r="AF997" s="1023">
        <v>14.016571003010077</v>
      </c>
      <c r="AG997" s="1013">
        <f t="shared" si="56"/>
        <v>6.0274806935933816</v>
      </c>
      <c r="AH997" s="1014">
        <v>202512</v>
      </c>
      <c r="AI997" t="s">
        <v>2192</v>
      </c>
      <c r="AJ997" s="931" t="s">
        <v>2195</v>
      </c>
      <c r="AK997" s="262"/>
      <c r="AL997" s="262"/>
    </row>
    <row r="998" spans="3:38" ht="15.75" hidden="1">
      <c r="C998" s="1025">
        <v>46006</v>
      </c>
      <c r="D998" s="1001">
        <v>328362</v>
      </c>
      <c r="E998" s="1001">
        <v>0</v>
      </c>
      <c r="F998" s="1001">
        <v>22524.63</v>
      </c>
      <c r="G998" s="1001">
        <v>5133</v>
      </c>
      <c r="H998" s="1001">
        <v>2312</v>
      </c>
      <c r="I998" s="1029">
        <v>147524</v>
      </c>
      <c r="J998" s="1001">
        <v>165160</v>
      </c>
      <c r="K998" s="1000">
        <v>49815.07</v>
      </c>
      <c r="L998" s="1001">
        <v>1166</v>
      </c>
      <c r="M998" s="1001">
        <v>433361</v>
      </c>
      <c r="N998" s="1001">
        <v>7102</v>
      </c>
      <c r="O998" s="1001">
        <v>5032</v>
      </c>
      <c r="P998" s="1001">
        <v>0</v>
      </c>
      <c r="Q998" s="337">
        <v>0</v>
      </c>
      <c r="R998" s="919">
        <f t="shared" si="55"/>
        <v>135560.25449999998</v>
      </c>
      <c r="S998" s="1030">
        <v>12.74256895853568</v>
      </c>
      <c r="T998" s="1007">
        <v>2.1459999999999999E-3</v>
      </c>
      <c r="U998" s="1008">
        <v>3.4079575927305102E-3</v>
      </c>
      <c r="V998" s="1007">
        <v>0.03</v>
      </c>
      <c r="W998" s="1009">
        <v>0.29114999999999996</v>
      </c>
      <c r="X998" s="1010">
        <v>1.18</v>
      </c>
      <c r="Y998" s="1009">
        <v>10.09</v>
      </c>
      <c r="Z998" s="1009"/>
      <c r="AA998" s="1026">
        <v>0</v>
      </c>
      <c r="AB998" s="1026">
        <v>0</v>
      </c>
      <c r="AC998" s="1009">
        <v>0.22455238186930654</v>
      </c>
      <c r="AD998" s="1009">
        <v>8.984926956763048E-2</v>
      </c>
      <c r="AE998" s="1009">
        <v>0</v>
      </c>
      <c r="AF998" s="1009">
        <v>14.017477141247129</v>
      </c>
      <c r="AG998" s="1013">
        <f t="shared" si="56"/>
        <v>5.9848467161967678</v>
      </c>
      <c r="AH998" s="1014">
        <v>202512</v>
      </c>
      <c r="AI998" t="s">
        <v>2192</v>
      </c>
      <c r="AJ998" s="931" t="s">
        <v>2194</v>
      </c>
      <c r="AK998" s="262"/>
      <c r="AL998" s="262"/>
    </row>
    <row r="999" spans="3:38" ht="15.75" hidden="1">
      <c r="C999" s="1025">
        <v>46007</v>
      </c>
      <c r="D999" s="1004">
        <v>343687</v>
      </c>
      <c r="E999" s="1004">
        <v>0</v>
      </c>
      <c r="F999" s="1004">
        <v>22519.25</v>
      </c>
      <c r="G999" s="1004">
        <v>5108</v>
      </c>
      <c r="H999" s="1004">
        <v>2280</v>
      </c>
      <c r="I999" s="1029">
        <v>147524</v>
      </c>
      <c r="J999" s="1004">
        <v>163914</v>
      </c>
      <c r="K999" s="1000">
        <v>49815.07</v>
      </c>
      <c r="L999" s="1004">
        <v>971</v>
      </c>
      <c r="M999" s="1004">
        <v>360775</v>
      </c>
      <c r="N999" s="1004">
        <v>7469</v>
      </c>
      <c r="O999" s="1004">
        <v>5044</v>
      </c>
      <c r="P999" s="1004">
        <v>0</v>
      </c>
      <c r="Q999" s="337">
        <v>0</v>
      </c>
      <c r="R999" s="919">
        <f t="shared" si="55"/>
        <v>132730.97099999999</v>
      </c>
      <c r="S999" s="1023">
        <v>12.811661999110852</v>
      </c>
      <c r="T999" s="1015">
        <v>1.31E-3</v>
      </c>
      <c r="U999" s="1008">
        <v>3.4079575927305102E-3</v>
      </c>
      <c r="V999" s="1015">
        <v>3.1E-2</v>
      </c>
      <c r="W999" s="1015">
        <v>0.28789999999999999</v>
      </c>
      <c r="X999" s="1010">
        <v>1.18</v>
      </c>
      <c r="Y999" s="1016">
        <v>10.210000000000001</v>
      </c>
      <c r="Z999" s="1009"/>
      <c r="AA999" s="1026">
        <v>0</v>
      </c>
      <c r="AB999" s="1026">
        <v>0</v>
      </c>
      <c r="AC999" s="1016">
        <v>0.22625139106377798</v>
      </c>
      <c r="AD999" s="1016">
        <v>8.4978776543479059E-2</v>
      </c>
      <c r="AE999" s="1016">
        <v>0</v>
      </c>
      <c r="AF999" s="1016">
        <v>14.016882488029063</v>
      </c>
      <c r="AG999" s="1013">
        <f t="shared" si="56"/>
        <v>6.013229570388253</v>
      </c>
      <c r="AH999" s="1014">
        <v>202512</v>
      </c>
      <c r="AI999" t="s">
        <v>2192</v>
      </c>
      <c r="AJ999" s="931" t="s">
        <v>2196</v>
      </c>
      <c r="AK999" s="262"/>
      <c r="AL999" s="262"/>
    </row>
    <row r="1000" spans="3:38" ht="15.75" hidden="1">
      <c r="C1000" s="1025">
        <v>46008</v>
      </c>
      <c r="D1000" s="1001">
        <v>335357</v>
      </c>
      <c r="E1000" s="1001">
        <v>0</v>
      </c>
      <c r="F1000" s="1001">
        <v>22476.79</v>
      </c>
      <c r="G1000" s="1001">
        <v>3949</v>
      </c>
      <c r="H1000" s="1001">
        <v>2292</v>
      </c>
      <c r="I1000" s="1029">
        <v>147524</v>
      </c>
      <c r="J1000" s="1001">
        <v>164235</v>
      </c>
      <c r="K1000" s="1000">
        <v>49815.07</v>
      </c>
      <c r="L1000" s="1001">
        <v>794</v>
      </c>
      <c r="M1000" s="1001">
        <v>339153</v>
      </c>
      <c r="N1000" s="1001">
        <v>7450</v>
      </c>
      <c r="O1000" s="1001">
        <v>5036</v>
      </c>
      <c r="P1000" s="1001">
        <v>0</v>
      </c>
      <c r="Q1000" s="751"/>
      <c r="R1000" s="919">
        <f t="shared" si="55"/>
        <v>131060.68524999999</v>
      </c>
      <c r="S1000" s="1030">
        <v>12.763806573466573</v>
      </c>
      <c r="T1000" s="1007">
        <v>-8.4999999999999995E-4</v>
      </c>
      <c r="U1000" s="1031">
        <v>3.4079575927305102E-3</v>
      </c>
      <c r="V1000" s="1007">
        <v>3.1E-2</v>
      </c>
      <c r="W1000" s="1007">
        <v>0.29181000000000001</v>
      </c>
      <c r="X1000" s="1010">
        <v>1.18</v>
      </c>
      <c r="Y1000" s="1009">
        <v>10.06</v>
      </c>
      <c r="Z1000" s="1028"/>
      <c r="AA1000" s="1026">
        <v>0</v>
      </c>
      <c r="AB1000" s="1026">
        <v>0</v>
      </c>
      <c r="AC1000" s="1009">
        <v>0.21911555244699799</v>
      </c>
      <c r="AD1000" s="1009">
        <v>8.5799964320806901E-2</v>
      </c>
      <c r="AE1000" s="1009">
        <v>0</v>
      </c>
      <c r="AF1000" s="1009">
        <v>14.014843676995698</v>
      </c>
      <c r="AG1000" s="1013">
        <f t="shared" si="56"/>
        <v>5.9753535341755697</v>
      </c>
      <c r="AH1000" s="1014">
        <v>202512</v>
      </c>
      <c r="AI1000" t="s">
        <v>2192</v>
      </c>
      <c r="AJ1000" s="931" t="s">
        <v>2197</v>
      </c>
      <c r="AK1000" s="262"/>
      <c r="AL1000" s="262"/>
    </row>
    <row r="1001" spans="3:38" ht="15.75" hidden="1">
      <c r="C1001" s="1025">
        <v>46009</v>
      </c>
      <c r="D1001" s="1004">
        <v>322713</v>
      </c>
      <c r="E1001" s="1004">
        <v>0</v>
      </c>
      <c r="F1001" s="1004">
        <v>22462.510000000002</v>
      </c>
      <c r="G1001" s="1004">
        <v>4260</v>
      </c>
      <c r="H1001" s="1004">
        <v>2300</v>
      </c>
      <c r="I1001" s="1029">
        <v>147524</v>
      </c>
      <c r="J1001" s="1004">
        <v>164888</v>
      </c>
      <c r="K1001" s="1000">
        <v>49815.07</v>
      </c>
      <c r="L1001" s="1004">
        <v>793</v>
      </c>
      <c r="M1001" s="1004">
        <v>419489</v>
      </c>
      <c r="N1001" s="1004">
        <v>7594</v>
      </c>
      <c r="O1001" s="1004">
        <v>5000</v>
      </c>
      <c r="P1001" s="1004">
        <v>0</v>
      </c>
      <c r="Q1001" s="337">
        <v>0</v>
      </c>
      <c r="R1001" s="919">
        <f t="shared" si="55"/>
        <v>134228.77100000001</v>
      </c>
      <c r="S1001" s="1015">
        <v>12.660450180802899</v>
      </c>
      <c r="T1001" s="1015">
        <v>5.4970000000000001E-3</v>
      </c>
      <c r="U1001" s="1031">
        <v>3.4079575927305102E-3</v>
      </c>
      <c r="V1001" s="1015">
        <v>3.1E-2</v>
      </c>
      <c r="W1001" s="1015">
        <v>0.29181000000000001</v>
      </c>
      <c r="X1001" s="1010">
        <v>1.18</v>
      </c>
      <c r="Y1001" s="1016">
        <v>10.08</v>
      </c>
      <c r="Z1001" s="1028"/>
      <c r="AA1001" s="1026">
        <v>0</v>
      </c>
      <c r="AB1001" s="1026">
        <v>0</v>
      </c>
      <c r="AC1001" s="1016">
        <v>0.21968188884515513</v>
      </c>
      <c r="AD1001" s="1016">
        <v>9.4974613970952609E-2</v>
      </c>
      <c r="AE1001" s="1016">
        <v>0</v>
      </c>
      <c r="AF1001" s="1016">
        <v>14.300475439406252</v>
      </c>
      <c r="AG1001" s="1013">
        <f t="shared" si="56"/>
        <v>6.0315336061638067</v>
      </c>
      <c r="AH1001" s="1014">
        <v>202512</v>
      </c>
      <c r="AI1001" t="s">
        <v>2192</v>
      </c>
      <c r="AJ1001" s="931" t="s">
        <v>2198</v>
      </c>
      <c r="AK1001" s="262"/>
    </row>
    <row r="1002" spans="3:38" ht="15.75" hidden="1">
      <c r="C1002" s="1025">
        <v>46010</v>
      </c>
      <c r="D1002" s="1001">
        <v>344143</v>
      </c>
      <c r="E1002" s="1001">
        <v>0</v>
      </c>
      <c r="F1002" s="1001">
        <v>22443.69</v>
      </c>
      <c r="G1002" s="1001">
        <v>4542</v>
      </c>
      <c r="H1002" s="1001">
        <v>2256</v>
      </c>
      <c r="I1002" s="1029">
        <v>147524</v>
      </c>
      <c r="J1002" s="1001">
        <v>163040</v>
      </c>
      <c r="K1002" s="1000">
        <v>49815.07</v>
      </c>
      <c r="L1002" s="1001">
        <v>437</v>
      </c>
      <c r="M1002" s="1001">
        <v>243799</v>
      </c>
      <c r="N1002" s="1001">
        <v>7474</v>
      </c>
      <c r="O1002" s="1001">
        <v>5072</v>
      </c>
      <c r="P1002" s="1001">
        <v>0</v>
      </c>
      <c r="Q1002" s="337">
        <v>0</v>
      </c>
      <c r="R1002" s="919">
        <f t="shared" si="55"/>
        <v>127361.05950000002</v>
      </c>
      <c r="S1002" s="1007">
        <v>12.574650216482093</v>
      </c>
      <c r="T1002" s="1007">
        <v>1.1350000000000001E-2</v>
      </c>
      <c r="U1002" s="1031">
        <v>3.4079575927305102E-3</v>
      </c>
      <c r="V1002" s="1007">
        <v>2.1999999999999999E-2</v>
      </c>
      <c r="W1002" s="1007">
        <v>0.28077999999999997</v>
      </c>
      <c r="X1002" s="1010">
        <v>1.18</v>
      </c>
      <c r="Y1002" s="1007">
        <v>10.09</v>
      </c>
      <c r="Z1002" s="1007"/>
      <c r="AA1002" s="1007">
        <v>0</v>
      </c>
      <c r="AB1002" s="1007">
        <v>0</v>
      </c>
      <c r="AC1002" s="1009">
        <v>0.22738406386009222</v>
      </c>
      <c r="AD1002" s="1009">
        <v>0.11901559407272326</v>
      </c>
      <c r="AE1002" s="1007">
        <v>0</v>
      </c>
      <c r="AF1002" s="1007">
        <v>14.301041775804409</v>
      </c>
      <c r="AG1002" s="1013">
        <f t="shared" si="56"/>
        <v>6.0282341756874622</v>
      </c>
      <c r="AH1002" s="1014">
        <v>202512</v>
      </c>
      <c r="AI1002" t="s">
        <v>2192</v>
      </c>
      <c r="AJ1002" s="931" t="s">
        <v>2198</v>
      </c>
      <c r="AK1002" s="262"/>
      <c r="AL1002" s="262"/>
    </row>
    <row r="1003" spans="3:38" ht="15.75" hidden="1">
      <c r="C1003" s="1033">
        <v>46011</v>
      </c>
      <c r="D1003" s="1041">
        <v>342149</v>
      </c>
      <c r="E1003" s="1041">
        <v>0</v>
      </c>
      <c r="F1003" s="1041">
        <v>22434.880000000001</v>
      </c>
      <c r="G1003" s="1041">
        <v>4608</v>
      </c>
      <c r="H1003" s="1041">
        <v>2212</v>
      </c>
      <c r="I1003" s="1029">
        <v>147524</v>
      </c>
      <c r="J1003" s="1041">
        <v>162011</v>
      </c>
      <c r="K1003" s="1034">
        <v>49815.07</v>
      </c>
      <c r="L1003" s="1041">
        <v>155</v>
      </c>
      <c r="M1003" s="1041">
        <v>183472</v>
      </c>
      <c r="N1003" s="1041">
        <v>7324</v>
      </c>
      <c r="O1003" s="1041">
        <v>4909</v>
      </c>
      <c r="P1003" s="1041">
        <v>0</v>
      </c>
      <c r="Q1003" s="337">
        <v>0</v>
      </c>
      <c r="R1003" s="1035">
        <f t="shared" si="55"/>
        <v>124455.21550000002</v>
      </c>
      <c r="S1003" s="1015">
        <v>12.114785061178489</v>
      </c>
      <c r="T1003" s="1042">
        <v>1.5067000000000001E-2</v>
      </c>
      <c r="U1003" s="1036">
        <v>3.4079575927305102E-3</v>
      </c>
      <c r="V1003" s="1042">
        <v>0.03</v>
      </c>
      <c r="W1003" s="1042">
        <v>0.27582999999999996</v>
      </c>
      <c r="X1003" s="1037">
        <v>1.18</v>
      </c>
      <c r="Y1003" s="1042">
        <v>10.050000000000001</v>
      </c>
      <c r="Z1003" s="1038"/>
      <c r="AA1003" s="1043">
        <v>0</v>
      </c>
      <c r="AB1003" s="1043">
        <v>0</v>
      </c>
      <c r="AC1003" s="1044">
        <v>0.24295831480941363</v>
      </c>
      <c r="AD1003" s="1044">
        <v>9.4040158913993324E-2</v>
      </c>
      <c r="AE1003" s="1044">
        <v>0</v>
      </c>
      <c r="AF1003" s="1044">
        <v>14.301976230861369</v>
      </c>
      <c r="AG1003" s="1039">
        <f t="shared" si="56"/>
        <v>5.9963185607954479</v>
      </c>
      <c r="AH1003" s="1040">
        <v>202512</v>
      </c>
      <c r="AI1003" t="s">
        <v>2192</v>
      </c>
      <c r="AJ1003" s="931" t="s">
        <v>2198</v>
      </c>
      <c r="AK1003" s="262"/>
      <c r="AL1003" s="262"/>
    </row>
    <row r="1004" spans="3:38" ht="15.75" hidden="1">
      <c r="C1004" s="1032">
        <v>46012</v>
      </c>
      <c r="D1004" s="1001">
        <v>344525</v>
      </c>
      <c r="E1004" s="1001">
        <v>0</v>
      </c>
      <c r="F1004" s="1001">
        <v>22442.140000000003</v>
      </c>
      <c r="G1004" s="1001">
        <v>4570</v>
      </c>
      <c r="H1004" s="1001">
        <v>2202</v>
      </c>
      <c r="I1004" s="1029">
        <v>147524</v>
      </c>
      <c r="J1004" s="1001">
        <v>162236</v>
      </c>
      <c r="K1004" s="1000">
        <v>49815.07</v>
      </c>
      <c r="L1004" s="1001">
        <v>160</v>
      </c>
      <c r="M1004" s="1001">
        <v>221111</v>
      </c>
      <c r="N1004" s="1001">
        <v>7399</v>
      </c>
      <c r="O1004" s="1001">
        <v>5146</v>
      </c>
      <c r="P1004" s="1001">
        <v>0</v>
      </c>
      <c r="Q1004" s="1011">
        <v>0</v>
      </c>
      <c r="R1004" s="1046">
        <f t="shared" si="55"/>
        <v>126169.11175000001</v>
      </c>
      <c r="S1004" s="1007">
        <v>12.506973016902311</v>
      </c>
      <c r="T1004" s="1007">
        <v>1.6983999999999999E-2</v>
      </c>
      <c r="U1004" s="1036">
        <v>3.4079575927305102E-3</v>
      </c>
      <c r="V1004" s="1007">
        <v>2.9781312000000001E-2</v>
      </c>
      <c r="W1004" s="1007">
        <v>0.27464999999999995</v>
      </c>
      <c r="X1004" s="1010">
        <v>1.18</v>
      </c>
      <c r="Y1004" s="1007">
        <v>10.08</v>
      </c>
      <c r="Z1004" s="1016"/>
      <c r="AA1004" s="1026">
        <v>0</v>
      </c>
      <c r="AB1004" s="1026">
        <v>0</v>
      </c>
      <c r="AC1004" s="1009">
        <v>0.23871079182323507</v>
      </c>
      <c r="AD1004" s="1009">
        <v>9.1689862861641186E-2</v>
      </c>
      <c r="AE1004" s="1007">
        <v>0</v>
      </c>
      <c r="AF1004" s="1007">
        <v>14.302089498141001</v>
      </c>
      <c r="AG1004" s="1039">
        <f t="shared" si="56"/>
        <v>6.013430213988487</v>
      </c>
      <c r="AH1004" s="1045">
        <v>202512</v>
      </c>
      <c r="AI1004" t="s">
        <v>2192</v>
      </c>
      <c r="AJ1004" s="931" t="s">
        <v>2213</v>
      </c>
      <c r="AK1004" s="262"/>
      <c r="AL1004" s="262"/>
    </row>
    <row r="1005" spans="3:38" ht="15.75" hidden="1">
      <c r="C1005" s="1032">
        <v>46013</v>
      </c>
      <c r="D1005" s="1004">
        <v>347501</v>
      </c>
      <c r="E1005" s="1004">
        <v>0</v>
      </c>
      <c r="F1005" s="1004">
        <v>22421.360000000001</v>
      </c>
      <c r="G1005" s="1004">
        <v>4424</v>
      </c>
      <c r="H1005" s="1004">
        <v>2349</v>
      </c>
      <c r="I1005" s="1029">
        <v>147524</v>
      </c>
      <c r="J1005" s="1004">
        <v>163152</v>
      </c>
      <c r="K1005" s="1000">
        <v>49815.07</v>
      </c>
      <c r="L1005" s="1004">
        <v>151</v>
      </c>
      <c r="M1005" s="1004">
        <v>432793</v>
      </c>
      <c r="N1005" s="1004">
        <v>7417</v>
      </c>
      <c r="O1005" s="1004">
        <v>5056</v>
      </c>
      <c r="P1005" s="1004">
        <v>0</v>
      </c>
      <c r="Q1005" s="1011">
        <v>0</v>
      </c>
      <c r="R1005" s="1046">
        <f t="shared" si="55"/>
        <v>134984.86250000002</v>
      </c>
      <c r="S1005" s="1015">
        <v>12.438729480924376</v>
      </c>
      <c r="T1005" s="1015">
        <v>1.5273E-2</v>
      </c>
      <c r="U1005" s="1036">
        <v>3.4079575927305102E-3</v>
      </c>
      <c r="V1005" s="1015">
        <v>2.3E-2</v>
      </c>
      <c r="W1005" s="1015">
        <v>0.29374</v>
      </c>
      <c r="X1005" s="1010">
        <v>1.18</v>
      </c>
      <c r="Y1005" s="1015">
        <v>10.039999999999999</v>
      </c>
      <c r="Z1005" s="1016"/>
      <c r="AA1005" s="1026">
        <v>0</v>
      </c>
      <c r="AB1005" s="1026">
        <v>0</v>
      </c>
      <c r="AC1005" s="1016">
        <v>0.23474643703613507</v>
      </c>
      <c r="AD1005" s="1016">
        <v>0.13068212387476036</v>
      </c>
      <c r="AE1005" s="1015">
        <v>0</v>
      </c>
      <c r="AF1005" s="1015">
        <v>14.301749696302107</v>
      </c>
      <c r="AG1005" s="1039">
        <f t="shared" si="56"/>
        <v>6.0313745236271865</v>
      </c>
      <c r="AH1005" s="1045">
        <v>202512</v>
      </c>
      <c r="AI1005" t="s">
        <v>2192</v>
      </c>
      <c r="AJ1005" s="931" t="s">
        <v>2213</v>
      </c>
      <c r="AK1005" s="262"/>
      <c r="AL1005" s="262"/>
    </row>
    <row r="1006" spans="3:38" ht="15.75" hidden="1">
      <c r="C1006" s="1032">
        <v>46014</v>
      </c>
      <c r="D1006" s="1001">
        <v>345646</v>
      </c>
      <c r="E1006" s="1001">
        <v>0</v>
      </c>
      <c r="F1006" s="1001">
        <v>22435.14</v>
      </c>
      <c r="G1006" s="1001">
        <v>5009</v>
      </c>
      <c r="H1006" s="1001">
        <v>2279</v>
      </c>
      <c r="I1006" s="1029">
        <v>147524</v>
      </c>
      <c r="J1006" s="1001">
        <v>163340</v>
      </c>
      <c r="K1006" s="1000">
        <v>49815.07</v>
      </c>
      <c r="L1006" s="1001">
        <v>165</v>
      </c>
      <c r="M1006" s="1001">
        <v>420527</v>
      </c>
      <c r="N1006" s="1001">
        <v>7448</v>
      </c>
      <c r="O1006" s="1001">
        <v>5058</v>
      </c>
      <c r="P1006" s="1047">
        <v>0</v>
      </c>
      <c r="Q1006" s="1011">
        <v>0</v>
      </c>
      <c r="R1006" s="1046">
        <f t="shared" si="55"/>
        <v>134728.57725</v>
      </c>
      <c r="S1006" s="1007">
        <v>12.331691901672677</v>
      </c>
      <c r="T1006" s="1007">
        <v>9.214E-3</v>
      </c>
      <c r="U1006" s="1036">
        <v>3.4079575927305102E-3</v>
      </c>
      <c r="V1006" s="1007">
        <v>2.9000000000000001E-2</v>
      </c>
      <c r="W1006" s="1007">
        <v>0.28782999999999997</v>
      </c>
      <c r="X1006" s="1010">
        <v>1.18</v>
      </c>
      <c r="Y1006" s="1007">
        <v>9.81</v>
      </c>
      <c r="Z1006" s="1028"/>
      <c r="AA1006" s="1026">
        <v>0</v>
      </c>
      <c r="AB1006" s="1026">
        <v>0</v>
      </c>
      <c r="AC1006" s="1009">
        <v>0.22851673665640654</v>
      </c>
      <c r="AD1006" s="1009">
        <v>9.1831446961180466E-2</v>
      </c>
      <c r="AE1006" s="1007">
        <v>0</v>
      </c>
      <c r="AF1006" s="1007">
        <v>14.302004547681276</v>
      </c>
      <c r="AG1006" s="1039">
        <f t="shared" si="56"/>
        <v>5.9477155313613306</v>
      </c>
      <c r="AH1006" s="1045">
        <v>202512</v>
      </c>
      <c r="AI1006" t="s">
        <v>2192</v>
      </c>
      <c r="AJ1006" s="931" t="s">
        <v>2214</v>
      </c>
      <c r="AL1006" s="262"/>
    </row>
    <row r="1007" spans="3:38" ht="15.75" hidden="1">
      <c r="C1007" s="1032">
        <v>46015</v>
      </c>
      <c r="D1007" s="1004">
        <v>339506</v>
      </c>
      <c r="E1007" s="1004">
        <v>0</v>
      </c>
      <c r="F1007" s="1004">
        <v>22387.63</v>
      </c>
      <c r="G1007" s="1004">
        <v>4908</v>
      </c>
      <c r="H1007" s="1004">
        <v>2269</v>
      </c>
      <c r="I1007" s="1029">
        <v>147524</v>
      </c>
      <c r="J1007" s="1004">
        <v>164059</v>
      </c>
      <c r="K1007" s="1000">
        <v>49815.07</v>
      </c>
      <c r="L1007" s="1004">
        <v>161</v>
      </c>
      <c r="M1007" s="1004">
        <v>423378</v>
      </c>
      <c r="N1007" s="1004">
        <v>5531</v>
      </c>
      <c r="O1007" s="1004">
        <v>5130</v>
      </c>
      <c r="P1007" s="1004">
        <v>0</v>
      </c>
      <c r="Q1007" s="1011">
        <v>0</v>
      </c>
      <c r="R1007" s="1046">
        <f t="shared" si="55"/>
        <v>134573.17025000002</v>
      </c>
      <c r="S1007" s="1015">
        <v>12.372184954140906</v>
      </c>
      <c r="T1007" s="1015">
        <v>9.6600000000000002E-3</v>
      </c>
      <c r="U1007" s="1031">
        <v>3.4079575927305102E-3</v>
      </c>
      <c r="V1007" s="1015">
        <v>2.8000000000000001E-2</v>
      </c>
      <c r="W1007" s="1015">
        <v>0.28445999999999999</v>
      </c>
      <c r="X1007" s="1010">
        <v>1.18</v>
      </c>
      <c r="Y1007" s="1015">
        <v>9.94</v>
      </c>
      <c r="Z1007" s="1028"/>
      <c r="AA1007" s="1026">
        <v>0</v>
      </c>
      <c r="AB1007" s="1026">
        <v>0</v>
      </c>
      <c r="AC1007" s="1016">
        <v>0.20982763551722086</v>
      </c>
      <c r="AD1007" s="1016">
        <v>8.8320161292606197E-2</v>
      </c>
      <c r="AE1007" s="1015">
        <v>0</v>
      </c>
      <c r="AF1007" s="1015">
        <v>14.302117814960907</v>
      </c>
      <c r="AG1007" s="1039">
        <f t="shared" si="56"/>
        <v>5.9755093131908241</v>
      </c>
      <c r="AH1007" s="1045">
        <v>202512</v>
      </c>
      <c r="AI1007" t="s">
        <v>2192</v>
      </c>
      <c r="AJ1007" s="931" t="s">
        <v>2214</v>
      </c>
      <c r="AK1007" s="262"/>
      <c r="AL1007" s="262"/>
    </row>
    <row r="1008" spans="3:38" ht="15.75" hidden="1">
      <c r="C1008" s="1032">
        <v>46016</v>
      </c>
      <c r="D1008" s="1001">
        <v>336479</v>
      </c>
      <c r="E1008" s="1001">
        <v>0</v>
      </c>
      <c r="F1008" s="1001">
        <v>20425.129999999997</v>
      </c>
      <c r="G1008" s="1001">
        <v>4721</v>
      </c>
      <c r="H1008" s="1001">
        <v>2304</v>
      </c>
      <c r="I1008" s="1029">
        <v>147524</v>
      </c>
      <c r="J1008" s="1001">
        <v>162958</v>
      </c>
      <c r="K1008" s="1000">
        <v>49815.07</v>
      </c>
      <c r="L1008" s="1004">
        <v>161</v>
      </c>
      <c r="M1008" s="1001">
        <v>441861</v>
      </c>
      <c r="N1008" s="1001">
        <v>5533</v>
      </c>
      <c r="O1008" s="1001">
        <v>5152</v>
      </c>
      <c r="P1008" s="1001">
        <v>0</v>
      </c>
      <c r="Q1008" s="1011">
        <v>0</v>
      </c>
      <c r="R1008" s="1046">
        <f t="shared" si="55"/>
        <v>133514.46049999999</v>
      </c>
      <c r="S1008" s="1007">
        <v>12.728410548581754</v>
      </c>
      <c r="T1008" s="1007">
        <v>1.2945999999999999E-2</v>
      </c>
      <c r="U1008" s="1031">
        <v>3.4079575927305102E-3</v>
      </c>
      <c r="V1008" s="1007">
        <v>2.5999999999999999E-2</v>
      </c>
      <c r="W1008" s="1007">
        <v>0.29564999999999997</v>
      </c>
      <c r="X1008" s="1050">
        <v>1.18</v>
      </c>
      <c r="Y1008" s="1007">
        <v>9.6300000000000008</v>
      </c>
      <c r="Z1008" s="1028"/>
      <c r="AA1008" s="1026">
        <v>0</v>
      </c>
      <c r="AB1008" s="1026">
        <v>0</v>
      </c>
      <c r="AC1008" s="1009">
        <v>0.19198803897527092</v>
      </c>
      <c r="AD1008" s="1009">
        <v>8.8744913591224037E-2</v>
      </c>
      <c r="AE1008" s="1007">
        <v>0</v>
      </c>
      <c r="AF1008" s="1007">
        <v>14.44653359649098</v>
      </c>
      <c r="AG1008" s="1013">
        <f t="shared" si="56"/>
        <v>5.9391643599881645</v>
      </c>
      <c r="AH1008" s="1045">
        <v>202512</v>
      </c>
      <c r="AI1008" t="s">
        <v>2192</v>
      </c>
      <c r="AJ1008" s="931" t="s">
        <v>2215</v>
      </c>
      <c r="AK1008" s="262"/>
      <c r="AL1008" s="262"/>
    </row>
    <row r="1009" spans="3:38" ht="15.75" hidden="1">
      <c r="C1009" s="1032">
        <v>46017</v>
      </c>
      <c r="D1009" s="1004">
        <v>343578</v>
      </c>
      <c r="E1009" s="1004">
        <v>0</v>
      </c>
      <c r="F1009" s="1004">
        <v>22350.63</v>
      </c>
      <c r="G1009" s="1004">
        <v>4610</v>
      </c>
      <c r="H1009" s="1004">
        <v>2232</v>
      </c>
      <c r="I1009" s="1029">
        <v>163641</v>
      </c>
      <c r="J1009" s="1004">
        <v>157887</v>
      </c>
      <c r="K1009" s="1000">
        <v>49815.07</v>
      </c>
      <c r="L1009" s="1004">
        <v>161</v>
      </c>
      <c r="M1009" s="1004">
        <v>462131</v>
      </c>
      <c r="N1009" s="1004">
        <v>5540</v>
      </c>
      <c r="O1009" s="1004">
        <v>5016</v>
      </c>
      <c r="P1009" s="1004">
        <v>0</v>
      </c>
      <c r="Q1009" s="1011">
        <v>0</v>
      </c>
      <c r="R1009" s="1051">
        <f t="shared" si="55"/>
        <v>137604.56625</v>
      </c>
      <c r="S1009" s="1015">
        <v>12.854137228972634</v>
      </c>
      <c r="T1009" s="1015">
        <v>1.6874E-2</v>
      </c>
      <c r="U1009" s="1031">
        <v>3.4079575927305102E-3</v>
      </c>
      <c r="V1009" s="1015">
        <v>2.8000000000000001E-2</v>
      </c>
      <c r="W1009" s="1015">
        <v>0.29283999999999999</v>
      </c>
      <c r="X1009" s="1010">
        <v>12.148</v>
      </c>
      <c r="Y1009" s="1015">
        <v>9.52</v>
      </c>
      <c r="Z1009" s="1016"/>
      <c r="AA1009" s="1016"/>
      <c r="AB1009" s="1026">
        <v>0</v>
      </c>
      <c r="AC1009" s="1016">
        <v>0.18632467499369951</v>
      </c>
      <c r="AD1009" s="1016">
        <v>0.11213460683511398</v>
      </c>
      <c r="AE1009" s="1015">
        <v>0</v>
      </c>
      <c r="AF1009" s="1015">
        <v>14.448940526183147</v>
      </c>
      <c r="AG1009" s="1013">
        <f t="shared" si="56"/>
        <v>8.1162345106968488</v>
      </c>
      <c r="AH1009" s="1045">
        <v>202512</v>
      </c>
      <c r="AI1009" t="s">
        <v>2192</v>
      </c>
      <c r="AJ1009" s="931" t="s">
        <v>2216</v>
      </c>
      <c r="AK1009" s="262"/>
      <c r="AL1009" s="262"/>
    </row>
    <row r="1010" spans="3:38" ht="15.75" hidden="1">
      <c r="C1010" s="1032">
        <v>46018</v>
      </c>
      <c r="D1010" s="1001">
        <v>343651</v>
      </c>
      <c r="E1010" s="1001">
        <v>0</v>
      </c>
      <c r="F1010" s="1001">
        <v>22389.4</v>
      </c>
      <c r="G1010" s="1001">
        <v>4435</v>
      </c>
      <c r="H1010" s="1001">
        <v>2211</v>
      </c>
      <c r="I1010" s="1029">
        <v>171105</v>
      </c>
      <c r="J1010" s="1001">
        <v>161253</v>
      </c>
      <c r="K1010" s="1000">
        <v>49815.07</v>
      </c>
      <c r="L1010" s="1004">
        <v>161</v>
      </c>
      <c r="M1010" s="1001">
        <v>461875</v>
      </c>
      <c r="N1010" s="1001">
        <v>5502</v>
      </c>
      <c r="O1010" s="1001">
        <v>5338</v>
      </c>
      <c r="P1010" s="1001">
        <v>0</v>
      </c>
      <c r="Q1010" s="1011">
        <v>0</v>
      </c>
      <c r="R1010" s="1051">
        <f t="shared" si="55"/>
        <v>140007.68049999999</v>
      </c>
      <c r="S1010" s="1007">
        <v>12.735489753558715</v>
      </c>
      <c r="T1010" s="1007">
        <v>1.8006000000000001E-2</v>
      </c>
      <c r="U1010" s="1031">
        <v>3.4079575927305102E-3</v>
      </c>
      <c r="V1010" s="1007">
        <v>2.8000000000000001E-2</v>
      </c>
      <c r="W1010" s="1007">
        <v>0.29160000000000003</v>
      </c>
      <c r="X1010" s="1010">
        <v>12.14</v>
      </c>
      <c r="Y1010" s="1007">
        <v>9.08</v>
      </c>
      <c r="Z1010" s="1016"/>
      <c r="AA1010" s="1016"/>
      <c r="AB1010" s="1026">
        <v>0</v>
      </c>
      <c r="AC1010" s="1009">
        <v>0.19340387997066377</v>
      </c>
      <c r="AD1010" s="1009">
        <v>9.4436594392703313E-2</v>
      </c>
      <c r="AE1010" s="1007">
        <v>0</v>
      </c>
      <c r="AF1010" s="1007">
        <v>14.085182657646815</v>
      </c>
      <c r="AG1010" s="1013">
        <f t="shared" si="56"/>
        <v>7.9276903819603177</v>
      </c>
      <c r="AH1010" s="1045">
        <v>202512</v>
      </c>
      <c r="AI1010" t="s">
        <v>2192</v>
      </c>
      <c r="AJ1010" s="931" t="s">
        <v>2216</v>
      </c>
      <c r="AK1010" s="262"/>
      <c r="AL1010" s="262"/>
    </row>
    <row r="1011" spans="3:38" ht="15.75" hidden="1">
      <c r="C1011" s="1032">
        <v>46019</v>
      </c>
      <c r="D1011" s="1004">
        <v>345777</v>
      </c>
      <c r="E1011" s="1004">
        <v>0</v>
      </c>
      <c r="F1011" s="1004">
        <v>22354.55</v>
      </c>
      <c r="G1011" s="1004">
        <v>4467</v>
      </c>
      <c r="H1011" s="1004">
        <v>2213</v>
      </c>
      <c r="I1011" s="1029">
        <v>170956</v>
      </c>
      <c r="J1011" s="1004">
        <v>160494</v>
      </c>
      <c r="K1011" s="1004">
        <v>13510</v>
      </c>
      <c r="L1011" s="1004">
        <v>157</v>
      </c>
      <c r="M1011" s="1004">
        <v>467699</v>
      </c>
      <c r="N1011" s="1004">
        <v>2949</v>
      </c>
      <c r="O1011" s="1004">
        <v>5131</v>
      </c>
      <c r="P1011" s="1004">
        <v>0</v>
      </c>
      <c r="Q1011" s="1011">
        <v>0</v>
      </c>
      <c r="R1011" s="1051">
        <f t="shared" si="55"/>
        <v>130628.42849999999</v>
      </c>
      <c r="S1011" s="1015">
        <v>13.386776611439428</v>
      </c>
      <c r="T1011" s="1015">
        <v>1.5528E-2</v>
      </c>
      <c r="U1011" s="1031">
        <v>3.4079575927305102E-3</v>
      </c>
      <c r="V1011" s="1015">
        <v>2.7E-2</v>
      </c>
      <c r="W1011" s="1015">
        <v>0.29191</v>
      </c>
      <c r="X1011" s="1010">
        <v>12.189</v>
      </c>
      <c r="Y1011" s="1015">
        <v>9.27</v>
      </c>
      <c r="Z1011" s="1026">
        <v>0</v>
      </c>
      <c r="AA1011" s="1026">
        <v>0</v>
      </c>
      <c r="AB1011" s="1026">
        <v>0</v>
      </c>
      <c r="AC1011" s="1016">
        <v>0.17641378802594954</v>
      </c>
      <c r="AD1011" s="1016">
        <v>8.4667291524492636E-2</v>
      </c>
      <c r="AE1011" s="1015">
        <v>0</v>
      </c>
      <c r="AF1011" s="1015">
        <v>12.708305606447173</v>
      </c>
      <c r="AG1011" s="1013">
        <f t="shared" si="56"/>
        <v>7.7652357325881862</v>
      </c>
      <c r="AH1011" s="1045">
        <v>202512</v>
      </c>
      <c r="AJ1011" s="931" t="s">
        <v>2217</v>
      </c>
      <c r="AK1011" s="262"/>
      <c r="AL1011" s="262"/>
    </row>
    <row r="1012" spans="3:38" ht="15.75" hidden="1">
      <c r="C1012" s="1032">
        <v>46020</v>
      </c>
      <c r="D1012" s="1001">
        <v>344722</v>
      </c>
      <c r="E1012" s="1001">
        <v>0</v>
      </c>
      <c r="F1012" s="1001">
        <v>22335.83</v>
      </c>
      <c r="G1012" s="1001">
        <v>4518</v>
      </c>
      <c r="H1012" s="1001">
        <v>2171</v>
      </c>
      <c r="I1012" s="1029">
        <v>169907</v>
      </c>
      <c r="J1012" s="1001">
        <v>160484</v>
      </c>
      <c r="K1012" s="1001">
        <v>21779</v>
      </c>
      <c r="L1012" s="1001">
        <v>163</v>
      </c>
      <c r="M1012" s="1001">
        <v>466127</v>
      </c>
      <c r="N1012" s="1001">
        <v>3367</v>
      </c>
      <c r="O1012" s="1001">
        <v>5145</v>
      </c>
      <c r="P1012" s="1001">
        <v>0</v>
      </c>
      <c r="Q1012" s="1011">
        <v>0</v>
      </c>
      <c r="R1012" s="1051">
        <f t="shared" si="55"/>
        <v>132412.96325</v>
      </c>
      <c r="S1012" s="1007">
        <v>12.721614511803866</v>
      </c>
      <c r="T1012" s="1007">
        <v>1.2330000000000001E-2</v>
      </c>
      <c r="U1012" s="1031">
        <v>3.4079575927305102E-3</v>
      </c>
      <c r="V1012" s="1007">
        <v>0.03</v>
      </c>
      <c r="W1012" s="1007">
        <v>0.29176999999999997</v>
      </c>
      <c r="X1012" s="1010">
        <v>12.154999999999999</v>
      </c>
      <c r="Y1012" s="1007">
        <v>9.25</v>
      </c>
      <c r="Z1012" s="1026">
        <v>0</v>
      </c>
      <c r="AA1012" s="1026">
        <v>0</v>
      </c>
      <c r="AB1012" s="1026">
        <v>0</v>
      </c>
      <c r="AC1012" s="1009">
        <v>0.18972269338264236</v>
      </c>
      <c r="AD1012" s="1007">
        <v>0.10468728319934757</v>
      </c>
      <c r="AE1012" s="1007">
        <v>0</v>
      </c>
      <c r="AF1012" s="1007">
        <v>15.304221754680063</v>
      </c>
      <c r="AG1012" s="1013">
        <f t="shared" si="56"/>
        <v>8.1850540026326151</v>
      </c>
      <c r="AH1012" s="1045">
        <v>202512</v>
      </c>
      <c r="AJ1012" s="931" t="s">
        <v>2218</v>
      </c>
      <c r="AK1012" s="262"/>
      <c r="AL1012" s="262"/>
    </row>
    <row r="1013" spans="3:38" ht="15.75" hidden="1">
      <c r="C1013" s="1032">
        <v>46021</v>
      </c>
      <c r="D1013" s="1004">
        <v>341127</v>
      </c>
      <c r="E1013" s="1004">
        <v>0</v>
      </c>
      <c r="F1013" s="1004">
        <v>22317.489999999998</v>
      </c>
      <c r="G1013" s="1004">
        <v>4425</v>
      </c>
      <c r="H1013" s="1004">
        <v>2228</v>
      </c>
      <c r="I1013" s="1029">
        <v>168775</v>
      </c>
      <c r="J1013" s="1004">
        <v>159603</v>
      </c>
      <c r="K1013" s="1004">
        <v>21584.19</v>
      </c>
      <c r="L1013" s="1004">
        <v>157</v>
      </c>
      <c r="M1013" s="1004">
        <v>451854</v>
      </c>
      <c r="N1013" s="1004">
        <v>3376</v>
      </c>
      <c r="O1013" s="1004">
        <v>5145</v>
      </c>
      <c r="P1013" s="1004">
        <v>0</v>
      </c>
      <c r="Q1013" s="1011">
        <v>0</v>
      </c>
      <c r="R1013" s="1051">
        <f t="shared" si="55"/>
        <v>131229.93150000001</v>
      </c>
      <c r="S1013" s="1015">
        <v>12.641194743265547</v>
      </c>
      <c r="T1013" s="1015">
        <v>1.2619E-2</v>
      </c>
      <c r="U1013" s="1031">
        <v>3.4079575927305102E-3</v>
      </c>
      <c r="V1013" s="1015">
        <v>2.9000000000000001E-2</v>
      </c>
      <c r="W1013" s="1015">
        <v>0.29158000000000001</v>
      </c>
      <c r="X1013" s="1010">
        <v>12.004</v>
      </c>
      <c r="Y1013" s="1015">
        <v>9.94</v>
      </c>
      <c r="Z1013" s="1026">
        <v>0</v>
      </c>
      <c r="AA1013" s="1026">
        <v>0</v>
      </c>
      <c r="AB1013" s="1026">
        <v>0</v>
      </c>
      <c r="AC1013" s="1016">
        <v>0.22143753167944227</v>
      </c>
      <c r="AD1013" s="1016">
        <v>0.10468728319934757</v>
      </c>
      <c r="AE1013" s="1015">
        <v>0</v>
      </c>
      <c r="AF1013" s="1015">
        <v>15.180448934862817</v>
      </c>
      <c r="AG1013" s="1013">
        <f t="shared" si="56"/>
        <v>8.3137370072465853</v>
      </c>
      <c r="AH1013" s="1045">
        <v>202512</v>
      </c>
      <c r="AJ1013" s="931" t="s">
        <v>2220</v>
      </c>
      <c r="AK1013" s="262"/>
      <c r="AL1013" s="262"/>
    </row>
    <row r="1014" spans="3:38" ht="15.75" hidden="1">
      <c r="C1014" s="1032">
        <v>46022</v>
      </c>
      <c r="D1014" s="1001">
        <v>331818</v>
      </c>
      <c r="E1014" s="1001">
        <v>0</v>
      </c>
      <c r="F1014" s="1001">
        <v>22322.46</v>
      </c>
      <c r="G1014" s="1001">
        <v>4446</v>
      </c>
      <c r="H1014" s="1001">
        <v>2206</v>
      </c>
      <c r="I1014" s="1029">
        <v>175556</v>
      </c>
      <c r="J1014" s="1001">
        <v>157492</v>
      </c>
      <c r="K1014" s="1001">
        <v>14214.37</v>
      </c>
      <c r="L1014" s="1001">
        <v>163</v>
      </c>
      <c r="M1014" s="1001">
        <v>452125</v>
      </c>
      <c r="N1014" s="1001">
        <v>3526</v>
      </c>
      <c r="O1014" s="1001">
        <v>5091</v>
      </c>
      <c r="P1014" s="1001">
        <v>0</v>
      </c>
      <c r="Q1014" s="1011">
        <v>0</v>
      </c>
      <c r="R1014" s="1051">
        <f t="shared" si="55"/>
        <v>129921.69475</v>
      </c>
      <c r="S1014" s="1007">
        <v>13.057735164110126</v>
      </c>
      <c r="T1014" s="1007">
        <v>1.3462E-2</v>
      </c>
      <c r="U1014" s="1031">
        <v>3.4079575927305102E-3</v>
      </c>
      <c r="V1014" s="1007">
        <v>2.9499999999999998E-2</v>
      </c>
      <c r="W1014" s="1007">
        <v>0.29052</v>
      </c>
      <c r="X1014" s="1010">
        <v>12.035</v>
      </c>
      <c r="Y1014" s="1007">
        <v>9.9600000000000009</v>
      </c>
      <c r="Z1014" s="1026">
        <v>0</v>
      </c>
      <c r="AA1014" s="1026">
        <v>0</v>
      </c>
      <c r="AB1014" s="1026">
        <v>0</v>
      </c>
      <c r="AC1014" s="1009">
        <v>0.1514949865070353</v>
      </c>
      <c r="AD1014" s="1007">
        <v>9.9930057454827581E-2</v>
      </c>
      <c r="AE1014" s="1007">
        <v>0</v>
      </c>
      <c r="AF1014" s="1007">
        <v>15.107561440419994</v>
      </c>
      <c r="AG1014" s="1013">
        <f xml:space="preserve"> IF(C1014&lt; DATE(2024, 11, 1), S1014 * (2.31 / 100), S1014 * (2.925 / 100))+T1014*T$6+U1015*U$6+V1014*V$6+W1014*W$6+X1014*X$6+Y1014*Y$6+Z1014*Z$6+AA1014*AA$6+AB1014*AB$6+AC1014*AC$6+AD1014*AD$6+AE1014*AE$6+AF1014*AF$6</f>
        <v>8.314750980234237</v>
      </c>
      <c r="AH1014" s="1045">
        <v>202512</v>
      </c>
      <c r="AJ1014" s="931" t="s">
        <v>2219</v>
      </c>
      <c r="AK1014" s="262"/>
      <c r="AL1014" s="262"/>
    </row>
    <row r="1015" spans="3:38" ht="15.75" hidden="1">
      <c r="C1015" s="1032">
        <v>46023</v>
      </c>
      <c r="D1015" s="1004">
        <v>328463</v>
      </c>
      <c r="E1015" s="1004">
        <v>0</v>
      </c>
      <c r="F1015" s="1005">
        <v>20110.190000000002</v>
      </c>
      <c r="G1015" s="1005">
        <v>4519</v>
      </c>
      <c r="H1015" s="1004">
        <v>2213</v>
      </c>
      <c r="I1015" s="1004">
        <v>181305</v>
      </c>
      <c r="J1015" s="1004">
        <v>157209</v>
      </c>
      <c r="K1015" s="1004">
        <v>30776.97</v>
      </c>
      <c r="L1015" s="1004">
        <v>152</v>
      </c>
      <c r="M1015" s="1004">
        <v>440519</v>
      </c>
      <c r="N1015" s="1004">
        <v>3526</v>
      </c>
      <c r="O1015" s="1004">
        <v>5128</v>
      </c>
      <c r="P1015" s="1004">
        <v>0</v>
      </c>
      <c r="Q1015" s="337">
        <v>0</v>
      </c>
      <c r="R1015" s="1051">
        <f t="shared" si="55"/>
        <v>133083.24825</v>
      </c>
      <c r="S1015" s="1015">
        <v>13.87495858665088</v>
      </c>
      <c r="T1015" s="1015">
        <v>1.3462E-2</v>
      </c>
      <c r="U1015" s="1015">
        <v>3.4079575927305102E-3</v>
      </c>
      <c r="V1015" s="1048">
        <v>3.1E-2</v>
      </c>
      <c r="W1015" s="1015">
        <v>0.29170000000000001</v>
      </c>
      <c r="X1015" s="1010">
        <v>12.095000000000001</v>
      </c>
      <c r="Y1015" s="1015">
        <v>9.73</v>
      </c>
      <c r="Z1015" s="337">
        <v>0</v>
      </c>
      <c r="AA1015" s="751"/>
      <c r="AB1015" s="337">
        <v>0</v>
      </c>
      <c r="AC1015" s="1015">
        <v>0.1514949865070353</v>
      </c>
      <c r="AD1015" s="1016">
        <v>0.10171401710902259</v>
      </c>
      <c r="AE1015" s="1015">
        <v>0</v>
      </c>
      <c r="AF1015" s="1016">
        <v>15.728096231880773</v>
      </c>
      <c r="AG1015" s="1013">
        <f xml:space="preserve"> IF(C1015&lt; DATE(2024, 11, 1), S1015 * (2.31 / 100), S1015 * (2.925 / 100))+T1015*T$6+U1016*U$6+V1015*V$6+W1015*W$6+X1015*X$6+Y1015*Y$6+Z1015*Z$6+AA1015*AA$6+AB1015*AB$6+AC1015*AC$6+AD1015*AD$6+AE1015*AE$6+AF1015*AF$6</f>
        <v>8.3989892637535668</v>
      </c>
      <c r="AH1015" s="1045">
        <v>202601</v>
      </c>
      <c r="AI1015" s="1017"/>
      <c r="AJ1015" s="931" t="s">
        <v>2221</v>
      </c>
      <c r="AK1015" s="262"/>
      <c r="AL1015" s="262"/>
    </row>
    <row r="1016" spans="3:38" ht="15.75" hidden="1">
      <c r="C1016" s="1032">
        <v>46024</v>
      </c>
      <c r="D1016" s="1001">
        <v>329674</v>
      </c>
      <c r="E1016" s="1001">
        <v>0</v>
      </c>
      <c r="F1016" s="1002">
        <v>21833.65</v>
      </c>
      <c r="G1016" s="1002">
        <v>4434</v>
      </c>
      <c r="H1016" s="1001">
        <v>2266</v>
      </c>
      <c r="I1016" s="1001">
        <v>182093</v>
      </c>
      <c r="J1016" s="1001">
        <v>157178</v>
      </c>
      <c r="K1016" s="1001">
        <v>40883.08</v>
      </c>
      <c r="L1016" s="1001">
        <v>178</v>
      </c>
      <c r="M1016" s="1001">
        <v>436900</v>
      </c>
      <c r="N1016" s="1001">
        <v>3526</v>
      </c>
      <c r="O1016" s="1001">
        <v>5051</v>
      </c>
      <c r="P1016" s="1001">
        <v>0</v>
      </c>
      <c r="Q1016" s="337">
        <v>0</v>
      </c>
      <c r="R1016" s="1051">
        <f t="shared" si="55"/>
        <v>136842.372</v>
      </c>
      <c r="S1016" s="1007">
        <v>15.545650961214449</v>
      </c>
      <c r="T1016" s="1007">
        <v>1.3004999999999999E-2</v>
      </c>
      <c r="U1016" s="1007">
        <v>3.4079575927305102E-3</v>
      </c>
      <c r="V1016" s="1049">
        <v>2.7E-2</v>
      </c>
      <c r="W1016" s="1007">
        <v>0.28863</v>
      </c>
      <c r="X1016" s="1010">
        <v>12.159000000000001</v>
      </c>
      <c r="Y1016" s="1007">
        <v>9.9700000000000006</v>
      </c>
      <c r="Z1016" s="337">
        <v>0</v>
      </c>
      <c r="AA1016" s="337">
        <v>0</v>
      </c>
      <c r="AB1016" s="337">
        <v>0</v>
      </c>
      <c r="AC1016" s="1007">
        <v>0.1514949865070353</v>
      </c>
      <c r="AD1016" s="1007">
        <v>0.10392272906183543</v>
      </c>
      <c r="AE1016" s="1007">
        <v>0</v>
      </c>
      <c r="AF1016" s="1009">
        <v>15.691595851019546</v>
      </c>
      <c r="AG1016" s="1013">
        <f xml:space="preserve"> IF(C1016&lt; DATE(2024, 11, 1), S1016 * (2.31 / 100), S1016 * (2.925 / 100))+T1016*T$6+U1017*U$6+V1016*V$6+W1016*W$6+X1016*X$6+Y1016*Y$6+Z1016*Z$6+AA1016*AA$6+AB1016*AB$6+AC1016*AC$6+AD1016*AD$6+AE1016*AE$6+AF1016*AF$6</f>
        <v>8.5125420457442669</v>
      </c>
      <c r="AH1016" s="1045">
        <v>202601</v>
      </c>
      <c r="AI1016" s="1017"/>
      <c r="AJ1016" s="931" t="s">
        <v>2221</v>
      </c>
      <c r="AK1016" s="262"/>
      <c r="AL1016" s="262"/>
    </row>
    <row r="1017" spans="3:38" ht="15.75" hidden="1">
      <c r="C1017" s="1032">
        <v>46025</v>
      </c>
      <c r="D1017" s="1004">
        <v>305554</v>
      </c>
      <c r="E1017" s="1004">
        <v>0</v>
      </c>
      <c r="F1017" s="1005">
        <v>22419.03</v>
      </c>
      <c r="G1017" s="1005">
        <v>4562</v>
      </c>
      <c r="H1017" s="1005">
        <v>2110</v>
      </c>
      <c r="I1017" s="1004">
        <v>180484</v>
      </c>
      <c r="J1017" s="1004">
        <v>154516</v>
      </c>
      <c r="K1017" s="1004">
        <v>46858.75</v>
      </c>
      <c r="L1017" s="1004">
        <v>175</v>
      </c>
      <c r="M1017" s="1004">
        <v>437968</v>
      </c>
      <c r="N1017" s="1004">
        <v>3526</v>
      </c>
      <c r="O1017" s="1004">
        <v>5088</v>
      </c>
      <c r="P1017" s="1004">
        <v>0</v>
      </c>
      <c r="Q1017" s="337">
        <v>0</v>
      </c>
      <c r="R1017" s="1051">
        <f t="shared" si="55"/>
        <v>136991.42175000001</v>
      </c>
      <c r="S1017" s="1015">
        <v>15.954829008882983</v>
      </c>
      <c r="T1017" s="1015">
        <v>1.5082999999999999E-2</v>
      </c>
      <c r="U1017" s="1015">
        <v>3.4079575927305102E-3</v>
      </c>
      <c r="V1017" s="1048">
        <v>2.7E-2</v>
      </c>
      <c r="W1017" s="1048">
        <v>0.28188000000000002</v>
      </c>
      <c r="X1017" s="1010">
        <v>12.183999999999999</v>
      </c>
      <c r="Y1017" s="1015">
        <v>9.82</v>
      </c>
      <c r="Z1017" s="337">
        <v>0</v>
      </c>
      <c r="AA1017" s="337">
        <v>0</v>
      </c>
      <c r="AB1017" s="337">
        <v>0</v>
      </c>
      <c r="AC1017" s="1015">
        <v>0.1514949865070353</v>
      </c>
      <c r="AD1017" s="1016">
        <v>9.4549861672334742E-2</v>
      </c>
      <c r="AE1017" s="1015">
        <v>0</v>
      </c>
      <c r="AF1017" s="1016">
        <v>15.668121207315934</v>
      </c>
      <c r="AG1017" s="1013">
        <f xml:space="preserve"> IF(C1017&lt; DATE(2024, 11, 1), S1017 * (2.31 / 100), S1017 * (2.925 / 100))+T1017*T$6+U1018*U$6+V1017*V$6+W1017*W$6+X1017*X$6+Y1017*Y$6+Z1017*Z$6+AA1017*AA$6+AB1017*AB$6+AC1017*AC$6+AD1017*AD$6+AE1017*AE$6+AF1017*AF$6</f>
        <v>8.4765817272531567</v>
      </c>
      <c r="AH1017" s="1045">
        <v>202601</v>
      </c>
      <c r="AI1017" s="1017"/>
      <c r="AJ1017" s="931" t="s">
        <v>2221</v>
      </c>
      <c r="AK1017" s="262"/>
      <c r="AL1017" s="262"/>
    </row>
    <row r="1018" spans="3:38" ht="15.75" hidden="1">
      <c r="C1018" s="1032">
        <v>46026</v>
      </c>
      <c r="D1018" s="1001">
        <v>171458</v>
      </c>
      <c r="E1018" s="1001">
        <v>0</v>
      </c>
      <c r="F1018" s="1001">
        <v>22249.99</v>
      </c>
      <c r="G1018" s="1002">
        <v>4719</v>
      </c>
      <c r="H1018" s="1001">
        <v>2240</v>
      </c>
      <c r="I1018" s="1001">
        <v>178397</v>
      </c>
      <c r="J1018" s="1001">
        <v>155854</v>
      </c>
      <c r="K1018" s="1001">
        <v>46487.61</v>
      </c>
      <c r="L1018" s="1001">
        <v>178</v>
      </c>
      <c r="M1018" s="1001">
        <v>443560</v>
      </c>
      <c r="N1018" s="1001">
        <v>3385</v>
      </c>
      <c r="O1018" s="1001">
        <v>0</v>
      </c>
      <c r="P1018" s="1001">
        <v>0</v>
      </c>
      <c r="Q1018" s="337">
        <v>0</v>
      </c>
      <c r="R1018" s="1051">
        <f t="shared" si="55"/>
        <v>131170.67449999999</v>
      </c>
      <c r="S1018" s="1007">
        <v>12.114501892979412</v>
      </c>
      <c r="T1018" s="1007">
        <v>1.3191E-2</v>
      </c>
      <c r="U1018" s="1007">
        <v>3.4079575927305102E-3</v>
      </c>
      <c r="V1018" s="1049">
        <v>2.7E-2</v>
      </c>
      <c r="W1018" s="1007">
        <v>0.29058</v>
      </c>
      <c r="X1018" s="1010">
        <v>12.201000000000001</v>
      </c>
      <c r="Y1018" s="1007">
        <v>9.74</v>
      </c>
      <c r="Z1018" s="337">
        <v>0</v>
      </c>
      <c r="AA1018" s="337">
        <v>0</v>
      </c>
      <c r="AB1018" s="337">
        <v>0</v>
      </c>
      <c r="AC1018" s="1009">
        <v>0.10477223365907115</v>
      </c>
      <c r="AD1018" s="1007">
        <v>0.10015659201409044</v>
      </c>
      <c r="AE1018" s="1007">
        <v>0</v>
      </c>
      <c r="AF1018" s="1009">
        <v>15.670075067889575</v>
      </c>
      <c r="AG1018" s="1013">
        <f xml:space="preserve"> IF(C1018&lt; DATE(2024, 11, 1), S1018 * (2.31 / 100), S1018 * (2.925 / 100))+T1018*T$6+U1019*U$6+V1018*V$6+W1018*W$6+X1018*X$6+Y1018*Y$6+Z1018*Z$6+AA1018*AA$6+AB1018*AB$6+AC1018*AC$6+AD1018*AD$6+AE1018*AE$6+AF1018*AF$6</f>
        <v>8.3524766647339224</v>
      </c>
      <c r="AH1018" s="1045">
        <v>202601</v>
      </c>
      <c r="AI1018" s="1017"/>
      <c r="AJ1018" s="931" t="s">
        <v>2223</v>
      </c>
      <c r="AK1018" s="262"/>
      <c r="AL1018" s="262"/>
    </row>
    <row r="1019" spans="3:38" ht="15.75" hidden="1">
      <c r="C1019" s="1032">
        <v>46027</v>
      </c>
      <c r="D1019" s="1004">
        <v>295549</v>
      </c>
      <c r="E1019" s="1004">
        <v>0</v>
      </c>
      <c r="F1019" s="1004">
        <v>22204.11</v>
      </c>
      <c r="G1019" s="1004">
        <v>4785</v>
      </c>
      <c r="H1019" s="1004">
        <v>2230</v>
      </c>
      <c r="I1019" s="1004">
        <v>180699</v>
      </c>
      <c r="J1019" s="1004">
        <v>157301</v>
      </c>
      <c r="K1019" s="1004">
        <v>43697.84</v>
      </c>
      <c r="L1019" s="1004">
        <v>181</v>
      </c>
      <c r="M1019" s="1004">
        <v>443273</v>
      </c>
      <c r="N1019" s="1004">
        <v>3388</v>
      </c>
      <c r="O1019" s="1004">
        <v>5063</v>
      </c>
      <c r="P1019" s="1004">
        <v>0</v>
      </c>
      <c r="Q1019" s="337">
        <v>0</v>
      </c>
      <c r="R1019" s="1051">
        <f t="shared" si="55"/>
        <v>136945.1715</v>
      </c>
      <c r="S1019" s="1015">
        <v>18.915918866647598</v>
      </c>
      <c r="T1019" s="1015">
        <v>6.2760000000000003E-3</v>
      </c>
      <c r="U1019" s="1015">
        <v>3.4079575927305102E-3</v>
      </c>
      <c r="V1019" s="1015">
        <v>2.6535840000000002E-2</v>
      </c>
      <c r="W1019" s="1015">
        <v>0.28820000000000001</v>
      </c>
      <c r="X1019" s="1010">
        <v>12.231</v>
      </c>
      <c r="Y1019" s="1015">
        <v>9.75</v>
      </c>
      <c r="Z1019" s="337">
        <v>0</v>
      </c>
      <c r="AA1019" s="337">
        <v>0</v>
      </c>
      <c r="AB1019" s="337">
        <v>0</v>
      </c>
      <c r="AC1019" s="1016">
        <v>0.10477223365907115</v>
      </c>
      <c r="AD1019" s="1016">
        <v>0.10194055166828545</v>
      </c>
      <c r="AE1019" s="1015">
        <v>0</v>
      </c>
      <c r="AF1019" s="1016">
        <v>15.679532885738798</v>
      </c>
      <c r="AG1019" s="1013">
        <f xml:space="preserve"> IF(C1019&lt; DATE(2024, 11, 1), S1019 * (2.31 / 100), S1019 * (2.925 / 100))+T1019*T$6+U1023*U$6+V1019*V$6+W1019*W$6+X1019*X$6+Y1019*Y$6+Z1019*Z$6+AA1019*AA$6+AB1019*AB$6+AC1019*AC$6+AD1019*AD$6+AE1019*AE$6+AF1019*AF$6</f>
        <v>8.5578603941097615</v>
      </c>
      <c r="AH1019" s="1045">
        <v>202601</v>
      </c>
      <c r="AI1019" s="1017"/>
      <c r="AJ1019" s="931" t="s">
        <v>2224</v>
      </c>
      <c r="AK1019" s="262"/>
      <c r="AL1019" s="262"/>
    </row>
    <row r="1020" spans="3:38" ht="15.75" hidden="1">
      <c r="C1020" s="1032">
        <v>46028</v>
      </c>
      <c r="D1020" s="1001">
        <v>299796</v>
      </c>
      <c r="E1020" s="1001">
        <v>0</v>
      </c>
      <c r="F1020" s="1001">
        <v>22214.010000000002</v>
      </c>
      <c r="G1020" s="1001">
        <v>4821</v>
      </c>
      <c r="H1020" s="1001">
        <v>2213</v>
      </c>
      <c r="I1020" s="1001">
        <v>179633</v>
      </c>
      <c r="J1020" s="1001">
        <v>156856</v>
      </c>
      <c r="K1020" s="1001">
        <v>41104</v>
      </c>
      <c r="L1020" s="1001">
        <v>193</v>
      </c>
      <c r="M1020" s="1001">
        <v>440934</v>
      </c>
      <c r="N1020" s="1001">
        <v>3492</v>
      </c>
      <c r="O1020" s="1001">
        <v>5979</v>
      </c>
      <c r="P1020" s="1001">
        <v>0</v>
      </c>
      <c r="Q1020" s="337">
        <v>0</v>
      </c>
      <c r="R1020" s="1051">
        <f xml:space="preserve"> IF(C1020&lt; DATE(2024, 11, 1), D1020 * (2.31 / 100), D1020 * (2.925 / 100))+E1020*E$6+F1020*F$6+G1020*G$6+H1020*H$6+I1020*I$6+J1020*J$6+K1020*K$6+L1020*L$6+M1020*M$6+N1020*N$6+O1020*O$6+P1020*P$6+Q1020*Q$6</f>
        <v>136387.14125000002</v>
      </c>
      <c r="S1020" s="1007">
        <v>20.530260769594531</v>
      </c>
      <c r="T1020" s="1007">
        <v>3.5829999999999998E-3</v>
      </c>
      <c r="U1020" s="1007">
        <v>3.4079575927305102E-3</v>
      </c>
      <c r="V1020" s="1007">
        <v>2.7878208000000002E-2</v>
      </c>
      <c r="W1020" s="1007">
        <v>0.30269000000000001</v>
      </c>
      <c r="X1020" s="1010">
        <v>12.231999999999999</v>
      </c>
      <c r="Y1020" s="1007">
        <v>9.7100000000000009</v>
      </c>
      <c r="Z1020" s="337">
        <v>0</v>
      </c>
      <c r="AA1020" s="337">
        <v>0</v>
      </c>
      <c r="AB1020" s="337"/>
      <c r="AC1020" s="1007">
        <v>0.10927460802442042</v>
      </c>
      <c r="AD1020" s="1007">
        <v>0.10250688806644258</v>
      </c>
      <c r="AE1020" s="1007">
        <v>0</v>
      </c>
      <c r="AF1020" s="1007">
        <v>15.659201409044957</v>
      </c>
      <c r="AG1020" s="1013">
        <f xml:space="preserve"> IF(C1020&lt; DATE(2024, 11, 1), S1020 * (2.31 / 100), S1020 * (2.925 / 100))+T1020*T$6+U1024*U$6+V1020*V$6+W1020*W$6+X1020*X$6+Y1020*Y$6+Z1020*Z$6+AA1020*AA$6+AB1020*AB$6+AC1020*AC$6+AD1020*AD$6+AE1020*AE$6+AF1020*AF$6</f>
        <v>8.6065794134724598</v>
      </c>
      <c r="AH1020" s="1045">
        <v>202601</v>
      </c>
      <c r="AI1020" s="1017"/>
      <c r="AJ1020" s="931" t="s">
        <v>2225</v>
      </c>
      <c r="AK1020" s="262"/>
      <c r="AL1020" s="262"/>
    </row>
    <row r="1021" spans="3:38" ht="15.75" hidden="1">
      <c r="C1021" s="1032">
        <v>46029</v>
      </c>
      <c r="D1021" s="1004">
        <v>273381</v>
      </c>
      <c r="E1021" s="1004">
        <v>0</v>
      </c>
      <c r="F1021" s="1004">
        <v>22103.21</v>
      </c>
      <c r="G1021" s="1004">
        <v>4836</v>
      </c>
      <c r="H1021" s="1004">
        <v>2281</v>
      </c>
      <c r="I1021" s="1004">
        <v>177604</v>
      </c>
      <c r="J1021" s="1004">
        <v>157401</v>
      </c>
      <c r="K1021" s="1004">
        <v>47717.919999999998</v>
      </c>
      <c r="L1021" s="1004">
        <v>192</v>
      </c>
      <c r="M1021" s="1004">
        <v>419009</v>
      </c>
      <c r="N1021" s="1004">
        <v>3348</v>
      </c>
      <c r="O1021" s="1004">
        <v>5019</v>
      </c>
      <c r="P1021" s="1004">
        <v>0</v>
      </c>
      <c r="Q1021" s="337">
        <v>0</v>
      </c>
      <c r="R1021" s="1051">
        <f xml:space="preserve"> IF(C1021&lt; DATE(2024, 11, 1), D1021 * (2.31 / 100), D1021 * (2.925 / 100))+E1021*E$6+F1021*F$6+G1021*G$6+H1021*H$6+I1021*I$6+J1021*J$6+K1021*K$6+L1021*L$6+M1021*M$6+N1021*N$6+O1021*O$6+P1021*P$6+Q1021*Q$6</f>
        <v>135724.74125000002</v>
      </c>
      <c r="S1021" s="1015">
        <v>17.209264130801053</v>
      </c>
      <c r="T1021" s="1015">
        <v>2.5379999999999999E-3</v>
      </c>
      <c r="U1021" s="1015">
        <v>3.4079575927305102E-3</v>
      </c>
      <c r="V1021" s="1015">
        <v>2.5960944E-2</v>
      </c>
      <c r="W1021" s="1015">
        <v>0.30575999999999998</v>
      </c>
      <c r="X1021" s="1010">
        <v>12.221</v>
      </c>
      <c r="Y1021" s="1015">
        <v>9.68</v>
      </c>
      <c r="Z1021" s="1021">
        <v>0</v>
      </c>
      <c r="AA1021" s="1021">
        <v>0</v>
      </c>
      <c r="AB1021" s="1021">
        <v>0</v>
      </c>
      <c r="AC1021" s="1015">
        <v>0.10477223365907115</v>
      </c>
      <c r="AD1021" s="1016">
        <v>9.6616989525608307E-2</v>
      </c>
      <c r="AE1021" s="1015">
        <v>0</v>
      </c>
      <c r="AF1021" s="1015">
        <v>15.660362398661182</v>
      </c>
      <c r="AG1021" s="1013">
        <f xml:space="preserve"> IF(C1021&lt; DATE(2024, 11, 1), S1021 * (2.31 / 100), S1021 * (2.925 / 100))+T1021*T$6+U1025*U$6+V1021*V$6+W1021*W$6+X1021*X$6+Y1021*Y$6+Z1021*Z$6+AA1021*AA$6+AB1021*AB$6+AC1021*AC$6+AD1021*AD$6+AE1021*AE$6+AF1021*AF$6</f>
        <v>8.4986156274259841</v>
      </c>
      <c r="AH1021" s="1045">
        <v>202601</v>
      </c>
      <c r="AI1021" s="1017"/>
      <c r="AJ1021" s="931" t="s">
        <v>2225</v>
      </c>
      <c r="AK1021" s="262"/>
      <c r="AL1021" s="262"/>
    </row>
    <row r="1022" spans="3:38" ht="15.75" hidden="1">
      <c r="C1022" s="1032">
        <v>46030</v>
      </c>
      <c r="D1022" s="1001">
        <v>292919</v>
      </c>
      <c r="E1022" s="1001">
        <v>0</v>
      </c>
      <c r="F1022" s="1001">
        <v>22263.399999999998</v>
      </c>
      <c r="G1022" s="1001">
        <v>4825</v>
      </c>
      <c r="H1022" s="1001">
        <v>2179</v>
      </c>
      <c r="I1022" s="1001">
        <v>178471</v>
      </c>
      <c r="J1022" s="1001">
        <v>157083</v>
      </c>
      <c r="K1022" s="1001">
        <v>51688.3</v>
      </c>
      <c r="L1022" s="1001">
        <v>192</v>
      </c>
      <c r="M1022" s="1001">
        <v>426344</v>
      </c>
      <c r="N1022" s="1001">
        <v>3332</v>
      </c>
      <c r="O1022" s="1001">
        <v>4962</v>
      </c>
      <c r="P1022" s="1001">
        <v>0</v>
      </c>
      <c r="Q1022" s="337">
        <v>0</v>
      </c>
      <c r="R1022" s="1051">
        <f xml:space="preserve"> IF(C1022&lt; DATE(2024, 11, 1), D1022 * (2.31 / 100), D1022 * (2.925 / 100))+E1022*E$6+F1022*F$6+G1022*G$6+H1022*H$6+I1022*I$6+J1022*J$6+K1022*K$6+L1022*L$6+M1022*M$6+N1022*N$6+O1022*O$6+P1022*P$6+Q1022*Q$6</f>
        <v>137653.01574999999</v>
      </c>
      <c r="S1022" s="1007">
        <v>21.2217575117444</v>
      </c>
      <c r="T1022" s="1007">
        <v>4.2199999999999998E-3</v>
      </c>
      <c r="U1022" s="1007">
        <v>3.4079575927305102E-3</v>
      </c>
      <c r="V1022" s="1007">
        <v>2.7E-2</v>
      </c>
      <c r="W1022" s="1007">
        <v>0.29704000000000003</v>
      </c>
      <c r="X1022" s="1010">
        <v>12.226000000000001</v>
      </c>
      <c r="Y1022" s="1007">
        <v>9.66</v>
      </c>
      <c r="Z1022" s="1021">
        <v>0</v>
      </c>
      <c r="AA1022" s="1021">
        <v>0</v>
      </c>
      <c r="AB1022" s="1021">
        <v>0</v>
      </c>
      <c r="AC1022" s="1007">
        <v>0.10426253090072972</v>
      </c>
      <c r="AD1022" s="1007">
        <v>8.1156005855918353E-2</v>
      </c>
      <c r="AE1022" s="1007">
        <v>0</v>
      </c>
      <c r="AF1022" s="1007">
        <v>15.637680625914987</v>
      </c>
      <c r="AG1022" s="1013">
        <f xml:space="preserve"> IF(C1022&lt; DATE(2024, 11, 1), S1022 * (2.31 / 100), S1022 * (2.925 / 100))+T1022*T$6+U1026*U$6+V1022*V$6+W1022*W$6+X1022*X$6+Y1022*Y$6+Z1022*Z$6+AA1022*AA$6+AB1022*AB$6+AC1022*AC$6+AD1022*AD$6+AE1022*AE$6+AF1022*AF$6</f>
        <v>8.5939383646804313</v>
      </c>
      <c r="AH1022" s="1045">
        <v>202601</v>
      </c>
      <c r="AI1022" s="1017"/>
      <c r="AJ1022" s="931" t="s">
        <v>2225</v>
      </c>
      <c r="AK1022" s="262"/>
      <c r="AL1022" s="262"/>
    </row>
    <row r="1023" spans="3:38" ht="15.75" hidden="1">
      <c r="C1023" s="1032">
        <v>46031</v>
      </c>
      <c r="D1023" s="1004">
        <v>318143</v>
      </c>
      <c r="E1023" s="1004">
        <v>0</v>
      </c>
      <c r="F1023" s="1004">
        <v>22071.32</v>
      </c>
      <c r="G1023" s="1004">
        <v>4818</v>
      </c>
      <c r="H1023" s="1004">
        <v>2218</v>
      </c>
      <c r="I1023" s="1004">
        <v>178021</v>
      </c>
      <c r="J1023" s="1004">
        <v>157288</v>
      </c>
      <c r="K1023" s="1004">
        <v>54622.1</v>
      </c>
      <c r="L1023" s="1004">
        <v>2593</v>
      </c>
      <c r="M1023" s="1004">
        <v>431465</v>
      </c>
      <c r="N1023" s="1004">
        <v>3344</v>
      </c>
      <c r="O1023" s="1004">
        <v>0</v>
      </c>
      <c r="P1023" s="1004">
        <v>0</v>
      </c>
      <c r="Q1023" s="337">
        <v>0</v>
      </c>
      <c r="R1023" s="1051">
        <f t="shared" ref="R1023:R1077" si="58" xml:space="preserve"> IF(C1023&lt; DATE(2024, 11, 1), D1023 * (2.31 / 100), D1023 * (2.925 / 100))+E1023*E$6+F1023*F$6+G1023*G$6+H1023*H$6+I1023*I$6+J1023*J$6+K1023*K$6+L1023*L$6+M1023*M$6+N1023*N$6+O1023*O$6+P1023*P$6+Q1023*Q$6</f>
        <v>137789.21299999999</v>
      </c>
      <c r="S1023" s="1015">
        <v>22.146018513536852</v>
      </c>
      <c r="T1023" s="1015">
        <v>4.3550000000000004E-3</v>
      </c>
      <c r="U1023" s="1048">
        <v>3.4079575927305102E-3</v>
      </c>
      <c r="V1023" s="1015">
        <v>0.03</v>
      </c>
      <c r="W1023" s="1015">
        <v>0.29183999999999999</v>
      </c>
      <c r="X1023" s="1010">
        <v>12.247</v>
      </c>
      <c r="Y1023" s="1015">
        <v>9.82</v>
      </c>
      <c r="Z1023" s="1021">
        <v>0</v>
      </c>
      <c r="AA1023" s="1021">
        <v>0</v>
      </c>
      <c r="AB1023" s="1021">
        <v>0</v>
      </c>
      <c r="AC1023" s="1015">
        <v>0.10463064955953186</v>
      </c>
      <c r="AD1023" s="1016">
        <v>8.8914814510671195E-2</v>
      </c>
      <c r="AE1023" s="1015">
        <v>0</v>
      </c>
      <c r="AF1023" s="1015">
        <v>15.6377372595548</v>
      </c>
      <c r="AG1023" s="1013">
        <f xml:space="preserve"> IF(C1023&lt; DATE(2024, 11, 1), S1023 * (2.31 / 100), S1023 * (2.925 / 100))+T1023*T$6+U1028*U$6+V1023*V$6+W1023*W$6+X1023*X$6+Y1023*Y$6+Z1023*Z$6+AA1023*AA$6+AB1023*AB$6+AC1023*AC$6+AD1023*AD$6+AE1023*AE$6+AF1023*AF$6</f>
        <v>8.6662630932159992</v>
      </c>
      <c r="AH1023" s="1045">
        <v>202601</v>
      </c>
      <c r="AI1023" s="1017"/>
      <c r="AJ1023" s="931" t="s">
        <v>2226</v>
      </c>
      <c r="AK1023" s="262"/>
      <c r="AL1023" s="262"/>
    </row>
    <row r="1024" spans="3:38" ht="15.75" hidden="1">
      <c r="C1024" s="1032">
        <v>46032</v>
      </c>
      <c r="D1024" s="1001">
        <v>314850</v>
      </c>
      <c r="E1024" s="1001">
        <v>0</v>
      </c>
      <c r="F1024" s="1001">
        <v>22207.62</v>
      </c>
      <c r="G1024" s="1001">
        <v>4148</v>
      </c>
      <c r="H1024" s="1001">
        <v>2261</v>
      </c>
      <c r="I1024" s="1001">
        <v>177053</v>
      </c>
      <c r="J1024" s="1001">
        <v>148696</v>
      </c>
      <c r="K1024" s="1001">
        <v>52463.76</v>
      </c>
      <c r="L1024" s="1001">
        <v>11363</v>
      </c>
      <c r="M1024" s="1001">
        <v>439911</v>
      </c>
      <c r="N1024" s="1001">
        <v>0</v>
      </c>
      <c r="O1024" s="1001">
        <v>0</v>
      </c>
      <c r="P1024" s="1001">
        <v>0</v>
      </c>
      <c r="Q1024" s="337">
        <v>0</v>
      </c>
      <c r="R1024" s="1051">
        <f t="shared" si="58"/>
        <v>136614.96024999997</v>
      </c>
      <c r="S1024" s="1007">
        <v>22.946251844132892</v>
      </c>
      <c r="T1024" s="1007">
        <v>4.7819999999999998E-3</v>
      </c>
      <c r="U1024" s="1007">
        <v>3.4079575927305102E-3</v>
      </c>
      <c r="V1024" s="1007">
        <v>2.8000000000000001E-2</v>
      </c>
      <c r="W1024" s="1007">
        <v>0.28608</v>
      </c>
      <c r="X1024" s="1010">
        <v>12.279</v>
      </c>
      <c r="Y1024" s="1007">
        <v>9.76</v>
      </c>
      <c r="Z1024" s="1021">
        <v>0</v>
      </c>
      <c r="AA1024" s="1021">
        <v>0</v>
      </c>
      <c r="AB1024" s="1021">
        <v>0</v>
      </c>
      <c r="AC1024" s="1007">
        <v>0</v>
      </c>
      <c r="AD1024" s="1007">
        <v>9.2256199259798319E-2</v>
      </c>
      <c r="AE1024" s="1007">
        <v>0</v>
      </c>
      <c r="AF1024" s="1007">
        <v>14.941256757101149</v>
      </c>
      <c r="AG1024" s="1013">
        <f xml:space="preserve"> IF(C1024&lt; DATE(2024, 11, 1), S1024 * (2.31 / 100), S1024 * (2.925 / 100))+T1024*T$6+U1030*U$6+V1024*V$6+W1024*W$6+X1024*X$6+Y1024*Y$6+Z1024*Z$6+AA1024*AA$6+AB1024*AB$6+AC1024*AC$6+AD1024*AD$6+AE1024*AE$6+AF1024*AF$6</f>
        <v>8.5452507051669144</v>
      </c>
      <c r="AH1024" s="1045">
        <v>202601</v>
      </c>
      <c r="AI1024" s="1017"/>
      <c r="AJ1024" s="931" t="s">
        <v>2227</v>
      </c>
      <c r="AK1024" s="262"/>
      <c r="AL1024" s="262"/>
    </row>
    <row r="1025" spans="3:38" ht="15.75" hidden="1">
      <c r="C1025" s="1032">
        <v>46033</v>
      </c>
      <c r="D1025" s="1004">
        <v>328700</v>
      </c>
      <c r="E1025" s="1004">
        <v>0</v>
      </c>
      <c r="F1025" s="1004">
        <v>22213.99</v>
      </c>
      <c r="G1025" s="1004">
        <v>4747</v>
      </c>
      <c r="H1025" s="1004">
        <v>2236</v>
      </c>
      <c r="I1025" s="1004">
        <v>179220</v>
      </c>
      <c r="J1025" s="1004">
        <v>159770</v>
      </c>
      <c r="K1025" s="1004">
        <v>51684.55</v>
      </c>
      <c r="L1025" s="1004">
        <v>5137</v>
      </c>
      <c r="M1025" s="1004">
        <v>433322</v>
      </c>
      <c r="N1025" s="1004">
        <v>0</v>
      </c>
      <c r="O1025" s="1004">
        <v>0</v>
      </c>
      <c r="P1025" s="1004">
        <v>0</v>
      </c>
      <c r="Q1025" s="337">
        <v>0</v>
      </c>
      <c r="R1025" s="1051">
        <f t="shared" si="58"/>
        <v>138651.28675</v>
      </c>
      <c r="S1025" s="1015">
        <v>23.436982333136058</v>
      </c>
      <c r="T1025" s="1015">
        <v>5.1749999999999999E-3</v>
      </c>
      <c r="U1025" s="1048">
        <v>3.4079575927305102E-3</v>
      </c>
      <c r="V1025" s="1015">
        <v>2.9000000000000001E-2</v>
      </c>
      <c r="W1025" s="1015">
        <v>0.28354000000000001</v>
      </c>
      <c r="X1025" s="1010">
        <v>12.22</v>
      </c>
      <c r="Y1025" s="1015">
        <v>9.85</v>
      </c>
      <c r="Z1025" s="1021">
        <v>0</v>
      </c>
      <c r="AA1025" s="1021">
        <v>0</v>
      </c>
      <c r="AB1025" s="1021">
        <v>0</v>
      </c>
      <c r="AC1025" s="1015">
        <v>0</v>
      </c>
      <c r="AD1025" s="1016">
        <v>7.5889077353056944E-2</v>
      </c>
      <c r="AE1025" s="1015">
        <v>0</v>
      </c>
      <c r="AF1025" s="1015">
        <v>14.987130005351878</v>
      </c>
      <c r="AG1025" s="1013">
        <f xml:space="preserve"> IF(C1025&lt; DATE(2024, 11, 1), S1025 * (2.31 / 100), S1025 * (2.925 / 100))+T1025*T$6+U1031*U$6+V1025*V$6+W1025*W$6+X1025*X$6+Y1025*Y$6+Z1025*Z$6+AA1025*AA$6+AB1025*AB$6+AC1025*AC$6+AD1025*AD$6+AE1025*AE$6+AF1025*AF$6</f>
        <v>8.5705222854101848</v>
      </c>
      <c r="AH1025" s="1045">
        <v>202601</v>
      </c>
      <c r="AI1025" s="1017"/>
      <c r="AJ1025" s="931" t="s">
        <v>2228</v>
      </c>
      <c r="AK1025" s="262"/>
      <c r="AL1025" s="262"/>
    </row>
    <row r="1026" spans="3:38" ht="15.75" hidden="1">
      <c r="C1026" s="1032">
        <v>46034</v>
      </c>
      <c r="D1026" s="1001">
        <v>346381</v>
      </c>
      <c r="E1026" s="1001">
        <v>0</v>
      </c>
      <c r="F1026" s="1001">
        <v>22231.13</v>
      </c>
      <c r="G1026" s="1001">
        <v>4806</v>
      </c>
      <c r="H1026" s="1001">
        <v>2181</v>
      </c>
      <c r="I1026" s="1001">
        <v>175668</v>
      </c>
      <c r="J1026" s="1001">
        <v>160620</v>
      </c>
      <c r="K1026" s="1001">
        <v>56177.3</v>
      </c>
      <c r="L1026" s="1001">
        <v>9138</v>
      </c>
      <c r="M1026" s="1001">
        <v>450399</v>
      </c>
      <c r="N1026" s="1001">
        <v>2044</v>
      </c>
      <c r="O1026" s="1001">
        <v>0</v>
      </c>
      <c r="P1026" s="1001">
        <v>0</v>
      </c>
      <c r="Q1026" s="337">
        <v>0</v>
      </c>
      <c r="R1026" s="1051">
        <f t="shared" si="58"/>
        <v>141661.90274999998</v>
      </c>
      <c r="S1026" s="1007">
        <v>23.044511209213159</v>
      </c>
      <c r="T1026" s="1007">
        <v>-4.3800000000000002E-4</v>
      </c>
      <c r="U1026" s="1007">
        <v>3.4079575927305102E-3</v>
      </c>
      <c r="V1026" s="1007">
        <v>2.8781616000000003E-2</v>
      </c>
      <c r="W1026" s="1007">
        <v>0.27453</v>
      </c>
      <c r="X1026" s="1010">
        <v>12.204000000000001</v>
      </c>
      <c r="Y1026" s="1007">
        <v>9.9</v>
      </c>
      <c r="Z1026" s="1021">
        <v>0</v>
      </c>
      <c r="AA1026" s="1021">
        <v>0</v>
      </c>
      <c r="AB1026" s="1021">
        <v>0</v>
      </c>
      <c r="AC1026" s="1007">
        <v>6.3967696171849109E-2</v>
      </c>
      <c r="AD1026" s="1007">
        <v>7.1018584328905524E-2</v>
      </c>
      <c r="AE1026" s="1007">
        <v>0</v>
      </c>
      <c r="AF1026" s="1007">
        <v>15.615310338187781</v>
      </c>
      <c r="AG1026" s="1013">
        <f xml:space="preserve"> IF(C1026&lt; DATE(2024, 11, 1), S1026 * (2.31 / 100), S1026 * (2.925 / 100))+T1026*T$6+U1032*U$6+V1026*V$6+W1026*W$6+X1026*X$6+Y1026*Y$6+Z1026*Z$6+AA1026*AA$6+AB1026*AB$6+AC1026*AC$6+AD1026*AD$6+AE1026*AE$6+AF1026*AF$6</f>
        <v>8.6700867089867852</v>
      </c>
      <c r="AH1026" s="1045">
        <v>202601</v>
      </c>
      <c r="AI1026" s="1017"/>
      <c r="AJ1026" s="931" t="s">
        <v>2229</v>
      </c>
      <c r="AK1026" s="262"/>
      <c r="AL1026" s="262"/>
    </row>
    <row r="1027" spans="3:38" ht="15.75" hidden="1">
      <c r="C1027" s="1032">
        <v>46035</v>
      </c>
      <c r="D1027" s="1004">
        <v>355026</v>
      </c>
      <c r="E1027" s="1004">
        <v>0</v>
      </c>
      <c r="F1027" s="1004">
        <v>22222.54</v>
      </c>
      <c r="G1027" s="1004">
        <v>4830</v>
      </c>
      <c r="H1027" s="1004">
        <v>2167</v>
      </c>
      <c r="I1027" s="1004">
        <v>160646</v>
      </c>
      <c r="J1027" s="1004">
        <v>160243</v>
      </c>
      <c r="K1027" s="1004">
        <v>54685.5</v>
      </c>
      <c r="L1027" s="1004">
        <v>10972</v>
      </c>
      <c r="M1027" s="1004">
        <v>425920</v>
      </c>
      <c r="N1027" s="1004">
        <v>2149</v>
      </c>
      <c r="O1027" s="1004">
        <v>0</v>
      </c>
      <c r="P1027" s="1004">
        <v>0</v>
      </c>
      <c r="Q1027" s="337">
        <v>0</v>
      </c>
      <c r="R1027" s="1051">
        <f t="shared" si="58"/>
        <v>137906.2285</v>
      </c>
      <c r="S1027" s="1015">
        <v>22.999770633758747</v>
      </c>
      <c r="T1027" s="1015">
        <v>-1.474E-3</v>
      </c>
      <c r="U1027" s="1048">
        <v>3.4079575927305102E-3</v>
      </c>
      <c r="V1027" s="1015">
        <v>0.03</v>
      </c>
      <c r="W1027" s="1015">
        <v>0.28022000000000002</v>
      </c>
      <c r="X1027" s="1010">
        <v>12.198</v>
      </c>
      <c r="Y1027" s="1015">
        <v>10.11</v>
      </c>
      <c r="Z1027" s="1021">
        <v>0</v>
      </c>
      <c r="AA1027" s="1021">
        <v>0</v>
      </c>
      <c r="AB1027" s="1021">
        <v>0</v>
      </c>
      <c r="AC1027" s="1015">
        <v>6.7252447281160532E-2</v>
      </c>
      <c r="AD1027" s="1016">
        <v>8.5176994282834054E-2</v>
      </c>
      <c r="AE1027" s="1015">
        <v>0</v>
      </c>
      <c r="AF1027" s="1015">
        <v>15.64107864430393</v>
      </c>
      <c r="AG1027" s="1013">
        <f xml:space="preserve"> IF(C1027&lt; DATE(2024, 11, 1), S1027 * (2.31 / 100), S1027 * (2.925 / 100))+T1027*T$6+U1033*U$6+V1027*V$6+W1027*W$6+X1027*X$6+Y1027*Y$6+Z1027*Z$6+AA1027*AA$6+AB1027*AB$6+AC1027*AC$6+AD1027*AD$6+AE1027*AE$6+AF1027*AF$6</f>
        <v>8.7386028177980837</v>
      </c>
      <c r="AH1027" s="1045">
        <v>202601</v>
      </c>
      <c r="AI1027" s="1017"/>
      <c r="AJ1027" s="931" t="s">
        <v>2229</v>
      </c>
      <c r="AK1027" s="262"/>
      <c r="AL1027" s="262"/>
    </row>
    <row r="1028" spans="3:38" ht="15.75" hidden="1">
      <c r="C1028" s="1032">
        <v>46036</v>
      </c>
      <c r="D1028" s="1001">
        <v>311260</v>
      </c>
      <c r="E1028" s="1001">
        <v>0</v>
      </c>
      <c r="F1028" s="1001">
        <v>21779.31</v>
      </c>
      <c r="G1028" s="1001">
        <v>4733</v>
      </c>
      <c r="H1028" s="1001">
        <v>2212</v>
      </c>
      <c r="I1028" s="1001">
        <v>176682</v>
      </c>
      <c r="J1028" s="1001">
        <v>160295</v>
      </c>
      <c r="K1028" s="1001">
        <v>54360.66</v>
      </c>
      <c r="L1028" s="1001">
        <v>12928</v>
      </c>
      <c r="M1028" s="1001">
        <v>448966</v>
      </c>
      <c r="N1028" s="1001">
        <v>2152</v>
      </c>
      <c r="O1028" s="1001">
        <v>4000</v>
      </c>
      <c r="P1028" s="1001">
        <v>0</v>
      </c>
      <c r="Q1028" s="337">
        <v>0</v>
      </c>
      <c r="R1028" s="1051">
        <f t="shared" si="58"/>
        <v>142445.87700000001</v>
      </c>
      <c r="S1028" s="1007">
        <v>22.309123396206111</v>
      </c>
      <c r="T1028" s="1007">
        <v>-1.5949999999999999E-2</v>
      </c>
      <c r="U1028" s="1007">
        <v>3.4079575927305102E-3</v>
      </c>
      <c r="V1028" s="1007">
        <v>2.9163936000000001E-2</v>
      </c>
      <c r="W1028" s="1007">
        <v>0.28974</v>
      </c>
      <c r="X1028" s="1010">
        <v>12.177</v>
      </c>
      <c r="Y1028" s="1007">
        <v>9.92</v>
      </c>
      <c r="Z1028" s="1021">
        <v>0</v>
      </c>
      <c r="AA1028" s="1021">
        <v>0</v>
      </c>
      <c r="AB1028" s="1021">
        <v>0</v>
      </c>
      <c r="AC1028" s="1007">
        <v>6.7337397740884111E-2</v>
      </c>
      <c r="AD1028" s="1007">
        <v>9.0528873245419042E-2</v>
      </c>
      <c r="AE1028" s="1007">
        <v>0</v>
      </c>
      <c r="AF1028" s="1007">
        <v>15.632045578753324</v>
      </c>
      <c r="AG1028" s="1013">
        <f xml:space="preserve"> IF(C1028&lt; DATE(2024, 11, 1), S1028 * (2.31 / 100), S1028 * (2.925 / 100))+T1028*T$6+U1035*U$6+V1028*V$6+W1028*W$6+X1028*X$6+Y1028*Y$6+Z1028*Z$6+AA1028*AA$6+AB1028*AB$6+AC1028*AC$6+AD1028*AD$6+AE1028*AE$6+AF1028*AF$6</f>
        <v>8.6706093090916703</v>
      </c>
      <c r="AH1028" s="1045">
        <v>202601</v>
      </c>
      <c r="AI1028" s="1017"/>
      <c r="AJ1028" s="931" t="s">
        <v>2230</v>
      </c>
      <c r="AK1028" s="262"/>
      <c r="AL1028" s="262"/>
    </row>
    <row r="1029" spans="3:38" ht="15.75" hidden="1">
      <c r="C1029" s="1032">
        <v>46037</v>
      </c>
      <c r="D1029" s="1004">
        <v>325713</v>
      </c>
      <c r="E1029" s="1004">
        <v>0</v>
      </c>
      <c r="F1029" s="1004">
        <v>22073.16</v>
      </c>
      <c r="G1029" s="1004">
        <v>4660</v>
      </c>
      <c r="H1029" s="1004">
        <v>2198</v>
      </c>
      <c r="I1029" s="1004">
        <v>175865</v>
      </c>
      <c r="J1029" s="1004">
        <v>159764</v>
      </c>
      <c r="K1029" s="1004">
        <v>55538.19</v>
      </c>
      <c r="L1029" s="1004">
        <v>18037</v>
      </c>
      <c r="M1029" s="1004">
        <v>461797</v>
      </c>
      <c r="N1029" s="1004">
        <v>3038</v>
      </c>
      <c r="O1029" s="1004">
        <v>4982</v>
      </c>
      <c r="P1029" s="1004">
        <v>0</v>
      </c>
      <c r="Q1029" s="337">
        <v>0</v>
      </c>
      <c r="R1029" s="1051">
        <f t="shared" si="58"/>
        <v>145252.791</v>
      </c>
      <c r="S1029" s="1016">
        <v>15.698561788716878</v>
      </c>
      <c r="T1029" s="1016">
        <v>3.8299999999999999E-4</v>
      </c>
      <c r="U1029" s="1048">
        <v>3.4079575927305102E-3</v>
      </c>
      <c r="V1029" s="1015">
        <v>2.9000000000000001E-2</v>
      </c>
      <c r="W1029" s="1016">
        <v>0.28383999999999998</v>
      </c>
      <c r="X1029" s="1010">
        <v>12.156920489201379</v>
      </c>
      <c r="Y1029" s="1016">
        <v>9.94</v>
      </c>
      <c r="Z1029" s="1026">
        <v>0</v>
      </c>
      <c r="AA1029" s="1026">
        <v>0</v>
      </c>
      <c r="AB1029" s="1016">
        <v>0</v>
      </c>
      <c r="AC1029" s="1016">
        <v>9.5059564430676174E-2</v>
      </c>
      <c r="AD1029" s="1015">
        <v>9.3841941174638316E-2</v>
      </c>
      <c r="AE1029" s="1016">
        <v>0</v>
      </c>
      <c r="AF1029" s="1016">
        <v>15.629553698601431</v>
      </c>
      <c r="AG1029" s="1013">
        <f xml:space="preserve"> IF(C1029&lt; DATE(2024, 11, 1), S1029 * (2.31 / 100), S1029 * (2.925 / 100))+T1029*T$6+U1037*U$6+V1029*V$6+W1029*W$6+X1029*X$6+Y1029*Y$6+Z1029*Z$6+AA1029*AA$6+AB1029*AB$6+AC1029*AC$6+AD1029*AD$6+AE1029*AE$6+AF1029*AF$6</f>
        <v>8.4808134677946292</v>
      </c>
      <c r="AH1029" s="1045">
        <v>202601</v>
      </c>
      <c r="AI1029" s="1017"/>
      <c r="AJ1029" s="931" t="s">
        <v>2231</v>
      </c>
      <c r="AK1029" s="262"/>
      <c r="AL1029" s="262"/>
    </row>
    <row r="1030" spans="3:38" ht="15.75" hidden="1">
      <c r="C1030" s="1032">
        <v>46038</v>
      </c>
      <c r="D1030" s="1001">
        <v>321991</v>
      </c>
      <c r="E1030" s="1001">
        <v>0</v>
      </c>
      <c r="F1030" s="1001">
        <v>22095.55</v>
      </c>
      <c r="G1030" s="1001">
        <v>4637</v>
      </c>
      <c r="H1030" s="1001">
        <v>2221</v>
      </c>
      <c r="I1030" s="1001">
        <v>176795</v>
      </c>
      <c r="J1030" s="1001">
        <v>160194</v>
      </c>
      <c r="K1030" s="1001">
        <v>56044.84</v>
      </c>
      <c r="L1030" s="1001">
        <v>10816</v>
      </c>
      <c r="M1030" s="1001">
        <v>419303</v>
      </c>
      <c r="N1030" s="1001">
        <v>3313</v>
      </c>
      <c r="O1030" s="1001">
        <v>0</v>
      </c>
      <c r="P1030" s="1001">
        <v>0</v>
      </c>
      <c r="Q1030" s="337">
        <v>0</v>
      </c>
      <c r="R1030" s="1051">
        <f t="shared" si="58"/>
        <v>140191.18174999999</v>
      </c>
      <c r="S1030" s="1009">
        <v>14.762407722563122</v>
      </c>
      <c r="T1030" s="1009">
        <v>2.542E-3</v>
      </c>
      <c r="U1030" s="1007">
        <v>3.4079575927305102E-3</v>
      </c>
      <c r="V1030" s="1007">
        <v>2.9000000000000001E-2</v>
      </c>
      <c r="W1030" s="1009">
        <v>0.28355000000000002</v>
      </c>
      <c r="X1030" s="1010">
        <v>12.167</v>
      </c>
      <c r="Y1030" s="1009">
        <v>10</v>
      </c>
      <c r="Z1030" s="1026">
        <v>0</v>
      </c>
      <c r="AA1030" s="1026">
        <v>0</v>
      </c>
      <c r="AB1030" s="1026">
        <v>0</v>
      </c>
      <c r="AC1030" s="1009">
        <v>0.10366787768266472</v>
      </c>
      <c r="AD1030" s="1007">
        <v>8.8376794932421898E-2</v>
      </c>
      <c r="AE1030" s="1009">
        <v>0</v>
      </c>
      <c r="AF1030" s="1009">
        <v>15.613866180372479</v>
      </c>
      <c r="AG1030" s="1013">
        <f xml:space="preserve"> IF(C1030&lt; DATE(2024, 11, 1), S1030 * (2.31 / 100), S1030 * (2.925 / 100))+T1030*T$6+U1038*U$6+V1030*V$6+W1030*W$6+X1030*X$6+Y1030*Y$6+Z1030*Z$6+AA1030*AA$6+AB1030*AB$6+AC1030*AC$6+AD1030*AD$6+AE1030*AE$6+AF1030*AF$6</f>
        <v>8.4674337713812662</v>
      </c>
      <c r="AH1030" s="1045">
        <v>202601</v>
      </c>
      <c r="AI1030" s="1017"/>
      <c r="AJ1030" s="931" t="s">
        <v>2233</v>
      </c>
      <c r="AK1030" s="262"/>
      <c r="AL1030" s="262"/>
    </row>
    <row r="1031" spans="3:38" ht="15.75" hidden="1">
      <c r="C1031" s="1032">
        <v>46039</v>
      </c>
      <c r="D1031" s="1004">
        <v>332410</v>
      </c>
      <c r="E1031" s="1004">
        <v>0</v>
      </c>
      <c r="F1031" s="1004">
        <v>22631.64</v>
      </c>
      <c r="G1031" s="1004">
        <v>4588</v>
      </c>
      <c r="H1031" s="1004">
        <v>2179</v>
      </c>
      <c r="I1031" s="1004">
        <v>176835</v>
      </c>
      <c r="J1031" s="1004">
        <v>162898</v>
      </c>
      <c r="K1031" s="1004">
        <v>54844.31</v>
      </c>
      <c r="L1031" s="1004">
        <v>9212</v>
      </c>
      <c r="M1031" s="1004">
        <v>447417</v>
      </c>
      <c r="N1031" s="1004">
        <v>3373</v>
      </c>
      <c r="O1031" s="1004">
        <v>4992</v>
      </c>
      <c r="P1031" s="1004">
        <v>0</v>
      </c>
      <c r="Q1031" s="337">
        <v>0</v>
      </c>
      <c r="R1031" s="1051">
        <f t="shared" si="58"/>
        <v>143956.603</v>
      </c>
      <c r="S1031" s="1016">
        <v>15.87157755835389</v>
      </c>
      <c r="T1031" s="1016">
        <v>-6.6709999999999998E-3</v>
      </c>
      <c r="U1031" s="1016">
        <v>3.4079575927305102E-3</v>
      </c>
      <c r="V1031" s="1015">
        <v>0.03</v>
      </c>
      <c r="W1031" s="1016">
        <v>0.28010000000000002</v>
      </c>
      <c r="X1031" s="1010">
        <v>12.132</v>
      </c>
      <c r="Y1031" s="1016">
        <v>10.029999999999999</v>
      </c>
      <c r="Z1031" s="1026">
        <v>0</v>
      </c>
      <c r="AA1031" s="1026">
        <v>0</v>
      </c>
      <c r="AB1031" s="1026">
        <v>0</v>
      </c>
      <c r="AC1031" s="1016">
        <v>0.10553678779658328</v>
      </c>
      <c r="AD1031" s="1016">
        <v>0</v>
      </c>
      <c r="AE1031" s="1016">
        <v>0</v>
      </c>
      <c r="AF1031" s="1016">
        <v>15.605427768039938</v>
      </c>
      <c r="AG1031" s="1013">
        <f xml:space="preserve"> IF(C1031&lt; DATE(2024, 11, 1), S1031 * (2.31 / 100), S1031 * (2.925 / 100))+T1031*T$6+U1039*U$6+V1031*V$6+W1031*W$6+X1031*X$6+Y1031*Y$6+Z1031*Z$6+AA1031*AA$6+AB1031*AB$6+AC1031*AC$6+AD1031*AD$6+AE1031*AE$6+AF1031*AF$6</f>
        <v>8.4586598111211764</v>
      </c>
      <c r="AH1031" s="1045">
        <v>202601</v>
      </c>
      <c r="AI1031" s="1017"/>
      <c r="AJ1031" s="931" t="s">
        <v>2232</v>
      </c>
      <c r="AK1031" s="262"/>
      <c r="AL1031" s="262"/>
    </row>
    <row r="1032" spans="3:38" ht="15.75" hidden="1">
      <c r="C1032" s="1032">
        <v>46040</v>
      </c>
      <c r="D1032" s="1001">
        <v>339172</v>
      </c>
      <c r="E1032" s="1001">
        <v>0</v>
      </c>
      <c r="F1032" s="1001">
        <v>22128.49</v>
      </c>
      <c r="G1032" s="1001">
        <v>4561</v>
      </c>
      <c r="H1032" s="1001">
        <v>2205</v>
      </c>
      <c r="I1032" s="1001">
        <v>175801</v>
      </c>
      <c r="J1032" s="1001">
        <v>158890</v>
      </c>
      <c r="K1032" s="1001">
        <v>55888.15</v>
      </c>
      <c r="L1032" s="1001">
        <v>15052</v>
      </c>
      <c r="M1032" s="1001">
        <v>440360</v>
      </c>
      <c r="N1032" s="1001">
        <v>3357</v>
      </c>
      <c r="O1032" s="1001">
        <v>1997</v>
      </c>
      <c r="P1032" s="1001">
        <v>0</v>
      </c>
      <c r="Q1032" s="337">
        <v>0</v>
      </c>
      <c r="R1032" s="1051">
        <f t="shared" si="58"/>
        <v>142753.62649999998</v>
      </c>
      <c r="S1032" s="1009">
        <v>14.951564079547607</v>
      </c>
      <c r="T1032" s="1009">
        <v>1.5786000000000001E-2</v>
      </c>
      <c r="U1032" s="1007">
        <v>3.4079575927305102E-3</v>
      </c>
      <c r="V1032" s="1007">
        <v>0.03</v>
      </c>
      <c r="W1032" s="1009">
        <v>0.27947000000000005</v>
      </c>
      <c r="X1032" s="1010">
        <v>12.180999999999999</v>
      </c>
      <c r="Y1032" s="1009">
        <v>9.99</v>
      </c>
      <c r="Z1032" s="1026">
        <v>0</v>
      </c>
      <c r="AA1032" s="1026">
        <v>0</v>
      </c>
      <c r="AB1032" s="1026">
        <v>0</v>
      </c>
      <c r="AC1032" s="1009">
        <v>0.10502708503824186</v>
      </c>
      <c r="AD1032" s="1009">
        <v>0</v>
      </c>
      <c r="AE1032" s="1009">
        <v>0</v>
      </c>
      <c r="AF1032" s="1009">
        <v>15.584926390426647</v>
      </c>
      <c r="AG1032" s="1013">
        <f xml:space="preserve"> IF(C1032&lt; DATE(2024, 11, 1), S1032 * (2.31 / 100), S1032 * (2.925 / 100))+T1032*T$6+U1040*U$6+V1032*V$6+W1032*W$6+X1032*X$6+Y1032*Y$6+Z1032*Z$6+AA1032*AA$6+AB1032*AB$6+AC1032*AC$6+AD1032*AD$6+AE1032*AE$6+AF1032*AF$6</f>
        <v>8.4330415053684149</v>
      </c>
      <c r="AH1032" s="1045">
        <v>202601</v>
      </c>
      <c r="AI1032" s="1017"/>
      <c r="AJ1032" s="931" t="s">
        <v>2234</v>
      </c>
      <c r="AK1032" s="262"/>
      <c r="AL1032" s="262"/>
    </row>
    <row r="1033" spans="3:38" ht="15.75" hidden="1">
      <c r="C1033" s="1032">
        <v>46041</v>
      </c>
      <c r="D1033" s="1004">
        <v>307670</v>
      </c>
      <c r="E1033" s="1004">
        <v>497</v>
      </c>
      <c r="F1033" s="1004">
        <v>22141.4</v>
      </c>
      <c r="G1033" s="1004">
        <v>4532</v>
      </c>
      <c r="H1033" s="1004">
        <v>2192</v>
      </c>
      <c r="I1033" s="1004">
        <v>176516</v>
      </c>
      <c r="J1033" s="1004">
        <v>159784</v>
      </c>
      <c r="K1033" s="1004">
        <v>54686.82</v>
      </c>
      <c r="L1033" s="1004">
        <v>14753</v>
      </c>
      <c r="M1033" s="1004">
        <v>466754</v>
      </c>
      <c r="N1033" s="1004">
        <v>3361</v>
      </c>
      <c r="O1033" s="1004">
        <v>0</v>
      </c>
      <c r="P1033" s="1004">
        <v>0</v>
      </c>
      <c r="Q1033" s="337">
        <v>0</v>
      </c>
      <c r="R1033" s="1051">
        <f t="shared" si="58"/>
        <v>142208.29375000001</v>
      </c>
      <c r="S1033" s="1016">
        <v>14.837447295318945</v>
      </c>
      <c r="T1033" s="1016">
        <v>8.0682000000000004E-2</v>
      </c>
      <c r="U1033" s="1016">
        <v>3.4079575927305102E-3</v>
      </c>
      <c r="V1033" s="1016">
        <v>2.941032E-2</v>
      </c>
      <c r="W1033" s="1016">
        <v>0.28593999999999997</v>
      </c>
      <c r="X1033" s="1010">
        <v>12.122</v>
      </c>
      <c r="Y1033" s="1016">
        <v>9.85</v>
      </c>
      <c r="Z1033" s="1026">
        <v>0</v>
      </c>
      <c r="AA1033" s="1026">
        <v>0</v>
      </c>
      <c r="AB1033" s="1026">
        <v>0</v>
      </c>
      <c r="AC1033" s="1016">
        <v>0.1127858936929947</v>
      </c>
      <c r="AD1033" s="1016">
        <v>0</v>
      </c>
      <c r="AE1033" s="1016">
        <v>0</v>
      </c>
      <c r="AF1033" s="1016">
        <v>15.573231543804706</v>
      </c>
      <c r="AG1033" s="1013">
        <f t="shared" ref="AG1033:AG1038" si="59" xml:space="preserve"> IF(C1033&lt; DATE(2024, 11, 1), S1033 * (2.31 / 100), S1033 * (2.925 / 100))+T1033*T$6+U1042*U$6+V1033*V$6+W1033*W$6+X1033*X$6+Y1033*Y$6+Z1033*Z$6+AA1033*AA$6+AB1033*AB$6+AC1033*AC$6+AD1033*AD$6+AE1033*AE$6+AF1033*AF$6</f>
        <v>8.4040660144560206</v>
      </c>
      <c r="AH1033" s="1045">
        <v>202601</v>
      </c>
      <c r="AI1033" s="1017"/>
      <c r="AJ1033" s="931" t="s">
        <v>2235</v>
      </c>
      <c r="AK1033" s="262"/>
      <c r="AL1033" s="262"/>
    </row>
    <row r="1034" spans="3:38" ht="15.75" hidden="1">
      <c r="C1034" s="1032">
        <v>46042</v>
      </c>
      <c r="D1034" s="1001">
        <v>344755</v>
      </c>
      <c r="E1034" s="1001">
        <v>12453</v>
      </c>
      <c r="F1034" s="1001">
        <v>22106.280000000002</v>
      </c>
      <c r="G1034" s="1001">
        <v>4571</v>
      </c>
      <c r="H1034" s="1001">
        <v>2223</v>
      </c>
      <c r="I1034" s="1001">
        <v>177863</v>
      </c>
      <c r="J1034" s="1001">
        <v>157456</v>
      </c>
      <c r="K1034" s="1001">
        <v>52654.25</v>
      </c>
      <c r="L1034" s="1001">
        <v>12617</v>
      </c>
      <c r="M1034" s="1001">
        <v>480938</v>
      </c>
      <c r="N1034" s="1001">
        <v>3372</v>
      </c>
      <c r="O1034" s="1001">
        <v>0</v>
      </c>
      <c r="P1034" s="1001">
        <v>0</v>
      </c>
      <c r="Q1034" s="337">
        <v>0</v>
      </c>
      <c r="R1034" s="1051">
        <f t="shared" si="58"/>
        <v>145756.30350000001</v>
      </c>
      <c r="S1034" s="1009">
        <v>14.950997743149456</v>
      </c>
      <c r="T1034" s="1009">
        <v>0.10671600000000001</v>
      </c>
      <c r="U1034" s="1007">
        <v>3.4079575927305102E-3</v>
      </c>
      <c r="V1034" s="1009">
        <v>0.03</v>
      </c>
      <c r="W1034" s="1009">
        <v>0.29586000000000001</v>
      </c>
      <c r="X1034" s="1010">
        <v>12.185945229606933</v>
      </c>
      <c r="Y1034" s="1009">
        <v>9.93</v>
      </c>
      <c r="Z1034" s="1026">
        <v>0</v>
      </c>
      <c r="AA1034" s="1009">
        <v>0</v>
      </c>
      <c r="AB1034" s="1009">
        <v>0</v>
      </c>
      <c r="AC1034" s="1009">
        <v>0.11315401235179684</v>
      </c>
      <c r="AD1034" s="1009">
        <v>0</v>
      </c>
      <c r="AE1034" s="1009">
        <v>0</v>
      </c>
      <c r="AF1034" s="1009">
        <v>15.57444916706074</v>
      </c>
      <c r="AG1034" s="1013">
        <f t="shared" si="59"/>
        <v>8.4584679199824429</v>
      </c>
      <c r="AH1034" s="1045">
        <v>202601</v>
      </c>
      <c r="AI1034" s="1017"/>
      <c r="AJ1034" s="931" t="s">
        <v>2235</v>
      </c>
      <c r="AK1034" s="262"/>
      <c r="AL1034" s="262"/>
    </row>
    <row r="1035" spans="3:38" ht="15.75" hidden="1">
      <c r="C1035" s="1032">
        <v>46043</v>
      </c>
      <c r="D1035" s="1004">
        <v>332084</v>
      </c>
      <c r="E1035" s="1004">
        <v>22226</v>
      </c>
      <c r="F1035" s="1004">
        <v>22131.919999999998</v>
      </c>
      <c r="G1035" s="1004">
        <v>4088</v>
      </c>
      <c r="H1035" s="1004">
        <v>2241</v>
      </c>
      <c r="I1035" s="1004">
        <v>187181</v>
      </c>
      <c r="J1035" s="1004">
        <v>158384</v>
      </c>
      <c r="K1035" s="1004">
        <v>55815.31</v>
      </c>
      <c r="L1035" s="1004">
        <v>14336</v>
      </c>
      <c r="M1035" s="1004">
        <v>470492</v>
      </c>
      <c r="N1035" s="1004">
        <v>3427</v>
      </c>
      <c r="O1035" s="1004">
        <v>0</v>
      </c>
      <c r="P1035" s="1004">
        <v>0</v>
      </c>
      <c r="Q1035" s="337">
        <v>0</v>
      </c>
      <c r="R1035" s="1051">
        <f t="shared" si="58"/>
        <v>150716.89850000001</v>
      </c>
      <c r="S1035" s="1016">
        <v>14.896629448926365</v>
      </c>
      <c r="T1035" s="1016">
        <v>0.174513</v>
      </c>
      <c r="U1035" s="1016">
        <v>3.4079575927305102E-3</v>
      </c>
      <c r="V1035" s="1016">
        <v>2.8591872000000004E-2</v>
      </c>
      <c r="W1035" s="1016">
        <v>0.30354999999999999</v>
      </c>
      <c r="X1035" s="1010">
        <v>12.124000000000001</v>
      </c>
      <c r="Y1035" s="1016">
        <v>9.85</v>
      </c>
      <c r="Z1035" s="1026">
        <v>0</v>
      </c>
      <c r="AA1035" s="1026">
        <v>0</v>
      </c>
      <c r="AB1035" s="1026">
        <v>0</v>
      </c>
      <c r="AC1035" s="1016">
        <v>0.11499460564580755</v>
      </c>
      <c r="AD1035" s="1016">
        <v>0</v>
      </c>
      <c r="AE1035" s="1016">
        <v>0</v>
      </c>
      <c r="AF1035" s="1016">
        <v>15.610892914282154</v>
      </c>
      <c r="AG1035" s="1013">
        <f t="shared" si="59"/>
        <v>8.4553776297450121</v>
      </c>
      <c r="AH1035" s="1045">
        <v>202601</v>
      </c>
      <c r="AI1035" s="1017"/>
      <c r="AJ1035" s="931" t="s">
        <v>2236</v>
      </c>
      <c r="AK1035" s="262"/>
      <c r="AL1035" s="262"/>
    </row>
    <row r="1036" spans="3:38" ht="15.75" hidden="1">
      <c r="C1036" s="1032">
        <v>46044</v>
      </c>
      <c r="D1036" s="1001">
        <v>329424</v>
      </c>
      <c r="E1036" s="1001">
        <v>26214</v>
      </c>
      <c r="F1036" s="1001">
        <v>22104.32</v>
      </c>
      <c r="G1036" s="1001">
        <v>4037</v>
      </c>
      <c r="H1036" s="1001">
        <v>2296</v>
      </c>
      <c r="I1036" s="1001">
        <v>165506</v>
      </c>
      <c r="J1036" s="1001">
        <v>158903</v>
      </c>
      <c r="K1036" s="1001">
        <v>52543.91</v>
      </c>
      <c r="L1036" s="1001">
        <v>14160</v>
      </c>
      <c r="M1036" s="1001">
        <v>441883</v>
      </c>
      <c r="N1036" s="1001">
        <v>3403</v>
      </c>
      <c r="O1036" s="1001">
        <v>0</v>
      </c>
      <c r="P1036" s="1001">
        <v>0</v>
      </c>
      <c r="Q1036" s="337">
        <v>0</v>
      </c>
      <c r="R1036" s="1051">
        <f t="shared" si="58"/>
        <v>145518.6635</v>
      </c>
      <c r="S1036" s="1009">
        <v>14.985261095237961</v>
      </c>
      <c r="T1036" s="1009">
        <v>0.189248</v>
      </c>
      <c r="U1036" s="1007">
        <v>3.4079575927305102E-3</v>
      </c>
      <c r="V1036" s="1009">
        <v>0.03</v>
      </c>
      <c r="W1036" s="1009">
        <v>0.29675999999999997</v>
      </c>
      <c r="X1036" s="1010">
        <v>12.151936728897597</v>
      </c>
      <c r="Y1036" s="1009">
        <v>9.84</v>
      </c>
      <c r="Z1036" s="1026">
        <v>0</v>
      </c>
      <c r="AA1036" s="1026">
        <v>0</v>
      </c>
      <c r="AB1036" s="1026">
        <v>0</v>
      </c>
      <c r="AC1036" s="1009">
        <v>0.11420173468838755</v>
      </c>
      <c r="AD1036" s="1009">
        <v>0</v>
      </c>
      <c r="AE1036" s="1009">
        <v>0</v>
      </c>
      <c r="AF1036" s="1009">
        <v>15.621285187188336</v>
      </c>
      <c r="AG1036" s="1013">
        <f t="shared" si="59"/>
        <v>8.4605294357678815</v>
      </c>
      <c r="AH1036" s="1045">
        <v>202601</v>
      </c>
      <c r="AI1036" s="1017"/>
      <c r="AJ1036" s="931" t="s">
        <v>2237</v>
      </c>
      <c r="AK1036" s="262"/>
      <c r="AL1036" s="262"/>
    </row>
    <row r="1037" spans="3:38" ht="16.350000000000001" hidden="1" customHeight="1">
      <c r="C1037" s="1032">
        <v>46045</v>
      </c>
      <c r="D1037" s="1004">
        <v>336873</v>
      </c>
      <c r="E1037" s="1004">
        <v>37239</v>
      </c>
      <c r="F1037" s="1004">
        <v>22069.25</v>
      </c>
      <c r="G1037" s="1004">
        <v>4157</v>
      </c>
      <c r="H1037" s="1004">
        <v>2209</v>
      </c>
      <c r="I1037" s="1004">
        <v>133469</v>
      </c>
      <c r="J1037" s="1004">
        <v>158390</v>
      </c>
      <c r="K1037" s="1004">
        <v>55226.65</v>
      </c>
      <c r="L1037" s="1004">
        <v>13388</v>
      </c>
      <c r="M1037" s="1004">
        <v>424803</v>
      </c>
      <c r="N1037" s="1004">
        <v>3462</v>
      </c>
      <c r="O1037" s="1004">
        <v>3989</v>
      </c>
      <c r="P1037" s="1004">
        <v>0</v>
      </c>
      <c r="Q1037" s="337">
        <v>0</v>
      </c>
      <c r="R1037" s="1051">
        <f t="shared" si="58"/>
        <v>143524.29775000003</v>
      </c>
      <c r="S1037" s="1016">
        <v>14.780247319105076</v>
      </c>
      <c r="T1037" s="1016">
        <v>0.254029</v>
      </c>
      <c r="U1037" s="1016">
        <v>3.4079575927305102E-3</v>
      </c>
      <c r="V1037" s="1016">
        <v>2.9000000000000001E-2</v>
      </c>
      <c r="W1037" s="1016">
        <v>0.29143999999999998</v>
      </c>
      <c r="X1037" s="1010">
        <v>12.119</v>
      </c>
      <c r="Y1037" s="1016">
        <v>9.9600000000000009</v>
      </c>
      <c r="Z1037" s="1026">
        <v>0</v>
      </c>
      <c r="AA1037" s="1026">
        <v>0</v>
      </c>
      <c r="AB1037" s="1026">
        <v>0</v>
      </c>
      <c r="AC1037" s="1016">
        <v>0.11615559526202969</v>
      </c>
      <c r="AD1037" s="1016">
        <v>0</v>
      </c>
      <c r="AE1037" s="1016">
        <v>0</v>
      </c>
      <c r="AF1037" s="1016">
        <v>15.602765986968597</v>
      </c>
      <c r="AG1037" s="1013">
        <f t="shared" si="59"/>
        <v>8.4878829676622196</v>
      </c>
      <c r="AH1037" s="1045">
        <v>202601</v>
      </c>
      <c r="AI1037" s="1017"/>
      <c r="AJ1037" s="931" t="s">
        <v>2240</v>
      </c>
      <c r="AK1037" s="262"/>
      <c r="AL1037" s="262"/>
    </row>
    <row r="1038" spans="3:38" ht="15.75" hidden="1">
      <c r="C1038" s="1032">
        <v>46046</v>
      </c>
      <c r="D1038" s="1001">
        <v>312149</v>
      </c>
      <c r="E1038" s="1001">
        <v>24396</v>
      </c>
      <c r="F1038" s="1001">
        <v>22054.620000000003</v>
      </c>
      <c r="G1038" s="1001">
        <v>4625</v>
      </c>
      <c r="H1038" s="1001">
        <v>2183</v>
      </c>
      <c r="I1038" s="1001">
        <v>134431</v>
      </c>
      <c r="J1038" s="1001">
        <v>157622</v>
      </c>
      <c r="K1038" s="1001">
        <v>55309.62</v>
      </c>
      <c r="L1038" s="1001">
        <v>13713</v>
      </c>
      <c r="M1038" s="1001">
        <v>484308</v>
      </c>
      <c r="N1038" s="1001">
        <v>3481</v>
      </c>
      <c r="O1038" s="1001">
        <v>0</v>
      </c>
      <c r="P1038" s="1001">
        <v>0</v>
      </c>
      <c r="Q1038" s="337">
        <v>0</v>
      </c>
      <c r="R1038" s="1051">
        <f t="shared" si="58"/>
        <v>140409.8285</v>
      </c>
      <c r="S1038" s="1009">
        <v>14.617425604634898</v>
      </c>
      <c r="T1038" s="1009">
        <v>0.13048499999999999</v>
      </c>
      <c r="U1038" s="1007">
        <v>3.4079575927305102E-3</v>
      </c>
      <c r="V1038" s="1009">
        <v>2.9000000000000001E-2</v>
      </c>
      <c r="W1038" s="1009">
        <v>0.28910000000000002</v>
      </c>
      <c r="X1038" s="1010">
        <v>12.047000000000001</v>
      </c>
      <c r="Y1038" s="1009">
        <v>9.8699999999999992</v>
      </c>
      <c r="Z1038" s="1026">
        <v>0</v>
      </c>
      <c r="AA1038" s="1026">
        <v>0</v>
      </c>
      <c r="AB1038" s="1026">
        <v>0</v>
      </c>
      <c r="AC1038" s="1009">
        <v>0.1168068821199104</v>
      </c>
      <c r="AD1038" s="1009">
        <v>0</v>
      </c>
      <c r="AE1038" s="1009">
        <v>0</v>
      </c>
      <c r="AF1038" s="1009">
        <v>15.598518463982419</v>
      </c>
      <c r="AG1038" s="1013">
        <f t="shared" si="59"/>
        <v>8.4089731151606824</v>
      </c>
      <c r="AH1038" s="1045">
        <v>202601</v>
      </c>
      <c r="AI1038" s="1017"/>
      <c r="AJ1038" s="931" t="s">
        <v>2238</v>
      </c>
      <c r="AK1038" s="262"/>
      <c r="AL1038" s="262"/>
    </row>
    <row r="1039" spans="3:38" ht="15.75" hidden="1">
      <c r="C1039" s="1032">
        <v>46047</v>
      </c>
      <c r="D1039" s="1004">
        <v>354720</v>
      </c>
      <c r="E1039" s="1004">
        <v>16704</v>
      </c>
      <c r="F1039" s="1004">
        <v>22044.68</v>
      </c>
      <c r="G1039" s="1004">
        <v>4715</v>
      </c>
      <c r="H1039" s="1004">
        <v>2169</v>
      </c>
      <c r="I1039" s="1004">
        <v>131372</v>
      </c>
      <c r="J1039" s="1004">
        <v>157905</v>
      </c>
      <c r="K1039" s="1004">
        <v>53411.58</v>
      </c>
      <c r="L1039" s="1004">
        <v>12280</v>
      </c>
      <c r="M1039" s="1004">
        <v>486562</v>
      </c>
      <c r="N1039" s="1004">
        <v>3801</v>
      </c>
      <c r="O1039" s="1004">
        <v>0</v>
      </c>
      <c r="P1039" s="1004">
        <v>0</v>
      </c>
      <c r="Q1039" s="337">
        <v>0</v>
      </c>
      <c r="R1039" s="1051">
        <f t="shared" si="58"/>
        <v>138369.15100000001</v>
      </c>
      <c r="S1039" s="1016">
        <v>14.638946387764864</v>
      </c>
      <c r="T1039" s="1016">
        <v>0.13829</v>
      </c>
      <c r="U1039" s="1016">
        <v>3.4079575927305102E-3</v>
      </c>
      <c r="V1039" s="1016">
        <v>2.9000000000000001E-2</v>
      </c>
      <c r="W1039" s="1016">
        <v>0.28372000000000003</v>
      </c>
      <c r="X1039" s="1010">
        <v>12.053000000000001</v>
      </c>
      <c r="Y1039" s="1016">
        <v>9.7100000000000009</v>
      </c>
      <c r="Z1039" s="1026">
        <v>0</v>
      </c>
      <c r="AA1039" s="1026">
        <v>0</v>
      </c>
      <c r="AB1039" s="1026">
        <v>0</v>
      </c>
      <c r="AC1039" s="1016">
        <v>0.1275389568649882</v>
      </c>
      <c r="AD1039" s="1016">
        <v>0</v>
      </c>
      <c r="AE1039" s="1016">
        <v>0</v>
      </c>
      <c r="AF1039" s="1016">
        <v>15.629157263122721</v>
      </c>
      <c r="AG1039" s="1013">
        <f xml:space="preserve"> IF(C1039&lt; DATE(2024, 11, 1), S1039 * (2.31 / 100), S1039 * (2.925 / 100))+T1039*T$6+U1049*U$6+V1039*V$6+W1039*W$6+X1039*X$6+Y1039*Y$6+Z1039*Z$6+AA1039*AA$6+AB1039*AB$6+AC1039*AC$6+AD1039*AD$6+AE1039*AE$6+AF1039*AF$6</f>
        <v>8.3723190721430463</v>
      </c>
      <c r="AH1039" s="1045">
        <v>202601</v>
      </c>
      <c r="AI1039" s="1017"/>
      <c r="AJ1039" s="931" t="s">
        <v>2239</v>
      </c>
      <c r="AK1039" s="262"/>
      <c r="AL1039" s="262"/>
    </row>
    <row r="1040" spans="3:38" ht="15.75" hidden="1">
      <c r="C1040" s="1032">
        <v>46048</v>
      </c>
      <c r="D1040" s="1001">
        <v>343051</v>
      </c>
      <c r="E1040" s="1001">
        <v>3277</v>
      </c>
      <c r="F1040" s="1001">
        <v>22036.670000000002</v>
      </c>
      <c r="G1040" s="1001">
        <v>4731</v>
      </c>
      <c r="H1040" s="1001">
        <v>2168</v>
      </c>
      <c r="I1040" s="1001">
        <v>152885</v>
      </c>
      <c r="J1040" s="1001">
        <v>156711</v>
      </c>
      <c r="K1040" s="1001">
        <v>51261.64</v>
      </c>
      <c r="L1040" s="1001">
        <v>13833</v>
      </c>
      <c r="M1040" s="1001">
        <v>466909</v>
      </c>
      <c r="N1040" s="1001">
        <v>4116</v>
      </c>
      <c r="O1040" s="1001">
        <v>0</v>
      </c>
      <c r="P1040" s="1001">
        <v>0</v>
      </c>
      <c r="Q1040" s="337">
        <v>0</v>
      </c>
      <c r="R1040" s="1051">
        <f t="shared" si="58"/>
        <v>137481.80200000003</v>
      </c>
      <c r="S1040" s="1009">
        <v>14.786193851285724</v>
      </c>
      <c r="T1040" s="1049">
        <v>4.581E-3</v>
      </c>
      <c r="U1040" s="1007">
        <v>3.4079575927305102E-3</v>
      </c>
      <c r="V1040" s="1009">
        <v>2.9393328000000003E-2</v>
      </c>
      <c r="W1040" s="1009">
        <v>0.28222000000000003</v>
      </c>
      <c r="X1040" s="1010">
        <v>12.145</v>
      </c>
      <c r="Y1040" s="1009">
        <v>9.75</v>
      </c>
      <c r="Z1040" s="1026">
        <v>0</v>
      </c>
      <c r="AA1040" s="1026">
        <v>0</v>
      </c>
      <c r="AB1040" s="1026">
        <v>0</v>
      </c>
      <c r="AC1040" s="1009">
        <v>0.13810113069061891</v>
      </c>
      <c r="AD1040" s="1009">
        <v>0</v>
      </c>
      <c r="AE1040" s="1009">
        <v>0</v>
      </c>
      <c r="AF1040" s="1009">
        <v>15.395713399802348</v>
      </c>
      <c r="AG1040" s="1013">
        <f xml:space="preserve"> IF(C1040&lt; DATE(2024, 11, 1), S1040 * (2.31 / 100), S1040 * (2.925 / 100))+T1040*T$6+U1050*U$6+V1040*V$6+W1040*W$6+X1040*X$6+Y1040*Y$6+Z1040*Z$6+AA1040*AA$6+AB1040*AB$6+AC1040*AC$6+AD1040*AD$6+AE1040*AE$6+AF1040*AF$6</f>
        <v>8.329497676807387</v>
      </c>
      <c r="AH1040" s="1045">
        <v>202601</v>
      </c>
      <c r="AI1040" s="1017"/>
      <c r="AJ1040" s="931" t="s">
        <v>2241</v>
      </c>
      <c r="AK1040" s="262"/>
      <c r="AL1040" s="262"/>
    </row>
    <row r="1041" spans="3:38" ht="15.75" hidden="1">
      <c r="C1041" s="1032">
        <v>46049</v>
      </c>
      <c r="D1041" s="1004">
        <v>337396</v>
      </c>
      <c r="E1041" s="1004">
        <v>912</v>
      </c>
      <c r="F1041" s="1004">
        <v>22023.88</v>
      </c>
      <c r="G1041" s="1004">
        <v>4625</v>
      </c>
      <c r="H1041" s="1004">
        <v>2166</v>
      </c>
      <c r="I1041" s="1004">
        <v>183364</v>
      </c>
      <c r="J1041" s="1004">
        <v>157141</v>
      </c>
      <c r="K1041" s="1004">
        <v>49875.41</v>
      </c>
      <c r="L1041" s="1004">
        <v>12777</v>
      </c>
      <c r="M1041" s="1004">
        <v>463546</v>
      </c>
      <c r="N1041" s="1004">
        <v>5103</v>
      </c>
      <c r="O1041" s="1004">
        <v>0</v>
      </c>
      <c r="P1041" s="1004">
        <v>0</v>
      </c>
      <c r="Q1041" s="337">
        <v>0</v>
      </c>
      <c r="R1041" s="1051">
        <f t="shared" si="58"/>
        <v>142194.22275000002</v>
      </c>
      <c r="S1041" s="1016">
        <v>14.735223575451585</v>
      </c>
      <c r="T1041" s="1048">
        <v>3.5873000000000002E-2</v>
      </c>
      <c r="U1041" s="1016">
        <v>3.4079575927305102E-3</v>
      </c>
      <c r="V1041" s="1016">
        <v>2.9000000000000001E-2</v>
      </c>
      <c r="W1041" s="1016">
        <v>0.28041000000000005</v>
      </c>
      <c r="X1041" s="1010">
        <v>12.118551198226234</v>
      </c>
      <c r="Y1041" s="1016">
        <v>9.82</v>
      </c>
      <c r="Z1041" s="1026">
        <v>0</v>
      </c>
      <c r="AA1041" s="1026">
        <v>0</v>
      </c>
      <c r="AB1041" s="1026">
        <v>0</v>
      </c>
      <c r="AC1041" s="1016">
        <v>0.18142586514964024</v>
      </c>
      <c r="AD1041" s="1015">
        <v>0</v>
      </c>
      <c r="AE1041" s="1016">
        <v>0</v>
      </c>
      <c r="AF1041" s="1016">
        <v>15.610015092865011</v>
      </c>
      <c r="AG1041" s="1013">
        <f xml:space="preserve"> IF(C1041&lt; DATE(2024, 11, 1), S1041 * (2.31 / 100), S1041 * (2.925 / 100))+T1041*T$6+U1056*U$6+V1041*V$6+W1041*W$6+X1041*X$6+Y1041*Y$6+Z1041*Z$6+AA1041*AA$6+AB1041*AB$6+AC1041*AC$6+AD1041*AD$6+AE1041*AE$6+AF1041*AF$6</f>
        <v>8.3885562204956301</v>
      </c>
      <c r="AH1041" s="1045">
        <v>202601</v>
      </c>
      <c r="AI1041" s="1017"/>
      <c r="AJ1041" s="931" t="s">
        <v>2241</v>
      </c>
      <c r="AK1041" s="262"/>
      <c r="AL1041" s="262"/>
    </row>
    <row r="1042" spans="3:38" ht="15.75" hidden="1">
      <c r="C1042" s="1032">
        <v>46050</v>
      </c>
      <c r="D1042" s="1001">
        <v>326548</v>
      </c>
      <c r="E1042" s="1001">
        <v>1113</v>
      </c>
      <c r="F1042" s="1001">
        <v>22011.07</v>
      </c>
      <c r="G1042" s="1001">
        <v>4561</v>
      </c>
      <c r="H1042" s="1001">
        <v>2149</v>
      </c>
      <c r="I1042" s="1001">
        <v>187985</v>
      </c>
      <c r="J1042" s="1001">
        <v>157616</v>
      </c>
      <c r="K1042" s="1001">
        <v>53149.69</v>
      </c>
      <c r="L1042" s="1001">
        <v>12435</v>
      </c>
      <c r="M1042" s="1001">
        <v>441886</v>
      </c>
      <c r="N1042" s="1001">
        <v>5065</v>
      </c>
      <c r="O1042" s="1001">
        <v>0</v>
      </c>
      <c r="P1042" s="1001">
        <v>0</v>
      </c>
      <c r="Q1042" s="337">
        <v>0</v>
      </c>
      <c r="R1042" s="1051">
        <f t="shared" si="58"/>
        <v>142786.40424999999</v>
      </c>
      <c r="S1042" s="1009">
        <v>14.871993815606533</v>
      </c>
      <c r="T1042" s="1049">
        <v>4.0523000000000003E-2</v>
      </c>
      <c r="U1042" s="1007">
        <v>3.4079575927305102E-3</v>
      </c>
      <c r="V1042" s="1009">
        <v>2.5000000000000001E-2</v>
      </c>
      <c r="W1042" s="1009">
        <v>0.27845999999999999</v>
      </c>
      <c r="X1042" s="1010">
        <v>12.369</v>
      </c>
      <c r="Y1042" s="1009">
        <v>9.7899999999999991</v>
      </c>
      <c r="Z1042" s="1026">
        <v>0</v>
      </c>
      <c r="AA1042" s="1026">
        <v>0</v>
      </c>
      <c r="AB1042" s="1026">
        <v>0</v>
      </c>
      <c r="AC1042" s="1009">
        <v>0.16995755308695812</v>
      </c>
      <c r="AD1042" s="1007">
        <v>0</v>
      </c>
      <c r="AE1042" s="1009">
        <v>0</v>
      </c>
      <c r="AF1042" s="1009">
        <v>15.597499058465738</v>
      </c>
      <c r="AG1042" s="1013">
        <f xml:space="preserve"> IF(C1042&lt; DATE(2024, 11, 1), S1042 * (2.31 / 100), S1042 * (2.925 / 100))+T1042*T$6+U1057*U$6+V1042*V$6+W1042*W$6+X1042*X$6+Y1042*Y$6+Z1042*Z$6+AA1042*AA$6+AB1042*AB$6+AC1042*AC$6+AD1042*AD$6+AE1042*AE$6+AF1042*AF$6</f>
        <v>8.4287627702001444</v>
      </c>
      <c r="AH1042" s="1045">
        <v>202601</v>
      </c>
      <c r="AI1042" s="1017"/>
      <c r="AJ1042" s="931" t="s">
        <v>2242</v>
      </c>
      <c r="AK1042" s="262"/>
      <c r="AL1042" s="262"/>
    </row>
    <row r="1043" spans="3:38" ht="15.75" hidden="1">
      <c r="C1043" s="1032">
        <v>46051</v>
      </c>
      <c r="D1043" s="1004">
        <v>344761</v>
      </c>
      <c r="E1043" s="1004">
        <v>44</v>
      </c>
      <c r="F1043" s="1004">
        <v>21978.89</v>
      </c>
      <c r="G1043" s="1004">
        <v>4577</v>
      </c>
      <c r="H1043" s="1004">
        <v>2164</v>
      </c>
      <c r="I1043" s="1004">
        <v>187403</v>
      </c>
      <c r="J1043" s="1004">
        <v>157422</v>
      </c>
      <c r="K1043" s="1004">
        <v>52347.71</v>
      </c>
      <c r="L1043" s="1004">
        <v>12848</v>
      </c>
      <c r="M1043" s="1004">
        <v>421943</v>
      </c>
      <c r="N1043" s="1004">
        <v>5076</v>
      </c>
      <c r="O1043" s="1004">
        <v>0</v>
      </c>
      <c r="P1043" s="1004">
        <v>0</v>
      </c>
      <c r="Q1043" s="337">
        <v>0</v>
      </c>
      <c r="R1043" s="1051">
        <f t="shared" si="58"/>
        <v>141966.76974999998</v>
      </c>
      <c r="S1043" s="1016">
        <v>14.811678989202793</v>
      </c>
      <c r="T1043" s="1048">
        <v>7.7769000000000005E-2</v>
      </c>
      <c r="U1043" s="1048">
        <v>3.4079575927305102E-3</v>
      </c>
      <c r="V1043" s="1016">
        <v>2.8000000000000001E-2</v>
      </c>
      <c r="W1043" s="1016">
        <v>0.28981000000000001</v>
      </c>
      <c r="X1043" s="1010">
        <v>12.038</v>
      </c>
      <c r="Y1043" s="1016">
        <v>9.92</v>
      </c>
      <c r="Z1043" s="1026">
        <v>0</v>
      </c>
      <c r="AA1043" s="1026">
        <v>0</v>
      </c>
      <c r="AB1043" s="1026">
        <v>0</v>
      </c>
      <c r="AC1043" s="1016">
        <v>0.17032567174576024</v>
      </c>
      <c r="AD1043" s="1015">
        <v>0</v>
      </c>
      <c r="AE1043" s="1016">
        <v>0</v>
      </c>
      <c r="AF1043" s="1016">
        <v>15.590844605787391</v>
      </c>
      <c r="AG1043" s="1013">
        <f xml:space="preserve"> IF(C1043&lt; DATE(2024, 11, 1), S1043 * (2.31 / 100), S1043 * (2.925 / 100))+T1043*T$6+U1058*U$6+V1043*V$6+W1043*W$6+X1043*X$6+Y1043*Y$6+Z1043*Z$6+AA1043*AA$6+AB1043*AB$6+AC1043*AC$6+AD1043*AD$6+AE1043*AE$6+AF1043*AF$6</f>
        <v>8.4164142176249825</v>
      </c>
      <c r="AH1043" s="1045">
        <v>202601</v>
      </c>
      <c r="AI1043" s="1017"/>
      <c r="AJ1043" s="931" t="s">
        <v>2243</v>
      </c>
      <c r="AK1043" s="262"/>
      <c r="AL1043" s="262"/>
    </row>
    <row r="1044" spans="3:38" ht="15.75" hidden="1">
      <c r="C1044" s="1032">
        <v>46052</v>
      </c>
      <c r="D1044" s="1001">
        <v>314298</v>
      </c>
      <c r="E1044" s="1001">
        <v>0</v>
      </c>
      <c r="F1044" s="1001">
        <v>21941.119999999999</v>
      </c>
      <c r="G1044" s="1001">
        <v>4611</v>
      </c>
      <c r="H1044" s="1001">
        <v>2208</v>
      </c>
      <c r="I1044" s="1001">
        <v>188997</v>
      </c>
      <c r="J1044" s="1001">
        <v>159145</v>
      </c>
      <c r="K1044" s="1001">
        <v>50317.37</v>
      </c>
      <c r="L1044" s="1001">
        <v>13439</v>
      </c>
      <c r="M1044" s="1001">
        <v>435689</v>
      </c>
      <c r="N1044" s="1001">
        <v>5051</v>
      </c>
      <c r="O1044" s="1001">
        <v>4976</v>
      </c>
      <c r="P1044" s="1001">
        <v>0</v>
      </c>
      <c r="Q1044" s="337">
        <v>0</v>
      </c>
      <c r="R1044" s="1051">
        <f t="shared" si="58"/>
        <v>144037.67174999998</v>
      </c>
      <c r="S1044" s="1009">
        <v>14.470744477512199</v>
      </c>
      <c r="T1044" s="1049">
        <v>7.3098999999999997E-2</v>
      </c>
      <c r="U1044" s="1007">
        <v>3.4079575927305102E-3</v>
      </c>
      <c r="V1044" s="1009">
        <v>2.9000000000000001E-2</v>
      </c>
      <c r="W1044" s="1009">
        <v>0.31061</v>
      </c>
      <c r="X1044" s="1010">
        <v>12.02</v>
      </c>
      <c r="Y1044" s="1009">
        <v>9.68</v>
      </c>
      <c r="Z1044" s="1026">
        <v>0</v>
      </c>
      <c r="AA1044" s="1026">
        <v>0</v>
      </c>
      <c r="AB1044" s="1026">
        <v>0</v>
      </c>
      <c r="AC1044" s="1009">
        <v>0.16947616714852456</v>
      </c>
      <c r="AD1044" s="1007">
        <v>0</v>
      </c>
      <c r="AE1044" s="1009">
        <v>0</v>
      </c>
      <c r="AF1044" s="1009">
        <v>15.580395699241391</v>
      </c>
      <c r="AG1044" s="1013">
        <f xml:space="preserve"> IF(C1044&lt; DATE(2024, 11, 1), S1044 * (2.31 / 100), S1044 * (2.925 / 100))+T1044*T$6+U1059*U$6+V1044*V$6+W1044*W$6+X1044*X$6+Y1044*Y$6+Z1044*Z$6+AA1044*AA$6+AB1044*AB$6+AC1044*AC$6+AD1044*AD$6+AE1044*AE$6+AF1044*AF$6</f>
        <v>8.3586112235395174</v>
      </c>
      <c r="AH1044" s="1045">
        <v>202601</v>
      </c>
      <c r="AI1044" s="1017"/>
      <c r="AJ1044" s="931" t="s">
        <v>2243</v>
      </c>
      <c r="AK1044" s="262"/>
      <c r="AL1044" s="262"/>
    </row>
    <row r="1045" spans="3:38" ht="15.75" hidden="1">
      <c r="C1045" s="1032">
        <v>46053</v>
      </c>
      <c r="D1045" s="1004">
        <v>322725</v>
      </c>
      <c r="E1045" s="1004">
        <v>0</v>
      </c>
      <c r="F1045" s="1004">
        <v>21989.34</v>
      </c>
      <c r="G1045" s="1004">
        <v>4566</v>
      </c>
      <c r="H1045" s="1004">
        <v>2186</v>
      </c>
      <c r="I1045" s="1004">
        <v>189567</v>
      </c>
      <c r="J1045" s="1004">
        <v>157198</v>
      </c>
      <c r="K1045" s="1004">
        <v>53633.440000000002</v>
      </c>
      <c r="L1045" s="1004">
        <v>13285</v>
      </c>
      <c r="M1045" s="1004">
        <v>435848</v>
      </c>
      <c r="N1045" s="1004">
        <v>5060</v>
      </c>
      <c r="O1045" s="1004">
        <v>3249</v>
      </c>
      <c r="P1045" s="1004">
        <v>0</v>
      </c>
      <c r="Q1045" s="337">
        <v>0</v>
      </c>
      <c r="R1045" s="1051">
        <f t="shared" si="58"/>
        <v>143989.61050000001</v>
      </c>
      <c r="S1045" s="1016">
        <v>14.99715415959926</v>
      </c>
      <c r="T1045" s="1048">
        <v>7.3123999999999995E-2</v>
      </c>
      <c r="U1045" s="1048">
        <v>3.4079575927305102E-3</v>
      </c>
      <c r="V1045" s="1016">
        <v>2.9000000000000001E-2</v>
      </c>
      <c r="W1045" s="1016">
        <v>0.30016000000000004</v>
      </c>
      <c r="X1045" s="1010">
        <v>12.089</v>
      </c>
      <c r="Y1045" s="1016">
        <v>10.039999999999999</v>
      </c>
      <c r="Z1045" s="1026">
        <v>0</v>
      </c>
      <c r="AA1045" s="1026">
        <v>0</v>
      </c>
      <c r="AB1045" s="1026">
        <v>0</v>
      </c>
      <c r="AC1045" s="1016">
        <v>0.16978765216751099</v>
      </c>
      <c r="AD1045" s="1015">
        <v>0</v>
      </c>
      <c r="AE1045" s="1016">
        <v>0</v>
      </c>
      <c r="AF1045" s="1016">
        <v>15.547576504968186</v>
      </c>
      <c r="AG1045" s="1013">
        <f xml:space="preserve"> IF(C1045&lt; DATE(2024, 11, 1), S1045 * (2.31 / 100), S1045 * (2.925 / 100))+T1045*T$6+U1060*U$6+V1045*V$6+W1045*W$6+X1045*X$6+Y1045*Y$6+Z1045*Z$6+AA1045*AA$6+AB1045*AB$6+AC1045*AC$6+AD1045*AD$6+AE1045*AE$6+AF1045*AF$6</f>
        <v>8.465420457066207</v>
      </c>
      <c r="AH1045" s="1045">
        <v>202601</v>
      </c>
      <c r="AI1045" s="1017"/>
      <c r="AJ1045" s="931" t="s">
        <v>2242</v>
      </c>
      <c r="AK1045" s="262"/>
      <c r="AL1045" s="262"/>
    </row>
    <row r="1046" spans="3:38" ht="15.75" hidden="1">
      <c r="C1046" s="1032">
        <v>46054</v>
      </c>
      <c r="D1046" s="1001">
        <v>312451</v>
      </c>
      <c r="E1046" s="1001">
        <v>730</v>
      </c>
      <c r="F1046" s="1001">
        <v>21947.15</v>
      </c>
      <c r="G1046" s="1001">
        <v>4541</v>
      </c>
      <c r="H1046" s="1001">
        <v>2184</v>
      </c>
      <c r="I1046" s="1001">
        <v>187307</v>
      </c>
      <c r="J1046" s="1001">
        <v>158163</v>
      </c>
      <c r="K1046" s="1001">
        <v>52903.25</v>
      </c>
      <c r="L1046" s="1001">
        <v>12811</v>
      </c>
      <c r="M1046" s="1001">
        <v>417000</v>
      </c>
      <c r="N1046" s="1001">
        <v>7001</v>
      </c>
      <c r="O1046" s="1001">
        <v>504</v>
      </c>
      <c r="P1046" s="1001">
        <v>0</v>
      </c>
      <c r="Q1046" s="337">
        <v>0</v>
      </c>
      <c r="R1046" s="1051">
        <f t="shared" si="58"/>
        <v>141705.753</v>
      </c>
      <c r="S1046" s="1009">
        <v>16.774884113414522</v>
      </c>
      <c r="T1046" s="1049">
        <v>7.2805999999999996E-2</v>
      </c>
      <c r="U1046" s="1007">
        <v>3.4079575927305102E-3</v>
      </c>
      <c r="V1046" s="1009">
        <v>2.9000000000000001E-2</v>
      </c>
      <c r="W1046" s="1009">
        <v>0.28989999999999999</v>
      </c>
      <c r="X1046" s="1010">
        <v>12.096067643219396</v>
      </c>
      <c r="Y1046" s="1009">
        <v>10.050000000000001</v>
      </c>
      <c r="Z1046" s="1026">
        <v>0</v>
      </c>
      <c r="AA1046" s="1026">
        <v>0</v>
      </c>
      <c r="AB1046" s="1026">
        <v>0</v>
      </c>
      <c r="AC1046" s="1009">
        <v>0.20897813091998516</v>
      </c>
      <c r="AD1046" s="1007">
        <v>0</v>
      </c>
      <c r="AE1046" s="1009">
        <v>0</v>
      </c>
      <c r="AF1046" s="1009">
        <v>15.558620064732249</v>
      </c>
      <c r="AG1046" s="1013">
        <f xml:space="preserve"> IF(C1046&lt; DATE(2024, 11, 1), S1046 * (2.31 / 100), S1046 * (2.925 / 100))+T1046*T$6+U1065*U$6+V1046*V$6+W1046*W$6+X1046*X$6+Y1046*Y$6+Z1046*Z$6+AA1046*AA$6+AB1046*AB$6+AC1046*AC$6+AD1046*AD$6+AE1046*AE$6+AF1046*AF$6</f>
        <v>8.517275084681847</v>
      </c>
      <c r="AH1046" s="1045">
        <v>202602</v>
      </c>
      <c r="AI1046" s="1017"/>
      <c r="AJ1046" s="931" t="s">
        <v>2244</v>
      </c>
      <c r="AK1046" s="262"/>
      <c r="AL1046" s="262"/>
    </row>
    <row r="1047" spans="3:38" ht="15.75" hidden="1">
      <c r="C1047" s="1032">
        <v>46055</v>
      </c>
      <c r="D1047" s="1004">
        <v>298231</v>
      </c>
      <c r="E1047" s="1004">
        <v>6767</v>
      </c>
      <c r="F1047" s="1004">
        <v>21943.43</v>
      </c>
      <c r="G1047" s="1004">
        <v>4517</v>
      </c>
      <c r="H1047" s="1004">
        <v>2234</v>
      </c>
      <c r="I1047" s="1004">
        <v>190843</v>
      </c>
      <c r="J1047" s="1004">
        <v>154133</v>
      </c>
      <c r="K1047" s="1004">
        <v>52832.77</v>
      </c>
      <c r="L1047" s="1004">
        <v>13625</v>
      </c>
      <c r="M1047" s="1004">
        <v>259590</v>
      </c>
      <c r="N1047" s="1004">
        <v>7003</v>
      </c>
      <c r="O1047" s="1004">
        <v>471</v>
      </c>
      <c r="P1047" s="1004">
        <v>0</v>
      </c>
      <c r="Q1047" s="337">
        <v>0</v>
      </c>
      <c r="R1047" s="1051">
        <f t="shared" si="58"/>
        <v>136483.98149999999</v>
      </c>
      <c r="S1047" s="1016">
        <v>18.952164396129653</v>
      </c>
      <c r="T1047" s="1016">
        <v>7.2661000000000003E-2</v>
      </c>
      <c r="U1047" s="1048">
        <v>3.4079575927305102E-3</v>
      </c>
      <c r="V1047" s="1016">
        <v>2.8433280000000002E-2</v>
      </c>
      <c r="W1047" s="1016">
        <v>0.28842000000000001</v>
      </c>
      <c r="X1047" s="1010">
        <v>12.079445669933483</v>
      </c>
      <c r="Y1047" s="1016">
        <v>10.01</v>
      </c>
      <c r="Z1047" s="1026">
        <v>0</v>
      </c>
      <c r="AA1047" s="1026">
        <v>0</v>
      </c>
      <c r="AB1047" s="1026">
        <v>0</v>
      </c>
      <c r="AC1047" s="1016">
        <v>0.22710089566101366</v>
      </c>
      <c r="AD1047" s="1015">
        <v>0</v>
      </c>
      <c r="AE1047" s="1016">
        <v>0</v>
      </c>
      <c r="AF1047" s="1016">
        <v>15.531973937198954</v>
      </c>
      <c r="AG1047" s="1013">
        <f xml:space="preserve"> IF(C1047&lt; DATE(2024, 11, 1), S1047 * (2.31 / 100), S1047 * (2.925 / 100))+T1047*T$6+U1066*U$6+V1047*V$6+W1047*W$6+X1047*X$6+Y1047*Y$6+Z1047*Z$6+AA1047*AA$6+AB1047*AB$6+AC1047*AC$6+AD1047*AD$6+AE1047*AE$6+AF1047*AF$6</f>
        <v>8.5628972907349343</v>
      </c>
      <c r="AH1047" s="1045">
        <v>202602</v>
      </c>
      <c r="AI1047" s="1017"/>
      <c r="AJ1047" s="931" t="s">
        <v>2245</v>
      </c>
      <c r="AK1047" s="262"/>
      <c r="AL1047" s="262"/>
    </row>
    <row r="1048" spans="3:38" ht="15.75" hidden="1">
      <c r="C1048" s="1032">
        <v>46056</v>
      </c>
      <c r="D1048" s="1001">
        <v>347062</v>
      </c>
      <c r="E1048" s="1001">
        <v>7623</v>
      </c>
      <c r="F1048" s="1001">
        <v>21962.52</v>
      </c>
      <c r="G1048" s="1001">
        <v>4589</v>
      </c>
      <c r="H1048" s="1001">
        <v>2110</v>
      </c>
      <c r="I1048" s="1001">
        <v>187283</v>
      </c>
      <c r="J1048" s="1001">
        <v>158191</v>
      </c>
      <c r="K1048" s="1001">
        <v>53279.05</v>
      </c>
      <c r="L1048" s="1001">
        <v>13133</v>
      </c>
      <c r="M1048" s="1001">
        <v>300831</v>
      </c>
      <c r="N1048" s="1001">
        <v>6990</v>
      </c>
      <c r="O1048" s="1001">
        <v>346</v>
      </c>
      <c r="P1048" s="1001">
        <v>0</v>
      </c>
      <c r="Q1048" s="337">
        <v>0</v>
      </c>
      <c r="R1048" s="1051">
        <f t="shared" si="58"/>
        <v>140002.93624999997</v>
      </c>
      <c r="S1048" s="1009">
        <v>21.331343604787808</v>
      </c>
      <c r="T1048" s="1049">
        <v>7.1860999999999994E-2</v>
      </c>
      <c r="U1048" s="1007">
        <v>3.4079575927305102E-3</v>
      </c>
      <c r="V1048" s="1009">
        <v>0.03</v>
      </c>
      <c r="W1048" s="1049">
        <v>0.28188000000000002</v>
      </c>
      <c r="X1048" s="1010">
        <v>12.123931394008727</v>
      </c>
      <c r="Y1048" s="1049">
        <v>10.050000000000001</v>
      </c>
      <c r="Z1048" s="1053">
        <v>0</v>
      </c>
      <c r="AA1048" s="1053">
        <v>0</v>
      </c>
      <c r="AB1048" s="1053">
        <v>0</v>
      </c>
      <c r="AC1048" s="1049">
        <v>0.25909890215689219</v>
      </c>
      <c r="AD1048" s="1007">
        <v>5.1055226293866288E-2</v>
      </c>
      <c r="AE1048" s="1049">
        <v>0</v>
      </c>
      <c r="AF1048" s="1049">
        <v>15.516173151690371</v>
      </c>
      <c r="AG1048" s="1013">
        <f xml:space="preserve"> IF(C1048&lt; DATE(2024, 11, 1), S1048 * (2.31 / 100), S1048 * (2.925 / 100))+T1048*T$6+U1067*U$6+V1048*V$6+W1048*W$6+X1048*X$6+Y1048*Y$6+Z1048*Z$6+AA1048*AA$6+AB1048*AB$6+AC1048*AC$6+AD1048*AD$6+AE1048*AE$6+AF1048*AF$6</f>
        <v>8.6670685250988679</v>
      </c>
      <c r="AH1048" s="1045">
        <v>202602</v>
      </c>
      <c r="AI1048" s="1017"/>
      <c r="AJ1048" s="931" t="s">
        <v>2245</v>
      </c>
      <c r="AK1048" s="262"/>
      <c r="AL1048" s="262"/>
    </row>
    <row r="1049" spans="3:38" ht="15.75" hidden="1">
      <c r="C1049" s="1032">
        <v>46057</v>
      </c>
      <c r="D1049" s="1004">
        <v>352584</v>
      </c>
      <c r="E1049" s="1004">
        <v>7447</v>
      </c>
      <c r="F1049" s="1004">
        <v>21975.239999999998</v>
      </c>
      <c r="G1049" s="1004">
        <v>4697</v>
      </c>
      <c r="H1049" s="1004">
        <v>2110</v>
      </c>
      <c r="I1049" s="1004">
        <v>186919</v>
      </c>
      <c r="J1049" s="1004">
        <v>157895</v>
      </c>
      <c r="K1049" s="1004">
        <v>52274.99</v>
      </c>
      <c r="L1049" s="1004">
        <v>11975</v>
      </c>
      <c r="M1049" s="1004">
        <v>363939</v>
      </c>
      <c r="N1049" s="1004">
        <v>7021</v>
      </c>
      <c r="O1049" s="1004">
        <v>414</v>
      </c>
      <c r="P1049" s="1004">
        <v>0</v>
      </c>
      <c r="Q1049" s="337">
        <v>0</v>
      </c>
      <c r="R1049" s="1051">
        <f t="shared" si="58"/>
        <v>142054.62625</v>
      </c>
      <c r="S1049" s="1016">
        <v>19.969870903618041</v>
      </c>
      <c r="T1049" s="1048">
        <v>7.0416000000000006E-2</v>
      </c>
      <c r="U1049" s="1048">
        <v>3.4079575927305102E-3</v>
      </c>
      <c r="V1049" s="1016">
        <v>0.03</v>
      </c>
      <c r="W1049" s="1048">
        <v>0.28188000000000002</v>
      </c>
      <c r="X1049" s="1010">
        <v>12.314</v>
      </c>
      <c r="Y1049" s="1048">
        <v>9.73</v>
      </c>
      <c r="Z1049" s="1053">
        <v>0</v>
      </c>
      <c r="AA1049" s="1053">
        <v>0</v>
      </c>
      <c r="AB1049" s="1053">
        <v>0</v>
      </c>
      <c r="AC1049" s="1048">
        <v>0.22936624125364222</v>
      </c>
      <c r="AD1049" s="1015">
        <v>4.4655624994690592E-2</v>
      </c>
      <c r="AE1049" s="1048">
        <v>0</v>
      </c>
      <c r="AF1049" s="1048">
        <v>15.515805033031571</v>
      </c>
      <c r="AG1049" s="1013">
        <f xml:space="preserve"> IF(C1049&lt; DATE(2024, 11, 1), S1049 * (2.31 / 100), S1049 * (2.925 / 100))+T1049*T$6+U1068*U$6+V1049*V$6+W1049*W$6+X1049*X$6+Y1049*Y$6+Z1049*Z$6+AA1049*AA$6+AB1049*AB$6+AC1049*AC$6+AD1049*AD$6+AE1049*AE$6+AF1049*AF$6</f>
        <v>8.5757760063968842</v>
      </c>
      <c r="AH1049" s="1045">
        <v>202602</v>
      </c>
      <c r="AI1049" s="1017"/>
      <c r="AJ1049" s="931" t="s">
        <v>2246</v>
      </c>
      <c r="AK1049" s="262"/>
      <c r="AL1049" s="262"/>
    </row>
    <row r="1050" spans="3:38" ht="15.75" hidden="1">
      <c r="C1050" s="1032">
        <v>46058</v>
      </c>
      <c r="D1050" s="1001">
        <v>324428</v>
      </c>
      <c r="E1050" s="1001">
        <v>8214</v>
      </c>
      <c r="F1050" s="1001">
        <v>21960.61</v>
      </c>
      <c r="G1050" s="1001">
        <v>5120</v>
      </c>
      <c r="H1050" s="1001">
        <v>2191</v>
      </c>
      <c r="I1050" s="1001">
        <v>188234</v>
      </c>
      <c r="J1050" s="1001">
        <v>158945</v>
      </c>
      <c r="K1050" s="1001">
        <v>53950.53</v>
      </c>
      <c r="L1050" s="1001">
        <v>13683</v>
      </c>
      <c r="M1050" s="1001">
        <v>484144</v>
      </c>
      <c r="N1050" s="1001">
        <v>7048</v>
      </c>
      <c r="O1050" s="1001">
        <v>509</v>
      </c>
      <c r="P1050" s="1001">
        <v>0</v>
      </c>
      <c r="Q1050" s="337">
        <v>0</v>
      </c>
      <c r="R1050" s="1051">
        <f t="shared" si="58"/>
        <v>147936.52225000004</v>
      </c>
      <c r="S1050" s="1049">
        <v>21.014478390018887</v>
      </c>
      <c r="T1050" s="1049">
        <v>7.2253999999999999E-2</v>
      </c>
      <c r="U1050" s="1007">
        <v>3.4079575927305102E-3</v>
      </c>
      <c r="V1050" s="1049">
        <v>3.0039024000000001E-2</v>
      </c>
      <c r="W1050" s="1049">
        <v>0.29239999999999999</v>
      </c>
      <c r="X1050" s="1010">
        <v>12.403814841977987</v>
      </c>
      <c r="Y1050" s="1049">
        <v>9.84</v>
      </c>
      <c r="Z1050" s="1053">
        <v>0</v>
      </c>
      <c r="AA1050" s="1053">
        <v>0</v>
      </c>
      <c r="AB1050" s="1053">
        <v>0</v>
      </c>
      <c r="AC1050" s="1049">
        <v>0.22993257765179936</v>
      </c>
      <c r="AD1050" s="1007">
        <v>4.4655624994690592E-2</v>
      </c>
      <c r="AE1050" s="1049">
        <v>0</v>
      </c>
      <c r="AF1050" s="1049">
        <v>15.579716095563603</v>
      </c>
      <c r="AG1050" s="1013">
        <f xml:space="preserve"> IF(C1050&lt; DATE(2024, 11, 1), S1050 * (2.31 / 100), S1050 * (2.925 / 100))+T1050*T$6+U1069*U$6+V1050*V$6+W1050*W$6+X1050*X$6+Y1050*Y$6+Z1050*Z$6+AA1050*AA$6+AB1050*AB$6+AC1050*AC$6+AD1050*AD$6+AE1050*AE$6+AF1050*AF$6</f>
        <v>8.6748566934039477</v>
      </c>
      <c r="AH1050" s="1045">
        <v>202602</v>
      </c>
      <c r="AI1050" s="1017"/>
      <c r="AJ1050" s="931" t="s">
        <v>2247</v>
      </c>
      <c r="AK1050" s="262"/>
      <c r="AL1050" s="262"/>
    </row>
    <row r="1051" spans="3:38" ht="15.75" hidden="1">
      <c r="C1051" s="1032">
        <v>46059</v>
      </c>
      <c r="D1051" s="1004">
        <v>338993</v>
      </c>
      <c r="E1051" s="1004">
        <v>7748</v>
      </c>
      <c r="F1051" s="1004">
        <v>21779.49</v>
      </c>
      <c r="G1051" s="1004">
        <v>5120</v>
      </c>
      <c r="H1051" s="1004">
        <v>2193</v>
      </c>
      <c r="I1051" s="1004">
        <v>189300</v>
      </c>
      <c r="J1051" s="1004">
        <v>156239</v>
      </c>
      <c r="K1051" s="1004">
        <v>53950.53</v>
      </c>
      <c r="L1051" s="1004">
        <v>13108</v>
      </c>
      <c r="M1051" s="1004">
        <v>455684</v>
      </c>
      <c r="N1051" s="1004">
        <v>7027</v>
      </c>
      <c r="O1051" s="1004">
        <v>754</v>
      </c>
      <c r="P1051" s="1004">
        <v>0</v>
      </c>
      <c r="Q1051" s="337">
        <v>0</v>
      </c>
      <c r="R1051" s="1051">
        <f t="shared" si="58"/>
        <v>146440.15574999998</v>
      </c>
      <c r="S1051" s="1048">
        <v>15.508839095334238</v>
      </c>
      <c r="T1051" s="1048">
        <v>7.0167999999999994E-2</v>
      </c>
      <c r="U1051" s="1048">
        <v>3.4079575927305102E-3</v>
      </c>
      <c r="V1051" s="1048">
        <v>2.9883264000000003E-2</v>
      </c>
      <c r="W1051" s="1048">
        <v>0.30105999999999999</v>
      </c>
      <c r="X1051" s="1010">
        <v>12.387221185511981</v>
      </c>
      <c r="Y1051" s="1048">
        <v>9.3800000000000008</v>
      </c>
      <c r="Z1051" s="1053">
        <v>0</v>
      </c>
      <c r="AA1051" s="1053">
        <v>0</v>
      </c>
      <c r="AB1051" s="1053">
        <v>0</v>
      </c>
      <c r="AC1051" s="1048">
        <v>0.22993257765179936</v>
      </c>
      <c r="AD1051" s="1015">
        <v>4.2928298980311315E-2</v>
      </c>
      <c r="AE1051" s="1048">
        <v>0</v>
      </c>
      <c r="AF1051" s="1048">
        <v>14.983250601024503</v>
      </c>
      <c r="AG1051" s="1013">
        <f t="shared" ref="AG1051:AG1071" si="60" xml:space="preserve"> IF(C1051&lt; DATE(2024, 11, 1), S1051 * (2.31 / 100), S1051 * (2.925 / 100))+T1051*T$6+U1070*U$6+V1051*V$6+W1051*W$6+X1051*X$6+Y1051*Y$6+Z1051*Z$6+AA1051*AA$6+AB1051*AB$6+AC1051*AC$6+AD1051*AD$6+AE1051*AE$6+AF1051*AF$6</f>
        <v>8.296826848263823</v>
      </c>
      <c r="AH1051" s="1045">
        <v>202602</v>
      </c>
      <c r="AI1051" s="1017"/>
      <c r="AJ1051" s="931" t="s">
        <v>2247</v>
      </c>
      <c r="AK1051" s="262"/>
      <c r="AL1051" s="262"/>
    </row>
    <row r="1052" spans="3:38" ht="15.75" hidden="1">
      <c r="C1052" s="1032">
        <v>46060</v>
      </c>
      <c r="D1052" s="1001">
        <v>324711</v>
      </c>
      <c r="E1052" s="1001">
        <v>16730</v>
      </c>
      <c r="F1052" s="1001">
        <v>21724.14</v>
      </c>
      <c r="G1052" s="1001">
        <v>4746</v>
      </c>
      <c r="H1052" s="1001">
        <v>2209</v>
      </c>
      <c r="I1052" s="1001">
        <v>189932</v>
      </c>
      <c r="J1052" s="1001">
        <v>154762</v>
      </c>
      <c r="K1052" s="1001">
        <v>52313.06</v>
      </c>
      <c r="L1052" s="1001">
        <v>14675</v>
      </c>
      <c r="M1052" s="1001">
        <v>443403</v>
      </c>
      <c r="N1052" s="1001">
        <v>6665</v>
      </c>
      <c r="O1052" s="1001">
        <v>891</v>
      </c>
      <c r="P1052" s="1001">
        <v>0</v>
      </c>
      <c r="Q1052" s="337">
        <v>0</v>
      </c>
      <c r="R1052" s="1051">
        <f t="shared" si="58"/>
        <v>147472.59349999999</v>
      </c>
      <c r="S1052" s="1007">
        <v>16.085935885056362</v>
      </c>
      <c r="T1052" s="1007">
        <v>0.10362499999999999</v>
      </c>
      <c r="U1052" s="1007">
        <v>3.4079575927305102E-3</v>
      </c>
      <c r="V1052" s="1049">
        <v>2.9857776000000003E-2</v>
      </c>
      <c r="W1052" s="1049">
        <v>0.29474</v>
      </c>
      <c r="X1052" s="1010">
        <v>12.41049761147624</v>
      </c>
      <c r="Y1052" s="1049">
        <v>9.33</v>
      </c>
      <c r="Z1052" s="1053">
        <v>0</v>
      </c>
      <c r="AA1052" s="1053">
        <v>0</v>
      </c>
      <c r="AB1052" s="1053">
        <v>0</v>
      </c>
      <c r="AC1052" s="1049">
        <v>0.23219792324442792</v>
      </c>
      <c r="AD1052" s="1007">
        <v>3.7916221856620608E-2</v>
      </c>
      <c r="AE1052" s="1049">
        <v>0</v>
      </c>
      <c r="AF1052" s="1049">
        <v>14.791347512508954</v>
      </c>
      <c r="AG1052" s="1013">
        <f t="shared" si="60"/>
        <v>8.2736836926741155</v>
      </c>
      <c r="AH1052" s="1045">
        <v>202602</v>
      </c>
      <c r="AI1052" s="1017"/>
      <c r="AJ1052" s="931" t="s">
        <v>2248</v>
      </c>
      <c r="AK1052" s="262"/>
      <c r="AL1052" s="262"/>
    </row>
    <row r="1053" spans="3:38" ht="15.75" hidden="1">
      <c r="C1053" s="1032">
        <v>46061</v>
      </c>
      <c r="D1053" s="1004">
        <v>310659</v>
      </c>
      <c r="E1053" s="1004">
        <v>28748</v>
      </c>
      <c r="F1053" s="1004">
        <v>21950.59</v>
      </c>
      <c r="G1053" s="1004">
        <v>4824</v>
      </c>
      <c r="H1053" s="1004">
        <v>2116</v>
      </c>
      <c r="I1053" s="1004">
        <v>188198</v>
      </c>
      <c r="J1053" s="1004">
        <v>154301</v>
      </c>
      <c r="K1053" s="1004">
        <v>53866.35</v>
      </c>
      <c r="L1053" s="1004">
        <v>13788</v>
      </c>
      <c r="M1053" s="1004">
        <v>473156</v>
      </c>
      <c r="N1053" s="1004">
        <v>6657</v>
      </c>
      <c r="O1053" s="1004">
        <v>1070</v>
      </c>
      <c r="P1053" s="1004">
        <v>0</v>
      </c>
      <c r="Q1053" s="337">
        <v>0</v>
      </c>
      <c r="R1053" s="1051">
        <f t="shared" si="58"/>
        <v>151379.46124999999</v>
      </c>
      <c r="S1053" s="1048">
        <v>72.782155872766864</v>
      </c>
      <c r="T1053" s="1048">
        <v>0.26593899999999998</v>
      </c>
      <c r="U1053" s="1048">
        <v>3.4079575927305102E-3</v>
      </c>
      <c r="V1053" s="1048">
        <v>3.0242927999999999E-2</v>
      </c>
      <c r="W1053" s="1048">
        <v>0.29158000000000001</v>
      </c>
      <c r="X1053" s="1010">
        <v>12.427912455719571</v>
      </c>
      <c r="Y1053" s="1048">
        <v>9.2899999999999991</v>
      </c>
      <c r="Z1053" s="1053">
        <v>0</v>
      </c>
      <c r="AA1053" s="1053">
        <v>0</v>
      </c>
      <c r="AB1053" s="1053">
        <v>0</v>
      </c>
      <c r="AC1053" s="1048">
        <v>0.24040980101770651</v>
      </c>
      <c r="AD1053" s="1015">
        <v>5.4368294223085568E-2</v>
      </c>
      <c r="AE1053" s="1048">
        <v>0</v>
      </c>
      <c r="AF1053" s="1048">
        <v>14.734997040892317</v>
      </c>
      <c r="AG1053" s="1013">
        <f t="shared" si="60"/>
        <v>9.9638930074901317</v>
      </c>
      <c r="AH1053" s="1045">
        <v>202602</v>
      </c>
      <c r="AI1053" s="1017"/>
      <c r="AJ1053" s="931" t="s">
        <v>2248</v>
      </c>
      <c r="AK1053" s="262"/>
      <c r="AL1053" s="262"/>
    </row>
    <row r="1054" spans="3:38" ht="15.75" hidden="1">
      <c r="C1054" s="1032">
        <v>46062</v>
      </c>
      <c r="D1054" s="1001">
        <v>328620</v>
      </c>
      <c r="E1054" s="1001">
        <v>29164</v>
      </c>
      <c r="F1054" s="1001">
        <v>21912.309999999998</v>
      </c>
      <c r="G1054" s="1001">
        <v>4831</v>
      </c>
      <c r="H1054" s="1001">
        <v>2175</v>
      </c>
      <c r="I1054" s="1001">
        <v>187814</v>
      </c>
      <c r="J1054" s="1001">
        <v>154379</v>
      </c>
      <c r="K1054" s="1001">
        <v>53757.02</v>
      </c>
      <c r="L1054" s="1001">
        <v>13853</v>
      </c>
      <c r="M1054" s="1001">
        <v>469126</v>
      </c>
      <c r="N1054" s="1001">
        <v>6663</v>
      </c>
      <c r="O1054" s="1001">
        <v>1187</v>
      </c>
      <c r="P1054" s="1001">
        <v>0</v>
      </c>
      <c r="Q1054" s="337">
        <v>0</v>
      </c>
      <c r="R1054" s="1051">
        <f t="shared" si="58"/>
        <v>151870.93325</v>
      </c>
      <c r="S1054" s="1007">
        <v>14.943069033575251</v>
      </c>
      <c r="T1054" s="1007">
        <v>0.24864600000000001</v>
      </c>
      <c r="U1054" s="1007">
        <v>3.4079575927305102E-3</v>
      </c>
      <c r="V1054" s="1007">
        <v>2.9611392E-2</v>
      </c>
      <c r="W1054" s="1007">
        <v>0.29191</v>
      </c>
      <c r="X1054" s="1010">
        <v>12.393422569071802</v>
      </c>
      <c r="Y1054" s="1007">
        <v>9.4700000000000006</v>
      </c>
      <c r="Z1054" s="1021">
        <v>0</v>
      </c>
      <c r="AA1054" s="1007"/>
      <c r="AB1054" s="1007">
        <v>0</v>
      </c>
      <c r="AC1054" s="1007">
        <v>0.23418010063797792</v>
      </c>
      <c r="AD1054" s="1007">
        <v>5.5642551118939135E-2</v>
      </c>
      <c r="AE1054" s="1049">
        <v>0</v>
      </c>
      <c r="AF1054" s="1049">
        <v>14.860582137183666</v>
      </c>
      <c r="AG1054" s="1013">
        <f t="shared" si="60"/>
        <v>8.3285207642003254</v>
      </c>
      <c r="AH1054" s="1045">
        <v>202602</v>
      </c>
      <c r="AI1054" s="1017"/>
      <c r="AJ1054" s="931" t="s">
        <v>2248</v>
      </c>
      <c r="AK1054" s="262"/>
      <c r="AL1054" s="262"/>
    </row>
    <row r="1055" spans="3:38" ht="15.75" hidden="1">
      <c r="C1055" s="1032">
        <v>46063</v>
      </c>
      <c r="D1055" s="1004">
        <v>324593</v>
      </c>
      <c r="E1055" s="1004">
        <v>27943</v>
      </c>
      <c r="F1055" s="1004">
        <v>22049.83</v>
      </c>
      <c r="G1055" s="1004">
        <v>4718</v>
      </c>
      <c r="H1055" s="1004">
        <v>2179</v>
      </c>
      <c r="I1055" s="1004">
        <v>173610</v>
      </c>
      <c r="J1055" s="1004">
        <v>158984</v>
      </c>
      <c r="K1055" s="1004">
        <v>53010.14</v>
      </c>
      <c r="L1055" s="1004">
        <v>13940</v>
      </c>
      <c r="M1055" s="1004">
        <v>456294</v>
      </c>
      <c r="N1055" s="1004">
        <v>6639</v>
      </c>
      <c r="O1055" s="1004">
        <v>1104</v>
      </c>
      <c r="P1055" s="1004">
        <v>0</v>
      </c>
      <c r="Q1055" s="337">
        <v>0</v>
      </c>
      <c r="R1055" s="1051">
        <f t="shared" si="58"/>
        <v>149108.88625000001</v>
      </c>
      <c r="S1055" s="1048">
        <v>14.595621653305844</v>
      </c>
      <c r="T1055" s="1048">
        <v>0.239511</v>
      </c>
      <c r="U1055" s="1048">
        <v>3.4079575927305102E-3</v>
      </c>
      <c r="V1055" s="1015">
        <v>2.9000000000000001E-2</v>
      </c>
      <c r="W1055" s="1048">
        <v>0.28927999999999998</v>
      </c>
      <c r="X1055" s="1010">
        <v>12.34681308350347</v>
      </c>
      <c r="Y1055" s="1048">
        <v>9.4499999999999993</v>
      </c>
      <c r="Z1055" s="1053">
        <v>0</v>
      </c>
      <c r="AA1055" s="1048">
        <v>0</v>
      </c>
      <c r="AB1055" s="1048">
        <v>0</v>
      </c>
      <c r="AC1055" s="1048">
        <v>0.2256850546656208</v>
      </c>
      <c r="AD1055" s="1015">
        <v>5.6690273455529842E-2</v>
      </c>
      <c r="AE1055" s="1048">
        <v>0</v>
      </c>
      <c r="AF1055" s="1048">
        <v>15.026263850464538</v>
      </c>
      <c r="AG1055" s="1013">
        <f t="shared" si="60"/>
        <v>8.3260844103492033</v>
      </c>
      <c r="AH1055" s="1045">
        <v>202602</v>
      </c>
      <c r="AI1055" s="1017"/>
      <c r="AJ1055" s="931" t="s">
        <v>2248</v>
      </c>
      <c r="AK1055" s="262"/>
      <c r="AL1055" s="262"/>
    </row>
    <row r="1056" spans="3:38" ht="15.75" hidden="1">
      <c r="C1056" s="1032">
        <v>46064</v>
      </c>
      <c r="D1056" s="1001">
        <v>331139</v>
      </c>
      <c r="E1056" s="1001">
        <v>30094</v>
      </c>
      <c r="F1056" s="1001">
        <v>21511.9</v>
      </c>
      <c r="G1056" s="1001">
        <v>4687</v>
      </c>
      <c r="H1056" s="1001">
        <v>2115</v>
      </c>
      <c r="I1056" s="1001">
        <v>174432</v>
      </c>
      <c r="J1056" s="1001">
        <v>162260</v>
      </c>
      <c r="K1056" s="1001">
        <v>51325.86</v>
      </c>
      <c r="L1056" s="1001">
        <v>7811</v>
      </c>
      <c r="M1056" s="1001">
        <v>468390</v>
      </c>
      <c r="N1056" s="1001">
        <v>6017</v>
      </c>
      <c r="O1056" s="1001">
        <v>1635</v>
      </c>
      <c r="P1056" s="1001">
        <v>0</v>
      </c>
      <c r="Q1056" s="337">
        <v>0</v>
      </c>
      <c r="R1056" s="1051">
        <f t="shared" si="58"/>
        <v>149169.3645</v>
      </c>
      <c r="S1056" s="1049">
        <v>14.711154278529902</v>
      </c>
      <c r="T1056" s="1049">
        <v>0.238897</v>
      </c>
      <c r="U1056" s="1049">
        <v>3.4079575927305102E-3</v>
      </c>
      <c r="V1056" s="1007">
        <v>2.9000000000000001E-2</v>
      </c>
      <c r="W1056" s="1049">
        <v>0.28631000000000001</v>
      </c>
      <c r="X1056" s="1010">
        <v>12.282</v>
      </c>
      <c r="Y1056" s="1049">
        <v>9.77</v>
      </c>
      <c r="Z1056" s="1053">
        <v>0</v>
      </c>
      <c r="AA1056" s="1053">
        <v>0</v>
      </c>
      <c r="AB1056" s="1053">
        <v>0</v>
      </c>
      <c r="AC1056" s="1049">
        <v>0.2047306079338066</v>
      </c>
      <c r="AD1056" s="1007">
        <v>7.2207890765035518E-2</v>
      </c>
      <c r="AE1056" s="1049">
        <v>0</v>
      </c>
      <c r="AF1056" s="1049">
        <v>8.893038876162052</v>
      </c>
      <c r="AG1056" s="1013">
        <f t="shared" si="60"/>
        <v>7.3578191550881931</v>
      </c>
      <c r="AH1056" s="1045">
        <v>202602</v>
      </c>
      <c r="AI1056" s="1017"/>
      <c r="AJ1056" s="931" t="s">
        <v>2249</v>
      </c>
      <c r="AK1056" s="262"/>
      <c r="AL1056" s="262"/>
    </row>
    <row r="1057" spans="3:38" ht="15.75" hidden="1">
      <c r="C1057" s="1032">
        <v>46065</v>
      </c>
      <c r="D1057" s="1004">
        <v>326989</v>
      </c>
      <c r="E1057" s="1004">
        <v>37132</v>
      </c>
      <c r="F1057" s="1004">
        <v>21548.12</v>
      </c>
      <c r="G1057" s="1004">
        <v>4622</v>
      </c>
      <c r="H1057" s="1004">
        <v>2124</v>
      </c>
      <c r="I1057" s="1004">
        <v>179236</v>
      </c>
      <c r="J1057" s="1004">
        <v>165792</v>
      </c>
      <c r="K1057" s="1004">
        <v>52213.72</v>
      </c>
      <c r="L1057" s="1004">
        <v>14787</v>
      </c>
      <c r="M1057" s="1004">
        <v>480051</v>
      </c>
      <c r="N1057" s="1004">
        <v>6613</v>
      </c>
      <c r="O1057" s="1004">
        <v>2039.0000000000002</v>
      </c>
      <c r="P1057" s="1004">
        <v>0</v>
      </c>
      <c r="Q1057" s="337">
        <v>0</v>
      </c>
      <c r="R1057" s="1051">
        <f t="shared" si="58"/>
        <v>155427.736</v>
      </c>
      <c r="S1057" s="1048">
        <v>14.691332504594405</v>
      </c>
      <c r="T1057" s="1048">
        <v>0.28404699999999999</v>
      </c>
      <c r="U1057" s="1048">
        <v>3.4079575927305102E-3</v>
      </c>
      <c r="V1057" s="1015">
        <v>2.8000000000000001E-2</v>
      </c>
      <c r="W1057" s="1048">
        <v>0.28235000000000005</v>
      </c>
      <c r="X1057" s="1010">
        <v>12.253</v>
      </c>
      <c r="Y1057" s="1048">
        <v>10.23</v>
      </c>
      <c r="Z1057" s="1053">
        <v>0</v>
      </c>
      <c r="AA1057" s="1053">
        <v>0</v>
      </c>
      <c r="AB1057" s="1053">
        <v>0</v>
      </c>
      <c r="AC1057" s="1048">
        <v>0.21775634509142086</v>
      </c>
      <c r="AD1057" s="1048">
        <v>7.2462742144206241E-2</v>
      </c>
      <c r="AE1057" s="1048">
        <v>0</v>
      </c>
      <c r="AF1057" s="1048">
        <v>15.041639883674504</v>
      </c>
      <c r="AG1057" s="1013">
        <f t="shared" si="60"/>
        <v>8.525566811116704</v>
      </c>
      <c r="AH1057" s="1045">
        <v>202602</v>
      </c>
      <c r="AI1057" s="1017"/>
      <c r="AJ1057" s="931" t="s">
        <v>2250</v>
      </c>
      <c r="AK1057" s="262"/>
      <c r="AL1057" s="262"/>
    </row>
    <row r="1058" spans="3:38" ht="15.75" hidden="1">
      <c r="C1058" s="1032">
        <v>46066</v>
      </c>
      <c r="D1058" s="1001">
        <v>327538</v>
      </c>
      <c r="E1058" s="1001">
        <v>32635</v>
      </c>
      <c r="F1058" s="1001">
        <v>21587.46</v>
      </c>
      <c r="G1058" s="1001">
        <v>4591</v>
      </c>
      <c r="H1058" s="1001">
        <v>2142</v>
      </c>
      <c r="I1058" s="1001">
        <v>178538</v>
      </c>
      <c r="J1058" s="1001">
        <v>168527</v>
      </c>
      <c r="K1058" s="1001">
        <v>52206</v>
      </c>
      <c r="L1058" s="1001">
        <v>15393</v>
      </c>
      <c r="M1058" s="1001">
        <v>489441</v>
      </c>
      <c r="N1058" s="1001">
        <v>6632</v>
      </c>
      <c r="O1058" s="1001">
        <v>2233</v>
      </c>
      <c r="P1058" s="1001">
        <v>0</v>
      </c>
      <c r="Q1058" s="337">
        <v>0</v>
      </c>
      <c r="R1058" s="1051">
        <f t="shared" si="58"/>
        <v>155430.69975</v>
      </c>
      <c r="S1058" s="1049">
        <v>14.623938473213702</v>
      </c>
      <c r="T1058" s="1049">
        <v>0.29509800000000003</v>
      </c>
      <c r="U1058" s="1049">
        <v>3.4079575927305102E-3</v>
      </c>
      <c r="V1058" s="1007">
        <v>2.8000000000000001E-2</v>
      </c>
      <c r="W1058" s="1049">
        <v>0.30046</v>
      </c>
      <c r="X1058" s="1010">
        <v>12.252000000000001</v>
      </c>
      <c r="Y1058" s="1049">
        <v>10.15</v>
      </c>
      <c r="Z1058" s="1053">
        <v>0</v>
      </c>
      <c r="AA1058" s="1053">
        <v>0</v>
      </c>
      <c r="AB1058" s="1053">
        <v>0</v>
      </c>
      <c r="AC1058" s="1049">
        <v>0.22087119528128513</v>
      </c>
      <c r="AD1058" s="1049">
        <v>7.1981356205772659E-2</v>
      </c>
      <c r="AE1058" s="1049">
        <v>0</v>
      </c>
      <c r="AF1058" s="1049">
        <v>14.689605178580024</v>
      </c>
      <c r="AG1058" s="1013">
        <f t="shared" si="60"/>
        <v>8.4639934849782676</v>
      </c>
      <c r="AH1058" s="1045">
        <v>202602</v>
      </c>
      <c r="AI1058" s="1017"/>
      <c r="AJ1058" s="931" t="s">
        <v>2250</v>
      </c>
      <c r="AK1058" s="262"/>
      <c r="AL1058" s="262"/>
    </row>
    <row r="1059" spans="3:38" ht="15.75" hidden="1">
      <c r="C1059" s="1032">
        <v>46067</v>
      </c>
      <c r="D1059" s="1004">
        <v>341394</v>
      </c>
      <c r="E1059" s="1004">
        <v>33000</v>
      </c>
      <c r="F1059" s="1004">
        <v>21535.39</v>
      </c>
      <c r="G1059" s="1004">
        <v>4563</v>
      </c>
      <c r="H1059" s="1004">
        <v>2094</v>
      </c>
      <c r="I1059" s="1004">
        <v>186987</v>
      </c>
      <c r="J1059" s="1004">
        <v>169324</v>
      </c>
      <c r="K1059" s="1004">
        <v>50804.07</v>
      </c>
      <c r="L1059" s="1004">
        <v>15919</v>
      </c>
      <c r="M1059" s="1004">
        <v>479932</v>
      </c>
      <c r="N1059" s="1004">
        <v>6624</v>
      </c>
      <c r="O1059" s="1004">
        <v>2133</v>
      </c>
      <c r="P1059" s="1004">
        <v>0</v>
      </c>
      <c r="Q1059" s="337">
        <v>0</v>
      </c>
      <c r="R1059" s="1051">
        <f t="shared" si="58"/>
        <v>157088.28375</v>
      </c>
      <c r="S1059" s="1048">
        <v>17.221157195162355</v>
      </c>
      <c r="T1059" s="1048">
        <v>0.29712899999999998</v>
      </c>
      <c r="U1059" s="1048">
        <v>3.4079575927305102E-3</v>
      </c>
      <c r="V1059" s="1015">
        <v>2.8000000000000001E-2</v>
      </c>
      <c r="W1059" s="1048">
        <v>0.28677999999999998</v>
      </c>
      <c r="X1059" s="1010">
        <v>12.349</v>
      </c>
      <c r="Y1059" s="1048">
        <v>10.14</v>
      </c>
      <c r="Z1059" s="1053">
        <v>0</v>
      </c>
      <c r="AA1059" s="1053">
        <v>0</v>
      </c>
      <c r="AB1059" s="1053">
        <v>0</v>
      </c>
      <c r="AC1059" s="1048">
        <v>0.21690684049418513</v>
      </c>
      <c r="AD1059" s="1048">
        <v>7.2151257125219803E-2</v>
      </c>
      <c r="AE1059" s="1048">
        <v>0</v>
      </c>
      <c r="AF1059" s="1048">
        <v>14.594630564609071</v>
      </c>
      <c r="AG1059" s="1013">
        <f t="shared" si="60"/>
        <v>8.5271166995614003</v>
      </c>
      <c r="AH1059" s="1045">
        <v>202602</v>
      </c>
      <c r="AI1059" s="1017"/>
      <c r="AJ1059" s="931" t="s">
        <v>2250</v>
      </c>
      <c r="AK1059" s="262"/>
      <c r="AL1059" s="262"/>
    </row>
    <row r="1060" spans="3:38" ht="15.75" hidden="1">
      <c r="C1060" s="1032">
        <v>46068</v>
      </c>
      <c r="D1060" s="1001">
        <v>345115</v>
      </c>
      <c r="E1060" s="1001">
        <v>33748</v>
      </c>
      <c r="F1060" s="1001">
        <v>21513.07</v>
      </c>
      <c r="G1060" s="1001">
        <v>4600</v>
      </c>
      <c r="H1060" s="1001">
        <v>2178</v>
      </c>
      <c r="I1060" s="1001">
        <v>180687</v>
      </c>
      <c r="J1060" s="1001">
        <v>168282</v>
      </c>
      <c r="K1060" s="1001">
        <v>51379.88</v>
      </c>
      <c r="L1060" s="1001">
        <v>15770</v>
      </c>
      <c r="M1060" s="1001">
        <v>484320</v>
      </c>
      <c r="N1060" s="1001">
        <v>6622</v>
      </c>
      <c r="O1060" s="1001">
        <v>2053</v>
      </c>
      <c r="P1060" s="1001">
        <v>0</v>
      </c>
      <c r="Q1060" s="337">
        <v>0</v>
      </c>
      <c r="R1060" s="1051">
        <f t="shared" si="58"/>
        <v>156206.34525000004</v>
      </c>
      <c r="S1060" s="1049">
        <v>14.862082928638785</v>
      </c>
      <c r="T1060" s="1049">
        <v>0.299321</v>
      </c>
      <c r="U1060" s="1049">
        <v>3.4079575927305102E-3</v>
      </c>
      <c r="V1060" s="1049">
        <v>2.7289152000000001E-2</v>
      </c>
      <c r="W1060" s="1049">
        <v>0.29017000000000004</v>
      </c>
      <c r="X1060" s="1010">
        <v>12.298999999999999</v>
      </c>
      <c r="Y1060" s="1049">
        <v>10.23</v>
      </c>
      <c r="Z1060" s="1053">
        <v>0</v>
      </c>
      <c r="AA1060" s="1053">
        <v>0</v>
      </c>
      <c r="AB1060" s="1053">
        <v>0</v>
      </c>
      <c r="AC1060" s="1049">
        <v>0.23304742784166366</v>
      </c>
      <c r="AD1060" s="1049">
        <v>7.285917762291623E-2</v>
      </c>
      <c r="AE1060" s="1049">
        <v>0</v>
      </c>
      <c r="AF1060" s="1049">
        <v>14.598113533457738</v>
      </c>
      <c r="AG1060" s="1013">
        <f t="shared" si="60"/>
        <v>8.4777909307771608</v>
      </c>
      <c r="AH1060" s="1045">
        <v>202602</v>
      </c>
      <c r="AI1060" s="1017"/>
      <c r="AJ1060" s="931" t="s">
        <v>2251</v>
      </c>
      <c r="AK1060" s="262"/>
      <c r="AL1060" s="262"/>
    </row>
    <row r="1061" spans="3:38" ht="15" hidden="1" customHeight="1">
      <c r="C1061" s="1032">
        <v>46069</v>
      </c>
      <c r="D1061" s="1004">
        <v>333584</v>
      </c>
      <c r="E1061" s="1004">
        <v>33453</v>
      </c>
      <c r="F1061" s="1004">
        <v>21502.71</v>
      </c>
      <c r="G1061" s="1004">
        <v>4609</v>
      </c>
      <c r="H1061" s="1004">
        <v>2153</v>
      </c>
      <c r="I1061" s="1004">
        <v>187216</v>
      </c>
      <c r="J1061" s="1004">
        <v>166434</v>
      </c>
      <c r="K1061" s="1004">
        <v>52745.83</v>
      </c>
      <c r="L1061" s="1004">
        <v>13293</v>
      </c>
      <c r="M1061" s="1004">
        <v>477465</v>
      </c>
      <c r="N1061" s="1004">
        <v>6804</v>
      </c>
      <c r="O1061" s="1004">
        <v>2254</v>
      </c>
      <c r="P1061" s="1004">
        <v>0</v>
      </c>
      <c r="Q1061" s="337">
        <v>0</v>
      </c>
      <c r="R1061" s="1051">
        <f t="shared" si="58"/>
        <v>156157.11275</v>
      </c>
      <c r="S1061" s="1048">
        <v>15.465797529074296</v>
      </c>
      <c r="T1061" s="1048">
        <v>0.308757</v>
      </c>
      <c r="U1061" s="1048">
        <v>3.4079575927305102E-3</v>
      </c>
      <c r="V1061" s="1048">
        <v>2.6889840000000002E-2</v>
      </c>
      <c r="W1061" s="1048">
        <v>0.28870000000000001</v>
      </c>
      <c r="X1061" s="1010">
        <v>12.421427903960673</v>
      </c>
      <c r="Y1061" s="1048">
        <v>9.6300000000000008</v>
      </c>
      <c r="Z1061" s="1053">
        <v>0</v>
      </c>
      <c r="AA1061" s="1048"/>
      <c r="AB1061" s="1048">
        <v>0</v>
      </c>
      <c r="AC1061" s="1048">
        <v>0.22823356845732798</v>
      </c>
      <c r="AD1061" s="1048">
        <v>7.2519375784021942E-2</v>
      </c>
      <c r="AE1061" s="1015">
        <v>0</v>
      </c>
      <c r="AF1061" s="1015">
        <v>14.594998683267873</v>
      </c>
      <c r="AG1061" s="1013">
        <f t="shared" si="60"/>
        <v>8.3636182578319236</v>
      </c>
      <c r="AH1061" s="1045">
        <v>202602</v>
      </c>
      <c r="AI1061" s="1017"/>
      <c r="AJ1061" s="931" t="s">
        <v>2251</v>
      </c>
      <c r="AK1061" s="262"/>
      <c r="AL1061" s="262"/>
    </row>
    <row r="1062" spans="3:38" ht="15.75" hidden="1">
      <c r="C1062" s="1032">
        <v>46070</v>
      </c>
      <c r="D1062" s="1001">
        <v>338239</v>
      </c>
      <c r="E1062" s="1001">
        <v>35453</v>
      </c>
      <c r="F1062" s="1001">
        <v>21508.3</v>
      </c>
      <c r="G1062" s="1001">
        <v>4665</v>
      </c>
      <c r="H1062" s="1001">
        <v>2146</v>
      </c>
      <c r="I1062" s="1001">
        <v>187713</v>
      </c>
      <c r="J1062" s="1001">
        <v>166678</v>
      </c>
      <c r="K1062" s="1001">
        <v>52185.37</v>
      </c>
      <c r="L1062" s="1001">
        <v>10978</v>
      </c>
      <c r="M1062" s="1001">
        <v>464017</v>
      </c>
      <c r="N1062" s="1001">
        <v>6827</v>
      </c>
      <c r="O1062" s="1000">
        <v>2254</v>
      </c>
      <c r="P1062" s="1001">
        <v>0</v>
      </c>
      <c r="Q1062" s="337">
        <v>0</v>
      </c>
      <c r="R1062" s="1051">
        <f t="shared" si="58"/>
        <v>155787.02575</v>
      </c>
      <c r="S1062" s="1049">
        <v>15.40746488006411</v>
      </c>
      <c r="T1062" s="1049">
        <v>0.333652</v>
      </c>
      <c r="U1062" s="1049">
        <v>3.4079575927305102E-3</v>
      </c>
      <c r="V1062" s="1049">
        <v>2.6187504E-2</v>
      </c>
      <c r="W1062" s="1049">
        <v>0.28419</v>
      </c>
      <c r="X1062" s="1010">
        <v>12.375299804330774</v>
      </c>
      <c r="Y1062" s="1049">
        <v>9.2200000000000006</v>
      </c>
      <c r="Z1062" s="1053">
        <v>0</v>
      </c>
      <c r="AA1062" s="1053">
        <v>0</v>
      </c>
      <c r="AB1062" s="1053">
        <v>0</v>
      </c>
      <c r="AC1062" s="1049">
        <v>0.22200386807759939</v>
      </c>
      <c r="AD1062" s="1031">
        <v>7.2519375784021942E-2</v>
      </c>
      <c r="AE1062" s="1049">
        <v>0</v>
      </c>
      <c r="AF1062" s="1049">
        <v>14.59873650349571</v>
      </c>
      <c r="AG1062" s="1013">
        <f t="shared" si="60"/>
        <v>8.2478970523193578</v>
      </c>
      <c r="AH1062" s="1045">
        <v>202602</v>
      </c>
      <c r="AI1062" s="1017" t="s">
        <v>2252</v>
      </c>
      <c r="AJ1062" s="931" t="s">
        <v>2251</v>
      </c>
      <c r="AK1062" s="262"/>
      <c r="AL1062" s="262"/>
    </row>
    <row r="1063" spans="3:38" ht="15.75" hidden="1">
      <c r="C1063" s="1032">
        <v>46071</v>
      </c>
      <c r="D1063" s="1004">
        <v>335353</v>
      </c>
      <c r="E1063" s="1004">
        <v>36340</v>
      </c>
      <c r="F1063" s="1004">
        <v>6915.21</v>
      </c>
      <c r="G1063" s="1004">
        <v>4732</v>
      </c>
      <c r="H1063" s="1004">
        <v>2117</v>
      </c>
      <c r="I1063" s="1004">
        <v>187159</v>
      </c>
      <c r="J1063" s="1004">
        <v>166519</v>
      </c>
      <c r="K1063" s="1004">
        <v>51836.98</v>
      </c>
      <c r="L1063" s="1004">
        <v>10107</v>
      </c>
      <c r="M1063" s="1004">
        <v>451704</v>
      </c>
      <c r="N1063" s="1004">
        <v>6837</v>
      </c>
      <c r="O1063" s="1000">
        <v>2254</v>
      </c>
      <c r="P1063" s="1004">
        <v>0</v>
      </c>
      <c r="Q1063" s="337">
        <v>0</v>
      </c>
      <c r="R1063" s="1051">
        <f t="shared" si="58"/>
        <v>144790.65100000001</v>
      </c>
      <c r="S1063" s="1015">
        <v>14.072893157806808</v>
      </c>
      <c r="T1063" s="1015">
        <v>0.44854500000000003</v>
      </c>
      <c r="U1063" s="1015">
        <v>3.4079575927305102E-3</v>
      </c>
      <c r="V1063" s="1015">
        <v>2.8237872000000004E-2</v>
      </c>
      <c r="W1063" s="1015">
        <v>0.2868</v>
      </c>
      <c r="X1063" s="1010">
        <v>12.338601205730191</v>
      </c>
      <c r="Y1063" s="1015">
        <v>9.33</v>
      </c>
      <c r="Z1063" s="1021">
        <v>0</v>
      </c>
      <c r="AA1063" s="1015">
        <v>0</v>
      </c>
      <c r="AB1063" s="1015">
        <v>0</v>
      </c>
      <c r="AC1063" s="1015">
        <v>0.21634050409602798</v>
      </c>
      <c r="AD1063" s="1031">
        <v>7.2519375784021942E-2</v>
      </c>
      <c r="AE1063" s="1015">
        <v>0</v>
      </c>
      <c r="AF1063" s="1015">
        <v>14.58619215227653</v>
      </c>
      <c r="AG1063" s="1013">
        <f t="shared" si="60"/>
        <v>8.2620218939779804</v>
      </c>
      <c r="AH1063" s="1045">
        <v>202602</v>
      </c>
      <c r="AI1063" s="1017" t="s">
        <v>2252</v>
      </c>
      <c r="AJ1063" s="931" t="s">
        <v>2251</v>
      </c>
      <c r="AK1063" s="262"/>
      <c r="AL1063" s="262"/>
    </row>
    <row r="1064" spans="3:38" ht="15.75" hidden="1">
      <c r="C1064" s="1032">
        <v>46072</v>
      </c>
      <c r="D1064" s="1001">
        <v>330548</v>
      </c>
      <c r="E1064" s="1001">
        <v>34881</v>
      </c>
      <c r="F1064" s="1001">
        <v>899.65</v>
      </c>
      <c r="G1064" s="1001">
        <v>4803</v>
      </c>
      <c r="H1064" s="1001">
        <v>2086</v>
      </c>
      <c r="I1064" s="1001">
        <v>184714</v>
      </c>
      <c r="J1064" s="1001">
        <v>165703</v>
      </c>
      <c r="K1064" s="1001">
        <v>52729.43</v>
      </c>
      <c r="L1064" s="1001">
        <v>13955</v>
      </c>
      <c r="M1064" s="1001">
        <v>471757</v>
      </c>
      <c r="N1064" s="1001">
        <v>7164</v>
      </c>
      <c r="O1064" s="1000">
        <v>2254</v>
      </c>
      <c r="P1064" s="1001">
        <v>0</v>
      </c>
      <c r="Q1064" s="337">
        <v>0</v>
      </c>
      <c r="R1064" s="1051">
        <f t="shared" si="58"/>
        <v>141338.15525000001</v>
      </c>
      <c r="S1064" s="1007">
        <v>14.935140324001054</v>
      </c>
      <c r="T1064" s="1049">
        <v>0.53378999999999999</v>
      </c>
      <c r="U1064" s="1007">
        <v>3.4079575927305102E-3</v>
      </c>
      <c r="V1064" s="1007">
        <v>2.9000000000000001E-2</v>
      </c>
      <c r="W1064" s="1049">
        <v>0.28431000000000001</v>
      </c>
      <c r="X1064" s="1010">
        <v>12.53285459029809</v>
      </c>
      <c r="Y1064" s="1049">
        <v>9.9700000000000006</v>
      </c>
      <c r="Z1064" s="1053">
        <v>0</v>
      </c>
      <c r="AA1064" s="1053">
        <v>0</v>
      </c>
      <c r="AB1064" s="1053">
        <v>0</v>
      </c>
      <c r="AC1064" s="1049">
        <v>0.23927712822139219</v>
      </c>
      <c r="AD1064" s="1031">
        <v>7.2519375784021942E-2</v>
      </c>
      <c r="AE1064" s="1049">
        <v>0</v>
      </c>
      <c r="AF1064" s="1049">
        <v>14.298634846112241</v>
      </c>
      <c r="AG1064" s="1013">
        <f t="shared" si="60"/>
        <v>8.467038801108604</v>
      </c>
      <c r="AH1064" s="1045">
        <v>202602</v>
      </c>
      <c r="AI1064" s="1017" t="s">
        <v>2252</v>
      </c>
      <c r="AJ1064" s="931" t="s">
        <v>2253</v>
      </c>
      <c r="AK1064" s="262"/>
      <c r="AL1064" s="262"/>
    </row>
    <row r="1065" spans="3:38" ht="15.75" hidden="1">
      <c r="C1065" s="1032">
        <v>46073</v>
      </c>
      <c r="D1065" s="1004">
        <v>334975</v>
      </c>
      <c r="E1065" s="1004">
        <v>38893</v>
      </c>
      <c r="F1065" s="1004">
        <v>890.02</v>
      </c>
      <c r="G1065" s="1004">
        <v>4763</v>
      </c>
      <c r="H1065" s="1004">
        <v>2071</v>
      </c>
      <c r="I1065" s="1000">
        <v>184714</v>
      </c>
      <c r="J1065" s="1004">
        <v>166823</v>
      </c>
      <c r="K1065" s="1004">
        <v>51550.98</v>
      </c>
      <c r="L1065" s="1004">
        <v>14313</v>
      </c>
      <c r="M1065" s="1004">
        <v>472623</v>
      </c>
      <c r="N1065" s="1004">
        <v>7044</v>
      </c>
      <c r="O1065" s="1000">
        <v>2254</v>
      </c>
      <c r="P1065" s="1004">
        <v>0</v>
      </c>
      <c r="Q1065" s="337">
        <v>0</v>
      </c>
      <c r="R1065" s="1051">
        <f t="shared" si="58"/>
        <v>142613.53899999999</v>
      </c>
      <c r="S1065" s="1015">
        <v>15.145251127717353</v>
      </c>
      <c r="T1065" s="1048">
        <v>0.52428399999999997</v>
      </c>
      <c r="U1065" s="1015">
        <v>3.4079575927305102E-3</v>
      </c>
      <c r="V1065" s="1015">
        <v>0.03</v>
      </c>
      <c r="W1065" s="1048">
        <v>0.28543000000000002</v>
      </c>
      <c r="X1065" s="1008">
        <v>12.53285459029809</v>
      </c>
      <c r="Y1065" s="1048">
        <v>10.47</v>
      </c>
      <c r="Z1065" s="1053">
        <v>0</v>
      </c>
      <c r="AA1065" s="1053">
        <v>0</v>
      </c>
      <c r="AB1065" s="1053">
        <v>0</v>
      </c>
      <c r="AC1065" s="1048">
        <v>0.23333059604074224</v>
      </c>
      <c r="AD1065" s="1031">
        <v>7.2519375784021942E-2</v>
      </c>
      <c r="AE1065" s="1048">
        <v>0</v>
      </c>
      <c r="AF1065" s="1048">
        <v>14.300843558065054</v>
      </c>
      <c r="AG1065" s="1013">
        <f t="shared" si="60"/>
        <v>8.6019592846094124</v>
      </c>
      <c r="AH1065" s="1045">
        <v>202602</v>
      </c>
      <c r="AI1065" s="1017" t="s">
        <v>2256</v>
      </c>
      <c r="AJ1065" s="931" t="s">
        <v>2254</v>
      </c>
      <c r="AK1065" s="262"/>
      <c r="AL1065" s="262"/>
    </row>
    <row r="1066" spans="3:38" ht="15.75" hidden="1">
      <c r="C1066" s="1032">
        <v>46074</v>
      </c>
      <c r="D1066" s="1001">
        <v>320959</v>
      </c>
      <c r="E1066" s="1001">
        <v>36786</v>
      </c>
      <c r="F1066" s="1001">
        <v>696.98</v>
      </c>
      <c r="G1066" s="1001">
        <v>4711</v>
      </c>
      <c r="H1066" s="1001">
        <v>2081</v>
      </c>
      <c r="I1066" s="1000">
        <v>184714</v>
      </c>
      <c r="J1066" s="1001">
        <v>166710</v>
      </c>
      <c r="K1066" s="1001">
        <v>52359.01</v>
      </c>
      <c r="L1066" s="1001">
        <v>7146</v>
      </c>
      <c r="M1066" s="1001">
        <v>466297</v>
      </c>
      <c r="N1066" s="1001">
        <v>7019</v>
      </c>
      <c r="O1066" s="1000">
        <v>2254</v>
      </c>
      <c r="P1066" s="1001">
        <v>0</v>
      </c>
      <c r="Q1066" s="337">
        <v>0</v>
      </c>
      <c r="R1066" s="1051">
        <f t="shared" si="58"/>
        <v>139671.35175</v>
      </c>
      <c r="S1066" s="1007">
        <v>15.047841267234324</v>
      </c>
      <c r="T1066" s="1049">
        <v>0.51258300000000001</v>
      </c>
      <c r="U1066" s="1007">
        <v>3.4079575927305102E-3</v>
      </c>
      <c r="V1066" s="1007">
        <v>2.9000000000000001E-2</v>
      </c>
      <c r="W1066" s="1049">
        <v>0.27818999999999999</v>
      </c>
      <c r="X1066" s="1008">
        <v>12.53285459029809</v>
      </c>
      <c r="Y1066" s="1049">
        <v>10.43</v>
      </c>
      <c r="Z1066" s="1053">
        <v>0</v>
      </c>
      <c r="AA1066" s="1053">
        <v>0</v>
      </c>
      <c r="AB1066" s="1053">
        <v>0</v>
      </c>
      <c r="AC1066" s="1049">
        <v>0.22511871826746369</v>
      </c>
      <c r="AD1066" s="1031">
        <v>7.2519375784021942E-2</v>
      </c>
      <c r="AE1066" s="1049">
        <v>0</v>
      </c>
      <c r="AF1066" s="1049">
        <v>14.300050687107635</v>
      </c>
      <c r="AG1066" s="1013">
        <f t="shared" si="60"/>
        <v>8.5767726815724608</v>
      </c>
      <c r="AH1066" s="1045">
        <v>202602</v>
      </c>
      <c r="AI1066" s="1017" t="s">
        <v>2256</v>
      </c>
      <c r="AJ1066" s="931" t="s">
        <v>2255</v>
      </c>
      <c r="AK1066" s="262"/>
      <c r="AL1066" s="262"/>
    </row>
    <row r="1067" spans="3:38" ht="15.75" hidden="1">
      <c r="C1067" s="1032">
        <v>46075</v>
      </c>
      <c r="D1067" s="1004">
        <v>336043</v>
      </c>
      <c r="E1067" s="1004">
        <v>36849</v>
      </c>
      <c r="F1067" s="1004">
        <v>96.28</v>
      </c>
      <c r="G1067" s="1004">
        <v>4736</v>
      </c>
      <c r="H1067" s="1004">
        <v>2100</v>
      </c>
      <c r="I1067" s="1000">
        <v>184714</v>
      </c>
      <c r="J1067" s="1004">
        <v>164642</v>
      </c>
      <c r="K1067" s="1004">
        <v>52739.91</v>
      </c>
      <c r="L1067" s="1004">
        <v>12564</v>
      </c>
      <c r="M1067" s="1004">
        <v>462536</v>
      </c>
      <c r="N1067" s="1004">
        <v>7022</v>
      </c>
      <c r="O1067" s="1000">
        <v>2254</v>
      </c>
      <c r="P1067" s="1004">
        <v>0</v>
      </c>
      <c r="Q1067" s="337">
        <v>0</v>
      </c>
      <c r="R1067" s="1051">
        <f t="shared" si="58"/>
        <v>140455.10625000004</v>
      </c>
      <c r="S1067" s="1015">
        <v>15.047558099035244</v>
      </c>
      <c r="T1067" s="1048">
        <v>0.51228399999999996</v>
      </c>
      <c r="U1067" s="1007">
        <v>3.4079575927305102E-3</v>
      </c>
      <c r="V1067" s="1015">
        <v>2.9000000000000001E-2</v>
      </c>
      <c r="W1067" s="1048">
        <v>0.27645999999999998</v>
      </c>
      <c r="X1067" s="1008">
        <v>12.53285459029809</v>
      </c>
      <c r="Y1067" s="1048">
        <v>10.34</v>
      </c>
      <c r="Z1067" s="1053">
        <v>0</v>
      </c>
      <c r="AA1067" s="1053">
        <v>0</v>
      </c>
      <c r="AB1067" s="1053">
        <v>0</v>
      </c>
      <c r="AC1067" s="1048">
        <v>0.22823356845732798</v>
      </c>
      <c r="AD1067" s="1031">
        <v>7.2519375784021942E-2</v>
      </c>
      <c r="AE1067" s="1048">
        <v>0</v>
      </c>
      <c r="AF1067" s="1048">
        <v>14.299597617989109</v>
      </c>
      <c r="AG1067" s="1013">
        <f t="shared" si="60"/>
        <v>8.5518192806733744</v>
      </c>
      <c r="AH1067" s="1045">
        <v>202602</v>
      </c>
      <c r="AI1067" s="1017" t="s">
        <v>2256</v>
      </c>
      <c r="AJ1067" s="931" t="s">
        <v>2257</v>
      </c>
      <c r="AK1067" s="262"/>
      <c r="AL1067" s="262"/>
    </row>
    <row r="1068" spans="3:38" ht="15.75" hidden="1">
      <c r="C1068" s="1032">
        <v>46076</v>
      </c>
      <c r="D1068" s="1001">
        <v>326551</v>
      </c>
      <c r="E1068" s="1001">
        <v>37050</v>
      </c>
      <c r="F1068" s="1000">
        <v>96.28</v>
      </c>
      <c r="G1068" s="1000">
        <v>4736</v>
      </c>
      <c r="H1068" s="1001">
        <v>2141</v>
      </c>
      <c r="I1068" s="1000">
        <v>184714</v>
      </c>
      <c r="J1068" s="1001">
        <v>166802</v>
      </c>
      <c r="K1068" s="1000">
        <v>52739.91</v>
      </c>
      <c r="L1068" s="1001">
        <v>12695</v>
      </c>
      <c r="M1068" s="1001">
        <v>453359</v>
      </c>
      <c r="N1068" s="1001">
        <v>7399</v>
      </c>
      <c r="O1068" s="1000">
        <v>2254</v>
      </c>
      <c r="P1068" s="1001">
        <v>0</v>
      </c>
      <c r="Q1068" s="337">
        <v>0</v>
      </c>
      <c r="R1068" s="1051">
        <f t="shared" si="58"/>
        <v>140540.32900000003</v>
      </c>
      <c r="S1068" s="1007">
        <v>14.99092445921953</v>
      </c>
      <c r="T1068" s="1049">
        <v>0.50695400000000002</v>
      </c>
      <c r="U1068" s="1054">
        <v>3.4079575927305102E-3</v>
      </c>
      <c r="V1068" s="1054">
        <v>2.9000000000000001E-2</v>
      </c>
      <c r="W1068" s="1049">
        <v>0.29905000000000004</v>
      </c>
      <c r="X1068" s="1008">
        <v>12.53285459029809</v>
      </c>
      <c r="Y1068" s="1049">
        <v>10.42</v>
      </c>
      <c r="Z1068" s="1048"/>
      <c r="AA1068" s="1053">
        <v>0</v>
      </c>
      <c r="AB1068" s="1053">
        <v>0</v>
      </c>
      <c r="AC1068" s="1049">
        <v>0.22738406386009222</v>
      </c>
      <c r="AD1068" s="1031">
        <v>7.2519375784021942E-2</v>
      </c>
      <c r="AE1068" s="1049">
        <v>0</v>
      </c>
      <c r="AF1068" s="1049">
        <v>14.299654251628924</v>
      </c>
      <c r="AG1068" s="1013">
        <f t="shared" si="60"/>
        <v>8.5920298289218362</v>
      </c>
      <c r="AH1068" s="1045">
        <v>202602</v>
      </c>
      <c r="AI1068" s="1017" t="s">
        <v>2258</v>
      </c>
      <c r="AJ1068" s="931" t="s">
        <v>2257</v>
      </c>
      <c r="AK1068" s="262"/>
      <c r="AL1068" s="262"/>
    </row>
    <row r="1069" spans="3:38" ht="16.5" hidden="1" customHeight="1">
      <c r="C1069" s="1032">
        <v>46077</v>
      </c>
      <c r="D1069" s="1004">
        <v>328010</v>
      </c>
      <c r="E1069" s="1004">
        <v>36673</v>
      </c>
      <c r="F1069" s="1004">
        <v>346.74</v>
      </c>
      <c r="G1069" s="1004">
        <v>4749</v>
      </c>
      <c r="H1069" s="1004">
        <v>2088</v>
      </c>
      <c r="I1069" s="1004">
        <v>184671</v>
      </c>
      <c r="J1069" s="1004">
        <v>165924</v>
      </c>
      <c r="K1069" s="1004">
        <v>53137.21</v>
      </c>
      <c r="L1069" s="1004">
        <v>10994</v>
      </c>
      <c r="M1069" s="1004">
        <v>462005</v>
      </c>
      <c r="N1069" s="1004">
        <v>7399</v>
      </c>
      <c r="O1069" s="1004">
        <v>2693</v>
      </c>
      <c r="P1069" s="1004">
        <v>0</v>
      </c>
      <c r="Q1069" s="337">
        <v>0</v>
      </c>
      <c r="R1069" s="1051">
        <f t="shared" si="58"/>
        <v>140583.55550000005</v>
      </c>
      <c r="S1069" s="1015">
        <v>14.966855162297851</v>
      </c>
      <c r="T1069" s="1015">
        <v>0.48477300000000001</v>
      </c>
      <c r="U1069" s="1015">
        <v>3.4079575927305102E-3</v>
      </c>
      <c r="V1069" s="1048">
        <v>2.9000000000000001E-2</v>
      </c>
      <c r="W1069" s="1015">
        <v>0.29181000000000001</v>
      </c>
      <c r="X1069" s="1010">
        <v>11.814117067396863</v>
      </c>
      <c r="Y1069" s="1015">
        <v>10.39</v>
      </c>
      <c r="Z1069" s="1053">
        <v>0</v>
      </c>
      <c r="AA1069" s="1053">
        <v>0</v>
      </c>
      <c r="AB1069" s="1053">
        <v>0</v>
      </c>
      <c r="AC1069" s="1015">
        <v>3.5396024884821332E-2</v>
      </c>
      <c r="AD1069" s="1048">
        <v>9.0698774164866186E-2</v>
      </c>
      <c r="AE1069" s="1048">
        <v>0</v>
      </c>
      <c r="AF1069" s="1015">
        <v>14.457633789894858</v>
      </c>
      <c r="AG1069" s="1013">
        <f t="shared" si="60"/>
        <v>8.4395590239768978</v>
      </c>
      <c r="AH1069" s="1045">
        <v>202602</v>
      </c>
      <c r="AI1069" s="1017"/>
      <c r="AJ1069" s="931" t="s">
        <v>2257</v>
      </c>
      <c r="AK1069" s="262"/>
      <c r="AL1069" s="262"/>
    </row>
    <row r="1070" spans="3:38" ht="15.75" hidden="1">
      <c r="C1070" s="1032">
        <v>46078</v>
      </c>
      <c r="D1070" s="1001">
        <v>343648</v>
      </c>
      <c r="E1070" s="1001">
        <v>35491</v>
      </c>
      <c r="F1070" s="1001">
        <v>426.06000000000006</v>
      </c>
      <c r="G1070" s="1001">
        <v>4771</v>
      </c>
      <c r="H1070" s="1001">
        <v>2096</v>
      </c>
      <c r="I1070" s="1001">
        <v>186397</v>
      </c>
      <c r="J1070" s="1001">
        <v>165743</v>
      </c>
      <c r="K1070" s="1001">
        <v>52789.2</v>
      </c>
      <c r="L1070" s="1001">
        <v>10593</v>
      </c>
      <c r="M1070" s="1001">
        <v>415648</v>
      </c>
      <c r="N1070" s="1001">
        <v>5041</v>
      </c>
      <c r="O1070" s="1001">
        <v>2697</v>
      </c>
      <c r="P1070" s="1001">
        <v>0</v>
      </c>
      <c r="Q1070" s="337">
        <v>0</v>
      </c>
      <c r="R1070" s="1051">
        <f t="shared" si="58"/>
        <v>138798.68724999999</v>
      </c>
      <c r="S1070" s="1007">
        <v>15.01669276533568</v>
      </c>
      <c r="T1070" s="1007">
        <v>0.46201100000000001</v>
      </c>
      <c r="U1070" s="1007">
        <v>3.4079575927305102E-3</v>
      </c>
      <c r="V1070" s="1049">
        <v>2.9000000000000001E-2</v>
      </c>
      <c r="W1070" s="1007">
        <v>0.28286</v>
      </c>
      <c r="X1070" s="1010">
        <v>12.319402401832663</v>
      </c>
      <c r="Y1070" s="1007">
        <v>10.33</v>
      </c>
      <c r="Z1070" s="1053">
        <v>0</v>
      </c>
      <c r="AA1070" s="1053">
        <v>0</v>
      </c>
      <c r="AB1070" s="1053">
        <v>0</v>
      </c>
      <c r="AC1070" s="1007">
        <v>0.13478806276139962</v>
      </c>
      <c r="AD1070" s="1049">
        <v>8.0363134898498362E-2</v>
      </c>
      <c r="AE1070" s="1049">
        <v>0</v>
      </c>
      <c r="AF1070" s="1007">
        <v>14.597490563419765</v>
      </c>
      <c r="AG1070" s="1013">
        <f t="shared" si="60"/>
        <v>8.541952620712026</v>
      </c>
      <c r="AH1070" s="1045">
        <v>202602</v>
      </c>
      <c r="AI1070" s="1017"/>
      <c r="AJ1070" s="931" t="s">
        <v>2257</v>
      </c>
      <c r="AK1070" s="262"/>
      <c r="AL1070" s="262"/>
    </row>
    <row r="1071" spans="3:38" ht="15.75" hidden="1">
      <c r="C1071" s="1032">
        <v>46079</v>
      </c>
      <c r="D1071" s="1004">
        <v>336951</v>
      </c>
      <c r="E1071" s="1004">
        <v>32654</v>
      </c>
      <c r="F1071" s="1004">
        <v>20621.68</v>
      </c>
      <c r="G1071" s="1004">
        <v>4734</v>
      </c>
      <c r="H1071" s="1004">
        <v>2098</v>
      </c>
      <c r="I1071" s="1004">
        <v>184639</v>
      </c>
      <c r="J1071" s="1004">
        <v>163552</v>
      </c>
      <c r="K1071" s="1004">
        <v>54295.67</v>
      </c>
      <c r="L1071" s="1004">
        <v>9256</v>
      </c>
      <c r="M1071" s="1004">
        <v>446809</v>
      </c>
      <c r="N1071" s="1004">
        <v>7023</v>
      </c>
      <c r="O1071" s="1004">
        <v>2660</v>
      </c>
      <c r="P1071" s="1004">
        <v>0</v>
      </c>
      <c r="Q1071" s="337">
        <v>0</v>
      </c>
      <c r="R1071" s="1051">
        <f t="shared" si="58"/>
        <v>152539.71025000003</v>
      </c>
      <c r="S1071" s="1015">
        <v>15.0520887902205</v>
      </c>
      <c r="T1071" s="1015">
        <v>0.46273900000000001</v>
      </c>
      <c r="U1071" s="1015">
        <v>3.4079575927305102E-3</v>
      </c>
      <c r="V1071" s="1048">
        <v>2.9000000000000001E-2</v>
      </c>
      <c r="W1071" s="1015">
        <v>0.27249000000000001</v>
      </c>
      <c r="X1071" s="1010">
        <v>12.33661902833664</v>
      </c>
      <c r="Y1071" s="1015">
        <v>10.33</v>
      </c>
      <c r="Z1071" s="1053">
        <v>0</v>
      </c>
      <c r="AA1071" s="1053">
        <v>0</v>
      </c>
      <c r="AB1071" s="1053">
        <v>0</v>
      </c>
      <c r="AC1071" s="1015">
        <v>0.23248109144350654</v>
      </c>
      <c r="AD1071" s="1048">
        <v>9.1321744202839047E-2</v>
      </c>
      <c r="AE1071" s="1048">
        <v>0</v>
      </c>
      <c r="AF1071" s="1015">
        <v>14.740320603034995</v>
      </c>
      <c r="AG1071" s="1013">
        <f t="shared" si="60"/>
        <v>8.57566862335206</v>
      </c>
      <c r="AH1071" s="1045">
        <v>202602</v>
      </c>
      <c r="AI1071" s="1017"/>
      <c r="AJ1071" s="931" t="s">
        <v>2257</v>
      </c>
      <c r="AK1071" s="262"/>
      <c r="AL1071" s="262"/>
    </row>
    <row r="1072" spans="3:38" ht="15.75" hidden="1">
      <c r="C1072" s="1032">
        <v>46080</v>
      </c>
      <c r="D1072" s="1001">
        <v>317709</v>
      </c>
      <c r="E1072" s="1001">
        <v>31484</v>
      </c>
      <c r="F1072" s="1001">
        <v>23322.87</v>
      </c>
      <c r="G1072" s="1001">
        <v>4746</v>
      </c>
      <c r="H1072" s="1001">
        <v>2100</v>
      </c>
      <c r="I1072" s="1001">
        <v>185144</v>
      </c>
      <c r="J1072" s="1001">
        <v>165169</v>
      </c>
      <c r="K1072" s="1001">
        <v>52816.38</v>
      </c>
      <c r="L1072" s="1001">
        <v>16047</v>
      </c>
      <c r="M1072" s="1001">
        <v>440106</v>
      </c>
      <c r="N1072" s="1001">
        <v>7012</v>
      </c>
      <c r="O1072" s="1001">
        <v>2683</v>
      </c>
      <c r="P1072" s="1001">
        <v>0</v>
      </c>
      <c r="Q1072" s="337">
        <v>0</v>
      </c>
      <c r="R1072" s="1051">
        <f t="shared" si="58"/>
        <v>155089.611</v>
      </c>
      <c r="S1072" s="1007">
        <v>14.894364103333741</v>
      </c>
      <c r="T1072" s="1007">
        <v>0.45890700000000001</v>
      </c>
      <c r="U1072" s="1007">
        <v>3.4079575927305102E-3</v>
      </c>
      <c r="V1072" s="1049">
        <v>2.9000000000000001E-2</v>
      </c>
      <c r="W1072" s="1007">
        <v>0.28799000000000002</v>
      </c>
      <c r="X1072" s="1010">
        <v>12.302638844447213</v>
      </c>
      <c r="Y1072" s="1007">
        <v>10.23</v>
      </c>
      <c r="Z1072" s="1053">
        <v>0</v>
      </c>
      <c r="AA1072" s="1053">
        <v>0</v>
      </c>
      <c r="AB1072" s="1053">
        <v>0</v>
      </c>
      <c r="AC1072" s="1007">
        <v>0.22509040144755582</v>
      </c>
      <c r="AD1072" s="1049">
        <v>9.3700357075099036E-2</v>
      </c>
      <c r="AE1072" s="1049">
        <v>0</v>
      </c>
      <c r="AF1072" s="1007">
        <v>14.740745355333615</v>
      </c>
      <c r="AG1072" s="1013">
        <f t="shared" ref="AG1072:AG1089" si="61" xml:space="preserve"> IF(C1072&lt; DATE(2024, 11, 1), S1072 * (2.31 / 100), S1072 * (2.925 / 100))+T1072*T$6+U1092*U$6+V1072*V$6+W1072*W$6+X1072*X$6+Y1072*Y$6+Z1072*Z$6+AA1072*AA$6+AB1072*AB$6+AC1072*AC$6+AD1072*AD$6+AE1072*AE$6+AF1072*AF$6</f>
        <v>8.5529351766228512</v>
      </c>
      <c r="AH1072" s="1045">
        <v>202602</v>
      </c>
      <c r="AI1072" s="1017"/>
      <c r="AJ1072" s="931" t="s">
        <v>2284</v>
      </c>
      <c r="AK1072" s="262"/>
      <c r="AL1072" s="262"/>
    </row>
    <row r="1073" spans="3:38" ht="15.75" hidden="1">
      <c r="C1073" s="1032">
        <v>46081</v>
      </c>
      <c r="D1073" s="1004">
        <v>319237</v>
      </c>
      <c r="E1073" s="1004">
        <v>33484</v>
      </c>
      <c r="F1073" s="1004">
        <v>22975.49</v>
      </c>
      <c r="G1073" s="1004">
        <v>4717</v>
      </c>
      <c r="H1073" s="1004">
        <v>2083</v>
      </c>
      <c r="I1073" s="1004">
        <v>180795</v>
      </c>
      <c r="J1073" s="1004">
        <v>148304</v>
      </c>
      <c r="K1073" s="1004">
        <v>51775.97</v>
      </c>
      <c r="L1073" s="1004">
        <v>12828</v>
      </c>
      <c r="M1073" s="1004">
        <v>398520</v>
      </c>
      <c r="N1073" s="1004">
        <v>7142</v>
      </c>
      <c r="O1073" s="1004">
        <v>2745</v>
      </c>
      <c r="P1073" s="1004">
        <v>0</v>
      </c>
      <c r="Q1073" s="337">
        <v>0</v>
      </c>
      <c r="R1073" s="1051">
        <f t="shared" si="58"/>
        <v>147483.91274999999</v>
      </c>
      <c r="S1073" s="1015">
        <v>15.199619421940437</v>
      </c>
      <c r="T1073" s="1015">
        <v>0.45785799999999999</v>
      </c>
      <c r="U1073" s="1015">
        <v>3.4079575927305102E-3</v>
      </c>
      <c r="V1073" s="1048">
        <v>2.9000000000000001E-2</v>
      </c>
      <c r="W1073" s="1015">
        <v>0.2883</v>
      </c>
      <c r="X1073" s="1010">
        <v>12.285025782464526</v>
      </c>
      <c r="Y1073" s="1015">
        <v>9.99</v>
      </c>
      <c r="Z1073" s="1053">
        <v>0</v>
      </c>
      <c r="AA1073" s="1053">
        <v>0</v>
      </c>
      <c r="AB1073" s="1053">
        <v>0</v>
      </c>
      <c r="AC1073" s="1015">
        <v>0.2307820822490351</v>
      </c>
      <c r="AD1073" s="1048">
        <v>9.3841941174638316E-2</v>
      </c>
      <c r="AE1073" s="1048">
        <v>0</v>
      </c>
      <c r="AF1073" s="1015">
        <v>14.585908984077451</v>
      </c>
      <c r="AG1073" s="1013">
        <f t="shared" si="61"/>
        <v>8.4703285877099894</v>
      </c>
      <c r="AH1073" s="1045">
        <v>202602</v>
      </c>
      <c r="AI1073" s="1017"/>
      <c r="AJ1073" s="931" t="s">
        <v>2285</v>
      </c>
      <c r="AK1073" s="262"/>
      <c r="AL1073" s="262"/>
    </row>
    <row r="1074" spans="3:38" ht="15.75" hidden="1">
      <c r="C1074" s="1032">
        <v>46082</v>
      </c>
      <c r="D1074" s="1001">
        <v>298743</v>
      </c>
      <c r="E1074" s="1001">
        <v>36358</v>
      </c>
      <c r="F1074" s="1001">
        <v>22778.399999999998</v>
      </c>
      <c r="G1074" s="1001">
        <v>4676</v>
      </c>
      <c r="H1074" s="1001">
        <v>2062</v>
      </c>
      <c r="I1074" s="1001">
        <v>191127</v>
      </c>
      <c r="J1074" s="1001">
        <v>151392</v>
      </c>
      <c r="K1074" s="1001">
        <v>53770.45</v>
      </c>
      <c r="L1074" s="1001">
        <v>12231</v>
      </c>
      <c r="M1074" s="1001">
        <v>449370</v>
      </c>
      <c r="N1074" s="1001">
        <v>7250</v>
      </c>
      <c r="O1074" s="1001">
        <v>2813</v>
      </c>
      <c r="P1074" s="1001">
        <v>0</v>
      </c>
      <c r="Q1074" s="337">
        <v>0</v>
      </c>
      <c r="R1074" s="1051">
        <f t="shared" si="58"/>
        <v>152777.93400000001</v>
      </c>
      <c r="S1074" s="1007">
        <v>15.059451163396547</v>
      </c>
      <c r="T1074" s="1007">
        <v>0.45718300000000001</v>
      </c>
      <c r="U1074" s="1007">
        <v>3.4079575927305102E-3</v>
      </c>
      <c r="V1074" s="1049">
        <v>2.8000000000000001E-2</v>
      </c>
      <c r="W1074" s="1007">
        <v>0.28576999999999997</v>
      </c>
      <c r="X1074" s="1010">
        <v>12.344151302432131</v>
      </c>
      <c r="Y1074" s="1007">
        <v>8.84</v>
      </c>
      <c r="Z1074" s="1053">
        <v>0</v>
      </c>
      <c r="AA1074" s="1053">
        <v>0</v>
      </c>
      <c r="AB1074" s="1053">
        <v>0</v>
      </c>
      <c r="AC1074" s="1007">
        <v>0.2296494094527208</v>
      </c>
      <c r="AD1074" s="1049">
        <v>0.10621639147437185</v>
      </c>
      <c r="AE1074" s="1049">
        <v>0</v>
      </c>
      <c r="AF1074" s="1007">
        <v>14.297360589216387</v>
      </c>
      <c r="AG1074" s="1013">
        <f t="shared" si="61"/>
        <v>8.1316134791270205</v>
      </c>
      <c r="AH1074" s="1045">
        <v>202603</v>
      </c>
      <c r="AI1074" s="1017"/>
      <c r="AJ1074" s="931" t="s">
        <v>2276</v>
      </c>
      <c r="AK1074" s="262"/>
      <c r="AL1074" s="262"/>
    </row>
    <row r="1075" spans="3:38" ht="15.75" hidden="1">
      <c r="C1075" s="1032">
        <v>46083</v>
      </c>
      <c r="D1075" s="1004">
        <v>347692</v>
      </c>
      <c r="E1075" s="1004">
        <v>36340</v>
      </c>
      <c r="F1075" s="1004">
        <v>22741.629999999997</v>
      </c>
      <c r="G1075" s="1004">
        <v>4629</v>
      </c>
      <c r="H1075" s="1004">
        <v>2067</v>
      </c>
      <c r="I1075" s="1004">
        <v>186020</v>
      </c>
      <c r="J1075" s="1004">
        <v>155634</v>
      </c>
      <c r="K1075" s="1004">
        <v>47883</v>
      </c>
      <c r="L1075" s="1004">
        <v>10813</v>
      </c>
      <c r="M1075" s="1004">
        <v>448623</v>
      </c>
      <c r="N1075" s="1004">
        <v>7070</v>
      </c>
      <c r="O1075" s="1004">
        <v>2834</v>
      </c>
      <c r="P1075" s="1004">
        <v>0</v>
      </c>
      <c r="Q1075" s="337">
        <v>0</v>
      </c>
      <c r="R1075" s="1051">
        <f t="shared" si="58"/>
        <v>152386.87825000004</v>
      </c>
      <c r="S1075" s="1015">
        <v>15.184045170991119</v>
      </c>
      <c r="T1075" s="1015">
        <v>0.456897</v>
      </c>
      <c r="U1075" s="1015">
        <v>3.4079575927305102E-3</v>
      </c>
      <c r="V1075" s="1048">
        <v>2.7E-2</v>
      </c>
      <c r="W1075" s="1015">
        <v>0.28327999999999998</v>
      </c>
      <c r="X1075" s="1010">
        <v>12.378</v>
      </c>
      <c r="Y1075" s="1015">
        <v>2.5299999999999998</v>
      </c>
      <c r="Z1075" s="1053">
        <v>0</v>
      </c>
      <c r="AA1075" s="1053">
        <v>0</v>
      </c>
      <c r="AB1075" s="1053">
        <v>0</v>
      </c>
      <c r="AC1075" s="1015">
        <v>0.22851673665640654</v>
      </c>
      <c r="AD1075" s="1048">
        <v>0.106386292393819</v>
      </c>
      <c r="AE1075" s="1048">
        <v>0</v>
      </c>
      <c r="AF1075" s="1015">
        <v>14.845149470333881</v>
      </c>
      <c r="AG1075" s="1013">
        <f t="shared" si="61"/>
        <v>6.5917961182508416</v>
      </c>
      <c r="AH1075" s="1045">
        <v>202603</v>
      </c>
      <c r="AI1075" s="1017"/>
      <c r="AJ1075" s="931" t="s">
        <v>2276</v>
      </c>
      <c r="AK1075" s="262"/>
      <c r="AL1075" s="262"/>
    </row>
    <row r="1076" spans="3:38" ht="15.75" hidden="1">
      <c r="C1076" s="1032">
        <v>46084</v>
      </c>
      <c r="D1076" s="1001">
        <v>333564</v>
      </c>
      <c r="E1076" s="1001">
        <v>36164</v>
      </c>
      <c r="F1076" s="1001">
        <v>22702.43</v>
      </c>
      <c r="G1076" s="1001">
        <v>4601</v>
      </c>
      <c r="H1076" s="1001">
        <v>2066</v>
      </c>
      <c r="I1076" s="1001">
        <v>182775</v>
      </c>
      <c r="J1076" s="1001">
        <v>155914</v>
      </c>
      <c r="K1076" s="1001">
        <v>52492.2</v>
      </c>
      <c r="L1076" s="1001">
        <v>9818</v>
      </c>
      <c r="M1076" s="1001">
        <v>452133</v>
      </c>
      <c r="N1076" s="1001">
        <v>7037</v>
      </c>
      <c r="O1076" s="1001">
        <v>2885</v>
      </c>
      <c r="P1076" s="1001">
        <v>0</v>
      </c>
      <c r="Q1076" s="337">
        <v>0</v>
      </c>
      <c r="R1076" s="1051">
        <f t="shared" si="58"/>
        <v>152376.90050000002</v>
      </c>
      <c r="S1076" s="1007">
        <v>15.28372037706677</v>
      </c>
      <c r="T1076" s="1007">
        <v>0.45615600000000001</v>
      </c>
      <c r="U1076" s="1007">
        <v>3.4079575927305102E-3</v>
      </c>
      <c r="V1076" s="1049">
        <v>2.7E-2</v>
      </c>
      <c r="W1076" s="1007">
        <v>0.28067999999999999</v>
      </c>
      <c r="X1076" s="1010">
        <v>12.343</v>
      </c>
      <c r="Y1076" s="1007">
        <v>2.67</v>
      </c>
      <c r="Z1076" s="1053">
        <v>0</v>
      </c>
      <c r="AA1076" s="1053">
        <v>0</v>
      </c>
      <c r="AB1076" s="1053">
        <v>0</v>
      </c>
      <c r="AC1076" s="1007">
        <v>0.22228703627667795</v>
      </c>
      <c r="AD1076" s="1049">
        <v>9.3955208454269745E-2</v>
      </c>
      <c r="AE1076" s="1049">
        <v>0</v>
      </c>
      <c r="AF1076" s="1007">
        <v>14.599246206254051</v>
      </c>
      <c r="AG1076" s="1013">
        <f t="shared" si="61"/>
        <v>6.5739436530726305</v>
      </c>
      <c r="AH1076" s="1045">
        <v>202603</v>
      </c>
      <c r="AI1076" s="1017"/>
      <c r="AJ1076" s="931" t="s">
        <v>2277</v>
      </c>
      <c r="AK1076" s="262"/>
      <c r="AL1076" s="262"/>
    </row>
    <row r="1077" spans="3:38" ht="15.75" hidden="1">
      <c r="C1077" s="1032">
        <v>46085</v>
      </c>
      <c r="D1077" s="1004">
        <v>338037</v>
      </c>
      <c r="E1077" s="1004">
        <v>36208</v>
      </c>
      <c r="F1077" s="1004">
        <v>22671.68</v>
      </c>
      <c r="G1077" s="1004">
        <v>4563</v>
      </c>
      <c r="H1077" s="1004">
        <v>2066</v>
      </c>
      <c r="I1077" s="1004">
        <v>182807</v>
      </c>
      <c r="J1077" s="1004">
        <v>144387</v>
      </c>
      <c r="K1077" s="1004">
        <v>52390.71</v>
      </c>
      <c r="L1077" s="1004">
        <v>12419</v>
      </c>
      <c r="M1077" s="1004">
        <v>428904</v>
      </c>
      <c r="N1077" s="1004">
        <v>7033</v>
      </c>
      <c r="O1077" s="1004">
        <v>2912</v>
      </c>
      <c r="P1077" s="1004">
        <v>0</v>
      </c>
      <c r="Q1077" s="337">
        <v>0</v>
      </c>
      <c r="R1077" s="1051">
        <f t="shared" si="58"/>
        <v>149171.78950000001</v>
      </c>
      <c r="S1077" s="1015">
        <v>15.085785805910852</v>
      </c>
      <c r="T1077" s="1015">
        <v>0.46384700000000001</v>
      </c>
      <c r="U1077" s="1015">
        <v>3.4079575927305102E-3</v>
      </c>
      <c r="V1077" s="1048">
        <v>2.7E-2</v>
      </c>
      <c r="W1077" s="1015">
        <v>0.27710000000000001</v>
      </c>
      <c r="X1077" s="1010">
        <v>12.261919257419715</v>
      </c>
      <c r="Y1077" s="1015">
        <v>2.77</v>
      </c>
      <c r="Z1077" s="1053">
        <v>0</v>
      </c>
      <c r="AA1077" s="1053">
        <v>0</v>
      </c>
      <c r="AB1077" s="1053">
        <v>0</v>
      </c>
      <c r="AC1077" s="1015">
        <v>0.22540188646654225</v>
      </c>
      <c r="AD1077" s="1048">
        <v>9.2114615160259039E-2</v>
      </c>
      <c r="AE1077" s="1048">
        <v>0</v>
      </c>
      <c r="AF1077" s="1015">
        <v>14.602672541462901</v>
      </c>
      <c r="AG1077" s="1013">
        <f t="shared" si="61"/>
        <v>6.5766275241115739</v>
      </c>
      <c r="AH1077" s="1045">
        <v>202603</v>
      </c>
      <c r="AI1077" s="1017"/>
      <c r="AJ1077" s="931" t="s">
        <v>2278</v>
      </c>
      <c r="AK1077" s="262"/>
      <c r="AL1077" s="262"/>
    </row>
    <row r="1078" spans="3:38" ht="15.75" hidden="1">
      <c r="C1078" s="1032">
        <v>46086</v>
      </c>
      <c r="D1078" s="1001">
        <v>337093</v>
      </c>
      <c r="E1078" s="1001">
        <v>36623</v>
      </c>
      <c r="F1078" s="1001">
        <v>22655.54</v>
      </c>
      <c r="G1078" s="1001">
        <v>4591</v>
      </c>
      <c r="H1078" s="1001">
        <v>2079</v>
      </c>
      <c r="I1078" s="1001">
        <v>181884</v>
      </c>
      <c r="J1078" s="1001">
        <v>148023</v>
      </c>
      <c r="K1078" s="1001">
        <v>54066.01</v>
      </c>
      <c r="L1078" s="1001">
        <v>6692</v>
      </c>
      <c r="M1078" s="1001">
        <v>456384</v>
      </c>
      <c r="N1078" s="1001">
        <v>6833</v>
      </c>
      <c r="O1078" s="1001">
        <v>3048</v>
      </c>
      <c r="P1078" s="1001">
        <v>0</v>
      </c>
      <c r="Q1078" s="337">
        <v>0</v>
      </c>
      <c r="R1078" s="1051">
        <f xml:space="preserve"> IF(C1078&lt; DATE(2024, 11, 1), D1078 * (2.31 / 100), D1078 * (2.925 / 100))+E1078*E$6+F1078*F$6+G1078*G$6+H1078*H$6+I1078*I$6+J1078*J$6+K1078*K$6+L1078*L$6+M1078*M$6+N1078*N$6+O1078*O$6+P1078*P$6+Q1078*Q$6</f>
        <v>150201.47575000004</v>
      </c>
      <c r="S1078" s="1007">
        <v>15.193389721560708</v>
      </c>
      <c r="T1078" s="1007">
        <v>0.47378599999999998</v>
      </c>
      <c r="U1078" s="1007">
        <v>3.4079575927305102E-3</v>
      </c>
      <c r="V1078" s="1049">
        <v>2.4E-2</v>
      </c>
      <c r="W1078" s="1007">
        <v>0.27758999999999995</v>
      </c>
      <c r="X1078" s="1010">
        <v>12.235358080346144</v>
      </c>
      <c r="Y1078" s="1007">
        <v>9.94</v>
      </c>
      <c r="Z1078" s="1053">
        <v>0</v>
      </c>
      <c r="AA1078" s="1053">
        <v>0</v>
      </c>
      <c r="AB1078" s="1053">
        <v>0</v>
      </c>
      <c r="AC1078" s="1007">
        <v>0.21492466310063513</v>
      </c>
      <c r="AD1078" s="1049">
        <v>8.687600347730548E-2</v>
      </c>
      <c r="AE1078" s="1049">
        <v>0</v>
      </c>
      <c r="AF1078" s="1007">
        <v>14.733977635375636</v>
      </c>
      <c r="AG1078" s="1013">
        <f t="shared" si="61"/>
        <v>8.4594103581690909</v>
      </c>
      <c r="AH1078" s="1045">
        <v>202603</v>
      </c>
      <c r="AI1078" s="1017"/>
      <c r="AJ1078" s="931" t="s">
        <v>2279</v>
      </c>
      <c r="AK1078" s="262"/>
      <c r="AL1078" s="262"/>
    </row>
    <row r="1079" spans="3:38" ht="15.75" hidden="1">
      <c r="C1079" s="1032">
        <v>46087</v>
      </c>
      <c r="D1079" s="1004">
        <v>314117</v>
      </c>
      <c r="E1079" s="1004">
        <v>36019</v>
      </c>
      <c r="F1079" s="1004">
        <v>22418.25</v>
      </c>
      <c r="G1079" s="1004">
        <v>4635</v>
      </c>
      <c r="H1079" s="1004">
        <v>2106</v>
      </c>
      <c r="I1079" s="1004">
        <v>188512</v>
      </c>
      <c r="J1079" s="1004">
        <v>153678</v>
      </c>
      <c r="K1079" s="1004">
        <v>53292.92</v>
      </c>
      <c r="L1079" s="1004">
        <v>1581</v>
      </c>
      <c r="M1079" s="1004">
        <v>338950</v>
      </c>
      <c r="N1079" s="1004">
        <v>6974</v>
      </c>
      <c r="O1079" s="1004">
        <v>3050</v>
      </c>
      <c r="P1079" s="1004">
        <v>0</v>
      </c>
      <c r="Q1079" s="337">
        <v>0</v>
      </c>
      <c r="R1079" s="1051">
        <f t="shared" ref="R1079:R1110" si="62" xml:space="preserve"> IF(C1079&lt; DATE(2024, 11, 1), D1079 * (2.31 / 100), D1079 * (2.925 / 100))+E1079*E$6+F1079*F$6+G1079*G$6+H1079*H$6+I1079*I$6+J1079*J$6+K1079*K$6+L1079*L$6+M1079*M$6+N1079*N$6+O1079*O$6+P1079*P$6+Q1079*Q$6</f>
        <v>145937.7935</v>
      </c>
      <c r="S1079" s="1015">
        <v>15.26418177133035</v>
      </c>
      <c r="T1079" s="1015">
        <v>0.47456799999999999</v>
      </c>
      <c r="U1079" s="1015">
        <v>3.4079575927305102E-3</v>
      </c>
      <c r="V1079" s="1048">
        <v>2.5999999999999999E-2</v>
      </c>
      <c r="W1079" s="1015">
        <v>0.29598000000000002</v>
      </c>
      <c r="X1079" s="1010">
        <v>12.28114637813715</v>
      </c>
      <c r="Y1079" s="1015">
        <v>9.8000000000000007</v>
      </c>
      <c r="Z1079" s="1053">
        <v>0</v>
      </c>
      <c r="AA1079" s="1053">
        <v>0</v>
      </c>
      <c r="AB1079" s="1053">
        <v>0</v>
      </c>
      <c r="AC1079" s="1015">
        <v>0.22143753167944227</v>
      </c>
      <c r="AD1079" s="1048">
        <v>8.4808875624031915E-2</v>
      </c>
      <c r="AE1079" s="1048">
        <v>0</v>
      </c>
      <c r="AF1079" s="1015">
        <v>14.728625756413049</v>
      </c>
      <c r="AG1079" s="1013">
        <f t="shared" si="61"/>
        <v>8.4528195701617754</v>
      </c>
      <c r="AH1079" s="1045">
        <v>202603</v>
      </c>
      <c r="AI1079" s="1017"/>
      <c r="AJ1079" s="931" t="s">
        <v>2280</v>
      </c>
      <c r="AK1079" s="262"/>
      <c r="AL1079" s="262"/>
    </row>
    <row r="1080" spans="3:38" ht="15.75" hidden="1">
      <c r="C1080" s="1032">
        <v>46088</v>
      </c>
      <c r="D1080" s="1001">
        <v>321650</v>
      </c>
      <c r="E1080" s="1001">
        <v>35956</v>
      </c>
      <c r="F1080" s="1001">
        <v>22853.57</v>
      </c>
      <c r="G1080" s="1001">
        <v>4564</v>
      </c>
      <c r="H1080" s="1001">
        <v>2093</v>
      </c>
      <c r="I1080" s="1001">
        <v>191030</v>
      </c>
      <c r="J1080" s="1001">
        <v>153189</v>
      </c>
      <c r="K1080" s="1001">
        <v>54466.46</v>
      </c>
      <c r="L1080" s="1001">
        <v>14718</v>
      </c>
      <c r="M1080" s="1001">
        <v>22364</v>
      </c>
      <c r="N1080" s="1001">
        <v>6943</v>
      </c>
      <c r="O1080" s="1001">
        <v>3205</v>
      </c>
      <c r="P1080" s="1001">
        <v>0</v>
      </c>
      <c r="Q1080" s="337">
        <v>0</v>
      </c>
      <c r="R1080" s="1051">
        <f t="shared" si="62"/>
        <v>137631.644</v>
      </c>
      <c r="S1080" s="1007">
        <v>15.347999558257612</v>
      </c>
      <c r="T1080" s="1007">
        <v>0.46987000000000001</v>
      </c>
      <c r="U1080" s="1007">
        <v>3.4079575927305102E-3</v>
      </c>
      <c r="V1080" s="1049">
        <v>2.7E-2</v>
      </c>
      <c r="W1080" s="1007">
        <v>0.29658000000000001</v>
      </c>
      <c r="X1080" s="1010">
        <v>11.484367699569868</v>
      </c>
      <c r="Y1080" s="1007">
        <v>9.66</v>
      </c>
      <c r="Z1080" s="1053">
        <v>0</v>
      </c>
      <c r="AA1080" s="1053">
        <v>0</v>
      </c>
      <c r="AB1080" s="1053">
        <v>0</v>
      </c>
      <c r="AC1080" s="1007">
        <v>0.22002169068404939</v>
      </c>
      <c r="AD1080" s="1049">
        <v>8.9905903207446181E-2</v>
      </c>
      <c r="AE1080" s="1049">
        <v>0</v>
      </c>
      <c r="AF1080" s="1007">
        <v>14.724887936185214</v>
      </c>
      <c r="AG1080" s="1013">
        <f t="shared" si="61"/>
        <v>8.2605946838010809</v>
      </c>
      <c r="AH1080" s="1045">
        <v>202603</v>
      </c>
      <c r="AI1080" s="1017"/>
      <c r="AJ1080" s="931" t="s">
        <v>2281</v>
      </c>
      <c r="AK1080" s="262"/>
      <c r="AL1080" s="262"/>
    </row>
    <row r="1081" spans="3:38" ht="15.75" hidden="1">
      <c r="C1081" s="1032">
        <v>46089</v>
      </c>
      <c r="D1081" s="1006">
        <v>349458</v>
      </c>
      <c r="E1081" s="1004">
        <v>35849</v>
      </c>
      <c r="F1081" s="1004">
        <v>22795.69</v>
      </c>
      <c r="G1081" s="1004">
        <v>4590</v>
      </c>
      <c r="H1081" s="1004">
        <v>2092</v>
      </c>
      <c r="I1081" s="1004">
        <v>198546</v>
      </c>
      <c r="J1081" s="1004">
        <v>154893</v>
      </c>
      <c r="K1081" s="1004">
        <v>53080.71</v>
      </c>
      <c r="L1081" s="1004">
        <v>8639</v>
      </c>
      <c r="M1081" s="1004">
        <v>36007</v>
      </c>
      <c r="N1081" s="1004">
        <v>6937</v>
      </c>
      <c r="O1081" s="1004">
        <v>3125</v>
      </c>
      <c r="P1081" s="1004">
        <v>0</v>
      </c>
      <c r="Q1081" s="337">
        <v>0</v>
      </c>
      <c r="R1081" s="1051">
        <f t="shared" si="62"/>
        <v>139033.92574999999</v>
      </c>
      <c r="S1081" s="1015">
        <v>16.272826896448223</v>
      </c>
      <c r="T1081" s="1015">
        <v>0.46917599999999998</v>
      </c>
      <c r="U1081" s="1015">
        <v>3.4079575927305102E-3</v>
      </c>
      <c r="V1081" s="1048">
        <v>2.7E-2</v>
      </c>
      <c r="W1081" s="1015">
        <v>0.29164999999999996</v>
      </c>
      <c r="X1081" s="1010">
        <v>11.496742149869601</v>
      </c>
      <c r="Y1081" s="1015">
        <v>9.9</v>
      </c>
      <c r="Z1081" s="1053">
        <v>0</v>
      </c>
      <c r="AA1081" s="1053">
        <v>0</v>
      </c>
      <c r="AB1081" s="1053">
        <v>0</v>
      </c>
      <c r="AC1081" s="1015">
        <v>0.22143753167944227</v>
      </c>
      <c r="AD1081" s="1048">
        <v>8.3506301908270478E-2</v>
      </c>
      <c r="AE1081" s="1048">
        <v>0</v>
      </c>
      <c r="AF1081" s="1015">
        <v>14.724944569825029</v>
      </c>
      <c r="AG1081" s="1013">
        <f t="shared" si="61"/>
        <v>8.3450089232116937</v>
      </c>
      <c r="AH1081" s="1045">
        <v>202603</v>
      </c>
      <c r="AI1081" s="1017"/>
      <c r="AJ1081" s="931" t="s">
        <v>2282</v>
      </c>
      <c r="AK1081" s="262"/>
      <c r="AL1081" s="262"/>
    </row>
    <row r="1082" spans="3:38" ht="15.75" hidden="1">
      <c r="C1082" s="1032">
        <v>46090</v>
      </c>
      <c r="D1082" s="1003">
        <v>325539</v>
      </c>
      <c r="E1082" s="1001">
        <v>35931</v>
      </c>
      <c r="F1082" s="1001">
        <v>22747.01</v>
      </c>
      <c r="G1082" s="1001">
        <v>4468</v>
      </c>
      <c r="H1082" s="1001">
        <v>2097</v>
      </c>
      <c r="I1082" s="1001">
        <v>196616</v>
      </c>
      <c r="J1082" s="1001">
        <v>153564</v>
      </c>
      <c r="K1082" s="1001">
        <v>52248.79</v>
      </c>
      <c r="L1082" s="1001">
        <v>8310</v>
      </c>
      <c r="M1082" s="1001">
        <v>604</v>
      </c>
      <c r="N1082" s="1001">
        <v>6069</v>
      </c>
      <c r="O1082" s="1001">
        <v>3157</v>
      </c>
      <c r="P1082" s="1001">
        <v>0</v>
      </c>
      <c r="Q1082" s="337">
        <v>0</v>
      </c>
      <c r="R1082" s="1051">
        <f t="shared" si="62"/>
        <v>135748.66774999999</v>
      </c>
      <c r="S1082" s="1007">
        <v>16.275941746638086</v>
      </c>
      <c r="T1082" s="1007">
        <v>0.46863100000000002</v>
      </c>
      <c r="U1082" s="1007">
        <v>3.4079575927305102E-3</v>
      </c>
      <c r="V1082" s="1049">
        <v>2.5999999999999999E-2</v>
      </c>
      <c r="W1082" s="1007">
        <v>0.28724</v>
      </c>
      <c r="X1082" s="1010">
        <v>11.521802535488053</v>
      </c>
      <c r="Y1082" s="1007">
        <v>9.84</v>
      </c>
      <c r="Z1082" s="1053">
        <v>0</v>
      </c>
      <c r="AA1082" s="1053">
        <v>0</v>
      </c>
      <c r="AB1082" s="1053">
        <v>0</v>
      </c>
      <c r="AC1082" s="1007">
        <v>0.21662367229510657</v>
      </c>
      <c r="AD1082" s="1049">
        <v>8.8036993093527624E-2</v>
      </c>
      <c r="AE1082" s="1049">
        <v>0</v>
      </c>
      <c r="AF1082" s="1007">
        <v>14.725879024881987</v>
      </c>
      <c r="AG1082" s="1013">
        <f t="shared" si="61"/>
        <v>8.3308554586458037</v>
      </c>
      <c r="AH1082" s="1045">
        <v>202603</v>
      </c>
      <c r="AI1082" s="1017"/>
      <c r="AJ1082" s="931" t="s">
        <v>2286</v>
      </c>
      <c r="AK1082" s="262"/>
      <c r="AL1082" s="262"/>
    </row>
    <row r="1083" spans="3:38" ht="15.75" hidden="1">
      <c r="C1083" s="1032">
        <v>46091</v>
      </c>
      <c r="D1083" s="1006">
        <v>328218</v>
      </c>
      <c r="E1083" s="1004">
        <v>35855</v>
      </c>
      <c r="F1083" s="1004">
        <v>22703.859999999997</v>
      </c>
      <c r="G1083" s="1004">
        <v>4301</v>
      </c>
      <c r="H1083" s="1004">
        <v>2068</v>
      </c>
      <c r="I1083" s="1004">
        <v>200421</v>
      </c>
      <c r="J1083" s="1004">
        <v>154768</v>
      </c>
      <c r="K1083" s="1004">
        <v>51775.51</v>
      </c>
      <c r="L1083" s="1004">
        <v>9196</v>
      </c>
      <c r="M1083" s="1004">
        <v>0</v>
      </c>
      <c r="N1083" s="1004">
        <v>6203</v>
      </c>
      <c r="O1083" s="1004">
        <v>3111</v>
      </c>
      <c r="P1083" s="1004">
        <v>0</v>
      </c>
      <c r="Q1083" s="337">
        <v>0</v>
      </c>
      <c r="R1083" s="1051">
        <f t="shared" si="62"/>
        <v>136805.45099999997</v>
      </c>
      <c r="S1083" s="1015">
        <v>15.965306232248894</v>
      </c>
      <c r="T1083" s="1015">
        <v>0.46668100000000001</v>
      </c>
      <c r="U1083" s="1015">
        <v>3.4079575927305102E-3</v>
      </c>
      <c r="V1083" s="1048">
        <v>2.5999999999999999E-2</v>
      </c>
      <c r="W1083" s="1015">
        <v>0.27968999999999999</v>
      </c>
      <c r="X1083" s="1010">
        <v>11.502000000000001</v>
      </c>
      <c r="Y1083" s="1015">
        <v>9.98</v>
      </c>
      <c r="Z1083" s="1053">
        <v>0</v>
      </c>
      <c r="AA1083" s="1053">
        <v>0</v>
      </c>
      <c r="AB1083" s="1053">
        <v>0</v>
      </c>
      <c r="AC1083" s="1015">
        <v>0.21492466310063513</v>
      </c>
      <c r="AD1083" s="1048">
        <v>8.6960953937029059E-2</v>
      </c>
      <c r="AE1083" s="1048">
        <v>0</v>
      </c>
      <c r="AF1083" s="1015">
        <v>14.727153281777843</v>
      </c>
      <c r="AG1083" s="1013">
        <f t="shared" si="61"/>
        <v>8.3456011335474756</v>
      </c>
      <c r="AH1083" s="1045">
        <v>202603</v>
      </c>
      <c r="AI1083" s="1017"/>
      <c r="AJ1083" s="931" t="s">
        <v>2287</v>
      </c>
      <c r="AK1083" s="262"/>
      <c r="AL1083" s="262"/>
    </row>
    <row r="1084" spans="3:38" ht="15.75" hidden="1">
      <c r="C1084" s="1032">
        <v>46092</v>
      </c>
      <c r="D1084" s="1003">
        <v>320630</v>
      </c>
      <c r="E1084" s="1001">
        <v>35560</v>
      </c>
      <c r="F1084" s="1001">
        <v>22732.260000000002</v>
      </c>
      <c r="G1084" s="1001">
        <v>4303</v>
      </c>
      <c r="H1084" s="1001">
        <v>2014</v>
      </c>
      <c r="I1084" s="1001">
        <v>198485</v>
      </c>
      <c r="J1084" s="1001">
        <v>155699</v>
      </c>
      <c r="K1084" s="1001">
        <v>53413.51</v>
      </c>
      <c r="L1084" s="1001">
        <v>12860</v>
      </c>
      <c r="M1084" s="1001">
        <v>0</v>
      </c>
      <c r="N1084" s="1001">
        <v>6140</v>
      </c>
      <c r="O1084" s="1001">
        <v>3496</v>
      </c>
      <c r="P1084" s="1001">
        <v>0</v>
      </c>
      <c r="Q1084" s="337">
        <v>0</v>
      </c>
      <c r="R1084" s="1051">
        <f t="shared" si="62"/>
        <v>137766.10199999998</v>
      </c>
      <c r="S1084" s="1007">
        <v>15.182629329995722</v>
      </c>
      <c r="T1084" s="1007">
        <v>0.46693899999999999</v>
      </c>
      <c r="U1084" s="1007">
        <v>3.4079575927305102E-3</v>
      </c>
      <c r="V1084" s="1049">
        <v>2.5999999999999999E-2</v>
      </c>
      <c r="W1084" s="1007">
        <v>0.27035000000000003</v>
      </c>
      <c r="X1084" s="1010">
        <v>12.23912421739389</v>
      </c>
      <c r="Y1084" s="1007">
        <v>10.01</v>
      </c>
      <c r="Z1084" s="1053">
        <v>0</v>
      </c>
      <c r="AA1084" s="1053">
        <v>0</v>
      </c>
      <c r="AB1084" s="1053">
        <v>0</v>
      </c>
      <c r="AC1084" s="1007">
        <v>0.22115436348036369</v>
      </c>
      <c r="AD1084" s="1049">
        <v>0.10389441224192758</v>
      </c>
      <c r="AE1084" s="1049">
        <v>0</v>
      </c>
      <c r="AF1084" s="1007">
        <v>14.725794074422266</v>
      </c>
      <c r="AG1084" s="1013">
        <f t="shared" si="61"/>
        <v>8.4758759087544568</v>
      </c>
      <c r="AH1084" s="1045">
        <v>202603</v>
      </c>
      <c r="AI1084" s="1017"/>
      <c r="AJ1084" s="931" t="s">
        <v>2288</v>
      </c>
      <c r="AK1084" s="262"/>
      <c r="AL1084" s="262"/>
    </row>
    <row r="1085" spans="3:38" ht="15.75" hidden="1">
      <c r="C1085" s="1032">
        <v>46093</v>
      </c>
      <c r="D1085" s="1006">
        <v>329032</v>
      </c>
      <c r="E1085" s="1004">
        <v>35409</v>
      </c>
      <c r="F1085" s="1004">
        <v>22752.969999999998</v>
      </c>
      <c r="G1085" s="1004">
        <v>4334</v>
      </c>
      <c r="H1085" s="1004">
        <v>2039</v>
      </c>
      <c r="I1085" s="1004">
        <v>196523</v>
      </c>
      <c r="J1085" s="1004">
        <v>156015</v>
      </c>
      <c r="K1085" s="1004">
        <v>51578.9</v>
      </c>
      <c r="L1085" s="1004">
        <v>13829</v>
      </c>
      <c r="M1085" s="1004">
        <v>51079</v>
      </c>
      <c r="N1085" s="1004">
        <v>6676</v>
      </c>
      <c r="O1085" s="1004">
        <v>3311</v>
      </c>
      <c r="P1085" s="1004">
        <v>0</v>
      </c>
      <c r="Q1085" s="337">
        <v>0</v>
      </c>
      <c r="R1085" s="1051">
        <f t="shared" si="62"/>
        <v>139519.08624999999</v>
      </c>
      <c r="S1085" s="1015">
        <v>15.351680744845632</v>
      </c>
      <c r="T1085" s="1015">
        <v>0.46496599999999999</v>
      </c>
      <c r="U1085" s="1015">
        <v>3.4079575927305102E-3</v>
      </c>
      <c r="V1085" s="1048">
        <v>2.5999999999999999E-2</v>
      </c>
      <c r="W1085" s="1015">
        <v>0.27516000000000002</v>
      </c>
      <c r="X1085" s="1010">
        <v>11.386080017669695</v>
      </c>
      <c r="Y1085" s="1015">
        <v>10.130000000000001</v>
      </c>
      <c r="Z1085" s="1053">
        <v>0</v>
      </c>
      <c r="AA1085" s="1053">
        <v>0</v>
      </c>
      <c r="AB1085" s="1053">
        <v>0</v>
      </c>
      <c r="AC1085" s="1015">
        <v>0.22455238186930654</v>
      </c>
      <c r="AD1085" s="1048">
        <v>0.11590074388285897</v>
      </c>
      <c r="AE1085" s="1048">
        <v>0</v>
      </c>
      <c r="AF1085" s="1015">
        <v>14.724859619365306</v>
      </c>
      <c r="AG1085" s="1013">
        <f t="shared" si="61"/>
        <v>8.3507065700134504</v>
      </c>
      <c r="AH1085" s="1045">
        <v>202603</v>
      </c>
      <c r="AI1085" s="1017"/>
      <c r="AJ1085" s="931" t="s">
        <v>2288</v>
      </c>
      <c r="AK1085" s="262"/>
      <c r="AL1085" s="262"/>
    </row>
    <row r="1086" spans="3:38" ht="15.75" hidden="1">
      <c r="C1086" s="1032">
        <v>46094</v>
      </c>
      <c r="D1086" s="1003">
        <v>319737</v>
      </c>
      <c r="E1086" s="1001">
        <v>35484</v>
      </c>
      <c r="F1086" s="1001">
        <v>22674.920000000002</v>
      </c>
      <c r="G1086" s="1001">
        <v>4420</v>
      </c>
      <c r="H1086" s="1001">
        <v>2082</v>
      </c>
      <c r="I1086" s="1001">
        <v>195033</v>
      </c>
      <c r="J1086" s="1001">
        <v>155921</v>
      </c>
      <c r="K1086" s="1001">
        <v>53102.59</v>
      </c>
      <c r="L1086" s="1001">
        <v>5426</v>
      </c>
      <c r="M1086" s="1001">
        <v>0</v>
      </c>
      <c r="N1086" s="1001">
        <v>6693</v>
      </c>
      <c r="O1086" s="1001">
        <v>3296</v>
      </c>
      <c r="P1086" s="1001">
        <v>0</v>
      </c>
      <c r="Q1086" s="337">
        <v>0</v>
      </c>
      <c r="R1086" s="1051">
        <f t="shared" si="62"/>
        <v>135282.79124999998</v>
      </c>
      <c r="S1086" s="1007">
        <v>15.531492551260525</v>
      </c>
      <c r="T1086" s="1007">
        <v>0.46748699999999999</v>
      </c>
      <c r="U1086" s="1007">
        <v>3.4079575927305102E-3</v>
      </c>
      <c r="V1086" s="1049">
        <v>2.5999999999999999E-2</v>
      </c>
      <c r="W1086" s="1007">
        <v>0.29925000000000002</v>
      </c>
      <c r="X1086" s="1010">
        <v>10.676</v>
      </c>
      <c r="Y1086" s="1007">
        <v>9.92</v>
      </c>
      <c r="Z1086" s="1053">
        <v>0</v>
      </c>
      <c r="AA1086" s="1053">
        <v>0</v>
      </c>
      <c r="AB1086" s="1053">
        <v>0</v>
      </c>
      <c r="AC1086" s="1007">
        <v>0.21605733589694942</v>
      </c>
      <c r="AD1086" s="1049">
        <v>9.5965702667727595E-2</v>
      </c>
      <c r="AE1086" s="1049">
        <v>0</v>
      </c>
      <c r="AF1086" s="1007">
        <v>14.746776837973988</v>
      </c>
      <c r="AG1086" s="1013">
        <f t="shared" si="61"/>
        <v>8.178673289250737</v>
      </c>
      <c r="AH1086" s="1045">
        <v>202603</v>
      </c>
      <c r="AI1086" s="1017"/>
      <c r="AJ1086" s="931" t="s">
        <v>2289</v>
      </c>
      <c r="AK1086" s="262"/>
      <c r="AL1086" s="262"/>
    </row>
    <row r="1087" spans="3:38" ht="15.75" hidden="1">
      <c r="C1087" s="1032">
        <v>46095</v>
      </c>
      <c r="D1087" s="1006">
        <v>325856</v>
      </c>
      <c r="E1087" s="1004">
        <v>35654</v>
      </c>
      <c r="F1087" s="1004">
        <v>22688.620000000003</v>
      </c>
      <c r="G1087" s="1004">
        <v>4427</v>
      </c>
      <c r="H1087" s="1004">
        <v>2070</v>
      </c>
      <c r="I1087" s="1004">
        <v>195213</v>
      </c>
      <c r="J1087" s="1004">
        <v>156923</v>
      </c>
      <c r="K1087" s="1004">
        <v>54076.36</v>
      </c>
      <c r="L1087" s="1004">
        <v>10593</v>
      </c>
      <c r="M1087" s="1004">
        <v>0</v>
      </c>
      <c r="N1087" s="1004">
        <v>6784</v>
      </c>
      <c r="O1087" s="1004">
        <v>3280</v>
      </c>
      <c r="P1087" s="1004">
        <v>0</v>
      </c>
      <c r="Q1087" s="337">
        <v>0</v>
      </c>
      <c r="R1087" s="1051">
        <f t="shared" si="62"/>
        <v>137298.87325</v>
      </c>
      <c r="S1087" s="1015">
        <v>15.373767864373761</v>
      </c>
      <c r="T1087" s="1015">
        <v>0.45581199999999999</v>
      </c>
      <c r="U1087" s="1015">
        <v>3.4079575927305102E-3</v>
      </c>
      <c r="V1087" s="1048">
        <v>2.8000000000000001E-2</v>
      </c>
      <c r="W1087" s="1015">
        <v>0.28491000000000005</v>
      </c>
      <c r="X1087" s="1010">
        <v>10.939</v>
      </c>
      <c r="Y1087" s="1015">
        <v>10.02</v>
      </c>
      <c r="Z1087" s="1053">
        <v>0</v>
      </c>
      <c r="AA1087" s="1053">
        <v>0</v>
      </c>
      <c r="AB1087" s="1053">
        <v>0</v>
      </c>
      <c r="AC1087" s="1015">
        <v>0.22002169068404939</v>
      </c>
      <c r="AD1087" s="1048">
        <v>0.10389441224192758</v>
      </c>
      <c r="AE1087" s="1048">
        <v>0</v>
      </c>
      <c r="AF1087" s="1015">
        <v>14.745332680158686</v>
      </c>
      <c r="AG1087" s="1013">
        <f t="shared" si="61"/>
        <v>8.2398130797324622</v>
      </c>
      <c r="AH1087" s="1045">
        <v>202603</v>
      </c>
      <c r="AI1087" s="1017"/>
      <c r="AJ1087" s="931" t="s">
        <v>2290</v>
      </c>
      <c r="AK1087" s="262"/>
      <c r="AL1087" s="262"/>
    </row>
    <row r="1088" spans="3:38" ht="15.75" hidden="1">
      <c r="C1088" s="1032">
        <v>46096</v>
      </c>
      <c r="D1088" s="1003">
        <v>337369</v>
      </c>
      <c r="E1088" s="1001">
        <v>35761</v>
      </c>
      <c r="F1088" s="1001">
        <v>22697.3</v>
      </c>
      <c r="G1088" s="1001">
        <v>4478</v>
      </c>
      <c r="H1088" s="1001">
        <v>2054</v>
      </c>
      <c r="I1088" s="1001">
        <v>166962</v>
      </c>
      <c r="J1088" s="1001">
        <v>155181</v>
      </c>
      <c r="K1088" s="1001">
        <v>53738.78</v>
      </c>
      <c r="L1088" s="1001">
        <v>3909</v>
      </c>
      <c r="M1088" s="1001">
        <v>0</v>
      </c>
      <c r="N1088" s="1001">
        <v>6822</v>
      </c>
      <c r="O1088" s="1001">
        <v>3291</v>
      </c>
      <c r="P1088" s="1001">
        <v>0</v>
      </c>
      <c r="Q1088" s="337">
        <v>0</v>
      </c>
      <c r="R1088" s="1051">
        <f t="shared" si="62"/>
        <v>129888.64449999999</v>
      </c>
      <c r="S1088" s="1007">
        <v>15.431817345184863</v>
      </c>
      <c r="T1088" s="1007">
        <v>0.46087499999999998</v>
      </c>
      <c r="U1088" s="1007">
        <v>3.4079575927305102E-3</v>
      </c>
      <c r="V1088" s="1049">
        <v>2.7E-2</v>
      </c>
      <c r="W1088" s="1007">
        <v>0.28202999999999995</v>
      </c>
      <c r="X1088" s="1010">
        <v>10.918909122829868</v>
      </c>
      <c r="Y1088" s="1007">
        <v>10.02</v>
      </c>
      <c r="Z1088" s="1048"/>
      <c r="AA1088" s="1048"/>
      <c r="AB1088" s="1053">
        <v>0</v>
      </c>
      <c r="AC1088" s="1007">
        <v>0.21237614930892801</v>
      </c>
      <c r="AD1088" s="1049">
        <v>0.1104072808207347</v>
      </c>
      <c r="AE1088" s="1049">
        <v>0</v>
      </c>
      <c r="AF1088" s="1007">
        <v>14.743322185945228</v>
      </c>
      <c r="AG1088" s="1013">
        <f t="shared" si="61"/>
        <v>8.2369365864321367</v>
      </c>
      <c r="AH1088" s="1045">
        <v>202603</v>
      </c>
      <c r="AI1088" s="1017"/>
      <c r="AJ1088" s="931" t="s">
        <v>2290</v>
      </c>
      <c r="AK1088" s="262"/>
      <c r="AL1088" s="262"/>
    </row>
    <row r="1089" spans="3:38" ht="15.75" hidden="1">
      <c r="C1089" s="1032">
        <v>46097</v>
      </c>
      <c r="D1089" s="1006">
        <v>329150</v>
      </c>
      <c r="E1089" s="1004">
        <v>35566</v>
      </c>
      <c r="F1089" s="1004">
        <v>22695.710000000003</v>
      </c>
      <c r="G1089" s="1004">
        <v>4459</v>
      </c>
      <c r="H1089" s="1004">
        <v>2068</v>
      </c>
      <c r="I1089" s="1004">
        <v>160094</v>
      </c>
      <c r="J1089" s="1004">
        <v>157635</v>
      </c>
      <c r="K1089" s="1004">
        <v>54836.85</v>
      </c>
      <c r="L1089" s="1004">
        <v>13373</v>
      </c>
      <c r="M1089" s="1004">
        <v>0</v>
      </c>
      <c r="N1089" s="1004">
        <v>7063</v>
      </c>
      <c r="O1089" s="1004">
        <v>3187</v>
      </c>
      <c r="P1089" s="1004">
        <v>0</v>
      </c>
      <c r="Q1089" s="751"/>
      <c r="R1089" s="1051">
        <f t="shared" si="62"/>
        <v>131406.03325000001</v>
      </c>
      <c r="S1089" s="1015">
        <v>15.369803509586658</v>
      </c>
      <c r="T1089" s="1015">
        <v>0.464943</v>
      </c>
      <c r="U1089" s="1015">
        <v>3.4079575927305102E-3</v>
      </c>
      <c r="V1089" s="1048">
        <v>2.7E-2</v>
      </c>
      <c r="W1089" s="1015">
        <v>0.28502</v>
      </c>
      <c r="X1089" s="1010">
        <v>10.903334871880547</v>
      </c>
      <c r="Y1089" s="1015">
        <v>9.9499999999999993</v>
      </c>
      <c r="Z1089" s="1053">
        <v>0</v>
      </c>
      <c r="AA1089" s="1053">
        <v>0</v>
      </c>
      <c r="AB1089" s="1053">
        <v>0</v>
      </c>
      <c r="AC1089" s="1015">
        <v>0.21860584968865654</v>
      </c>
      <c r="AD1089" s="1048">
        <v>8.9028081790302624E-2</v>
      </c>
      <c r="AE1089" s="1048">
        <v>0</v>
      </c>
      <c r="AF1089" s="1015">
        <v>14.741736444030389</v>
      </c>
      <c r="AG1089" s="1013">
        <f t="shared" si="61"/>
        <v>8.2092105083935873</v>
      </c>
      <c r="AH1089" s="1045">
        <v>202603</v>
      </c>
      <c r="AI1089" s="1017"/>
      <c r="AJ1089" s="931" t="s">
        <v>2291</v>
      </c>
      <c r="AK1089" s="262"/>
      <c r="AL1089" s="262"/>
    </row>
    <row r="1090" spans="3:38" ht="15.75" hidden="1">
      <c r="C1090" s="1032">
        <v>46098</v>
      </c>
      <c r="D1090" s="1003">
        <v>326906</v>
      </c>
      <c r="E1090" s="1001">
        <v>35893</v>
      </c>
      <c r="F1090" s="1001">
        <v>22657.759999999998</v>
      </c>
      <c r="G1090" s="1001">
        <v>4397</v>
      </c>
      <c r="H1090" s="1001">
        <v>2061</v>
      </c>
      <c r="I1090" s="1001">
        <v>169946</v>
      </c>
      <c r="J1090" s="1001">
        <v>154763</v>
      </c>
      <c r="K1090" s="1001">
        <v>44149.52</v>
      </c>
      <c r="L1090" s="1001">
        <v>7914</v>
      </c>
      <c r="M1090" s="1001">
        <v>18491</v>
      </c>
      <c r="N1090" s="1001">
        <v>7049</v>
      </c>
      <c r="O1090" s="1001">
        <v>3307</v>
      </c>
      <c r="P1090" s="1001">
        <v>0</v>
      </c>
      <c r="Q1090" s="751"/>
      <c r="R1090" s="1051">
        <f t="shared" si="62"/>
        <v>129385.08500000001</v>
      </c>
      <c r="S1090" s="1007">
        <v>15.207831299713717</v>
      </c>
      <c r="T1090" s="1007">
        <v>0.46814299999999998</v>
      </c>
      <c r="U1090" s="1007">
        <v>3.4079575927305102E-3</v>
      </c>
      <c r="V1090" s="1049">
        <v>2.4E-2</v>
      </c>
      <c r="W1090" s="1007">
        <v>0.28811999999999999</v>
      </c>
      <c r="X1090" s="1010">
        <v>10.81028580166333</v>
      </c>
      <c r="Y1090" s="1007">
        <v>10.130000000000001</v>
      </c>
      <c r="Z1090" s="1053">
        <v>0</v>
      </c>
      <c r="AA1090" s="1049">
        <v>0</v>
      </c>
      <c r="AB1090" s="1053">
        <v>0</v>
      </c>
      <c r="AC1090" s="1007">
        <v>0.21464149490155657</v>
      </c>
      <c r="AD1090" s="1049">
        <v>8.5969865240254059E-2</v>
      </c>
      <c r="AE1090" s="1049">
        <v>0</v>
      </c>
      <c r="AF1090" s="1007">
        <v>14.740490503954444</v>
      </c>
      <c r="AG1090" s="1013">
        <f xml:space="preserve"> IF(C1090&lt; DATE(2024, 11, 1), S1090 * (2.31 / 100), S1090 * (2.925 / 100))+T1090*T$6+U1110*U$6+V1090*V$6+W1090*W$6+X1090*X$6+Y1090*Y$6+Z1090*Z$6+AA1090*AA$6+AB1090*AB$6+AC1090*AC$6+AD1090*AD$6+AE1090*AE$6+AF1090*AF$6</f>
        <v>8.2338183707228723</v>
      </c>
      <c r="AH1090" s="1045">
        <v>202603</v>
      </c>
      <c r="AI1090" s="1017"/>
      <c r="AJ1090" s="931" t="s">
        <v>2292</v>
      </c>
      <c r="AK1090" s="262"/>
      <c r="AL1090" s="262"/>
    </row>
    <row r="1091" spans="3:38" ht="15.75" hidden="1">
      <c r="C1091" s="1032">
        <v>46099</v>
      </c>
      <c r="D1091" s="1006">
        <v>309800</v>
      </c>
      <c r="E1091" s="1004">
        <v>36208</v>
      </c>
      <c r="F1091" s="1004">
        <v>22676.629999999997</v>
      </c>
      <c r="G1091" s="1004">
        <v>4335</v>
      </c>
      <c r="H1091" s="1004">
        <v>2063</v>
      </c>
      <c r="I1091" s="1004">
        <v>168591</v>
      </c>
      <c r="J1091" s="1004">
        <v>153241</v>
      </c>
      <c r="K1091" s="1004">
        <v>49069.279999999999</v>
      </c>
      <c r="L1091" s="1004">
        <v>11383</v>
      </c>
      <c r="M1091" s="1004">
        <v>3537</v>
      </c>
      <c r="N1091" s="1004">
        <v>7055</v>
      </c>
      <c r="O1091" s="1004">
        <v>3271</v>
      </c>
      <c r="P1091" s="1004">
        <v>0</v>
      </c>
      <c r="Q1091" s="337"/>
      <c r="R1091" s="1051">
        <f t="shared" si="62"/>
        <v>129742.20974999998</v>
      </c>
      <c r="S1091" s="1015">
        <v>15.451072782722211</v>
      </c>
      <c r="T1091" s="1015">
        <v>0.46846700000000002</v>
      </c>
      <c r="U1091" s="1015">
        <v>3.4079575927305102E-3</v>
      </c>
      <c r="V1091" s="1048">
        <v>2.4E-2</v>
      </c>
      <c r="W1091" s="1015">
        <v>0.28519</v>
      </c>
      <c r="X1091" s="1010">
        <v>10.720181680716529</v>
      </c>
      <c r="Y1091" s="1015">
        <v>10.19</v>
      </c>
      <c r="Z1091" s="1053">
        <v>0</v>
      </c>
      <c r="AA1091" s="1053">
        <v>0</v>
      </c>
      <c r="AB1091" s="1053">
        <v>0</v>
      </c>
      <c r="AC1091" s="1015">
        <v>0.21322565390616371</v>
      </c>
      <c r="AD1091" s="1048">
        <v>9.3247287956573319E-2</v>
      </c>
      <c r="AE1091" s="1048">
        <v>0</v>
      </c>
      <c r="AF1091" s="1015">
        <v>14.741878028129928</v>
      </c>
      <c r="AG1091" s="1013">
        <f xml:space="preserve"> IF(C1091&lt; DATE(2024, 11, 1), S1091 * (2.31 / 100), S1091 * (2.925 / 100))+T1091*T$6+U1259*U$6+V1091*V$6+W1091*W$6+X1091*X$6+Y1091*Y$6+Z1091*Z$6+AA1091*AA$6+AB1091*AB$6+AC1091*AC$6+AD1091*AD$6+AE1091*AE$6+AF1091*AF$6</f>
        <v>8.2359293069323254</v>
      </c>
      <c r="AH1091" s="1045">
        <v>202603</v>
      </c>
      <c r="AI1091" s="1017"/>
      <c r="AJ1091" s="931" t="s">
        <v>2293</v>
      </c>
      <c r="AK1091" s="262"/>
      <c r="AL1091" s="262"/>
    </row>
    <row r="1092" spans="3:38" ht="15.75" hidden="1">
      <c r="C1092" s="1032">
        <v>46100</v>
      </c>
      <c r="D1092" s="1003">
        <v>315692</v>
      </c>
      <c r="E1092" s="1001">
        <v>35786</v>
      </c>
      <c r="F1092" s="1001">
        <v>22619.9</v>
      </c>
      <c r="G1092" s="1001">
        <v>4316</v>
      </c>
      <c r="H1092" s="1001">
        <v>2050</v>
      </c>
      <c r="I1092" s="1001">
        <v>169365</v>
      </c>
      <c r="J1092" s="1001">
        <v>156473</v>
      </c>
      <c r="K1092" s="1001">
        <v>52814.17</v>
      </c>
      <c r="L1092" s="1001">
        <v>14093</v>
      </c>
      <c r="M1092" s="1001">
        <v>17194</v>
      </c>
      <c r="N1092" s="1001">
        <v>7185</v>
      </c>
      <c r="O1092" s="1001">
        <v>3523</v>
      </c>
      <c r="P1092" s="1001">
        <v>0</v>
      </c>
      <c r="Q1092" s="337"/>
      <c r="R1092" s="1051">
        <f t="shared" si="62"/>
        <v>132984.90975000002</v>
      </c>
      <c r="S1092" s="1007">
        <v>14.988092777228744</v>
      </c>
      <c r="T1092" s="1007">
        <v>0.46446500000000002</v>
      </c>
      <c r="U1092" s="1007">
        <v>3.4079575927305102E-3</v>
      </c>
      <c r="V1092" s="1049">
        <v>2.4E-2</v>
      </c>
      <c r="W1092" s="1007">
        <v>0.28235000000000005</v>
      </c>
      <c r="X1092" s="1010">
        <v>9.6402348030706762</v>
      </c>
      <c r="Y1092" s="1007">
        <v>10.210000000000001</v>
      </c>
      <c r="Z1092" s="1053">
        <v>0</v>
      </c>
      <c r="AA1092" s="1053">
        <v>0</v>
      </c>
      <c r="AB1092" s="1053">
        <v>0</v>
      </c>
      <c r="AC1092" s="1007">
        <v>0.21322565390616371</v>
      </c>
      <c r="AD1092" s="1049">
        <v>9.3049070217218324E-2</v>
      </c>
      <c r="AE1092" s="1049">
        <v>0</v>
      </c>
      <c r="AF1092" s="1007">
        <v>14.741453275831311</v>
      </c>
      <c r="AG1092" s="1013">
        <f xml:space="preserve"> IF(C1092&lt; DATE(2024, 11, 1), S1092 * (2.31 / 100), S1092 * (2.925 / 100))+T1092*T$6+U1260*U$6+V1092*V$6+W1092*W$6+X1092*X$6+Y1092*Y$6+Z1092*Z$6+AA1092*AA$6+AB1092*AB$6+AC1092*AC$6+AD1092*AD$6+AE1092*AE$6+AF1092*AF$6</f>
        <v>8.0075257312559653</v>
      </c>
      <c r="AH1092" s="1045">
        <v>202603</v>
      </c>
      <c r="AI1092" s="1017"/>
      <c r="AJ1092" s="931" t="s">
        <v>2293</v>
      </c>
      <c r="AK1092" s="262"/>
      <c r="AL1092" s="262"/>
    </row>
    <row r="1093" spans="3:38" ht="15.75" hidden="1">
      <c r="C1093" s="1032">
        <v>46101</v>
      </c>
      <c r="D1093" s="1006">
        <v>325965</v>
      </c>
      <c r="E1093" s="1004">
        <v>35987</v>
      </c>
      <c r="F1093" s="1004">
        <v>22605.46</v>
      </c>
      <c r="G1093" s="1004">
        <v>4362</v>
      </c>
      <c r="H1093" s="1004">
        <v>2038</v>
      </c>
      <c r="I1093" s="1004">
        <v>167247</v>
      </c>
      <c r="J1093" s="1004">
        <v>155775</v>
      </c>
      <c r="K1093" s="1004">
        <v>55348.69</v>
      </c>
      <c r="L1093" s="1004">
        <v>11485</v>
      </c>
      <c r="M1093" s="1004">
        <v>18145</v>
      </c>
      <c r="N1093" s="1004">
        <v>7102</v>
      </c>
      <c r="O1093" s="1004">
        <v>3365</v>
      </c>
      <c r="P1093" s="1004">
        <v>0</v>
      </c>
      <c r="Q1093" s="337"/>
      <c r="R1093" s="1051">
        <f t="shared" si="62"/>
        <v>132705.63700000002</v>
      </c>
      <c r="S1093" s="1015">
        <v>14.666696871274569</v>
      </c>
      <c r="T1093" s="1015">
        <v>0.46447100000000002</v>
      </c>
      <c r="U1093" s="1015">
        <v>3.4079575927305102E-3</v>
      </c>
      <c r="V1093" s="1048">
        <v>0.03</v>
      </c>
      <c r="W1093" s="1015">
        <v>0.29376999999999998</v>
      </c>
      <c r="X1093" s="1010">
        <v>10.026999999999999</v>
      </c>
      <c r="Y1093" s="1015">
        <v>10.28</v>
      </c>
      <c r="Z1093" s="1053">
        <v>0</v>
      </c>
      <c r="AA1093" s="1053">
        <v>0</v>
      </c>
      <c r="AB1093" s="1053">
        <v>0</v>
      </c>
      <c r="AC1093" s="1015">
        <v>0.21520783129971369</v>
      </c>
      <c r="AD1093" s="1048">
        <v>9.0500556425511192E-2</v>
      </c>
      <c r="AE1093" s="1048">
        <v>0</v>
      </c>
      <c r="AF1093" s="1015">
        <v>14.895100340651341</v>
      </c>
      <c r="AG1093" s="1013">
        <f xml:space="preserve"> IF(C1093&lt; DATE(2024, 11, 1), S1093 * (2.31 / 100), S1093 * (2.925 / 100))+T1093*T$6+U1261*U$6+V1093*V$6+W1093*W$6+X1093*X$6+Y1093*Y$6+Z1093*Z$6+AA1093*AA$6+AB1093*AB$6+AC1093*AC$6+AD1093*AD$6+AE1093*AE$6+AF1093*AF$6</f>
        <v>8.1334181954086819</v>
      </c>
      <c r="AH1093" s="1045">
        <v>202603</v>
      </c>
      <c r="AI1093" s="1017"/>
      <c r="AJ1093" s="931" t="s">
        <v>2288</v>
      </c>
      <c r="AK1093" s="262"/>
      <c r="AL1093" s="262"/>
    </row>
    <row r="1094" spans="3:38" ht="15.75" hidden="1">
      <c r="C1094" s="1032">
        <v>46102</v>
      </c>
      <c r="D1094" s="1003">
        <v>305946</v>
      </c>
      <c r="E1094" s="1001">
        <v>35830</v>
      </c>
      <c r="F1094" s="1001">
        <v>22571.980000000003</v>
      </c>
      <c r="G1094" s="1001">
        <v>4403</v>
      </c>
      <c r="H1094" s="1001">
        <v>2029</v>
      </c>
      <c r="I1094" s="1001">
        <v>169482</v>
      </c>
      <c r="J1094" s="1001">
        <v>156692</v>
      </c>
      <c r="K1094" s="1001">
        <v>53393.73</v>
      </c>
      <c r="L1094" s="1001">
        <v>10712</v>
      </c>
      <c r="M1094" s="1001">
        <v>13675</v>
      </c>
      <c r="N1094" s="1001">
        <v>6792</v>
      </c>
      <c r="O1094" s="1001">
        <v>3559</v>
      </c>
      <c r="P1094" s="1001">
        <v>0</v>
      </c>
      <c r="Q1094" s="337"/>
      <c r="R1094" s="1051">
        <f t="shared" si="62"/>
        <v>131940.649</v>
      </c>
      <c r="S1094" s="1007">
        <v>14.938538342389997</v>
      </c>
      <c r="T1094" s="1007">
        <v>0.46521299999999999</v>
      </c>
      <c r="U1094" s="1007">
        <v>3.4079575927305102E-3</v>
      </c>
      <c r="V1094" s="1049">
        <v>3.1E-2</v>
      </c>
      <c r="W1094" s="1007">
        <v>0.29431000000000002</v>
      </c>
      <c r="X1094" s="1010">
        <v>9.673</v>
      </c>
      <c r="Y1094" s="1007">
        <v>10.35</v>
      </c>
      <c r="Z1094" s="1053">
        <v>0</v>
      </c>
      <c r="AA1094" s="1053">
        <v>0</v>
      </c>
      <c r="AB1094" s="1053">
        <v>0</v>
      </c>
      <c r="AC1094" s="1007">
        <v>0.21549099949879227</v>
      </c>
      <c r="AD1094" s="1049">
        <v>9.1973031060719759E-2</v>
      </c>
      <c r="AE1094" s="1049">
        <v>0</v>
      </c>
      <c r="AF1094" s="1007">
        <v>14.808649089472654</v>
      </c>
      <c r="AG1094" s="1013">
        <f xml:space="preserve"> IF(C1094&lt; DATE(2024, 11, 1), S1094 * (2.31 / 100), S1094 * (2.925 / 100))+T1094*T$6+U1262*U$6+V1094*V$6+W1094*W$6+X1094*X$6+Y1094*Y$6+Z1094*Z$6+AA1094*AA$6+AB1094*AB$6+AC1094*AC$6+AD1094*AD$6+AE1094*AE$6+AF1094*AF$6</f>
        <v>8.0759333240944144</v>
      </c>
      <c r="AH1094" s="1045">
        <v>202603</v>
      </c>
      <c r="AI1094" s="1017"/>
      <c r="AJ1094" s="931" t="s">
        <v>2294</v>
      </c>
      <c r="AK1094" s="262"/>
      <c r="AL1094" s="262"/>
    </row>
    <row r="1095" spans="3:38" ht="15.75" hidden="1">
      <c r="C1095" s="1032">
        <v>46103</v>
      </c>
      <c r="D1095" s="1006">
        <v>342226</v>
      </c>
      <c r="E1095" s="1004">
        <v>36038</v>
      </c>
      <c r="F1095" s="1004">
        <v>22602</v>
      </c>
      <c r="G1095" s="1004">
        <v>4445</v>
      </c>
      <c r="H1095" s="1004">
        <v>2069</v>
      </c>
      <c r="I1095" s="1004">
        <v>166873</v>
      </c>
      <c r="J1095" s="1004">
        <v>155979</v>
      </c>
      <c r="K1095" s="1004">
        <v>50779.85</v>
      </c>
      <c r="L1095" s="1004">
        <v>6547</v>
      </c>
      <c r="M1095" s="1004">
        <v>15496</v>
      </c>
      <c r="N1095" s="1004">
        <v>7195</v>
      </c>
      <c r="O1095" s="1004">
        <v>3387</v>
      </c>
      <c r="P1095" s="1004">
        <v>0</v>
      </c>
      <c r="Q1095" s="337"/>
      <c r="R1095" s="1051">
        <f t="shared" si="62"/>
        <v>130822.92674999998</v>
      </c>
      <c r="S1095" s="1015">
        <v>14.990924459219533</v>
      </c>
      <c r="T1095" s="1015">
        <v>0.46377400000000002</v>
      </c>
      <c r="U1095" s="1015">
        <v>3.9340557897985821E-3</v>
      </c>
      <c r="V1095" s="1048">
        <v>3.2000000000000001E-2</v>
      </c>
      <c r="W1095" s="1015">
        <v>0.29111999999999999</v>
      </c>
      <c r="X1095" s="1010">
        <v>9.1920000000000002</v>
      </c>
      <c r="Y1095" s="1015">
        <v>10.32</v>
      </c>
      <c r="Z1095" s="1053">
        <v>0</v>
      </c>
      <c r="AA1095" s="1053">
        <v>0</v>
      </c>
      <c r="AB1095" s="1053">
        <v>0</v>
      </c>
      <c r="AC1095" s="1015">
        <v>0.21464149490155657</v>
      </c>
      <c r="AD1095" s="1048">
        <v>0.10264847216598187</v>
      </c>
      <c r="AE1095" s="1048">
        <v>0</v>
      </c>
      <c r="AF1095" s="1015">
        <v>14.828357596128523</v>
      </c>
      <c r="AG1095" s="1013">
        <f xml:space="preserve"> IF(C1095&lt; DATE(2024, 11, 1), S1095 * (2.31 / 100), S1095 * (2.925 / 100))+T1095*T$6+U1263*U$6+V1095*V$6+W1095*W$6+X1095*X$6+Y1095*Y$6+Z1095*Z$6+AA1095*AA$6+AB1095*AB$6+AC1095*AC$6+AD1095*AD$6+AE1095*AE$6+AF1095*AF$6</f>
        <v>7.9779142650795851</v>
      </c>
      <c r="AH1095" s="1045">
        <v>202603</v>
      </c>
      <c r="AI1095" s="1017"/>
      <c r="AJ1095" s="931" t="s">
        <v>2295</v>
      </c>
      <c r="AK1095" s="262"/>
      <c r="AL1095" s="262"/>
    </row>
    <row r="1096" spans="3:38" ht="15.75" hidden="1">
      <c r="C1096" s="1032">
        <v>46104</v>
      </c>
      <c r="D1096" s="1003">
        <v>334874</v>
      </c>
      <c r="E1096" s="1001">
        <v>36239</v>
      </c>
      <c r="F1096" s="1001">
        <v>22579</v>
      </c>
      <c r="G1096" s="1001">
        <v>4465</v>
      </c>
      <c r="H1096" s="1001">
        <v>2018</v>
      </c>
      <c r="I1096" s="1001">
        <v>167611</v>
      </c>
      <c r="J1096" s="1001">
        <v>158337</v>
      </c>
      <c r="K1096" s="1001">
        <v>53609.26</v>
      </c>
      <c r="L1096" s="1001">
        <v>10773</v>
      </c>
      <c r="M1096" s="1001">
        <v>10657</v>
      </c>
      <c r="N1096" s="1001">
        <v>6868</v>
      </c>
      <c r="O1096" s="1001">
        <v>3462</v>
      </c>
      <c r="P1096" s="1001">
        <v>0</v>
      </c>
      <c r="Q1096" s="337"/>
      <c r="R1096" s="1051">
        <f t="shared" si="62"/>
        <v>132893.07574999999</v>
      </c>
      <c r="S1096" s="1007">
        <v>14.852172041671029</v>
      </c>
      <c r="T1096" s="1007">
        <v>0.46666000000000002</v>
      </c>
      <c r="U1096" s="1007">
        <v>4.0674280115645884E-3</v>
      </c>
      <c r="V1096" s="1049">
        <v>0.03</v>
      </c>
      <c r="W1096" s="1007">
        <v>0.28825000000000001</v>
      </c>
      <c r="X1096" s="1010">
        <v>8.8989999999999991</v>
      </c>
      <c r="Y1096" s="1007">
        <v>10.58</v>
      </c>
      <c r="Z1096" s="1053">
        <v>0</v>
      </c>
      <c r="AA1096" s="1053">
        <v>0</v>
      </c>
      <c r="AB1096" s="1053">
        <v>0</v>
      </c>
      <c r="AC1096" s="1007">
        <v>0.21209298110984942</v>
      </c>
      <c r="AD1096" s="1049">
        <v>9.2539367458876892E-2</v>
      </c>
      <c r="AE1096" s="1049">
        <v>0</v>
      </c>
      <c r="AF1096" s="1007">
        <v>14.819494431497365</v>
      </c>
      <c r="AG1096" s="1013">
        <f xml:space="preserve"> IF(C1096&lt; DATE(2024, 11, 1), S1096 * (2.31 / 100), S1096 * (2.925 / 100))+T1096*T$6+U1264*U$6+V1096*V$6+W1096*W$6+X1096*X$6+Y1096*Y$6+Z1096*Z$6+AA1096*AA$6+AB1096*AB$6+AC1096*AC$6+AD1096*AD$6+AE1096*AE$6+AF1096*AF$6</f>
        <v>7.973934260479064</v>
      </c>
      <c r="AH1096" s="1045">
        <v>202603</v>
      </c>
      <c r="AI1096" s="1017"/>
      <c r="AJ1096" s="931" t="s">
        <v>2296</v>
      </c>
      <c r="AK1096" s="262"/>
      <c r="AL1096" s="262"/>
    </row>
    <row r="1097" spans="3:38" ht="15.75" hidden="1">
      <c r="C1097" s="1032">
        <v>46105</v>
      </c>
      <c r="D1097" s="1006">
        <v>324345</v>
      </c>
      <c r="E1097" s="1004">
        <v>36031</v>
      </c>
      <c r="F1097" s="1004">
        <v>22570</v>
      </c>
      <c r="G1097" s="1004">
        <v>4301</v>
      </c>
      <c r="H1097" s="1004">
        <v>2045</v>
      </c>
      <c r="I1097" s="1004">
        <v>165869</v>
      </c>
      <c r="J1097" s="1004">
        <v>157659</v>
      </c>
      <c r="K1097" s="1004">
        <v>46450.04</v>
      </c>
      <c r="L1097" s="1004">
        <v>14285</v>
      </c>
      <c r="M1097" s="1004">
        <v>16863</v>
      </c>
      <c r="N1097" s="1004">
        <v>6889</v>
      </c>
      <c r="O1097" s="1004">
        <v>3448</v>
      </c>
      <c r="P1097" s="1004">
        <v>0</v>
      </c>
      <c r="Q1097" s="337"/>
      <c r="R1097" s="1051">
        <f t="shared" si="62"/>
        <v>131245.3775</v>
      </c>
      <c r="S1097" s="1015">
        <v>14.994888814006632</v>
      </c>
      <c r="T1097" s="1015">
        <v>0.46534599999999998</v>
      </c>
      <c r="U1097" s="1015">
        <v>4.0733745437452392E-3</v>
      </c>
      <c r="V1097" s="1048">
        <v>0.03</v>
      </c>
      <c r="W1097" s="1015">
        <v>0.28602</v>
      </c>
      <c r="X1097" s="1010">
        <v>8.718</v>
      </c>
      <c r="Y1097" s="1015">
        <v>10.54</v>
      </c>
      <c r="Z1097" s="1053">
        <v>0</v>
      </c>
      <c r="AA1097" s="1053">
        <v>0</v>
      </c>
      <c r="AB1097" s="1053">
        <v>0</v>
      </c>
      <c r="AC1097" s="1015">
        <v>0.2106771401144566</v>
      </c>
      <c r="AD1097" s="1048">
        <v>9.4917980331136881E-2</v>
      </c>
      <c r="AE1097" s="1048">
        <v>0</v>
      </c>
      <c r="AF1097" s="1015">
        <v>14.886378760119722</v>
      </c>
      <c r="AG1097" s="1013">
        <f xml:space="preserve"> IF(C1097&lt; DATE(2024, 11, 1), S1097 * (2.31 / 100), S1097 * (2.925 / 100))+T1097*T$6+U1265*U$6+V1097*V$6+W1097*W$6+X1097*X$6+Y1097*Y$6+Z1097*Z$6+AA1097*AA$6+AB1097*AB$6+AC1097*AC$6+AD1097*AD$6+AE1097*AE$6+AF1097*AF$6</f>
        <v>7.9410899845750915</v>
      </c>
      <c r="AH1097" s="1045">
        <v>202603</v>
      </c>
      <c r="AI1097" s="1017"/>
      <c r="AJ1097" s="931" t="s">
        <v>2288</v>
      </c>
      <c r="AK1097" s="262"/>
      <c r="AL1097" s="262"/>
    </row>
    <row r="1098" spans="3:38" ht="15.75" hidden="1">
      <c r="C1098" s="1032">
        <v>46106</v>
      </c>
      <c r="D1098" s="1003">
        <v>346256</v>
      </c>
      <c r="E1098" s="1001">
        <v>36591</v>
      </c>
      <c r="F1098" s="1001">
        <v>22542</v>
      </c>
      <c r="G1098" s="1001">
        <v>4309</v>
      </c>
      <c r="H1098" s="1001">
        <v>2022</v>
      </c>
      <c r="I1098" s="1001">
        <v>165497</v>
      </c>
      <c r="J1098" s="1001">
        <v>153550</v>
      </c>
      <c r="K1098" s="1001">
        <v>50165.279999999999</v>
      </c>
      <c r="L1098" s="1001">
        <v>14811</v>
      </c>
      <c r="M1098" s="1001">
        <v>6520</v>
      </c>
      <c r="N1098" s="1001">
        <v>6593</v>
      </c>
      <c r="O1098" s="1001">
        <v>3500</v>
      </c>
      <c r="P1098" s="1001">
        <v>0</v>
      </c>
      <c r="Q1098" s="337"/>
      <c r="R1098" s="1051">
        <f t="shared" si="62"/>
        <v>131486.36175000001</v>
      </c>
      <c r="S1098" s="1007">
        <v>14.629601837195274</v>
      </c>
      <c r="T1098" s="1007">
        <v>0.46953499999999998</v>
      </c>
      <c r="U1098" s="1007">
        <v>4.0736577119443182E-3</v>
      </c>
      <c r="V1098" s="1049">
        <v>3.1E-2</v>
      </c>
      <c r="W1098" s="1007">
        <v>0.28379000000000004</v>
      </c>
      <c r="X1098" s="1010">
        <v>8.7533236867366835</v>
      </c>
      <c r="Y1098" s="1007">
        <v>10.55</v>
      </c>
      <c r="Z1098" s="1053">
        <v>0</v>
      </c>
      <c r="AA1098" s="1053">
        <v>0</v>
      </c>
      <c r="AB1098" s="1053">
        <v>0</v>
      </c>
      <c r="AC1098" s="1007">
        <v>0.21492466310063513</v>
      </c>
      <c r="AD1098" s="1049">
        <v>8.9169665889841904E-2</v>
      </c>
      <c r="AE1098" s="1049">
        <v>0</v>
      </c>
      <c r="AF1098" s="1007">
        <v>14.820202351995061</v>
      </c>
      <c r="AG1098" s="1013">
        <f xml:space="preserve"> IF(C1098&lt; DATE(2024, 11, 1), S1098 * (2.31 / 100), S1098 * (2.925 / 100))+T1098*T$6+U1266*U$6+V1098*V$6+W1098*W$6+X1098*X$6+Y1098*Y$6+Z1098*Z$6+AA1098*AA$6+AB1098*AB$6+AC1098*AC$6+AD1098*AD$6+AE1098*AE$6+AF1098*AF$6</f>
        <v>7.9263890202214657</v>
      </c>
      <c r="AH1098" s="1045">
        <v>202603</v>
      </c>
      <c r="AI1098" s="1017"/>
      <c r="AJ1098" s="931" t="s">
        <v>2297</v>
      </c>
      <c r="AK1098" s="262"/>
      <c r="AL1098" s="262"/>
    </row>
    <row r="1099" spans="3:38" ht="15.75" hidden="1">
      <c r="C1099" s="1032">
        <v>46107</v>
      </c>
      <c r="D1099" s="1006">
        <v>337612</v>
      </c>
      <c r="E1099" s="1004">
        <v>35201</v>
      </c>
      <c r="F1099" s="1004">
        <v>22551.68</v>
      </c>
      <c r="G1099" s="1004">
        <v>4379</v>
      </c>
      <c r="H1099" s="1004">
        <v>2026</v>
      </c>
      <c r="I1099" s="1004">
        <v>188489</v>
      </c>
      <c r="J1099" s="1004">
        <v>155834</v>
      </c>
      <c r="K1099" s="1004">
        <v>50127.99</v>
      </c>
      <c r="L1099" s="1004">
        <v>5873</v>
      </c>
      <c r="M1099" s="1004">
        <v>0</v>
      </c>
      <c r="N1099" s="1004">
        <v>6747</v>
      </c>
      <c r="O1099" s="1004">
        <v>3551</v>
      </c>
      <c r="P1099" s="1004">
        <v>0</v>
      </c>
      <c r="Q1099" s="337"/>
      <c r="R1099" s="1051">
        <f t="shared" si="62"/>
        <v>133707.16574999999</v>
      </c>
      <c r="S1099" s="1015">
        <v>14.591657298518749</v>
      </c>
      <c r="T1099" s="1015">
        <v>0.43500899999999998</v>
      </c>
      <c r="U1099" s="1015">
        <v>4.0736577119443182E-3</v>
      </c>
      <c r="V1099" s="1048">
        <v>2.5999999999999999E-2</v>
      </c>
      <c r="W1099" s="1015">
        <v>0.28035000000000004</v>
      </c>
      <c r="X1099" s="1010">
        <v>8.7390000000000008</v>
      </c>
      <c r="Y1099" s="1015">
        <v>10.55</v>
      </c>
      <c r="Z1099" s="1053">
        <v>0</v>
      </c>
      <c r="AA1099" s="1053">
        <v>0</v>
      </c>
      <c r="AB1099" s="1053">
        <v>0</v>
      </c>
      <c r="AC1099" s="1015">
        <v>0.20133258954486374</v>
      </c>
      <c r="AD1099" s="1048">
        <v>8.8971448150486895E-2</v>
      </c>
      <c r="AE1099" s="1048">
        <v>0</v>
      </c>
      <c r="AF1099" s="1015">
        <v>14.884651434105345</v>
      </c>
      <c r="AG1099" s="1013">
        <f xml:space="preserve"> IF(C1099&lt; DATE(2024, 11, 1), S1099 * (2.31 / 100), S1099 * (2.925 / 100))+T1099*T$6+U1267*U$6+V1099*V$6+W1099*W$6+X1099*X$6+Y1099*Y$6+Z1099*Z$6+AA1099*AA$6+AB1099*AB$6+AC1099*AC$6+AD1099*AD$6+AE1099*AE$6+AF1099*AF$6</f>
        <v>7.9165343138897128</v>
      </c>
      <c r="AH1099" s="1045">
        <v>202603</v>
      </c>
      <c r="AI1099" s="1017"/>
      <c r="AJ1099" s="931" t="s">
        <v>2298</v>
      </c>
      <c r="AK1099" s="262"/>
      <c r="AL1099" s="262"/>
    </row>
    <row r="1100" spans="3:38" ht="15.75" hidden="1">
      <c r="C1100" s="1032">
        <v>46108</v>
      </c>
      <c r="D1100" s="1003">
        <v>336310</v>
      </c>
      <c r="E1100" s="1001">
        <v>31119</v>
      </c>
      <c r="F1100" s="1001">
        <v>22367.15</v>
      </c>
      <c r="G1100" s="1001">
        <v>4503</v>
      </c>
      <c r="H1100" s="1001">
        <v>1996</v>
      </c>
      <c r="I1100" s="1001">
        <v>194483</v>
      </c>
      <c r="J1100" s="1001">
        <v>155685</v>
      </c>
      <c r="K1100" s="1001">
        <v>54829.06</v>
      </c>
      <c r="L1100" s="1001">
        <v>11531</v>
      </c>
      <c r="M1100" s="1001">
        <v>15600</v>
      </c>
      <c r="N1100" s="1001">
        <v>6720</v>
      </c>
      <c r="O1100" s="1001">
        <v>3839</v>
      </c>
      <c r="P1100" s="1001">
        <v>0</v>
      </c>
      <c r="Q1100" s="337"/>
      <c r="R1100" s="1051">
        <f t="shared" si="62"/>
        <v>136906.32125000001</v>
      </c>
      <c r="S1100" s="1007">
        <v>14.574950374773115</v>
      </c>
      <c r="T1100" s="1007">
        <v>0.44803799999999999</v>
      </c>
      <c r="U1100" s="1007">
        <v>4.0736577119443182E-3</v>
      </c>
      <c r="V1100" s="1049">
        <v>2.4E-2</v>
      </c>
      <c r="W1100" s="1007">
        <v>0.28892000000000001</v>
      </c>
      <c r="X1100" s="1010">
        <v>8.6020000000000003</v>
      </c>
      <c r="Y1100" s="1007">
        <v>10.37</v>
      </c>
      <c r="Z1100" s="1053">
        <v>0</v>
      </c>
      <c r="AA1100" s="1053">
        <v>0</v>
      </c>
      <c r="AB1100" s="1053">
        <v>0</v>
      </c>
      <c r="AC1100" s="1007">
        <v>0.19708506655868518</v>
      </c>
      <c r="AD1100" s="1049">
        <v>9.4238376653348319E-2</v>
      </c>
      <c r="AE1100" s="1049">
        <v>0</v>
      </c>
      <c r="AF1100" s="1007">
        <v>13.023443495201713</v>
      </c>
      <c r="AG1100" s="1013">
        <f xml:space="preserve"> IF(C1100&lt; DATE(2024, 11, 1), S1100 * (2.31 / 100), S1100 * (2.925 / 100))+T1100*T$6+U1268*U$6+V1100*V$6+W1100*W$6+X1100*X$6+Y1100*Y$6+Z1100*Z$6+AA1100*AA$6+AB1100*AB$6+AC1100*AC$6+AD1100*AD$6+AE1100*AE$6+AF1100*AF$6</f>
        <v>7.5381676606291999</v>
      </c>
      <c r="AH1100" s="1045">
        <v>202603</v>
      </c>
      <c r="AI1100" s="1017"/>
      <c r="AJ1100" s="931" t="s">
        <v>2299</v>
      </c>
      <c r="AK1100" s="262"/>
      <c r="AL1100" s="262"/>
    </row>
    <row r="1101" spans="3:38" ht="15.75" hidden="1">
      <c r="C1101" s="1032">
        <v>46109</v>
      </c>
      <c r="D1101" s="1006">
        <v>329359</v>
      </c>
      <c r="E1101" s="1004">
        <v>34597</v>
      </c>
      <c r="F1101" s="1004">
        <v>22503.89</v>
      </c>
      <c r="G1101" s="1004">
        <v>4612</v>
      </c>
      <c r="H1101" s="1004">
        <v>2027</v>
      </c>
      <c r="I1101" s="1004">
        <v>192550</v>
      </c>
      <c r="J1101" s="1004">
        <v>158484</v>
      </c>
      <c r="K1101" s="1004">
        <v>53238.78</v>
      </c>
      <c r="L1101" s="1004">
        <v>12650</v>
      </c>
      <c r="M1101" s="1004">
        <v>15275</v>
      </c>
      <c r="N1101" s="1004">
        <v>7015</v>
      </c>
      <c r="O1101" s="1004">
        <v>3738</v>
      </c>
      <c r="P1101" s="1004">
        <v>0</v>
      </c>
      <c r="Q1101" s="337"/>
      <c r="R1101" s="1051">
        <f t="shared" si="62"/>
        <v>138015.86125000002</v>
      </c>
      <c r="S1101" s="1015">
        <v>14.652821629519719</v>
      </c>
      <c r="T1101" s="1015">
        <v>0.454598</v>
      </c>
      <c r="U1101" s="1015">
        <v>4.0736577119443182E-3</v>
      </c>
      <c r="V1101" s="1048">
        <v>2.5000000000000001E-2</v>
      </c>
      <c r="W1101" s="1015">
        <v>0.29649999999999999</v>
      </c>
      <c r="X1101" s="1010">
        <v>8.4410000000000007</v>
      </c>
      <c r="Y1101" s="1015">
        <v>10.43</v>
      </c>
      <c r="Z1101" s="1053">
        <v>0</v>
      </c>
      <c r="AA1101" s="1053">
        <v>0</v>
      </c>
      <c r="AB1101" s="1053">
        <v>0</v>
      </c>
      <c r="AC1101" s="1015">
        <v>0.2055801125310423</v>
      </c>
      <c r="AD1101" s="1048">
        <v>8.9537784548644042E-2</v>
      </c>
      <c r="AE1101" s="1048">
        <v>0</v>
      </c>
      <c r="AF1101" s="1015">
        <v>14.8376455130583</v>
      </c>
      <c r="AG1101" s="1013">
        <f xml:space="preserve"> IF(C1101&lt; DATE(2024, 11, 1), S1101 * (2.31 / 100), S1101 * (2.925 / 100))+T1101*T$6+U1269*U$6+V1101*V$6+W1101*W$6+X1101*X$6+Y1101*Y$6+Z1101*Z$6+AA1101*AA$6+AB1101*AB$6+AC1101*AC$6+AD1101*AD$6+AE1101*AE$6+AF1101*AF$6</f>
        <v>7.8411651560812352</v>
      </c>
      <c r="AH1101" s="1045">
        <v>202603</v>
      </c>
      <c r="AI1101" s="1017"/>
      <c r="AJ1101" s="931" t="s">
        <v>2299</v>
      </c>
      <c r="AK1101" s="262"/>
      <c r="AL1101" s="262"/>
    </row>
    <row r="1102" spans="3:38" ht="15.75" hidden="1">
      <c r="C1102" s="1032">
        <v>46110</v>
      </c>
      <c r="D1102" s="1003">
        <v>329214</v>
      </c>
      <c r="E1102" s="1001">
        <v>31987</v>
      </c>
      <c r="F1102" s="1001">
        <v>22473.13</v>
      </c>
      <c r="G1102" s="1001">
        <v>4618</v>
      </c>
      <c r="H1102" s="1001">
        <v>2018</v>
      </c>
      <c r="I1102" s="1001">
        <v>194652</v>
      </c>
      <c r="J1102" s="1001">
        <v>157334</v>
      </c>
      <c r="K1102" s="1001">
        <v>54854.37</v>
      </c>
      <c r="L1102" s="1001">
        <v>14554</v>
      </c>
      <c r="M1102" s="1001">
        <v>41965</v>
      </c>
      <c r="N1102" s="1001">
        <v>6863</v>
      </c>
      <c r="O1102" s="1001">
        <v>3797</v>
      </c>
      <c r="P1102" s="1001">
        <v>0</v>
      </c>
      <c r="Q1102" s="337"/>
      <c r="R1102" s="1051">
        <f t="shared" si="62"/>
        <v>139338.50549999997</v>
      </c>
      <c r="S1102" s="1007">
        <v>15.116934307809496</v>
      </c>
      <c r="T1102" s="1007">
        <v>0.43767899999999998</v>
      </c>
      <c r="U1102" s="1007">
        <v>4.0149286274554219E-3</v>
      </c>
      <c r="V1102" s="1049">
        <v>2.4E-2</v>
      </c>
      <c r="W1102" s="1007">
        <v>0.28923000000000004</v>
      </c>
      <c r="X1102" s="1010">
        <v>5.020770387402413</v>
      </c>
      <c r="Y1102" s="1007">
        <v>10.41</v>
      </c>
      <c r="Z1102" s="1053">
        <v>0</v>
      </c>
      <c r="AA1102" s="1053">
        <v>0</v>
      </c>
      <c r="AB1102" s="1053">
        <v>0</v>
      </c>
      <c r="AC1102" s="1007">
        <v>0.1987840757531566</v>
      </c>
      <c r="AD1102" s="1049">
        <v>9.1548278762101892E-2</v>
      </c>
      <c r="AE1102" s="1049">
        <v>0</v>
      </c>
      <c r="AF1102" s="1007">
        <v>14.809102158591182</v>
      </c>
      <c r="AG1102" s="1013">
        <f xml:space="preserve"> IF(C1102&lt; DATE(2024, 11, 1), S1102 * (2.31 / 100), S1102 * (2.925 / 100))+T1102*T$6+U1270*U$6+V1102*V$6+W1102*W$6+X1102*X$6+Y1102*Y$6+Z1102*Z$6+AA1102*AA$6+AB1102*AB$6+AC1102*AC$6+AD1102*AD$6+AE1102*AE$6+AF1102*AF$6</f>
        <v>7.1483606627820997</v>
      </c>
      <c r="AH1102" s="1045">
        <v>202603</v>
      </c>
      <c r="AI1102" s="1017"/>
      <c r="AJ1102" s="931" t="s">
        <v>2299</v>
      </c>
      <c r="AK1102" s="262"/>
      <c r="AL1102" s="262"/>
    </row>
    <row r="1103" spans="3:38" ht="15.75" hidden="1">
      <c r="C1103" s="1032">
        <v>46111</v>
      </c>
      <c r="D1103" s="1006">
        <v>296615</v>
      </c>
      <c r="E1103" s="1004">
        <v>33623</v>
      </c>
      <c r="F1103" s="1004">
        <v>22489.94</v>
      </c>
      <c r="G1103" s="1004">
        <v>4631</v>
      </c>
      <c r="H1103" s="1004">
        <v>1962</v>
      </c>
      <c r="I1103" s="1004">
        <v>192526</v>
      </c>
      <c r="J1103" s="1004">
        <v>156276</v>
      </c>
      <c r="K1103" s="1004">
        <v>56318.080000000002</v>
      </c>
      <c r="L1103" s="1004">
        <v>14404</v>
      </c>
      <c r="M1103" s="1004">
        <v>148253</v>
      </c>
      <c r="N1103" s="1004">
        <v>6906</v>
      </c>
      <c r="O1103" s="1004">
        <v>3614</v>
      </c>
      <c r="P1103" s="1004">
        <v>0</v>
      </c>
      <c r="Q1103" s="337"/>
      <c r="R1103" s="1051">
        <f t="shared" si="62"/>
        <v>142601.48175000004</v>
      </c>
      <c r="S1103" s="1015">
        <v>16.547783217753512</v>
      </c>
      <c r="T1103" s="1015">
        <v>0.41129700000000002</v>
      </c>
      <c r="U1103" s="1015">
        <v>3.8284340515422751E-3</v>
      </c>
      <c r="V1103" s="1048">
        <v>0.03</v>
      </c>
      <c r="W1103" s="1015">
        <v>0.27550000000000002</v>
      </c>
      <c r="X1103" s="1010">
        <v>5.020770387402413</v>
      </c>
      <c r="Y1103" s="1015">
        <v>11.16</v>
      </c>
      <c r="Z1103" s="1053">
        <v>0</v>
      </c>
      <c r="AA1103" s="1053">
        <v>0</v>
      </c>
      <c r="AB1103" s="1053">
        <v>0</v>
      </c>
      <c r="AC1103" s="1015">
        <v>0.20303159873933516</v>
      </c>
      <c r="AD1103" s="1048">
        <v>9.4210059833440454E-2</v>
      </c>
      <c r="AE1103" s="1048">
        <v>0</v>
      </c>
      <c r="AF1103" s="1015">
        <v>14.804259982386936</v>
      </c>
      <c r="AG1103" s="1013">
        <f xml:space="preserve"> IF(C1103&lt; DATE(2024, 11, 1), S1103 * (2.31 / 100), S1103 * (2.925 / 100))+T1103*T$6+U1271*U$6+V1103*V$6+W1103*W$6+X1103*X$6+Y1103*Y$6+Z1103*Z$6+AA1103*AA$6+AB1103*AB$6+AC1103*AC$6+AD1103*AD$6+AE1103*AE$6+AF1103*AF$6</f>
        <v>7.368068623400255</v>
      </c>
      <c r="AH1103" s="1045">
        <v>202603</v>
      </c>
      <c r="AI1103" s="1017"/>
      <c r="AJ1103" s="931" t="s">
        <v>2299</v>
      </c>
      <c r="AK1103" s="262"/>
      <c r="AL1103" s="262"/>
    </row>
    <row r="1104" spans="3:38" ht="15.75" hidden="1">
      <c r="C1104" s="1032">
        <v>46112</v>
      </c>
      <c r="D1104" s="1003">
        <v>323902</v>
      </c>
      <c r="E1104" s="1001">
        <v>29233</v>
      </c>
      <c r="F1104" s="1001">
        <v>22449.91</v>
      </c>
      <c r="G1104" s="1001">
        <v>4651</v>
      </c>
      <c r="H1104" s="1001">
        <v>2008</v>
      </c>
      <c r="I1104" s="1001">
        <v>194402</v>
      </c>
      <c r="J1104" s="1001">
        <v>158282</v>
      </c>
      <c r="K1104" s="1001">
        <v>54916.29</v>
      </c>
      <c r="L1104" s="1001">
        <v>10961</v>
      </c>
      <c r="M1104" s="1001">
        <v>123683</v>
      </c>
      <c r="N1104" s="1001">
        <v>6798</v>
      </c>
      <c r="O1104" s="1001">
        <v>3599</v>
      </c>
      <c r="P1104" s="1001">
        <v>0</v>
      </c>
      <c r="Q1104" s="337"/>
      <c r="R1104" s="1051">
        <f t="shared" si="62"/>
        <v>140957.31425000002</v>
      </c>
      <c r="S1104" s="1007">
        <v>16.793856382752793</v>
      </c>
      <c r="T1104" s="1007">
        <v>0.45128000000000001</v>
      </c>
      <c r="U1104" s="1007">
        <v>3.8084140598674205E-3</v>
      </c>
      <c r="V1104" s="1049">
        <v>2.7E-2</v>
      </c>
      <c r="W1104" s="1007">
        <v>0.27956999999999999</v>
      </c>
      <c r="X1104" s="1010">
        <v>4.7903281069922716</v>
      </c>
      <c r="Y1104" s="1007">
        <v>10.59</v>
      </c>
      <c r="Z1104" s="1053">
        <v>0</v>
      </c>
      <c r="AA1104" s="1053">
        <v>0</v>
      </c>
      <c r="AB1104" s="1053">
        <v>0</v>
      </c>
      <c r="AC1104" s="1007">
        <v>0.19566922556329233</v>
      </c>
      <c r="AD1104" s="1049">
        <v>9.6985108184410446E-2</v>
      </c>
      <c r="AE1104" s="1049">
        <v>0</v>
      </c>
      <c r="AF1104" s="1007">
        <v>14.799134637983613</v>
      </c>
      <c r="AG1104" s="1013">
        <f xml:space="preserve"> IF(C1104&lt; DATE(2024, 11, 1), S1104 * (2.31 / 100), S1104 * (2.925 / 100))+T1104*T$6+U1272*U$6+V1104*V$6+W1104*W$6+X1104*X$6+Y1104*Y$6+Z1104*Z$6+AA1104*AA$6+AB1104*AB$6+AC1104*AC$6+AD1104*AD$6+AE1104*AE$6+AF1104*AF$6</f>
        <v>7.1937720671369147</v>
      </c>
      <c r="AH1104" s="1045">
        <v>202603</v>
      </c>
      <c r="AI1104" s="1017"/>
      <c r="AJ1104" s="931" t="s">
        <v>2299</v>
      </c>
      <c r="AK1104" s="262"/>
      <c r="AL1104" s="262"/>
    </row>
    <row r="1105" spans="3:38" ht="15.75" hidden="1">
      <c r="C1105" s="1032">
        <v>46113</v>
      </c>
      <c r="D1105" s="1006">
        <v>314628</v>
      </c>
      <c r="E1105" s="1004">
        <v>34704</v>
      </c>
      <c r="F1105" s="1004">
        <v>22265.469999999998</v>
      </c>
      <c r="G1105" s="1004">
        <v>4632</v>
      </c>
      <c r="H1105" s="1004">
        <v>1997</v>
      </c>
      <c r="I1105" s="1004">
        <v>191873</v>
      </c>
      <c r="J1105" s="1004">
        <v>157576</v>
      </c>
      <c r="K1105" s="1004">
        <v>54083.76</v>
      </c>
      <c r="L1105" s="1004">
        <v>10418</v>
      </c>
      <c r="M1105" s="1004">
        <v>147895</v>
      </c>
      <c r="N1105" s="1004">
        <v>6663</v>
      </c>
      <c r="O1105" s="1004">
        <v>3654</v>
      </c>
      <c r="P1105" s="1004">
        <v>0</v>
      </c>
      <c r="Q1105" s="337">
        <v>0</v>
      </c>
      <c r="R1105" s="1051">
        <f t="shared" si="62"/>
        <v>141960.75049999999</v>
      </c>
      <c r="S1105" s="1015">
        <v>16.918167222148284</v>
      </c>
      <c r="T1105" s="1015">
        <v>0.456127</v>
      </c>
      <c r="U1105" s="1015">
        <v>3.8084140598674205E-3</v>
      </c>
      <c r="V1105" s="1048">
        <v>2.8000000000000001E-2</v>
      </c>
      <c r="W1105" s="1015">
        <v>0.28927999999999998</v>
      </c>
      <c r="X1105" s="1010">
        <v>9.7990638459338459</v>
      </c>
      <c r="Y1105" s="1015">
        <v>10.41</v>
      </c>
      <c r="Z1105" s="1053">
        <v>0</v>
      </c>
      <c r="AA1105" s="1053">
        <v>0</v>
      </c>
      <c r="AB1105" s="1053">
        <v>0</v>
      </c>
      <c r="AC1105" s="1015">
        <v>0.19170487077619233</v>
      </c>
      <c r="AD1105" s="1048">
        <v>9.5201148530215454E-2</v>
      </c>
      <c r="AE1105" s="1048">
        <v>0</v>
      </c>
      <c r="AF1105" s="1015">
        <v>14.790101572433008</v>
      </c>
      <c r="AG1105" s="1013">
        <f xml:space="preserve"> IF(C1105&lt; DATE(2024, 11, 1), S1105 * (2.31 / 100), S1105 * (2.925 / 100))+T1105*T$6+U1273*U$6+V1105*V$6+W1105*W$6+X1105*X$6+Y1105*Y$6+Z1105*Z$6+AA1105*AA$6+AB1105*AB$6+AC1105*AC$6+AD1105*AD$6+AE1105*AE$6+AF1105*AF$6</f>
        <v>8.1611887129456839</v>
      </c>
      <c r="AH1105" s="1045">
        <v>202604</v>
      </c>
      <c r="AI1105" s="1017"/>
      <c r="AJ1105" s="931" t="s">
        <v>2302</v>
      </c>
      <c r="AK1105" s="262"/>
      <c r="AL1105" s="262"/>
    </row>
    <row r="1106" spans="3:38" ht="15" hidden="1" customHeight="1">
      <c r="C1106" s="1032">
        <v>46114</v>
      </c>
      <c r="D1106" s="1003">
        <v>337483</v>
      </c>
      <c r="E1106" s="1001">
        <v>35252</v>
      </c>
      <c r="F1106" s="1001">
        <v>22497</v>
      </c>
      <c r="G1106" s="1001">
        <v>4512</v>
      </c>
      <c r="H1106" s="1001">
        <v>1979</v>
      </c>
      <c r="I1106" s="1001">
        <v>190904</v>
      </c>
      <c r="J1106" s="1001">
        <v>147094</v>
      </c>
      <c r="K1106" s="1001">
        <v>53636.01</v>
      </c>
      <c r="L1106" s="1001">
        <v>12944</v>
      </c>
      <c r="M1106" s="1001">
        <v>153290</v>
      </c>
      <c r="N1106" s="1001">
        <v>6740</v>
      </c>
      <c r="O1106" s="1001">
        <v>3641</v>
      </c>
      <c r="P1106" s="1001">
        <v>0</v>
      </c>
      <c r="Q1106" s="337">
        <v>0</v>
      </c>
      <c r="R1106" s="1051">
        <f t="shared" si="62"/>
        <v>140658.70024999999</v>
      </c>
      <c r="S1106" s="1007">
        <v>15.786343930431237</v>
      </c>
      <c r="T1106" s="1007">
        <v>0.46083299999999999</v>
      </c>
      <c r="U1106" s="1007">
        <v>3.4299880786188186E-3</v>
      </c>
      <c r="V1106" s="1049">
        <v>0.03</v>
      </c>
      <c r="W1106" s="1007">
        <v>0.2792</v>
      </c>
      <c r="X1106" s="1010">
        <v>10.974013654370559</v>
      </c>
      <c r="Y1106" s="1007">
        <v>9.93</v>
      </c>
      <c r="Z1106" s="1053">
        <v>0</v>
      </c>
      <c r="AA1106" s="1053">
        <v>0</v>
      </c>
      <c r="AB1106" s="1053">
        <v>0</v>
      </c>
      <c r="AC1106" s="1007">
        <v>0.20133258954486374</v>
      </c>
      <c r="AD1106" s="1049">
        <v>8.9056398610210474E-2</v>
      </c>
      <c r="AE1106" s="1049">
        <v>0</v>
      </c>
      <c r="AF1106" s="1007">
        <v>14.794405729059005</v>
      </c>
      <c r="AG1106" s="1013">
        <f xml:space="preserve"> IF(C1106&lt; DATE(2024, 11, 1), S1106 * (2.31 / 100), S1106 * (2.925 / 100))+T1106*T$6+U1274*U$6+V1106*V$6+W1106*W$6+X1106*X$6+Y1106*Y$6+Z1106*Z$6+AA1106*AA$6+AB1106*AB$6+AC1106*AC$6+AD1106*AD$6+AE1106*AE$6+AF1106*AF$6</f>
        <v>8.2297963190732748</v>
      </c>
      <c r="AH1106" s="1045">
        <v>202604</v>
      </c>
      <c r="AI1106" s="1017"/>
      <c r="AJ1106" s="931" t="s">
        <v>2303</v>
      </c>
      <c r="AK1106" s="262"/>
      <c r="AL1106" s="262"/>
    </row>
    <row r="1107" spans="3:38" ht="15.75" hidden="1">
      <c r="C1107" s="1032">
        <v>46115</v>
      </c>
      <c r="D1107" s="1006">
        <v>315143</v>
      </c>
      <c r="E1107" s="1004">
        <v>35377</v>
      </c>
      <c r="F1107" s="1004">
        <v>22450</v>
      </c>
      <c r="G1107" s="1004">
        <v>4671</v>
      </c>
      <c r="H1107" s="1004">
        <v>2010</v>
      </c>
      <c r="I1107" s="1004">
        <v>191428</v>
      </c>
      <c r="J1107" s="1004">
        <v>156664</v>
      </c>
      <c r="K1107" s="1004">
        <v>55054.9</v>
      </c>
      <c r="L1107" s="1004">
        <v>14741</v>
      </c>
      <c r="M1107" s="1004">
        <v>159005</v>
      </c>
      <c r="N1107" s="1004">
        <v>6749</v>
      </c>
      <c r="O1107" s="1004">
        <v>3648</v>
      </c>
      <c r="P1107" s="1004">
        <v>0</v>
      </c>
      <c r="Q1107" s="337">
        <v>0</v>
      </c>
      <c r="R1107" s="1051">
        <f t="shared" si="62"/>
        <v>143730.24400000001</v>
      </c>
      <c r="S1107" s="1015">
        <v>15.56603907154811</v>
      </c>
      <c r="T1107" s="1015">
        <v>0.45983099999999999</v>
      </c>
      <c r="U1107" s="1015">
        <v>3.8348902864812667E-3</v>
      </c>
      <c r="V1107" s="1048">
        <v>2.8000000000000001E-2</v>
      </c>
      <c r="W1107" s="1015">
        <v>0.27770999999999996</v>
      </c>
      <c r="X1107" s="1010">
        <v>9.4204113301259813</v>
      </c>
      <c r="Y1107" s="1015">
        <v>10.24</v>
      </c>
      <c r="Z1107" s="1053">
        <v>0</v>
      </c>
      <c r="AA1107" s="1053">
        <v>0</v>
      </c>
      <c r="AB1107" s="1053">
        <v>0</v>
      </c>
      <c r="AC1107" s="1015">
        <v>0.20841179452182801</v>
      </c>
      <c r="AD1107" s="1048">
        <v>8.8688279951408336E-2</v>
      </c>
      <c r="AE1107" s="1048">
        <v>0</v>
      </c>
      <c r="AF1107" s="1015">
        <v>14.771157619914652</v>
      </c>
      <c r="AG1107" s="1013">
        <f xml:space="preserve"> IF(C1107&lt; DATE(2024, 11, 1), S1107 * (2.31 / 100), S1107 * (2.925 / 100))+T1107*T$6+U1275*U$6+V1107*V$6+W1107*W$6+X1107*X$6+Y1107*Y$6+Z1107*Z$6+AA1107*AA$6+AB1107*AB$6+AC1107*AC$6+AD1107*AD$6+AE1107*AE$6+AF1107*AF$6</f>
        <v>7.9871506836314339</v>
      </c>
      <c r="AH1107" s="1045">
        <v>202604</v>
      </c>
      <c r="AI1107" s="1017"/>
      <c r="AJ1107" s="931" t="s">
        <v>2303</v>
      </c>
      <c r="AL1107" s="262"/>
    </row>
    <row r="1108" spans="3:38" ht="15.75" hidden="1">
      <c r="C1108" s="1032">
        <v>46116</v>
      </c>
      <c r="D1108" s="1003">
        <v>306954</v>
      </c>
      <c r="E1108" s="1001">
        <v>35491</v>
      </c>
      <c r="F1108" s="1001">
        <v>22409</v>
      </c>
      <c r="G1108" s="1001">
        <v>4663</v>
      </c>
      <c r="H1108" s="1001">
        <v>2039</v>
      </c>
      <c r="I1108" s="1001">
        <v>191566</v>
      </c>
      <c r="J1108" s="1001">
        <v>156270</v>
      </c>
      <c r="K1108" s="1001">
        <v>53388</v>
      </c>
      <c r="L1108" s="1001">
        <v>9948</v>
      </c>
      <c r="M1108" s="1001">
        <v>194440</v>
      </c>
      <c r="N1108" s="1001">
        <v>6701</v>
      </c>
      <c r="O1108" s="1001">
        <v>3731</v>
      </c>
      <c r="P1108" s="1001">
        <v>0</v>
      </c>
      <c r="Q1108" s="337">
        <v>0</v>
      </c>
      <c r="R1108" s="1051">
        <f t="shared" si="62"/>
        <v>143315.2395</v>
      </c>
      <c r="S1108" s="1007">
        <v>15.423888635610668</v>
      </c>
      <c r="T1108" s="1007">
        <v>0.46043600000000001</v>
      </c>
      <c r="U1108" s="1007">
        <v>3.883991652201491E-3</v>
      </c>
      <c r="V1108" s="1049">
        <v>0.03</v>
      </c>
      <c r="W1108" s="1007">
        <v>0.28161000000000003</v>
      </c>
      <c r="X1108" s="1010">
        <v>8.9523059802291964</v>
      </c>
      <c r="Y1108" s="1007">
        <v>10.14</v>
      </c>
      <c r="Z1108" s="1053">
        <v>0</v>
      </c>
      <c r="AA1108" s="1053">
        <v>0</v>
      </c>
      <c r="AB1108" s="1053">
        <v>0</v>
      </c>
      <c r="AC1108" s="1007">
        <v>0.21039397191537801</v>
      </c>
      <c r="AD1108" s="1049">
        <v>9.0358972325971898E-2</v>
      </c>
      <c r="AE1108" s="1049">
        <v>0</v>
      </c>
      <c r="AF1108" s="1007">
        <v>14.730466349707061</v>
      </c>
      <c r="AG1108" s="1013">
        <f xml:space="preserve"> IF(C1108&lt; DATE(2024, 11, 1), S1108 * (2.31 / 100), S1108 * (2.925 / 100))+T1108*T$6+U1276*U$6+V1108*V$6+W1108*W$6+X1108*X$6+Y1108*Y$6+Z1108*Z$6+AA1108*AA$6+AB1108*AB$6+AC1108*AC$6+AD1108*AD$6+AE1108*AE$6+AF1108*AF$6</f>
        <v>7.8624038639287326</v>
      </c>
      <c r="AH1108" s="1045">
        <v>202604</v>
      </c>
      <c r="AI1108" s="1017"/>
      <c r="AJ1108" s="931" t="s">
        <v>2302</v>
      </c>
      <c r="AL1108" s="262"/>
    </row>
    <row r="1109" spans="3:38" ht="15.75" hidden="1">
      <c r="C1109" s="1032">
        <v>46117</v>
      </c>
      <c r="D1109" s="1006">
        <v>324352</v>
      </c>
      <c r="E1109" s="1004">
        <v>35346</v>
      </c>
      <c r="F1109" s="1004">
        <v>22456.41</v>
      </c>
      <c r="G1109" s="1004">
        <v>4640</v>
      </c>
      <c r="H1109" s="1004">
        <v>2031</v>
      </c>
      <c r="I1109" s="1004">
        <v>188789</v>
      </c>
      <c r="J1109" s="1004">
        <v>155322</v>
      </c>
      <c r="K1109" s="1004">
        <v>54241.15</v>
      </c>
      <c r="L1109" s="1004">
        <v>11563</v>
      </c>
      <c r="M1109" s="1004">
        <v>217571</v>
      </c>
      <c r="N1109" s="1004">
        <v>6780</v>
      </c>
      <c r="O1109" s="1004">
        <v>3642</v>
      </c>
      <c r="P1109" s="1004">
        <v>0</v>
      </c>
      <c r="Q1109" s="337">
        <v>0</v>
      </c>
      <c r="R1109" s="1051">
        <f t="shared" si="62"/>
        <v>144498.02424999999</v>
      </c>
      <c r="S1109" s="1015">
        <v>15.44002922295814</v>
      </c>
      <c r="T1109" s="1015">
        <v>0.46147899999999997</v>
      </c>
      <c r="U1109" s="1015">
        <v>3.098713850039785E-3</v>
      </c>
      <c r="V1109" s="1048">
        <v>2.8000000000000001E-2</v>
      </c>
      <c r="W1109" s="1015">
        <v>0.29008</v>
      </c>
      <c r="X1109" s="1010">
        <v>9.8108436430155148</v>
      </c>
      <c r="Y1109" s="1015">
        <v>10.220000000000001</v>
      </c>
      <c r="Z1109" s="1053">
        <v>0</v>
      </c>
      <c r="AA1109" s="1048">
        <v>0</v>
      </c>
      <c r="AB1109" s="1048">
        <v>0</v>
      </c>
      <c r="AC1109" s="1015">
        <v>0.2075622899245923</v>
      </c>
      <c r="AD1109" s="1048">
        <v>9.7579761402475457E-2</v>
      </c>
      <c r="AE1109" s="1048">
        <v>0</v>
      </c>
      <c r="AF1109" s="1015">
        <v>14.711805565387785</v>
      </c>
      <c r="AG1109" s="1013">
        <f xml:space="preserve"> IF(C1109&lt; DATE(2024, 11, 1), S1109 * (2.31 / 100), S1109 * (2.925 / 100))+T1109*T$6+U1277*U$6+V1109*V$6+W1109*W$6+X1109*X$6+Y1109*Y$6+Z1109*Z$6+AA1109*AA$6+AB1109*AB$6+AC1109*AC$6+AD1109*AD$6+AE1109*AE$6+AF1109*AF$6</f>
        <v>8.0625396159432476</v>
      </c>
      <c r="AH1109" s="1045">
        <v>202604</v>
      </c>
      <c r="AI1109" s="1017"/>
      <c r="AJ1109" s="931" t="s">
        <v>2304</v>
      </c>
      <c r="AL1109" s="262"/>
    </row>
    <row r="1110" spans="3:38" ht="15.75" hidden="1">
      <c r="C1110" s="1032">
        <v>46118</v>
      </c>
      <c r="D1110" s="1003">
        <v>321153</v>
      </c>
      <c r="E1110" s="1001">
        <v>34950</v>
      </c>
      <c r="F1110" s="1001">
        <v>22441.599999999999</v>
      </c>
      <c r="G1110" s="1001">
        <v>4623</v>
      </c>
      <c r="H1110" s="1001">
        <v>2006</v>
      </c>
      <c r="I1110" s="1001">
        <v>192504</v>
      </c>
      <c r="J1110" s="1001">
        <v>156210</v>
      </c>
      <c r="K1110" s="1001">
        <v>52421.81</v>
      </c>
      <c r="L1110" s="1001">
        <v>10232</v>
      </c>
      <c r="M1110" s="1001">
        <v>196976</v>
      </c>
      <c r="N1110" s="1001">
        <v>6820</v>
      </c>
      <c r="O1110" s="1001">
        <v>3647</v>
      </c>
      <c r="P1110" s="1001">
        <v>0</v>
      </c>
      <c r="Q1110" s="337">
        <v>0</v>
      </c>
      <c r="R1110" s="1051">
        <f t="shared" si="62"/>
        <v>143634.20775</v>
      </c>
      <c r="S1110" s="1007">
        <v>14.825271062758569</v>
      </c>
      <c r="T1110" s="1007">
        <v>0.457403</v>
      </c>
      <c r="U1110" s="1007">
        <v>3.9023409515017825E-3</v>
      </c>
      <c r="V1110" s="1049">
        <v>3.1E-2</v>
      </c>
      <c r="W1110" s="1007">
        <v>0.28423999999999999</v>
      </c>
      <c r="X1110" s="1010">
        <v>9.8342333362594037</v>
      </c>
      <c r="Y1110" s="1007">
        <v>10.16</v>
      </c>
      <c r="Z1110" s="1053">
        <v>0</v>
      </c>
      <c r="AA1110" s="1049">
        <v>0</v>
      </c>
      <c r="AB1110" s="1053">
        <v>0</v>
      </c>
      <c r="AC1110" s="1007">
        <v>0.20614644892919945</v>
      </c>
      <c r="AD1110" s="1049">
        <v>0.10596154009520115</v>
      </c>
      <c r="AE1110" s="1049">
        <v>0</v>
      </c>
      <c r="AF1110" s="1007">
        <v>14.730069914228352</v>
      </c>
      <c r="AG1110" s="1013">
        <f xml:space="preserve"> IF(C1110&lt; DATE(2024, 11, 1), S1110 * (2.31 / 100), S1110 * (2.925 / 100))+T1110*T$6+U1278*U$6+V1110*V$6+W1110*W$6+X1110*X$6+Y1110*Y$6+Z1110*Z$6+AA1110*AA$6+AB1110*AB$6+AC1110*AC$6+AD1110*AD$6+AE1110*AE$6+AF1110*AF$6</f>
        <v>8.0344972666766807</v>
      </c>
      <c r="AH1110" s="1045">
        <v>202604</v>
      </c>
      <c r="AI1110" s="1017"/>
      <c r="AJ1110" s="931" t="s">
        <v>2305</v>
      </c>
    </row>
    <row r="1111" spans="3:38" ht="15.75" hidden="1">
      <c r="C1111" s="1032">
        <v>46119</v>
      </c>
      <c r="D1111" s="1006">
        <v>327720</v>
      </c>
      <c r="E1111" s="1004">
        <v>35189</v>
      </c>
      <c r="F1111" s="1004">
        <v>22440.38</v>
      </c>
      <c r="G1111" s="1004">
        <v>4596</v>
      </c>
      <c r="H1111" s="1004">
        <v>2003</v>
      </c>
      <c r="I1111" s="1004">
        <v>192328</v>
      </c>
      <c r="J1111" s="1004">
        <v>157645</v>
      </c>
      <c r="K1111" s="1004">
        <v>52536.42</v>
      </c>
      <c r="L1111" s="1004">
        <v>15047</v>
      </c>
      <c r="M1111" s="1004">
        <v>192565</v>
      </c>
      <c r="N1111" s="1004">
        <v>6848</v>
      </c>
      <c r="O1111" s="1004">
        <v>3825</v>
      </c>
      <c r="P1111" s="1004">
        <v>0</v>
      </c>
      <c r="Q1111" s="337">
        <v>0</v>
      </c>
      <c r="R1111" s="1051">
        <f t="shared" ref="R1111" si="63" xml:space="preserve"> IF(C1111&lt; DATE(2024, 11, 1), D1111 * (2.31 / 100), D1111 * (2.925 / 100))+E1111*E$6+F1111*F$6+G1111*G$6+H1111*H$6+I1111*I$6+J1111*J$6+K1111*K$6+L1111*L$6+M1111*M$6+N1111*N$6+O1111*O$6+P1111*P$6+Q1111*Q$6</f>
        <v>145299.47975000003</v>
      </c>
      <c r="S1111" s="1015">
        <v>14.224671312512919</v>
      </c>
      <c r="T1111" s="1015">
        <v>0.45874900000000002</v>
      </c>
      <c r="U1111" s="1015">
        <v>3.9023409515017825E-3</v>
      </c>
      <c r="V1111" s="1048">
        <v>2.9000000000000001E-2</v>
      </c>
      <c r="W1111" s="1015">
        <v>0.28085000000000004</v>
      </c>
      <c r="X1111" s="1010">
        <v>9.5397950428575058</v>
      </c>
      <c r="Y1111" s="1015">
        <v>10.27</v>
      </c>
      <c r="Z1111" s="1053">
        <v>0</v>
      </c>
      <c r="AA1111" s="1048">
        <v>0</v>
      </c>
      <c r="AB1111" s="1048">
        <v>0</v>
      </c>
      <c r="AC1111" s="1015">
        <v>0.20416427153564945</v>
      </c>
      <c r="AD1111" s="1048">
        <v>8.3138183249468339E-2</v>
      </c>
      <c r="AE1111" s="1048">
        <v>0</v>
      </c>
      <c r="AF1111" s="1015">
        <v>14.725652490322727</v>
      </c>
      <c r="AG1111" s="1013">
        <f xml:space="preserve"> IF(C1111&lt; DATE(2024, 11, 1), S1111 * (2.31 / 100), S1111 * (2.925 / 100))+T1111*T$6+U1279*U$6+V1111*V$6+W1111*W$6+X1111*X$6+Y1111*Y$6+Z1111*Z$6+AA1111*AA$6+AB1111*AB$6+AC1111*AC$6+AD1111*AD$6+AE1111*AE$6+AF1111*AF$6</f>
        <v>7.9725171409860769</v>
      </c>
      <c r="AH1111" s="1045">
        <v>202604</v>
      </c>
      <c r="AI1111" s="1017"/>
      <c r="AJ1111" s="931" t="s">
        <v>2303</v>
      </c>
    </row>
    <row r="1112" spans="3:38" ht="15.75" hidden="1">
      <c r="C1112" s="1032">
        <v>46120</v>
      </c>
      <c r="D1112" s="1003">
        <v>326172</v>
      </c>
      <c r="E1112" s="1001">
        <v>35258</v>
      </c>
      <c r="F1112" s="1001">
        <v>22453.64</v>
      </c>
      <c r="G1112" s="1001">
        <v>4622</v>
      </c>
      <c r="H1112" s="1001">
        <v>1999</v>
      </c>
      <c r="I1112" s="1001">
        <v>191646</v>
      </c>
      <c r="J1112" s="1001">
        <v>155151</v>
      </c>
      <c r="K1112" s="1001">
        <v>51866.68</v>
      </c>
      <c r="L1112" s="1001">
        <v>17407</v>
      </c>
      <c r="M1112" s="1001">
        <v>147997</v>
      </c>
      <c r="N1112" s="1001">
        <v>6681</v>
      </c>
      <c r="O1112" s="1001">
        <v>3898</v>
      </c>
      <c r="P1112" s="1001">
        <v>0</v>
      </c>
      <c r="Q1112" s="337">
        <v>0</v>
      </c>
      <c r="R1112" s="1051">
        <f t="shared" ref="R1112" si="64" xml:space="preserve"> IF(C1112&lt; DATE(2024, 11, 1), D1112 * (2.31 / 100), D1112 * (2.925 / 100))+E1112*E$6+F1112*F$6+G1112*G$6+H1112*H$6+I1112*I$6+J1112*J$6+K1112*K$6+L1112*L$6+M1112*M$6+N1112*N$6+O1112*O$6+P1112*P$6+Q1112*Q$6</f>
        <v>143136.29775000003</v>
      </c>
      <c r="S1112" s="1007">
        <v>13.925079357887791</v>
      </c>
      <c r="T1112" s="1007">
        <v>0.46020499999999998</v>
      </c>
      <c r="U1112" s="1007">
        <v>3.8444047379703069E-3</v>
      </c>
      <c r="V1112" s="1049">
        <v>0.03</v>
      </c>
      <c r="W1112" s="1007">
        <v>0.27836</v>
      </c>
      <c r="X1112" s="1010">
        <v>9.4517297329440702</v>
      </c>
      <c r="Y1112" s="1007">
        <v>10.4</v>
      </c>
      <c r="Z1112" s="1053">
        <v>0</v>
      </c>
      <c r="AA1112" s="1053">
        <v>0</v>
      </c>
      <c r="AB1112" s="1053">
        <v>0</v>
      </c>
      <c r="AC1112" s="1007">
        <v>0.20614644892919945</v>
      </c>
      <c r="AD1112" s="1049">
        <v>8.7470656695370477E-2</v>
      </c>
      <c r="AE1112" s="1049">
        <v>0</v>
      </c>
      <c r="AF1112" s="1007">
        <v>14.71477883147811</v>
      </c>
      <c r="AG1112" s="1013">
        <f xml:space="preserve"> IF(C1112&lt; DATE(2024, 11, 1), S1112 * (2.31 / 100), S1112 * (2.925 / 100))+T1112*T$6+U1280*U$6+V1112*V$6+W1112*W$6+X1112*X$6+Y1112*Y$6+Z1112*Z$6+AA1112*AA$6+AB1112*AB$6+AC1112*AC$6+AD1112*AD$6+AE1112*AE$6+AF1112*AF$6</f>
        <v>7.978446641218671</v>
      </c>
      <c r="AH1112" s="1045">
        <v>202604</v>
      </c>
      <c r="AI1112" s="1017"/>
      <c r="AJ1112" s="931" t="s">
        <v>2303</v>
      </c>
    </row>
    <row r="1113" spans="3:38" ht="15.75" hidden="1">
      <c r="C1113" s="1032">
        <v>46121</v>
      </c>
      <c r="D1113" s="1091">
        <v>317802</v>
      </c>
      <c r="E1113" s="1004">
        <v>35170</v>
      </c>
      <c r="F1113" s="1004">
        <v>6968.64</v>
      </c>
      <c r="G1113" s="1004">
        <v>4560</v>
      </c>
      <c r="H1113" s="1004">
        <v>1988</v>
      </c>
      <c r="I1113" s="1004">
        <v>187233</v>
      </c>
      <c r="J1113" s="1004">
        <v>150676</v>
      </c>
      <c r="K1113" s="1004">
        <v>53278.080000000002</v>
      </c>
      <c r="L1113" s="1004">
        <v>10770</v>
      </c>
      <c r="M1113" s="1004">
        <v>95329</v>
      </c>
      <c r="N1113" s="1004">
        <v>6851</v>
      </c>
      <c r="O1113" s="1004">
        <v>3926</v>
      </c>
      <c r="P1113" s="1004">
        <v>0</v>
      </c>
      <c r="Q1113" s="337">
        <v>0</v>
      </c>
      <c r="R1113" s="1051">
        <f t="shared" ref="R1113" si="65" xml:space="preserve"> IF(C1113&lt; DATE(2024, 11, 1), D1113 * (2.31 / 100), D1113 * (2.925 / 100))+E1113*E$6+F1113*F$6+G1113*G$6+H1113*H$6+I1113*I$6+J1113*J$6+K1113*K$6+L1113*L$6+M1113*M$6+N1113*N$6+O1113*O$6+P1113*P$6+Q1113*Q$6</f>
        <v>126614.969</v>
      </c>
      <c r="S1113" s="1093">
        <v>13.809263564464654</v>
      </c>
      <c r="T1113" s="1015">
        <v>0.458729</v>
      </c>
      <c r="U1113" s="1015">
        <v>1.141904079604244E-3</v>
      </c>
      <c r="V1113" s="1048">
        <v>2.9000000000000001E-2</v>
      </c>
      <c r="W1113" s="1015">
        <v>0.28877999999999998</v>
      </c>
      <c r="X1113" s="1010">
        <v>9.1903088515547342</v>
      </c>
      <c r="Y1113" s="1015">
        <v>10.33</v>
      </c>
      <c r="Z1113" s="1053">
        <v>0</v>
      </c>
      <c r="AA1113" s="1053">
        <v>0</v>
      </c>
      <c r="AB1113" s="1053">
        <v>0</v>
      </c>
      <c r="AC1113" s="1015">
        <v>0.20529694433196374</v>
      </c>
      <c r="AD1113" s="1048">
        <v>9.0160754586616904E-2</v>
      </c>
      <c r="AE1113" s="1048">
        <v>0</v>
      </c>
      <c r="AF1113" s="1015">
        <v>14.586871755954318</v>
      </c>
      <c r="AG1113" s="1013">
        <f xml:space="preserve"> IF(C1113&lt; DATE(2024, 11, 1), S1113 * (2.31 / 100), S1113 * (2.925 / 100))+T1113*T$6+U1281*U$6+V1113*V$6+W1113*W$6+X1113*X$6+Y1113*Y$6+Z1113*Z$6+AA1113*AA$6+AB1113*AB$6+AC1113*AC$6+AD1113*AD$6+AE1113*AE$6+AF1113*AF$6</f>
        <v>7.8933347237949354</v>
      </c>
      <c r="AH1113" s="1045">
        <v>202604</v>
      </c>
      <c r="AI1113" s="1017"/>
      <c r="AJ1113" s="931" t="s">
        <v>2307</v>
      </c>
    </row>
    <row r="1114" spans="3:38" ht="15.75" hidden="1">
      <c r="C1114" s="1032">
        <v>46122</v>
      </c>
      <c r="D1114" s="1003">
        <v>313207</v>
      </c>
      <c r="E1114" s="1001">
        <v>35182</v>
      </c>
      <c r="F1114" s="1001">
        <v>0</v>
      </c>
      <c r="G1114" s="1001">
        <v>4454</v>
      </c>
      <c r="H1114" s="1001">
        <v>1980</v>
      </c>
      <c r="I1114" s="1001">
        <v>185560</v>
      </c>
      <c r="J1114" s="1001">
        <v>149947</v>
      </c>
      <c r="K1114" s="1001">
        <v>53676.24</v>
      </c>
      <c r="L1114" s="1001">
        <v>11252</v>
      </c>
      <c r="M1114" s="1001">
        <v>111693</v>
      </c>
      <c r="N1114" s="1001">
        <v>6911</v>
      </c>
      <c r="O1114" s="1001">
        <v>3990</v>
      </c>
      <c r="P1114" s="1001">
        <v>0</v>
      </c>
      <c r="Q1114" s="337">
        <v>0</v>
      </c>
      <c r="R1114" s="1051">
        <f t="shared" ref="R1114:R1115" si="66" xml:space="preserve"> IF(C1114&lt; DATE(2024, 11, 1), D1114 * (2.31 / 100), D1114 * (2.925 / 100))+E1114*E$6+F1114*F$6+G1114*G$6+H1114*H$6+I1114*I$6+J1114*J$6+K1114*K$6+L1114*L$6+M1114*M$6+N1114*N$6+O1114*O$6+P1114*P$6+Q1114*Q$6</f>
        <v>121923.19975</v>
      </c>
      <c r="S1114" s="1007">
        <v>13.85173879432644</v>
      </c>
      <c r="T1114" s="1007">
        <v>0.45915800000000001</v>
      </c>
      <c r="U1114" s="1007">
        <v>0</v>
      </c>
      <c r="V1114" s="1049">
        <v>2.8000000000000001E-2</v>
      </c>
      <c r="W1114" s="1007">
        <v>0.26677000000000001</v>
      </c>
      <c r="X1114" s="1010">
        <v>8.839208601517214</v>
      </c>
      <c r="Y1114" s="1007">
        <v>10.199999999999999</v>
      </c>
      <c r="Z1114" s="1053">
        <v>0</v>
      </c>
      <c r="AA1114" s="1053">
        <v>0</v>
      </c>
      <c r="AB1114" s="1053">
        <v>0</v>
      </c>
      <c r="AC1114" s="1007">
        <v>0.20189892594302089</v>
      </c>
      <c r="AD1114" s="1049">
        <v>8.5431845662004763E-2</v>
      </c>
      <c r="AE1114" s="1049">
        <v>0</v>
      </c>
      <c r="AF1114" s="1049">
        <v>14.688444188963802</v>
      </c>
      <c r="AG1114" s="1013">
        <f xml:space="preserve"> IF(C1114&lt; DATE(2024, 11, 1), S1114 * (2.31 / 100), S1114 * (2.925 / 100))+T1114*T$6+U1282*U$6+V1114*V$6+W1114*W$6+X1114*X$6+Y1114*Y$6+Z1114*Z$6+AA1114*AA$6+AB1114*AB$6+AC1114*AC$6+AD1114*AD$6+AE1114*AE$6+AF1114*AF$6</f>
        <v>7.7831648722798707</v>
      </c>
      <c r="AH1114" s="1045">
        <v>202604</v>
      </c>
      <c r="AI1114" s="1017"/>
      <c r="AJ1114" s="931" t="s">
        <v>2308</v>
      </c>
    </row>
    <row r="1115" spans="3:38" ht="15.75" hidden="1">
      <c r="C1115" s="1032">
        <v>46123</v>
      </c>
      <c r="D1115" s="1091">
        <v>318473</v>
      </c>
      <c r="E1115" s="1004">
        <v>35075</v>
      </c>
      <c r="F1115" s="1004">
        <v>0</v>
      </c>
      <c r="G1115" s="1004">
        <v>4294</v>
      </c>
      <c r="H1115" s="1004">
        <v>1966</v>
      </c>
      <c r="I1115" s="1092">
        <v>177699</v>
      </c>
      <c r="J1115" s="1092">
        <v>154165</v>
      </c>
      <c r="K1115" s="1004">
        <v>52405</v>
      </c>
      <c r="L1115" s="1004">
        <v>14494</v>
      </c>
      <c r="M1115" s="1092">
        <v>88941</v>
      </c>
      <c r="N1115" s="1004">
        <v>7005</v>
      </c>
      <c r="O1115" s="1004">
        <v>4006</v>
      </c>
      <c r="P1115" s="1004">
        <v>0</v>
      </c>
      <c r="Q1115" s="337">
        <v>0</v>
      </c>
      <c r="R1115" s="1051">
        <f t="shared" si="66"/>
        <v>121049.80275000002</v>
      </c>
      <c r="S1115" s="1093">
        <v>13.81011306906189</v>
      </c>
      <c r="T1115" s="1015">
        <v>0.45747399999999999</v>
      </c>
      <c r="U1115" s="1015">
        <v>0</v>
      </c>
      <c r="V1115" s="1048">
        <v>2.3E-2</v>
      </c>
      <c r="W1115" s="1015">
        <v>0.27012000000000003</v>
      </c>
      <c r="X1115" s="1010">
        <v>8.9271040105112025</v>
      </c>
      <c r="Y1115" s="1093">
        <v>10.31</v>
      </c>
      <c r="Z1115" s="1053">
        <v>0</v>
      </c>
      <c r="AA1115" s="1053">
        <v>0</v>
      </c>
      <c r="AB1115" s="1053">
        <v>0</v>
      </c>
      <c r="AC1115" s="1015">
        <v>0.20529694433196374</v>
      </c>
      <c r="AD1115" s="1048">
        <v>8.585659796062263E-2</v>
      </c>
      <c r="AE1115" s="1048">
        <v>0</v>
      </c>
      <c r="AF1115" s="1048">
        <v>14.684649735096148</v>
      </c>
      <c r="AG1115" s="1013">
        <f xml:space="preserve"> IF(C1115&lt; DATE(2024, 11, 1), S1115 * (2.31 / 100), S1115 * (2.925 / 100))+T1115*T$6+U1283*U$6+V1115*V$6+W1115*W$6+X1115*X$6+Y1115*Y$6+Z1115*Z$6+AA1115*AA$6+AB1115*AB$6+AC1115*AC$6+AD1115*AD$6+AE1115*AE$6+AF1115*AF$6</f>
        <v>7.8284203473994118</v>
      </c>
      <c r="AH1115" s="1045">
        <v>202604</v>
      </c>
      <c r="AI1115" s="1017"/>
      <c r="AJ1115" s="931" t="s">
        <v>2309</v>
      </c>
    </row>
    <row r="1116" spans="3:38" ht="15.75" hidden="1">
      <c r="C1116" s="1032">
        <v>46124</v>
      </c>
      <c r="D1116" s="1003">
        <v>310991</v>
      </c>
      <c r="E1116" s="1001">
        <v>34786</v>
      </c>
      <c r="F1116" s="1001">
        <v>19978.259999999998</v>
      </c>
      <c r="G1116" s="1001">
        <v>4214</v>
      </c>
      <c r="H1116" s="1001">
        <v>1955</v>
      </c>
      <c r="I1116" s="1001">
        <v>144447</v>
      </c>
      <c r="J1116" s="1001">
        <v>158338</v>
      </c>
      <c r="K1116" s="1001">
        <v>52275.39</v>
      </c>
      <c r="L1116" s="1001">
        <v>13016</v>
      </c>
      <c r="M1116" s="1001">
        <v>34559</v>
      </c>
      <c r="N1116" s="1001">
        <v>6959</v>
      </c>
      <c r="O1116" s="1001">
        <v>4050</v>
      </c>
      <c r="P1116" s="1001">
        <v>0</v>
      </c>
      <c r="Q1116" s="337">
        <v>0</v>
      </c>
      <c r="R1116" s="1051">
        <f t="shared" ref="R1116" si="67" xml:space="preserve"> IF(C1116&lt; DATE(2024, 11, 1), D1116 * (2.31 / 100), D1116 * (2.925 / 100))+E1116*E$6+F1116*F$6+G1116*G$6+H1116*H$6+I1116*I$6+J1116*J$6+K1116*K$6+L1116*L$6+M1116*M$6+N1116*N$6+O1116*O$6+P1116*P$6+Q1116*Q$6</f>
        <v>126569.57625000001</v>
      </c>
      <c r="S1116" s="1007">
        <v>14.749098817206432</v>
      </c>
      <c r="T1116" s="1007">
        <v>0.45722800000000002</v>
      </c>
      <c r="U1116" s="1007">
        <v>1E-3</v>
      </c>
      <c r="V1116" s="1049">
        <v>2.3E-2</v>
      </c>
      <c r="W1116" s="1007">
        <v>0.27650000000000002</v>
      </c>
      <c r="X1116" s="1010">
        <v>7.3767298037361204</v>
      </c>
      <c r="Y1116" s="1007">
        <v>10.15</v>
      </c>
      <c r="Z1116" s="1053">
        <v>0</v>
      </c>
      <c r="AA1116" s="1053">
        <v>0</v>
      </c>
      <c r="AB1116" s="1053">
        <v>0</v>
      </c>
      <c r="AC1116" s="1007">
        <v>0.20246526234117804</v>
      </c>
      <c r="AD1116" s="1049">
        <v>8.7102538036568339E-2</v>
      </c>
      <c r="AE1116" s="1049">
        <v>0</v>
      </c>
      <c r="AF1116" s="1049">
        <v>14.667914494530606</v>
      </c>
      <c r="AG1116" s="1013">
        <f xml:space="preserve"> IF(C1116&lt; DATE(2024, 11, 1), S1116 * (2.31 / 100), S1116 * (2.925 / 100))+T1116*T$6+U1284*U$6+V1116*V$6+W1116*W$6+X1116*X$6+Y1116*Y$6+Z1116*Z$6+AA1116*AA$6+AB1116*AB$6+AC1116*AC$6+AD1116*AD$6+AE1116*AE$6+AF1116*AF$6</f>
        <v>7.507866319292873</v>
      </c>
      <c r="AH1116" s="1045">
        <v>202604</v>
      </c>
      <c r="AI1116" s="1017"/>
      <c r="AJ1116" s="931" t="s">
        <v>2310</v>
      </c>
    </row>
    <row r="1117" spans="3:38" ht="15.75" hidden="1">
      <c r="C1117" s="1032">
        <v>46125</v>
      </c>
      <c r="D1117" s="1006">
        <v>324538</v>
      </c>
      <c r="E1117" s="1004">
        <v>34950</v>
      </c>
      <c r="F1117" s="1004">
        <v>22584.43</v>
      </c>
      <c r="G1117" s="1004">
        <v>4227</v>
      </c>
      <c r="H1117" s="1004">
        <v>1978</v>
      </c>
      <c r="I1117" s="1004">
        <v>192486</v>
      </c>
      <c r="J1117" s="1004">
        <v>158495</v>
      </c>
      <c r="K1117" s="1004">
        <v>54823.78</v>
      </c>
      <c r="L1117" s="1004">
        <v>12421</v>
      </c>
      <c r="M1117" s="1004">
        <v>36604</v>
      </c>
      <c r="N1117" s="1004">
        <v>6992</v>
      </c>
      <c r="O1117" s="1004">
        <v>4125</v>
      </c>
      <c r="P1117" s="1004">
        <v>0</v>
      </c>
      <c r="Q1117" s="337">
        <v>0</v>
      </c>
      <c r="R1117" s="1051">
        <f t="shared" ref="R1117" si="68" xml:space="preserve"> IF(C1117&lt; DATE(2024, 11, 1), D1117 * (2.31 / 100), D1117 * (2.925 / 100))+E1117*E$6+F1117*F$6+G1117*G$6+H1117*H$6+I1117*I$6+J1117*J$6+K1117*K$6+L1117*L$6+M1117*M$6+N1117*N$6+O1117*O$6+P1117*P$6+Q1117*Q$6</f>
        <v>139121.52875000003</v>
      </c>
      <c r="S1117" s="1015">
        <v>13.892231846794674</v>
      </c>
      <c r="T1117" s="1015">
        <v>0.45806200000000002</v>
      </c>
      <c r="U1117" s="1015">
        <v>3.3180233727031516E-3</v>
      </c>
      <c r="V1117" s="1048">
        <v>2.3E-2</v>
      </c>
      <c r="W1117" s="1015">
        <v>0.28937999999999997</v>
      </c>
      <c r="X1117" s="1010">
        <v>9.7949999999999999</v>
      </c>
      <c r="Y1117" s="1015">
        <v>10.1</v>
      </c>
      <c r="Z1117" s="1053">
        <v>0</v>
      </c>
      <c r="AA1117" s="1053">
        <v>0</v>
      </c>
      <c r="AB1117" s="1053">
        <v>0</v>
      </c>
      <c r="AC1117" s="1015">
        <v>0.2055801125310423</v>
      </c>
      <c r="AD1117" s="1048">
        <v>8.9282933169473333E-2</v>
      </c>
      <c r="AE1117" s="1048">
        <v>0</v>
      </c>
      <c r="AF1117" s="1048">
        <v>14.663695288364336</v>
      </c>
      <c r="AG1117" s="1013">
        <f xml:space="preserve"> IF(C1117&lt; DATE(2024, 11, 1), S1117 * (2.31 / 100), S1117 * (2.925 / 100))+T1117*T$6+U1285*U$6+V1117*V$6+W1117*W$6+X1117*X$6+Y1117*Y$6+Z1117*Z$6+AA1117*AA$6+AB1117*AB$6+AC1117*AC$6+AD1117*AD$6+AE1117*AE$6+AF1117*AF$6</f>
        <v>7.9670597061868857</v>
      </c>
      <c r="AH1117" s="1045">
        <v>202604</v>
      </c>
      <c r="AI1117" s="1017"/>
      <c r="AJ1117" s="931" t="s">
        <v>2311</v>
      </c>
    </row>
    <row r="1118" spans="3:38" ht="15.75" hidden="1">
      <c r="C1118" s="1032">
        <v>46126</v>
      </c>
      <c r="D1118" s="1003">
        <v>340580</v>
      </c>
      <c r="E1118" s="1001">
        <v>34654</v>
      </c>
      <c r="F1118" s="1001">
        <v>22566.35</v>
      </c>
      <c r="G1118" s="1001">
        <v>4257</v>
      </c>
      <c r="H1118" s="1003">
        <v>1988</v>
      </c>
      <c r="I1118" s="1003">
        <v>192632</v>
      </c>
      <c r="J1118" s="1003">
        <v>156223</v>
      </c>
      <c r="K1118" s="1003">
        <v>55151.62</v>
      </c>
      <c r="L1118" s="1003">
        <v>15633</v>
      </c>
      <c r="M1118" s="1001">
        <v>18426</v>
      </c>
      <c r="N1118" s="1001">
        <v>7057</v>
      </c>
      <c r="O1118" s="1003">
        <v>4034</v>
      </c>
      <c r="P1118" s="1001">
        <v>0</v>
      </c>
      <c r="Q1118" s="337">
        <v>0</v>
      </c>
      <c r="R1118" s="1051">
        <f t="shared" ref="R1118" si="69" xml:space="preserve"> IF(C1118&lt; DATE(2024, 11, 1), D1118 * (2.31 / 100), D1118 * (2.925 / 100))+E1118*E$6+F1118*F$6+G1118*G$6+H1118*H$6+I1118*I$6+J1118*J$6+K1118*K$6+L1118*L$6+M1118*M$6+N1118*N$6+O1118*O$6+P1118*P$6+Q1118*Q$6</f>
        <v>139062.14624999999</v>
      </c>
      <c r="S1118" s="1007">
        <v>14.093564436339541</v>
      </c>
      <c r="T1118" s="1007">
        <v>0.453874</v>
      </c>
      <c r="U1118" s="1007">
        <v>3.6170489909301226E-3</v>
      </c>
      <c r="V1118" s="1049">
        <v>2.9000000000000001E-2</v>
      </c>
      <c r="W1118" s="1007">
        <v>0.28155999999999998</v>
      </c>
      <c r="X1118" s="1010">
        <v>9.6634545953951179</v>
      </c>
      <c r="Y1118" s="1007">
        <v>10.16</v>
      </c>
      <c r="Z1118" s="1053">
        <v>0</v>
      </c>
      <c r="AA1118" s="1053">
        <v>0</v>
      </c>
      <c r="AB1118" s="1053">
        <v>0</v>
      </c>
      <c r="AC1118" s="1007">
        <v>0.20359793513749233</v>
      </c>
      <c r="AD1118" s="1049">
        <v>8.1297589955457633E-2</v>
      </c>
      <c r="AE1118" s="1049">
        <v>0</v>
      </c>
      <c r="AF1118" s="1049">
        <v>14.633396291062928</v>
      </c>
      <c r="AG1118" s="1013">
        <f xml:space="preserve"> IF(C1118&lt; DATE(2024, 11, 1), S1118 * (2.31 / 100), S1118 * (2.925 / 100))+T1118*T$6+U1286*U$6+V1118*V$6+W1118*W$6+X1118*X$6+Y1118*Y$6+Z1118*Z$6+AA1118*AA$6+AB1118*AB$6+AC1118*AC$6+AD1118*AD$6+AE1118*AE$6+AF1118*AF$6</f>
        <v>7.9477258371699602</v>
      </c>
      <c r="AH1118" s="1045">
        <v>202604</v>
      </c>
      <c r="AI1118" s="1017"/>
      <c r="AJ1118" s="931" t="s">
        <v>2312</v>
      </c>
    </row>
    <row r="1119" spans="3:38" ht="15.75" hidden="1">
      <c r="C1119" s="1032">
        <v>46127</v>
      </c>
      <c r="D1119" s="1004">
        <v>332278</v>
      </c>
      <c r="E1119" s="1004">
        <v>34943</v>
      </c>
      <c r="F1119" s="1004">
        <v>22441.85</v>
      </c>
      <c r="G1119" s="1004">
        <v>4288</v>
      </c>
      <c r="H1119" s="1006">
        <v>1953</v>
      </c>
      <c r="I1119" s="1006">
        <v>190666</v>
      </c>
      <c r="J1119" s="1006">
        <v>158016</v>
      </c>
      <c r="K1119" s="1006">
        <v>55021.54</v>
      </c>
      <c r="L1119" s="1006">
        <v>15275</v>
      </c>
      <c r="M1119" s="1004">
        <v>103549</v>
      </c>
      <c r="N1119" s="1004">
        <v>7091</v>
      </c>
      <c r="O1119" s="1006">
        <v>3859</v>
      </c>
      <c r="P1119" s="1004">
        <v>0</v>
      </c>
      <c r="Q1119" s="337">
        <v>0</v>
      </c>
      <c r="R1119" s="1051">
        <f xml:space="preserve"> IF(C1119&lt; DATE(2024, 11, 1), D1119 * (2.31 / 100), D1119 * (2.925 / 100))+E1119*E$6+F1119*F$6+G1119*G$6+H1119*H$6+I1119*I$6+J1119*J$6+K1119*K$6+L1119*L$6+M1119*M$6+N1119*N$6+O1119*O$6+P1119*P$6+Q1119*Q$6</f>
        <v>142083.44525000002</v>
      </c>
      <c r="S1119" s="1015">
        <v>14.174550541276012</v>
      </c>
      <c r="T1119" s="1015">
        <v>0.45251400000000003</v>
      </c>
      <c r="U1119" s="1015">
        <v>3.5543838684740348E-3</v>
      </c>
      <c r="V1119" s="1048">
        <v>3.1E-2</v>
      </c>
      <c r="W1119" s="1015">
        <v>0.27662999999999999</v>
      </c>
      <c r="X1119" s="1010">
        <v>9.3785024366623517</v>
      </c>
      <c r="Y1119" s="1015">
        <v>10.130000000000001</v>
      </c>
      <c r="Z1119" s="1053">
        <v>0</v>
      </c>
      <c r="AA1119" s="1053">
        <v>0</v>
      </c>
      <c r="AB1119" s="1053">
        <v>0</v>
      </c>
      <c r="AC1119" s="1015">
        <v>0.20303159873933516</v>
      </c>
      <c r="AD1119" s="1048">
        <v>8.2968282330021209E-2</v>
      </c>
      <c r="AE1119" s="1048">
        <v>0</v>
      </c>
      <c r="AF1119" s="1048">
        <v>0.52935463135747995</v>
      </c>
      <c r="AG1119" s="1013">
        <f xml:space="preserve"> IF(C1119&lt; DATE(2024, 11, 1), S1119 * (2.31 / 100), S1119 * (2.925 / 100))+T1119*T$6+U1287*U$6+V1119*V$6+W1119*W$6+X1119*X$6+Y1119*Y$6+Z1119*Z$6+AA1119*AA$6+AB1119*AB$6+AC1119*AC$6+AD1119*AD$6+AE1119*AE$6+AF1119*AF$6</f>
        <v>5.4839259467889008</v>
      </c>
      <c r="AH1119" s="1045">
        <v>202604</v>
      </c>
      <c r="AI1119" s="1017"/>
      <c r="AJ1119" s="931" t="s">
        <v>2312</v>
      </c>
    </row>
    <row r="1120" spans="3:38" ht="15.75" hidden="1">
      <c r="C1120" s="1032">
        <v>46128</v>
      </c>
      <c r="D1120" s="1001">
        <v>325118</v>
      </c>
      <c r="E1120" s="1001">
        <v>31975</v>
      </c>
      <c r="F1120" s="1001">
        <v>22456.95</v>
      </c>
      <c r="G1120" s="1001">
        <v>4317</v>
      </c>
      <c r="H1120" s="1003">
        <v>1947</v>
      </c>
      <c r="I1120" s="1003">
        <v>194859</v>
      </c>
      <c r="J1120" s="1003">
        <v>158261</v>
      </c>
      <c r="K1120" s="1003">
        <v>54697</v>
      </c>
      <c r="L1120" s="1003">
        <v>11625</v>
      </c>
      <c r="M1120" s="1001">
        <v>219231</v>
      </c>
      <c r="N1120" s="1001">
        <v>7115</v>
      </c>
      <c r="O1120" s="1003">
        <v>4548</v>
      </c>
      <c r="P1120" s="1001">
        <v>0</v>
      </c>
      <c r="Q1120" s="337">
        <v>0</v>
      </c>
      <c r="R1120" s="1051">
        <f xml:space="preserve"> IF(C1120&lt; DATE(2024, 11, 1), D1120 * (2.31 / 100), D1120 * (2.925 / 100))+E1120*E$6+F1120*F$6+G1120*G$6+H1120*H$6+I1120*I$6+J1120*J$6+K1120*K$6+L1120*L$6+M1120*M$6+N1120*N$6+O1120*O$6+P1120*P$6+Q1120*Q$6</f>
        <v>145937.84774999999</v>
      </c>
      <c r="S1120" s="1007">
        <v>13.682970547675614</v>
      </c>
      <c r="T1120" s="1007">
        <v>0.42898799999999998</v>
      </c>
      <c r="U1120" s="1007">
        <v>3.5543838684740348E-3</v>
      </c>
      <c r="V1120" s="1007">
        <v>3.0279744000000001E-2</v>
      </c>
      <c r="W1120" s="1007">
        <v>0.27539999999999998</v>
      </c>
      <c r="X1120" s="1010">
        <v>9.059201975381356</v>
      </c>
      <c r="Y1120" s="1007">
        <v>9.77</v>
      </c>
      <c r="Z1120" s="1053">
        <v>0</v>
      </c>
      <c r="AA1120" s="1049">
        <v>0</v>
      </c>
      <c r="AB1120" s="1049">
        <v>0</v>
      </c>
      <c r="AC1120" s="1007">
        <v>0.20189892594302089</v>
      </c>
      <c r="AD1120" s="1049">
        <v>8.9311249989381183E-2</v>
      </c>
      <c r="AE1120" s="1049">
        <v>0</v>
      </c>
      <c r="AF1120" s="1049">
        <v>0</v>
      </c>
      <c r="AG1120" s="1013">
        <f xml:space="preserve"> IF(C1120&lt; DATE(2024, 11, 1), S1120 * (2.31 / 100), S1120 * (2.925 / 100))+T1120*T$6+U1288*U$6+V1120*V$6+W1120*W$6+X1120*X$6+Y1120*Y$6+Z1120*Z$6+AA1120*AA$6+AB1120*AB$6+AC1120*AC$6+AD1120*AD$6+AE1120*AE$6+AF1120*AF$6</f>
        <v>5.2165672974452679</v>
      </c>
      <c r="AH1120" s="1045">
        <v>202604</v>
      </c>
      <c r="AI1120" s="1017"/>
      <c r="AJ1120" s="931" t="s">
        <v>2312</v>
      </c>
    </row>
    <row r="1121" spans="3:37" ht="15.75" hidden="1">
      <c r="C1121" s="1032">
        <v>46129</v>
      </c>
      <c r="D1121" s="1004">
        <v>321190</v>
      </c>
      <c r="E1121" s="1004">
        <v>32717</v>
      </c>
      <c r="F1121" s="1004">
        <v>22435.03</v>
      </c>
      <c r="G1121" s="1004">
        <v>4420</v>
      </c>
      <c r="H1121" s="1004">
        <v>1999</v>
      </c>
      <c r="I1121" s="1004">
        <v>194395</v>
      </c>
      <c r="J1121" s="1006">
        <v>160219</v>
      </c>
      <c r="K1121" s="1004">
        <v>54405.41</v>
      </c>
      <c r="L1121" s="1004">
        <v>14684</v>
      </c>
      <c r="M1121" s="1004">
        <v>241158</v>
      </c>
      <c r="N1121" s="1004">
        <v>7022</v>
      </c>
      <c r="O1121" s="1004">
        <v>4178</v>
      </c>
      <c r="P1121" s="1004">
        <v>0</v>
      </c>
      <c r="Q1121" s="337">
        <v>0</v>
      </c>
      <c r="R1121" s="1051">
        <f t="shared" ref="R1121:R1122" si="70" xml:space="preserve"> IF(C1121&lt; DATE(2024, 11, 1), D1121 * (2.31 / 100), D1121 * (2.925 / 100))+E1121*E$6+F1121*F$6+G1121*G$6+H1121*H$6+I1121*I$6+J1121*J$6+K1121*K$6+L1121*L$6+M1121*M$6+N1121*N$6+O1121*O$6+P1121*P$6+Q1121*Q$6</f>
        <v>147911.66600000006</v>
      </c>
      <c r="S1121" s="1015">
        <v>14.018808031782797</v>
      </c>
      <c r="T1121" s="1015">
        <v>0.43853900000000001</v>
      </c>
      <c r="U1121" s="1015">
        <v>3.4489320311371749E-3</v>
      </c>
      <c r="V1121" s="1015">
        <v>3.0899952000000001E-2</v>
      </c>
      <c r="W1121" s="1015">
        <v>0.28120000000000001</v>
      </c>
      <c r="X1121" s="1010">
        <v>9.0501122761909336</v>
      </c>
      <c r="Y1121" s="1015">
        <v>9.85</v>
      </c>
      <c r="Z1121" s="1053">
        <v>0</v>
      </c>
      <c r="AA1121" s="1053">
        <v>0</v>
      </c>
      <c r="AB1121" s="1053">
        <v>0</v>
      </c>
      <c r="AC1121" s="1015">
        <v>0.20416427153564945</v>
      </c>
      <c r="AD1121" s="1015">
        <v>9.4351643932979748E-2</v>
      </c>
      <c r="AE1121" s="1015">
        <v>0</v>
      </c>
      <c r="AF1121" s="1048">
        <v>1.1566571427762375</v>
      </c>
      <c r="AG1121" s="1013">
        <f xml:space="preserve"> IF(C1121&lt; DATE(2024, 11, 1), S1121 * (2.31 / 100), S1121 * (2.925 / 100))+T1121*T$6+U1289*U$6+V1121*V$6+W1121*W$6+X1121*X$6+Y1121*Y$6+Z1121*Z$6+AA1121*AA$6+AB1121*AB$6+AC1121*AC$6+AD1121*AD$6+AE1121*AE$6+AF1121*AF$6</f>
        <v>5.4529585378819077</v>
      </c>
      <c r="AH1121" s="1045">
        <v>202604</v>
      </c>
      <c r="AI1121" s="1017"/>
      <c r="AJ1121" s="931" t="s">
        <v>2312</v>
      </c>
    </row>
    <row r="1122" spans="3:37" ht="15.75" hidden="1">
      <c r="C1122" s="1032">
        <v>46130</v>
      </c>
      <c r="D1122" s="1001">
        <v>350274</v>
      </c>
      <c r="E1122" s="1001">
        <v>34692</v>
      </c>
      <c r="F1122" s="1001">
        <v>22366.02</v>
      </c>
      <c r="G1122" s="1001">
        <v>4432</v>
      </c>
      <c r="H1122" s="1001">
        <v>2000</v>
      </c>
      <c r="I1122" s="1001">
        <v>192480</v>
      </c>
      <c r="J1122" s="1003">
        <v>160983</v>
      </c>
      <c r="K1122" s="1001">
        <v>54985.19</v>
      </c>
      <c r="L1122" s="1001">
        <v>9535</v>
      </c>
      <c r="M1122" s="1001">
        <v>246329</v>
      </c>
      <c r="N1122" s="1001">
        <v>7219</v>
      </c>
      <c r="O1122" s="1001">
        <v>4376</v>
      </c>
      <c r="P1122" s="1001">
        <v>0</v>
      </c>
      <c r="Q1122" s="337">
        <v>0</v>
      </c>
      <c r="R1122" s="1051">
        <f t="shared" si="70"/>
        <v>148280.41475</v>
      </c>
      <c r="S1122" s="1049">
        <v>13.981712997703502</v>
      </c>
      <c r="T1122" s="1049">
        <v>0.451463</v>
      </c>
      <c r="U1122" s="1049">
        <v>3.5543838684740348E-3</v>
      </c>
      <c r="V1122" s="1049">
        <v>2.7932016E-2</v>
      </c>
      <c r="W1122" s="1049">
        <v>0.27938000000000002</v>
      </c>
      <c r="X1122" s="1010">
        <v>9.2850569309664248</v>
      </c>
      <c r="Y1122" s="1007">
        <v>9.7899999999999991</v>
      </c>
      <c r="Z1122" s="1053">
        <v>0</v>
      </c>
      <c r="AA1122" s="1053">
        <v>0</v>
      </c>
      <c r="AB1122" s="1053">
        <v>0</v>
      </c>
      <c r="AC1122" s="1049">
        <v>0.20104942134578516</v>
      </c>
      <c r="AD1122" s="1049">
        <v>9.2680951558416186E-2</v>
      </c>
      <c r="AE1122" s="1049">
        <v>0</v>
      </c>
      <c r="AF1122" s="1049">
        <v>12.671068988268342</v>
      </c>
      <c r="AG1122" s="1013">
        <f xml:space="preserve"> IF(C1122&lt; DATE(2024, 11, 1), S1122 * (2.31 / 100), S1122 * (2.925 / 100))+T1122*T$6+U1290*U$6+V1122*V$6+W1122*W$6+X1122*X$6+Y1122*Y$6+Z1122*Z$6+AA1122*AA$6+AB1122*AB$6+AC1122*AC$6+AD1122*AD$6+AE1122*AE$6+AF1122*AF$6</f>
        <v>7.4398870543531332</v>
      </c>
      <c r="AH1122" s="1045">
        <v>202604</v>
      </c>
      <c r="AI1122" s="1017"/>
      <c r="AJ1122" s="931" t="s">
        <v>2312</v>
      </c>
    </row>
    <row r="1123" spans="3:37" ht="15.75" hidden="1">
      <c r="C1123" s="1032">
        <v>46131</v>
      </c>
      <c r="D1123" s="1004">
        <v>347261</v>
      </c>
      <c r="E1123" s="1004">
        <v>35101</v>
      </c>
      <c r="F1123" s="1004">
        <v>22394.059999999998</v>
      </c>
      <c r="G1123" s="1004">
        <v>4424</v>
      </c>
      <c r="H1123" s="1004">
        <v>1983</v>
      </c>
      <c r="I1123" s="1004">
        <v>193021</v>
      </c>
      <c r="J1123" s="1006">
        <v>149797</v>
      </c>
      <c r="K1123" s="1004">
        <v>54518.91</v>
      </c>
      <c r="L1123" s="1004">
        <v>12975</v>
      </c>
      <c r="M1123" s="1004">
        <v>240048</v>
      </c>
      <c r="N1123" s="1004">
        <v>7010</v>
      </c>
      <c r="O1123" s="1004">
        <v>4397</v>
      </c>
      <c r="P1123" s="1004">
        <v>0</v>
      </c>
      <c r="Q1123" s="337">
        <v>0</v>
      </c>
      <c r="R1123" s="1051">
        <f t="shared" ref="R1123" si="71" xml:space="preserve"> IF(C1123&lt; DATE(2024, 11, 1), D1123 * (2.31 / 100), D1123 * (2.925 / 100))+E1123*E$6+F1123*F$6+G1123*G$6+H1123*H$6+I1123*I$6+J1123*J$6+K1123*K$6+L1123*L$6+M1123*M$6+N1123*N$6+O1123*O$6+P1123*P$6+Q1123*Q$6</f>
        <v>145948.68250000002</v>
      </c>
      <c r="S1123" s="1015">
        <v>13.835315038779886</v>
      </c>
      <c r="T1123" s="1015">
        <v>0.45457799999999998</v>
      </c>
      <c r="U1123" s="1015">
        <v>3.5543838684740348E-3</v>
      </c>
      <c r="V1123" s="1048">
        <v>2.8000000000000001E-2</v>
      </c>
      <c r="W1123" s="1015">
        <v>0.27448</v>
      </c>
      <c r="X1123" s="1010">
        <v>9.3914998570000581</v>
      </c>
      <c r="Y1123" s="1015">
        <v>9.61</v>
      </c>
      <c r="Z1123" s="1021">
        <v>0</v>
      </c>
      <c r="AA1123" s="1021">
        <v>0</v>
      </c>
      <c r="AB1123" s="1021">
        <v>0</v>
      </c>
      <c r="AC1123" s="1015">
        <v>0.20614644892919945</v>
      </c>
      <c r="AD1123" s="1015">
        <v>7.9456996661446927E-2</v>
      </c>
      <c r="AE1123" s="1015">
        <v>0</v>
      </c>
      <c r="AF1123" s="1015">
        <v>14.653387965917876</v>
      </c>
      <c r="AG1123" s="1013">
        <f xml:space="preserve"> IF(C1123&lt; DATE(2024, 11, 1), S1123 * (2.31 / 100), S1123 * (2.925 / 100))+T1123*T$6+U1291*U$6+V1123*V$6+W1123*W$6+X1123*X$6+Y1123*Y$6+Z1123*Z$6+AA1123*AA$6+AB1123*AB$6+AC1123*AC$6+AD1123*AD$6+AE1123*AE$6+AF1123*AF$6</f>
        <v>7.7383338585371542</v>
      </c>
      <c r="AH1123" s="1045">
        <v>202604</v>
      </c>
      <c r="AI1123" s="1017"/>
      <c r="AJ1123" s="931" t="s">
        <v>2315</v>
      </c>
    </row>
    <row r="1124" spans="3:37" ht="15.75" hidden="1">
      <c r="C1124" s="1032">
        <v>46132</v>
      </c>
      <c r="D1124" s="1001">
        <v>336769</v>
      </c>
      <c r="E1124" s="1001">
        <v>35101</v>
      </c>
      <c r="F1124" s="1001">
        <v>22368.19</v>
      </c>
      <c r="G1124" s="1001">
        <v>4469</v>
      </c>
      <c r="H1124" s="1001">
        <v>1993</v>
      </c>
      <c r="I1124" s="1001">
        <v>194964</v>
      </c>
      <c r="J1124" s="1003">
        <v>156362</v>
      </c>
      <c r="K1124" s="1001">
        <v>54309.46</v>
      </c>
      <c r="L1124" s="1001">
        <v>16957</v>
      </c>
      <c r="M1124" s="1001">
        <v>241991</v>
      </c>
      <c r="N1124" s="1001">
        <v>6975</v>
      </c>
      <c r="O1124" s="1001">
        <v>4479</v>
      </c>
      <c r="P1124" s="1001">
        <v>0</v>
      </c>
      <c r="Q1124" s="337">
        <v>0</v>
      </c>
      <c r="R1124" s="1051">
        <f t="shared" ref="R1124" si="72" xml:space="preserve"> IF(C1124&lt; DATE(2024, 11, 1), D1124 * (2.31 / 100), D1124 * (2.925 / 100))+E1124*E$6+F1124*F$6+G1124*G$6+H1124*H$6+I1124*I$6+J1124*J$6+K1124*K$6+L1124*L$6+M1124*M$6+N1124*N$6+O1124*O$6+P1124*P$6+Q1124*Q$6</f>
        <v>148766.64749999999</v>
      </c>
      <c r="S1124" s="1007">
        <v>14.025604068560682</v>
      </c>
      <c r="T1124" s="1007">
        <v>0.45399600000000001</v>
      </c>
      <c r="U1124" s="1007">
        <v>3.6625541205220491E-3</v>
      </c>
      <c r="V1124" s="1049">
        <v>2.8000000000000001E-2</v>
      </c>
      <c r="W1124" s="1007">
        <v>0.27157999999999999</v>
      </c>
      <c r="X1124" s="1010">
        <v>9.390905203781994</v>
      </c>
      <c r="Y1124" s="1007">
        <v>9.82</v>
      </c>
      <c r="Z1124" s="1021">
        <v>0</v>
      </c>
      <c r="AA1124" s="1021">
        <v>0</v>
      </c>
      <c r="AB1124" s="1021">
        <v>0</v>
      </c>
      <c r="AC1124" s="1007">
        <v>0.20501377613288516</v>
      </c>
      <c r="AD1124" s="1007">
        <v>8.1382540415181212E-2</v>
      </c>
      <c r="AE1124" s="1007">
        <v>0</v>
      </c>
      <c r="AF1124" s="1007">
        <v>14.681534884906286</v>
      </c>
      <c r="AG1124" s="1013">
        <f xml:space="preserve"> IF(C1124&lt; DATE(2024, 11, 1), S1124 * (2.31 / 100), S1124 * (2.925 / 100))+T1124*T$6+U1292*U$6+V1124*V$6+W1124*W$6+X1124*X$6+Y1124*Y$6+Z1124*Z$6+AA1124*AA$6+AB1124*AB$6+AC1124*AC$6+AD1124*AD$6+AE1124*AE$6+AF1124*AF$6</f>
        <v>7.8007543417365577</v>
      </c>
      <c r="AH1124" s="1045">
        <v>202604</v>
      </c>
      <c r="AI1124" s="1017"/>
      <c r="AJ1124" s="931" t="s">
        <v>2313</v>
      </c>
    </row>
    <row r="1125" spans="3:37" ht="15.75" hidden="1">
      <c r="C1125" s="1032">
        <v>46133</v>
      </c>
      <c r="D1125" s="1004">
        <v>313763</v>
      </c>
      <c r="E1125" s="1004">
        <v>35107</v>
      </c>
      <c r="F1125" s="1004">
        <v>22386.38</v>
      </c>
      <c r="G1125" s="1004">
        <v>4495</v>
      </c>
      <c r="H1125" s="1004">
        <v>1944</v>
      </c>
      <c r="I1125" s="1004">
        <v>194926</v>
      </c>
      <c r="J1125" s="1006">
        <v>159229</v>
      </c>
      <c r="K1125" s="1004">
        <v>54343.39</v>
      </c>
      <c r="L1125" s="1004">
        <v>10572</v>
      </c>
      <c r="M1125" s="1004">
        <v>284465</v>
      </c>
      <c r="N1125" s="1004">
        <v>7345</v>
      </c>
      <c r="O1125" s="1004">
        <v>4459</v>
      </c>
      <c r="P1125" s="1004">
        <v>0</v>
      </c>
      <c r="Q1125" s="337">
        <v>0</v>
      </c>
      <c r="R1125" s="1051">
        <f t="shared" ref="R1125" si="73" xml:space="preserve"> IF(C1125&lt; DATE(2024, 11, 1), D1125 * (2.31 / 100), D1125 * (2.925 / 100))+E1125*E$6+F1125*F$6+G1125*G$6+H1125*H$6+I1125*I$6+J1125*J$6+K1125*K$6+L1125*L$6+M1125*M$6+N1125*N$6+O1125*O$6+P1125*P$6+Q1125*Q$6</f>
        <v>149009.65625000003</v>
      </c>
      <c r="S1125" s="1015">
        <v>14.017109022588325</v>
      </c>
      <c r="T1125" s="1015">
        <v>0.45293099999999997</v>
      </c>
      <c r="U1125" s="1015">
        <v>3.6944105429183882E-3</v>
      </c>
      <c r="V1125" s="1048">
        <v>2.8000000000000001E-2</v>
      </c>
      <c r="W1125" s="1015">
        <v>0.28479000000000004</v>
      </c>
      <c r="X1125" s="1010">
        <v>10.405043791961987</v>
      </c>
      <c r="Y1125" s="1015">
        <v>9.8699999999999992</v>
      </c>
      <c r="Z1125" s="1021">
        <v>0</v>
      </c>
      <c r="AA1125" s="1021">
        <v>0</v>
      </c>
      <c r="AB1125" s="1021">
        <v>0</v>
      </c>
      <c r="AC1125" s="1015">
        <v>0.20133258954486374</v>
      </c>
      <c r="AD1125" s="1015">
        <v>9.2822535657955466E-2</v>
      </c>
      <c r="AE1125" s="1015">
        <v>0</v>
      </c>
      <c r="AF1125" s="1015">
        <v>14.673577858512177</v>
      </c>
      <c r="AG1125" s="1013">
        <f xml:space="preserve"> IF(C1125&lt; DATE(2024, 11, 1), S1125 * (2.31 / 100), S1125 * (2.925 / 100))+T1125*T$6+U1293*U$6+V1125*V$6+W1125*W$6+X1125*X$6+Y1125*Y$6+Z1125*Z$6+AA1125*AA$6+AB1125*AB$6+AC1125*AC$6+AD1125*AD$6+AE1125*AE$6+AF1125*AF$6</f>
        <v>8.0320744023632926</v>
      </c>
      <c r="AH1125" s="1045">
        <v>202604</v>
      </c>
      <c r="AI1125" s="1017"/>
      <c r="AJ1125" s="931" t="s">
        <v>2314</v>
      </c>
    </row>
    <row r="1126" spans="3:37" ht="15.75" hidden="1">
      <c r="C1126" s="1032">
        <v>46134</v>
      </c>
      <c r="D1126" s="1001">
        <v>313107</v>
      </c>
      <c r="E1126" s="1001">
        <v>35013</v>
      </c>
      <c r="F1126" s="1001">
        <v>22385.5</v>
      </c>
      <c r="G1126" s="1001">
        <v>4541</v>
      </c>
      <c r="H1126" s="1001">
        <v>1949</v>
      </c>
      <c r="I1126" s="1001">
        <v>190051</v>
      </c>
      <c r="J1126" s="1003">
        <v>158959</v>
      </c>
      <c r="K1126" s="1001">
        <v>53941.54</v>
      </c>
      <c r="L1126" s="1001">
        <v>13988</v>
      </c>
      <c r="M1126" s="1001">
        <v>374627</v>
      </c>
      <c r="N1126" s="1001">
        <v>7093</v>
      </c>
      <c r="O1126" s="1001">
        <v>4473</v>
      </c>
      <c r="P1126" s="1001">
        <v>0</v>
      </c>
      <c r="Q1126" s="337">
        <v>0</v>
      </c>
      <c r="R1126" s="1051">
        <f t="shared" ref="R1126" si="74" xml:space="preserve"> IF(C1126&lt; DATE(2024, 11, 1), D1126 * (2.31 / 100), D1126 * (2.925 / 100))+E1126*E$6+F1126*F$6+G1126*G$6+H1126*H$6+I1126*I$6+J1126*J$6+K1126*K$6+L1126*L$6+M1126*M$6+N1126*N$6+O1126*O$6+P1126*P$6+Q1126*Q$6</f>
        <v>152255.27975000005</v>
      </c>
      <c r="S1126" s="1007">
        <v>13.941219945235268</v>
      </c>
      <c r="T1126" s="1007">
        <v>0.45361000000000001</v>
      </c>
      <c r="U1126" s="1007">
        <v>3.7968607973450151E-3</v>
      </c>
      <c r="V1126" s="1049">
        <v>3.1E-2</v>
      </c>
      <c r="W1126" s="1007">
        <v>0.28005000000000002</v>
      </c>
      <c r="X1126" s="1010">
        <v>10.395246172273868</v>
      </c>
      <c r="Y1126" s="1007">
        <v>9.8000000000000007</v>
      </c>
      <c r="Z1126" s="1021">
        <v>0</v>
      </c>
      <c r="AA1126" s="1021">
        <v>0</v>
      </c>
      <c r="AB1126" s="1021">
        <v>0</v>
      </c>
      <c r="AC1126" s="1007">
        <v>0.19821773935499948</v>
      </c>
      <c r="AD1126" s="1007">
        <v>0.10423421408082187</v>
      </c>
      <c r="AE1126" s="1007">
        <v>0</v>
      </c>
      <c r="AF1126" s="1007">
        <v>14.525226039014912</v>
      </c>
      <c r="AG1126" s="1013">
        <f xml:space="preserve"> IF(C1126&lt; DATE(2024, 11, 1), S1126 * (2.31 / 100), S1126 * (2.925 / 100))+T1126*T$6+U1294*U$6+V1126*V$6+W1126*W$6+X1126*X$6+Y1126*Y$6+Z1126*Z$6+AA1126*AA$6+AB1126*AB$6+AC1126*AC$6+AD1126*AD$6+AE1126*AE$6+AF1126*AF$6</f>
        <v>7.985640681446819</v>
      </c>
      <c r="AH1126" s="1045">
        <v>202604</v>
      </c>
      <c r="AI1126" s="1017"/>
      <c r="AJ1126" s="931" t="s">
        <v>2313</v>
      </c>
    </row>
    <row r="1127" spans="3:37" ht="15.75" hidden="1">
      <c r="C1127" s="1032">
        <v>46135</v>
      </c>
      <c r="D1127" s="1004">
        <v>312022</v>
      </c>
      <c r="E1127" s="1004">
        <v>35006</v>
      </c>
      <c r="F1127" s="1004">
        <v>22290.36</v>
      </c>
      <c r="G1127" s="1004">
        <v>4565</v>
      </c>
      <c r="H1127" s="1004">
        <v>1934</v>
      </c>
      <c r="I1127" s="1004">
        <v>190027</v>
      </c>
      <c r="J1127" s="1006">
        <v>156146</v>
      </c>
      <c r="K1127" s="1004">
        <v>53110.559999999998</v>
      </c>
      <c r="L1127" s="1004">
        <v>14070</v>
      </c>
      <c r="M1127" s="1004">
        <v>396864</v>
      </c>
      <c r="N1127" s="1004">
        <v>7191</v>
      </c>
      <c r="O1127" s="1004">
        <v>4567</v>
      </c>
      <c r="P1127" s="1004">
        <v>0</v>
      </c>
      <c r="Q1127" s="337">
        <v>0</v>
      </c>
      <c r="R1127" s="1051">
        <f t="shared" ref="R1127" si="75" xml:space="preserve"> IF(C1127&lt; DATE(2024, 11, 1), D1127 * (2.31 / 100), D1127 * (2.925 / 100))+E1127*E$6+F1127*F$6+G1127*G$6+H1127*H$6+I1127*I$6+J1127*J$6+K1127*K$6+L1127*L$6+M1127*M$6+N1127*N$6+O1127*O$6+P1127*P$6+Q1127*Q$6</f>
        <v>152165.77299999999</v>
      </c>
      <c r="S1127" s="1015">
        <v>14.118483237858456</v>
      </c>
      <c r="T1127" s="1015">
        <v>0.45027400000000001</v>
      </c>
      <c r="U1127" s="1015">
        <v>3.7100697443274333E-3</v>
      </c>
      <c r="V1127" s="1048">
        <v>3.1E-2</v>
      </c>
      <c r="W1127" s="1015">
        <v>0.27424999999999999</v>
      </c>
      <c r="X1127" s="1010">
        <v>10.668022098446256</v>
      </c>
      <c r="Y1127" s="1015">
        <v>9.74</v>
      </c>
      <c r="Z1127" s="1021">
        <v>0</v>
      </c>
      <c r="AA1127" s="1021">
        <v>0</v>
      </c>
      <c r="AB1127" s="1021">
        <v>0</v>
      </c>
      <c r="AC1127" s="1015">
        <v>0.19736823475776374</v>
      </c>
      <c r="AD1127" s="1015">
        <v>8.8716596771316186E-2</v>
      </c>
      <c r="AE1127" s="1015">
        <v>0</v>
      </c>
      <c r="AF1127" s="1015">
        <v>14.659957468136497</v>
      </c>
      <c r="AG1127" s="1013">
        <f xml:space="preserve"> IF(C1127&lt; DATE(2024, 11, 1), S1127 * (2.31 / 100), S1127 * (2.925 / 100))+T1127*T$6+U1295*U$6+V1127*V$6+W1127*W$6+X1127*X$6+Y1127*Y$6+Z1127*Z$6+AA1127*AA$6+AB1127*AB$6+AC1127*AC$6+AD1127*AD$6+AE1127*AE$6+AF1127*AF$6</f>
        <v>8.0396839485116978</v>
      </c>
      <c r="AH1127" s="1045">
        <v>202604</v>
      </c>
      <c r="AI1127" s="1017"/>
      <c r="AJ1127" s="931" t="s">
        <v>2313</v>
      </c>
    </row>
    <row r="1128" spans="3:37" ht="15.75" hidden="1">
      <c r="C1128" s="1032">
        <v>46136</v>
      </c>
      <c r="D1128" s="1001">
        <v>301938</v>
      </c>
      <c r="E1128" s="1001">
        <v>34824</v>
      </c>
      <c r="F1128" s="1001">
        <v>22290.95</v>
      </c>
      <c r="G1128" s="1001">
        <v>4606</v>
      </c>
      <c r="H1128" s="1001">
        <v>1948</v>
      </c>
      <c r="I1128" s="1001">
        <v>190906</v>
      </c>
      <c r="J1128" s="1003">
        <v>156771</v>
      </c>
      <c r="K1128" s="1001">
        <v>53403.38</v>
      </c>
      <c r="L1128" s="1001">
        <v>13962</v>
      </c>
      <c r="M1128" s="1001">
        <v>325872</v>
      </c>
      <c r="N1128" s="1001">
        <v>7077</v>
      </c>
      <c r="O1128" s="1001">
        <v>4620</v>
      </c>
      <c r="P1128" s="1001">
        <v>0</v>
      </c>
      <c r="Q1128" s="337">
        <v>0</v>
      </c>
      <c r="R1128" s="1051">
        <f t="shared" ref="R1128:R1129" si="76" xml:space="preserve"> IF(C1128&lt; DATE(2024, 11, 1), D1128 * (2.31 / 100), D1128 * (2.925 / 100))+E1128*E$6+F1128*F$6+G1128*G$6+H1128*H$6+I1128*I$6+J1128*J$6+K1128*K$6+L1128*L$6+M1128*M$6+N1128*N$6+O1128*O$6+P1128*P$6+Q1128*Q$6</f>
        <v>149411.019</v>
      </c>
      <c r="S1128" s="1007">
        <v>14.281021784129555</v>
      </c>
      <c r="T1128" s="1007">
        <v>0.449243</v>
      </c>
      <c r="U1128" s="1007">
        <v>3.8315205849122316E-3</v>
      </c>
      <c r="V1128" s="1049">
        <v>3.4000000000000002E-2</v>
      </c>
      <c r="W1128" s="1007">
        <v>0.27339999999999998</v>
      </c>
      <c r="X1128" s="1010">
        <v>10.295486015738488</v>
      </c>
      <c r="Y1128" s="1007">
        <v>9.7100000000000009</v>
      </c>
      <c r="Z1128" s="1021">
        <v>0</v>
      </c>
      <c r="AA1128" s="1021">
        <v>0</v>
      </c>
      <c r="AB1128" s="1021">
        <v>0</v>
      </c>
      <c r="AC1128" s="1007">
        <v>0.2016157577439423</v>
      </c>
      <c r="AD1128" s="1007">
        <v>8.387442056707263E-2</v>
      </c>
      <c r="AE1128" s="1007">
        <v>0</v>
      </c>
      <c r="AF1128" s="1007">
        <v>14.651150937145152</v>
      </c>
      <c r="AG1128" s="1013">
        <f xml:space="preserve"> IF(C1128&lt; DATE(2024, 11, 1), S1128 * (2.31 / 100), S1128 * (2.925 / 100))+T1128*T$6+U1296*U$6+V1128*V$6+W1128*W$6+X1128*X$6+Y1128*Y$6+Z1128*Z$6+AA1128*AA$6+AB1128*AB$6+AC1128*AC$6+AD1128*AD$6+AE1128*AE$6+AF1128*AF$6</f>
        <v>7.9595358612268257</v>
      </c>
      <c r="AH1128" s="1045">
        <v>202604</v>
      </c>
      <c r="AI1128" s="1017"/>
      <c r="AJ1128" s="931" t="s">
        <v>2313</v>
      </c>
    </row>
    <row r="1129" spans="3:37" ht="15.75" hidden="1">
      <c r="C1129" s="1032">
        <v>46137</v>
      </c>
      <c r="D1129" s="1004">
        <v>315427</v>
      </c>
      <c r="E1129" s="1004">
        <v>34906</v>
      </c>
      <c r="F1129" s="1004">
        <v>7278.68</v>
      </c>
      <c r="G1129" s="1004">
        <v>4601</v>
      </c>
      <c r="H1129" s="1004">
        <v>1937</v>
      </c>
      <c r="I1129" s="1004">
        <v>191093</v>
      </c>
      <c r="J1129" s="1006">
        <v>155570</v>
      </c>
      <c r="K1129" s="1004">
        <v>53342.21</v>
      </c>
      <c r="L1129" s="1004">
        <v>12371</v>
      </c>
      <c r="M1129" s="1004">
        <v>444293</v>
      </c>
      <c r="N1129" s="1004">
        <v>7275</v>
      </c>
      <c r="O1129" s="1004">
        <v>4739</v>
      </c>
      <c r="P1129" s="1004">
        <v>0</v>
      </c>
      <c r="Q1129" s="337">
        <v>0</v>
      </c>
      <c r="R1129" s="1051">
        <f t="shared" si="76"/>
        <v>143437.86199999999</v>
      </c>
      <c r="S1129" s="1015">
        <v>14.309904940435569</v>
      </c>
      <c r="T1129" s="1015">
        <v>0.44703399999999999</v>
      </c>
      <c r="U1129" s="1015">
        <v>1.2895196617839029E-3</v>
      </c>
      <c r="V1129" s="1048">
        <v>3.1E-2</v>
      </c>
      <c r="W1129" s="1015">
        <v>0.28131</v>
      </c>
      <c r="X1129" s="1010">
        <v>10.174856362931017</v>
      </c>
      <c r="Y1129" s="1015">
        <v>9.66</v>
      </c>
      <c r="Z1129" s="1021">
        <v>0</v>
      </c>
      <c r="AA1129" s="1021">
        <v>0</v>
      </c>
      <c r="AB1129" s="1021">
        <v>0</v>
      </c>
      <c r="AC1129" s="1015">
        <v>0.19623556196144945</v>
      </c>
      <c r="AD1129" s="1015">
        <v>9.2624317918600457E-2</v>
      </c>
      <c r="AE1129" s="1015">
        <v>0</v>
      </c>
      <c r="AF1129" s="1015">
        <v>14.63164064822864</v>
      </c>
      <c r="AG1129" s="1013">
        <f xml:space="preserve"> IF(C1129&lt; DATE(2024, 11, 1), S1129 * (2.31 / 100), S1129 * (2.925 / 100))+T1129*T$6+U1297*U$6+V1129*V$6+W1129*W$6+X1129*X$6+Y1129*Y$6+Z1129*Z$6+AA1129*AA$6+AB1129*AB$6+AC1129*AC$6+AD1129*AD$6+AE1129*AE$6+AF1129*AF$6</f>
        <v>7.9286597212760137</v>
      </c>
      <c r="AH1129" s="1045">
        <v>202604</v>
      </c>
      <c r="AI1129" s="1017"/>
      <c r="AJ1129" s="931" t="s">
        <v>2316</v>
      </c>
    </row>
    <row r="1130" spans="3:37" ht="15.75" hidden="1">
      <c r="C1130" s="1032">
        <v>46138</v>
      </c>
      <c r="D1130" s="1001">
        <v>328888</v>
      </c>
      <c r="E1130" s="1001">
        <v>34780</v>
      </c>
      <c r="F1130" s="1001">
        <v>1204.43</v>
      </c>
      <c r="G1130" s="1001">
        <v>4610</v>
      </c>
      <c r="H1130" s="1001">
        <v>1933</v>
      </c>
      <c r="I1130" s="1001">
        <v>191415</v>
      </c>
      <c r="J1130" s="1003">
        <v>153893</v>
      </c>
      <c r="K1130" s="1001">
        <v>53760.29</v>
      </c>
      <c r="L1130" s="1001">
        <v>14339</v>
      </c>
      <c r="M1130" s="1001">
        <v>463730</v>
      </c>
      <c r="N1130" s="1001">
        <v>7184</v>
      </c>
      <c r="O1130" s="1001">
        <v>4825</v>
      </c>
      <c r="P1130" s="1001">
        <v>0</v>
      </c>
      <c r="Q1130" s="337">
        <v>0</v>
      </c>
      <c r="R1130" s="1051">
        <f xml:space="preserve"> IF(C1130&lt; DATE(2024, 11, 1), D1130 * (2.31 / 100), D1130 * (2.925 / 100))+E1130*E$6+F1130*F$6+G1130*G$6+H1130*H$6+I1130*I$6+J1130*J$6+K1130*K$6+L1130*L$6+M1130*M$6+N1130*N$6+O1130*O$6+P1130*P$6+Q1130*Q$6</f>
        <v>140555.65125</v>
      </c>
      <c r="S1130" s="1007">
        <v>14.327744536977516</v>
      </c>
      <c r="T1130" s="1007">
        <v>0.447737</v>
      </c>
      <c r="U1130" s="1007">
        <v>6.6663457427077106E-4</v>
      </c>
      <c r="V1130" s="1049">
        <v>2.5999999999999999E-2</v>
      </c>
      <c r="W1130" s="1007">
        <v>0.27564</v>
      </c>
      <c r="X1130" s="1010">
        <v>10.18697596185158</v>
      </c>
      <c r="Y1130" s="1007">
        <v>9.59</v>
      </c>
      <c r="Z1130" s="1021">
        <v>0</v>
      </c>
      <c r="AA1130" s="1021">
        <v>0</v>
      </c>
      <c r="AB1130" s="1021">
        <v>0</v>
      </c>
      <c r="AC1130" s="1007">
        <v>0.20048308494762804</v>
      </c>
      <c r="AD1130" s="1007">
        <v>9.3077387037126175E-2</v>
      </c>
      <c r="AE1130" s="1007">
        <v>0</v>
      </c>
      <c r="AF1130" s="1007">
        <v>14.621927979000246</v>
      </c>
      <c r="AG1130" s="1013">
        <f xml:space="preserve"> IF(C1130&lt; DATE(2024, 11, 1), S1130 * (2.31 / 100), S1130 * (2.925 / 100))+T1130*T$6+U1298*U$6+V1130*V$6+W1130*W$6+X1130*X$6+Y1130*Y$6+Z1130*Z$6+AA1130*AA$6+AB1130*AB$6+AC1130*AC$6+AD1130*AD$6+AE1130*AE$6+AF1130*AF$6</f>
        <v>7.9044225606660392</v>
      </c>
      <c r="AH1130" s="1045">
        <v>202604</v>
      </c>
      <c r="AI1130" s="1017"/>
      <c r="AJ1130" s="931" t="s">
        <v>2317</v>
      </c>
    </row>
    <row r="1131" spans="3:37" ht="15.75" hidden="1">
      <c r="C1131" s="1032">
        <v>46139</v>
      </c>
      <c r="D1131" s="1004">
        <v>302968</v>
      </c>
      <c r="E1131" s="1004">
        <v>36195</v>
      </c>
      <c r="F1131" s="1004">
        <v>1221.45</v>
      </c>
      <c r="G1131" s="1004">
        <v>4561</v>
      </c>
      <c r="H1131" s="1004">
        <v>1886</v>
      </c>
      <c r="I1131" s="1004">
        <v>191366</v>
      </c>
      <c r="J1131" s="1006">
        <v>156214</v>
      </c>
      <c r="K1131" s="1004">
        <v>53017.86</v>
      </c>
      <c r="L1131" s="1004">
        <v>13763</v>
      </c>
      <c r="M1131" s="1004">
        <v>455890</v>
      </c>
      <c r="N1131" s="1004">
        <v>7210</v>
      </c>
      <c r="O1131" s="1004">
        <v>4884</v>
      </c>
      <c r="P1131" s="1004">
        <v>0</v>
      </c>
      <c r="Q1131" s="337">
        <v>0</v>
      </c>
      <c r="R1131" s="1051">
        <f xml:space="preserve"> IF(C1131&lt; DATE(2024, 11, 1), D1131 * (2.31 / 100), D1131 * (2.925 / 100))+E1131*E$6+F1131*F$6+G1131*G$6+H1131*H$6+I1131*I$6+J1131*J$6+K1131*K$6+L1131*L$6+M1131*M$6+N1131*N$6+O1131*O$6+P1131*P$6+Q1131*Q$6</f>
        <v>140101.90775000001</v>
      </c>
      <c r="S1131" s="1015">
        <v>14.3</v>
      </c>
      <c r="T1131" s="1015">
        <v>0.449349</v>
      </c>
      <c r="U1131" s="1015">
        <v>6.5898903289564965E-4</v>
      </c>
      <c r="V1131" s="1048">
        <v>2.5000000000000001E-2</v>
      </c>
      <c r="W1131" s="1015">
        <v>0.27247000000000005</v>
      </c>
      <c r="X1131" s="1010">
        <v>10.583383123741671</v>
      </c>
      <c r="Y1131" s="1015">
        <v>9.4499999999999993</v>
      </c>
      <c r="Z1131" s="1021">
        <v>0</v>
      </c>
      <c r="AA1131" s="1021">
        <v>0</v>
      </c>
      <c r="AB1131" s="1015"/>
      <c r="AC1131" s="1015">
        <v>0.1987840757531566</v>
      </c>
      <c r="AD1131" s="1015">
        <v>8.6394617538871912E-2</v>
      </c>
      <c r="AE1131" s="1015">
        <v>0</v>
      </c>
      <c r="AF1131" s="1015">
        <v>14.63008322313371</v>
      </c>
      <c r="AG1131" s="1013">
        <f xml:space="preserve"> IF(C1131&lt; DATE(2024, 11, 1), S1131 * (2.31 / 100), S1131 * (2.925 / 100))+T1131*T$6+U1299*U$6+V1131*V$6+W1131*W$6+X1131*X$6+Y1131*Y$6+Z1131*Z$6+AA1131*AA$6+AB1131*AB$6+AC1131*AC$6+AD1131*AD$6+AE1131*AE$6+AF1131*AF$6</f>
        <v>7.9417840980294612</v>
      </c>
      <c r="AH1131" s="1045">
        <v>202604</v>
      </c>
      <c r="AI1131" s="1017"/>
      <c r="AJ1131" s="931" t="s">
        <v>2318</v>
      </c>
    </row>
    <row r="1132" spans="3:37" s="301" customFormat="1" ht="15.75" hidden="1">
      <c r="C1132" s="1032">
        <v>46140</v>
      </c>
      <c r="D1132" s="1024">
        <v>306082</v>
      </c>
      <c r="E1132" s="1024">
        <v>34233</v>
      </c>
      <c r="F1132" s="1024">
        <v>18087.45</v>
      </c>
      <c r="G1132" s="1024">
        <v>4437</v>
      </c>
      <c r="H1132" s="1024">
        <v>1911</v>
      </c>
      <c r="I1132" s="1024">
        <v>187214</v>
      </c>
      <c r="J1132" s="1098">
        <v>151676</v>
      </c>
      <c r="K1132" s="1001">
        <v>53017.86</v>
      </c>
      <c r="L1132" s="1024">
        <v>13725</v>
      </c>
      <c r="M1132" s="1024">
        <v>470527</v>
      </c>
      <c r="N1132" s="1024">
        <v>7245</v>
      </c>
      <c r="O1132" s="1024">
        <v>4928</v>
      </c>
      <c r="P1132" s="1001">
        <v>0</v>
      </c>
      <c r="Q1132" s="1094">
        <v>0</v>
      </c>
      <c r="R1132" s="1095">
        <f xml:space="preserve"> IF(C1132&lt; DATE(2024, 11, 1), D1132 * (2.31 / 100), D1132 * (2.925 / 100))+E1132*E$6+F1132*F$6+G1132*G$6+H1132*H$6+I1132*I$6+J1132*J$6+K1132*K$6+L1132*L$6+M1132*M$6+N1132*N$6+O1132*O$6+P1132*P$6+Q1132*Q$6</f>
        <v>150019.93475000001</v>
      </c>
      <c r="S1132" s="1007">
        <v>14.657635488904052</v>
      </c>
      <c r="T1132" s="1099">
        <v>0.45</v>
      </c>
      <c r="U1132" s="1007">
        <v>2.3941588063894075E-3</v>
      </c>
      <c r="V1132" s="1105">
        <v>2.4E-2</v>
      </c>
      <c r="W1132" s="1099">
        <v>0.27200000000000002</v>
      </c>
      <c r="X1132" s="1103">
        <v>10.419</v>
      </c>
      <c r="Y1132" s="1007">
        <v>9.42</v>
      </c>
      <c r="Z1132" s="1104">
        <v>0</v>
      </c>
      <c r="AA1132" s="1099"/>
      <c r="AB1132" s="1099"/>
      <c r="AC1132" s="1099">
        <v>0.19935041215131374</v>
      </c>
      <c r="AD1132" s="1007">
        <v>9.3502139335744028E-2</v>
      </c>
      <c r="AE1132" s="1007">
        <v>0</v>
      </c>
      <c r="AF1132" s="1099">
        <v>14.661146774572629</v>
      </c>
      <c r="AG1132" s="1096">
        <f xml:space="preserve"> IF(C1132&lt; DATE(2024, 11, 1), S1132 * (2.31 / 100), S1132 * (2.925 / 100))+T1132*T$6+U1300*U$6+V1132*V$6+W1132*W$6+X1132*X$6+Y1132*Y$6+Z1132*Z$6+AA1132*AA$6+AB1132*AB$6+AC1132*AC$6+AD1132*AD$6+AE1132*AE$6+AF1132*AF$6</f>
        <v>7.9189601907987335</v>
      </c>
      <c r="AH1132" s="1097">
        <v>202604</v>
      </c>
      <c r="AI1132" s="1017"/>
      <c r="AJ1132" s="931" t="s">
        <v>2319</v>
      </c>
    </row>
    <row r="1133" spans="3:37" s="301" customFormat="1" ht="15.75" hidden="1">
      <c r="C1133" s="1032">
        <v>46141</v>
      </c>
      <c r="D1133" s="1100">
        <v>328909</v>
      </c>
      <c r="E1133" s="1100">
        <v>34912</v>
      </c>
      <c r="F1133" s="1100">
        <v>22416.86</v>
      </c>
      <c r="G1133" s="1100">
        <v>4375</v>
      </c>
      <c r="H1133" s="1100">
        <v>1933</v>
      </c>
      <c r="I1133" s="1100">
        <v>186261</v>
      </c>
      <c r="J1133" s="1101">
        <v>154613</v>
      </c>
      <c r="K1133" s="1004">
        <v>53126.55</v>
      </c>
      <c r="L1133" s="1100">
        <v>12515</v>
      </c>
      <c r="M1133" s="1100">
        <v>459223</v>
      </c>
      <c r="N1133" s="1100">
        <v>7300</v>
      </c>
      <c r="O1133" s="1100">
        <v>5837</v>
      </c>
      <c r="P1133" s="1004">
        <v>0</v>
      </c>
      <c r="Q1133" s="1094">
        <v>0</v>
      </c>
      <c r="R1133" s="1095">
        <f xml:space="preserve"> IF(C1133&lt; DATE(2024, 11, 1), D1133 * (2.31 / 100), D1133 * (2.925 / 100))+E1133*E$6+F1133*F$6+G1133*G$6+H1133*H$6+I1133*I$6+J1133*J$6+K1133*K$6+L1133*L$6+M1133*M$6+N1133*N$6+O1133*O$6+P1133*P$6+Q1133*Q$6</f>
        <v>154118.31150000001</v>
      </c>
      <c r="S1133" s="1015">
        <v>14.638380051366711</v>
      </c>
      <c r="T1133" s="1102">
        <v>0.44841399999999998</v>
      </c>
      <c r="U1133" s="1015">
        <v>2.3941588063894075E-3</v>
      </c>
      <c r="V1133" s="1106">
        <v>2.3E-2</v>
      </c>
      <c r="W1133" s="1102">
        <v>0.28100000000000003</v>
      </c>
      <c r="X1133" s="1103">
        <v>10.29</v>
      </c>
      <c r="Y1133" s="1102">
        <v>9.89</v>
      </c>
      <c r="Z1133" s="1104">
        <v>0</v>
      </c>
      <c r="AA1133" s="1104">
        <v>0</v>
      </c>
      <c r="AB1133" s="1104">
        <v>0</v>
      </c>
      <c r="AC1133" s="1102">
        <v>0.20303159873933516</v>
      </c>
      <c r="AD1133" s="1015">
        <v>9.2312832899614033E-2</v>
      </c>
      <c r="AE1133" s="1015">
        <v>0</v>
      </c>
      <c r="AF1133" s="1102">
        <v>14.663298852885626</v>
      </c>
      <c r="AG1133" s="1096">
        <f xml:space="preserve"> IF(C1133&lt; DATE(2024, 11, 1), S1133 * (2.31 / 100), S1133 * (2.925 / 100))+T1133*T$6+U1301*U$6+V1133*V$6+W1133*W$6+X1133*X$6+Y1133*Y$6+Z1133*Z$6+AA1133*AA$6+AB1133*AB$6+AC1133*AC$6+AD1133*AD$6+AE1133*AE$6+AF1133*AF$6</f>
        <v>8.0231638105142054</v>
      </c>
      <c r="AH1133" s="1097">
        <v>202604</v>
      </c>
      <c r="AI1133" s="1017"/>
      <c r="AJ1133" s="931" t="s">
        <v>2320</v>
      </c>
    </row>
    <row r="1134" spans="3:37" s="301" customFormat="1" ht="15.75" hidden="1">
      <c r="C1134" s="1032">
        <v>46142</v>
      </c>
      <c r="D1134" s="1024">
        <v>322311</v>
      </c>
      <c r="E1134" s="1024">
        <v>34893</v>
      </c>
      <c r="F1134" s="1024">
        <v>22580</v>
      </c>
      <c r="G1134" s="1024">
        <v>4371</v>
      </c>
      <c r="H1134" s="1024">
        <v>1895</v>
      </c>
      <c r="I1134" s="1024">
        <v>191380</v>
      </c>
      <c r="J1134" s="1098">
        <v>154988</v>
      </c>
      <c r="K1134" s="1001">
        <v>54088.59</v>
      </c>
      <c r="L1134" s="1024">
        <v>13981</v>
      </c>
      <c r="M1134" s="1024">
        <v>460584</v>
      </c>
      <c r="N1134" s="1024">
        <v>7272</v>
      </c>
      <c r="O1134" s="1024">
        <v>5125</v>
      </c>
      <c r="P1134" s="1001">
        <v>0</v>
      </c>
      <c r="Q1134" s="1094">
        <v>0</v>
      </c>
      <c r="R1134" s="1095">
        <f t="shared" ref="R1134:R1136" si="77" xml:space="preserve"> IF(C1134&lt; DATE(2024, 11, 1), D1134 * (2.31 / 100), D1134 * (2.925 / 100))+E1134*E$6+F1134*F$6+G1134*G$6+H1134*H$6+I1134*I$6+J1134*J$6+K1134*K$6+L1134*L$6+M1134*M$6+N1134*N$6+O1134*O$6+P1134*P$6+Q1134*Q$6</f>
        <v>155476.43050000005</v>
      </c>
      <c r="S1134" s="1007">
        <v>14.399102923145318</v>
      </c>
      <c r="T1134" s="1099">
        <v>0.45678200000000002</v>
      </c>
      <c r="U1134" s="1007">
        <v>3.7683740765177107E-3</v>
      </c>
      <c r="V1134" s="1105">
        <v>2.3E-2</v>
      </c>
      <c r="W1134" s="1099">
        <v>0.27544000000000002</v>
      </c>
      <c r="X1134" s="1103">
        <v>10.510999999999999</v>
      </c>
      <c r="Y1134" s="1099">
        <v>10.07</v>
      </c>
      <c r="Z1134" s="1104">
        <v>0</v>
      </c>
      <c r="AA1134" s="1104">
        <v>0</v>
      </c>
      <c r="AB1134" s="1104">
        <v>0</v>
      </c>
      <c r="AC1134" s="1099">
        <v>0.20359793513749233</v>
      </c>
      <c r="AD1134" s="1007">
        <v>8.9396200449104762E-2</v>
      </c>
      <c r="AE1134" s="1007">
        <v>0</v>
      </c>
      <c r="AF1134" s="1099">
        <v>14.331765525404435</v>
      </c>
      <c r="AG1134" s="1096">
        <f xml:space="preserve"> IF(C1134&lt; DATE(2024, 11, 1), S1134 * (2.31 / 100), S1134 * (2.925 / 100))+T1134*T$6+U1302*U$6+V1134*V$6+W1134*W$6+X1134*X$6+Y1134*Y$6+Z1134*Z$6+AA1134*AA$6+AB1134*AB$6+AC1134*AC$6+AD1134*AD$6+AE1134*AE$6+AF1134*AF$6</f>
        <v>8.0463992928655212</v>
      </c>
      <c r="AH1134" s="1097">
        <v>202604</v>
      </c>
      <c r="AI1134" s="1017"/>
      <c r="AJ1134" s="931"/>
      <c r="AK1134"/>
    </row>
    <row r="1135" spans="3:37" s="301" customFormat="1" ht="15.75" hidden="1">
      <c r="C1135" s="1032">
        <v>46143</v>
      </c>
      <c r="D1135" s="1100">
        <v>329110</v>
      </c>
      <c r="E1135" s="1100">
        <v>35025</v>
      </c>
      <c r="F1135" s="1100">
        <v>9102</v>
      </c>
      <c r="G1135" s="1100">
        <v>4345</v>
      </c>
      <c r="H1135" s="1100">
        <v>1917</v>
      </c>
      <c r="I1135" s="1100">
        <v>189393</v>
      </c>
      <c r="J1135" s="1101">
        <v>153957</v>
      </c>
      <c r="K1135" s="1004">
        <v>53842.32</v>
      </c>
      <c r="L1135" s="1100">
        <v>14776</v>
      </c>
      <c r="M1135" s="1100">
        <v>423906</v>
      </c>
      <c r="N1135" s="1100">
        <v>7108</v>
      </c>
      <c r="O1135" s="1100">
        <v>5342</v>
      </c>
      <c r="P1135" s="1004">
        <v>0</v>
      </c>
      <c r="Q1135" s="1094">
        <v>0</v>
      </c>
      <c r="R1135" s="1095">
        <f t="shared" si="77"/>
        <v>144351.7475</v>
      </c>
      <c r="S1135" s="1015">
        <v>14.202867361183866</v>
      </c>
      <c r="T1135" s="1102">
        <v>0.472912</v>
      </c>
      <c r="U1135" s="1015">
        <v>1.6720515819191441E-3</v>
      </c>
      <c r="V1135" s="1106">
        <v>2.3E-2</v>
      </c>
      <c r="W1135" s="1102">
        <v>0.28175</v>
      </c>
      <c r="X1135" s="1103">
        <v>8.5679999999999996</v>
      </c>
      <c r="Y1135" s="1102">
        <v>10.08</v>
      </c>
      <c r="Z1135" s="1104">
        <v>0</v>
      </c>
      <c r="AA1135" s="1104">
        <v>0</v>
      </c>
      <c r="AB1135" s="1104">
        <v>0</v>
      </c>
      <c r="AC1135" s="1102">
        <v>0.1996335803503923</v>
      </c>
      <c r="AD1135" s="1015">
        <v>9.5201148530215454E-2</v>
      </c>
      <c r="AE1135" s="1015">
        <v>0</v>
      </c>
      <c r="AF1135" s="1102">
        <v>14.672133700696877</v>
      </c>
      <c r="AG1135" s="1096">
        <f xml:space="preserve"> IF(C1135&lt; DATE(2024, 11, 1), S1135 * (2.31 / 100), S1135 * (2.925 / 100))+T1135*T$6+U1303*U$6+V1135*V$6+W1135*W$6+X1135*X$6+Y1135*Y$6+Z1135*Z$6+AA1135*AA$6+AB1135*AB$6+AC1135*AC$6+AD1135*AD$6+AE1135*AE$6+AF1135*AF$6</f>
        <v>7.7250729926837263</v>
      </c>
      <c r="AH1135" s="1097">
        <v>202605</v>
      </c>
      <c r="AI1135" s="1017"/>
      <c r="AJ1135" s="931" t="s">
        <v>2148</v>
      </c>
    </row>
    <row r="1136" spans="3:37" s="301" customFormat="1" ht="15.75" hidden="1">
      <c r="C1136" s="1032">
        <v>46144</v>
      </c>
      <c r="D1136" s="1024">
        <v>325172</v>
      </c>
      <c r="E1136" s="1024">
        <v>34843</v>
      </c>
      <c r="F1136" s="1024">
        <v>22315.86</v>
      </c>
      <c r="G1136" s="1024">
        <v>4155</v>
      </c>
      <c r="H1136" s="1024">
        <v>1878</v>
      </c>
      <c r="I1136" s="1024">
        <v>187915</v>
      </c>
      <c r="J1136" s="1098">
        <v>153982</v>
      </c>
      <c r="K1136" s="1001">
        <v>53498.61</v>
      </c>
      <c r="L1136" s="1024">
        <v>13054</v>
      </c>
      <c r="M1136" s="1024">
        <v>438894</v>
      </c>
      <c r="N1136" s="1024">
        <v>6893</v>
      </c>
      <c r="O1136" s="1024">
        <v>5113</v>
      </c>
      <c r="P1136" s="1001">
        <v>0</v>
      </c>
      <c r="Q1136" s="1094">
        <v>0</v>
      </c>
      <c r="R1136" s="1095">
        <f t="shared" si="77"/>
        <v>152996.93300000002</v>
      </c>
      <c r="S1136" s="1007">
        <v>14.254120805217093</v>
      </c>
      <c r="T1136" s="1099">
        <v>0.47832799999999998</v>
      </c>
      <c r="U1136" s="1007">
        <v>3.2250875697655648E-3</v>
      </c>
      <c r="V1136" s="1105">
        <v>1.9E-2</v>
      </c>
      <c r="W1136" s="1099">
        <v>0.27155000000000001</v>
      </c>
      <c r="X1136" s="1103">
        <v>8.532</v>
      </c>
      <c r="Y1136" s="1099">
        <v>10.130000000000001</v>
      </c>
      <c r="Z1136" s="1104">
        <v>0</v>
      </c>
      <c r="AA1136" s="1104">
        <v>0</v>
      </c>
      <c r="AB1136" s="1104">
        <v>0</v>
      </c>
      <c r="AC1136" s="1099">
        <v>0.19765140295684233</v>
      </c>
      <c r="AD1136" s="1007">
        <v>8.5771647500899051E-2</v>
      </c>
      <c r="AE1136" s="1007">
        <v>0</v>
      </c>
      <c r="AF1136" s="1099">
        <v>14.644921236765427</v>
      </c>
      <c r="AG1136" s="1096">
        <f xml:space="preserve"> IF(C1136&lt; DATE(2024, 11, 1), S1136 * (2.31 / 100), S1136 * (2.925 / 100))+T1136*T$6+U1304*U$6+V1136*V$6+W1136*W$6+X1136*X$6+Y1136*Y$6+Z1136*Z$6+AA1136*AA$6+AB1136*AB$6+AC1136*AC$6+AD1136*AD$6+AE1136*AE$6+AF1136*AF$6</f>
        <v>7.7130185171283348</v>
      </c>
      <c r="AH1136" s="1097">
        <v>202605</v>
      </c>
      <c r="AI1136" s="1017"/>
      <c r="AJ1136" s="931"/>
    </row>
    <row r="1137" spans="3:36" s="301" customFormat="1" ht="15.75" hidden="1">
      <c r="C1137" s="1032">
        <v>46145</v>
      </c>
      <c r="D1137" s="1100">
        <v>333127</v>
      </c>
      <c r="E1137" s="1100">
        <v>35157</v>
      </c>
      <c r="F1137" s="1100">
        <v>22378</v>
      </c>
      <c r="G1137" s="1100">
        <v>4166</v>
      </c>
      <c r="H1137" s="1100">
        <v>1918</v>
      </c>
      <c r="I1137" s="1100">
        <v>188996</v>
      </c>
      <c r="J1137" s="1101">
        <v>155364</v>
      </c>
      <c r="K1137" s="1004">
        <v>54978.91</v>
      </c>
      <c r="L1137" s="1100">
        <v>11182</v>
      </c>
      <c r="M1137" s="1100">
        <v>424183</v>
      </c>
      <c r="N1137" s="1100">
        <v>6481</v>
      </c>
      <c r="O1137" s="1100">
        <v>5242</v>
      </c>
      <c r="P1137" s="1004">
        <v>0</v>
      </c>
      <c r="Q1137" s="1094">
        <v>0</v>
      </c>
      <c r="R1137" s="1095">
        <f xml:space="preserve"> IF(C1137&lt; DATE(2024, 11, 1), D1137 * (2.31 / 100), D1137 * (2.925 / 100))+E1137*E$6+F1137*F$6+G1137*G$6+H1137*H$6+I1137*I$6+J1137*J$6+K1137*K$6+L1137*L$6+M1137*M$6+N1137*N$6+O1137*O$6+P1137*P$6+Q1137*Q$6</f>
        <v>153315.20975000001</v>
      </c>
      <c r="S1137" s="1015">
        <v>14.132641647812381</v>
      </c>
      <c r="T1137" s="1102">
        <v>0.48770799999999997</v>
      </c>
      <c r="U1137" s="1102">
        <v>3.5872880132069647E-3</v>
      </c>
      <c r="V1137" s="1102">
        <v>2.1732768E-2</v>
      </c>
      <c r="W1137" s="1102">
        <v>0.28052999999999995</v>
      </c>
      <c r="X1137" s="1103">
        <v>8.5389999999999997</v>
      </c>
      <c r="Y1137" s="1102">
        <v>10.1</v>
      </c>
      <c r="Z1137" s="1104">
        <v>0</v>
      </c>
      <c r="AA1137" s="1104">
        <v>0</v>
      </c>
      <c r="AB1137" s="1104">
        <v>0</v>
      </c>
      <c r="AC1137" s="1102">
        <v>0.19453655276697804</v>
      </c>
      <c r="AD1137" s="1015">
        <v>9.2737585198231887E-2</v>
      </c>
      <c r="AE1137" s="1015">
        <v>0</v>
      </c>
      <c r="AF1137" s="1102">
        <v>14.611932141572771</v>
      </c>
      <c r="AG1137" s="1096">
        <f xml:space="preserve"> IF(C1137&lt; DATE(2024, 11, 1), S1137 * (2.31 / 100), S1137 * (2.925 / 100))+T1137*T$6+U1305*U$6+V1137*V$6+W1137*W$6+X1137*X$6+Y1137*Y$6+Z1137*Z$6+AA1137*AA$6+AB1137*AB$6+AC1137*AC$6+AD1137*AD$6+AE1137*AE$6+AF1137*AF$6</f>
        <v>7.7127798311495432</v>
      </c>
      <c r="AH1137" s="1097">
        <v>202605</v>
      </c>
      <c r="AI1137" s="1017"/>
      <c r="AJ1137" s="931" t="s">
        <v>2321</v>
      </c>
    </row>
    <row r="1138" spans="3:36" s="301" customFormat="1" ht="15.75" hidden="1">
      <c r="C1138" s="1032">
        <v>46146</v>
      </c>
      <c r="D1138" s="1024">
        <v>333108</v>
      </c>
      <c r="E1138" s="1024">
        <v>35308</v>
      </c>
      <c r="F1138" s="1024">
        <v>22358</v>
      </c>
      <c r="G1138" s="1024">
        <v>4176</v>
      </c>
      <c r="H1138" s="1024">
        <v>1922</v>
      </c>
      <c r="I1138" s="1024">
        <v>190834</v>
      </c>
      <c r="J1138" s="1024">
        <v>156530</v>
      </c>
      <c r="K1138" s="1001">
        <v>53766.879999999997</v>
      </c>
      <c r="L1138" s="1024">
        <v>13768</v>
      </c>
      <c r="M1138" s="1024">
        <v>273222</v>
      </c>
      <c r="N1138" s="1024">
        <v>6883</v>
      </c>
      <c r="O1138" s="1024">
        <v>5121</v>
      </c>
      <c r="P1138" s="1001">
        <v>0</v>
      </c>
      <c r="Q1138" s="1094">
        <v>0</v>
      </c>
      <c r="R1138" s="1095">
        <f xml:space="preserve"> IF(C1138&lt; DATE(2024, 11, 1), D1138 * (2.31 / 100), D1138 * (2.925 / 100))+E1138*E$6+F1138*F$6+G1138*G$6+H1138*H$6+I1138*I$6+J1138*J$6+K1138*K$6+L1138*L$6+M1138*M$6+N1138*N$6+O1138*O$6+P1138*P$6+Q1138*Q$6</f>
        <v>148299.429</v>
      </c>
      <c r="S1138" s="1007">
        <v>14.226087153508312</v>
      </c>
      <c r="T1138" s="1007">
        <v>0.49599399999999999</v>
      </c>
      <c r="U1138" s="1007">
        <v>3.4775320192441108E-3</v>
      </c>
      <c r="V1138" s="1105">
        <v>2.1000000000000001E-2</v>
      </c>
      <c r="W1138" s="1007">
        <v>0.27085999999999999</v>
      </c>
      <c r="X1138" s="1103">
        <v>8.5319427886970569</v>
      </c>
      <c r="Y1138" s="1007">
        <v>10</v>
      </c>
      <c r="Z1138" s="1021">
        <v>0</v>
      </c>
      <c r="AA1138" s="1007">
        <v>0</v>
      </c>
      <c r="AB1138" s="1007">
        <v>0</v>
      </c>
      <c r="AC1138" s="1007">
        <v>0.19538605736421377</v>
      </c>
      <c r="AD1138" s="1007">
        <v>8.7187488496291918E-2</v>
      </c>
      <c r="AE1138" s="1007">
        <v>0</v>
      </c>
      <c r="AF1138" s="1007">
        <v>14.630479658612419</v>
      </c>
      <c r="AG1138" s="1096">
        <f xml:space="preserve"> IF(C1138&lt; DATE(2024, 11, 1), S1138 * (2.31 / 100), S1138 * (2.925 / 100))+T1138*T$6+U1306*U$6+V1138*V$6+W1138*W$6+X1138*X$6+Y1138*Y$6+Z1138*Z$6+AA1138*AA$6+AB1138*AB$6+AC1138*AC$6+AD1138*AD$6+AE1138*AE$6+AF1138*AF$6</f>
        <v>7.6813289906522213</v>
      </c>
      <c r="AH1138" s="1097">
        <v>202605</v>
      </c>
      <c r="AI1138" s="1017"/>
      <c r="AJ1138" s="931"/>
    </row>
    <row r="1139" spans="3:36" s="301" customFormat="1" ht="15.75" hidden="1">
      <c r="C1139" s="1032">
        <v>46147</v>
      </c>
      <c r="D1139" s="1100">
        <v>332005</v>
      </c>
      <c r="E1139" s="1100">
        <v>34950</v>
      </c>
      <c r="F1139" s="1100">
        <v>22322.13</v>
      </c>
      <c r="G1139" s="1100">
        <v>4224</v>
      </c>
      <c r="H1139" s="1100">
        <v>1910</v>
      </c>
      <c r="I1139" s="1100">
        <v>190757</v>
      </c>
      <c r="J1139" s="1100">
        <v>158520</v>
      </c>
      <c r="K1139" s="1004">
        <v>54310.39</v>
      </c>
      <c r="L1139" s="1100">
        <v>11773</v>
      </c>
      <c r="M1139" s="1100">
        <v>165947</v>
      </c>
      <c r="N1139" s="1100">
        <v>6638</v>
      </c>
      <c r="O1139" s="1100">
        <v>5169</v>
      </c>
      <c r="P1139" s="1004">
        <v>0</v>
      </c>
      <c r="Q1139" s="1094">
        <v>0</v>
      </c>
      <c r="R1139" s="1095">
        <f xml:space="preserve"> IF(C1139&lt; DATE(2024, 11, 1), D1139 * (2.31 / 100), D1139 * (2.925 / 100))+E1139*E$6+F1139*F$6+G1139*G$6+H1139*H$6+I1139*I$6+J1139*J$6+K1139*K$6+L1139*L$6+M1139*M$6+N1139*N$6+O1139*O$6+P1139*P$6+Q1139*Q$6</f>
        <v>144015.231</v>
      </c>
      <c r="S1139" s="1015">
        <v>14.156710944734064</v>
      </c>
      <c r="T1139" s="1015">
        <v>0.50014000000000003</v>
      </c>
      <c r="U1139" s="1015">
        <v>3.4775320192441108E-3</v>
      </c>
      <c r="V1139" s="1106">
        <v>2.1999999999999999E-2</v>
      </c>
      <c r="W1139" s="1015">
        <v>0.28170000000000001</v>
      </c>
      <c r="X1139" s="1103">
        <v>8.52</v>
      </c>
      <c r="Y1139" s="1015">
        <v>9.66</v>
      </c>
      <c r="Z1139" s="1021">
        <v>0</v>
      </c>
      <c r="AA1139" s="1021">
        <v>0</v>
      </c>
      <c r="AB1139" s="1021">
        <v>0</v>
      </c>
      <c r="AC1139" s="1015">
        <v>0.19397021636882089</v>
      </c>
      <c r="AD1139" s="1015">
        <v>9.9618572435841157E-2</v>
      </c>
      <c r="AE1139" s="1015">
        <v>0</v>
      </c>
      <c r="AF1139" s="1015">
        <v>14.634528963859241</v>
      </c>
      <c r="AG1139" s="1096">
        <f xml:space="preserve"> IF(C1139&lt; DATE(2024, 11, 1), S1139 * (2.31 / 100), S1139 * (2.925 / 100))+T1139*T$6+U1307*U$6+V1139*V$6+W1139*W$6+X1139*X$6+Y1139*Y$6+Z1139*Z$6+AA1139*AA$6+AB1139*AB$6+AC1139*AC$6+AD1139*AD$6+AE1139*AE$6+AF1139*AF$6</f>
        <v>7.6064756717644482</v>
      </c>
      <c r="AH1139" s="1097">
        <v>202605</v>
      </c>
      <c r="AI1139" s="1017"/>
      <c r="AJ1139" s="931" t="s">
        <v>2322</v>
      </c>
    </row>
    <row r="1140" spans="3:36" s="301" customFormat="1" ht="15.75" hidden="1">
      <c r="C1140" s="1032">
        <v>46148</v>
      </c>
      <c r="D1140" s="1024">
        <v>307722</v>
      </c>
      <c r="E1140" s="1024">
        <v>32459</v>
      </c>
      <c r="F1140" s="1024">
        <v>22238</v>
      </c>
      <c r="G1140" s="1024">
        <v>4232</v>
      </c>
      <c r="H1140" s="1024">
        <v>1935</v>
      </c>
      <c r="I1140" s="1024">
        <v>190556</v>
      </c>
      <c r="J1140" s="1024">
        <v>154463</v>
      </c>
      <c r="K1140" s="1001">
        <v>53960.99</v>
      </c>
      <c r="L1140" s="1024">
        <v>13005</v>
      </c>
      <c r="M1140" s="1024">
        <v>153402</v>
      </c>
      <c r="N1140" s="1024">
        <v>7428</v>
      </c>
      <c r="O1140" s="1024">
        <v>5223</v>
      </c>
      <c r="P1140" s="1001">
        <v>0</v>
      </c>
      <c r="Q1140" s="1094">
        <v>0</v>
      </c>
      <c r="R1140" s="1095">
        <f xml:space="preserve"> IF(C1140&lt; DATE(2024, 11, 1), D1140 * (2.31 / 100), D1140 * (2.925 / 100))+E1140*E$6+F1140*F$6+G1140*G$6+H1140*H$6+I1140*I$6+J1140*J$6+K1140*K$6+L1140*L$6+M1140*M$6+N1140*N$6+O1140*O$6+P1140*P$6+Q1140*Q$6</f>
        <v>141324.04224999997</v>
      </c>
      <c r="S1140" s="1007">
        <v>14.27422574735167</v>
      </c>
      <c r="T1140" s="1007">
        <v>0.33772200000000002</v>
      </c>
      <c r="U1140" s="1007">
        <v>3.5976236524733326E-3</v>
      </c>
      <c r="V1140" s="1105">
        <v>2.3E-2</v>
      </c>
      <c r="W1140" s="1007">
        <v>0.27323000000000003</v>
      </c>
      <c r="X1140" s="1103">
        <v>8.5039999999999996</v>
      </c>
      <c r="Y1140" s="1007">
        <v>10.029999999999999</v>
      </c>
      <c r="Z1140" s="1021">
        <v>0</v>
      </c>
      <c r="AA1140" s="1021">
        <v>0</v>
      </c>
      <c r="AB1140" s="1021">
        <v>0</v>
      </c>
      <c r="AC1140" s="1007">
        <v>0.19028902978079948</v>
      </c>
      <c r="AD1140" s="1007">
        <v>9.4266693473256183E-2</v>
      </c>
      <c r="AE1140" s="1007">
        <v>0</v>
      </c>
      <c r="AF1140" s="1007">
        <v>14.630791143631406</v>
      </c>
      <c r="AG1140" s="1096">
        <f xml:space="preserve"> IF(C1140&lt; DATE(2024, 11, 1), S1140 * (2.31 / 100), S1140 * (2.925 / 100))+T1140*T$6+U1308*U$6+V1140*V$6+W1140*W$6+X1140*X$6+Y1140*Y$6+Z1140*Z$6+AA1140*AA$6+AB1140*AB$6+AC1140*AC$6+AD1140*AD$6+AE1140*AE$6+AF1140*AF$6</f>
        <v>7.647909008192566</v>
      </c>
      <c r="AH1140" s="1097">
        <v>202605</v>
      </c>
      <c r="AI1140" s="1017"/>
      <c r="AJ1140" s="931" t="s">
        <v>649</v>
      </c>
    </row>
    <row r="1141" spans="3:36" s="301" customFormat="1" ht="15.75" hidden="1">
      <c r="C1141" s="1032">
        <v>46149</v>
      </c>
      <c r="D1141" s="1100">
        <v>355827</v>
      </c>
      <c r="E1141" s="1100">
        <v>33478</v>
      </c>
      <c r="F1141" s="1100">
        <v>22255</v>
      </c>
      <c r="G1141" s="1100">
        <v>4291</v>
      </c>
      <c r="H1141" s="1100">
        <v>1935</v>
      </c>
      <c r="I1141" s="1100">
        <v>189971</v>
      </c>
      <c r="J1141" s="1100">
        <v>155883</v>
      </c>
      <c r="K1141" s="1004">
        <v>50896.81</v>
      </c>
      <c r="L1141" s="1100">
        <v>13182</v>
      </c>
      <c r="M1141" s="1100">
        <v>77474</v>
      </c>
      <c r="N1141" s="1100">
        <v>6755</v>
      </c>
      <c r="O1141" s="1100">
        <v>5222</v>
      </c>
      <c r="P1141" s="1004">
        <v>0</v>
      </c>
      <c r="Q1141" s="1094">
        <v>0</v>
      </c>
      <c r="R1141" s="1095">
        <f xml:space="preserve"> IF(C1141&lt; DATE(2024, 11, 1), D1141 * (2.31 / 100), D1141 * (2.925 / 100))+E1141*E$6+F1141*F$6+G1141*G$6+H1141*H$6+I1141*I$6+J1141*J$6+K1141*K$6+L1141*L$6+M1141*M$6+N1141*N$6+O1141*O$6+P1141*P$6+Q1141*Q$6</f>
        <v>139464.94974999997</v>
      </c>
      <c r="S1141" s="1015">
        <v>14.129809965821595</v>
      </c>
      <c r="T1141" s="1015">
        <v>0.277721</v>
      </c>
      <c r="U1141" s="1015">
        <v>3.6122068147258785E-3</v>
      </c>
      <c r="V1141" s="1106">
        <v>2.4E-2</v>
      </c>
      <c r="W1141" s="1015">
        <v>0.27444000000000002</v>
      </c>
      <c r="X1141" s="1103">
        <v>8.5072505217374061</v>
      </c>
      <c r="Y1141" s="1015">
        <v>10</v>
      </c>
      <c r="Z1141" s="1021">
        <v>0</v>
      </c>
      <c r="AA1141" s="1021">
        <v>0</v>
      </c>
      <c r="AB1141" s="1021">
        <v>0</v>
      </c>
      <c r="AC1141" s="1015">
        <v>0.19651873016052807</v>
      </c>
      <c r="AD1141" s="1015">
        <v>9.6616989525608307E-2</v>
      </c>
      <c r="AE1141" s="1015">
        <v>0</v>
      </c>
      <c r="AF1141" s="1015">
        <v>14.628185996199884</v>
      </c>
      <c r="AG1141" s="1096">
        <f xml:space="preserve"> IF(C1141&lt; DATE(2024, 11, 1), S1141 * (2.31 / 100), S1141 * (2.925 / 100))+T1141*T$6+U1309*U$6+V1141*V$6+W1141*W$6+X1141*X$6+Y1141*Y$6+Z1141*Z$6+AA1141*AA$6+AB1141*AB$6+AC1141*AC$6+AD1141*AD$6+AE1141*AE$6+AF1141*AF$6</f>
        <v>7.6232271913296454</v>
      </c>
      <c r="AH1141" s="1097">
        <v>202605</v>
      </c>
      <c r="AI1141" s="1017"/>
      <c r="AJ1141" s="931"/>
    </row>
    <row r="1142" spans="3:36" s="301" customFormat="1" ht="15.75" hidden="1">
      <c r="C1142" s="1032">
        <v>46150</v>
      </c>
      <c r="D1142" s="1024">
        <v>348493</v>
      </c>
      <c r="E1142" s="1024">
        <v>33642</v>
      </c>
      <c r="F1142" s="1024">
        <v>22230</v>
      </c>
      <c r="G1142" s="1024">
        <v>4335</v>
      </c>
      <c r="H1142" s="1024">
        <v>1912</v>
      </c>
      <c r="I1142" s="1024">
        <v>189396</v>
      </c>
      <c r="J1142" s="1024">
        <v>157190</v>
      </c>
      <c r="K1142" s="1001">
        <v>50693.85</v>
      </c>
      <c r="L1142" s="1024">
        <v>12488</v>
      </c>
      <c r="M1142" s="1024">
        <v>76357</v>
      </c>
      <c r="N1142" s="1024">
        <v>6753</v>
      </c>
      <c r="O1142" s="1024">
        <v>5285</v>
      </c>
      <c r="P1142" s="1001">
        <v>0</v>
      </c>
      <c r="Q1142" s="1094">
        <v>0</v>
      </c>
      <c r="R1142" s="1095">
        <f t="shared" ref="R1142:R1143" si="78" xml:space="preserve"> IF(C1142&lt; DATE(2024, 11, 1), D1142 * (2.31 / 100), D1142 * (2.925 / 100))+E1142*E$6+F1142*F$6+G1142*G$6+H1142*H$6+I1142*I$6+J1142*J$6+K1142*K$6+L1142*L$6+M1142*M$6+N1142*N$6+O1142*O$6+P1142*P$6+Q1142*Q$6</f>
        <v>139263.16274999999</v>
      </c>
      <c r="S1142" s="1007">
        <v>14.091582258945991</v>
      </c>
      <c r="T1142" s="1007">
        <v>0.27341700000000002</v>
      </c>
      <c r="U1142" s="1007">
        <v>3.7308542901397998E-3</v>
      </c>
      <c r="V1142" s="1105">
        <v>2.1999999999999999E-2</v>
      </c>
      <c r="W1142" s="1007">
        <v>0.27260000000000001</v>
      </c>
      <c r="X1142" s="1103">
        <v>8.5108184410457959</v>
      </c>
      <c r="Y1142" s="1007">
        <v>10.06</v>
      </c>
      <c r="Z1142" s="1021">
        <v>0</v>
      </c>
      <c r="AA1142" s="1021">
        <v>0</v>
      </c>
      <c r="AB1142" s="1021">
        <v>0</v>
      </c>
      <c r="AC1142" s="1007">
        <v>0.19340387997066377</v>
      </c>
      <c r="AD1142" s="1007">
        <v>8.5176994282834054E-2</v>
      </c>
      <c r="AE1142" s="1007">
        <v>0</v>
      </c>
      <c r="AF1142" s="1007">
        <v>14.61221530977185</v>
      </c>
      <c r="AG1142" s="1096">
        <f xml:space="preserve"> IF(C1142&lt; DATE(2024, 11, 1), S1142 * (2.31 / 100), S1142 * (2.925 / 100))+T1142*T$6+U1310*U$6+V1142*V$6+W1142*W$6+X1142*X$6+Y1142*Y$6+Z1142*Z$6+AA1142*AA$6+AB1142*AB$6+AC1142*AC$6+AD1142*AD$6+AE1142*AE$6+AF1142*AF$6</f>
        <v>7.6267868864544521</v>
      </c>
      <c r="AH1142" s="1097">
        <v>202605</v>
      </c>
      <c r="AI1142" s="1017"/>
      <c r="AJ1142" s="931" t="s">
        <v>2324</v>
      </c>
    </row>
    <row r="1143" spans="3:36" s="301" customFormat="1" ht="15.75" hidden="1">
      <c r="C1143" s="1032">
        <v>46151</v>
      </c>
      <c r="D1143" s="1100">
        <v>354259</v>
      </c>
      <c r="E1143" s="1100">
        <v>33704</v>
      </c>
      <c r="F1143" s="1100">
        <v>22203</v>
      </c>
      <c r="G1143" s="1100">
        <v>4404</v>
      </c>
      <c r="H1143" s="1100">
        <v>1820</v>
      </c>
      <c r="I1143" s="1100">
        <v>190146</v>
      </c>
      <c r="J1143" s="1100">
        <v>157467</v>
      </c>
      <c r="K1143" s="1004">
        <v>52218.28</v>
      </c>
      <c r="L1143" s="1100">
        <v>11192</v>
      </c>
      <c r="M1143" s="1100">
        <v>77586</v>
      </c>
      <c r="N1143" s="1100">
        <v>6870</v>
      </c>
      <c r="O1143" s="1100">
        <v>5339</v>
      </c>
      <c r="P1143" s="1004">
        <v>0</v>
      </c>
      <c r="Q1143" s="1094">
        <v>0</v>
      </c>
      <c r="R1143" s="1095">
        <f t="shared" si="78"/>
        <v>139746.25575000001</v>
      </c>
      <c r="S1143" s="1015">
        <v>13.997570416851904</v>
      </c>
      <c r="T1143" s="1015">
        <v>0.26392199999999999</v>
      </c>
      <c r="U1143" s="1015">
        <v>3.7994093111367224E-3</v>
      </c>
      <c r="V1143" s="1106">
        <v>2.3E-2</v>
      </c>
      <c r="W1143" s="1015">
        <v>0.25944</v>
      </c>
      <c r="X1143" s="1103">
        <v>8.5491877320209433</v>
      </c>
      <c r="Y1143" s="1015">
        <v>10.039999999999999</v>
      </c>
      <c r="Z1143" s="1021">
        <v>0</v>
      </c>
      <c r="AA1143" s="1021">
        <v>0</v>
      </c>
      <c r="AB1143" s="1021">
        <v>0</v>
      </c>
      <c r="AC1143" s="1015">
        <v>0.19680189835960663</v>
      </c>
      <c r="AD1143" s="1015">
        <v>8.6111449339793339E-2</v>
      </c>
      <c r="AE1143" s="1015">
        <v>0</v>
      </c>
      <c r="AF1143" s="1015">
        <v>14.602446006903641</v>
      </c>
      <c r="AG1143" s="1096">
        <f xml:space="preserve"> IF(C1143&lt; DATE(2024, 11, 1), S1143 * (2.31 / 100), S1143 * (2.925 / 100))+T1143*T$6+U1311*U$6+V1143*V$6+W1143*W$6+X1143*X$6+Y1143*Y$6+Z1143*Z$6+AA1143*AA$6+AB1143*AB$6+AC1143*AC$6+AD1143*AD$6+AE1143*AE$6+AF1143*AF$6</f>
        <v>7.6103740308262005</v>
      </c>
      <c r="AH1143" s="1097">
        <v>202605</v>
      </c>
      <c r="AI1143" s="1017"/>
      <c r="AJ1143" s="931" t="s">
        <v>2323</v>
      </c>
    </row>
    <row r="1144" spans="3:36" s="301" customFormat="1" ht="15.75" hidden="1">
      <c r="C1144" s="1032">
        <v>46152</v>
      </c>
      <c r="D1144" s="1024">
        <v>322259</v>
      </c>
      <c r="E1144" s="1024">
        <v>33610</v>
      </c>
      <c r="F1144" s="1024">
        <v>22097</v>
      </c>
      <c r="G1144" s="1024">
        <v>4463</v>
      </c>
      <c r="H1144" s="1024">
        <v>1943</v>
      </c>
      <c r="I1144" s="1024">
        <v>187922</v>
      </c>
      <c r="J1144" s="1024">
        <v>158086</v>
      </c>
      <c r="K1144" s="1024">
        <v>52467.31</v>
      </c>
      <c r="L1144" s="1024">
        <v>12427</v>
      </c>
      <c r="M1144" s="1024">
        <v>81580</v>
      </c>
      <c r="N1144" s="1024">
        <v>6776</v>
      </c>
      <c r="O1144" s="1024">
        <v>5370</v>
      </c>
      <c r="P1144" s="1001">
        <v>0</v>
      </c>
      <c r="Q1144" s="1094">
        <v>0</v>
      </c>
      <c r="R1144" s="1095">
        <f t="shared" ref="R1144" si="79" xml:space="preserve"> IF(C1144&lt; DATE(2024, 11, 1), D1144 * (2.31 / 100), D1144 * (2.925 / 100))+E1144*E$6+F1144*F$6+G1144*G$6+H1144*H$6+I1144*I$6+J1144*J$6+K1144*K$6+L1144*L$6+M1144*M$6+N1144*N$6+O1144*O$6+P1144*P$6+Q1144*Q$6</f>
        <v>139101.337</v>
      </c>
      <c r="S1144" s="1007">
        <v>16.221856620614073</v>
      </c>
      <c r="T1144" s="1007">
        <v>0.26492500000000002</v>
      </c>
      <c r="U1144" s="1007">
        <v>3.6381450217614756E-3</v>
      </c>
      <c r="V1144" s="1007">
        <v>2.2208544E-2</v>
      </c>
      <c r="W1144" s="1007">
        <v>0.27994000000000002</v>
      </c>
      <c r="X1144" s="1103">
        <v>8.5191719029186146</v>
      </c>
      <c r="Y1144" s="1007">
        <v>10.1</v>
      </c>
      <c r="Z1144" s="1021">
        <v>0</v>
      </c>
      <c r="AA1144" s="1021">
        <v>0</v>
      </c>
      <c r="AB1144" s="1021">
        <v>0</v>
      </c>
      <c r="AC1144" s="1007">
        <v>0.19538605736421377</v>
      </c>
      <c r="AD1144" s="1007">
        <v>8.6762736197674051E-2</v>
      </c>
      <c r="AE1144" s="1007">
        <v>0</v>
      </c>
      <c r="AF1144" s="1007">
        <v>14.59423412913036</v>
      </c>
      <c r="AG1144" s="1096">
        <f xml:space="preserve"> IF(C1144&lt; DATE(2024, 11, 1), S1144 * (2.31 / 100), S1144 * (2.925 / 100))+T1144*T$6+U1312*U$6+V1144*V$6+W1144*W$6+X1144*X$6+Y1144*Y$6+Z1144*Z$6+AA1144*AA$6+AB1144*AB$6+AC1144*AC$6+AD1144*AD$6+AE1144*AE$6+AF1144*AF$6</f>
        <v>7.7041150714779789</v>
      </c>
      <c r="AH1144" s="1097">
        <v>202605</v>
      </c>
      <c r="AI1144" s="1017"/>
      <c r="AJ1144" s="931" t="s">
        <v>2325</v>
      </c>
    </row>
    <row r="1145" spans="3:36" s="301" customFormat="1" ht="15.75" hidden="1">
      <c r="C1145" s="1032">
        <v>46153</v>
      </c>
      <c r="D1145" s="1100">
        <v>343687</v>
      </c>
      <c r="E1145" s="1100">
        <v>33346</v>
      </c>
      <c r="F1145" s="1100">
        <v>22310</v>
      </c>
      <c r="G1145" s="1100">
        <v>4405</v>
      </c>
      <c r="H1145" s="1100">
        <v>1880</v>
      </c>
      <c r="I1145" s="1100">
        <v>189597</v>
      </c>
      <c r="J1145" s="1100">
        <v>156603</v>
      </c>
      <c r="K1145" s="1100">
        <v>48295.01</v>
      </c>
      <c r="L1145" s="1100">
        <v>12200</v>
      </c>
      <c r="M1145" s="1100">
        <v>79883</v>
      </c>
      <c r="N1145" s="1100">
        <v>6986</v>
      </c>
      <c r="O1145" s="1100">
        <v>5375</v>
      </c>
      <c r="P1145" s="1004">
        <v>0</v>
      </c>
      <c r="Q1145" s="1094">
        <v>0</v>
      </c>
      <c r="R1145" s="1095">
        <f t="shared" ref="R1145" si="80" xml:space="preserve"> IF(C1145&lt; DATE(2024, 11, 1), D1145 * (2.31 / 100), D1145 * (2.925 / 100))+E1145*E$6+F1145*F$6+G1145*G$6+H1145*H$6+I1145*I$6+J1145*J$6+K1145*K$6+L1145*L$6+M1145*M$6+N1145*N$6+O1145*O$6+P1145*P$6+Q1145*Q$6</f>
        <v>138522.72725</v>
      </c>
      <c r="S1145" s="1015">
        <v>14.475558336896533</v>
      </c>
      <c r="T1145" s="1015">
        <v>0.26504299999999997</v>
      </c>
      <c r="U1145" s="1015">
        <v>2.6942321469529684E-3</v>
      </c>
      <c r="V1145" s="1015">
        <v>2.1000000000000001E-2</v>
      </c>
      <c r="W1145" s="1015">
        <v>0.28169</v>
      </c>
      <c r="X1145" s="1103">
        <v>8.0337366592382207</v>
      </c>
      <c r="Y1145" s="1015">
        <v>10.11</v>
      </c>
      <c r="Z1145" s="1021">
        <v>0</v>
      </c>
      <c r="AA1145" s="1021">
        <v>0</v>
      </c>
      <c r="AB1145" s="1021">
        <v>0</v>
      </c>
      <c r="AC1145" s="1015">
        <v>0.19397021636882089</v>
      </c>
      <c r="AD1145" s="1015">
        <v>0.11122846859806255</v>
      </c>
      <c r="AE1145" s="1015">
        <v>0</v>
      </c>
      <c r="AF1145" s="1015">
        <v>14.600407195870275</v>
      </c>
      <c r="AG1145" s="1096">
        <f xml:space="preserve"> IF(C1145&lt; DATE(2024, 11, 1), S1145 * (2.31 / 100), S1145 * (2.925 / 100))+T1145*T$6+U1313*U$6+V1145*V$6+W1145*W$6+X1145*X$6+Y1145*Y$6+Z1145*Z$6+AA1145*AA$6+AB1145*AB$6+AC1145*AC$6+AD1145*AD$6+AE1145*AE$6+AF1145*AF$6</f>
        <v>7.5704063577396106</v>
      </c>
      <c r="AH1145" s="1097">
        <v>202605</v>
      </c>
      <c r="AI1145" s="1017"/>
      <c r="AJ1145" s="931" t="s">
        <v>2327</v>
      </c>
    </row>
    <row r="1146" spans="3:36" s="301" customFormat="1" ht="15.75" hidden="1">
      <c r="C1146" s="1032">
        <v>46154</v>
      </c>
      <c r="D1146" s="1024">
        <v>316576</v>
      </c>
      <c r="E1146" s="1024">
        <v>33308</v>
      </c>
      <c r="F1146" s="1024">
        <v>22210</v>
      </c>
      <c r="G1146" s="1024">
        <v>4432</v>
      </c>
      <c r="H1146" s="1024">
        <v>1887</v>
      </c>
      <c r="I1146" s="1024">
        <v>188969</v>
      </c>
      <c r="J1146" s="1024">
        <v>158130</v>
      </c>
      <c r="K1146" s="1024">
        <v>51034.36</v>
      </c>
      <c r="L1146" s="1024">
        <v>12090</v>
      </c>
      <c r="M1146" s="1024">
        <v>82571</v>
      </c>
      <c r="N1146" s="1024">
        <v>7168</v>
      </c>
      <c r="O1146" s="1024">
        <v>5539</v>
      </c>
      <c r="P1146" s="1001">
        <v>0</v>
      </c>
      <c r="Q1146" s="1094">
        <v>0</v>
      </c>
      <c r="R1146" s="1095">
        <f t="shared" ref="R1146" si="81" xml:space="preserve"> IF(C1146&lt; DATE(2024, 11, 1), D1146 * (2.31 / 100), D1146 * (2.925 / 100))+E1146*E$6+F1146*F$6+G1146*G$6+H1146*H$6+I1146*I$6+J1146*J$6+K1146*K$6+L1146*L$6+M1146*M$6+N1146*N$6+O1146*O$6+P1146*P$6+Q1146*Q$6</f>
        <v>138792.83050000001</v>
      </c>
      <c r="S1146" s="1007">
        <v>14.791857215267296</v>
      </c>
      <c r="T1146" s="1007">
        <v>0.267627</v>
      </c>
      <c r="U1146" s="1007">
        <v>3.4355948089605745E-3</v>
      </c>
      <c r="V1146" s="1007">
        <v>2.1999999999999999E-2</v>
      </c>
      <c r="W1146" s="1007">
        <v>0.25577</v>
      </c>
      <c r="X1146" s="1103">
        <v>8.5190000000000001</v>
      </c>
      <c r="Y1146" s="1007">
        <v>9.92</v>
      </c>
      <c r="Z1146" s="1021">
        <v>0</v>
      </c>
      <c r="AA1146" s="1021">
        <v>0</v>
      </c>
      <c r="AB1146" s="1021">
        <v>0</v>
      </c>
      <c r="AC1146" s="1007">
        <v>0.19765140295684233</v>
      </c>
      <c r="AD1146" s="1007">
        <v>8.9566101368551893E-2</v>
      </c>
      <c r="AE1146" s="1007">
        <v>0</v>
      </c>
      <c r="AF1146" s="1007">
        <v>14.589222052006672</v>
      </c>
      <c r="AG1146" s="1096">
        <f xml:space="preserve"> IF(C1146&lt; DATE(2024, 11, 1), S1146 * (2.31 / 100), S1146 * (2.925 / 100))+T1146*T$6+U1314*U$6+V1146*V$6+W1146*W$6+X1146*X$6+Y1146*Y$6+Z1146*Z$6+AA1146*AA$6+AB1146*AB$6+AC1146*AC$6+AD1146*AD$6+AE1146*AE$6+AF1146*AF$6</f>
        <v>7.5924269572603773</v>
      </c>
      <c r="AH1146" s="1097">
        <v>202605</v>
      </c>
      <c r="AI1146" s="1107"/>
      <c r="AJ1146" s="931" t="s">
        <v>2326</v>
      </c>
    </row>
    <row r="1147" spans="3:36" s="301" customFormat="1" ht="15.75" hidden="1">
      <c r="C1147" s="1032">
        <v>46155</v>
      </c>
      <c r="D1147" s="1100">
        <v>321852</v>
      </c>
      <c r="E1147" s="1100">
        <v>28560</v>
      </c>
      <c r="F1147" s="1100">
        <v>22154.19</v>
      </c>
      <c r="G1147" s="1100">
        <v>4502</v>
      </c>
      <c r="H1147" s="1100">
        <v>1855</v>
      </c>
      <c r="I1147" s="1100">
        <v>186823</v>
      </c>
      <c r="J1147" s="1100">
        <v>156544</v>
      </c>
      <c r="K1147" s="1100">
        <v>50973.94</v>
      </c>
      <c r="L1147" s="1100">
        <v>10908</v>
      </c>
      <c r="M1147" s="1100">
        <v>90614</v>
      </c>
      <c r="N1147" s="1100">
        <v>6925</v>
      </c>
      <c r="O1147" s="1100">
        <v>5512</v>
      </c>
      <c r="P1147" s="1004">
        <v>0</v>
      </c>
      <c r="Q1147" s="1094">
        <v>0</v>
      </c>
      <c r="R1147" s="1095">
        <f t="shared" ref="R1147" si="82" xml:space="preserve"> IF(C1147&lt; DATE(2024, 11, 1), D1147 * (2.31 / 100), D1147 * (2.925 / 100))+E1147*E$6+F1147*F$6+G1147*G$6+H1147*H$6+I1147*I$6+J1147*J$6+K1147*K$6+L1147*L$6+M1147*M$6+N1147*N$6+O1147*O$6+P1147*P$6+Q1147*Q$6</f>
        <v>136771.49399999998</v>
      </c>
      <c r="S1147" s="1015">
        <v>14.042594160505397</v>
      </c>
      <c r="T1147" s="1015">
        <v>0.25270300000000001</v>
      </c>
      <c r="U1147" s="1015">
        <v>3.4355948089605745E-3</v>
      </c>
      <c r="V1147" s="1015">
        <v>2.1999999999999999E-2</v>
      </c>
      <c r="W1147" s="1015">
        <v>0.26788000000000001</v>
      </c>
      <c r="X1147" s="1103">
        <v>8.5210000000000008</v>
      </c>
      <c r="Y1147" s="1015">
        <v>10.07</v>
      </c>
      <c r="Z1147" s="1021">
        <v>0</v>
      </c>
      <c r="AA1147" s="1021">
        <v>0</v>
      </c>
      <c r="AB1147" s="1021">
        <v>0</v>
      </c>
      <c r="AC1147" s="1015">
        <v>0.19566922556329233</v>
      </c>
      <c r="AD1147" s="1015">
        <v>8.8971448150486895E-2</v>
      </c>
      <c r="AE1147" s="1015">
        <v>0</v>
      </c>
      <c r="AF1147" s="1015">
        <v>14.553004839344521</v>
      </c>
      <c r="AG1147" s="1096">
        <f xml:space="preserve"> IF(C1147&lt; DATE(2024, 11, 1), S1147 * (2.31 / 100), S1147 * (2.925 / 100))+T1147*T$6+U1315*U$6+V1147*V$6+W1147*W$6+X1147*X$6+Y1147*Y$6+Z1147*Z$6+AA1147*AA$6+AB1147*AB$6+AC1147*AC$6+AD1147*AD$6+AE1147*AE$6+AF1147*AF$6</f>
        <v>7.6113787059555094</v>
      </c>
      <c r="AH1147" s="1097">
        <v>202605</v>
      </c>
      <c r="AI1147" s="1017"/>
      <c r="AJ1147" s="931" t="s">
        <v>2328</v>
      </c>
    </row>
    <row r="1148" spans="3:36" s="301" customFormat="1" ht="15.75" hidden="1">
      <c r="C1148" s="1032">
        <v>46156</v>
      </c>
      <c r="D1148" s="1024">
        <v>295603</v>
      </c>
      <c r="E1148" s="1024">
        <v>24346</v>
      </c>
      <c r="F1148" s="1024">
        <v>22128.22</v>
      </c>
      <c r="G1148" s="1024">
        <v>4559</v>
      </c>
      <c r="H1148" s="1024">
        <v>1804</v>
      </c>
      <c r="I1148" s="1024">
        <v>180008</v>
      </c>
      <c r="J1148" s="1024">
        <v>154692</v>
      </c>
      <c r="K1148" s="1024">
        <v>51204.9</v>
      </c>
      <c r="L1148" s="1024">
        <v>8461</v>
      </c>
      <c r="M1148" s="1024">
        <v>102944</v>
      </c>
      <c r="N1148" s="1024">
        <v>7032</v>
      </c>
      <c r="O1148" s="1024">
        <v>5417</v>
      </c>
      <c r="P1148" s="1001">
        <v>0</v>
      </c>
      <c r="Q1148" s="1094">
        <v>0</v>
      </c>
      <c r="R1148" s="1095">
        <f t="shared" ref="R1148" si="83" xml:space="preserve"> IF(C1148&lt; DATE(2024, 11, 1), D1148 * (2.31 / 100), D1148 * (2.925 / 100))+E1148*E$6+F1148*F$6+G1148*G$6+H1148*H$6+I1148*I$6+J1148*J$6+K1148*K$6+L1148*L$6+M1148*M$6+N1148*N$6+O1148*O$6+P1148*P$6+Q1148*Q$6</f>
        <v>132915.103</v>
      </c>
      <c r="S1148" s="1007">
        <v>14.214477257346088</v>
      </c>
      <c r="T1148" s="1007">
        <v>0.224493</v>
      </c>
      <c r="U1148" s="1007">
        <v>3.4355948089605745E-3</v>
      </c>
      <c r="V1148" s="1007">
        <v>2.3E-2</v>
      </c>
      <c r="W1148" s="1007">
        <v>0.25097000000000003</v>
      </c>
      <c r="X1148" s="1103">
        <v>8.4139999999999997</v>
      </c>
      <c r="Y1148" s="1007">
        <v>9.9600000000000009</v>
      </c>
      <c r="Z1148" s="1021">
        <v>0</v>
      </c>
      <c r="AA1148" s="1021">
        <v>0</v>
      </c>
      <c r="AB1148" s="1021">
        <v>0</v>
      </c>
      <c r="AC1148" s="1007">
        <v>0.19906724395223518</v>
      </c>
      <c r="AD1148" s="1007">
        <v>9.4153426193624754E-2</v>
      </c>
      <c r="AE1148" s="1007">
        <v>0</v>
      </c>
      <c r="AF1148" s="1007">
        <v>14.527491384607542</v>
      </c>
      <c r="AG1148" s="1096">
        <f xml:space="preserve"> IF(C1148&lt; DATE(2024, 11, 1), S1148 * (2.31 / 100), S1148 * (2.925 / 100))+T1148*T$6+U1316*U$6+V1148*V$6+W1148*W$6+X1148*X$6+Y1148*Y$6+Z1148*Z$6+AA1148*AA$6+AB1148*AB$6+AC1148*AC$6+AD1148*AD$6+AE1148*AE$6+AF1148*AF$6</f>
        <v>7.5404888724728512</v>
      </c>
      <c r="AH1148" s="1097">
        <v>202605</v>
      </c>
      <c r="AI1148" s="1017"/>
      <c r="AJ1148" s="931" t="s">
        <v>2329</v>
      </c>
    </row>
    <row r="1149" spans="3:36" s="301" customFormat="1" ht="15.75" hidden="1">
      <c r="C1149" s="1032">
        <v>46157</v>
      </c>
      <c r="D1149" s="1100">
        <v>291662</v>
      </c>
      <c r="E1149" s="1100">
        <v>21711</v>
      </c>
      <c r="F1149" s="1100">
        <v>22112</v>
      </c>
      <c r="G1149" s="1100">
        <v>4582</v>
      </c>
      <c r="H1149" s="1100">
        <v>1788</v>
      </c>
      <c r="I1149" s="1100">
        <v>176753</v>
      </c>
      <c r="J1149" s="1100">
        <v>154995</v>
      </c>
      <c r="K1149" s="1100">
        <v>52107.15</v>
      </c>
      <c r="L1149" s="1100">
        <v>10406</v>
      </c>
      <c r="M1149" s="1100">
        <v>140152</v>
      </c>
      <c r="N1149" s="1100">
        <v>7018</v>
      </c>
      <c r="O1149" s="1100">
        <v>5475</v>
      </c>
      <c r="P1149" s="1004">
        <v>0</v>
      </c>
      <c r="Q1149" s="1094">
        <v>0</v>
      </c>
      <c r="R1149" s="1095">
        <f t="shared" ref="R1149" si="84" xml:space="preserve"> IF(C1149&lt; DATE(2024, 11, 1), D1149 * (2.31 / 100), D1149 * (2.925 / 100))+E1149*E$6+F1149*F$6+G1149*G$6+H1149*H$6+I1149*I$6+J1149*J$6+K1149*K$6+L1149*L$6+M1149*M$6+N1149*N$6+O1149*O$6+P1149*P$6+Q1149*Q$6</f>
        <v>133705.07850000003</v>
      </c>
      <c r="S1149" s="1015">
        <v>14.292348512092698</v>
      </c>
      <c r="T1149" s="1015">
        <v>0.19705</v>
      </c>
      <c r="U1149" s="1015">
        <v>3.4355948089605745E-3</v>
      </c>
      <c r="V1149" s="1015">
        <v>2.3E-2</v>
      </c>
      <c r="W1149" s="1015">
        <v>0.18687000000000001</v>
      </c>
      <c r="X1149" s="1103">
        <v>8.359</v>
      </c>
      <c r="Y1149" s="1015">
        <v>9.9499999999999993</v>
      </c>
      <c r="Z1149" s="1021">
        <v>0</v>
      </c>
      <c r="AA1149" s="1021">
        <v>0</v>
      </c>
      <c r="AB1149" s="1021">
        <v>0</v>
      </c>
      <c r="AC1149" s="1015">
        <v>0.19821773935499948</v>
      </c>
      <c r="AD1149" s="1015">
        <v>9.001917048707761E-2</v>
      </c>
      <c r="AE1149" s="1015">
        <v>0</v>
      </c>
      <c r="AF1149" s="1015">
        <v>14.541196725442946</v>
      </c>
      <c r="AG1149" s="1096">
        <f xml:space="preserve"> IF(C1149&lt; DATE(2024, 11, 1), S1149 * (2.31 / 100), S1149 * (2.925 / 100))+T1149*T$6+U1317*U$6+V1149*V$6+W1149*W$6+X1149*X$6+Y1149*Y$6+Z1149*Z$6+AA1149*AA$6+AB1149*AB$6+AC1149*AC$6+AD1149*AD$6+AE1149*AE$6+AF1149*AF$6</f>
        <v>7.4582397568278926</v>
      </c>
      <c r="AH1149" s="1097">
        <v>202605</v>
      </c>
      <c r="AI1149" s="1017"/>
      <c r="AJ1149" s="931" t="s">
        <v>2330</v>
      </c>
    </row>
    <row r="1150" spans="3:36" s="301" customFormat="1" ht="15.75" hidden="1">
      <c r="C1150" s="1032">
        <v>46158</v>
      </c>
      <c r="D1150" s="1024">
        <v>320511</v>
      </c>
      <c r="E1150" s="1024">
        <v>2818</v>
      </c>
      <c r="F1150" s="1024">
        <v>22077</v>
      </c>
      <c r="G1150" s="1024">
        <v>4629</v>
      </c>
      <c r="H1150" s="1024">
        <v>1667</v>
      </c>
      <c r="I1150" s="1024">
        <v>183153</v>
      </c>
      <c r="J1150" s="1024">
        <v>157204</v>
      </c>
      <c r="K1150" s="1024">
        <v>50685.84</v>
      </c>
      <c r="L1150" s="1024">
        <v>12840</v>
      </c>
      <c r="M1150" s="1024">
        <v>181056</v>
      </c>
      <c r="N1150" s="1024">
        <v>7005</v>
      </c>
      <c r="O1150" s="1024">
        <v>5459</v>
      </c>
      <c r="P1150" s="1001">
        <v>0</v>
      </c>
      <c r="Q1150" s="1094">
        <v>0</v>
      </c>
      <c r="R1150" s="1095">
        <f t="shared" ref="R1150" si="85" xml:space="preserve"> IF(C1150&lt; DATE(2024, 11, 1), D1150 * (2.31 / 100), D1150 * (2.925 / 100))+E1150*E$6+F1150*F$6+G1150*G$6+H1150*H$6+I1150*I$6+J1150*J$6+K1150*K$6+L1150*L$6+M1150*M$6+N1150*N$6+O1150*O$6+P1150*P$6+Q1150*Q$6</f>
        <v>133040.34675</v>
      </c>
      <c r="S1150" s="1007">
        <v>14.070344644015098</v>
      </c>
      <c r="T1150" s="1007">
        <v>7.7396999999999994E-2</v>
      </c>
      <c r="U1150" s="1007">
        <v>3.4355948089605745E-3</v>
      </c>
      <c r="V1150" s="1007">
        <v>2.3E-2</v>
      </c>
      <c r="W1150" s="1007">
        <v>0.12537000000000001</v>
      </c>
      <c r="X1150" s="1103">
        <v>8.3140000000000001</v>
      </c>
      <c r="Y1150" s="1007">
        <v>9.81</v>
      </c>
      <c r="Z1150" s="1021">
        <v>0</v>
      </c>
      <c r="AA1150" s="1021">
        <v>0</v>
      </c>
      <c r="AB1150" s="1021">
        <v>0</v>
      </c>
      <c r="AC1150" s="1007">
        <v>0.19821773935499948</v>
      </c>
      <c r="AD1150" s="1007">
        <v>8.8971448150486895E-2</v>
      </c>
      <c r="AE1150" s="1007">
        <v>0</v>
      </c>
      <c r="AF1150" s="1007">
        <v>14.547114940803686</v>
      </c>
      <c r="AG1150" s="1096">
        <f xml:space="preserve"> IF(C1150&lt; DATE(2024, 11, 1), S1150 * (2.31 / 100), S1150 * (2.925 / 100))+T1150*T$6+U1318*U$6+V1150*V$6+W1150*W$6+X1150*X$6+Y1150*Y$6+Z1150*Z$6+AA1150*AA$6+AB1150*AB$6+AC1150*AC$6+AD1150*AD$6+AE1150*AE$6+AF1150*AF$6</f>
        <v>7.3131268413633137</v>
      </c>
      <c r="AH1150" s="1097">
        <v>202605</v>
      </c>
      <c r="AI1150" s="1017"/>
      <c r="AJ1150" s="931" t="s">
        <v>2331</v>
      </c>
    </row>
    <row r="1151" spans="3:36" s="301" customFormat="1" ht="15.75" hidden="1">
      <c r="C1151" s="1032">
        <v>46159</v>
      </c>
      <c r="D1151" s="1100">
        <v>181679</v>
      </c>
      <c r="E1151" s="1100">
        <v>8604</v>
      </c>
      <c r="F1151" s="1100">
        <v>22054.86</v>
      </c>
      <c r="G1151" s="1100">
        <v>4662</v>
      </c>
      <c r="H1151" s="1100">
        <v>1679</v>
      </c>
      <c r="I1151" s="1100">
        <v>184635</v>
      </c>
      <c r="J1151" s="1100">
        <v>154561</v>
      </c>
      <c r="K1151" s="1100">
        <v>50355.519999999997</v>
      </c>
      <c r="L1151" s="1100">
        <v>15057</v>
      </c>
      <c r="M1151" s="1100">
        <v>212248</v>
      </c>
      <c r="N1151" s="1100">
        <v>7056</v>
      </c>
      <c r="O1151" s="1100">
        <v>5486</v>
      </c>
      <c r="P1151" s="1004">
        <v>0</v>
      </c>
      <c r="Q1151" s="1094">
        <v>0</v>
      </c>
      <c r="R1151" s="1095">
        <f t="shared" ref="R1151" si="86" xml:space="preserve"> IF(C1151&lt; DATE(2024, 11, 1), D1151 * (2.31 / 100), D1151 * (2.925 / 100))+E1151*E$6+F1151*F$6+G1151*G$6+H1151*H$6+I1151*I$6+J1151*J$6+K1151*K$6+L1151*L$6+M1151*M$6+N1151*N$6+O1151*O$6+P1151*P$6+Q1151*Q$6</f>
        <v>131880.31400000001</v>
      </c>
      <c r="S1151" s="1015">
        <v>8.4602162838704551</v>
      </c>
      <c r="T1151" s="1015">
        <v>5.9284999999999997E-2</v>
      </c>
      <c r="U1151" s="1015">
        <v>3.4355948089605745E-3</v>
      </c>
      <c r="V1151" s="1015">
        <v>2.1999999999999999E-2</v>
      </c>
      <c r="W1151" s="1015">
        <v>0.12257999999999999</v>
      </c>
      <c r="X1151" s="1103">
        <v>8.343</v>
      </c>
      <c r="Y1151" s="1015">
        <v>9.8800000000000008</v>
      </c>
      <c r="Z1151" s="1021">
        <v>0</v>
      </c>
      <c r="AA1151" s="1021">
        <v>0</v>
      </c>
      <c r="AB1151" s="1021">
        <v>0</v>
      </c>
      <c r="AC1151" s="1015">
        <v>0.2016157577439423</v>
      </c>
      <c r="AD1151" s="1015">
        <v>8.5092043823110475E-2</v>
      </c>
      <c r="AE1151" s="1015">
        <v>0</v>
      </c>
      <c r="AF1151" s="1015">
        <v>14.525084454915373</v>
      </c>
      <c r="AG1151" s="1096">
        <f xml:space="preserve"> IF(C1151&lt; DATE(2024, 11, 1), S1151 * (2.31 / 100), S1151 * (2.925 / 100))+T1151*T$6+U1319*U$6+V1151*V$6+W1151*W$6+X1151*X$6+Y1151*Y$6+Z1151*Z$6+AA1151*AA$6+AB1151*AB$6+AC1151*AC$6+AD1151*AD$6+AE1151*AE$6+AF1151*AF$6</f>
        <v>7.1599271845199022</v>
      </c>
      <c r="AH1151" s="1097">
        <v>202605</v>
      </c>
      <c r="AI1151" s="1017"/>
      <c r="AJ1151" s="931" t="s">
        <v>2332</v>
      </c>
    </row>
    <row r="1152" spans="3:36" s="301" customFormat="1" ht="15.75" hidden="1">
      <c r="C1152" s="1032">
        <v>46160</v>
      </c>
      <c r="D1152" s="1024">
        <v>326213</v>
      </c>
      <c r="E1152" s="1024">
        <v>11855</v>
      </c>
      <c r="F1152" s="1024">
        <v>22068.670000000002</v>
      </c>
      <c r="G1152" s="1024">
        <v>4682</v>
      </c>
      <c r="H1152" s="1024">
        <v>1659</v>
      </c>
      <c r="I1152" s="1024">
        <v>183112</v>
      </c>
      <c r="J1152" s="1024">
        <v>155486</v>
      </c>
      <c r="K1152" s="1024">
        <v>53352.93</v>
      </c>
      <c r="L1152" s="1024">
        <v>14953</v>
      </c>
      <c r="M1152" s="1024">
        <v>361673</v>
      </c>
      <c r="N1152" s="1024">
        <v>7048</v>
      </c>
      <c r="O1152" s="1024">
        <v>5530</v>
      </c>
      <c r="P1152" s="1001">
        <v>0</v>
      </c>
      <c r="Q1152" s="1094">
        <v>0</v>
      </c>
      <c r="R1152" s="1095">
        <f t="shared" ref="R1152" si="87" xml:space="preserve"> IF(C1152&lt; DATE(2024, 11, 1), D1152 * (2.31 / 100), D1152 * (2.925 / 100))+E1152*E$6+F1152*F$6+G1152*G$6+H1152*H$6+I1152*I$6+J1152*J$6+K1152*K$6+L1152*L$6+M1152*M$6+N1152*N$6+O1152*O$6+P1152*P$6+Q1152*Q$6</f>
        <v>143639.253</v>
      </c>
      <c r="S1152" s="1007">
        <v>12.475824515003664</v>
      </c>
      <c r="T1152" s="1007">
        <v>6.5614000000000006E-2</v>
      </c>
      <c r="U1152" s="1007">
        <v>3.4355948089605745E-3</v>
      </c>
      <c r="V1152" s="1007">
        <v>2.1999999999999999E-2</v>
      </c>
      <c r="W1152" s="1007">
        <v>0.12049</v>
      </c>
      <c r="X1152" s="1103">
        <v>8.3710000000000004</v>
      </c>
      <c r="Y1152" s="1007">
        <v>9.99</v>
      </c>
      <c r="Z1152" s="1021">
        <v>0</v>
      </c>
      <c r="AA1152" s="1021">
        <v>0</v>
      </c>
      <c r="AB1152" s="1021">
        <v>0</v>
      </c>
      <c r="AC1152" s="1007">
        <v>0.19340387997066377</v>
      </c>
      <c r="AD1152" s="1007">
        <v>9.0981942363944759E-2</v>
      </c>
      <c r="AE1152" s="1007">
        <v>0</v>
      </c>
      <c r="AF1152" s="1007">
        <v>14.516504458483292</v>
      </c>
      <c r="AG1152" s="1096">
        <f xml:space="preserve"> IF(C1152&lt; DATE(2024, 11, 1), S1152 * (2.31 / 100), S1152 * (2.925 / 100))+T1152*T$6+U1320*U$6+V1152*V$6+W1152*W$6+X1152*X$6+Y1152*Y$6+Z1152*Z$6+AA1152*AA$6+AB1152*AB$6+AC1152*AC$6+AD1152*AD$6+AE1152*AE$6+AF1152*AF$6</f>
        <v>7.3111966087483689</v>
      </c>
      <c r="AH1152" s="1097">
        <v>202605</v>
      </c>
      <c r="AI1152" s="1017"/>
      <c r="AJ1152" s="931" t="s">
        <v>2333</v>
      </c>
    </row>
    <row r="1153" spans="3:36" s="301" customFormat="1" ht="15.75" hidden="1">
      <c r="C1153" s="1032">
        <v>46161</v>
      </c>
      <c r="D1153" s="1100">
        <v>336651</v>
      </c>
      <c r="E1153" s="1100">
        <v>13692</v>
      </c>
      <c r="F1153" s="1100">
        <v>22077.919999999998</v>
      </c>
      <c r="G1153" s="1100">
        <v>4707</v>
      </c>
      <c r="H1153" s="1100">
        <v>1689</v>
      </c>
      <c r="I1153" s="1100">
        <v>180576</v>
      </c>
      <c r="J1153" s="1100">
        <v>152818</v>
      </c>
      <c r="K1153" s="1100">
        <v>51969.85</v>
      </c>
      <c r="L1153" s="1100">
        <v>12224</v>
      </c>
      <c r="M1153" s="1100">
        <v>435555</v>
      </c>
      <c r="N1153" s="1100">
        <v>7011</v>
      </c>
      <c r="O1153" s="1100">
        <v>5540</v>
      </c>
      <c r="P1153" s="1004">
        <v>0</v>
      </c>
      <c r="Q1153" s="1094">
        <v>0</v>
      </c>
      <c r="R1153" s="1095">
        <f t="shared" ref="R1153" si="88" xml:space="preserve"> IF(C1153&lt; DATE(2024, 11, 1), D1153 * (2.31 / 100), D1153 * (2.925 / 100))+E1153*E$6+F1153*F$6+G1153*G$6+H1153*H$6+I1153*I$6+J1153*J$6+K1153*K$6+L1153*L$6+M1153*M$6+N1153*N$6+O1153*O$6+P1153*P$6+Q1153*Q$6</f>
        <v>145239.71824999998</v>
      </c>
      <c r="S1153" s="1015">
        <v>13.408863730967555</v>
      </c>
      <c r="T1153" s="1015">
        <v>0.114297</v>
      </c>
      <c r="U1153" s="1015">
        <v>3.4355948089605745E-3</v>
      </c>
      <c r="V1153" s="1015">
        <v>2.1000000000000001E-2</v>
      </c>
      <c r="W1153" s="1015">
        <v>0.12487999999999999</v>
      </c>
      <c r="X1153" s="1103">
        <v>8.3510000000000009</v>
      </c>
      <c r="Y1153" s="1015">
        <v>9.9499999999999993</v>
      </c>
      <c r="Z1153" s="1021">
        <v>0</v>
      </c>
      <c r="AA1153" s="1021">
        <v>0</v>
      </c>
      <c r="AB1153" s="1021">
        <v>0</v>
      </c>
      <c r="AC1153" s="1015">
        <v>0.20048308494762804</v>
      </c>
      <c r="AD1153" s="1015">
        <v>9.3558772975559742E-2</v>
      </c>
      <c r="AE1153" s="1015">
        <v>0</v>
      </c>
      <c r="AF1153" s="1015">
        <v>14.499202881519592</v>
      </c>
      <c r="AG1153" s="1096">
        <f xml:space="preserve"> IF(C1153&lt; DATE(2024, 11, 1), S1153 * (2.31 / 100), S1153 * (2.925 / 100))+T1153*T$6+U1321*U$6+V1153*V$6+W1153*W$6+X1153*X$6+Y1153*Y$6+Z1153*Z$6+AA1153*AA$6+AB1153*AB$6+AC1153*AC$6+AD1153*AD$6+AE1153*AE$6+AF1153*AF$6</f>
        <v>7.3399905925235949</v>
      </c>
      <c r="AH1153" s="1097">
        <v>202605</v>
      </c>
      <c r="AI1153" s="1017"/>
      <c r="AJ1153" s="931" t="s">
        <v>2334</v>
      </c>
    </row>
    <row r="1154" spans="3:36" s="301" customFormat="1" ht="15.75" hidden="1">
      <c r="C1154" s="1032">
        <v>46162</v>
      </c>
      <c r="D1154" s="1024">
        <v>299814</v>
      </c>
      <c r="E1154" s="1024">
        <v>15981</v>
      </c>
      <c r="F1154" s="1024">
        <v>22046</v>
      </c>
      <c r="G1154" s="1024">
        <v>4337</v>
      </c>
      <c r="H1154" s="1024">
        <v>1667</v>
      </c>
      <c r="I1154" s="1024">
        <v>183696</v>
      </c>
      <c r="J1154" s="1024">
        <v>154074</v>
      </c>
      <c r="K1154" s="1024">
        <v>49012.56</v>
      </c>
      <c r="L1154" s="1024">
        <v>11826</v>
      </c>
      <c r="M1154" s="1024">
        <v>451786</v>
      </c>
      <c r="N1154" s="1024">
        <v>7291</v>
      </c>
      <c r="O1154" s="1024">
        <v>5591</v>
      </c>
      <c r="P1154" s="1001">
        <v>0</v>
      </c>
      <c r="Q1154" s="1094">
        <v>0</v>
      </c>
      <c r="R1154" s="1095">
        <f t="shared" ref="R1154" si="89" xml:space="preserve"> IF(C1154&lt; DATE(2024, 11, 1), D1154 * (2.31 / 100), D1154 * (2.925 / 100))+E1154*E$6+F1154*F$6+G1154*G$6+H1154*H$6+I1154*I$6+J1154*J$6+K1154*K$6+L1154*L$6+M1154*M$6+N1154*N$6+O1154*O$6+P1154*P$6+Q1154*Q$6</f>
        <v>145366.58199999999</v>
      </c>
      <c r="S1154" s="1007">
        <v>13.432933027889234</v>
      </c>
      <c r="T1154" s="1007">
        <v>0.12164800000000001</v>
      </c>
      <c r="U1154" s="1007">
        <v>3.4355948089605745E-3</v>
      </c>
      <c r="V1154" s="1007">
        <v>2.3E-2</v>
      </c>
      <c r="W1154" s="1007">
        <v>0.12111</v>
      </c>
      <c r="X1154" s="1103">
        <v>8.4139999999999997</v>
      </c>
      <c r="Y1154" s="1007">
        <v>9.92</v>
      </c>
      <c r="Z1154" s="1021">
        <v>0</v>
      </c>
      <c r="AA1154" s="1021">
        <v>0</v>
      </c>
      <c r="AB1154" s="1021">
        <v>0</v>
      </c>
      <c r="AC1154" s="1007">
        <v>0.20048308494762804</v>
      </c>
      <c r="AD1154" s="1007">
        <v>9.3303921596389033E-2</v>
      </c>
      <c r="AE1154" s="1007">
        <v>0</v>
      </c>
      <c r="AF1154" s="1007">
        <v>14.493879319376916</v>
      </c>
      <c r="AG1154" s="1096">
        <f xml:space="preserve"> IF(C1154&lt; DATE(2024, 11, 1), S1154 * (2.31 / 100), S1154 * (2.925 / 100))+T1154*T$6+U1322*U$6+V1154*V$6+W1154*W$6+X1154*X$6+Y1154*Y$6+Z1154*Z$6+AA1154*AA$6+AB1154*AB$6+AC1154*AC$6+AD1154*AD$6+AE1154*AE$6+AF1154*AF$6</f>
        <v>7.3437024433426306</v>
      </c>
      <c r="AH1154" s="1097">
        <v>202605</v>
      </c>
      <c r="AI1154" s="1017"/>
      <c r="AJ1154" s="931" t="s">
        <v>2335</v>
      </c>
    </row>
    <row r="1155" spans="3:36" s="301" customFormat="1" ht="15.75" hidden="1">
      <c r="C1155" s="1032">
        <v>46163</v>
      </c>
      <c r="D1155" s="1100">
        <v>300098</v>
      </c>
      <c r="E1155" s="1100">
        <v>19786</v>
      </c>
      <c r="F1155" s="1100">
        <v>21982.33</v>
      </c>
      <c r="G1155" s="1100">
        <v>4663</v>
      </c>
      <c r="H1155" s="1100">
        <v>1670</v>
      </c>
      <c r="I1155" s="1100">
        <v>181734</v>
      </c>
      <c r="J1155" s="1100">
        <v>150070</v>
      </c>
      <c r="K1155" s="1100">
        <v>50768.33</v>
      </c>
      <c r="L1155" s="1100">
        <v>11054</v>
      </c>
      <c r="M1155" s="1100">
        <v>462331</v>
      </c>
      <c r="N1155" s="1100">
        <v>7270</v>
      </c>
      <c r="O1155" s="1100">
        <v>5622</v>
      </c>
      <c r="P1155" s="1004">
        <v>0</v>
      </c>
      <c r="Q1155" s="1094">
        <v>0</v>
      </c>
      <c r="R1155" s="1095">
        <f t="shared" ref="R1155" si="90" xml:space="preserve"> IF(C1155&lt; DATE(2024, 11, 1), D1155 * (2.31 / 100), D1155 * (2.925 / 100))+E1155*E$6+F1155*F$6+G1155*G$6+H1155*H$6+I1155*I$6+J1155*J$6+K1155*K$6+L1155*L$6+M1155*M$6+N1155*N$6+O1155*O$6+P1155*P$6+Q1155*Q$6</f>
        <v>145774.8175</v>
      </c>
      <c r="S1155" s="1015">
        <v>14.348982151908414</v>
      </c>
      <c r="T1155" s="1015">
        <v>0.123944</v>
      </c>
      <c r="U1155" s="1015">
        <v>3.4355948089605745E-3</v>
      </c>
      <c r="V1155" s="1015">
        <v>2.2395456000000001E-2</v>
      </c>
      <c r="W1155" s="1015">
        <v>0.11799999999999999</v>
      </c>
      <c r="X1155" s="1103">
        <v>8.4139999999999997</v>
      </c>
      <c r="Y1155" s="1015">
        <v>10</v>
      </c>
      <c r="Z1155" s="1021">
        <v>0</v>
      </c>
      <c r="AA1155" s="1021">
        <v>0</v>
      </c>
      <c r="AB1155" s="1021">
        <v>0</v>
      </c>
      <c r="AC1155" s="1015">
        <v>0.19623556196144945</v>
      </c>
      <c r="AD1155" s="1015">
        <v>8.973600228799905E-2</v>
      </c>
      <c r="AE1155" s="1015">
        <v>0</v>
      </c>
      <c r="AF1155" s="1015">
        <v>14.506140502397017</v>
      </c>
      <c r="AG1155" s="1096">
        <f xml:space="preserve"> IF(C1155&lt; DATE(2024, 11, 1), S1155 * (2.31 / 100), S1155 * (2.925 / 100))+T1155*T$6+U1323*U$6+V1155*V$6+W1155*W$6+X1155*X$6+Y1155*Y$6+Z1155*Z$6+AA1155*AA$6+AB1155*AB$6+AC1155*AC$6+AD1155*AD$6+AE1155*AE$6+AF1155*AF$6</f>
        <v>7.3886945340817736</v>
      </c>
      <c r="AH1155" s="1097">
        <v>202605</v>
      </c>
      <c r="AI1155" s="1017"/>
      <c r="AJ1155" s="931" t="s">
        <v>2336</v>
      </c>
    </row>
    <row r="1156" spans="3:36" s="301" customFormat="1" ht="15.75" hidden="1">
      <c r="C1156" s="1032">
        <v>46164</v>
      </c>
      <c r="D1156" s="1024">
        <v>308315</v>
      </c>
      <c r="E1156" s="1024">
        <v>34403</v>
      </c>
      <c r="F1156" s="1024">
        <v>22065.93</v>
      </c>
      <c r="G1156" s="1024">
        <v>4570</v>
      </c>
      <c r="H1156" s="1024">
        <v>1928</v>
      </c>
      <c r="I1156" s="1024">
        <v>180239</v>
      </c>
      <c r="J1156" s="1024">
        <v>153752</v>
      </c>
      <c r="K1156" s="1024">
        <v>53275.9</v>
      </c>
      <c r="L1156" s="1024">
        <v>8080</v>
      </c>
      <c r="M1156" s="1024">
        <v>450743</v>
      </c>
      <c r="N1156" s="1024">
        <v>7334</v>
      </c>
      <c r="O1156" s="1024">
        <v>5672</v>
      </c>
      <c r="P1156" s="1001">
        <v>0</v>
      </c>
      <c r="Q1156" s="1094">
        <v>0</v>
      </c>
      <c r="R1156" s="1095">
        <f t="shared" ref="R1156" si="91" xml:space="preserve"> IF(C1156&lt; DATE(2024, 11, 1), D1156 * (2.31 / 100), D1156 * (2.925 / 100))+E1156*E$6+F1156*F$6+G1156*G$6+H1156*H$6+I1156*I$6+J1156*J$6+K1156*K$6+L1156*L$6+M1156*M$6+N1156*N$6+O1156*O$6+P1156*P$6+Q1156*Q$6</f>
        <v>150363.02974999999</v>
      </c>
      <c r="S1156" s="1007">
        <v>14.258651496402345</v>
      </c>
      <c r="T1156" s="1007">
        <v>0.13564399999999999</v>
      </c>
      <c r="U1156" s="1007">
        <v>3.4355948089605745E-3</v>
      </c>
      <c r="V1156" s="1007">
        <v>2.1375936000000002E-2</v>
      </c>
      <c r="W1156" s="1007">
        <v>0.22666999999999998</v>
      </c>
      <c r="X1156" s="1103">
        <v>8.4931487454232943</v>
      </c>
      <c r="Y1156" s="1007">
        <v>9.91</v>
      </c>
      <c r="Z1156" s="1021">
        <v>0</v>
      </c>
      <c r="AA1156" s="1021">
        <v>0</v>
      </c>
      <c r="AB1156" s="1021">
        <v>0</v>
      </c>
      <c r="AC1156" s="1007">
        <v>0.19906724395223518</v>
      </c>
      <c r="AD1156" s="1007">
        <v>8.6111449339793339E-2</v>
      </c>
      <c r="AE1156" s="1007">
        <v>0</v>
      </c>
      <c r="AF1156" s="1007">
        <v>14.508745649828539</v>
      </c>
      <c r="AG1156" s="1096">
        <f xml:space="preserve"> IF(C1156&lt; DATE(2024, 11, 1), S1156 * (2.31 / 100), S1156 * (2.925 / 100))+T1156*T$6+U1324*U$6+V1156*V$6+W1156*W$6+X1156*X$6+Y1156*Y$6+Z1156*Z$6+AA1156*AA$6+AB1156*AB$6+AC1156*AC$6+AD1156*AD$6+AE1156*AE$6+AF1156*AF$6</f>
        <v>7.4891058903959422</v>
      </c>
      <c r="AH1156" s="1097">
        <v>202605</v>
      </c>
      <c r="AI1156" s="1017"/>
      <c r="AJ1156" s="931" t="s">
        <v>2337</v>
      </c>
    </row>
    <row r="1157" spans="3:36" s="301" customFormat="1" ht="15.75" hidden="1">
      <c r="C1157" s="1032">
        <v>46165</v>
      </c>
      <c r="D1157" s="1100">
        <v>308867</v>
      </c>
      <c r="E1157" s="1100">
        <v>27824</v>
      </c>
      <c r="F1157" s="1100">
        <v>22146.7</v>
      </c>
      <c r="G1157" s="1100">
        <v>4439</v>
      </c>
      <c r="H1157" s="1100">
        <v>2015</v>
      </c>
      <c r="I1157" s="1100">
        <v>179934</v>
      </c>
      <c r="J1157" s="1100">
        <v>155220</v>
      </c>
      <c r="K1157" s="1100">
        <v>56313.23</v>
      </c>
      <c r="L1157" s="1100">
        <v>13473</v>
      </c>
      <c r="M1157" s="1100">
        <v>392617</v>
      </c>
      <c r="N1157" s="1100">
        <v>7254</v>
      </c>
      <c r="O1157" s="1100">
        <v>5680</v>
      </c>
      <c r="P1157" s="1004">
        <v>0</v>
      </c>
      <c r="Q1157" s="1094">
        <v>0</v>
      </c>
      <c r="R1157" s="1095">
        <f t="shared" ref="R1157" si="92" xml:space="preserve"> IF(C1157&lt; DATE(2024, 11, 1), D1157 * (2.31 / 100), D1157 * (2.925 / 100))+E1157*E$6+F1157*F$6+G1157*G$6+H1157*H$6+I1157*I$6+J1157*J$6+K1157*K$6+L1157*L$6+M1157*M$6+N1157*N$6+O1157*O$6+P1157*P$6+Q1157*Q$6</f>
        <v>148731.31850000002</v>
      </c>
      <c r="S1157" s="1015">
        <v>13.543651793728955</v>
      </c>
      <c r="T1157" s="1015">
        <v>0.245921</v>
      </c>
      <c r="U1157" s="1015">
        <v>3.4355948089605745E-3</v>
      </c>
      <c r="V1157" s="1015">
        <v>2.2976015999999998E-2</v>
      </c>
      <c r="W1157" s="1015">
        <v>0.30097000000000002</v>
      </c>
      <c r="X1157" s="1103">
        <v>8.4324374835408484</v>
      </c>
      <c r="Y1157" s="1015">
        <v>10.029999999999999</v>
      </c>
      <c r="Z1157" s="1021">
        <v>0</v>
      </c>
      <c r="AA1157" s="1021">
        <v>0</v>
      </c>
      <c r="AB1157" s="1021">
        <v>0</v>
      </c>
      <c r="AC1157" s="1015">
        <v>0.19227120717434948</v>
      </c>
      <c r="AD1157" s="1015">
        <v>9.103857600376046E-2</v>
      </c>
      <c r="AE1157" s="1015">
        <v>0</v>
      </c>
      <c r="AF1157" s="1015">
        <v>14.501439910292314</v>
      </c>
      <c r="AG1157" s="1096">
        <f xml:space="preserve"> IF(C1157&lt; DATE(2024, 11, 1), S1157 * (2.31 / 100), S1157 * (2.925 / 100))+T1157*T$6+U1325*U$6+V1157*V$6+W1157*W$6+X1157*X$6+Y1157*Y$6+Z1157*Z$6+AA1157*AA$6+AB1157*AB$6+AC1157*AC$6+AD1157*AD$6+AE1157*AE$6+AF1157*AF$6</f>
        <v>7.5921060376151175</v>
      </c>
      <c r="AH1157" s="1097">
        <v>202605</v>
      </c>
      <c r="AI1157" s="1017"/>
      <c r="AJ1157" s="931" t="s">
        <v>2338</v>
      </c>
    </row>
    <row r="1158" spans="3:36" s="301" customFormat="1" ht="15.75" hidden="1">
      <c r="C1158" s="1032">
        <v>46166</v>
      </c>
      <c r="D1158" s="1024">
        <v>324478</v>
      </c>
      <c r="E1158" s="1024">
        <v>24465</v>
      </c>
      <c r="F1158" s="1024">
        <v>22102.02</v>
      </c>
      <c r="G1158" s="1024">
        <v>4402</v>
      </c>
      <c r="H1158" s="1024">
        <v>1993</v>
      </c>
      <c r="I1158" s="1024">
        <v>181254</v>
      </c>
      <c r="J1158" s="1024">
        <v>157276</v>
      </c>
      <c r="K1158" s="1024">
        <v>56815.83</v>
      </c>
      <c r="L1158" s="1024">
        <v>11622</v>
      </c>
      <c r="M1158" s="1024">
        <v>270951</v>
      </c>
      <c r="N1158" s="1024">
        <v>7173</v>
      </c>
      <c r="O1158" s="1024">
        <v>5549</v>
      </c>
      <c r="P1158" s="1001">
        <v>0</v>
      </c>
      <c r="Q1158" s="1094">
        <v>0</v>
      </c>
      <c r="R1158" s="1095">
        <f t="shared" ref="R1158" si="93" xml:space="preserve"> IF(C1158&lt; DATE(2024, 11, 1), D1158 * (2.31 / 100), D1158 * (2.925 / 100))+E1158*E$6+F1158*F$6+G1158*G$6+H1158*H$6+I1158*I$6+J1158*J$6+K1158*K$6+L1158*L$6+M1158*M$6+N1158*N$6+O1158*O$6+P1158*P$6+Q1158*Q$6</f>
        <v>143758.9405</v>
      </c>
      <c r="S1158" s="1007">
        <v>13.452188465426577</v>
      </c>
      <c r="T1158" s="1007">
        <v>0.25428200000000001</v>
      </c>
      <c r="U1158" s="1007">
        <v>3.4355948089605745E-3</v>
      </c>
      <c r="V1158" s="1007">
        <v>2.3E-2</v>
      </c>
      <c r="W1158" s="1007">
        <v>0.29580000000000001</v>
      </c>
      <c r="X1158" s="1103">
        <v>8.4230079825115318</v>
      </c>
      <c r="Y1158" s="1007">
        <v>9.9499999999999993</v>
      </c>
      <c r="Z1158" s="1021">
        <v>0</v>
      </c>
      <c r="AA1158" s="1007">
        <v>0</v>
      </c>
      <c r="AB1158" s="1021">
        <v>0</v>
      </c>
      <c r="AC1158" s="1007">
        <v>0.17641378802594954</v>
      </c>
      <c r="AD1158" s="1007">
        <v>9.103857600376046E-2</v>
      </c>
      <c r="AE1158" s="1007">
        <v>0</v>
      </c>
      <c r="AF1158" s="1007">
        <v>14.476351207853952</v>
      </c>
      <c r="AG1158" s="1096">
        <f xml:space="preserve"> IF(C1158&lt; DATE(2024, 11, 1), S1158 * (2.31 / 100), S1158 * (2.925 / 100))+T1158*T$6+U1326*U$6+V1158*V$6+W1158*W$6+X1158*X$6+Y1158*Y$6+Z1158*Z$6+AA1158*AA$6+AB1158*AB$6+AC1158*AC$6+AD1158*AD$6+AE1158*AE$6+AF1158*AF$6</f>
        <v>7.5578349015355641</v>
      </c>
      <c r="AH1158" s="1097">
        <v>202605</v>
      </c>
      <c r="AI1158" s="1017"/>
      <c r="AJ1158" s="931" t="s">
        <v>2339</v>
      </c>
    </row>
    <row r="1159" spans="3:36" s="301" customFormat="1" ht="15.75" hidden="1">
      <c r="C1159" s="1032">
        <v>46167</v>
      </c>
      <c r="D1159" s="1100">
        <v>319942</v>
      </c>
      <c r="E1159" s="1100">
        <v>27843</v>
      </c>
      <c r="F1159" s="1100">
        <v>22086</v>
      </c>
      <c r="G1159" s="1100">
        <v>4450</v>
      </c>
      <c r="H1159" s="1100">
        <v>1978</v>
      </c>
      <c r="I1159" s="1100">
        <v>180313</v>
      </c>
      <c r="J1159" s="1100">
        <v>157569</v>
      </c>
      <c r="K1159" s="1100">
        <v>58934.35</v>
      </c>
      <c r="L1159" s="1100">
        <v>9508</v>
      </c>
      <c r="M1159" s="1100">
        <v>308738</v>
      </c>
      <c r="N1159" s="1100">
        <v>4997</v>
      </c>
      <c r="O1159" s="1100">
        <v>5322</v>
      </c>
      <c r="P1159" s="1004">
        <v>0</v>
      </c>
      <c r="Q1159" s="1094">
        <v>0</v>
      </c>
      <c r="R1159" s="1095">
        <f t="shared" ref="R1159" si="94" xml:space="preserve"> IF(C1159&lt; DATE(2024, 11, 1), D1159 * (2.31 / 100), D1159 * (2.925 / 100))+E1159*E$6+F1159*F$6+G1159*G$6+H1159*H$6+I1159*I$6+J1159*J$6+K1159*K$6+L1159*L$6+M1159*M$6+N1159*N$6+O1159*O$6+P1159*P$6+Q1159*Q$6</f>
        <v>145625.03599999999</v>
      </c>
      <c r="S1159" s="1015">
        <v>13.398103339402567</v>
      </c>
      <c r="T1159" s="1015">
        <v>0.2767</v>
      </c>
      <c r="U1159" s="1015">
        <v>3.4355948089605745E-3</v>
      </c>
      <c r="V1159" s="1015">
        <v>2.1999999999999999E-2</v>
      </c>
      <c r="W1159" s="1015">
        <v>0.28655000000000003</v>
      </c>
      <c r="X1159" s="1103">
        <v>8.438270748441866</v>
      </c>
      <c r="Y1159" s="1015">
        <v>9.85</v>
      </c>
      <c r="Z1159" s="1021">
        <v>0</v>
      </c>
      <c r="AA1159" s="1021">
        <v>0</v>
      </c>
      <c r="AB1159" s="1021">
        <v>0</v>
      </c>
      <c r="AC1159" s="1015">
        <v>0.16225537807202101</v>
      </c>
      <c r="AD1159" s="1015">
        <v>8.7555607155094056E-2</v>
      </c>
      <c r="AE1159" s="1015">
        <v>0</v>
      </c>
      <c r="AF1159" s="1015">
        <v>14.480032394441974</v>
      </c>
      <c r="AG1159" s="1096">
        <f xml:space="preserve"> IF(C1159&lt; DATE(2024, 11, 1), S1159 * (2.31 / 100), S1159 * (2.925 / 100))+T1159*T$6+U1327*U$6+V1159*V$6+W1159*W$6+X1159*X$6+Y1159*Y$6+Z1159*Z$6+AA1159*AA$6+AB1159*AB$6+AC1159*AC$6+AD1159*AD$6+AE1159*AE$6+AF1159*AF$6</f>
        <v>7.5272835138709944</v>
      </c>
      <c r="AH1159" s="1097">
        <v>202605</v>
      </c>
      <c r="AI1159" s="1017"/>
      <c r="AJ1159" s="931" t="s">
        <v>2340</v>
      </c>
    </row>
    <row r="1160" spans="3:36" s="301" customFormat="1" ht="15.75" hidden="1">
      <c r="C1160" s="1032">
        <v>46168</v>
      </c>
      <c r="D1160" s="1024">
        <v>329811</v>
      </c>
      <c r="E1160" s="1024">
        <v>29182</v>
      </c>
      <c r="F1160" s="1024">
        <v>22111.01</v>
      </c>
      <c r="G1160" s="1024">
        <v>4445</v>
      </c>
      <c r="H1160" s="1024">
        <v>1926</v>
      </c>
      <c r="I1160" s="1024">
        <v>180268</v>
      </c>
      <c r="J1160" s="1024">
        <v>155084</v>
      </c>
      <c r="K1160" s="1024">
        <v>57882.44</v>
      </c>
      <c r="L1160" s="1024">
        <v>15832</v>
      </c>
      <c r="M1160" s="1024">
        <v>391674</v>
      </c>
      <c r="N1160" s="1024">
        <v>6956</v>
      </c>
      <c r="O1160" s="1024">
        <v>5483</v>
      </c>
      <c r="P1160" s="1001">
        <v>0</v>
      </c>
      <c r="Q1160" s="1094">
        <v>0</v>
      </c>
      <c r="R1160" s="1095">
        <f t="shared" ref="R1160" si="95" xml:space="preserve"> IF(C1160&lt; DATE(2024, 11, 1), D1160 * (2.31 / 100), D1160 * (2.925 / 100))+E1160*E$6+F1160*F$6+G1160*G$6+H1160*H$6+I1160*I$6+J1160*J$6+K1160*K$6+L1160*L$6+M1160*M$6+N1160*N$6+O1160*O$6+P1160*P$6+Q1160*Q$6</f>
        <v>150443.15875</v>
      </c>
      <c r="S1160" s="1007">
        <v>13.385643938643112</v>
      </c>
      <c r="T1160" s="1007">
        <v>0.39782099999999998</v>
      </c>
      <c r="U1160" s="1007">
        <v>3.0966424746635252E-3</v>
      </c>
      <c r="V1160" s="1007">
        <v>2.1000000000000001E-2</v>
      </c>
      <c r="W1160" s="1007">
        <v>0.27733999999999998</v>
      </c>
      <c r="X1160" s="1103">
        <v>8.3359054444749638</v>
      </c>
      <c r="Y1160" s="1007">
        <v>9.75</v>
      </c>
      <c r="Z1160" s="1021">
        <v>0</v>
      </c>
      <c r="AA1160" s="1021">
        <v>0</v>
      </c>
      <c r="AB1160" s="1021">
        <v>0</v>
      </c>
      <c r="AC1160" s="1007">
        <v>0.19227120717434948</v>
      </c>
      <c r="AD1160" s="1007">
        <v>8.9820952747722616E-2</v>
      </c>
      <c r="AE1160" s="1007">
        <v>0</v>
      </c>
      <c r="AF1160" s="1007">
        <v>14.470546259772842</v>
      </c>
      <c r="AG1160" s="1096">
        <f xml:space="preserve"> IF(C1160&lt; DATE(2024, 11, 1), S1160 * (2.31 / 100), S1160 * (2.925 / 100))+T1160*T$6+U1328*U$6+V1160*V$6+W1160*W$6+X1160*X$6+Y1160*Y$6+Z1160*Z$6+AA1160*AA$6+AB1160*AB$6+AC1160*AC$6+AD1160*AD$6+AE1160*AE$6+AF1160*AF$6</f>
        <v>7.506033922149955</v>
      </c>
      <c r="AH1160" s="1097">
        <v>202605</v>
      </c>
      <c r="AI1160" s="1017"/>
      <c r="AJ1160" s="931" t="s">
        <v>2341</v>
      </c>
    </row>
    <row r="1161" spans="3:36" s="301" customFormat="1" ht="15.75" hidden="1">
      <c r="C1161" s="1032">
        <v>46169</v>
      </c>
      <c r="D1161" s="1100">
        <v>337150</v>
      </c>
      <c r="E1161" s="1100">
        <v>31774</v>
      </c>
      <c r="F1161" s="1100">
        <v>22107.5</v>
      </c>
      <c r="G1161" s="1100">
        <v>4530</v>
      </c>
      <c r="H1161" s="1100">
        <v>1928</v>
      </c>
      <c r="I1161" s="1100">
        <v>180836</v>
      </c>
      <c r="J1161" s="1100">
        <v>155208</v>
      </c>
      <c r="K1161" s="1100">
        <v>52497.7</v>
      </c>
      <c r="L1161" s="1100">
        <v>15689</v>
      </c>
      <c r="M1161" s="1100">
        <v>400601</v>
      </c>
      <c r="N1161" s="1100">
        <v>7258</v>
      </c>
      <c r="O1161" s="1100">
        <v>5540</v>
      </c>
      <c r="P1161" s="1004">
        <v>0</v>
      </c>
      <c r="Q1161" s="1094">
        <v>0</v>
      </c>
      <c r="R1161" s="1095">
        <f t="shared" ref="R1161" si="96" xml:space="preserve"> IF(C1161&lt; DATE(2024, 11, 1), D1161 * (2.31 / 100), D1161 * (2.925 / 100))+E1161*E$6+F1161*F$6+G1161*G$6+H1161*H$6+I1161*I$6+J1161*J$6+K1161*K$6+L1161*L$6+M1161*M$6+N1161*N$6+O1161*O$6+P1161*P$6+Q1161*Q$6</f>
        <v>150577.96375000002</v>
      </c>
      <c r="S1161" s="1015">
        <v>13.1387212690466</v>
      </c>
      <c r="T1161" s="1015">
        <v>0.45955099999999999</v>
      </c>
      <c r="U1161" s="1015">
        <v>3.1509824520667027E-3</v>
      </c>
      <c r="V1161" s="1015">
        <v>2.4E-2</v>
      </c>
      <c r="W1161" s="1015">
        <v>0.26972000000000002</v>
      </c>
      <c r="X1161" s="1103">
        <v>8.3379999999999992</v>
      </c>
      <c r="Y1161" s="1015">
        <v>9.77</v>
      </c>
      <c r="Z1161" s="1021">
        <v>0</v>
      </c>
      <c r="AA1161" s="1021">
        <v>0</v>
      </c>
      <c r="AB1161" s="1021">
        <v>0</v>
      </c>
      <c r="AC1161" s="1015">
        <v>0.19255437537342804</v>
      </c>
      <c r="AD1161" s="1015">
        <v>9.1350061022746898E-2</v>
      </c>
      <c r="AE1161" s="1015">
        <v>0</v>
      </c>
      <c r="AF1161" s="1015">
        <v>8.1800779845220255</v>
      </c>
      <c r="AG1161" s="1096">
        <f xml:space="preserve"> IF(C1161&lt; DATE(2024, 11, 1), S1161 * (2.31 / 100), S1161 * (2.925 / 100))+T1161*T$6+U1329*U$6+V1161*V$6+W1161*W$6+X1161*X$6+Y1161*Y$6+Z1161*Z$6+AA1161*AA$6+AB1161*AB$6+AC1161*AC$6+AD1161*AD$6+AE1161*AE$6+AF1161*AF$6</f>
        <v>6.4462406301885329</v>
      </c>
      <c r="AH1161" s="1097">
        <v>202605</v>
      </c>
      <c r="AI1161" s="1017"/>
      <c r="AJ1161" s="931" t="s">
        <v>2341</v>
      </c>
    </row>
    <row r="1162" spans="3:36" s="301" customFormat="1" ht="15.75" hidden="1">
      <c r="C1162" s="1032">
        <v>46170</v>
      </c>
      <c r="D1162" s="1024">
        <v>317799</v>
      </c>
      <c r="E1162" s="1024">
        <v>34126</v>
      </c>
      <c r="F1162" s="1024">
        <v>22078.260000000002</v>
      </c>
      <c r="G1162" s="1024">
        <v>4474</v>
      </c>
      <c r="H1162" s="1024">
        <v>1995</v>
      </c>
      <c r="I1162" s="1024">
        <v>176720</v>
      </c>
      <c r="J1162" s="1024">
        <v>156141</v>
      </c>
      <c r="K1162" s="1024">
        <v>57476.9</v>
      </c>
      <c r="L1162" s="1024">
        <v>9178</v>
      </c>
      <c r="M1162" s="1024">
        <v>404190</v>
      </c>
      <c r="N1162" s="1024">
        <v>6750</v>
      </c>
      <c r="O1162" s="1024">
        <v>5595</v>
      </c>
      <c r="P1162" s="1001">
        <v>0</v>
      </c>
      <c r="Q1162" s="1094">
        <v>0</v>
      </c>
      <c r="R1162" s="1095">
        <f t="shared" ref="R1162" si="97" xml:space="preserve"> IF(C1162&lt; DATE(2024, 11, 1), D1162 * (2.31 / 100), D1162 * (2.925 / 100))+E1162*E$6+F1162*F$6+G1162*G$6+H1162*H$6+I1162*I$6+J1162*J$6+K1162*K$6+L1162*L$6+M1162*M$6+N1162*N$6+O1162*O$6+P1162*P$6+Q1162*Q$6</f>
        <v>149868.60025000002</v>
      </c>
      <c r="S1162" s="1007">
        <v>13.179214321514834</v>
      </c>
      <c r="T1162" s="1007">
        <v>0.46396199999999999</v>
      </c>
      <c r="U1162" s="1007">
        <v>3.1509824520667027E-3</v>
      </c>
      <c r="V1162" s="1007">
        <v>2.5000000000000001E-2</v>
      </c>
      <c r="W1162" s="1007">
        <v>0.27660000000000001</v>
      </c>
      <c r="X1162" s="1103">
        <v>7.5819999999999999</v>
      </c>
      <c r="Y1162" s="1007">
        <v>9.7799999999999994</v>
      </c>
      <c r="Z1162" s="1021">
        <v>0</v>
      </c>
      <c r="AA1162" s="1007">
        <v>0</v>
      </c>
      <c r="AB1162" s="1021">
        <v>0</v>
      </c>
      <c r="AC1162" s="1007">
        <v>0.19255437537342804</v>
      </c>
      <c r="AD1162" s="1007">
        <v>8.4780558804124065E-2</v>
      </c>
      <c r="AE1162" s="1007">
        <v>0</v>
      </c>
      <c r="AF1162" s="1007">
        <v>7.5790534819777591</v>
      </c>
      <c r="AG1162" s="1096">
        <f xml:space="preserve"> IF(C1162&lt; DATE(2024, 11, 1), S1162 * (2.31 / 100), S1162 * (2.925 / 100))+T1162*T$6+U1330*U$6+V1162*V$6+W1162*W$6+X1162*X$6+Y1162*Y$6+Z1162*Z$6+AA1162*AA$6+AB1162*AB$6+AC1162*AC$6+AD1162*AD$6+AE1162*AE$6+AF1162*AF$6</f>
        <v>6.2025940556532548</v>
      </c>
      <c r="AH1162" s="1097">
        <v>202605</v>
      </c>
      <c r="AI1162" s="1017"/>
      <c r="AJ1162" s="931" t="s">
        <v>2342</v>
      </c>
    </row>
    <row r="1163" spans="3:36" s="301" customFormat="1" ht="15.75" hidden="1">
      <c r="C1163" s="1032">
        <v>46171</v>
      </c>
      <c r="D1163" s="1100">
        <v>324390</v>
      </c>
      <c r="E1163" s="1100">
        <v>34415</v>
      </c>
      <c r="F1163" s="1100">
        <v>22051</v>
      </c>
      <c r="G1163" s="1100">
        <v>4477</v>
      </c>
      <c r="H1163" s="1100">
        <v>1952</v>
      </c>
      <c r="I1163" s="1100">
        <v>177409</v>
      </c>
      <c r="J1163" s="1100">
        <v>152254</v>
      </c>
      <c r="K1163" s="1100">
        <v>60157.52</v>
      </c>
      <c r="L1163" s="1100">
        <v>11853</v>
      </c>
      <c r="M1163" s="1100">
        <v>387937</v>
      </c>
      <c r="N1163" s="1100">
        <v>6955</v>
      </c>
      <c r="O1163" s="1100">
        <v>5689</v>
      </c>
      <c r="P1163" s="1004">
        <v>0</v>
      </c>
      <c r="Q1163" s="1094">
        <v>0</v>
      </c>
      <c r="R1163" s="1095">
        <f t="shared" ref="R1163" si="98" xml:space="preserve"> IF(C1163&lt; DATE(2024, 11, 1), D1163 * (2.31 / 100), D1163 * (2.925 / 100))+E1163*E$6+F1163*F$6+G1163*G$6+H1163*H$6+I1163*I$6+J1163*J$6+K1163*K$6+L1163*L$6+M1163*M$6+N1163*N$6+O1163*O$6+P1163*P$6+Q1163*Q$6</f>
        <v>149931.54375000001</v>
      </c>
      <c r="S1163" s="1015">
        <v>13.030551016998585</v>
      </c>
      <c r="T1163" s="1015">
        <v>0.47063100000000002</v>
      </c>
      <c r="U1163" s="1015">
        <v>3.1509824520667027E-3</v>
      </c>
      <c r="V1163" s="1015">
        <v>0.02</v>
      </c>
      <c r="W1163" s="1015">
        <v>0.27693000000000001</v>
      </c>
      <c r="X1163" s="1103">
        <v>8.06</v>
      </c>
      <c r="Y1163" s="1015">
        <v>9.75</v>
      </c>
      <c r="Z1163" s="1021">
        <v>0</v>
      </c>
      <c r="AA1163" s="1021">
        <v>0</v>
      </c>
      <c r="AB1163" s="1021">
        <v>0</v>
      </c>
      <c r="AC1163" s="1015">
        <v>0.19057219797987807</v>
      </c>
      <c r="AD1163" s="1015">
        <v>8.5035410183294774E-2</v>
      </c>
      <c r="AE1163" s="1015">
        <v>0</v>
      </c>
      <c r="AF1163" s="1015">
        <v>7.6371312796087736</v>
      </c>
      <c r="AG1163" s="1096">
        <f xml:space="preserve"> IF(C1163&lt; DATE(2024, 11, 1), S1163 * (2.31 / 100), S1163 * (2.925 / 100))+T1163*T$6+U1331*U$6+V1163*V$6+W1163*W$6+X1163*X$6+Y1163*Y$6+Z1163*Z$6+AA1163*AA$6+AB1163*AB$6+AC1163*AC$6+AD1163*AD$6+AE1163*AE$6+AF1163*AF$6</f>
        <v>6.2954334106318051</v>
      </c>
      <c r="AH1163" s="1097">
        <v>202605</v>
      </c>
      <c r="AI1163" s="1017"/>
      <c r="AJ1163" s="931" t="s">
        <v>2343</v>
      </c>
    </row>
    <row r="1164" spans="3:36" s="301" customFormat="1" ht="15.75" hidden="1">
      <c r="C1164" s="1032">
        <v>46172</v>
      </c>
      <c r="D1164" s="1024">
        <v>321519</v>
      </c>
      <c r="E1164" s="1024">
        <v>34390</v>
      </c>
      <c r="F1164" s="1024">
        <v>20047.64</v>
      </c>
      <c r="G1164" s="1024">
        <v>4586</v>
      </c>
      <c r="H1164" s="1024">
        <v>1933</v>
      </c>
      <c r="I1164" s="1024">
        <v>178238</v>
      </c>
      <c r="J1164" s="1024">
        <v>156273</v>
      </c>
      <c r="K1164" s="1024">
        <v>57333.440000000002</v>
      </c>
      <c r="L1164" s="1024">
        <v>14015</v>
      </c>
      <c r="M1164" s="1024">
        <v>289382</v>
      </c>
      <c r="N1164" s="1024">
        <v>7062</v>
      </c>
      <c r="O1164" s="1024">
        <v>5917</v>
      </c>
      <c r="P1164" s="1001">
        <v>0</v>
      </c>
      <c r="Q1164" s="1094">
        <v>0</v>
      </c>
      <c r="R1164" s="1095">
        <f t="shared" ref="R1164" si="99" xml:space="preserve"> IF(C1164&lt; DATE(2024, 11, 1), D1164 * (2.31 / 100), D1164 * (2.925 / 100))+E1164*E$6+F1164*F$6+G1164*G$6+H1164*H$6+I1164*I$6+J1164*J$6+K1164*K$6+L1164*L$6+M1164*M$6+N1164*N$6+O1164*O$6+P1164*P$6+Q1164*Q$6</f>
        <v>145661.03750000001</v>
      </c>
      <c r="S1164" s="1007">
        <v>13.283137050576668</v>
      </c>
      <c r="T1164" s="1007">
        <v>0.47324500000000003</v>
      </c>
      <c r="U1164" s="1007">
        <v>3.4802504339552648E-3</v>
      </c>
      <c r="V1164" s="1007">
        <v>2.3E-2</v>
      </c>
      <c r="W1164" s="1007">
        <v>0.27088000000000001</v>
      </c>
      <c r="X1164" s="1103">
        <v>7.6369999999999996</v>
      </c>
      <c r="Y1164" s="1007">
        <v>9.92</v>
      </c>
      <c r="Z1164" s="1021">
        <v>0</v>
      </c>
      <c r="AA1164" s="1021">
        <v>0</v>
      </c>
      <c r="AB1164" s="1021">
        <v>0</v>
      </c>
      <c r="AC1164" s="1007">
        <v>0.19736823475776374</v>
      </c>
      <c r="AD1164" s="1007">
        <v>8.8631646311592621E-2</v>
      </c>
      <c r="AE1164" s="1007">
        <v>0</v>
      </c>
      <c r="AF1164" s="1007">
        <v>10.437183382557405</v>
      </c>
      <c r="AG1164" s="1096">
        <f xml:space="preserve"> IF(C1164&lt; DATE(2024, 11, 1), S1164 * (2.31 / 100), S1164 * (2.925 / 100))+T1164*T$6+U1332*U$6+V1164*V$6+W1164*W$6+X1164*X$6+Y1164*Y$6+Z1164*Z$6+AA1164*AA$6+AB1164*AB$6+AC1164*AC$6+AD1164*AD$6+AE1164*AE$6+AF1164*AF$6</f>
        <v>6.7367722481121177</v>
      </c>
      <c r="AH1164" s="1097">
        <v>202605</v>
      </c>
      <c r="AI1164" s="1017"/>
      <c r="AJ1164" s="931" t="s">
        <v>2343</v>
      </c>
    </row>
    <row r="1165" spans="3:36" s="301" customFormat="1" ht="15.75" hidden="1">
      <c r="C1165" s="1032">
        <v>46173</v>
      </c>
      <c r="D1165" s="1100">
        <v>319417</v>
      </c>
      <c r="E1165" s="1100">
        <v>34138</v>
      </c>
      <c r="F1165" s="1100">
        <v>22014.799999999999</v>
      </c>
      <c r="G1165" s="1100">
        <v>4609</v>
      </c>
      <c r="H1165" s="1100">
        <v>1951</v>
      </c>
      <c r="I1165" s="1100">
        <v>181978</v>
      </c>
      <c r="J1165" s="1100">
        <v>156551</v>
      </c>
      <c r="K1165" s="1100">
        <v>55919.65</v>
      </c>
      <c r="L1165" s="1100">
        <v>12842</v>
      </c>
      <c r="M1165" s="1100">
        <v>279854</v>
      </c>
      <c r="N1165" s="1100">
        <v>7072</v>
      </c>
      <c r="O1165" s="1100">
        <v>5636</v>
      </c>
      <c r="P1165" s="1004">
        <v>0</v>
      </c>
      <c r="Q1165" s="1094">
        <v>0</v>
      </c>
      <c r="R1165" s="1095">
        <f t="shared" ref="R1165:R1167" si="100" xml:space="preserve"> IF(C1165&lt; DATE(2024, 11, 1), D1165 * (2.31 / 100), D1165 * (2.925 / 100))+E1165*E$6+F1165*F$6+G1165*G$6+H1165*H$6+I1165*I$6+J1165*J$6+K1165*K$6+L1165*L$6+M1165*M$6+N1165*N$6+O1165*O$6+P1165*P$6+Q1165*Q$6</f>
        <v>146629.45225000003</v>
      </c>
      <c r="S1165" s="1015">
        <v>13.002234197090731</v>
      </c>
      <c r="T1165" s="1015">
        <v>0.47660200000000003</v>
      </c>
      <c r="U1165" s="1015">
        <v>3.3642930564325903E-3</v>
      </c>
      <c r="V1165" s="1015">
        <v>2.1999999999999999E-2</v>
      </c>
      <c r="W1165" s="1015">
        <v>0.27012999999999998</v>
      </c>
      <c r="X1165" s="1103">
        <v>7.5242321186361485</v>
      </c>
      <c r="Y1165" s="1015">
        <v>9.68</v>
      </c>
      <c r="Z1165" s="1021">
        <v>0</v>
      </c>
      <c r="AA1165" s="1021">
        <v>0</v>
      </c>
      <c r="AB1165" s="1021">
        <v>0</v>
      </c>
      <c r="AC1165" s="1015">
        <v>0.19651873016052807</v>
      </c>
      <c r="AD1165" s="1015">
        <v>0.10131758163031258</v>
      </c>
      <c r="AE1165" s="1015">
        <v>0</v>
      </c>
      <c r="AF1165" s="1015">
        <v>13.87079601412443</v>
      </c>
      <c r="AG1165" s="1096">
        <f xml:space="preserve"> IF(C1165&lt; DATE(2024, 11, 1), S1165 * (2.31 / 100), S1165 * (2.925 / 100))+T1165*T$6+U1333*U$6+V1165*V$6+W1165*W$6+X1165*X$6+Y1165*Y$6+Z1165*Z$6+AA1165*AA$6+AB1165*AB$6+AC1165*AC$6+AD1165*AD$6+AE1165*AE$6+AF1165*AF$6</f>
        <v>7.2319537293630702</v>
      </c>
      <c r="AH1165" s="1097">
        <v>202605</v>
      </c>
      <c r="AI1165" s="1017"/>
      <c r="AJ1165" s="931" t="s">
        <v>2344</v>
      </c>
    </row>
    <row r="1166" spans="3:36" s="301" customFormat="1" ht="15.75" hidden="1">
      <c r="C1166" s="1032">
        <v>46174</v>
      </c>
      <c r="D1166" s="1024">
        <v>322917</v>
      </c>
      <c r="E1166" s="1024">
        <v>28572</v>
      </c>
      <c r="F1166" s="1024">
        <v>21993.21</v>
      </c>
      <c r="G1166" s="1024">
        <v>4650</v>
      </c>
      <c r="H1166" s="1024">
        <v>1918</v>
      </c>
      <c r="I1166" s="1024">
        <v>177246</v>
      </c>
      <c r="J1166" s="1024">
        <v>154798</v>
      </c>
      <c r="K1166" s="1024">
        <v>56048.480000000003</v>
      </c>
      <c r="L1166" s="1024">
        <v>12606</v>
      </c>
      <c r="M1166" s="1024">
        <v>378204</v>
      </c>
      <c r="N1166" s="1024">
        <v>6884</v>
      </c>
      <c r="O1166" s="1024">
        <v>5486</v>
      </c>
      <c r="P1166" s="1001">
        <v>0</v>
      </c>
      <c r="Q1166" s="1094"/>
      <c r="R1166" s="1095">
        <f t="shared" si="100"/>
        <v>147627.80674999996</v>
      </c>
      <c r="S1166" s="1007">
        <v>12.845925351199357</v>
      </c>
      <c r="T1166" s="1007">
        <v>0.44831700000000002</v>
      </c>
      <c r="U1166" s="1007">
        <v>3.5434818928095097E-3</v>
      </c>
      <c r="V1166" s="1007">
        <v>2.1000000000000001E-2</v>
      </c>
      <c r="W1166" s="1007">
        <v>0.26658999999999999</v>
      </c>
      <c r="X1166" s="1103">
        <v>7.4506933373354434</v>
      </c>
      <c r="Y1166" s="1007">
        <v>9.73</v>
      </c>
      <c r="Z1166" s="1021">
        <v>0</v>
      </c>
      <c r="AA1166" s="1021">
        <v>0</v>
      </c>
      <c r="AB1166" s="1021">
        <v>0</v>
      </c>
      <c r="AC1166" s="1007">
        <v>0.19566922556329233</v>
      </c>
      <c r="AD1166" s="1007">
        <v>9.2737585198231887E-2</v>
      </c>
      <c r="AE1166" s="1007">
        <v>0</v>
      </c>
      <c r="AF1166" s="1007">
        <v>14.547058307163873</v>
      </c>
      <c r="AG1166" s="1096">
        <f xml:space="preserve"> IF(C1166&lt; DATE(2024, 11, 1), S1166 * (2.31 / 100), S1166 * (2.925 / 100))+T1166*T$6+U1334*U$6+V1166*V$6+W1166*W$6+X1166*X$6+Y1166*Y$6+Z1166*Z$6+AA1166*AA$6+AB1166*AB$6+AC1166*AC$6+AD1166*AD$6+AE1166*AE$6+AF1166*AF$6</f>
        <v>7.3254361350987853</v>
      </c>
      <c r="AH1166" s="1097">
        <v>202606</v>
      </c>
      <c r="AI1166" s="1017"/>
      <c r="AJ1166" s="931" t="s">
        <v>2345</v>
      </c>
    </row>
    <row r="1167" spans="3:36" s="301" customFormat="1" ht="16.5" hidden="1" customHeight="1">
      <c r="C1167" s="1032">
        <v>46175</v>
      </c>
      <c r="D1167" s="1100">
        <v>333881</v>
      </c>
      <c r="E1167" s="1100">
        <v>32440</v>
      </c>
      <c r="F1167" s="1100">
        <v>22026.41</v>
      </c>
      <c r="G1167" s="1100">
        <v>4672</v>
      </c>
      <c r="H1167" s="1100">
        <v>1911</v>
      </c>
      <c r="I1167" s="1100">
        <v>178079</v>
      </c>
      <c r="J1167" s="1100">
        <v>153867</v>
      </c>
      <c r="K1167" s="1100">
        <v>39430.1</v>
      </c>
      <c r="L1167" s="1100">
        <v>11457</v>
      </c>
      <c r="M1167" s="1100">
        <v>406480</v>
      </c>
      <c r="N1167" s="1100">
        <v>7276</v>
      </c>
      <c r="O1167" s="1100">
        <v>5296</v>
      </c>
      <c r="P1167" s="1004">
        <v>0</v>
      </c>
      <c r="Q1167" s="1094"/>
      <c r="R1167" s="1095">
        <f t="shared" si="100"/>
        <v>145611.01249999998</v>
      </c>
      <c r="S1167" s="1015">
        <v>12.814210512902557</v>
      </c>
      <c r="T1167" s="1015">
        <v>0.446299</v>
      </c>
      <c r="U1167" s="1015">
        <v>3.5994076121275273E-3</v>
      </c>
      <c r="V1167" s="1015">
        <v>2.1999999999999999E-2</v>
      </c>
      <c r="W1167" s="1015">
        <v>0.28036</v>
      </c>
      <c r="X1167" s="1103">
        <v>7.1670154354985316</v>
      </c>
      <c r="Y1167" s="1015">
        <v>9.84</v>
      </c>
      <c r="Z1167" s="1021">
        <v>0</v>
      </c>
      <c r="AA1167" s="1021">
        <v>0</v>
      </c>
      <c r="AB1167" s="1021">
        <v>0</v>
      </c>
      <c r="AC1167" s="1015">
        <v>0.19935041215131374</v>
      </c>
      <c r="AD1167" s="1015">
        <v>8.3194816889284068E-2</v>
      </c>
      <c r="AE1167" s="1015">
        <v>0</v>
      </c>
      <c r="AF1167" s="1015">
        <v>14.525339306294544</v>
      </c>
      <c r="AG1167" s="1096">
        <f xml:space="preserve"> IF(C1167&lt; DATE(2024, 11, 1), S1167 * (2.31 / 100), S1167 * (2.925 / 100))+T1167*T$6+U1335*U$6+V1167*V$6+W1167*W$6+X1167*X$6+Y1167*Y$6+Z1167*Z$6+AA1167*AA$6+AB1167*AB$6+AC1167*AC$6+AD1167*AD$6+AE1167*AE$6+AF1167*AF$6</f>
        <v>7.3029936287645363</v>
      </c>
      <c r="AH1167" s="1097">
        <v>202606</v>
      </c>
      <c r="AI1167" s="1017"/>
      <c r="AJ1167" s="931" t="s">
        <v>2346</v>
      </c>
    </row>
    <row r="1168" spans="3:36" s="301" customFormat="1" ht="15.75" hidden="1">
      <c r="C1168" s="1032">
        <v>46176</v>
      </c>
      <c r="D1168" s="1024">
        <v>314058</v>
      </c>
      <c r="E1168" s="1024">
        <v>32201</v>
      </c>
      <c r="F1168" s="1024">
        <v>21975.69</v>
      </c>
      <c r="G1168" s="1024">
        <v>4708</v>
      </c>
      <c r="H1168" s="1024">
        <v>1932</v>
      </c>
      <c r="I1168" s="1024">
        <v>176611</v>
      </c>
      <c r="J1168" s="1024">
        <v>159313</v>
      </c>
      <c r="K1168" s="1024">
        <v>44858.84</v>
      </c>
      <c r="L1168" s="1024">
        <v>14175.4</v>
      </c>
      <c r="M1168" s="1024">
        <v>412591</v>
      </c>
      <c r="N1168" s="1024">
        <v>7037</v>
      </c>
      <c r="O1168" s="1024">
        <v>5535</v>
      </c>
      <c r="P1168" s="1001">
        <v>0</v>
      </c>
      <c r="Q1168" s="1094">
        <v>0</v>
      </c>
      <c r="R1168" s="1095">
        <f t="shared" ref="R1168" si="101" xml:space="preserve"> IF(C1168&lt; DATE(2024, 11, 1), D1168 * (2.31 / 100), D1168 * (2.925 / 100))+E1168*E$6+F1168*F$6+G1168*G$6+H1168*H$6+I1168*I$6+J1168*J$6+K1168*K$6+L1168*L$6+M1168*M$6+N1168*N$6+O1168*O$6+P1168*P$6+Q1168*Q$6</f>
        <v>148419.26475</v>
      </c>
      <c r="S1168" s="1007">
        <v>12.906523345802171</v>
      </c>
      <c r="T1168" s="1007">
        <v>0.461947</v>
      </c>
      <c r="U1168" s="1007">
        <v>3.5614347566310912E-3</v>
      </c>
      <c r="V1168" s="1007">
        <v>2.1999999999999999E-2</v>
      </c>
      <c r="W1168" s="1007">
        <v>0.27324999999999999</v>
      </c>
      <c r="X1168" s="1103">
        <v>7.098177246302531</v>
      </c>
      <c r="Y1168" s="1007">
        <v>9.6199999999999992</v>
      </c>
      <c r="Z1168" s="1021">
        <v>0</v>
      </c>
      <c r="AA1168" s="1021">
        <v>0</v>
      </c>
      <c r="AB1168" s="1021">
        <v>0</v>
      </c>
      <c r="AC1168" s="1007">
        <v>0.19850090755407804</v>
      </c>
      <c r="AD1168" s="1007">
        <v>9.2737585198231887E-2</v>
      </c>
      <c r="AE1168" s="1007">
        <v>0</v>
      </c>
      <c r="AF1168" s="1007">
        <v>14.492916547500048</v>
      </c>
      <c r="AG1168" s="1096">
        <f xml:space="preserve"> IF(C1168&lt; DATE(2024, 11, 1), S1168 * (2.31 / 100), S1168 * (2.925 / 100))+T1168*T$6+U1336*U$6+V1168*V$6+W1168*W$6+X1168*X$6+Y1168*Y$6+Z1168*Z$6+AA1168*AA$6+AB1168*AB$6+AC1168*AC$6+AD1168*AD$6+AE1168*AE$6+AF1168*AF$6</f>
        <v>7.2300528941104689</v>
      </c>
      <c r="AH1168" s="1097">
        <v>202606</v>
      </c>
      <c r="AI1168" s="1017"/>
      <c r="AJ1168" s="931" t="s">
        <v>2347</v>
      </c>
    </row>
    <row r="1169" spans="3:36" s="301" customFormat="1" ht="15.75" hidden="1">
      <c r="C1169" s="1032">
        <v>46177</v>
      </c>
      <c r="D1169" s="1100">
        <v>331045</v>
      </c>
      <c r="E1169" s="1100">
        <v>30453</v>
      </c>
      <c r="F1169" s="1100">
        <v>21977.919999999998</v>
      </c>
      <c r="G1169" s="1100">
        <v>4621</v>
      </c>
      <c r="H1169" s="1100">
        <v>1926</v>
      </c>
      <c r="I1169" s="1100">
        <v>175993</v>
      </c>
      <c r="J1169" s="1100">
        <v>156334</v>
      </c>
      <c r="K1169" s="1100">
        <v>35553.269999999997</v>
      </c>
      <c r="L1169" s="1100">
        <v>10888</v>
      </c>
      <c r="M1169" s="1100">
        <v>409286</v>
      </c>
      <c r="N1169" s="1100">
        <v>7012</v>
      </c>
      <c r="O1169" s="1100">
        <v>5719</v>
      </c>
      <c r="P1169" s="1004">
        <v>0</v>
      </c>
      <c r="Q1169" s="1094">
        <v>0</v>
      </c>
      <c r="R1169" s="1095">
        <f t="shared" ref="R1169" si="102" xml:space="preserve"> IF(C1169&lt; DATE(2024, 11, 1), D1169 * (2.31 / 100), D1169 * (2.925 / 100))+E1169*E$6+F1169*F$6+G1169*G$6+H1169*H$6+I1169*I$6+J1169*J$6+K1169*K$6+L1169*L$6+M1169*M$6+N1169*N$6+O1169*O$6+P1169*P$6+Q1169*Q$6</f>
        <v>144317.26775</v>
      </c>
      <c r="S1169" s="1015">
        <v>12.77371746043432</v>
      </c>
      <c r="T1169" s="1015">
        <v>0.45471099999999998</v>
      </c>
      <c r="U1169" s="1015">
        <v>3.5265767513245191E-3</v>
      </c>
      <c r="V1169" s="1015">
        <v>2.3E-2</v>
      </c>
      <c r="W1169" s="1015">
        <v>0.26812000000000002</v>
      </c>
      <c r="X1169" s="1103">
        <v>7.3621749583034823</v>
      </c>
      <c r="Y1169" s="1015">
        <v>9.36</v>
      </c>
      <c r="Z1169" s="1021">
        <v>0</v>
      </c>
      <c r="AA1169" s="1021">
        <v>0</v>
      </c>
      <c r="AB1169" s="1021">
        <v>0</v>
      </c>
      <c r="AC1169" s="1015">
        <v>0.19793457115592089</v>
      </c>
      <c r="AD1169" s="1015">
        <v>9.3530456155651892E-2</v>
      </c>
      <c r="AE1169" s="1015">
        <v>0</v>
      </c>
      <c r="AF1169" s="1015">
        <v>14.484478135167507</v>
      </c>
      <c r="AG1169" s="1096">
        <f xml:space="preserve"> IF(C1169&lt; DATE(2024, 11, 1), S1169 * (2.31 / 100), S1169 * (2.925 / 100))+T1169*T$6+U1337*U$6+V1169*V$6+W1169*W$6+X1169*X$6+Y1169*Y$6+Z1169*Z$6+AA1169*AA$6+AB1169*AB$6+AC1169*AC$6+AD1169*AD$6+AE1169*AE$6+AF1169*AF$6</f>
        <v>7.2036044656462881</v>
      </c>
      <c r="AH1169" s="1097">
        <v>202606</v>
      </c>
      <c r="AI1169" s="1017"/>
      <c r="AJ1169" s="931" t="s">
        <v>2348</v>
      </c>
    </row>
    <row r="1170" spans="3:36" s="301" customFormat="1" ht="15.75" hidden="1">
      <c r="C1170" s="1032">
        <v>46178</v>
      </c>
      <c r="D1170" s="1024">
        <v>324372</v>
      </c>
      <c r="E1170" s="1024">
        <v>33233</v>
      </c>
      <c r="F1170" s="1024">
        <v>22005.67</v>
      </c>
      <c r="G1170" s="1024">
        <v>4584</v>
      </c>
      <c r="H1170" s="1024">
        <v>1922</v>
      </c>
      <c r="I1170" s="1024">
        <v>172375</v>
      </c>
      <c r="J1170" s="1024">
        <v>157501</v>
      </c>
      <c r="K1170" s="1024">
        <v>41238.300000000003</v>
      </c>
      <c r="L1170" s="1024">
        <v>7340</v>
      </c>
      <c r="M1170" s="1024">
        <v>409646</v>
      </c>
      <c r="N1170" s="1024">
        <v>7163</v>
      </c>
      <c r="O1170" s="1024">
        <v>5760</v>
      </c>
      <c r="P1170" s="1001">
        <v>0</v>
      </c>
      <c r="Q1170" s="1094">
        <v>0</v>
      </c>
      <c r="R1170" s="1095">
        <f t="shared" ref="R1170" si="103" xml:space="preserve"> IF(C1170&lt; DATE(2024, 11, 1), D1170 * (2.31 / 100), D1170 * (2.925 / 100))+E1170*E$6+F1170*F$6+G1170*G$6+H1170*H$6+I1170*I$6+J1170*J$6+K1170*K$6+L1170*L$6+M1170*M$6+N1170*N$6+O1170*O$6+P1170*P$6+Q1170*Q$6</f>
        <v>145062.13999999998</v>
      </c>
      <c r="S1170" s="1007">
        <v>12.791273888777194</v>
      </c>
      <c r="T1170" s="1007">
        <v>0.47607100000000002</v>
      </c>
      <c r="U1170" s="1007">
        <v>3.0985963352371674E-3</v>
      </c>
      <c r="V1170" s="1007">
        <v>2.1999999999999999E-2</v>
      </c>
      <c r="W1170" s="1007">
        <v>0.26724000000000003</v>
      </c>
      <c r="X1170" s="1103">
        <v>7.3737282208258881</v>
      </c>
      <c r="Y1170" s="1007">
        <v>9.39</v>
      </c>
      <c r="Z1170" s="1021">
        <v>0</v>
      </c>
      <c r="AA1170" s="1021">
        <v>0</v>
      </c>
      <c r="AB1170" s="1021">
        <v>0</v>
      </c>
      <c r="AC1170" s="1007">
        <v>0.19850090755407804</v>
      </c>
      <c r="AD1170" s="1007">
        <v>9.3388872056112612E-2</v>
      </c>
      <c r="AE1170" s="1007">
        <v>0</v>
      </c>
      <c r="AF1170" s="1007">
        <v>14.479069622565106</v>
      </c>
      <c r="AG1170" s="1096">
        <f xml:space="preserve"> IF(C1170&lt; DATE(2024, 11, 1), S1170 * (2.31 / 100), S1170 * (2.925 / 100))+T1170*T$6+U1338*U$6+V1170*V$6+W1170*W$6+X1170*X$6+Y1170*Y$6+Z1170*Z$6+AA1170*AA$6+AB1170*AB$6+AC1170*AC$6+AD1170*AD$6+AE1170*AE$6+AF1170*AF$6</f>
        <v>7.2177020599013719</v>
      </c>
      <c r="AH1170" s="1097">
        <v>202606</v>
      </c>
      <c r="AI1170" s="1017"/>
      <c r="AJ1170" s="931" t="s">
        <v>2349</v>
      </c>
    </row>
    <row r="1171" spans="3:36" s="301" customFormat="1" ht="15.75" hidden="1">
      <c r="C1171" s="1032">
        <v>46179</v>
      </c>
      <c r="D1171" s="1100">
        <v>335599</v>
      </c>
      <c r="E1171" s="1100">
        <v>30075</v>
      </c>
      <c r="F1171" s="1100">
        <v>22021.88</v>
      </c>
      <c r="G1171" s="1100">
        <v>4679</v>
      </c>
      <c r="H1171" s="1100">
        <v>1929</v>
      </c>
      <c r="I1171" s="1100">
        <v>174834</v>
      </c>
      <c r="J1171" s="1100">
        <v>154142</v>
      </c>
      <c r="K1171" s="1100">
        <v>42836.99</v>
      </c>
      <c r="L1171" s="1100">
        <v>14976</v>
      </c>
      <c r="M1171" s="1100">
        <v>385471</v>
      </c>
      <c r="N1171" s="1100">
        <v>7168</v>
      </c>
      <c r="O1171" s="1100">
        <v>5543</v>
      </c>
      <c r="P1171" s="1004">
        <v>0</v>
      </c>
      <c r="Q1171" s="1094">
        <v>0</v>
      </c>
      <c r="R1171" s="1095">
        <f t="shared" ref="R1171" si="104" xml:space="preserve"> IF(C1171&lt; DATE(2024, 11, 1), D1171 * (2.31 / 100), D1171 * (2.925 / 100))+E1171*E$6+F1171*F$6+G1171*G$6+H1171*H$6+I1171*I$6+J1171*J$6+K1171*K$6+L1171*L$6+M1171*M$6+N1171*N$6+O1171*O$6+P1171*P$6+Q1171*Q$6</f>
        <v>145410.78425000003</v>
      </c>
      <c r="S1171" s="1015">
        <v>12.410978997414672</v>
      </c>
      <c r="T1171" s="1015">
        <v>0.46762900000000002</v>
      </c>
      <c r="U1171" s="1015">
        <v>3.5217345751202755E-3</v>
      </c>
      <c r="V1171" s="1015">
        <v>2.1000000000000001E-2</v>
      </c>
      <c r="W1171" s="1015">
        <v>0.26745999999999998</v>
      </c>
      <c r="X1171" s="1103">
        <v>7.5280548893237089</v>
      </c>
      <c r="Y1171" s="1015">
        <v>9.44</v>
      </c>
      <c r="Z1171" s="1021">
        <v>0</v>
      </c>
      <c r="AA1171" s="1021">
        <v>0</v>
      </c>
      <c r="AB1171" s="1021">
        <v>0</v>
      </c>
      <c r="AC1171" s="1015">
        <v>0.20189892594302089</v>
      </c>
      <c r="AD1171" s="1015">
        <v>9.1321744202839047E-2</v>
      </c>
      <c r="AE1171" s="1015">
        <v>0</v>
      </c>
      <c r="AF1171" s="1015">
        <v>14.480173978541513</v>
      </c>
      <c r="AG1171" s="1096">
        <f xml:space="preserve"> IF(C1171&lt; DATE(2024, 11, 1), S1171 * (2.31 / 100), S1171 * (2.925 / 100))+T1171*T$6+U1339*U$6+V1171*V$6+W1171*W$6+X1171*X$6+Y1171*Y$6+Z1171*Z$6+AA1171*AA$6+AB1171*AB$6+AC1171*AC$6+AD1171*AD$6+AE1171*AE$6+AF1171*AF$6</f>
        <v>7.2476190994260463</v>
      </c>
      <c r="AH1171" s="1097">
        <v>202606</v>
      </c>
      <c r="AI1171" s="1017"/>
      <c r="AJ1171" s="931" t="s">
        <v>2350</v>
      </c>
    </row>
    <row r="1172" spans="3:36" s="301" customFormat="1" ht="15.75" hidden="1">
      <c r="C1172" s="1032">
        <v>46180</v>
      </c>
      <c r="D1172" s="1024">
        <v>326188</v>
      </c>
      <c r="E1172" s="1024">
        <v>24635</v>
      </c>
      <c r="F1172" s="1024">
        <v>7280.12</v>
      </c>
      <c r="G1172" s="1024">
        <v>4665</v>
      </c>
      <c r="H1172" s="1024">
        <v>1909</v>
      </c>
      <c r="I1172" s="1024">
        <v>176094</v>
      </c>
      <c r="J1172" s="1024">
        <v>150808</v>
      </c>
      <c r="K1172" s="1024">
        <v>45716.27</v>
      </c>
      <c r="L1172" s="1024">
        <v>9361</v>
      </c>
      <c r="M1172" s="1024">
        <v>366823</v>
      </c>
      <c r="N1172" s="1024">
        <v>7338</v>
      </c>
      <c r="O1172" s="1024">
        <v>5513</v>
      </c>
      <c r="P1172" s="1001">
        <v>0</v>
      </c>
      <c r="Q1172" s="1094">
        <v>0</v>
      </c>
      <c r="R1172" s="1095">
        <f t="shared" ref="R1172" si="105" xml:space="preserve"> IF(C1172&lt; DATE(2024, 11, 1), D1172 * (2.31 / 100), D1172 * (2.925 / 100))+E1172*E$6+F1172*F$6+G1172*G$6+H1172*H$6+I1172*I$6+J1172*J$6+K1172*K$6+L1172*L$6+M1172*M$6+N1172*N$6+O1172*O$6+P1172*P$6+Q1172*Q$6</f>
        <v>131331.62174999999</v>
      </c>
      <c r="S1172" s="1007">
        <v>12.409279988220199</v>
      </c>
      <c r="T1172" s="1007">
        <v>0.41500799999999999</v>
      </c>
      <c r="U1172" s="1007">
        <v>1.4768071086544697E-3</v>
      </c>
      <c r="V1172" s="1007">
        <v>2.5000000000000001E-2</v>
      </c>
      <c r="W1172" s="1007">
        <v>0.26466000000000001</v>
      </c>
      <c r="X1172" s="1103">
        <v>7.6873086844854974</v>
      </c>
      <c r="Y1172" s="1007">
        <v>9.3800000000000008</v>
      </c>
      <c r="Z1172" s="1021">
        <v>0</v>
      </c>
      <c r="AA1172" s="1021">
        <v>0</v>
      </c>
      <c r="AB1172" s="1021">
        <v>0</v>
      </c>
      <c r="AC1172" s="1007">
        <v>0.19028902978079948</v>
      </c>
      <c r="AD1172" s="1007">
        <v>8.3732836467533336E-2</v>
      </c>
      <c r="AE1172" s="1007">
        <v>0</v>
      </c>
      <c r="AF1172" s="1007">
        <v>14.445938943272914</v>
      </c>
      <c r="AG1172" s="1096">
        <f xml:space="preserve"> IF(C1172&lt; DATE(2024, 11, 1), S1172 * (2.31 / 100), S1172 * (2.925 / 100))+T1172*T$6+U1340*U$6+V1172*V$6+W1172*W$6+X1172*X$6+Y1172*Y$6+Z1172*Z$6+AA1172*AA$6+AB1172*AB$6+AC1172*AC$6+AD1172*AD$6+AE1172*AE$6+AF1172*AF$6</f>
        <v>7.2386798847718374</v>
      </c>
      <c r="AH1172" s="1097">
        <v>202606</v>
      </c>
      <c r="AI1172" s="1017"/>
      <c r="AJ1172" s="931" t="s">
        <v>2351</v>
      </c>
    </row>
    <row r="1173" spans="3:36" s="301" customFormat="1" ht="15.75" hidden="1">
      <c r="C1173" s="1032">
        <v>46181</v>
      </c>
      <c r="D1173" s="1100">
        <v>309902</v>
      </c>
      <c r="E1173" s="1100">
        <v>27101</v>
      </c>
      <c r="F1173" s="1100">
        <v>16695.38</v>
      </c>
      <c r="G1173" s="1100">
        <v>4695</v>
      </c>
      <c r="H1173" s="1100">
        <v>1980</v>
      </c>
      <c r="I1173" s="1100">
        <v>146631</v>
      </c>
      <c r="J1173" s="1100">
        <v>156337</v>
      </c>
      <c r="K1173" s="1100">
        <v>49484.15</v>
      </c>
      <c r="L1173" s="1100">
        <v>13623</v>
      </c>
      <c r="M1173" s="1100">
        <v>416483</v>
      </c>
      <c r="N1173" s="1100">
        <v>4996</v>
      </c>
      <c r="O1173" s="1100">
        <v>5514</v>
      </c>
      <c r="P1173" s="1004">
        <v>0</v>
      </c>
      <c r="Q1173" s="1094">
        <v>0</v>
      </c>
      <c r="R1173" s="1095">
        <f t="shared" ref="R1173" si="106" xml:space="preserve"> IF(C1173&lt; DATE(2024, 11, 1), D1173 * (2.31 / 100), D1173 * (2.925 / 100))+E1173*E$6+F1173*F$6+G1173*G$6+H1173*H$6+I1173*I$6+J1173*J$6+K1173*K$6+L1173*L$6+M1173*M$6+N1173*N$6+O1173*O$6+P1173*P$6+Q1173*Q$6</f>
        <v>137442.05575</v>
      </c>
      <c r="S1173" s="1015">
        <v>12.310171118542707</v>
      </c>
      <c r="T1173" s="1015">
        <v>0.40967300000000001</v>
      </c>
      <c r="U1173" s="1015">
        <v>2.4221924580981858E-3</v>
      </c>
      <c r="V1173" s="1015">
        <v>2.1999999999999999E-2</v>
      </c>
      <c r="W1173" s="1015">
        <v>0.26539999999999997</v>
      </c>
      <c r="X1173" s="1103">
        <v>6.2035356381336948</v>
      </c>
      <c r="Y1173" s="1015">
        <v>9.44</v>
      </c>
      <c r="Z1173" s="1021">
        <v>0</v>
      </c>
      <c r="AA1173" s="1021">
        <v>0</v>
      </c>
      <c r="AB1173" s="1021">
        <v>0</v>
      </c>
      <c r="AC1173" s="1015">
        <v>0.12629301678904251</v>
      </c>
      <c r="AD1173" s="1015">
        <v>0.10069461159233974</v>
      </c>
      <c r="AE1173" s="1015">
        <v>0</v>
      </c>
      <c r="AF1173" s="1015">
        <v>14.47281160536547</v>
      </c>
      <c r="AG1173" s="1096">
        <f xml:space="preserve"> IF(C1173&lt; DATE(2024, 11, 1), S1173 * (2.31 / 100), S1173 * (2.925 / 100))+T1173*T$6+U1341*U$6+V1173*V$6+W1173*W$6+X1173*X$6+Y1173*Y$6+Z1173*Z$6+AA1173*AA$6+AB1173*AB$6+AC1173*AC$6+AD1173*AD$6+AE1173*AE$6+AF1173*AF$6</f>
        <v>6.9567393922399745</v>
      </c>
      <c r="AH1173" s="1097">
        <v>202606</v>
      </c>
      <c r="AI1173" s="1017"/>
      <c r="AJ1173" s="931" t="s">
        <v>2352</v>
      </c>
    </row>
    <row r="1174" spans="3:36" s="301" customFormat="1" ht="15.75" hidden="1">
      <c r="C1174" s="1032">
        <v>46182</v>
      </c>
      <c r="D1174" s="1024">
        <v>297205</v>
      </c>
      <c r="E1174" s="1024">
        <v>32648</v>
      </c>
      <c r="F1174" s="1024">
        <v>22180.76</v>
      </c>
      <c r="G1174" s="1024">
        <v>4701</v>
      </c>
      <c r="H1174" s="1024">
        <v>1964</v>
      </c>
      <c r="I1174" s="1024">
        <v>125372</v>
      </c>
      <c r="J1174" s="1024">
        <v>153177</v>
      </c>
      <c r="K1174" s="1024">
        <v>51575.72</v>
      </c>
      <c r="L1174" s="1024">
        <v>12329</v>
      </c>
      <c r="M1174" s="1024">
        <v>431124</v>
      </c>
      <c r="N1174" s="1024">
        <v>7191</v>
      </c>
      <c r="O1174" s="1024">
        <v>5534</v>
      </c>
      <c r="P1174" s="1001">
        <v>0</v>
      </c>
      <c r="Q1174" s="1094">
        <v>0</v>
      </c>
      <c r="R1174" s="1095">
        <f t="shared" ref="R1174" si="107" xml:space="preserve"> IF(C1174&lt; DATE(2024, 11, 1), D1174 * (2.31 / 100), D1174 * (2.925 / 100))+E1174*E$6+F1174*F$6+G1174*G$6+H1174*H$6+I1174*I$6+J1174*J$6+K1174*K$6+L1174*L$6+M1174*M$6+N1174*N$6+O1174*O$6+P1174*P$6+Q1174*Q$6</f>
        <v>138367.5295</v>
      </c>
      <c r="S1174" s="1007">
        <v>12.669511563173408</v>
      </c>
      <c r="T1174" s="1007">
        <v>0.42742000000000002</v>
      </c>
      <c r="U1174" s="1007">
        <v>3.5888737551218043E-3</v>
      </c>
      <c r="V1174" s="1007">
        <v>2.5000000000000001E-2</v>
      </c>
      <c r="W1174" s="1007">
        <v>0.27912999999999999</v>
      </c>
      <c r="X1174" s="1103">
        <v>6.5629893500440319</v>
      </c>
      <c r="Y1174" s="1007">
        <v>9.8699999999999992</v>
      </c>
      <c r="Z1174" s="1021">
        <v>0</v>
      </c>
      <c r="AA1174" s="1021">
        <v>0</v>
      </c>
      <c r="AB1174" s="1021">
        <v>0</v>
      </c>
      <c r="AC1174" s="1007">
        <v>0.18859002058632807</v>
      </c>
      <c r="AD1174" s="1007">
        <v>9.6985108184410446E-2</v>
      </c>
      <c r="AE1174" s="1007">
        <v>0</v>
      </c>
      <c r="AF1174" s="1007">
        <v>14.489943281409724</v>
      </c>
      <c r="AG1174" s="1096">
        <f xml:space="preserve"> IF(C1174&lt; DATE(2024, 11, 1), S1174 * (2.31 / 100), S1174 * (2.925 / 100))+T1174*T$6+U1342*U$6+V1174*V$6+W1174*W$6+X1174*X$6+Y1174*Y$6+Z1174*Z$6+AA1174*AA$6+AB1174*AB$6+AC1174*AC$6+AD1174*AD$6+AE1174*AE$6+AF1174*AF$6</f>
        <v>7.1792437866095415</v>
      </c>
      <c r="AH1174" s="1097">
        <v>202606</v>
      </c>
      <c r="AI1174" s="1017"/>
      <c r="AJ1174" s="931" t="s">
        <v>2353</v>
      </c>
    </row>
    <row r="1175" spans="3:36" s="301" customFormat="1" ht="15.75" hidden="1">
      <c r="C1175" s="1032">
        <v>46183</v>
      </c>
      <c r="D1175" s="1100">
        <v>314327</v>
      </c>
      <c r="E1175" s="1100">
        <v>33899</v>
      </c>
      <c r="F1175" s="1100">
        <v>22186.11</v>
      </c>
      <c r="G1175" s="1100">
        <v>4652</v>
      </c>
      <c r="H1175" s="1100">
        <v>2093</v>
      </c>
      <c r="I1175" s="1100">
        <v>170860</v>
      </c>
      <c r="J1175" s="1100">
        <v>153016</v>
      </c>
      <c r="K1175" s="1100">
        <v>55272.45</v>
      </c>
      <c r="L1175" s="1100">
        <v>13642</v>
      </c>
      <c r="M1175" s="1100">
        <v>455572</v>
      </c>
      <c r="N1175" s="1100">
        <v>7303</v>
      </c>
      <c r="O1175" s="1100">
        <v>5506</v>
      </c>
      <c r="P1175" s="1004">
        <v>0</v>
      </c>
      <c r="Q1175" s="1094">
        <v>0</v>
      </c>
      <c r="R1175" s="1095">
        <f t="shared" ref="R1175" si="108" xml:space="preserve"> IF(C1175&lt; DATE(2024, 11, 1), D1175 * (2.31 / 100), D1175 * (2.925 / 100))+E1175*E$6+F1175*F$6+G1175*G$6+H1175*H$6+I1175*I$6+J1175*J$6+K1175*K$6+L1175*L$6+M1175*M$6+N1175*N$6+O1175*O$6+P1175*P$6+Q1175*Q$6</f>
        <v>150590.08674999999</v>
      </c>
      <c r="S1175" s="1015">
        <v>12.273076084463408</v>
      </c>
      <c r="T1175" s="1015">
        <v>0.47510000000000002</v>
      </c>
      <c r="U1175" s="1015">
        <v>3.7126182581191402E-3</v>
      </c>
      <c r="V1175" s="1015">
        <v>2.4E-2</v>
      </c>
      <c r="W1175" s="1015">
        <v>0.27514</v>
      </c>
      <c r="X1175" s="1103">
        <v>6.6167346742291446</v>
      </c>
      <c r="Y1175" s="1015">
        <v>9.85</v>
      </c>
      <c r="Z1175" s="1021">
        <v>0</v>
      </c>
      <c r="AA1175" s="1015">
        <v>0</v>
      </c>
      <c r="AB1175" s="1015">
        <v>0</v>
      </c>
      <c r="AC1175" s="1015">
        <v>0.1996335803503923</v>
      </c>
      <c r="AD1175" s="1015">
        <v>8.7668874434725486E-2</v>
      </c>
      <c r="AE1175" s="1015">
        <v>0</v>
      </c>
      <c r="AF1175" s="1015">
        <v>14.469640121535789</v>
      </c>
      <c r="AG1175" s="1096">
        <f xml:space="preserve"> IF(C1175&lt; DATE(2024, 11, 1), S1175 * (2.31 / 100), S1175 * (2.925 / 100))+T1175*T$6+U1343*U$6+V1175*V$6+W1175*W$6+X1175*X$6+Y1175*Y$6+Z1175*Z$6+AA1175*AA$6+AB1175*AB$6+AC1175*AC$6+AD1175*AD$6+AE1175*AE$6+AF1175*AF$6</f>
        <v>7.1756174745899015</v>
      </c>
      <c r="AH1175" s="1097">
        <v>202606</v>
      </c>
      <c r="AI1175" s="1017"/>
      <c r="AJ1175" s="931" t="s">
        <v>2354</v>
      </c>
    </row>
    <row r="1176" spans="3:36" s="301" customFormat="1" ht="15.75" hidden="1">
      <c r="C1176" s="1032">
        <v>46184</v>
      </c>
      <c r="D1176" s="1024">
        <v>314293</v>
      </c>
      <c r="E1176" s="1024">
        <v>34843</v>
      </c>
      <c r="F1176" s="1024">
        <v>22178.880000000001</v>
      </c>
      <c r="G1176" s="1024">
        <v>4610</v>
      </c>
      <c r="H1176" s="1024">
        <v>1987</v>
      </c>
      <c r="I1176" s="1024">
        <v>181788</v>
      </c>
      <c r="J1176" s="1024">
        <v>152310</v>
      </c>
      <c r="K1176" s="1024">
        <v>55988.47</v>
      </c>
      <c r="L1176" s="1024">
        <v>14436</v>
      </c>
      <c r="M1176" s="1024">
        <v>464488</v>
      </c>
      <c r="N1176" s="1024">
        <v>7253</v>
      </c>
      <c r="O1176" s="1024">
        <v>5528</v>
      </c>
      <c r="P1176" s="1001">
        <v>0</v>
      </c>
      <c r="Q1176" s="1094">
        <v>0</v>
      </c>
      <c r="R1176" s="1095">
        <f t="shared" ref="R1176" si="109" xml:space="preserve"> IF(C1176&lt; DATE(2024, 11, 1), D1176 * (2.31 / 100), D1176 * (2.925 / 100))+E1176*E$6+F1176*F$6+G1176*G$6+H1176*H$6+I1176*I$6+J1176*J$6+K1176*K$6+L1176*L$6+M1176*M$6+N1176*N$6+O1176*O$6+P1176*P$6+Q1176*Q$6</f>
        <v>153444.44874999998</v>
      </c>
      <c r="S1176" s="1007">
        <v>12.335373088260692</v>
      </c>
      <c r="T1176" s="1007">
        <v>0.480381</v>
      </c>
      <c r="U1176" s="1007">
        <v>3.695344997975347E-3</v>
      </c>
      <c r="V1176" s="1007">
        <v>2.4E-2</v>
      </c>
      <c r="W1176" s="1007">
        <v>0.26693</v>
      </c>
      <c r="X1176" s="1103">
        <v>7.5289999999999999</v>
      </c>
      <c r="Y1176" s="1007">
        <v>9.8800000000000008</v>
      </c>
      <c r="Z1176" s="1021">
        <v>0</v>
      </c>
      <c r="AA1176" s="1021">
        <v>0</v>
      </c>
      <c r="AB1176" s="1021">
        <v>0</v>
      </c>
      <c r="AC1176" s="1007">
        <v>0.19566922556329233</v>
      </c>
      <c r="AD1176" s="1007">
        <v>8.8376794932421898E-2</v>
      </c>
      <c r="AE1176" s="1007">
        <v>0</v>
      </c>
      <c r="AF1176" s="1007">
        <v>14.478078533868331</v>
      </c>
      <c r="AG1176" s="1096">
        <f xml:space="preserve"> IF(C1176&lt; DATE(2024, 11, 1), S1176 * (2.31 / 100), S1176 * (2.925 / 100))+T1176*T$6+U1344*U$6+V1176*V$6+W1176*W$6+X1176*X$6+Y1176*Y$6+Z1176*Z$6+AA1176*AA$6+AB1176*AB$6+AC1176*AC$6+AD1176*AD$6+AE1176*AE$6+AF1176*AF$6</f>
        <v>7.3621902163741737</v>
      </c>
      <c r="AH1176" s="1097">
        <v>202606</v>
      </c>
      <c r="AI1176" s="1017"/>
      <c r="AJ1176" s="931" t="s">
        <v>2355</v>
      </c>
    </row>
    <row r="1177" spans="3:36" s="301" customFormat="1" ht="15.75" hidden="1">
      <c r="C1177" s="1032">
        <v>46185</v>
      </c>
      <c r="D1177" s="1100">
        <v>319375</v>
      </c>
      <c r="E1177" s="1100">
        <v>34660</v>
      </c>
      <c r="F1177" s="1100">
        <v>22042.28</v>
      </c>
      <c r="G1177" s="1100">
        <v>4646</v>
      </c>
      <c r="H1177" s="1100">
        <v>1956</v>
      </c>
      <c r="I1177" s="1100">
        <v>156646</v>
      </c>
      <c r="J1177" s="1100">
        <v>154274</v>
      </c>
      <c r="K1177" s="1100">
        <v>53775.03</v>
      </c>
      <c r="L1177" s="1100">
        <v>12760</v>
      </c>
      <c r="M1177" s="1100">
        <v>446712</v>
      </c>
      <c r="N1177" s="1100">
        <v>7236</v>
      </c>
      <c r="O1177" s="1100">
        <v>5535</v>
      </c>
      <c r="P1177" s="1004">
        <v>0</v>
      </c>
      <c r="Q1177" s="1094">
        <v>0</v>
      </c>
      <c r="R1177" s="1095">
        <f t="shared" ref="R1177" si="110" xml:space="preserve"> IF(C1177&lt; DATE(2024, 11, 1), D1177 * (2.31 / 100), D1177 * (2.925 / 100))+E1177*E$6+F1177*F$6+G1177*G$6+H1177*H$6+I1177*I$6+J1177*J$6+K1177*K$6+L1177*L$6+M1177*M$6+N1177*N$6+O1177*O$6+P1177*P$6+Q1177*Q$6</f>
        <v>147249.50225000002</v>
      </c>
      <c r="S1177" s="1015">
        <v>12.466479964434077</v>
      </c>
      <c r="T1177" s="1015">
        <v>0.48164499999999999</v>
      </c>
      <c r="U1177" s="1015">
        <v>3.7621726929578901E-3</v>
      </c>
      <c r="V1177" s="1015">
        <v>2.5000000000000001E-2</v>
      </c>
      <c r="W1177" s="1015">
        <v>0.25795000000000001</v>
      </c>
      <c r="X1177" s="1103">
        <v>7.7610000000000001</v>
      </c>
      <c r="Y1177" s="1015">
        <v>9.91</v>
      </c>
      <c r="Z1177" s="1021">
        <v>0</v>
      </c>
      <c r="AA1177" s="1021">
        <v>0</v>
      </c>
      <c r="AB1177" s="1021">
        <v>0</v>
      </c>
      <c r="AC1177" s="1015">
        <v>0.1928375435725066</v>
      </c>
      <c r="AD1177" s="1015">
        <v>9.3926891634361895E-2</v>
      </c>
      <c r="AE1177" s="1015">
        <v>0</v>
      </c>
      <c r="AF1177" s="1015">
        <v>14.460890224184263</v>
      </c>
      <c r="AG1177" s="1096">
        <f xml:space="preserve"> IF(C1177&lt; DATE(2024, 11, 1), S1177 * (2.31 / 100), S1177 * (2.925 / 100))+T1177*T$6+U1345*U$6+V1177*V$6+W1177*W$6+X1177*X$6+Y1177*Y$6+Z1177*Z$6+AA1177*AA$6+AB1177*AB$6+AC1177*AC$6+AD1177*AD$6+AE1177*AE$6+AF1177*AF$6</f>
        <v>7.4110729135177422</v>
      </c>
      <c r="AH1177" s="1097">
        <v>202606</v>
      </c>
      <c r="AI1177" s="1017"/>
      <c r="AJ1177" s="931" t="s">
        <v>2356</v>
      </c>
    </row>
    <row r="1178" spans="3:36" s="301" customFormat="1" ht="15.75" hidden="1">
      <c r="C1178" s="1032">
        <v>46186</v>
      </c>
      <c r="D1178" s="1024">
        <v>324426</v>
      </c>
      <c r="E1178" s="1024">
        <v>35088</v>
      </c>
      <c r="F1178" s="1024">
        <v>22002.25</v>
      </c>
      <c r="G1178" s="1024">
        <v>4680</v>
      </c>
      <c r="H1178" s="1024">
        <v>1995</v>
      </c>
      <c r="I1178" s="1024">
        <v>144489</v>
      </c>
      <c r="J1178" s="1024">
        <v>155273</v>
      </c>
      <c r="K1178" s="1024">
        <v>56301.95</v>
      </c>
      <c r="L1178" s="1024">
        <v>10591</v>
      </c>
      <c r="M1178" s="1024">
        <v>449307</v>
      </c>
      <c r="N1178" s="1024">
        <v>7260</v>
      </c>
      <c r="O1178" s="1024">
        <v>5546</v>
      </c>
      <c r="P1178" s="1001">
        <v>0</v>
      </c>
      <c r="Q1178" s="1094">
        <v>0</v>
      </c>
      <c r="R1178" s="1095">
        <f t="shared" ref="R1178" si="111" xml:space="preserve"> IF(C1178&lt; DATE(2024, 11, 1), D1178 * (2.31 / 100), D1178 * (2.925 / 100))+E1178*E$6+F1178*F$6+G1178*G$6+H1178*H$6+I1178*I$6+J1178*J$6+K1178*K$6+L1178*L$6+M1178*M$6+N1178*N$6+O1178*O$6+P1178*P$6+Q1178*Q$6</f>
        <v>145588.42175000001</v>
      </c>
      <c r="S1178" s="1007">
        <v>12.22720283621268</v>
      </c>
      <c r="T1178" s="1007">
        <v>0.47885299999999997</v>
      </c>
      <c r="U1178" s="1007">
        <v>3.7669865523422257E-3</v>
      </c>
      <c r="V1178" s="1007">
        <v>2.5000000000000001E-2</v>
      </c>
      <c r="W1178" s="1007">
        <v>0.2666</v>
      </c>
      <c r="X1178" s="1103">
        <v>7.7140000000000004</v>
      </c>
      <c r="Y1178" s="1007">
        <v>9.92</v>
      </c>
      <c r="Z1178" s="1021">
        <v>0</v>
      </c>
      <c r="AA1178" s="1021">
        <v>0</v>
      </c>
      <c r="AB1178" s="1021">
        <v>0</v>
      </c>
      <c r="AC1178" s="1007">
        <v>0.19425338456789948</v>
      </c>
      <c r="AD1178" s="1007">
        <v>8.6507884818503342E-2</v>
      </c>
      <c r="AE1178" s="1007">
        <v>0</v>
      </c>
      <c r="AF1178" s="1007">
        <v>14.45219696047255</v>
      </c>
      <c r="AG1178" s="1096">
        <f xml:space="preserve"> IF(C1178&lt; DATE(2024, 11, 1), S1178 * (2.31 / 100), S1178 * (2.925 / 100))+T1178*T$6+U1346*U$6+V1178*V$6+W1178*W$6+X1178*X$6+Y1178*Y$6+Z1178*Z$6+AA1178*AA$6+AB1178*AB$6+AC1178*AC$6+AD1178*AD$6+AE1178*AE$6+AF1178*AF$6</f>
        <v>7.4008805024694251</v>
      </c>
      <c r="AH1178" s="1097">
        <v>202606</v>
      </c>
      <c r="AI1178" s="1017"/>
      <c r="AJ1178" s="931" t="s">
        <v>2357</v>
      </c>
    </row>
    <row r="1179" spans="3:36" s="301" customFormat="1" ht="15.75" hidden="1">
      <c r="C1179" s="1032">
        <v>46187</v>
      </c>
      <c r="D1179" s="1100">
        <v>330286</v>
      </c>
      <c r="E1179" s="1100">
        <v>34893</v>
      </c>
      <c r="F1179" s="1100">
        <v>22152.720000000001</v>
      </c>
      <c r="G1179" s="1100">
        <v>4719</v>
      </c>
      <c r="H1179" s="1100">
        <v>1971</v>
      </c>
      <c r="I1179" s="1100">
        <v>147413</v>
      </c>
      <c r="J1179" s="1100">
        <v>155402</v>
      </c>
      <c r="K1179" s="1100">
        <v>57273.71</v>
      </c>
      <c r="L1179" s="1100">
        <v>8974</v>
      </c>
      <c r="M1179" s="1100">
        <v>450235</v>
      </c>
      <c r="N1179" s="1100">
        <v>7147</v>
      </c>
      <c r="O1179" s="1100">
        <v>5371</v>
      </c>
      <c r="P1179" s="1004">
        <v>0</v>
      </c>
      <c r="Q1179" s="1094">
        <v>0</v>
      </c>
      <c r="R1179" s="1095">
        <f t="shared" ref="R1179:R1186" si="112" xml:space="preserve"> IF(C1179&lt; DATE(2024, 11, 1), D1179 * (2.31 / 100), D1179 * (2.925 / 100))+E1179*E$6+F1179*F$6+G1179*G$6+H1179*H$6+I1179*I$6+J1179*J$6+K1179*K$6+L1179*L$6+M1179*M$6+N1179*N$6+O1179*O$6+P1179*P$6+Q1179*Q$6</f>
        <v>146233.87450000001</v>
      </c>
      <c r="S1179" s="1015">
        <v>12.56020863832908</v>
      </c>
      <c r="T1179" s="1015">
        <v>0.47624100000000003</v>
      </c>
      <c r="U1179" s="1015">
        <v>3.3714005782294622E-3</v>
      </c>
      <c r="V1179" s="1015">
        <v>2.8000000000000001E-2</v>
      </c>
      <c r="W1179" s="1015">
        <v>0.26186999999999999</v>
      </c>
      <c r="X1179" s="1103">
        <v>7.643077811789424</v>
      </c>
      <c r="Y1179" s="1015">
        <v>9.98</v>
      </c>
      <c r="Z1179" s="1021">
        <v>0</v>
      </c>
      <c r="AA1179" s="1021">
        <v>0</v>
      </c>
      <c r="AB1179" s="1021">
        <v>0</v>
      </c>
      <c r="AC1179" s="1015">
        <v>0.19651873016052807</v>
      </c>
      <c r="AD1179" s="1015">
        <v>8.7357389415739048E-2</v>
      </c>
      <c r="AE1179" s="1015">
        <v>0</v>
      </c>
      <c r="AF1179" s="1015">
        <v>14.446986665609504</v>
      </c>
      <c r="AG1179" s="1096">
        <f xml:space="preserve"> IF(C1179&lt; DATE(2024, 11, 1), S1179 * (2.31 / 100), S1179 * (2.925 / 100))+T1179*T$6+U1347*U$6+V1179*V$6+W1179*W$6+X1179*X$6+Y1179*Y$6+Z1179*Z$6+AA1179*AA$6+AB1179*AB$6+AC1179*AC$6+AD1179*AD$6+AE1179*AE$6+AF1179*AF$6</f>
        <v>7.4078044842665811</v>
      </c>
      <c r="AH1179" s="1097">
        <v>202606</v>
      </c>
      <c r="AI1179" s="1017"/>
      <c r="AJ1179" s="931" t="s">
        <v>2358</v>
      </c>
    </row>
    <row r="1180" spans="3:36" s="301" customFormat="1" ht="15.75" hidden="1">
      <c r="C1180" s="1032">
        <v>46188</v>
      </c>
      <c r="D1180" s="1024">
        <v>326615</v>
      </c>
      <c r="E1180" s="1024">
        <v>34761</v>
      </c>
      <c r="F1180" s="1024">
        <v>22075.68</v>
      </c>
      <c r="G1180" s="1024">
        <v>4749</v>
      </c>
      <c r="H1180" s="1024">
        <v>1960</v>
      </c>
      <c r="I1180" s="1024">
        <v>147198</v>
      </c>
      <c r="J1180" s="1024">
        <v>154498</v>
      </c>
      <c r="K1180" s="1024">
        <v>52213.53</v>
      </c>
      <c r="L1180" s="1024">
        <v>12405</v>
      </c>
      <c r="M1180" s="1024">
        <v>471554</v>
      </c>
      <c r="N1180" s="1024">
        <v>7223</v>
      </c>
      <c r="O1180" s="1024">
        <v>5290</v>
      </c>
      <c r="P1180" s="1001">
        <v>0</v>
      </c>
      <c r="Q1180" s="1094">
        <v>0</v>
      </c>
      <c r="R1180" s="1095">
        <f t="shared" si="112"/>
        <v>146154.2935</v>
      </c>
      <c r="S1180" s="1007">
        <v>12.65960067620566</v>
      </c>
      <c r="T1180" s="1007">
        <v>0.47827500000000001</v>
      </c>
      <c r="U1180" s="1007">
        <v>3.3977352207437694E-3</v>
      </c>
      <c r="V1180" s="1007">
        <v>2.5000000000000001E-2</v>
      </c>
      <c r="W1180" s="1007">
        <v>0.26092000000000004</v>
      </c>
      <c r="X1180" s="1103">
        <v>7.6651366144976452</v>
      </c>
      <c r="Y1180" s="1007">
        <v>10.11</v>
      </c>
      <c r="Z1180" s="1021">
        <v>0</v>
      </c>
      <c r="AA1180" s="1021">
        <v>0</v>
      </c>
      <c r="AB1180" s="1021">
        <v>0</v>
      </c>
      <c r="AC1180" s="1007">
        <v>0.19397021636882089</v>
      </c>
      <c r="AD1180" s="1007">
        <v>8.3138183249468339E-2</v>
      </c>
      <c r="AE1180" s="1007">
        <v>0</v>
      </c>
      <c r="AF1180" s="1007">
        <v>14.419887468957684</v>
      </c>
      <c r="AG1180" s="1096">
        <f xml:space="preserve"> IF(C1180&lt; DATE(2024, 11, 1), S1180 * (2.31 / 100), S1180 * (2.925 / 100))+T1180*T$6+U1348*U$6+V1180*V$6+W1180*W$6+X1180*X$6+Y1180*Y$6+Z1180*Z$6+AA1180*AA$6+AB1180*AB$6+AC1180*AC$6+AD1180*AD$6+AE1180*AE$6+AF1180*AF$6</f>
        <v>7.4404477595017084</v>
      </c>
      <c r="AH1180" s="1097">
        <v>202606</v>
      </c>
      <c r="AI1180" s="1017"/>
      <c r="AJ1180" s="931" t="s">
        <v>2359</v>
      </c>
    </row>
    <row r="1181" spans="3:36" s="301" customFormat="1" ht="15.75" hidden="1">
      <c r="C1181" s="1032">
        <v>46189</v>
      </c>
      <c r="D1181" s="1100">
        <v>350415</v>
      </c>
      <c r="E1181" s="1100">
        <v>35327</v>
      </c>
      <c r="F1181" s="1100">
        <v>22147.62</v>
      </c>
      <c r="G1181" s="1100">
        <v>4824</v>
      </c>
      <c r="H1181" s="1100">
        <v>1929</v>
      </c>
      <c r="I1181" s="1100">
        <v>146434</v>
      </c>
      <c r="J1181" s="1100">
        <v>154381</v>
      </c>
      <c r="K1181" s="1100">
        <v>50334.49</v>
      </c>
      <c r="L1181" s="1100">
        <v>10937</v>
      </c>
      <c r="M1181" s="1100">
        <v>458527</v>
      </c>
      <c r="N1181" s="1100">
        <v>7231</v>
      </c>
      <c r="O1181" s="1100">
        <v>5422</v>
      </c>
      <c r="P1181" s="1004">
        <v>0</v>
      </c>
      <c r="Q1181" s="1094">
        <v>0</v>
      </c>
      <c r="R1181" s="1095">
        <f t="shared" si="112"/>
        <v>145585.5865</v>
      </c>
      <c r="S1181" s="1015">
        <v>12.659317508006582</v>
      </c>
      <c r="T1181" s="1015">
        <v>0.48463299999999998</v>
      </c>
      <c r="U1181" s="1015">
        <v>3.6024658286775758E-3</v>
      </c>
      <c r="V1181" s="1015">
        <v>2.5000000000000001E-2</v>
      </c>
      <c r="W1181" s="1015">
        <v>0.25344</v>
      </c>
      <c r="X1181" s="1103">
        <v>8.0144529048809705</v>
      </c>
      <c r="Y1181" s="1015">
        <v>9.92</v>
      </c>
      <c r="Z1181" s="1021">
        <v>0</v>
      </c>
      <c r="AA1181" s="1015">
        <v>0</v>
      </c>
      <c r="AB1181" s="1015">
        <v>0</v>
      </c>
      <c r="AC1181" s="1015">
        <v>0.19397021636882089</v>
      </c>
      <c r="AD1181" s="1015">
        <v>9.2369466539429748E-2</v>
      </c>
      <c r="AE1181" s="1015">
        <v>0</v>
      </c>
      <c r="AF1181" s="1015">
        <v>14.439312807414476</v>
      </c>
      <c r="AG1181" s="1096">
        <f xml:space="preserve"> IF(C1181&lt; DATE(2024, 11, 1), S1181 * (2.31 / 100), S1181 * (2.925 / 100))+T1181*T$6+U1349*U$6+V1181*V$6+W1181*W$6+X1181*X$6+Y1181*Y$6+Z1181*Z$6+AA1181*AA$6+AB1181*AB$6+AC1181*AC$6+AD1181*AD$6+AE1181*AE$6+AF1181*AF$6</f>
        <v>7.462134215762191</v>
      </c>
      <c r="AH1181" s="1097">
        <v>202606</v>
      </c>
      <c r="AI1181" s="1017"/>
      <c r="AJ1181" s="931" t="s">
        <v>2361</v>
      </c>
    </row>
    <row r="1182" spans="3:36" s="301" customFormat="1" ht="15.75" hidden="1">
      <c r="C1182" s="1032">
        <v>46190</v>
      </c>
      <c r="D1182" s="1024">
        <v>321705</v>
      </c>
      <c r="E1182" s="1024">
        <v>36208</v>
      </c>
      <c r="F1182" s="1024">
        <v>22113.31</v>
      </c>
      <c r="G1182" s="1024">
        <v>4851</v>
      </c>
      <c r="H1182" s="1024">
        <v>2041</v>
      </c>
      <c r="I1182" s="1024">
        <v>140315</v>
      </c>
      <c r="J1182" s="1024">
        <v>155579</v>
      </c>
      <c r="K1182" s="1024">
        <v>44371.360000000001</v>
      </c>
      <c r="L1182" s="1024">
        <v>13247</v>
      </c>
      <c r="M1182" s="1024">
        <v>326426</v>
      </c>
      <c r="N1182" s="1024">
        <v>7198</v>
      </c>
      <c r="O1182" s="1024">
        <v>5519</v>
      </c>
      <c r="P1182" s="1001">
        <v>0</v>
      </c>
      <c r="Q1182" s="1094">
        <v>0</v>
      </c>
      <c r="R1182" s="1095">
        <f t="shared" si="112"/>
        <v>137990.48699999999</v>
      </c>
      <c r="S1182" s="1007">
        <v>12.613727427954929</v>
      </c>
      <c r="T1182" s="1007">
        <v>0.48975299999999999</v>
      </c>
      <c r="U1182" s="1007">
        <v>3.6024658286775758E-3</v>
      </c>
      <c r="V1182" s="1007">
        <v>2.8000000000000001E-2</v>
      </c>
      <c r="W1182" s="1007">
        <v>0.26500999999999997</v>
      </c>
      <c r="X1182" s="1103">
        <v>8.0217869612371047</v>
      </c>
      <c r="Y1182" s="1007">
        <v>10.029999999999999</v>
      </c>
      <c r="Z1182" s="1021">
        <v>0</v>
      </c>
      <c r="AA1182" s="1007">
        <v>0</v>
      </c>
      <c r="AB1182" s="1007">
        <v>0</v>
      </c>
      <c r="AC1182" s="1007">
        <v>0.19425338456789948</v>
      </c>
      <c r="AD1182" s="1007">
        <v>8.6762736197674051E-2</v>
      </c>
      <c r="AE1182" s="1007">
        <v>0</v>
      </c>
      <c r="AF1182" s="1007">
        <v>14.457350621695781</v>
      </c>
      <c r="AG1182" s="1096">
        <f xml:space="preserve"> IF(C1182&lt; DATE(2024, 11, 1), S1182 * (2.31 / 100), S1182 * (2.925 / 100))+T1182*T$6+U1350*U$6+V1182*V$6+W1182*W$6+X1182*X$6+Y1182*Y$6+Z1182*Z$6+AA1182*AA$6+AB1182*AB$6+AC1182*AC$6+AD1182*AD$6+AE1182*AE$6+AF1182*AF$6</f>
        <v>7.5061748019849244</v>
      </c>
      <c r="AH1182" s="1097">
        <v>202606</v>
      </c>
      <c r="AI1182" s="1017"/>
      <c r="AJ1182" s="931" t="s">
        <v>2360</v>
      </c>
    </row>
    <row r="1183" spans="3:36" s="301" customFormat="1" ht="15.75" hidden="1">
      <c r="C1183" s="1032">
        <v>46191</v>
      </c>
      <c r="D1183" s="1100">
        <v>332161</v>
      </c>
      <c r="E1183" s="1100">
        <v>35868</v>
      </c>
      <c r="F1183" s="1100">
        <v>22000.99</v>
      </c>
      <c r="G1183" s="1100">
        <v>4816</v>
      </c>
      <c r="H1183" s="1100">
        <v>1933</v>
      </c>
      <c r="I1183" s="1100">
        <v>154473</v>
      </c>
      <c r="J1183" s="1100">
        <v>156303</v>
      </c>
      <c r="K1183" s="1100">
        <v>44449.09</v>
      </c>
      <c r="L1183" s="1100">
        <v>14673</v>
      </c>
      <c r="M1183" s="1100">
        <v>441792</v>
      </c>
      <c r="N1183" s="1100">
        <v>7278</v>
      </c>
      <c r="O1183" s="1100">
        <v>5611</v>
      </c>
      <c r="P1183" s="1004">
        <v>0</v>
      </c>
      <c r="Q1183" s="1094">
        <v>0</v>
      </c>
      <c r="R1183" s="1095">
        <f t="shared" si="112"/>
        <v>146043.93599999999</v>
      </c>
      <c r="S1183" s="1015">
        <v>12.546333396574228</v>
      </c>
      <c r="T1183" s="1015">
        <v>0.49262400000000001</v>
      </c>
      <c r="U1183" s="1015">
        <v>3.671275701053669E-3</v>
      </c>
      <c r="V1183" s="1015">
        <v>2.5000000000000001E-2</v>
      </c>
      <c r="W1183" s="1015">
        <v>0.25490999999999997</v>
      </c>
      <c r="X1183" s="1103">
        <v>8.256788249652411</v>
      </c>
      <c r="Y1183" s="1015">
        <v>9.8800000000000008</v>
      </c>
      <c r="Z1183" s="1021">
        <v>0</v>
      </c>
      <c r="AA1183" s="1021">
        <v>0</v>
      </c>
      <c r="AB1183" s="1021">
        <v>0</v>
      </c>
      <c r="AC1183" s="1015">
        <v>0.19708506655868518</v>
      </c>
      <c r="AD1183" s="1015">
        <v>8.3308084168915497E-2</v>
      </c>
      <c r="AE1183" s="1015">
        <v>0</v>
      </c>
      <c r="AF1183" s="1015">
        <v>14.439822510172817</v>
      </c>
      <c r="AG1183" s="1096">
        <f xml:space="preserve"> IF(C1183&lt; DATE(2024, 11, 1), S1183 * (2.31 / 100), S1183 * (2.925 / 100))+T1183*T$6+U1351*U$6+V1183*V$6+W1183*W$6+X1183*X$6+Y1183*Y$6+Z1183*Z$6+AA1183*AA$6+AB1183*AB$6+AC1183*AC$6+AD1183*AD$6+AE1183*AE$6+AF1183*AF$6</f>
        <v>7.4973287994986801</v>
      </c>
      <c r="AH1183" s="1097">
        <v>202606</v>
      </c>
      <c r="AI1183" s="1017"/>
      <c r="AJ1183" s="931" t="s">
        <v>2362</v>
      </c>
    </row>
    <row r="1184" spans="3:36" s="301" customFormat="1" ht="15.75" hidden="1">
      <c r="C1184" s="1032">
        <v>46192</v>
      </c>
      <c r="D1184" s="1024">
        <v>342256</v>
      </c>
      <c r="E1184" s="1024">
        <v>35975</v>
      </c>
      <c r="F1184" s="1024">
        <v>22083.73</v>
      </c>
      <c r="G1184" s="1024">
        <v>4797</v>
      </c>
      <c r="H1184" s="1024">
        <v>1955</v>
      </c>
      <c r="I1184" s="1024">
        <v>135205</v>
      </c>
      <c r="J1184" s="1024">
        <v>150871</v>
      </c>
      <c r="K1184" s="1024">
        <v>46323.27</v>
      </c>
      <c r="L1184" s="1024">
        <v>12634</v>
      </c>
      <c r="M1184" s="1024">
        <v>440132</v>
      </c>
      <c r="N1184" s="1024">
        <v>7253</v>
      </c>
      <c r="O1184" s="1024">
        <v>5555</v>
      </c>
      <c r="P1184" s="1001">
        <v>0</v>
      </c>
      <c r="Q1184" s="1094">
        <v>0</v>
      </c>
      <c r="R1184" s="1095">
        <f t="shared" si="112"/>
        <v>141057.68899999998</v>
      </c>
      <c r="S1184" s="1007">
        <v>12.678289777344846</v>
      </c>
      <c r="T1184" s="1007">
        <v>0.49325600000000003</v>
      </c>
      <c r="U1184" s="1007">
        <v>3.7335727048509542E-3</v>
      </c>
      <c r="V1184" s="1007">
        <v>2.5000000000000001E-2</v>
      </c>
      <c r="W1184" s="1007">
        <v>0.25158000000000003</v>
      </c>
      <c r="X1184" s="1103">
        <v>7.9864475699920989</v>
      </c>
      <c r="Y1184" s="1007">
        <v>9.89</v>
      </c>
      <c r="Z1184" s="1021">
        <v>0</v>
      </c>
      <c r="AA1184" s="1007">
        <v>0</v>
      </c>
      <c r="AB1184" s="1021">
        <v>0</v>
      </c>
      <c r="AC1184" s="1007">
        <v>0.19028902978079948</v>
      </c>
      <c r="AD1184" s="1007">
        <v>8.786709217408048E-2</v>
      </c>
      <c r="AE1184" s="1007">
        <v>0</v>
      </c>
      <c r="AF1184" s="1007">
        <v>14.417735390644689</v>
      </c>
      <c r="AG1184" s="1096">
        <f xml:space="preserve"> IF(C1184&lt; DATE(2024, 11, 1), S1184 * (2.31 / 100), S1184 * (2.925 / 100))+T1184*T$6+U1352*U$6+V1184*V$6+W1184*W$6+X1184*X$6+Y1184*Y$6+Z1184*Z$6+AA1184*AA$6+AB1184*AB$6+AC1184*AC$6+AD1184*AD$6+AE1184*AE$6+AF1184*AF$6</f>
        <v>7.4438822565408733</v>
      </c>
      <c r="AH1184" s="1097">
        <v>202606</v>
      </c>
      <c r="AI1184" s="1017"/>
      <c r="AJ1184" s="931" t="s">
        <v>2366</v>
      </c>
    </row>
    <row r="1185" spans="3:36" s="301" customFormat="1" ht="15.75" hidden="1">
      <c r="C1185" s="1032">
        <v>46193</v>
      </c>
      <c r="D1185" s="1100">
        <v>330059</v>
      </c>
      <c r="E1185" s="1100">
        <v>35597</v>
      </c>
      <c r="F1185" s="1100">
        <v>21940.25</v>
      </c>
      <c r="G1185" s="1100">
        <v>4848</v>
      </c>
      <c r="H1185" s="1100">
        <v>1877</v>
      </c>
      <c r="I1185" s="1100">
        <v>169016</v>
      </c>
      <c r="J1185" s="1100">
        <v>157793</v>
      </c>
      <c r="K1185" s="1100">
        <v>45224.94</v>
      </c>
      <c r="L1185" s="1100">
        <v>12749</v>
      </c>
      <c r="M1185" s="1100">
        <v>446130</v>
      </c>
      <c r="N1185" s="1100">
        <v>7087</v>
      </c>
      <c r="O1185" s="1100">
        <v>5606</v>
      </c>
      <c r="P1185" s="1004">
        <v>0</v>
      </c>
      <c r="Q1185" s="1094">
        <v>0</v>
      </c>
      <c r="R1185" s="1095">
        <f t="shared" si="112"/>
        <v>149003.07200000001</v>
      </c>
      <c r="S1185" s="1015">
        <v>12.62505415591807</v>
      </c>
      <c r="T1185" s="1015">
        <v>0.50130799999999998</v>
      </c>
      <c r="U1185" s="1015">
        <v>3.781144962296154E-3</v>
      </c>
      <c r="V1185" s="1015">
        <v>2.5999999999999999E-2</v>
      </c>
      <c r="W1185" s="1015">
        <v>0.23377000000000001</v>
      </c>
      <c r="X1185" s="1103">
        <v>7.4004592988189053</v>
      </c>
      <c r="Y1185" s="1015">
        <v>9.8000000000000007</v>
      </c>
      <c r="Z1185" s="1021">
        <v>0</v>
      </c>
      <c r="AA1185" s="1015">
        <v>0</v>
      </c>
      <c r="AB1185" s="1021">
        <v>0</v>
      </c>
      <c r="AC1185" s="1015">
        <v>0.19085536617895663</v>
      </c>
      <c r="AD1185" s="1015">
        <v>9.0075804126893325E-2</v>
      </c>
      <c r="AE1185" s="1015">
        <v>0</v>
      </c>
      <c r="AF1185" s="1015">
        <v>14.431072612821289</v>
      </c>
      <c r="AG1185" s="1096">
        <f xml:space="preserve"> IF(C1185&lt; DATE(2024, 11, 1), S1185 * (2.31 / 100), S1185 * (2.925 / 100))+T1185*T$6+U1353*U$6+V1185*V$6+W1185*W$6+X1185*X$6+Y1185*Y$6+Z1185*Z$6+AA1185*AA$6+AB1185*AB$6+AC1185*AC$6+AD1185*AD$6+AE1185*AE$6+AF1185*AF$6</f>
        <v>7.2898046099344462</v>
      </c>
      <c r="AH1185" s="1097">
        <v>202606</v>
      </c>
      <c r="AI1185" s="1017"/>
      <c r="AJ1185" s="931" t="s">
        <v>2363</v>
      </c>
    </row>
    <row r="1186" spans="3:36" s="301" customFormat="1" ht="15.75" hidden="1">
      <c r="C1186" s="1032">
        <v>46194</v>
      </c>
      <c r="D1186" s="1024">
        <v>309428</v>
      </c>
      <c r="E1186" s="1024">
        <v>35755</v>
      </c>
      <c r="F1186" s="1024">
        <v>22019.93</v>
      </c>
      <c r="G1186" s="1024">
        <v>4864</v>
      </c>
      <c r="H1186" s="1024">
        <v>2059</v>
      </c>
      <c r="I1186" s="1024">
        <v>174570</v>
      </c>
      <c r="J1186" s="1024">
        <v>159539</v>
      </c>
      <c r="K1186" s="1024">
        <v>48763.71</v>
      </c>
      <c r="L1186" s="1024">
        <v>12681</v>
      </c>
      <c r="M1186" s="1024">
        <v>439388</v>
      </c>
      <c r="N1186" s="1024">
        <v>7079</v>
      </c>
      <c r="O1186" s="1024">
        <v>5669</v>
      </c>
      <c r="P1186" s="1001">
        <v>0</v>
      </c>
      <c r="Q1186" s="1094">
        <v>0</v>
      </c>
      <c r="R1186" s="1095">
        <f t="shared" si="112"/>
        <v>150875.73875000002</v>
      </c>
      <c r="S1186" s="1007">
        <v>12.736339258155954</v>
      </c>
      <c r="T1186" s="1007">
        <v>0.51138700000000004</v>
      </c>
      <c r="U1186" s="1007">
        <v>3.550362880047119E-3</v>
      </c>
      <c r="V1186" s="1007">
        <v>2.7E-2</v>
      </c>
      <c r="W1186" s="1007">
        <v>0.25196000000000002</v>
      </c>
      <c r="X1186" s="1103">
        <v>6.5184186755090652</v>
      </c>
      <c r="Y1186" s="1007">
        <v>9.9499999999999993</v>
      </c>
      <c r="Z1186" s="1021">
        <v>0</v>
      </c>
      <c r="AA1186" s="1021">
        <v>0</v>
      </c>
      <c r="AB1186" s="1021">
        <v>0</v>
      </c>
      <c r="AC1186" s="1007">
        <v>0.19085536617895663</v>
      </c>
      <c r="AD1186" s="1007">
        <v>0.10514035231787329</v>
      </c>
      <c r="AE1186" s="1007">
        <v>0</v>
      </c>
      <c r="AF1186" s="1007">
        <v>14.438293401897793</v>
      </c>
      <c r="AG1186" s="1096">
        <f xml:space="preserve"> IF(C1186&lt; DATE(2024, 11, 1), S1186 * (2.31 / 100), S1186 * (2.925 / 100))+T1186*T$6+U1354*U$6+V1186*V$6+W1186*W$6+X1186*X$6+Y1186*Y$6+Z1186*Z$6+AA1186*AA$6+AB1186*AB$6+AC1186*AC$6+AD1186*AD$6+AE1186*AE$6+AF1186*AF$6</f>
        <v>7.1843162579323341</v>
      </c>
      <c r="AH1186" s="1097">
        <v>202606</v>
      </c>
      <c r="AI1186" s="1017"/>
      <c r="AJ1186" s="931" t="s">
        <v>2364</v>
      </c>
    </row>
    <row r="1187" spans="3:36" s="301" customFormat="1" ht="15.75" hidden="1">
      <c r="C1187" s="1032">
        <v>46195</v>
      </c>
      <c r="D1187" s="1100">
        <v>314881</v>
      </c>
      <c r="E1187" s="1100">
        <v>35591</v>
      </c>
      <c r="F1187" s="1100">
        <v>21897.57</v>
      </c>
      <c r="G1187" s="1100">
        <v>4915</v>
      </c>
      <c r="H1187" s="1100">
        <v>2005</v>
      </c>
      <c r="I1187" s="1100">
        <v>175295</v>
      </c>
      <c r="J1187" s="1100">
        <v>158214</v>
      </c>
      <c r="K1187" s="1100">
        <v>53791.040000000001</v>
      </c>
      <c r="L1187" s="1100">
        <v>14356</v>
      </c>
      <c r="M1187" s="1100">
        <v>456047</v>
      </c>
      <c r="N1187" s="1100">
        <v>6758</v>
      </c>
      <c r="O1187" s="1100">
        <v>5521</v>
      </c>
      <c r="P1187" s="1004">
        <v>0</v>
      </c>
      <c r="Q1187" s="1094">
        <v>0</v>
      </c>
      <c r="R1187" s="1095">
        <f t="shared" ref="R1187" si="113" xml:space="preserve"> IF(C1187&lt; DATE(2024, 11, 1), D1187 * (2.31 / 100), D1187 * (2.925 / 100))+E1187*E$6+F1187*F$6+G1187*G$6+H1187*H$6+I1187*I$6+J1187*J$6+K1187*K$6+L1187*L$6+M1187*M$6+N1187*N$6+O1187*O$6+P1187*P$6+Q1187*Q$6</f>
        <v>152910.08325</v>
      </c>
      <c r="S1187" s="1015">
        <v>12.982695591354309</v>
      </c>
      <c r="T1187" s="1015">
        <v>0.510745</v>
      </c>
      <c r="U1187" s="1015">
        <v>3.5877410823254904E-3</v>
      </c>
      <c r="V1187" s="1015">
        <v>2.7E-2</v>
      </c>
      <c r="W1187" s="1015">
        <v>0.25046000000000002</v>
      </c>
      <c r="X1187" s="1103">
        <v>7.5681798231331427</v>
      </c>
      <c r="Y1187" s="1015">
        <v>9.82</v>
      </c>
      <c r="Z1187" s="1015">
        <v>0</v>
      </c>
      <c r="AA1187" s="1015">
        <v>0</v>
      </c>
      <c r="AB1187" s="1015">
        <v>0</v>
      </c>
      <c r="AC1187" s="1015">
        <v>0.18745734779001377</v>
      </c>
      <c r="AD1187" s="1015">
        <v>0.10514035231787329</v>
      </c>
      <c r="AE1187" s="1015">
        <v>0</v>
      </c>
      <c r="AF1187" s="1015">
        <v>14.427901128991609</v>
      </c>
      <c r="AG1187" s="1096">
        <f xml:space="preserve"> IF(C1187&lt; DATE(2024, 11, 1), S1187 * (2.31 / 100), S1187 * (2.925 / 100))+T1187*T$6+U1355*U$6+V1187*V$6+W1187*W$6+X1187*X$6+Y1187*Y$6+Z1187*Z$6+AA1187*AA$6+AB1187*AB$6+AC1187*AC$6+AD1187*AD$6+AE1187*AE$6+AF1187*AF$6</f>
        <v>7.3638606017863673</v>
      </c>
      <c r="AH1187" s="1097">
        <v>202606</v>
      </c>
      <c r="AI1187" s="1017"/>
      <c r="AJ1187" s="931" t="s">
        <v>2365</v>
      </c>
    </row>
    <row r="1188" spans="3:36" s="301" customFormat="1" ht="15.75" hidden="1">
      <c r="C1188" s="1032">
        <v>46196</v>
      </c>
      <c r="D1188" s="1024">
        <v>291167</v>
      </c>
      <c r="E1188" s="1024">
        <v>35497</v>
      </c>
      <c r="F1188" s="1024">
        <v>21924.710000000003</v>
      </c>
      <c r="G1188" s="1024">
        <v>4954</v>
      </c>
      <c r="H1188" s="1024">
        <v>1946</v>
      </c>
      <c r="I1188" s="1024">
        <v>174010</v>
      </c>
      <c r="J1188" s="1024">
        <v>154723</v>
      </c>
      <c r="K1188" s="1024">
        <v>57863.89</v>
      </c>
      <c r="L1188" s="1024">
        <v>11567</v>
      </c>
      <c r="M1188" s="1024">
        <v>450476</v>
      </c>
      <c r="N1188" s="1024">
        <v>6967</v>
      </c>
      <c r="O1188" s="1024">
        <v>5499</v>
      </c>
      <c r="P1188" s="1001">
        <v>0</v>
      </c>
      <c r="Q1188" s="1094">
        <v>0</v>
      </c>
      <c r="R1188" s="1095">
        <f t="shared" ref="R1188" si="114" xml:space="preserve"> IF(C1188&lt; DATE(2024, 11, 1), D1188 * (2.31 / 100), D1188 * (2.925 / 100))+E1188*E$6+F1188*F$6+G1188*G$6+H1188*H$6+I1188*I$6+J1188*J$6+K1188*K$6+L1188*L$6+M1188*M$6+N1188*N$6+O1188*O$6+P1188*P$6+Q1188*Q$6</f>
        <v>151142.62300000002</v>
      </c>
      <c r="S1188" s="1007">
        <v>12.917000569168081</v>
      </c>
      <c r="T1188" s="1007">
        <v>0.51048499999999997</v>
      </c>
      <c r="U1188" s="1007">
        <v>3.550362880047119E-3</v>
      </c>
      <c r="V1188" s="1007">
        <v>2.5999999999999999E-2</v>
      </c>
      <c r="W1188" s="1007">
        <v>0.27043</v>
      </c>
      <c r="X1188" s="1103">
        <v>8.2490000000000006</v>
      </c>
      <c r="Y1188" s="1007">
        <v>9.7200000000000006</v>
      </c>
      <c r="Z1188" s="1021">
        <v>0</v>
      </c>
      <c r="AA1188" s="1007">
        <v>0</v>
      </c>
      <c r="AB1188" s="1007">
        <v>0</v>
      </c>
      <c r="AC1188" s="1007">
        <v>0.19170487077619233</v>
      </c>
      <c r="AD1188" s="1007">
        <v>8.8433428572237627E-2</v>
      </c>
      <c r="AE1188" s="1007">
        <v>0</v>
      </c>
      <c r="AF1188" s="1007">
        <v>14.41929281573962</v>
      </c>
      <c r="AG1188" s="1096">
        <f xml:space="preserve"> IF(C1188&lt; DATE(2024, 11, 1), S1188 * (2.31 / 100), S1188 * (2.925 / 100))+T1188*T$6+U1356*U$6+V1188*V$6+W1188*W$6+X1188*X$6+Y1188*Y$6+Z1188*Z$6+AA1188*AA$6+AB1188*AB$6+AC1188*AC$6+AD1188*AD$6+AE1188*AE$6+AF1188*AF$6</f>
        <v>7.4838239025381785</v>
      </c>
      <c r="AH1188" s="1097">
        <v>202606</v>
      </c>
      <c r="AI1188" s="1017"/>
      <c r="AJ1188" s="931" t="s">
        <v>2367</v>
      </c>
    </row>
    <row r="1189" spans="3:36" s="301" customFormat="1" ht="15.75" hidden="1">
      <c r="C1189" s="1032">
        <v>46197</v>
      </c>
      <c r="D1189" s="1100">
        <v>321406</v>
      </c>
      <c r="E1189" s="1100">
        <v>35579</v>
      </c>
      <c r="F1189" s="1100">
        <v>21087.82</v>
      </c>
      <c r="G1189" s="1100">
        <v>4969</v>
      </c>
      <c r="H1189" s="1100">
        <v>1946</v>
      </c>
      <c r="I1189" s="1100">
        <v>184013</v>
      </c>
      <c r="J1189" s="1100">
        <v>154818</v>
      </c>
      <c r="K1189" s="1100">
        <v>58388.37</v>
      </c>
      <c r="L1189" s="1100">
        <v>12146</v>
      </c>
      <c r="M1189" s="1100">
        <v>453862</v>
      </c>
      <c r="N1189" s="1100">
        <v>6925</v>
      </c>
      <c r="O1189" s="1100">
        <v>5249</v>
      </c>
      <c r="P1189" s="1004">
        <v>0</v>
      </c>
      <c r="Q1189" s="1094">
        <v>0</v>
      </c>
      <c r="R1189" s="1095">
        <f t="shared" ref="R1189" si="115" xml:space="preserve"> IF(C1189&lt; DATE(2024, 11, 1), D1189 * (2.31 / 100), D1189 * (2.925 / 100))+E1189*E$6+F1189*F$6+G1189*G$6+H1189*H$6+I1189*I$6+J1189*J$6+K1189*K$6+L1189*L$6+M1189*M$6+N1189*N$6+O1189*O$6+P1189*P$6+Q1189*Q$6</f>
        <v>153797.85450000002</v>
      </c>
      <c r="S1189" s="1015">
        <v>12.678006609145767</v>
      </c>
      <c r="T1189" s="1015">
        <v>0.51176600000000005</v>
      </c>
      <c r="U1189" s="1015">
        <v>2.9319235332595206E-3</v>
      </c>
      <c r="V1189" s="1015">
        <v>2.7E-2</v>
      </c>
      <c r="W1189" s="1015">
        <v>0.25340000000000001</v>
      </c>
      <c r="X1189" s="1103">
        <v>8.2230000000000008</v>
      </c>
      <c r="Y1189" s="1015">
        <v>9.6999999999999993</v>
      </c>
      <c r="Z1189" s="1021">
        <v>0</v>
      </c>
      <c r="AA1189" s="1021">
        <v>0</v>
      </c>
      <c r="AB1189" s="1021">
        <v>0</v>
      </c>
      <c r="AC1189" s="1015">
        <v>0.19000586158172092</v>
      </c>
      <c r="AD1189" s="1015">
        <v>9.9561938796025443E-2</v>
      </c>
      <c r="AE1189" s="1015">
        <v>0</v>
      </c>
      <c r="AF1189" s="1015">
        <v>14.393920945102181</v>
      </c>
      <c r="AG1189" s="1096">
        <f xml:space="preserve"> IF(C1189&lt; DATE(2024, 11, 1), S1189 * (2.31 / 100), S1189 * (2.925 / 100))+T1189*T$6+U1357*U$6+V1189*V$6+W1189*W$6+X1189*X$6+Y1189*Y$6+Z1189*Z$6+AA1189*AA$6+AB1189*AB$6+AC1189*AC$6+AD1189*AD$6+AE1189*AE$6+AF1189*AF$6</f>
        <v>7.4502004942772828</v>
      </c>
      <c r="AH1189" s="1097">
        <v>202606</v>
      </c>
      <c r="AI1189" s="1017"/>
      <c r="AJ1189" s="931" t="s">
        <v>2368</v>
      </c>
    </row>
    <row r="1190" spans="3:36" s="301" customFormat="1" ht="15.75" hidden="1">
      <c r="C1190" s="1032">
        <v>46198</v>
      </c>
      <c r="D1190" s="1024">
        <v>328716</v>
      </c>
      <c r="E1190" s="1024">
        <v>35698</v>
      </c>
      <c r="F1190" s="1024">
        <v>21148.06</v>
      </c>
      <c r="G1190" s="1024">
        <v>5001</v>
      </c>
      <c r="H1190" s="1024">
        <v>1970</v>
      </c>
      <c r="I1190" s="1024">
        <v>183562</v>
      </c>
      <c r="J1190" s="1024">
        <v>157539</v>
      </c>
      <c r="K1190" s="1024">
        <v>57342.18</v>
      </c>
      <c r="L1190" s="1024">
        <v>12082</v>
      </c>
      <c r="M1190" s="1024">
        <v>440812</v>
      </c>
      <c r="N1190" s="1024">
        <v>6686</v>
      </c>
      <c r="O1190" s="1024">
        <v>5477</v>
      </c>
      <c r="P1190" s="1001">
        <v>0</v>
      </c>
      <c r="Q1190" s="1094">
        <v>0</v>
      </c>
      <c r="R1190" s="1095">
        <f t="shared" ref="R1190" si="116" xml:space="preserve"> IF(C1190&lt; DATE(2024, 11, 1), D1190 * (2.31 / 100), D1190 * (2.925 / 100))+E1190*E$6+F1190*F$6+G1190*G$6+H1190*H$6+I1190*I$6+J1190*J$6+K1190*K$6+L1190*L$6+M1190*M$6+N1190*N$6+O1190*O$6+P1190*P$6+Q1190*Q$6</f>
        <v>154009.1525</v>
      </c>
      <c r="S1190" s="1007">
        <v>12.381529504710503</v>
      </c>
      <c r="T1190" s="1007">
        <v>0.50750399999999996</v>
      </c>
      <c r="U1190" s="1007">
        <v>2.8646994027982679E-3</v>
      </c>
      <c r="V1190" s="1007">
        <v>2.5999999999999999E-2</v>
      </c>
      <c r="W1190" s="1007">
        <v>0.26118000000000002</v>
      </c>
      <c r="X1190" s="1103">
        <v>8.2693042840516835</v>
      </c>
      <c r="Y1190" s="1007">
        <v>9.75</v>
      </c>
      <c r="Z1190" s="1021">
        <v>0</v>
      </c>
      <c r="AA1190" s="1021">
        <v>0</v>
      </c>
      <c r="AB1190" s="1021">
        <v>0</v>
      </c>
      <c r="AC1190" s="1007">
        <v>0.1795286382158138</v>
      </c>
      <c r="AD1190" s="1007">
        <v>7.7559769727620506E-2</v>
      </c>
      <c r="AE1190" s="1007">
        <v>0</v>
      </c>
      <c r="AF1190" s="1007">
        <v>14.427448059873083</v>
      </c>
      <c r="AG1190" s="1096">
        <f xml:space="preserve"> IF(C1190&lt; DATE(2024, 11, 1), S1190 * (2.31 / 100), S1190 * (2.925 / 100))+T1190*T$6+U1358*U$6+V1190*V$6+W1190*W$6+X1190*X$6+Y1190*Y$6+Z1190*Z$6+AA1190*AA$6+AB1190*AB$6+AC1190*AC$6+AD1190*AD$6+AE1190*AE$6+AF1190*AF$6</f>
        <v>7.4656649030963305</v>
      </c>
      <c r="AH1190" s="1097">
        <v>202606</v>
      </c>
      <c r="AI1190" s="1017"/>
      <c r="AJ1190" s="931" t="s">
        <v>2369</v>
      </c>
    </row>
    <row r="1191" spans="3:36" s="301" customFormat="1" ht="15.75" hidden="1">
      <c r="C1191" s="1032">
        <v>46199</v>
      </c>
      <c r="D1191" s="1100">
        <v>311590</v>
      </c>
      <c r="E1191" s="1100">
        <v>35824</v>
      </c>
      <c r="F1191" s="1100">
        <v>21716.85</v>
      </c>
      <c r="G1191" s="1100">
        <v>4915</v>
      </c>
      <c r="H1191" s="1100">
        <v>1920</v>
      </c>
      <c r="I1191" s="1100">
        <v>188983</v>
      </c>
      <c r="J1191" s="1100">
        <v>148327</v>
      </c>
      <c r="K1191" s="1100">
        <v>56992.639999999999</v>
      </c>
      <c r="L1191" s="1100">
        <v>13084</v>
      </c>
      <c r="M1191" s="1100">
        <v>428854</v>
      </c>
      <c r="N1191" s="1100">
        <v>6826</v>
      </c>
      <c r="O1191" s="1100">
        <v>5488</v>
      </c>
      <c r="P1191" s="1004">
        <v>0</v>
      </c>
      <c r="Q1191" s="1094">
        <v>0</v>
      </c>
      <c r="R1191" s="1095">
        <f t="shared" ref="R1191" si="117" xml:space="preserve"> IF(C1191&lt; DATE(2024, 11, 1), D1191 * (2.31 / 100), D1191 * (2.925 / 100))+E1191*E$6+F1191*F$6+G1191*G$6+H1191*H$6+I1191*I$6+J1191*J$6+K1191*K$6+L1191*L$6+M1191*M$6+N1191*N$6+O1191*O$6+P1191*P$6+Q1191*Q$6</f>
        <v>152232.29750000002</v>
      </c>
      <c r="S1191" s="1015">
        <v>12.152446431655941</v>
      </c>
      <c r="T1191" s="1015">
        <v>0.51224999999999998</v>
      </c>
      <c r="U1191" s="1015">
        <v>3.4464401509852836E-3</v>
      </c>
      <c r="V1191" s="1015">
        <v>2.5000000000000001E-2</v>
      </c>
      <c r="W1191" s="1015">
        <v>0.25185000000000002</v>
      </c>
      <c r="X1191" s="1103">
        <v>8.2991502122345651</v>
      </c>
      <c r="Y1191" s="1015">
        <v>9.7899999999999991</v>
      </c>
      <c r="Z1191" s="1021">
        <v>0</v>
      </c>
      <c r="AA1191" s="1021">
        <v>0</v>
      </c>
      <c r="AB1191" s="1021">
        <v>0</v>
      </c>
      <c r="AC1191" s="1015">
        <v>0.18830685238724951</v>
      </c>
      <c r="AD1191" s="1015">
        <v>8.6451251178687627E-2</v>
      </c>
      <c r="AE1191" s="1015">
        <v>0</v>
      </c>
      <c r="AF1191" s="1015">
        <v>14.369002143583266</v>
      </c>
      <c r="AG1191" s="1096">
        <f xml:space="preserve"> IF(C1191&lt; DATE(2024, 11, 1), S1191 * (2.31 / 100), S1191 * (2.925 / 100))+T1191*T$6+U1359*U$6+V1191*V$6+W1191*W$6+X1191*X$6+Y1191*Y$6+Z1191*Z$6+AA1191*AA$6+AB1191*AB$6+AC1191*AC$6+AD1191*AD$6+AE1191*AE$6+AF1191*AF$6</f>
        <v>7.4613712192160779</v>
      </c>
      <c r="AH1191" s="1097">
        <v>202606</v>
      </c>
      <c r="AI1191" s="1017"/>
      <c r="AJ1191" s="931" t="s">
        <v>2370</v>
      </c>
    </row>
    <row r="1192" spans="3:36" s="301" customFormat="1" ht="15.75" hidden="1">
      <c r="C1192" s="1032">
        <v>46200</v>
      </c>
      <c r="D1192" s="1024">
        <v>325649</v>
      </c>
      <c r="E1192" s="1001">
        <v>35497</v>
      </c>
      <c r="F1192" s="1001">
        <v>21935.7</v>
      </c>
      <c r="G1192" s="1024">
        <v>4963</v>
      </c>
      <c r="H1192" s="1024">
        <v>1893</v>
      </c>
      <c r="I1192" s="1024">
        <v>192879</v>
      </c>
      <c r="J1192" s="1024">
        <v>156487</v>
      </c>
      <c r="K1192" s="1024">
        <v>55632.72</v>
      </c>
      <c r="L1192" s="1024">
        <v>12041</v>
      </c>
      <c r="M1192" s="1024">
        <v>413770</v>
      </c>
      <c r="N1192" s="1024">
        <v>6750</v>
      </c>
      <c r="O1192" s="1024">
        <v>5492</v>
      </c>
      <c r="P1192" s="1001">
        <v>0</v>
      </c>
      <c r="Q1192" s="1094">
        <v>0</v>
      </c>
      <c r="R1192" s="1095">
        <f t="shared" ref="R1192" si="118" xml:space="preserve"> IF(C1192&lt; DATE(2024, 11, 1), D1192 * (2.31 / 100), D1192 * (2.925 / 100))+E1192*E$6+F1192*F$6+G1192*G$6+H1192*H$6+I1192*I$6+J1192*J$6+K1192*K$6+L1192*L$6+M1192*M$6+N1192*N$6+O1192*O$6+P1192*P$6+Q1192*Q$6</f>
        <v>154404.50449999995</v>
      </c>
      <c r="S1192" s="1007">
        <v>12.044276179607929</v>
      </c>
      <c r="T1192" s="1007">
        <v>0.50865000000000005</v>
      </c>
      <c r="U1192" s="1007">
        <v>3.6381450217614756E-3</v>
      </c>
      <c r="V1192" s="1007">
        <v>2.9000000000000001E-2</v>
      </c>
      <c r="W1192" s="1007">
        <v>0.246</v>
      </c>
      <c r="X1192" s="1103">
        <v>8.4974529020492877</v>
      </c>
      <c r="Y1192" s="1007">
        <v>9.8800000000000008</v>
      </c>
      <c r="Z1192" s="1021">
        <v>0</v>
      </c>
      <c r="AA1192" s="1021">
        <v>0</v>
      </c>
      <c r="AB1192" s="1021">
        <v>0</v>
      </c>
      <c r="AC1192" s="1007">
        <v>0.19765140295684233</v>
      </c>
      <c r="AD1192" s="1007">
        <v>8.6253033439332619E-2</v>
      </c>
      <c r="AE1192" s="1007">
        <v>0</v>
      </c>
      <c r="AF1192" s="1007">
        <v>14.390975995831765</v>
      </c>
      <c r="AG1192" s="1096">
        <f xml:space="preserve"> IF(C1192&lt; DATE(2024, 11, 1), S1192 * (2.31 / 100), S1192 * (2.925 / 100))+T1192*T$6+U1360*U$6+V1192*V$6+W1192*W$6+X1192*X$6+Y1192*Y$6+Z1192*Z$6+AA1192*AA$6+AB1192*AB$6+AC1192*AC$6+AD1192*AD$6+AE1192*AE$6+AF1192*AF$6</f>
        <v>7.5211299456557752</v>
      </c>
      <c r="AH1192" s="1097">
        <v>202606</v>
      </c>
      <c r="AI1192" s="1017"/>
      <c r="AJ1192" s="931" t="s">
        <v>2371</v>
      </c>
    </row>
    <row r="1193" spans="3:36" s="301" customFormat="1" ht="15.75" hidden="1">
      <c r="C1193" s="1032">
        <v>46201</v>
      </c>
      <c r="D1193" s="1100">
        <v>319758</v>
      </c>
      <c r="E1193" s="1004">
        <v>35189</v>
      </c>
      <c r="F1193" s="1004">
        <v>21862.550000000003</v>
      </c>
      <c r="G1193" s="1100">
        <v>5000</v>
      </c>
      <c r="H1193" s="1100">
        <v>1863</v>
      </c>
      <c r="I1193" s="1100">
        <v>200916</v>
      </c>
      <c r="J1193" s="1100">
        <v>157164</v>
      </c>
      <c r="K1193" s="1100">
        <v>54916.56</v>
      </c>
      <c r="L1193" s="1100">
        <v>12150</v>
      </c>
      <c r="M1193" s="1100">
        <v>414809</v>
      </c>
      <c r="N1193" s="1100">
        <v>6713</v>
      </c>
      <c r="O1193" s="1100">
        <v>5428</v>
      </c>
      <c r="P1193" s="1004">
        <v>0</v>
      </c>
      <c r="Q1193" s="1094">
        <v>0</v>
      </c>
      <c r="R1193" s="1095">
        <f t="shared" ref="R1193" si="119" xml:space="preserve"> IF(C1193&lt; DATE(2024, 11, 1), D1193 * (2.31 / 100), D1193 * (2.925 / 100))+E1193*E$6+F1193*F$6+G1193*G$6+H1193*H$6+I1193*I$6+J1193*J$6+K1193*K$6+L1193*L$6+M1193*M$6+N1193*N$6+O1193*O$6+P1193*P$6+Q1193*Q$6</f>
        <v>155728.89400000003</v>
      </c>
      <c r="S1193" s="1015">
        <v>12.103175165016269</v>
      </c>
      <c r="T1193" s="1015">
        <v>0.50620299999999996</v>
      </c>
      <c r="U1193" s="1015">
        <v>3.6381450217614756E-3</v>
      </c>
      <c r="V1193" s="1015">
        <v>2.8000000000000001E-2</v>
      </c>
      <c r="W1193" s="1015">
        <v>0.25735000000000002</v>
      </c>
      <c r="X1193" s="1103">
        <v>8.3792584957538931</v>
      </c>
      <c r="Y1193" s="1015">
        <v>9.91</v>
      </c>
      <c r="Z1193" s="1021">
        <v>0</v>
      </c>
      <c r="AA1193" s="1021">
        <v>0</v>
      </c>
      <c r="AB1193" s="1021">
        <v>0</v>
      </c>
      <c r="AC1193" s="1015">
        <v>0.19623556196144945</v>
      </c>
      <c r="AD1193" s="1015">
        <v>8.9651051828275471E-2</v>
      </c>
      <c r="AE1193" s="1015">
        <v>0</v>
      </c>
      <c r="AF1193" s="1015">
        <v>14.3853409486701</v>
      </c>
      <c r="AG1193" s="1096">
        <f xml:space="preserve"> IF(C1193&lt; DATE(2024, 11, 1), S1193 * (2.31 / 100), S1193 * (2.925 / 100))+T1193*T$6+U1361*U$6+V1193*V$6+W1193*W$6+X1193*X$6+Y1193*Y$6+Z1193*Z$6+AA1193*AA$6+AB1193*AB$6+AC1193*AC$6+AD1193*AD$6+AE1193*AE$6+AF1193*AF$6</f>
        <v>7.5174486765484918</v>
      </c>
      <c r="AH1193" s="1097">
        <v>202606</v>
      </c>
      <c r="AI1193" s="1017"/>
      <c r="AJ1193" s="931" t="s">
        <v>2372</v>
      </c>
    </row>
    <row r="1194" spans="3:36" s="301" customFormat="1" ht="15.75" hidden="1">
      <c r="C1194" s="1032">
        <v>46202</v>
      </c>
      <c r="D1194" s="1024">
        <v>325369</v>
      </c>
      <c r="E1194" s="1001">
        <v>32314</v>
      </c>
      <c r="F1194" s="1001">
        <v>21826.79</v>
      </c>
      <c r="G1194" s="1024">
        <v>5069</v>
      </c>
      <c r="H1194" s="1024">
        <v>1929</v>
      </c>
      <c r="I1194" s="1024">
        <v>202156</v>
      </c>
      <c r="J1194" s="1024">
        <v>156777</v>
      </c>
      <c r="K1194" s="1024">
        <v>59090.55</v>
      </c>
      <c r="L1194" s="1024">
        <v>11964</v>
      </c>
      <c r="M1194" s="1024">
        <v>424253</v>
      </c>
      <c r="N1194" s="1024">
        <v>6797</v>
      </c>
      <c r="O1194" s="1024">
        <v>5528</v>
      </c>
      <c r="P1194" s="1001">
        <v>0</v>
      </c>
      <c r="Q1194" s="1094">
        <v>0</v>
      </c>
      <c r="R1194" s="1095">
        <f t="shared" ref="R1194" si="120" xml:space="preserve"> IF(C1194&lt; DATE(2024, 11, 1), D1194 * (2.31 / 100), D1194 * (2.925 / 100))+E1194*E$6+F1194*F$6+G1194*G$6+H1194*H$6+I1194*I$6+J1194*J$6+K1194*K$6+L1194*L$6+M1194*M$6+N1194*N$6+O1194*O$6+P1194*P$6+Q1194*Q$6</f>
        <v>156765.23875000002</v>
      </c>
      <c r="S1194" s="1007">
        <v>11.714668395880469</v>
      </c>
      <c r="T1194" s="1007">
        <v>0.38055899999999998</v>
      </c>
      <c r="U1194" s="1007">
        <v>3.597085632895083E-3</v>
      </c>
      <c r="V1194" s="1007">
        <v>0.03</v>
      </c>
      <c r="W1194" s="1007">
        <v>0.25966</v>
      </c>
      <c r="X1194" s="1103">
        <v>8.3949999999999996</v>
      </c>
      <c r="Y1194" s="1007">
        <v>9.94</v>
      </c>
      <c r="Z1194" s="1021">
        <v>0</v>
      </c>
      <c r="AA1194" s="1021">
        <v>0</v>
      </c>
      <c r="AB1194" s="1021">
        <v>0</v>
      </c>
      <c r="AC1194" s="1007">
        <v>0.19991674854947089</v>
      </c>
      <c r="AD1194" s="1007">
        <v>8.8518379031961192E-2</v>
      </c>
      <c r="AE1194" s="1007">
        <v>0</v>
      </c>
      <c r="AF1194" s="1007">
        <v>14.37435402254585</v>
      </c>
      <c r="AG1194" s="1096">
        <f xml:space="preserve"> IF(C1194&lt; DATE(2024, 11, 1), S1194 * (2.31 / 100), S1194 * (2.925 / 100))+T1194*T$6+U1362*U$6+V1194*V$6+W1194*W$6+X1194*X$6+Y1194*Y$6+Z1194*Z$6+AA1194*AA$6+AB1194*AB$6+AC1194*AC$6+AD1194*AD$6+AE1194*AE$6+AF1194*AF$6</f>
        <v>7.4845033583655241</v>
      </c>
      <c r="AH1194" s="1097">
        <v>202606</v>
      </c>
      <c r="AI1194" s="1017"/>
      <c r="AJ1194" s="931" t="s">
        <v>2373</v>
      </c>
    </row>
    <row r="1195" spans="3:36" s="301" customFormat="1" ht="15.75" hidden="1">
      <c r="C1195" s="1032">
        <v>46203</v>
      </c>
      <c r="D1195" s="1100">
        <v>328759</v>
      </c>
      <c r="E1195" s="1004">
        <v>25107</v>
      </c>
      <c r="F1195" s="1004">
        <v>21854.52</v>
      </c>
      <c r="G1195" s="1100">
        <v>5042</v>
      </c>
      <c r="H1195" s="1100">
        <v>1915</v>
      </c>
      <c r="I1195" s="1100">
        <v>211712</v>
      </c>
      <c r="J1195" s="1100">
        <v>155521</v>
      </c>
      <c r="K1195" s="1100">
        <v>57752.97</v>
      </c>
      <c r="L1195" s="1100">
        <v>12216</v>
      </c>
      <c r="M1195" s="1100">
        <v>418615</v>
      </c>
      <c r="N1195" s="1100">
        <v>5604</v>
      </c>
      <c r="O1195" s="1100">
        <v>5466</v>
      </c>
      <c r="P1195" s="1004">
        <v>0</v>
      </c>
      <c r="Q1195" s="1094">
        <v>0</v>
      </c>
      <c r="R1195" s="1095">
        <f t="shared" ref="R1195" si="121" xml:space="preserve"> IF(C1195&lt; DATE(2024, 11, 1), D1195 * (2.31 / 100), D1195 * (2.925 / 100))+E1195*E$6+F1195*F$6+G1195*G$6+H1195*H$6+I1195*I$6+J1195*J$6+K1195*K$6+L1195*L$6+M1195*M$6+N1195*N$6+O1195*O$6+P1195*P$6+Q1195*Q$6</f>
        <v>155839.90724999999</v>
      </c>
      <c r="S1195" s="1015">
        <v>11.30265866622115</v>
      </c>
      <c r="T1195" s="1015">
        <v>0.20016</v>
      </c>
      <c r="U1195" s="1015">
        <v>3.4741906344949833E-3</v>
      </c>
      <c r="V1195" s="1015">
        <v>2.7E-2</v>
      </c>
      <c r="W1195" s="1015">
        <v>0.25545000000000001</v>
      </c>
      <c r="X1195" s="1103">
        <v>8.4039999999999999</v>
      </c>
      <c r="Y1195" s="1015">
        <v>9.85</v>
      </c>
      <c r="Z1195" s="1021">
        <v>0</v>
      </c>
      <c r="AA1195" s="1021">
        <v>0</v>
      </c>
      <c r="AB1195" s="1021">
        <v>0</v>
      </c>
      <c r="AC1195" s="1015">
        <v>0.18915635698448519</v>
      </c>
      <c r="AD1195" s="1015">
        <v>8.6451251178687627E-2</v>
      </c>
      <c r="AE1195" s="1015">
        <v>0</v>
      </c>
      <c r="AF1195" s="1015">
        <v>14.433394592053734</v>
      </c>
      <c r="AG1195" s="1096">
        <f xml:space="preserve"> IF(C1195&lt; DATE(2024, 11, 1), S1195 * (2.31 / 100), S1195 * (2.925 / 100))+T1195*T$6+U1363*U$6+V1195*V$6+W1195*W$6+X1195*X$6+Y1195*Y$6+Z1195*Z$6+AA1195*AA$6+AB1195*AB$6+AC1195*AC$6+AD1195*AD$6+AE1195*AE$6+AF1195*AF$6</f>
        <v>7.4044607463758716</v>
      </c>
      <c r="AH1195" s="1097">
        <v>202606</v>
      </c>
      <c r="AI1195" s="1017"/>
      <c r="AJ1195" s="931" t="s">
        <v>2374</v>
      </c>
    </row>
    <row r="1196" spans="3:36" s="301" customFormat="1" ht="15.75" hidden="1">
      <c r="C1196" s="1032">
        <v>46204</v>
      </c>
      <c r="D1196" s="1024">
        <v>311065</v>
      </c>
      <c r="E1196" s="1001">
        <v>25535</v>
      </c>
      <c r="F1196" s="1001">
        <v>21808.93</v>
      </c>
      <c r="G1196" s="1024">
        <v>5027</v>
      </c>
      <c r="H1196" s="1024">
        <v>1906</v>
      </c>
      <c r="I1196" s="1024">
        <v>200096</v>
      </c>
      <c r="J1196" s="1024">
        <v>152578</v>
      </c>
      <c r="K1196" s="1024">
        <v>53861.26</v>
      </c>
      <c r="L1196" s="1024">
        <v>12635</v>
      </c>
      <c r="M1196" s="1024">
        <v>412461</v>
      </c>
      <c r="N1196" s="1024">
        <v>7102</v>
      </c>
      <c r="O1196" s="1024">
        <v>5504</v>
      </c>
      <c r="P1196" s="1001">
        <v>0</v>
      </c>
      <c r="Q1196" s="1094">
        <v>0</v>
      </c>
      <c r="R1196" s="1095">
        <f t="shared" ref="R1196" si="122" xml:space="preserve"> IF(C1196&lt; DATE(2024, 11, 1), D1196 * (2.31 / 100), D1196 * (2.925 / 100))+E1196*E$6+F1196*F$6+G1196*G$6+H1196*H$6+I1196*I$6+J1196*J$6+K1196*K$6+L1196*L$6+M1196*M$6+N1196*N$6+O1196*O$6+P1196*P$6+Q1196*Q$6</f>
        <v>151363.10100000002</v>
      </c>
      <c r="S1196" s="1007">
        <v>11.189957722987879</v>
      </c>
      <c r="T1196" s="1007">
        <v>0.22075800000000001</v>
      </c>
      <c r="U1196" s="1007">
        <v>3.6851509428085182E-3</v>
      </c>
      <c r="V1196" s="1007">
        <v>2.5999999999999999E-2</v>
      </c>
      <c r="W1196" s="1007">
        <v>0.25470999999999999</v>
      </c>
      <c r="X1196" s="1103">
        <v>8.4532786629930303</v>
      </c>
      <c r="Y1196" s="1007">
        <v>8.8000000000000007</v>
      </c>
      <c r="Z1196" s="1021">
        <v>0</v>
      </c>
      <c r="AA1196" s="1007">
        <v>0</v>
      </c>
      <c r="AB1196" s="1007">
        <v>0</v>
      </c>
      <c r="AC1196" s="1007">
        <v>0.20671278532735657</v>
      </c>
      <c r="AD1196" s="1007">
        <v>8.6451251178687627E-2</v>
      </c>
      <c r="AE1196" s="1007">
        <v>0</v>
      </c>
      <c r="AF1196" s="1007">
        <v>14.239141207485833</v>
      </c>
      <c r="AG1196" s="1096">
        <f xml:space="preserve"> IF(C1196&lt; DATE(2024, 11, 1), S1196 * (2.31 / 100), S1196 * (2.925 / 100))+T1196*T$6+U1366*U$6+V1196*V$6+W1196*W$6+X1196*X$6+Y1196*Y$6+Z1196*Z$6+AA1196*AA$6+AB1196*AB$6+AC1196*AC$6+AD1196*AD$6+AE1196*AE$6+AF1196*AF$6</f>
        <v>7.1112495681260786</v>
      </c>
      <c r="AH1196" s="1097">
        <v>202607</v>
      </c>
      <c r="AI1196" s="1017"/>
      <c r="AJ1196" s="931" t="s">
        <v>2375</v>
      </c>
    </row>
    <row r="1197" spans="3:36" s="301" customFormat="1" ht="15.75" hidden="1">
      <c r="C1197" s="1032">
        <v>46205</v>
      </c>
      <c r="D1197" s="1100">
        <v>334265</v>
      </c>
      <c r="E1197" s="1004">
        <v>26987</v>
      </c>
      <c r="F1197" s="1004">
        <v>16886</v>
      </c>
      <c r="G1197" s="1100">
        <v>4995</v>
      </c>
      <c r="H1197" s="1100">
        <v>1880</v>
      </c>
      <c r="I1197" s="1100">
        <v>200933</v>
      </c>
      <c r="J1197" s="1100">
        <v>158610</v>
      </c>
      <c r="K1197" s="1100">
        <v>52126.15</v>
      </c>
      <c r="L1197" s="1100">
        <v>12431</v>
      </c>
      <c r="M1197" s="1100">
        <v>414497</v>
      </c>
      <c r="N1197" s="1100">
        <v>7121</v>
      </c>
      <c r="O1197" s="1100">
        <v>5564</v>
      </c>
      <c r="P1197" s="1004">
        <v>0</v>
      </c>
      <c r="Q1197" s="1094">
        <v>0</v>
      </c>
      <c r="R1197" s="1095">
        <f t="shared" ref="R1197" si="123" xml:space="preserve"> IF(C1197&lt; DATE(2024, 11, 1), D1197 * (2.31 / 100), D1197 * (2.925 / 100))+E1197*E$6+F1197*F$6+G1197*G$6+H1197*H$6+I1197*I$6+J1197*J$6+K1197*K$6+L1197*L$6+M1197*M$6+N1197*N$6+O1197*O$6+P1197*P$6+Q1197*Q$6</f>
        <v>150305.94750000001</v>
      </c>
      <c r="S1197" s="1015">
        <v>11.391573480731818</v>
      </c>
      <c r="T1197" s="1015">
        <v>0.21245800000000001</v>
      </c>
      <c r="U1197" s="1015">
        <v>2.6561177073569928E-3</v>
      </c>
      <c r="V1197" s="1015">
        <v>2.5999999999999999E-2</v>
      </c>
      <c r="W1197" s="1015">
        <v>0.24637000000000001</v>
      </c>
      <c r="X1197" s="1103">
        <v>8.4492859913860237</v>
      </c>
      <c r="Y1197" s="1015">
        <v>2.39</v>
      </c>
      <c r="Z1197" s="1021">
        <v>0</v>
      </c>
      <c r="AA1197" s="1015">
        <v>0</v>
      </c>
      <c r="AB1197" s="1015">
        <v>0</v>
      </c>
      <c r="AC1197" s="1015">
        <v>0.20359793513749233</v>
      </c>
      <c r="AD1197" s="1015">
        <v>8.7980359453711909E-2</v>
      </c>
      <c r="AE1197" s="1015">
        <v>0</v>
      </c>
      <c r="AF1197" s="1015">
        <v>14.375373428062533</v>
      </c>
      <c r="AG1197" s="1096">
        <f xml:space="preserve"> IF(C1197&lt; DATE(2024, 11, 1), S1197 * (2.31 / 100), S1197 * (2.925 / 100))+T1197*T$6+U1367*U$6+V1197*V$6+W1197*W$6+X1197*X$6+Y1197*Y$6+Z1197*Z$6+AA1197*AA$6+AB1197*AB$6+AC1197*AC$6+AD1197*AD$6+AE1197*AE$6+AF1197*AF$6</f>
        <v>5.4625957820058506</v>
      </c>
      <c r="AH1197" s="1097">
        <v>202607</v>
      </c>
      <c r="AI1197" s="1017"/>
      <c r="AJ1197" s="931" t="s">
        <v>2376</v>
      </c>
    </row>
    <row r="1198" spans="3:36" s="301" customFormat="1" ht="15.75" hidden="1">
      <c r="C1198" s="1032">
        <v>46206</v>
      </c>
      <c r="D1198" s="1024">
        <v>333754</v>
      </c>
      <c r="E1198" s="1001">
        <v>29629</v>
      </c>
      <c r="F1198" s="1001">
        <v>21731.83</v>
      </c>
      <c r="G1198" s="1024">
        <v>4947</v>
      </c>
      <c r="H1198" s="1024">
        <v>1787</v>
      </c>
      <c r="I1198" s="1024">
        <v>198973</v>
      </c>
      <c r="J1198" s="1024">
        <v>158543</v>
      </c>
      <c r="K1198" s="1024">
        <v>44807.4</v>
      </c>
      <c r="L1198" s="1024">
        <v>12071</v>
      </c>
      <c r="M1198" s="1024">
        <v>413761</v>
      </c>
      <c r="N1198" s="1024">
        <v>7195</v>
      </c>
      <c r="O1198" s="1024">
        <v>5687</v>
      </c>
      <c r="P1198" s="1001">
        <v>0</v>
      </c>
      <c r="Q1198" s="1094">
        <v>0</v>
      </c>
      <c r="R1198" s="1095">
        <f t="shared" ref="R1198" si="124" xml:space="preserve"> IF(C1198&lt; DATE(2024, 11, 1), D1198 * (2.31 / 100), D1198 * (2.925 / 100))+E1198*E$6+F1198*F$6+G1198*G$6+H1198*H$6+I1198*I$6+J1198*J$6+K1198*K$6+L1198*L$6+M1198*M$6+N1198*N$6+O1198*O$6+P1198*P$6+Q1198*Q$6</f>
        <v>151981.36425000001</v>
      </c>
      <c r="S1198" s="1007">
        <v>10.55707679804727</v>
      </c>
      <c r="T1198" s="1007">
        <v>0.35732399999999997</v>
      </c>
      <c r="U1198" s="1007">
        <v>3.5240282375328118E-3</v>
      </c>
      <c r="V1198" s="1007">
        <v>2.4E-2</v>
      </c>
      <c r="W1198" s="1007">
        <v>0.20219999999999999</v>
      </c>
      <c r="X1198" s="1103">
        <v>8.443764211503991</v>
      </c>
      <c r="Y1198" s="1007">
        <v>2.41</v>
      </c>
      <c r="Z1198" s="1007">
        <v>0</v>
      </c>
      <c r="AA1198" s="1021">
        <v>0</v>
      </c>
      <c r="AB1198" s="1021">
        <v>0</v>
      </c>
      <c r="AC1198" s="1007">
        <v>0.20444743973472801</v>
      </c>
      <c r="AD1198" s="1007">
        <v>0.11782628763659324</v>
      </c>
      <c r="AE1198" s="1007">
        <v>0</v>
      </c>
      <c r="AF1198" s="1007">
        <v>14.388427482040056</v>
      </c>
      <c r="AG1198" s="1096">
        <f xml:space="preserve"> IF(C1198&lt; DATE(2024, 11, 1), S1198 * (2.31 / 100), S1198 * (2.925 / 100))+T1198*T$6+U1368*U$6+V1198*V$6+W1198*W$6+X1198*X$6+Y1198*Y$6+Z1198*Z$6+AA1198*AA$6+AB1198*AB$6+AC1198*AC$6+AD1198*AD$6+AE1198*AE$6+AF1198*AF$6</f>
        <v>5.4504772240159483</v>
      </c>
      <c r="AH1198" s="1097">
        <v>202607</v>
      </c>
      <c r="AI1198" s="1017"/>
      <c r="AJ1198" s="931" t="s">
        <v>2377</v>
      </c>
    </row>
    <row r="1199" spans="3:36" s="301" customFormat="1" ht="15.75" hidden="1">
      <c r="C1199" s="1032">
        <v>46207</v>
      </c>
      <c r="D1199" s="1100">
        <v>331178</v>
      </c>
      <c r="E1199" s="1004">
        <v>19182</v>
      </c>
      <c r="F1199" s="1004">
        <v>21692.91</v>
      </c>
      <c r="G1199" s="1100">
        <v>4865</v>
      </c>
      <c r="H1199" s="1100">
        <v>1866</v>
      </c>
      <c r="I1199" s="1100">
        <v>192619</v>
      </c>
      <c r="J1199" s="1100">
        <v>147448</v>
      </c>
      <c r="K1199" s="1100">
        <v>47791.31</v>
      </c>
      <c r="L1199" s="1100">
        <v>13535</v>
      </c>
      <c r="M1199" s="1100">
        <v>439523</v>
      </c>
      <c r="N1199" s="1100">
        <v>6736</v>
      </c>
      <c r="O1199" s="1100">
        <v>5605</v>
      </c>
      <c r="P1199" s="1004">
        <v>0</v>
      </c>
      <c r="Q1199" s="1094">
        <v>0</v>
      </c>
      <c r="R1199" s="1095">
        <f t="shared" ref="R1199" si="125" xml:space="preserve"> IF(C1199&lt; DATE(2024, 11, 1), D1199 * (2.31 / 100), D1199 * (2.925 / 100))+E1199*E$6+F1199*F$6+G1199*G$6+H1199*H$6+I1199*I$6+J1199*J$6+K1199*K$6+L1199*L$6+M1199*M$6+N1199*N$6+O1199*O$6+P1199*P$6+Q1199*Q$6</f>
        <v>146986.93974999999</v>
      </c>
      <c r="S1199" s="1015">
        <v>11.038745904679919</v>
      </c>
      <c r="T1199" s="1015">
        <v>0.28036699999999998</v>
      </c>
      <c r="U1199" s="1015">
        <v>3.4059470985170481E-3</v>
      </c>
      <c r="V1199" s="1015">
        <v>2.5000000000000001E-2</v>
      </c>
      <c r="W1199" s="1015">
        <v>0.24662000000000001</v>
      </c>
      <c r="X1199" s="1103">
        <v>8.5708784160703608</v>
      </c>
      <c r="Y1199" s="1015">
        <v>2.36</v>
      </c>
      <c r="Z1199" s="1015">
        <v>0</v>
      </c>
      <c r="AA1199" s="1021">
        <v>0</v>
      </c>
      <c r="AB1199" s="1015">
        <v>0</v>
      </c>
      <c r="AC1199" s="1015">
        <v>0.1996335803503923</v>
      </c>
      <c r="AD1199" s="1015">
        <v>9.5795801748280451E-2</v>
      </c>
      <c r="AE1199" s="1015">
        <v>0</v>
      </c>
      <c r="AF1199" s="1015">
        <v>14.385001146831206</v>
      </c>
      <c r="AG1199" s="1096">
        <f xml:space="preserve"> IF(C1199&lt; DATE(2024, 11, 1), S1199 * (2.31 / 100), S1199 * (2.925 / 100))+T1199*T$6+U1368*U$6+V1199*V$6+W1199*W$6+X1199*X$6+Y1199*Y$6+Z1199*Z$6+AA1199*AA$6+AB1199*AB$6+AC1199*AC$6+AD1199*AD$6+AE1199*AE$6+AF1199*AF$6</f>
        <v>5.4912063004251204</v>
      </c>
      <c r="AH1199" s="1097">
        <v>202607</v>
      </c>
      <c r="AI1199" s="1017"/>
      <c r="AJ1199" s="931" t="s">
        <v>2378</v>
      </c>
    </row>
    <row r="1200" spans="3:36" s="301" customFormat="1" ht="15.75" hidden="1">
      <c r="C1200" s="1032">
        <v>46208</v>
      </c>
      <c r="D1200" s="1024">
        <v>329744</v>
      </c>
      <c r="E1200" s="1001">
        <v>4629</v>
      </c>
      <c r="F1200" s="1001">
        <v>21625.02</v>
      </c>
      <c r="G1200" s="1024">
        <v>4886</v>
      </c>
      <c r="H1200" s="1024">
        <v>1938</v>
      </c>
      <c r="I1200" s="1024">
        <v>186507</v>
      </c>
      <c r="J1200" s="1024">
        <v>150859</v>
      </c>
      <c r="K1200" s="1024">
        <v>48650.63</v>
      </c>
      <c r="L1200" s="1024">
        <v>12946</v>
      </c>
      <c r="M1200" s="1024">
        <v>450279</v>
      </c>
      <c r="N1200" s="1024">
        <v>6980</v>
      </c>
      <c r="O1200" s="1024">
        <v>5728</v>
      </c>
      <c r="P1200" s="1001">
        <v>0</v>
      </c>
      <c r="Q1200" s="1094">
        <v>0</v>
      </c>
      <c r="R1200" s="1095">
        <f t="shared" ref="R1200" si="126" xml:space="preserve"> IF(C1200&lt; DATE(2024, 11, 1), D1200 * (2.31 / 100), D1200 * (2.925 / 100))+E1200*E$6+F1200*F$6+G1200*G$6+H1200*H$6+I1200*I$6+J1200*J$6+K1200*K$6+L1200*L$6+M1200*M$6+N1200*N$6+O1200*O$6+P1200*P$6+Q1200*Q$6</f>
        <v>143294.136</v>
      </c>
      <c r="S1200" s="1007">
        <v>10.958609304340685</v>
      </c>
      <c r="T1200" s="1007">
        <v>-8.5540000000000008E-3</v>
      </c>
      <c r="U1200" s="1007">
        <v>3.4387946096101621E-3</v>
      </c>
      <c r="V1200" s="1007">
        <v>2.5000000000000001E-2</v>
      </c>
      <c r="W1200" s="1007">
        <v>0.25263000000000002</v>
      </c>
      <c r="X1200" s="1103">
        <v>8.3667990949944357</v>
      </c>
      <c r="Y1200" s="1007">
        <v>2.42</v>
      </c>
      <c r="Z1200" s="1021">
        <v>0</v>
      </c>
      <c r="AA1200" s="1007">
        <v>0</v>
      </c>
      <c r="AB1200" s="1007">
        <v>0</v>
      </c>
      <c r="AC1200" s="1007">
        <v>0.1987840757531566</v>
      </c>
      <c r="AD1200" s="1007">
        <v>0.11012411262165613</v>
      </c>
      <c r="AE1200" s="1007">
        <v>0</v>
      </c>
      <c r="AF1200" s="1007">
        <v>14.387379759703466</v>
      </c>
      <c r="AG1200" s="1096">
        <f xml:space="preserve"> IF(C1200&lt; DATE(2024, 11, 1), S1200 * (2.31 / 100), S1200 * (2.925 / 100))+T1200*T$6+U1368*U$6+V1200*V$6+W1200*W$6+X1200*X$6+Y1200*Y$6+Z1200*Z$6+AA1200*AA$6+AB1200*AB$6+AC1200*AC$6+AD1200*AD$6+AE1200*AE$6+AF1200*AF$6</f>
        <v>5.3976900136819514</v>
      </c>
      <c r="AH1200" s="1097">
        <v>202607</v>
      </c>
      <c r="AI1200" s="1017"/>
      <c r="AJ1200" s="931" t="s">
        <v>2379</v>
      </c>
    </row>
    <row r="1201" spans="3:36" s="301" customFormat="1" ht="15.75" hidden="1">
      <c r="C1201" s="1032">
        <v>46209</v>
      </c>
      <c r="D1201" s="1100">
        <v>328152</v>
      </c>
      <c r="E1201" s="1004">
        <v>1629</v>
      </c>
      <c r="F1201" s="1004">
        <v>21645.599999999999</v>
      </c>
      <c r="G1201" s="1100">
        <v>4857</v>
      </c>
      <c r="H1201" s="1100">
        <v>1894</v>
      </c>
      <c r="I1201" s="1100">
        <v>190886</v>
      </c>
      <c r="J1201" s="1100">
        <v>155692</v>
      </c>
      <c r="K1201" s="1100">
        <v>52942.52</v>
      </c>
      <c r="L1201" s="1100">
        <v>14364</v>
      </c>
      <c r="M1201" s="1100">
        <v>446770</v>
      </c>
      <c r="N1201" s="1100">
        <v>7097</v>
      </c>
      <c r="O1201" s="1100">
        <v>5624</v>
      </c>
      <c r="P1201" s="1004">
        <v>0</v>
      </c>
      <c r="Q1201" s="1094">
        <v>0</v>
      </c>
      <c r="R1201" s="1095">
        <f t="shared" ref="R1201" si="127" xml:space="preserve"> IF(C1201&lt; DATE(2024, 11, 1), D1201 * (2.31 / 100), D1201 * (2.925 / 100))+E1201*E$6+F1201*F$6+G1201*G$6+H1201*H$6+I1201*I$6+J1201*J$6+K1201*K$6+L1201*L$6+M1201*M$6+N1201*N$6+O1201*O$6+P1201*P$6+Q1201*Q$6</f>
        <v>145771.83100000003</v>
      </c>
      <c r="S1201" s="1015">
        <v>11.023171653730598</v>
      </c>
      <c r="T1201" s="1015">
        <v>8.2319999999999997E-3</v>
      </c>
      <c r="U1201" s="1015">
        <v>3.6251192846038617E-3</v>
      </c>
      <c r="V1201" s="1015">
        <v>2.5000000000000001E-2</v>
      </c>
      <c r="W1201" s="1015">
        <v>0.24893999999999999</v>
      </c>
      <c r="X1201" s="1103">
        <v>7.9743279710715367</v>
      </c>
      <c r="Y1201" s="1015">
        <v>3.05</v>
      </c>
      <c r="Z1201" s="1021">
        <v>0</v>
      </c>
      <c r="AA1201" s="1021">
        <v>0</v>
      </c>
      <c r="AB1201" s="1021">
        <v>0</v>
      </c>
      <c r="AC1201" s="1015">
        <v>0.20303159873933516</v>
      </c>
      <c r="AD1201" s="1015">
        <v>0.12286668158019182</v>
      </c>
      <c r="AE1201" s="1015">
        <v>0</v>
      </c>
      <c r="AF1201" s="1015">
        <v>14.375543328981982</v>
      </c>
      <c r="AG1201" s="1096">
        <f xml:space="preserve"> IF(C1201&lt; DATE(2024, 11, 1), S1201 * (2.31 / 100), S1201 * (2.925 / 100))+T1201*T$6+U1369*U$6+V1201*V$6+W1201*W$6+X1201*X$6+Y1201*Y$6+Z1201*Z$6+AA1201*AA$6+AB1201*AB$6+AC1201*AC$6+AD1201*AD$6+AE1201*AE$6+AF1201*AF$6</f>
        <v>5.4892785195062679</v>
      </c>
      <c r="AH1201" s="1097">
        <v>202607</v>
      </c>
      <c r="AI1201" s="1017"/>
      <c r="AJ1201" s="931" t="s">
        <v>2380</v>
      </c>
    </row>
    <row r="1202" spans="3:36" s="301" customFormat="1" ht="15.75" hidden="1">
      <c r="C1202" s="1032">
        <v>46210</v>
      </c>
      <c r="D1202" s="1024">
        <v>329464</v>
      </c>
      <c r="E1202" s="1001">
        <v>44</v>
      </c>
      <c r="F1202" s="1001">
        <v>21446.65</v>
      </c>
      <c r="G1202" s="1024">
        <v>4820</v>
      </c>
      <c r="H1202" s="1024">
        <v>1856</v>
      </c>
      <c r="I1202" s="1024">
        <v>184950</v>
      </c>
      <c r="J1202" s="1024">
        <v>155384</v>
      </c>
      <c r="K1202" s="1024">
        <v>55342.48</v>
      </c>
      <c r="L1202" s="1024">
        <v>12153</v>
      </c>
      <c r="M1202" s="1024">
        <v>445030</v>
      </c>
      <c r="N1202" s="1024">
        <v>6958</v>
      </c>
      <c r="O1202" s="1024">
        <v>5553</v>
      </c>
      <c r="P1202" s="1001">
        <v>0</v>
      </c>
      <c r="Q1202" s="1094">
        <v>0</v>
      </c>
      <c r="R1202" s="1095">
        <f t="shared" ref="R1202" si="128" xml:space="preserve"> IF(C1202&lt; DATE(2024, 11, 1), D1202 * (2.31 / 100), D1202 * (2.925 / 100))+E1202*E$6+F1202*F$6+G1202*G$6+H1202*H$6+I1202*I$6+J1202*J$6+K1202*K$6+L1202*L$6+M1202*M$6+N1202*N$6+O1202*O$6+P1202*P$6+Q1202*Q$6</f>
        <v>143872.50825000004</v>
      </c>
      <c r="S1202" s="1007">
        <v>11.038179568281768</v>
      </c>
      <c r="T1202" s="1007">
        <v>-1.5759999999999999E-3</v>
      </c>
      <c r="U1202" s="1007">
        <v>3.5364876382922689E-3</v>
      </c>
      <c r="V1202" s="1007">
        <v>2.5000000000000001E-2</v>
      </c>
      <c r="W1202" s="1007">
        <v>0.23537</v>
      </c>
      <c r="X1202" s="1103">
        <v>7.3699054501383277</v>
      </c>
      <c r="Y1202" s="1007">
        <v>10.039999999999999</v>
      </c>
      <c r="Z1202" s="1007">
        <v>0</v>
      </c>
      <c r="AA1202" s="1007">
        <v>0</v>
      </c>
      <c r="AB1202" s="1007">
        <v>0</v>
      </c>
      <c r="AC1202" s="1007">
        <v>0.2095444673181423</v>
      </c>
      <c r="AD1202" s="1007">
        <v>8.9651051828275471E-2</v>
      </c>
      <c r="AE1202" s="1007">
        <v>0</v>
      </c>
      <c r="AF1202" s="1007">
        <v>14.367841153967044</v>
      </c>
      <c r="AG1202" s="1096">
        <f xml:space="preserve"> IF(C1202&lt; DATE(2024, 11, 1), S1202 * (2.31 / 100), S1202 * (2.925 / 100))+T1202*T$6+U1370*U$6+V1202*V$6+W1202*W$6+X1202*X$6+Y1202*Y$6+Z1202*Z$6+AA1202*AA$6+AB1202*AB$6+AC1202*AC$6+AD1202*AD$6+AE1202*AE$6+AF1202*AF$6</f>
        <v>7.1561356307106099</v>
      </c>
      <c r="AH1202" s="1097">
        <v>202607</v>
      </c>
      <c r="AI1202" s="1017"/>
      <c r="AJ1202" s="931" t="s">
        <v>2381</v>
      </c>
    </row>
    <row r="1203" spans="3:36" s="301" customFormat="1" ht="15.75" hidden="1">
      <c r="C1203" s="1032">
        <v>46211</v>
      </c>
      <c r="D1203" s="1100">
        <v>292869</v>
      </c>
      <c r="E1203" s="1004">
        <v>1063</v>
      </c>
      <c r="F1203" s="1004">
        <v>21585.77</v>
      </c>
      <c r="G1203" s="1100">
        <v>4822</v>
      </c>
      <c r="H1203" s="1100">
        <v>1994</v>
      </c>
      <c r="I1203" s="1100">
        <v>178104</v>
      </c>
      <c r="J1203" s="1100">
        <v>162258</v>
      </c>
      <c r="K1203" s="1100">
        <v>48330.31</v>
      </c>
      <c r="L1203" s="1100">
        <v>11334</v>
      </c>
      <c r="M1203" s="1100">
        <v>436196</v>
      </c>
      <c r="N1203" s="1100">
        <v>6822</v>
      </c>
      <c r="O1203" s="1100">
        <v>5698</v>
      </c>
      <c r="P1203" s="1004">
        <v>0</v>
      </c>
      <c r="Q1203" s="1094">
        <v>0</v>
      </c>
      <c r="R1203" s="1095">
        <f t="shared" ref="R1203" si="129" xml:space="preserve"> IF(C1203&lt; DATE(2024, 11, 1), D1203 * (2.31 / 100), D1203 * (2.925 / 100))+E1203*E$6+F1203*F$6+G1203*G$6+H1203*H$6+I1203*I$6+J1203*J$6+K1203*K$6+L1203*L$6+M1203*M$6+N1203*N$6+O1203*O$6+P1203*P$6+Q1203*Q$6</f>
        <v>141470.71225000004</v>
      </c>
      <c r="S1203" s="1015">
        <v>10.919248924668768</v>
      </c>
      <c r="T1203" s="1015">
        <v>1.8469999999999999E-3</v>
      </c>
      <c r="U1203" s="1015">
        <v>3.7148836037117685E-3</v>
      </c>
      <c r="V1203" s="1015">
        <v>2.5000000000000001E-2</v>
      </c>
      <c r="W1203" s="1015">
        <v>0.26688000000000001</v>
      </c>
      <c r="X1203" s="1103">
        <v>6.8249199341917102</v>
      </c>
      <c r="Y1203" s="1015">
        <v>10.039999999999999</v>
      </c>
      <c r="Z1203" s="1021">
        <v>0</v>
      </c>
      <c r="AA1203" s="1021">
        <v>0</v>
      </c>
      <c r="AB1203" s="1021">
        <v>0</v>
      </c>
      <c r="AC1203" s="1015">
        <v>0.19425338456789948</v>
      </c>
      <c r="AD1203" s="1015">
        <v>0.14472726654905746</v>
      </c>
      <c r="AE1203" s="1015">
        <v>0</v>
      </c>
      <c r="AF1203" s="1015">
        <v>14.36129996856833</v>
      </c>
      <c r="AG1203" s="1096">
        <f xml:space="preserve"> IF(C1203&lt; DATE(2024, 11, 1), S1203 * (2.31 / 100), S1203 * (2.925 / 100))+T1203*T$6+U1377*U$6+V1203*V$6+W1203*W$6+X1203*X$6+Y1203*Y$6+Z1203*Z$6+AA1203*AA$6+AB1203*AB$6+AC1203*AC$6+AD1203*AD$6+AE1203*AE$6+AF1203*AF$6</f>
        <v>7.0953304814636127</v>
      </c>
      <c r="AH1203" s="1097">
        <v>202607</v>
      </c>
      <c r="AI1203" s="1017"/>
      <c r="AJ1203" s="931" t="s">
        <v>2382</v>
      </c>
    </row>
    <row r="1204" spans="3:36" s="301" customFormat="1" ht="15.75" hidden="1">
      <c r="C1204" s="1032">
        <v>46212</v>
      </c>
      <c r="D1204" s="1024">
        <v>348241</v>
      </c>
      <c r="E1204" s="1001">
        <v>22553</v>
      </c>
      <c r="F1204" s="1001">
        <v>21683.47</v>
      </c>
      <c r="G1204" s="1024">
        <v>4931</v>
      </c>
      <c r="H1204" s="1024">
        <v>1930</v>
      </c>
      <c r="I1204" s="1024">
        <v>178834</v>
      </c>
      <c r="J1204" s="1024">
        <v>159127</v>
      </c>
      <c r="K1204" s="1024">
        <v>54707.67</v>
      </c>
      <c r="L1204" s="1024">
        <v>14600</v>
      </c>
      <c r="M1204" s="1024">
        <v>187197</v>
      </c>
      <c r="N1204" s="1024">
        <v>6640</v>
      </c>
      <c r="O1204" s="1024">
        <v>5617</v>
      </c>
      <c r="P1204" s="1001">
        <v>0</v>
      </c>
      <c r="Q1204" s="1094">
        <v>0</v>
      </c>
      <c r="R1204" s="1095">
        <f t="shared" ref="R1204" si="130" xml:space="preserve"> IF(C1204&lt; DATE(2024, 11, 1), D1204 * (2.31 / 100), D1204 * (2.925 / 100))+E1204*E$6+F1204*F$6+G1204*G$6+H1204*H$6+I1204*I$6+J1204*J$6+K1204*K$6+L1204*L$6+M1204*M$6+N1204*N$6+O1204*O$6+P1204*P$6+Q1204*Q$6</f>
        <v>140653.35574999999</v>
      </c>
      <c r="S1204" s="1007">
        <v>11.053187482832932</v>
      </c>
      <c r="T1204" s="1007">
        <v>0.115438</v>
      </c>
      <c r="U1204" s="1007">
        <v>3.5631054490056547E-3</v>
      </c>
      <c r="V1204" s="1007">
        <v>2.5999999999999999E-2</v>
      </c>
      <c r="W1204" s="1007">
        <v>0.25606000000000001</v>
      </c>
      <c r="X1204" s="1103">
        <v>6.3983270422798437</v>
      </c>
      <c r="Y1204" s="1007">
        <v>10.11</v>
      </c>
      <c r="Z1204" s="1021">
        <v>0</v>
      </c>
      <c r="AA1204" s="1007">
        <v>0</v>
      </c>
      <c r="AB1204" s="1007">
        <v>0</v>
      </c>
      <c r="AC1204" s="1007">
        <v>0.19453655276697804</v>
      </c>
      <c r="AD1204" s="1007">
        <v>0.13433499364287391</v>
      </c>
      <c r="AE1204" s="1007">
        <v>0</v>
      </c>
      <c r="AF1204" s="1007">
        <v>14.375118576683365</v>
      </c>
      <c r="AG1204" s="1096">
        <f xml:space="preserve"> IF(C1204&lt; DATE(2024, 11, 1), S1204 * (2.31 / 100), S1204 * (2.925 / 100))+T1204*T$6+U1377*U$6+V1204*V$6+W1204*W$6+X1204*X$6+Y1204*Y$6+Z1204*Z$6+AA1204*AA$6+AB1204*AB$6+AC1204*AC$6+AD1204*AD$6+AE1204*AE$6+AF1204*AF$6</f>
        <v>7.0507025786265212</v>
      </c>
      <c r="AH1204" s="1097">
        <v>202607</v>
      </c>
      <c r="AI1204" s="1017"/>
      <c r="AJ1204" s="931" t="s">
        <v>2383</v>
      </c>
    </row>
    <row r="1205" spans="3:36" s="301" customFormat="1" ht="15.75" hidden="1">
      <c r="C1205" s="1032">
        <v>46213</v>
      </c>
      <c r="D1205" s="1100">
        <v>343397</v>
      </c>
      <c r="E1205" s="1004">
        <v>18258</v>
      </c>
      <c r="F1205" s="1004">
        <v>21642.7</v>
      </c>
      <c r="G1205" s="1100">
        <v>4900</v>
      </c>
      <c r="H1205" s="1100">
        <v>1956</v>
      </c>
      <c r="I1205" s="1100">
        <v>180818</v>
      </c>
      <c r="J1205" s="1100">
        <v>160506</v>
      </c>
      <c r="K1205" s="1100">
        <v>54003.67</v>
      </c>
      <c r="L1205" s="1100">
        <v>15161</v>
      </c>
      <c r="M1205" s="1100">
        <v>147017</v>
      </c>
      <c r="N1205" s="1100">
        <v>6991</v>
      </c>
      <c r="O1205" s="1100">
        <v>5740</v>
      </c>
      <c r="P1205" s="1004">
        <v>0</v>
      </c>
      <c r="Q1205" s="1094">
        <v>0</v>
      </c>
      <c r="R1205" s="1095">
        <f t="shared" ref="R1205" si="131" xml:space="preserve"> IF(C1205&lt; DATE(2024, 11, 1), D1205 * (2.31 / 100), D1205 * (2.925 / 100))+E1205*E$6+F1205*F$6+G1205*G$6+H1205*H$6+I1205*I$6+J1205*J$6+K1205*K$6+L1205*L$6+M1205*M$6+N1205*N$6+O1205*O$6+P1205*P$6+Q1205*Q$6</f>
        <v>138529.27100000001</v>
      </c>
      <c r="S1205" s="1015">
        <v>9.5549445415082115</v>
      </c>
      <c r="T1205" s="1015">
        <v>0.15009600000000001</v>
      </c>
      <c r="U1205" s="1015">
        <v>3.6605153094886834E-3</v>
      </c>
      <c r="V1205" s="1015">
        <v>2.5000000000000001E-2</v>
      </c>
      <c r="W1205" s="1015">
        <v>0.25036000000000003</v>
      </c>
      <c r="X1205" s="1103">
        <v>5.9340000000000002</v>
      </c>
      <c r="Y1205" s="1015">
        <v>10.019</v>
      </c>
      <c r="Z1205" s="1021">
        <v>0</v>
      </c>
      <c r="AA1205" s="1021">
        <v>0</v>
      </c>
      <c r="AB1205" s="1021">
        <v>0</v>
      </c>
      <c r="AC1205" s="1015">
        <v>0.19765140295684233</v>
      </c>
      <c r="AD1205" s="1015">
        <v>0.13034232203586607</v>
      </c>
      <c r="AE1205" s="1015">
        <v>0</v>
      </c>
      <c r="AF1205" s="1015">
        <v>14.307073258444783</v>
      </c>
      <c r="AG1205" s="1096">
        <f xml:space="preserve"> IF(C1205&lt; DATE(2024, 11, 1), S1205 * (2.31 / 100), S1205 * (2.925 / 100))+T1205*T$6+U1377*U$6+V1205*V$6+W1205*W$6+X1205*X$6+Y1205*Y$6+Z1205*Z$6+AA1205*AA$6+AB1205*AB$6+AC1205*AC$6+AD1205*AD$6+AE1205*AE$6+AF1205*AF$6</f>
        <v>6.8806890849143283</v>
      </c>
      <c r="AH1205" s="1097">
        <v>202607</v>
      </c>
      <c r="AI1205" s="1017"/>
      <c r="AJ1205" s="931" t="s">
        <v>2384</v>
      </c>
    </row>
    <row r="1206" spans="3:36" s="301" customFormat="1" ht="15.75" hidden="1">
      <c r="C1206" s="1032">
        <v>46214</v>
      </c>
      <c r="D1206" s="1024">
        <v>328364</v>
      </c>
      <c r="E1206" s="1001">
        <v>25843</v>
      </c>
      <c r="F1206" s="1001">
        <v>21640.07</v>
      </c>
      <c r="G1206" s="1024">
        <v>4931</v>
      </c>
      <c r="H1206" s="1024">
        <v>1918</v>
      </c>
      <c r="I1206" s="1024">
        <v>181276</v>
      </c>
      <c r="J1206" s="1024">
        <v>159557</v>
      </c>
      <c r="K1206" s="1024">
        <v>56384.78</v>
      </c>
      <c r="L1206" s="1024">
        <v>12267</v>
      </c>
      <c r="M1206" s="1024">
        <v>394354</v>
      </c>
      <c r="N1206" s="1024">
        <v>7043</v>
      </c>
      <c r="O1206" s="1024">
        <v>5687</v>
      </c>
      <c r="P1206" s="1001">
        <v>0</v>
      </c>
      <c r="Q1206" s="1094">
        <v>0</v>
      </c>
      <c r="R1206" s="1095">
        <f t="shared" ref="R1206" si="132" xml:space="preserve"> IF(C1206&lt; DATE(2024, 11, 1), D1206 * (2.31 / 100), D1206 * (2.925 / 100))+E1206*E$6+F1206*F$6+G1206*G$6+H1206*H$6+I1206*I$6+J1206*J$6+K1206*K$6+L1206*L$6+M1206*M$6+N1206*N$6+O1206*O$6+P1206*P$6+Q1206*Q$6</f>
        <v>149733.12475000002</v>
      </c>
      <c r="S1206" s="1007">
        <v>8.6287013623222055</v>
      </c>
      <c r="T1206" s="1007">
        <v>0.183281</v>
      </c>
      <c r="U1206" s="1007">
        <v>3.6154915658351905E-3</v>
      </c>
      <c r="V1206" s="1007">
        <v>2.5999999999999999E-2</v>
      </c>
      <c r="W1206" s="1007">
        <v>0.26033000000000001</v>
      </c>
      <c r="X1206" s="1103">
        <v>5.73</v>
      </c>
      <c r="Y1206" s="1007">
        <v>10.14</v>
      </c>
      <c r="Z1206" s="1021">
        <v>0</v>
      </c>
      <c r="AA1206" s="1021">
        <v>0</v>
      </c>
      <c r="AB1206" s="1021">
        <v>0</v>
      </c>
      <c r="AC1206" s="1007">
        <v>0.19538605736421377</v>
      </c>
      <c r="AD1206" s="1007">
        <v>8.7555607155094056E-2</v>
      </c>
      <c r="AE1206" s="1007">
        <v>0</v>
      </c>
      <c r="AF1206" s="1007">
        <v>14.270997629882173</v>
      </c>
      <c r="AG1206" s="1096">
        <f xml:space="preserve"> IF(C1206&lt; DATE(2024, 11, 1), S1206 * (2.31 / 100), S1206 * (2.925 / 100))+T1206*T$6+U1377*U$6+V1206*V$6+W1206*W$6+X1206*X$6+Y1206*Y$6+Z1206*Z$6+AA1206*AA$6+AB1206*AB$6+AC1206*AC$6+AD1206*AD$6+AE1206*AE$6+AF1206*AF$6</f>
        <v>6.8401896910999955</v>
      </c>
      <c r="AH1206" s="1097">
        <v>202607</v>
      </c>
      <c r="AI1206" s="1017"/>
      <c r="AJ1206" s="931" t="s">
        <v>2385</v>
      </c>
    </row>
    <row r="1207" spans="3:36" s="301" customFormat="1" ht="15.75" hidden="1">
      <c r="C1207" s="1032">
        <v>46215</v>
      </c>
      <c r="D1207" s="1100">
        <v>322071</v>
      </c>
      <c r="E1207" s="1006">
        <v>26698</v>
      </c>
      <c r="F1207" s="1004">
        <v>21704.080000000002</v>
      </c>
      <c r="G1207" s="1100">
        <v>4952</v>
      </c>
      <c r="H1207" s="1100">
        <v>1950</v>
      </c>
      <c r="I1207" s="1100">
        <v>189467</v>
      </c>
      <c r="J1207" s="1100">
        <v>159551</v>
      </c>
      <c r="K1207" s="1100">
        <v>58523.18</v>
      </c>
      <c r="L1207" s="1100">
        <v>1690</v>
      </c>
      <c r="M1207" s="1100">
        <v>440121</v>
      </c>
      <c r="N1207" s="1100">
        <v>6934</v>
      </c>
      <c r="O1207" s="1100">
        <v>5784</v>
      </c>
      <c r="P1207" s="1004">
        <v>0</v>
      </c>
      <c r="Q1207" s="1094">
        <v>0</v>
      </c>
      <c r="R1207" s="1095">
        <f t="shared" ref="R1207" si="133" xml:space="preserve"> IF(C1207&lt; DATE(2024, 11, 1), D1207 * (2.31 / 100), D1207 * (2.925 / 100))+E1207*E$6+F1207*F$6+G1207*G$6+H1207*H$6+I1207*I$6+J1207*J$6+K1207*K$6+L1207*L$6+M1207*M$6+N1207*N$6+O1207*O$6+P1207*P$6+Q1207*Q$6</f>
        <v>151344.24025</v>
      </c>
      <c r="S1207" s="1015">
        <v>8.1444837418978526</v>
      </c>
      <c r="T1207" s="1015">
        <v>0.25949899999999998</v>
      </c>
      <c r="U1207" s="1015">
        <v>3.6588163002942119E-3</v>
      </c>
      <c r="V1207" s="1015">
        <v>0.26</v>
      </c>
      <c r="W1207" s="1015">
        <v>0.25463000000000002</v>
      </c>
      <c r="X1207" s="1103">
        <v>5.8479999999999999</v>
      </c>
      <c r="Y1207" s="1015">
        <v>9.8140000000000001</v>
      </c>
      <c r="Z1207" s="1021">
        <v>0</v>
      </c>
      <c r="AA1207" s="1021">
        <v>0</v>
      </c>
      <c r="AB1207" s="1021">
        <v>0</v>
      </c>
      <c r="AC1207" s="1015">
        <v>0.19453655276697804</v>
      </c>
      <c r="AD1207" s="1015">
        <v>0.11564589250368824</v>
      </c>
      <c r="AE1207" s="1015">
        <v>0</v>
      </c>
      <c r="AF1207" s="1015">
        <v>14.200460431491701</v>
      </c>
      <c r="AG1207" s="1096">
        <f xml:space="preserve"> IF(C1207&lt; DATE(2024, 11, 1), S1207 * (2.31 / 100), S1207 * (2.925 / 100))+T1207*T$6+U1377*U$6+V1207*V$6+W1207*W$6+X1207*X$6+Y1207*Y$6+Z1207*Z$6+AA1207*AA$6+AB1207*AB$6+AC1207*AC$6+AD1207*AD$6+AE1207*AE$6+AF1207*AF$6</f>
        <v>6.8958965306099449</v>
      </c>
      <c r="AH1207" s="1097">
        <v>202607</v>
      </c>
      <c r="AI1207" s="1017"/>
      <c r="AJ1207" s="931" t="s">
        <v>2386</v>
      </c>
    </row>
    <row r="1208" spans="3:36" s="301" customFormat="1" ht="15.75" hidden="1">
      <c r="C1208" s="1032">
        <v>46216</v>
      </c>
      <c r="D1208" s="1024">
        <v>306928</v>
      </c>
      <c r="E1208" s="1003">
        <v>26314</v>
      </c>
      <c r="F1208" s="1001">
        <v>21651.147000000001</v>
      </c>
      <c r="G1208" s="1024">
        <v>5003</v>
      </c>
      <c r="H1208" s="1024">
        <v>1903</v>
      </c>
      <c r="I1208" s="1024">
        <v>191806</v>
      </c>
      <c r="J1208" s="1024">
        <v>158122</v>
      </c>
      <c r="K1208" s="1024">
        <v>60604.14</v>
      </c>
      <c r="L1208" s="1024">
        <v>13215</v>
      </c>
      <c r="M1208" s="1024">
        <v>435851</v>
      </c>
      <c r="N1208" s="1024">
        <v>7019</v>
      </c>
      <c r="O1208" s="1024">
        <v>5655</v>
      </c>
      <c r="P1208" s="1001">
        <v>0</v>
      </c>
      <c r="Q1208" s="1094">
        <v>0</v>
      </c>
      <c r="R1208" s="1095">
        <f t="shared" ref="R1208" si="134" xml:space="preserve"> IF(C1208&lt; DATE(2024, 11, 1), D1208 * (2.31 / 100), D1208 * (2.925 / 100))+E1208*E$6+F1208*F$6+G1208*G$6+H1208*H$6+I1208*I$6+J1208*J$6+K1208*K$6+L1208*L$6+M1208*M$6+N1208*N$6+O1208*O$6+P1208*P$6+Q1208*Q$6</f>
        <v>153922.93065000002</v>
      </c>
      <c r="S1208" s="1007">
        <v>8.7077052898651264</v>
      </c>
      <c r="T1208" s="1007">
        <v>0.30481900000000001</v>
      </c>
      <c r="U1208" s="1007">
        <v>3.731590527457404E-3</v>
      </c>
      <c r="V1208" s="1007">
        <v>2.5000000000000001E-2</v>
      </c>
      <c r="W1208" s="1007">
        <v>0.25501000000000001</v>
      </c>
      <c r="X1208" s="1103">
        <v>5.8961565580339066</v>
      </c>
      <c r="Y1208" s="1007">
        <v>10.263</v>
      </c>
      <c r="Z1208" s="1007">
        <v>0</v>
      </c>
      <c r="AA1208" s="1007">
        <v>0</v>
      </c>
      <c r="AB1208" s="1007">
        <v>0</v>
      </c>
      <c r="AC1208" s="1007">
        <v>0.18943952518356377</v>
      </c>
      <c r="AD1208" s="1007">
        <v>0.11624054572175327</v>
      </c>
      <c r="AE1208" s="1007">
        <v>0</v>
      </c>
      <c r="AF1208" s="1007">
        <v>14.252959815600867</v>
      </c>
      <c r="AG1208" s="1096">
        <f xml:space="preserve"> IF(C1208&lt; DATE(2024, 11, 1), S1208 * (2.31 / 100), S1208 * (2.925 / 100))+T1208*T$6+U1377*U$6+V1208*V$6+W1208*W$6+X1208*X$6+Y1208*Y$6+Z1208*Z$6+AA1208*AA$6+AB1208*AB$6+AC1208*AC$6+AD1208*AD$6+AE1208*AE$6+AF1208*AF$6</f>
        <v>6.9424605560463775</v>
      </c>
      <c r="AH1208" s="1097">
        <v>202607</v>
      </c>
      <c r="AI1208" s="1017"/>
      <c r="AJ1208" s="931" t="s">
        <v>2387</v>
      </c>
    </row>
    <row r="1209" spans="3:36" s="301" customFormat="1" ht="15.75" hidden="1">
      <c r="C1209" s="1032">
        <v>46217</v>
      </c>
      <c r="D1209" s="1100">
        <v>314849</v>
      </c>
      <c r="E1209" s="1006">
        <v>28893</v>
      </c>
      <c r="F1209" s="1004">
        <v>21731.91</v>
      </c>
      <c r="G1209" s="1100">
        <v>5041</v>
      </c>
      <c r="H1209" s="1100">
        <v>1868</v>
      </c>
      <c r="I1209" s="1100">
        <v>191269</v>
      </c>
      <c r="J1209" s="1100">
        <v>155109</v>
      </c>
      <c r="K1209" s="1100">
        <v>62611.34</v>
      </c>
      <c r="L1209" s="1100">
        <v>12318</v>
      </c>
      <c r="M1209" s="1100">
        <v>423310</v>
      </c>
      <c r="N1209" s="1100">
        <v>7002</v>
      </c>
      <c r="O1209" s="1100">
        <v>5598</v>
      </c>
      <c r="P1209" s="1004">
        <v>0</v>
      </c>
      <c r="Q1209" s="1094">
        <v>0</v>
      </c>
      <c r="R1209" s="1095">
        <f t="shared" ref="R1209" si="135" xml:space="preserve"> IF(C1209&lt; DATE(2024, 11, 1), D1209 * (2.31 / 100), D1209 * (2.925 / 100))+E1209*E$6+F1209*F$6+G1209*G$6+H1209*H$6+I1209*I$6+J1209*J$6+K1209*K$6+L1209*L$6+M1209*M$6+N1209*N$6+O1209*O$6+P1209*P$6+Q1209*Q$6</f>
        <v>153759.79274999999</v>
      </c>
      <c r="S1209" s="1015">
        <v>8.1529787878702091</v>
      </c>
      <c r="T1209" s="1015">
        <v>0.48519099999999998</v>
      </c>
      <c r="U1209" s="1015">
        <v>3.5435668432692333E-3</v>
      </c>
      <c r="V1209" s="1015">
        <v>2.5000000000000001E-2</v>
      </c>
      <c r="W1209" s="1015">
        <v>0.25051000000000001</v>
      </c>
      <c r="X1209" s="1103">
        <v>6.2895055033739489</v>
      </c>
      <c r="Y1209" s="1015">
        <v>10.159000000000001</v>
      </c>
      <c r="Z1209" s="1021">
        <v>0</v>
      </c>
      <c r="AA1209" s="1021">
        <v>0</v>
      </c>
      <c r="AB1209" s="1021">
        <v>0</v>
      </c>
      <c r="AC1209" s="1015">
        <v>0.19481972096605663</v>
      </c>
      <c r="AD1209" s="1015">
        <v>0.11343718055087541</v>
      </c>
      <c r="AE1209" s="1015">
        <v>0</v>
      </c>
      <c r="AF1209" s="1015">
        <v>14.227106559024994</v>
      </c>
      <c r="AG1209" s="1096">
        <f xml:space="preserve"> IF(C1209&lt; DATE(2024, 11, 1), S1209 * (2.31 / 100), S1209 * (2.925 / 100))+T1209*T$6+U1377*U$6+V1209*V$6+W1209*W$6+X1209*X$6+Y1209*Y$6+Z1209*Z$6+AA1209*AA$6+AB1209*AB$6+AC1209*AC$6+AD1209*AD$6+AE1209*AE$6+AF1209*AF$6</f>
        <v>7.0171404567808597</v>
      </c>
      <c r="AH1209" s="1097">
        <v>202607</v>
      </c>
      <c r="AI1209" s="1017"/>
      <c r="AJ1209" s="931" t="s">
        <v>2388</v>
      </c>
    </row>
    <row r="1210" spans="3:36" s="301" customFormat="1" ht="15.75" hidden="1">
      <c r="C1210" s="1032">
        <v>46218</v>
      </c>
      <c r="D1210" s="1024">
        <v>327570</v>
      </c>
      <c r="E1210" s="1003">
        <v>32918</v>
      </c>
      <c r="F1210" s="1001">
        <v>13719.38</v>
      </c>
      <c r="G1210" s="1024">
        <v>5049</v>
      </c>
      <c r="H1210" s="1024">
        <v>1877</v>
      </c>
      <c r="I1210" s="1024">
        <v>189216</v>
      </c>
      <c r="J1210" s="1024">
        <v>155779</v>
      </c>
      <c r="K1210" s="1024">
        <v>62296.15</v>
      </c>
      <c r="L1210" s="1024">
        <v>12205</v>
      </c>
      <c r="M1210" s="1024">
        <v>417410</v>
      </c>
      <c r="N1210" s="1024">
        <v>6913</v>
      </c>
      <c r="O1210" s="1024">
        <v>5848</v>
      </c>
      <c r="P1210" s="1001">
        <v>0</v>
      </c>
      <c r="Q1210" s="1094">
        <v>0</v>
      </c>
      <c r="R1210" s="1095">
        <f t="shared" ref="R1210" si="136" xml:space="preserve"> IF(C1210&lt; DATE(2024, 11, 1), D1210 * (2.31 / 100), D1210 * (2.925 / 100))+E1210*E$6+F1210*F$6+G1210*G$6+H1210*H$6+I1210*I$6+J1210*J$6+K1210*K$6+L1210*L$6+M1210*M$6+N1210*N$6+O1210*O$6+P1210*P$6+Q1210*Q$6</f>
        <v>149134.61225000003</v>
      </c>
      <c r="S1210" s="1007">
        <v>7.3374543745239196</v>
      </c>
      <c r="T1210" s="1007">
        <v>0.52349500000000004</v>
      </c>
      <c r="U1210" s="1007">
        <v>2.3089534952866653E-3</v>
      </c>
      <c r="V1210" s="1007">
        <v>2.5000000000000001E-2</v>
      </c>
      <c r="W1210" s="1007">
        <v>0.24775</v>
      </c>
      <c r="X1210" s="1103">
        <v>7.0318309372584213</v>
      </c>
      <c r="Y1210" s="1007">
        <v>10.17</v>
      </c>
      <c r="Z1210" s="1054">
        <v>0</v>
      </c>
      <c r="AA1210" s="1054">
        <v>0</v>
      </c>
      <c r="AB1210" s="1054">
        <v>0</v>
      </c>
      <c r="AC1210" s="1007">
        <v>0.19368704816974233</v>
      </c>
      <c r="AD1210" s="1007">
        <v>0.11343718055087541</v>
      </c>
      <c r="AE1210" s="1007">
        <v>0</v>
      </c>
      <c r="AF1210" s="1007">
        <v>14.318088501388939</v>
      </c>
      <c r="AG1210" s="1096">
        <f xml:space="preserve"> IF(C1210&lt; DATE(2024, 11, 1), S1210 * (2.31 / 100), S1210 * (2.925 / 100))+T1210*T$6+U1378*U$6+V1210*V$6+W1210*W$6+X1210*X$6+Y1210*Y$6+Z1210*Z$6+AA1210*AA$6+AB1210*AB$6+AC1210*AC$6+AD1210*AD$6+AE1210*AE$6+AF1210*AF$6</f>
        <v>7.1675358706616503</v>
      </c>
      <c r="AH1210" s="1097">
        <v>202607</v>
      </c>
      <c r="AI1210" s="1017"/>
      <c r="AJ1210" s="931" t="s">
        <v>2389</v>
      </c>
    </row>
    <row r="1211" spans="3:36" s="301" customFormat="1" ht="15.75" hidden="1">
      <c r="C1211" s="1032">
        <v>46219</v>
      </c>
      <c r="D1211" s="1100">
        <v>314185</v>
      </c>
      <c r="E1211" s="1006">
        <v>33767</v>
      </c>
      <c r="F1211" s="1004">
        <v>20396.39</v>
      </c>
      <c r="G1211" s="1100">
        <v>4953</v>
      </c>
      <c r="H1211" s="1100">
        <v>1869</v>
      </c>
      <c r="I1211" s="1100">
        <v>188560</v>
      </c>
      <c r="J1211" s="1100">
        <v>152475</v>
      </c>
      <c r="K1211" s="1100">
        <v>61053.4</v>
      </c>
      <c r="L1211" s="1100">
        <v>11362</v>
      </c>
      <c r="M1211" s="1100">
        <v>234876</v>
      </c>
      <c r="N1211" s="1100">
        <v>7184</v>
      </c>
      <c r="O1211" s="1100">
        <v>5724</v>
      </c>
      <c r="P1211" s="1004">
        <v>0</v>
      </c>
      <c r="Q1211" s="1094">
        <v>0</v>
      </c>
      <c r="R1211" s="1095">
        <f t="shared" ref="R1211" si="137" xml:space="preserve"> IF(C1211&lt; DATE(2024, 11, 1), D1211 * (2.31 / 100), D1211 * (2.925 / 100))+E1211*E$6+F1211*F$6+G1211*G$6+H1211*H$6+I1211*I$6+J1211*J$6+K1211*K$6+L1211*L$6+M1211*M$6+N1211*N$6+O1211*O$6+P1211*P$6+Q1211*Q$6</f>
        <v>144764.78675</v>
      </c>
      <c r="S1211" s="1015">
        <v>6.8124605334322572</v>
      </c>
      <c r="T1211" s="1015">
        <v>0.51226799999999995</v>
      </c>
      <c r="U1211" s="1015">
        <v>2.3089534952866653E-3</v>
      </c>
      <c r="V1211" s="1015">
        <v>2.5999999999999999E-2</v>
      </c>
      <c r="W1211" s="1015">
        <v>0.24775</v>
      </c>
      <c r="X1211" s="1103">
        <v>7.4546576921225434</v>
      </c>
      <c r="Y1211" s="1015">
        <v>10.119999999999999</v>
      </c>
      <c r="Z1211" s="1021">
        <v>0</v>
      </c>
      <c r="AA1211" s="1021">
        <v>0</v>
      </c>
      <c r="AB1211" s="1021">
        <v>0</v>
      </c>
      <c r="AC1211" s="1015">
        <v>0.19397021636882089</v>
      </c>
      <c r="AD1211" s="1015">
        <v>0.11728826805834398</v>
      </c>
      <c r="AE1211" s="1015">
        <v>0</v>
      </c>
      <c r="AF1211" s="1015">
        <v>13.642732346586548</v>
      </c>
      <c r="AG1211" s="1096">
        <f xml:space="preserve"> IF(C1211&lt; DATE(2024, 11, 1), S1211 * (2.31 / 100), S1211 * (2.925 / 100))+T1211*T$6+U1379*U$6+V1211*V$6+W1211*W$6+X1211*X$6+Y1211*Y$6+Z1211*Z$6+AA1211*AA$6+AB1211*AB$6+AC1211*AC$6+AD1211*AD$6+AE1211*AE$6+AF1211*AF$6</f>
        <v>7.1079748989710243</v>
      </c>
      <c r="AH1211" s="1097">
        <v>202607</v>
      </c>
      <c r="AI1211" s="1017"/>
      <c r="AJ1211" s="931" t="s">
        <v>2390</v>
      </c>
    </row>
    <row r="1212" spans="3:36" s="301" customFormat="1" ht="15.75">
      <c r="C1212" s="1032">
        <v>46220</v>
      </c>
      <c r="D1212" s="1024">
        <v>322832</v>
      </c>
      <c r="E1212" s="1003">
        <v>33912</v>
      </c>
      <c r="F1212" s="1001">
        <v>14655.46</v>
      </c>
      <c r="G1212" s="1024">
        <v>5020</v>
      </c>
      <c r="H1212" s="1024">
        <v>1832</v>
      </c>
      <c r="I1212" s="1024">
        <v>187566</v>
      </c>
      <c r="J1212" s="1024">
        <v>158410</v>
      </c>
      <c r="K1212" s="1024">
        <v>59281.81</v>
      </c>
      <c r="L1212" s="1024">
        <v>13307</v>
      </c>
      <c r="M1212" s="1024">
        <v>240193</v>
      </c>
      <c r="N1212" s="1024">
        <v>6919</v>
      </c>
      <c r="O1212" s="1024">
        <v>5734</v>
      </c>
      <c r="P1212" s="1001">
        <v>0</v>
      </c>
      <c r="Q1212" s="1094">
        <v>0</v>
      </c>
      <c r="R1212" s="1095">
        <f t="shared" ref="R1212" si="138" xml:space="preserve"> IF(C1212&lt; DATE(2024, 11, 1), D1212 * (2.31 / 100), D1212 * (2.925 / 100))+E1212*E$6+F1212*F$6+G1212*G$6+H1212*H$6+I1212*I$6+J1212*J$6+K1212*K$6+L1212*L$6+M1212*M$6+N1212*N$6+O1212*O$6+P1212*P$6+Q1212*Q$6</f>
        <v>142592.87424999999</v>
      </c>
      <c r="S1212" s="1007">
        <v>6.5930051791463589</v>
      </c>
      <c r="T1212" s="1007">
        <v>0.49749300000000002</v>
      </c>
      <c r="U1212" s="1007">
        <v>2.5632385380592215E-3</v>
      </c>
      <c r="V1212" s="1007">
        <v>2.7E-2</v>
      </c>
      <c r="W1212" s="1007">
        <v>0.23966999999999999</v>
      </c>
      <c r="X1212" s="1103">
        <v>7.5229999999999997</v>
      </c>
      <c r="Y1212" s="1007">
        <v>10.23</v>
      </c>
      <c r="Z1212" s="1021">
        <v>0</v>
      </c>
      <c r="AA1212" s="1021">
        <v>0</v>
      </c>
      <c r="AB1212" s="1021">
        <v>0</v>
      </c>
      <c r="AC1212" s="1007">
        <v>0.19227120717434948</v>
      </c>
      <c r="AD1212" s="1007">
        <v>0.11493797200599183</v>
      </c>
      <c r="AE1212" s="1007">
        <v>0</v>
      </c>
      <c r="AF1212" s="1007">
        <v>14.219800819488768</v>
      </c>
      <c r="AG1212" s="1096">
        <f xml:space="preserve"> IF(C1212&lt; DATE(2024, 11, 1), S1212 * (2.31 / 100), S1212 * (2.925 / 100))+T1212*T$6+U1380*U$6+V1212*V$6+W1212*W$6+X1212*X$6+Y1212*Y$6+Z1212*Z$6+AA1212*AA$6+AB1212*AB$6+AC1212*AC$6+AD1212*AD$6+AE1212*AE$6+AF1212*AF$6</f>
        <v>7.2292296723946965</v>
      </c>
      <c r="AH1212" s="1097">
        <v>202607</v>
      </c>
      <c r="AI1212" s="1017"/>
      <c r="AJ1212" s="931" t="s">
        <v>2391</v>
      </c>
    </row>
    <row r="1213" spans="3:36" s="301" customFormat="1" ht="15.75">
      <c r="C1213" s="1032">
        <v>46221</v>
      </c>
      <c r="D1213" s="1100">
        <v>331860</v>
      </c>
      <c r="E1213" s="1006">
        <v>33642</v>
      </c>
      <c r="F1213" s="1004">
        <v>21698.76</v>
      </c>
      <c r="G1213" s="1100">
        <v>5008</v>
      </c>
      <c r="H1213" s="1100">
        <v>1869</v>
      </c>
      <c r="I1213" s="1100">
        <v>187613</v>
      </c>
      <c r="J1213" s="1100">
        <v>157102</v>
      </c>
      <c r="K1213" s="1100">
        <v>56842.69</v>
      </c>
      <c r="L1213" s="1100">
        <v>13068</v>
      </c>
      <c r="M1213" s="1100">
        <v>200712</v>
      </c>
      <c r="N1213" s="1100">
        <v>7019</v>
      </c>
      <c r="O1213" s="1100">
        <v>5772</v>
      </c>
      <c r="P1213" s="1004">
        <v>0</v>
      </c>
      <c r="Q1213" s="1094">
        <v>0</v>
      </c>
      <c r="R1213" s="1095">
        <f t="shared" ref="R1213" si="139" xml:space="preserve"> IF(C1213&lt; DATE(2024, 11, 1), D1213 * (2.31 / 100), D1213 * (2.925 / 100))+E1213*E$6+F1213*F$6+G1213*G$6+H1213*H$6+I1213*I$6+J1213*J$6+K1213*K$6+L1213*L$6+M1213*M$6+N1213*N$6+O1213*O$6+P1213*P$6+Q1213*Q$6</f>
        <v>145194.19449999998</v>
      </c>
      <c r="S1213" s="1015">
        <v>6.5332566891407833</v>
      </c>
      <c r="T1213" s="1015">
        <v>0.488541</v>
      </c>
      <c r="U1213" s="1015">
        <v>3.5390361520839762E-3</v>
      </c>
      <c r="V1213" s="1015">
        <v>2.7E-2</v>
      </c>
      <c r="W1213" s="1015">
        <v>0.23926</v>
      </c>
      <c r="X1213" s="1103">
        <v>7.68</v>
      </c>
      <c r="Y1213" s="1015">
        <v>10.17</v>
      </c>
      <c r="Z1213" s="1021">
        <v>0</v>
      </c>
      <c r="AA1213" s="1021">
        <v>0</v>
      </c>
      <c r="AB1213" s="1021">
        <v>0</v>
      </c>
      <c r="AC1213" s="1015">
        <v>0.19057219797987807</v>
      </c>
      <c r="AD1213" s="1015">
        <v>0.11842094085465826</v>
      </c>
      <c r="AE1213" s="1015">
        <v>0</v>
      </c>
      <c r="AF1213" s="1015">
        <v>14.224303193854116</v>
      </c>
      <c r="AG1213" s="1096">
        <f xml:space="preserve"> IF(C1213&lt; DATE(2024, 11, 1), S1213 * (2.31 / 100), S1213 * (2.925 / 100))+T1213*T$6+U1381*U$6+V1213*V$6+W1213*W$6+X1213*X$6+Y1213*Y$6+Z1213*Z$6+AA1213*AA$6+AB1213*AB$6+AC1213*AC$6+AD1213*AD$6+AE1213*AE$6+AF1213*AF$6</f>
        <v>7.2424266892322171</v>
      </c>
      <c r="AH1213" s="1097">
        <v>202607</v>
      </c>
      <c r="AI1213" s="1017"/>
      <c r="AJ1213" s="931" t="s">
        <v>2392</v>
      </c>
    </row>
    <row r="1214" spans="3:36" s="301" customFormat="1" ht="15.75">
      <c r="C1214" s="1032">
        <v>46222</v>
      </c>
      <c r="D1214" s="1024">
        <v>318084</v>
      </c>
      <c r="E1214" s="1003">
        <v>33855</v>
      </c>
      <c r="F1214" s="1001">
        <v>21732.92</v>
      </c>
      <c r="G1214" s="1024">
        <v>5027</v>
      </c>
      <c r="H1214" s="1024">
        <v>1826</v>
      </c>
      <c r="I1214" s="1024">
        <v>188283</v>
      </c>
      <c r="J1214" s="1024">
        <v>159069</v>
      </c>
      <c r="K1214" s="1024">
        <v>55363.62</v>
      </c>
      <c r="L1214" s="1024">
        <v>12401</v>
      </c>
      <c r="M1214" s="1024">
        <v>115300</v>
      </c>
      <c r="N1214" s="1024">
        <v>6997</v>
      </c>
      <c r="O1214" s="1024">
        <v>5829</v>
      </c>
      <c r="P1214" s="1001">
        <v>0</v>
      </c>
      <c r="Q1214" s="1094">
        <v>0</v>
      </c>
      <c r="R1214" s="1095">
        <f t="shared" ref="R1214" si="140" xml:space="preserve"> IF(C1214&lt; DATE(2024, 11, 1), D1214 * (2.31 / 100), D1214 * (2.925 / 100))+E1214*E$6+F1214*F$6+G1214*G$6+H1214*H$6+I1214*I$6+J1214*J$6+K1214*K$6+L1214*L$6+M1214*M$6+N1214*N$6+O1214*O$6+P1214*P$6+Q1214*Q$6</f>
        <v>141557.80725000001</v>
      </c>
      <c r="S1214" s="1007">
        <v>6.4624646393711407</v>
      </c>
      <c r="T1214" s="1007">
        <v>0.49789899999999998</v>
      </c>
      <c r="U1214" s="1007">
        <v>3.6239866118075474E-3</v>
      </c>
      <c r="V1214" s="1007">
        <v>2.5999999999999999E-2</v>
      </c>
      <c r="W1214" s="1007">
        <v>0.20521</v>
      </c>
      <c r="X1214" s="1103">
        <v>7.6210000000000004</v>
      </c>
      <c r="Y1214" s="1007">
        <v>10.18</v>
      </c>
      <c r="Z1214" s="1021">
        <v>0</v>
      </c>
      <c r="AA1214" s="1021">
        <v>0</v>
      </c>
      <c r="AB1214" s="1021">
        <v>0</v>
      </c>
      <c r="AC1214" s="1007">
        <v>0.19170487077619233</v>
      </c>
      <c r="AD1214" s="1007">
        <v>0.10890648936561828</v>
      </c>
      <c r="AE1214" s="1007">
        <v>0</v>
      </c>
      <c r="AF1214" s="1007">
        <v>14.174522224456105</v>
      </c>
      <c r="AG1214" s="1096">
        <f xml:space="preserve"> IF(C1214&lt; DATE(2024, 11, 1), S1214 * (2.31 / 100), S1214 * (2.925 / 100))+T1214*T$6+U1382*U$6+V1214*V$6+W1214*W$6+X1214*X$6+Y1214*Y$6+Z1214*Z$6+AA1214*AA$6+AB1214*AB$6+AC1214*AC$6+AD1214*AD$6+AE1214*AE$6+AF1214*AF$6</f>
        <v>7.1869887303907731</v>
      </c>
      <c r="AH1214" s="1097">
        <v>202607</v>
      </c>
      <c r="AI1214" s="1017"/>
      <c r="AJ1214" s="931" t="s">
        <v>2392</v>
      </c>
    </row>
    <row r="1215" spans="3:36" s="301" customFormat="1" ht="15.75">
      <c r="C1215" s="1032">
        <v>46223</v>
      </c>
      <c r="D1215" s="1100">
        <v>319588</v>
      </c>
      <c r="E1215" s="1006">
        <v>33667</v>
      </c>
      <c r="F1215" s="1004">
        <v>21393.77</v>
      </c>
      <c r="G1215" s="1100">
        <v>5007</v>
      </c>
      <c r="H1215" s="1100">
        <v>1856</v>
      </c>
      <c r="I1215" s="1100">
        <v>184616</v>
      </c>
      <c r="J1215" s="1100">
        <v>155796</v>
      </c>
      <c r="K1215" s="1100">
        <v>58899.58</v>
      </c>
      <c r="L1215" s="1100">
        <v>8145</v>
      </c>
      <c r="M1215" s="1100">
        <v>78161</v>
      </c>
      <c r="N1215" s="1100">
        <v>6485</v>
      </c>
      <c r="O1215" s="1100">
        <v>5775</v>
      </c>
      <c r="P1215" s="1004">
        <v>0</v>
      </c>
      <c r="Q1215" s="1094">
        <v>0</v>
      </c>
      <c r="R1215" s="1095">
        <f t="shared" ref="R1215" si="141" xml:space="preserve"> IF(C1215&lt; DATE(2024, 11, 1), D1215 * (2.31 / 100), D1215 * (2.925 / 100))+E1215*E$6+F1215*F$6+G1215*G$6+H1215*H$6+I1215*I$6+J1215*J$6+K1215*K$6+L1215*L$6+M1215*M$6+N1215*N$6+O1215*O$6+P1215*P$6+Q1215*Q$6</f>
        <v>138043.00425</v>
      </c>
      <c r="S1215" s="1015">
        <v>6.6870170212404423</v>
      </c>
      <c r="T1215" s="1015">
        <v>0.46460699999999999</v>
      </c>
      <c r="U1215" s="1015">
        <v>3.7321568638555617E-3</v>
      </c>
      <c r="V1215" s="1015">
        <v>2.8000000000000001E-2</v>
      </c>
      <c r="W1215" s="1015">
        <v>0.23105000000000001</v>
      </c>
      <c r="X1215" s="1103">
        <v>8.0383806177031083</v>
      </c>
      <c r="Y1215" s="1015">
        <v>10.07</v>
      </c>
      <c r="Z1215" s="1021">
        <v>0</v>
      </c>
      <c r="AA1215" s="1021">
        <v>0</v>
      </c>
      <c r="AB1215" s="1021">
        <v>0</v>
      </c>
      <c r="AC1215" s="1015">
        <v>0.18943952518356377</v>
      </c>
      <c r="AD1215" s="1015">
        <v>0.11315401235179684</v>
      </c>
      <c r="AE1215" s="1015">
        <v>0</v>
      </c>
      <c r="AF1215" s="1015">
        <v>13.485828847477112</v>
      </c>
      <c r="AG1215" s="1096">
        <f xml:space="preserve"> IF(C1215&lt; DATE(2024, 11, 1), S1215 * (2.31 / 100), S1215 * (2.925 / 100))+T1215*T$6+U1383*U$6+V1215*V$6+W1215*W$6+X1215*X$6+Y1215*Y$6+Z1215*Z$6+AA1215*AA$6+AB1215*AB$6+AC1215*AC$6+AD1215*AD$6+AE1215*AE$6+AF1215*AF$6</f>
        <v>7.1506561181939245</v>
      </c>
      <c r="AH1215" s="1097">
        <v>202607</v>
      </c>
      <c r="AI1215" s="1017"/>
      <c r="AJ1215" s="1109" t="s">
        <v>2393</v>
      </c>
    </row>
    <row r="1216" spans="3:36" s="301" customFormat="1" ht="15.75">
      <c r="C1216" s="1032">
        <v>46224</v>
      </c>
      <c r="D1216" s="1024">
        <v>332827</v>
      </c>
      <c r="E1216" s="1003">
        <v>32906</v>
      </c>
      <c r="F1216" s="1001">
        <v>21725.51</v>
      </c>
      <c r="G1216" s="1024">
        <v>4809</v>
      </c>
      <c r="H1216" s="1024">
        <v>1859</v>
      </c>
      <c r="I1216" s="1024">
        <v>188496</v>
      </c>
      <c r="J1216" s="1024">
        <v>157185</v>
      </c>
      <c r="K1216" s="1024">
        <v>59932.45</v>
      </c>
      <c r="L1216" s="1024">
        <v>13577</v>
      </c>
      <c r="M1216" s="1024">
        <v>88699</v>
      </c>
      <c r="N1216" s="1024">
        <v>7020</v>
      </c>
      <c r="O1216" s="1024">
        <v>5754</v>
      </c>
      <c r="P1216" s="1001">
        <v>0</v>
      </c>
      <c r="Q1216" s="1094">
        <v>0</v>
      </c>
      <c r="R1216" s="1095">
        <f t="shared" ref="R1216" si="142" xml:space="preserve"> IF(C1216&lt; DATE(2024, 11, 1), D1216 * (2.31 / 100), D1216 * (2.925 / 100))+E1216*E$6+F1216*F$6+G1216*G$6+H1216*H$6+I1216*I$6+J1216*J$6+K1216*K$6+L1216*L$6+M1216*M$6+N1216*N$6+O1216*O$6+P1216*P$6+Q1216*Q$6</f>
        <v>141538.7905</v>
      </c>
      <c r="S1216" s="1007">
        <v>6.7025912721897623</v>
      </c>
      <c r="T1216" s="1007">
        <v>0.415937</v>
      </c>
      <c r="U1216" s="1007">
        <v>3.74829745120304E-3</v>
      </c>
      <c r="V1216" s="1007">
        <v>2.5000000000000001E-2</v>
      </c>
      <c r="W1216" s="1007">
        <v>0.22294</v>
      </c>
      <c r="X1216" s="1103">
        <v>7.8481199047422177</v>
      </c>
      <c r="Y1216" s="1007">
        <v>10.130000000000001</v>
      </c>
      <c r="Z1216" s="1021">
        <v>0</v>
      </c>
      <c r="AA1216" s="1021">
        <v>0</v>
      </c>
      <c r="AB1216" s="1021">
        <v>0</v>
      </c>
      <c r="AC1216" s="1007">
        <v>0.19057219797987807</v>
      </c>
      <c r="AD1216" s="1007">
        <v>0.16579498056050312</v>
      </c>
      <c r="AE1216" s="1007">
        <v>0</v>
      </c>
      <c r="AF1216" s="1007">
        <v>14.215581613322497</v>
      </c>
      <c r="AG1216" s="1096">
        <f xml:space="preserve"> IF(C1216&lt; DATE(2024, 11, 1), S1216 * (2.31 / 100), S1216 * (2.925 / 100))+T1216*T$6+U1384*U$6+V1216*V$6+W1216*W$6+X1216*X$6+Y1216*Y$6+Z1216*Z$6+AA1216*AA$6+AB1216*AB$6+AC1216*AC$6+AD1216*AD$6+AE1216*AE$6+AF1216*AF$6</f>
        <v>7.2511475739268079</v>
      </c>
      <c r="AH1216" s="1097">
        <v>202607</v>
      </c>
      <c r="AI1216" s="1017"/>
      <c r="AJ1216" s="931" t="s">
        <v>2394</v>
      </c>
    </row>
    <row r="1217" spans="3:36" s="301" customFormat="1" ht="15.75">
      <c r="C1217" s="1032">
        <v>46225</v>
      </c>
      <c r="D1217" s="1100">
        <v>313141</v>
      </c>
      <c r="E1217" s="1006">
        <v>32390</v>
      </c>
      <c r="F1217" s="1004">
        <v>21713.84</v>
      </c>
      <c r="G1217" s="1100">
        <v>4849</v>
      </c>
      <c r="H1217" s="1100">
        <v>1876</v>
      </c>
      <c r="I1217" s="1100">
        <v>182179</v>
      </c>
      <c r="J1217" s="1100">
        <v>156337</v>
      </c>
      <c r="K1217" s="1100">
        <v>58668.43</v>
      </c>
      <c r="L1217" s="1100">
        <v>10800</v>
      </c>
      <c r="M1217" s="1100">
        <v>204177</v>
      </c>
      <c r="N1217" s="1100">
        <v>7076</v>
      </c>
      <c r="O1217" s="1100">
        <v>5798</v>
      </c>
      <c r="P1217" s="1004">
        <v>0</v>
      </c>
      <c r="Q1217" s="1094">
        <v>0</v>
      </c>
      <c r="R1217" s="1095">
        <f t="shared" ref="R1217" si="143" xml:space="preserve"> IF(C1217&lt; DATE(2024, 11, 1), D1217 * (2.31 / 100), D1217 * (2.925 / 100))+E1217*E$6+F1217*F$6+G1217*G$6+H1217*H$6+I1217*I$6+J1217*J$6+K1217*K$6+L1217*L$6+M1217*M$6+N1217*N$6+O1217*O$6+P1217*P$6+Q1217*Q$6</f>
        <v>143025.52974999996</v>
      </c>
      <c r="S1217" s="1015">
        <v>6.6666289109067849</v>
      </c>
      <c r="T1217" s="1015">
        <v>0.47985699999999998</v>
      </c>
      <c r="U1217" s="1015">
        <v>3.7126182581191402E-3</v>
      </c>
      <c r="V1217" s="1015">
        <v>2.7E-2</v>
      </c>
      <c r="W1217" s="1015">
        <v>0.21528</v>
      </c>
      <c r="X1217" s="1103">
        <v>7.8963151322253902</v>
      </c>
      <c r="Y1217" s="1015">
        <v>10.1</v>
      </c>
      <c r="Z1217" s="1015">
        <v>0</v>
      </c>
      <c r="AA1217" s="1015">
        <v>0</v>
      </c>
      <c r="AB1217" s="1015">
        <v>0</v>
      </c>
      <c r="AC1217" s="1015">
        <v>0.1735821060351638</v>
      </c>
      <c r="AD1217" s="1015">
        <v>0.1665312178781074</v>
      </c>
      <c r="AE1217" s="1015">
        <v>0</v>
      </c>
      <c r="AF1217" s="1015">
        <v>14.196156274865707</v>
      </c>
      <c r="AG1217" s="1096">
        <f xml:space="preserve"> IF(C1217&lt; DATE(2024, 11, 1), S1217 * (2.31 / 100), S1217 * (2.925 / 100))+T1217*T$6+U1385*U$6+V1217*V$6+W1217*W$6+X1217*X$6+Y1217*Y$6+Z1217*Z$6+AA1217*AA$6+AB1217*AB$6+AC1217*AC$6+AD1217*AD$6+AE1217*AE$6+AF1217*AF$6</f>
        <v>7.2576563976313828</v>
      </c>
      <c r="AH1217" s="1097">
        <v>202607</v>
      </c>
      <c r="AI1217" s="1017"/>
      <c r="AJ1217" s="931" t="s">
        <v>2395</v>
      </c>
    </row>
    <row r="1218" spans="3:36" s="301" customFormat="1" ht="15.75">
      <c r="C1218" s="1032">
        <v>46226</v>
      </c>
      <c r="D1218" s="1024">
        <v>311511</v>
      </c>
      <c r="E1218" s="1003">
        <v>33686</v>
      </c>
      <c r="F1218" s="1001">
        <v>21754.76</v>
      </c>
      <c r="G1218" s="1024">
        <v>4801</v>
      </c>
      <c r="H1218" s="1024">
        <v>1858</v>
      </c>
      <c r="I1218" s="1024">
        <v>190736</v>
      </c>
      <c r="J1218" s="1024">
        <v>157066</v>
      </c>
      <c r="K1218" s="1024">
        <v>60256.5</v>
      </c>
      <c r="L1218" s="1024">
        <v>12490</v>
      </c>
      <c r="M1218" s="1024">
        <v>257128</v>
      </c>
      <c r="N1218" s="1024">
        <v>6841</v>
      </c>
      <c r="O1218" s="1024">
        <v>5790</v>
      </c>
      <c r="P1218" s="1001">
        <v>0</v>
      </c>
      <c r="Q1218" s="1094">
        <v>0</v>
      </c>
      <c r="R1218" s="1095">
        <f t="shared" ref="R1218" si="144" xml:space="preserve"> IF(C1218&lt; DATE(2024, 11, 1), D1218 * (2.31 / 100), D1218 * (2.925 / 100))+E1218*E$6+F1218*F$6+G1218*G$6+H1218*H$6+I1218*I$6+J1218*J$6+K1218*K$6+L1218*L$6+M1218*M$6+N1218*N$6+O1218*O$6+P1218*P$6+Q1218*Q$6</f>
        <v>148109.07625000001</v>
      </c>
      <c r="S1218" s="1007">
        <v>6.7750823311538815</v>
      </c>
      <c r="T1218" s="1007">
        <v>0.50502199999999997</v>
      </c>
      <c r="U1218" s="1007">
        <v>3.3674362234423624E-3</v>
      </c>
      <c r="V1218" s="1007">
        <v>2.5999999999999999E-2</v>
      </c>
      <c r="W1218" s="1007">
        <v>0.22365000000000002</v>
      </c>
      <c r="X1218" s="1103">
        <v>7.5750000000000002</v>
      </c>
      <c r="Y1218" s="1007">
        <v>10.039999999999999</v>
      </c>
      <c r="Z1218" s="1021">
        <v>0</v>
      </c>
      <c r="AA1218" s="1007">
        <v>0</v>
      </c>
      <c r="AB1218" s="1007">
        <v>0</v>
      </c>
      <c r="AC1218" s="1007">
        <v>0.18745734779001377</v>
      </c>
      <c r="AD1218" s="1007">
        <v>8.7187488496291918E-2</v>
      </c>
      <c r="AE1218" s="1007">
        <v>0</v>
      </c>
      <c r="AF1218" s="1007">
        <v>14.262899019388525</v>
      </c>
      <c r="AG1218" s="1096">
        <f xml:space="preserve"> IF(C1218&lt; DATE(2024, 11, 1), S1218 * (2.31 / 100), S1218 * (2.925 / 100))+T1218*T$6+U1386*U$6+V1218*V$6+W1218*W$6+X1218*X$6+Y1218*Y$6+Z1218*Z$6+AA1218*AA$6+AB1218*AB$6+AC1218*AC$6+AD1218*AD$6+AE1218*AE$6+AF1218*AF$6</f>
        <v>7.1767652351377196</v>
      </c>
      <c r="AH1218" s="1097">
        <v>202607</v>
      </c>
      <c r="AI1218" s="1017"/>
      <c r="AJ1218" s="931" t="s">
        <v>2396</v>
      </c>
    </row>
    <row r="1219" spans="3:36" s="301" customFormat="1" ht="15.75">
      <c r="C1219" s="1032">
        <v>46227</v>
      </c>
      <c r="D1219" s="1100">
        <v>330600</v>
      </c>
      <c r="E1219" s="1006">
        <v>34868</v>
      </c>
      <c r="F1219" s="1004">
        <v>21713.599999999999</v>
      </c>
      <c r="G1219" s="1100">
        <v>4652</v>
      </c>
      <c r="H1219" s="1100">
        <v>1921</v>
      </c>
      <c r="I1219" s="1100">
        <v>188840</v>
      </c>
      <c r="J1219" s="1100">
        <v>155325</v>
      </c>
      <c r="K1219" s="1100">
        <v>57973.78</v>
      </c>
      <c r="L1219" s="1100">
        <v>11368</v>
      </c>
      <c r="M1219" s="1100">
        <v>346549</v>
      </c>
      <c r="N1219" s="1100">
        <v>6852</v>
      </c>
      <c r="O1219" s="1100">
        <v>5799</v>
      </c>
      <c r="P1219" s="1004">
        <v>0</v>
      </c>
      <c r="Q1219" s="1094">
        <v>0</v>
      </c>
      <c r="R1219" s="1095">
        <f t="shared" ref="R1219" si="145" xml:space="preserve"> IF(C1219&lt; DATE(2024, 11, 1), D1219 * (2.31 / 100), D1219 * (2.925 / 100))+E1219*E$6+F1219*F$6+G1219*G$6+H1219*H$6+I1219*I$6+J1219*J$6+K1219*K$6+L1219*L$6+M1219*M$6+N1219*N$6+O1219*O$6+P1219*P$6+Q1219*Q$6</f>
        <v>150854.685</v>
      </c>
      <c r="S1219" s="1015">
        <v>6.8529535859004884</v>
      </c>
      <c r="T1219" s="1015">
        <v>0.49413600000000002</v>
      </c>
      <c r="U1219" s="1015">
        <v>3.6132262202425614E-3</v>
      </c>
      <c r="V1219" s="1015">
        <v>2.7E-2</v>
      </c>
      <c r="W1219" s="1015">
        <v>0.24700999999999998</v>
      </c>
      <c r="X1219" s="1103">
        <v>7.266</v>
      </c>
      <c r="Y1219" s="1015">
        <v>10.220000000000001</v>
      </c>
      <c r="Z1219" s="1015">
        <v>0</v>
      </c>
      <c r="AA1219" s="1015">
        <v>0</v>
      </c>
      <c r="AB1219" s="1015">
        <v>0</v>
      </c>
      <c r="AC1219" s="1015">
        <v>0.19113853437803519</v>
      </c>
      <c r="AD1219" s="1015">
        <v>8.8971448150486895E-2</v>
      </c>
      <c r="AE1219" s="1015">
        <v>0</v>
      </c>
      <c r="AF1219" s="1015">
        <v>14.172851532081539</v>
      </c>
      <c r="AG1219" s="1096">
        <f xml:space="preserve"> IF(C1219&lt; DATE(2024, 11, 1), S1219 * (2.31 / 100), S1219 * (2.925 / 100))+T1219*T$6+U1387*U$6+V1219*V$6+W1219*W$6+X1219*X$6+Y1219*Y$6+Z1219*Z$6+AA1219*AA$6+AB1219*AB$6+AC1219*AC$6+AD1219*AD$6+AE1219*AE$6+AF1219*AF$6</f>
        <v>7.1707741908832299</v>
      </c>
      <c r="AH1219" s="1097">
        <v>202607</v>
      </c>
      <c r="AI1219" s="1017"/>
      <c r="AJ1219" s="1109" t="s">
        <v>2397</v>
      </c>
    </row>
    <row r="1220" spans="3:36" s="301" customFormat="1" ht="15.75">
      <c r="C1220" s="1032">
        <v>46228</v>
      </c>
      <c r="D1220" s="1024">
        <v>312442</v>
      </c>
      <c r="E1220" s="1003">
        <v>34899</v>
      </c>
      <c r="F1220" s="1001">
        <v>21657.040000000001</v>
      </c>
      <c r="G1220" s="1024">
        <v>4728</v>
      </c>
      <c r="H1220" s="1024">
        <v>1889</v>
      </c>
      <c r="I1220" s="1024">
        <v>175767</v>
      </c>
      <c r="J1220" s="1024">
        <v>154090</v>
      </c>
      <c r="K1220" s="1024">
        <v>57516.9</v>
      </c>
      <c r="L1220" s="1024">
        <v>12312</v>
      </c>
      <c r="M1220" s="1024">
        <v>365972</v>
      </c>
      <c r="N1220" s="1024">
        <v>6916</v>
      </c>
      <c r="O1220" s="1024">
        <v>5804</v>
      </c>
      <c r="P1220" s="1001">
        <v>0</v>
      </c>
      <c r="Q1220" s="1094">
        <v>0</v>
      </c>
      <c r="R1220" s="1095">
        <f t="shared" ref="R1220" si="146" xml:space="preserve"> IF(C1220&lt; DATE(2024, 11, 1), D1220 * (2.31 / 100), D1220 * (2.925 / 100))+E1220*E$6+F1220*F$6+G1220*G$6+H1220*H$6+I1220*I$6+J1220*J$6+K1220*K$6+L1220*L$6+M1220*M$6+N1220*N$6+O1220*O$6+P1220*P$6+Q1220*Q$6</f>
        <v>148262.12150000001</v>
      </c>
      <c r="S1220" s="1007">
        <v>6.7889575729087319</v>
      </c>
      <c r="T1220" s="1007">
        <v>0.51140099999999999</v>
      </c>
      <c r="U1220" s="1007">
        <v>3.6741073830444545E-3</v>
      </c>
      <c r="V1220" s="1007">
        <v>2.5000000000000001E-2</v>
      </c>
      <c r="W1220" s="1007">
        <v>0.24450999999999998</v>
      </c>
      <c r="X1220" s="1103">
        <v>7.4009999999999998</v>
      </c>
      <c r="Y1220" s="1007">
        <v>10.1</v>
      </c>
      <c r="Z1220" s="1007">
        <v>0</v>
      </c>
      <c r="AA1220" s="1007">
        <v>0</v>
      </c>
      <c r="AB1220" s="1007">
        <v>0</v>
      </c>
      <c r="AC1220" s="1007">
        <v>0.18887318878540663</v>
      </c>
      <c r="AD1220" s="1007">
        <v>9.0585506885234757E-2</v>
      </c>
      <c r="AE1220" s="1007">
        <v>0</v>
      </c>
      <c r="AF1220" s="1007">
        <v>14.227219826304626</v>
      </c>
      <c r="AG1220" s="1096">
        <f xml:space="preserve"> IF(C1220&lt; DATE(2024, 11, 1), S1220 * (2.31 / 100), S1220 * (2.925 / 100))+T1220*T$6+U1388*U$6+V1220*V$6+W1220*W$6+X1220*X$6+Y1220*Y$6+Z1220*Z$6+AA1220*AA$6+AB1220*AB$6+AC1220*AC$6+AD1220*AD$6+AE1220*AE$6+AF1220*AF$6</f>
        <v>7.1755029029998552</v>
      </c>
      <c r="AH1220" s="1097">
        <v>202607</v>
      </c>
      <c r="AI1220" s="1017"/>
      <c r="AJ1220" s="1109" t="s">
        <v>2397</v>
      </c>
    </row>
    <row r="1221" spans="3:36" s="301" customFormat="1" ht="15.75">
      <c r="C1221" s="1032">
        <v>46229</v>
      </c>
      <c r="D1221" s="1100">
        <v>315727</v>
      </c>
      <c r="E1221" s="1006">
        <v>35428</v>
      </c>
      <c r="F1221" s="1004">
        <v>21675.98</v>
      </c>
      <c r="G1221" s="1100">
        <v>4836</v>
      </c>
      <c r="H1221" s="1100">
        <v>1923</v>
      </c>
      <c r="I1221" s="1100">
        <v>184915</v>
      </c>
      <c r="J1221" s="1100">
        <v>151836</v>
      </c>
      <c r="K1221" s="1100">
        <v>56739.88</v>
      </c>
      <c r="L1221" s="1100">
        <v>12467</v>
      </c>
      <c r="M1221" s="1100">
        <v>336113</v>
      </c>
      <c r="N1221" s="1100">
        <v>6908</v>
      </c>
      <c r="O1221" s="1100">
        <v>5724</v>
      </c>
      <c r="P1221" s="1004">
        <v>0</v>
      </c>
      <c r="Q1221" s="1094">
        <v>0</v>
      </c>
      <c r="R1221" s="1095">
        <f t="shared" ref="R1221" si="147" xml:space="preserve"> IF(C1221&lt; DATE(2024, 11, 1), D1221 * (2.31 / 100), D1221 * (2.925 / 100))+E1221*E$6+F1221*F$6+G1221*G$6+H1221*H$6+I1221*I$6+J1221*J$6+K1221*K$6+L1221*L$6+M1221*M$6+N1221*N$6+O1221*O$6+P1221*P$6+Q1221*Q$6</f>
        <v>148461.75450000001</v>
      </c>
      <c r="S1221" s="1015">
        <v>7.0197396551577693</v>
      </c>
      <c r="T1221" s="1015">
        <v>0.52302300000000002</v>
      </c>
      <c r="U1221" s="1015">
        <v>3.5254440785282047E-3</v>
      </c>
      <c r="V1221" s="1015">
        <v>2.5999999999999999E-2</v>
      </c>
      <c r="W1221" s="1015">
        <v>0.24342</v>
      </c>
      <c r="X1221" s="1103">
        <v>7.5940000000000003</v>
      </c>
      <c r="Y1221" s="1015">
        <v>9.98</v>
      </c>
      <c r="Z1221" s="1021">
        <v>0</v>
      </c>
      <c r="AA1221" s="1021">
        <v>0</v>
      </c>
      <c r="AB1221" s="1021">
        <v>0</v>
      </c>
      <c r="AC1221" s="1015">
        <v>0.1987840757531566</v>
      </c>
      <c r="AD1221" s="1015">
        <v>9.1661546041733322E-2</v>
      </c>
      <c r="AE1221" s="1015">
        <v>0</v>
      </c>
      <c r="AF1221" s="1015">
        <v>14.146573523207049</v>
      </c>
      <c r="AG1221" s="1096">
        <f xml:space="preserve"> IF(C1221&lt; DATE(2024, 11, 1), S1221 * (2.31 / 100), S1221 * (2.925 / 100))+T1221*T$6+U1389*U$6+V1221*V$6+W1221*W$6+X1221*X$6+Y1221*Y$6+Z1221*Z$6+AA1221*AA$6+AB1221*AB$6+AC1221*AC$6+AD1221*AD$6+AE1221*AE$6+AF1221*AF$6</f>
        <v>7.1800119606081036</v>
      </c>
      <c r="AH1221" s="1097">
        <v>202607</v>
      </c>
      <c r="AI1221" s="1017"/>
      <c r="AJ1221" s="1109" t="s">
        <v>2398</v>
      </c>
    </row>
    <row r="1222" spans="3:36" s="301" customFormat="1" ht="15.75">
      <c r="C1222" s="1032">
        <v>46230</v>
      </c>
      <c r="D1222" s="1024">
        <v>332365</v>
      </c>
      <c r="E1222" s="1003">
        <v>35434</v>
      </c>
      <c r="F1222" s="1001">
        <v>21692.75</v>
      </c>
      <c r="G1222" s="1024">
        <v>4757</v>
      </c>
      <c r="H1222" s="1024">
        <v>1846</v>
      </c>
      <c r="I1222" s="1024">
        <v>184805</v>
      </c>
      <c r="J1222" s="1024">
        <v>154953</v>
      </c>
      <c r="K1222" s="1024">
        <v>50997.08</v>
      </c>
      <c r="L1222" s="1024">
        <v>11527</v>
      </c>
      <c r="M1222" s="1024">
        <v>310908</v>
      </c>
      <c r="N1222" s="1024">
        <v>6953</v>
      </c>
      <c r="O1222" s="1024">
        <v>5818</v>
      </c>
      <c r="P1222" s="1001">
        <v>0</v>
      </c>
      <c r="Q1222" s="1094">
        <v>0</v>
      </c>
      <c r="R1222" s="1095">
        <f t="shared" ref="R1222" si="148" xml:space="preserve"> IF(C1222&lt; DATE(2024, 11, 1), D1222 * (2.31 / 100), D1222 * (2.925 / 100))+E1222*E$6+F1222*F$6+G1222*G$6+H1222*H$6+I1222*I$6+J1222*J$6+K1222*K$6+L1222*L$6+M1222*M$6+N1222*N$6+O1222*O$6+P1222*P$6+Q1222*Q$6</f>
        <v>147005.57</v>
      </c>
      <c r="S1222" s="1007">
        <v>6.4904982910799127</v>
      </c>
      <c r="T1222" s="1007">
        <v>0.52405500000000005</v>
      </c>
      <c r="U1222" s="1007">
        <v>3.6910391423401584E-3</v>
      </c>
      <c r="V1222" s="1007">
        <v>2.8000000000000001E-2</v>
      </c>
      <c r="W1222" s="1007">
        <v>0.23063999999999998</v>
      </c>
      <c r="X1222" s="1103">
        <v>7.5389999999999997</v>
      </c>
      <c r="Y1222" s="1007">
        <v>10.029999999999999</v>
      </c>
      <c r="Z1222" s="1021">
        <v>0</v>
      </c>
      <c r="AA1222" s="1021">
        <v>0</v>
      </c>
      <c r="AB1222" s="1021">
        <v>0</v>
      </c>
      <c r="AC1222" s="1007">
        <v>0.20019991674854948</v>
      </c>
      <c r="AD1222" s="1007">
        <v>8.1297589955457633E-2</v>
      </c>
      <c r="AE1222" s="1007">
        <v>0</v>
      </c>
      <c r="AF1222" s="1007">
        <v>14.154275698221985</v>
      </c>
      <c r="AG1222" s="1096">
        <f xml:space="preserve"> IF(C1222&lt; DATE(2024, 11, 1), S1222 * (2.31 / 100), S1222 * (2.925 / 100))+T1222*T$6+U1390*U$6+V1222*V$6+W1222*W$6+X1222*X$6+Y1222*Y$6+Z1222*Z$6+AA1222*AA$6+AB1222*AB$6+AC1222*AC$6+AD1222*AD$6+AE1222*AE$6+AF1222*AF$6</f>
        <v>7.1523498205363492</v>
      </c>
      <c r="AH1222" s="1097">
        <v>202607</v>
      </c>
      <c r="AI1222" s="1017"/>
      <c r="AJ1222" s="1109" t="s">
        <v>2400</v>
      </c>
    </row>
    <row r="1223" spans="3:36" s="301" customFormat="1" ht="15.75">
      <c r="C1223" s="1032">
        <v>46231</v>
      </c>
      <c r="D1223" s="1100">
        <v>331748</v>
      </c>
      <c r="E1223" s="1006">
        <v>35472</v>
      </c>
      <c r="F1223" s="1004">
        <v>21683.88</v>
      </c>
      <c r="G1223" s="1100">
        <v>4677</v>
      </c>
      <c r="H1223" s="1100">
        <v>1853</v>
      </c>
      <c r="I1223" s="1100">
        <v>181401</v>
      </c>
      <c r="J1223" s="1100">
        <v>156296</v>
      </c>
      <c r="K1223" s="1100">
        <v>54085.74</v>
      </c>
      <c r="L1223" s="1100">
        <v>11628</v>
      </c>
      <c r="M1223" s="1100">
        <v>322991</v>
      </c>
      <c r="N1223" s="1100">
        <v>7016</v>
      </c>
      <c r="O1223" s="1100">
        <v>5713</v>
      </c>
      <c r="P1223" s="1004">
        <v>0</v>
      </c>
      <c r="Q1223" s="1094">
        <v>0</v>
      </c>
      <c r="R1223" s="1095">
        <f t="shared" ref="R1223" si="149" xml:space="preserve"> IF(C1223&lt; DATE(2024, 11, 1), D1223 * (2.31 / 100), D1223 * (2.925 / 100))+E1223*E$6+F1223*F$6+G1223*G$6+H1223*H$6+I1223*I$6+J1223*J$6+K1223*K$6+L1223*L$6+M1223*M$6+N1223*N$6+O1223*O$6+P1223*P$6+Q1223*Q$6</f>
        <v>147871.73500000004</v>
      </c>
      <c r="S1223" s="1015">
        <v>6.8008506372700337</v>
      </c>
      <c r="T1223" s="1015">
        <v>0.52233700000000005</v>
      </c>
      <c r="U1223" s="1015">
        <v>3.9759646832622109E-3</v>
      </c>
      <c r="V1223" s="1015">
        <v>2.5000000000000001E-2</v>
      </c>
      <c r="W1223" s="1015">
        <v>0.22293000000000002</v>
      </c>
      <c r="X1223" s="1103">
        <v>7.4873919359360261</v>
      </c>
      <c r="Y1223" s="1015">
        <v>10.02</v>
      </c>
      <c r="Z1223" s="1021">
        <v>0</v>
      </c>
      <c r="AA1223" s="1021">
        <v>0</v>
      </c>
      <c r="AB1223" s="1021">
        <v>0</v>
      </c>
      <c r="AC1223" s="1015">
        <v>0.19708506655868518</v>
      </c>
      <c r="AD1223" s="1015">
        <v>6.7818783679317679E-2</v>
      </c>
      <c r="AE1223" s="1015">
        <v>0</v>
      </c>
      <c r="AF1223" s="1015">
        <v>14.200290530572254</v>
      </c>
      <c r="AG1223" s="1096">
        <f xml:space="preserve"> IF(C1223&lt; DATE(2024, 11, 1), S1223 * (2.31 / 100), S1223 * (2.925 / 100))+T1223*T$6+U1391*U$6+V1223*V$6+W1223*W$6+X1223*X$6+Y1223*Y$6+Z1223*Z$6+AA1223*AA$6+AB1223*AB$6+AC1223*AC$6+AD1223*AD$6+AE1223*AE$6+AF1223*AF$6</f>
        <v>7.1409205193178202</v>
      </c>
      <c r="AH1223" s="1097">
        <v>202607</v>
      </c>
      <c r="AI1223" s="1017"/>
      <c r="AJ1223" s="1109" t="s">
        <v>2399</v>
      </c>
    </row>
    <row r="1224" spans="3:36" s="301" customFormat="1" ht="15.75">
      <c r="C1224" s="1032">
        <v>46232</v>
      </c>
      <c r="D1224" s="1024">
        <v>312129</v>
      </c>
      <c r="E1224" s="1003">
        <v>35465</v>
      </c>
      <c r="F1224" s="1001">
        <v>21663.47</v>
      </c>
      <c r="G1224" s="1024">
        <v>4603</v>
      </c>
      <c r="H1224" s="1024">
        <v>1853</v>
      </c>
      <c r="I1224" s="1024">
        <v>183998</v>
      </c>
      <c r="J1224" s="1024">
        <v>157869</v>
      </c>
      <c r="K1224" s="1024">
        <v>56395.81</v>
      </c>
      <c r="L1224" s="1024">
        <v>11632</v>
      </c>
      <c r="M1224" s="1024">
        <v>386501</v>
      </c>
      <c r="N1224" s="1024">
        <v>6997</v>
      </c>
      <c r="O1224" s="1024">
        <v>5814</v>
      </c>
      <c r="P1224" s="1001">
        <v>0</v>
      </c>
      <c r="Q1224" s="1094">
        <v>0</v>
      </c>
      <c r="R1224" s="1095">
        <f t="shared" ref="R1224" si="150" xml:space="preserve"> IF(C1224&lt; DATE(2024, 11, 1), D1224 * (2.31 / 100), D1224 * (2.925 / 100))+E1224*E$6+F1224*F$6+G1224*G$6+H1224*H$6+I1224*I$6+J1224*J$6+K1224*K$6+L1224*L$6+M1224*M$6+N1224*N$6+O1224*O$6+P1224*P$6+Q1224*Q$6</f>
        <v>151330.27475000001</v>
      </c>
      <c r="S1224" s="1007">
        <v>6.8540862586968014</v>
      </c>
      <c r="T1224" s="1007">
        <v>0.51825500000000002</v>
      </c>
      <c r="U1224" s="1007">
        <v>3.5209133873429477E-3</v>
      </c>
      <c r="V1224" s="1007">
        <v>2.7E-2</v>
      </c>
      <c r="W1224" s="1007">
        <v>0.24662000000000001</v>
      </c>
      <c r="X1224" s="1103">
        <v>7.4523923465299147</v>
      </c>
      <c r="Y1224" s="1007">
        <v>10.1</v>
      </c>
      <c r="Z1224" s="1021">
        <v>0</v>
      </c>
      <c r="AA1224" s="1021">
        <v>0</v>
      </c>
      <c r="AB1224" s="1021">
        <v>0</v>
      </c>
      <c r="AC1224" s="1007">
        <v>0.19425338456789948</v>
      </c>
      <c r="AD1224" s="1007">
        <v>7.3906899959506944E-2</v>
      </c>
      <c r="AE1224" s="1007">
        <v>0</v>
      </c>
      <c r="AF1224" s="1007">
        <v>14.125250957816434</v>
      </c>
      <c r="AG1224" s="1096">
        <f xml:space="preserve"> IF(C1224&lt; DATE(2024, 11, 1), S1224 * (2.31 / 100), S1224 * (2.925 / 100))+T1224*T$6+U1392*U$6+V1224*V$6+W1224*W$6+X1224*X$6+Y1224*Y$6+Z1224*Z$6+AA1224*AA$6+AB1224*AB$6+AC1224*AC$6+AD1224*AD$6+AE1224*AE$6+AF1224*AF$6</f>
        <v>7.16923263748793</v>
      </c>
      <c r="AH1224" s="1097">
        <v>202607</v>
      </c>
      <c r="AI1224" s="1017"/>
      <c r="AJ1224" s="1109" t="s">
        <v>2401</v>
      </c>
    </row>
    <row r="1225" spans="3:36" s="301" customFormat="1" ht="15.75">
      <c r="C1225" s="1032">
        <v>46233</v>
      </c>
      <c r="D1225" s="1100">
        <v>329502</v>
      </c>
      <c r="E1225" s="1006">
        <v>35509</v>
      </c>
      <c r="F1225" s="1004">
        <v>21108.81</v>
      </c>
      <c r="G1225" s="1100">
        <v>4677</v>
      </c>
      <c r="H1225" s="1100">
        <v>1901</v>
      </c>
      <c r="I1225" s="1100">
        <v>186596</v>
      </c>
      <c r="J1225" s="1100">
        <v>157557</v>
      </c>
      <c r="K1225" s="1100">
        <v>58100.24</v>
      </c>
      <c r="L1225" s="1100">
        <v>13191</v>
      </c>
      <c r="M1225" s="1100">
        <v>412245</v>
      </c>
      <c r="N1225" s="1100">
        <v>6894</v>
      </c>
      <c r="O1225" s="1100">
        <v>5796</v>
      </c>
      <c r="P1225" s="1004">
        <v>0</v>
      </c>
      <c r="Q1225" s="1094">
        <v>0</v>
      </c>
      <c r="R1225" s="1095">
        <f t="shared" ref="R1225" si="151" xml:space="preserve"> IF(C1225&lt; DATE(2024, 11, 1), D1225 * (2.31 / 100), D1225 * (2.925 / 100))+E1225*E$6+F1225*F$6+G1225*G$6+H1225*H$6+I1225*I$6+J1225*J$6+K1225*K$6+L1225*L$6+M1225*M$6+N1225*N$6+O1225*O$6+P1225*P$6+Q1225*Q$6</f>
        <v>153798.97924999997</v>
      </c>
      <c r="S1225" s="1015">
        <v>6.3661874516844241</v>
      </c>
      <c r="T1225" s="1015">
        <v>0.52539999999999998</v>
      </c>
      <c r="U1225" s="1015">
        <v>2.6954780870289139E-3</v>
      </c>
      <c r="V1225" s="1015">
        <v>2.1999999999999999E-2</v>
      </c>
      <c r="W1225" s="1015">
        <v>0.243809</v>
      </c>
      <c r="X1225" s="1103">
        <v>7.4748475847168452</v>
      </c>
      <c r="Y1225" s="1015">
        <v>10.06</v>
      </c>
      <c r="Z1225" s="1021">
        <v>0</v>
      </c>
      <c r="AA1225" s="1015">
        <v>0</v>
      </c>
      <c r="AB1225" s="1015">
        <v>0</v>
      </c>
      <c r="AC1225" s="1015">
        <v>0.19510288916513518</v>
      </c>
      <c r="AD1225" s="1015">
        <v>7.4048484059046238E-2</v>
      </c>
      <c r="AE1225" s="1015">
        <v>0</v>
      </c>
      <c r="AF1225" s="1015">
        <v>14.12462798777846</v>
      </c>
      <c r="AG1225" s="1096">
        <f xml:space="preserve"> IF(C1225&lt; DATE(2024, 11, 1), S1225 * (2.31 / 100), S1225 * (2.925 / 100))+T1225*T$6+U1393*U$6+V1225*V$6+W1225*W$6+X1225*X$6+Y1225*Y$6+Z1225*Z$6+AA1225*AA$6+AB1225*AB$6+AC1225*AC$6+AD1225*AD$6+AE1225*AE$6+AF1225*AF$6</f>
        <v>7.1457149692592603</v>
      </c>
      <c r="AH1225" s="1097">
        <v>202607</v>
      </c>
      <c r="AI1225" s="1017"/>
      <c r="AJ1225" s="1109" t="s">
        <v>2402</v>
      </c>
    </row>
    <row r="1226" spans="3:36" s="301" customFormat="1" ht="15.75">
      <c r="C1226" s="1032">
        <v>46234</v>
      </c>
      <c r="D1226" s="1024">
        <v>317358</v>
      </c>
      <c r="E1226" s="1003">
        <v>35434</v>
      </c>
      <c r="F1226" s="1001">
        <v>20818.13</v>
      </c>
      <c r="G1226" s="1024">
        <v>4668</v>
      </c>
      <c r="H1226" s="1024">
        <v>1860</v>
      </c>
      <c r="I1226" s="1024">
        <v>184839</v>
      </c>
      <c r="J1226" s="1024">
        <v>156768</v>
      </c>
      <c r="K1226" s="1024">
        <v>58876.24</v>
      </c>
      <c r="L1226" s="1024">
        <v>7473</v>
      </c>
      <c r="M1226" s="1024">
        <v>432883</v>
      </c>
      <c r="N1226" s="1024">
        <v>6970</v>
      </c>
      <c r="O1226" s="1024">
        <v>5338</v>
      </c>
      <c r="P1226" s="1001">
        <v>0</v>
      </c>
      <c r="Q1226" s="1094">
        <v>0</v>
      </c>
      <c r="R1226" s="1095">
        <f t="shared" ref="R1226" si="152" xml:space="preserve"> IF(C1226&lt; DATE(2024, 11, 1), D1226 * (2.31 / 100), D1226 * (2.925 / 100))+E1226*E$6+F1226*F$6+G1226*G$6+H1226*H$6+I1226*I$6+J1226*J$6+K1226*K$6+L1226*L$6+M1226*M$6+N1226*N$6+O1226*O$6+P1226*P$6+Q1226*Q$6</f>
        <v>152083.21375000002</v>
      </c>
      <c r="S1226" s="1007">
        <v>6.0872667755920347</v>
      </c>
      <c r="T1226" s="1007">
        <v>0.51881500000000003</v>
      </c>
      <c r="U1226" s="1007">
        <v>2.7597572682197496E-3</v>
      </c>
      <c r="V1226" s="1007">
        <v>2.8000000000000001E-2</v>
      </c>
      <c r="W1226" s="1007">
        <v>0.24227799999999999</v>
      </c>
      <c r="X1226" s="1103">
        <v>7.6779999999999999</v>
      </c>
      <c r="Y1226" s="1007">
        <v>10</v>
      </c>
      <c r="Z1226" s="1007">
        <v>0</v>
      </c>
      <c r="AA1226" s="1007">
        <v>0</v>
      </c>
      <c r="AB1226" s="1021">
        <v>0</v>
      </c>
      <c r="AC1226" s="1007">
        <v>0.19368704816974233</v>
      </c>
      <c r="AD1226" s="1007">
        <v>8.0136600339235503E-2</v>
      </c>
      <c r="AE1226" s="1007">
        <v>0</v>
      </c>
      <c r="AF1226" s="1007">
        <v>14.173616086219052</v>
      </c>
      <c r="AG1226" s="1096">
        <f xml:space="preserve"> IF(C1226&lt; DATE(2024, 11, 1), S1226 * (2.31 / 100), S1226 * (2.925 / 100))+T1226*T$6+U1394*U$6+V1226*V$6+W1226*W$6+X1226*X$6+Y1226*Y$6+Z1226*Z$6+AA1226*AA$6+AB1226*AB$6+AC1226*AC$6+AD1226*AD$6+AE1226*AE$6+AF1226*AF$6</f>
        <v>7.1728855532776716</v>
      </c>
      <c r="AH1226" s="1097">
        <v>202607</v>
      </c>
      <c r="AI1226" s="1017"/>
      <c r="AJ1226" s="1109" t="s">
        <v>2404</v>
      </c>
    </row>
    <row r="1227" spans="3:36" s="301" customFormat="1" ht="15.75">
      <c r="C1227" s="1032">
        <v>46235</v>
      </c>
      <c r="D1227" s="1100">
        <v>331595</v>
      </c>
      <c r="E1227" s="1006">
        <v>35057</v>
      </c>
      <c r="F1227" s="1004">
        <v>21077.33</v>
      </c>
      <c r="G1227" s="1100">
        <v>4860</v>
      </c>
      <c r="H1227" s="1100">
        <v>1869</v>
      </c>
      <c r="I1227" s="1100">
        <v>184304</v>
      </c>
      <c r="J1227" s="1100">
        <v>160176</v>
      </c>
      <c r="K1227" s="1100">
        <v>58338.51</v>
      </c>
      <c r="L1227" s="1100">
        <v>14063</v>
      </c>
      <c r="M1227" s="1100">
        <v>426982</v>
      </c>
      <c r="N1227" s="1100">
        <v>6920</v>
      </c>
      <c r="O1227" s="1100">
        <v>5621</v>
      </c>
      <c r="P1227" s="1004">
        <v>0</v>
      </c>
      <c r="Q1227" s="1094">
        <v>0</v>
      </c>
      <c r="R1227" s="1095">
        <f t="shared" ref="R1227" si="153" xml:space="preserve"> IF(C1227&lt; DATE(2024, 11, 1), D1227 * (2.31 / 100), D1227 * (2.925 / 100))+E1227*E$6+F1227*F$6+G1227*G$6+H1227*H$6+I1227*I$6+J1227*J$6+K1227*K$6+L1227*L$6+M1227*M$6+N1227*N$6+O1227*O$6+P1227*P$6+Q1227*Q$6</f>
        <v>154790.44100000002</v>
      </c>
      <c r="S1227" s="1015">
        <v>6.3081379708733181</v>
      </c>
      <c r="T1227" s="1015">
        <v>0.50694099999999997</v>
      </c>
      <c r="U1227" s="1015">
        <v>3.2099947047546772E-3</v>
      </c>
      <c r="V1227" s="1015">
        <v>2.9000000000000001E-2</v>
      </c>
      <c r="W1227" s="1015">
        <v>0.27016899999999999</v>
      </c>
      <c r="X1227" s="1103">
        <v>8.1649999999999991</v>
      </c>
      <c r="Y1227" s="1015">
        <v>9.9809999999999999</v>
      </c>
      <c r="Z1227" s="1015">
        <v>0</v>
      </c>
      <c r="AA1227" s="1015">
        <v>0</v>
      </c>
      <c r="AB1227" s="1015">
        <v>0</v>
      </c>
      <c r="AC1227" s="1015">
        <v>0.19425338456789948</v>
      </c>
      <c r="AD1227" s="1015">
        <v>7.3000761722455509E-2</v>
      </c>
      <c r="AE1227" s="1015">
        <v>0</v>
      </c>
      <c r="AF1227" s="1015">
        <v>14.139211150031006</v>
      </c>
      <c r="AG1227" s="1096">
        <f xml:space="preserve"> IF(C1227&lt; DATE(2024, 11, 1), S1227 * (2.31 / 100), S1227 * (2.925 / 100))+T1227*T$6+U1395*U$6+V1227*V$6+W1227*W$6+X1227*X$6+Y1227*Y$6+Z1227*Z$6+AA1227*AA$6+AB1227*AB$6+AC1227*AC$6+AD1227*AD$6+AE1227*AE$6+AF1227*AF$6</f>
        <v>7.2883501781447668</v>
      </c>
      <c r="AH1227" s="1097">
        <v>202608</v>
      </c>
      <c r="AI1227" s="1017"/>
      <c r="AJ1227" s="1109" t="s">
        <v>2405</v>
      </c>
    </row>
    <row r="1228" spans="3:36" s="301" customFormat="1" ht="15.75">
      <c r="C1228" s="1032">
        <v>46236</v>
      </c>
      <c r="D1228" s="1024">
        <v>317361</v>
      </c>
      <c r="E1228" s="1003">
        <v>33553</v>
      </c>
      <c r="F1228" s="1001">
        <v>21489.4</v>
      </c>
      <c r="G1228" s="1024">
        <v>4946</v>
      </c>
      <c r="H1228" s="1024">
        <v>1892</v>
      </c>
      <c r="I1228" s="1024">
        <v>181289</v>
      </c>
      <c r="J1228" s="1024">
        <v>160682</v>
      </c>
      <c r="K1228" s="1024">
        <v>58645.75</v>
      </c>
      <c r="L1228" s="1024">
        <v>14895</v>
      </c>
      <c r="M1228" s="1024">
        <v>425824</v>
      </c>
      <c r="N1228" s="1024">
        <v>6895</v>
      </c>
      <c r="O1228" s="1024">
        <v>5810</v>
      </c>
      <c r="P1228" s="1001">
        <v>0</v>
      </c>
      <c r="Q1228" s="1094">
        <v>0</v>
      </c>
      <c r="R1228" s="1095">
        <f t="shared" ref="R1228" si="154" xml:space="preserve"> IF(C1228&lt; DATE(2024, 11, 1), D1228 * (2.31 / 100), D1228 * (2.925 / 100))+E1228*E$6+F1228*F$6+G1228*G$6+H1228*H$6+I1228*I$6+J1228*J$6+K1228*K$6+L1228*L$6+M1228*M$6+N1228*N$6+O1228*O$6+P1228*P$6+Q1228*Q$6</f>
        <v>154155.08550000002</v>
      </c>
      <c r="S1228" s="1007">
        <v>6.3964864489858293</v>
      </c>
      <c r="T1228" s="1007">
        <v>0.49757200000000001</v>
      </c>
      <c r="U1228" s="1007">
        <v>3.6234202754093902E-3</v>
      </c>
      <c r="V1228" s="1007">
        <v>2.5000000000000001E-2</v>
      </c>
      <c r="W1228" s="1007">
        <v>0.26853399999999999</v>
      </c>
      <c r="X1228" s="1103">
        <v>8.9499999999999993</v>
      </c>
      <c r="Y1228" s="1007">
        <v>10.026999999999999</v>
      </c>
      <c r="Z1228" s="1021">
        <v>0</v>
      </c>
      <c r="AA1228" s="1021">
        <v>0</v>
      </c>
      <c r="AB1228" s="1021">
        <v>0</v>
      </c>
      <c r="AC1228" s="1007">
        <v>0.19000586158172092</v>
      </c>
      <c r="AD1228" s="1007">
        <v>7.6228879191951232E-2</v>
      </c>
      <c r="AE1228" s="1007">
        <v>0</v>
      </c>
      <c r="AF1228" s="1007">
        <v>14.122787394484449</v>
      </c>
      <c r="AG1228" s="1096">
        <f xml:space="preserve"> IF(C1228&lt; DATE(2024, 11, 1), S1228 * (2.31 / 100), S1228 * (2.925 / 100))+T1228*T$6+U1396*U$6+V1228*V$6+W1228*W$6+X1228*X$6+Y1228*Y$6+Z1228*Z$6+AA1228*AA$6+AB1228*AB$6+AC1228*AC$6+AD1228*AD$6+AE1228*AE$6+AF1228*AF$6</f>
        <v>7.451761722145962</v>
      </c>
      <c r="AH1228" s="1097">
        <v>202608</v>
      </c>
      <c r="AI1228" s="1017"/>
      <c r="AJ1228" s="1109" t="s">
        <v>2403</v>
      </c>
    </row>
    <row r="1229" spans="3:36" s="301" customFormat="1" ht="15.75">
      <c r="C1229" s="1032">
        <v>46237</v>
      </c>
      <c r="D1229" s="1100">
        <v>314312</v>
      </c>
      <c r="E1229" s="1006">
        <v>33918</v>
      </c>
      <c r="F1229" s="1004">
        <v>21564.33</v>
      </c>
      <c r="G1229" s="1100">
        <v>4950</v>
      </c>
      <c r="H1229" s="1100">
        <v>1914</v>
      </c>
      <c r="I1229" s="1100">
        <v>178104</v>
      </c>
      <c r="J1229" s="1100">
        <v>153435</v>
      </c>
      <c r="K1229" s="1100">
        <v>57693.21</v>
      </c>
      <c r="L1229" s="1100">
        <v>5857</v>
      </c>
      <c r="M1229" s="1100">
        <v>420481</v>
      </c>
      <c r="N1229" s="1100">
        <v>6739</v>
      </c>
      <c r="O1229" s="1100">
        <v>5830</v>
      </c>
      <c r="P1229" s="1004">
        <v>0</v>
      </c>
      <c r="Q1229" s="1094">
        <v>0</v>
      </c>
      <c r="R1229" s="1095">
        <f t="shared" ref="R1229" si="155" xml:space="preserve"> IF(C1229&lt; DATE(2024, 11, 1), D1229 * (2.31 / 100), D1229 * (2.925 / 100))+E1229*E$6+F1229*F$6+G1229*G$6+H1229*H$6+I1229*I$6+J1229*J$6+K1229*K$6+L1229*L$6+M1229*M$6+N1229*N$6+O1229*O$6+P1229*P$6+Q1229*Q$6</f>
        <v>149078.25075000004</v>
      </c>
      <c r="S1229" s="1015">
        <v>6.3551438919203633</v>
      </c>
      <c r="T1229" s="1015">
        <v>0.49590299999999998</v>
      </c>
      <c r="U1229" s="1015">
        <v>3.6995925209615259E-3</v>
      </c>
      <c r="V1229" s="1015">
        <v>2.8000000000000001E-2</v>
      </c>
      <c r="W1229" s="1015">
        <v>0.25913999999999998</v>
      </c>
      <c r="X1229" s="1103">
        <v>7.9210000000000003</v>
      </c>
      <c r="Y1229" s="1015">
        <v>9.8930000000000007</v>
      </c>
      <c r="Z1229" s="1021">
        <v>0</v>
      </c>
      <c r="AA1229" s="1021">
        <v>0</v>
      </c>
      <c r="AB1229" s="1021">
        <v>0</v>
      </c>
      <c r="AC1229" s="1015">
        <v>0.18859002058632807</v>
      </c>
      <c r="AD1229" s="1015">
        <v>8.5431845662004763E-2</v>
      </c>
      <c r="AE1229" s="1015">
        <v>0</v>
      </c>
      <c r="AF1229" s="1015">
        <v>14.148215898761704</v>
      </c>
      <c r="AG1229" s="1096">
        <f xml:space="preserve"> IF(C1229&lt; DATE(2024, 11, 1), S1229 * (2.31 / 100), S1229 * (2.925 / 100))+T1229*T$6+U1397*U$6+V1229*V$6+W1229*W$6+X1229*X$6+Y1229*Y$6+Z1229*Z$6+AA1229*AA$6+AB1229*AB$6+AC1229*AC$6+AD1229*AD$6+AE1229*AE$6+AF1229*AF$6</f>
        <v>7.2094161121574585</v>
      </c>
      <c r="AH1229" s="1097">
        <v>202608</v>
      </c>
      <c r="AI1229" s="1017"/>
      <c r="AJ1229" s="1109" t="s">
        <v>2408</v>
      </c>
    </row>
    <row r="1230" spans="3:36" s="301" customFormat="1" ht="15.75">
      <c r="C1230" s="1032">
        <v>46238</v>
      </c>
      <c r="D1230" s="1024">
        <v>319775</v>
      </c>
      <c r="E1230" s="1003">
        <v>34604</v>
      </c>
      <c r="F1230" s="1001">
        <v>21225.919999999998</v>
      </c>
      <c r="G1230" s="1024">
        <v>4964</v>
      </c>
      <c r="H1230" s="1024">
        <v>1896</v>
      </c>
      <c r="I1230" s="1024">
        <v>178581</v>
      </c>
      <c r="J1230" s="1024">
        <v>157289</v>
      </c>
      <c r="K1230" s="1024">
        <v>56126.27</v>
      </c>
      <c r="L1230" s="1024">
        <v>14279</v>
      </c>
      <c r="M1230" s="1024">
        <v>432816</v>
      </c>
      <c r="N1230" s="1024">
        <v>6905</v>
      </c>
      <c r="O1230" s="1024">
        <v>5811</v>
      </c>
      <c r="P1230" s="1001">
        <v>0</v>
      </c>
      <c r="Q1230" s="1094">
        <v>0</v>
      </c>
      <c r="R1230" s="1095">
        <f t="shared" ref="R1230" si="156" xml:space="preserve"> IF(C1230&lt; DATE(2024, 11, 1), D1230 * (2.31 / 100), D1230 * (2.925 / 100))+E1230*E$6+F1230*F$6+G1230*G$6+H1230*H$6+I1230*I$6+J1230*J$6+K1230*K$6+L1230*L$6+M1230*M$6+N1230*N$6+O1230*O$6+P1230*P$6+Q1230*Q$6</f>
        <v>152416.94899999999</v>
      </c>
      <c r="S1230" s="1007">
        <v>6.1181321092915963</v>
      </c>
      <c r="T1230" s="1007">
        <v>0.49877500000000002</v>
      </c>
      <c r="U1230" s="1007">
        <v>3.5540440666351407E-3</v>
      </c>
      <c r="V1230" s="1007">
        <v>4.0000000000000001E-3</v>
      </c>
      <c r="W1230" s="1007">
        <v>0.25402999999999998</v>
      </c>
      <c r="X1230" s="1103">
        <v>6.9067272269055096</v>
      </c>
      <c r="Y1230" s="1007">
        <v>9.9949999999999992</v>
      </c>
      <c r="Z1230" s="1021">
        <v>0</v>
      </c>
      <c r="AA1230" s="1021">
        <v>0</v>
      </c>
      <c r="AB1230" s="1021">
        <v>0</v>
      </c>
      <c r="AC1230" s="1007">
        <v>0.18660784319277807</v>
      </c>
      <c r="AD1230" s="1007">
        <v>8.1948876813338359E-2</v>
      </c>
      <c r="AE1230" s="1007">
        <v>0</v>
      </c>
      <c r="AF1230" s="1007">
        <v>14.15172718443028</v>
      </c>
      <c r="AG1230" s="1096">
        <f xml:space="preserve"> IF(C1230&lt; DATE(2024, 11, 1), S1230 * (2.31 / 100), S1230 * (2.925 / 100))+T1230*T$6+U1398*U$6+V1230*V$6+W1230*W$6+X1230*X$6+Y1230*Y$6+Z1230*Z$6+AA1230*AA$6+AB1230*AB$6+AC1230*AC$6+AD1230*AD$6+AE1230*AE$6+AF1230*AF$6</f>
        <v>7.0088000944075706</v>
      </c>
      <c r="AH1230" s="1097">
        <v>202608</v>
      </c>
      <c r="AI1230" s="1017"/>
      <c r="AJ1230" s="1109" t="s">
        <v>2405</v>
      </c>
    </row>
    <row r="1231" spans="3:36" s="301" customFormat="1" ht="15.75">
      <c r="C1231" s="1032">
        <v>46239</v>
      </c>
      <c r="D1231" s="1100">
        <v>324380</v>
      </c>
      <c r="E1231" s="1006">
        <v>34623</v>
      </c>
      <c r="F1231" s="1004">
        <v>21567.59</v>
      </c>
      <c r="G1231" s="1100">
        <v>4873</v>
      </c>
      <c r="H1231" s="1100">
        <v>1869</v>
      </c>
      <c r="I1231" s="1100">
        <v>180229</v>
      </c>
      <c r="J1231" s="1100">
        <v>156791</v>
      </c>
      <c r="K1231" s="1100">
        <v>55898.48</v>
      </c>
      <c r="L1231" s="1100">
        <v>14622</v>
      </c>
      <c r="M1231" s="1100">
        <v>446076</v>
      </c>
      <c r="N1231" s="1100">
        <v>6921</v>
      </c>
      <c r="O1231" s="1100">
        <v>5832</v>
      </c>
      <c r="P1231" s="1004">
        <v>0</v>
      </c>
      <c r="Q1231" s="1094">
        <v>0</v>
      </c>
      <c r="R1231" s="1095">
        <f t="shared" ref="R1231" si="157" xml:space="preserve"> IF(C1231&lt; DATE(2024, 11, 1), D1231 * (2.31 / 100), D1231 * (2.925 / 100))+E1231*E$6+F1231*F$6+G1231*G$6+H1231*H$6+I1231*I$6+J1231*J$6+K1231*K$6+L1231*L$6+M1231*M$6+N1231*N$6+O1231*O$6+P1231*P$6+Q1231*Q$6</f>
        <v>153489.92549999998</v>
      </c>
      <c r="S1231" s="1015">
        <v>6.1458825928012963</v>
      </c>
      <c r="T1231" s="1015">
        <v>0.49809599999999998</v>
      </c>
      <c r="U1231" s="1015">
        <v>3.4577668789484263E-3</v>
      </c>
      <c r="V1231" s="1015">
        <v>7.0000000000000001E-3</v>
      </c>
      <c r="W1231" s="1015">
        <v>0.24841099999999999</v>
      </c>
      <c r="X1231" s="1103">
        <v>6.2426694832463534</v>
      </c>
      <c r="Y1231" s="1015">
        <v>10.012</v>
      </c>
      <c r="Z1231" s="1015">
        <v>0</v>
      </c>
      <c r="AA1231" s="1015">
        <v>0</v>
      </c>
      <c r="AB1231" s="1015">
        <v>0</v>
      </c>
      <c r="AC1231" s="1015">
        <v>0.19312071177158521</v>
      </c>
      <c r="AD1231" s="1015">
        <v>8.4978776543479059E-2</v>
      </c>
      <c r="AE1231" s="1015">
        <v>0</v>
      </c>
      <c r="AF1231" s="1015">
        <v>14.07045791129473</v>
      </c>
      <c r="AG1231" s="1096">
        <f xml:space="preserve"> IF(C1231&lt; DATE(2024, 11, 1), S1231 * (2.31 / 100), S1231 * (2.925 / 100))+T1231*T$6+U1399*U$6+V1231*V$6+W1231*W$6+X1231*X$6+Y1231*Y$6+Z1231*Z$6+AA1231*AA$6+AB1231*AB$6+AC1231*AC$6+AD1231*AD$6+AE1231*AE$6+AF1231*AF$6</f>
        <v>6.8650305163210792</v>
      </c>
      <c r="AH1231" s="1097">
        <v>202608</v>
      </c>
      <c r="AI1231" s="1017"/>
      <c r="AJ1231" s="1109" t="s">
        <v>2405</v>
      </c>
    </row>
    <row r="1232" spans="3:36" s="301" customFormat="1" ht="15.75">
      <c r="C1232" s="1032">
        <v>46240</v>
      </c>
      <c r="D1232" s="1024">
        <v>328393</v>
      </c>
      <c r="E1232" s="1003">
        <v>34868</v>
      </c>
      <c r="F1232" s="1001">
        <v>21524.45</v>
      </c>
      <c r="G1232" s="1024">
        <v>4745</v>
      </c>
      <c r="H1232" s="1024">
        <v>1887</v>
      </c>
      <c r="I1232" s="1024">
        <v>183323</v>
      </c>
      <c r="J1232" s="1024">
        <v>157646</v>
      </c>
      <c r="K1232" s="1024">
        <v>52737.8</v>
      </c>
      <c r="L1232" s="1024">
        <v>13773</v>
      </c>
      <c r="M1232" s="1024">
        <v>454594</v>
      </c>
      <c r="N1232" s="1024">
        <v>6983</v>
      </c>
      <c r="O1232" s="1024">
        <v>5861</v>
      </c>
      <c r="P1232" s="1001">
        <v>0</v>
      </c>
      <c r="Q1232" s="1094">
        <v>0</v>
      </c>
      <c r="R1232" s="1095">
        <f t="shared" ref="R1232" si="158" xml:space="preserve"> IF(C1232&lt; DATE(2024, 11, 1), D1232 * (2.31 / 100), D1232 * (2.925 / 100))+E1232*E$6+F1232*F$6+G1232*G$6+H1232*H$6+I1232*I$6+J1232*J$6+K1232*K$6+L1232*L$6+M1232*M$6+N1232*N$6+O1232*O$6+P1232*P$6+Q1232*Q$6</f>
        <v>153802.50649999999</v>
      </c>
      <c r="S1232" s="1007">
        <v>6.0937796441708416</v>
      </c>
      <c r="T1232" s="1007">
        <v>0.49715500000000001</v>
      </c>
      <c r="U1232" s="1007">
        <v>3.5149668551622973E-3</v>
      </c>
      <c r="V1232" s="1007">
        <v>2.8000000000000001E-2</v>
      </c>
      <c r="W1232" s="1007">
        <v>0.25337999999999999</v>
      </c>
      <c r="X1232" s="1103">
        <v>5.8828759694971211</v>
      </c>
      <c r="Y1232" s="1007">
        <v>10.166</v>
      </c>
      <c r="Z1232" s="1007">
        <v>0</v>
      </c>
      <c r="AA1232" s="1007">
        <v>0</v>
      </c>
      <c r="AB1232" s="1007">
        <v>0</v>
      </c>
      <c r="AC1232" s="1007">
        <v>0.20019991674854948</v>
      </c>
      <c r="AD1232" s="1007">
        <v>8.1184322675826204E-2</v>
      </c>
      <c r="AE1232" s="1007">
        <v>0</v>
      </c>
      <c r="AF1232" s="1007">
        <v>14.140457090106951</v>
      </c>
      <c r="AG1232" s="1096">
        <f xml:space="preserve"> IF(C1232&lt; DATE(2024, 11, 1), S1232 * (2.31 / 100), S1232 * (2.925 / 100))+T1232*T$6+U1400*U$6+V1232*V$6+W1232*W$6+X1232*X$6+Y1232*Y$6+Z1232*Z$6+AA1232*AA$6+AB1232*AB$6+AC1232*AC$6+AD1232*AD$6+AE1232*AE$6+AF1232*AF$6</f>
        <v>6.8579635237222742</v>
      </c>
      <c r="AH1232" s="1097">
        <v>202608</v>
      </c>
      <c r="AI1232" s="1017"/>
      <c r="AJ1232" s="1109" t="s">
        <v>2407</v>
      </c>
    </row>
    <row r="1233" spans="3:36" s="301" customFormat="1" ht="15.75">
      <c r="C1233" s="1032">
        <v>46241</v>
      </c>
      <c r="D1233" s="1100">
        <v>288770</v>
      </c>
      <c r="E1233" s="1006">
        <v>34465</v>
      </c>
      <c r="F1233" s="1004">
        <v>21498.32</v>
      </c>
      <c r="G1233" s="1100">
        <v>4788</v>
      </c>
      <c r="H1233" s="1100">
        <v>1903</v>
      </c>
      <c r="I1233" s="1100">
        <v>183109</v>
      </c>
      <c r="J1233" s="1100">
        <v>156463</v>
      </c>
      <c r="K1233" s="1100">
        <v>53731.83</v>
      </c>
      <c r="L1233" s="1100">
        <v>12588</v>
      </c>
      <c r="M1233" s="1100">
        <v>434465</v>
      </c>
      <c r="N1233" s="1100">
        <v>7154</v>
      </c>
      <c r="O1233" s="1100">
        <v>5865</v>
      </c>
      <c r="P1233" s="1004">
        <v>0</v>
      </c>
      <c r="Q1233" s="1094">
        <v>0</v>
      </c>
      <c r="R1233" s="1095">
        <f t="shared" ref="R1233" si="159" xml:space="preserve"> IF(C1233&lt; DATE(2024, 11, 1), D1233 * (2.31 / 100), D1233 * (2.925 / 100))+E1233*E$6+F1233*F$6+G1233*G$6+H1233*H$6+I1233*I$6+J1233*J$6+K1233*K$6+L1233*L$6+M1233*M$6+N1233*N$6+O1233*O$6+P1233*P$6+Q1233*Q$6</f>
        <v>151381.429</v>
      </c>
      <c r="S1233" s="1015">
        <v>7.5999512950697543</v>
      </c>
      <c r="T1233" s="1015">
        <v>0.49890200000000001</v>
      </c>
      <c r="U1233" s="1015">
        <v>3.4495550011751476E-3</v>
      </c>
      <c r="V1233" s="1015">
        <v>2.5999999999999999E-2</v>
      </c>
      <c r="W1233" s="1015">
        <v>0.24875899999999998</v>
      </c>
      <c r="X1233" s="1103">
        <v>5.8077514462815767</v>
      </c>
      <c r="Y1233" s="1015">
        <v>10.207000000000001</v>
      </c>
      <c r="Z1233" s="1015">
        <v>0</v>
      </c>
      <c r="AA1233" s="1015">
        <v>0</v>
      </c>
      <c r="AB1233" s="1015">
        <v>0</v>
      </c>
      <c r="AC1233" s="1015">
        <v>0.19708506655868518</v>
      </c>
      <c r="AD1233" s="1015">
        <v>8.3506301908270478E-2</v>
      </c>
      <c r="AE1233" s="1015">
        <v>0</v>
      </c>
      <c r="AF1233" s="1015">
        <v>14.117463832341771</v>
      </c>
      <c r="AG1233" s="1096">
        <f xml:space="preserve"> IF(C1233&lt; DATE(2024, 11, 1), S1233 * (2.31 / 100), S1233 * (2.925 / 100))+T1233*T$6+U1401*U$6+V1233*V$6+W1233*W$6+X1233*X$6+Y1233*Y$6+Z1233*Z$6+AA1233*AA$6+AB1233*AB$6+AC1233*AC$6+AD1233*AD$6+AE1233*AE$6+AF1233*AF$6</f>
        <v>6.8891821342199719</v>
      </c>
      <c r="AH1233" s="1097">
        <v>202608</v>
      </c>
      <c r="AI1233" s="1017"/>
      <c r="AJ1233" s="1109" t="s">
        <v>2406</v>
      </c>
    </row>
    <row r="1234" spans="3:36" s="301" customFormat="1" ht="15.75">
      <c r="C1234" s="1032">
        <v>46242</v>
      </c>
      <c r="D1234" s="1024">
        <v>306298</v>
      </c>
      <c r="E1234" s="1003">
        <v>35164</v>
      </c>
      <c r="F1234" s="1001">
        <v>21462.06</v>
      </c>
      <c r="G1234" s="1024">
        <v>4905</v>
      </c>
      <c r="H1234" s="1024">
        <v>1885</v>
      </c>
      <c r="I1234" s="1024">
        <v>184655</v>
      </c>
      <c r="J1234" s="1024">
        <v>156828</v>
      </c>
      <c r="K1234" s="1024">
        <v>55598.58</v>
      </c>
      <c r="L1234" s="1024">
        <v>12043</v>
      </c>
      <c r="M1234" s="1024">
        <v>413782</v>
      </c>
      <c r="N1234" s="1024">
        <v>6864</v>
      </c>
      <c r="O1234" s="1024">
        <v>5835</v>
      </c>
      <c r="P1234" s="1001">
        <v>0</v>
      </c>
      <c r="Q1234" s="1094">
        <v>0</v>
      </c>
      <c r="R1234" s="1095">
        <f t="shared" ref="R1234" si="160" xml:space="preserve"> IF(C1234&lt; DATE(2024, 11, 1), D1234 * (2.31 / 100), D1234 * (2.925 / 100))+E1234*E$6+F1234*F$6+G1234*G$6+H1234*H$6+I1234*I$6+J1234*J$6+K1234*K$6+L1234*L$6+M1234*M$6+N1234*N$6+O1234*O$6+P1234*P$6+Q1234*Q$6</f>
        <v>151966.05725000001</v>
      </c>
      <c r="S1234" s="1007">
        <v>7.4665790733037527</v>
      </c>
      <c r="T1234" s="1007">
        <v>0.50414899999999996</v>
      </c>
      <c r="U1234" s="1007">
        <v>3.4308659000359619E-3</v>
      </c>
      <c r="V1234" s="1007">
        <v>2.7E-2</v>
      </c>
      <c r="W1234" s="1007">
        <v>0.24767</v>
      </c>
      <c r="X1234" s="1103">
        <v>5.7503249355084423</v>
      </c>
      <c r="Y1234" s="1007">
        <v>10.106</v>
      </c>
      <c r="Z1234" s="1007">
        <v>0</v>
      </c>
      <c r="AA1234" s="1007">
        <v>0</v>
      </c>
      <c r="AB1234" s="1007">
        <v>0</v>
      </c>
      <c r="AC1234" s="1007">
        <v>0.1987840757531566</v>
      </c>
      <c r="AD1234" s="1007">
        <v>8.3109866429560489E-2</v>
      </c>
      <c r="AE1234" s="1007">
        <v>0</v>
      </c>
      <c r="AF1234" s="1007">
        <v>14.099765819899361</v>
      </c>
      <c r="AG1234" s="1096">
        <f xml:space="preserve"> IF(C1234&lt; DATE(2024, 11, 1), S1234 * (2.31 / 100), S1234 * (2.925 / 100))+T1234*T$6+U1402*U$6+V1234*V$6+W1234*W$6+X1234*X$6+Y1234*Y$6+Z1234*Z$6+AA1234*AA$6+AB1234*AB$6+AC1234*AC$6+AD1234*AD$6+AE1234*AE$6+AF1234*AF$6</f>
        <v>6.8453830392833854</v>
      </c>
      <c r="AH1234" s="1097">
        <v>202608</v>
      </c>
      <c r="AI1234" s="1017"/>
      <c r="AJ1234" s="1109" t="s">
        <v>2406</v>
      </c>
    </row>
    <row r="1235" spans="3:36" s="301" customFormat="1" ht="15.75">
      <c r="C1235" s="1032">
        <v>46243</v>
      </c>
      <c r="D1235" s="1100">
        <v>305471</v>
      </c>
      <c r="E1235" s="1006">
        <v>35396</v>
      </c>
      <c r="F1235" s="1004">
        <v>21455.41</v>
      </c>
      <c r="G1235" s="1100">
        <v>4878</v>
      </c>
      <c r="H1235" s="1100">
        <v>1874</v>
      </c>
      <c r="I1235" s="1100">
        <v>186270</v>
      </c>
      <c r="J1235" s="1100">
        <v>159290</v>
      </c>
      <c r="K1235" s="1100">
        <v>56976.84</v>
      </c>
      <c r="L1235" s="1100">
        <v>13206</v>
      </c>
      <c r="M1235" s="1100">
        <v>434597</v>
      </c>
      <c r="N1235" s="1100">
        <v>6994</v>
      </c>
      <c r="O1235" s="1100">
        <v>5852</v>
      </c>
      <c r="P1235" s="1004">
        <v>0</v>
      </c>
      <c r="Q1235" s="1094">
        <v>0</v>
      </c>
      <c r="R1235" s="1095">
        <f t="shared" ref="R1235" si="161" xml:space="preserve"> IF(C1235&lt; DATE(2024, 11, 1), D1235 * (2.31 / 100), D1235 * (2.925 / 100))+E1235*E$6+F1235*F$6+G1235*G$6+H1235*H$6+I1235*I$6+J1235*J$6+K1235*K$6+L1235*L$6+M1235*M$6+N1235*N$6+O1235*O$6+P1235*P$6+Q1235*Q$6</f>
        <v>154417.31125</v>
      </c>
      <c r="S1235" s="1015">
        <v>8.2945628874094943</v>
      </c>
      <c r="T1235" s="1015">
        <v>0.50728799999999996</v>
      </c>
      <c r="U1235" s="1015">
        <v>3.5500797118480404E-3</v>
      </c>
      <c r="V1235" s="1015">
        <v>2.7E-2</v>
      </c>
      <c r="W1235" s="1015">
        <v>0.24564900000000001</v>
      </c>
      <c r="X1235" s="1103">
        <v>5.6934647611334652</v>
      </c>
      <c r="Y1235" s="1015">
        <v>10.146000000000001</v>
      </c>
      <c r="Z1235" s="1021">
        <v>0</v>
      </c>
      <c r="AA1235" s="1015">
        <v>0</v>
      </c>
      <c r="AB1235" s="1015">
        <v>0</v>
      </c>
      <c r="AC1235" s="1015">
        <v>0.19142170257711377</v>
      </c>
      <c r="AD1235" s="1015">
        <v>8.687600347730548E-2</v>
      </c>
      <c r="AE1235" s="1015">
        <v>0</v>
      </c>
      <c r="AF1235" s="1015">
        <v>14.083625232551881</v>
      </c>
      <c r="AG1235" s="1096">
        <f xml:space="preserve"> IF(C1235&lt; DATE(2024, 11, 1), S1235 * (2.31 / 100), S1235 * (2.925 / 100))+T1235*T$6+U1403*U$6+V1235*V$6+W1235*W$6+X1235*X$6+Y1235*Y$6+Z1235*Z$6+AA1235*AA$6+AB1235*AB$6+AC1235*AC$6+AD1235*AD$6+AE1235*AE$6+AF1235*AF$6</f>
        <v>6.8654087548916456</v>
      </c>
      <c r="AH1235" s="1097">
        <v>202608</v>
      </c>
      <c r="AI1235" s="1017"/>
      <c r="AJ1235" s="1109" t="s">
        <v>2407</v>
      </c>
    </row>
    <row r="1236" spans="3:36" s="301" customFormat="1" ht="15.75">
      <c r="C1236" s="1032">
        <v>46244</v>
      </c>
      <c r="D1236" s="1024">
        <v>337358</v>
      </c>
      <c r="E1236" s="1003">
        <v>35220</v>
      </c>
      <c r="F1236" s="1001">
        <v>21469.439999999999</v>
      </c>
      <c r="G1236" s="1024">
        <v>4862</v>
      </c>
      <c r="H1236" s="1024">
        <v>1806</v>
      </c>
      <c r="I1236" s="1024">
        <v>183031</v>
      </c>
      <c r="J1236" s="1024">
        <v>158145</v>
      </c>
      <c r="K1236" s="1024">
        <v>55998.79</v>
      </c>
      <c r="L1236" s="1024">
        <v>14553</v>
      </c>
      <c r="M1236" s="1024">
        <v>432379</v>
      </c>
      <c r="N1236" s="1024">
        <v>6992</v>
      </c>
      <c r="O1236" s="1024">
        <v>5818</v>
      </c>
      <c r="P1236" s="1001">
        <v>0</v>
      </c>
      <c r="Q1236" s="1094">
        <v>0</v>
      </c>
      <c r="R1236" s="1095">
        <f t="shared" ref="R1236" si="162" xml:space="preserve"> IF(C1236&lt; DATE(2024, 11, 1), D1236 * (2.31 / 100), D1236 * (2.925 / 100))+E1236*E$6+F1236*F$6+G1236*G$6+H1236*H$6+I1236*I$6+J1236*J$6+K1236*K$6+L1236*L$6+M1236*M$6+N1236*N$6+O1236*O$6+P1236*P$6+Q1236*Q$6</f>
        <v>154268.71825000001</v>
      </c>
      <c r="S1236" s="1007">
        <v>7.7078383789186882</v>
      </c>
      <c r="T1236" s="1007">
        <v>0.50794600000000001</v>
      </c>
      <c r="U1236" s="1007">
        <v>3.616907406830583E-3</v>
      </c>
      <c r="V1236" s="1007">
        <v>2.5999999999999999E-2</v>
      </c>
      <c r="W1236" s="1007">
        <v>0.24172900000000003</v>
      </c>
      <c r="X1236" s="1103">
        <v>5.6000758890773525</v>
      </c>
      <c r="Y1236" s="1007">
        <v>10.086</v>
      </c>
      <c r="Z1236" s="1021">
        <v>0</v>
      </c>
      <c r="AA1236" s="1021">
        <v>0</v>
      </c>
      <c r="AB1236" s="1021">
        <v>0</v>
      </c>
      <c r="AC1236" s="1007">
        <v>0.19170487077619233</v>
      </c>
      <c r="AD1236" s="1007">
        <v>9.2312832899614033E-2</v>
      </c>
      <c r="AE1236" s="1007">
        <v>0</v>
      </c>
      <c r="AF1236" s="1007">
        <v>14.087731171438522</v>
      </c>
      <c r="AG1236" s="1096">
        <f xml:space="preserve"> IF(C1236&lt; DATE(2024, 11, 1), S1236 * (2.31 / 100), S1236 * (2.925 / 100))+T1236*T$6+U1404*U$6+V1236*V$6+W1236*W$6+X1236*X$6+Y1236*Y$6+Z1236*Z$6+AA1236*AA$6+AB1236*AB$6+AC1236*AC$6+AD1236*AD$6+AE1236*AE$6+AF1236*AF$6</f>
        <v>6.8126308384886176</v>
      </c>
      <c r="AH1236" s="1097">
        <v>202608</v>
      </c>
      <c r="AI1236" s="1017"/>
      <c r="AJ1236" s="1109" t="s">
        <v>2407</v>
      </c>
    </row>
    <row r="1237" spans="3:36" s="301" customFormat="1" ht="15.75">
      <c r="C1237" s="1032">
        <v>46245</v>
      </c>
      <c r="D1237" s="1100">
        <v>308646</v>
      </c>
      <c r="E1237" s="1006">
        <v>35535</v>
      </c>
      <c r="F1237" s="1004">
        <v>21256.61</v>
      </c>
      <c r="G1237" s="1100">
        <v>4891</v>
      </c>
      <c r="H1237" s="1100">
        <v>1928</v>
      </c>
      <c r="I1237" s="1100">
        <v>184229</v>
      </c>
      <c r="J1237" s="1100">
        <v>157802</v>
      </c>
      <c r="K1237" s="1100">
        <v>55973.41</v>
      </c>
      <c r="L1237" s="1100">
        <v>13017</v>
      </c>
      <c r="M1237" s="1100">
        <v>415207</v>
      </c>
      <c r="N1237" s="1100">
        <v>6991</v>
      </c>
      <c r="O1237" s="1100">
        <v>5818</v>
      </c>
      <c r="P1237" s="1004">
        <v>0</v>
      </c>
      <c r="Q1237" s="1094">
        <v>0</v>
      </c>
      <c r="R1237" s="1095">
        <f t="shared" ref="R1237" si="163" xml:space="preserve"> IF(C1237&lt; DATE(2024, 11, 1), D1237 * (2.31 / 100), D1237 * (2.925 / 100))+E1237*E$6+F1237*F$6+G1237*G$6+H1237*H$6+I1237*I$6+J1237*J$6+K1237*K$6+L1237*L$6+M1237*M$6+N1237*N$6+O1237*O$6+P1237*P$6+Q1237*Q$6</f>
        <v>152587.98625000002</v>
      </c>
      <c r="S1237" s="1015">
        <v>7.0990267508997675</v>
      </c>
      <c r="T1237" s="1015">
        <v>0.50692000000000004</v>
      </c>
      <c r="U1237" s="1015">
        <v>3.4577668789484263E-3</v>
      </c>
      <c r="V1237" s="1015">
        <v>2.8000000000000001E-2</v>
      </c>
      <c r="W1237" s="1015">
        <v>0.25496000000000002</v>
      </c>
      <c r="X1237" s="1103">
        <v>6.1190382475286489</v>
      </c>
      <c r="Y1237" s="1015">
        <v>10.048</v>
      </c>
      <c r="Z1237" s="1015">
        <v>0</v>
      </c>
      <c r="AA1237" s="1015">
        <v>0</v>
      </c>
      <c r="AB1237" s="1015">
        <v>0</v>
      </c>
      <c r="AC1237" s="1015">
        <v>0.19538605736421377</v>
      </c>
      <c r="AD1237" s="1015">
        <v>9.2907486117679045E-2</v>
      </c>
      <c r="AE1237" s="1015">
        <v>0</v>
      </c>
      <c r="AF1237" s="1015">
        <v>14.103786808326278</v>
      </c>
      <c r="AG1237" s="1096">
        <f xml:space="preserve"> IF(C1237&lt; DATE(2024, 11, 1), S1237 * (2.31 / 100), S1237 * (2.925 / 100))+T1237*T$6+U1405*U$6+V1237*V$6+W1237*W$6+X1237*X$6+Y1237*Y$6+Z1237*Z$6+AA1237*AA$6+AB1237*AB$6+AC1237*AC$6+AD1237*AD$6+AE1237*AE$6+AF1237*AF$6</f>
        <v>6.906061800142151</v>
      </c>
      <c r="AH1237" s="1097">
        <v>202608</v>
      </c>
      <c r="AI1237" s="1017"/>
      <c r="AJ1237" s="1109"/>
    </row>
    <row r="1238" spans="3:36" s="301" customFormat="1" ht="15.75">
      <c r="C1238" s="1032">
        <v>46246</v>
      </c>
      <c r="D1238" s="1024">
        <v>348806</v>
      </c>
      <c r="E1238" s="1003">
        <v>32642</v>
      </c>
      <c r="F1238" s="1001">
        <v>21207.33</v>
      </c>
      <c r="G1238" s="1024">
        <v>4859</v>
      </c>
      <c r="H1238" s="1024">
        <v>1868</v>
      </c>
      <c r="I1238" s="1024">
        <v>184091</v>
      </c>
      <c r="J1238" s="1024">
        <v>158874</v>
      </c>
      <c r="K1238" s="1024">
        <v>55382.31</v>
      </c>
      <c r="L1238" s="1024">
        <v>11632</v>
      </c>
      <c r="M1238" s="1024">
        <v>422035</v>
      </c>
      <c r="N1238" s="1024">
        <v>6503</v>
      </c>
      <c r="O1238" s="1024">
        <v>4886</v>
      </c>
      <c r="P1238" s="1001">
        <v>0</v>
      </c>
      <c r="Q1238" s="1094">
        <v>0</v>
      </c>
      <c r="R1238" s="1095">
        <f t="shared" ref="R1238" si="164" xml:space="preserve"> IF(C1238&lt; DATE(2024, 11, 1), D1238 * (2.31 / 100), D1238 * (2.925 / 100))+E1238*E$6+F1238*F$6+G1238*G$6+H1238*H$6+I1238*I$6+J1238*J$6+K1238*K$6+L1238*L$6+M1238*M$6+N1238*N$6+O1238*O$6+P1238*P$6+Q1238*Q$6</f>
        <v>152486.91399999996</v>
      </c>
      <c r="S1238" s="1007">
        <v>6.3361716225820972</v>
      </c>
      <c r="T1238" s="1007">
        <v>0.37675599999999998</v>
      </c>
      <c r="U1238" s="1007">
        <v>3.304289715047841E-3</v>
      </c>
      <c r="V1238" s="1007">
        <v>2.5999999999999999E-2</v>
      </c>
      <c r="W1238" s="1007">
        <v>0.25385000000000002</v>
      </c>
      <c r="X1238" s="1103">
        <v>6.2726569955287736</v>
      </c>
      <c r="Y1238" s="1007">
        <v>9.952</v>
      </c>
      <c r="Z1238" s="1007">
        <v>0</v>
      </c>
      <c r="AA1238" s="1007">
        <v>0</v>
      </c>
      <c r="AB1238" s="1007">
        <v>0</v>
      </c>
      <c r="AC1238" s="1007">
        <v>0.20416427153564945</v>
      </c>
      <c r="AD1238" s="1007">
        <v>8.9452834088920463E-2</v>
      </c>
      <c r="AE1238" s="1007">
        <v>0</v>
      </c>
      <c r="AF1238" s="1007">
        <v>14.098378295723876</v>
      </c>
      <c r="AG1238" s="1096">
        <f xml:space="preserve"> IF(C1238&lt; DATE(2024, 11, 1), S1238 * (2.31 / 100), S1238 * (2.925 / 100))+T1238*T$6+U1406*U$6+V1238*V$6+W1238*W$6+X1238*X$6+Y1238*Y$6+Z1238*Z$6+AA1238*AA$6+AB1238*AB$6+AC1238*AC$6+AD1238*AD$6+AE1238*AE$6+AF1238*AF$6</f>
        <v>6.8509220528438313</v>
      </c>
      <c r="AH1238" s="1097">
        <v>202608</v>
      </c>
      <c r="AI1238" s="1017"/>
      <c r="AJ1238" s="1109" t="s">
        <v>2409</v>
      </c>
    </row>
    <row r="1239" spans="3:36" s="301" customFormat="1" ht="15.75">
      <c r="C1239" s="1032">
        <v>46247</v>
      </c>
      <c r="D1239" s="1100">
        <v>323546</v>
      </c>
      <c r="E1239" s="1006">
        <v>33855</v>
      </c>
      <c r="F1239" s="1004">
        <v>21384.14</v>
      </c>
      <c r="G1239" s="1100">
        <v>4912</v>
      </c>
      <c r="H1239" s="1100">
        <v>1916</v>
      </c>
      <c r="I1239" s="1100">
        <v>177333</v>
      </c>
      <c r="J1239" s="1100">
        <v>157773</v>
      </c>
      <c r="K1239" s="1100">
        <v>54354.03</v>
      </c>
      <c r="L1239" s="1100">
        <v>15085</v>
      </c>
      <c r="M1239" s="1100">
        <v>449149</v>
      </c>
      <c r="N1239" s="1100">
        <v>6782</v>
      </c>
      <c r="O1239" s="1100">
        <v>5434</v>
      </c>
      <c r="P1239" s="1004">
        <v>0</v>
      </c>
      <c r="Q1239" s="1094">
        <v>0</v>
      </c>
      <c r="R1239" s="1095">
        <f t="shared" ref="R1239" si="165" xml:space="preserve"> IF(C1239&lt; DATE(2024, 11, 1), D1239 * (2.31 / 100), D1239 * (2.925 / 100))+E1239*E$6+F1239*F$6+G1239*G$6+H1239*H$6+I1239*I$6+J1239*J$6+K1239*K$6+L1239*L$6+M1239*M$6+N1239*N$6+O1239*O$6+P1239*P$6+Q1239*Q$6</f>
        <v>152546.39225</v>
      </c>
      <c r="S1239" s="1015">
        <v>6.5720507324145503</v>
      </c>
      <c r="T1239" s="1015">
        <v>0.42694599999999999</v>
      </c>
      <c r="U1239" s="1015">
        <v>3.5050559681945475E-3</v>
      </c>
      <c r="V1239" s="1015">
        <v>2.5000000000000001E-2</v>
      </c>
      <c r="W1239" s="1015">
        <v>0.247084</v>
      </c>
      <c r="X1239" s="1103">
        <v>6.2967829260902679</v>
      </c>
      <c r="Y1239" s="1015">
        <v>10.071</v>
      </c>
      <c r="Z1239" s="1015">
        <v>0</v>
      </c>
      <c r="AA1239" s="1021">
        <v>0</v>
      </c>
      <c r="AB1239" s="1015">
        <v>0</v>
      </c>
      <c r="AC1239" s="1015">
        <v>0.2055801125310423</v>
      </c>
      <c r="AD1239" s="1015">
        <v>7.9768481680433365E-2</v>
      </c>
      <c r="AE1239" s="1015">
        <v>0</v>
      </c>
      <c r="AF1239" s="1015">
        <v>14.095348395993737</v>
      </c>
      <c r="AG1239" s="1096">
        <f xml:space="preserve"> IF(C1239&lt; DATE(2024, 11, 1), S1239 * (2.31 / 100), S1239 * (2.925 / 100))+T1239*T$6+U1407*U$6+V1239*V$6+W1239*W$6+X1239*X$6+Y1239*Y$6+Z1239*Z$6+AA1239*AA$6+AB1239*AB$6+AC1239*AC$6+AD1239*AD$6+AE1239*AE$6+AF1239*AF$6</f>
        <v>6.8956389215107023</v>
      </c>
      <c r="AH1239" s="1097">
        <v>202608</v>
      </c>
      <c r="AI1239" s="1017"/>
      <c r="AJ1239" s="1109" t="s">
        <v>2413</v>
      </c>
    </row>
    <row r="1240" spans="3:36" s="301" customFormat="1" ht="15.75">
      <c r="C1240" s="1032">
        <v>46248</v>
      </c>
      <c r="D1240" s="1024">
        <v>324214</v>
      </c>
      <c r="E1240" s="1003">
        <v>34069</v>
      </c>
      <c r="F1240" s="1001">
        <v>11943.91</v>
      </c>
      <c r="G1240" s="1024">
        <v>4921</v>
      </c>
      <c r="H1240" s="1024">
        <v>1866</v>
      </c>
      <c r="I1240" s="1024">
        <v>177544</v>
      </c>
      <c r="J1240" s="1024">
        <v>157706</v>
      </c>
      <c r="K1240" s="1024">
        <v>51314.36</v>
      </c>
      <c r="L1240" s="1024">
        <v>9133</v>
      </c>
      <c r="M1240" s="1024">
        <v>444076</v>
      </c>
      <c r="N1240" s="1024">
        <v>6626</v>
      </c>
      <c r="O1240" s="1024">
        <v>5831</v>
      </c>
      <c r="P1240" s="1001">
        <v>0</v>
      </c>
      <c r="Q1240" s="1094">
        <v>0</v>
      </c>
      <c r="R1240" s="1095">
        <f t="shared" ref="R1240" si="166" xml:space="preserve"> IF(C1240&lt; DATE(2024, 11, 1), D1240 * (2.31 / 100), D1240 * (2.925 / 100))+E1240*E$6+F1240*F$6+G1240*G$6+H1240*H$6+I1240*I$6+J1240*J$6+K1240*K$6+L1240*L$6+M1240*M$6+N1240*N$6+O1240*O$6+P1240*P$6+Q1240*Q$6</f>
        <v>143737.71274999998</v>
      </c>
      <c r="S1240" s="1007">
        <v>6.4086626815462093</v>
      </c>
      <c r="T1240" s="1007">
        <v>0.48100500000000002</v>
      </c>
      <c r="U1240" s="1007">
        <v>1.7202468094023168E-3</v>
      </c>
      <c r="V1240" s="1007">
        <v>2.8000000000000001E-2</v>
      </c>
      <c r="W1240" s="1007">
        <v>0.23741100000000001</v>
      </c>
      <c r="X1240" s="1103">
        <v>6.178786737534228</v>
      </c>
      <c r="Y1240" s="1007">
        <v>10.163</v>
      </c>
      <c r="Z1240" s="1007">
        <v>0</v>
      </c>
      <c r="AA1240" s="1007">
        <v>0</v>
      </c>
      <c r="AB1240" s="1007">
        <v>0</v>
      </c>
      <c r="AC1240" s="1007">
        <v>0.20019991674854948</v>
      </c>
      <c r="AD1240" s="1007">
        <v>8.0051649879511924E-2</v>
      </c>
      <c r="AE1240" s="1007">
        <v>0</v>
      </c>
      <c r="AF1240" s="1007">
        <v>14.104069976525356</v>
      </c>
      <c r="AG1240" s="1096">
        <f xml:space="preserve"> IF(C1240&lt; DATE(2024, 11, 1), S1240 * (2.31 / 100), S1240 * (2.925 / 100))+T1240*T$6+U1408*U$6+V1240*V$6+W1240*W$6+X1240*X$6+Y1240*Y$6+Z1240*Z$6+AA1240*AA$6+AB1240*AB$6+AC1240*AC$6+AD1240*AD$6+AE1240*AE$6+AF1240*AF$6</f>
        <v>6.8986076277455286</v>
      </c>
      <c r="AH1240" s="1097">
        <v>202608</v>
      </c>
      <c r="AI1240" s="1017"/>
      <c r="AJ1240" s="1109" t="s">
        <v>2411</v>
      </c>
    </row>
    <row r="1241" spans="3:36" s="301" customFormat="1" ht="15.75">
      <c r="C1241" s="1032">
        <v>46249</v>
      </c>
      <c r="D1241" s="1108">
        <v>324214</v>
      </c>
      <c r="E1241" s="1006">
        <v>35660</v>
      </c>
      <c r="F1241" s="1004">
        <v>22198.3</v>
      </c>
      <c r="G1241" s="1100">
        <v>4872</v>
      </c>
      <c r="H1241" s="1100">
        <v>1867</v>
      </c>
      <c r="I1241" s="1100">
        <v>171062</v>
      </c>
      <c r="J1241" s="1100">
        <v>158307</v>
      </c>
      <c r="K1241" s="1100">
        <v>51100.639999999999</v>
      </c>
      <c r="L1241" s="1100">
        <v>10505</v>
      </c>
      <c r="M1241" s="1100">
        <v>442603</v>
      </c>
      <c r="N1241" s="1100">
        <v>6621</v>
      </c>
      <c r="O1241" s="1100">
        <v>5746</v>
      </c>
      <c r="P1241" s="1004">
        <v>0</v>
      </c>
      <c r="Q1241" s="1094">
        <v>0</v>
      </c>
      <c r="R1241" s="1095">
        <f t="shared" ref="R1241" si="167" xml:space="preserve"> IF(C1241&lt; DATE(2024, 11, 1), D1241 * (2.31 / 100), D1241 * (2.925 / 100))+E1241*E$6+F1241*F$6+G1241*G$6+H1241*H$6+I1241*I$6+J1241*J$6+K1241*K$6+L1241*L$6+M1241*M$6+N1241*N$6+O1241*O$6+P1241*P$6+Q1241*Q$6</f>
        <v>150365.81075</v>
      </c>
      <c r="S1241" s="1054">
        <v>6.4086626815462093</v>
      </c>
      <c r="T1241" s="1015">
        <v>0.49801600000000001</v>
      </c>
      <c r="U1241" s="1015">
        <v>3.4620144019346052E-3</v>
      </c>
      <c r="V1241" s="1015">
        <v>2.5999999999999999E-2</v>
      </c>
      <c r="W1241" s="1015">
        <v>0.23341800000000001</v>
      </c>
      <c r="X1241" s="1103">
        <v>6.7208839378502434</v>
      </c>
      <c r="Y1241" s="1015">
        <v>10.119999999999999</v>
      </c>
      <c r="Z1241" s="1015">
        <v>0</v>
      </c>
      <c r="AA1241" s="1015">
        <v>0</v>
      </c>
      <c r="AB1241" s="1015">
        <v>0</v>
      </c>
      <c r="AC1241" s="1015">
        <v>0.20501377613288516</v>
      </c>
      <c r="AD1241" s="1015">
        <v>7.9768481680433365E-2</v>
      </c>
      <c r="AE1241" s="1015">
        <v>0</v>
      </c>
      <c r="AF1241" s="1015">
        <v>14.092998099941383</v>
      </c>
      <c r="AG1241" s="1096">
        <f xml:space="preserve"> IF(C1241&lt; DATE(2024, 11, 1), S1241 * (2.31 / 100), S1241 * (2.925 / 100))+T1241*T$6+U1409*U$6+V1241*V$6+W1241*W$6+X1241*X$6+Y1241*Y$6+Z1241*Z$6+AA1241*AA$6+AB1241*AB$6+AC1241*AC$6+AD1241*AD$6+AE1241*AE$6+AF1241*AF$6</f>
        <v>6.9939810760421013</v>
      </c>
      <c r="AH1241" s="1097">
        <v>202608</v>
      </c>
      <c r="AI1241" s="1017" t="s">
        <v>1771</v>
      </c>
      <c r="AJ1241" s="1109" t="s">
        <v>2412</v>
      </c>
    </row>
    <row r="1242" spans="3:36" s="301" customFormat="1" ht="15.75">
      <c r="C1242" s="1032">
        <v>46250</v>
      </c>
      <c r="D1242" s="1024">
        <v>329483</v>
      </c>
      <c r="E1242" s="1003">
        <v>35654</v>
      </c>
      <c r="F1242" s="1001">
        <v>22726.880000000001</v>
      </c>
      <c r="G1242" s="1024">
        <v>4932</v>
      </c>
      <c r="H1242" s="1024">
        <v>1818</v>
      </c>
      <c r="I1242" s="1024">
        <v>151645</v>
      </c>
      <c r="J1242" s="1024">
        <v>155924</v>
      </c>
      <c r="K1242" s="1024">
        <v>49355.06</v>
      </c>
      <c r="L1242" s="1024">
        <v>14760</v>
      </c>
      <c r="M1242" s="1024">
        <v>452431</v>
      </c>
      <c r="N1242" s="1024">
        <v>6949</v>
      </c>
      <c r="O1242" s="1024">
        <v>5918</v>
      </c>
      <c r="P1242" s="1001">
        <v>0</v>
      </c>
      <c r="Q1242" s="1094">
        <v>0</v>
      </c>
      <c r="R1242" s="1095">
        <f t="shared" ref="R1242" si="168" xml:space="preserve"> IF(C1242&lt; DATE(2024, 11, 1), D1242 * (2.31 / 100), D1242 * (2.925 / 100))+E1242*E$6+F1242*F$6+G1242*G$6+H1242*H$6+I1242*I$6+J1242*J$6+K1242*K$6+L1242*L$6+M1242*M$6+N1242*N$6+O1242*O$6+P1242*P$6+Q1242*Q$6</f>
        <v>147454.45875000002</v>
      </c>
      <c r="S1242" s="1007">
        <v>6.1436172472086703</v>
      </c>
      <c r="T1242" s="1007">
        <v>0.50530600000000003</v>
      </c>
      <c r="U1242" s="1007">
        <v>3.9963527935958677E-3</v>
      </c>
      <c r="V1242" s="1007">
        <v>2.7E-2</v>
      </c>
      <c r="W1242" s="1007">
        <v>0.23991200000000001</v>
      </c>
      <c r="X1242" s="1103">
        <v>5.9588216804899936</v>
      </c>
      <c r="Y1242" s="1007">
        <v>10.044586000000001</v>
      </c>
      <c r="Z1242" s="1007">
        <v>0</v>
      </c>
      <c r="AA1242" s="1007">
        <v>0</v>
      </c>
      <c r="AB1242" s="1007">
        <v>0</v>
      </c>
      <c r="AC1242" s="1007">
        <v>0.2095444673181423</v>
      </c>
      <c r="AD1242" s="1007">
        <v>8.7612240794909757E-2</v>
      </c>
      <c r="AE1242" s="1007">
        <v>0</v>
      </c>
      <c r="AF1242" s="1007">
        <v>14.077848601290679</v>
      </c>
      <c r="AG1242" s="1096">
        <f xml:space="preserve"> IF(C1242&lt; DATE(2024, 11, 1), S1242 * (2.31 / 100), S1242 * (2.925 / 100))+T1242*T$6+U1410*U$6+V1242*V$6+W1242*W$6+X1242*X$6+Y1242*Y$6+Z1242*Z$6+AA1242*AA$6+AB1242*AB$6+AC1242*AC$6+AD1242*AD$6+AE1242*AE$6+AF1242*AF$6</f>
        <v>6.8242311705212275</v>
      </c>
      <c r="AH1242" s="1097">
        <v>202608</v>
      </c>
      <c r="AI1242" s="1017"/>
      <c r="AJ1242" s="1109" t="s">
        <v>2407</v>
      </c>
    </row>
    <row r="1243" spans="3:36" s="301" customFormat="1" ht="15.75">
      <c r="C1243" s="1032">
        <v>46251</v>
      </c>
      <c r="D1243" s="1100">
        <v>333296</v>
      </c>
      <c r="E1243" s="1006">
        <v>35843</v>
      </c>
      <c r="F1243" s="1004">
        <v>22198.76</v>
      </c>
      <c r="G1243" s="1100">
        <v>5047</v>
      </c>
      <c r="H1243" s="1100">
        <v>1853</v>
      </c>
      <c r="I1243" s="1100">
        <v>179933</v>
      </c>
      <c r="J1243" s="1100">
        <v>146196</v>
      </c>
      <c r="K1243" s="1100">
        <v>51746.27</v>
      </c>
      <c r="L1243" s="1100">
        <v>11508</v>
      </c>
      <c r="M1243" s="1100">
        <v>444351</v>
      </c>
      <c r="N1243" s="1100">
        <v>6850</v>
      </c>
      <c r="O1243" s="1100">
        <v>5835</v>
      </c>
      <c r="P1243" s="1004">
        <v>0</v>
      </c>
      <c r="Q1243" s="1094">
        <v>0</v>
      </c>
      <c r="R1243" s="1095">
        <f t="shared" ref="R1243" si="169" xml:space="preserve"> IF(C1243&lt; DATE(2024, 11, 1), D1243 * (2.31 / 100), D1243 * (2.925 / 100))+E1243*E$6+F1243*F$6+G1243*G$6+H1243*H$6+I1243*I$6+J1243*J$6+K1243*K$6+L1243*L$6+M1243*M$6+N1243*N$6+O1243*O$6+P1243*P$6+Q1243*Q$6</f>
        <v>149914.1225</v>
      </c>
      <c r="S1243" s="1015">
        <v>6.2280013705340851</v>
      </c>
      <c r="T1243" s="1015">
        <v>0.51821700000000004</v>
      </c>
      <c r="U1243" s="1015">
        <v>3.790206344666668E-3</v>
      </c>
      <c r="V1243" s="1015">
        <v>2.7E-2</v>
      </c>
      <c r="W1243" s="1015">
        <v>0.26079199999999997</v>
      </c>
      <c r="X1243" s="1103">
        <v>6.1473833842564138</v>
      </c>
      <c r="Y1243" s="1015">
        <v>10.050000000000001</v>
      </c>
      <c r="Z1243" s="1021">
        <v>0</v>
      </c>
      <c r="AA1243" s="1015">
        <v>0</v>
      </c>
      <c r="AB1243" s="1015">
        <v>0</v>
      </c>
      <c r="AC1243" s="1015">
        <v>0.20812862632274942</v>
      </c>
      <c r="AD1243" s="1015">
        <v>8.6960953937029059E-2</v>
      </c>
      <c r="AE1243" s="1015">
        <v>0</v>
      </c>
      <c r="AF1243" s="1015">
        <v>14.082747411134738</v>
      </c>
      <c r="AG1243" s="1096">
        <f xml:space="preserve"> IF(C1243&lt; DATE(2024, 11, 1), S1243 * (2.31 / 100), S1243 * (2.925 / 100))+T1243*T$6+U1411*U$6+V1243*V$6+W1243*W$6+X1243*X$6+Y1243*Y$6+Z1243*Z$6+AA1243*AA$6+AB1243*AB$6+AC1243*AC$6+AD1243*AD$6+AE1243*AE$6+AF1243*AF$6</f>
        <v>6.8906018973026244</v>
      </c>
      <c r="AH1243" s="1097">
        <v>202608</v>
      </c>
      <c r="AI1243" s="1017"/>
      <c r="AJ1243" s="1109" t="s">
        <v>2410</v>
      </c>
    </row>
    <row r="1244" spans="3:36" s="301" customFormat="1" ht="15.75">
      <c r="C1244" s="1032">
        <v>46252</v>
      </c>
      <c r="D1244" s="1024">
        <v>286593</v>
      </c>
      <c r="E1244" s="1003">
        <v>34679</v>
      </c>
      <c r="F1244" s="1001">
        <v>22743.49</v>
      </c>
      <c r="G1244" s="1024">
        <v>5072</v>
      </c>
      <c r="H1244" s="1024">
        <v>1844</v>
      </c>
      <c r="I1244" s="1024">
        <v>178832</v>
      </c>
      <c r="J1244" s="1024">
        <v>153058</v>
      </c>
      <c r="K1244" s="1024">
        <v>54955.74</v>
      </c>
      <c r="L1244" s="1024">
        <v>11837</v>
      </c>
      <c r="M1244" s="1024">
        <v>391668</v>
      </c>
      <c r="N1244" s="1024">
        <v>6977</v>
      </c>
      <c r="O1244" s="1024">
        <v>5836</v>
      </c>
      <c r="P1244" s="1001">
        <v>0</v>
      </c>
      <c r="Q1244" s="1094">
        <v>0</v>
      </c>
      <c r="R1244" s="1095">
        <f t="shared" ref="R1244" si="170" xml:space="preserve"> IF(C1244&lt; DATE(2024, 11, 1), D1244 * (2.31 / 100), D1244 * (2.925 / 100))+E1244*E$6+F1244*F$6+G1244*G$6+H1244*H$6+I1244*I$6+J1244*J$6+K1244*K$6+L1244*L$6+M1244*M$6+N1244*N$6+O1244*O$6+P1244*P$6+Q1244*Q$6</f>
        <v>148971.29949999999</v>
      </c>
      <c r="S1244" s="1007">
        <v>9.225053589581675</v>
      </c>
      <c r="T1244" s="1007">
        <v>0.50419999999999998</v>
      </c>
      <c r="U1244" s="1007">
        <v>5.3147839285056925E-3</v>
      </c>
      <c r="V1244" s="1007">
        <v>2.7E-2</v>
      </c>
      <c r="W1244" s="1007">
        <v>0.24365199999999998</v>
      </c>
      <c r="X1244" s="1103">
        <v>6.0609887667175419</v>
      </c>
      <c r="Y1244" s="1007">
        <v>10.15</v>
      </c>
      <c r="Z1244" s="1021">
        <v>0</v>
      </c>
      <c r="AA1244" s="1007">
        <v>0</v>
      </c>
      <c r="AB1244" s="1007">
        <v>0</v>
      </c>
      <c r="AC1244" s="1007">
        <v>0.20699595352643516</v>
      </c>
      <c r="AD1244" s="1007">
        <v>8.9254616349565483E-2</v>
      </c>
      <c r="AE1244" s="1007">
        <v>0</v>
      </c>
      <c r="AF1244" s="1007">
        <v>14.09636780151042</v>
      </c>
      <c r="AG1244" s="1096">
        <f xml:space="preserve"> IF(C1244&lt; DATE(2024, 11, 1), S1244 * (2.31 / 100), S1244 * (2.925 / 100))+T1244*T$6+U1412*U$6+V1244*V$6+W1244*W$6+X1244*X$6+Y1244*Y$6+Z1244*Z$6+AA1244*AA$6+AB1244*AB$6+AC1244*AC$6+AD1244*AD$6+AE1244*AE$6+AF1244*AF$6</f>
        <v>6.9691704985232779</v>
      </c>
      <c r="AH1244" s="1097">
        <v>202608</v>
      </c>
      <c r="AI1244" s="1017"/>
      <c r="AJ1244" s="1109" t="s">
        <v>2414</v>
      </c>
    </row>
    <row r="1245" spans="3:36" s="301" customFormat="1" ht="15.75">
      <c r="C1245" s="1032">
        <v>46253</v>
      </c>
      <c r="D1245" s="1100">
        <v>254387</v>
      </c>
      <c r="E1245" s="1006">
        <v>33742</v>
      </c>
      <c r="F1245" s="1004">
        <v>21820.62</v>
      </c>
      <c r="G1245" s="1100">
        <v>5129</v>
      </c>
      <c r="H1245" s="1100">
        <v>1800</v>
      </c>
      <c r="I1245" s="1100">
        <v>181965</v>
      </c>
      <c r="J1245" s="1100">
        <v>153424</v>
      </c>
      <c r="K1245" s="1100">
        <v>53248.74</v>
      </c>
      <c r="L1245" s="1100">
        <v>11351</v>
      </c>
      <c r="M1245" s="1100">
        <v>407260</v>
      </c>
      <c r="N1245" s="1100">
        <v>6914</v>
      </c>
      <c r="O1245" s="1100">
        <v>5810</v>
      </c>
      <c r="P1245" s="1004">
        <v>0</v>
      </c>
      <c r="Q1245" s="1094">
        <v>0</v>
      </c>
      <c r="R1245" s="1095">
        <f t="shared" ref="R1245" si="171" xml:space="preserve"> IF(C1245&lt; DATE(2024, 11, 1), D1245 * (2.31 / 100), D1245 * (2.925 / 100))+E1245*E$6+F1245*F$6+G1245*G$6+H1245*H$6+I1245*I$6+J1245*J$6+K1245*K$6+L1245*L$6+M1245*M$6+N1245*N$6+O1245*O$6+P1245*P$6+Q1245*Q$6</f>
        <v>147898.88750000001</v>
      </c>
      <c r="S1245" s="1015">
        <v>12.442410667512396</v>
      </c>
      <c r="T1245" s="1015">
        <v>0.51126799999999994</v>
      </c>
      <c r="U1245" s="1015">
        <v>3.7808617940970758E-3</v>
      </c>
      <c r="V1245" s="1015">
        <v>2.5999999999999999E-2</v>
      </c>
      <c r="W1245" s="1015">
        <v>0.24169399999999999</v>
      </c>
      <c r="X1245" s="1103">
        <v>5.9550000000000001</v>
      </c>
      <c r="Y1245" s="1015">
        <v>10.17</v>
      </c>
      <c r="Z1245" s="1021">
        <v>0</v>
      </c>
      <c r="AA1245" s="1021">
        <v>0</v>
      </c>
      <c r="AB1245" s="1021">
        <v>0</v>
      </c>
      <c r="AC1245" s="1015">
        <v>0.2075622899245923</v>
      </c>
      <c r="AD1245" s="1015">
        <v>8.8263527652790483E-2</v>
      </c>
      <c r="AE1245" s="1015">
        <v>0</v>
      </c>
      <c r="AF1245" s="1015">
        <v>14.085069390367185</v>
      </c>
      <c r="AG1245" s="1096">
        <f xml:space="preserve"> IF(C1245&lt; DATE(2024, 11, 1), S1245 * (2.31 / 100), S1245 * (2.925 / 100))+T1245*T$6+U1413*U$6+V1245*V$6+W1245*W$6+X1245*X$6+Y1245*Y$6+Z1245*Z$6+AA1245*AA$6+AB1245*AB$6+AC1245*AC$6+AD1245*AD$6+AE1245*AE$6+AF1245*AF$6</f>
        <v>7.0444759313399796</v>
      </c>
      <c r="AH1245" s="1097">
        <v>202608</v>
      </c>
      <c r="AI1245" s="1017"/>
      <c r="AJ1245" s="1109" t="s">
        <v>2415</v>
      </c>
    </row>
    <row r="1246" spans="3:36" s="301" customFormat="1" ht="15.75">
      <c r="C1246" s="1032">
        <v>46254</v>
      </c>
      <c r="D1246" s="1024">
        <v>249966</v>
      </c>
      <c r="E1246" s="1003">
        <v>35553</v>
      </c>
      <c r="F1246" s="1001">
        <v>22852.14</v>
      </c>
      <c r="G1246" s="1024">
        <v>5115</v>
      </c>
      <c r="H1246" s="1024">
        <v>1863</v>
      </c>
      <c r="I1246" s="1024">
        <v>183543</v>
      </c>
      <c r="J1246" s="1024">
        <v>155250</v>
      </c>
      <c r="K1246" s="1024">
        <v>53184.51</v>
      </c>
      <c r="L1246" s="1024">
        <v>12634</v>
      </c>
      <c r="M1246" s="1024">
        <v>433044</v>
      </c>
      <c r="N1246" s="1024">
        <v>6908</v>
      </c>
      <c r="O1246" s="1024">
        <v>5873</v>
      </c>
      <c r="P1246" s="1001">
        <v>0</v>
      </c>
      <c r="Q1246" s="1094">
        <v>0</v>
      </c>
      <c r="R1246" s="1095">
        <f t="shared" ref="R1246" si="172" xml:space="preserve"> IF(C1246&lt; DATE(2024, 11, 1), D1246 * (2.31 / 100), D1246 * (2.925 / 100))+E1246*E$6+F1246*F$6+G1246*G$6+H1246*H$6+I1246*I$6+J1246*J$6+K1246*K$6+L1246*L$6+M1246*M$6+N1246*N$6+O1246*O$6+P1246*P$6+Q1246*Q$6</f>
        <v>151176.33350000001</v>
      </c>
      <c r="S1246" s="1007">
        <v>12.936256006705424</v>
      </c>
      <c r="T1246" s="1007">
        <v>0.50836400000000004</v>
      </c>
      <c r="U1246" s="1007">
        <v>4.8444415498361875E-3</v>
      </c>
      <c r="V1246" s="1007">
        <v>2.5999999999999999E-2</v>
      </c>
      <c r="W1246" s="1007">
        <v>0.241171</v>
      </c>
      <c r="X1246" s="1103">
        <v>6.0947707328676159</v>
      </c>
      <c r="Y1246" s="1007">
        <v>10.25</v>
      </c>
      <c r="Z1246" s="1021">
        <v>0</v>
      </c>
      <c r="AA1246" s="1021">
        <v>0</v>
      </c>
      <c r="AB1246" s="1021">
        <v>0</v>
      </c>
      <c r="AC1246" s="1007">
        <v>0.20331476693841372</v>
      </c>
      <c r="AD1246" s="1007">
        <v>8.200551045315406E-2</v>
      </c>
      <c r="AE1246" s="1007">
        <v>0</v>
      </c>
      <c r="AF1246" s="1007">
        <v>14.044378120159593</v>
      </c>
      <c r="AG1246" s="1096">
        <f xml:space="preserve"> IF(C1246&lt; DATE(2024, 11, 1), S1246 * (2.31 / 100), S1246 * (2.925 / 100))+T1246*T$6+U1414*U$6+V1246*V$6+W1246*W$6+X1246*X$6+Y1246*Y$6+Z1246*Z$6+AA1246*AA$6+AB1246*AB$6+AC1246*AC$6+AD1246*AD$6+AE1246*AE$6+AF1246*AF$6</f>
        <v>7.0964800237412753</v>
      </c>
      <c r="AH1246" s="1097">
        <v>202608</v>
      </c>
      <c r="AI1246" s="1017"/>
      <c r="AJ1246" s="1109" t="s">
        <v>2415</v>
      </c>
    </row>
    <row r="1247" spans="3:36" s="301" customFormat="1" ht="15.75">
      <c r="C1247" s="1032">
        <v>46255</v>
      </c>
      <c r="D1247" s="1100">
        <v>256656</v>
      </c>
      <c r="E1247" s="1006">
        <v>35478</v>
      </c>
      <c r="F1247" s="1004">
        <v>22502.55</v>
      </c>
      <c r="G1247" s="1100">
        <v>5121</v>
      </c>
      <c r="H1247" s="1100">
        <v>1816</v>
      </c>
      <c r="I1247" s="1100">
        <v>184774</v>
      </c>
      <c r="J1247" s="1100">
        <v>156128</v>
      </c>
      <c r="K1247" s="1100">
        <v>54691.85</v>
      </c>
      <c r="L1247" s="1100">
        <v>10934</v>
      </c>
      <c r="M1247" s="1100">
        <v>426258</v>
      </c>
      <c r="N1247" s="1100">
        <v>6910</v>
      </c>
      <c r="O1247" s="1100">
        <v>5830</v>
      </c>
      <c r="P1247" s="1004">
        <v>0</v>
      </c>
      <c r="Q1247" s="1094">
        <v>0</v>
      </c>
      <c r="R1247" s="1095">
        <f t="shared" ref="R1247" si="173" xml:space="preserve"> IF(C1247&lt; DATE(2024, 11, 1), D1247 * (2.31 / 100), D1247 * (2.925 / 100))+E1247*E$6+F1247*F$6+G1247*G$6+H1247*H$6+I1247*I$6+J1247*J$6+K1247*K$6+L1247*L$6+M1247*M$6+N1247*N$6+O1247*O$6+P1247*P$6+Q1247*Q$6</f>
        <v>151215.823</v>
      </c>
      <c r="S1247" s="1015">
        <v>12.905107504806779</v>
      </c>
      <c r="T1247" s="1015">
        <v>0.49226599999999998</v>
      </c>
      <c r="U1247" s="1015">
        <v>5.2162413952263507E-3</v>
      </c>
      <c r="V1247" s="1015">
        <v>2.9000000000000001E-2</v>
      </c>
      <c r="W1247" s="1015">
        <v>0.23885300000000001</v>
      </c>
      <c r="X1247" s="1103">
        <v>6.566415685252883</v>
      </c>
      <c r="Y1247" s="1015">
        <v>10.220000000000001</v>
      </c>
      <c r="Z1247" s="1021">
        <v>0</v>
      </c>
      <c r="AA1247" s="1021">
        <v>0</v>
      </c>
      <c r="AB1247" s="1021">
        <v>0</v>
      </c>
      <c r="AC1247" s="1015">
        <v>0.19255437537342804</v>
      </c>
      <c r="AD1247" s="1015">
        <v>8.9566101368551893E-2</v>
      </c>
      <c r="AE1247" s="1015">
        <v>0</v>
      </c>
      <c r="AF1247" s="1015">
        <v>14.061141677545043</v>
      </c>
      <c r="AG1247" s="1096">
        <f xml:space="preserve"> IF(C1247&lt; DATE(2024, 11, 1), S1247 * (2.31 / 100), S1247 * (2.925 / 100))+T1247*T$6+U1415*U$6+V1247*V$6+W1247*W$6+X1247*X$6+Y1247*Y$6+Z1247*Z$6+AA1247*AA$6+AB1247*AB$6+AC1247*AC$6+AD1247*AD$6+AE1247*AE$6+AF1247*AF$6</f>
        <v>7.1816238585873311</v>
      </c>
      <c r="AH1247" s="1097">
        <v>202608</v>
      </c>
      <c r="AI1247" s="1017"/>
      <c r="AJ1247" s="1109" t="s">
        <v>2415</v>
      </c>
    </row>
    <row r="1248" spans="3:36" s="301" customFormat="1" ht="15.75">
      <c r="C1248" s="1032">
        <v>46256</v>
      </c>
      <c r="D1248" s="1024">
        <v>249367</v>
      </c>
      <c r="E1248" s="1003">
        <v>35755</v>
      </c>
      <c r="F1248" s="1001">
        <v>22422.67</v>
      </c>
      <c r="G1248" s="1024">
        <v>5169</v>
      </c>
      <c r="H1248" s="1024">
        <v>1825</v>
      </c>
      <c r="I1248" s="1024">
        <v>179518</v>
      </c>
      <c r="J1248" s="1024">
        <v>156398</v>
      </c>
      <c r="K1248" s="1024">
        <v>54386.74</v>
      </c>
      <c r="L1248" s="1024">
        <v>11989</v>
      </c>
      <c r="M1248" s="1024">
        <v>432042</v>
      </c>
      <c r="N1248" s="1024">
        <v>6988</v>
      </c>
      <c r="O1248" s="1024">
        <v>5933</v>
      </c>
      <c r="P1248" s="1001">
        <v>0</v>
      </c>
      <c r="Q1248" s="1094">
        <v>0</v>
      </c>
      <c r="R1248" s="1095">
        <f t="shared" ref="R1248" si="174" xml:space="preserve"> IF(C1248&lt; DATE(2024, 11, 1), D1248 * (2.31 / 100), D1248 * (2.925 / 100))+E1248*E$6+F1248*F$6+G1248*G$6+H1248*H$6+I1248*I$6+J1248*J$6+K1248*K$6+L1248*L$6+M1248*M$6+N1248*N$6+O1248*O$6+P1248*P$6+Q1248*Q$6</f>
        <v>150532.875</v>
      </c>
      <c r="S1248" s="1007">
        <v>12.618541287339266</v>
      </c>
      <c r="T1248" s="1007">
        <v>0.48236600000000002</v>
      </c>
      <c r="U1248" s="1007">
        <v>5.4187066575675288E-3</v>
      </c>
      <c r="V1248" s="1007">
        <v>2.4E-2</v>
      </c>
      <c r="W1248" s="1007">
        <v>0.23821199999999998</v>
      </c>
      <c r="X1248" s="1103">
        <v>7.1215103059066047</v>
      </c>
      <c r="Y1248" s="1007">
        <v>10.23</v>
      </c>
      <c r="Z1248" s="1021">
        <v>0</v>
      </c>
      <c r="AA1248" s="1021">
        <v>0</v>
      </c>
      <c r="AB1248" s="1021">
        <v>0</v>
      </c>
      <c r="AC1248" s="1007">
        <v>0.1996335803503923</v>
      </c>
      <c r="AD1248" s="1007">
        <v>9.3502139335744028E-2</v>
      </c>
      <c r="AE1248" s="1007">
        <v>0</v>
      </c>
      <c r="AF1248" s="1007">
        <v>14.05777197597601</v>
      </c>
      <c r="AG1248" s="1096">
        <f xml:space="preserve"> IF(C1248&lt; DATE(2024, 11, 1), S1248 * (2.31 / 100), S1248 * (2.925 / 100))+T1248*T$6+U1416*U$6+V1248*V$6+W1248*W$6+X1248*X$6+Y1248*Y$6+Z1248*Z$6+AA1248*AA$6+AB1248*AB$6+AC1248*AC$6+AD1248*AD$6+AE1248*AE$6+AF1248*AF$6</f>
        <v>7.2828269993247572</v>
      </c>
      <c r="AH1248" s="1097">
        <v>202608</v>
      </c>
      <c r="AI1248" s="1017"/>
      <c r="AJ1248" s="1109" t="s">
        <v>2415</v>
      </c>
    </row>
    <row r="1249" spans="3:36" s="301" customFormat="1" ht="15.75">
      <c r="C1249" s="1032">
        <v>46257</v>
      </c>
      <c r="D1249" s="1100">
        <v>230415</v>
      </c>
      <c r="E1249" s="1006">
        <v>36019</v>
      </c>
      <c r="F1249" s="1004">
        <v>22456.5</v>
      </c>
      <c r="G1249" s="1100">
        <v>5051</v>
      </c>
      <c r="H1249" s="1100">
        <v>1868</v>
      </c>
      <c r="I1249" s="1100">
        <v>193712</v>
      </c>
      <c r="J1249" s="1100">
        <v>156705</v>
      </c>
      <c r="K1249" s="1100">
        <v>53794.26</v>
      </c>
      <c r="L1249" s="1100">
        <v>10942</v>
      </c>
      <c r="M1249" s="1100">
        <v>429870</v>
      </c>
      <c r="N1249" s="1100">
        <v>7038</v>
      </c>
      <c r="O1249" s="1100">
        <v>5921</v>
      </c>
      <c r="P1249" s="1004">
        <v>0</v>
      </c>
      <c r="Q1249" s="1094">
        <v>0</v>
      </c>
      <c r="R1249" s="1095">
        <f t="shared" ref="R1249" si="175" xml:space="preserve"> IF(C1249&lt; DATE(2024, 11, 1), D1249 * (2.31 / 100), D1249 * (2.925 / 100))+E1249*E$6+F1249*F$6+G1249*G$6+H1249*H$6+I1249*I$6+J1249*J$6+K1249*K$6+L1249*L$6+M1249*M$6+N1249*N$6+O1249*O$6+P1249*P$6+Q1249*Q$6</f>
        <v>152489.22124999997</v>
      </c>
      <c r="S1249" s="1015">
        <v>13.691748761847048</v>
      </c>
      <c r="T1249" s="1015">
        <v>0.52361800000000003</v>
      </c>
      <c r="U1249" s="1015">
        <v>5.4187066575675288E-3</v>
      </c>
      <c r="V1249" s="1015">
        <v>2.4E-2</v>
      </c>
      <c r="W1249" s="1015">
        <v>0.23799299999999998</v>
      </c>
      <c r="X1249" s="1103">
        <v>7.3846868301302289</v>
      </c>
      <c r="Y1249" s="1015">
        <v>10.210000000000001</v>
      </c>
      <c r="Z1249" s="1021">
        <v>0</v>
      </c>
      <c r="AA1249" s="1021">
        <v>0</v>
      </c>
      <c r="AB1249" s="1021">
        <v>0</v>
      </c>
      <c r="AC1249" s="1015">
        <v>0.19255437537342804</v>
      </c>
      <c r="AD1249" s="1015">
        <v>8.8376794932421898E-2</v>
      </c>
      <c r="AE1249" s="1015">
        <v>0</v>
      </c>
      <c r="AF1249" s="1015">
        <v>14.042254358666504</v>
      </c>
      <c r="AG1249" s="1096">
        <f xml:space="preserve"> IF(C1249&lt; DATE(2024, 11, 1), S1249 * (2.31 / 100), S1249 * (2.925 / 100))+T1249*T$6+U1417*U$6+V1249*V$6+W1249*W$6+X1249*X$6+Y1249*Y$6+Z1249*Z$6+AA1249*AA$6+AB1249*AB$6+AC1249*AC$6+AD1249*AD$6+AE1249*AE$6+AF1249*AF$6</f>
        <v>7.367105817547424</v>
      </c>
      <c r="AH1249" s="1097">
        <v>202608</v>
      </c>
      <c r="AI1249" s="1017"/>
      <c r="AJ1249" s="1109" t="s">
        <v>2415</v>
      </c>
    </row>
    <row r="1250" spans="3:36" s="301" customFormat="1" ht="15.75">
      <c r="C1250" s="1032">
        <v>46258</v>
      </c>
      <c r="D1250" s="1024">
        <v>226132</v>
      </c>
      <c r="E1250" s="1003">
        <v>36302</v>
      </c>
      <c r="F1250" s="1001">
        <v>22453.34</v>
      </c>
      <c r="G1250" s="1024">
        <v>5015</v>
      </c>
      <c r="H1250" s="1024">
        <v>1850</v>
      </c>
      <c r="I1250" s="1024">
        <v>195285</v>
      </c>
      <c r="J1250" s="1108">
        <v>156705</v>
      </c>
      <c r="K1250" s="1024">
        <v>52795.199999999997</v>
      </c>
      <c r="L1250" s="1024">
        <v>8366</v>
      </c>
      <c r="M1250" s="1024">
        <v>430179</v>
      </c>
      <c r="N1250" s="1024">
        <v>6995</v>
      </c>
      <c r="O1250" s="1024">
        <v>6025</v>
      </c>
      <c r="P1250" s="1001">
        <v>0</v>
      </c>
      <c r="Q1250" s="1094">
        <v>0</v>
      </c>
      <c r="R1250" s="1095">
        <f t="shared" ref="R1250" si="176" xml:space="preserve"> IF(C1250&lt; DATE(2024, 11, 1), D1250 * (2.31 / 100), D1250 * (2.925 / 100))+E1250*E$6+F1250*F$6+G1250*G$6+H1250*H$6+I1250*I$6+J1250*J$6+K1250*K$6+L1250*L$6+M1250*M$6+N1250*N$6+O1250*O$6+P1250*P$6+Q1250*Q$6</f>
        <v>151894.74650000001</v>
      </c>
      <c r="S1250" s="1007">
        <v>13.269261808821822</v>
      </c>
      <c r="T1250" s="1007">
        <v>0.56180399999999997</v>
      </c>
      <c r="U1250" s="1007">
        <v>5.4187066575675288E-3</v>
      </c>
      <c r="V1250" s="1007">
        <v>2.5000000000000001E-2</v>
      </c>
      <c r="W1250" s="1007">
        <v>0.257747</v>
      </c>
      <c r="X1250" s="1103">
        <v>7.4042820695064657</v>
      </c>
      <c r="Y1250" s="1054">
        <v>10.210000000000001</v>
      </c>
      <c r="Z1250" s="1021">
        <v>0</v>
      </c>
      <c r="AA1250" s="1021">
        <v>0</v>
      </c>
      <c r="AB1250" s="1021">
        <v>0</v>
      </c>
      <c r="AC1250" s="1007">
        <v>0.17443161063239954</v>
      </c>
      <c r="AD1250" s="1007">
        <v>8.5431845662004763E-2</v>
      </c>
      <c r="AE1250" s="1007">
        <v>0</v>
      </c>
      <c r="AF1250" s="1007">
        <v>14.04389673422116</v>
      </c>
      <c r="AG1250" s="1096">
        <f xml:space="preserve"> IF(C1250&lt; DATE(2024, 11, 1), S1250 * (2.31 / 100), S1250 * (2.925 / 100))+T1250*T$6+U1418*U$6+V1250*V$6+W1250*W$6+X1250*X$6+Y1250*Y$6+Z1250*Z$6+AA1250*AA$6+AB1250*AB$6+AC1250*AC$6+AD1250*AD$6+AE1250*AE$6+AF1250*AF$6</f>
        <v>7.3863390620612961</v>
      </c>
      <c r="AH1250" s="1097">
        <v>202608</v>
      </c>
      <c r="AI1250" s="1017" t="s">
        <v>2418</v>
      </c>
      <c r="AJ1250" s="1109" t="s">
        <v>2416</v>
      </c>
    </row>
    <row r="1251" spans="3:36" s="301" customFormat="1" ht="15.75">
      <c r="C1251" s="1032">
        <v>46259</v>
      </c>
      <c r="D1251" s="1100">
        <v>262545</v>
      </c>
      <c r="E1251" s="1006">
        <v>36497</v>
      </c>
      <c r="F1251" s="1004">
        <v>22258.469999999998</v>
      </c>
      <c r="G1251" s="1100">
        <v>5005</v>
      </c>
      <c r="H1251" s="1100">
        <v>1796</v>
      </c>
      <c r="I1251" s="1100">
        <v>196545</v>
      </c>
      <c r="J1251" s="1108">
        <v>156705</v>
      </c>
      <c r="K1251" s="1100">
        <v>52638.71</v>
      </c>
      <c r="L1251" s="1100">
        <v>15090</v>
      </c>
      <c r="M1251" s="1100">
        <v>431948</v>
      </c>
      <c r="N1251" s="1100">
        <v>7037</v>
      </c>
      <c r="O1251" s="1100">
        <v>5595</v>
      </c>
      <c r="P1251" s="1004">
        <v>0</v>
      </c>
      <c r="Q1251" s="1094">
        <v>0</v>
      </c>
      <c r="R1251" s="1095">
        <f t="shared" ref="R1251" si="177" xml:space="preserve"> IF(C1251&lt; DATE(2024, 11, 1), D1251 * (2.31 / 100), D1251 * (2.925 / 100))+E1251*E$6+F1251*F$6+G1251*G$6+H1251*H$6+I1251*I$6+J1251*J$6+K1251*K$6+L1251*L$6+M1251*M$6+N1251*N$6+O1251*O$6+P1251*P$6+Q1251*Q$6</f>
        <v>154555.49025000003</v>
      </c>
      <c r="S1251" s="1015">
        <v>6.2639637318170607</v>
      </c>
      <c r="T1251" s="1015">
        <v>0.573411</v>
      </c>
      <c r="U1251" s="1015">
        <v>5.4187066575675288E-3</v>
      </c>
      <c r="V1251" s="1015">
        <v>2.5000000000000001E-2</v>
      </c>
      <c r="W1251" s="1015">
        <v>0.24856</v>
      </c>
      <c r="X1251" s="1103">
        <v>7.790410225770005</v>
      </c>
      <c r="Y1251" s="1054">
        <v>10.210000000000001</v>
      </c>
      <c r="Z1251" s="1021">
        <v>0</v>
      </c>
      <c r="AA1251" s="1021">
        <v>0</v>
      </c>
      <c r="AB1251" s="1021">
        <v>0</v>
      </c>
      <c r="AC1251" s="1015">
        <v>0.18972269338264236</v>
      </c>
      <c r="AD1251" s="1015">
        <v>8.585659796062263E-2</v>
      </c>
      <c r="AE1251" s="1015">
        <v>0</v>
      </c>
      <c r="AF1251" s="1015">
        <v>13.993464477965267</v>
      </c>
      <c r="AG1251" s="1096">
        <f xml:space="preserve"> IF(C1251&lt; DATE(2024, 11, 1), S1251 * (2.31 / 100), S1251 * (2.925 / 100))+T1251*T$6+U1419*U$6+V1251*V$6+W1251*W$6+X1251*X$6+Y1251*Y$6+Z1251*Z$6+AA1251*AA$6+AB1251*AB$6+AC1251*AC$6+AD1251*AD$6+AE1251*AE$6+AF1251*AF$6</f>
        <v>7.2458850510200854</v>
      </c>
      <c r="AH1251" s="1097">
        <v>202608</v>
      </c>
      <c r="AI1251" s="1017" t="s">
        <v>2419</v>
      </c>
      <c r="AJ1251" s="1109" t="s">
        <v>2417</v>
      </c>
    </row>
    <row r="1252" spans="3:36" s="301" customFormat="1" ht="15.75">
      <c r="C1252" s="1032">
        <v>46260</v>
      </c>
      <c r="D1252" s="1024">
        <v>309028</v>
      </c>
      <c r="E1252" s="1003">
        <v>36371</v>
      </c>
      <c r="F1252" s="1001">
        <v>22062.41</v>
      </c>
      <c r="G1252" s="1024">
        <v>4925</v>
      </c>
      <c r="H1252" s="1024">
        <v>1854</v>
      </c>
      <c r="I1252" s="1024">
        <v>195276</v>
      </c>
      <c r="J1252" s="1108">
        <v>156705</v>
      </c>
      <c r="K1252" s="1024">
        <v>53747.8</v>
      </c>
      <c r="L1252" s="1024">
        <v>11839</v>
      </c>
      <c r="M1252" s="1108">
        <v>431948</v>
      </c>
      <c r="N1252" s="1024">
        <v>7136</v>
      </c>
      <c r="O1252" s="1024">
        <v>4075.9999999999995</v>
      </c>
      <c r="P1252" s="1001">
        <v>0</v>
      </c>
      <c r="Q1252" s="1094">
        <v>0</v>
      </c>
      <c r="R1252" s="1095">
        <f t="shared" ref="R1252" si="178" xml:space="preserve"> IF(C1252&lt; DATE(2024, 11, 1), D1252 * (2.31 / 100), D1252 * (2.925 / 100))+E1252*E$6+F1252*F$6+G1252*G$6+H1252*H$6+I1252*I$6+J1252*J$6+K1252*K$6+L1252*L$6+M1252*M$6+N1252*N$6+O1252*O$6+P1252*P$6+Q1252*Q$6</f>
        <v>154404.31475000002</v>
      </c>
      <c r="S1252" s="1007">
        <v>6.681636825457951</v>
      </c>
      <c r="T1252" s="1007">
        <v>0.57164199999999998</v>
      </c>
      <c r="U1252" s="1007">
        <v>5.5342392827915851E-3</v>
      </c>
      <c r="V1252" s="1007">
        <v>2.5000000000000001E-2</v>
      </c>
      <c r="W1252" s="1007">
        <v>0.244005</v>
      </c>
      <c r="X1252" s="1103">
        <v>8.1902437228689458</v>
      </c>
      <c r="Y1252" s="1054">
        <v>10.210000000000001</v>
      </c>
      <c r="Z1252" s="1021">
        <v>0</v>
      </c>
      <c r="AA1252" s="1021">
        <v>0</v>
      </c>
      <c r="AB1252" s="1015"/>
      <c r="AC1252" s="1007">
        <v>0.18717417959093521</v>
      </c>
      <c r="AD1252" s="1007">
        <v>8.8688279951408336E-2</v>
      </c>
      <c r="AE1252" s="1007">
        <v>0</v>
      </c>
      <c r="AF1252" s="1007">
        <v>14.031918719400137</v>
      </c>
      <c r="AG1252" s="1096">
        <f xml:space="preserve"> IF(C1252&lt; DATE(2024, 11, 1), S1252 * (2.31 / 100), S1252 * (2.925 / 100))+T1252*T$6+U1420*U$6+V1252*V$6+W1252*W$6+X1252*X$6+Y1252*Y$6+Z1252*Z$6+AA1252*AA$6+AB1252*AB$6+AC1252*AC$6+AD1252*AD$6+AE1252*AE$6+AF1252*AF$6</f>
        <v>7.3404256157520242</v>
      </c>
      <c r="AH1252" s="1097">
        <v>202608</v>
      </c>
      <c r="AI1252" s="1017" t="s">
        <v>2421</v>
      </c>
      <c r="AJ1252" s="1109" t="s">
        <v>2420</v>
      </c>
    </row>
    <row r="1253" spans="3:36" s="301" customFormat="1" ht="15.75">
      <c r="C1253" s="1032">
        <v>46261</v>
      </c>
      <c r="D1253" s="1100">
        <v>292544</v>
      </c>
      <c r="E1253" s="1006">
        <v>36289</v>
      </c>
      <c r="F1253" s="1004">
        <v>22130.31</v>
      </c>
      <c r="G1253" s="1100">
        <v>4988</v>
      </c>
      <c r="H1253" s="1100">
        <v>1797</v>
      </c>
      <c r="I1253" s="1100">
        <v>187268</v>
      </c>
      <c r="J1253" s="1108">
        <v>156705</v>
      </c>
      <c r="K1253" s="1100">
        <v>51879.16</v>
      </c>
      <c r="L1253" s="1100">
        <v>11469</v>
      </c>
      <c r="M1253" s="1108">
        <v>431948</v>
      </c>
      <c r="N1253" s="1100">
        <v>6802</v>
      </c>
      <c r="O1253" s="1100">
        <v>5371</v>
      </c>
      <c r="P1253" s="1004">
        <v>0</v>
      </c>
      <c r="Q1253" s="1094">
        <v>0</v>
      </c>
      <c r="R1253" s="1095">
        <f t="shared" ref="R1253" si="179" xml:space="preserve"> IF(C1253&lt; DATE(2024, 11, 1), D1253 * (2.31 / 100), D1253 * (2.925 / 100))+E1253*E$6+F1253*F$6+G1253*G$6+H1253*H$6+I1253*I$6+J1253*J$6+K1253*K$6+L1253*L$6+M1253*M$6+N1253*N$6+O1253*O$6+P1253*P$6+Q1253*Q$6</f>
        <v>152245.28524999999</v>
      </c>
      <c r="S1253" s="1015">
        <v>7.4371295805995796</v>
      </c>
      <c r="T1253" s="1015">
        <v>0.56919799999999998</v>
      </c>
      <c r="U1253" s="1015">
        <v>5.5934214363990067E-3</v>
      </c>
      <c r="V1253" s="1015">
        <v>2.4E-2</v>
      </c>
      <c r="W1253" s="1015">
        <v>0.23832</v>
      </c>
      <c r="X1253" s="1103">
        <v>8.3185472338714472</v>
      </c>
      <c r="Y1253" s="1054">
        <v>10.210000000000001</v>
      </c>
      <c r="Z1253" s="1021">
        <v>0</v>
      </c>
      <c r="AA1253" s="1021">
        <v>0</v>
      </c>
      <c r="AB1253" s="1015"/>
      <c r="AC1253" s="1015">
        <v>0.17867913361857807</v>
      </c>
      <c r="AD1253" s="1015">
        <v>8.1495807694812641E-2</v>
      </c>
      <c r="AE1253" s="1015">
        <v>0</v>
      </c>
      <c r="AF1253" s="1015">
        <v>13.963958351621278</v>
      </c>
      <c r="AG1253" s="1096">
        <f xml:space="preserve"> IF(C1253&lt; DATE(2024, 11, 1), S1253 * (2.31 / 100), S1253 * (2.925 / 100))+T1253*T$6+U1421*U$6+V1253*V$6+W1253*W$6+X1253*X$6+Y1253*Y$6+Z1253*Z$6+AA1253*AA$6+AB1253*AB$6+AC1253*AC$6+AD1253*AD$6+AE1253*AE$6+AF1253*AF$6</f>
        <v>7.3659748945584145</v>
      </c>
      <c r="AH1253" s="1097">
        <v>202608</v>
      </c>
      <c r="AI1253" s="1017" t="s">
        <v>2421</v>
      </c>
      <c r="AJ1253" s="1109" t="s">
        <v>2420</v>
      </c>
    </row>
    <row r="1254" spans="3:36" s="301" customFormat="1" ht="15.75">
      <c r="C1254" s="1032">
        <v>46262</v>
      </c>
      <c r="D1254" s="1024">
        <v>295342</v>
      </c>
      <c r="E1254" s="1003">
        <v>36597</v>
      </c>
      <c r="F1254" s="1001">
        <v>22123.279999999999</v>
      </c>
      <c r="G1254" s="1024">
        <v>5038</v>
      </c>
      <c r="H1254" s="1024">
        <v>1814</v>
      </c>
      <c r="I1254" s="1024">
        <v>167033</v>
      </c>
      <c r="J1254" s="1108">
        <v>156705</v>
      </c>
      <c r="K1254" s="1024">
        <v>52592.26</v>
      </c>
      <c r="L1254" s="1024">
        <v>11202</v>
      </c>
      <c r="M1254" s="1108">
        <v>431948</v>
      </c>
      <c r="N1254" s="1024">
        <v>7047</v>
      </c>
      <c r="O1254" s="1024">
        <v>5504</v>
      </c>
      <c r="P1254" s="1001">
        <v>0</v>
      </c>
      <c r="Q1254" s="1094">
        <v>0</v>
      </c>
      <c r="R1254" s="1095">
        <f t="shared" ref="R1254" si="180" xml:space="preserve"> IF(C1254&lt; DATE(2024, 11, 1), D1254 * (2.31 / 100), D1254 * (2.925 / 100))+E1254*E$6+F1254*F$6+G1254*G$6+H1254*H$6+I1254*I$6+J1254*J$6+K1254*K$6+L1254*L$6+M1254*M$6+N1254*N$6+O1254*O$6+P1254*P$6+Q1254*Q$6</f>
        <v>148594.37700000004</v>
      </c>
      <c r="S1254" s="1007">
        <v>7.2519375784021918</v>
      </c>
      <c r="T1254" s="1007">
        <v>0.60372800000000004</v>
      </c>
      <c r="U1254" s="1007">
        <v>5.6545857673999779E-3</v>
      </c>
      <c r="V1254" s="1007">
        <v>2.5999999999999999E-2</v>
      </c>
      <c r="W1254" s="1007">
        <v>0.23219000000000001</v>
      </c>
      <c r="X1254" s="1103">
        <v>8.0617136773071838</v>
      </c>
      <c r="Y1254" s="1054">
        <v>10.210000000000001</v>
      </c>
      <c r="Z1254" s="1021">
        <v>0</v>
      </c>
      <c r="AA1254" s="1021">
        <v>0</v>
      </c>
      <c r="AB1254" s="1015"/>
      <c r="AC1254" s="1007">
        <v>0.17924547001673524</v>
      </c>
      <c r="AD1254" s="1007">
        <v>8.4100955126335489E-2</v>
      </c>
      <c r="AE1254" s="1007">
        <v>0</v>
      </c>
      <c r="AF1254" s="1007">
        <v>14.016910804848971</v>
      </c>
      <c r="AG1254" s="1096">
        <f xml:space="preserve"> IF(C1254&lt; DATE(2024, 11, 1), S1254 * (2.31 / 100), S1254 * (2.925 / 100))+T1254*T$6+U1422*U$6+V1254*V$6+W1254*W$6+X1254*X$6+Y1254*Y$6+Z1254*Z$6+AA1254*AA$6+AB1254*AB$6+AC1254*AC$6+AD1254*AD$6+AE1254*AE$6+AF1254*AF$6</f>
        <v>7.3234906902064019</v>
      </c>
      <c r="AH1254" s="1097">
        <v>202608</v>
      </c>
      <c r="AI1254" s="1017" t="s">
        <v>2421</v>
      </c>
      <c r="AJ1254" s="1109" t="s">
        <v>2420</v>
      </c>
    </row>
    <row r="1255" spans="3:36" s="301" customFormat="1" ht="15.75">
      <c r="C1255" s="1032">
        <v>46263</v>
      </c>
      <c r="D1255" s="1100">
        <v>317380</v>
      </c>
      <c r="E1255" s="1006">
        <v>37503</v>
      </c>
      <c r="F1255" s="1004">
        <v>22105.46</v>
      </c>
      <c r="G1255" s="1100">
        <v>5175</v>
      </c>
      <c r="H1255" s="1100">
        <v>1824</v>
      </c>
      <c r="I1255" s="1100">
        <v>192313</v>
      </c>
      <c r="J1255" s="1108">
        <v>156705</v>
      </c>
      <c r="K1255" s="1108">
        <v>52592.26</v>
      </c>
      <c r="L1255" s="1100">
        <v>12197</v>
      </c>
      <c r="M1255" s="1108">
        <v>431948</v>
      </c>
      <c r="N1255" s="1100">
        <v>6995</v>
      </c>
      <c r="O1255" s="1100">
        <v>5831</v>
      </c>
      <c r="P1255" s="1004">
        <v>0</v>
      </c>
      <c r="Q1255" s="1094">
        <v>0</v>
      </c>
      <c r="R1255" s="1095">
        <f t="shared" ref="R1255" si="181" xml:space="preserve"> IF(C1255&lt; DATE(2024, 11, 1), D1255 * (2.31 / 100), D1255 * (2.925 / 100))+E1255*E$6+F1255*F$6+G1255*G$6+H1255*H$6+I1255*I$6+J1255*J$6+K1255*K$6+L1255*L$6+M1255*M$6+N1255*N$6+O1255*O$6+P1255*P$6+Q1255*Q$6</f>
        <v>154970.75825000001</v>
      </c>
      <c r="S1255" s="1015">
        <v>6.4106448589397607</v>
      </c>
      <c r="T1255" s="1015">
        <v>0.57910700000000004</v>
      </c>
      <c r="U1255" s="1015">
        <v>5.4456076364799927E-3</v>
      </c>
      <c r="V1255" s="1015">
        <v>2.7E-2</v>
      </c>
      <c r="W1255" s="1015">
        <v>0.23337799999999997</v>
      </c>
      <c r="X1255" s="1103">
        <v>8.3654398876388587</v>
      </c>
      <c r="Y1255" s="1054">
        <v>10.210000000000001</v>
      </c>
      <c r="Z1255" s="1015"/>
      <c r="AA1255" s="1021">
        <v>0</v>
      </c>
      <c r="AB1255" s="1015"/>
      <c r="AC1255" s="1015">
        <v>0.18037814281304951</v>
      </c>
      <c r="AD1255" s="1015">
        <v>8.5799964320806901E-2</v>
      </c>
      <c r="AE1255" s="1015">
        <v>0</v>
      </c>
      <c r="AF1255" s="1015">
        <v>14.010029817611361</v>
      </c>
      <c r="AG1255" s="1096">
        <f xml:space="preserve"> IF(C1255&lt; DATE(2024, 11, 1), S1255 * (2.31 / 100), S1255 * (2.925 / 100))+T1255*T$6+U1423*U$6+V1255*V$6+W1255*W$6+X1255*X$6+Y1255*Y$6+Z1255*Z$6+AA1255*AA$6+AB1255*AB$6+AC1255*AC$6+AD1255*AD$6+AE1255*AE$6+AF1255*AF$6</f>
        <v>7.3543028800834502</v>
      </c>
      <c r="AH1255" s="1097">
        <v>202608</v>
      </c>
      <c r="AI1255" s="1017" t="s">
        <v>2422</v>
      </c>
      <c r="AJ1255" s="1109" t="s">
        <v>2407</v>
      </c>
    </row>
    <row r="1256" spans="3:36" s="301" customFormat="1" ht="15.75">
      <c r="C1256" s="1032">
        <v>46264</v>
      </c>
      <c r="D1256" s="1024">
        <v>330793</v>
      </c>
      <c r="E1256" s="1003">
        <v>37478</v>
      </c>
      <c r="F1256" s="1001">
        <v>22184.98</v>
      </c>
      <c r="G1256" s="1024">
        <v>5137</v>
      </c>
      <c r="H1256" s="1024">
        <v>1853</v>
      </c>
      <c r="I1256" s="1024">
        <v>199390</v>
      </c>
      <c r="J1256" s="1108">
        <v>156705</v>
      </c>
      <c r="K1256" s="1108">
        <v>52592.26</v>
      </c>
      <c r="L1256" s="1024">
        <v>12590</v>
      </c>
      <c r="M1256" s="1108">
        <v>431948</v>
      </c>
      <c r="N1256" s="1024">
        <v>7044</v>
      </c>
      <c r="O1256" s="1024">
        <v>5833</v>
      </c>
      <c r="P1256" s="1001">
        <v>0</v>
      </c>
      <c r="Q1256" s="1094">
        <v>0</v>
      </c>
      <c r="R1256" s="1095">
        <f t="shared" ref="R1256" si="182" xml:space="preserve"> IF(C1256&lt; DATE(2024, 11, 1), D1256 * (2.31 / 100), D1256 * (2.925 / 100))+E1256*E$6+F1256*F$6+G1256*G$6+H1256*H$6+I1256*I$6+J1256*J$6+K1256*K$6+L1256*L$6+M1256*M$6+N1256*N$6+O1256*O$6+P1256*P$6+Q1256*Q$6</f>
        <v>156938.40375</v>
      </c>
      <c r="S1256" s="1007">
        <v>6.4160250547222555</v>
      </c>
      <c r="T1256" s="1007">
        <v>0.57677999999999996</v>
      </c>
      <c r="U1256" s="1007">
        <v>5.4456076364799927E-3</v>
      </c>
      <c r="V1256" s="1007">
        <v>2.4E-2</v>
      </c>
      <c r="W1256" s="1007">
        <v>0.23824299999999998</v>
      </c>
      <c r="X1256" s="1103">
        <v>8.3568032575669609</v>
      </c>
      <c r="Y1256" s="1054">
        <v>10.210000000000001</v>
      </c>
      <c r="Z1256" s="1015"/>
      <c r="AA1256" s="1021">
        <v>0</v>
      </c>
      <c r="AB1256" s="1015"/>
      <c r="AC1256" s="1007">
        <v>0.17896230181765665</v>
      </c>
      <c r="AD1256" s="1007">
        <v>8.999085366716976E-2</v>
      </c>
      <c r="AE1256" s="1007">
        <v>0</v>
      </c>
      <c r="AF1256" s="1007">
        <v>13.984572996514199</v>
      </c>
      <c r="AG1256" s="1096">
        <f xml:space="preserve"> IF(C1256&lt; DATE(2024, 11, 1), S1256 * (2.31 / 100), S1256 * (2.925 / 100))+T1256*T$6+U1424*U$6+V1256*V$6+W1256*W$6+X1256*X$6+Y1256*Y$6+Z1256*Z$6+AA1256*AA$6+AB1256*AB$6+AC1256*AC$6+AD1256*AD$6+AE1256*AE$6+AF1256*AF$6</f>
        <v>7.3526625884382435</v>
      </c>
      <c r="AH1256" s="1097">
        <v>202608</v>
      </c>
      <c r="AI1256" s="1017" t="s">
        <v>2422</v>
      </c>
      <c r="AJ1256" s="1109" t="s">
        <v>2407</v>
      </c>
    </row>
    <row r="1257" spans="3:36" s="301" customFormat="1" ht="15.75">
      <c r="C1257" s="1032">
        <v>46265</v>
      </c>
      <c r="D1257" s="1108">
        <v>330793</v>
      </c>
      <c r="E1257" s="1484">
        <v>37478</v>
      </c>
      <c r="F1257" s="1004">
        <v>21883.03</v>
      </c>
      <c r="G1257" s="1108">
        <v>5137</v>
      </c>
      <c r="H1257" s="1100">
        <v>1836</v>
      </c>
      <c r="I1257" s="1108">
        <v>199390</v>
      </c>
      <c r="J1257" s="1108">
        <v>156705</v>
      </c>
      <c r="K1257" s="1108">
        <v>52592.26</v>
      </c>
      <c r="L1257" s="1100">
        <v>13986</v>
      </c>
      <c r="M1257" s="1108">
        <v>431948</v>
      </c>
      <c r="N1257" s="1100">
        <v>6836</v>
      </c>
      <c r="O1257" s="1100">
        <v>5899</v>
      </c>
      <c r="P1257" s="1004">
        <v>0</v>
      </c>
      <c r="Q1257" s="1094">
        <v>0</v>
      </c>
      <c r="R1257" s="1095">
        <f t="shared" ref="R1257" si="183" xml:space="preserve"> IF(C1257&lt; DATE(2024, 11, 1), D1257 * (2.31 / 100), D1257 * (2.925 / 100))+E1257*E$6+F1257*F$6+G1257*G$6+H1257*H$6+I1257*I$6+J1257*J$6+K1257*K$6+L1257*L$6+M1257*M$6+N1257*N$6+O1257*O$6+P1257*P$6+Q1257*Q$6</f>
        <v>157050.34375</v>
      </c>
      <c r="S1257" s="1054">
        <v>6.4160250547222555</v>
      </c>
      <c r="T1257" s="1054">
        <v>0.57677999999999996</v>
      </c>
      <c r="U1257" s="1015">
        <v>5.4456076364799927E-3</v>
      </c>
      <c r="V1257" s="1054">
        <v>2.4E-2</v>
      </c>
      <c r="W1257" s="1015">
        <v>0.251052</v>
      </c>
      <c r="X1257" s="1483">
        <v>8.3568032575669609</v>
      </c>
      <c r="Y1257" s="1054">
        <v>10.210000000000001</v>
      </c>
      <c r="Z1257" s="1015"/>
      <c r="AA1257" s="1021">
        <v>0</v>
      </c>
      <c r="AB1257" s="1015"/>
      <c r="AC1257" s="1015">
        <v>0.1775464608222638</v>
      </c>
      <c r="AD1257" s="1015">
        <v>0.10007164155436686</v>
      </c>
      <c r="AE1257" s="1015">
        <v>0</v>
      </c>
      <c r="AF1257" s="1054">
        <v>13.984572996514199</v>
      </c>
      <c r="AG1257" s="1096">
        <f xml:space="preserve"> IF(C1257&lt; DATE(2024, 11, 1), S1257 * (2.31 / 100), S1257 * (2.925 / 100))+T1257*T$6+U1425*U$6+V1257*V$6+W1257*W$6+X1257*X$6+Y1257*Y$6+Z1257*Z$6+AA1257*AA$6+AB1257*AB$6+AC1257*AC$6+AD1257*AD$6+AE1257*AE$6+AF1257*AF$6</f>
        <v>7.3693481610836287</v>
      </c>
      <c r="AH1257" s="1097">
        <v>202608</v>
      </c>
      <c r="AI1257" s="1017" t="s">
        <v>2423</v>
      </c>
      <c r="AJ1257" s="1109" t="s">
        <v>2407</v>
      </c>
    </row>
    <row r="1258" spans="3:36" ht="15.75">
      <c r="C1258" s="1083"/>
      <c r="D1258" s="1085"/>
      <c r="E1258" s="1086"/>
      <c r="F1258" s="1086"/>
      <c r="G1258" s="1086"/>
      <c r="H1258" s="1086"/>
      <c r="I1258" s="1086"/>
      <c r="J1258" s="1086"/>
      <c r="K1258" s="1086"/>
      <c r="L1258" s="1086"/>
      <c r="M1258" s="1086"/>
      <c r="N1258" s="1086"/>
      <c r="O1258" s="1086"/>
      <c r="P1258" s="1086"/>
      <c r="Q1258" s="337"/>
      <c r="R1258" s="1087"/>
      <c r="S1258" s="1088"/>
      <c r="T1258" s="1088"/>
      <c r="U1258" s="1088"/>
      <c r="V1258" s="1089"/>
      <c r="W1258" s="1088"/>
      <c r="X1258" s="1090"/>
      <c r="Y1258" s="1088"/>
      <c r="Z1258" s="1089"/>
      <c r="AA1258" s="1089"/>
      <c r="AB1258" s="1089"/>
      <c r="AC1258" s="1088"/>
      <c r="AD1258" s="1089"/>
      <c r="AE1258" s="1089"/>
      <c r="AF1258" s="1088"/>
      <c r="AG1258" s="1090"/>
      <c r="AH1258" s="1084"/>
      <c r="AI1258" s="751"/>
      <c r="AJ1258" s="1052"/>
    </row>
    <row r="1259" spans="3:36">
      <c r="D1259" s="751"/>
      <c r="E1259" s="751"/>
      <c r="F1259" s="751"/>
      <c r="G1259" s="751"/>
      <c r="H1259" s="751"/>
      <c r="I1259" s="751"/>
      <c r="J1259" s="751"/>
      <c r="K1259" s="751"/>
      <c r="L1259" s="751"/>
      <c r="M1259" s="751"/>
      <c r="N1259" s="751"/>
      <c r="O1259" s="751"/>
      <c r="P1259" s="751"/>
      <c r="Q1259" s="751"/>
      <c r="R1259" s="751"/>
      <c r="S1259" s="751"/>
      <c r="T1259" s="751"/>
      <c r="U1259" s="751"/>
      <c r="V1259" s="751"/>
      <c r="W1259" s="751"/>
      <c r="X1259" s="751"/>
      <c r="Y1259" s="751"/>
      <c r="Z1259" s="751"/>
      <c r="AA1259" s="751"/>
      <c r="AB1259" s="751"/>
      <c r="AC1259" s="751"/>
      <c r="AD1259" s="751"/>
      <c r="AE1259" s="751"/>
      <c r="AF1259" s="751"/>
      <c r="AG1259" s="751"/>
    </row>
    <row r="1260" spans="3:36">
      <c r="D1260" s="751"/>
      <c r="E1260" s="751"/>
      <c r="F1260" s="751"/>
      <c r="G1260" s="751"/>
      <c r="H1260" s="751"/>
      <c r="I1260" s="751"/>
      <c r="J1260" s="751"/>
      <c r="K1260" s="751"/>
      <c r="L1260" s="751"/>
      <c r="M1260" s="751"/>
      <c r="N1260" s="751"/>
      <c r="O1260" s="751"/>
      <c r="P1260" s="751"/>
      <c r="Q1260" s="751"/>
      <c r="R1260" s="751"/>
      <c r="S1260" s="751"/>
      <c r="T1260" s="751"/>
      <c r="U1260" s="751"/>
      <c r="V1260" s="751"/>
      <c r="W1260" s="751"/>
      <c r="X1260" s="751"/>
      <c r="Y1260" s="751"/>
      <c r="Z1260" s="751"/>
      <c r="AA1260" s="751"/>
      <c r="AB1260" s="751"/>
      <c r="AC1260" s="751"/>
      <c r="AD1260" s="751"/>
      <c r="AE1260" s="751"/>
      <c r="AF1260" s="751"/>
      <c r="AG1260" s="751"/>
    </row>
    <row r="1261" spans="3:36">
      <c r="D1261" s="751"/>
      <c r="E1261" s="751"/>
      <c r="F1261" s="751"/>
      <c r="G1261" s="751"/>
      <c r="H1261" s="751"/>
      <c r="I1261" s="751"/>
      <c r="J1261" s="751"/>
      <c r="K1261" s="751"/>
      <c r="L1261" s="751"/>
      <c r="M1261" s="751"/>
      <c r="N1261" s="751"/>
      <c r="O1261" s="751"/>
      <c r="P1261" s="751"/>
      <c r="Q1261" s="751"/>
      <c r="R1261" s="751"/>
      <c r="S1261" s="751"/>
      <c r="T1261" s="751"/>
      <c r="U1261" s="751"/>
      <c r="V1261" s="751"/>
      <c r="W1261" s="751"/>
      <c r="X1261" s="751"/>
      <c r="Y1261" s="751"/>
      <c r="Z1261" s="751"/>
      <c r="AA1261" s="751"/>
      <c r="AB1261" s="751"/>
      <c r="AC1261" s="751"/>
      <c r="AD1261" s="751"/>
      <c r="AE1261" s="751"/>
      <c r="AF1261" s="751"/>
      <c r="AG1261" s="751"/>
    </row>
    <row r="1262" spans="3:36">
      <c r="D1262" s="751"/>
      <c r="E1262" s="751"/>
      <c r="F1262" s="751"/>
      <c r="G1262" s="751"/>
      <c r="H1262" s="751"/>
      <c r="I1262" s="751"/>
      <c r="J1262" s="751"/>
      <c r="K1262" s="751"/>
      <c r="L1262" s="751"/>
      <c r="M1262" s="751"/>
      <c r="N1262" s="751"/>
      <c r="O1262" s="751"/>
      <c r="P1262" s="751"/>
      <c r="Q1262" s="751"/>
      <c r="R1262" s="751"/>
      <c r="S1262" s="751"/>
      <c r="T1262" s="751"/>
      <c r="U1262" s="751"/>
      <c r="V1262" s="751"/>
      <c r="W1262" s="751"/>
      <c r="X1262" s="751"/>
      <c r="Y1262" s="751"/>
      <c r="Z1262" s="751"/>
      <c r="AA1262" s="751"/>
      <c r="AB1262" s="751"/>
      <c r="AC1262" s="751"/>
      <c r="AD1262" s="751"/>
      <c r="AE1262" s="751"/>
      <c r="AF1262" s="751"/>
      <c r="AG1262" s="751"/>
    </row>
    <row r="1263" spans="3:36">
      <c r="D1263" s="751"/>
      <c r="E1263" s="751"/>
      <c r="F1263" s="751"/>
      <c r="G1263" s="751" t="s">
        <v>135</v>
      </c>
      <c r="H1263" s="751"/>
      <c r="I1263" s="751"/>
      <c r="J1263" s="751"/>
      <c r="K1263" s="751"/>
      <c r="L1263" s="751"/>
      <c r="M1263" s="751"/>
      <c r="N1263" s="751"/>
      <c r="O1263" s="751"/>
      <c r="P1263" s="751"/>
      <c r="Q1263" s="751"/>
      <c r="R1263" s="751"/>
      <c r="S1263" s="751"/>
      <c r="T1263" s="751"/>
      <c r="U1263" s="751"/>
      <c r="V1263" s="751"/>
      <c r="W1263" s="751"/>
      <c r="X1263" s="751"/>
      <c r="Y1263" s="751"/>
      <c r="Z1263" s="751"/>
      <c r="AA1263" s="751"/>
      <c r="AB1263" s="751"/>
      <c r="AC1263" s="751"/>
      <c r="AD1263" s="751"/>
      <c r="AE1263" s="751"/>
      <c r="AF1263" s="751"/>
      <c r="AG1263" s="751"/>
    </row>
    <row r="1264" spans="3:36">
      <c r="D1264" s="751"/>
      <c r="E1264" s="751"/>
      <c r="F1264" s="751"/>
      <c r="G1264" s="751"/>
      <c r="H1264" s="751"/>
      <c r="I1264" s="751"/>
      <c r="J1264" s="751"/>
      <c r="K1264" s="751"/>
      <c r="L1264" s="751"/>
      <c r="M1264" s="751"/>
      <c r="N1264" s="751"/>
      <c r="O1264" s="751"/>
      <c r="P1264" s="751"/>
      <c r="Q1264" s="751"/>
      <c r="R1264" s="751"/>
      <c r="S1264" s="751"/>
      <c r="T1264" s="751"/>
      <c r="U1264" s="751"/>
      <c r="V1264" s="751"/>
      <c r="W1264" s="751"/>
      <c r="X1264" s="751"/>
      <c r="Y1264" s="751"/>
      <c r="Z1264" s="751"/>
      <c r="AA1264" s="751"/>
      <c r="AB1264" s="751"/>
      <c r="AC1264" s="751"/>
      <c r="AD1264" s="751"/>
      <c r="AE1264" s="751"/>
      <c r="AF1264" s="751"/>
      <c r="AG1264" s="751"/>
    </row>
    <row r="1265" spans="4:36">
      <c r="D1265" s="751"/>
      <c r="E1265" s="751"/>
      <c r="F1265" s="751"/>
      <c r="G1265" s="751"/>
      <c r="H1265" s="751"/>
      <c r="I1265" s="751"/>
      <c r="J1265" s="751"/>
      <c r="K1265" s="751"/>
      <c r="L1265" s="751"/>
      <c r="M1265" s="751"/>
      <c r="N1265" s="751"/>
      <c r="O1265" s="751"/>
      <c r="P1265" s="751"/>
      <c r="Q1265" s="751"/>
      <c r="R1265" s="751"/>
      <c r="S1265" s="751"/>
      <c r="T1265" s="751"/>
      <c r="U1265" s="751"/>
      <c r="V1265" s="751"/>
      <c r="W1265" s="751"/>
      <c r="X1265" s="751"/>
      <c r="Y1265" s="751"/>
      <c r="Z1265" s="751"/>
      <c r="AA1265" s="751"/>
      <c r="AB1265" s="751"/>
      <c r="AC1265" s="751"/>
      <c r="AD1265" s="751"/>
      <c r="AE1265" s="751"/>
      <c r="AF1265" s="751"/>
      <c r="AG1265" s="751"/>
    </row>
    <row r="1266" spans="4:36">
      <c r="D1266" s="751"/>
      <c r="E1266" s="751"/>
      <c r="F1266" s="751"/>
      <c r="G1266" s="751"/>
      <c r="H1266" s="751"/>
      <c r="I1266" s="751"/>
      <c r="J1266" s="751"/>
      <c r="K1266" s="751"/>
      <c r="L1266" s="751"/>
      <c r="M1266" s="751"/>
      <c r="N1266" s="751"/>
      <c r="O1266" s="751"/>
      <c r="P1266" s="751"/>
      <c r="Q1266" s="751"/>
      <c r="R1266" s="751"/>
      <c r="S1266" s="751"/>
      <c r="T1266" s="751"/>
      <c r="U1266" s="751"/>
      <c r="V1266" s="751"/>
      <c r="W1266" s="751"/>
      <c r="X1266" s="751"/>
      <c r="Y1266" s="751"/>
      <c r="Z1266" s="751"/>
      <c r="AA1266" s="751"/>
      <c r="AB1266" s="751"/>
      <c r="AC1266" s="751"/>
      <c r="AD1266" s="751"/>
      <c r="AE1266" s="751"/>
      <c r="AF1266" s="751"/>
      <c r="AG1266" s="751"/>
    </row>
    <row r="1267" spans="4:36">
      <c r="D1267" s="751"/>
      <c r="E1267" s="751"/>
      <c r="F1267" s="751"/>
      <c r="G1267" s="751"/>
      <c r="H1267" s="751"/>
      <c r="I1267" s="751"/>
      <c r="J1267" s="751"/>
      <c r="K1267" s="751"/>
      <c r="L1267" s="751"/>
      <c r="M1267" s="751"/>
      <c r="N1267" s="751"/>
      <c r="O1267" s="751"/>
      <c r="P1267" s="751"/>
      <c r="Q1267" s="751"/>
      <c r="R1267" s="751"/>
      <c r="S1267" s="751"/>
      <c r="T1267" s="751"/>
      <c r="U1267" s="751"/>
      <c r="V1267" s="751"/>
      <c r="W1267" s="751"/>
      <c r="X1267" s="751"/>
      <c r="Y1267" s="751"/>
      <c r="Z1267" s="751"/>
      <c r="AA1267" s="751"/>
      <c r="AB1267" s="751"/>
      <c r="AC1267" s="751"/>
      <c r="AD1267" s="751"/>
      <c r="AE1267" s="751"/>
      <c r="AF1267" s="751"/>
      <c r="AG1267" s="751"/>
    </row>
    <row r="1268" spans="4:36">
      <c r="D1268" s="751"/>
      <c r="E1268" s="751"/>
      <c r="F1268" s="751"/>
      <c r="G1268" s="751"/>
      <c r="H1268" s="751"/>
      <c r="I1268" s="751"/>
      <c r="J1268" s="751"/>
      <c r="K1268" s="751"/>
      <c r="L1268" s="751"/>
      <c r="M1268" s="751"/>
      <c r="N1268" s="751"/>
      <c r="O1268" s="751"/>
      <c r="P1268" s="751"/>
      <c r="Q1268" s="751"/>
      <c r="R1268" s="751"/>
      <c r="S1268" s="751"/>
      <c r="T1268" s="751"/>
      <c r="U1268" s="751"/>
      <c r="V1268" s="751"/>
      <c r="W1268" s="751"/>
      <c r="X1268" s="751"/>
      <c r="Y1268" s="751"/>
      <c r="Z1268" s="751"/>
      <c r="AA1268" s="751"/>
      <c r="AB1268" s="751"/>
      <c r="AC1268" s="751"/>
      <c r="AD1268" s="751"/>
      <c r="AE1268" s="751"/>
      <c r="AF1268" s="751"/>
      <c r="AG1268" s="751"/>
    </row>
    <row r="1269" spans="4:36">
      <c r="D1269" s="751"/>
      <c r="E1269" s="751"/>
      <c r="F1269" s="751"/>
      <c r="G1269" s="751"/>
      <c r="H1269" s="751"/>
      <c r="I1269" s="751"/>
      <c r="J1269" s="751"/>
      <c r="K1269" s="751"/>
      <c r="L1269" s="751"/>
      <c r="M1269" s="751"/>
      <c r="N1269" s="751"/>
      <c r="O1269" s="751"/>
      <c r="P1269" s="751"/>
      <c r="Q1269" s="751"/>
      <c r="R1269" s="751"/>
      <c r="S1269" s="751"/>
      <c r="T1269" s="751"/>
      <c r="U1269" s="751"/>
      <c r="V1269" s="751"/>
      <c r="W1269" s="751"/>
      <c r="X1269" s="751"/>
      <c r="Y1269" s="751"/>
      <c r="Z1269" s="751"/>
      <c r="AA1269" s="751"/>
      <c r="AB1269" s="751"/>
      <c r="AC1269" s="751"/>
      <c r="AD1269" s="751"/>
      <c r="AE1269" s="751"/>
      <c r="AF1269" s="751"/>
      <c r="AG1269" s="751"/>
    </row>
    <row r="1270" spans="4:36">
      <c r="D1270" s="751"/>
      <c r="E1270" s="751"/>
      <c r="F1270" s="751"/>
      <c r="G1270" s="751"/>
      <c r="H1270" s="751"/>
      <c r="I1270" s="751"/>
      <c r="J1270" s="751"/>
      <c r="K1270" s="751"/>
      <c r="L1270" s="751"/>
      <c r="M1270" s="751"/>
      <c r="N1270" s="751"/>
      <c r="O1270" s="751"/>
      <c r="P1270" s="751"/>
      <c r="Q1270" s="751"/>
      <c r="R1270" s="751"/>
      <c r="S1270" s="751"/>
      <c r="T1270" s="751"/>
      <c r="U1270" s="751"/>
      <c r="V1270" s="751"/>
      <c r="W1270" s="751"/>
      <c r="X1270" s="751"/>
      <c r="Y1270" s="751"/>
      <c r="Z1270" s="751"/>
      <c r="AA1270" s="751"/>
      <c r="AB1270" s="751"/>
      <c r="AC1270" s="751"/>
      <c r="AD1270" s="751"/>
      <c r="AE1270" s="751"/>
      <c r="AF1270" s="751"/>
      <c r="AG1270" s="751"/>
    </row>
    <row r="1271" spans="4:36">
      <c r="D1271" s="751"/>
      <c r="E1271" s="751"/>
      <c r="F1271" s="751"/>
      <c r="G1271" s="751"/>
      <c r="H1271" s="751"/>
      <c r="I1271" s="751"/>
      <c r="J1271" s="751"/>
      <c r="K1271" s="751"/>
      <c r="L1271" s="751"/>
      <c r="M1271" s="751"/>
      <c r="N1271" s="751"/>
      <c r="O1271" s="751"/>
      <c r="P1271" s="751"/>
      <c r="Q1271" s="751"/>
      <c r="R1271" s="751"/>
      <c r="S1271" s="751"/>
      <c r="T1271" s="751"/>
      <c r="U1271" s="751"/>
      <c r="V1271" s="751"/>
      <c r="W1271" s="751"/>
      <c r="X1271" s="751"/>
      <c r="Y1271" s="751"/>
      <c r="Z1271" s="751"/>
      <c r="AA1271" s="751"/>
      <c r="AB1271" s="751"/>
      <c r="AC1271" s="751"/>
      <c r="AD1271" s="751"/>
      <c r="AE1271" s="751"/>
      <c r="AF1271" s="751"/>
      <c r="AG1271" s="751"/>
    </row>
    <row r="1272" spans="4:36">
      <c r="D1272" s="751"/>
      <c r="E1272" s="751"/>
      <c r="F1272" s="751"/>
      <c r="G1272" s="751"/>
      <c r="H1272" s="751"/>
      <c r="I1272" s="751"/>
      <c r="J1272" s="751"/>
      <c r="K1272" s="751"/>
      <c r="L1272" s="751"/>
      <c r="M1272" s="751"/>
      <c r="N1272" s="751"/>
      <c r="O1272" s="751"/>
      <c r="P1272" s="751"/>
      <c r="Q1272" s="751"/>
      <c r="R1272" s="751"/>
      <c r="S1272" s="751"/>
      <c r="T1272" s="751"/>
      <c r="U1272" s="751"/>
      <c r="V1272" s="751"/>
      <c r="W1272" s="751"/>
      <c r="X1272" s="751"/>
      <c r="Y1272" s="751"/>
      <c r="Z1272" s="751"/>
      <c r="AA1272" s="751"/>
      <c r="AB1272" s="751"/>
      <c r="AC1272" s="751"/>
      <c r="AD1272" s="751"/>
      <c r="AE1272" s="751"/>
      <c r="AF1272" s="751"/>
      <c r="AG1272" s="751"/>
    </row>
    <row r="1273" spans="4:36">
      <c r="D1273" s="751"/>
      <c r="E1273" s="751"/>
      <c r="F1273" s="751"/>
      <c r="G1273" s="751"/>
      <c r="H1273" s="751"/>
      <c r="I1273" s="751"/>
      <c r="J1273" s="751"/>
      <c r="K1273" s="751"/>
      <c r="L1273" s="751"/>
      <c r="M1273" s="751"/>
      <c r="N1273" s="751"/>
      <c r="O1273" s="751"/>
      <c r="P1273" s="751"/>
      <c r="Q1273" s="751"/>
      <c r="R1273" s="751"/>
      <c r="S1273" s="751"/>
      <c r="T1273" s="751"/>
      <c r="U1273" s="751"/>
      <c r="V1273" s="751"/>
      <c r="W1273" s="751"/>
      <c r="X1273" s="751"/>
      <c r="Y1273" s="751"/>
      <c r="Z1273" s="751"/>
      <c r="AA1273" s="751"/>
      <c r="AB1273" s="751"/>
      <c r="AC1273" s="751"/>
      <c r="AD1273" s="751"/>
      <c r="AE1273" s="751"/>
      <c r="AF1273" s="751"/>
      <c r="AG1273" s="751"/>
    </row>
    <row r="1274" spans="4:36">
      <c r="D1274" s="751"/>
      <c r="E1274" s="751"/>
      <c r="F1274" s="751"/>
      <c r="G1274" s="751"/>
      <c r="H1274" s="751"/>
      <c r="I1274" s="751"/>
      <c r="J1274" s="751"/>
      <c r="K1274" s="751"/>
      <c r="L1274" s="751"/>
      <c r="M1274" s="751"/>
      <c r="N1274" s="751"/>
      <c r="O1274" s="751"/>
      <c r="P1274" s="751"/>
      <c r="Q1274" s="337">
        <v>0</v>
      </c>
      <c r="R1274" s="751"/>
      <c r="S1274" s="751"/>
      <c r="T1274" s="751"/>
      <c r="U1274" s="751"/>
      <c r="V1274" s="751"/>
      <c r="W1274" s="751"/>
      <c r="X1274" s="751"/>
      <c r="Y1274" s="751"/>
      <c r="Z1274" s="751"/>
      <c r="AA1274" s="751"/>
      <c r="AB1274" s="751"/>
      <c r="AC1274" s="751"/>
      <c r="AD1274" s="751"/>
      <c r="AE1274" s="751"/>
      <c r="AF1274" s="751"/>
      <c r="AG1274" s="751"/>
      <c r="AJ1274" t="s">
        <v>649</v>
      </c>
    </row>
    <row r="1275" spans="4:36">
      <c r="D1275" s="751"/>
      <c r="E1275" s="751"/>
      <c r="F1275" s="751"/>
      <c r="G1275" s="751"/>
      <c r="H1275" s="751"/>
      <c r="I1275" s="751"/>
      <c r="J1275" s="751"/>
      <c r="K1275" s="751"/>
      <c r="L1275" s="751"/>
      <c r="M1275" s="751"/>
      <c r="N1275" s="751"/>
      <c r="O1275" s="751"/>
      <c r="P1275" s="751"/>
      <c r="Q1275" s="751"/>
      <c r="R1275" s="751"/>
      <c r="S1275" s="751"/>
      <c r="T1275" s="751"/>
      <c r="U1275" s="751"/>
      <c r="V1275" s="751"/>
      <c r="W1275" s="751"/>
      <c r="X1275" s="751"/>
      <c r="Y1275" s="751"/>
      <c r="Z1275" s="751"/>
      <c r="AA1275" s="751"/>
      <c r="AB1275" s="751"/>
      <c r="AC1275" s="751"/>
      <c r="AD1275" s="751"/>
      <c r="AE1275" s="751"/>
      <c r="AF1275" s="751"/>
      <c r="AG1275" s="751"/>
    </row>
    <row r="1276" spans="4:36">
      <c r="D1276" s="751"/>
      <c r="E1276" s="751"/>
      <c r="F1276" s="751"/>
      <c r="G1276" s="751"/>
      <c r="H1276" s="751"/>
      <c r="I1276" s="751"/>
      <c r="J1276" s="751"/>
      <c r="K1276" s="751"/>
      <c r="L1276" s="751"/>
      <c r="M1276" s="751"/>
      <c r="N1276" s="751"/>
      <c r="O1276" s="751"/>
      <c r="P1276" s="751"/>
      <c r="Q1276" s="751"/>
      <c r="R1276" s="751"/>
      <c r="S1276" s="751"/>
      <c r="T1276" s="751"/>
      <c r="U1276" s="751"/>
      <c r="V1276" s="751"/>
      <c r="W1276" s="751"/>
      <c r="X1276" s="751"/>
      <c r="Y1276" s="751"/>
      <c r="Z1276" s="751"/>
      <c r="AA1276" s="751"/>
      <c r="AB1276" s="751"/>
      <c r="AC1276" s="751"/>
      <c r="AD1276" s="751"/>
      <c r="AE1276" s="751"/>
      <c r="AF1276" s="751"/>
      <c r="AG1276" s="751"/>
    </row>
    <row r="1277" spans="4:36">
      <c r="D1277" s="751"/>
      <c r="E1277" s="751"/>
      <c r="F1277" s="751"/>
      <c r="G1277" s="751"/>
      <c r="H1277" s="751"/>
      <c r="I1277" s="751"/>
      <c r="J1277" s="751"/>
      <c r="K1277" s="751"/>
      <c r="L1277" s="751"/>
      <c r="M1277" s="751"/>
      <c r="N1277" s="751"/>
      <c r="O1277" s="751"/>
      <c r="P1277" s="751"/>
      <c r="Q1277" s="751"/>
      <c r="R1277" s="751"/>
      <c r="S1277" s="751"/>
      <c r="T1277" s="751"/>
      <c r="U1277" s="751"/>
      <c r="V1277" s="751"/>
      <c r="W1277" s="751"/>
      <c r="X1277" s="751"/>
      <c r="Y1277" s="751"/>
      <c r="Z1277" s="751"/>
      <c r="AA1277" s="751"/>
      <c r="AB1277" s="751"/>
      <c r="AC1277" s="751"/>
      <c r="AD1277" s="751"/>
      <c r="AE1277" s="751"/>
      <c r="AF1277" s="751"/>
      <c r="AG1277" s="751"/>
    </row>
    <row r="1278" spans="4:36">
      <c r="D1278" s="751"/>
      <c r="E1278" s="751"/>
      <c r="F1278" s="751"/>
      <c r="G1278" s="751"/>
      <c r="H1278" s="751"/>
      <c r="I1278" s="751"/>
      <c r="J1278" s="751"/>
      <c r="K1278" s="751"/>
      <c r="L1278" s="751"/>
      <c r="M1278" s="751"/>
      <c r="N1278" s="751"/>
      <c r="O1278" s="751"/>
      <c r="P1278" s="751"/>
      <c r="Q1278" s="751"/>
      <c r="R1278" s="751"/>
      <c r="S1278" s="751"/>
      <c r="T1278" s="751"/>
      <c r="U1278" s="751"/>
      <c r="V1278" s="751"/>
      <c r="W1278" s="751"/>
      <c r="X1278" s="751"/>
      <c r="Y1278" s="751"/>
      <c r="Z1278" s="751"/>
      <c r="AA1278" s="751"/>
      <c r="AB1278" s="751"/>
      <c r="AC1278" s="751"/>
      <c r="AD1278" s="751"/>
      <c r="AE1278" s="751"/>
      <c r="AF1278" s="751"/>
      <c r="AG1278" s="751"/>
    </row>
    <row r="1279" spans="4:36">
      <c r="D1279" s="751"/>
      <c r="E1279" s="751"/>
      <c r="F1279" s="751"/>
      <c r="G1279" s="751"/>
      <c r="H1279" s="751"/>
      <c r="I1279" s="751"/>
      <c r="J1279" s="751"/>
      <c r="K1279" s="751"/>
      <c r="L1279" s="751"/>
      <c r="M1279" s="751"/>
      <c r="N1279" s="751"/>
      <c r="O1279" s="751"/>
      <c r="P1279" s="751"/>
      <c r="Q1279" s="751"/>
      <c r="R1279" s="751"/>
      <c r="S1279" s="751"/>
      <c r="T1279" s="751"/>
      <c r="U1279" s="751"/>
      <c r="V1279" s="751"/>
      <c r="W1279" s="751"/>
      <c r="X1279" s="751"/>
      <c r="Y1279" s="751"/>
      <c r="Z1279" s="751"/>
      <c r="AA1279" s="751"/>
      <c r="AB1279" s="751"/>
      <c r="AC1279" s="751"/>
      <c r="AD1279" s="751"/>
      <c r="AE1279" s="751"/>
      <c r="AF1279" s="751"/>
      <c r="AG1279" s="751"/>
    </row>
    <row r="1280" spans="4:36">
      <c r="D1280" s="751"/>
      <c r="E1280" s="751"/>
      <c r="F1280" s="751"/>
      <c r="G1280" s="751"/>
      <c r="H1280" s="751"/>
      <c r="I1280" s="751"/>
      <c r="J1280" s="751"/>
      <c r="K1280" s="751"/>
      <c r="L1280" s="751"/>
      <c r="M1280" s="751"/>
      <c r="N1280" s="751"/>
      <c r="O1280" s="751"/>
      <c r="P1280" s="751"/>
      <c r="Q1280" s="751"/>
      <c r="R1280" s="751"/>
      <c r="S1280" s="751"/>
      <c r="T1280" s="751"/>
      <c r="U1280" s="751"/>
      <c r="V1280" s="751"/>
      <c r="W1280" s="751"/>
      <c r="X1280" s="751"/>
      <c r="Y1280" s="751"/>
      <c r="Z1280" s="751"/>
      <c r="AA1280" s="751"/>
      <c r="AB1280" s="751"/>
      <c r="AC1280" s="751"/>
      <c r="AD1280" s="751"/>
      <c r="AE1280" s="751"/>
      <c r="AF1280" s="751"/>
      <c r="AG1280" s="751"/>
    </row>
    <row r="1281" spans="4:33">
      <c r="D1281" s="751"/>
      <c r="E1281" s="751"/>
      <c r="F1281" s="751"/>
      <c r="G1281" s="751"/>
      <c r="H1281" s="751"/>
      <c r="I1281" s="751"/>
      <c r="J1281" s="751"/>
      <c r="K1281" s="751"/>
      <c r="L1281" s="751"/>
      <c r="M1281" s="751"/>
      <c r="N1281" s="751"/>
      <c r="O1281" s="751"/>
      <c r="P1281" s="751"/>
      <c r="Q1281" s="751"/>
      <c r="R1281" s="751"/>
      <c r="S1281" s="751"/>
      <c r="T1281" s="751"/>
      <c r="U1281" s="751"/>
      <c r="V1281" s="751"/>
      <c r="W1281" s="751"/>
      <c r="X1281" s="751"/>
      <c r="Y1281" s="751"/>
      <c r="Z1281" s="751"/>
      <c r="AA1281" s="751"/>
      <c r="AB1281" s="751"/>
      <c r="AC1281" s="751"/>
      <c r="AD1281" s="751"/>
      <c r="AE1281" s="751"/>
      <c r="AF1281" s="751"/>
      <c r="AG1281" s="751"/>
    </row>
    <row r="1282" spans="4:33">
      <c r="D1282" s="751"/>
      <c r="E1282" s="751"/>
      <c r="F1282" s="751"/>
      <c r="G1282" s="751"/>
      <c r="H1282" s="751"/>
      <c r="I1282" s="751"/>
      <c r="J1282" s="751"/>
      <c r="K1282" s="751"/>
      <c r="L1282" s="751"/>
      <c r="M1282" s="751"/>
      <c r="N1282" s="751"/>
      <c r="O1282" s="751"/>
      <c r="P1282" s="751"/>
      <c r="Q1282" s="751"/>
      <c r="R1282" s="751"/>
      <c r="S1282" s="751"/>
      <c r="T1282" s="751"/>
      <c r="U1282" s="751"/>
      <c r="V1282" s="751"/>
      <c r="W1282" s="751"/>
      <c r="X1282" s="751"/>
      <c r="Y1282" s="751"/>
      <c r="Z1282" s="751"/>
      <c r="AA1282" s="751"/>
      <c r="AB1282" s="751"/>
      <c r="AC1282" s="751"/>
      <c r="AD1282" s="751"/>
      <c r="AE1282" s="751"/>
      <c r="AF1282" s="751"/>
      <c r="AG1282" s="751"/>
    </row>
    <row r="1283" spans="4:33">
      <c r="D1283" s="751"/>
      <c r="E1283" s="751"/>
      <c r="F1283" s="751"/>
      <c r="G1283" s="751"/>
      <c r="H1283" s="751"/>
      <c r="I1283" s="751"/>
      <c r="J1283" s="751"/>
      <c r="K1283" s="751"/>
      <c r="L1283" s="751"/>
      <c r="M1283" s="751"/>
      <c r="N1283" s="751"/>
      <c r="O1283" s="751"/>
      <c r="P1283" s="751"/>
      <c r="Q1283" s="751"/>
      <c r="R1283" s="751"/>
      <c r="S1283" s="751"/>
      <c r="T1283" s="751"/>
      <c r="U1283" s="751"/>
      <c r="V1283" s="751"/>
      <c r="W1283" s="751"/>
      <c r="X1283" s="751"/>
      <c r="Y1283" s="751"/>
      <c r="Z1283" s="751"/>
      <c r="AA1283" s="751"/>
      <c r="AB1283" s="751"/>
      <c r="AC1283" s="751"/>
      <c r="AD1283" s="751"/>
      <c r="AE1283" s="751"/>
      <c r="AF1283" s="751"/>
      <c r="AG1283" s="751"/>
    </row>
    <row r="1284" spans="4:33">
      <c r="D1284" s="751"/>
      <c r="E1284" s="751"/>
      <c r="F1284" s="751"/>
      <c r="G1284" s="751"/>
      <c r="H1284" s="751"/>
      <c r="I1284" s="751"/>
      <c r="J1284" s="751"/>
      <c r="K1284" s="751"/>
      <c r="L1284" s="751"/>
      <c r="M1284" s="751"/>
      <c r="N1284" s="751"/>
      <c r="O1284" s="751"/>
      <c r="P1284" s="751"/>
      <c r="Q1284" s="751"/>
      <c r="R1284" s="751"/>
      <c r="S1284" s="751"/>
      <c r="T1284" s="751"/>
      <c r="U1284" s="751"/>
      <c r="V1284" s="751"/>
      <c r="W1284" s="751"/>
      <c r="X1284" s="751"/>
      <c r="Y1284" s="751"/>
      <c r="Z1284" s="751"/>
      <c r="AA1284" s="751"/>
      <c r="AB1284" s="751"/>
      <c r="AC1284" s="751"/>
      <c r="AD1284" s="751"/>
      <c r="AE1284" s="751"/>
      <c r="AF1284" s="751"/>
      <c r="AG1284" s="751"/>
    </row>
    <row r="1285" spans="4:33">
      <c r="D1285" s="751"/>
      <c r="E1285" s="751"/>
      <c r="F1285" s="751"/>
      <c r="G1285" s="751"/>
      <c r="H1285" s="751"/>
      <c r="I1285" s="751"/>
      <c r="J1285" s="751"/>
      <c r="K1285" s="751"/>
      <c r="L1285" s="751"/>
      <c r="M1285" s="751"/>
      <c r="N1285" s="751"/>
      <c r="O1285" s="751"/>
      <c r="P1285" s="751"/>
      <c r="Q1285" s="751"/>
      <c r="R1285" s="751"/>
      <c r="S1285" s="751"/>
      <c r="T1285" s="751"/>
      <c r="U1285" s="751"/>
      <c r="V1285" s="751"/>
      <c r="W1285" s="751"/>
      <c r="X1285" s="751"/>
      <c r="Y1285" s="751"/>
      <c r="Z1285" s="751"/>
      <c r="AA1285" s="751"/>
      <c r="AB1285" s="751"/>
      <c r="AC1285" s="751"/>
      <c r="AD1285" s="751"/>
      <c r="AE1285" s="751"/>
      <c r="AF1285" s="751"/>
      <c r="AG1285" s="751"/>
    </row>
    <row r="1286" spans="4:33">
      <c r="D1286" s="751"/>
      <c r="E1286" s="751"/>
      <c r="F1286" s="751"/>
      <c r="G1286" s="751"/>
      <c r="H1286" s="751"/>
      <c r="I1286" s="751"/>
      <c r="J1286" s="751"/>
      <c r="K1286" s="751"/>
      <c r="L1286" s="751"/>
      <c r="M1286" s="751"/>
      <c r="N1286" s="751"/>
      <c r="O1286" s="751"/>
      <c r="P1286" s="751"/>
      <c r="Q1286" s="751"/>
      <c r="R1286" s="751"/>
      <c r="S1286" s="751"/>
      <c r="T1286" s="751"/>
      <c r="U1286" s="751"/>
      <c r="V1286" s="751"/>
      <c r="W1286" s="751"/>
      <c r="X1286" s="751"/>
      <c r="Y1286" s="751"/>
      <c r="Z1286" s="751"/>
      <c r="AA1286" s="751"/>
      <c r="AB1286" s="751"/>
      <c r="AC1286" s="751"/>
      <c r="AD1286" s="751"/>
      <c r="AE1286" s="751"/>
      <c r="AF1286" s="751"/>
      <c r="AG1286" s="751"/>
    </row>
    <row r="1287" spans="4:33">
      <c r="D1287" s="751"/>
      <c r="E1287" s="751"/>
      <c r="F1287" s="751"/>
      <c r="G1287" s="751"/>
      <c r="H1287" s="751"/>
      <c r="I1287" s="751"/>
      <c r="J1287" s="751"/>
      <c r="K1287" s="751"/>
      <c r="L1287" s="751"/>
      <c r="M1287" s="751"/>
      <c r="N1287" s="751"/>
      <c r="O1287" s="751"/>
      <c r="P1287" s="751"/>
      <c r="Q1287" s="751"/>
      <c r="R1287" s="751"/>
      <c r="S1287" s="751"/>
      <c r="T1287" s="751"/>
      <c r="U1287" s="751"/>
      <c r="V1287" s="751"/>
      <c r="W1287" s="751"/>
      <c r="X1287" s="751"/>
      <c r="Y1287" s="751"/>
      <c r="Z1287" s="751"/>
      <c r="AA1287" s="751"/>
      <c r="AB1287" s="751"/>
      <c r="AC1287" s="751"/>
      <c r="AD1287" s="751"/>
      <c r="AE1287" s="751"/>
      <c r="AF1287" s="751"/>
      <c r="AG1287" s="751"/>
    </row>
    <row r="1288" spans="4:33">
      <c r="D1288" s="751"/>
      <c r="E1288" s="751"/>
      <c r="F1288" s="751"/>
      <c r="G1288" s="751"/>
      <c r="H1288" s="751"/>
      <c r="I1288" s="751"/>
      <c r="J1288" s="751"/>
      <c r="K1288" s="751"/>
      <c r="L1288" s="751"/>
      <c r="M1288" s="751"/>
      <c r="N1288" s="751"/>
      <c r="O1288" s="751"/>
      <c r="P1288" s="751"/>
      <c r="Q1288" s="751"/>
      <c r="R1288" s="751"/>
      <c r="S1288" s="751"/>
      <c r="T1288" s="751"/>
      <c r="U1288" s="751"/>
      <c r="V1288" s="751"/>
      <c r="W1288" s="751"/>
      <c r="X1288" s="751"/>
      <c r="Y1288" s="751"/>
      <c r="Z1288" s="751"/>
      <c r="AA1288" s="751"/>
      <c r="AB1288" s="751"/>
      <c r="AC1288" s="751"/>
      <c r="AD1288" s="751"/>
      <c r="AE1288" s="751"/>
      <c r="AF1288" s="751"/>
      <c r="AG1288" s="751"/>
    </row>
    <row r="1289" spans="4:33">
      <c r="D1289" s="751"/>
      <c r="E1289" s="751"/>
      <c r="F1289" s="751"/>
      <c r="G1289" s="751"/>
      <c r="H1289" s="751"/>
      <c r="I1289" s="751"/>
      <c r="J1289" s="751"/>
      <c r="K1289" s="751"/>
      <c r="L1289" s="751"/>
      <c r="M1289" s="751"/>
      <c r="N1289" s="751"/>
      <c r="O1289" s="751"/>
      <c r="P1289" s="751"/>
      <c r="Q1289" s="751"/>
      <c r="R1289" s="751"/>
      <c r="S1289" s="751"/>
      <c r="T1289" s="751"/>
      <c r="U1289" s="751"/>
      <c r="V1289" s="751"/>
      <c r="W1289" s="751"/>
      <c r="X1289" s="751"/>
      <c r="Y1289" s="751"/>
      <c r="Z1289" s="751"/>
      <c r="AA1289" s="751"/>
      <c r="AB1289" s="751"/>
      <c r="AC1289" s="751"/>
      <c r="AD1289" s="751"/>
      <c r="AE1289" s="751"/>
      <c r="AF1289" s="751"/>
      <c r="AG1289" s="751"/>
    </row>
    <row r="1290" spans="4:33">
      <c r="D1290" s="751"/>
      <c r="E1290" s="751"/>
      <c r="F1290" s="751"/>
      <c r="G1290" s="751"/>
      <c r="H1290" s="751"/>
      <c r="I1290" s="751"/>
      <c r="J1290" s="751"/>
      <c r="K1290" s="751"/>
      <c r="L1290" s="751"/>
      <c r="M1290" s="751"/>
      <c r="N1290" s="751"/>
      <c r="O1290" s="751"/>
      <c r="P1290" s="751"/>
      <c r="Q1290" s="751"/>
      <c r="R1290" s="751"/>
      <c r="S1290" s="751"/>
      <c r="T1290" s="751"/>
      <c r="U1290" s="751"/>
      <c r="V1290" s="751"/>
      <c r="W1290" s="751"/>
      <c r="X1290" s="751"/>
      <c r="Y1290" s="751"/>
      <c r="Z1290" s="751"/>
      <c r="AA1290" s="751"/>
      <c r="AB1290" s="751"/>
      <c r="AC1290" s="751"/>
      <c r="AD1290" s="751"/>
      <c r="AE1290" s="751"/>
      <c r="AF1290" s="751"/>
      <c r="AG1290" s="751"/>
    </row>
    <row r="1291" spans="4:33">
      <c r="D1291" s="751"/>
      <c r="E1291" s="751"/>
      <c r="F1291" s="751"/>
      <c r="G1291" s="751"/>
      <c r="H1291" s="751"/>
      <c r="I1291" s="751"/>
      <c r="J1291" s="751"/>
      <c r="K1291" s="751"/>
      <c r="L1291" s="751"/>
      <c r="M1291" s="751"/>
      <c r="N1291" s="751"/>
      <c r="O1291" s="751"/>
      <c r="P1291" s="751"/>
      <c r="Q1291" s="751"/>
      <c r="R1291" s="751"/>
      <c r="S1291" s="751"/>
      <c r="T1291" s="751"/>
      <c r="U1291" s="751"/>
      <c r="V1291" s="751"/>
      <c r="W1291" s="751"/>
      <c r="X1291" s="751"/>
      <c r="Y1291" s="751"/>
      <c r="Z1291" s="751"/>
      <c r="AA1291" s="751"/>
      <c r="AB1291" s="751"/>
      <c r="AC1291" s="751"/>
      <c r="AD1291" s="751"/>
      <c r="AE1291" s="751"/>
      <c r="AF1291" s="751"/>
      <c r="AG1291" s="751"/>
    </row>
    <row r="1292" spans="4:33">
      <c r="D1292" s="751"/>
      <c r="E1292" s="751"/>
      <c r="F1292" s="751"/>
      <c r="G1292" s="751"/>
      <c r="H1292" s="751"/>
      <c r="I1292" s="751"/>
      <c r="J1292" s="751"/>
      <c r="K1292" s="751"/>
      <c r="L1292" s="751"/>
      <c r="M1292" s="751"/>
      <c r="N1292" s="751"/>
      <c r="O1292" s="751"/>
      <c r="P1292" s="751"/>
      <c r="Q1292" s="751"/>
      <c r="R1292" s="751"/>
      <c r="S1292" s="751"/>
      <c r="T1292" s="751"/>
      <c r="U1292" s="751"/>
      <c r="V1292" s="751"/>
      <c r="W1292" s="751"/>
      <c r="X1292" s="751"/>
      <c r="Y1292" s="751"/>
      <c r="Z1292" s="751"/>
      <c r="AA1292" s="751"/>
      <c r="AB1292" s="751"/>
      <c r="AC1292" s="751"/>
      <c r="AD1292" s="751"/>
      <c r="AE1292" s="751"/>
      <c r="AF1292" s="751"/>
      <c r="AG1292" s="751"/>
    </row>
    <row r="1293" spans="4:33">
      <c r="D1293" s="751"/>
      <c r="E1293" s="751"/>
      <c r="F1293" s="751"/>
      <c r="G1293" s="751"/>
      <c r="H1293" s="751"/>
      <c r="I1293" s="751"/>
      <c r="J1293" s="751"/>
      <c r="K1293" s="751"/>
      <c r="L1293" s="751"/>
      <c r="M1293" s="751"/>
      <c r="N1293" s="751"/>
      <c r="O1293" s="751"/>
      <c r="P1293" s="751"/>
      <c r="Q1293" s="751"/>
      <c r="R1293" s="751"/>
      <c r="S1293" s="751"/>
      <c r="T1293" s="751"/>
      <c r="U1293" s="751"/>
      <c r="V1293" s="751"/>
      <c r="W1293" s="751"/>
      <c r="X1293" s="751"/>
      <c r="Y1293" s="751"/>
      <c r="Z1293" s="751"/>
      <c r="AA1293" s="751"/>
      <c r="AB1293" s="751"/>
      <c r="AC1293" s="751"/>
      <c r="AD1293" s="751"/>
      <c r="AE1293" s="751"/>
      <c r="AF1293" s="751"/>
      <c r="AG1293" s="751"/>
    </row>
    <row r="1294" spans="4:33">
      <c r="D1294" s="751"/>
      <c r="E1294" s="751"/>
      <c r="F1294" s="751"/>
      <c r="G1294" s="751"/>
      <c r="H1294" s="751"/>
      <c r="I1294" s="751"/>
      <c r="J1294" s="751"/>
      <c r="K1294" s="751"/>
      <c r="L1294" s="751"/>
      <c r="M1294" s="751"/>
      <c r="N1294" s="751"/>
      <c r="O1294" s="751"/>
      <c r="P1294" s="751"/>
      <c r="Q1294" s="751"/>
      <c r="R1294" s="751"/>
      <c r="S1294" s="751"/>
      <c r="T1294" s="751"/>
      <c r="U1294" s="751"/>
      <c r="V1294" s="751"/>
      <c r="W1294" s="751"/>
      <c r="X1294" s="751"/>
      <c r="Y1294" s="751"/>
      <c r="Z1294" s="751"/>
      <c r="AA1294" s="751"/>
      <c r="AB1294" s="751"/>
      <c r="AC1294" s="751"/>
      <c r="AD1294" s="751"/>
      <c r="AE1294" s="751"/>
      <c r="AF1294" s="751"/>
      <c r="AG1294" s="751"/>
    </row>
    <row r="1295" spans="4:33">
      <c r="D1295" s="751"/>
      <c r="E1295" s="751"/>
      <c r="F1295" s="751"/>
      <c r="G1295" s="751"/>
      <c r="H1295" s="751"/>
      <c r="I1295" s="751"/>
      <c r="J1295" s="751"/>
      <c r="K1295" s="751"/>
      <c r="L1295" s="751"/>
      <c r="M1295" s="751"/>
      <c r="N1295" s="751"/>
      <c r="O1295" s="751"/>
      <c r="P1295" s="751"/>
      <c r="Q1295" s="751"/>
      <c r="R1295" s="751"/>
      <c r="S1295" s="751"/>
      <c r="T1295" s="751"/>
      <c r="U1295" s="751"/>
      <c r="V1295" s="751"/>
      <c r="W1295" s="751"/>
      <c r="X1295" s="751"/>
      <c r="Y1295" s="751"/>
      <c r="Z1295" s="751"/>
      <c r="AA1295" s="751"/>
      <c r="AB1295" s="751"/>
      <c r="AC1295" s="751"/>
      <c r="AD1295" s="751"/>
      <c r="AE1295" s="751"/>
      <c r="AF1295" s="751"/>
      <c r="AG1295" s="751"/>
    </row>
    <row r="1296" spans="4:33">
      <c r="D1296" s="751"/>
      <c r="E1296" s="751"/>
      <c r="F1296" s="751"/>
      <c r="G1296" s="751"/>
      <c r="H1296" s="751"/>
      <c r="I1296" s="751"/>
      <c r="J1296" s="751"/>
      <c r="K1296" s="751"/>
      <c r="L1296" s="751"/>
      <c r="M1296" s="751"/>
      <c r="N1296" s="751"/>
      <c r="O1296" s="751"/>
      <c r="P1296" s="751"/>
      <c r="Q1296" s="751"/>
      <c r="R1296" s="751"/>
      <c r="S1296" s="751"/>
      <c r="T1296" s="751"/>
      <c r="U1296" s="751"/>
      <c r="V1296" s="751"/>
      <c r="W1296" s="751"/>
      <c r="X1296" s="751"/>
      <c r="Y1296" s="751"/>
      <c r="Z1296" s="751"/>
      <c r="AA1296" s="751"/>
      <c r="AB1296" s="751"/>
      <c r="AC1296" s="751"/>
      <c r="AD1296" s="751"/>
      <c r="AE1296" s="751"/>
      <c r="AF1296" s="751"/>
      <c r="AG1296" s="751"/>
    </row>
    <row r="1297" spans="4:33">
      <c r="D1297" s="751"/>
      <c r="E1297" s="751"/>
      <c r="F1297" s="751"/>
      <c r="G1297" s="751"/>
      <c r="H1297" s="751"/>
      <c r="I1297" s="751"/>
      <c r="J1297" s="751"/>
      <c r="K1297" s="751"/>
      <c r="L1297" s="751"/>
      <c r="M1297" s="751"/>
      <c r="N1297" s="751"/>
      <c r="O1297" s="751"/>
      <c r="P1297" s="751"/>
      <c r="Q1297" s="751"/>
      <c r="R1297" s="751"/>
      <c r="S1297" s="751"/>
      <c r="T1297" s="751"/>
      <c r="U1297" s="751"/>
      <c r="V1297" s="751"/>
      <c r="W1297" s="751"/>
      <c r="X1297" s="751"/>
      <c r="Y1297" s="751"/>
      <c r="Z1297" s="751"/>
      <c r="AA1297" s="751"/>
      <c r="AB1297" s="751"/>
      <c r="AC1297" s="751"/>
      <c r="AD1297" s="751"/>
      <c r="AE1297" s="751"/>
      <c r="AF1297" s="751"/>
      <c r="AG1297" s="751"/>
    </row>
    <row r="1298" spans="4:33">
      <c r="D1298" s="751"/>
      <c r="E1298" s="751"/>
      <c r="F1298" s="751"/>
      <c r="G1298" s="751"/>
      <c r="H1298" s="751"/>
      <c r="I1298" s="751"/>
      <c r="J1298" s="751"/>
      <c r="K1298" s="751"/>
      <c r="L1298" s="751"/>
      <c r="M1298" s="751"/>
      <c r="N1298" s="751"/>
      <c r="O1298" s="751"/>
      <c r="P1298" s="751"/>
      <c r="Q1298" s="751"/>
      <c r="R1298" s="751"/>
      <c r="S1298" s="751"/>
      <c r="T1298" s="751"/>
      <c r="U1298" s="751"/>
      <c r="V1298" s="751"/>
      <c r="W1298" s="751"/>
      <c r="X1298" s="751"/>
      <c r="Y1298" s="751"/>
      <c r="Z1298" s="751"/>
      <c r="AA1298" s="751"/>
      <c r="AB1298" s="751"/>
      <c r="AC1298" s="751"/>
      <c r="AD1298" s="751"/>
      <c r="AE1298" s="751"/>
      <c r="AF1298" s="751"/>
      <c r="AG1298" s="751"/>
    </row>
    <row r="1299" spans="4:33">
      <c r="D1299" s="751"/>
      <c r="E1299" s="751"/>
      <c r="F1299" s="751"/>
      <c r="G1299" s="751"/>
      <c r="H1299" s="751"/>
      <c r="I1299" s="751"/>
      <c r="J1299" s="751"/>
      <c r="K1299" s="751"/>
      <c r="L1299" s="751"/>
      <c r="M1299" s="751"/>
      <c r="N1299" s="751"/>
      <c r="O1299" s="751"/>
      <c r="P1299" s="751"/>
      <c r="Q1299" s="751"/>
      <c r="R1299" s="751"/>
      <c r="S1299" s="751"/>
      <c r="T1299" s="751"/>
      <c r="U1299" s="751"/>
      <c r="V1299" s="751"/>
      <c r="W1299" s="751"/>
      <c r="X1299" s="751"/>
      <c r="Y1299" s="751"/>
      <c r="Z1299" s="751"/>
      <c r="AA1299" s="751"/>
      <c r="AB1299" s="751"/>
      <c r="AC1299" s="751"/>
      <c r="AD1299" s="751"/>
      <c r="AE1299" s="751"/>
      <c r="AF1299" s="751"/>
      <c r="AG1299" s="751"/>
    </row>
    <row r="1300" spans="4:33">
      <c r="D1300" s="751"/>
      <c r="E1300" s="751"/>
      <c r="F1300" s="751"/>
      <c r="G1300" s="751"/>
      <c r="H1300" s="751"/>
      <c r="I1300" s="751"/>
      <c r="J1300" s="751"/>
      <c r="K1300" s="751"/>
      <c r="L1300" s="751"/>
      <c r="M1300" s="751"/>
      <c r="N1300" s="751"/>
      <c r="O1300" s="751"/>
      <c r="P1300" s="751"/>
      <c r="Q1300" s="751"/>
      <c r="R1300" s="751"/>
      <c r="S1300" s="751"/>
      <c r="T1300" s="751"/>
      <c r="U1300" s="751"/>
      <c r="V1300" s="751"/>
      <c r="W1300" s="751"/>
      <c r="X1300" s="751"/>
      <c r="Y1300" s="751"/>
      <c r="Z1300" s="751"/>
      <c r="AA1300" s="751"/>
      <c r="AB1300" s="751"/>
      <c r="AC1300" s="751"/>
      <c r="AD1300" s="751"/>
      <c r="AE1300" s="751"/>
      <c r="AF1300" s="751"/>
      <c r="AG1300" s="751"/>
    </row>
    <row r="1301" spans="4:33">
      <c r="D1301" s="751"/>
      <c r="E1301" s="751"/>
      <c r="F1301" s="751"/>
      <c r="G1301" s="751"/>
      <c r="H1301" s="751"/>
      <c r="I1301" s="751"/>
      <c r="J1301" s="751"/>
      <c r="K1301" s="751"/>
      <c r="L1301" s="751"/>
      <c r="M1301" s="751"/>
      <c r="N1301" s="751"/>
      <c r="O1301" s="751"/>
      <c r="P1301" s="751"/>
      <c r="Q1301" s="751"/>
      <c r="R1301" s="751"/>
      <c r="S1301" s="751"/>
      <c r="T1301" s="751"/>
      <c r="U1301" s="751"/>
      <c r="V1301" s="751"/>
      <c r="W1301" s="751"/>
      <c r="X1301" s="751"/>
      <c r="Y1301" s="751"/>
      <c r="Z1301" s="751"/>
      <c r="AA1301" s="751"/>
      <c r="AB1301" s="751"/>
      <c r="AC1301" s="751"/>
      <c r="AD1301" s="751"/>
      <c r="AE1301" s="751"/>
      <c r="AF1301" s="751"/>
      <c r="AG1301" s="751"/>
    </row>
    <row r="1302" spans="4:33">
      <c r="D1302" s="751"/>
      <c r="E1302" s="751"/>
      <c r="F1302" s="751"/>
      <c r="G1302" s="751"/>
      <c r="H1302" s="751"/>
      <c r="I1302" s="751"/>
      <c r="J1302" s="751"/>
      <c r="K1302" s="751"/>
      <c r="L1302" s="751"/>
      <c r="M1302" s="751"/>
      <c r="N1302" s="751"/>
      <c r="O1302" s="751"/>
      <c r="P1302" s="751"/>
      <c r="Q1302" s="751"/>
      <c r="R1302" s="751"/>
      <c r="S1302" s="751"/>
      <c r="T1302" s="751"/>
      <c r="U1302" s="751"/>
      <c r="V1302" s="751"/>
      <c r="W1302" s="751"/>
      <c r="X1302" s="751"/>
      <c r="Y1302" s="751"/>
      <c r="Z1302" s="751"/>
      <c r="AA1302" s="751"/>
      <c r="AB1302" s="751"/>
      <c r="AC1302" s="751"/>
      <c r="AD1302" s="751"/>
      <c r="AE1302" s="751"/>
      <c r="AF1302" s="751"/>
      <c r="AG1302" s="751"/>
    </row>
    <row r="1303" spans="4:33">
      <c r="D1303" s="751"/>
      <c r="E1303" s="751"/>
      <c r="F1303" s="751"/>
      <c r="G1303" s="751"/>
      <c r="H1303" s="751"/>
      <c r="I1303" s="751"/>
      <c r="J1303" s="751"/>
      <c r="K1303" s="751"/>
      <c r="L1303" s="751"/>
      <c r="M1303" s="751"/>
      <c r="N1303" s="751"/>
      <c r="O1303" s="751"/>
      <c r="P1303" s="751"/>
      <c r="Q1303" s="751"/>
      <c r="R1303" s="751"/>
      <c r="S1303" s="751"/>
      <c r="T1303" s="751"/>
      <c r="U1303" s="751"/>
      <c r="V1303" s="751"/>
      <c r="W1303" s="751"/>
      <c r="X1303" s="751"/>
      <c r="Y1303" s="751"/>
      <c r="Z1303" s="751"/>
      <c r="AA1303" s="751"/>
      <c r="AB1303" s="751"/>
      <c r="AC1303" s="751"/>
      <c r="AD1303" s="751"/>
      <c r="AE1303" s="751"/>
      <c r="AF1303" s="751"/>
      <c r="AG1303" s="751"/>
    </row>
    <row r="1304" spans="4:33">
      <c r="D1304" s="751"/>
      <c r="E1304" s="751"/>
      <c r="F1304" s="751"/>
      <c r="G1304" s="751"/>
      <c r="H1304" s="751"/>
      <c r="I1304" s="751"/>
      <c r="J1304" s="751"/>
      <c r="K1304" s="751"/>
      <c r="L1304" s="751"/>
      <c r="M1304" s="751"/>
      <c r="N1304" s="751"/>
      <c r="O1304" s="751"/>
      <c r="P1304" s="751"/>
      <c r="Q1304" s="751"/>
      <c r="R1304" s="751"/>
      <c r="S1304" s="751"/>
      <c r="T1304" s="751"/>
      <c r="U1304" s="751"/>
      <c r="V1304" s="751"/>
      <c r="W1304" s="751"/>
      <c r="X1304" s="751"/>
      <c r="Y1304" s="751"/>
      <c r="Z1304" s="751"/>
      <c r="AA1304" s="751"/>
      <c r="AB1304" s="751"/>
      <c r="AC1304" s="751"/>
      <c r="AD1304" s="751"/>
      <c r="AE1304" s="751"/>
      <c r="AF1304" s="751"/>
      <c r="AG1304" s="751"/>
    </row>
    <row r="1305" spans="4:33">
      <c r="D1305" s="751"/>
      <c r="E1305" s="751"/>
      <c r="F1305" s="751"/>
      <c r="G1305" s="751"/>
      <c r="H1305" s="751"/>
      <c r="I1305" s="751"/>
      <c r="J1305" s="751"/>
      <c r="K1305" s="751"/>
      <c r="L1305" s="751"/>
      <c r="M1305" s="751"/>
      <c r="N1305" s="751"/>
      <c r="O1305" s="751"/>
      <c r="P1305" s="751"/>
      <c r="Q1305" s="751"/>
      <c r="R1305" s="751"/>
      <c r="S1305" s="751"/>
      <c r="T1305" s="751"/>
      <c r="U1305" s="751"/>
      <c r="V1305" s="751"/>
      <c r="W1305" s="751"/>
      <c r="X1305" s="751"/>
      <c r="Y1305" s="751"/>
      <c r="Z1305" s="751"/>
      <c r="AA1305" s="751"/>
      <c r="AB1305" s="751"/>
      <c r="AC1305" s="751"/>
      <c r="AD1305" s="751"/>
      <c r="AE1305" s="751"/>
      <c r="AF1305" s="751"/>
      <c r="AG1305" s="751"/>
    </row>
    <row r="1306" spans="4:33">
      <c r="D1306" s="751"/>
      <c r="E1306" s="751"/>
      <c r="F1306" s="751"/>
      <c r="G1306" s="751"/>
      <c r="H1306" s="751"/>
      <c r="I1306" s="751"/>
      <c r="J1306" s="751"/>
      <c r="K1306" s="751"/>
      <c r="L1306" s="751"/>
      <c r="M1306" s="751"/>
      <c r="N1306" s="751"/>
      <c r="O1306" s="751"/>
      <c r="P1306" s="751"/>
      <c r="Q1306" s="751"/>
      <c r="R1306" s="751"/>
      <c r="S1306" s="751"/>
      <c r="T1306" s="751"/>
      <c r="U1306" s="751"/>
      <c r="V1306" s="751"/>
      <c r="W1306" s="751"/>
      <c r="X1306" s="751"/>
      <c r="Y1306" s="751"/>
      <c r="Z1306" s="751"/>
      <c r="AA1306" s="751"/>
      <c r="AB1306" s="751"/>
      <c r="AC1306" s="751"/>
      <c r="AD1306" s="751"/>
      <c r="AE1306" s="751"/>
      <c r="AF1306" s="751"/>
      <c r="AG1306" s="751"/>
    </row>
    <row r="1307" spans="4:33">
      <c r="D1307" s="751"/>
      <c r="E1307" s="751"/>
      <c r="F1307" s="751"/>
      <c r="G1307" s="751"/>
      <c r="H1307" s="751"/>
      <c r="I1307" s="751"/>
      <c r="J1307" s="751"/>
      <c r="K1307" s="751"/>
      <c r="L1307" s="751"/>
      <c r="M1307" s="751"/>
      <c r="N1307" s="751"/>
      <c r="O1307" s="751"/>
      <c r="P1307" s="751"/>
      <c r="Q1307" s="751"/>
      <c r="R1307" s="751"/>
      <c r="S1307" s="751"/>
      <c r="T1307" s="751"/>
      <c r="U1307" s="751"/>
      <c r="V1307" s="751"/>
      <c r="W1307" s="751"/>
      <c r="X1307" s="751"/>
      <c r="Y1307" s="751"/>
      <c r="Z1307" s="751"/>
      <c r="AA1307" s="751"/>
      <c r="AB1307" s="751"/>
      <c r="AC1307" s="751"/>
      <c r="AD1307" s="751"/>
      <c r="AE1307" s="751"/>
      <c r="AF1307" s="751"/>
      <c r="AG1307" s="751"/>
    </row>
    <row r="1308" spans="4:33">
      <c r="D1308" s="751"/>
      <c r="E1308" s="751"/>
      <c r="F1308" s="751"/>
      <c r="G1308" s="751"/>
      <c r="H1308" s="751"/>
      <c r="I1308" s="751"/>
      <c r="J1308" s="751"/>
      <c r="K1308" s="751"/>
      <c r="L1308" s="751"/>
      <c r="M1308" s="751"/>
      <c r="N1308" s="751"/>
      <c r="O1308" s="751"/>
      <c r="P1308" s="751"/>
      <c r="Q1308" s="751"/>
      <c r="R1308" s="751"/>
      <c r="S1308" s="751"/>
      <c r="T1308" s="751"/>
      <c r="U1308" s="751"/>
      <c r="V1308" s="751"/>
      <c r="W1308" s="751"/>
      <c r="X1308" s="751"/>
      <c r="Y1308" s="751"/>
      <c r="Z1308" s="751"/>
      <c r="AA1308" s="751"/>
      <c r="AB1308" s="751"/>
      <c r="AC1308" s="751"/>
      <c r="AD1308" s="751"/>
      <c r="AE1308" s="751"/>
      <c r="AF1308" s="751"/>
      <c r="AG1308" s="751"/>
    </row>
    <row r="1309" spans="4:33">
      <c r="D1309" s="751"/>
      <c r="E1309" s="751"/>
      <c r="F1309" s="751"/>
      <c r="G1309" s="751"/>
      <c r="H1309" s="751"/>
      <c r="I1309" s="751"/>
      <c r="J1309" s="751"/>
      <c r="K1309" s="751"/>
      <c r="L1309" s="751"/>
      <c r="M1309" s="751"/>
      <c r="N1309" s="751"/>
      <c r="O1309" s="751"/>
      <c r="P1309" s="751"/>
      <c r="Q1309" s="751"/>
      <c r="R1309" s="751"/>
      <c r="S1309" s="751"/>
      <c r="T1309" s="751"/>
      <c r="U1309" s="751"/>
      <c r="V1309" s="751"/>
      <c r="W1309" s="751"/>
      <c r="X1309" s="751"/>
      <c r="Y1309" s="751"/>
      <c r="Z1309" s="751"/>
      <c r="AA1309" s="751"/>
      <c r="AB1309" s="751"/>
      <c r="AC1309" s="751"/>
      <c r="AD1309" s="751"/>
      <c r="AE1309" s="751"/>
      <c r="AF1309" s="751"/>
      <c r="AG1309" s="751"/>
    </row>
    <row r="1310" spans="4:33">
      <c r="D1310" s="751"/>
      <c r="E1310" s="751"/>
      <c r="F1310" s="751"/>
      <c r="G1310" s="751"/>
      <c r="H1310" s="751"/>
      <c r="I1310" s="751"/>
      <c r="J1310" s="751"/>
      <c r="K1310" s="751"/>
      <c r="L1310" s="751"/>
      <c r="M1310" s="751"/>
      <c r="N1310" s="751"/>
      <c r="O1310" s="751"/>
      <c r="P1310" s="751"/>
      <c r="Q1310" s="751"/>
      <c r="R1310" s="751"/>
      <c r="S1310" s="751"/>
      <c r="T1310" s="751"/>
      <c r="U1310" s="751"/>
      <c r="V1310" s="751"/>
      <c r="W1310" s="751"/>
      <c r="X1310" s="751"/>
      <c r="Y1310" s="751"/>
      <c r="Z1310" s="751"/>
      <c r="AA1310" s="751"/>
      <c r="AB1310" s="751"/>
      <c r="AC1310" s="751"/>
      <c r="AD1310" s="751"/>
      <c r="AE1310" s="751"/>
      <c r="AF1310" s="751"/>
      <c r="AG1310" s="751"/>
    </row>
    <row r="1311" spans="4:33">
      <c r="D1311" s="751"/>
      <c r="E1311" s="751"/>
      <c r="F1311" s="751"/>
      <c r="G1311" s="751"/>
      <c r="H1311" s="751"/>
      <c r="I1311" s="751"/>
      <c r="J1311" s="751"/>
      <c r="K1311" s="751"/>
      <c r="L1311" s="751"/>
      <c r="M1311" s="751"/>
      <c r="N1311" s="751"/>
      <c r="O1311" s="751"/>
      <c r="P1311" s="751"/>
      <c r="Q1311" s="751"/>
      <c r="R1311" s="751"/>
      <c r="S1311" s="751"/>
      <c r="T1311" s="751"/>
      <c r="U1311" s="751"/>
      <c r="V1311" s="751"/>
      <c r="W1311" s="751"/>
      <c r="X1311" s="751"/>
      <c r="Y1311" s="751"/>
      <c r="Z1311" s="751"/>
      <c r="AA1311" s="751"/>
      <c r="AB1311" s="751"/>
      <c r="AC1311" s="751"/>
      <c r="AD1311" s="751"/>
      <c r="AE1311" s="751"/>
      <c r="AF1311" s="751"/>
      <c r="AG1311" s="751"/>
    </row>
    <row r="1312" spans="4:33">
      <c r="D1312" s="751"/>
      <c r="E1312" s="751"/>
      <c r="F1312" s="751"/>
      <c r="G1312" s="751"/>
      <c r="H1312" s="751"/>
      <c r="I1312" s="751"/>
      <c r="J1312" s="751"/>
      <c r="K1312" s="751"/>
      <c r="L1312" s="751"/>
      <c r="M1312" s="751"/>
      <c r="N1312" s="751"/>
      <c r="O1312" s="751"/>
      <c r="P1312" s="751"/>
      <c r="Q1312" s="751"/>
      <c r="R1312" s="751"/>
      <c r="S1312" s="751"/>
      <c r="T1312" s="751"/>
      <c r="U1312" s="751"/>
      <c r="V1312" s="751"/>
      <c r="W1312" s="751"/>
      <c r="X1312" s="751"/>
      <c r="Y1312" s="751"/>
      <c r="Z1312" s="751"/>
      <c r="AA1312" s="751"/>
      <c r="AB1312" s="751"/>
      <c r="AC1312" s="751"/>
      <c r="AD1312" s="751"/>
      <c r="AE1312" s="751"/>
      <c r="AF1312" s="751"/>
      <c r="AG1312" s="751"/>
    </row>
    <row r="1313" spans="4:33">
      <c r="D1313" s="751"/>
      <c r="E1313" s="751"/>
      <c r="F1313" s="751"/>
      <c r="G1313" s="751"/>
      <c r="H1313" s="751"/>
      <c r="I1313" s="751"/>
      <c r="J1313" s="751"/>
      <c r="K1313" s="751"/>
      <c r="L1313" s="751"/>
      <c r="M1313" s="751"/>
      <c r="N1313" s="751"/>
      <c r="O1313" s="751"/>
      <c r="P1313" s="751"/>
      <c r="Q1313" s="751"/>
      <c r="R1313" s="751"/>
      <c r="S1313" s="751"/>
      <c r="T1313" s="751"/>
      <c r="U1313" s="751"/>
      <c r="V1313" s="751"/>
      <c r="W1313" s="751"/>
      <c r="X1313" s="751"/>
      <c r="Y1313" s="751"/>
      <c r="Z1313" s="751"/>
      <c r="AA1313" s="751"/>
      <c r="AB1313" s="751"/>
      <c r="AC1313" s="751"/>
      <c r="AD1313" s="751"/>
      <c r="AE1313" s="751"/>
      <c r="AF1313" s="751"/>
      <c r="AG1313" s="751"/>
    </row>
    <row r="1314" spans="4:33">
      <c r="D1314" s="751"/>
      <c r="E1314" s="751"/>
      <c r="F1314" s="751"/>
      <c r="G1314" s="751"/>
      <c r="H1314" s="751"/>
      <c r="I1314" s="751"/>
      <c r="J1314" s="751"/>
      <c r="K1314" s="751"/>
      <c r="L1314" s="751"/>
      <c r="M1314" s="751"/>
      <c r="N1314" s="751"/>
      <c r="O1314" s="751"/>
      <c r="P1314" s="751"/>
      <c r="Q1314" s="751"/>
      <c r="R1314" s="751"/>
      <c r="S1314" s="751"/>
      <c r="T1314" s="751"/>
      <c r="U1314" s="751"/>
      <c r="V1314" s="751"/>
      <c r="W1314" s="751"/>
      <c r="X1314" s="751"/>
      <c r="Y1314" s="751"/>
      <c r="Z1314" s="751"/>
      <c r="AA1314" s="751"/>
      <c r="AB1314" s="751"/>
      <c r="AC1314" s="751"/>
      <c r="AD1314" s="751"/>
      <c r="AE1314" s="751"/>
      <c r="AF1314" s="751"/>
      <c r="AG1314" s="751"/>
    </row>
    <row r="1315" spans="4:33">
      <c r="D1315" s="751"/>
      <c r="E1315" s="751"/>
      <c r="F1315" s="751"/>
      <c r="G1315" s="751"/>
      <c r="H1315" s="751"/>
      <c r="I1315" s="751"/>
      <c r="J1315" s="751"/>
      <c r="K1315" s="751"/>
      <c r="L1315" s="751"/>
      <c r="M1315" s="751"/>
      <c r="N1315" s="751"/>
      <c r="O1315" s="751"/>
      <c r="P1315" s="751"/>
      <c r="Q1315" s="751"/>
      <c r="R1315" s="751"/>
      <c r="S1315" s="751"/>
      <c r="T1315" s="751"/>
      <c r="U1315" s="751"/>
      <c r="V1315" s="751"/>
      <c r="W1315" s="751"/>
      <c r="X1315" s="751"/>
      <c r="Y1315" s="751"/>
      <c r="Z1315" s="751"/>
      <c r="AA1315" s="751"/>
      <c r="AB1315" s="751"/>
      <c r="AC1315" s="751"/>
      <c r="AD1315" s="751"/>
      <c r="AE1315" s="751"/>
      <c r="AF1315" s="751"/>
      <c r="AG1315" s="751"/>
    </row>
    <row r="1316" spans="4:33">
      <c r="D1316" s="751"/>
      <c r="E1316" s="751"/>
      <c r="F1316" s="751"/>
      <c r="G1316" s="751"/>
      <c r="H1316" s="751"/>
      <c r="I1316" s="751"/>
      <c r="J1316" s="751"/>
      <c r="K1316" s="751"/>
      <c r="L1316" s="751"/>
      <c r="M1316" s="751"/>
      <c r="N1316" s="751"/>
      <c r="O1316" s="751"/>
      <c r="P1316" s="751"/>
      <c r="Q1316" s="751"/>
      <c r="R1316" s="751"/>
      <c r="S1316" s="751"/>
      <c r="T1316" s="751"/>
      <c r="U1316" s="751"/>
      <c r="V1316" s="751"/>
      <c r="W1316" s="751"/>
      <c r="X1316" s="751"/>
      <c r="Y1316" s="751"/>
      <c r="Z1316" s="751"/>
      <c r="AA1316" s="751"/>
      <c r="AB1316" s="751"/>
      <c r="AC1316" s="751"/>
      <c r="AD1316" s="751"/>
      <c r="AE1316" s="751"/>
      <c r="AF1316" s="751"/>
      <c r="AG1316" s="751"/>
    </row>
    <row r="1317" spans="4:33">
      <c r="D1317" s="751"/>
      <c r="E1317" s="751"/>
      <c r="F1317" s="751"/>
      <c r="G1317" s="751"/>
      <c r="H1317" s="751"/>
      <c r="I1317" s="751"/>
      <c r="J1317" s="751"/>
      <c r="K1317" s="751"/>
      <c r="L1317" s="751"/>
      <c r="M1317" s="751"/>
      <c r="N1317" s="751"/>
      <c r="O1317" s="751"/>
      <c r="P1317" s="751"/>
      <c r="Q1317" s="751"/>
      <c r="R1317" s="751"/>
      <c r="S1317" s="751"/>
      <c r="T1317" s="751"/>
      <c r="U1317" s="751"/>
      <c r="V1317" s="751"/>
      <c r="W1317" s="751"/>
      <c r="X1317" s="751"/>
      <c r="Y1317" s="751"/>
      <c r="Z1317" s="751"/>
      <c r="AA1317" s="751"/>
      <c r="AB1317" s="751"/>
      <c r="AC1317" s="751"/>
      <c r="AD1317" s="751"/>
      <c r="AE1317" s="751"/>
      <c r="AF1317" s="751"/>
      <c r="AG1317" s="751"/>
    </row>
    <row r="1318" spans="4:33">
      <c r="D1318" s="751"/>
      <c r="E1318" s="751"/>
      <c r="F1318" s="751"/>
      <c r="G1318" s="751"/>
      <c r="H1318" s="751"/>
      <c r="I1318" s="751"/>
      <c r="J1318" s="751"/>
      <c r="K1318" s="751"/>
      <c r="L1318" s="751"/>
      <c r="M1318" s="751"/>
      <c r="N1318" s="751"/>
      <c r="O1318" s="751"/>
      <c r="P1318" s="751"/>
      <c r="Q1318" s="751"/>
      <c r="R1318" s="751"/>
      <c r="S1318" s="751"/>
      <c r="T1318" s="751"/>
      <c r="U1318" s="751"/>
      <c r="V1318" s="751"/>
      <c r="W1318" s="751"/>
      <c r="X1318" s="751"/>
      <c r="Y1318" s="751"/>
      <c r="Z1318" s="751"/>
      <c r="AA1318" s="751"/>
      <c r="AB1318" s="751"/>
      <c r="AC1318" s="751"/>
      <c r="AD1318" s="751"/>
      <c r="AE1318" s="751"/>
      <c r="AF1318" s="751"/>
      <c r="AG1318" s="751"/>
    </row>
    <row r="1319" spans="4:33">
      <c r="D1319" s="751"/>
      <c r="E1319" s="751"/>
      <c r="F1319" s="751"/>
      <c r="G1319" s="751"/>
      <c r="H1319" s="751"/>
      <c r="I1319" s="751"/>
      <c r="J1319" s="751"/>
      <c r="K1319" s="751"/>
      <c r="L1319" s="751"/>
      <c r="M1319" s="751"/>
      <c r="N1319" s="751"/>
      <c r="O1319" s="751"/>
      <c r="P1319" s="751"/>
      <c r="Q1319" s="751"/>
      <c r="R1319" s="751"/>
      <c r="S1319" s="751"/>
      <c r="T1319" s="751"/>
      <c r="U1319" s="751"/>
      <c r="V1319" s="751"/>
      <c r="W1319" s="751"/>
      <c r="X1319" s="751"/>
      <c r="Y1319" s="751"/>
      <c r="Z1319" s="751"/>
      <c r="AA1319" s="751"/>
      <c r="AB1319" s="751"/>
      <c r="AC1319" s="751"/>
      <c r="AD1319" s="751"/>
      <c r="AE1319" s="751"/>
      <c r="AF1319" s="751"/>
      <c r="AG1319" s="751"/>
    </row>
    <row r="1320" spans="4:33">
      <c r="D1320" s="751"/>
      <c r="E1320" s="751"/>
      <c r="F1320" s="751"/>
      <c r="G1320" s="751"/>
      <c r="H1320" s="751"/>
      <c r="I1320" s="751"/>
      <c r="J1320" s="751"/>
      <c r="K1320" s="751"/>
      <c r="L1320" s="751"/>
      <c r="M1320" s="751"/>
      <c r="N1320" s="751"/>
      <c r="O1320" s="751"/>
      <c r="P1320" s="751"/>
      <c r="Q1320" s="751"/>
      <c r="R1320" s="751"/>
      <c r="S1320" s="751"/>
      <c r="T1320" s="751"/>
      <c r="U1320" s="751"/>
      <c r="V1320" s="751"/>
      <c r="W1320" s="751"/>
      <c r="X1320" s="751"/>
      <c r="Y1320" s="751"/>
      <c r="Z1320" s="751"/>
      <c r="AA1320" s="751"/>
      <c r="AB1320" s="751"/>
      <c r="AC1320" s="751"/>
      <c r="AD1320" s="751"/>
      <c r="AE1320" s="751"/>
      <c r="AF1320" s="751"/>
      <c r="AG1320" s="751"/>
    </row>
    <row r="1321" spans="4:33">
      <c r="D1321" s="751"/>
      <c r="E1321" s="751"/>
      <c r="F1321" s="751"/>
      <c r="G1321" s="751"/>
      <c r="H1321" s="751"/>
      <c r="I1321" s="751"/>
      <c r="J1321" s="751"/>
      <c r="K1321" s="751"/>
      <c r="L1321" s="751"/>
      <c r="M1321" s="751"/>
      <c r="N1321" s="751"/>
      <c r="O1321" s="751"/>
      <c r="P1321" s="751"/>
      <c r="Q1321" s="751"/>
      <c r="R1321" s="751"/>
      <c r="S1321" s="751"/>
      <c r="T1321" s="751"/>
      <c r="U1321" s="751"/>
      <c r="V1321" s="751"/>
      <c r="W1321" s="751"/>
      <c r="X1321" s="751"/>
      <c r="Y1321" s="751"/>
      <c r="Z1321" s="751"/>
      <c r="AA1321" s="751"/>
      <c r="AB1321" s="751"/>
      <c r="AC1321" s="751"/>
      <c r="AD1321" s="751"/>
      <c r="AE1321" s="751"/>
      <c r="AF1321" s="751"/>
      <c r="AG1321" s="751"/>
    </row>
    <row r="1322" spans="4:33">
      <c r="D1322" s="751"/>
      <c r="E1322" s="751"/>
      <c r="F1322" s="751"/>
      <c r="G1322" s="751"/>
      <c r="H1322" s="751"/>
      <c r="I1322" s="751"/>
      <c r="J1322" s="751"/>
      <c r="K1322" s="751"/>
      <c r="L1322" s="751"/>
      <c r="M1322" s="751"/>
      <c r="N1322" s="751"/>
      <c r="O1322" s="751"/>
      <c r="P1322" s="751"/>
      <c r="Q1322" s="751"/>
      <c r="R1322" s="751"/>
      <c r="S1322" s="751"/>
      <c r="T1322" s="751"/>
      <c r="U1322" s="751"/>
      <c r="V1322" s="751"/>
      <c r="W1322" s="751"/>
      <c r="X1322" s="751"/>
      <c r="Y1322" s="751"/>
      <c r="Z1322" s="751"/>
      <c r="AA1322" s="751"/>
      <c r="AB1322" s="751"/>
      <c r="AC1322" s="751"/>
      <c r="AD1322" s="751"/>
      <c r="AE1322" s="751"/>
      <c r="AF1322" s="751"/>
      <c r="AG1322" s="751"/>
    </row>
    <row r="1323" spans="4:33">
      <c r="D1323" s="751"/>
      <c r="E1323" s="751"/>
      <c r="F1323" s="751"/>
      <c r="G1323" s="751"/>
      <c r="H1323" s="751"/>
      <c r="I1323" s="751"/>
      <c r="J1323" s="751"/>
      <c r="K1323" s="751"/>
      <c r="L1323" s="751"/>
      <c r="M1323" s="751"/>
      <c r="N1323" s="751"/>
      <c r="O1323" s="751"/>
      <c r="P1323" s="751"/>
      <c r="Q1323" s="751"/>
      <c r="R1323" s="751"/>
      <c r="S1323" s="751"/>
      <c r="T1323" s="751"/>
      <c r="U1323" s="751"/>
      <c r="V1323" s="751"/>
      <c r="W1323" s="751"/>
      <c r="X1323" s="751"/>
      <c r="Y1323" s="751"/>
      <c r="Z1323" s="751"/>
      <c r="AA1323" s="751"/>
      <c r="AB1323" s="751"/>
      <c r="AC1323" s="751"/>
      <c r="AD1323" s="751"/>
      <c r="AE1323" s="751"/>
      <c r="AF1323" s="751"/>
      <c r="AG1323" s="751"/>
    </row>
    <row r="1324" spans="4:33">
      <c r="D1324" s="751"/>
      <c r="E1324" s="751"/>
      <c r="F1324" s="751"/>
      <c r="G1324" s="751"/>
      <c r="H1324" s="751"/>
      <c r="I1324" s="751"/>
      <c r="J1324" s="751"/>
      <c r="K1324" s="751"/>
      <c r="L1324" s="751"/>
      <c r="M1324" s="751"/>
      <c r="N1324" s="751"/>
      <c r="O1324" s="751"/>
      <c r="P1324" s="751"/>
      <c r="Q1324" s="751"/>
      <c r="R1324" s="751"/>
      <c r="S1324" s="751"/>
      <c r="T1324" s="751"/>
      <c r="U1324" s="751"/>
      <c r="V1324" s="751"/>
      <c r="W1324" s="751"/>
      <c r="X1324" s="751"/>
      <c r="Y1324" s="751"/>
      <c r="Z1324" s="751"/>
      <c r="AA1324" s="751"/>
      <c r="AB1324" s="751"/>
      <c r="AC1324" s="751"/>
      <c r="AD1324" s="751"/>
      <c r="AE1324" s="751"/>
      <c r="AF1324" s="751"/>
      <c r="AG1324" s="751"/>
    </row>
    <row r="1325" spans="4:33">
      <c r="D1325" s="751"/>
      <c r="E1325" s="751"/>
      <c r="F1325" s="751"/>
      <c r="G1325" s="751"/>
      <c r="H1325" s="751"/>
      <c r="I1325" s="751"/>
      <c r="J1325" s="751"/>
      <c r="K1325" s="751"/>
      <c r="L1325" s="751"/>
      <c r="M1325" s="751"/>
      <c r="N1325" s="751"/>
      <c r="O1325" s="751"/>
      <c r="P1325" s="751"/>
      <c r="Q1325" s="751"/>
      <c r="R1325" s="751"/>
      <c r="S1325" s="751"/>
      <c r="T1325" s="751"/>
      <c r="U1325" s="751"/>
      <c r="V1325" s="751"/>
      <c r="W1325" s="751"/>
      <c r="X1325" s="751"/>
      <c r="Y1325" s="751"/>
      <c r="Z1325" s="751"/>
      <c r="AA1325" s="751"/>
      <c r="AB1325" s="751"/>
      <c r="AC1325" s="751"/>
      <c r="AD1325" s="751"/>
      <c r="AE1325" s="751"/>
      <c r="AF1325" s="751"/>
      <c r="AG1325" s="751"/>
    </row>
    <row r="1326" spans="4:33">
      <c r="D1326" s="751"/>
      <c r="E1326" s="751"/>
      <c r="F1326" s="751"/>
      <c r="G1326" s="751"/>
      <c r="H1326" s="751"/>
      <c r="I1326" s="751"/>
      <c r="J1326" s="751"/>
      <c r="K1326" s="751"/>
      <c r="L1326" s="751"/>
      <c r="M1326" s="751"/>
      <c r="N1326" s="751"/>
      <c r="O1326" s="751"/>
      <c r="P1326" s="751"/>
      <c r="Q1326" s="751"/>
      <c r="R1326" s="751"/>
      <c r="S1326" s="751"/>
      <c r="T1326" s="751"/>
      <c r="U1326" s="751"/>
      <c r="V1326" s="751"/>
      <c r="W1326" s="751"/>
      <c r="X1326" s="751"/>
      <c r="Y1326" s="751"/>
      <c r="Z1326" s="751"/>
      <c r="AA1326" s="751"/>
      <c r="AB1326" s="751"/>
      <c r="AC1326" s="751"/>
      <c r="AD1326" s="751"/>
      <c r="AE1326" s="751"/>
      <c r="AF1326" s="751"/>
      <c r="AG1326" s="751"/>
    </row>
    <row r="1327" spans="4:33">
      <c r="D1327" s="751"/>
      <c r="E1327" s="751"/>
      <c r="F1327" s="751"/>
      <c r="G1327" s="751"/>
      <c r="H1327" s="751"/>
      <c r="I1327" s="751"/>
      <c r="J1327" s="751"/>
      <c r="K1327" s="751"/>
      <c r="L1327" s="751"/>
      <c r="M1327" s="751"/>
      <c r="N1327" s="751"/>
      <c r="O1327" s="751"/>
      <c r="P1327" s="751"/>
      <c r="Q1327" s="751"/>
      <c r="R1327" s="751"/>
      <c r="S1327" s="751"/>
      <c r="T1327" s="751"/>
      <c r="U1327" s="751"/>
      <c r="V1327" s="751"/>
      <c r="W1327" s="751"/>
      <c r="X1327" s="751"/>
      <c r="Y1327" s="751"/>
      <c r="Z1327" s="751"/>
      <c r="AA1327" s="751"/>
      <c r="AB1327" s="751"/>
      <c r="AC1327" s="751"/>
      <c r="AD1327" s="751"/>
      <c r="AE1327" s="751"/>
      <c r="AF1327" s="751"/>
      <c r="AG1327" s="751"/>
    </row>
    <row r="1328" spans="4:33">
      <c r="D1328" s="751"/>
      <c r="E1328" s="751"/>
      <c r="F1328" s="751"/>
      <c r="G1328" s="751"/>
      <c r="H1328" s="751"/>
      <c r="I1328" s="751"/>
      <c r="J1328" s="751"/>
      <c r="K1328" s="751"/>
      <c r="L1328" s="751"/>
      <c r="M1328" s="751"/>
      <c r="N1328" s="751"/>
      <c r="O1328" s="751"/>
      <c r="P1328" s="751"/>
      <c r="Q1328" s="751"/>
      <c r="R1328" s="751"/>
      <c r="S1328" s="751"/>
      <c r="T1328" s="751"/>
      <c r="U1328" s="751"/>
      <c r="V1328" s="751"/>
      <c r="W1328" s="751"/>
      <c r="X1328" s="751"/>
      <c r="Y1328" s="751"/>
      <c r="Z1328" s="751"/>
      <c r="AA1328" s="751"/>
      <c r="AB1328" s="751"/>
      <c r="AC1328" s="751"/>
      <c r="AD1328" s="751"/>
      <c r="AE1328" s="751"/>
      <c r="AF1328" s="751"/>
      <c r="AG1328" s="751"/>
    </row>
    <row r="1329" spans="4:33">
      <c r="D1329" s="751"/>
      <c r="E1329" s="751"/>
      <c r="F1329" s="751"/>
      <c r="G1329" s="751"/>
      <c r="H1329" s="751"/>
      <c r="I1329" s="751"/>
      <c r="J1329" s="751"/>
      <c r="K1329" s="751"/>
      <c r="L1329" s="751"/>
      <c r="M1329" s="751"/>
      <c r="N1329" s="751"/>
      <c r="O1329" s="751"/>
      <c r="P1329" s="751"/>
      <c r="Q1329" s="751"/>
      <c r="R1329" s="751"/>
      <c r="S1329" s="751"/>
      <c r="T1329" s="751"/>
      <c r="U1329" s="751"/>
      <c r="V1329" s="751"/>
      <c r="W1329" s="751"/>
      <c r="X1329" s="751"/>
      <c r="Y1329" s="751"/>
      <c r="Z1329" s="751"/>
      <c r="AA1329" s="751"/>
      <c r="AB1329" s="751"/>
      <c r="AC1329" s="751"/>
      <c r="AD1329" s="751"/>
      <c r="AE1329" s="751"/>
      <c r="AF1329" s="751"/>
      <c r="AG1329" s="751"/>
    </row>
    <row r="1330" spans="4:33">
      <c r="D1330" s="751"/>
      <c r="E1330" s="751"/>
      <c r="F1330" s="751"/>
      <c r="G1330" s="751"/>
      <c r="H1330" s="751"/>
      <c r="I1330" s="751"/>
      <c r="J1330" s="751"/>
      <c r="K1330" s="751"/>
      <c r="L1330" s="751"/>
      <c r="M1330" s="751"/>
      <c r="N1330" s="751"/>
      <c r="O1330" s="751"/>
      <c r="P1330" s="751"/>
      <c r="Q1330" s="751"/>
      <c r="R1330" s="751"/>
      <c r="S1330" s="751"/>
      <c r="T1330" s="751"/>
      <c r="U1330" s="751"/>
      <c r="V1330" s="751"/>
      <c r="W1330" s="751"/>
      <c r="X1330" s="751"/>
      <c r="Y1330" s="751"/>
      <c r="Z1330" s="751"/>
      <c r="AA1330" s="751"/>
      <c r="AB1330" s="751"/>
      <c r="AC1330" s="751"/>
      <c r="AD1330" s="751"/>
      <c r="AE1330" s="751"/>
      <c r="AF1330" s="751"/>
      <c r="AG1330" s="751"/>
    </row>
    <row r="1331" spans="4:33">
      <c r="D1331" s="751"/>
      <c r="E1331" s="751"/>
      <c r="F1331" s="751"/>
      <c r="G1331" s="751"/>
      <c r="H1331" s="751"/>
      <c r="I1331" s="751"/>
      <c r="J1331" s="751"/>
      <c r="K1331" s="751"/>
      <c r="L1331" s="751"/>
      <c r="M1331" s="751"/>
      <c r="N1331" s="751"/>
      <c r="O1331" s="751"/>
      <c r="P1331" s="751"/>
      <c r="Q1331" s="751"/>
      <c r="R1331" s="751"/>
      <c r="S1331" s="751"/>
      <c r="T1331" s="751"/>
      <c r="U1331" s="751"/>
      <c r="V1331" s="751"/>
      <c r="W1331" s="751"/>
      <c r="X1331" s="751"/>
      <c r="Y1331" s="751"/>
      <c r="Z1331" s="751"/>
      <c r="AA1331" s="751"/>
      <c r="AB1331" s="751"/>
      <c r="AC1331" s="751"/>
      <c r="AD1331" s="751"/>
      <c r="AE1331" s="751"/>
      <c r="AF1331" s="751"/>
      <c r="AG1331" s="751"/>
    </row>
    <row r="1332" spans="4:33">
      <c r="D1332" s="751"/>
      <c r="E1332" s="751"/>
      <c r="F1332" s="751"/>
      <c r="G1332" s="751"/>
      <c r="H1332" s="751"/>
      <c r="I1332" s="751"/>
      <c r="J1332" s="751"/>
      <c r="K1332" s="751"/>
      <c r="L1332" s="751"/>
      <c r="M1332" s="751"/>
      <c r="N1332" s="751"/>
      <c r="O1332" s="751"/>
      <c r="P1332" s="751"/>
      <c r="Q1332" s="751"/>
      <c r="R1332" s="751"/>
      <c r="S1332" s="751"/>
      <c r="T1332" s="751"/>
      <c r="U1332" s="751"/>
      <c r="V1332" s="751"/>
      <c r="W1332" s="751"/>
      <c r="X1332" s="751"/>
      <c r="Y1332" s="751"/>
      <c r="Z1332" s="751"/>
      <c r="AA1332" s="751"/>
      <c r="AB1332" s="751"/>
      <c r="AC1332" s="751"/>
      <c r="AD1332" s="751"/>
      <c r="AE1332" s="751"/>
      <c r="AF1332" s="751"/>
      <c r="AG1332" s="751"/>
    </row>
    <row r="1333" spans="4:33">
      <c r="D1333" s="751"/>
      <c r="E1333" s="751"/>
      <c r="F1333" s="751"/>
      <c r="G1333" s="751"/>
      <c r="H1333" s="751"/>
      <c r="I1333" s="751"/>
      <c r="J1333" s="751"/>
      <c r="K1333" s="751"/>
      <c r="L1333" s="751"/>
      <c r="M1333" s="751"/>
      <c r="N1333" s="751"/>
      <c r="O1333" s="751"/>
      <c r="P1333" s="751"/>
      <c r="Q1333" s="751"/>
      <c r="R1333" s="751"/>
      <c r="S1333" s="751"/>
      <c r="T1333" s="751"/>
      <c r="U1333" s="751"/>
      <c r="V1333" s="751"/>
      <c r="W1333" s="751"/>
      <c r="X1333" s="751"/>
      <c r="Y1333" s="751"/>
      <c r="Z1333" s="751"/>
      <c r="AA1333" s="751"/>
      <c r="AB1333" s="751"/>
      <c r="AC1333" s="751"/>
      <c r="AD1333" s="751"/>
      <c r="AE1333" s="751"/>
      <c r="AF1333" s="751"/>
      <c r="AG1333" s="751"/>
    </row>
    <row r="1334" spans="4:33">
      <c r="D1334" s="751"/>
      <c r="E1334" s="751"/>
      <c r="F1334" s="751"/>
      <c r="G1334" s="751"/>
      <c r="H1334" s="751"/>
      <c r="I1334" s="751"/>
      <c r="J1334" s="751"/>
      <c r="K1334" s="751"/>
      <c r="L1334" s="751"/>
      <c r="M1334" s="751"/>
      <c r="N1334" s="751"/>
      <c r="O1334" s="751"/>
      <c r="P1334" s="751"/>
      <c r="Q1334" s="751"/>
      <c r="R1334" s="751"/>
      <c r="S1334" s="751"/>
      <c r="T1334" s="751"/>
      <c r="U1334" s="751"/>
      <c r="V1334" s="751"/>
      <c r="W1334" s="751"/>
      <c r="X1334" s="751"/>
      <c r="Y1334" s="751"/>
      <c r="Z1334" s="751"/>
      <c r="AA1334" s="751"/>
      <c r="AB1334" s="751"/>
      <c r="AC1334" s="751"/>
      <c r="AD1334" s="751"/>
      <c r="AE1334" s="751"/>
      <c r="AF1334" s="751"/>
      <c r="AG1334" s="751"/>
    </row>
    <row r="1335" spans="4:33">
      <c r="D1335" s="751"/>
      <c r="E1335" s="751"/>
      <c r="F1335" s="751"/>
      <c r="G1335" s="751"/>
      <c r="H1335" s="751"/>
      <c r="I1335" s="751"/>
      <c r="J1335" s="751"/>
      <c r="K1335" s="751"/>
      <c r="L1335" s="751"/>
      <c r="M1335" s="751"/>
      <c r="N1335" s="751"/>
      <c r="O1335" s="751"/>
      <c r="P1335" s="751"/>
      <c r="Q1335" s="751"/>
      <c r="R1335" s="751"/>
      <c r="S1335" s="751"/>
      <c r="T1335" s="751"/>
      <c r="U1335" s="751"/>
      <c r="V1335" s="751"/>
      <c r="W1335" s="751"/>
      <c r="X1335" s="751"/>
      <c r="Y1335" s="751"/>
      <c r="Z1335" s="751"/>
      <c r="AA1335" s="751"/>
      <c r="AB1335" s="751"/>
      <c r="AC1335" s="751"/>
      <c r="AD1335" s="751"/>
      <c r="AE1335" s="751"/>
      <c r="AF1335" s="751"/>
      <c r="AG1335" s="751"/>
    </row>
    <row r="1336" spans="4:33">
      <c r="D1336" s="751"/>
      <c r="E1336" s="751"/>
      <c r="F1336" s="751"/>
      <c r="G1336" s="751"/>
      <c r="H1336" s="751"/>
      <c r="I1336" s="751"/>
      <c r="J1336" s="751"/>
      <c r="K1336" s="751"/>
      <c r="L1336" s="751"/>
      <c r="M1336" s="751"/>
      <c r="N1336" s="751"/>
      <c r="O1336" s="751"/>
      <c r="P1336" s="751"/>
      <c r="Q1336" s="751"/>
      <c r="R1336" s="751"/>
      <c r="S1336" s="751"/>
      <c r="T1336" s="751"/>
      <c r="U1336" s="751"/>
      <c r="V1336" s="751"/>
      <c r="W1336" s="751"/>
      <c r="X1336" s="751"/>
      <c r="Y1336" s="751"/>
      <c r="Z1336" s="751"/>
      <c r="AA1336" s="751"/>
      <c r="AB1336" s="751"/>
      <c r="AC1336" s="751"/>
      <c r="AD1336" s="751"/>
      <c r="AE1336" s="751"/>
      <c r="AF1336" s="751"/>
      <c r="AG1336" s="751"/>
    </row>
    <row r="1337" spans="4:33">
      <c r="D1337" s="751"/>
      <c r="E1337" s="751"/>
      <c r="F1337" s="751"/>
      <c r="G1337" s="751"/>
      <c r="H1337" s="751"/>
      <c r="I1337" s="751"/>
      <c r="J1337" s="751"/>
      <c r="K1337" s="751"/>
      <c r="L1337" s="751"/>
      <c r="M1337" s="751"/>
      <c r="N1337" s="751"/>
      <c r="O1337" s="751"/>
      <c r="P1337" s="751"/>
      <c r="Q1337" s="751"/>
      <c r="R1337" s="751"/>
      <c r="S1337" s="751"/>
      <c r="T1337" s="751"/>
      <c r="U1337" s="751"/>
      <c r="V1337" s="751"/>
      <c r="W1337" s="751"/>
      <c r="X1337" s="751"/>
      <c r="Y1337" s="751"/>
      <c r="Z1337" s="751"/>
      <c r="AA1337" s="751"/>
      <c r="AB1337" s="751"/>
      <c r="AC1337" s="751"/>
      <c r="AD1337" s="751"/>
      <c r="AE1337" s="751"/>
      <c r="AF1337" s="751"/>
      <c r="AG1337" s="751"/>
    </row>
    <row r="1338" spans="4:33">
      <c r="D1338" s="751"/>
      <c r="E1338" s="751"/>
      <c r="F1338" s="751"/>
      <c r="G1338" s="751"/>
      <c r="H1338" s="751"/>
      <c r="I1338" s="751"/>
      <c r="J1338" s="751"/>
      <c r="K1338" s="751"/>
      <c r="L1338" s="751"/>
      <c r="M1338" s="751"/>
      <c r="N1338" s="751"/>
      <c r="O1338" s="751"/>
      <c r="P1338" s="751"/>
      <c r="Q1338" s="751"/>
      <c r="R1338" s="751"/>
      <c r="S1338" s="751"/>
      <c r="T1338" s="751"/>
      <c r="U1338" s="751"/>
      <c r="V1338" s="751"/>
      <c r="W1338" s="751"/>
      <c r="X1338" s="751"/>
      <c r="Y1338" s="751"/>
      <c r="Z1338" s="751"/>
      <c r="AA1338" s="751"/>
      <c r="AB1338" s="751"/>
      <c r="AC1338" s="751"/>
      <c r="AD1338" s="751"/>
      <c r="AE1338" s="751"/>
      <c r="AF1338" s="751"/>
      <c r="AG1338" s="751"/>
    </row>
    <row r="1339" spans="4:33">
      <c r="D1339" s="751"/>
      <c r="E1339" s="751"/>
      <c r="F1339" s="751"/>
      <c r="G1339" s="751"/>
      <c r="H1339" s="751"/>
      <c r="I1339" s="751"/>
      <c r="J1339" s="751"/>
      <c r="K1339" s="751"/>
      <c r="L1339" s="751"/>
      <c r="M1339" s="751"/>
      <c r="N1339" s="751"/>
      <c r="O1339" s="751"/>
      <c r="P1339" s="751"/>
      <c r="Q1339" s="751"/>
      <c r="R1339" s="751"/>
      <c r="S1339" s="751"/>
      <c r="T1339" s="751"/>
      <c r="U1339" s="751"/>
      <c r="V1339" s="751"/>
      <c r="W1339" s="751"/>
      <c r="X1339" s="751"/>
      <c r="Y1339" s="751"/>
      <c r="Z1339" s="751"/>
      <c r="AA1339" s="751"/>
      <c r="AB1339" s="751"/>
      <c r="AC1339" s="751"/>
      <c r="AD1339" s="751"/>
      <c r="AE1339" s="751"/>
      <c r="AF1339" s="751"/>
      <c r="AG1339" s="751"/>
    </row>
    <row r="1340" spans="4:33">
      <c r="D1340" s="751"/>
      <c r="E1340" s="751"/>
      <c r="F1340" s="751"/>
      <c r="G1340" s="751"/>
      <c r="H1340" s="751"/>
      <c r="I1340" s="751"/>
      <c r="J1340" s="751"/>
      <c r="K1340" s="751"/>
      <c r="L1340" s="751"/>
      <c r="M1340" s="751"/>
      <c r="N1340" s="751"/>
      <c r="O1340" s="751"/>
      <c r="P1340" s="751"/>
      <c r="Q1340" s="751"/>
      <c r="R1340" s="751"/>
      <c r="S1340" s="751"/>
      <c r="T1340" s="751"/>
      <c r="U1340" s="751"/>
      <c r="V1340" s="751"/>
      <c r="W1340" s="751"/>
      <c r="X1340" s="751"/>
      <c r="Y1340" s="751"/>
      <c r="Z1340" s="751"/>
      <c r="AA1340" s="751"/>
      <c r="AB1340" s="751"/>
      <c r="AC1340" s="751"/>
      <c r="AD1340" s="751"/>
      <c r="AE1340" s="751"/>
      <c r="AF1340" s="751"/>
      <c r="AG1340" s="751"/>
    </row>
    <row r="1341" spans="4:33">
      <c r="D1341" s="751"/>
      <c r="E1341" s="751"/>
      <c r="F1341" s="751"/>
      <c r="G1341" s="751"/>
      <c r="H1341" s="751"/>
      <c r="I1341" s="751"/>
      <c r="J1341" s="751"/>
      <c r="K1341" s="751"/>
      <c r="L1341" s="751"/>
      <c r="M1341" s="751"/>
      <c r="N1341" s="751"/>
      <c r="O1341" s="751"/>
      <c r="P1341" s="751"/>
      <c r="Q1341" s="751"/>
      <c r="R1341" s="751"/>
      <c r="S1341" s="751"/>
      <c r="T1341" s="751"/>
      <c r="U1341" s="751"/>
      <c r="V1341" s="751"/>
      <c r="W1341" s="751"/>
      <c r="X1341" s="751"/>
      <c r="Y1341" s="751"/>
      <c r="Z1341" s="751"/>
      <c r="AA1341" s="751"/>
      <c r="AB1341" s="751"/>
      <c r="AC1341" s="751"/>
      <c r="AD1341" s="751"/>
      <c r="AE1341" s="751"/>
      <c r="AF1341" s="751"/>
      <c r="AG1341" s="751"/>
    </row>
    <row r="1342" spans="4:33">
      <c r="D1342" s="751"/>
      <c r="E1342" s="751"/>
      <c r="F1342" s="751"/>
      <c r="G1342" s="751"/>
      <c r="H1342" s="751"/>
      <c r="I1342" s="751"/>
      <c r="J1342" s="751"/>
      <c r="K1342" s="751"/>
      <c r="L1342" s="751"/>
      <c r="M1342" s="751"/>
      <c r="N1342" s="751"/>
      <c r="O1342" s="751"/>
      <c r="P1342" s="751"/>
      <c r="Q1342" s="751"/>
      <c r="R1342" s="751"/>
      <c r="S1342" s="751"/>
      <c r="T1342" s="751"/>
      <c r="U1342" s="751"/>
      <c r="V1342" s="751"/>
      <c r="W1342" s="751"/>
      <c r="X1342" s="751"/>
      <c r="Y1342" s="751"/>
      <c r="Z1342" s="751"/>
      <c r="AA1342" s="751"/>
      <c r="AB1342" s="751"/>
      <c r="AC1342" s="751"/>
      <c r="AD1342" s="751"/>
      <c r="AE1342" s="751"/>
      <c r="AF1342" s="751"/>
      <c r="AG1342" s="751"/>
    </row>
    <row r="1343" spans="4:33">
      <c r="D1343" s="751"/>
      <c r="E1343" s="751"/>
      <c r="F1343" s="751"/>
      <c r="G1343" s="751"/>
      <c r="H1343" s="751"/>
      <c r="I1343" s="751"/>
      <c r="J1343" s="751"/>
      <c r="K1343" s="751"/>
      <c r="L1343" s="751"/>
      <c r="M1343" s="751"/>
      <c r="N1343" s="751"/>
      <c r="O1343" s="751"/>
      <c r="P1343" s="751"/>
      <c r="Q1343" s="751"/>
      <c r="R1343" s="751"/>
      <c r="S1343" s="751"/>
      <c r="T1343" s="751"/>
      <c r="U1343" s="751"/>
      <c r="V1343" s="751"/>
      <c r="W1343" s="751"/>
      <c r="X1343" s="751"/>
      <c r="Y1343" s="751"/>
      <c r="Z1343" s="751"/>
      <c r="AA1343" s="751"/>
      <c r="AB1343" s="751"/>
      <c r="AC1343" s="751"/>
      <c r="AD1343" s="751"/>
      <c r="AE1343" s="751"/>
      <c r="AF1343" s="751"/>
      <c r="AG1343" s="751"/>
    </row>
    <row r="1344" spans="4:33">
      <c r="D1344" s="751"/>
      <c r="E1344" s="751"/>
      <c r="F1344" s="751"/>
      <c r="G1344" s="751"/>
      <c r="H1344" s="751"/>
      <c r="I1344" s="751"/>
      <c r="J1344" s="751"/>
      <c r="K1344" s="751"/>
      <c r="L1344" s="751"/>
      <c r="M1344" s="751"/>
      <c r="N1344" s="751"/>
      <c r="O1344" s="751"/>
      <c r="P1344" s="751"/>
      <c r="Q1344" s="751"/>
      <c r="R1344" s="751"/>
      <c r="S1344" s="751"/>
      <c r="T1344" s="751"/>
      <c r="U1344" s="751"/>
      <c r="V1344" s="751"/>
      <c r="W1344" s="751"/>
      <c r="X1344" s="751"/>
      <c r="Y1344" s="751"/>
      <c r="Z1344" s="751"/>
      <c r="AA1344" s="751"/>
      <c r="AB1344" s="751"/>
      <c r="AC1344" s="751"/>
      <c r="AD1344" s="751"/>
      <c r="AE1344" s="751"/>
      <c r="AF1344" s="751"/>
      <c r="AG1344" s="751"/>
    </row>
    <row r="1345" spans="4:33">
      <c r="D1345" s="751"/>
      <c r="E1345" s="751"/>
      <c r="F1345" s="751"/>
      <c r="G1345" s="751"/>
      <c r="H1345" s="751"/>
      <c r="I1345" s="751"/>
      <c r="J1345" s="751"/>
      <c r="K1345" s="751"/>
      <c r="L1345" s="751"/>
      <c r="M1345" s="751"/>
      <c r="N1345" s="751"/>
      <c r="O1345" s="751"/>
      <c r="P1345" s="751"/>
      <c r="Q1345" s="751"/>
      <c r="R1345" s="751"/>
      <c r="S1345" s="751"/>
      <c r="T1345" s="751"/>
      <c r="U1345" s="751"/>
      <c r="V1345" s="751"/>
      <c r="W1345" s="751"/>
      <c r="X1345" s="751"/>
      <c r="Y1345" s="751"/>
      <c r="Z1345" s="751"/>
      <c r="AA1345" s="751"/>
      <c r="AB1345" s="751"/>
      <c r="AC1345" s="751"/>
      <c r="AD1345" s="751"/>
      <c r="AE1345" s="751"/>
      <c r="AF1345" s="751"/>
      <c r="AG1345" s="751"/>
    </row>
    <row r="1346" spans="4:33">
      <c r="D1346" s="751"/>
      <c r="E1346" s="751"/>
      <c r="F1346" s="751"/>
      <c r="G1346" s="751"/>
      <c r="H1346" s="751"/>
      <c r="I1346" s="751"/>
      <c r="J1346" s="751"/>
      <c r="K1346" s="751"/>
      <c r="L1346" s="751"/>
      <c r="M1346" s="751"/>
      <c r="N1346" s="751"/>
      <c r="O1346" s="751"/>
      <c r="P1346" s="751"/>
      <c r="Q1346" s="751"/>
      <c r="R1346" s="751"/>
      <c r="S1346" s="751"/>
      <c r="T1346" s="751"/>
      <c r="U1346" s="751"/>
      <c r="V1346" s="751"/>
      <c r="W1346" s="751"/>
      <c r="X1346" s="751"/>
      <c r="Y1346" s="751"/>
      <c r="Z1346" s="751"/>
      <c r="AA1346" s="751"/>
      <c r="AB1346" s="751"/>
      <c r="AC1346" s="751"/>
      <c r="AD1346" s="751"/>
      <c r="AE1346" s="751"/>
      <c r="AF1346" s="751"/>
      <c r="AG1346" s="751"/>
    </row>
    <row r="1347" spans="4:33">
      <c r="D1347" s="751"/>
      <c r="E1347" s="751"/>
      <c r="F1347" s="751"/>
      <c r="G1347" s="751"/>
      <c r="H1347" s="751"/>
      <c r="I1347" s="751"/>
      <c r="J1347" s="751"/>
      <c r="K1347" s="751"/>
      <c r="L1347" s="751"/>
      <c r="M1347" s="751"/>
      <c r="N1347" s="751"/>
      <c r="O1347" s="751"/>
      <c r="P1347" s="751"/>
      <c r="Q1347" s="751"/>
      <c r="R1347" s="751"/>
      <c r="S1347" s="751"/>
      <c r="T1347" s="751"/>
      <c r="U1347" s="751"/>
      <c r="V1347" s="751"/>
      <c r="W1347" s="751"/>
      <c r="X1347" s="751"/>
      <c r="Y1347" s="751"/>
      <c r="Z1347" s="751"/>
      <c r="AA1347" s="751"/>
      <c r="AB1347" s="751"/>
      <c r="AC1347" s="751"/>
      <c r="AD1347" s="751"/>
      <c r="AE1347" s="751"/>
      <c r="AF1347" s="751"/>
      <c r="AG1347" s="751"/>
    </row>
    <row r="1348" spans="4:33">
      <c r="D1348" s="751"/>
      <c r="E1348" s="751"/>
      <c r="F1348" s="751"/>
      <c r="G1348" s="751"/>
      <c r="H1348" s="751"/>
      <c r="I1348" s="751"/>
      <c r="J1348" s="751"/>
      <c r="K1348" s="751"/>
      <c r="L1348" s="751"/>
      <c r="M1348" s="751"/>
      <c r="N1348" s="751"/>
      <c r="O1348" s="751"/>
      <c r="P1348" s="751"/>
      <c r="Q1348" s="751"/>
      <c r="R1348" s="751"/>
      <c r="S1348" s="751"/>
      <c r="T1348" s="751"/>
      <c r="U1348" s="751"/>
      <c r="V1348" s="751"/>
      <c r="W1348" s="751"/>
      <c r="X1348" s="751"/>
      <c r="Y1348" s="751"/>
      <c r="Z1348" s="751"/>
      <c r="AA1348" s="751"/>
      <c r="AB1348" s="751"/>
      <c r="AC1348" s="751"/>
      <c r="AD1348" s="751"/>
      <c r="AE1348" s="751"/>
      <c r="AF1348" s="751"/>
      <c r="AG1348" s="751"/>
    </row>
    <row r="1349" spans="4:33">
      <c r="D1349" s="751"/>
      <c r="E1349" s="751"/>
      <c r="F1349" s="751"/>
      <c r="G1349" s="751"/>
      <c r="H1349" s="751"/>
      <c r="I1349" s="751"/>
      <c r="J1349" s="751"/>
      <c r="K1349" s="751"/>
      <c r="L1349" s="751"/>
      <c r="M1349" s="751"/>
      <c r="N1349" s="751"/>
      <c r="O1349" s="751"/>
      <c r="P1349" s="751"/>
      <c r="Q1349" s="751"/>
      <c r="R1349" s="751"/>
      <c r="S1349" s="751"/>
      <c r="T1349" s="751"/>
      <c r="U1349" s="751"/>
      <c r="V1349" s="751"/>
      <c r="W1349" s="751"/>
      <c r="X1349" s="751"/>
      <c r="Y1349" s="751"/>
      <c r="Z1349" s="751"/>
      <c r="AA1349" s="751"/>
      <c r="AB1349" s="751"/>
      <c r="AC1349" s="751"/>
      <c r="AD1349" s="751"/>
      <c r="AE1349" s="751"/>
      <c r="AF1349" s="751"/>
      <c r="AG1349" s="751"/>
    </row>
    <row r="1350" spans="4:33">
      <c r="D1350" s="751"/>
      <c r="E1350" s="751"/>
      <c r="F1350" s="751"/>
      <c r="G1350" s="751"/>
      <c r="H1350" s="751"/>
      <c r="I1350" s="751"/>
      <c r="J1350" s="751"/>
      <c r="K1350" s="751"/>
      <c r="L1350" s="751"/>
      <c r="M1350" s="751"/>
      <c r="N1350" s="751"/>
      <c r="O1350" s="751"/>
      <c r="P1350" s="751"/>
      <c r="Q1350" s="751"/>
      <c r="R1350" s="751"/>
      <c r="S1350" s="751"/>
      <c r="T1350" s="751"/>
      <c r="U1350" s="751"/>
      <c r="V1350" s="751"/>
      <c r="W1350" s="751"/>
      <c r="X1350" s="751"/>
      <c r="Y1350" s="751"/>
      <c r="Z1350" s="751"/>
      <c r="AA1350" s="751"/>
      <c r="AB1350" s="751"/>
      <c r="AC1350" s="751"/>
      <c r="AD1350" s="751"/>
      <c r="AE1350" s="751"/>
      <c r="AF1350" s="751"/>
      <c r="AG1350" s="751"/>
    </row>
    <row r="1351" spans="4:33">
      <c r="D1351" s="751"/>
      <c r="E1351" s="751"/>
      <c r="F1351" s="751"/>
      <c r="G1351" s="751"/>
      <c r="H1351" s="751"/>
      <c r="I1351" s="751"/>
      <c r="J1351" s="751"/>
      <c r="K1351" s="751"/>
      <c r="L1351" s="751"/>
      <c r="M1351" s="751"/>
      <c r="N1351" s="751"/>
      <c r="O1351" s="751"/>
      <c r="P1351" s="751"/>
      <c r="Q1351" s="751"/>
      <c r="R1351" s="751"/>
      <c r="S1351" s="751"/>
      <c r="T1351" s="751"/>
      <c r="U1351" s="751"/>
      <c r="V1351" s="751"/>
      <c r="W1351" s="751"/>
      <c r="X1351" s="751"/>
      <c r="Y1351" s="751"/>
      <c r="Z1351" s="751"/>
      <c r="AA1351" s="751"/>
      <c r="AB1351" s="751"/>
      <c r="AC1351" s="751"/>
      <c r="AD1351" s="751"/>
      <c r="AE1351" s="751"/>
      <c r="AF1351" s="751"/>
      <c r="AG1351" s="751"/>
    </row>
    <row r="1352" spans="4:33">
      <c r="D1352" s="751"/>
      <c r="E1352" s="751"/>
      <c r="F1352" s="751"/>
      <c r="G1352" s="751"/>
      <c r="H1352" s="751"/>
      <c r="I1352" s="751"/>
      <c r="J1352" s="751"/>
      <c r="K1352" s="751"/>
      <c r="L1352" s="751"/>
      <c r="M1352" s="751"/>
      <c r="N1352" s="751"/>
      <c r="O1352" s="751"/>
      <c r="P1352" s="751"/>
      <c r="Q1352" s="751"/>
      <c r="R1352" s="751"/>
      <c r="S1352" s="751"/>
      <c r="T1352" s="751"/>
      <c r="U1352" s="751"/>
      <c r="V1352" s="751"/>
      <c r="W1352" s="751"/>
      <c r="X1352" s="751"/>
      <c r="Y1352" s="751"/>
      <c r="Z1352" s="751"/>
      <c r="AA1352" s="751"/>
      <c r="AB1352" s="751"/>
      <c r="AC1352" s="751"/>
      <c r="AD1352" s="751"/>
      <c r="AE1352" s="751"/>
      <c r="AF1352" s="751"/>
      <c r="AG1352" s="751"/>
    </row>
    <row r="1353" spans="4:33">
      <c r="D1353" s="751"/>
      <c r="E1353" s="751"/>
      <c r="F1353" s="751"/>
      <c r="G1353" s="751"/>
      <c r="H1353" s="751"/>
      <c r="I1353" s="751"/>
      <c r="J1353" s="751"/>
      <c r="K1353" s="751"/>
      <c r="L1353" s="751"/>
      <c r="M1353" s="751"/>
      <c r="N1353" s="751"/>
      <c r="O1353" s="751"/>
      <c r="P1353" s="751"/>
      <c r="Q1353" s="751"/>
      <c r="R1353" s="751"/>
      <c r="S1353" s="751"/>
      <c r="T1353" s="751"/>
      <c r="U1353" s="751"/>
      <c r="V1353" s="751"/>
      <c r="W1353" s="751"/>
      <c r="X1353" s="751"/>
      <c r="Y1353" s="751"/>
      <c r="Z1353" s="751"/>
      <c r="AA1353" s="751"/>
      <c r="AB1353" s="751"/>
      <c r="AC1353" s="751"/>
      <c r="AD1353" s="751"/>
      <c r="AE1353" s="751"/>
      <c r="AF1353" s="751"/>
      <c r="AG1353" s="751"/>
    </row>
    <row r="1354" spans="4:33">
      <c r="D1354" s="751"/>
      <c r="E1354" s="751"/>
      <c r="F1354" s="751"/>
      <c r="G1354" s="751"/>
      <c r="H1354" s="751"/>
      <c r="I1354" s="751"/>
      <c r="J1354" s="751"/>
      <c r="K1354" s="751"/>
      <c r="L1354" s="751"/>
      <c r="M1354" s="751"/>
      <c r="N1354" s="751"/>
      <c r="O1354" s="751"/>
      <c r="P1354" s="751"/>
      <c r="Q1354" s="751"/>
      <c r="R1354" s="751"/>
      <c r="S1354" s="751"/>
      <c r="T1354" s="751"/>
      <c r="U1354" s="751"/>
      <c r="V1354" s="751"/>
      <c r="W1354" s="751"/>
      <c r="X1354" s="751"/>
      <c r="Y1354" s="751"/>
      <c r="Z1354" s="751"/>
      <c r="AA1354" s="751"/>
      <c r="AB1354" s="751"/>
      <c r="AC1354" s="751"/>
      <c r="AD1354" s="751"/>
      <c r="AE1354" s="751"/>
      <c r="AF1354" s="751"/>
      <c r="AG1354" s="751"/>
    </row>
    <row r="1355" spans="4:33">
      <c r="D1355" s="751"/>
      <c r="E1355" s="751"/>
      <c r="F1355" s="751"/>
      <c r="G1355" s="751"/>
      <c r="H1355" s="751"/>
      <c r="I1355" s="751"/>
      <c r="J1355" s="751"/>
      <c r="K1355" s="751"/>
      <c r="L1355" s="751"/>
      <c r="M1355" s="751"/>
      <c r="N1355" s="751"/>
      <c r="O1355" s="751"/>
      <c r="P1355" s="751"/>
      <c r="Q1355" s="751"/>
      <c r="R1355" s="751"/>
      <c r="S1355" s="751"/>
      <c r="T1355" s="751"/>
      <c r="U1355" s="751"/>
      <c r="V1355" s="751"/>
      <c r="W1355" s="751"/>
      <c r="X1355" s="751"/>
      <c r="Y1355" s="751"/>
      <c r="Z1355" s="751"/>
      <c r="AA1355" s="751"/>
      <c r="AB1355" s="751"/>
      <c r="AC1355" s="751"/>
      <c r="AD1355" s="751"/>
      <c r="AE1355" s="751"/>
      <c r="AF1355" s="751"/>
      <c r="AG1355" s="751"/>
    </row>
    <row r="1356" spans="4:33">
      <c r="D1356" s="751"/>
      <c r="E1356" s="751"/>
      <c r="F1356" s="751"/>
      <c r="G1356" s="751"/>
      <c r="H1356" s="751"/>
      <c r="I1356" s="751"/>
      <c r="J1356" s="751"/>
      <c r="K1356" s="751"/>
      <c r="L1356" s="751"/>
      <c r="M1356" s="751"/>
      <c r="N1356" s="751"/>
      <c r="O1356" s="751"/>
      <c r="P1356" s="751"/>
      <c r="Q1356" s="751"/>
      <c r="R1356" s="751"/>
      <c r="S1356" s="751"/>
      <c r="T1356" s="751"/>
      <c r="U1356" s="751"/>
      <c r="V1356" s="751"/>
      <c r="W1356" s="751"/>
      <c r="X1356" s="751"/>
      <c r="Y1356" s="751"/>
      <c r="Z1356" s="751"/>
      <c r="AA1356" s="751"/>
      <c r="AB1356" s="751"/>
      <c r="AC1356" s="751"/>
      <c r="AD1356" s="751"/>
      <c r="AE1356" s="751"/>
      <c r="AF1356" s="751"/>
      <c r="AG1356" s="751"/>
    </row>
    <row r="1357" spans="4:33">
      <c r="D1357" s="751"/>
      <c r="E1357" s="751"/>
      <c r="F1357" s="751"/>
      <c r="G1357" s="751"/>
      <c r="H1357" s="751"/>
      <c r="I1357" s="751"/>
      <c r="J1357" s="751"/>
      <c r="K1357" s="751"/>
      <c r="L1357" s="751"/>
      <c r="M1357" s="751"/>
      <c r="N1357" s="751"/>
      <c r="O1357" s="751"/>
      <c r="P1357" s="751"/>
      <c r="Q1357" s="751"/>
      <c r="R1357" s="751"/>
      <c r="S1357" s="751"/>
      <c r="T1357" s="751"/>
      <c r="U1357" s="751"/>
      <c r="V1357" s="751"/>
      <c r="W1357" s="751"/>
      <c r="X1357" s="751"/>
      <c r="Y1357" s="751"/>
      <c r="Z1357" s="751"/>
      <c r="AA1357" s="751"/>
      <c r="AB1357" s="751"/>
      <c r="AC1357" s="751"/>
      <c r="AD1357" s="751"/>
      <c r="AE1357" s="751"/>
      <c r="AF1357" s="751"/>
      <c r="AG1357" s="751"/>
    </row>
    <row r="1358" spans="4:33">
      <c r="D1358" s="751"/>
      <c r="E1358" s="751"/>
      <c r="F1358" s="751"/>
      <c r="G1358" s="751"/>
      <c r="H1358" s="751"/>
      <c r="I1358" s="751"/>
      <c r="J1358" s="751"/>
      <c r="K1358" s="751"/>
      <c r="L1358" s="751"/>
      <c r="M1358" s="751"/>
      <c r="N1358" s="751"/>
      <c r="O1358" s="751"/>
      <c r="P1358" s="751"/>
      <c r="Q1358" s="751"/>
      <c r="R1358" s="751"/>
      <c r="S1358" s="751"/>
      <c r="T1358" s="751"/>
      <c r="U1358" s="751"/>
      <c r="V1358" s="751"/>
      <c r="W1358" s="751"/>
      <c r="X1358" s="751"/>
      <c r="Y1358" s="751"/>
      <c r="Z1358" s="751"/>
      <c r="AA1358" s="751"/>
      <c r="AB1358" s="751"/>
      <c r="AC1358" s="751"/>
      <c r="AD1358" s="751"/>
      <c r="AE1358" s="751"/>
      <c r="AF1358" s="751"/>
      <c r="AG1358" s="751"/>
    </row>
    <row r="1359" spans="4:33">
      <c r="D1359" s="751"/>
      <c r="E1359" s="751"/>
      <c r="F1359" s="751"/>
      <c r="G1359" s="751"/>
      <c r="H1359" s="751"/>
      <c r="I1359" s="751"/>
      <c r="J1359" s="751"/>
      <c r="K1359" s="751"/>
      <c r="L1359" s="751"/>
      <c r="M1359" s="751"/>
      <c r="N1359" s="751"/>
      <c r="O1359" s="751"/>
      <c r="P1359" s="751"/>
      <c r="Q1359" s="751"/>
      <c r="R1359" s="751"/>
      <c r="S1359" s="751"/>
      <c r="T1359" s="751"/>
      <c r="U1359" s="751"/>
      <c r="V1359" s="751"/>
      <c r="W1359" s="751"/>
      <c r="X1359" s="751"/>
      <c r="Y1359" s="751"/>
      <c r="Z1359" s="751"/>
      <c r="AA1359" s="751"/>
      <c r="AB1359" s="751"/>
      <c r="AC1359" s="751"/>
      <c r="AD1359" s="751"/>
      <c r="AE1359" s="751"/>
      <c r="AF1359" s="751"/>
      <c r="AG1359" s="751"/>
    </row>
    <row r="1360" spans="4:33">
      <c r="D1360" s="751"/>
      <c r="E1360" s="751"/>
      <c r="F1360" s="751"/>
      <c r="G1360" s="751"/>
      <c r="H1360" s="751"/>
      <c r="I1360" s="751"/>
      <c r="J1360" s="751"/>
      <c r="K1360" s="751"/>
      <c r="L1360" s="751"/>
      <c r="M1360" s="751"/>
      <c r="N1360" s="751"/>
      <c r="O1360" s="751"/>
      <c r="P1360" s="751"/>
      <c r="Q1360" s="751"/>
      <c r="R1360" s="751"/>
      <c r="S1360" s="751"/>
      <c r="T1360" s="751"/>
      <c r="U1360" s="751"/>
      <c r="V1360" s="751"/>
      <c r="W1360" s="751"/>
      <c r="X1360" s="751"/>
      <c r="Y1360" s="751"/>
      <c r="Z1360" s="751"/>
      <c r="AA1360" s="751"/>
      <c r="AB1360" s="751"/>
      <c r="AC1360" s="751"/>
      <c r="AD1360" s="751"/>
      <c r="AE1360" s="751"/>
      <c r="AF1360" s="751"/>
      <c r="AG1360" s="751"/>
    </row>
    <row r="1361" spans="4:33">
      <c r="D1361" s="751"/>
      <c r="E1361" s="751"/>
      <c r="F1361" s="751"/>
      <c r="G1361" s="751"/>
      <c r="H1361" s="751"/>
      <c r="I1361" s="751"/>
      <c r="J1361" s="751"/>
      <c r="K1361" s="751"/>
      <c r="L1361" s="751"/>
      <c r="M1361" s="751"/>
      <c r="N1361" s="751"/>
      <c r="O1361" s="751"/>
      <c r="P1361" s="751"/>
      <c r="Q1361" s="751"/>
      <c r="R1361" s="751"/>
      <c r="S1361" s="751"/>
      <c r="T1361" s="751"/>
      <c r="U1361" s="751"/>
      <c r="V1361" s="751"/>
      <c r="W1361" s="751"/>
      <c r="X1361" s="751"/>
      <c r="Y1361" s="751"/>
      <c r="Z1361" s="751"/>
      <c r="AA1361" s="751"/>
      <c r="AB1361" s="751"/>
      <c r="AC1361" s="751"/>
      <c r="AD1361" s="751"/>
      <c r="AE1361" s="751"/>
      <c r="AF1361" s="751"/>
      <c r="AG1361" s="751"/>
    </row>
    <row r="1362" spans="4:33">
      <c r="D1362" s="751"/>
      <c r="E1362" s="751"/>
      <c r="F1362" s="751"/>
      <c r="G1362" s="751"/>
      <c r="H1362" s="751"/>
      <c r="I1362" s="751"/>
      <c r="J1362" s="751"/>
      <c r="K1362" s="751"/>
      <c r="L1362" s="751"/>
      <c r="M1362" s="751"/>
      <c r="N1362" s="751"/>
      <c r="O1362" s="751"/>
      <c r="P1362" s="751"/>
      <c r="Q1362" s="751"/>
      <c r="R1362" s="751"/>
      <c r="S1362" s="751"/>
      <c r="T1362" s="751"/>
      <c r="U1362" s="751"/>
      <c r="V1362" s="751"/>
      <c r="W1362" s="751"/>
      <c r="X1362" s="751"/>
      <c r="Y1362" s="751"/>
      <c r="Z1362" s="751"/>
      <c r="AA1362" s="751"/>
      <c r="AB1362" s="751"/>
      <c r="AC1362" s="751"/>
      <c r="AD1362" s="751"/>
      <c r="AE1362" s="751"/>
      <c r="AF1362" s="751"/>
      <c r="AG1362" s="751"/>
    </row>
    <row r="1363" spans="4:33">
      <c r="D1363" s="751"/>
      <c r="E1363" s="751"/>
      <c r="F1363" s="751"/>
      <c r="G1363" s="751"/>
      <c r="H1363" s="751"/>
      <c r="I1363" s="751"/>
      <c r="J1363" s="751"/>
      <c r="K1363" s="751"/>
      <c r="L1363" s="751"/>
      <c r="M1363" s="751"/>
      <c r="N1363" s="751"/>
      <c r="O1363" s="751"/>
      <c r="P1363" s="751"/>
      <c r="Q1363" s="751"/>
      <c r="R1363" s="751"/>
      <c r="S1363" s="751"/>
      <c r="T1363" s="751"/>
      <c r="U1363" s="751"/>
      <c r="V1363" s="751"/>
      <c r="W1363" s="751"/>
      <c r="X1363" s="751"/>
      <c r="Y1363" s="751"/>
      <c r="Z1363" s="751"/>
      <c r="AA1363" s="751"/>
      <c r="AB1363" s="751"/>
      <c r="AC1363" s="751"/>
      <c r="AD1363" s="751"/>
      <c r="AE1363" s="751"/>
      <c r="AF1363" s="751"/>
      <c r="AG1363" s="751"/>
    </row>
    <row r="1364" spans="4:33">
      <c r="D1364" s="751"/>
      <c r="E1364" s="751"/>
      <c r="F1364" s="751"/>
      <c r="G1364" s="751"/>
      <c r="H1364" s="751"/>
      <c r="I1364" s="751"/>
      <c r="J1364" s="751"/>
      <c r="K1364" s="751"/>
      <c r="L1364" s="751"/>
      <c r="M1364" s="751"/>
      <c r="N1364" s="751"/>
      <c r="O1364" s="751"/>
      <c r="P1364" s="751"/>
      <c r="Q1364" s="751"/>
      <c r="R1364" s="751"/>
      <c r="S1364" s="751"/>
      <c r="T1364" s="751"/>
      <c r="U1364" s="751"/>
      <c r="V1364" s="751"/>
      <c r="W1364" s="751"/>
      <c r="X1364" s="751"/>
      <c r="Y1364" s="751"/>
      <c r="Z1364" s="751"/>
      <c r="AA1364" s="751"/>
      <c r="AB1364" s="751"/>
      <c r="AC1364" s="751"/>
      <c r="AD1364" s="751"/>
      <c r="AE1364" s="751"/>
      <c r="AF1364" s="751"/>
      <c r="AG1364" s="751"/>
    </row>
    <row r="1365" spans="4:33">
      <c r="D1365" s="751"/>
      <c r="E1365" s="751"/>
      <c r="F1365" s="751"/>
      <c r="G1365" s="751"/>
      <c r="H1365" s="751"/>
      <c r="I1365" s="751"/>
      <c r="J1365" s="751"/>
      <c r="K1365" s="751"/>
      <c r="L1365" s="751"/>
      <c r="M1365" s="751"/>
      <c r="N1365" s="751"/>
      <c r="O1365" s="751"/>
      <c r="P1365" s="751"/>
      <c r="Q1365" s="751"/>
      <c r="R1365" s="751"/>
      <c r="S1365" s="751"/>
      <c r="T1365" s="751"/>
      <c r="U1365" s="751"/>
      <c r="V1365" s="751"/>
      <c r="W1365" s="751"/>
      <c r="X1365" s="751"/>
      <c r="Y1365" s="751"/>
      <c r="Z1365" s="751"/>
      <c r="AA1365" s="751"/>
      <c r="AB1365" s="751"/>
      <c r="AC1365" s="751"/>
      <c r="AD1365" s="751"/>
      <c r="AE1365" s="751"/>
      <c r="AF1365" s="751"/>
      <c r="AG1365" s="751"/>
    </row>
    <row r="1366" spans="4:33">
      <c r="D1366" s="751"/>
      <c r="E1366" s="751"/>
      <c r="F1366" s="751"/>
      <c r="G1366" s="751"/>
      <c r="H1366" s="751"/>
      <c r="I1366" s="751"/>
      <c r="J1366" s="751"/>
      <c r="K1366" s="751"/>
      <c r="L1366" s="751"/>
      <c r="M1366" s="751"/>
      <c r="N1366" s="751"/>
      <c r="O1366" s="751"/>
      <c r="P1366" s="751"/>
      <c r="Q1366" s="751"/>
      <c r="R1366" s="751"/>
      <c r="S1366" s="751"/>
      <c r="T1366" s="751"/>
      <c r="U1366" s="751"/>
      <c r="V1366" s="751"/>
      <c r="W1366" s="751"/>
      <c r="X1366" s="751"/>
      <c r="Y1366" s="751"/>
      <c r="Z1366" s="751"/>
      <c r="AA1366" s="751"/>
      <c r="AB1366" s="751"/>
      <c r="AC1366" s="751"/>
      <c r="AD1366" s="751"/>
      <c r="AE1366" s="751"/>
      <c r="AF1366" s="751"/>
      <c r="AG1366" s="751"/>
    </row>
    <row r="1367" spans="4:33">
      <c r="D1367" s="751"/>
      <c r="E1367" s="751"/>
      <c r="F1367" s="751"/>
      <c r="G1367" s="751"/>
      <c r="H1367" s="751"/>
      <c r="I1367" s="751"/>
      <c r="J1367" s="751"/>
      <c r="K1367" s="751"/>
      <c r="L1367" s="751"/>
      <c r="M1367" s="751"/>
      <c r="N1367" s="751"/>
      <c r="O1367" s="751"/>
      <c r="P1367" s="751"/>
      <c r="Q1367" s="751"/>
      <c r="R1367" s="751"/>
      <c r="S1367" s="751"/>
      <c r="T1367" s="751"/>
      <c r="U1367" s="751"/>
      <c r="V1367" s="751"/>
      <c r="W1367" s="751"/>
      <c r="X1367" s="751"/>
      <c r="Y1367" s="751"/>
      <c r="Z1367" s="751"/>
      <c r="AA1367" s="751"/>
      <c r="AB1367" s="751"/>
      <c r="AC1367" s="751"/>
      <c r="AD1367" s="751"/>
      <c r="AE1367" s="751"/>
      <c r="AF1367" s="751"/>
      <c r="AG1367" s="751"/>
    </row>
    <row r="1368" spans="4:33">
      <c r="D1368" s="751"/>
      <c r="E1368" s="751"/>
      <c r="F1368" s="751"/>
      <c r="G1368" s="751"/>
      <c r="H1368" s="751"/>
      <c r="I1368" s="751"/>
      <c r="J1368" s="751"/>
      <c r="K1368" s="751"/>
      <c r="L1368" s="751"/>
      <c r="M1368" s="751"/>
      <c r="N1368" s="751"/>
      <c r="O1368" s="751"/>
      <c r="P1368" s="751"/>
      <c r="Q1368" s="751"/>
      <c r="R1368" s="751"/>
      <c r="S1368" s="751"/>
      <c r="T1368" s="751"/>
      <c r="U1368" s="751"/>
      <c r="V1368" s="751"/>
      <c r="W1368" s="751"/>
      <c r="X1368" s="751"/>
      <c r="Y1368" s="751"/>
      <c r="Z1368" s="751"/>
      <c r="AA1368" s="751"/>
      <c r="AB1368" s="751"/>
      <c r="AC1368" s="751"/>
      <c r="AD1368" s="751"/>
      <c r="AE1368" s="751"/>
      <c r="AF1368" s="751"/>
      <c r="AG1368" s="751"/>
    </row>
    <row r="1369" spans="4:33">
      <c r="D1369" s="751"/>
      <c r="E1369" s="751"/>
      <c r="F1369" s="751"/>
      <c r="G1369" s="751"/>
      <c r="H1369" s="751"/>
      <c r="I1369" s="751"/>
      <c r="J1369" s="751"/>
      <c r="K1369" s="751"/>
      <c r="L1369" s="751"/>
      <c r="M1369" s="751"/>
      <c r="N1369" s="751"/>
      <c r="O1369" s="751"/>
      <c r="P1369" s="751"/>
      <c r="Q1369" s="751"/>
      <c r="R1369" s="751"/>
      <c r="S1369" s="751"/>
      <c r="T1369" s="751"/>
      <c r="U1369" s="751"/>
      <c r="V1369" s="751"/>
      <c r="W1369" s="751"/>
      <c r="X1369" s="751"/>
      <c r="Y1369" s="751"/>
      <c r="Z1369" s="751"/>
      <c r="AA1369" s="751"/>
      <c r="AB1369" s="751"/>
      <c r="AC1369" s="751"/>
      <c r="AD1369" s="751"/>
      <c r="AE1369" s="751"/>
      <c r="AF1369" s="751"/>
      <c r="AG1369" s="751"/>
    </row>
    <row r="1370" spans="4:33">
      <c r="D1370" s="751"/>
      <c r="E1370" s="751"/>
      <c r="F1370" s="751"/>
      <c r="G1370" s="751"/>
      <c r="H1370" s="751"/>
      <c r="I1370" s="751"/>
      <c r="J1370" s="751"/>
      <c r="K1370" s="751"/>
      <c r="L1370" s="751"/>
      <c r="M1370" s="751"/>
      <c r="N1370" s="751"/>
      <c r="O1370" s="751"/>
      <c r="P1370" s="751"/>
      <c r="Q1370" s="751"/>
      <c r="R1370" s="751"/>
      <c r="S1370" s="751"/>
      <c r="T1370" s="751"/>
      <c r="U1370" s="751"/>
      <c r="V1370" s="751"/>
      <c r="W1370" s="751"/>
      <c r="X1370" s="751"/>
      <c r="Y1370" s="751"/>
      <c r="Z1370" s="751"/>
      <c r="AA1370" s="751"/>
      <c r="AB1370" s="751"/>
      <c r="AC1370" s="751"/>
      <c r="AD1370" s="751"/>
      <c r="AE1370" s="751"/>
      <c r="AF1370" s="751"/>
      <c r="AG1370" s="751"/>
    </row>
    <row r="1371" spans="4:33">
      <c r="D1371" s="751"/>
      <c r="E1371" s="751"/>
      <c r="F1371" s="751"/>
      <c r="G1371" s="751"/>
      <c r="H1371" s="751"/>
      <c r="I1371" s="751"/>
      <c r="J1371" s="751"/>
      <c r="K1371" s="751"/>
      <c r="L1371" s="751"/>
      <c r="M1371" s="751"/>
      <c r="N1371" s="751"/>
      <c r="O1371" s="751"/>
      <c r="P1371" s="751"/>
      <c r="Q1371" s="751"/>
      <c r="R1371" s="751"/>
      <c r="S1371" s="751"/>
      <c r="T1371" s="751"/>
      <c r="U1371" s="751"/>
      <c r="V1371" s="751"/>
      <c r="W1371" s="751"/>
      <c r="X1371" s="751"/>
      <c r="Y1371" s="751"/>
      <c r="Z1371" s="751"/>
      <c r="AA1371" s="751"/>
      <c r="AB1371" s="751"/>
      <c r="AC1371" s="751"/>
      <c r="AD1371" s="751"/>
      <c r="AE1371" s="751"/>
      <c r="AF1371" s="751"/>
      <c r="AG1371" s="751"/>
    </row>
    <row r="1372" spans="4:33">
      <c r="D1372" s="751"/>
      <c r="E1372" s="751"/>
      <c r="F1372" s="751"/>
      <c r="G1372" s="751"/>
      <c r="H1372" s="751"/>
      <c r="I1372" s="751"/>
      <c r="J1372" s="751"/>
      <c r="K1372" s="751"/>
      <c r="L1372" s="751"/>
      <c r="M1372" s="751"/>
      <c r="N1372" s="751"/>
      <c r="O1372" s="751"/>
      <c r="P1372" s="751"/>
      <c r="Q1372" s="751"/>
      <c r="R1372" s="751"/>
      <c r="S1372" s="751"/>
      <c r="T1372" s="751"/>
      <c r="U1372" s="751"/>
      <c r="V1372" s="751"/>
      <c r="W1372" s="751"/>
      <c r="X1372" s="751"/>
      <c r="Y1372" s="751"/>
      <c r="Z1372" s="751"/>
      <c r="AA1372" s="751"/>
      <c r="AB1372" s="751"/>
      <c r="AC1372" s="751"/>
      <c r="AD1372" s="751"/>
      <c r="AE1372" s="751"/>
      <c r="AF1372" s="751"/>
      <c r="AG1372" s="751"/>
    </row>
    <row r="1373" spans="4:33">
      <c r="D1373" s="751"/>
      <c r="E1373" s="751"/>
      <c r="F1373" s="751"/>
      <c r="G1373" s="751"/>
      <c r="H1373" s="751"/>
      <c r="I1373" s="751"/>
      <c r="J1373" s="751"/>
      <c r="K1373" s="751"/>
      <c r="L1373" s="751"/>
      <c r="M1373" s="751"/>
      <c r="N1373" s="751"/>
      <c r="O1373" s="751"/>
      <c r="P1373" s="751"/>
      <c r="Q1373" s="751"/>
      <c r="R1373" s="751"/>
      <c r="S1373" s="751"/>
      <c r="T1373" s="751"/>
      <c r="U1373" s="751"/>
      <c r="V1373" s="751"/>
      <c r="W1373" s="751"/>
      <c r="X1373" s="751"/>
      <c r="Y1373" s="751"/>
      <c r="Z1373" s="751"/>
      <c r="AA1373" s="751"/>
      <c r="AB1373" s="751"/>
      <c r="AC1373" s="751"/>
      <c r="AD1373" s="751"/>
      <c r="AE1373" s="751"/>
      <c r="AF1373" s="751"/>
      <c r="AG1373" s="751"/>
    </row>
    <row r="1374" spans="4:33">
      <c r="D1374" s="751"/>
      <c r="E1374" s="751"/>
      <c r="F1374" s="751"/>
      <c r="G1374" s="751"/>
      <c r="H1374" s="751"/>
      <c r="I1374" s="751"/>
      <c r="J1374" s="751"/>
      <c r="K1374" s="751"/>
      <c r="L1374" s="751"/>
      <c r="M1374" s="751"/>
      <c r="N1374" s="751"/>
      <c r="O1374" s="751"/>
      <c r="P1374" s="751"/>
      <c r="Q1374" s="751"/>
      <c r="R1374" s="751"/>
      <c r="S1374" s="751"/>
      <c r="T1374" s="751"/>
      <c r="U1374" s="751"/>
      <c r="V1374" s="751"/>
      <c r="W1374" s="751"/>
      <c r="X1374" s="751"/>
      <c r="Y1374" s="751"/>
      <c r="Z1374" s="751"/>
      <c r="AA1374" s="751"/>
      <c r="AB1374" s="751"/>
      <c r="AC1374" s="751"/>
      <c r="AD1374" s="751"/>
      <c r="AE1374" s="751"/>
      <c r="AF1374" s="751"/>
      <c r="AG1374" s="751"/>
    </row>
    <row r="1375" spans="4:33">
      <c r="D1375" s="751"/>
      <c r="E1375" s="751"/>
      <c r="F1375" s="751"/>
      <c r="G1375" s="751"/>
      <c r="H1375" s="751"/>
      <c r="I1375" s="751"/>
      <c r="J1375" s="751"/>
      <c r="K1375" s="751"/>
      <c r="L1375" s="751"/>
      <c r="M1375" s="751"/>
      <c r="N1375" s="751"/>
      <c r="O1375" s="751"/>
      <c r="P1375" s="751"/>
      <c r="Q1375" s="751"/>
      <c r="R1375" s="751"/>
      <c r="S1375" s="751"/>
      <c r="T1375" s="751"/>
      <c r="U1375" s="751"/>
      <c r="V1375" s="751"/>
      <c r="W1375" s="751"/>
      <c r="X1375" s="751"/>
      <c r="Y1375" s="751"/>
      <c r="Z1375" s="751"/>
      <c r="AA1375" s="751"/>
      <c r="AB1375" s="751"/>
      <c r="AC1375" s="751"/>
      <c r="AD1375" s="751"/>
      <c r="AE1375" s="751"/>
      <c r="AF1375" s="751"/>
      <c r="AG1375" s="751"/>
    </row>
    <row r="1376" spans="4:33">
      <c r="D1376" s="751"/>
      <c r="E1376" s="751"/>
      <c r="F1376" s="751"/>
      <c r="G1376" s="751"/>
      <c r="H1376" s="751"/>
      <c r="I1376" s="751"/>
      <c r="J1376" s="751"/>
      <c r="K1376" s="751"/>
      <c r="L1376" s="751"/>
      <c r="M1376" s="751"/>
      <c r="N1376" s="751"/>
      <c r="O1376" s="751"/>
      <c r="P1376" s="751"/>
      <c r="Q1376" s="751"/>
      <c r="R1376" s="751"/>
      <c r="S1376" s="751"/>
      <c r="T1376" s="751"/>
      <c r="U1376" s="751"/>
      <c r="V1376" s="751"/>
      <c r="W1376" s="751"/>
      <c r="X1376" s="751"/>
      <c r="Y1376" s="751"/>
      <c r="Z1376" s="751"/>
      <c r="AA1376" s="751"/>
      <c r="AB1376" s="751"/>
      <c r="AC1376" s="751"/>
      <c r="AD1376" s="751"/>
      <c r="AE1376" s="751"/>
      <c r="AF1376" s="751"/>
      <c r="AG1376" s="751"/>
    </row>
    <row r="1377" spans="4:33">
      <c r="D1377" s="751"/>
      <c r="E1377" s="751"/>
      <c r="F1377" s="751"/>
      <c r="G1377" s="751"/>
      <c r="H1377" s="751"/>
      <c r="I1377" s="751"/>
      <c r="J1377" s="751"/>
      <c r="K1377" s="751"/>
      <c r="L1377" s="751"/>
      <c r="M1377" s="751"/>
      <c r="N1377" s="751"/>
      <c r="O1377" s="751"/>
      <c r="P1377" s="751"/>
      <c r="Q1377" s="751"/>
      <c r="R1377" s="751"/>
      <c r="S1377" s="751"/>
      <c r="T1377" s="751"/>
      <c r="U1377" s="751"/>
      <c r="V1377" s="751"/>
      <c r="W1377" s="751"/>
      <c r="X1377" s="751"/>
      <c r="Y1377" s="751"/>
      <c r="Z1377" s="751"/>
      <c r="AA1377" s="751"/>
      <c r="AB1377" s="751"/>
      <c r="AC1377" s="751"/>
      <c r="AD1377" s="751"/>
      <c r="AE1377" s="751"/>
      <c r="AF1377" s="751"/>
      <c r="AG1377" s="751"/>
    </row>
    <row r="1378" spans="4:33">
      <c r="D1378" s="751"/>
      <c r="E1378" s="751"/>
      <c r="F1378" s="751"/>
      <c r="G1378" s="751"/>
      <c r="H1378" s="751"/>
      <c r="I1378" s="751"/>
      <c r="J1378" s="751"/>
      <c r="K1378" s="751"/>
      <c r="L1378" s="751"/>
      <c r="M1378" s="751"/>
      <c r="N1378" s="751"/>
      <c r="O1378" s="751"/>
      <c r="P1378" s="751"/>
      <c r="Q1378" s="751"/>
      <c r="R1378" s="751"/>
      <c r="S1378" s="751"/>
      <c r="T1378" s="751"/>
      <c r="U1378" s="751"/>
      <c r="V1378" s="751"/>
      <c r="W1378" s="751"/>
      <c r="X1378" s="751"/>
      <c r="Y1378" s="751"/>
      <c r="Z1378" s="751"/>
      <c r="AA1378" s="751"/>
      <c r="AB1378" s="751"/>
      <c r="AC1378" s="751"/>
      <c r="AD1378" s="751"/>
      <c r="AE1378" s="751"/>
      <c r="AF1378" s="751"/>
      <c r="AG1378" s="751"/>
    </row>
    <row r="1379" spans="4:33">
      <c r="D1379" s="751"/>
      <c r="E1379" s="751"/>
      <c r="F1379" s="751"/>
      <c r="G1379" s="751"/>
      <c r="H1379" s="751"/>
      <c r="I1379" s="751"/>
      <c r="J1379" s="751"/>
      <c r="K1379" s="751"/>
      <c r="L1379" s="751"/>
      <c r="M1379" s="751"/>
      <c r="N1379" s="751"/>
      <c r="O1379" s="751"/>
      <c r="P1379" s="751"/>
      <c r="Q1379" s="751"/>
      <c r="R1379" s="751"/>
      <c r="S1379" s="751"/>
      <c r="T1379" s="751"/>
      <c r="U1379" s="751"/>
      <c r="V1379" s="751"/>
      <c r="W1379" s="751"/>
      <c r="X1379" s="751"/>
      <c r="Y1379" s="751"/>
      <c r="Z1379" s="751"/>
      <c r="AA1379" s="751"/>
      <c r="AB1379" s="751"/>
      <c r="AC1379" s="751"/>
      <c r="AD1379" s="751"/>
      <c r="AE1379" s="751"/>
      <c r="AF1379" s="751"/>
      <c r="AG1379" s="751"/>
    </row>
    <row r="1380" spans="4:33">
      <c r="D1380" s="751"/>
      <c r="E1380" s="751"/>
      <c r="F1380" s="751"/>
      <c r="G1380" s="751"/>
      <c r="H1380" s="751"/>
      <c r="I1380" s="751"/>
      <c r="J1380" s="751"/>
      <c r="K1380" s="751"/>
      <c r="L1380" s="751"/>
      <c r="M1380" s="751"/>
      <c r="N1380" s="751"/>
      <c r="O1380" s="751"/>
      <c r="P1380" s="751"/>
      <c r="Q1380" s="751"/>
      <c r="R1380" s="751"/>
      <c r="S1380" s="751"/>
      <c r="T1380" s="751"/>
      <c r="U1380" s="751"/>
      <c r="V1380" s="751"/>
      <c r="W1380" s="751"/>
      <c r="X1380" s="751"/>
      <c r="Y1380" s="751"/>
      <c r="Z1380" s="751"/>
      <c r="AA1380" s="751"/>
      <c r="AB1380" s="751"/>
      <c r="AC1380" s="751"/>
      <c r="AD1380" s="751"/>
      <c r="AE1380" s="751"/>
      <c r="AF1380" s="751"/>
      <c r="AG1380" s="751"/>
    </row>
    <row r="1381" spans="4:33">
      <c r="D1381" s="751"/>
      <c r="E1381" s="751"/>
      <c r="F1381" s="751"/>
      <c r="G1381" s="751"/>
      <c r="H1381" s="751"/>
      <c r="I1381" s="751"/>
      <c r="J1381" s="751"/>
      <c r="K1381" s="751"/>
      <c r="L1381" s="751"/>
      <c r="M1381" s="751"/>
      <c r="N1381" s="751"/>
      <c r="O1381" s="751"/>
      <c r="P1381" s="751"/>
      <c r="Q1381" s="751"/>
      <c r="R1381" s="751"/>
      <c r="S1381" s="751"/>
      <c r="T1381" s="751"/>
      <c r="U1381" s="751"/>
      <c r="V1381" s="751"/>
      <c r="W1381" s="751"/>
      <c r="X1381" s="751"/>
      <c r="Y1381" s="751"/>
      <c r="Z1381" s="751"/>
      <c r="AA1381" s="751"/>
      <c r="AB1381" s="751"/>
      <c r="AC1381" s="751"/>
      <c r="AD1381" s="751"/>
      <c r="AE1381" s="751"/>
      <c r="AF1381" s="751"/>
      <c r="AG1381" s="751"/>
    </row>
    <row r="1382" spans="4:33">
      <c r="D1382" s="751"/>
      <c r="E1382" s="751"/>
      <c r="F1382" s="751"/>
      <c r="G1382" s="751"/>
      <c r="H1382" s="751"/>
      <c r="I1382" s="751"/>
      <c r="J1382" s="751"/>
      <c r="K1382" s="751"/>
      <c r="L1382" s="751"/>
      <c r="M1382" s="751"/>
      <c r="N1382" s="751"/>
      <c r="O1382" s="751"/>
      <c r="P1382" s="751"/>
      <c r="Q1382" s="751"/>
      <c r="R1382" s="751"/>
      <c r="S1382" s="751"/>
      <c r="T1382" s="751"/>
      <c r="U1382" s="751"/>
      <c r="V1382" s="751"/>
      <c r="W1382" s="751"/>
      <c r="X1382" s="751"/>
      <c r="Y1382" s="751"/>
      <c r="Z1382" s="751"/>
      <c r="AA1382" s="751"/>
      <c r="AB1382" s="751"/>
      <c r="AC1382" s="751"/>
      <c r="AD1382" s="751"/>
      <c r="AE1382" s="751"/>
      <c r="AF1382" s="751"/>
      <c r="AG1382" s="751"/>
    </row>
    <row r="1383" spans="4:33">
      <c r="D1383" s="751"/>
      <c r="E1383" s="751"/>
      <c r="F1383" s="751"/>
      <c r="G1383" s="751"/>
      <c r="H1383" s="751"/>
      <c r="I1383" s="751"/>
      <c r="J1383" s="751"/>
      <c r="K1383" s="751"/>
      <c r="L1383" s="751"/>
      <c r="M1383" s="751"/>
      <c r="N1383" s="751"/>
      <c r="O1383" s="751"/>
      <c r="P1383" s="751"/>
      <c r="Q1383" s="751"/>
      <c r="R1383" s="751"/>
      <c r="S1383" s="751"/>
      <c r="T1383" s="751"/>
      <c r="U1383" s="751"/>
      <c r="V1383" s="751"/>
      <c r="W1383" s="751"/>
      <c r="X1383" s="751"/>
      <c r="Y1383" s="751"/>
      <c r="Z1383" s="751"/>
      <c r="AA1383" s="751"/>
      <c r="AB1383" s="751"/>
      <c r="AC1383" s="751"/>
      <c r="AD1383" s="751"/>
      <c r="AE1383" s="751"/>
      <c r="AF1383" s="751"/>
      <c r="AG1383" s="751"/>
    </row>
    <row r="1384" spans="4:33">
      <c r="D1384" s="751"/>
      <c r="E1384" s="751"/>
      <c r="F1384" s="751"/>
      <c r="G1384" s="751"/>
      <c r="H1384" s="751"/>
      <c r="I1384" s="751"/>
      <c r="J1384" s="751"/>
      <c r="K1384" s="751"/>
      <c r="L1384" s="751"/>
      <c r="M1384" s="751"/>
      <c r="N1384" s="751"/>
      <c r="O1384" s="751"/>
      <c r="P1384" s="751"/>
      <c r="Q1384" s="751"/>
      <c r="R1384" s="751"/>
      <c r="S1384" s="751"/>
      <c r="T1384" s="751"/>
      <c r="U1384" s="751"/>
      <c r="V1384" s="751"/>
      <c r="W1384" s="751"/>
      <c r="X1384" s="751"/>
      <c r="Y1384" s="751"/>
      <c r="Z1384" s="751"/>
      <c r="AA1384" s="751"/>
      <c r="AB1384" s="751"/>
      <c r="AC1384" s="751"/>
      <c r="AD1384" s="751"/>
      <c r="AE1384" s="751"/>
      <c r="AF1384" s="751"/>
      <c r="AG1384" s="751"/>
    </row>
    <row r="1385" spans="4:33">
      <c r="D1385" s="751"/>
      <c r="E1385" s="751"/>
      <c r="F1385" s="751"/>
      <c r="G1385" s="751"/>
      <c r="H1385" s="751"/>
      <c r="I1385" s="751"/>
      <c r="J1385" s="751"/>
      <c r="K1385" s="751"/>
      <c r="L1385" s="751"/>
      <c r="M1385" s="751"/>
      <c r="N1385" s="751"/>
      <c r="O1385" s="751"/>
      <c r="P1385" s="751"/>
      <c r="Q1385" s="751"/>
      <c r="R1385" s="751"/>
      <c r="S1385" s="751"/>
      <c r="T1385" s="751"/>
      <c r="U1385" s="751"/>
      <c r="V1385" s="751"/>
      <c r="W1385" s="751"/>
      <c r="X1385" s="751"/>
      <c r="Y1385" s="751"/>
      <c r="Z1385" s="751"/>
      <c r="AA1385" s="751"/>
      <c r="AB1385" s="751"/>
      <c r="AC1385" s="751"/>
      <c r="AD1385" s="751"/>
      <c r="AE1385" s="751"/>
      <c r="AF1385" s="751"/>
      <c r="AG1385" s="751"/>
    </row>
    <row r="1386" spans="4:33">
      <c r="D1386" s="751"/>
      <c r="E1386" s="751"/>
      <c r="F1386" s="751"/>
      <c r="G1386" s="751"/>
      <c r="H1386" s="751"/>
      <c r="I1386" s="751"/>
      <c r="J1386" s="751"/>
      <c r="K1386" s="751"/>
      <c r="L1386" s="751"/>
      <c r="M1386" s="751"/>
      <c r="N1386" s="751"/>
      <c r="O1386" s="751"/>
      <c r="P1386" s="751"/>
      <c r="Q1386" s="751"/>
      <c r="R1386" s="751"/>
      <c r="S1386" s="751"/>
      <c r="T1386" s="751"/>
      <c r="U1386" s="751"/>
      <c r="V1386" s="751"/>
      <c r="W1386" s="751"/>
      <c r="X1386" s="751"/>
      <c r="Y1386" s="751"/>
      <c r="Z1386" s="751"/>
      <c r="AA1386" s="751"/>
      <c r="AB1386" s="751"/>
      <c r="AC1386" s="751"/>
      <c r="AD1386" s="751"/>
      <c r="AE1386" s="751"/>
      <c r="AF1386" s="751"/>
      <c r="AG1386" s="751"/>
    </row>
    <row r="1387" spans="4:33">
      <c r="D1387" s="751"/>
      <c r="E1387" s="751"/>
      <c r="F1387" s="751"/>
      <c r="G1387" s="751"/>
      <c r="H1387" s="751"/>
      <c r="I1387" s="751"/>
      <c r="J1387" s="751"/>
      <c r="K1387" s="751"/>
      <c r="L1387" s="751"/>
      <c r="M1387" s="751"/>
      <c r="N1387" s="751"/>
      <c r="O1387" s="751"/>
      <c r="P1387" s="751"/>
      <c r="Q1387" s="751"/>
      <c r="R1387" s="751"/>
      <c r="S1387" s="751"/>
      <c r="T1387" s="751"/>
      <c r="U1387" s="751"/>
      <c r="V1387" s="751"/>
      <c r="W1387" s="751"/>
      <c r="X1387" s="751"/>
      <c r="Y1387" s="751"/>
      <c r="Z1387" s="751"/>
      <c r="AA1387" s="751"/>
      <c r="AB1387" s="751"/>
      <c r="AC1387" s="751"/>
      <c r="AD1387" s="751"/>
      <c r="AE1387" s="751"/>
      <c r="AF1387" s="751"/>
      <c r="AG1387" s="751"/>
    </row>
    <row r="1388" spans="4:33">
      <c r="D1388" s="751"/>
      <c r="E1388" s="751"/>
      <c r="F1388" s="751"/>
      <c r="G1388" s="751"/>
      <c r="H1388" s="751"/>
      <c r="I1388" s="751"/>
      <c r="J1388" s="751"/>
      <c r="K1388" s="751"/>
      <c r="L1388" s="751"/>
      <c r="M1388" s="751"/>
      <c r="N1388" s="751"/>
      <c r="O1388" s="751"/>
      <c r="P1388" s="751"/>
      <c r="Q1388" s="751"/>
      <c r="R1388" s="751"/>
      <c r="S1388" s="751"/>
      <c r="T1388" s="751"/>
      <c r="U1388" s="751"/>
      <c r="V1388" s="751"/>
      <c r="W1388" s="751"/>
      <c r="X1388" s="751"/>
      <c r="Y1388" s="751"/>
      <c r="Z1388" s="751"/>
      <c r="AA1388" s="751"/>
      <c r="AB1388" s="751"/>
      <c r="AC1388" s="751"/>
      <c r="AD1388" s="751"/>
      <c r="AE1388" s="751"/>
      <c r="AF1388" s="751"/>
      <c r="AG1388" s="751"/>
    </row>
    <row r="1389" spans="4:33">
      <c r="D1389" s="751"/>
      <c r="E1389" s="751"/>
      <c r="F1389" s="751"/>
      <c r="G1389" s="751"/>
      <c r="H1389" s="751"/>
      <c r="I1389" s="751"/>
      <c r="J1389" s="751"/>
      <c r="K1389" s="751"/>
      <c r="L1389" s="751"/>
      <c r="M1389" s="751"/>
      <c r="N1389" s="751"/>
      <c r="O1389" s="751"/>
      <c r="P1389" s="751"/>
      <c r="Q1389" s="751"/>
      <c r="R1389" s="751"/>
      <c r="S1389" s="751"/>
      <c r="T1389" s="751"/>
      <c r="U1389" s="751"/>
      <c r="V1389" s="751"/>
      <c r="W1389" s="751"/>
      <c r="X1389" s="751"/>
      <c r="Y1389" s="751"/>
      <c r="Z1389" s="751"/>
      <c r="AA1389" s="751"/>
      <c r="AB1389" s="751"/>
      <c r="AC1389" s="751"/>
      <c r="AD1389" s="751"/>
      <c r="AE1389" s="751"/>
      <c r="AF1389" s="751"/>
      <c r="AG1389" s="751"/>
    </row>
    <row r="1390" spans="4:33">
      <c r="D1390" s="751"/>
      <c r="E1390" s="751"/>
      <c r="F1390" s="751"/>
      <c r="G1390" s="751"/>
      <c r="H1390" s="751"/>
      <c r="I1390" s="751"/>
      <c r="J1390" s="751"/>
      <c r="K1390" s="751"/>
      <c r="L1390" s="751"/>
      <c r="M1390" s="751"/>
      <c r="N1390" s="751"/>
      <c r="O1390" s="751"/>
      <c r="P1390" s="751"/>
      <c r="Q1390" s="751"/>
      <c r="R1390" s="751"/>
      <c r="S1390" s="751"/>
      <c r="T1390" s="751"/>
      <c r="U1390" s="751"/>
      <c r="V1390" s="751"/>
      <c r="W1390" s="751"/>
      <c r="X1390" s="751"/>
      <c r="Y1390" s="751"/>
      <c r="Z1390" s="751"/>
      <c r="AA1390" s="751"/>
      <c r="AB1390" s="751"/>
      <c r="AC1390" s="751"/>
      <c r="AD1390" s="751"/>
      <c r="AE1390" s="751"/>
      <c r="AF1390" s="751"/>
      <c r="AG1390" s="751"/>
    </row>
    <row r="1391" spans="4:33">
      <c r="D1391" s="751"/>
      <c r="E1391" s="751"/>
      <c r="F1391" s="751"/>
      <c r="G1391" s="751"/>
      <c r="H1391" s="751"/>
      <c r="I1391" s="751"/>
      <c r="J1391" s="751"/>
      <c r="K1391" s="751"/>
      <c r="L1391" s="751"/>
      <c r="M1391" s="751"/>
      <c r="N1391" s="751"/>
      <c r="O1391" s="751"/>
      <c r="P1391" s="751"/>
      <c r="Q1391" s="751"/>
      <c r="R1391" s="751"/>
      <c r="S1391" s="751"/>
      <c r="T1391" s="751"/>
      <c r="U1391" s="751"/>
      <c r="V1391" s="751"/>
      <c r="W1391" s="751"/>
      <c r="X1391" s="751"/>
      <c r="Y1391" s="751"/>
      <c r="Z1391" s="751"/>
      <c r="AA1391" s="751"/>
      <c r="AB1391" s="751"/>
      <c r="AC1391" s="751"/>
      <c r="AD1391" s="751"/>
      <c r="AE1391" s="751"/>
      <c r="AF1391" s="751"/>
      <c r="AG1391" s="751"/>
    </row>
    <row r="1392" spans="4:33">
      <c r="D1392" s="751"/>
      <c r="E1392" s="751"/>
      <c r="F1392" s="751"/>
      <c r="G1392" s="751"/>
      <c r="H1392" s="751"/>
      <c r="I1392" s="751"/>
      <c r="J1392" s="751"/>
      <c r="K1392" s="751"/>
      <c r="L1392" s="751"/>
      <c r="M1392" s="751"/>
      <c r="N1392" s="751"/>
      <c r="O1392" s="751"/>
      <c r="P1392" s="751"/>
      <c r="Q1392" s="751"/>
      <c r="R1392" s="751"/>
      <c r="S1392" s="751"/>
      <c r="T1392" s="751"/>
      <c r="U1392" s="751"/>
      <c r="V1392" s="751"/>
      <c r="W1392" s="751"/>
      <c r="X1392" s="751"/>
      <c r="Y1392" s="751"/>
      <c r="Z1392" s="751"/>
      <c r="AA1392" s="751"/>
      <c r="AB1392" s="751"/>
      <c r="AC1392" s="751"/>
      <c r="AD1392" s="751"/>
      <c r="AE1392" s="751"/>
      <c r="AF1392" s="751"/>
      <c r="AG1392" s="751"/>
    </row>
    <row r="1393" spans="4:33">
      <c r="D1393" s="751"/>
      <c r="E1393" s="751"/>
      <c r="F1393" s="751"/>
      <c r="G1393" s="751"/>
      <c r="H1393" s="751"/>
      <c r="I1393" s="751"/>
      <c r="J1393" s="751"/>
      <c r="K1393" s="751"/>
      <c r="L1393" s="751"/>
      <c r="M1393" s="751"/>
      <c r="N1393" s="751"/>
      <c r="O1393" s="751"/>
      <c r="P1393" s="751"/>
      <c r="Q1393" s="751"/>
      <c r="R1393" s="751"/>
      <c r="S1393" s="751"/>
      <c r="T1393" s="751"/>
      <c r="U1393" s="751"/>
      <c r="V1393" s="751"/>
      <c r="W1393" s="751"/>
      <c r="X1393" s="751"/>
      <c r="Y1393" s="751"/>
      <c r="Z1393" s="751"/>
      <c r="AA1393" s="751"/>
      <c r="AB1393" s="751"/>
      <c r="AC1393" s="751"/>
      <c r="AD1393" s="751"/>
      <c r="AE1393" s="751"/>
      <c r="AF1393" s="751"/>
      <c r="AG1393" s="751"/>
    </row>
    <row r="1394" spans="4:33">
      <c r="D1394" s="751"/>
      <c r="E1394" s="751"/>
      <c r="F1394" s="751"/>
      <c r="G1394" s="751"/>
      <c r="H1394" s="751"/>
      <c r="I1394" s="751"/>
      <c r="J1394" s="751"/>
      <c r="K1394" s="751"/>
      <c r="L1394" s="751"/>
      <c r="M1394" s="751"/>
      <c r="N1394" s="751"/>
      <c r="O1394" s="751"/>
      <c r="P1394" s="751"/>
      <c r="Q1394" s="751"/>
      <c r="R1394" s="751"/>
      <c r="S1394" s="751"/>
      <c r="T1394" s="751"/>
      <c r="U1394" s="751"/>
      <c r="V1394" s="751"/>
      <c r="W1394" s="751"/>
      <c r="X1394" s="751"/>
      <c r="Y1394" s="751"/>
      <c r="Z1394" s="751"/>
      <c r="AA1394" s="751"/>
      <c r="AB1394" s="751"/>
      <c r="AC1394" s="751"/>
      <c r="AD1394" s="751"/>
      <c r="AE1394" s="751"/>
      <c r="AF1394" s="751"/>
      <c r="AG1394" s="751"/>
    </row>
    <row r="1395" spans="4:33">
      <c r="D1395" s="751"/>
      <c r="E1395" s="751"/>
      <c r="F1395" s="751"/>
      <c r="G1395" s="751"/>
      <c r="H1395" s="751"/>
      <c r="I1395" s="751"/>
      <c r="J1395" s="751"/>
      <c r="K1395" s="751"/>
      <c r="L1395" s="751"/>
      <c r="M1395" s="751"/>
      <c r="N1395" s="751"/>
      <c r="O1395" s="751"/>
      <c r="P1395" s="751"/>
      <c r="Q1395" s="751"/>
      <c r="R1395" s="751"/>
      <c r="S1395" s="751"/>
      <c r="T1395" s="751"/>
      <c r="U1395" s="751"/>
      <c r="V1395" s="751"/>
      <c r="W1395" s="751"/>
      <c r="X1395" s="751"/>
      <c r="Y1395" s="751"/>
      <c r="Z1395" s="751"/>
      <c r="AA1395" s="751"/>
      <c r="AB1395" s="751"/>
      <c r="AC1395" s="751"/>
      <c r="AD1395" s="751"/>
      <c r="AE1395" s="751"/>
      <c r="AF1395" s="751"/>
      <c r="AG1395" s="751"/>
    </row>
    <row r="1396" spans="4:33">
      <c r="D1396" s="751"/>
      <c r="E1396" s="751"/>
      <c r="F1396" s="751"/>
      <c r="G1396" s="751"/>
      <c r="H1396" s="751"/>
      <c r="I1396" s="751"/>
      <c r="J1396" s="751"/>
      <c r="K1396" s="751"/>
      <c r="L1396" s="751"/>
      <c r="M1396" s="751"/>
      <c r="N1396" s="751"/>
      <c r="O1396" s="751"/>
      <c r="P1396" s="751"/>
      <c r="Q1396" s="751"/>
      <c r="R1396" s="751"/>
      <c r="S1396" s="751"/>
      <c r="T1396" s="751"/>
      <c r="U1396" s="751"/>
      <c r="V1396" s="751"/>
      <c r="W1396" s="751"/>
      <c r="X1396" s="751"/>
      <c r="Y1396" s="751"/>
      <c r="Z1396" s="751"/>
      <c r="AA1396" s="751"/>
      <c r="AB1396" s="751"/>
      <c r="AC1396" s="751"/>
      <c r="AD1396" s="751"/>
      <c r="AE1396" s="751"/>
      <c r="AF1396" s="751"/>
      <c r="AG1396" s="751"/>
    </row>
    <row r="1397" spans="4:33">
      <c r="D1397" s="751"/>
      <c r="E1397" s="751"/>
      <c r="F1397" s="751"/>
      <c r="G1397" s="751"/>
      <c r="H1397" s="751"/>
      <c r="I1397" s="751"/>
      <c r="J1397" s="751"/>
      <c r="K1397" s="751"/>
      <c r="L1397" s="751"/>
      <c r="M1397" s="751"/>
      <c r="N1397" s="751"/>
      <c r="O1397" s="751"/>
      <c r="P1397" s="751"/>
      <c r="Q1397" s="751"/>
      <c r="R1397" s="751"/>
      <c r="S1397" s="751"/>
      <c r="T1397" s="751"/>
      <c r="U1397" s="751"/>
      <c r="V1397" s="751"/>
      <c r="W1397" s="751"/>
      <c r="X1397" s="751"/>
      <c r="Y1397" s="751"/>
      <c r="Z1397" s="751"/>
      <c r="AA1397" s="751"/>
      <c r="AB1397" s="751"/>
      <c r="AC1397" s="751"/>
      <c r="AD1397" s="751"/>
      <c r="AE1397" s="751"/>
      <c r="AF1397" s="751"/>
      <c r="AG1397" s="751"/>
    </row>
    <row r="1398" spans="4:33">
      <c r="D1398" s="751"/>
      <c r="E1398" s="751"/>
      <c r="F1398" s="751"/>
      <c r="G1398" s="751"/>
      <c r="H1398" s="751"/>
      <c r="I1398" s="751"/>
      <c r="J1398" s="751"/>
      <c r="K1398" s="751"/>
      <c r="L1398" s="751"/>
      <c r="M1398" s="751"/>
      <c r="N1398" s="751"/>
      <c r="O1398" s="751"/>
      <c r="P1398" s="751"/>
      <c r="Q1398" s="751"/>
      <c r="R1398" s="751"/>
      <c r="S1398" s="751"/>
      <c r="T1398" s="751"/>
      <c r="U1398" s="751"/>
      <c r="V1398" s="751"/>
      <c r="W1398" s="751"/>
      <c r="X1398" s="751"/>
      <c r="Y1398" s="751"/>
      <c r="Z1398" s="751"/>
      <c r="AA1398" s="751"/>
      <c r="AB1398" s="751"/>
      <c r="AC1398" s="751"/>
      <c r="AD1398" s="751"/>
      <c r="AE1398" s="751"/>
      <c r="AF1398" s="751"/>
      <c r="AG1398" s="751"/>
    </row>
    <row r="1399" spans="4:33">
      <c r="D1399" s="751"/>
      <c r="E1399" s="751"/>
      <c r="F1399" s="751"/>
      <c r="G1399" s="751"/>
      <c r="H1399" s="751"/>
      <c r="I1399" s="751"/>
      <c r="J1399" s="751"/>
      <c r="K1399" s="751"/>
      <c r="L1399" s="751"/>
      <c r="M1399" s="751"/>
      <c r="N1399" s="751"/>
      <c r="O1399" s="751"/>
      <c r="P1399" s="751"/>
      <c r="Q1399" s="751"/>
      <c r="R1399" s="751"/>
      <c r="S1399" s="751"/>
      <c r="T1399" s="751"/>
      <c r="U1399" s="751"/>
      <c r="V1399" s="751"/>
      <c r="W1399" s="751"/>
      <c r="X1399" s="751"/>
      <c r="Y1399" s="751"/>
      <c r="Z1399" s="751"/>
      <c r="AA1399" s="751"/>
      <c r="AB1399" s="751"/>
      <c r="AC1399" s="751"/>
      <c r="AD1399" s="751"/>
      <c r="AE1399" s="751"/>
      <c r="AF1399" s="751"/>
      <c r="AG1399" s="751"/>
    </row>
    <row r="1400" spans="4:33">
      <c r="D1400" s="751"/>
      <c r="E1400" s="751"/>
      <c r="F1400" s="751"/>
      <c r="G1400" s="751"/>
      <c r="H1400" s="751"/>
      <c r="I1400" s="751"/>
      <c r="J1400" s="751"/>
      <c r="K1400" s="751"/>
      <c r="L1400" s="751"/>
      <c r="M1400" s="751"/>
      <c r="N1400" s="751"/>
      <c r="O1400" s="751"/>
      <c r="P1400" s="751"/>
      <c r="Q1400" s="751"/>
      <c r="R1400" s="751"/>
      <c r="S1400" s="751"/>
      <c r="T1400" s="751"/>
      <c r="U1400" s="751"/>
      <c r="V1400" s="751"/>
      <c r="W1400" s="751"/>
      <c r="X1400" s="751"/>
      <c r="Y1400" s="751"/>
      <c r="Z1400" s="751"/>
      <c r="AA1400" s="751"/>
      <c r="AB1400" s="751"/>
      <c r="AC1400" s="751"/>
      <c r="AD1400" s="751"/>
      <c r="AE1400" s="751"/>
      <c r="AF1400" s="751"/>
      <c r="AG1400" s="751"/>
    </row>
    <row r="1401" spans="4:33">
      <c r="D1401" s="751"/>
      <c r="E1401" s="751"/>
      <c r="F1401" s="751"/>
      <c r="G1401" s="751"/>
      <c r="H1401" s="751"/>
      <c r="I1401" s="751"/>
      <c r="J1401" s="751"/>
      <c r="K1401" s="751"/>
      <c r="L1401" s="751"/>
      <c r="M1401" s="751"/>
      <c r="N1401" s="751"/>
      <c r="O1401" s="751"/>
      <c r="P1401" s="751"/>
      <c r="Q1401" s="751"/>
      <c r="R1401" s="751"/>
      <c r="S1401" s="751"/>
      <c r="T1401" s="751"/>
      <c r="U1401" s="751"/>
      <c r="V1401" s="751"/>
      <c r="W1401" s="751"/>
      <c r="X1401" s="751"/>
      <c r="Y1401" s="751"/>
      <c r="Z1401" s="751"/>
      <c r="AA1401" s="751"/>
      <c r="AB1401" s="751"/>
      <c r="AC1401" s="751"/>
      <c r="AD1401" s="751"/>
      <c r="AE1401" s="751"/>
      <c r="AF1401" s="751"/>
      <c r="AG1401" s="751"/>
    </row>
    <row r="1402" spans="4:33">
      <c r="D1402" s="751"/>
      <c r="E1402" s="751"/>
      <c r="F1402" s="751"/>
      <c r="G1402" s="751"/>
      <c r="H1402" s="751"/>
      <c r="I1402" s="751"/>
      <c r="J1402" s="751"/>
      <c r="K1402" s="751"/>
      <c r="L1402" s="751"/>
      <c r="M1402" s="751"/>
      <c r="N1402" s="751"/>
      <c r="O1402" s="751"/>
      <c r="P1402" s="751"/>
      <c r="Q1402" s="751"/>
      <c r="R1402" s="751"/>
      <c r="S1402" s="751"/>
      <c r="T1402" s="751"/>
      <c r="U1402" s="751"/>
      <c r="V1402" s="751"/>
      <c r="W1402" s="751"/>
      <c r="X1402" s="751"/>
      <c r="Y1402" s="751"/>
      <c r="Z1402" s="751"/>
      <c r="AA1402" s="751"/>
      <c r="AB1402" s="751"/>
      <c r="AC1402" s="751"/>
      <c r="AD1402" s="751"/>
      <c r="AE1402" s="751"/>
      <c r="AF1402" s="751"/>
      <c r="AG1402" s="751"/>
    </row>
    <row r="1403" spans="4:33">
      <c r="D1403" s="751"/>
      <c r="E1403" s="751"/>
      <c r="F1403" s="751"/>
      <c r="G1403" s="751"/>
      <c r="H1403" s="751"/>
      <c r="I1403" s="751"/>
      <c r="J1403" s="751"/>
      <c r="K1403" s="751"/>
      <c r="L1403" s="751"/>
      <c r="M1403" s="751"/>
      <c r="N1403" s="751"/>
      <c r="O1403" s="751"/>
      <c r="P1403" s="751"/>
      <c r="Q1403" s="751"/>
      <c r="R1403" s="751"/>
      <c r="S1403" s="751"/>
      <c r="T1403" s="751"/>
      <c r="U1403" s="751"/>
      <c r="V1403" s="751"/>
      <c r="W1403" s="751"/>
      <c r="X1403" s="751"/>
      <c r="Y1403" s="751"/>
      <c r="Z1403" s="751"/>
      <c r="AA1403" s="751"/>
      <c r="AB1403" s="751"/>
      <c r="AC1403" s="751"/>
      <c r="AD1403" s="751"/>
      <c r="AE1403" s="751"/>
      <c r="AF1403" s="751"/>
      <c r="AG1403" s="751"/>
    </row>
    <row r="1404" spans="4:33">
      <c r="D1404" s="751"/>
      <c r="E1404" s="751"/>
      <c r="F1404" s="751"/>
      <c r="G1404" s="751"/>
      <c r="H1404" s="751"/>
      <c r="I1404" s="751"/>
      <c r="J1404" s="751"/>
      <c r="K1404" s="751"/>
      <c r="L1404" s="751"/>
      <c r="M1404" s="751"/>
      <c r="N1404" s="751"/>
      <c r="O1404" s="751"/>
      <c r="P1404" s="751"/>
      <c r="Q1404" s="751"/>
      <c r="R1404" s="751"/>
      <c r="S1404" s="751"/>
      <c r="T1404" s="751"/>
      <c r="U1404" s="751"/>
      <c r="V1404" s="751"/>
      <c r="W1404" s="751"/>
      <c r="X1404" s="751"/>
      <c r="Y1404" s="751"/>
      <c r="Z1404" s="751"/>
      <c r="AA1404" s="751"/>
      <c r="AB1404" s="751"/>
      <c r="AC1404" s="751"/>
      <c r="AD1404" s="751"/>
      <c r="AE1404" s="751"/>
      <c r="AF1404" s="751"/>
      <c r="AG1404" s="751"/>
    </row>
    <row r="1405" spans="4:33">
      <c r="D1405" s="751"/>
      <c r="E1405" s="751"/>
      <c r="F1405" s="751"/>
      <c r="G1405" s="751"/>
      <c r="H1405" s="751"/>
      <c r="I1405" s="751"/>
      <c r="J1405" s="751"/>
      <c r="K1405" s="751"/>
      <c r="L1405" s="751"/>
      <c r="M1405" s="751"/>
      <c r="N1405" s="751"/>
      <c r="O1405" s="751"/>
      <c r="P1405" s="751"/>
      <c r="Q1405" s="751"/>
      <c r="R1405" s="751"/>
      <c r="S1405" s="751"/>
      <c r="T1405" s="751"/>
      <c r="U1405" s="751"/>
      <c r="V1405" s="751"/>
      <c r="W1405" s="751"/>
      <c r="X1405" s="751"/>
      <c r="Y1405" s="751"/>
      <c r="Z1405" s="751"/>
      <c r="AA1405" s="751"/>
      <c r="AB1405" s="751"/>
      <c r="AC1405" s="751"/>
      <c r="AD1405" s="751"/>
      <c r="AE1405" s="751"/>
      <c r="AF1405" s="751"/>
      <c r="AG1405" s="751"/>
    </row>
    <row r="1406" spans="4:33">
      <c r="D1406" s="751"/>
      <c r="E1406" s="751"/>
      <c r="F1406" s="751"/>
      <c r="G1406" s="751"/>
      <c r="H1406" s="751"/>
      <c r="I1406" s="751"/>
      <c r="J1406" s="751"/>
      <c r="K1406" s="751"/>
      <c r="L1406" s="751"/>
      <c r="M1406" s="751"/>
      <c r="N1406" s="751"/>
      <c r="O1406" s="751"/>
      <c r="P1406" s="751"/>
      <c r="Q1406" s="751"/>
      <c r="R1406" s="751"/>
      <c r="S1406" s="751"/>
      <c r="T1406" s="751"/>
      <c r="U1406" s="751"/>
      <c r="V1406" s="751"/>
      <c r="W1406" s="751"/>
      <c r="X1406" s="751"/>
      <c r="Y1406" s="751"/>
      <c r="Z1406" s="751"/>
      <c r="AA1406" s="751"/>
      <c r="AB1406" s="751"/>
      <c r="AC1406" s="751"/>
      <c r="AD1406" s="751"/>
      <c r="AE1406" s="751"/>
      <c r="AF1406" s="751"/>
      <c r="AG1406" s="751"/>
    </row>
    <row r="1407" spans="4:33">
      <c r="D1407" s="751"/>
      <c r="E1407" s="751"/>
      <c r="F1407" s="751"/>
      <c r="G1407" s="751"/>
      <c r="H1407" s="751"/>
      <c r="I1407" s="751"/>
      <c r="J1407" s="751"/>
      <c r="K1407" s="751"/>
      <c r="L1407" s="751"/>
      <c r="M1407" s="751"/>
      <c r="N1407" s="751"/>
      <c r="O1407" s="751"/>
      <c r="P1407" s="751"/>
      <c r="Q1407" s="751"/>
      <c r="R1407" s="751"/>
      <c r="S1407" s="751"/>
      <c r="T1407" s="751"/>
      <c r="U1407" s="751"/>
      <c r="V1407" s="751"/>
      <c r="W1407" s="751"/>
      <c r="X1407" s="751"/>
      <c r="Y1407" s="751"/>
      <c r="Z1407" s="751"/>
      <c r="AA1407" s="751"/>
      <c r="AB1407" s="751"/>
      <c r="AC1407" s="751"/>
      <c r="AD1407" s="751"/>
      <c r="AE1407" s="751"/>
      <c r="AF1407" s="751"/>
      <c r="AG1407" s="751"/>
    </row>
    <row r="1408" spans="4:33">
      <c r="D1408" s="751"/>
      <c r="E1408" s="751"/>
      <c r="F1408" s="751"/>
      <c r="G1408" s="751"/>
      <c r="H1408" s="751"/>
      <c r="I1408" s="751"/>
      <c r="J1408" s="751"/>
      <c r="K1408" s="751"/>
      <c r="L1408" s="751"/>
      <c r="M1408" s="751"/>
      <c r="N1408" s="751"/>
      <c r="O1408" s="751"/>
      <c r="P1408" s="751"/>
      <c r="Q1408" s="751"/>
      <c r="R1408" s="751"/>
      <c r="S1408" s="751"/>
      <c r="T1408" s="751"/>
      <c r="U1408" s="751"/>
      <c r="V1408" s="751"/>
      <c r="W1408" s="751"/>
      <c r="X1408" s="751"/>
      <c r="Y1408" s="751"/>
      <c r="Z1408" s="751"/>
      <c r="AA1408" s="751"/>
      <c r="AB1408" s="751"/>
      <c r="AC1408" s="751"/>
      <c r="AD1408" s="751"/>
      <c r="AE1408" s="751"/>
      <c r="AF1408" s="751"/>
      <c r="AG1408" s="751"/>
    </row>
    <row r="1409" spans="4:33">
      <c r="D1409" s="751"/>
      <c r="E1409" s="751"/>
      <c r="F1409" s="751"/>
      <c r="G1409" s="751"/>
      <c r="H1409" s="751"/>
      <c r="I1409" s="751"/>
      <c r="J1409" s="751"/>
      <c r="K1409" s="751"/>
      <c r="L1409" s="751"/>
      <c r="M1409" s="751"/>
      <c r="N1409" s="751"/>
      <c r="O1409" s="751"/>
      <c r="P1409" s="751"/>
      <c r="Q1409" s="751"/>
      <c r="R1409" s="751"/>
      <c r="S1409" s="751"/>
      <c r="T1409" s="751"/>
      <c r="U1409" s="751"/>
      <c r="V1409" s="751"/>
      <c r="W1409" s="751"/>
      <c r="X1409" s="751"/>
      <c r="Y1409" s="751"/>
      <c r="Z1409" s="751"/>
      <c r="AA1409" s="751"/>
      <c r="AB1409" s="751"/>
      <c r="AC1409" s="751"/>
      <c r="AD1409" s="751"/>
      <c r="AE1409" s="751"/>
      <c r="AF1409" s="751"/>
      <c r="AG1409" s="751"/>
    </row>
    <row r="1410" spans="4:33">
      <c r="D1410" s="751"/>
      <c r="E1410" s="751"/>
      <c r="F1410" s="751"/>
      <c r="G1410" s="751"/>
      <c r="H1410" s="751"/>
      <c r="I1410" s="751"/>
      <c r="J1410" s="751"/>
      <c r="K1410" s="751"/>
      <c r="L1410" s="751"/>
      <c r="M1410" s="751"/>
      <c r="N1410" s="751"/>
      <c r="O1410" s="751"/>
      <c r="P1410" s="751"/>
      <c r="Q1410" s="751"/>
      <c r="R1410" s="751"/>
      <c r="S1410" s="751"/>
      <c r="T1410" s="751"/>
      <c r="U1410" s="751"/>
      <c r="V1410" s="751"/>
      <c r="W1410" s="751"/>
      <c r="X1410" s="751"/>
      <c r="Y1410" s="751"/>
      <c r="Z1410" s="751"/>
      <c r="AA1410" s="751"/>
      <c r="AB1410" s="751"/>
      <c r="AC1410" s="751"/>
      <c r="AD1410" s="751"/>
      <c r="AE1410" s="751"/>
      <c r="AF1410" s="751"/>
      <c r="AG1410" s="751"/>
    </row>
    <row r="1411" spans="4:33">
      <c r="D1411" s="751"/>
      <c r="E1411" s="751"/>
      <c r="F1411" s="751"/>
      <c r="G1411" s="751"/>
      <c r="H1411" s="751"/>
      <c r="I1411" s="751"/>
      <c r="J1411" s="751"/>
      <c r="K1411" s="751"/>
      <c r="L1411" s="751"/>
      <c r="M1411" s="751"/>
      <c r="N1411" s="751"/>
      <c r="O1411" s="751"/>
      <c r="P1411" s="751"/>
      <c r="Q1411" s="751"/>
      <c r="R1411" s="751"/>
      <c r="S1411" s="751"/>
      <c r="T1411" s="751"/>
      <c r="U1411" s="751"/>
      <c r="V1411" s="751"/>
      <c r="W1411" s="751"/>
      <c r="X1411" s="751"/>
      <c r="Y1411" s="751"/>
      <c r="Z1411" s="751"/>
      <c r="AA1411" s="751"/>
      <c r="AB1411" s="751"/>
      <c r="AC1411" s="751"/>
      <c r="AD1411" s="751"/>
      <c r="AE1411" s="751"/>
      <c r="AF1411" s="751"/>
      <c r="AG1411" s="751"/>
    </row>
    <row r="1412" spans="4:33">
      <c r="D1412" s="751"/>
      <c r="E1412" s="751"/>
      <c r="F1412" s="751"/>
      <c r="G1412" s="751"/>
      <c r="H1412" s="751"/>
      <c r="I1412" s="751"/>
      <c r="J1412" s="751"/>
      <c r="K1412" s="751"/>
      <c r="L1412" s="751"/>
      <c r="M1412" s="751"/>
      <c r="N1412" s="751"/>
      <c r="O1412" s="751"/>
      <c r="P1412" s="751"/>
      <c r="Q1412" s="751"/>
      <c r="R1412" s="751"/>
      <c r="S1412" s="751"/>
      <c r="T1412" s="751"/>
      <c r="U1412" s="751"/>
      <c r="V1412" s="751"/>
      <c r="W1412" s="751"/>
      <c r="X1412" s="751"/>
      <c r="Y1412" s="751"/>
      <c r="Z1412" s="751"/>
      <c r="AA1412" s="751"/>
      <c r="AB1412" s="751"/>
      <c r="AC1412" s="751"/>
      <c r="AD1412" s="751"/>
      <c r="AE1412" s="751"/>
      <c r="AF1412" s="751"/>
      <c r="AG1412" s="751"/>
    </row>
    <row r="1413" spans="4:33">
      <c r="D1413" s="751"/>
      <c r="E1413" s="751"/>
      <c r="F1413" s="751"/>
      <c r="G1413" s="751"/>
      <c r="H1413" s="751"/>
      <c r="I1413" s="751"/>
      <c r="J1413" s="751"/>
      <c r="K1413" s="751"/>
      <c r="L1413" s="751"/>
      <c r="M1413" s="751"/>
      <c r="N1413" s="751"/>
      <c r="O1413" s="751"/>
      <c r="P1413" s="751"/>
      <c r="Q1413" s="751"/>
      <c r="R1413" s="751"/>
      <c r="S1413" s="751"/>
      <c r="T1413" s="751"/>
      <c r="U1413" s="751"/>
      <c r="V1413" s="751"/>
      <c r="W1413" s="751"/>
      <c r="X1413" s="751"/>
      <c r="Y1413" s="751"/>
      <c r="Z1413" s="751"/>
      <c r="AA1413" s="751"/>
      <c r="AB1413" s="751"/>
      <c r="AC1413" s="751"/>
      <c r="AD1413" s="751"/>
      <c r="AE1413" s="751"/>
      <c r="AF1413" s="751"/>
      <c r="AG1413" s="751"/>
    </row>
    <row r="1414" spans="4:33">
      <c r="D1414" s="751"/>
      <c r="E1414" s="751"/>
      <c r="F1414" s="751"/>
      <c r="G1414" s="751"/>
      <c r="H1414" s="751"/>
      <c r="I1414" s="751"/>
      <c r="J1414" s="751"/>
      <c r="K1414" s="751"/>
      <c r="L1414" s="751"/>
      <c r="M1414" s="751"/>
      <c r="N1414" s="751"/>
      <c r="O1414" s="751"/>
      <c r="P1414" s="751"/>
      <c r="Q1414" s="751"/>
      <c r="R1414" s="751"/>
      <c r="S1414" s="751"/>
      <c r="T1414" s="751"/>
      <c r="U1414" s="751"/>
      <c r="V1414" s="751"/>
      <c r="W1414" s="751"/>
      <c r="X1414" s="751"/>
      <c r="Y1414" s="751"/>
      <c r="Z1414" s="751"/>
      <c r="AA1414" s="751"/>
      <c r="AB1414" s="751"/>
      <c r="AC1414" s="751"/>
      <c r="AD1414" s="751"/>
      <c r="AE1414" s="751"/>
      <c r="AF1414" s="751"/>
      <c r="AG1414" s="751"/>
    </row>
    <row r="1415" spans="4:33">
      <c r="D1415" s="751"/>
      <c r="E1415" s="751"/>
      <c r="F1415" s="751"/>
      <c r="G1415" s="751"/>
      <c r="H1415" s="751"/>
      <c r="I1415" s="751"/>
      <c r="J1415" s="751"/>
      <c r="K1415" s="751"/>
      <c r="L1415" s="751"/>
      <c r="M1415" s="751"/>
      <c r="N1415" s="751"/>
      <c r="O1415" s="751"/>
      <c r="P1415" s="751"/>
      <c r="Q1415" s="751"/>
      <c r="R1415" s="751"/>
      <c r="S1415" s="751"/>
      <c r="T1415" s="751"/>
      <c r="U1415" s="751"/>
      <c r="V1415" s="751"/>
      <c r="W1415" s="751"/>
      <c r="X1415" s="751"/>
      <c r="Y1415" s="751"/>
      <c r="Z1415" s="751"/>
      <c r="AA1415" s="751"/>
      <c r="AB1415" s="751"/>
      <c r="AC1415" s="751"/>
      <c r="AD1415" s="751"/>
      <c r="AE1415" s="751"/>
      <c r="AF1415" s="751"/>
      <c r="AG1415" s="751"/>
    </row>
    <row r="1416" spans="4:33">
      <c r="D1416" s="751"/>
      <c r="E1416" s="751"/>
      <c r="F1416" s="751"/>
      <c r="G1416" s="751"/>
      <c r="H1416" s="751"/>
      <c r="I1416" s="751"/>
      <c r="J1416" s="751"/>
      <c r="K1416" s="751"/>
      <c r="L1416" s="751"/>
      <c r="M1416" s="751"/>
      <c r="N1416" s="751"/>
      <c r="O1416" s="751"/>
      <c r="P1416" s="751"/>
      <c r="Q1416" s="751"/>
      <c r="R1416" s="751"/>
      <c r="S1416" s="751"/>
      <c r="T1416" s="751"/>
      <c r="U1416" s="751"/>
      <c r="V1416" s="751"/>
      <c r="W1416" s="751"/>
      <c r="X1416" s="751"/>
      <c r="Y1416" s="751"/>
      <c r="Z1416" s="751"/>
      <c r="AA1416" s="751"/>
      <c r="AB1416" s="751"/>
      <c r="AC1416" s="751"/>
      <c r="AD1416" s="751"/>
      <c r="AE1416" s="751"/>
      <c r="AF1416" s="751"/>
      <c r="AG1416" s="751"/>
    </row>
    <row r="1417" spans="4:33">
      <c r="D1417" s="751"/>
      <c r="E1417" s="751"/>
      <c r="F1417" s="751"/>
      <c r="G1417" s="751"/>
      <c r="H1417" s="751"/>
      <c r="I1417" s="751"/>
      <c r="J1417" s="751"/>
      <c r="K1417" s="751"/>
      <c r="L1417" s="751"/>
      <c r="M1417" s="751"/>
      <c r="N1417" s="751"/>
      <c r="O1417" s="751"/>
      <c r="P1417" s="751"/>
      <c r="Q1417" s="751"/>
      <c r="R1417" s="751"/>
      <c r="S1417" s="751"/>
      <c r="T1417" s="751"/>
      <c r="U1417" s="751"/>
      <c r="V1417" s="751"/>
      <c r="W1417" s="751"/>
      <c r="X1417" s="751"/>
      <c r="Y1417" s="751"/>
      <c r="Z1417" s="751"/>
      <c r="AA1417" s="751"/>
      <c r="AB1417" s="751"/>
      <c r="AC1417" s="751"/>
      <c r="AD1417" s="751"/>
      <c r="AE1417" s="751"/>
      <c r="AF1417" s="751"/>
      <c r="AG1417" s="751"/>
    </row>
    <row r="1418" spans="4:33">
      <c r="D1418" s="751"/>
      <c r="E1418" s="751"/>
      <c r="F1418" s="751"/>
      <c r="G1418" s="751"/>
      <c r="H1418" s="751"/>
      <c r="I1418" s="751"/>
      <c r="J1418" s="751"/>
      <c r="K1418" s="751"/>
      <c r="L1418" s="751"/>
      <c r="M1418" s="751"/>
      <c r="N1418" s="751"/>
      <c r="O1418" s="751"/>
      <c r="P1418" s="751"/>
      <c r="Q1418" s="751"/>
      <c r="R1418" s="751"/>
      <c r="S1418" s="751"/>
      <c r="T1418" s="751"/>
      <c r="U1418" s="751"/>
      <c r="V1418" s="751"/>
      <c r="W1418" s="751"/>
      <c r="X1418" s="751"/>
      <c r="Y1418" s="751"/>
      <c r="Z1418" s="751"/>
      <c r="AA1418" s="751"/>
      <c r="AB1418" s="751"/>
      <c r="AC1418" s="751"/>
      <c r="AD1418" s="751"/>
      <c r="AE1418" s="751"/>
      <c r="AF1418" s="751"/>
      <c r="AG1418" s="751"/>
    </row>
    <row r="1419" spans="4:33">
      <c r="D1419" s="751"/>
      <c r="E1419" s="751"/>
      <c r="F1419" s="751"/>
      <c r="G1419" s="751"/>
      <c r="H1419" s="751"/>
      <c r="I1419" s="751"/>
      <c r="J1419" s="751"/>
      <c r="K1419" s="751"/>
      <c r="L1419" s="751"/>
      <c r="M1419" s="751"/>
      <c r="N1419" s="751"/>
      <c r="O1419" s="751"/>
      <c r="P1419" s="751"/>
      <c r="Q1419" s="751"/>
      <c r="R1419" s="751"/>
      <c r="S1419" s="751"/>
      <c r="T1419" s="751"/>
      <c r="U1419" s="751"/>
      <c r="V1419" s="751"/>
      <c r="W1419" s="751"/>
      <c r="X1419" s="751"/>
      <c r="Y1419" s="751"/>
      <c r="Z1419" s="751"/>
      <c r="AA1419" s="751"/>
      <c r="AB1419" s="751"/>
      <c r="AC1419" s="751"/>
      <c r="AD1419" s="751"/>
      <c r="AE1419" s="751"/>
      <c r="AF1419" s="751"/>
      <c r="AG1419" s="751"/>
    </row>
    <row r="1420" spans="4:33">
      <c r="D1420" s="751"/>
      <c r="E1420" s="751"/>
      <c r="F1420" s="751"/>
      <c r="G1420" s="751"/>
      <c r="H1420" s="751"/>
      <c r="I1420" s="751"/>
      <c r="J1420" s="751"/>
      <c r="K1420" s="751"/>
      <c r="L1420" s="751"/>
      <c r="M1420" s="751"/>
      <c r="N1420" s="751"/>
      <c r="O1420" s="751"/>
      <c r="P1420" s="751"/>
      <c r="Q1420" s="751"/>
      <c r="R1420" s="751"/>
      <c r="S1420" s="751"/>
      <c r="T1420" s="751"/>
      <c r="U1420" s="751"/>
      <c r="V1420" s="751"/>
      <c r="W1420" s="751"/>
      <c r="X1420" s="751"/>
      <c r="Y1420" s="751"/>
      <c r="Z1420" s="751"/>
      <c r="AA1420" s="751"/>
      <c r="AB1420" s="751"/>
      <c r="AC1420" s="751"/>
      <c r="AD1420" s="751"/>
      <c r="AE1420" s="751"/>
      <c r="AF1420" s="751"/>
      <c r="AG1420" s="751"/>
    </row>
    <row r="1421" spans="4:33">
      <c r="D1421" s="751"/>
      <c r="E1421" s="751"/>
      <c r="F1421" s="751"/>
      <c r="G1421" s="751"/>
      <c r="H1421" s="751"/>
      <c r="I1421" s="751"/>
      <c r="J1421" s="751"/>
      <c r="K1421" s="751"/>
      <c r="L1421" s="751"/>
      <c r="M1421" s="751"/>
      <c r="N1421" s="751"/>
      <c r="O1421" s="751"/>
      <c r="P1421" s="751"/>
      <c r="Q1421" s="751"/>
      <c r="R1421" s="751"/>
      <c r="S1421" s="751"/>
      <c r="T1421" s="751"/>
      <c r="U1421" s="751"/>
      <c r="V1421" s="751"/>
      <c r="W1421" s="751"/>
      <c r="X1421" s="751"/>
      <c r="Y1421" s="751"/>
      <c r="Z1421" s="751"/>
      <c r="AA1421" s="751"/>
      <c r="AB1421" s="751"/>
      <c r="AC1421" s="751"/>
      <c r="AD1421" s="751"/>
      <c r="AE1421" s="751"/>
      <c r="AF1421" s="751"/>
      <c r="AG1421" s="751"/>
    </row>
    <row r="1422" spans="4:33">
      <c r="D1422" s="751"/>
      <c r="E1422" s="751"/>
      <c r="F1422" s="751"/>
      <c r="G1422" s="751"/>
      <c r="H1422" s="751"/>
      <c r="I1422" s="751"/>
      <c r="J1422" s="751"/>
      <c r="K1422" s="751"/>
      <c r="L1422" s="751"/>
      <c r="M1422" s="751"/>
      <c r="N1422" s="751"/>
      <c r="O1422" s="751"/>
      <c r="P1422" s="751"/>
      <c r="Q1422" s="751"/>
      <c r="R1422" s="751"/>
      <c r="S1422" s="751"/>
      <c r="T1422" s="751"/>
      <c r="U1422" s="751"/>
      <c r="V1422" s="751"/>
      <c r="W1422" s="751"/>
      <c r="X1422" s="751"/>
      <c r="Y1422" s="751"/>
      <c r="Z1422" s="751"/>
      <c r="AA1422" s="751"/>
      <c r="AB1422" s="751"/>
      <c r="AC1422" s="751"/>
      <c r="AD1422" s="751"/>
      <c r="AE1422" s="751"/>
      <c r="AF1422" s="751"/>
      <c r="AG1422" s="751"/>
    </row>
    <row r="1423" spans="4:33">
      <c r="D1423" s="751"/>
      <c r="E1423" s="751"/>
      <c r="F1423" s="751"/>
      <c r="G1423" s="751"/>
      <c r="H1423" s="751"/>
      <c r="I1423" s="751"/>
      <c r="J1423" s="751"/>
      <c r="K1423" s="751"/>
      <c r="L1423" s="751"/>
      <c r="M1423" s="751"/>
      <c r="N1423" s="751"/>
      <c r="O1423" s="751"/>
      <c r="P1423" s="751"/>
      <c r="Q1423" s="751"/>
      <c r="R1423" s="751"/>
      <c r="S1423" s="751"/>
      <c r="T1423" s="751"/>
      <c r="U1423" s="751"/>
      <c r="V1423" s="751"/>
      <c r="W1423" s="751"/>
      <c r="X1423" s="751"/>
      <c r="Y1423" s="751"/>
      <c r="Z1423" s="751"/>
      <c r="AA1423" s="751"/>
      <c r="AB1423" s="751"/>
      <c r="AC1423" s="751"/>
      <c r="AD1423" s="751"/>
      <c r="AE1423" s="751"/>
      <c r="AF1423" s="751"/>
      <c r="AG1423" s="751"/>
    </row>
    <row r="1424" spans="4:33">
      <c r="D1424" s="751"/>
      <c r="E1424" s="751"/>
      <c r="F1424" s="751"/>
      <c r="G1424" s="751"/>
      <c r="H1424" s="751"/>
      <c r="I1424" s="751"/>
      <c r="J1424" s="751"/>
      <c r="K1424" s="751"/>
      <c r="L1424" s="751"/>
      <c r="M1424" s="751"/>
      <c r="N1424" s="751"/>
      <c r="O1424" s="751"/>
      <c r="P1424" s="751"/>
      <c r="Q1424" s="751"/>
      <c r="R1424" s="751"/>
      <c r="S1424" s="751"/>
      <c r="T1424" s="751"/>
      <c r="U1424" s="751"/>
      <c r="V1424" s="751"/>
      <c r="W1424" s="751"/>
      <c r="X1424" s="751"/>
      <c r="Y1424" s="751"/>
      <c r="Z1424" s="751"/>
      <c r="AA1424" s="751"/>
      <c r="AB1424" s="751"/>
      <c r="AC1424" s="751"/>
      <c r="AD1424" s="751"/>
      <c r="AE1424" s="751"/>
      <c r="AF1424" s="751"/>
      <c r="AG1424" s="751"/>
    </row>
    <row r="1425" spans="4:33">
      <c r="D1425" s="751"/>
      <c r="E1425" s="751"/>
      <c r="F1425" s="751"/>
      <c r="G1425" s="751"/>
      <c r="H1425" s="751"/>
      <c r="I1425" s="751"/>
      <c r="J1425" s="751"/>
      <c r="K1425" s="751"/>
      <c r="L1425" s="751"/>
      <c r="M1425" s="751"/>
      <c r="N1425" s="751"/>
      <c r="O1425" s="751"/>
      <c r="P1425" s="751"/>
      <c r="Q1425" s="751"/>
      <c r="R1425" s="751"/>
      <c r="S1425" s="751"/>
      <c r="T1425" s="751"/>
      <c r="U1425" s="751"/>
      <c r="V1425" s="751"/>
      <c r="W1425" s="751"/>
      <c r="X1425" s="751"/>
      <c r="Y1425" s="751"/>
      <c r="Z1425" s="751"/>
      <c r="AA1425" s="751"/>
      <c r="AB1425" s="751"/>
      <c r="AC1425" s="751"/>
      <c r="AD1425" s="751"/>
      <c r="AE1425" s="751"/>
      <c r="AF1425" s="751"/>
      <c r="AG1425" s="751"/>
    </row>
    <row r="1426" spans="4:33">
      <c r="D1426" s="751"/>
      <c r="E1426" s="751"/>
      <c r="F1426" s="751"/>
      <c r="G1426" s="751"/>
      <c r="H1426" s="751"/>
      <c r="I1426" s="751"/>
      <c r="J1426" s="751"/>
      <c r="K1426" s="751"/>
      <c r="L1426" s="751"/>
      <c r="M1426" s="751"/>
      <c r="N1426" s="751"/>
      <c r="O1426" s="751"/>
      <c r="P1426" s="751"/>
      <c r="Q1426" s="751"/>
      <c r="R1426" s="751"/>
      <c r="S1426" s="751"/>
      <c r="T1426" s="751"/>
      <c r="U1426" s="751"/>
      <c r="V1426" s="751"/>
      <c r="W1426" s="751"/>
      <c r="X1426" s="751"/>
      <c r="Y1426" s="751"/>
      <c r="Z1426" s="751"/>
      <c r="AA1426" s="751"/>
      <c r="AB1426" s="751"/>
      <c r="AC1426" s="751"/>
      <c r="AD1426" s="751"/>
      <c r="AE1426" s="751"/>
      <c r="AF1426" s="751"/>
      <c r="AG1426" s="751"/>
    </row>
    <row r="1427" spans="4:33">
      <c r="D1427" s="751"/>
      <c r="E1427" s="751"/>
      <c r="F1427" s="751"/>
      <c r="G1427" s="751"/>
      <c r="H1427" s="751"/>
      <c r="I1427" s="751"/>
      <c r="J1427" s="751"/>
      <c r="K1427" s="751"/>
      <c r="L1427" s="751"/>
      <c r="M1427" s="751"/>
      <c r="N1427" s="751"/>
      <c r="O1427" s="751"/>
      <c r="P1427" s="751"/>
      <c r="Q1427" s="751"/>
      <c r="R1427" s="751"/>
      <c r="S1427" s="751"/>
      <c r="T1427" s="751"/>
      <c r="U1427" s="751"/>
      <c r="V1427" s="751"/>
      <c r="W1427" s="751"/>
      <c r="X1427" s="751"/>
      <c r="Y1427" s="751"/>
      <c r="Z1427" s="751"/>
      <c r="AA1427" s="751"/>
      <c r="AB1427" s="751"/>
      <c r="AC1427" s="751"/>
      <c r="AD1427" s="751"/>
      <c r="AE1427" s="751"/>
      <c r="AF1427" s="751"/>
      <c r="AG1427" s="751"/>
    </row>
    <row r="1428" spans="4:33">
      <c r="D1428" s="751"/>
      <c r="E1428" s="751"/>
      <c r="F1428" s="751"/>
      <c r="G1428" s="751"/>
      <c r="H1428" s="751"/>
      <c r="I1428" s="751"/>
      <c r="J1428" s="751"/>
      <c r="K1428" s="751"/>
      <c r="L1428" s="751"/>
      <c r="M1428" s="751"/>
      <c r="N1428" s="751"/>
      <c r="O1428" s="751"/>
      <c r="P1428" s="751"/>
      <c r="Q1428" s="751"/>
      <c r="R1428" s="751"/>
      <c r="S1428" s="751"/>
      <c r="T1428" s="751"/>
      <c r="U1428" s="751"/>
      <c r="V1428" s="751"/>
      <c r="W1428" s="751"/>
      <c r="X1428" s="751"/>
      <c r="Y1428" s="751"/>
      <c r="Z1428" s="751"/>
      <c r="AA1428" s="751"/>
      <c r="AB1428" s="751"/>
      <c r="AC1428" s="751"/>
      <c r="AD1428" s="751"/>
      <c r="AE1428" s="751"/>
      <c r="AF1428" s="751"/>
      <c r="AG1428" s="751"/>
    </row>
    <row r="1429" spans="4:33">
      <c r="D1429" s="751"/>
      <c r="E1429" s="751"/>
      <c r="F1429" s="751"/>
      <c r="G1429" s="751"/>
      <c r="H1429" s="751"/>
      <c r="I1429" s="751"/>
      <c r="J1429" s="751"/>
      <c r="K1429" s="751"/>
      <c r="L1429" s="751"/>
      <c r="M1429" s="751"/>
      <c r="N1429" s="751"/>
      <c r="O1429" s="751"/>
      <c r="P1429" s="751"/>
      <c r="Q1429" s="751"/>
      <c r="R1429" s="751"/>
      <c r="S1429" s="751"/>
      <c r="T1429" s="751"/>
      <c r="U1429" s="751"/>
      <c r="V1429" s="751"/>
      <c r="W1429" s="751"/>
      <c r="X1429" s="751"/>
      <c r="Y1429" s="751"/>
      <c r="Z1429" s="751"/>
      <c r="AA1429" s="751"/>
      <c r="AB1429" s="751"/>
      <c r="AC1429" s="751"/>
      <c r="AD1429" s="751"/>
      <c r="AE1429" s="751"/>
      <c r="AF1429" s="751"/>
      <c r="AG1429" s="751"/>
    </row>
    <row r="1430" spans="4:33">
      <c r="D1430" s="751"/>
      <c r="E1430" s="751"/>
      <c r="F1430" s="751"/>
      <c r="G1430" s="751"/>
      <c r="H1430" s="751"/>
      <c r="I1430" s="751"/>
      <c r="J1430" s="751"/>
      <c r="K1430" s="751"/>
      <c r="L1430" s="751"/>
      <c r="M1430" s="751"/>
      <c r="N1430" s="751"/>
      <c r="O1430" s="751"/>
      <c r="P1430" s="751"/>
      <c r="Q1430" s="751"/>
      <c r="R1430" s="751"/>
      <c r="S1430" s="751"/>
      <c r="T1430" s="751"/>
      <c r="U1430" s="751"/>
      <c r="V1430" s="751"/>
      <c r="W1430" s="751"/>
      <c r="X1430" s="751"/>
      <c r="Y1430" s="751"/>
      <c r="Z1430" s="751"/>
      <c r="AA1430" s="751"/>
      <c r="AB1430" s="751"/>
      <c r="AC1430" s="751"/>
      <c r="AD1430" s="751"/>
      <c r="AE1430" s="751"/>
      <c r="AF1430" s="751"/>
      <c r="AG1430" s="751"/>
    </row>
    <row r="1431" spans="4:33">
      <c r="D1431" s="751"/>
      <c r="E1431" s="751"/>
      <c r="F1431" s="751"/>
      <c r="G1431" s="751"/>
      <c r="H1431" s="751"/>
      <c r="I1431" s="751"/>
      <c r="J1431" s="751"/>
      <c r="K1431" s="751"/>
      <c r="L1431" s="751"/>
      <c r="M1431" s="751"/>
      <c r="N1431" s="751"/>
      <c r="O1431" s="751"/>
      <c r="P1431" s="751"/>
      <c r="Q1431" s="751"/>
      <c r="R1431" s="751"/>
      <c r="S1431" s="751"/>
      <c r="T1431" s="751"/>
      <c r="U1431" s="751"/>
      <c r="V1431" s="751"/>
      <c r="W1431" s="751"/>
      <c r="X1431" s="751"/>
      <c r="Y1431" s="751"/>
      <c r="Z1431" s="751"/>
      <c r="AA1431" s="751"/>
      <c r="AB1431" s="751"/>
      <c r="AC1431" s="751"/>
      <c r="AD1431" s="751"/>
      <c r="AE1431" s="751"/>
      <c r="AF1431" s="751"/>
      <c r="AG1431" s="751"/>
    </row>
    <row r="1432" spans="4:33">
      <c r="D1432" s="751"/>
      <c r="E1432" s="751"/>
      <c r="F1432" s="751"/>
      <c r="G1432" s="751"/>
      <c r="H1432" s="751"/>
      <c r="I1432" s="751"/>
      <c r="J1432" s="751"/>
      <c r="K1432" s="751"/>
      <c r="L1432" s="751"/>
      <c r="M1432" s="751"/>
      <c r="N1432" s="751"/>
      <c r="O1432" s="751"/>
      <c r="P1432" s="751"/>
      <c r="Q1432" s="751"/>
      <c r="R1432" s="751"/>
      <c r="S1432" s="751"/>
      <c r="T1432" s="751"/>
      <c r="U1432" s="751"/>
      <c r="V1432" s="751"/>
      <c r="W1432" s="751"/>
      <c r="X1432" s="751"/>
      <c r="Y1432" s="751"/>
      <c r="Z1432" s="751"/>
      <c r="AA1432" s="751"/>
      <c r="AB1432" s="751"/>
      <c r="AC1432" s="751"/>
      <c r="AD1432" s="751"/>
      <c r="AE1432" s="751"/>
      <c r="AF1432" s="751"/>
      <c r="AG1432" s="751"/>
    </row>
    <row r="1433" spans="4:33">
      <c r="D1433" s="751"/>
      <c r="E1433" s="751"/>
      <c r="F1433" s="751"/>
      <c r="G1433" s="751"/>
      <c r="H1433" s="751"/>
      <c r="I1433" s="751"/>
      <c r="J1433" s="751"/>
      <c r="K1433" s="751"/>
      <c r="L1433" s="751"/>
      <c r="M1433" s="751"/>
      <c r="N1433" s="751"/>
      <c r="O1433" s="751"/>
      <c r="P1433" s="751"/>
      <c r="Q1433" s="751"/>
      <c r="R1433" s="751"/>
      <c r="S1433" s="751"/>
      <c r="T1433" s="751"/>
      <c r="U1433" s="751"/>
      <c r="V1433" s="751"/>
      <c r="W1433" s="751"/>
      <c r="X1433" s="751"/>
      <c r="Y1433" s="751"/>
      <c r="Z1433" s="751"/>
      <c r="AA1433" s="751"/>
      <c r="AB1433" s="751"/>
      <c r="AC1433" s="751"/>
      <c r="AD1433" s="751"/>
      <c r="AE1433" s="751"/>
      <c r="AF1433" s="751"/>
      <c r="AG1433" s="751"/>
    </row>
    <row r="1434" spans="4:33">
      <c r="D1434" s="751"/>
      <c r="E1434" s="751"/>
      <c r="F1434" s="751"/>
      <c r="G1434" s="751"/>
      <c r="H1434" s="751"/>
      <c r="I1434" s="751"/>
      <c r="J1434" s="751"/>
      <c r="K1434" s="751"/>
      <c r="L1434" s="751"/>
      <c r="M1434" s="751"/>
      <c r="N1434" s="751"/>
      <c r="O1434" s="751"/>
      <c r="P1434" s="751"/>
      <c r="Q1434" s="751"/>
      <c r="R1434" s="751"/>
      <c r="S1434" s="751"/>
      <c r="T1434" s="751"/>
      <c r="U1434" s="751"/>
      <c r="V1434" s="751"/>
      <c r="W1434" s="751"/>
      <c r="X1434" s="751"/>
      <c r="Y1434" s="751"/>
      <c r="Z1434" s="751"/>
      <c r="AA1434" s="751"/>
      <c r="AB1434" s="751"/>
      <c r="AC1434" s="751"/>
      <c r="AD1434" s="751"/>
      <c r="AE1434" s="751"/>
      <c r="AF1434" s="751"/>
      <c r="AG1434" s="751"/>
    </row>
    <row r="1435" spans="4:33">
      <c r="D1435" s="751"/>
      <c r="E1435" s="751"/>
      <c r="F1435" s="751"/>
      <c r="G1435" s="751"/>
      <c r="H1435" s="751"/>
      <c r="I1435" s="751"/>
      <c r="J1435" s="751"/>
      <c r="K1435" s="751"/>
      <c r="L1435" s="751"/>
      <c r="M1435" s="751"/>
      <c r="N1435" s="751"/>
      <c r="O1435" s="751"/>
      <c r="P1435" s="751"/>
      <c r="Q1435" s="751"/>
      <c r="R1435" s="751"/>
      <c r="S1435" s="751"/>
      <c r="T1435" s="751"/>
      <c r="U1435" s="751"/>
      <c r="V1435" s="751"/>
      <c r="W1435" s="751"/>
      <c r="X1435" s="751"/>
      <c r="Y1435" s="751"/>
      <c r="Z1435" s="751"/>
      <c r="AA1435" s="751"/>
      <c r="AB1435" s="751"/>
      <c r="AC1435" s="751"/>
      <c r="AD1435" s="751"/>
      <c r="AE1435" s="751"/>
      <c r="AF1435" s="751"/>
      <c r="AG1435" s="751"/>
    </row>
    <row r="1436" spans="4:33">
      <c r="D1436" s="751"/>
      <c r="E1436" s="751"/>
      <c r="F1436" s="751"/>
      <c r="G1436" s="751"/>
      <c r="H1436" s="751"/>
      <c r="I1436" s="751"/>
      <c r="J1436" s="751"/>
      <c r="K1436" s="751"/>
      <c r="L1436" s="751"/>
      <c r="M1436" s="751"/>
      <c r="N1436" s="751"/>
      <c r="O1436" s="751"/>
      <c r="P1436" s="751"/>
      <c r="Q1436" s="751"/>
      <c r="R1436" s="751"/>
      <c r="S1436" s="751"/>
      <c r="T1436" s="751"/>
      <c r="U1436" s="751"/>
      <c r="V1436" s="751"/>
      <c r="W1436" s="751"/>
      <c r="X1436" s="751"/>
      <c r="Y1436" s="751"/>
      <c r="Z1436" s="751"/>
      <c r="AA1436" s="751"/>
      <c r="AB1436" s="751"/>
      <c r="AC1436" s="751"/>
      <c r="AD1436" s="751"/>
      <c r="AE1436" s="751"/>
      <c r="AF1436" s="751"/>
      <c r="AG1436" s="751"/>
    </row>
    <row r="1437" spans="4:33">
      <c r="D1437" s="751"/>
      <c r="E1437" s="751"/>
      <c r="F1437" s="751"/>
      <c r="G1437" s="751"/>
      <c r="H1437" s="751"/>
      <c r="I1437" s="751"/>
      <c r="J1437" s="751"/>
      <c r="K1437" s="751"/>
      <c r="L1437" s="751"/>
      <c r="M1437" s="751"/>
      <c r="N1437" s="751"/>
      <c r="O1437" s="751"/>
      <c r="P1437" s="751"/>
      <c r="Q1437" s="751"/>
      <c r="R1437" s="751"/>
      <c r="S1437" s="751"/>
      <c r="T1437" s="751"/>
      <c r="U1437" s="751"/>
      <c r="V1437" s="751"/>
      <c r="W1437" s="751"/>
      <c r="X1437" s="751"/>
      <c r="Y1437" s="751"/>
      <c r="Z1437" s="751"/>
      <c r="AA1437" s="751"/>
      <c r="AB1437" s="751"/>
      <c r="AC1437" s="751"/>
      <c r="AD1437" s="751"/>
      <c r="AE1437" s="751"/>
      <c r="AF1437" s="751"/>
      <c r="AG1437" s="751"/>
    </row>
    <row r="1438" spans="4:33">
      <c r="D1438" s="751"/>
      <c r="E1438" s="751"/>
      <c r="F1438" s="751"/>
      <c r="G1438" s="751"/>
      <c r="H1438" s="751"/>
      <c r="I1438" s="751"/>
      <c r="J1438" s="751"/>
      <c r="K1438" s="751"/>
      <c r="L1438" s="751"/>
      <c r="M1438" s="751"/>
      <c r="N1438" s="751"/>
      <c r="O1438" s="751"/>
      <c r="P1438" s="751"/>
      <c r="Q1438" s="751"/>
      <c r="R1438" s="751"/>
      <c r="S1438" s="751"/>
      <c r="T1438" s="751"/>
      <c r="U1438" s="751"/>
      <c r="V1438" s="751"/>
      <c r="W1438" s="751"/>
      <c r="X1438" s="751"/>
      <c r="Y1438" s="751"/>
      <c r="Z1438" s="751"/>
      <c r="AA1438" s="751"/>
      <c r="AB1438" s="751"/>
      <c r="AC1438" s="751"/>
      <c r="AD1438" s="751"/>
      <c r="AE1438" s="751"/>
      <c r="AF1438" s="751"/>
      <c r="AG1438" s="751"/>
    </row>
    <row r="1439" spans="4:33">
      <c r="D1439" s="751"/>
      <c r="E1439" s="751"/>
      <c r="F1439" s="751"/>
      <c r="G1439" s="751"/>
      <c r="H1439" s="751"/>
      <c r="I1439" s="751"/>
      <c r="J1439" s="751"/>
      <c r="K1439" s="751"/>
      <c r="L1439" s="751"/>
      <c r="M1439" s="751"/>
      <c r="N1439" s="751"/>
      <c r="O1439" s="751"/>
      <c r="P1439" s="751"/>
      <c r="Q1439" s="751"/>
      <c r="R1439" s="751"/>
      <c r="S1439" s="751"/>
      <c r="T1439" s="751"/>
      <c r="U1439" s="751"/>
      <c r="V1439" s="751"/>
      <c r="W1439" s="751"/>
      <c r="X1439" s="751"/>
      <c r="Y1439" s="751"/>
      <c r="Z1439" s="751"/>
      <c r="AA1439" s="751"/>
      <c r="AB1439" s="751"/>
      <c r="AC1439" s="751"/>
      <c r="AD1439" s="751"/>
      <c r="AE1439" s="751"/>
      <c r="AF1439" s="751"/>
      <c r="AG1439" s="751"/>
    </row>
    <row r="1440" spans="4:33">
      <c r="D1440" s="751"/>
      <c r="E1440" s="751"/>
      <c r="F1440" s="751"/>
      <c r="G1440" s="751"/>
      <c r="H1440" s="751"/>
      <c r="I1440" s="751"/>
      <c r="J1440" s="751"/>
      <c r="K1440" s="751"/>
      <c r="L1440" s="751"/>
      <c r="M1440" s="751"/>
      <c r="N1440" s="751"/>
      <c r="O1440" s="751"/>
      <c r="P1440" s="751"/>
      <c r="Q1440" s="751"/>
      <c r="R1440" s="751"/>
      <c r="S1440" s="751"/>
      <c r="T1440" s="751"/>
      <c r="U1440" s="751"/>
      <c r="V1440" s="751"/>
      <c r="W1440" s="751"/>
      <c r="X1440" s="751"/>
      <c r="Y1440" s="751"/>
      <c r="Z1440" s="751"/>
      <c r="AA1440" s="751"/>
      <c r="AB1440" s="751"/>
      <c r="AC1440" s="751"/>
      <c r="AD1440" s="751"/>
      <c r="AE1440" s="751"/>
      <c r="AF1440" s="751"/>
      <c r="AG1440" s="751"/>
    </row>
    <row r="1441" spans="4:33">
      <c r="D1441" s="751"/>
      <c r="E1441" s="751"/>
      <c r="F1441" s="751"/>
      <c r="G1441" s="751"/>
      <c r="H1441" s="751"/>
      <c r="I1441" s="751"/>
      <c r="J1441" s="751"/>
      <c r="K1441" s="751"/>
      <c r="L1441" s="751"/>
      <c r="M1441" s="751"/>
      <c r="N1441" s="751"/>
      <c r="O1441" s="751"/>
      <c r="P1441" s="751"/>
      <c r="Q1441" s="751"/>
      <c r="R1441" s="751"/>
      <c r="S1441" s="751"/>
      <c r="T1441" s="751"/>
      <c r="U1441" s="751"/>
      <c r="V1441" s="751"/>
      <c r="W1441" s="751"/>
      <c r="X1441" s="751"/>
      <c r="Y1441" s="751"/>
      <c r="Z1441" s="751"/>
      <c r="AA1441" s="751"/>
      <c r="AB1441" s="751"/>
      <c r="AC1441" s="751"/>
      <c r="AD1441" s="751"/>
      <c r="AE1441" s="751"/>
      <c r="AF1441" s="751"/>
      <c r="AG1441" s="751"/>
    </row>
    <row r="1442" spans="4:33">
      <c r="D1442" s="751"/>
      <c r="E1442" s="751"/>
      <c r="F1442" s="751"/>
      <c r="G1442" s="751"/>
      <c r="H1442" s="751"/>
      <c r="I1442" s="751"/>
      <c r="J1442" s="751"/>
      <c r="K1442" s="751"/>
      <c r="L1442" s="751"/>
      <c r="M1442" s="751"/>
      <c r="N1442" s="751"/>
      <c r="O1442" s="751"/>
      <c r="P1442" s="751"/>
      <c r="Q1442" s="751"/>
      <c r="R1442" s="751"/>
      <c r="S1442" s="751"/>
      <c r="T1442" s="751"/>
      <c r="U1442" s="751"/>
      <c r="V1442" s="751"/>
      <c r="W1442" s="751"/>
      <c r="X1442" s="751"/>
      <c r="Y1442" s="751"/>
      <c r="Z1442" s="751"/>
      <c r="AA1442" s="751"/>
      <c r="AB1442" s="751"/>
      <c r="AC1442" s="751"/>
      <c r="AD1442" s="751"/>
      <c r="AE1442" s="751"/>
      <c r="AF1442" s="751"/>
      <c r="AG1442" s="751"/>
    </row>
    <row r="1443" spans="4:33">
      <c r="D1443" s="751"/>
      <c r="E1443" s="751"/>
      <c r="F1443" s="751"/>
      <c r="G1443" s="751"/>
      <c r="H1443" s="751"/>
      <c r="I1443" s="751"/>
      <c r="J1443" s="751"/>
      <c r="K1443" s="751"/>
      <c r="L1443" s="751"/>
      <c r="M1443" s="751"/>
      <c r="N1443" s="751"/>
      <c r="O1443" s="751"/>
      <c r="P1443" s="751"/>
      <c r="Q1443" s="751"/>
      <c r="R1443" s="751"/>
      <c r="S1443" s="751"/>
      <c r="T1443" s="751"/>
      <c r="U1443" s="751"/>
      <c r="V1443" s="751"/>
      <c r="W1443" s="751"/>
      <c r="X1443" s="751"/>
      <c r="Y1443" s="751"/>
      <c r="Z1443" s="751"/>
      <c r="AA1443" s="751"/>
      <c r="AB1443" s="751"/>
      <c r="AC1443" s="751"/>
      <c r="AD1443" s="751"/>
      <c r="AE1443" s="751"/>
      <c r="AF1443" s="751"/>
      <c r="AG1443" s="751"/>
    </row>
    <row r="1444" spans="4:33">
      <c r="D1444" s="751"/>
      <c r="E1444" s="751"/>
      <c r="F1444" s="751"/>
      <c r="G1444" s="751"/>
      <c r="H1444" s="751"/>
      <c r="I1444" s="751"/>
      <c r="J1444" s="751"/>
      <c r="K1444" s="751"/>
      <c r="L1444" s="751"/>
      <c r="M1444" s="751"/>
      <c r="N1444" s="751"/>
      <c r="O1444" s="751"/>
      <c r="P1444" s="751"/>
      <c r="Q1444" s="751"/>
      <c r="R1444" s="751"/>
      <c r="S1444" s="751"/>
      <c r="T1444" s="751"/>
      <c r="U1444" s="751"/>
      <c r="V1444" s="751"/>
      <c r="W1444" s="751"/>
      <c r="X1444" s="751"/>
      <c r="Y1444" s="751"/>
      <c r="Z1444" s="751"/>
      <c r="AA1444" s="751"/>
      <c r="AB1444" s="751"/>
      <c r="AC1444" s="751"/>
      <c r="AD1444" s="751"/>
      <c r="AE1444" s="751"/>
      <c r="AF1444" s="751"/>
      <c r="AG1444" s="751"/>
    </row>
    <row r="1445" spans="4:33">
      <c r="D1445" s="751"/>
      <c r="E1445" s="751"/>
      <c r="F1445" s="751"/>
      <c r="G1445" s="751"/>
      <c r="H1445" s="751"/>
      <c r="I1445" s="751"/>
      <c r="J1445" s="751"/>
      <c r="K1445" s="751"/>
      <c r="L1445" s="751"/>
      <c r="M1445" s="751"/>
      <c r="N1445" s="751"/>
      <c r="O1445" s="751"/>
      <c r="P1445" s="751"/>
      <c r="Q1445" s="751"/>
      <c r="R1445" s="751"/>
      <c r="S1445" s="751"/>
      <c r="T1445" s="751"/>
      <c r="U1445" s="751"/>
      <c r="V1445" s="751"/>
      <c r="W1445" s="751"/>
      <c r="X1445" s="751"/>
      <c r="Y1445" s="751"/>
      <c r="Z1445" s="751"/>
      <c r="AA1445" s="751"/>
      <c r="AB1445" s="751"/>
      <c r="AC1445" s="751"/>
      <c r="AD1445" s="751"/>
      <c r="AE1445" s="751"/>
      <c r="AF1445" s="751"/>
      <c r="AG1445" s="751"/>
    </row>
    <row r="1446" spans="4:33">
      <c r="D1446" s="751"/>
      <c r="E1446" s="751"/>
      <c r="F1446" s="751"/>
      <c r="G1446" s="751"/>
      <c r="H1446" s="751"/>
      <c r="I1446" s="751"/>
      <c r="J1446" s="751"/>
      <c r="K1446" s="751"/>
      <c r="L1446" s="751"/>
      <c r="M1446" s="751"/>
      <c r="N1446" s="751"/>
      <c r="O1446" s="751"/>
      <c r="P1446" s="751"/>
      <c r="Q1446" s="751"/>
      <c r="R1446" s="751"/>
      <c r="S1446" s="751"/>
      <c r="T1446" s="751"/>
      <c r="U1446" s="751"/>
      <c r="V1446" s="751"/>
      <c r="W1446" s="751"/>
      <c r="X1446" s="751"/>
      <c r="Y1446" s="751"/>
      <c r="Z1446" s="751"/>
      <c r="AA1446" s="751"/>
      <c r="AB1446" s="751"/>
      <c r="AC1446" s="751"/>
      <c r="AD1446" s="751"/>
      <c r="AE1446" s="751"/>
      <c r="AF1446" s="751"/>
      <c r="AG1446" s="751"/>
    </row>
    <row r="1447" spans="4:33">
      <c r="D1447" s="751"/>
      <c r="E1447" s="751"/>
      <c r="F1447" s="751"/>
      <c r="G1447" s="751"/>
      <c r="H1447" s="751"/>
      <c r="I1447" s="751"/>
      <c r="J1447" s="751"/>
      <c r="K1447" s="751"/>
      <c r="L1447" s="751"/>
      <c r="M1447" s="751"/>
      <c r="N1447" s="751"/>
      <c r="O1447" s="751"/>
      <c r="P1447" s="751"/>
      <c r="Q1447" s="751"/>
      <c r="R1447" s="751"/>
      <c r="S1447" s="751"/>
      <c r="T1447" s="751"/>
      <c r="U1447" s="751"/>
      <c r="V1447" s="751"/>
      <c r="W1447" s="751"/>
      <c r="X1447" s="751"/>
      <c r="Y1447" s="751"/>
      <c r="Z1447" s="751"/>
      <c r="AA1447" s="751"/>
      <c r="AB1447" s="751"/>
      <c r="AC1447" s="751"/>
      <c r="AD1447" s="751"/>
      <c r="AE1447" s="751"/>
      <c r="AF1447" s="751"/>
      <c r="AG1447" s="751"/>
    </row>
    <row r="1448" spans="4:33">
      <c r="D1448" s="751"/>
      <c r="E1448" s="751"/>
      <c r="F1448" s="751"/>
      <c r="G1448" s="751"/>
      <c r="H1448" s="751"/>
      <c r="I1448" s="751"/>
      <c r="J1448" s="751"/>
      <c r="K1448" s="751"/>
      <c r="L1448" s="751"/>
      <c r="M1448" s="751"/>
      <c r="N1448" s="751"/>
      <c r="O1448" s="751"/>
      <c r="P1448" s="751"/>
      <c r="Q1448" s="751"/>
      <c r="R1448" s="751"/>
      <c r="S1448" s="751"/>
      <c r="T1448" s="751"/>
      <c r="U1448" s="751"/>
      <c r="V1448" s="751"/>
      <c r="W1448" s="751"/>
      <c r="X1448" s="751"/>
      <c r="Y1448" s="751"/>
      <c r="Z1448" s="751"/>
      <c r="AA1448" s="751"/>
      <c r="AB1448" s="751"/>
      <c r="AC1448" s="751"/>
      <c r="AD1448" s="751"/>
      <c r="AE1448" s="751"/>
      <c r="AF1448" s="751"/>
      <c r="AG1448" s="751"/>
    </row>
    <row r="1449" spans="4:33">
      <c r="D1449" s="751"/>
      <c r="E1449" s="751"/>
      <c r="F1449" s="751"/>
      <c r="G1449" s="751"/>
      <c r="H1449" s="751"/>
      <c r="I1449" s="751"/>
      <c r="J1449" s="751"/>
      <c r="K1449" s="751"/>
      <c r="L1449" s="751"/>
      <c r="M1449" s="751"/>
      <c r="N1449" s="751"/>
      <c r="O1449" s="751"/>
      <c r="P1449" s="751"/>
      <c r="Q1449" s="751"/>
      <c r="R1449" s="751"/>
      <c r="S1449" s="751"/>
      <c r="T1449" s="751"/>
      <c r="U1449" s="751"/>
      <c r="V1449" s="751"/>
      <c r="W1449" s="751"/>
      <c r="X1449" s="751"/>
      <c r="Y1449" s="751"/>
      <c r="Z1449" s="751"/>
      <c r="AA1449" s="751"/>
      <c r="AB1449" s="751"/>
      <c r="AC1449" s="751"/>
      <c r="AD1449" s="751"/>
      <c r="AE1449" s="751"/>
      <c r="AF1449" s="751"/>
      <c r="AG1449" s="751"/>
    </row>
    <row r="1450" spans="4:33">
      <c r="D1450" s="751"/>
      <c r="E1450" s="751"/>
      <c r="F1450" s="751"/>
      <c r="G1450" s="751"/>
      <c r="H1450" s="751"/>
      <c r="I1450" s="751"/>
      <c r="J1450" s="751"/>
      <c r="K1450" s="751"/>
      <c r="L1450" s="751"/>
      <c r="M1450" s="751"/>
      <c r="N1450" s="751"/>
      <c r="O1450" s="751"/>
      <c r="P1450" s="751"/>
      <c r="Q1450" s="751"/>
      <c r="R1450" s="751"/>
      <c r="S1450" s="751"/>
      <c r="T1450" s="751"/>
      <c r="U1450" s="751"/>
      <c r="V1450" s="751"/>
      <c r="W1450" s="751"/>
      <c r="X1450" s="751"/>
      <c r="Y1450" s="751"/>
      <c r="Z1450" s="751"/>
      <c r="AA1450" s="751"/>
      <c r="AB1450" s="751"/>
      <c r="AC1450" s="751"/>
      <c r="AD1450" s="751"/>
      <c r="AE1450" s="751"/>
      <c r="AF1450" s="751"/>
      <c r="AG1450" s="751"/>
    </row>
    <row r="1451" spans="4:33">
      <c r="D1451" s="751"/>
      <c r="E1451" s="751"/>
      <c r="F1451" s="751"/>
      <c r="G1451" s="751"/>
      <c r="H1451" s="751"/>
      <c r="I1451" s="751"/>
      <c r="J1451" s="751"/>
      <c r="K1451" s="751"/>
      <c r="L1451" s="751"/>
      <c r="M1451" s="751"/>
      <c r="N1451" s="751"/>
      <c r="O1451" s="751"/>
      <c r="P1451" s="751"/>
      <c r="Q1451" s="751"/>
      <c r="R1451" s="751"/>
      <c r="S1451" s="751"/>
      <c r="T1451" s="751"/>
      <c r="U1451" s="751"/>
      <c r="V1451" s="751"/>
      <c r="W1451" s="751"/>
      <c r="X1451" s="751"/>
      <c r="Y1451" s="751"/>
      <c r="Z1451" s="751"/>
      <c r="AA1451" s="751"/>
      <c r="AB1451" s="751"/>
      <c r="AC1451" s="751"/>
      <c r="AD1451" s="751"/>
      <c r="AE1451" s="751"/>
      <c r="AF1451" s="751"/>
      <c r="AG1451" s="751"/>
    </row>
    <row r="1452" spans="4:33">
      <c r="D1452" s="751"/>
      <c r="E1452" s="751"/>
      <c r="F1452" s="751"/>
      <c r="G1452" s="751"/>
      <c r="H1452" s="751"/>
      <c r="I1452" s="751"/>
      <c r="J1452" s="751"/>
      <c r="K1452" s="751"/>
      <c r="L1452" s="751"/>
      <c r="M1452" s="751"/>
      <c r="N1452" s="751"/>
      <c r="O1452" s="751"/>
      <c r="P1452" s="751"/>
      <c r="Q1452" s="751"/>
      <c r="R1452" s="751"/>
      <c r="S1452" s="751"/>
      <c r="T1452" s="751"/>
      <c r="U1452" s="751"/>
      <c r="V1452" s="751"/>
      <c r="W1452" s="751"/>
      <c r="X1452" s="751"/>
      <c r="Y1452" s="751"/>
      <c r="Z1452" s="751"/>
      <c r="AA1452" s="751"/>
      <c r="AB1452" s="751"/>
      <c r="AC1452" s="751"/>
      <c r="AD1452" s="751"/>
      <c r="AE1452" s="751"/>
      <c r="AF1452" s="751"/>
      <c r="AG1452" s="751"/>
    </row>
    <row r="1453" spans="4:33">
      <c r="D1453" s="751"/>
      <c r="E1453" s="751"/>
      <c r="F1453" s="751"/>
      <c r="G1453" s="751"/>
      <c r="H1453" s="751"/>
      <c r="I1453" s="751"/>
      <c r="J1453" s="751"/>
      <c r="K1453" s="751"/>
      <c r="L1453" s="751"/>
      <c r="M1453" s="751"/>
      <c r="N1453" s="751"/>
      <c r="O1453" s="751"/>
      <c r="P1453" s="751"/>
      <c r="Q1453" s="751"/>
      <c r="R1453" s="751"/>
      <c r="S1453" s="751"/>
      <c r="T1453" s="751"/>
      <c r="U1453" s="751"/>
      <c r="V1453" s="751"/>
      <c r="W1453" s="751"/>
      <c r="X1453" s="751"/>
      <c r="Y1453" s="751"/>
      <c r="Z1453" s="751"/>
      <c r="AA1453" s="751"/>
      <c r="AB1453" s="751"/>
      <c r="AC1453" s="751"/>
      <c r="AD1453" s="751"/>
      <c r="AE1453" s="751"/>
      <c r="AF1453" s="751"/>
      <c r="AG1453" s="751"/>
    </row>
    <row r="1454" spans="4:33">
      <c r="D1454" s="751"/>
      <c r="E1454" s="751"/>
      <c r="F1454" s="751"/>
      <c r="G1454" s="751"/>
      <c r="H1454" s="751"/>
      <c r="I1454" s="751"/>
      <c r="J1454" s="751"/>
      <c r="K1454" s="751"/>
      <c r="L1454" s="751"/>
      <c r="M1454" s="751"/>
      <c r="N1454" s="751"/>
      <c r="O1454" s="751"/>
      <c r="P1454" s="751"/>
      <c r="Q1454" s="751"/>
      <c r="R1454" s="751"/>
      <c r="S1454" s="751"/>
      <c r="T1454" s="751"/>
      <c r="U1454" s="751"/>
      <c r="V1454" s="751"/>
      <c r="W1454" s="751"/>
      <c r="X1454" s="751"/>
      <c r="Y1454" s="751"/>
      <c r="Z1454" s="751"/>
      <c r="AA1454" s="751"/>
      <c r="AB1454" s="751"/>
      <c r="AC1454" s="751"/>
      <c r="AD1454" s="751"/>
      <c r="AE1454" s="751"/>
      <c r="AF1454" s="751"/>
      <c r="AG1454" s="751"/>
    </row>
    <row r="1455" spans="4:33">
      <c r="D1455" s="751"/>
      <c r="E1455" s="751"/>
      <c r="F1455" s="751"/>
      <c r="G1455" s="751"/>
      <c r="H1455" s="751"/>
      <c r="I1455" s="751"/>
      <c r="J1455" s="751"/>
      <c r="K1455" s="751"/>
      <c r="L1455" s="751"/>
      <c r="M1455" s="751"/>
      <c r="N1455" s="751"/>
      <c r="O1455" s="751"/>
      <c r="P1455" s="751"/>
      <c r="Q1455" s="751"/>
      <c r="R1455" s="751"/>
      <c r="S1455" s="751"/>
      <c r="T1455" s="751"/>
      <c r="U1455" s="751"/>
      <c r="V1455" s="751"/>
      <c r="W1455" s="751"/>
      <c r="X1455" s="751"/>
      <c r="Y1455" s="751"/>
      <c r="Z1455" s="751"/>
      <c r="AA1455" s="751"/>
      <c r="AB1455" s="751"/>
      <c r="AC1455" s="751"/>
      <c r="AD1455" s="751"/>
      <c r="AE1455" s="751"/>
      <c r="AF1455" s="751"/>
      <c r="AG1455" s="751"/>
    </row>
    <row r="1456" spans="4:33">
      <c r="D1456" s="751"/>
      <c r="E1456" s="751"/>
      <c r="F1456" s="751"/>
      <c r="G1456" s="751"/>
      <c r="H1456" s="751"/>
      <c r="I1456" s="751"/>
      <c r="J1456" s="751"/>
      <c r="K1456" s="751"/>
      <c r="L1456" s="751"/>
      <c r="M1456" s="751"/>
      <c r="N1456" s="751"/>
      <c r="O1456" s="751"/>
      <c r="P1456" s="751"/>
      <c r="Q1456" s="751"/>
      <c r="R1456" s="751"/>
      <c r="S1456" s="751"/>
      <c r="T1456" s="751"/>
      <c r="U1456" s="751"/>
      <c r="V1456" s="751"/>
      <c r="W1456" s="751"/>
      <c r="X1456" s="751"/>
      <c r="Y1456" s="751"/>
      <c r="Z1456" s="751"/>
      <c r="AA1456" s="751"/>
      <c r="AB1456" s="751"/>
      <c r="AC1456" s="751"/>
      <c r="AD1456" s="751"/>
      <c r="AE1456" s="751"/>
      <c r="AF1456" s="751"/>
      <c r="AG1456" s="751"/>
    </row>
    <row r="1457" spans="4:33">
      <c r="D1457" s="751"/>
      <c r="E1457" s="751"/>
      <c r="F1457" s="751"/>
      <c r="G1457" s="751"/>
      <c r="H1457" s="751"/>
      <c r="I1457" s="751"/>
      <c r="J1457" s="751"/>
      <c r="K1457" s="751"/>
      <c r="L1457" s="751"/>
      <c r="M1457" s="751"/>
      <c r="N1457" s="751"/>
      <c r="O1457" s="751"/>
      <c r="P1457" s="751"/>
      <c r="Q1457" s="751"/>
      <c r="R1457" s="751"/>
      <c r="S1457" s="751"/>
      <c r="T1457" s="751"/>
      <c r="U1457" s="751"/>
      <c r="V1457" s="751"/>
      <c r="W1457" s="751"/>
      <c r="X1457" s="751"/>
      <c r="Y1457" s="751"/>
      <c r="Z1457" s="751"/>
      <c r="AA1457" s="751"/>
      <c r="AB1457" s="751"/>
      <c r="AC1457" s="751"/>
      <c r="AD1457" s="751"/>
      <c r="AE1457" s="751"/>
      <c r="AF1457" s="751"/>
      <c r="AG1457" s="751"/>
    </row>
    <row r="1458" spans="4:33">
      <c r="D1458" s="751"/>
      <c r="E1458" s="751"/>
      <c r="F1458" s="751"/>
      <c r="G1458" s="751"/>
      <c r="H1458" s="751"/>
      <c r="I1458" s="751"/>
      <c r="J1458" s="751"/>
      <c r="K1458" s="751"/>
      <c r="L1458" s="751"/>
      <c r="M1458" s="751"/>
      <c r="N1458" s="751"/>
      <c r="O1458" s="751"/>
      <c r="P1458" s="751"/>
      <c r="Q1458" s="751"/>
      <c r="R1458" s="751"/>
      <c r="S1458" s="751"/>
      <c r="T1458" s="751"/>
      <c r="U1458" s="751"/>
      <c r="V1458" s="751"/>
      <c r="W1458" s="751"/>
      <c r="X1458" s="751"/>
      <c r="Y1458" s="751"/>
      <c r="Z1458" s="751"/>
      <c r="AA1458" s="751"/>
      <c r="AB1458" s="751"/>
      <c r="AC1458" s="751"/>
      <c r="AD1458" s="751"/>
      <c r="AE1458" s="751"/>
      <c r="AF1458" s="751"/>
      <c r="AG1458" s="751"/>
    </row>
    <row r="1459" spans="4:33">
      <c r="D1459" s="751"/>
      <c r="E1459" s="751"/>
      <c r="F1459" s="751"/>
      <c r="G1459" s="751"/>
      <c r="H1459" s="751"/>
      <c r="I1459" s="751"/>
      <c r="J1459" s="751"/>
      <c r="K1459" s="751"/>
      <c r="L1459" s="751"/>
      <c r="M1459" s="751"/>
      <c r="N1459" s="751"/>
      <c r="O1459" s="751"/>
      <c r="P1459" s="751"/>
      <c r="Q1459" s="751"/>
      <c r="R1459" s="751"/>
      <c r="S1459" s="751"/>
      <c r="T1459" s="751"/>
      <c r="U1459" s="751"/>
      <c r="V1459" s="751"/>
      <c r="W1459" s="751"/>
      <c r="X1459" s="751"/>
      <c r="Y1459" s="751"/>
      <c r="Z1459" s="751"/>
      <c r="AA1459" s="751"/>
      <c r="AB1459" s="751"/>
      <c r="AC1459" s="751"/>
      <c r="AD1459" s="751"/>
      <c r="AE1459" s="751"/>
      <c r="AF1459" s="751"/>
      <c r="AG1459" s="751"/>
    </row>
    <row r="1460" spans="4:33">
      <c r="D1460" s="751"/>
      <c r="E1460" s="751"/>
      <c r="F1460" s="751"/>
      <c r="G1460" s="751"/>
      <c r="H1460" s="751"/>
      <c r="I1460" s="751"/>
      <c r="J1460" s="751"/>
      <c r="K1460" s="751"/>
      <c r="L1460" s="751"/>
      <c r="M1460" s="751"/>
      <c r="N1460" s="751"/>
      <c r="O1460" s="751"/>
      <c r="P1460" s="751"/>
      <c r="Q1460" s="751"/>
      <c r="R1460" s="751"/>
      <c r="S1460" s="751"/>
      <c r="T1460" s="751"/>
      <c r="U1460" s="751"/>
      <c r="V1460" s="751"/>
      <c r="W1460" s="751"/>
      <c r="X1460" s="751"/>
      <c r="Y1460" s="751"/>
      <c r="Z1460" s="751"/>
      <c r="AA1460" s="751"/>
      <c r="AB1460" s="751"/>
      <c r="AC1460" s="751"/>
      <c r="AD1460" s="751"/>
      <c r="AE1460" s="751"/>
      <c r="AF1460" s="751"/>
      <c r="AG1460" s="751"/>
    </row>
    <row r="1461" spans="4:33">
      <c r="D1461" s="751"/>
      <c r="E1461" s="751"/>
      <c r="F1461" s="751"/>
      <c r="G1461" s="751"/>
      <c r="H1461" s="751"/>
      <c r="I1461" s="751"/>
      <c r="J1461" s="751"/>
      <c r="K1461" s="751"/>
      <c r="L1461" s="751"/>
      <c r="M1461" s="751"/>
      <c r="N1461" s="751"/>
      <c r="O1461" s="751"/>
      <c r="P1461" s="751"/>
      <c r="Q1461" s="751"/>
      <c r="R1461" s="751"/>
      <c r="S1461" s="751"/>
      <c r="T1461" s="751"/>
      <c r="U1461" s="751"/>
      <c r="V1461" s="751"/>
      <c r="W1461" s="751"/>
      <c r="X1461" s="751"/>
      <c r="Y1461" s="751"/>
      <c r="Z1461" s="751"/>
      <c r="AA1461" s="751"/>
      <c r="AB1461" s="751"/>
      <c r="AC1461" s="751"/>
      <c r="AD1461" s="751"/>
      <c r="AE1461" s="751"/>
      <c r="AF1461" s="751"/>
      <c r="AG1461" s="751"/>
    </row>
    <row r="1462" spans="4:33">
      <c r="D1462" s="751"/>
      <c r="E1462" s="751"/>
      <c r="F1462" s="751"/>
      <c r="G1462" s="751"/>
      <c r="H1462" s="751"/>
      <c r="I1462" s="751"/>
      <c r="J1462" s="751"/>
      <c r="K1462" s="751"/>
      <c r="L1462" s="751"/>
      <c r="M1462" s="751"/>
      <c r="N1462" s="751"/>
      <c r="O1462" s="751"/>
      <c r="P1462" s="751"/>
      <c r="Q1462" s="751"/>
      <c r="R1462" s="751"/>
      <c r="S1462" s="751"/>
      <c r="T1462" s="751"/>
      <c r="U1462" s="751"/>
      <c r="V1462" s="751"/>
      <c r="W1462" s="751"/>
      <c r="X1462" s="751"/>
      <c r="Y1462" s="751"/>
      <c r="Z1462" s="751"/>
      <c r="AA1462" s="751"/>
      <c r="AB1462" s="751"/>
      <c r="AC1462" s="751"/>
      <c r="AD1462" s="751"/>
      <c r="AE1462" s="751"/>
      <c r="AF1462" s="751"/>
      <c r="AG1462" s="751"/>
    </row>
    <row r="1463" spans="4:33">
      <c r="D1463" s="751"/>
      <c r="E1463" s="751"/>
      <c r="F1463" s="751"/>
      <c r="G1463" s="751"/>
      <c r="H1463" s="751"/>
      <c r="I1463" s="751"/>
      <c r="J1463" s="751"/>
      <c r="K1463" s="751"/>
      <c r="L1463" s="751"/>
      <c r="M1463" s="751"/>
      <c r="N1463" s="751"/>
      <c r="O1463" s="751"/>
      <c r="P1463" s="751"/>
      <c r="Q1463" s="751"/>
      <c r="R1463" s="751"/>
      <c r="S1463" s="751"/>
      <c r="T1463" s="751"/>
      <c r="U1463" s="751"/>
      <c r="V1463" s="751"/>
      <c r="W1463" s="751"/>
      <c r="X1463" s="751"/>
      <c r="Y1463" s="751"/>
      <c r="Z1463" s="751"/>
      <c r="AA1463" s="751"/>
      <c r="AB1463" s="751"/>
      <c r="AC1463" s="751"/>
      <c r="AD1463" s="751"/>
      <c r="AE1463" s="751"/>
      <c r="AF1463" s="751"/>
      <c r="AG1463" s="751"/>
    </row>
    <row r="1464" spans="4:33">
      <c r="D1464" s="751"/>
      <c r="E1464" s="751"/>
      <c r="F1464" s="751"/>
      <c r="G1464" s="751"/>
      <c r="H1464" s="751"/>
      <c r="I1464" s="751"/>
      <c r="J1464" s="751"/>
      <c r="K1464" s="751"/>
      <c r="L1464" s="751"/>
      <c r="M1464" s="751"/>
      <c r="N1464" s="751"/>
      <c r="O1464" s="751"/>
      <c r="P1464" s="751"/>
      <c r="Q1464" s="751"/>
      <c r="R1464" s="751"/>
      <c r="S1464" s="751"/>
      <c r="T1464" s="751"/>
      <c r="U1464" s="751"/>
      <c r="V1464" s="751"/>
      <c r="W1464" s="751"/>
      <c r="X1464" s="751"/>
      <c r="Y1464" s="751"/>
      <c r="Z1464" s="751"/>
      <c r="AA1464" s="751"/>
      <c r="AB1464" s="751"/>
      <c r="AC1464" s="751"/>
      <c r="AD1464" s="751"/>
      <c r="AE1464" s="751"/>
      <c r="AF1464" s="751"/>
      <c r="AG1464" s="751"/>
    </row>
    <row r="1465" spans="4:33">
      <c r="D1465" s="751"/>
      <c r="E1465" s="751"/>
      <c r="F1465" s="751"/>
      <c r="G1465" s="751"/>
      <c r="H1465" s="751"/>
      <c r="I1465" s="751"/>
      <c r="J1465" s="751"/>
      <c r="K1465" s="751"/>
      <c r="L1465" s="751"/>
      <c r="M1465" s="751"/>
      <c r="N1465" s="751"/>
      <c r="O1465" s="751"/>
      <c r="P1465" s="751"/>
      <c r="Q1465" s="751"/>
      <c r="R1465" s="751"/>
      <c r="S1465" s="751"/>
      <c r="T1465" s="751"/>
      <c r="U1465" s="751"/>
      <c r="V1465" s="751"/>
      <c r="W1465" s="751"/>
      <c r="X1465" s="751"/>
      <c r="Y1465" s="751"/>
      <c r="Z1465" s="751"/>
      <c r="AA1465" s="751"/>
      <c r="AB1465" s="751"/>
      <c r="AC1465" s="751"/>
      <c r="AD1465" s="751"/>
      <c r="AE1465" s="751"/>
      <c r="AF1465" s="751"/>
      <c r="AG1465" s="751"/>
    </row>
    <row r="1466" spans="4:33">
      <c r="D1466" s="751"/>
      <c r="E1466" s="751"/>
      <c r="F1466" s="751"/>
      <c r="G1466" s="751"/>
      <c r="H1466" s="751"/>
      <c r="I1466" s="751"/>
      <c r="J1466" s="751"/>
      <c r="K1466" s="751"/>
      <c r="L1466" s="751"/>
      <c r="M1466" s="751"/>
      <c r="N1466" s="751"/>
      <c r="O1466" s="751"/>
      <c r="P1466" s="751"/>
      <c r="Q1466" s="751"/>
      <c r="R1466" s="751"/>
      <c r="S1466" s="751"/>
      <c r="T1466" s="751"/>
      <c r="U1466" s="751"/>
      <c r="V1466" s="751"/>
      <c r="W1466" s="751"/>
      <c r="X1466" s="751"/>
      <c r="Y1466" s="751"/>
      <c r="Z1466" s="751"/>
      <c r="AA1466" s="751"/>
      <c r="AB1466" s="751"/>
      <c r="AC1466" s="751"/>
      <c r="AD1466" s="751"/>
      <c r="AE1466" s="751"/>
      <c r="AF1466" s="751"/>
      <c r="AG1466" s="751"/>
    </row>
    <row r="1467" spans="4:33">
      <c r="D1467" s="751"/>
      <c r="E1467" s="751"/>
      <c r="F1467" s="751"/>
      <c r="G1467" s="751"/>
      <c r="H1467" s="751"/>
      <c r="I1467" s="751"/>
      <c r="J1467" s="751"/>
      <c r="K1467" s="751"/>
      <c r="L1467" s="751"/>
      <c r="M1467" s="751"/>
      <c r="N1467" s="751"/>
      <c r="O1467" s="751"/>
      <c r="P1467" s="751"/>
      <c r="Q1467" s="751"/>
      <c r="R1467" s="751"/>
      <c r="S1467" s="751"/>
      <c r="T1467" s="751"/>
      <c r="U1467" s="751"/>
      <c r="V1467" s="751"/>
      <c r="W1467" s="751"/>
      <c r="X1467" s="751"/>
      <c r="Y1467" s="751"/>
      <c r="Z1467" s="751"/>
      <c r="AA1467" s="751"/>
      <c r="AB1467" s="751"/>
      <c r="AC1467" s="751"/>
      <c r="AD1467" s="751"/>
      <c r="AE1467" s="751"/>
      <c r="AF1467" s="751"/>
      <c r="AG1467" s="751"/>
    </row>
    <row r="1468" spans="4:33">
      <c r="D1468" s="751"/>
      <c r="E1468" s="751"/>
      <c r="F1468" s="751"/>
      <c r="G1468" s="751"/>
      <c r="H1468" s="751"/>
      <c r="I1468" s="751"/>
      <c r="J1468" s="751"/>
      <c r="K1468" s="751"/>
      <c r="L1468" s="751"/>
      <c r="M1468" s="751"/>
      <c r="N1468" s="751"/>
      <c r="O1468" s="751"/>
      <c r="P1468" s="751"/>
      <c r="Q1468" s="751"/>
      <c r="R1468" s="751"/>
      <c r="S1468" s="751"/>
      <c r="T1468" s="751"/>
      <c r="U1468" s="751"/>
      <c r="V1468" s="751"/>
      <c r="W1468" s="751"/>
      <c r="X1468" s="751"/>
      <c r="Y1468" s="751"/>
      <c r="Z1468" s="751"/>
      <c r="AA1468" s="751"/>
      <c r="AB1468" s="751"/>
      <c r="AC1468" s="751"/>
      <c r="AD1468" s="751"/>
      <c r="AE1468" s="751"/>
      <c r="AF1468" s="751"/>
      <c r="AG1468" s="751"/>
    </row>
    <row r="1469" spans="4:33">
      <c r="D1469" s="751"/>
      <c r="E1469" s="751"/>
      <c r="F1469" s="751"/>
      <c r="G1469" s="751"/>
      <c r="H1469" s="751"/>
      <c r="I1469" s="751"/>
      <c r="J1469" s="751"/>
      <c r="K1469" s="751"/>
      <c r="L1469" s="751"/>
      <c r="M1469" s="751"/>
      <c r="N1469" s="751"/>
      <c r="O1469" s="751"/>
      <c r="P1469" s="751"/>
      <c r="Q1469" s="751"/>
      <c r="R1469" s="751"/>
      <c r="S1469" s="751"/>
      <c r="T1469" s="751"/>
      <c r="U1469" s="751"/>
      <c r="V1469" s="751"/>
      <c r="W1469" s="751"/>
      <c r="X1469" s="751"/>
      <c r="Y1469" s="751"/>
      <c r="Z1469" s="751"/>
      <c r="AA1469" s="751"/>
      <c r="AB1469" s="751"/>
      <c r="AC1469" s="751"/>
      <c r="AD1469" s="751"/>
      <c r="AE1469" s="751"/>
      <c r="AF1469" s="751"/>
      <c r="AG1469" s="751"/>
    </row>
    <row r="1470" spans="4:33">
      <c r="D1470" s="751"/>
      <c r="E1470" s="751"/>
      <c r="F1470" s="751"/>
      <c r="G1470" s="751"/>
      <c r="H1470" s="751"/>
      <c r="I1470" s="751"/>
      <c r="J1470" s="751"/>
      <c r="K1470" s="751"/>
      <c r="L1470" s="751"/>
      <c r="M1470" s="751"/>
      <c r="N1470" s="751"/>
      <c r="O1470" s="751"/>
      <c r="P1470" s="751"/>
      <c r="Q1470" s="751"/>
      <c r="R1470" s="751"/>
      <c r="S1470" s="751"/>
      <c r="T1470" s="751"/>
      <c r="U1470" s="751"/>
      <c r="V1470" s="751"/>
      <c r="W1470" s="751"/>
      <c r="X1470" s="751"/>
      <c r="Y1470" s="751"/>
      <c r="Z1470" s="751"/>
      <c r="AA1470" s="751"/>
      <c r="AB1470" s="751"/>
      <c r="AC1470" s="751"/>
      <c r="AD1470" s="751"/>
      <c r="AE1470" s="751"/>
      <c r="AF1470" s="751"/>
      <c r="AG1470" s="751"/>
    </row>
    <row r="1471" spans="4:33">
      <c r="D1471" s="751"/>
      <c r="E1471" s="751"/>
      <c r="F1471" s="751"/>
      <c r="G1471" s="751"/>
      <c r="H1471" s="751"/>
      <c r="I1471" s="751"/>
      <c r="J1471" s="751"/>
      <c r="K1471" s="751"/>
      <c r="L1471" s="751"/>
      <c r="M1471" s="751"/>
      <c r="N1471" s="751"/>
      <c r="O1471" s="751"/>
      <c r="P1471" s="751"/>
      <c r="Q1471" s="751"/>
      <c r="R1471" s="751"/>
      <c r="S1471" s="751"/>
      <c r="T1471" s="751"/>
      <c r="U1471" s="751"/>
      <c r="V1471" s="751"/>
      <c r="W1471" s="751"/>
      <c r="X1471" s="751"/>
      <c r="Y1471" s="751"/>
      <c r="Z1471" s="751"/>
      <c r="AA1471" s="751"/>
      <c r="AB1471" s="751"/>
      <c r="AC1471" s="751"/>
      <c r="AD1471" s="751"/>
      <c r="AE1471" s="751"/>
      <c r="AF1471" s="751"/>
      <c r="AG1471" s="751"/>
    </row>
    <row r="1472" spans="4:33">
      <c r="D1472" s="751"/>
      <c r="E1472" s="751"/>
      <c r="F1472" s="751"/>
      <c r="G1472" s="751"/>
      <c r="H1472" s="751"/>
      <c r="I1472" s="751"/>
      <c r="J1472" s="751"/>
      <c r="K1472" s="751"/>
      <c r="L1472" s="751"/>
      <c r="M1472" s="751"/>
      <c r="N1472" s="751"/>
      <c r="O1472" s="751"/>
      <c r="P1472" s="751"/>
      <c r="Q1472" s="751"/>
      <c r="R1472" s="751"/>
      <c r="S1472" s="751"/>
      <c r="T1472" s="751"/>
      <c r="U1472" s="751"/>
      <c r="V1472" s="751"/>
      <c r="W1472" s="751"/>
      <c r="X1472" s="751"/>
      <c r="Y1472" s="751"/>
      <c r="Z1472" s="751"/>
      <c r="AA1472" s="751"/>
      <c r="AB1472" s="751"/>
      <c r="AC1472" s="751"/>
      <c r="AD1472" s="751"/>
      <c r="AE1472" s="751"/>
      <c r="AF1472" s="751"/>
      <c r="AG1472" s="751"/>
    </row>
    <row r="1473" spans="4:33">
      <c r="D1473" s="751"/>
      <c r="E1473" s="751"/>
      <c r="F1473" s="751"/>
      <c r="G1473" s="751"/>
      <c r="H1473" s="751"/>
      <c r="I1473" s="751"/>
      <c r="J1473" s="751"/>
      <c r="K1473" s="751"/>
      <c r="L1473" s="751"/>
      <c r="M1473" s="751"/>
      <c r="N1473" s="751"/>
      <c r="O1473" s="751"/>
      <c r="P1473" s="751"/>
      <c r="Q1473" s="751"/>
      <c r="R1473" s="751"/>
      <c r="S1473" s="751"/>
      <c r="T1473" s="751"/>
      <c r="U1473" s="751"/>
      <c r="V1473" s="751"/>
      <c r="W1473" s="751"/>
      <c r="X1473" s="751"/>
      <c r="Y1473" s="751"/>
      <c r="Z1473" s="751"/>
      <c r="AA1473" s="751"/>
      <c r="AB1473" s="751"/>
      <c r="AC1473" s="751"/>
      <c r="AD1473" s="751"/>
      <c r="AE1473" s="751"/>
      <c r="AF1473" s="751"/>
      <c r="AG1473" s="751"/>
    </row>
    <row r="1474" spans="4:33">
      <c r="D1474" s="751"/>
      <c r="E1474" s="751"/>
      <c r="F1474" s="751"/>
      <c r="G1474" s="751"/>
      <c r="H1474" s="751"/>
      <c r="I1474" s="751"/>
      <c r="J1474" s="751"/>
      <c r="K1474" s="751"/>
      <c r="L1474" s="751"/>
      <c r="M1474" s="751"/>
      <c r="N1474" s="751"/>
      <c r="O1474" s="751"/>
      <c r="P1474" s="751"/>
      <c r="Q1474" s="751"/>
      <c r="R1474" s="751"/>
      <c r="S1474" s="751"/>
      <c r="T1474" s="751"/>
      <c r="U1474" s="751"/>
      <c r="V1474" s="751"/>
      <c r="W1474" s="751"/>
      <c r="X1474" s="751"/>
      <c r="Y1474" s="751"/>
      <c r="Z1474" s="751"/>
      <c r="AA1474" s="751"/>
      <c r="AB1474" s="751"/>
      <c r="AC1474" s="751"/>
      <c r="AD1474" s="751"/>
      <c r="AE1474" s="751"/>
      <c r="AF1474" s="751"/>
      <c r="AG1474" s="751"/>
    </row>
    <row r="1475" spans="4:33">
      <c r="D1475" s="751"/>
      <c r="E1475" s="751"/>
      <c r="F1475" s="751"/>
      <c r="G1475" s="751"/>
      <c r="H1475" s="751"/>
      <c r="I1475" s="751"/>
      <c r="J1475" s="751"/>
      <c r="K1475" s="751"/>
      <c r="L1475" s="751"/>
      <c r="M1475" s="751"/>
      <c r="N1475" s="751"/>
      <c r="O1475" s="751"/>
      <c r="P1475" s="751"/>
      <c r="Q1475" s="751"/>
      <c r="R1475" s="751"/>
      <c r="S1475" s="751"/>
      <c r="T1475" s="751"/>
      <c r="U1475" s="751"/>
      <c r="V1475" s="751"/>
      <c r="W1475" s="751"/>
      <c r="X1475" s="751"/>
      <c r="Y1475" s="751"/>
      <c r="Z1475" s="751"/>
      <c r="AA1475" s="751"/>
      <c r="AB1475" s="751"/>
      <c r="AC1475" s="751"/>
      <c r="AD1475" s="751"/>
      <c r="AE1475" s="751"/>
      <c r="AF1475" s="751"/>
      <c r="AG1475" s="751"/>
    </row>
    <row r="1476" spans="4:33">
      <c r="D1476" s="751"/>
      <c r="E1476" s="751"/>
      <c r="F1476" s="751"/>
      <c r="G1476" s="751"/>
      <c r="H1476" s="751"/>
      <c r="I1476" s="751"/>
      <c r="J1476" s="751"/>
      <c r="K1476" s="751"/>
      <c r="L1476" s="751"/>
      <c r="M1476" s="751"/>
      <c r="N1476" s="751"/>
      <c r="O1476" s="751"/>
      <c r="P1476" s="751"/>
      <c r="Q1476" s="751"/>
      <c r="R1476" s="751"/>
      <c r="S1476" s="751"/>
      <c r="T1476" s="751"/>
      <c r="U1476" s="751"/>
      <c r="V1476" s="751"/>
      <c r="W1476" s="751"/>
      <c r="X1476" s="751"/>
      <c r="Y1476" s="751"/>
      <c r="Z1476" s="751"/>
      <c r="AA1476" s="751"/>
      <c r="AB1476" s="751"/>
      <c r="AC1476" s="751"/>
      <c r="AD1476" s="751"/>
      <c r="AE1476" s="751"/>
      <c r="AF1476" s="751"/>
      <c r="AG1476" s="751"/>
    </row>
    <row r="1477" spans="4:33">
      <c r="D1477" s="751"/>
      <c r="E1477" s="751"/>
      <c r="F1477" s="751"/>
      <c r="G1477" s="751"/>
      <c r="H1477" s="751"/>
      <c r="I1477" s="751"/>
      <c r="J1477" s="751"/>
      <c r="K1477" s="751"/>
      <c r="L1477" s="751"/>
      <c r="M1477" s="751"/>
      <c r="N1477" s="751"/>
      <c r="O1477" s="751"/>
      <c r="P1477" s="751"/>
      <c r="Q1477" s="751"/>
      <c r="R1477" s="751"/>
      <c r="S1477" s="751"/>
      <c r="T1477" s="751"/>
      <c r="U1477" s="751"/>
      <c r="V1477" s="751"/>
      <c r="W1477" s="751"/>
      <c r="X1477" s="751"/>
      <c r="Y1477" s="751"/>
      <c r="Z1477" s="751"/>
      <c r="AA1477" s="751"/>
      <c r="AB1477" s="751"/>
      <c r="AC1477" s="751"/>
      <c r="AD1477" s="751"/>
      <c r="AE1477" s="751"/>
      <c r="AF1477" s="751"/>
      <c r="AG1477" s="751"/>
    </row>
    <row r="1478" spans="4:33">
      <c r="D1478" s="751"/>
      <c r="E1478" s="751"/>
      <c r="F1478" s="751"/>
      <c r="G1478" s="751"/>
      <c r="H1478" s="751"/>
      <c r="I1478" s="751"/>
      <c r="J1478" s="751"/>
      <c r="K1478" s="751"/>
      <c r="L1478" s="751"/>
      <c r="M1478" s="751"/>
      <c r="N1478" s="751"/>
      <c r="O1478" s="751"/>
      <c r="P1478" s="751"/>
      <c r="Q1478" s="751"/>
      <c r="R1478" s="751"/>
      <c r="S1478" s="751"/>
      <c r="T1478" s="751"/>
      <c r="U1478" s="751"/>
      <c r="V1478" s="751"/>
      <c r="W1478" s="751"/>
      <c r="X1478" s="751"/>
      <c r="Y1478" s="751"/>
      <c r="Z1478" s="751"/>
      <c r="AA1478" s="751"/>
      <c r="AB1478" s="751"/>
      <c r="AC1478" s="751"/>
      <c r="AD1478" s="751"/>
      <c r="AE1478" s="751"/>
      <c r="AF1478" s="751"/>
      <c r="AG1478" s="751"/>
    </row>
    <row r="1479" spans="4:33">
      <c r="D1479" s="751"/>
      <c r="E1479" s="751"/>
      <c r="F1479" s="751"/>
      <c r="G1479" s="751"/>
      <c r="H1479" s="751"/>
      <c r="I1479" s="751"/>
      <c r="J1479" s="751"/>
      <c r="K1479" s="751"/>
      <c r="L1479" s="751"/>
      <c r="M1479" s="751"/>
      <c r="N1479" s="751"/>
      <c r="O1479" s="751"/>
      <c r="P1479" s="751"/>
      <c r="Q1479" s="751"/>
      <c r="R1479" s="751"/>
      <c r="S1479" s="751"/>
      <c r="T1479" s="751"/>
      <c r="U1479" s="751"/>
      <c r="V1479" s="751"/>
      <c r="W1479" s="751"/>
      <c r="X1479" s="751"/>
      <c r="Y1479" s="751"/>
      <c r="Z1479" s="751"/>
      <c r="AA1479" s="751"/>
      <c r="AB1479" s="751"/>
      <c r="AC1479" s="751"/>
      <c r="AD1479" s="751"/>
      <c r="AE1479" s="751"/>
      <c r="AF1479" s="751"/>
      <c r="AG1479" s="751"/>
    </row>
    <row r="1480" spans="4:33">
      <c r="D1480" s="751"/>
      <c r="E1480" s="751"/>
      <c r="F1480" s="751"/>
      <c r="G1480" s="751"/>
      <c r="H1480" s="751"/>
      <c r="I1480" s="751"/>
      <c r="J1480" s="751"/>
      <c r="K1480" s="751"/>
      <c r="L1480" s="751"/>
      <c r="M1480" s="751"/>
      <c r="N1480" s="751"/>
      <c r="O1480" s="751"/>
      <c r="P1480" s="751"/>
      <c r="Q1480" s="751"/>
      <c r="R1480" s="751"/>
      <c r="S1480" s="751"/>
      <c r="T1480" s="751"/>
      <c r="U1480" s="751"/>
      <c r="V1480" s="751"/>
      <c r="W1480" s="751"/>
      <c r="X1480" s="751"/>
      <c r="Y1480" s="751"/>
      <c r="Z1480" s="751"/>
      <c r="AA1480" s="751"/>
      <c r="AB1480" s="751"/>
      <c r="AC1480" s="751"/>
      <c r="AD1480" s="751"/>
      <c r="AE1480" s="751"/>
      <c r="AF1480" s="751"/>
      <c r="AG1480" s="751"/>
    </row>
    <row r="1481" spans="4:33">
      <c r="D1481" s="751"/>
      <c r="E1481" s="751"/>
      <c r="F1481" s="751"/>
      <c r="G1481" s="751"/>
      <c r="H1481" s="751"/>
      <c r="I1481" s="751"/>
      <c r="J1481" s="751"/>
      <c r="K1481" s="751"/>
      <c r="L1481" s="751"/>
      <c r="M1481" s="751"/>
      <c r="N1481" s="751"/>
      <c r="O1481" s="751"/>
      <c r="P1481" s="751"/>
      <c r="Q1481" s="751"/>
      <c r="R1481" s="751"/>
      <c r="S1481" s="751"/>
      <c r="T1481" s="751"/>
      <c r="U1481" s="751"/>
      <c r="V1481" s="751"/>
      <c r="W1481" s="751"/>
      <c r="X1481" s="751"/>
      <c r="Y1481" s="751"/>
      <c r="Z1481" s="751"/>
      <c r="AA1481" s="751"/>
      <c r="AB1481" s="751"/>
      <c r="AC1481" s="751"/>
      <c r="AD1481" s="751"/>
      <c r="AE1481" s="751"/>
      <c r="AF1481" s="751"/>
      <c r="AG1481" s="751"/>
    </row>
    <row r="1482" spans="4:33">
      <c r="D1482" s="751"/>
      <c r="E1482" s="751"/>
      <c r="F1482" s="751"/>
      <c r="G1482" s="751"/>
      <c r="H1482" s="751"/>
      <c r="I1482" s="751"/>
      <c r="J1482" s="751"/>
      <c r="K1482" s="751"/>
      <c r="L1482" s="751"/>
      <c r="M1482" s="751"/>
      <c r="N1482" s="751"/>
      <c r="O1482" s="751"/>
      <c r="P1482" s="751"/>
      <c r="Q1482" s="751"/>
      <c r="R1482" s="751"/>
      <c r="S1482" s="751"/>
      <c r="T1482" s="751"/>
      <c r="U1482" s="751"/>
      <c r="V1482" s="751"/>
      <c r="W1482" s="751"/>
      <c r="X1482" s="751"/>
      <c r="Y1482" s="751"/>
      <c r="Z1482" s="751"/>
      <c r="AA1482" s="751"/>
      <c r="AB1482" s="751"/>
      <c r="AC1482" s="751"/>
      <c r="AD1482" s="751"/>
      <c r="AE1482" s="751"/>
      <c r="AF1482" s="751"/>
      <c r="AG1482" s="751"/>
    </row>
    <row r="1483" spans="4:33">
      <c r="D1483" s="751"/>
      <c r="E1483" s="751"/>
      <c r="F1483" s="751"/>
      <c r="G1483" s="751"/>
      <c r="H1483" s="751"/>
      <c r="I1483" s="751"/>
      <c r="J1483" s="751"/>
      <c r="K1483" s="751"/>
      <c r="L1483" s="751"/>
      <c r="M1483" s="751"/>
      <c r="N1483" s="751"/>
      <c r="O1483" s="751"/>
      <c r="P1483" s="751"/>
      <c r="Q1483" s="751"/>
      <c r="R1483" s="751"/>
      <c r="S1483" s="751"/>
      <c r="T1483" s="751"/>
      <c r="U1483" s="751"/>
      <c r="V1483" s="751"/>
      <c r="W1483" s="751"/>
      <c r="X1483" s="751"/>
      <c r="Y1483" s="751"/>
      <c r="Z1483" s="751"/>
      <c r="AA1483" s="751"/>
      <c r="AB1483" s="751"/>
      <c r="AC1483" s="751"/>
      <c r="AD1483" s="751"/>
      <c r="AE1483" s="751"/>
      <c r="AF1483" s="751"/>
      <c r="AG1483" s="751"/>
    </row>
    <row r="1484" spans="4:33">
      <c r="D1484" s="751"/>
      <c r="E1484" s="751"/>
      <c r="F1484" s="751"/>
      <c r="G1484" s="751"/>
      <c r="H1484" s="751"/>
      <c r="I1484" s="751"/>
      <c r="J1484" s="751"/>
      <c r="K1484" s="751"/>
      <c r="L1484" s="751"/>
      <c r="M1484" s="751"/>
      <c r="N1484" s="751"/>
      <c r="O1484" s="751"/>
      <c r="P1484" s="751"/>
      <c r="Q1484" s="751"/>
      <c r="R1484" s="751"/>
      <c r="S1484" s="751"/>
      <c r="T1484" s="751"/>
      <c r="U1484" s="751"/>
      <c r="V1484" s="751"/>
      <c r="W1484" s="751"/>
      <c r="X1484" s="751"/>
      <c r="Y1484" s="751"/>
      <c r="Z1484" s="751"/>
      <c r="AA1484" s="751"/>
      <c r="AB1484" s="751"/>
      <c r="AC1484" s="751"/>
      <c r="AD1484" s="751"/>
      <c r="AE1484" s="751"/>
      <c r="AF1484" s="751"/>
      <c r="AG1484" s="751"/>
    </row>
    <row r="1485" spans="4:33">
      <c r="D1485" s="751"/>
      <c r="E1485" s="751"/>
      <c r="F1485" s="751"/>
      <c r="G1485" s="751"/>
      <c r="H1485" s="751"/>
      <c r="I1485" s="751"/>
      <c r="J1485" s="751"/>
      <c r="K1485" s="751"/>
      <c r="L1485" s="751"/>
      <c r="M1485" s="751"/>
      <c r="N1485" s="751"/>
      <c r="O1485" s="751"/>
      <c r="P1485" s="751"/>
      <c r="Q1485" s="751"/>
      <c r="R1485" s="751"/>
      <c r="S1485" s="751"/>
      <c r="T1485" s="751"/>
      <c r="U1485" s="751"/>
      <c r="V1485" s="751"/>
      <c r="W1485" s="751"/>
      <c r="X1485" s="751"/>
      <c r="Y1485" s="751"/>
      <c r="Z1485" s="751"/>
      <c r="AA1485" s="751"/>
      <c r="AB1485" s="751"/>
      <c r="AC1485" s="751"/>
      <c r="AD1485" s="751"/>
      <c r="AE1485" s="751"/>
      <c r="AF1485" s="751"/>
      <c r="AG1485" s="751"/>
    </row>
    <row r="1486" spans="4:33">
      <c r="D1486" s="751"/>
      <c r="E1486" s="751"/>
      <c r="F1486" s="751"/>
      <c r="G1486" s="751"/>
      <c r="H1486" s="751"/>
      <c r="I1486" s="751"/>
      <c r="J1486" s="751"/>
      <c r="K1486" s="751"/>
      <c r="L1486" s="751"/>
      <c r="M1486" s="751"/>
      <c r="N1486" s="751"/>
      <c r="O1486" s="751"/>
      <c r="P1486" s="751"/>
      <c r="Q1486" s="751"/>
      <c r="R1486" s="751"/>
      <c r="S1486" s="751"/>
      <c r="T1486" s="751"/>
      <c r="U1486" s="751"/>
      <c r="V1486" s="751"/>
      <c r="W1486" s="751"/>
      <c r="X1486" s="751"/>
      <c r="Y1486" s="751"/>
      <c r="Z1486" s="751"/>
      <c r="AA1486" s="751"/>
      <c r="AB1486" s="751"/>
      <c r="AC1486" s="751"/>
      <c r="AD1486" s="751"/>
      <c r="AE1486" s="751"/>
      <c r="AF1486" s="751"/>
      <c r="AG1486" s="751"/>
    </row>
    <row r="1487" spans="4:33">
      <c r="D1487" s="751"/>
      <c r="E1487" s="751"/>
      <c r="F1487" s="751"/>
      <c r="G1487" s="751"/>
      <c r="H1487" s="751"/>
      <c r="I1487" s="751"/>
      <c r="J1487" s="751"/>
      <c r="K1487" s="751"/>
      <c r="L1487" s="751"/>
      <c r="M1487" s="751"/>
      <c r="N1487" s="751"/>
      <c r="O1487" s="751"/>
      <c r="P1487" s="751"/>
      <c r="Q1487" s="751"/>
      <c r="R1487" s="751"/>
      <c r="S1487" s="751"/>
      <c r="T1487" s="751"/>
      <c r="U1487" s="751"/>
      <c r="V1487" s="751"/>
      <c r="W1487" s="751"/>
      <c r="X1487" s="751"/>
      <c r="Y1487" s="751"/>
      <c r="Z1487" s="751"/>
      <c r="AA1487" s="751"/>
      <c r="AB1487" s="751"/>
      <c r="AC1487" s="751"/>
      <c r="AD1487" s="751"/>
      <c r="AE1487" s="751"/>
      <c r="AF1487" s="751"/>
      <c r="AG1487" s="751"/>
    </row>
    <row r="1488" spans="4:33">
      <c r="D1488" s="751"/>
      <c r="E1488" s="751"/>
      <c r="F1488" s="751"/>
      <c r="G1488" s="751"/>
      <c r="H1488" s="751"/>
      <c r="I1488" s="751"/>
      <c r="J1488" s="751"/>
      <c r="K1488" s="751"/>
      <c r="L1488" s="751"/>
      <c r="M1488" s="751"/>
      <c r="N1488" s="751"/>
      <c r="O1488" s="751"/>
      <c r="P1488" s="751"/>
      <c r="Q1488" s="751"/>
      <c r="R1488" s="751"/>
      <c r="S1488" s="751"/>
      <c r="T1488" s="751"/>
      <c r="U1488" s="751"/>
      <c r="V1488" s="751"/>
      <c r="W1488" s="751"/>
      <c r="X1488" s="751"/>
      <c r="Y1488" s="751"/>
      <c r="Z1488" s="751"/>
      <c r="AA1488" s="751"/>
      <c r="AB1488" s="751"/>
      <c r="AC1488" s="751"/>
      <c r="AD1488" s="751"/>
      <c r="AE1488" s="751"/>
      <c r="AF1488" s="751"/>
      <c r="AG1488" s="751"/>
    </row>
    <row r="1489" spans="4:33">
      <c r="D1489" s="751"/>
      <c r="E1489" s="751"/>
      <c r="F1489" s="751"/>
      <c r="G1489" s="751"/>
      <c r="H1489" s="751"/>
      <c r="I1489" s="751"/>
      <c r="J1489" s="751"/>
      <c r="K1489" s="751"/>
      <c r="L1489" s="751"/>
      <c r="M1489" s="751"/>
      <c r="N1489" s="751"/>
      <c r="O1489" s="751"/>
      <c r="P1489" s="751"/>
      <c r="Q1489" s="751"/>
      <c r="R1489" s="751"/>
      <c r="S1489" s="751"/>
      <c r="T1489" s="751"/>
      <c r="U1489" s="751"/>
      <c r="V1489" s="751"/>
      <c r="W1489" s="751"/>
      <c r="X1489" s="751"/>
      <c r="Y1489" s="751"/>
      <c r="Z1489" s="751"/>
      <c r="AA1489" s="751"/>
      <c r="AB1489" s="751"/>
      <c r="AC1489" s="751"/>
      <c r="AD1489" s="751"/>
      <c r="AE1489" s="751"/>
      <c r="AF1489" s="751"/>
      <c r="AG1489" s="751"/>
    </row>
    <row r="1490" spans="4:33">
      <c r="D1490" s="751"/>
      <c r="E1490" s="751"/>
      <c r="F1490" s="751"/>
      <c r="G1490" s="751"/>
      <c r="H1490" s="751"/>
      <c r="I1490" s="751"/>
      <c r="J1490" s="751"/>
      <c r="K1490" s="751"/>
      <c r="L1490" s="751"/>
      <c r="M1490" s="751"/>
      <c r="N1490" s="751"/>
      <c r="O1490" s="751"/>
      <c r="P1490" s="751"/>
      <c r="Q1490" s="751"/>
      <c r="R1490" s="751"/>
      <c r="S1490" s="751"/>
      <c r="T1490" s="751"/>
      <c r="U1490" s="751"/>
      <c r="V1490" s="751"/>
      <c r="W1490" s="751"/>
      <c r="X1490" s="751"/>
      <c r="Y1490" s="751"/>
      <c r="Z1490" s="751"/>
      <c r="AA1490" s="751"/>
      <c r="AB1490" s="751"/>
      <c r="AC1490" s="751"/>
      <c r="AD1490" s="751"/>
      <c r="AE1490" s="751"/>
      <c r="AF1490" s="751"/>
      <c r="AG1490" s="751"/>
    </row>
    <row r="1491" spans="4:33">
      <c r="D1491" s="751"/>
      <c r="E1491" s="751"/>
      <c r="F1491" s="751"/>
      <c r="G1491" s="751"/>
      <c r="H1491" s="751"/>
      <c r="I1491" s="751"/>
      <c r="J1491" s="751"/>
      <c r="K1491" s="751"/>
      <c r="L1491" s="751"/>
      <c r="M1491" s="751"/>
      <c r="N1491" s="751"/>
      <c r="O1491" s="751"/>
      <c r="P1491" s="751"/>
      <c r="Q1491" s="751"/>
      <c r="R1491" s="751"/>
      <c r="S1491" s="751"/>
      <c r="T1491" s="751"/>
      <c r="U1491" s="751"/>
      <c r="V1491" s="751"/>
      <c r="W1491" s="751"/>
      <c r="X1491" s="751"/>
      <c r="Y1491" s="751"/>
      <c r="Z1491" s="751"/>
      <c r="AA1491" s="751"/>
      <c r="AB1491" s="751"/>
      <c r="AC1491" s="751"/>
      <c r="AD1491" s="751"/>
      <c r="AE1491" s="751"/>
      <c r="AF1491" s="751"/>
      <c r="AG1491" s="751"/>
    </row>
    <row r="1492" spans="4:33">
      <c r="D1492" s="751"/>
      <c r="E1492" s="751"/>
      <c r="F1492" s="751"/>
      <c r="G1492" s="751"/>
      <c r="H1492" s="751"/>
      <c r="I1492" s="751"/>
      <c r="J1492" s="751"/>
      <c r="K1492" s="751"/>
      <c r="L1492" s="751"/>
      <c r="M1492" s="751"/>
      <c r="N1492" s="751"/>
      <c r="O1492" s="751"/>
      <c r="P1492" s="751"/>
      <c r="Q1492" s="751"/>
      <c r="R1492" s="751"/>
      <c r="S1492" s="751"/>
      <c r="T1492" s="751"/>
      <c r="U1492" s="751"/>
      <c r="V1492" s="751"/>
      <c r="W1492" s="751"/>
      <c r="X1492" s="751"/>
      <c r="Y1492" s="751"/>
      <c r="Z1492" s="751"/>
      <c r="AA1492" s="751"/>
      <c r="AB1492" s="751"/>
      <c r="AC1492" s="751"/>
      <c r="AD1492" s="751"/>
      <c r="AE1492" s="751"/>
      <c r="AF1492" s="751"/>
      <c r="AG1492" s="751"/>
    </row>
    <row r="1493" spans="4:33">
      <c r="D1493" s="751"/>
      <c r="E1493" s="751"/>
      <c r="F1493" s="751"/>
      <c r="G1493" s="751"/>
      <c r="H1493" s="751"/>
      <c r="I1493" s="751"/>
      <c r="J1493" s="751"/>
      <c r="K1493" s="751"/>
      <c r="L1493" s="751"/>
      <c r="M1493" s="751"/>
      <c r="N1493" s="751"/>
      <c r="O1493" s="751"/>
      <c r="P1493" s="751"/>
      <c r="Q1493" s="751"/>
      <c r="R1493" s="751"/>
      <c r="S1493" s="751"/>
      <c r="T1493" s="751"/>
      <c r="U1493" s="751"/>
      <c r="V1493" s="751"/>
      <c r="W1493" s="751"/>
      <c r="X1493" s="751"/>
      <c r="Y1493" s="751"/>
      <c r="Z1493" s="751"/>
      <c r="AA1493" s="751"/>
      <c r="AB1493" s="751"/>
      <c r="AC1493" s="751"/>
      <c r="AD1493" s="751"/>
      <c r="AE1493" s="751"/>
      <c r="AF1493" s="751"/>
      <c r="AG1493" s="751"/>
    </row>
    <row r="1494" spans="4:33">
      <c r="D1494" s="751"/>
      <c r="E1494" s="751"/>
      <c r="F1494" s="751"/>
      <c r="G1494" s="751"/>
      <c r="H1494" s="751"/>
      <c r="I1494" s="751"/>
      <c r="J1494" s="751"/>
      <c r="K1494" s="751"/>
      <c r="L1494" s="751"/>
      <c r="M1494" s="751"/>
      <c r="N1494" s="751"/>
      <c r="O1494" s="751"/>
      <c r="P1494" s="751"/>
      <c r="Q1494" s="751"/>
      <c r="R1494" s="751"/>
      <c r="S1494" s="751"/>
      <c r="T1494" s="751"/>
      <c r="U1494" s="751"/>
      <c r="V1494" s="751"/>
      <c r="W1494" s="751"/>
      <c r="X1494" s="751"/>
      <c r="Y1494" s="751"/>
      <c r="Z1494" s="751"/>
      <c r="AA1494" s="751"/>
      <c r="AB1494" s="751"/>
      <c r="AC1494" s="751"/>
      <c r="AD1494" s="751"/>
      <c r="AE1494" s="751"/>
      <c r="AF1494" s="751"/>
      <c r="AG1494" s="751"/>
    </row>
    <row r="1495" spans="4:33">
      <c r="D1495" s="751"/>
      <c r="E1495" s="751"/>
      <c r="F1495" s="751"/>
      <c r="G1495" s="751"/>
      <c r="H1495" s="751"/>
      <c r="I1495" s="751"/>
      <c r="J1495" s="751"/>
      <c r="K1495" s="751"/>
      <c r="L1495" s="751"/>
      <c r="M1495" s="751"/>
      <c r="N1495" s="751"/>
      <c r="O1495" s="751"/>
      <c r="P1495" s="751"/>
      <c r="Q1495" s="751"/>
      <c r="R1495" s="751"/>
      <c r="S1495" s="751"/>
      <c r="T1495" s="751"/>
      <c r="U1495" s="751"/>
      <c r="V1495" s="751"/>
      <c r="W1495" s="751"/>
      <c r="X1495" s="751"/>
      <c r="Y1495" s="751"/>
      <c r="Z1495" s="751"/>
      <c r="AA1495" s="751"/>
      <c r="AB1495" s="751"/>
      <c r="AC1495" s="751"/>
      <c r="AD1495" s="751"/>
      <c r="AE1495" s="751"/>
      <c r="AF1495" s="751"/>
      <c r="AG1495" s="751"/>
    </row>
    <row r="1496" spans="4:33">
      <c r="D1496" s="751"/>
      <c r="E1496" s="751"/>
      <c r="F1496" s="751"/>
      <c r="G1496" s="751"/>
      <c r="H1496" s="751"/>
      <c r="I1496" s="751"/>
      <c r="J1496" s="751"/>
      <c r="K1496" s="751"/>
      <c r="L1496" s="751"/>
      <c r="M1496" s="751"/>
      <c r="N1496" s="751"/>
      <c r="O1496" s="751"/>
      <c r="P1496" s="751"/>
      <c r="Q1496" s="751"/>
      <c r="R1496" s="751"/>
      <c r="S1496" s="751"/>
      <c r="T1496" s="751"/>
      <c r="U1496" s="751"/>
      <c r="V1496" s="751"/>
      <c r="W1496" s="751"/>
      <c r="X1496" s="751"/>
      <c r="Y1496" s="751"/>
      <c r="Z1496" s="751"/>
      <c r="AA1496" s="751"/>
      <c r="AB1496" s="751"/>
      <c r="AC1496" s="751"/>
      <c r="AD1496" s="751"/>
      <c r="AE1496" s="751"/>
      <c r="AF1496" s="751"/>
      <c r="AG1496" s="751"/>
    </row>
    <row r="1497" spans="4:33">
      <c r="D1497" s="751"/>
      <c r="E1497" s="751"/>
      <c r="F1497" s="751"/>
      <c r="G1497" s="751"/>
      <c r="H1497" s="751"/>
      <c r="I1497" s="751"/>
      <c r="J1497" s="751"/>
      <c r="K1497" s="751"/>
      <c r="L1497" s="751"/>
      <c r="M1497" s="751"/>
      <c r="N1497" s="751"/>
      <c r="O1497" s="751"/>
      <c r="P1497" s="751"/>
      <c r="Q1497" s="751"/>
      <c r="R1497" s="751"/>
      <c r="S1497" s="751"/>
      <c r="T1497" s="751"/>
      <c r="U1497" s="751"/>
      <c r="V1497" s="751"/>
      <c r="W1497" s="751"/>
      <c r="X1497" s="751"/>
      <c r="Y1497" s="751"/>
      <c r="Z1497" s="751"/>
      <c r="AA1497" s="751"/>
      <c r="AB1497" s="751"/>
      <c r="AC1497" s="751"/>
      <c r="AD1497" s="751"/>
      <c r="AE1497" s="751"/>
      <c r="AF1497" s="751"/>
      <c r="AG1497" s="751"/>
    </row>
    <row r="1498" spans="4:33">
      <c r="D1498" s="751"/>
      <c r="E1498" s="751"/>
      <c r="F1498" s="751"/>
      <c r="G1498" s="751"/>
      <c r="H1498" s="751"/>
      <c r="I1498" s="751"/>
      <c r="J1498" s="751"/>
      <c r="K1498" s="751"/>
      <c r="L1498" s="751"/>
      <c r="M1498" s="751"/>
      <c r="N1498" s="751"/>
      <c r="O1498" s="751"/>
      <c r="P1498" s="751"/>
      <c r="Q1498" s="751"/>
      <c r="R1498" s="751"/>
      <c r="S1498" s="751"/>
      <c r="T1498" s="751"/>
      <c r="U1498" s="751"/>
      <c r="V1498" s="751"/>
      <c r="W1498" s="751"/>
      <c r="X1498" s="751"/>
      <c r="Y1498" s="751"/>
      <c r="Z1498" s="751"/>
      <c r="AA1498" s="751"/>
      <c r="AB1498" s="751"/>
      <c r="AC1498" s="751"/>
      <c r="AD1498" s="751"/>
      <c r="AE1498" s="751"/>
      <c r="AF1498" s="751"/>
      <c r="AG1498" s="751"/>
    </row>
    <row r="1499" spans="4:33">
      <c r="D1499" s="751"/>
      <c r="E1499" s="751"/>
      <c r="F1499" s="751"/>
      <c r="G1499" s="751"/>
      <c r="H1499" s="751"/>
      <c r="I1499" s="751"/>
      <c r="J1499" s="751"/>
      <c r="K1499" s="751"/>
      <c r="L1499" s="751"/>
      <c r="M1499" s="751"/>
      <c r="N1499" s="751"/>
      <c r="O1499" s="751"/>
      <c r="P1499" s="751"/>
      <c r="Q1499" s="751"/>
      <c r="R1499" s="751"/>
      <c r="S1499" s="751"/>
      <c r="T1499" s="751"/>
      <c r="U1499" s="751"/>
      <c r="V1499" s="751"/>
      <c r="W1499" s="751"/>
      <c r="X1499" s="751"/>
      <c r="Y1499" s="751"/>
      <c r="Z1499" s="751"/>
      <c r="AA1499" s="751"/>
      <c r="AB1499" s="751"/>
      <c r="AC1499" s="751"/>
      <c r="AD1499" s="751"/>
      <c r="AE1499" s="751"/>
      <c r="AF1499" s="751"/>
      <c r="AG1499" s="751"/>
    </row>
    <row r="1500" spans="4:33">
      <c r="D1500" s="751"/>
      <c r="E1500" s="751"/>
      <c r="F1500" s="751"/>
      <c r="G1500" s="751"/>
      <c r="H1500" s="751"/>
      <c r="I1500" s="751"/>
      <c r="J1500" s="751"/>
      <c r="K1500" s="751"/>
      <c r="L1500" s="751"/>
      <c r="M1500" s="751"/>
      <c r="N1500" s="751"/>
      <c r="O1500" s="751"/>
      <c r="P1500" s="751"/>
      <c r="Q1500" s="751"/>
      <c r="R1500" s="751"/>
      <c r="S1500" s="751"/>
      <c r="T1500" s="751"/>
      <c r="U1500" s="751"/>
      <c r="V1500" s="751"/>
      <c r="W1500" s="751"/>
      <c r="X1500" s="751"/>
      <c r="Y1500" s="751"/>
      <c r="Z1500" s="751"/>
      <c r="AA1500" s="751"/>
      <c r="AB1500" s="751"/>
      <c r="AC1500" s="751"/>
      <c r="AD1500" s="751"/>
      <c r="AE1500" s="751"/>
      <c r="AF1500" s="751"/>
      <c r="AG1500" s="751"/>
    </row>
    <row r="1501" spans="4:33">
      <c r="D1501" s="751"/>
      <c r="E1501" s="751"/>
      <c r="F1501" s="751"/>
      <c r="G1501" s="751"/>
      <c r="H1501" s="751"/>
      <c r="I1501" s="751"/>
      <c r="J1501" s="751"/>
      <c r="K1501" s="751"/>
      <c r="L1501" s="751"/>
      <c r="M1501" s="751"/>
      <c r="N1501" s="751"/>
      <c r="O1501" s="751"/>
      <c r="P1501" s="751"/>
      <c r="Q1501" s="751"/>
      <c r="R1501" s="751"/>
      <c r="S1501" s="751"/>
      <c r="T1501" s="751"/>
      <c r="U1501" s="751"/>
      <c r="V1501" s="751"/>
      <c r="W1501" s="751"/>
      <c r="X1501" s="751"/>
      <c r="Y1501" s="751"/>
      <c r="Z1501" s="751"/>
      <c r="AA1501" s="751"/>
      <c r="AB1501" s="751"/>
      <c r="AC1501" s="751"/>
      <c r="AD1501" s="751"/>
      <c r="AE1501" s="751"/>
      <c r="AF1501" s="751"/>
      <c r="AG1501" s="751"/>
    </row>
    <row r="1502" spans="4:33">
      <c r="D1502" s="751"/>
      <c r="E1502" s="751"/>
      <c r="F1502" s="751"/>
      <c r="G1502" s="751"/>
      <c r="H1502" s="751"/>
      <c r="I1502" s="751"/>
      <c r="J1502" s="751"/>
      <c r="K1502" s="751"/>
      <c r="L1502" s="751"/>
      <c r="M1502" s="751"/>
      <c r="N1502" s="751"/>
      <c r="O1502" s="751"/>
      <c r="P1502" s="751"/>
      <c r="Q1502" s="751"/>
      <c r="R1502" s="751"/>
      <c r="S1502" s="751"/>
      <c r="T1502" s="751"/>
      <c r="U1502" s="751"/>
      <c r="V1502" s="751"/>
      <c r="W1502" s="751"/>
      <c r="X1502" s="751"/>
      <c r="Y1502" s="751"/>
      <c r="Z1502" s="751"/>
      <c r="AA1502" s="751"/>
      <c r="AB1502" s="751"/>
      <c r="AC1502" s="751"/>
      <c r="AD1502" s="751"/>
      <c r="AE1502" s="751"/>
      <c r="AF1502" s="751"/>
      <c r="AG1502" s="751"/>
    </row>
    <row r="1503" spans="4:33">
      <c r="D1503" s="751"/>
      <c r="E1503" s="751"/>
      <c r="F1503" s="751"/>
      <c r="G1503" s="751"/>
      <c r="H1503" s="751"/>
      <c r="I1503" s="751"/>
      <c r="J1503" s="751"/>
      <c r="K1503" s="751"/>
      <c r="L1503" s="751"/>
      <c r="M1503" s="751"/>
      <c r="N1503" s="751"/>
      <c r="O1503" s="751"/>
      <c r="P1503" s="751"/>
      <c r="Q1503" s="751"/>
      <c r="R1503" s="751"/>
      <c r="S1503" s="751"/>
      <c r="T1503" s="751"/>
      <c r="U1503" s="751"/>
      <c r="V1503" s="751"/>
      <c r="W1503" s="751"/>
      <c r="X1503" s="751"/>
      <c r="Y1503" s="751"/>
      <c r="Z1503" s="751"/>
      <c r="AA1503" s="751"/>
      <c r="AB1503" s="751"/>
      <c r="AC1503" s="751"/>
      <c r="AD1503" s="751"/>
      <c r="AE1503" s="751"/>
      <c r="AF1503" s="751"/>
      <c r="AG1503" s="751"/>
    </row>
    <row r="1504" spans="4:33">
      <c r="D1504" s="751"/>
      <c r="E1504" s="751"/>
      <c r="F1504" s="751"/>
      <c r="G1504" s="751"/>
      <c r="H1504" s="751"/>
      <c r="I1504" s="751"/>
      <c r="J1504" s="751"/>
      <c r="K1504" s="751"/>
      <c r="L1504" s="751"/>
      <c r="M1504" s="751"/>
      <c r="N1504" s="751"/>
      <c r="O1504" s="751"/>
      <c r="P1504" s="751"/>
      <c r="Q1504" s="751"/>
      <c r="R1504" s="751"/>
      <c r="S1504" s="751"/>
      <c r="T1504" s="751"/>
      <c r="U1504" s="751"/>
      <c r="V1504" s="751"/>
      <c r="W1504" s="751"/>
      <c r="X1504" s="751"/>
      <c r="Y1504" s="751"/>
      <c r="Z1504" s="751"/>
      <c r="AA1504" s="751"/>
      <c r="AB1504" s="751"/>
      <c r="AC1504" s="751"/>
      <c r="AD1504" s="751"/>
      <c r="AE1504" s="751"/>
      <c r="AF1504" s="751"/>
      <c r="AG1504" s="751"/>
    </row>
    <row r="1505" spans="4:33">
      <c r="D1505" s="751"/>
      <c r="E1505" s="751"/>
      <c r="F1505" s="751"/>
      <c r="G1505" s="751"/>
      <c r="H1505" s="751"/>
      <c r="I1505" s="751"/>
      <c r="J1505" s="751"/>
      <c r="K1505" s="751"/>
      <c r="L1505" s="751"/>
      <c r="M1505" s="751"/>
      <c r="N1505" s="751"/>
      <c r="O1505" s="751"/>
      <c r="P1505" s="751"/>
      <c r="Q1505" s="751"/>
      <c r="R1505" s="751"/>
      <c r="S1505" s="751"/>
      <c r="T1505" s="751"/>
      <c r="U1505" s="751"/>
      <c r="V1505" s="751"/>
      <c r="W1505" s="751"/>
      <c r="X1505" s="751"/>
      <c r="Y1505" s="751"/>
      <c r="Z1505" s="751"/>
      <c r="AA1505" s="751"/>
      <c r="AB1505" s="751"/>
      <c r="AC1505" s="751"/>
      <c r="AD1505" s="751"/>
      <c r="AE1505" s="751"/>
      <c r="AF1505" s="751"/>
      <c r="AG1505" s="751"/>
    </row>
    <row r="1506" spans="4:33">
      <c r="D1506" s="751"/>
      <c r="E1506" s="751"/>
      <c r="F1506" s="751"/>
      <c r="G1506" s="751"/>
      <c r="H1506" s="751"/>
      <c r="I1506" s="751"/>
      <c r="J1506" s="751"/>
      <c r="K1506" s="751"/>
      <c r="L1506" s="751"/>
      <c r="M1506" s="751"/>
      <c r="N1506" s="751"/>
      <c r="O1506" s="751"/>
      <c r="P1506" s="751"/>
      <c r="Q1506" s="751"/>
      <c r="R1506" s="751"/>
      <c r="S1506" s="751"/>
      <c r="T1506" s="751"/>
      <c r="U1506" s="751"/>
      <c r="V1506" s="751"/>
      <c r="W1506" s="751"/>
      <c r="X1506" s="751"/>
      <c r="Y1506" s="751"/>
      <c r="Z1506" s="751"/>
      <c r="AA1506" s="751"/>
      <c r="AB1506" s="751"/>
      <c r="AC1506" s="751"/>
      <c r="AD1506" s="751"/>
      <c r="AE1506" s="751"/>
      <c r="AF1506" s="751"/>
      <c r="AG1506" s="751"/>
    </row>
    <row r="1507" spans="4:33">
      <c r="D1507" s="751"/>
      <c r="E1507" s="751"/>
      <c r="F1507" s="751"/>
      <c r="G1507" s="751"/>
      <c r="H1507" s="751"/>
      <c r="I1507" s="751"/>
      <c r="J1507" s="751"/>
      <c r="K1507" s="751"/>
      <c r="L1507" s="751"/>
      <c r="M1507" s="751"/>
      <c r="N1507" s="751"/>
      <c r="O1507" s="751"/>
      <c r="P1507" s="751"/>
      <c r="Q1507" s="751"/>
      <c r="R1507" s="751"/>
      <c r="S1507" s="751"/>
      <c r="T1507" s="751"/>
      <c r="U1507" s="751"/>
      <c r="V1507" s="751"/>
      <c r="W1507" s="751"/>
      <c r="X1507" s="751"/>
      <c r="Y1507" s="751"/>
      <c r="Z1507" s="751"/>
      <c r="AA1507" s="751"/>
      <c r="AB1507" s="751"/>
      <c r="AC1507" s="751"/>
      <c r="AD1507" s="751"/>
      <c r="AE1507" s="751"/>
      <c r="AF1507" s="751"/>
      <c r="AG1507" s="751"/>
    </row>
    <row r="1508" spans="4:33">
      <c r="D1508" s="751"/>
      <c r="E1508" s="751"/>
      <c r="F1508" s="751"/>
      <c r="G1508" s="751"/>
      <c r="H1508" s="751"/>
      <c r="I1508" s="751"/>
      <c r="J1508" s="751"/>
      <c r="K1508" s="751"/>
      <c r="L1508" s="751"/>
      <c r="M1508" s="751"/>
      <c r="N1508" s="751"/>
      <c r="O1508" s="751"/>
      <c r="P1508" s="751"/>
      <c r="Q1508" s="751"/>
      <c r="R1508" s="751"/>
      <c r="S1508" s="751"/>
      <c r="T1508" s="751"/>
      <c r="U1508" s="751"/>
      <c r="V1508" s="751"/>
      <c r="W1508" s="751"/>
      <c r="X1508" s="751"/>
      <c r="Y1508" s="751"/>
      <c r="Z1508" s="751"/>
      <c r="AA1508" s="751"/>
      <c r="AB1508" s="751"/>
      <c r="AC1508" s="751"/>
      <c r="AD1508" s="751"/>
      <c r="AE1508" s="751"/>
      <c r="AF1508" s="751"/>
      <c r="AG1508" s="751"/>
    </row>
    <row r="1509" spans="4:33">
      <c r="D1509" s="751"/>
      <c r="E1509" s="751"/>
      <c r="F1509" s="751"/>
      <c r="G1509" s="751"/>
      <c r="H1509" s="751"/>
      <c r="I1509" s="751"/>
      <c r="J1509" s="751"/>
      <c r="K1509" s="751"/>
      <c r="L1509" s="751"/>
      <c r="M1509" s="751"/>
      <c r="N1509" s="751"/>
      <c r="O1509" s="751"/>
      <c r="P1509" s="751"/>
      <c r="Q1509" s="751"/>
      <c r="R1509" s="751"/>
      <c r="S1509" s="751"/>
      <c r="T1509" s="751"/>
      <c r="U1509" s="751"/>
      <c r="V1509" s="751"/>
      <c r="W1509" s="751"/>
      <c r="X1509" s="751"/>
      <c r="Y1509" s="751"/>
      <c r="Z1509" s="751"/>
      <c r="AA1509" s="751"/>
      <c r="AB1509" s="751"/>
      <c r="AC1509" s="751"/>
      <c r="AD1509" s="751"/>
      <c r="AE1509" s="751"/>
      <c r="AF1509" s="751"/>
      <c r="AG1509" s="751"/>
    </row>
    <row r="1510" spans="4:33">
      <c r="D1510" s="751"/>
      <c r="E1510" s="751"/>
      <c r="F1510" s="751"/>
      <c r="G1510" s="751"/>
      <c r="H1510" s="751"/>
      <c r="I1510" s="751"/>
      <c r="J1510" s="751"/>
      <c r="K1510" s="751"/>
      <c r="L1510" s="751"/>
      <c r="M1510" s="751"/>
      <c r="N1510" s="751"/>
      <c r="O1510" s="751"/>
      <c r="P1510" s="751"/>
      <c r="Q1510" s="751"/>
      <c r="R1510" s="751"/>
      <c r="S1510" s="751"/>
      <c r="T1510" s="751"/>
      <c r="U1510" s="751"/>
      <c r="V1510" s="751"/>
      <c r="W1510" s="751"/>
      <c r="X1510" s="751"/>
      <c r="Y1510" s="751"/>
      <c r="Z1510" s="751"/>
      <c r="AA1510" s="751"/>
      <c r="AB1510" s="751"/>
      <c r="AC1510" s="751"/>
      <c r="AD1510" s="751"/>
      <c r="AE1510" s="751"/>
      <c r="AF1510" s="751"/>
      <c r="AG1510" s="751"/>
    </row>
    <row r="1511" spans="4:33">
      <c r="D1511" s="751"/>
      <c r="E1511" s="751"/>
      <c r="F1511" s="751"/>
      <c r="G1511" s="751"/>
      <c r="H1511" s="751"/>
      <c r="I1511" s="751"/>
      <c r="J1511" s="751"/>
      <c r="K1511" s="751"/>
      <c r="L1511" s="751"/>
      <c r="M1511" s="751"/>
      <c r="N1511" s="751"/>
      <c r="O1511" s="751"/>
      <c r="P1511" s="751"/>
      <c r="Q1511" s="751"/>
      <c r="R1511" s="751"/>
      <c r="S1511" s="751"/>
      <c r="T1511" s="751"/>
      <c r="U1511" s="751"/>
      <c r="V1511" s="751"/>
      <c r="W1511" s="751"/>
      <c r="X1511" s="751"/>
      <c r="Y1511" s="751"/>
      <c r="Z1511" s="751"/>
      <c r="AA1511" s="751"/>
      <c r="AB1511" s="751"/>
      <c r="AC1511" s="751"/>
      <c r="AD1511" s="751"/>
      <c r="AE1511" s="751"/>
      <c r="AF1511" s="751"/>
      <c r="AG1511" s="751"/>
    </row>
    <row r="1512" spans="4:33">
      <c r="D1512" s="751"/>
      <c r="E1512" s="751"/>
      <c r="F1512" s="751"/>
      <c r="G1512" s="751"/>
      <c r="H1512" s="751"/>
      <c r="I1512" s="751"/>
      <c r="J1512" s="751"/>
      <c r="K1512" s="751"/>
      <c r="L1512" s="751"/>
      <c r="M1512" s="751"/>
      <c r="N1512" s="751"/>
      <c r="O1512" s="751"/>
      <c r="P1512" s="751"/>
      <c r="Q1512" s="751"/>
      <c r="R1512" s="751"/>
      <c r="S1512" s="751"/>
      <c r="T1512" s="751"/>
      <c r="U1512" s="751"/>
      <c r="V1512" s="751"/>
      <c r="W1512" s="751"/>
      <c r="X1512" s="751"/>
      <c r="Y1512" s="751"/>
      <c r="Z1512" s="751"/>
      <c r="AA1512" s="751"/>
      <c r="AB1512" s="751"/>
      <c r="AC1512" s="751"/>
      <c r="AD1512" s="751"/>
      <c r="AE1512" s="751"/>
      <c r="AF1512" s="751"/>
      <c r="AG1512" s="751"/>
    </row>
    <row r="1513" spans="4:33">
      <c r="D1513" s="751"/>
      <c r="E1513" s="751"/>
      <c r="F1513" s="751"/>
      <c r="G1513" s="751"/>
      <c r="H1513" s="751"/>
      <c r="I1513" s="751"/>
      <c r="J1513" s="751"/>
      <c r="K1513" s="751"/>
      <c r="L1513" s="751"/>
      <c r="M1513" s="751"/>
      <c r="N1513" s="751"/>
      <c r="O1513" s="751"/>
      <c r="P1513" s="751"/>
      <c r="Q1513" s="751"/>
      <c r="R1513" s="751"/>
      <c r="S1513" s="751"/>
      <c r="T1513" s="751"/>
      <c r="U1513" s="751"/>
      <c r="V1513" s="751"/>
      <c r="W1513" s="751"/>
      <c r="X1513" s="751"/>
      <c r="Y1513" s="751"/>
      <c r="Z1513" s="751"/>
      <c r="AA1513" s="751"/>
      <c r="AB1513" s="751"/>
      <c r="AC1513" s="751"/>
      <c r="AD1513" s="751"/>
      <c r="AE1513" s="751"/>
      <c r="AF1513" s="751"/>
      <c r="AG1513" s="751"/>
    </row>
    <row r="1514" spans="4:33">
      <c r="D1514" s="751"/>
      <c r="E1514" s="751"/>
      <c r="F1514" s="751"/>
      <c r="G1514" s="751"/>
      <c r="H1514" s="751"/>
      <c r="I1514" s="751"/>
      <c r="J1514" s="751"/>
      <c r="K1514" s="751"/>
      <c r="L1514" s="751"/>
      <c r="M1514" s="751"/>
      <c r="N1514" s="751"/>
      <c r="O1514" s="751"/>
      <c r="P1514" s="751"/>
      <c r="Q1514" s="751"/>
      <c r="R1514" s="751"/>
      <c r="S1514" s="751"/>
      <c r="T1514" s="751"/>
      <c r="U1514" s="751"/>
      <c r="V1514" s="751"/>
      <c r="W1514" s="751"/>
      <c r="X1514" s="751"/>
      <c r="Y1514" s="751"/>
      <c r="Z1514" s="751"/>
      <c r="AA1514" s="751"/>
      <c r="AB1514" s="751"/>
      <c r="AC1514" s="751"/>
      <c r="AD1514" s="751"/>
      <c r="AE1514" s="751"/>
      <c r="AF1514" s="751"/>
      <c r="AG1514" s="751"/>
    </row>
    <row r="1515" spans="4:33">
      <c r="D1515" s="751"/>
      <c r="E1515" s="751"/>
      <c r="F1515" s="751"/>
      <c r="G1515" s="751"/>
      <c r="H1515" s="751"/>
      <c r="I1515" s="751"/>
      <c r="J1515" s="751"/>
      <c r="K1515" s="751"/>
      <c r="L1515" s="751"/>
      <c r="M1515" s="751"/>
      <c r="N1515" s="751"/>
      <c r="O1515" s="751"/>
      <c r="P1515" s="751"/>
      <c r="Q1515" s="751"/>
      <c r="R1515" s="751"/>
      <c r="S1515" s="751"/>
      <c r="T1515" s="751"/>
      <c r="U1515" s="751"/>
      <c r="V1515" s="751"/>
      <c r="W1515" s="751"/>
      <c r="X1515" s="751"/>
      <c r="Y1515" s="751"/>
      <c r="Z1515" s="751"/>
      <c r="AA1515" s="751"/>
      <c r="AB1515" s="751"/>
      <c r="AC1515" s="751"/>
      <c r="AD1515" s="751"/>
      <c r="AE1515" s="751"/>
      <c r="AF1515" s="751"/>
      <c r="AG1515" s="751"/>
    </row>
    <row r="1516" spans="4:33">
      <c r="D1516" s="751"/>
      <c r="E1516" s="751"/>
      <c r="F1516" s="751"/>
      <c r="G1516" s="751"/>
      <c r="H1516" s="751"/>
      <c r="I1516" s="751"/>
      <c r="J1516" s="751"/>
      <c r="K1516" s="751"/>
      <c r="L1516" s="751"/>
      <c r="M1516" s="751"/>
      <c r="N1516" s="751"/>
      <c r="O1516" s="751"/>
      <c r="P1516" s="751"/>
      <c r="Q1516" s="751"/>
      <c r="R1516" s="751"/>
      <c r="S1516" s="751"/>
      <c r="T1516" s="751"/>
      <c r="U1516" s="751"/>
      <c r="V1516" s="751"/>
      <c r="W1516" s="751"/>
      <c r="X1516" s="751"/>
      <c r="Y1516" s="751"/>
      <c r="Z1516" s="751"/>
      <c r="AA1516" s="751"/>
      <c r="AB1516" s="751"/>
      <c r="AC1516" s="751"/>
      <c r="AD1516" s="751"/>
      <c r="AE1516" s="751"/>
      <c r="AF1516" s="751"/>
      <c r="AG1516" s="751"/>
    </row>
    <row r="1517" spans="4:33">
      <c r="D1517" s="751"/>
      <c r="E1517" s="751"/>
      <c r="F1517" s="751"/>
      <c r="G1517" s="751"/>
      <c r="H1517" s="751"/>
      <c r="I1517" s="751"/>
      <c r="J1517" s="751"/>
      <c r="K1517" s="751"/>
      <c r="L1517" s="751"/>
      <c r="M1517" s="751"/>
      <c r="N1517" s="751"/>
      <c r="O1517" s="751"/>
      <c r="P1517" s="751"/>
      <c r="Q1517" s="751"/>
      <c r="R1517" s="751"/>
      <c r="S1517" s="751"/>
      <c r="T1517" s="751"/>
      <c r="U1517" s="751"/>
      <c r="V1517" s="751"/>
      <c r="W1517" s="751"/>
      <c r="X1517" s="751"/>
      <c r="Y1517" s="751"/>
      <c r="Z1517" s="751"/>
      <c r="AA1517" s="751"/>
      <c r="AB1517" s="751"/>
      <c r="AC1517" s="751"/>
      <c r="AD1517" s="751"/>
      <c r="AE1517" s="751"/>
      <c r="AF1517" s="751"/>
      <c r="AG1517" s="751"/>
    </row>
    <row r="1518" spans="4:33">
      <c r="D1518" s="751"/>
      <c r="E1518" s="751"/>
      <c r="F1518" s="751"/>
      <c r="G1518" s="751"/>
      <c r="H1518" s="751"/>
      <c r="I1518" s="751"/>
      <c r="J1518" s="751"/>
      <c r="K1518" s="751"/>
      <c r="L1518" s="751"/>
      <c r="M1518" s="751"/>
      <c r="N1518" s="751"/>
      <c r="O1518" s="751"/>
      <c r="P1518" s="751"/>
      <c r="Q1518" s="751"/>
      <c r="R1518" s="751"/>
      <c r="S1518" s="751"/>
      <c r="T1518" s="751"/>
      <c r="U1518" s="751"/>
      <c r="V1518" s="751"/>
      <c r="W1518" s="751"/>
      <c r="X1518" s="751"/>
      <c r="Y1518" s="751"/>
      <c r="Z1518" s="751"/>
      <c r="AA1518" s="751"/>
      <c r="AB1518" s="751"/>
      <c r="AC1518" s="751"/>
      <c r="AD1518" s="751"/>
      <c r="AE1518" s="751"/>
      <c r="AF1518" s="751"/>
      <c r="AG1518" s="751"/>
    </row>
    <row r="1519" spans="4:33">
      <c r="D1519" s="751"/>
      <c r="E1519" s="751"/>
      <c r="F1519" s="751"/>
      <c r="G1519" s="751"/>
      <c r="H1519" s="751"/>
      <c r="I1519" s="751"/>
      <c r="J1519" s="751"/>
      <c r="K1519" s="751"/>
      <c r="L1519" s="751"/>
      <c r="M1519" s="751"/>
      <c r="N1519" s="751"/>
      <c r="O1519" s="751"/>
      <c r="P1519" s="751"/>
      <c r="Q1519" s="751"/>
      <c r="R1519" s="751"/>
      <c r="S1519" s="751"/>
      <c r="T1519" s="751"/>
      <c r="U1519" s="751"/>
      <c r="V1519" s="751"/>
      <c r="W1519" s="751"/>
      <c r="X1519" s="751"/>
      <c r="Y1519" s="751"/>
      <c r="Z1519" s="751"/>
      <c r="AA1519" s="751"/>
      <c r="AB1519" s="751"/>
      <c r="AC1519" s="751"/>
      <c r="AD1519" s="751"/>
      <c r="AE1519" s="751"/>
      <c r="AF1519" s="751"/>
      <c r="AG1519" s="751"/>
    </row>
    <row r="1520" spans="4:33">
      <c r="D1520" s="751"/>
      <c r="E1520" s="751"/>
      <c r="F1520" s="751"/>
      <c r="G1520" s="751"/>
      <c r="H1520" s="751"/>
      <c r="I1520" s="751"/>
      <c r="J1520" s="751"/>
      <c r="K1520" s="751"/>
      <c r="L1520" s="751"/>
      <c r="M1520" s="751"/>
      <c r="N1520" s="751"/>
      <c r="O1520" s="751"/>
      <c r="P1520" s="751"/>
      <c r="Q1520" s="751"/>
      <c r="R1520" s="751"/>
      <c r="S1520" s="751"/>
      <c r="T1520" s="751"/>
      <c r="U1520" s="751"/>
      <c r="V1520" s="751"/>
      <c r="W1520" s="751"/>
      <c r="X1520" s="751"/>
      <c r="Y1520" s="751"/>
      <c r="Z1520" s="751"/>
      <c r="AA1520" s="751"/>
      <c r="AB1520" s="751"/>
      <c r="AC1520" s="751"/>
      <c r="AD1520" s="751"/>
      <c r="AE1520" s="751"/>
      <c r="AF1520" s="751"/>
      <c r="AG1520" s="751"/>
    </row>
    <row r="1521" spans="4:33">
      <c r="D1521" s="751"/>
      <c r="E1521" s="751"/>
      <c r="F1521" s="751"/>
      <c r="G1521" s="751"/>
      <c r="H1521" s="751"/>
      <c r="I1521" s="751"/>
      <c r="J1521" s="751"/>
      <c r="K1521" s="751"/>
      <c r="L1521" s="751"/>
      <c r="M1521" s="751"/>
      <c r="N1521" s="751"/>
      <c r="O1521" s="751"/>
      <c r="P1521" s="751"/>
      <c r="Q1521" s="751"/>
      <c r="R1521" s="751"/>
      <c r="S1521" s="751"/>
      <c r="T1521" s="751"/>
      <c r="U1521" s="751"/>
      <c r="V1521" s="751"/>
      <c r="W1521" s="751"/>
      <c r="X1521" s="751"/>
      <c r="Y1521" s="751"/>
      <c r="Z1521" s="751"/>
      <c r="AA1521" s="751"/>
      <c r="AB1521" s="751"/>
      <c r="AC1521" s="751"/>
      <c r="AD1521" s="751"/>
      <c r="AE1521" s="751"/>
      <c r="AF1521" s="751"/>
      <c r="AG1521" s="751"/>
    </row>
    <row r="1522" spans="4:33">
      <c r="D1522" s="751"/>
      <c r="E1522" s="751"/>
      <c r="F1522" s="751"/>
      <c r="G1522" s="751"/>
      <c r="H1522" s="751"/>
      <c r="I1522" s="751"/>
      <c r="J1522" s="751"/>
      <c r="K1522" s="751"/>
      <c r="L1522" s="751"/>
      <c r="M1522" s="751"/>
      <c r="N1522" s="751"/>
      <c r="O1522" s="751"/>
      <c r="P1522" s="751"/>
      <c r="Q1522" s="751"/>
      <c r="R1522" s="751"/>
      <c r="S1522" s="751"/>
      <c r="T1522" s="751"/>
      <c r="U1522" s="751"/>
      <c r="V1522" s="751"/>
      <c r="W1522" s="751"/>
      <c r="X1522" s="751"/>
      <c r="Y1522" s="751"/>
      <c r="Z1522" s="751"/>
      <c r="AA1522" s="751"/>
      <c r="AB1522" s="751"/>
      <c r="AC1522" s="751"/>
      <c r="AD1522" s="751"/>
      <c r="AE1522" s="751"/>
      <c r="AF1522" s="751"/>
      <c r="AG1522" s="751"/>
    </row>
    <row r="1523" spans="4:33">
      <c r="D1523" s="751"/>
      <c r="E1523" s="751"/>
      <c r="F1523" s="751"/>
      <c r="G1523" s="751"/>
      <c r="H1523" s="751"/>
      <c r="I1523" s="751"/>
      <c r="J1523" s="751"/>
      <c r="K1523" s="751"/>
      <c r="L1523" s="751"/>
      <c r="M1523" s="751"/>
      <c r="N1523" s="751"/>
      <c r="O1523" s="751"/>
      <c r="P1523" s="751"/>
      <c r="Q1523" s="751"/>
      <c r="R1523" s="751"/>
      <c r="S1523" s="751"/>
      <c r="T1523" s="751"/>
      <c r="U1523" s="751"/>
      <c r="V1523" s="751"/>
      <c r="W1523" s="751"/>
      <c r="X1523" s="751"/>
      <c r="Y1523" s="751"/>
      <c r="Z1523" s="751"/>
      <c r="AA1523" s="751"/>
      <c r="AB1523" s="751"/>
      <c r="AC1523" s="751"/>
      <c r="AD1523" s="751"/>
      <c r="AE1523" s="751"/>
      <c r="AF1523" s="751"/>
      <c r="AG1523" s="751"/>
    </row>
    <row r="1524" spans="4:33">
      <c r="D1524" s="751"/>
      <c r="E1524" s="751"/>
      <c r="F1524" s="751"/>
      <c r="G1524" s="751"/>
      <c r="H1524" s="751"/>
      <c r="I1524" s="751"/>
      <c r="J1524" s="751"/>
      <c r="K1524" s="751"/>
      <c r="L1524" s="751"/>
      <c r="M1524" s="751"/>
      <c r="N1524" s="751"/>
      <c r="O1524" s="751"/>
      <c r="P1524" s="751"/>
      <c r="Q1524" s="751"/>
      <c r="R1524" s="751"/>
      <c r="S1524" s="751"/>
      <c r="T1524" s="751"/>
      <c r="U1524" s="751"/>
      <c r="V1524" s="751"/>
      <c r="W1524" s="751"/>
      <c r="X1524" s="751"/>
      <c r="Y1524" s="751"/>
      <c r="Z1524" s="751"/>
      <c r="AA1524" s="751"/>
      <c r="AB1524" s="751"/>
      <c r="AC1524" s="751"/>
      <c r="AD1524" s="751"/>
      <c r="AE1524" s="751"/>
      <c r="AF1524" s="751"/>
      <c r="AG1524" s="751"/>
    </row>
    <row r="1525" spans="4:33">
      <c r="D1525" s="751"/>
      <c r="E1525" s="751"/>
      <c r="F1525" s="751"/>
      <c r="G1525" s="751"/>
      <c r="H1525" s="751"/>
      <c r="I1525" s="751"/>
      <c r="J1525" s="751"/>
      <c r="K1525" s="751"/>
      <c r="L1525" s="751"/>
      <c r="M1525" s="751"/>
      <c r="N1525" s="751"/>
      <c r="O1525" s="751"/>
      <c r="P1525" s="751"/>
      <c r="Q1525" s="751"/>
      <c r="R1525" s="751"/>
      <c r="S1525" s="751"/>
      <c r="T1525" s="751"/>
      <c r="U1525" s="751"/>
      <c r="V1525" s="751"/>
      <c r="W1525" s="751"/>
      <c r="X1525" s="751"/>
      <c r="Y1525" s="751"/>
      <c r="Z1525" s="751"/>
      <c r="AA1525" s="751"/>
      <c r="AB1525" s="751"/>
      <c r="AC1525" s="751"/>
      <c r="AD1525" s="751"/>
      <c r="AE1525" s="751"/>
      <c r="AF1525" s="751"/>
      <c r="AG1525" s="751"/>
    </row>
    <row r="1526" spans="4:33">
      <c r="D1526" s="751"/>
      <c r="E1526" s="751"/>
      <c r="F1526" s="751"/>
      <c r="G1526" s="751"/>
      <c r="H1526" s="751"/>
      <c r="I1526" s="751"/>
      <c r="J1526" s="751"/>
      <c r="K1526" s="751"/>
      <c r="L1526" s="751"/>
      <c r="M1526" s="751"/>
      <c r="N1526" s="751"/>
      <c r="O1526" s="751"/>
      <c r="P1526" s="751"/>
      <c r="Q1526" s="751"/>
      <c r="R1526" s="751"/>
      <c r="S1526" s="751"/>
      <c r="T1526" s="751"/>
      <c r="U1526" s="751"/>
      <c r="V1526" s="751"/>
      <c r="W1526" s="751"/>
      <c r="X1526" s="751"/>
      <c r="Y1526" s="751"/>
      <c r="Z1526" s="751"/>
      <c r="AA1526" s="751"/>
      <c r="AB1526" s="751"/>
      <c r="AC1526" s="751"/>
      <c r="AD1526" s="751"/>
      <c r="AE1526" s="751"/>
      <c r="AF1526" s="751"/>
      <c r="AG1526" s="751"/>
    </row>
    <row r="1527" spans="4:33">
      <c r="D1527" s="751"/>
      <c r="E1527" s="751"/>
      <c r="F1527" s="751"/>
      <c r="G1527" s="751"/>
      <c r="H1527" s="751"/>
      <c r="I1527" s="751"/>
      <c r="J1527" s="751"/>
      <c r="K1527" s="751"/>
      <c r="L1527" s="751"/>
      <c r="M1527" s="751"/>
      <c r="N1527" s="751"/>
      <c r="O1527" s="751"/>
      <c r="P1527" s="751"/>
      <c r="Q1527" s="751"/>
      <c r="R1527" s="751"/>
      <c r="S1527" s="751"/>
      <c r="T1527" s="751"/>
      <c r="U1527" s="751"/>
      <c r="V1527" s="751"/>
      <c r="W1527" s="751"/>
      <c r="X1527" s="751"/>
      <c r="Y1527" s="751"/>
      <c r="Z1527" s="751"/>
      <c r="AA1527" s="751"/>
      <c r="AB1527" s="751"/>
      <c r="AC1527" s="751"/>
      <c r="AD1527" s="751"/>
      <c r="AE1527" s="751"/>
      <c r="AF1527" s="751"/>
      <c r="AG1527" s="751"/>
    </row>
    <row r="1528" spans="4:33">
      <c r="D1528" s="751"/>
      <c r="E1528" s="751"/>
      <c r="F1528" s="751"/>
      <c r="G1528" s="751"/>
      <c r="H1528" s="751"/>
      <c r="I1528" s="751"/>
      <c r="J1528" s="751"/>
      <c r="K1528" s="751"/>
      <c r="L1528" s="751"/>
      <c r="M1528" s="751"/>
      <c r="N1528" s="751"/>
      <c r="O1528" s="751"/>
      <c r="P1528" s="751"/>
      <c r="Q1528" s="751"/>
      <c r="R1528" s="751"/>
      <c r="S1528" s="751"/>
      <c r="T1528" s="751"/>
      <c r="U1528" s="751"/>
      <c r="V1528" s="751"/>
      <c r="W1528" s="751"/>
      <c r="X1528" s="751"/>
      <c r="Y1528" s="751"/>
      <c r="Z1528" s="751"/>
      <c r="AA1528" s="751"/>
      <c r="AB1528" s="751"/>
      <c r="AC1528" s="751"/>
      <c r="AD1528" s="751"/>
      <c r="AE1528" s="751"/>
      <c r="AF1528" s="751"/>
      <c r="AG1528" s="751"/>
    </row>
    <row r="1529" spans="4:33">
      <c r="D1529" s="751"/>
      <c r="E1529" s="751"/>
      <c r="F1529" s="751"/>
      <c r="G1529" s="751"/>
      <c r="H1529" s="751"/>
      <c r="I1529" s="751"/>
      <c r="J1529" s="751"/>
      <c r="K1529" s="751"/>
      <c r="L1529" s="751"/>
      <c r="M1529" s="751"/>
      <c r="N1529" s="751"/>
      <c r="O1529" s="751"/>
      <c r="P1529" s="751"/>
      <c r="Q1529" s="751"/>
      <c r="R1529" s="751"/>
      <c r="S1529" s="751"/>
      <c r="T1529" s="751"/>
      <c r="U1529" s="751"/>
      <c r="V1529" s="751"/>
      <c r="W1529" s="751"/>
      <c r="X1529" s="751"/>
      <c r="Y1529" s="751"/>
      <c r="Z1529" s="751"/>
      <c r="AA1529" s="751"/>
      <c r="AB1529" s="751"/>
      <c r="AC1529" s="751"/>
      <c r="AD1529" s="751"/>
      <c r="AE1529" s="751"/>
      <c r="AF1529" s="751"/>
      <c r="AG1529" s="751"/>
    </row>
    <row r="1530" spans="4:33">
      <c r="D1530" s="751"/>
      <c r="E1530" s="751"/>
      <c r="F1530" s="751"/>
      <c r="G1530" s="751"/>
      <c r="H1530" s="751"/>
      <c r="I1530" s="751"/>
      <c r="J1530" s="751"/>
      <c r="K1530" s="751"/>
      <c r="L1530" s="751"/>
      <c r="M1530" s="751"/>
      <c r="N1530" s="751"/>
      <c r="O1530" s="751"/>
      <c r="P1530" s="751"/>
      <c r="Q1530" s="751"/>
      <c r="R1530" s="751"/>
      <c r="S1530" s="751"/>
      <c r="T1530" s="751"/>
      <c r="U1530" s="751"/>
      <c r="V1530" s="751"/>
      <c r="W1530" s="751"/>
      <c r="X1530" s="751"/>
      <c r="Y1530" s="751"/>
      <c r="Z1530" s="751"/>
      <c r="AA1530" s="751"/>
      <c r="AB1530" s="751"/>
      <c r="AC1530" s="751"/>
      <c r="AD1530" s="751"/>
      <c r="AE1530" s="751"/>
      <c r="AF1530" s="751"/>
      <c r="AG1530" s="751"/>
    </row>
    <row r="1531" spans="4:33">
      <c r="D1531" s="751"/>
      <c r="E1531" s="751"/>
      <c r="F1531" s="751"/>
      <c r="G1531" s="751"/>
      <c r="H1531" s="751"/>
      <c r="I1531" s="751"/>
      <c r="J1531" s="751"/>
      <c r="K1531" s="751"/>
      <c r="L1531" s="751"/>
      <c r="M1531" s="751"/>
      <c r="N1531" s="751"/>
      <c r="O1531" s="751"/>
      <c r="P1531" s="751"/>
      <c r="Q1531" s="751"/>
      <c r="R1531" s="751"/>
      <c r="S1531" s="751"/>
      <c r="T1531" s="751"/>
      <c r="U1531" s="751"/>
      <c r="V1531" s="751"/>
      <c r="W1531" s="751"/>
      <c r="X1531" s="751"/>
      <c r="Y1531" s="751"/>
      <c r="Z1531" s="751"/>
      <c r="AA1531" s="751"/>
      <c r="AB1531" s="751"/>
      <c r="AC1531" s="751"/>
      <c r="AD1531" s="751"/>
      <c r="AE1531" s="751"/>
      <c r="AF1531" s="751"/>
      <c r="AG1531" s="751"/>
    </row>
    <row r="1532" spans="4:33">
      <c r="D1532" s="751"/>
      <c r="E1532" s="751"/>
      <c r="F1532" s="751"/>
      <c r="G1532" s="751"/>
      <c r="H1532" s="751"/>
      <c r="I1532" s="751"/>
      <c r="J1532" s="751"/>
      <c r="K1532" s="751"/>
      <c r="L1532" s="751"/>
      <c r="M1532" s="751"/>
      <c r="N1532" s="751"/>
      <c r="O1532" s="751"/>
      <c r="P1532" s="751"/>
      <c r="Q1532" s="751"/>
      <c r="R1532" s="751"/>
      <c r="S1532" s="751"/>
      <c r="T1532" s="751"/>
      <c r="U1532" s="751"/>
      <c r="V1532" s="751"/>
      <c r="W1532" s="751"/>
      <c r="X1532" s="751"/>
      <c r="Y1532" s="751"/>
      <c r="Z1532" s="751"/>
      <c r="AA1532" s="751"/>
      <c r="AB1532" s="751"/>
      <c r="AC1532" s="751"/>
      <c r="AD1532" s="751"/>
      <c r="AE1532" s="751"/>
      <c r="AF1532" s="751"/>
      <c r="AG1532" s="751"/>
    </row>
    <row r="1533" spans="4:33">
      <c r="D1533" s="751"/>
      <c r="E1533" s="751"/>
      <c r="F1533" s="751"/>
      <c r="G1533" s="751"/>
      <c r="H1533" s="751"/>
      <c r="I1533" s="751"/>
      <c r="J1533" s="751"/>
      <c r="K1533" s="751"/>
      <c r="L1533" s="751"/>
      <c r="M1533" s="751"/>
      <c r="N1533" s="751"/>
      <c r="O1533" s="751"/>
      <c r="P1533" s="751"/>
      <c r="Q1533" s="751"/>
      <c r="R1533" s="751"/>
      <c r="S1533" s="751"/>
      <c r="T1533" s="751"/>
      <c r="U1533" s="751"/>
      <c r="V1533" s="751"/>
      <c r="W1533" s="751"/>
      <c r="X1533" s="751"/>
      <c r="Y1533" s="751"/>
      <c r="Z1533" s="751"/>
      <c r="AA1533" s="751"/>
      <c r="AB1533" s="751"/>
      <c r="AC1533" s="751"/>
      <c r="AD1533" s="751"/>
      <c r="AE1533" s="751"/>
      <c r="AF1533" s="751"/>
      <c r="AG1533" s="751"/>
    </row>
    <row r="1534" spans="4:33">
      <c r="D1534" s="751"/>
      <c r="E1534" s="751"/>
      <c r="F1534" s="751"/>
      <c r="G1534" s="751"/>
      <c r="H1534" s="751"/>
      <c r="I1534" s="751"/>
      <c r="J1534" s="751"/>
      <c r="K1534" s="751"/>
      <c r="L1534" s="751"/>
      <c r="M1534" s="751"/>
      <c r="N1534" s="751"/>
      <c r="O1534" s="751"/>
      <c r="P1534" s="751"/>
      <c r="Q1534" s="751"/>
      <c r="R1534" s="751"/>
      <c r="S1534" s="751"/>
      <c r="T1534" s="751"/>
      <c r="U1534" s="751"/>
      <c r="V1534" s="751"/>
      <c r="W1534" s="751"/>
      <c r="X1534" s="751"/>
      <c r="Y1534" s="751"/>
      <c r="Z1534" s="751"/>
      <c r="AA1534" s="751"/>
      <c r="AB1534" s="751"/>
      <c r="AC1534" s="751"/>
      <c r="AD1534" s="751"/>
      <c r="AE1534" s="751"/>
      <c r="AF1534" s="751"/>
      <c r="AG1534" s="751"/>
    </row>
    <row r="1535" spans="4:33">
      <c r="D1535" s="751"/>
      <c r="E1535" s="751"/>
      <c r="F1535" s="751"/>
      <c r="G1535" s="751"/>
      <c r="H1535" s="751"/>
      <c r="I1535" s="751"/>
      <c r="J1535" s="751"/>
      <c r="K1535" s="751"/>
      <c r="L1535" s="751"/>
      <c r="M1535" s="751"/>
      <c r="N1535" s="751"/>
      <c r="O1535" s="751"/>
      <c r="P1535" s="751"/>
      <c r="Q1535" s="751"/>
      <c r="R1535" s="751"/>
      <c r="S1535" s="751"/>
      <c r="T1535" s="751"/>
      <c r="U1535" s="751"/>
      <c r="V1535" s="751"/>
      <c r="W1535" s="751"/>
      <c r="X1535" s="751"/>
      <c r="Y1535" s="751"/>
      <c r="Z1535" s="751"/>
      <c r="AA1535" s="751"/>
      <c r="AB1535" s="751"/>
      <c r="AC1535" s="751"/>
      <c r="AD1535" s="751"/>
      <c r="AE1535" s="751"/>
      <c r="AF1535" s="751"/>
      <c r="AG1535" s="751"/>
    </row>
    <row r="1536" spans="4:33">
      <c r="D1536" s="751"/>
      <c r="E1536" s="751"/>
      <c r="F1536" s="751"/>
      <c r="G1536" s="751"/>
      <c r="H1536" s="751"/>
      <c r="I1536" s="751"/>
      <c r="J1536" s="751"/>
      <c r="K1536" s="751"/>
      <c r="L1536" s="751"/>
      <c r="M1536" s="751"/>
      <c r="N1536" s="751"/>
      <c r="O1536" s="751"/>
      <c r="P1536" s="751"/>
      <c r="Q1536" s="751"/>
      <c r="R1536" s="751"/>
      <c r="S1536" s="751"/>
      <c r="T1536" s="751"/>
      <c r="U1536" s="751"/>
      <c r="V1536" s="751"/>
      <c r="W1536" s="751"/>
      <c r="X1536" s="751"/>
      <c r="Y1536" s="751"/>
      <c r="Z1536" s="751"/>
      <c r="AA1536" s="751"/>
      <c r="AB1536" s="751"/>
      <c r="AC1536" s="751"/>
      <c r="AD1536" s="751"/>
      <c r="AE1536" s="751"/>
      <c r="AF1536" s="751"/>
      <c r="AG1536" s="751"/>
    </row>
    <row r="1537" spans="4:33">
      <c r="D1537" s="751"/>
      <c r="E1537" s="751"/>
      <c r="F1537" s="751"/>
      <c r="G1537" s="751"/>
      <c r="H1537" s="751"/>
      <c r="I1537" s="751"/>
      <c r="J1537" s="751"/>
      <c r="K1537" s="751"/>
      <c r="L1537" s="751"/>
      <c r="M1537" s="751"/>
      <c r="N1537" s="751"/>
      <c r="O1537" s="751"/>
      <c r="P1537" s="751"/>
      <c r="Q1537" s="751"/>
      <c r="R1537" s="751"/>
      <c r="S1537" s="751"/>
      <c r="T1537" s="751"/>
      <c r="U1537" s="751"/>
      <c r="V1537" s="751"/>
      <c r="W1537" s="751"/>
      <c r="X1537" s="751"/>
      <c r="Y1537" s="751"/>
      <c r="Z1537" s="751"/>
      <c r="AA1537" s="751"/>
      <c r="AB1537" s="751"/>
      <c r="AC1537" s="751"/>
      <c r="AD1537" s="751"/>
      <c r="AE1537" s="751"/>
      <c r="AF1537" s="751"/>
      <c r="AG1537" s="751"/>
    </row>
    <row r="1538" spans="4:33">
      <c r="D1538" s="751"/>
      <c r="E1538" s="751"/>
      <c r="F1538" s="751"/>
      <c r="G1538" s="751"/>
      <c r="H1538" s="751"/>
      <c r="I1538" s="751"/>
      <c r="J1538" s="751"/>
      <c r="K1538" s="751"/>
      <c r="L1538" s="751"/>
      <c r="M1538" s="751"/>
      <c r="N1538" s="751"/>
      <c r="O1538" s="751"/>
      <c r="P1538" s="751"/>
      <c r="Q1538" s="751"/>
      <c r="R1538" s="751"/>
      <c r="S1538" s="751"/>
      <c r="T1538" s="751"/>
      <c r="U1538" s="751"/>
      <c r="V1538" s="751"/>
      <c r="W1538" s="751"/>
      <c r="X1538" s="751"/>
      <c r="Y1538" s="751"/>
      <c r="Z1538" s="751"/>
      <c r="AA1538" s="751"/>
      <c r="AB1538" s="751"/>
      <c r="AC1538" s="751"/>
      <c r="AD1538" s="751"/>
      <c r="AE1538" s="751"/>
      <c r="AF1538" s="751"/>
      <c r="AG1538" s="751"/>
    </row>
    <row r="1539" spans="4:33">
      <c r="D1539" s="751"/>
      <c r="E1539" s="751"/>
      <c r="F1539" s="751"/>
      <c r="G1539" s="751"/>
      <c r="H1539" s="751"/>
      <c r="I1539" s="751"/>
      <c r="J1539" s="751"/>
      <c r="K1539" s="751"/>
      <c r="L1539" s="751"/>
      <c r="M1539" s="751"/>
      <c r="N1539" s="751"/>
      <c r="O1539" s="751"/>
      <c r="P1539" s="751"/>
      <c r="Q1539" s="751"/>
      <c r="R1539" s="751"/>
      <c r="S1539" s="751"/>
      <c r="T1539" s="751"/>
      <c r="U1539" s="751"/>
      <c r="V1539" s="751"/>
      <c r="W1539" s="751"/>
      <c r="X1539" s="751"/>
      <c r="Y1539" s="751"/>
      <c r="Z1539" s="751"/>
      <c r="AA1539" s="751"/>
      <c r="AB1539" s="751"/>
      <c r="AC1539" s="751"/>
      <c r="AD1539" s="751"/>
      <c r="AE1539" s="751"/>
      <c r="AF1539" s="751"/>
      <c r="AG1539" s="751"/>
    </row>
    <row r="1540" spans="4:33">
      <c r="D1540" s="751"/>
      <c r="E1540" s="751"/>
      <c r="F1540" s="751"/>
      <c r="G1540" s="751"/>
      <c r="H1540" s="751"/>
      <c r="I1540" s="751"/>
      <c r="J1540" s="751"/>
      <c r="K1540" s="751"/>
      <c r="L1540" s="751"/>
      <c r="M1540" s="751"/>
      <c r="N1540" s="751"/>
      <c r="O1540" s="751"/>
      <c r="P1540" s="751"/>
      <c r="Q1540" s="751"/>
      <c r="R1540" s="751"/>
      <c r="S1540" s="751"/>
      <c r="T1540" s="751"/>
      <c r="U1540" s="751"/>
      <c r="V1540" s="751"/>
      <c r="W1540" s="751"/>
      <c r="X1540" s="751"/>
      <c r="Y1540" s="751"/>
      <c r="Z1540" s="751"/>
      <c r="AA1540" s="751"/>
      <c r="AB1540" s="751"/>
      <c r="AC1540" s="751"/>
      <c r="AD1540" s="751"/>
      <c r="AE1540" s="751"/>
      <c r="AF1540" s="751"/>
      <c r="AG1540" s="751"/>
    </row>
    <row r="1541" spans="4:33">
      <c r="D1541" s="751"/>
      <c r="E1541" s="751"/>
      <c r="F1541" s="751"/>
      <c r="G1541" s="751"/>
      <c r="H1541" s="751"/>
      <c r="I1541" s="751"/>
      <c r="J1541" s="751"/>
      <c r="K1541" s="751"/>
      <c r="L1541" s="751"/>
      <c r="M1541" s="751"/>
      <c r="N1541" s="751"/>
      <c r="O1541" s="751"/>
      <c r="P1541" s="751"/>
      <c r="Q1541" s="751"/>
      <c r="R1541" s="751"/>
      <c r="S1541" s="751"/>
      <c r="T1541" s="751"/>
      <c r="U1541" s="751"/>
      <c r="V1541" s="751"/>
      <c r="W1541" s="751"/>
      <c r="X1541" s="751"/>
      <c r="Y1541" s="751"/>
      <c r="Z1541" s="751"/>
      <c r="AA1541" s="751"/>
      <c r="AB1541" s="751"/>
      <c r="AC1541" s="751"/>
      <c r="AD1541" s="751"/>
      <c r="AE1541" s="751"/>
      <c r="AF1541" s="751"/>
      <c r="AG1541" s="751"/>
    </row>
    <row r="1542" spans="4:33">
      <c r="D1542" s="751"/>
      <c r="E1542" s="751"/>
      <c r="F1542" s="751"/>
      <c r="G1542" s="751"/>
      <c r="H1542" s="751"/>
      <c r="I1542" s="751"/>
      <c r="J1542" s="751"/>
      <c r="K1542" s="751"/>
      <c r="L1542" s="751"/>
      <c r="M1542" s="751"/>
      <c r="N1542" s="751"/>
      <c r="O1542" s="751"/>
      <c r="P1542" s="751"/>
      <c r="Q1542" s="751"/>
      <c r="R1542" s="751"/>
      <c r="S1542" s="751"/>
      <c r="T1542" s="751"/>
      <c r="U1542" s="751"/>
      <c r="V1542" s="751"/>
      <c r="W1542" s="751"/>
      <c r="X1542" s="751"/>
      <c r="Y1542" s="751"/>
      <c r="Z1542" s="751"/>
      <c r="AA1542" s="751"/>
      <c r="AB1542" s="751"/>
      <c r="AC1542" s="751"/>
      <c r="AD1542" s="751"/>
      <c r="AE1542" s="751"/>
      <c r="AF1542" s="751"/>
      <c r="AG1542" s="751"/>
    </row>
    <row r="1543" spans="4:33">
      <c r="D1543" s="751"/>
      <c r="E1543" s="751"/>
      <c r="F1543" s="751"/>
      <c r="G1543" s="751"/>
      <c r="H1543" s="751"/>
      <c r="I1543" s="751"/>
      <c r="J1543" s="751"/>
      <c r="K1543" s="751"/>
      <c r="L1543" s="751"/>
      <c r="M1543" s="751"/>
      <c r="N1543" s="751"/>
      <c r="O1543" s="751"/>
      <c r="P1543" s="751"/>
      <c r="Q1543" s="751"/>
      <c r="R1543" s="751"/>
      <c r="S1543" s="751"/>
      <c r="T1543" s="751"/>
      <c r="U1543" s="751"/>
      <c r="V1543" s="751"/>
      <c r="W1543" s="751"/>
      <c r="X1543" s="751"/>
      <c r="Y1543" s="751"/>
      <c r="Z1543" s="751"/>
      <c r="AA1543" s="751"/>
      <c r="AB1543" s="751"/>
      <c r="AC1543" s="751"/>
      <c r="AD1543" s="751"/>
      <c r="AE1543" s="751"/>
      <c r="AF1543" s="751"/>
      <c r="AG1543" s="751"/>
    </row>
    <row r="1544" spans="4:33">
      <c r="D1544" s="751"/>
      <c r="E1544" s="751"/>
      <c r="F1544" s="751"/>
      <c r="G1544" s="751"/>
      <c r="H1544" s="751"/>
      <c r="I1544" s="751"/>
      <c r="J1544" s="751"/>
      <c r="K1544" s="751"/>
      <c r="L1544" s="751"/>
      <c r="M1544" s="751"/>
      <c r="N1544" s="751"/>
      <c r="O1544" s="751"/>
      <c r="P1544" s="751"/>
      <c r="Q1544" s="751"/>
      <c r="R1544" s="751"/>
      <c r="S1544" s="751"/>
      <c r="T1544" s="751"/>
      <c r="U1544" s="751"/>
      <c r="V1544" s="751"/>
      <c r="W1544" s="751"/>
      <c r="X1544" s="751"/>
      <c r="Y1544" s="751"/>
      <c r="Z1544" s="751"/>
      <c r="AA1544" s="751"/>
      <c r="AB1544" s="751"/>
      <c r="AC1544" s="751"/>
      <c r="AD1544" s="751"/>
      <c r="AE1544" s="751"/>
      <c r="AF1544" s="751"/>
      <c r="AG1544" s="751"/>
    </row>
    <row r="1545" spans="4:33">
      <c r="D1545" s="751"/>
      <c r="E1545" s="751"/>
      <c r="F1545" s="751"/>
      <c r="G1545" s="751"/>
      <c r="H1545" s="751"/>
      <c r="I1545" s="751"/>
      <c r="J1545" s="751"/>
      <c r="K1545" s="751"/>
      <c r="L1545" s="751"/>
      <c r="M1545" s="751"/>
      <c r="N1545" s="751"/>
      <c r="O1545" s="751"/>
      <c r="P1545" s="751"/>
      <c r="Q1545" s="751"/>
      <c r="R1545" s="751"/>
      <c r="S1545" s="751"/>
      <c r="T1545" s="751"/>
      <c r="U1545" s="751"/>
      <c r="V1545" s="751"/>
      <c r="W1545" s="751"/>
      <c r="X1545" s="751"/>
      <c r="Y1545" s="751"/>
      <c r="Z1545" s="751"/>
      <c r="AA1545" s="751"/>
      <c r="AB1545" s="751"/>
      <c r="AC1545" s="751"/>
      <c r="AD1545" s="751"/>
      <c r="AE1545" s="751"/>
      <c r="AF1545" s="751"/>
      <c r="AG1545" s="751"/>
    </row>
    <row r="1546" spans="4:33">
      <c r="D1546" s="751"/>
      <c r="E1546" s="751"/>
      <c r="F1546" s="751"/>
      <c r="G1546" s="751"/>
      <c r="H1546" s="751"/>
      <c r="I1546" s="751"/>
      <c r="J1546" s="751"/>
      <c r="K1546" s="751"/>
      <c r="L1546" s="751"/>
      <c r="M1546" s="751"/>
      <c r="N1546" s="751"/>
      <c r="O1546" s="751"/>
      <c r="P1546" s="751"/>
      <c r="Q1546" s="751"/>
      <c r="R1546" s="751"/>
      <c r="S1546" s="751"/>
      <c r="T1546" s="751"/>
      <c r="U1546" s="751"/>
      <c r="V1546" s="751"/>
      <c r="W1546" s="751"/>
      <c r="X1546" s="751"/>
      <c r="Y1546" s="751"/>
      <c r="Z1546" s="751"/>
      <c r="AA1546" s="751"/>
      <c r="AB1546" s="751"/>
      <c r="AC1546" s="751"/>
      <c r="AD1546" s="751"/>
      <c r="AE1546" s="751"/>
      <c r="AF1546" s="751"/>
      <c r="AG1546" s="751"/>
    </row>
    <row r="1547" spans="4:33">
      <c r="D1547" s="751"/>
      <c r="E1547" s="751"/>
      <c r="F1547" s="751"/>
      <c r="G1547" s="751"/>
      <c r="H1547" s="751"/>
      <c r="I1547" s="751"/>
      <c r="J1547" s="751"/>
      <c r="K1547" s="751"/>
      <c r="L1547" s="751"/>
      <c r="M1547" s="751"/>
      <c r="N1547" s="751"/>
      <c r="O1547" s="751"/>
      <c r="P1547" s="751"/>
      <c r="Q1547" s="751"/>
      <c r="R1547" s="751"/>
      <c r="S1547" s="751"/>
      <c r="T1547" s="751"/>
      <c r="U1547" s="751"/>
      <c r="V1547" s="751"/>
      <c r="W1547" s="751"/>
      <c r="X1547" s="751"/>
      <c r="Y1547" s="751"/>
      <c r="Z1547" s="751"/>
      <c r="AA1547" s="751"/>
      <c r="AB1547" s="751"/>
      <c r="AC1547" s="751"/>
      <c r="AD1547" s="751"/>
      <c r="AE1547" s="751"/>
      <c r="AF1547" s="751"/>
      <c r="AG1547" s="751"/>
    </row>
    <row r="1548" spans="4:33">
      <c r="D1548" s="751"/>
      <c r="E1548" s="751"/>
      <c r="F1548" s="751"/>
      <c r="G1548" s="751"/>
      <c r="H1548" s="751"/>
      <c r="I1548" s="751"/>
      <c r="J1548" s="751"/>
      <c r="K1548" s="751"/>
      <c r="L1548" s="751"/>
      <c r="M1548" s="751"/>
      <c r="N1548" s="751"/>
      <c r="O1548" s="751"/>
      <c r="P1548" s="751"/>
      <c r="Q1548" s="751"/>
      <c r="R1548" s="751"/>
      <c r="S1548" s="751"/>
      <c r="T1548" s="751"/>
      <c r="U1548" s="751"/>
      <c r="V1548" s="751"/>
      <c r="W1548" s="751"/>
      <c r="X1548" s="751"/>
      <c r="Y1548" s="751"/>
      <c r="Z1548" s="751"/>
      <c r="AA1548" s="751"/>
      <c r="AB1548" s="751"/>
      <c r="AC1548" s="751"/>
      <c r="AD1548" s="751"/>
      <c r="AE1548" s="751"/>
      <c r="AF1548" s="751"/>
      <c r="AG1548" s="751"/>
    </row>
    <row r="1549" spans="4:33">
      <c r="D1549" s="751"/>
      <c r="E1549" s="751"/>
      <c r="F1549" s="751"/>
      <c r="G1549" s="751"/>
      <c r="H1549" s="751"/>
      <c r="I1549" s="751"/>
      <c r="J1549" s="751"/>
      <c r="K1549" s="751"/>
      <c r="L1549" s="751"/>
      <c r="M1549" s="751"/>
      <c r="N1549" s="751"/>
      <c r="O1549" s="751"/>
      <c r="P1549" s="751"/>
      <c r="Q1549" s="751"/>
      <c r="R1549" s="751"/>
      <c r="S1549" s="751"/>
      <c r="T1549" s="751"/>
      <c r="U1549" s="751"/>
      <c r="V1549" s="751"/>
      <c r="W1549" s="751"/>
      <c r="X1549" s="751"/>
      <c r="Y1549" s="751"/>
      <c r="Z1549" s="751"/>
      <c r="AA1549" s="751"/>
      <c r="AB1549" s="751"/>
      <c r="AC1549" s="751"/>
      <c r="AD1549" s="751"/>
      <c r="AE1549" s="751"/>
      <c r="AF1549" s="751"/>
      <c r="AG1549" s="751"/>
    </row>
    <row r="1550" spans="4:33">
      <c r="D1550" s="751"/>
      <c r="E1550" s="751"/>
      <c r="F1550" s="751"/>
      <c r="G1550" s="751"/>
      <c r="H1550" s="751"/>
      <c r="I1550" s="751"/>
      <c r="J1550" s="751"/>
      <c r="K1550" s="751"/>
      <c r="L1550" s="751"/>
      <c r="M1550" s="751"/>
      <c r="N1550" s="751"/>
      <c r="O1550" s="751"/>
      <c r="P1550" s="751"/>
      <c r="Q1550" s="751"/>
      <c r="R1550" s="751"/>
      <c r="S1550" s="751"/>
      <c r="T1550" s="751"/>
      <c r="U1550" s="751"/>
      <c r="V1550" s="751"/>
      <c r="W1550" s="751"/>
      <c r="X1550" s="751"/>
      <c r="Y1550" s="751"/>
      <c r="Z1550" s="751"/>
      <c r="AA1550" s="751"/>
      <c r="AB1550" s="751"/>
      <c r="AC1550" s="751"/>
      <c r="AD1550" s="751"/>
      <c r="AE1550" s="751"/>
      <c r="AF1550" s="751"/>
      <c r="AG1550" s="751"/>
    </row>
    <row r="1551" spans="4:33">
      <c r="D1551" s="751"/>
      <c r="E1551" s="751"/>
      <c r="F1551" s="751"/>
      <c r="G1551" s="751"/>
      <c r="H1551" s="751"/>
      <c r="I1551" s="751"/>
      <c r="J1551" s="751"/>
      <c r="K1551" s="751"/>
      <c r="L1551" s="751"/>
      <c r="M1551" s="751"/>
      <c r="N1551" s="751"/>
      <c r="O1551" s="751"/>
      <c r="P1551" s="751"/>
      <c r="Q1551" s="751"/>
      <c r="R1551" s="751"/>
      <c r="S1551" s="751"/>
      <c r="T1551" s="751"/>
      <c r="U1551" s="751"/>
      <c r="V1551" s="751"/>
      <c r="W1551" s="751"/>
      <c r="X1551" s="751"/>
      <c r="Y1551" s="751"/>
      <c r="Z1551" s="751"/>
      <c r="AA1551" s="751"/>
      <c r="AB1551" s="751"/>
      <c r="AC1551" s="751"/>
      <c r="AD1551" s="751"/>
      <c r="AE1551" s="751"/>
      <c r="AF1551" s="751"/>
      <c r="AG1551" s="751"/>
    </row>
    <row r="1552" spans="4:33">
      <c r="D1552" s="751"/>
      <c r="E1552" s="751"/>
      <c r="F1552" s="751"/>
      <c r="G1552" s="751"/>
      <c r="H1552" s="751"/>
      <c r="I1552" s="751"/>
      <c r="J1552" s="751"/>
      <c r="K1552" s="751"/>
      <c r="L1552" s="751"/>
      <c r="M1552" s="751"/>
      <c r="N1552" s="751"/>
      <c r="O1552" s="751"/>
      <c r="P1552" s="751"/>
      <c r="Q1552" s="751"/>
      <c r="R1552" s="751"/>
      <c r="S1552" s="751"/>
      <c r="T1552" s="751"/>
      <c r="U1552" s="751"/>
      <c r="V1552" s="751"/>
      <c r="W1552" s="751"/>
      <c r="X1552" s="751"/>
      <c r="Y1552" s="751"/>
      <c r="Z1552" s="751"/>
      <c r="AA1552" s="751"/>
      <c r="AB1552" s="751"/>
      <c r="AC1552" s="751"/>
      <c r="AD1552" s="751"/>
      <c r="AE1552" s="751"/>
      <c r="AF1552" s="751"/>
      <c r="AG1552" s="751"/>
    </row>
    <row r="1553" spans="4:33">
      <c r="D1553" s="751"/>
      <c r="E1553" s="751"/>
      <c r="F1553" s="751"/>
      <c r="G1553" s="751"/>
      <c r="H1553" s="751"/>
      <c r="I1553" s="751"/>
      <c r="J1553" s="751"/>
      <c r="K1553" s="751"/>
      <c r="L1553" s="751"/>
      <c r="M1553" s="751"/>
      <c r="N1553" s="751"/>
      <c r="O1553" s="751"/>
      <c r="P1553" s="751"/>
      <c r="Q1553" s="751"/>
      <c r="R1553" s="751"/>
      <c r="S1553" s="751"/>
      <c r="T1553" s="751"/>
      <c r="U1553" s="751"/>
      <c r="V1553" s="751"/>
      <c r="W1553" s="751"/>
      <c r="X1553" s="751"/>
      <c r="Y1553" s="751"/>
      <c r="Z1553" s="751"/>
      <c r="AA1553" s="751"/>
      <c r="AB1553" s="751"/>
      <c r="AC1553" s="751"/>
      <c r="AD1553" s="751"/>
      <c r="AE1553" s="751"/>
      <c r="AF1553" s="751"/>
      <c r="AG1553" s="751"/>
    </row>
    <row r="1554" spans="4:33">
      <c r="D1554" s="751"/>
      <c r="E1554" s="751"/>
      <c r="F1554" s="751"/>
      <c r="G1554" s="751"/>
      <c r="H1554" s="751"/>
      <c r="I1554" s="751"/>
      <c r="J1554" s="751"/>
      <c r="K1554" s="751"/>
      <c r="L1554" s="751"/>
      <c r="M1554" s="751"/>
      <c r="N1554" s="751"/>
      <c r="O1554" s="751"/>
      <c r="P1554" s="751"/>
      <c r="Q1554" s="751"/>
      <c r="R1554" s="751"/>
      <c r="S1554" s="751"/>
      <c r="T1554" s="751"/>
      <c r="U1554" s="751"/>
      <c r="V1554" s="751"/>
      <c r="W1554" s="751"/>
      <c r="X1554" s="751"/>
      <c r="Y1554" s="751"/>
      <c r="Z1554" s="751"/>
      <c r="AA1554" s="751"/>
      <c r="AB1554" s="751"/>
      <c r="AC1554" s="751"/>
      <c r="AD1554" s="751"/>
      <c r="AE1554" s="751"/>
      <c r="AF1554" s="751"/>
      <c r="AG1554" s="751"/>
    </row>
    <row r="1555" spans="4:33">
      <c r="D1555" s="751"/>
      <c r="E1555" s="751"/>
      <c r="F1555" s="751"/>
      <c r="G1555" s="751"/>
      <c r="H1555" s="751"/>
      <c r="I1555" s="751"/>
      <c r="J1555" s="751"/>
      <c r="K1555" s="751"/>
      <c r="L1555" s="751"/>
      <c r="M1555" s="751"/>
      <c r="N1555" s="751"/>
      <c r="O1555" s="751"/>
      <c r="P1555" s="751"/>
      <c r="Q1555" s="751"/>
      <c r="R1555" s="751"/>
      <c r="S1555" s="751"/>
      <c r="T1555" s="751"/>
      <c r="U1555" s="751"/>
      <c r="V1555" s="751"/>
      <c r="W1555" s="751"/>
      <c r="X1555" s="751"/>
      <c r="Y1555" s="751"/>
      <c r="Z1555" s="751"/>
      <c r="AA1555" s="751"/>
      <c r="AB1555" s="751"/>
      <c r="AC1555" s="751"/>
      <c r="AD1555" s="751"/>
      <c r="AE1555" s="751"/>
      <c r="AF1555" s="751"/>
      <c r="AG1555" s="751"/>
    </row>
    <row r="1556" spans="4:33">
      <c r="D1556" s="751"/>
      <c r="E1556" s="751"/>
      <c r="F1556" s="751"/>
      <c r="G1556" s="751"/>
      <c r="H1556" s="751"/>
      <c r="I1556" s="751"/>
      <c r="J1556" s="751"/>
      <c r="K1556" s="751"/>
      <c r="L1556" s="751"/>
      <c r="M1556" s="751"/>
      <c r="N1556" s="751"/>
      <c r="O1556" s="751"/>
      <c r="P1556" s="751"/>
      <c r="Q1556" s="751"/>
      <c r="R1556" s="751"/>
      <c r="S1556" s="751"/>
      <c r="T1556" s="751"/>
      <c r="U1556" s="751"/>
      <c r="V1556" s="751"/>
      <c r="W1556" s="751"/>
      <c r="X1556" s="751"/>
      <c r="Y1556" s="751"/>
      <c r="Z1556" s="751"/>
      <c r="AA1556" s="751"/>
      <c r="AB1556" s="751"/>
      <c r="AC1556" s="751"/>
      <c r="AD1556" s="751"/>
      <c r="AE1556" s="751"/>
      <c r="AF1556" s="751"/>
      <c r="AG1556" s="751"/>
    </row>
    <row r="1557" spans="4:33">
      <c r="D1557" s="751"/>
      <c r="E1557" s="751"/>
      <c r="F1557" s="751"/>
      <c r="G1557" s="751"/>
      <c r="H1557" s="751"/>
      <c r="I1557" s="751"/>
      <c r="J1557" s="751"/>
      <c r="K1557" s="751"/>
      <c r="L1557" s="751"/>
      <c r="M1557" s="751"/>
      <c r="N1557" s="751"/>
      <c r="O1557" s="751"/>
      <c r="P1557" s="751"/>
      <c r="Q1557" s="751"/>
      <c r="R1557" s="751"/>
      <c r="S1557" s="751"/>
      <c r="T1557" s="751"/>
      <c r="U1557" s="751"/>
      <c r="V1557" s="751"/>
      <c r="W1557" s="751"/>
      <c r="X1557" s="751"/>
      <c r="Y1557" s="751"/>
      <c r="Z1557" s="751"/>
      <c r="AA1557" s="751"/>
      <c r="AB1557" s="751"/>
      <c r="AC1557" s="751"/>
      <c r="AD1557" s="751"/>
      <c r="AE1557" s="751"/>
      <c r="AF1557" s="751"/>
      <c r="AG1557" s="751"/>
    </row>
    <row r="1558" spans="4:33">
      <c r="D1558" s="751"/>
      <c r="E1558" s="751"/>
      <c r="F1558" s="751"/>
      <c r="G1558" s="751"/>
      <c r="H1558" s="751"/>
      <c r="I1558" s="751"/>
      <c r="J1558" s="751"/>
      <c r="K1558" s="751"/>
      <c r="L1558" s="751"/>
      <c r="M1558" s="751"/>
      <c r="N1558" s="751"/>
      <c r="O1558" s="751"/>
      <c r="P1558" s="751"/>
      <c r="Q1558" s="751"/>
      <c r="R1558" s="751"/>
      <c r="S1558" s="751"/>
      <c r="T1558" s="751"/>
      <c r="U1558" s="751"/>
      <c r="V1558" s="751"/>
      <c r="W1558" s="751"/>
      <c r="X1558" s="751"/>
      <c r="Y1558" s="751"/>
      <c r="Z1558" s="751"/>
      <c r="AA1558" s="751"/>
      <c r="AB1558" s="751"/>
      <c r="AC1558" s="751"/>
      <c r="AD1558" s="751"/>
      <c r="AE1558" s="751"/>
      <c r="AF1558" s="751"/>
      <c r="AG1558" s="751"/>
    </row>
    <row r="1559" spans="4:33">
      <c r="D1559" s="751"/>
      <c r="E1559" s="751"/>
      <c r="F1559" s="751"/>
      <c r="G1559" s="751"/>
      <c r="H1559" s="751"/>
      <c r="I1559" s="751"/>
      <c r="J1559" s="751"/>
      <c r="K1559" s="751"/>
      <c r="L1559" s="751"/>
      <c r="M1559" s="751"/>
      <c r="N1559" s="751"/>
      <c r="O1559" s="751"/>
      <c r="P1559" s="751"/>
      <c r="Q1559" s="751"/>
      <c r="R1559" s="751"/>
      <c r="S1559" s="751"/>
      <c r="T1559" s="751"/>
      <c r="U1559" s="751"/>
      <c r="V1559" s="751"/>
      <c r="W1559" s="751"/>
      <c r="X1559" s="751"/>
      <c r="Y1559" s="751"/>
      <c r="Z1559" s="751"/>
      <c r="AA1559" s="751"/>
      <c r="AB1559" s="751"/>
      <c r="AC1559" s="751"/>
      <c r="AD1559" s="751"/>
      <c r="AE1559" s="751"/>
      <c r="AF1559" s="751"/>
      <c r="AG1559" s="751"/>
    </row>
    <row r="1560" spans="4:33">
      <c r="D1560" s="751"/>
      <c r="E1560" s="751"/>
      <c r="F1560" s="751"/>
      <c r="G1560" s="751"/>
      <c r="H1560" s="751"/>
      <c r="I1560" s="751"/>
      <c r="J1560" s="751"/>
      <c r="K1560" s="751"/>
      <c r="L1560" s="751"/>
      <c r="M1560" s="751"/>
      <c r="N1560" s="751"/>
      <c r="O1560" s="751"/>
      <c r="P1560" s="751"/>
      <c r="Q1560" s="751"/>
      <c r="R1560" s="751"/>
      <c r="S1560" s="751"/>
      <c r="T1560" s="751"/>
      <c r="U1560" s="751"/>
      <c r="V1560" s="751"/>
      <c r="W1560" s="751"/>
      <c r="X1560" s="751"/>
      <c r="Y1560" s="751"/>
      <c r="Z1560" s="751"/>
      <c r="AA1560" s="751"/>
      <c r="AB1560" s="751"/>
      <c r="AC1560" s="751"/>
      <c r="AD1560" s="751"/>
      <c r="AE1560" s="751"/>
      <c r="AF1560" s="751"/>
      <c r="AG1560" s="751"/>
    </row>
    <row r="1561" spans="4:33">
      <c r="D1561" s="751"/>
      <c r="E1561" s="751"/>
      <c r="F1561" s="751"/>
      <c r="G1561" s="751"/>
      <c r="H1561" s="751"/>
      <c r="I1561" s="751"/>
      <c r="J1561" s="751"/>
      <c r="K1561" s="751"/>
      <c r="L1561" s="751"/>
      <c r="M1561" s="751"/>
      <c r="N1561" s="751"/>
      <c r="O1561" s="751"/>
      <c r="P1561" s="751"/>
      <c r="Q1561" s="751"/>
      <c r="R1561" s="751"/>
      <c r="S1561" s="751"/>
      <c r="T1561" s="751"/>
      <c r="U1561" s="751"/>
      <c r="V1561" s="751"/>
      <c r="W1561" s="751"/>
      <c r="X1561" s="751"/>
      <c r="Y1561" s="751"/>
      <c r="Z1561" s="751"/>
      <c r="AA1561" s="751"/>
      <c r="AB1561" s="751"/>
      <c r="AC1561" s="751"/>
      <c r="AD1561" s="751"/>
      <c r="AE1561" s="751"/>
      <c r="AF1561" s="751"/>
      <c r="AG1561" s="751"/>
    </row>
    <row r="1562" spans="4:33">
      <c r="D1562" s="751"/>
      <c r="E1562" s="751"/>
      <c r="F1562" s="751"/>
      <c r="G1562" s="751"/>
      <c r="H1562" s="751"/>
      <c r="I1562" s="751"/>
      <c r="J1562" s="751"/>
      <c r="K1562" s="751"/>
      <c r="L1562" s="751"/>
      <c r="M1562" s="751"/>
      <c r="N1562" s="751"/>
      <c r="O1562" s="751"/>
      <c r="P1562" s="751"/>
      <c r="Q1562" s="751"/>
      <c r="R1562" s="751"/>
      <c r="S1562" s="751"/>
      <c r="T1562" s="751"/>
      <c r="U1562" s="751"/>
      <c r="V1562" s="751"/>
      <c r="W1562" s="751"/>
      <c r="X1562" s="751"/>
      <c r="Y1562" s="751"/>
      <c r="Z1562" s="751"/>
      <c r="AA1562" s="751"/>
      <c r="AB1562" s="751"/>
      <c r="AC1562" s="751"/>
      <c r="AD1562" s="751"/>
      <c r="AE1562" s="751"/>
      <c r="AF1562" s="751"/>
      <c r="AG1562" s="751"/>
    </row>
    <row r="1563" spans="4:33">
      <c r="D1563" s="751"/>
      <c r="E1563" s="751"/>
      <c r="F1563" s="751"/>
      <c r="G1563" s="751"/>
      <c r="H1563" s="751"/>
      <c r="I1563" s="751"/>
      <c r="J1563" s="751"/>
      <c r="K1563" s="751"/>
      <c r="L1563" s="751"/>
      <c r="M1563" s="751"/>
      <c r="N1563" s="751"/>
      <c r="O1563" s="751"/>
      <c r="P1563" s="751"/>
      <c r="Q1563" s="751"/>
      <c r="R1563" s="751"/>
      <c r="S1563" s="751"/>
      <c r="T1563" s="751"/>
      <c r="U1563" s="751"/>
      <c r="V1563" s="751"/>
      <c r="W1563" s="751"/>
      <c r="X1563" s="751"/>
      <c r="Y1563" s="751"/>
      <c r="Z1563" s="751"/>
      <c r="AA1563" s="751"/>
      <c r="AB1563" s="751"/>
      <c r="AC1563" s="751"/>
      <c r="AD1563" s="751"/>
      <c r="AE1563" s="751"/>
      <c r="AF1563" s="751"/>
      <c r="AG1563" s="751"/>
    </row>
    <row r="1564" spans="4:33">
      <c r="D1564" s="751"/>
      <c r="E1564" s="751"/>
      <c r="F1564" s="751"/>
      <c r="G1564" s="751"/>
      <c r="H1564" s="751"/>
      <c r="I1564" s="751"/>
      <c r="J1564" s="751"/>
      <c r="K1564" s="751"/>
      <c r="L1564" s="751"/>
      <c r="M1564" s="751"/>
      <c r="N1564" s="751"/>
      <c r="O1564" s="751"/>
      <c r="P1564" s="751"/>
      <c r="Q1564" s="751"/>
      <c r="R1564" s="751"/>
      <c r="S1564" s="751"/>
      <c r="T1564" s="751"/>
      <c r="U1564" s="751"/>
      <c r="V1564" s="751"/>
      <c r="W1564" s="751"/>
      <c r="X1564" s="751"/>
      <c r="Y1564" s="751"/>
      <c r="Z1564" s="751"/>
      <c r="AA1564" s="751"/>
      <c r="AB1564" s="751"/>
      <c r="AC1564" s="751"/>
      <c r="AD1564" s="751"/>
      <c r="AE1564" s="751"/>
      <c r="AF1564" s="751"/>
      <c r="AG1564" s="751"/>
    </row>
    <row r="1565" spans="4:33">
      <c r="D1565" s="751"/>
      <c r="E1565" s="751"/>
      <c r="F1565" s="751"/>
      <c r="G1565" s="751"/>
      <c r="H1565" s="751"/>
      <c r="I1565" s="751"/>
      <c r="J1565" s="751"/>
      <c r="K1565" s="751"/>
      <c r="L1565" s="751"/>
      <c r="M1565" s="751"/>
      <c r="N1565" s="751"/>
      <c r="O1565" s="751"/>
      <c r="P1565" s="751"/>
      <c r="Q1565" s="751"/>
      <c r="R1565" s="751"/>
      <c r="S1565" s="751"/>
      <c r="T1565" s="751"/>
      <c r="U1565" s="751"/>
      <c r="V1565" s="751"/>
      <c r="W1565" s="751"/>
      <c r="X1565" s="751"/>
      <c r="Y1565" s="751"/>
      <c r="Z1565" s="751"/>
      <c r="AA1565" s="751"/>
      <c r="AB1565" s="751"/>
      <c r="AC1565" s="751"/>
      <c r="AD1565" s="751"/>
      <c r="AE1565" s="751"/>
      <c r="AF1565" s="751"/>
      <c r="AG1565" s="751"/>
    </row>
    <row r="1566" spans="4:33">
      <c r="D1566" s="751"/>
      <c r="E1566" s="751"/>
      <c r="F1566" s="751"/>
      <c r="G1566" s="751"/>
      <c r="H1566" s="751"/>
      <c r="I1566" s="751"/>
      <c r="J1566" s="751"/>
      <c r="K1566" s="751"/>
      <c r="L1566" s="751"/>
      <c r="M1566" s="751"/>
      <c r="N1566" s="751"/>
      <c r="O1566" s="751"/>
      <c r="P1566" s="751"/>
      <c r="Q1566" s="751"/>
      <c r="R1566" s="751"/>
      <c r="S1566" s="751"/>
      <c r="T1566" s="751"/>
      <c r="U1566" s="751"/>
      <c r="V1566" s="751"/>
      <c r="W1566" s="751"/>
      <c r="X1566" s="751"/>
      <c r="Y1566" s="751"/>
      <c r="Z1566" s="751"/>
      <c r="AA1566" s="751"/>
      <c r="AB1566" s="751"/>
      <c r="AC1566" s="751"/>
      <c r="AD1566" s="751"/>
      <c r="AE1566" s="751"/>
      <c r="AF1566" s="751"/>
      <c r="AG1566" s="751"/>
    </row>
    <row r="1567" spans="4:33">
      <c r="D1567" s="751"/>
      <c r="E1567" s="751"/>
      <c r="F1567" s="751"/>
      <c r="G1567" s="751"/>
      <c r="H1567" s="751"/>
      <c r="I1567" s="751"/>
      <c r="J1567" s="751"/>
      <c r="K1567" s="751"/>
      <c r="L1567" s="751"/>
      <c r="M1567" s="751"/>
      <c r="N1567" s="751"/>
      <c r="O1567" s="751"/>
      <c r="P1567" s="751"/>
      <c r="Q1567" s="751"/>
      <c r="R1567" s="751"/>
      <c r="S1567" s="751"/>
      <c r="T1567" s="751"/>
      <c r="U1567" s="751"/>
      <c r="V1567" s="751"/>
      <c r="W1567" s="751"/>
      <c r="X1567" s="751"/>
      <c r="Y1567" s="751"/>
      <c r="Z1567" s="751"/>
      <c r="AA1567" s="751"/>
      <c r="AB1567" s="751"/>
      <c r="AC1567" s="751"/>
      <c r="AD1567" s="751"/>
      <c r="AE1567" s="751"/>
      <c r="AF1567" s="751"/>
      <c r="AG1567" s="751"/>
    </row>
    <row r="1568" spans="4:33">
      <c r="D1568" s="751"/>
      <c r="E1568" s="751"/>
      <c r="F1568" s="751"/>
      <c r="G1568" s="751"/>
      <c r="H1568" s="751"/>
      <c r="I1568" s="751"/>
      <c r="J1568" s="751"/>
      <c r="K1568" s="751"/>
      <c r="L1568" s="751"/>
      <c r="M1568" s="751"/>
      <c r="N1568" s="751"/>
      <c r="O1568" s="751"/>
      <c r="P1568" s="751"/>
      <c r="Q1568" s="751"/>
      <c r="R1568" s="751"/>
      <c r="S1568" s="751"/>
      <c r="T1568" s="751"/>
      <c r="U1568" s="751"/>
      <c r="V1568" s="751"/>
      <c r="W1568" s="751"/>
      <c r="X1568" s="751"/>
      <c r="Y1568" s="751"/>
      <c r="Z1568" s="751"/>
      <c r="AA1568" s="751"/>
      <c r="AB1568" s="751"/>
      <c r="AC1568" s="751"/>
      <c r="AD1568" s="751"/>
      <c r="AE1568" s="751"/>
      <c r="AF1568" s="751"/>
      <c r="AG1568" s="751"/>
    </row>
    <row r="1569" spans="4:33">
      <c r="D1569" s="751"/>
      <c r="E1569" s="751"/>
      <c r="F1569" s="751"/>
      <c r="G1569" s="751"/>
      <c r="H1569" s="751"/>
      <c r="I1569" s="751"/>
      <c r="J1569" s="751"/>
      <c r="K1569" s="751"/>
      <c r="L1569" s="751"/>
      <c r="M1569" s="751"/>
      <c r="N1569" s="751"/>
      <c r="O1569" s="751"/>
      <c r="P1569" s="751"/>
      <c r="Q1569" s="751"/>
      <c r="R1569" s="751"/>
      <c r="S1569" s="751"/>
      <c r="T1569" s="751"/>
      <c r="U1569" s="751"/>
      <c r="V1569" s="751"/>
      <c r="W1569" s="751"/>
      <c r="X1569" s="751"/>
      <c r="Y1569" s="751"/>
      <c r="Z1569" s="751"/>
      <c r="AA1569" s="751"/>
      <c r="AB1569" s="751"/>
      <c r="AC1569" s="751"/>
      <c r="AD1569" s="751"/>
      <c r="AE1569" s="751"/>
      <c r="AF1569" s="751"/>
      <c r="AG1569" s="751"/>
    </row>
    <row r="1570" spans="4:33">
      <c r="D1570" s="751"/>
      <c r="E1570" s="751"/>
      <c r="F1570" s="751"/>
      <c r="G1570" s="751"/>
      <c r="H1570" s="751"/>
      <c r="I1570" s="751"/>
      <c r="J1570" s="751"/>
      <c r="K1570" s="751"/>
      <c r="L1570" s="751"/>
      <c r="M1570" s="751"/>
      <c r="N1570" s="751"/>
      <c r="O1570" s="751"/>
      <c r="P1570" s="751"/>
      <c r="Q1570" s="751"/>
      <c r="R1570" s="751"/>
      <c r="S1570" s="751"/>
      <c r="T1570" s="751"/>
      <c r="U1570" s="751"/>
      <c r="V1570" s="751"/>
      <c r="W1570" s="751"/>
      <c r="X1570" s="751"/>
      <c r="Y1570" s="751"/>
      <c r="Z1570" s="751"/>
      <c r="AA1570" s="751"/>
      <c r="AB1570" s="751"/>
      <c r="AC1570" s="751"/>
      <c r="AD1570" s="751"/>
      <c r="AE1570" s="751"/>
      <c r="AF1570" s="751"/>
      <c r="AG1570" s="751"/>
    </row>
    <row r="1571" spans="4:33">
      <c r="D1571" s="751"/>
      <c r="E1571" s="751"/>
      <c r="F1571" s="751"/>
      <c r="G1571" s="751"/>
      <c r="H1571" s="751"/>
      <c r="I1571" s="751"/>
      <c r="J1571" s="751"/>
      <c r="K1571" s="751"/>
      <c r="L1571" s="751"/>
      <c r="M1571" s="751"/>
      <c r="N1571" s="751"/>
      <c r="O1571" s="751"/>
      <c r="P1571" s="751"/>
      <c r="Q1571" s="751"/>
      <c r="R1571" s="751"/>
      <c r="S1571" s="751"/>
      <c r="T1571" s="751"/>
      <c r="U1571" s="751"/>
      <c r="V1571" s="751"/>
      <c r="W1571" s="751"/>
      <c r="X1571" s="751"/>
      <c r="Y1571" s="751"/>
      <c r="Z1571" s="751"/>
      <c r="AA1571" s="751"/>
      <c r="AB1571" s="751"/>
      <c r="AC1571" s="751"/>
      <c r="AD1571" s="751"/>
      <c r="AE1571" s="751"/>
      <c r="AF1571" s="751"/>
      <c r="AG1571" s="751"/>
    </row>
    <row r="1572" spans="4:33">
      <c r="D1572" s="751"/>
      <c r="E1572" s="751"/>
      <c r="F1572" s="751"/>
      <c r="G1572" s="751"/>
      <c r="H1572" s="751"/>
      <c r="I1572" s="751"/>
      <c r="J1572" s="751"/>
      <c r="K1572" s="751"/>
      <c r="L1572" s="751"/>
      <c r="M1572" s="751"/>
      <c r="N1572" s="751"/>
      <c r="O1572" s="751"/>
      <c r="P1572" s="751"/>
      <c r="Q1572" s="751"/>
      <c r="R1572" s="751"/>
      <c r="S1572" s="751"/>
      <c r="T1572" s="751"/>
      <c r="U1572" s="751"/>
      <c r="V1572" s="751"/>
      <c r="W1572" s="751"/>
      <c r="X1572" s="751"/>
      <c r="Y1572" s="751"/>
      <c r="Z1572" s="751"/>
      <c r="AA1572" s="751"/>
      <c r="AB1572" s="751"/>
      <c r="AC1572" s="751"/>
      <c r="AD1572" s="751"/>
      <c r="AE1572" s="751"/>
      <c r="AF1572" s="751"/>
      <c r="AG1572" s="751"/>
    </row>
    <row r="1573" spans="4:33">
      <c r="D1573" s="751"/>
      <c r="E1573" s="751"/>
      <c r="F1573" s="751"/>
      <c r="G1573" s="751"/>
      <c r="H1573" s="751"/>
      <c r="I1573" s="751"/>
      <c r="J1573" s="751"/>
      <c r="K1573" s="751"/>
      <c r="L1573" s="751"/>
      <c r="M1573" s="751"/>
      <c r="N1573" s="751"/>
      <c r="O1573" s="751"/>
      <c r="P1573" s="751"/>
      <c r="Q1573" s="751"/>
      <c r="R1573" s="751"/>
      <c r="S1573" s="751"/>
      <c r="T1573" s="751"/>
      <c r="U1573" s="751"/>
      <c r="V1573" s="751"/>
      <c r="W1573" s="751"/>
      <c r="X1573" s="751"/>
      <c r="Y1573" s="751"/>
      <c r="Z1573" s="751"/>
      <c r="AA1573" s="751"/>
      <c r="AB1573" s="751"/>
      <c r="AC1573" s="751"/>
      <c r="AD1573" s="751"/>
      <c r="AE1573" s="751"/>
      <c r="AF1573" s="751"/>
      <c r="AG1573" s="751"/>
    </row>
    <row r="1574" spans="4:33">
      <c r="D1574" s="751"/>
      <c r="E1574" s="751"/>
      <c r="F1574" s="751"/>
      <c r="G1574" s="751"/>
      <c r="H1574" s="751"/>
      <c r="I1574" s="751"/>
      <c r="J1574" s="751"/>
      <c r="K1574" s="751"/>
      <c r="L1574" s="751"/>
      <c r="M1574" s="751"/>
      <c r="N1574" s="751"/>
      <c r="O1574" s="751"/>
      <c r="P1574" s="751"/>
      <c r="Q1574" s="751"/>
      <c r="R1574" s="751"/>
      <c r="S1574" s="751"/>
      <c r="T1574" s="751"/>
      <c r="U1574" s="751"/>
      <c r="V1574" s="751"/>
      <c r="W1574" s="751"/>
      <c r="X1574" s="751"/>
      <c r="Y1574" s="751"/>
      <c r="Z1574" s="751"/>
      <c r="AA1574" s="751"/>
      <c r="AB1574" s="751"/>
      <c r="AC1574" s="751"/>
      <c r="AD1574" s="751"/>
      <c r="AE1574" s="751"/>
      <c r="AF1574" s="751"/>
      <c r="AG1574" s="751"/>
    </row>
    <row r="1575" spans="4:33">
      <c r="D1575" s="751"/>
      <c r="E1575" s="751"/>
      <c r="F1575" s="751"/>
      <c r="G1575" s="751"/>
      <c r="H1575" s="751"/>
      <c r="I1575" s="751"/>
      <c r="J1575" s="751"/>
      <c r="K1575" s="751"/>
      <c r="L1575" s="751"/>
      <c r="M1575" s="751"/>
      <c r="N1575" s="751"/>
      <c r="O1575" s="751"/>
      <c r="P1575" s="751"/>
      <c r="Q1575" s="751"/>
      <c r="R1575" s="751"/>
      <c r="S1575" s="751"/>
      <c r="T1575" s="751"/>
      <c r="U1575" s="751"/>
      <c r="V1575" s="751"/>
      <c r="W1575" s="751"/>
      <c r="X1575" s="751"/>
      <c r="Y1575" s="751"/>
      <c r="Z1575" s="751"/>
      <c r="AA1575" s="751"/>
      <c r="AB1575" s="751"/>
      <c r="AC1575" s="751"/>
      <c r="AD1575" s="751"/>
      <c r="AE1575" s="751"/>
      <c r="AF1575" s="751"/>
      <c r="AG1575" s="751"/>
    </row>
    <row r="1576" spans="4:33">
      <c r="D1576" s="751"/>
      <c r="E1576" s="751"/>
      <c r="F1576" s="751"/>
      <c r="G1576" s="751"/>
      <c r="H1576" s="751"/>
      <c r="I1576" s="751"/>
      <c r="J1576" s="751"/>
      <c r="K1576" s="751"/>
      <c r="L1576" s="751"/>
      <c r="M1576" s="751"/>
      <c r="N1576" s="751"/>
      <c r="O1576" s="751"/>
      <c r="P1576" s="751"/>
      <c r="Q1576" s="751"/>
      <c r="R1576" s="751"/>
      <c r="S1576" s="751"/>
      <c r="T1576" s="751"/>
      <c r="U1576" s="751"/>
      <c r="V1576" s="751"/>
      <c r="W1576" s="751"/>
      <c r="X1576" s="751"/>
      <c r="Y1576" s="751"/>
      <c r="Z1576" s="751"/>
      <c r="AA1576" s="751"/>
      <c r="AB1576" s="751"/>
      <c r="AC1576" s="751"/>
      <c r="AD1576" s="751"/>
      <c r="AE1576" s="751"/>
      <c r="AF1576" s="751"/>
      <c r="AG1576" s="751"/>
    </row>
    <row r="1577" spans="4:33">
      <c r="D1577" s="751"/>
      <c r="E1577" s="751"/>
      <c r="F1577" s="751"/>
      <c r="G1577" s="751"/>
      <c r="H1577" s="751"/>
      <c r="I1577" s="751"/>
      <c r="J1577" s="751"/>
      <c r="K1577" s="751"/>
      <c r="L1577" s="751"/>
      <c r="M1577" s="751"/>
      <c r="N1577" s="751"/>
      <c r="O1577" s="751"/>
      <c r="P1577" s="751"/>
      <c r="Q1577" s="751"/>
      <c r="R1577" s="751"/>
      <c r="S1577" s="751"/>
      <c r="T1577" s="751"/>
      <c r="U1577" s="751"/>
      <c r="V1577" s="751"/>
      <c r="W1577" s="751"/>
      <c r="X1577" s="751"/>
      <c r="Y1577" s="751"/>
      <c r="Z1577" s="751"/>
      <c r="AA1577" s="751"/>
      <c r="AB1577" s="751"/>
      <c r="AC1577" s="751"/>
      <c r="AD1577" s="751"/>
      <c r="AE1577" s="751"/>
      <c r="AF1577" s="751"/>
      <c r="AG1577" s="751"/>
    </row>
    <row r="1578" spans="4:33">
      <c r="D1578" s="751"/>
      <c r="E1578" s="751"/>
      <c r="F1578" s="751"/>
      <c r="G1578" s="751"/>
      <c r="H1578" s="751"/>
      <c r="I1578" s="751"/>
      <c r="J1578" s="751"/>
      <c r="K1578" s="751"/>
      <c r="L1578" s="751"/>
      <c r="M1578" s="751"/>
      <c r="N1578" s="751"/>
      <c r="O1578" s="751"/>
      <c r="P1578" s="751"/>
      <c r="Q1578" s="751"/>
      <c r="R1578" s="751"/>
      <c r="S1578" s="751"/>
      <c r="T1578" s="751"/>
      <c r="U1578" s="751"/>
      <c r="V1578" s="751"/>
      <c r="W1578" s="751"/>
      <c r="X1578" s="751"/>
      <c r="Y1578" s="751"/>
      <c r="Z1578" s="751"/>
      <c r="AA1578" s="751"/>
      <c r="AB1578" s="751"/>
      <c r="AC1578" s="751"/>
      <c r="AD1578" s="751"/>
      <c r="AE1578" s="751"/>
      <c r="AF1578" s="751"/>
      <c r="AG1578" s="751"/>
    </row>
    <row r="1579" spans="4:33">
      <c r="D1579" s="751"/>
      <c r="E1579" s="751"/>
      <c r="F1579" s="751"/>
      <c r="G1579" s="751"/>
      <c r="H1579" s="751"/>
      <c r="I1579" s="751"/>
      <c r="J1579" s="751"/>
      <c r="K1579" s="751"/>
      <c r="L1579" s="751"/>
      <c r="M1579" s="751"/>
      <c r="N1579" s="751"/>
      <c r="O1579" s="751"/>
      <c r="P1579" s="751"/>
      <c r="Q1579" s="751"/>
      <c r="R1579" s="751"/>
      <c r="S1579" s="751"/>
      <c r="T1579" s="751"/>
      <c r="U1579" s="751"/>
      <c r="V1579" s="751"/>
      <c r="W1579" s="751"/>
      <c r="X1579" s="751"/>
      <c r="Y1579" s="751"/>
      <c r="Z1579" s="751"/>
      <c r="AA1579" s="751"/>
      <c r="AB1579" s="751"/>
      <c r="AC1579" s="751"/>
      <c r="AD1579" s="751"/>
      <c r="AE1579" s="751"/>
      <c r="AF1579" s="751"/>
      <c r="AG1579" s="751"/>
    </row>
    <row r="1580" spans="4:33">
      <c r="D1580" s="751"/>
      <c r="E1580" s="751"/>
      <c r="F1580" s="751"/>
      <c r="G1580" s="751"/>
      <c r="H1580" s="751"/>
      <c r="I1580" s="751"/>
      <c r="J1580" s="751"/>
      <c r="K1580" s="751"/>
      <c r="L1580" s="751"/>
      <c r="M1580" s="751"/>
      <c r="N1580" s="751"/>
      <c r="O1580" s="751"/>
      <c r="P1580" s="751"/>
      <c r="Q1580" s="751"/>
      <c r="R1580" s="751"/>
      <c r="S1580" s="751"/>
      <c r="T1580" s="751"/>
      <c r="U1580" s="751"/>
      <c r="V1580" s="751"/>
      <c r="W1580" s="751"/>
      <c r="X1580" s="751"/>
      <c r="Y1580" s="751"/>
      <c r="Z1580" s="751"/>
      <c r="AA1580" s="751"/>
      <c r="AB1580" s="751"/>
      <c r="AC1580" s="751"/>
      <c r="AD1580" s="751"/>
      <c r="AE1580" s="751"/>
      <c r="AF1580" s="751"/>
      <c r="AG1580" s="751"/>
    </row>
    <row r="1581" spans="4:33">
      <c r="D1581" s="751"/>
      <c r="E1581" s="751"/>
      <c r="F1581" s="751"/>
      <c r="G1581" s="751"/>
      <c r="H1581" s="751"/>
      <c r="I1581" s="751"/>
      <c r="J1581" s="751"/>
      <c r="K1581" s="751"/>
      <c r="L1581" s="751"/>
      <c r="M1581" s="751"/>
      <c r="N1581" s="751"/>
      <c r="O1581" s="751"/>
      <c r="P1581" s="751"/>
      <c r="Q1581" s="751"/>
      <c r="R1581" s="751"/>
      <c r="S1581" s="751"/>
      <c r="T1581" s="751"/>
      <c r="U1581" s="751"/>
      <c r="V1581" s="751"/>
      <c r="W1581" s="751"/>
      <c r="X1581" s="751"/>
      <c r="Y1581" s="751"/>
      <c r="Z1581" s="751"/>
      <c r="AA1581" s="751"/>
      <c r="AB1581" s="751"/>
      <c r="AC1581" s="751"/>
      <c r="AD1581" s="751"/>
      <c r="AE1581" s="751"/>
      <c r="AF1581" s="751"/>
      <c r="AG1581" s="751"/>
    </row>
    <row r="1582" spans="4:33">
      <c r="D1582" s="751"/>
      <c r="E1582" s="751"/>
      <c r="F1582" s="751"/>
      <c r="G1582" s="751"/>
      <c r="H1582" s="751"/>
      <c r="I1582" s="751"/>
      <c r="J1582" s="751"/>
      <c r="K1582" s="751"/>
      <c r="L1582" s="751"/>
      <c r="M1582" s="751"/>
      <c r="N1582" s="751"/>
      <c r="O1582" s="751"/>
      <c r="P1582" s="751"/>
      <c r="Q1582" s="751"/>
      <c r="R1582" s="751"/>
      <c r="S1582" s="751"/>
      <c r="T1582" s="751"/>
      <c r="U1582" s="751"/>
      <c r="V1582" s="751"/>
      <c r="W1582" s="751"/>
      <c r="X1582" s="751"/>
      <c r="Y1582" s="751"/>
      <c r="Z1582" s="751"/>
      <c r="AA1582" s="751"/>
      <c r="AB1582" s="751"/>
      <c r="AC1582" s="751"/>
      <c r="AD1582" s="751"/>
      <c r="AE1582" s="751"/>
      <c r="AF1582" s="751"/>
      <c r="AG1582" s="751"/>
    </row>
    <row r="1583" spans="4:33">
      <c r="D1583" s="751"/>
      <c r="E1583" s="751"/>
      <c r="F1583" s="751"/>
      <c r="G1583" s="751"/>
      <c r="H1583" s="751"/>
      <c r="I1583" s="751"/>
      <c r="J1583" s="751"/>
      <c r="K1583" s="751"/>
      <c r="L1583" s="751"/>
      <c r="M1583" s="751"/>
      <c r="N1583" s="751"/>
      <c r="O1583" s="751"/>
      <c r="P1583" s="751"/>
      <c r="Q1583" s="751"/>
      <c r="R1583" s="751"/>
      <c r="S1583" s="751"/>
      <c r="T1583" s="751"/>
      <c r="U1583" s="751"/>
      <c r="V1583" s="751"/>
      <c r="W1583" s="751"/>
      <c r="X1583" s="751"/>
      <c r="Y1583" s="751"/>
      <c r="Z1583" s="751"/>
      <c r="AA1583" s="751"/>
      <c r="AB1583" s="751"/>
      <c r="AC1583" s="751"/>
      <c r="AD1583" s="751"/>
      <c r="AE1583" s="751"/>
      <c r="AF1583" s="751"/>
      <c r="AG1583" s="751"/>
    </row>
    <row r="1584" spans="4:33">
      <c r="D1584" s="751"/>
      <c r="E1584" s="751"/>
      <c r="F1584" s="751"/>
      <c r="G1584" s="751"/>
      <c r="H1584" s="751"/>
      <c r="I1584" s="751"/>
      <c r="J1584" s="751"/>
      <c r="K1584" s="751"/>
      <c r="L1584" s="751"/>
      <c r="M1584" s="751"/>
      <c r="N1584" s="751"/>
      <c r="O1584" s="751"/>
      <c r="P1584" s="751"/>
      <c r="Q1584" s="751"/>
      <c r="R1584" s="751"/>
      <c r="S1584" s="751"/>
      <c r="T1584" s="751"/>
      <c r="U1584" s="751"/>
      <c r="V1584" s="751"/>
      <c r="W1584" s="751"/>
      <c r="X1584" s="751"/>
      <c r="Y1584" s="751"/>
      <c r="Z1584" s="751"/>
      <c r="AA1584" s="751"/>
      <c r="AB1584" s="751"/>
      <c r="AC1584" s="751"/>
      <c r="AD1584" s="751"/>
      <c r="AE1584" s="751"/>
      <c r="AF1584" s="751"/>
      <c r="AG1584" s="751"/>
    </row>
    <row r="1585" spans="4:33">
      <c r="D1585" s="751"/>
      <c r="E1585" s="751"/>
      <c r="F1585" s="751"/>
      <c r="G1585" s="751"/>
      <c r="H1585" s="751"/>
      <c r="I1585" s="751"/>
      <c r="J1585" s="751"/>
      <c r="K1585" s="751"/>
      <c r="L1585" s="751"/>
      <c r="M1585" s="751"/>
      <c r="N1585" s="751"/>
      <c r="O1585" s="751"/>
      <c r="P1585" s="751"/>
      <c r="Q1585" s="751"/>
      <c r="R1585" s="751"/>
      <c r="S1585" s="751"/>
      <c r="T1585" s="751"/>
      <c r="U1585" s="751"/>
      <c r="V1585" s="751"/>
      <c r="W1585" s="751"/>
      <c r="X1585" s="751"/>
      <c r="Y1585" s="751"/>
      <c r="Z1585" s="751"/>
      <c r="AA1585" s="751"/>
      <c r="AB1585" s="751"/>
      <c r="AC1585" s="751"/>
      <c r="AD1585" s="751"/>
      <c r="AE1585" s="751"/>
      <c r="AF1585" s="751"/>
      <c r="AG1585" s="751"/>
    </row>
    <row r="1586" spans="4:33">
      <c r="D1586" s="751"/>
      <c r="E1586" s="751"/>
      <c r="F1586" s="751"/>
      <c r="G1586" s="751"/>
      <c r="H1586" s="751"/>
      <c r="I1586" s="751"/>
      <c r="J1586" s="751"/>
      <c r="K1586" s="751"/>
      <c r="L1586" s="751"/>
      <c r="M1586" s="751"/>
      <c r="N1586" s="751"/>
      <c r="O1586" s="751"/>
      <c r="P1586" s="751"/>
      <c r="Q1586" s="751"/>
      <c r="R1586" s="751"/>
      <c r="S1586" s="751"/>
      <c r="T1586" s="751"/>
      <c r="U1586" s="751"/>
      <c r="V1586" s="751"/>
      <c r="W1586" s="751"/>
      <c r="X1586" s="751"/>
      <c r="Y1586" s="751"/>
      <c r="Z1586" s="751"/>
      <c r="AA1586" s="751"/>
      <c r="AB1586" s="751"/>
      <c r="AC1586" s="751"/>
      <c r="AD1586" s="751"/>
      <c r="AE1586" s="751"/>
      <c r="AF1586" s="751"/>
      <c r="AG1586" s="751"/>
    </row>
    <row r="1587" spans="4:33">
      <c r="D1587" s="751"/>
      <c r="E1587" s="751"/>
      <c r="F1587" s="751"/>
      <c r="G1587" s="751"/>
      <c r="H1587" s="751"/>
      <c r="I1587" s="751"/>
      <c r="J1587" s="751"/>
      <c r="K1587" s="751"/>
      <c r="L1587" s="751"/>
      <c r="M1587" s="751"/>
      <c r="N1587" s="751"/>
      <c r="O1587" s="751"/>
      <c r="P1587" s="751"/>
      <c r="Q1587" s="751"/>
      <c r="R1587" s="751"/>
      <c r="S1587" s="751"/>
      <c r="T1587" s="751"/>
      <c r="U1587" s="751"/>
      <c r="V1587" s="751"/>
      <c r="W1587" s="751"/>
      <c r="X1587" s="751"/>
      <c r="Y1587" s="751"/>
      <c r="Z1587" s="751"/>
      <c r="AA1587" s="751"/>
      <c r="AB1587" s="751"/>
      <c r="AC1587" s="751"/>
      <c r="AD1587" s="751"/>
      <c r="AE1587" s="751"/>
      <c r="AF1587" s="751"/>
      <c r="AG1587" s="751"/>
    </row>
    <row r="1588" spans="4:33">
      <c r="D1588" s="751"/>
      <c r="E1588" s="751"/>
      <c r="F1588" s="751"/>
      <c r="G1588" s="751"/>
      <c r="H1588" s="751"/>
      <c r="I1588" s="751"/>
      <c r="J1588" s="751"/>
      <c r="K1588" s="751"/>
      <c r="L1588" s="751"/>
      <c r="M1588" s="751"/>
      <c r="N1588" s="751"/>
      <c r="O1588" s="751"/>
      <c r="P1588" s="751"/>
      <c r="Q1588" s="751"/>
      <c r="R1588" s="751"/>
      <c r="S1588" s="751"/>
      <c r="T1588" s="751"/>
      <c r="U1588" s="751"/>
      <c r="V1588" s="751"/>
      <c r="W1588" s="751"/>
      <c r="X1588" s="751"/>
      <c r="Y1588" s="751"/>
      <c r="Z1588" s="751"/>
      <c r="AA1588" s="751"/>
      <c r="AB1588" s="751"/>
      <c r="AC1588" s="751"/>
      <c r="AD1588" s="751"/>
      <c r="AE1588" s="751"/>
      <c r="AF1588" s="751"/>
      <c r="AG1588" s="751"/>
    </row>
    <row r="1589" spans="4:33">
      <c r="D1589" s="751"/>
      <c r="E1589" s="751"/>
      <c r="F1589" s="751"/>
      <c r="G1589" s="751"/>
      <c r="H1589" s="751"/>
      <c r="I1589" s="751"/>
      <c r="J1589" s="751"/>
      <c r="K1589" s="751"/>
      <c r="L1589" s="751"/>
      <c r="M1589" s="751"/>
      <c r="N1589" s="751"/>
      <c r="O1589" s="751"/>
      <c r="P1589" s="751"/>
      <c r="Q1589" s="751"/>
      <c r="R1589" s="751"/>
      <c r="S1589" s="751"/>
      <c r="T1589" s="751"/>
      <c r="U1589" s="751"/>
      <c r="V1589" s="751"/>
      <c r="W1589" s="751"/>
      <c r="X1589" s="751"/>
      <c r="Y1589" s="751"/>
      <c r="Z1589" s="751"/>
      <c r="AA1589" s="751"/>
      <c r="AB1589" s="751"/>
      <c r="AC1589" s="751"/>
      <c r="AD1589" s="751"/>
      <c r="AE1589" s="751"/>
      <c r="AF1589" s="751"/>
      <c r="AG1589" s="751"/>
    </row>
    <row r="1590" spans="4:33">
      <c r="D1590" s="751"/>
      <c r="E1590" s="751"/>
      <c r="F1590" s="751"/>
      <c r="G1590" s="751"/>
      <c r="H1590" s="751"/>
      <c r="I1590" s="751"/>
      <c r="J1590" s="751"/>
      <c r="K1590" s="751"/>
      <c r="L1590" s="751"/>
      <c r="M1590" s="751"/>
      <c r="N1590" s="751"/>
      <c r="O1590" s="751"/>
      <c r="P1590" s="751"/>
      <c r="Q1590" s="751"/>
      <c r="R1590" s="751"/>
      <c r="S1590" s="751"/>
      <c r="T1590" s="751"/>
      <c r="U1590" s="751"/>
      <c r="V1590" s="751"/>
      <c r="W1590" s="751"/>
      <c r="X1590" s="751"/>
      <c r="Y1590" s="751"/>
      <c r="Z1590" s="751"/>
      <c r="AA1590" s="751"/>
      <c r="AB1590" s="751"/>
      <c r="AC1590" s="751"/>
      <c r="AD1590" s="751"/>
      <c r="AE1590" s="751"/>
      <c r="AF1590" s="751"/>
      <c r="AG1590" s="751"/>
    </row>
    <row r="1591" spans="4:33">
      <c r="D1591" s="751"/>
      <c r="E1591" s="751"/>
      <c r="F1591" s="751"/>
      <c r="G1591" s="751"/>
      <c r="H1591" s="751"/>
      <c r="I1591" s="751"/>
      <c r="J1591" s="751"/>
      <c r="K1591" s="751"/>
      <c r="L1591" s="751"/>
      <c r="M1591" s="751"/>
      <c r="N1591" s="751"/>
      <c r="O1591" s="751"/>
      <c r="P1591" s="751"/>
      <c r="Q1591" s="751"/>
      <c r="R1591" s="751"/>
      <c r="S1591" s="751"/>
      <c r="T1591" s="751"/>
      <c r="U1591" s="751"/>
      <c r="V1591" s="751"/>
      <c r="W1591" s="751"/>
      <c r="X1591" s="751"/>
      <c r="Y1591" s="751"/>
      <c r="Z1591" s="751"/>
      <c r="AA1591" s="751"/>
      <c r="AB1591" s="751"/>
      <c r="AC1591" s="751"/>
      <c r="AD1591" s="751"/>
      <c r="AE1591" s="751"/>
      <c r="AF1591" s="751"/>
      <c r="AG1591" s="751"/>
    </row>
    <row r="1592" spans="4:33">
      <c r="D1592" s="751"/>
      <c r="E1592" s="751"/>
      <c r="F1592" s="751"/>
      <c r="G1592" s="751"/>
      <c r="H1592" s="751"/>
      <c r="I1592" s="751"/>
      <c r="J1592" s="751"/>
      <c r="K1592" s="751"/>
      <c r="L1592" s="751"/>
      <c r="M1592" s="751"/>
      <c r="N1592" s="751"/>
      <c r="O1592" s="751"/>
      <c r="P1592" s="751"/>
      <c r="Q1592" s="751"/>
      <c r="R1592" s="751"/>
      <c r="S1592" s="751"/>
      <c r="T1592" s="751"/>
      <c r="U1592" s="751"/>
      <c r="V1592" s="751"/>
      <c r="W1592" s="751"/>
      <c r="X1592" s="751"/>
      <c r="Y1592" s="751"/>
      <c r="Z1592" s="751"/>
      <c r="AA1592" s="751"/>
      <c r="AB1592" s="751"/>
      <c r="AC1592" s="751"/>
      <c r="AD1592" s="751"/>
      <c r="AE1592" s="751"/>
      <c r="AF1592" s="751"/>
      <c r="AG1592" s="751"/>
    </row>
    <row r="1593" spans="4:33">
      <c r="D1593" s="751"/>
      <c r="E1593" s="751"/>
      <c r="F1593" s="751"/>
      <c r="G1593" s="751"/>
      <c r="H1593" s="751"/>
      <c r="I1593" s="751"/>
      <c r="J1593" s="751"/>
      <c r="K1593" s="751"/>
      <c r="L1593" s="751"/>
      <c r="M1593" s="751"/>
      <c r="N1593" s="751"/>
      <c r="O1593" s="751"/>
      <c r="P1593" s="751"/>
      <c r="Q1593" s="751"/>
      <c r="R1593" s="751"/>
      <c r="S1593" s="751"/>
      <c r="T1593" s="751"/>
      <c r="U1593" s="751"/>
      <c r="V1593" s="751"/>
      <c r="W1593" s="751"/>
      <c r="X1593" s="751"/>
      <c r="Y1593" s="751"/>
      <c r="Z1593" s="751"/>
      <c r="AA1593" s="751"/>
      <c r="AB1593" s="751"/>
      <c r="AC1593" s="751"/>
      <c r="AD1593" s="751"/>
      <c r="AE1593" s="751"/>
      <c r="AF1593" s="751"/>
      <c r="AG1593" s="751"/>
    </row>
    <row r="1594" spans="4:33">
      <c r="D1594" s="751"/>
      <c r="E1594" s="751"/>
      <c r="F1594" s="751"/>
      <c r="G1594" s="751"/>
      <c r="H1594" s="751"/>
      <c r="I1594" s="751"/>
      <c r="J1594" s="751"/>
      <c r="K1594" s="751"/>
      <c r="L1594" s="751"/>
      <c r="M1594" s="751"/>
      <c r="N1594" s="751"/>
      <c r="O1594" s="751"/>
      <c r="P1594" s="751"/>
      <c r="Q1594" s="751"/>
      <c r="R1594" s="751"/>
      <c r="S1594" s="751"/>
      <c r="T1594" s="751"/>
      <c r="U1594" s="751"/>
      <c r="V1594" s="751"/>
      <c r="W1594" s="751"/>
      <c r="X1594" s="751"/>
      <c r="Y1594" s="751"/>
      <c r="Z1594" s="751"/>
      <c r="AA1594" s="751"/>
      <c r="AB1594" s="751"/>
      <c r="AC1594" s="751"/>
      <c r="AD1594" s="751"/>
      <c r="AE1594" s="751"/>
      <c r="AF1594" s="751"/>
      <c r="AG1594" s="751"/>
    </row>
    <row r="1595" spans="4:33">
      <c r="D1595" s="751"/>
      <c r="E1595" s="751"/>
      <c r="F1595" s="751"/>
      <c r="G1595" s="751"/>
      <c r="H1595" s="751"/>
      <c r="I1595" s="751"/>
      <c r="J1595" s="751"/>
      <c r="K1595" s="751"/>
      <c r="L1595" s="751"/>
      <c r="M1595" s="751"/>
      <c r="N1595" s="751"/>
      <c r="O1595" s="751"/>
      <c r="P1595" s="751"/>
      <c r="Q1595" s="751"/>
      <c r="R1595" s="751"/>
      <c r="S1595" s="751"/>
      <c r="T1595" s="751"/>
      <c r="U1595" s="751"/>
      <c r="V1595" s="751"/>
      <c r="W1595" s="751"/>
      <c r="X1595" s="751"/>
      <c r="Y1595" s="751"/>
      <c r="Z1595" s="751"/>
      <c r="AA1595" s="751"/>
      <c r="AB1595" s="751"/>
      <c r="AC1595" s="751"/>
      <c r="AD1595" s="751"/>
      <c r="AE1595" s="751"/>
      <c r="AF1595" s="751"/>
      <c r="AG1595" s="751"/>
    </row>
    <row r="1596" spans="4:33">
      <c r="D1596" s="751"/>
      <c r="E1596" s="751"/>
      <c r="F1596" s="751"/>
      <c r="G1596" s="751"/>
      <c r="H1596" s="751"/>
      <c r="I1596" s="751"/>
      <c r="J1596" s="751"/>
      <c r="K1596" s="751"/>
      <c r="L1596" s="751"/>
      <c r="M1596" s="751"/>
      <c r="N1596" s="751"/>
      <c r="O1596" s="751"/>
      <c r="P1596" s="751"/>
      <c r="Q1596" s="751"/>
      <c r="R1596" s="751"/>
      <c r="S1596" s="751"/>
      <c r="T1596" s="751"/>
      <c r="U1596" s="751"/>
      <c r="V1596" s="751"/>
      <c r="W1596" s="751"/>
      <c r="X1596" s="751"/>
      <c r="Y1596" s="751"/>
      <c r="Z1596" s="751"/>
      <c r="AA1596" s="751"/>
      <c r="AB1596" s="751"/>
      <c r="AC1596" s="751"/>
      <c r="AD1596" s="751"/>
      <c r="AE1596" s="751"/>
      <c r="AF1596" s="751"/>
      <c r="AG1596" s="751"/>
    </row>
    <row r="1597" spans="4:33">
      <c r="D1597" s="751"/>
      <c r="E1597" s="751"/>
      <c r="F1597" s="751"/>
      <c r="G1597" s="751"/>
      <c r="H1597" s="751"/>
      <c r="I1597" s="751"/>
      <c r="J1597" s="751"/>
      <c r="K1597" s="751"/>
      <c r="L1597" s="751"/>
      <c r="M1597" s="751"/>
      <c r="N1597" s="751"/>
      <c r="O1597" s="751"/>
      <c r="P1597" s="751"/>
      <c r="Q1597" s="751"/>
      <c r="R1597" s="751"/>
      <c r="S1597" s="751"/>
      <c r="T1597" s="751"/>
      <c r="U1597" s="751"/>
      <c r="V1597" s="751"/>
      <c r="W1597" s="751"/>
      <c r="X1597" s="751"/>
      <c r="Y1597" s="751"/>
      <c r="Z1597" s="751"/>
      <c r="AA1597" s="751"/>
      <c r="AB1597" s="751"/>
      <c r="AC1597" s="751"/>
      <c r="AD1597" s="751"/>
      <c r="AE1597" s="751"/>
      <c r="AF1597" s="751"/>
      <c r="AG1597" s="751"/>
    </row>
    <row r="1598" spans="4:33">
      <c r="D1598" s="751"/>
      <c r="E1598" s="751"/>
      <c r="F1598" s="751"/>
      <c r="G1598" s="751"/>
      <c r="H1598" s="751"/>
      <c r="I1598" s="751"/>
      <c r="J1598" s="751"/>
      <c r="K1598" s="751"/>
      <c r="L1598" s="751"/>
      <c r="M1598" s="751"/>
      <c r="N1598" s="751"/>
      <c r="O1598" s="751"/>
      <c r="P1598" s="751"/>
      <c r="Q1598" s="751"/>
      <c r="R1598" s="751"/>
      <c r="S1598" s="751"/>
      <c r="T1598" s="751"/>
      <c r="U1598" s="751"/>
      <c r="V1598" s="751"/>
      <c r="W1598" s="751"/>
      <c r="X1598" s="751"/>
      <c r="Y1598" s="751"/>
      <c r="Z1598" s="751"/>
      <c r="AA1598" s="751"/>
      <c r="AB1598" s="751"/>
      <c r="AC1598" s="751"/>
      <c r="AD1598" s="751"/>
      <c r="AE1598" s="751"/>
      <c r="AF1598" s="751"/>
      <c r="AG1598" s="751"/>
    </row>
    <row r="1599" spans="4:33">
      <c r="D1599" s="751"/>
      <c r="E1599" s="751"/>
      <c r="F1599" s="751"/>
      <c r="G1599" s="751"/>
      <c r="H1599" s="751"/>
      <c r="I1599" s="751"/>
      <c r="J1599" s="751"/>
      <c r="K1599" s="751"/>
      <c r="L1599" s="751"/>
      <c r="M1599" s="751"/>
      <c r="N1599" s="751"/>
      <c r="O1599" s="751"/>
      <c r="P1599" s="751"/>
      <c r="Q1599" s="751"/>
      <c r="R1599" s="751"/>
      <c r="S1599" s="751"/>
      <c r="T1599" s="751"/>
      <c r="U1599" s="751"/>
      <c r="V1599" s="751"/>
      <c r="W1599" s="751"/>
      <c r="X1599" s="751"/>
      <c r="Y1599" s="751"/>
      <c r="Z1599" s="751"/>
      <c r="AA1599" s="751"/>
      <c r="AB1599" s="751"/>
      <c r="AC1599" s="751"/>
      <c r="AD1599" s="751"/>
      <c r="AE1599" s="751"/>
      <c r="AF1599" s="751"/>
      <c r="AG1599" s="751"/>
    </row>
    <row r="1600" spans="4:33">
      <c r="D1600" s="751"/>
      <c r="E1600" s="751"/>
      <c r="F1600" s="751"/>
      <c r="G1600" s="751"/>
      <c r="H1600" s="751"/>
      <c r="I1600" s="751"/>
      <c r="J1600" s="751"/>
      <c r="K1600" s="751"/>
      <c r="L1600" s="751"/>
      <c r="M1600" s="751"/>
      <c r="N1600" s="751"/>
      <c r="O1600" s="751"/>
      <c r="P1600" s="751"/>
      <c r="Q1600" s="751"/>
      <c r="R1600" s="751"/>
      <c r="S1600" s="751"/>
      <c r="T1600" s="751"/>
      <c r="U1600" s="751"/>
      <c r="V1600" s="751"/>
      <c r="W1600" s="751"/>
      <c r="X1600" s="751"/>
      <c r="Y1600" s="751"/>
      <c r="Z1600" s="751"/>
      <c r="AA1600" s="751"/>
      <c r="AB1600" s="751"/>
      <c r="AC1600" s="751"/>
      <c r="AD1600" s="751"/>
      <c r="AE1600" s="751"/>
      <c r="AF1600" s="751"/>
      <c r="AG1600" s="751"/>
    </row>
    <row r="1601" spans="4:33">
      <c r="D1601" s="751"/>
      <c r="E1601" s="751"/>
      <c r="F1601" s="751"/>
      <c r="G1601" s="751"/>
      <c r="H1601" s="751"/>
      <c r="I1601" s="751"/>
      <c r="J1601" s="751"/>
      <c r="K1601" s="751"/>
      <c r="L1601" s="751"/>
      <c r="M1601" s="751"/>
      <c r="N1601" s="751"/>
      <c r="O1601" s="751"/>
      <c r="P1601" s="751"/>
      <c r="Q1601" s="751"/>
      <c r="R1601" s="751"/>
      <c r="S1601" s="751"/>
      <c r="T1601" s="751"/>
      <c r="U1601" s="751"/>
      <c r="V1601" s="751"/>
      <c r="W1601" s="751"/>
      <c r="X1601" s="751"/>
      <c r="Y1601" s="751"/>
      <c r="Z1601" s="751"/>
      <c r="AA1601" s="751"/>
      <c r="AB1601" s="751"/>
      <c r="AC1601" s="751"/>
      <c r="AD1601" s="751"/>
      <c r="AE1601" s="751"/>
      <c r="AF1601" s="751"/>
      <c r="AG1601" s="751"/>
    </row>
    <row r="1602" spans="4:33">
      <c r="D1602" s="751"/>
      <c r="E1602" s="751"/>
      <c r="F1602" s="751"/>
      <c r="G1602" s="751"/>
      <c r="H1602" s="751"/>
      <c r="I1602" s="751"/>
      <c r="J1602" s="751"/>
      <c r="K1602" s="751"/>
      <c r="L1602" s="751"/>
      <c r="M1602" s="751"/>
      <c r="N1602" s="751"/>
      <c r="O1602" s="751"/>
      <c r="P1602" s="751"/>
      <c r="Q1602" s="751"/>
      <c r="R1602" s="751"/>
      <c r="S1602" s="751"/>
      <c r="T1602" s="751"/>
      <c r="U1602" s="751"/>
      <c r="V1602" s="751"/>
      <c r="W1602" s="751"/>
      <c r="X1602" s="751"/>
      <c r="Y1602" s="751"/>
      <c r="Z1602" s="751"/>
      <c r="AA1602" s="751"/>
      <c r="AB1602" s="751"/>
      <c r="AC1602" s="751"/>
      <c r="AD1602" s="751"/>
      <c r="AE1602" s="751"/>
      <c r="AF1602" s="751"/>
      <c r="AG1602" s="751"/>
    </row>
    <row r="1603" spans="4:33">
      <c r="D1603" s="751"/>
      <c r="E1603" s="751"/>
      <c r="F1603" s="751"/>
      <c r="G1603" s="751"/>
      <c r="H1603" s="751"/>
      <c r="I1603" s="751"/>
      <c r="J1603" s="751"/>
      <c r="K1603" s="751"/>
      <c r="L1603" s="751"/>
      <c r="M1603" s="751"/>
      <c r="N1603" s="751"/>
      <c r="O1603" s="751"/>
      <c r="P1603" s="751"/>
      <c r="Q1603" s="751"/>
      <c r="R1603" s="751"/>
      <c r="S1603" s="751"/>
      <c r="T1603" s="751"/>
      <c r="U1603" s="751"/>
      <c r="V1603" s="751"/>
      <c r="W1603" s="751"/>
      <c r="X1603" s="751"/>
      <c r="Y1603" s="751"/>
      <c r="Z1603" s="751"/>
      <c r="AA1603" s="751"/>
      <c r="AB1603" s="751"/>
      <c r="AC1603" s="751"/>
      <c r="AD1603" s="751"/>
      <c r="AE1603" s="751"/>
      <c r="AF1603" s="751"/>
      <c r="AG1603" s="751"/>
    </row>
    <row r="1604" spans="4:33">
      <c r="D1604" s="751"/>
      <c r="E1604" s="751"/>
      <c r="F1604" s="751"/>
      <c r="G1604" s="751"/>
      <c r="H1604" s="751"/>
      <c r="I1604" s="751"/>
      <c r="J1604" s="751"/>
      <c r="K1604" s="751"/>
      <c r="L1604" s="751"/>
      <c r="M1604" s="751"/>
      <c r="N1604" s="751"/>
      <c r="O1604" s="751"/>
      <c r="P1604" s="751"/>
      <c r="Q1604" s="751"/>
      <c r="R1604" s="751"/>
      <c r="S1604" s="751"/>
      <c r="T1604" s="751"/>
      <c r="U1604" s="751"/>
      <c r="V1604" s="751"/>
      <c r="W1604" s="751"/>
      <c r="X1604" s="751"/>
      <c r="Y1604" s="751"/>
      <c r="Z1604" s="751"/>
      <c r="AA1604" s="751"/>
      <c r="AB1604" s="751"/>
      <c r="AC1604" s="751"/>
      <c r="AD1604" s="751"/>
      <c r="AE1604" s="751"/>
      <c r="AF1604" s="751"/>
      <c r="AG1604" s="751"/>
    </row>
    <row r="1605" spans="4:33">
      <c r="D1605" s="751"/>
      <c r="E1605" s="751"/>
      <c r="F1605" s="751"/>
      <c r="G1605" s="751"/>
      <c r="H1605" s="751"/>
      <c r="I1605" s="751"/>
      <c r="J1605" s="751"/>
      <c r="K1605" s="751"/>
      <c r="L1605" s="751"/>
      <c r="M1605" s="751"/>
      <c r="N1605" s="751"/>
      <c r="O1605" s="751"/>
      <c r="P1605" s="751"/>
      <c r="Q1605" s="751"/>
      <c r="R1605" s="751"/>
      <c r="S1605" s="751"/>
      <c r="T1605" s="751"/>
      <c r="U1605" s="751"/>
      <c r="V1605" s="751"/>
      <c r="W1605" s="751"/>
      <c r="X1605" s="751"/>
      <c r="Y1605" s="751"/>
      <c r="Z1605" s="751"/>
      <c r="AA1605" s="751"/>
      <c r="AB1605" s="751"/>
      <c r="AC1605" s="751"/>
      <c r="AD1605" s="751"/>
      <c r="AE1605" s="751"/>
      <c r="AF1605" s="751"/>
      <c r="AG1605" s="751"/>
    </row>
    <row r="1606" spans="4:33">
      <c r="D1606" s="751"/>
      <c r="E1606" s="751"/>
      <c r="F1606" s="751"/>
      <c r="G1606" s="751"/>
      <c r="H1606" s="751"/>
      <c r="I1606" s="751"/>
      <c r="J1606" s="751"/>
      <c r="K1606" s="751"/>
      <c r="L1606" s="751"/>
      <c r="M1606" s="751"/>
      <c r="N1606" s="751"/>
      <c r="O1606" s="751"/>
      <c r="P1606" s="751"/>
      <c r="Q1606" s="751"/>
      <c r="R1606" s="751"/>
      <c r="S1606" s="751"/>
      <c r="T1606" s="751"/>
      <c r="U1606" s="751"/>
      <c r="V1606" s="751"/>
      <c r="W1606" s="751"/>
      <c r="X1606" s="751"/>
      <c r="Y1606" s="751"/>
      <c r="Z1606" s="751"/>
      <c r="AA1606" s="751"/>
      <c r="AB1606" s="751"/>
      <c r="AC1606" s="751"/>
      <c r="AD1606" s="751"/>
      <c r="AE1606" s="751"/>
      <c r="AF1606" s="751"/>
      <c r="AG1606" s="751"/>
    </row>
    <row r="1607" spans="4:33">
      <c r="D1607" s="751"/>
      <c r="E1607" s="751"/>
      <c r="F1607" s="751"/>
      <c r="G1607" s="751"/>
      <c r="H1607" s="751"/>
      <c r="I1607" s="751"/>
      <c r="J1607" s="751"/>
      <c r="K1607" s="751"/>
      <c r="L1607" s="751"/>
      <c r="M1607" s="751"/>
      <c r="N1607" s="751"/>
      <c r="O1607" s="751"/>
      <c r="P1607" s="751"/>
      <c r="Q1607" s="751"/>
      <c r="R1607" s="751"/>
      <c r="S1607" s="751"/>
      <c r="T1607" s="751"/>
      <c r="U1607" s="751"/>
      <c r="V1607" s="751"/>
      <c r="W1607" s="751"/>
      <c r="X1607" s="751"/>
      <c r="Y1607" s="751"/>
      <c r="Z1607" s="751"/>
      <c r="AA1607" s="751"/>
      <c r="AB1607" s="751"/>
      <c r="AC1607" s="751"/>
      <c r="AD1607" s="751"/>
      <c r="AE1607" s="751"/>
      <c r="AF1607" s="751"/>
      <c r="AG1607" s="751"/>
    </row>
    <row r="1608" spans="4:33">
      <c r="D1608" s="751"/>
      <c r="E1608" s="751"/>
      <c r="F1608" s="751"/>
      <c r="G1608" s="751"/>
      <c r="H1608" s="751"/>
      <c r="I1608" s="751"/>
      <c r="J1608" s="751"/>
      <c r="K1608" s="751"/>
      <c r="L1608" s="751"/>
      <c r="M1608" s="751"/>
      <c r="N1608" s="751"/>
      <c r="O1608" s="751"/>
      <c r="P1608" s="751"/>
      <c r="Q1608" s="751"/>
      <c r="R1608" s="751"/>
      <c r="S1608" s="751"/>
      <c r="T1608" s="751"/>
      <c r="U1608" s="751"/>
      <c r="V1608" s="751"/>
      <c r="W1608" s="751"/>
      <c r="X1608" s="751"/>
      <c r="Y1608" s="751"/>
      <c r="Z1608" s="751"/>
      <c r="AA1608" s="751"/>
      <c r="AB1608" s="751"/>
      <c r="AC1608" s="751"/>
      <c r="AD1608" s="751"/>
      <c r="AE1608" s="751"/>
      <c r="AF1608" s="751"/>
      <c r="AG1608" s="751"/>
    </row>
    <row r="1609" spans="4:33">
      <c r="D1609" s="751"/>
      <c r="E1609" s="751"/>
      <c r="F1609" s="751"/>
      <c r="G1609" s="751"/>
      <c r="H1609" s="751"/>
      <c r="I1609" s="751"/>
      <c r="J1609" s="751"/>
      <c r="K1609" s="751"/>
      <c r="L1609" s="751"/>
      <c r="M1609" s="751"/>
      <c r="N1609" s="751"/>
      <c r="O1609" s="751"/>
      <c r="P1609" s="751"/>
      <c r="Q1609" s="751"/>
      <c r="R1609" s="751"/>
      <c r="S1609" s="751"/>
      <c r="T1609" s="751"/>
      <c r="U1609" s="751"/>
      <c r="V1609" s="751"/>
      <c r="W1609" s="751"/>
      <c r="X1609" s="751"/>
      <c r="Y1609" s="751"/>
      <c r="Z1609" s="751"/>
      <c r="AA1609" s="751"/>
      <c r="AB1609" s="751"/>
      <c r="AC1609" s="751"/>
      <c r="AD1609" s="751"/>
      <c r="AE1609" s="751"/>
      <c r="AF1609" s="751"/>
      <c r="AG1609" s="751"/>
    </row>
    <row r="1610" spans="4:33">
      <c r="D1610" s="751"/>
      <c r="E1610" s="751"/>
      <c r="F1610" s="751"/>
      <c r="G1610" s="751"/>
      <c r="H1610" s="751"/>
      <c r="I1610" s="751"/>
      <c r="J1610" s="751"/>
      <c r="K1610" s="751"/>
      <c r="L1610" s="751"/>
      <c r="M1610" s="751"/>
      <c r="N1610" s="751"/>
      <c r="O1610" s="751"/>
      <c r="P1610" s="751"/>
      <c r="Q1610" s="751"/>
      <c r="R1610" s="751"/>
      <c r="S1610" s="751"/>
      <c r="T1610" s="751"/>
      <c r="U1610" s="751"/>
      <c r="V1610" s="751"/>
      <c r="W1610" s="751"/>
      <c r="X1610" s="751"/>
      <c r="Y1610" s="751"/>
      <c r="Z1610" s="751"/>
      <c r="AA1610" s="751"/>
      <c r="AB1610" s="751"/>
      <c r="AC1610" s="751"/>
      <c r="AD1610" s="751"/>
      <c r="AE1610" s="751"/>
      <c r="AF1610" s="751"/>
      <c r="AG1610" s="751"/>
    </row>
    <row r="1611" spans="4:33">
      <c r="D1611" s="751"/>
      <c r="E1611" s="751"/>
      <c r="F1611" s="751"/>
      <c r="G1611" s="751"/>
      <c r="H1611" s="751"/>
      <c r="I1611" s="751"/>
      <c r="J1611" s="751"/>
      <c r="K1611" s="751"/>
      <c r="L1611" s="751"/>
      <c r="M1611" s="751"/>
      <c r="N1611" s="751"/>
      <c r="O1611" s="751"/>
      <c r="P1611" s="751"/>
      <c r="Q1611" s="751"/>
      <c r="R1611" s="751"/>
      <c r="S1611" s="751"/>
      <c r="T1611" s="751"/>
      <c r="U1611" s="751"/>
      <c r="V1611" s="751"/>
      <c r="W1611" s="751"/>
      <c r="X1611" s="751"/>
      <c r="Y1611" s="751"/>
      <c r="Z1611" s="751"/>
      <c r="AA1611" s="751"/>
      <c r="AB1611" s="751"/>
      <c r="AC1611" s="751"/>
      <c r="AD1611" s="751"/>
      <c r="AE1611" s="751"/>
      <c r="AF1611" s="751"/>
      <c r="AG1611" s="751"/>
    </row>
    <row r="1612" spans="4:33">
      <c r="D1612" s="751"/>
      <c r="E1612" s="751"/>
      <c r="F1612" s="751"/>
      <c r="G1612" s="751"/>
      <c r="H1612" s="751"/>
      <c r="I1612" s="751"/>
      <c r="J1612" s="751"/>
      <c r="K1612" s="751"/>
      <c r="L1612" s="751"/>
      <c r="M1612" s="751"/>
      <c r="N1612" s="751"/>
      <c r="O1612" s="751"/>
      <c r="P1612" s="751"/>
      <c r="Q1612" s="751"/>
      <c r="R1612" s="751"/>
      <c r="S1612" s="751"/>
      <c r="T1612" s="751"/>
      <c r="U1612" s="751"/>
      <c r="V1612" s="751"/>
      <c r="W1612" s="751"/>
      <c r="X1612" s="751"/>
      <c r="Y1612" s="751"/>
      <c r="Z1612" s="751"/>
      <c r="AA1612" s="751"/>
      <c r="AB1612" s="751"/>
      <c r="AC1612" s="751"/>
      <c r="AD1612" s="751"/>
      <c r="AE1612" s="751"/>
      <c r="AF1612" s="751"/>
      <c r="AG1612" s="751"/>
    </row>
    <row r="1613" spans="4:33">
      <c r="D1613" s="751"/>
      <c r="E1613" s="751"/>
      <c r="F1613" s="751"/>
      <c r="G1613" s="751"/>
      <c r="H1613" s="751"/>
      <c r="I1613" s="751"/>
      <c r="J1613" s="751"/>
      <c r="K1613" s="751"/>
      <c r="L1613" s="751"/>
      <c r="M1613" s="751"/>
      <c r="N1613" s="751"/>
      <c r="O1613" s="751"/>
      <c r="P1613" s="751"/>
      <c r="Q1613" s="751"/>
      <c r="R1613" s="751"/>
      <c r="S1613" s="751"/>
      <c r="T1613" s="751"/>
      <c r="U1613" s="751"/>
      <c r="V1613" s="751"/>
      <c r="W1613" s="751"/>
      <c r="X1613" s="751"/>
      <c r="Y1613" s="751"/>
      <c r="Z1613" s="751"/>
      <c r="AA1613" s="751"/>
      <c r="AB1613" s="751"/>
      <c r="AC1613" s="751"/>
      <c r="AD1613" s="751"/>
      <c r="AE1613" s="751"/>
      <c r="AF1613" s="751"/>
      <c r="AG1613" s="751"/>
    </row>
    <row r="1614" spans="4:33">
      <c r="D1614" s="751"/>
      <c r="E1614" s="751"/>
      <c r="F1614" s="751"/>
      <c r="G1614" s="751"/>
      <c r="H1614" s="751"/>
      <c r="I1614" s="751"/>
      <c r="J1614" s="751"/>
      <c r="K1614" s="751"/>
      <c r="L1614" s="751"/>
      <c r="M1614" s="751"/>
      <c r="N1614" s="751"/>
      <c r="O1614" s="751"/>
      <c r="P1614" s="751"/>
      <c r="Q1614" s="751"/>
      <c r="R1614" s="751"/>
      <c r="S1614" s="751"/>
      <c r="T1614" s="751"/>
      <c r="U1614" s="751"/>
      <c r="V1614" s="751"/>
      <c r="W1614" s="751"/>
      <c r="X1614" s="751"/>
      <c r="Y1614" s="751"/>
      <c r="Z1614" s="751"/>
      <c r="AA1614" s="751"/>
      <c r="AB1614" s="751"/>
      <c r="AC1614" s="751"/>
      <c r="AD1614" s="751"/>
      <c r="AE1614" s="751"/>
      <c r="AF1614" s="751"/>
      <c r="AG1614" s="751"/>
    </row>
    <row r="1615" spans="4:33">
      <c r="D1615" s="751"/>
      <c r="E1615" s="751"/>
      <c r="F1615" s="751"/>
      <c r="G1615" s="751"/>
      <c r="H1615" s="751"/>
      <c r="I1615" s="751"/>
      <c r="J1615" s="751"/>
      <c r="K1615" s="751"/>
      <c r="L1615" s="751"/>
      <c r="M1615" s="751"/>
      <c r="N1615" s="751"/>
      <c r="O1615" s="751"/>
      <c r="P1615" s="751"/>
      <c r="Q1615" s="751"/>
      <c r="R1615" s="751"/>
      <c r="S1615" s="751"/>
      <c r="T1615" s="751"/>
      <c r="U1615" s="751"/>
      <c r="V1615" s="751"/>
      <c r="W1615" s="751"/>
      <c r="X1615" s="751"/>
      <c r="Y1615" s="751"/>
      <c r="Z1615" s="751"/>
      <c r="AA1615" s="751"/>
      <c r="AB1615" s="751"/>
      <c r="AC1615" s="751"/>
      <c r="AD1615" s="751"/>
      <c r="AE1615" s="751"/>
      <c r="AF1615" s="751"/>
      <c r="AG1615" s="751"/>
    </row>
    <row r="1616" spans="4:33">
      <c r="D1616" s="751"/>
      <c r="E1616" s="751"/>
      <c r="F1616" s="751"/>
      <c r="G1616" s="751"/>
      <c r="H1616" s="751"/>
      <c r="I1616" s="751"/>
      <c r="J1616" s="751"/>
      <c r="K1616" s="751"/>
      <c r="L1616" s="751"/>
      <c r="M1616" s="751"/>
      <c r="N1616" s="751"/>
      <c r="O1616" s="751"/>
      <c r="P1616" s="751"/>
      <c r="Q1616" s="751"/>
      <c r="R1616" s="751"/>
      <c r="S1616" s="751"/>
      <c r="T1616" s="751"/>
      <c r="U1616" s="751"/>
      <c r="V1616" s="751"/>
      <c r="W1616" s="751"/>
      <c r="X1616" s="751"/>
      <c r="Y1616" s="751"/>
      <c r="Z1616" s="751"/>
      <c r="AA1616" s="751"/>
      <c r="AB1616" s="751"/>
      <c r="AC1616" s="751"/>
      <c r="AD1616" s="751"/>
      <c r="AE1616" s="751"/>
      <c r="AF1616" s="751"/>
      <c r="AG1616" s="751"/>
    </row>
    <row r="1617" spans="4:36">
      <c r="D1617" s="751"/>
      <c r="E1617" s="751"/>
      <c r="F1617" s="751"/>
      <c r="G1617" s="751"/>
      <c r="H1617" s="751"/>
      <c r="I1617" s="751"/>
      <c r="J1617" s="751"/>
      <c r="K1617" s="751"/>
      <c r="L1617" s="751"/>
      <c r="M1617" s="751"/>
      <c r="N1617" s="751"/>
      <c r="O1617" s="751"/>
      <c r="P1617" s="751"/>
      <c r="Q1617" s="751"/>
      <c r="R1617" s="751"/>
      <c r="S1617" s="751"/>
      <c r="T1617" s="751"/>
      <c r="U1617" s="751"/>
      <c r="V1617" s="751"/>
      <c r="W1617" s="751"/>
      <c r="X1617" s="751"/>
      <c r="Y1617" s="751"/>
      <c r="Z1617" s="751"/>
      <c r="AA1617" s="751"/>
      <c r="AB1617" s="751"/>
      <c r="AC1617" s="751"/>
      <c r="AD1617" s="751"/>
      <c r="AE1617" s="751"/>
      <c r="AF1617" s="751"/>
      <c r="AG1617" s="751"/>
    </row>
    <row r="1618" spans="4:36">
      <c r="D1618" s="751"/>
      <c r="E1618" s="751"/>
      <c r="F1618" s="751"/>
      <c r="G1618" s="751"/>
      <c r="H1618" s="751"/>
      <c r="I1618" s="751"/>
      <c r="J1618" s="751"/>
      <c r="K1618" s="751"/>
      <c r="L1618" s="751"/>
      <c r="M1618" s="751"/>
      <c r="N1618" s="751"/>
      <c r="O1618" s="751"/>
      <c r="P1618" s="751"/>
      <c r="Q1618" s="751"/>
      <c r="R1618" s="751"/>
      <c r="S1618" s="751"/>
      <c r="T1618" s="751"/>
      <c r="U1618" s="751"/>
      <c r="V1618" s="751"/>
      <c r="W1618" s="751"/>
      <c r="X1618" s="751"/>
      <c r="Y1618" s="751"/>
      <c r="Z1618" s="751"/>
      <c r="AA1618" s="751"/>
      <c r="AB1618" s="751"/>
      <c r="AC1618" s="751"/>
      <c r="AD1618" s="751"/>
      <c r="AE1618" s="751"/>
      <c r="AF1618" s="751"/>
      <c r="AG1618" s="751"/>
    </row>
    <row r="1619" spans="4:36">
      <c r="D1619" s="751"/>
      <c r="E1619" s="751"/>
      <c r="F1619" s="751"/>
      <c r="G1619" s="751"/>
      <c r="H1619" s="751"/>
      <c r="I1619" s="751"/>
      <c r="J1619" s="751"/>
      <c r="K1619" s="751"/>
      <c r="L1619" s="751"/>
      <c r="M1619" s="751"/>
      <c r="N1619" s="751"/>
      <c r="O1619" s="751"/>
      <c r="P1619" s="751"/>
      <c r="Q1619" s="751"/>
      <c r="R1619" s="751"/>
      <c r="S1619" s="751"/>
      <c r="T1619" s="751"/>
      <c r="U1619" s="751"/>
      <c r="V1619" s="751"/>
      <c r="W1619" s="751"/>
      <c r="X1619" s="751"/>
      <c r="Y1619" s="751"/>
      <c r="Z1619" s="751"/>
      <c r="AA1619" s="751"/>
      <c r="AB1619" s="751"/>
      <c r="AC1619" s="751"/>
      <c r="AD1619" s="751"/>
      <c r="AE1619" s="751"/>
      <c r="AF1619" s="751"/>
      <c r="AG1619" s="751"/>
    </row>
    <row r="1620" spans="4:36">
      <c r="D1620" s="751"/>
      <c r="E1620" s="751"/>
      <c r="F1620" s="751"/>
      <c r="G1620" s="751"/>
      <c r="H1620" s="751"/>
      <c r="I1620" s="751"/>
      <c r="J1620" s="751"/>
      <c r="K1620" s="751"/>
      <c r="L1620" s="751"/>
      <c r="M1620" s="751"/>
      <c r="N1620" s="751"/>
      <c r="O1620" s="751"/>
      <c r="P1620" s="751"/>
      <c r="Q1620" s="751"/>
      <c r="R1620" s="751"/>
      <c r="S1620" s="751"/>
      <c r="T1620" s="751"/>
      <c r="U1620" s="751"/>
      <c r="V1620" s="751"/>
      <c r="W1620" s="751"/>
      <c r="X1620" s="751"/>
      <c r="Y1620" s="751"/>
      <c r="Z1620" s="751"/>
      <c r="AA1620" s="751"/>
      <c r="AB1620" s="751"/>
      <c r="AC1620" s="751"/>
      <c r="AD1620" s="751"/>
      <c r="AE1620" s="751"/>
      <c r="AF1620" s="751"/>
      <c r="AG1620" s="751"/>
    </row>
    <row r="1621" spans="4:36">
      <c r="D1621" s="751"/>
      <c r="E1621" s="751"/>
      <c r="F1621" s="751"/>
      <c r="G1621" s="751"/>
      <c r="H1621" s="751"/>
      <c r="I1621" s="751"/>
      <c r="J1621" s="751"/>
      <c r="K1621" s="751"/>
      <c r="L1621" s="751"/>
      <c r="M1621" s="751"/>
      <c r="N1621" s="751"/>
      <c r="O1621" s="751"/>
      <c r="P1621" s="751"/>
      <c r="Q1621" s="751"/>
      <c r="R1621" s="751"/>
      <c r="S1621" s="751"/>
      <c r="T1621" s="751"/>
      <c r="U1621" s="751"/>
      <c r="V1621" s="751"/>
      <c r="W1621" s="751"/>
      <c r="X1621" s="751"/>
      <c r="Y1621" s="751"/>
      <c r="Z1621" s="751"/>
      <c r="AA1621" s="751"/>
      <c r="AB1621" s="751"/>
      <c r="AC1621" s="751"/>
      <c r="AD1621" s="751"/>
      <c r="AE1621" s="751"/>
      <c r="AF1621" s="751"/>
      <c r="AG1621" s="751"/>
    </row>
    <row r="1622" spans="4:36">
      <c r="D1622" s="751"/>
      <c r="E1622" s="751"/>
      <c r="F1622" s="751"/>
      <c r="G1622" s="751"/>
      <c r="H1622" s="751"/>
      <c r="I1622" s="751"/>
      <c r="J1622" s="751"/>
      <c r="K1622" s="751"/>
      <c r="L1622" s="751"/>
      <c r="M1622" s="751"/>
      <c r="N1622" s="751"/>
      <c r="O1622" s="751"/>
      <c r="P1622" s="751"/>
      <c r="Q1622" s="751"/>
      <c r="R1622" s="751"/>
      <c r="S1622" s="751"/>
      <c r="T1622" s="751"/>
      <c r="U1622" s="751"/>
      <c r="V1622" s="751"/>
      <c r="W1622" s="751"/>
      <c r="X1622" s="751"/>
      <c r="Y1622" s="751"/>
      <c r="Z1622" s="751"/>
      <c r="AA1622" s="751"/>
      <c r="AB1622" s="751"/>
      <c r="AC1622" s="751"/>
      <c r="AD1622" s="751"/>
      <c r="AE1622" s="751"/>
      <c r="AF1622" s="751"/>
      <c r="AG1622" s="751"/>
    </row>
    <row r="1623" spans="4:36">
      <c r="D1623" s="751"/>
      <c r="E1623" s="751"/>
      <c r="F1623" s="751"/>
      <c r="G1623" s="751"/>
      <c r="H1623" s="751"/>
      <c r="I1623" s="751"/>
      <c r="J1623" s="751"/>
      <c r="K1623" s="751"/>
      <c r="L1623" s="751"/>
      <c r="M1623" s="751"/>
      <c r="N1623" s="751"/>
      <c r="O1623" s="751"/>
      <c r="P1623" s="751"/>
      <c r="Q1623" s="337">
        <v>0</v>
      </c>
      <c r="R1623" s="751"/>
      <c r="S1623" s="751"/>
      <c r="T1623" s="751"/>
      <c r="U1623" s="751"/>
      <c r="V1623" s="751"/>
      <c r="W1623" s="751"/>
      <c r="X1623" s="751"/>
      <c r="Y1623" s="751"/>
      <c r="Z1623" s="751"/>
      <c r="AA1623" s="751"/>
      <c r="AB1623" s="751"/>
      <c r="AC1623" s="751"/>
      <c r="AD1623" s="751"/>
      <c r="AE1623" s="751"/>
      <c r="AF1623" s="337"/>
      <c r="AG1623" s="751"/>
      <c r="AJ1623" t="s">
        <v>649</v>
      </c>
    </row>
    <row r="1624" spans="4:36">
      <c r="D1624" s="751"/>
      <c r="E1624" s="751"/>
      <c r="F1624" s="751"/>
      <c r="G1624" s="751"/>
      <c r="H1624" s="751"/>
      <c r="I1624" s="751"/>
      <c r="J1624" s="751"/>
      <c r="K1624" s="751"/>
      <c r="L1624" s="751"/>
      <c r="M1624" s="751"/>
      <c r="N1624" s="751"/>
      <c r="O1624" s="751"/>
      <c r="P1624" s="751"/>
      <c r="Q1624" s="751"/>
      <c r="R1624" s="751"/>
      <c r="S1624" s="751"/>
      <c r="T1624" s="751"/>
      <c r="U1624" s="751"/>
      <c r="V1624" s="751"/>
      <c r="W1624" s="751"/>
      <c r="X1624" s="751"/>
      <c r="Y1624" s="751"/>
      <c r="Z1624" s="751"/>
      <c r="AA1624" s="751"/>
      <c r="AB1624" s="751"/>
      <c r="AC1624" s="751"/>
      <c r="AD1624" s="751"/>
      <c r="AE1624" s="751"/>
      <c r="AF1624" s="751"/>
      <c r="AG1624" s="751"/>
    </row>
    <row r="1625" spans="4:36">
      <c r="D1625" s="751"/>
      <c r="E1625" s="751"/>
      <c r="F1625" s="751"/>
      <c r="G1625" s="751"/>
      <c r="H1625" s="751"/>
      <c r="I1625" s="751"/>
      <c r="J1625" s="751"/>
      <c r="K1625" s="751"/>
      <c r="L1625" s="751"/>
      <c r="M1625" s="751"/>
      <c r="N1625" s="751"/>
      <c r="O1625" s="751"/>
      <c r="P1625" s="751"/>
      <c r="Q1625" s="751"/>
      <c r="R1625" s="751"/>
      <c r="S1625" s="751"/>
      <c r="T1625" s="751"/>
      <c r="U1625" s="751"/>
      <c r="V1625" s="751"/>
      <c r="W1625" s="751"/>
      <c r="X1625" s="751"/>
      <c r="Y1625" s="751"/>
      <c r="Z1625" s="751"/>
      <c r="AA1625" s="751"/>
      <c r="AB1625" s="751"/>
      <c r="AC1625" s="751"/>
      <c r="AD1625" s="751"/>
      <c r="AE1625" s="751"/>
      <c r="AF1625" s="751"/>
      <c r="AG1625" s="751"/>
    </row>
    <row r="1626" spans="4:36">
      <c r="D1626" s="751"/>
      <c r="E1626" s="751"/>
      <c r="F1626" s="751"/>
      <c r="G1626" s="751"/>
      <c r="H1626" s="751"/>
      <c r="I1626" s="751"/>
      <c r="J1626" s="751"/>
      <c r="K1626" s="751"/>
      <c r="L1626" s="751"/>
      <c r="M1626" s="751"/>
      <c r="N1626" s="751"/>
      <c r="O1626" s="751"/>
      <c r="P1626" s="751"/>
      <c r="Q1626" s="751"/>
      <c r="R1626" s="751"/>
      <c r="S1626" s="751"/>
      <c r="T1626" s="751"/>
      <c r="U1626" s="751"/>
      <c r="V1626" s="751"/>
      <c r="W1626" s="751"/>
      <c r="X1626" s="751"/>
      <c r="Y1626" s="751"/>
      <c r="Z1626" s="751"/>
      <c r="AA1626" s="751"/>
      <c r="AB1626" s="751"/>
      <c r="AC1626" s="751"/>
      <c r="AD1626" s="751"/>
      <c r="AE1626" s="751"/>
      <c r="AF1626" s="751"/>
      <c r="AG1626" s="751"/>
    </row>
    <row r="1627" spans="4:36">
      <c r="D1627" s="751"/>
      <c r="E1627" s="751"/>
      <c r="F1627" s="751"/>
      <c r="G1627" s="751"/>
      <c r="H1627" s="751"/>
      <c r="I1627" s="751"/>
      <c r="J1627" s="751"/>
      <c r="K1627" s="751"/>
      <c r="L1627" s="751"/>
      <c r="M1627" s="751"/>
      <c r="N1627" s="751"/>
      <c r="O1627" s="751"/>
      <c r="P1627" s="751"/>
      <c r="Q1627" s="751"/>
      <c r="R1627" s="751"/>
      <c r="S1627" s="751"/>
      <c r="T1627" s="751"/>
      <c r="U1627" s="751"/>
      <c r="V1627" s="751"/>
      <c r="W1627" s="751"/>
      <c r="X1627" s="751"/>
      <c r="Y1627" s="751"/>
      <c r="Z1627" s="751"/>
      <c r="AA1627" s="751"/>
      <c r="AB1627" s="751"/>
      <c r="AC1627" s="751"/>
      <c r="AD1627" s="751"/>
      <c r="AE1627" s="751"/>
      <c r="AF1627" s="751"/>
      <c r="AG1627" s="751"/>
    </row>
    <row r="1628" spans="4:36">
      <c r="D1628" s="751"/>
      <c r="E1628" s="751"/>
      <c r="F1628" s="751"/>
      <c r="G1628" s="751"/>
      <c r="H1628" s="751"/>
      <c r="I1628" s="751"/>
      <c r="J1628" s="751"/>
      <c r="K1628" s="751"/>
      <c r="L1628" s="751"/>
      <c r="M1628" s="751"/>
      <c r="N1628" s="751"/>
      <c r="O1628" s="751"/>
      <c r="P1628" s="751"/>
      <c r="Q1628" s="751"/>
      <c r="R1628" s="751"/>
      <c r="S1628" s="751"/>
      <c r="T1628" s="751"/>
      <c r="U1628" s="751"/>
      <c r="V1628" s="751"/>
      <c r="W1628" s="751"/>
      <c r="X1628" s="751"/>
      <c r="Y1628" s="751"/>
      <c r="Z1628" s="751"/>
      <c r="AA1628" s="751"/>
      <c r="AB1628" s="751"/>
      <c r="AC1628" s="751"/>
      <c r="AD1628" s="751"/>
      <c r="AE1628" s="751"/>
      <c r="AF1628" s="751"/>
      <c r="AG1628" s="751"/>
    </row>
    <row r="1629" spans="4:36">
      <c r="D1629" s="751"/>
      <c r="E1629" s="751"/>
      <c r="F1629" s="751"/>
      <c r="G1629" s="751"/>
      <c r="H1629" s="751"/>
      <c r="I1629" s="751"/>
      <c r="J1629" s="751"/>
      <c r="K1629" s="751"/>
      <c r="L1629" s="751"/>
      <c r="M1629" s="751"/>
      <c r="N1629" s="751"/>
      <c r="O1629" s="751"/>
      <c r="P1629" s="751"/>
      <c r="Q1629" s="751"/>
      <c r="R1629" s="751"/>
      <c r="S1629" s="751"/>
      <c r="T1629" s="751"/>
      <c r="U1629" s="751"/>
      <c r="V1629" s="751"/>
      <c r="W1629" s="751"/>
      <c r="X1629" s="751"/>
      <c r="Y1629" s="751"/>
      <c r="Z1629" s="751"/>
      <c r="AA1629" s="751"/>
      <c r="AB1629" s="751"/>
      <c r="AC1629" s="751"/>
      <c r="AD1629" s="751"/>
      <c r="AE1629" s="751"/>
      <c r="AF1629" s="751"/>
      <c r="AG1629" s="751"/>
    </row>
    <row r="1630" spans="4:36">
      <c r="D1630" s="751"/>
      <c r="E1630" s="751"/>
      <c r="F1630" s="751"/>
      <c r="G1630" s="751"/>
      <c r="H1630" s="751"/>
      <c r="I1630" s="751"/>
      <c r="J1630" s="751"/>
      <c r="K1630" s="751"/>
      <c r="L1630" s="751"/>
      <c r="M1630" s="751"/>
      <c r="N1630" s="751"/>
      <c r="O1630" s="751"/>
      <c r="P1630" s="751"/>
      <c r="Q1630" s="751"/>
      <c r="R1630" s="751"/>
      <c r="S1630" s="751"/>
      <c r="T1630" s="751"/>
      <c r="U1630" s="751"/>
      <c r="V1630" s="751"/>
      <c r="W1630" s="751"/>
      <c r="X1630" s="751"/>
      <c r="Y1630" s="751"/>
      <c r="Z1630" s="751"/>
      <c r="AA1630" s="751"/>
      <c r="AB1630" s="751"/>
      <c r="AC1630" s="751"/>
      <c r="AD1630" s="751"/>
      <c r="AE1630" s="751"/>
      <c r="AF1630" s="751"/>
      <c r="AG1630" s="751"/>
    </row>
    <row r="1631" spans="4:36">
      <c r="D1631" s="751"/>
      <c r="E1631" s="751"/>
      <c r="F1631" s="751"/>
      <c r="G1631" s="751"/>
      <c r="H1631" s="751"/>
      <c r="I1631" s="751"/>
      <c r="J1631" s="751"/>
      <c r="K1631" s="751"/>
      <c r="L1631" s="751"/>
      <c r="M1631" s="751"/>
      <c r="N1631" s="751"/>
      <c r="O1631" s="751"/>
      <c r="P1631" s="751"/>
      <c r="Q1631" s="751"/>
      <c r="R1631" s="751"/>
      <c r="S1631" s="751"/>
      <c r="T1631" s="751"/>
      <c r="U1631" s="751"/>
      <c r="V1631" s="751"/>
      <c r="W1631" s="751"/>
      <c r="X1631" s="751"/>
      <c r="Y1631" s="751"/>
      <c r="Z1631" s="751"/>
      <c r="AA1631" s="751"/>
      <c r="AB1631" s="751"/>
      <c r="AC1631" s="751"/>
      <c r="AD1631" s="751"/>
      <c r="AE1631" s="751"/>
      <c r="AF1631" s="751"/>
      <c r="AG1631" s="751"/>
    </row>
    <row r="1632" spans="4:36">
      <c r="D1632" s="751"/>
      <c r="E1632" s="751"/>
      <c r="F1632" s="751"/>
      <c r="G1632" s="751"/>
      <c r="H1632" s="751"/>
      <c r="I1632" s="751"/>
      <c r="J1632" s="751"/>
      <c r="K1632" s="751"/>
      <c r="L1632" s="751"/>
      <c r="M1632" s="751"/>
      <c r="N1632" s="751"/>
      <c r="O1632" s="751"/>
      <c r="P1632" s="751"/>
      <c r="Q1632" s="751"/>
      <c r="R1632" s="751"/>
      <c r="S1632" s="751"/>
      <c r="T1632" s="751"/>
      <c r="U1632" s="751"/>
      <c r="V1632" s="751"/>
      <c r="W1632" s="751"/>
      <c r="X1632" s="751"/>
      <c r="Y1632" s="751"/>
      <c r="Z1632" s="751"/>
      <c r="AA1632" s="751"/>
      <c r="AB1632" s="751"/>
      <c r="AC1632" s="751"/>
      <c r="AD1632" s="751"/>
      <c r="AE1632" s="751"/>
      <c r="AF1632" s="751"/>
      <c r="AG1632" s="751"/>
    </row>
    <row r="1633" spans="4:33">
      <c r="D1633" s="751"/>
      <c r="E1633" s="751"/>
      <c r="F1633" s="751"/>
      <c r="G1633" s="751"/>
      <c r="H1633" s="751"/>
      <c r="I1633" s="751"/>
      <c r="J1633" s="751"/>
      <c r="K1633" s="751"/>
      <c r="L1633" s="751"/>
      <c r="M1633" s="751"/>
      <c r="N1633" s="751"/>
      <c r="O1633" s="751"/>
      <c r="P1633" s="751"/>
      <c r="Q1633" s="751"/>
      <c r="R1633" s="751"/>
      <c r="S1633" s="751"/>
      <c r="T1633" s="751"/>
      <c r="U1633" s="751"/>
      <c r="V1633" s="751"/>
      <c r="W1633" s="751"/>
      <c r="X1633" s="751"/>
      <c r="Y1633" s="751"/>
      <c r="Z1633" s="751"/>
      <c r="AA1633" s="751"/>
      <c r="AB1633" s="751"/>
      <c r="AC1633" s="751"/>
      <c r="AD1633" s="751"/>
      <c r="AE1633" s="751"/>
      <c r="AF1633" s="751"/>
      <c r="AG1633" s="751"/>
    </row>
    <row r="1634" spans="4:33">
      <c r="D1634" s="751"/>
      <c r="E1634" s="751"/>
      <c r="F1634" s="751"/>
      <c r="G1634" s="751"/>
      <c r="H1634" s="751"/>
      <c r="I1634" s="751"/>
      <c r="J1634" s="751"/>
      <c r="K1634" s="751"/>
      <c r="L1634" s="751"/>
      <c r="M1634" s="751"/>
      <c r="N1634" s="751"/>
      <c r="O1634" s="751"/>
      <c r="P1634" s="751"/>
      <c r="Q1634" s="751"/>
      <c r="R1634" s="751"/>
      <c r="S1634" s="751"/>
      <c r="T1634" s="751"/>
      <c r="U1634" s="751"/>
      <c r="V1634" s="751"/>
      <c r="W1634" s="751"/>
      <c r="X1634" s="751"/>
      <c r="Y1634" s="751"/>
      <c r="Z1634" s="751"/>
      <c r="AA1634" s="751"/>
      <c r="AB1634" s="751"/>
      <c r="AC1634" s="751"/>
      <c r="AD1634" s="751"/>
      <c r="AE1634" s="751"/>
      <c r="AF1634" s="751"/>
      <c r="AG1634" s="751"/>
    </row>
    <row r="1635" spans="4:33">
      <c r="D1635" s="751"/>
      <c r="E1635" s="751"/>
      <c r="F1635" s="751"/>
      <c r="G1635" s="751"/>
      <c r="H1635" s="751"/>
      <c r="I1635" s="751"/>
      <c r="J1635" s="751"/>
      <c r="K1635" s="751"/>
      <c r="L1635" s="751"/>
      <c r="M1635" s="751"/>
      <c r="N1635" s="751"/>
      <c r="O1635" s="751"/>
      <c r="P1635" s="751"/>
      <c r="Q1635" s="751"/>
      <c r="R1635" s="751"/>
      <c r="S1635" s="751"/>
      <c r="T1635" s="751"/>
      <c r="U1635" s="751"/>
      <c r="V1635" s="751"/>
      <c r="W1635" s="751"/>
      <c r="X1635" s="751"/>
      <c r="Y1635" s="751"/>
      <c r="Z1635" s="751"/>
      <c r="AA1635" s="751"/>
      <c r="AB1635" s="751"/>
      <c r="AC1635" s="751"/>
      <c r="AD1635" s="751"/>
      <c r="AE1635" s="751"/>
      <c r="AF1635" s="751"/>
      <c r="AG1635" s="751"/>
    </row>
    <row r="1636" spans="4:33">
      <c r="D1636" s="751"/>
      <c r="E1636" s="751"/>
      <c r="F1636" s="751"/>
      <c r="G1636" s="751"/>
      <c r="H1636" s="751"/>
      <c r="I1636" s="751"/>
      <c r="J1636" s="751"/>
      <c r="K1636" s="751"/>
      <c r="L1636" s="751"/>
      <c r="M1636" s="751"/>
      <c r="N1636" s="751"/>
      <c r="O1636" s="751"/>
      <c r="P1636" s="751"/>
      <c r="Q1636" s="751"/>
      <c r="R1636" s="751"/>
      <c r="S1636" s="751"/>
      <c r="T1636" s="751"/>
      <c r="U1636" s="751"/>
      <c r="V1636" s="751"/>
      <c r="W1636" s="751"/>
      <c r="X1636" s="751"/>
      <c r="Y1636" s="751"/>
      <c r="Z1636" s="751"/>
      <c r="AA1636" s="751"/>
      <c r="AB1636" s="751"/>
      <c r="AC1636" s="751"/>
      <c r="AD1636" s="751"/>
      <c r="AE1636" s="751"/>
      <c r="AF1636" s="751"/>
      <c r="AG1636" s="751"/>
    </row>
    <row r="1637" spans="4:33">
      <c r="D1637" s="751"/>
      <c r="E1637" s="751"/>
      <c r="F1637" s="751"/>
      <c r="G1637" s="751"/>
      <c r="H1637" s="751"/>
      <c r="I1637" s="751"/>
      <c r="J1637" s="751"/>
      <c r="K1637" s="751"/>
      <c r="L1637" s="751"/>
      <c r="M1637" s="751"/>
      <c r="N1637" s="751"/>
      <c r="O1637" s="751"/>
      <c r="P1637" s="751"/>
      <c r="Q1637" s="751"/>
      <c r="R1637" s="751"/>
      <c r="S1637" s="751"/>
      <c r="T1637" s="751"/>
      <c r="U1637" s="751"/>
      <c r="V1637" s="751"/>
      <c r="W1637" s="751"/>
      <c r="X1637" s="751"/>
      <c r="Y1637" s="751"/>
      <c r="Z1637" s="751"/>
      <c r="AA1637" s="751"/>
      <c r="AB1637" s="751"/>
      <c r="AC1637" s="751"/>
      <c r="AD1637" s="751"/>
      <c r="AE1637" s="751"/>
      <c r="AF1637" s="751"/>
      <c r="AG1637" s="751"/>
    </row>
    <row r="1638" spans="4:33">
      <c r="D1638" s="751"/>
      <c r="E1638" s="751"/>
      <c r="F1638" s="751"/>
      <c r="G1638" s="751"/>
      <c r="H1638" s="751"/>
      <c r="I1638" s="751"/>
      <c r="J1638" s="751"/>
      <c r="K1638" s="751"/>
      <c r="L1638" s="751"/>
      <c r="M1638" s="751"/>
      <c r="N1638" s="751"/>
      <c r="O1638" s="751"/>
      <c r="P1638" s="751"/>
      <c r="Q1638" s="751"/>
      <c r="R1638" s="751"/>
      <c r="S1638" s="751"/>
      <c r="T1638" s="751"/>
      <c r="U1638" s="751"/>
      <c r="V1638" s="751"/>
      <c r="W1638" s="751"/>
      <c r="X1638" s="751"/>
      <c r="Y1638" s="751"/>
      <c r="Z1638" s="751"/>
      <c r="AA1638" s="751"/>
      <c r="AB1638" s="751"/>
      <c r="AC1638" s="751"/>
      <c r="AD1638" s="751"/>
      <c r="AE1638" s="751"/>
      <c r="AF1638" s="751"/>
      <c r="AG1638" s="751"/>
    </row>
    <row r="1639" spans="4:33">
      <c r="D1639" s="751"/>
      <c r="E1639" s="751"/>
      <c r="F1639" s="751"/>
      <c r="G1639" s="751"/>
      <c r="H1639" s="751"/>
      <c r="I1639" s="751"/>
      <c r="J1639" s="751"/>
      <c r="K1639" s="751"/>
      <c r="L1639" s="751"/>
      <c r="M1639" s="751"/>
      <c r="N1639" s="751"/>
      <c r="O1639" s="751"/>
      <c r="P1639" s="751"/>
      <c r="Q1639" s="751"/>
      <c r="R1639" s="751"/>
      <c r="S1639" s="751"/>
      <c r="T1639" s="751"/>
      <c r="U1639" s="751"/>
      <c r="V1639" s="751"/>
      <c r="W1639" s="751"/>
      <c r="X1639" s="751"/>
      <c r="Y1639" s="751"/>
      <c r="Z1639" s="751"/>
      <c r="AA1639" s="751"/>
      <c r="AB1639" s="751"/>
      <c r="AC1639" s="751"/>
      <c r="AD1639" s="751"/>
      <c r="AE1639" s="751"/>
      <c r="AF1639" s="751"/>
      <c r="AG1639" s="751"/>
    </row>
    <row r="1640" spans="4:33">
      <c r="D1640" s="751"/>
      <c r="E1640" s="751"/>
      <c r="F1640" s="751"/>
      <c r="G1640" s="751"/>
      <c r="H1640" s="751"/>
      <c r="I1640" s="751"/>
      <c r="J1640" s="751"/>
      <c r="K1640" s="751"/>
      <c r="L1640" s="751"/>
      <c r="M1640" s="751"/>
      <c r="N1640" s="751"/>
      <c r="O1640" s="751"/>
      <c r="P1640" s="751"/>
      <c r="Q1640" s="751"/>
      <c r="R1640" s="751"/>
      <c r="S1640" s="751"/>
      <c r="T1640" s="751"/>
      <c r="U1640" s="751"/>
      <c r="V1640" s="751"/>
      <c r="W1640" s="751"/>
      <c r="X1640" s="751"/>
      <c r="Y1640" s="751"/>
      <c r="Z1640" s="751"/>
      <c r="AA1640" s="751"/>
      <c r="AB1640" s="751"/>
      <c r="AC1640" s="751"/>
      <c r="AD1640" s="751"/>
      <c r="AE1640" s="751"/>
      <c r="AF1640" s="751"/>
      <c r="AG1640" s="751"/>
    </row>
    <row r="1641" spans="4:33">
      <c r="D1641" s="751"/>
      <c r="E1641" s="751"/>
      <c r="F1641" s="751"/>
      <c r="G1641" s="751"/>
      <c r="H1641" s="751"/>
      <c r="I1641" s="751"/>
      <c r="J1641" s="751"/>
      <c r="K1641" s="751"/>
      <c r="L1641" s="751"/>
      <c r="M1641" s="751"/>
      <c r="N1641" s="751"/>
      <c r="O1641" s="751"/>
      <c r="P1641" s="751"/>
      <c r="Q1641" s="751"/>
      <c r="R1641" s="751"/>
      <c r="S1641" s="751"/>
      <c r="T1641" s="751"/>
      <c r="U1641" s="751"/>
      <c r="V1641" s="751"/>
      <c r="W1641" s="751"/>
      <c r="X1641" s="751"/>
      <c r="Y1641" s="751"/>
      <c r="Z1641" s="751"/>
      <c r="AA1641" s="751"/>
      <c r="AB1641" s="751"/>
      <c r="AC1641" s="751"/>
      <c r="AD1641" s="751"/>
      <c r="AE1641" s="751"/>
      <c r="AF1641" s="751"/>
      <c r="AG1641" s="751"/>
    </row>
    <row r="1642" spans="4:33">
      <c r="D1642" s="751"/>
      <c r="E1642" s="751"/>
      <c r="F1642" s="751"/>
      <c r="G1642" s="751"/>
      <c r="H1642" s="751"/>
      <c r="I1642" s="751"/>
      <c r="J1642" s="751"/>
      <c r="K1642" s="751"/>
      <c r="L1642" s="751"/>
      <c r="M1642" s="751"/>
      <c r="N1642" s="751"/>
      <c r="O1642" s="751"/>
      <c r="P1642" s="751"/>
      <c r="Q1642" s="751"/>
      <c r="R1642" s="751"/>
      <c r="S1642" s="751"/>
      <c r="T1642" s="751"/>
      <c r="U1642" s="751"/>
      <c r="V1642" s="751"/>
      <c r="W1642" s="751"/>
      <c r="X1642" s="751"/>
      <c r="Y1642" s="751"/>
      <c r="Z1642" s="751"/>
      <c r="AA1642" s="751"/>
      <c r="AB1642" s="751"/>
      <c r="AC1642" s="751"/>
      <c r="AD1642" s="751"/>
      <c r="AE1642" s="751"/>
      <c r="AF1642" s="751"/>
      <c r="AG1642" s="751"/>
    </row>
    <row r="1643" spans="4:33">
      <c r="D1643" s="751"/>
      <c r="E1643" s="751"/>
      <c r="F1643" s="751"/>
      <c r="G1643" s="751"/>
      <c r="H1643" s="751"/>
      <c r="I1643" s="751"/>
      <c r="J1643" s="751"/>
      <c r="K1643" s="751"/>
      <c r="L1643" s="751"/>
      <c r="M1643" s="751"/>
      <c r="N1643" s="751"/>
      <c r="O1643" s="751"/>
      <c r="P1643" s="751"/>
      <c r="Q1643" s="751"/>
      <c r="R1643" s="751"/>
      <c r="S1643" s="751"/>
      <c r="T1643" s="751"/>
      <c r="U1643" s="751"/>
      <c r="V1643" s="751"/>
      <c r="W1643" s="751"/>
      <c r="X1643" s="751"/>
      <c r="Y1643" s="751"/>
      <c r="Z1643" s="751"/>
      <c r="AA1643" s="751"/>
      <c r="AB1643" s="751"/>
      <c r="AC1643" s="751"/>
      <c r="AD1643" s="751"/>
      <c r="AE1643" s="751"/>
      <c r="AF1643" s="751"/>
      <c r="AG1643" s="751"/>
    </row>
    <row r="1644" spans="4:33">
      <c r="D1644" s="751"/>
      <c r="E1644" s="751"/>
      <c r="F1644" s="751"/>
      <c r="G1644" s="751"/>
      <c r="H1644" s="751"/>
      <c r="I1644" s="751"/>
      <c r="J1644" s="751"/>
      <c r="K1644" s="751"/>
      <c r="L1644" s="751"/>
      <c r="M1644" s="751"/>
      <c r="N1644" s="751"/>
      <c r="O1644" s="751"/>
      <c r="P1644" s="751"/>
      <c r="Q1644" s="751"/>
      <c r="R1644" s="751"/>
      <c r="S1644" s="751"/>
      <c r="T1644" s="751"/>
      <c r="U1644" s="751"/>
      <c r="V1644" s="751"/>
      <c r="W1644" s="751"/>
      <c r="X1644" s="751"/>
      <c r="Y1644" s="751"/>
      <c r="Z1644" s="751"/>
      <c r="AA1644" s="751"/>
      <c r="AB1644" s="751"/>
      <c r="AC1644" s="751"/>
      <c r="AD1644" s="751"/>
      <c r="AE1644" s="751"/>
      <c r="AF1644" s="751"/>
      <c r="AG1644" s="751"/>
    </row>
    <row r="1645" spans="4:33">
      <c r="D1645" s="751"/>
      <c r="E1645" s="751"/>
      <c r="F1645" s="751"/>
      <c r="G1645" s="751"/>
      <c r="H1645" s="751"/>
      <c r="I1645" s="751"/>
      <c r="J1645" s="751"/>
      <c r="K1645" s="751"/>
      <c r="L1645" s="751"/>
      <c r="M1645" s="751"/>
      <c r="N1645" s="751"/>
      <c r="O1645" s="751"/>
      <c r="P1645" s="751"/>
      <c r="Q1645" s="751"/>
      <c r="R1645" s="751"/>
      <c r="S1645" s="751"/>
      <c r="T1645" s="751"/>
      <c r="U1645" s="751"/>
      <c r="V1645" s="751"/>
      <c r="W1645" s="751"/>
      <c r="X1645" s="751"/>
      <c r="Y1645" s="751"/>
      <c r="Z1645" s="751"/>
      <c r="AA1645" s="751"/>
      <c r="AB1645" s="751"/>
      <c r="AC1645" s="751"/>
      <c r="AD1645" s="751"/>
      <c r="AE1645" s="751"/>
      <c r="AF1645" s="751"/>
      <c r="AG1645" s="751"/>
    </row>
    <row r="1646" spans="4:33">
      <c r="D1646" s="751"/>
      <c r="E1646" s="751"/>
      <c r="F1646" s="751"/>
      <c r="G1646" s="751"/>
      <c r="H1646" s="751"/>
      <c r="I1646" s="751"/>
      <c r="J1646" s="751"/>
      <c r="K1646" s="751"/>
      <c r="L1646" s="751"/>
      <c r="M1646" s="751"/>
      <c r="N1646" s="751"/>
      <c r="O1646" s="751"/>
      <c r="P1646" s="751"/>
      <c r="Q1646" s="751"/>
      <c r="R1646" s="751"/>
      <c r="S1646" s="751"/>
      <c r="T1646" s="751"/>
      <c r="U1646" s="751"/>
      <c r="V1646" s="751"/>
      <c r="W1646" s="751"/>
      <c r="X1646" s="751"/>
      <c r="Y1646" s="751"/>
      <c r="Z1646" s="751"/>
      <c r="AA1646" s="751"/>
      <c r="AB1646" s="751"/>
      <c r="AC1646" s="751"/>
      <c r="AD1646" s="751"/>
      <c r="AE1646" s="751"/>
      <c r="AF1646" s="751"/>
      <c r="AG1646" s="751"/>
    </row>
    <row r="1647" spans="4:33">
      <c r="D1647" s="751"/>
      <c r="E1647" s="751"/>
      <c r="F1647" s="751"/>
      <c r="G1647" s="751"/>
      <c r="H1647" s="751"/>
      <c r="I1647" s="751"/>
      <c r="J1647" s="751"/>
      <c r="K1647" s="751"/>
      <c r="L1647" s="751"/>
      <c r="M1647" s="751"/>
      <c r="N1647" s="751"/>
      <c r="O1647" s="751"/>
      <c r="P1647" s="751"/>
      <c r="Q1647" s="751"/>
      <c r="R1647" s="751"/>
      <c r="S1647" s="751"/>
      <c r="T1647" s="751"/>
      <c r="U1647" s="751"/>
      <c r="V1647" s="751"/>
      <c r="W1647" s="751"/>
      <c r="X1647" s="751"/>
      <c r="Y1647" s="751"/>
      <c r="Z1647" s="751"/>
      <c r="AA1647" s="751"/>
      <c r="AB1647" s="751"/>
      <c r="AC1647" s="751"/>
      <c r="AD1647" s="751"/>
      <c r="AE1647" s="751"/>
      <c r="AF1647" s="751"/>
      <c r="AG1647" s="751"/>
    </row>
    <row r="1648" spans="4:33">
      <c r="D1648" s="751"/>
      <c r="E1648" s="751"/>
      <c r="F1648" s="751"/>
      <c r="G1648" s="751"/>
      <c r="H1648" s="751"/>
      <c r="I1648" s="751"/>
      <c r="J1648" s="751"/>
      <c r="K1648" s="751"/>
      <c r="L1648" s="751"/>
      <c r="M1648" s="751"/>
      <c r="N1648" s="751"/>
      <c r="O1648" s="751"/>
      <c r="P1648" s="751"/>
      <c r="Q1648" s="751"/>
      <c r="R1648" s="751"/>
      <c r="S1648" s="751"/>
      <c r="T1648" s="751"/>
      <c r="U1648" s="751"/>
      <c r="V1648" s="751"/>
      <c r="W1648" s="751"/>
      <c r="X1648" s="751"/>
      <c r="Y1648" s="751"/>
      <c r="Z1648" s="751"/>
      <c r="AA1648" s="751"/>
      <c r="AB1648" s="751"/>
      <c r="AC1648" s="751"/>
      <c r="AD1648" s="751"/>
      <c r="AE1648" s="751"/>
      <c r="AF1648" s="751"/>
      <c r="AG1648" s="751"/>
    </row>
    <row r="1649" spans="4:33">
      <c r="D1649" s="751"/>
      <c r="E1649" s="751"/>
      <c r="F1649" s="751"/>
      <c r="G1649" s="751"/>
      <c r="H1649" s="751"/>
      <c r="I1649" s="751"/>
      <c r="J1649" s="751"/>
      <c r="K1649" s="751"/>
      <c r="L1649" s="751"/>
      <c r="M1649" s="751"/>
      <c r="N1649" s="751"/>
      <c r="O1649" s="751"/>
      <c r="P1649" s="751"/>
      <c r="Q1649" s="751"/>
      <c r="R1649" s="751"/>
      <c r="S1649" s="751"/>
      <c r="T1649" s="751"/>
      <c r="U1649" s="751"/>
      <c r="V1649" s="751"/>
      <c r="W1649" s="751"/>
      <c r="X1649" s="751"/>
      <c r="Y1649" s="751"/>
      <c r="Z1649" s="751"/>
      <c r="AA1649" s="751"/>
      <c r="AB1649" s="751"/>
      <c r="AC1649" s="751"/>
      <c r="AD1649" s="751"/>
      <c r="AE1649" s="751"/>
      <c r="AF1649" s="751"/>
      <c r="AG1649" s="751"/>
    </row>
    <row r="1650" spans="4:33">
      <c r="D1650" s="751"/>
      <c r="E1650" s="751"/>
      <c r="F1650" s="751"/>
      <c r="G1650" s="751"/>
      <c r="H1650" s="751"/>
      <c r="I1650" s="751"/>
      <c r="J1650" s="751"/>
      <c r="K1650" s="751"/>
      <c r="L1650" s="751"/>
      <c r="M1650" s="751"/>
      <c r="N1650" s="751"/>
      <c r="O1650" s="751"/>
      <c r="P1650" s="751"/>
      <c r="Q1650" s="751"/>
      <c r="R1650" s="751"/>
      <c r="S1650" s="751"/>
      <c r="T1650" s="751"/>
      <c r="U1650" s="751"/>
      <c r="V1650" s="751"/>
      <c r="W1650" s="751"/>
      <c r="X1650" s="751"/>
      <c r="Y1650" s="751"/>
      <c r="Z1650" s="751"/>
      <c r="AA1650" s="751"/>
      <c r="AB1650" s="751"/>
      <c r="AC1650" s="751"/>
      <c r="AD1650" s="751"/>
      <c r="AE1650" s="751"/>
      <c r="AF1650" s="751"/>
      <c r="AG1650" s="751"/>
    </row>
    <row r="1651" spans="4:33">
      <c r="D1651" s="751"/>
      <c r="E1651" s="751"/>
      <c r="F1651" s="751"/>
      <c r="G1651" s="751"/>
      <c r="H1651" s="751"/>
      <c r="I1651" s="751"/>
      <c r="J1651" s="751"/>
      <c r="K1651" s="751"/>
      <c r="L1651" s="751"/>
      <c r="M1651" s="751"/>
      <c r="N1651" s="751"/>
      <c r="O1651" s="751"/>
      <c r="P1651" s="751"/>
      <c r="Q1651" s="751"/>
      <c r="R1651" s="751"/>
      <c r="S1651" s="751"/>
      <c r="T1651" s="751"/>
      <c r="U1651" s="751"/>
      <c r="V1651" s="751"/>
      <c r="W1651" s="751"/>
      <c r="X1651" s="751"/>
      <c r="Y1651" s="751"/>
      <c r="Z1651" s="751"/>
      <c r="AA1651" s="751"/>
      <c r="AB1651" s="751"/>
      <c r="AC1651" s="751"/>
      <c r="AD1651" s="751"/>
      <c r="AE1651" s="751"/>
      <c r="AF1651" s="751"/>
      <c r="AG1651" s="751"/>
    </row>
    <row r="1652" spans="4:33">
      <c r="D1652" s="751"/>
      <c r="E1652" s="751"/>
      <c r="F1652" s="751"/>
      <c r="G1652" s="751"/>
      <c r="H1652" s="751"/>
      <c r="I1652" s="751"/>
      <c r="J1652" s="751"/>
      <c r="K1652" s="751"/>
      <c r="L1652" s="751"/>
      <c r="M1652" s="751"/>
      <c r="N1652" s="751"/>
      <c r="O1652" s="751"/>
      <c r="P1652" s="751"/>
      <c r="Q1652" s="751"/>
      <c r="R1652" s="751"/>
      <c r="S1652" s="751"/>
      <c r="T1652" s="751"/>
      <c r="U1652" s="751"/>
      <c r="V1652" s="751"/>
      <c r="W1652" s="751"/>
      <c r="X1652" s="751"/>
      <c r="Y1652" s="751"/>
      <c r="Z1652" s="751"/>
      <c r="AA1652" s="751"/>
      <c r="AB1652" s="751"/>
      <c r="AC1652" s="751"/>
      <c r="AD1652" s="751"/>
      <c r="AE1652" s="751"/>
      <c r="AF1652" s="751"/>
      <c r="AG1652" s="751"/>
    </row>
    <row r="1653" spans="4:33">
      <c r="D1653" s="751"/>
      <c r="E1653" s="751"/>
      <c r="F1653" s="751"/>
      <c r="G1653" s="751"/>
      <c r="H1653" s="751"/>
      <c r="I1653" s="751"/>
      <c r="J1653" s="751"/>
      <c r="K1653" s="751"/>
      <c r="L1653" s="751"/>
      <c r="M1653" s="751"/>
      <c r="N1653" s="751"/>
      <c r="O1653" s="751"/>
      <c r="P1653" s="751"/>
      <c r="Q1653" s="751"/>
      <c r="R1653" s="751"/>
      <c r="S1653" s="751"/>
      <c r="T1653" s="751"/>
      <c r="U1653" s="751"/>
      <c r="V1653" s="751"/>
      <c r="W1653" s="751"/>
      <c r="X1653" s="751"/>
      <c r="Y1653" s="751"/>
      <c r="Z1653" s="751"/>
      <c r="AA1653" s="751"/>
      <c r="AB1653" s="751"/>
      <c r="AC1653" s="751"/>
      <c r="AD1653" s="751"/>
      <c r="AE1653" s="751"/>
      <c r="AF1653" s="751"/>
      <c r="AG1653" s="751"/>
    </row>
    <row r="1654" spans="4:33">
      <c r="D1654" s="751"/>
      <c r="E1654" s="751"/>
      <c r="F1654" s="751"/>
      <c r="G1654" s="751"/>
      <c r="H1654" s="751"/>
      <c r="I1654" s="751"/>
      <c r="J1654" s="751"/>
      <c r="K1654" s="751"/>
      <c r="L1654" s="751"/>
      <c r="M1654" s="751"/>
      <c r="N1654" s="751"/>
      <c r="O1654" s="751"/>
      <c r="P1654" s="751"/>
      <c r="Q1654" s="751"/>
      <c r="R1654" s="751"/>
      <c r="S1654" s="751"/>
      <c r="T1654" s="751"/>
      <c r="U1654" s="751"/>
      <c r="V1654" s="751"/>
      <c r="W1654" s="751"/>
      <c r="X1654" s="751"/>
      <c r="Y1654" s="751"/>
      <c r="Z1654" s="751"/>
      <c r="AA1654" s="751"/>
      <c r="AB1654" s="751"/>
      <c r="AC1654" s="751"/>
      <c r="AD1654" s="751"/>
      <c r="AE1654" s="751"/>
      <c r="AF1654" s="751"/>
      <c r="AG1654" s="751"/>
    </row>
    <row r="1655" spans="4:33">
      <c r="D1655" s="751"/>
      <c r="E1655" s="751"/>
      <c r="F1655" s="751"/>
      <c r="G1655" s="751"/>
      <c r="H1655" s="751"/>
      <c r="I1655" s="751"/>
      <c r="J1655" s="751"/>
      <c r="K1655" s="751"/>
      <c r="L1655" s="751"/>
      <c r="M1655" s="751"/>
      <c r="N1655" s="751"/>
      <c r="O1655" s="751"/>
      <c r="P1655" s="751"/>
      <c r="Q1655" s="751"/>
      <c r="R1655" s="751"/>
      <c r="S1655" s="751"/>
      <c r="T1655" s="751"/>
      <c r="U1655" s="751"/>
      <c r="V1655" s="751"/>
      <c r="W1655" s="751"/>
      <c r="X1655" s="751"/>
      <c r="Y1655" s="751"/>
      <c r="Z1655" s="751"/>
      <c r="AA1655" s="751"/>
      <c r="AB1655" s="751"/>
      <c r="AC1655" s="751"/>
      <c r="AD1655" s="751"/>
      <c r="AE1655" s="751"/>
      <c r="AF1655" s="751"/>
      <c r="AG1655" s="751"/>
    </row>
    <row r="1656" spans="4:33">
      <c r="D1656" s="751"/>
      <c r="E1656" s="751"/>
      <c r="F1656" s="751"/>
      <c r="G1656" s="751"/>
      <c r="H1656" s="751"/>
      <c r="I1656" s="751"/>
      <c r="J1656" s="751"/>
      <c r="K1656" s="751"/>
      <c r="L1656" s="751"/>
      <c r="M1656" s="751"/>
      <c r="N1656" s="751"/>
      <c r="O1656" s="751"/>
      <c r="P1656" s="751"/>
      <c r="Q1656" s="751"/>
      <c r="R1656" s="751"/>
      <c r="S1656" s="751"/>
      <c r="T1656" s="751"/>
      <c r="U1656" s="751"/>
      <c r="V1656" s="751"/>
      <c r="W1656" s="751"/>
      <c r="X1656" s="751"/>
      <c r="Y1656" s="751"/>
      <c r="Z1656" s="751"/>
      <c r="AA1656" s="751"/>
      <c r="AB1656" s="751"/>
      <c r="AC1656" s="751"/>
      <c r="AD1656" s="751"/>
      <c r="AE1656" s="751"/>
      <c r="AF1656" s="751"/>
      <c r="AG1656" s="751"/>
    </row>
    <row r="1657" spans="4:33">
      <c r="D1657" s="751"/>
      <c r="E1657" s="751"/>
      <c r="F1657" s="751"/>
      <c r="G1657" s="751"/>
      <c r="H1657" s="751"/>
      <c r="I1657" s="751"/>
      <c r="J1657" s="751"/>
      <c r="K1657" s="751"/>
      <c r="L1657" s="751"/>
      <c r="M1657" s="751"/>
      <c r="N1657" s="751"/>
      <c r="O1657" s="751"/>
      <c r="P1657" s="751"/>
      <c r="Q1657" s="751"/>
      <c r="R1657" s="751"/>
      <c r="S1657" s="751"/>
      <c r="T1657" s="751"/>
      <c r="U1657" s="751"/>
      <c r="V1657" s="751"/>
      <c r="W1657" s="751"/>
      <c r="X1657" s="751"/>
      <c r="Y1657" s="751"/>
      <c r="Z1657" s="751"/>
      <c r="AA1657" s="751"/>
      <c r="AB1657" s="751"/>
      <c r="AC1657" s="751"/>
      <c r="AD1657" s="751"/>
      <c r="AE1657" s="751"/>
      <c r="AF1657" s="751"/>
      <c r="AG1657" s="751"/>
    </row>
    <row r="1658" spans="4:33">
      <c r="D1658" s="751"/>
      <c r="E1658" s="751"/>
      <c r="F1658" s="751"/>
      <c r="G1658" s="751"/>
      <c r="H1658" s="751"/>
      <c r="I1658" s="751"/>
      <c r="J1658" s="751"/>
      <c r="K1658" s="751"/>
      <c r="L1658" s="751"/>
      <c r="M1658" s="751"/>
      <c r="N1658" s="751"/>
      <c r="O1658" s="751"/>
      <c r="P1658" s="751"/>
      <c r="Q1658" s="751"/>
      <c r="R1658" s="751"/>
      <c r="S1658" s="751"/>
      <c r="T1658" s="751"/>
      <c r="U1658" s="751"/>
      <c r="V1658" s="751"/>
      <c r="W1658" s="751"/>
      <c r="X1658" s="751"/>
      <c r="Y1658" s="751"/>
      <c r="Z1658" s="751"/>
      <c r="AA1658" s="751"/>
      <c r="AB1658" s="751"/>
      <c r="AC1658" s="751"/>
      <c r="AD1658" s="751"/>
      <c r="AE1658" s="751"/>
      <c r="AF1658" s="751"/>
      <c r="AG1658" s="751"/>
    </row>
    <row r="1659" spans="4:33">
      <c r="D1659" s="751"/>
      <c r="E1659" s="751"/>
      <c r="F1659" s="751"/>
      <c r="G1659" s="751"/>
      <c r="H1659" s="751"/>
      <c r="I1659" s="751"/>
      <c r="J1659" s="751"/>
      <c r="K1659" s="751"/>
      <c r="L1659" s="751"/>
      <c r="M1659" s="751"/>
      <c r="N1659" s="751"/>
      <c r="O1659" s="751"/>
      <c r="P1659" s="751"/>
      <c r="Q1659" s="751"/>
      <c r="R1659" s="751"/>
      <c r="S1659" s="751"/>
      <c r="T1659" s="751"/>
      <c r="U1659" s="751"/>
      <c r="V1659" s="751"/>
      <c r="W1659" s="751"/>
      <c r="X1659" s="751"/>
      <c r="Y1659" s="751"/>
      <c r="Z1659" s="751"/>
      <c r="AA1659" s="751"/>
      <c r="AB1659" s="751"/>
      <c r="AC1659" s="751"/>
      <c r="AD1659" s="751"/>
      <c r="AE1659" s="751"/>
      <c r="AF1659" s="751"/>
      <c r="AG1659" s="751"/>
    </row>
    <row r="1660" spans="4:33">
      <c r="D1660" s="751"/>
      <c r="E1660" s="751"/>
      <c r="F1660" s="751"/>
      <c r="G1660" s="751"/>
      <c r="H1660" s="751"/>
      <c r="I1660" s="751"/>
      <c r="J1660" s="751"/>
      <c r="K1660" s="751"/>
      <c r="L1660" s="751"/>
      <c r="M1660" s="751"/>
      <c r="N1660" s="751"/>
      <c r="O1660" s="751"/>
      <c r="P1660" s="751"/>
      <c r="Q1660" s="751"/>
      <c r="R1660" s="751"/>
      <c r="S1660" s="751"/>
      <c r="T1660" s="751"/>
      <c r="U1660" s="751"/>
      <c r="V1660" s="751"/>
      <c r="W1660" s="751"/>
      <c r="X1660" s="751"/>
      <c r="Y1660" s="751"/>
      <c r="Z1660" s="751"/>
      <c r="AA1660" s="751"/>
      <c r="AB1660" s="751"/>
      <c r="AC1660" s="751"/>
      <c r="AD1660" s="751"/>
      <c r="AE1660" s="751"/>
      <c r="AF1660" s="751"/>
      <c r="AG1660" s="751"/>
    </row>
    <row r="1661" spans="4:33">
      <c r="D1661" s="751"/>
      <c r="E1661" s="751"/>
      <c r="F1661" s="751"/>
      <c r="G1661" s="751"/>
      <c r="H1661" s="751"/>
      <c r="I1661" s="751"/>
      <c r="J1661" s="751"/>
      <c r="K1661" s="751"/>
      <c r="L1661" s="751"/>
      <c r="M1661" s="751"/>
      <c r="N1661" s="751"/>
      <c r="O1661" s="751"/>
      <c r="P1661" s="751"/>
      <c r="Q1661" s="751"/>
      <c r="R1661" s="751"/>
      <c r="S1661" s="751"/>
      <c r="T1661" s="751"/>
      <c r="U1661" s="751"/>
      <c r="V1661" s="751"/>
      <c r="W1661" s="751"/>
      <c r="X1661" s="751"/>
      <c r="Y1661" s="751"/>
      <c r="Z1661" s="751"/>
      <c r="AA1661" s="751"/>
      <c r="AB1661" s="751"/>
      <c r="AC1661" s="751"/>
      <c r="AD1661" s="751"/>
      <c r="AE1661" s="751"/>
      <c r="AF1661" s="751"/>
      <c r="AG1661" s="751"/>
    </row>
    <row r="1662" spans="4:33">
      <c r="D1662" s="751"/>
      <c r="E1662" s="751"/>
      <c r="F1662" s="751"/>
      <c r="G1662" s="751"/>
      <c r="H1662" s="751"/>
      <c r="I1662" s="751"/>
      <c r="J1662" s="751"/>
      <c r="K1662" s="751"/>
      <c r="L1662" s="751"/>
      <c r="M1662" s="751"/>
      <c r="N1662" s="751"/>
      <c r="O1662" s="751"/>
      <c r="P1662" s="751"/>
      <c r="Q1662" s="751"/>
      <c r="R1662" s="751"/>
      <c r="S1662" s="751"/>
      <c r="T1662" s="751"/>
      <c r="U1662" s="751"/>
      <c r="V1662" s="751"/>
      <c r="W1662" s="751"/>
      <c r="X1662" s="751"/>
      <c r="Y1662" s="751"/>
      <c r="Z1662" s="751"/>
      <c r="AA1662" s="751"/>
      <c r="AB1662" s="751"/>
      <c r="AC1662" s="751"/>
      <c r="AD1662" s="751"/>
      <c r="AE1662" s="751"/>
      <c r="AF1662" s="751"/>
      <c r="AG1662" s="751"/>
    </row>
    <row r="1663" spans="4:33">
      <c r="D1663" s="751"/>
      <c r="E1663" s="751"/>
      <c r="F1663" s="751"/>
      <c r="G1663" s="751"/>
      <c r="H1663" s="751"/>
      <c r="I1663" s="751"/>
      <c r="J1663" s="751"/>
      <c r="K1663" s="751"/>
      <c r="L1663" s="751"/>
      <c r="M1663" s="751"/>
      <c r="N1663" s="751"/>
      <c r="O1663" s="751"/>
      <c r="P1663" s="751"/>
      <c r="Q1663" s="751"/>
      <c r="R1663" s="751"/>
      <c r="S1663" s="751"/>
      <c r="T1663" s="751"/>
      <c r="U1663" s="751"/>
      <c r="V1663" s="751"/>
      <c r="W1663" s="751"/>
      <c r="X1663" s="751"/>
      <c r="Y1663" s="751"/>
      <c r="Z1663" s="751"/>
      <c r="AA1663" s="751"/>
      <c r="AB1663" s="751"/>
      <c r="AC1663" s="751"/>
      <c r="AD1663" s="751"/>
      <c r="AE1663" s="751"/>
      <c r="AF1663" s="751"/>
      <c r="AG1663" s="751"/>
    </row>
    <row r="1664" spans="4:33">
      <c r="D1664" s="751"/>
      <c r="E1664" s="751"/>
      <c r="F1664" s="751"/>
      <c r="G1664" s="751"/>
      <c r="H1664" s="751"/>
      <c r="I1664" s="751"/>
      <c r="J1664" s="751"/>
      <c r="K1664" s="751"/>
      <c r="L1664" s="751"/>
      <c r="M1664" s="751"/>
      <c r="N1664" s="751"/>
      <c r="O1664" s="751"/>
      <c r="P1664" s="751"/>
      <c r="Q1664" s="751"/>
      <c r="R1664" s="751"/>
      <c r="S1664" s="751"/>
      <c r="T1664" s="751"/>
      <c r="U1664" s="751"/>
      <c r="V1664" s="751"/>
      <c r="W1664" s="751"/>
      <c r="X1664" s="751"/>
      <c r="Y1664" s="751"/>
      <c r="Z1664" s="751"/>
      <c r="AA1664" s="751"/>
      <c r="AB1664" s="751"/>
      <c r="AC1664" s="751"/>
      <c r="AD1664" s="751"/>
      <c r="AE1664" s="751"/>
      <c r="AF1664" s="751"/>
      <c r="AG1664" s="751"/>
    </row>
    <row r="1665" spans="4:33">
      <c r="D1665" s="751"/>
      <c r="E1665" s="751"/>
      <c r="F1665" s="751"/>
      <c r="G1665" s="751"/>
      <c r="H1665" s="751"/>
      <c r="I1665" s="751"/>
      <c r="J1665" s="751"/>
      <c r="K1665" s="751"/>
      <c r="L1665" s="751"/>
      <c r="M1665" s="751"/>
      <c r="N1665" s="751"/>
      <c r="O1665" s="751"/>
      <c r="P1665" s="751"/>
      <c r="Q1665" s="751"/>
      <c r="R1665" s="751"/>
      <c r="S1665" s="751"/>
      <c r="T1665" s="751"/>
      <c r="U1665" s="751"/>
      <c r="V1665" s="751"/>
      <c r="W1665" s="751"/>
      <c r="X1665" s="751"/>
      <c r="Y1665" s="751"/>
      <c r="Z1665" s="751"/>
      <c r="AA1665" s="751"/>
      <c r="AB1665" s="751"/>
      <c r="AC1665" s="751"/>
      <c r="AD1665" s="751"/>
      <c r="AE1665" s="751"/>
      <c r="AF1665" s="751"/>
      <c r="AG1665" s="751"/>
    </row>
    <row r="1666" spans="4:33">
      <c r="D1666" s="751"/>
      <c r="E1666" s="751"/>
      <c r="F1666" s="751"/>
      <c r="G1666" s="751"/>
      <c r="H1666" s="751"/>
      <c r="I1666" s="751"/>
      <c r="J1666" s="751"/>
      <c r="K1666" s="751"/>
      <c r="L1666" s="751"/>
      <c r="M1666" s="751"/>
      <c r="N1666" s="751"/>
      <c r="O1666" s="751"/>
      <c r="P1666" s="751"/>
      <c r="Q1666" s="751"/>
      <c r="R1666" s="751"/>
      <c r="S1666" s="751"/>
      <c r="T1666" s="751"/>
      <c r="U1666" s="751"/>
      <c r="V1666" s="751"/>
      <c r="W1666" s="751"/>
      <c r="X1666" s="751"/>
      <c r="Y1666" s="751"/>
      <c r="Z1666" s="751"/>
      <c r="AA1666" s="751"/>
      <c r="AB1666" s="751"/>
      <c r="AC1666" s="751"/>
      <c r="AD1666" s="751"/>
      <c r="AE1666" s="751"/>
      <c r="AF1666" s="751"/>
      <c r="AG1666" s="751"/>
    </row>
    <row r="1667" spans="4:33">
      <c r="D1667" s="751"/>
      <c r="E1667" s="751"/>
      <c r="F1667" s="751"/>
      <c r="G1667" s="751"/>
      <c r="H1667" s="751"/>
      <c r="I1667" s="751"/>
      <c r="J1667" s="751"/>
      <c r="K1667" s="751"/>
      <c r="L1667" s="751"/>
      <c r="M1667" s="751"/>
      <c r="N1667" s="751"/>
      <c r="O1667" s="751"/>
      <c r="P1667" s="751"/>
      <c r="Q1667" s="751"/>
      <c r="R1667" s="751"/>
      <c r="S1667" s="751"/>
      <c r="T1667" s="751"/>
      <c r="U1667" s="751"/>
      <c r="V1667" s="751"/>
      <c r="W1667" s="751"/>
      <c r="X1667" s="751"/>
      <c r="Y1667" s="751"/>
      <c r="Z1667" s="751"/>
      <c r="AA1667" s="751"/>
      <c r="AB1667" s="751"/>
      <c r="AC1667" s="751"/>
      <c r="AD1667" s="751"/>
      <c r="AE1667" s="751"/>
      <c r="AF1667" s="751"/>
      <c r="AG1667" s="751"/>
    </row>
    <row r="1668" spans="4:33">
      <c r="D1668" s="751"/>
      <c r="E1668" s="751"/>
      <c r="F1668" s="751"/>
      <c r="G1668" s="751"/>
      <c r="H1668" s="751"/>
      <c r="I1668" s="751"/>
      <c r="J1668" s="751"/>
      <c r="K1668" s="751"/>
      <c r="L1668" s="751"/>
      <c r="M1668" s="751"/>
      <c r="N1668" s="751"/>
      <c r="O1668" s="751"/>
      <c r="P1668" s="751"/>
      <c r="Q1668" s="751"/>
      <c r="R1668" s="751"/>
      <c r="S1668" s="751"/>
      <c r="T1668" s="751"/>
      <c r="U1668" s="751"/>
      <c r="V1668" s="751"/>
      <c r="W1668" s="751"/>
      <c r="X1668" s="751"/>
      <c r="Y1668" s="751"/>
      <c r="Z1668" s="751"/>
      <c r="AA1668" s="751"/>
      <c r="AB1668" s="751"/>
      <c r="AC1668" s="751"/>
      <c r="AD1668" s="751"/>
      <c r="AE1668" s="751"/>
      <c r="AF1668" s="751"/>
      <c r="AG1668" s="751"/>
    </row>
    <row r="1669" spans="4:33">
      <c r="D1669" s="751"/>
      <c r="E1669" s="751"/>
      <c r="F1669" s="751"/>
      <c r="G1669" s="751"/>
      <c r="H1669" s="751"/>
      <c r="I1669" s="751"/>
      <c r="J1669" s="751"/>
      <c r="K1669" s="751"/>
      <c r="L1669" s="751"/>
      <c r="M1669" s="751"/>
      <c r="N1669" s="751"/>
      <c r="O1669" s="751"/>
      <c r="P1669" s="751"/>
      <c r="Q1669" s="751"/>
      <c r="R1669" s="751"/>
      <c r="S1669" s="751"/>
      <c r="T1669" s="751"/>
      <c r="U1669" s="751"/>
      <c r="V1669" s="751"/>
      <c r="W1669" s="751"/>
      <c r="X1669" s="751"/>
      <c r="Y1669" s="751"/>
      <c r="Z1669" s="751"/>
      <c r="AA1669" s="751"/>
      <c r="AB1669" s="751"/>
      <c r="AC1669" s="751"/>
      <c r="AD1669" s="751"/>
      <c r="AE1669" s="751"/>
      <c r="AF1669" s="751"/>
      <c r="AG1669" s="751"/>
    </row>
    <row r="1670" spans="4:33">
      <c r="D1670" s="751"/>
      <c r="E1670" s="751"/>
      <c r="F1670" s="751"/>
      <c r="G1670" s="751"/>
      <c r="H1670" s="751"/>
      <c r="I1670" s="751"/>
      <c r="J1670" s="751"/>
      <c r="K1670" s="751"/>
      <c r="L1670" s="751"/>
      <c r="M1670" s="751"/>
      <c r="N1670" s="751"/>
      <c r="O1670" s="751"/>
      <c r="P1670" s="751"/>
      <c r="Q1670" s="751"/>
      <c r="R1670" s="751"/>
      <c r="S1670" s="751"/>
      <c r="T1670" s="751"/>
      <c r="U1670" s="751"/>
      <c r="V1670" s="751"/>
      <c r="W1670" s="751"/>
      <c r="X1670" s="751"/>
      <c r="Y1670" s="751"/>
      <c r="Z1670" s="751"/>
      <c r="AA1670" s="751"/>
      <c r="AB1670" s="751"/>
      <c r="AC1670" s="751"/>
      <c r="AD1670" s="751"/>
      <c r="AE1670" s="751"/>
      <c r="AF1670" s="751"/>
      <c r="AG1670" s="751"/>
    </row>
    <row r="1671" spans="4:33">
      <c r="D1671" s="751"/>
      <c r="E1671" s="751"/>
      <c r="F1671" s="751"/>
      <c r="G1671" s="751"/>
      <c r="H1671" s="751"/>
      <c r="I1671" s="751"/>
      <c r="J1671" s="751"/>
      <c r="K1671" s="751"/>
      <c r="L1671" s="751"/>
      <c r="M1671" s="751"/>
      <c r="N1671" s="751"/>
      <c r="O1671" s="751"/>
      <c r="P1671" s="751"/>
      <c r="Q1671" s="751"/>
      <c r="R1671" s="751"/>
      <c r="S1671" s="751"/>
      <c r="T1671" s="751"/>
      <c r="U1671" s="751"/>
      <c r="V1671" s="751"/>
      <c r="W1671" s="751"/>
      <c r="X1671" s="751"/>
      <c r="Y1671" s="751"/>
      <c r="Z1671" s="751"/>
      <c r="AA1671" s="751"/>
      <c r="AB1671" s="751"/>
      <c r="AC1671" s="751"/>
      <c r="AD1671" s="751"/>
      <c r="AE1671" s="751"/>
      <c r="AF1671" s="751"/>
      <c r="AG1671" s="751"/>
    </row>
    <row r="1672" spans="4:33">
      <c r="D1672" s="751"/>
      <c r="E1672" s="751"/>
      <c r="F1672" s="751"/>
      <c r="G1672" s="751"/>
      <c r="H1672" s="751"/>
      <c r="I1672" s="751"/>
      <c r="J1672" s="751"/>
      <c r="K1672" s="751"/>
      <c r="L1672" s="751"/>
      <c r="M1672" s="751"/>
      <c r="N1672" s="751"/>
      <c r="O1672" s="751"/>
      <c r="P1672" s="751"/>
      <c r="Q1672" s="751"/>
      <c r="R1672" s="751"/>
      <c r="S1672" s="751"/>
      <c r="T1672" s="751"/>
      <c r="U1672" s="751"/>
      <c r="V1672" s="751"/>
      <c r="W1672" s="751"/>
      <c r="X1672" s="751"/>
      <c r="Y1672" s="751"/>
      <c r="Z1672" s="751"/>
      <c r="AA1672" s="751"/>
      <c r="AB1672" s="751"/>
      <c r="AC1672" s="751"/>
      <c r="AD1672" s="751"/>
      <c r="AE1672" s="751"/>
      <c r="AF1672" s="751"/>
      <c r="AG1672" s="751"/>
    </row>
    <row r="1673" spans="4:33">
      <c r="D1673" s="751"/>
      <c r="E1673" s="751"/>
      <c r="F1673" s="751"/>
      <c r="G1673" s="751"/>
      <c r="H1673" s="751"/>
      <c r="I1673" s="751"/>
      <c r="J1673" s="751"/>
      <c r="K1673" s="751"/>
      <c r="L1673" s="751"/>
      <c r="M1673" s="751"/>
      <c r="N1673" s="751"/>
      <c r="O1673" s="751"/>
      <c r="P1673" s="751"/>
      <c r="Q1673" s="751"/>
      <c r="R1673" s="751"/>
      <c r="S1673" s="751"/>
      <c r="T1673" s="751"/>
      <c r="U1673" s="751"/>
      <c r="V1673" s="751"/>
      <c r="W1673" s="751"/>
      <c r="X1673" s="751"/>
      <c r="Y1673" s="751"/>
      <c r="Z1673" s="751"/>
      <c r="AA1673" s="751"/>
      <c r="AB1673" s="751"/>
      <c r="AC1673" s="751"/>
      <c r="AD1673" s="751"/>
      <c r="AE1673" s="751"/>
      <c r="AF1673" s="751"/>
      <c r="AG1673" s="751"/>
    </row>
    <row r="1674" spans="4:33">
      <c r="D1674" s="751"/>
      <c r="E1674" s="751"/>
      <c r="F1674" s="751"/>
      <c r="G1674" s="751"/>
      <c r="H1674" s="751"/>
      <c r="I1674" s="751"/>
      <c r="J1674" s="751"/>
      <c r="K1674" s="751"/>
      <c r="L1674" s="751"/>
      <c r="M1674" s="751"/>
      <c r="N1674" s="751"/>
      <c r="O1674" s="751"/>
      <c r="P1674" s="751"/>
      <c r="Q1674" s="751"/>
      <c r="R1674" s="751"/>
      <c r="S1674" s="751"/>
      <c r="T1674" s="751"/>
      <c r="U1674" s="751"/>
      <c r="V1674" s="751"/>
      <c r="W1674" s="751"/>
      <c r="X1674" s="751"/>
      <c r="Y1674" s="751"/>
      <c r="Z1674" s="751"/>
      <c r="AA1674" s="751"/>
      <c r="AB1674" s="751"/>
      <c r="AC1674" s="751"/>
      <c r="AD1674" s="751"/>
      <c r="AE1674" s="751"/>
      <c r="AF1674" s="751"/>
      <c r="AG1674" s="751"/>
    </row>
    <row r="1675" spans="4:33">
      <c r="D1675" s="751"/>
      <c r="E1675" s="751"/>
      <c r="F1675" s="751"/>
      <c r="G1675" s="751"/>
      <c r="H1675" s="751"/>
      <c r="I1675" s="751"/>
      <c r="J1675" s="751"/>
      <c r="K1675" s="751"/>
      <c r="L1675" s="751"/>
      <c r="M1675" s="751"/>
      <c r="N1675" s="751"/>
      <c r="O1675" s="751"/>
      <c r="P1675" s="751"/>
      <c r="Q1675" s="751"/>
      <c r="R1675" s="751"/>
      <c r="S1675" s="751"/>
      <c r="T1675" s="751"/>
      <c r="U1675" s="751"/>
      <c r="V1675" s="751"/>
      <c r="W1675" s="751"/>
      <c r="X1675" s="751"/>
      <c r="Y1675" s="751"/>
      <c r="Z1675" s="751"/>
      <c r="AA1675" s="751"/>
      <c r="AB1675" s="751"/>
      <c r="AC1675" s="751"/>
      <c r="AD1675" s="751"/>
      <c r="AE1675" s="751"/>
      <c r="AF1675" s="751"/>
      <c r="AG1675" s="751"/>
    </row>
    <row r="1676" spans="4:33">
      <c r="D1676" s="751"/>
      <c r="E1676" s="751"/>
      <c r="F1676" s="751"/>
      <c r="G1676" s="751"/>
      <c r="H1676" s="751"/>
      <c r="I1676" s="751"/>
      <c r="J1676" s="751"/>
      <c r="K1676" s="751"/>
      <c r="L1676" s="751"/>
      <c r="M1676" s="751"/>
      <c r="N1676" s="751"/>
      <c r="O1676" s="751"/>
      <c r="P1676" s="751"/>
      <c r="Q1676" s="751"/>
      <c r="R1676" s="751"/>
      <c r="S1676" s="751"/>
      <c r="T1676" s="751"/>
      <c r="U1676" s="751"/>
      <c r="V1676" s="751"/>
      <c r="W1676" s="751"/>
      <c r="X1676" s="751"/>
      <c r="Y1676" s="751"/>
      <c r="Z1676" s="751"/>
      <c r="AA1676" s="751"/>
      <c r="AB1676" s="751"/>
      <c r="AC1676" s="751"/>
      <c r="AD1676" s="751"/>
      <c r="AE1676" s="751"/>
      <c r="AF1676" s="751"/>
      <c r="AG1676" s="751"/>
    </row>
    <row r="1677" spans="4:33">
      <c r="D1677" s="751"/>
      <c r="E1677" s="751"/>
      <c r="F1677" s="751"/>
      <c r="G1677" s="751"/>
      <c r="H1677" s="751"/>
      <c r="I1677" s="751"/>
      <c r="J1677" s="751"/>
      <c r="K1677" s="751"/>
      <c r="L1677" s="751"/>
      <c r="M1677" s="751"/>
      <c r="N1677" s="751"/>
      <c r="O1677" s="751"/>
      <c r="P1677" s="751"/>
      <c r="Q1677" s="751"/>
      <c r="R1677" s="751"/>
      <c r="S1677" s="751"/>
      <c r="T1677" s="751"/>
      <c r="U1677" s="751"/>
      <c r="V1677" s="751"/>
      <c r="W1677" s="751"/>
      <c r="X1677" s="751"/>
      <c r="Y1677" s="751"/>
      <c r="Z1677" s="751"/>
      <c r="AA1677" s="751"/>
      <c r="AB1677" s="751"/>
      <c r="AC1677" s="751"/>
      <c r="AD1677" s="751"/>
      <c r="AE1677" s="751"/>
      <c r="AF1677" s="751"/>
      <c r="AG1677" s="751"/>
    </row>
    <row r="1678" spans="4:33">
      <c r="D1678" s="751"/>
      <c r="E1678" s="751"/>
      <c r="F1678" s="751"/>
      <c r="G1678" s="751"/>
      <c r="H1678" s="751"/>
      <c r="I1678" s="751"/>
      <c r="J1678" s="751"/>
      <c r="K1678" s="751"/>
      <c r="L1678" s="751"/>
      <c r="M1678" s="751"/>
      <c r="N1678" s="751"/>
      <c r="O1678" s="751"/>
      <c r="P1678" s="751"/>
      <c r="Q1678" s="751"/>
      <c r="R1678" s="751"/>
      <c r="S1678" s="751"/>
      <c r="T1678" s="751"/>
      <c r="U1678" s="751"/>
      <c r="V1678" s="751"/>
      <c r="W1678" s="751"/>
      <c r="X1678" s="751"/>
      <c r="Y1678" s="751"/>
      <c r="Z1678" s="751"/>
      <c r="AA1678" s="751"/>
      <c r="AB1678" s="751"/>
      <c r="AC1678" s="751"/>
      <c r="AD1678" s="751"/>
      <c r="AE1678" s="751"/>
      <c r="AF1678" s="751"/>
      <c r="AG1678" s="751"/>
    </row>
    <row r="1679" spans="4:33">
      <c r="D1679" s="751"/>
      <c r="E1679" s="751"/>
      <c r="F1679" s="751"/>
      <c r="G1679" s="751"/>
      <c r="H1679" s="751"/>
      <c r="I1679" s="751"/>
      <c r="J1679" s="751"/>
      <c r="K1679" s="751"/>
      <c r="L1679" s="751"/>
      <c r="M1679" s="751"/>
      <c r="N1679" s="751"/>
      <c r="O1679" s="751"/>
      <c r="P1679" s="751"/>
      <c r="Q1679" s="751"/>
      <c r="R1679" s="751"/>
      <c r="S1679" s="751"/>
      <c r="T1679" s="751"/>
      <c r="U1679" s="751"/>
      <c r="V1679" s="751"/>
      <c r="W1679" s="751"/>
      <c r="X1679" s="751"/>
      <c r="Y1679" s="751"/>
      <c r="Z1679" s="751"/>
      <c r="AA1679" s="751"/>
      <c r="AB1679" s="751"/>
      <c r="AC1679" s="751"/>
      <c r="AD1679" s="751"/>
      <c r="AE1679" s="751"/>
      <c r="AF1679" s="751"/>
      <c r="AG1679" s="751"/>
    </row>
    <row r="1680" spans="4:33">
      <c r="D1680" s="751"/>
      <c r="E1680" s="751"/>
      <c r="F1680" s="751"/>
      <c r="G1680" s="751"/>
      <c r="H1680" s="751"/>
      <c r="I1680" s="751"/>
      <c r="J1680" s="751"/>
      <c r="K1680" s="751"/>
      <c r="L1680" s="751"/>
      <c r="M1680" s="751"/>
      <c r="N1680" s="751"/>
      <c r="O1680" s="751"/>
      <c r="P1680" s="751"/>
      <c r="Q1680" s="751"/>
      <c r="R1680" s="751"/>
      <c r="S1680" s="751"/>
      <c r="T1680" s="751"/>
      <c r="U1680" s="751"/>
      <c r="V1680" s="751"/>
      <c r="W1680" s="751"/>
      <c r="X1680" s="751"/>
      <c r="Y1680" s="751"/>
      <c r="Z1680" s="751"/>
      <c r="AA1680" s="751"/>
      <c r="AB1680" s="751"/>
      <c r="AC1680" s="751"/>
      <c r="AD1680" s="751"/>
      <c r="AE1680" s="751"/>
      <c r="AF1680" s="751"/>
      <c r="AG1680" s="751"/>
    </row>
    <row r="1681" spans="4:33">
      <c r="D1681" s="751"/>
      <c r="E1681" s="751"/>
      <c r="F1681" s="751"/>
      <c r="G1681" s="751"/>
      <c r="H1681" s="751"/>
      <c r="I1681" s="751"/>
      <c r="J1681" s="751"/>
      <c r="K1681" s="751"/>
      <c r="L1681" s="751"/>
      <c r="M1681" s="751"/>
      <c r="N1681" s="751"/>
      <c r="O1681" s="751"/>
      <c r="P1681" s="751"/>
      <c r="Q1681" s="751"/>
      <c r="R1681" s="751"/>
      <c r="S1681" s="751"/>
      <c r="T1681" s="751"/>
      <c r="U1681" s="751"/>
      <c r="V1681" s="751"/>
      <c r="W1681" s="751"/>
      <c r="X1681" s="751"/>
      <c r="Y1681" s="751"/>
      <c r="Z1681" s="751"/>
      <c r="AA1681" s="751"/>
      <c r="AB1681" s="751"/>
      <c r="AC1681" s="751"/>
      <c r="AD1681" s="751"/>
      <c r="AE1681" s="751"/>
      <c r="AF1681" s="751"/>
      <c r="AG1681" s="751"/>
    </row>
    <row r="1682" spans="4:33">
      <c r="D1682" s="751"/>
      <c r="E1682" s="751"/>
      <c r="F1682" s="751"/>
      <c r="G1682" s="751"/>
      <c r="H1682" s="751"/>
      <c r="I1682" s="751"/>
      <c r="J1682" s="751"/>
      <c r="K1682" s="751"/>
      <c r="L1682" s="751"/>
      <c r="M1682" s="751"/>
      <c r="N1682" s="751"/>
      <c r="O1682" s="751"/>
      <c r="P1682" s="751"/>
      <c r="Q1682" s="751"/>
      <c r="R1682" s="751"/>
      <c r="S1682" s="751"/>
      <c r="T1682" s="751"/>
      <c r="U1682" s="751"/>
      <c r="V1682" s="751"/>
      <c r="W1682" s="751"/>
      <c r="X1682" s="751"/>
      <c r="Y1682" s="751"/>
      <c r="Z1682" s="751"/>
      <c r="AA1682" s="751"/>
      <c r="AB1682" s="751"/>
      <c r="AC1682" s="751"/>
      <c r="AD1682" s="751"/>
      <c r="AE1682" s="751"/>
      <c r="AF1682" s="751"/>
      <c r="AG1682" s="751"/>
    </row>
    <row r="1683" spans="4:33">
      <c r="D1683" s="751"/>
      <c r="E1683" s="751"/>
      <c r="F1683" s="751"/>
      <c r="G1683" s="751"/>
      <c r="H1683" s="751"/>
      <c r="I1683" s="751"/>
      <c r="J1683" s="751"/>
      <c r="K1683" s="751"/>
      <c r="L1683" s="751"/>
      <c r="M1683" s="751"/>
      <c r="N1683" s="751"/>
      <c r="O1683" s="751"/>
      <c r="P1683" s="751"/>
      <c r="Q1683" s="751"/>
      <c r="R1683" s="751"/>
      <c r="S1683" s="751"/>
      <c r="T1683" s="751"/>
      <c r="U1683" s="751"/>
      <c r="V1683" s="751"/>
      <c r="W1683" s="751"/>
      <c r="X1683" s="751"/>
      <c r="Y1683" s="751"/>
      <c r="Z1683" s="751"/>
      <c r="AA1683" s="751"/>
      <c r="AB1683" s="751"/>
      <c r="AC1683" s="751"/>
      <c r="AD1683" s="751"/>
      <c r="AE1683" s="751"/>
      <c r="AF1683" s="751"/>
      <c r="AG1683" s="751"/>
    </row>
    <row r="1684" spans="4:33">
      <c r="D1684" s="751"/>
      <c r="E1684" s="751"/>
      <c r="F1684" s="751"/>
      <c r="G1684" s="751"/>
      <c r="H1684" s="751"/>
      <c r="I1684" s="751"/>
      <c r="J1684" s="751"/>
      <c r="K1684" s="751"/>
      <c r="L1684" s="751"/>
      <c r="M1684" s="751"/>
      <c r="N1684" s="751"/>
      <c r="O1684" s="751"/>
      <c r="P1684" s="751"/>
      <c r="Q1684" s="751"/>
      <c r="R1684" s="751"/>
      <c r="S1684" s="751"/>
      <c r="T1684" s="751"/>
      <c r="U1684" s="751"/>
      <c r="V1684" s="751"/>
      <c r="W1684" s="751"/>
      <c r="X1684" s="751"/>
      <c r="Y1684" s="751"/>
      <c r="Z1684" s="751"/>
      <c r="AA1684" s="751"/>
      <c r="AB1684" s="751"/>
      <c r="AC1684" s="751"/>
      <c r="AD1684" s="751"/>
      <c r="AE1684" s="751"/>
      <c r="AF1684" s="751"/>
      <c r="AG1684" s="751"/>
    </row>
    <row r="1685" spans="4:33">
      <c r="D1685" s="751"/>
      <c r="E1685" s="751"/>
      <c r="F1685" s="751"/>
      <c r="G1685" s="751"/>
      <c r="H1685" s="751"/>
      <c r="I1685" s="751"/>
      <c r="J1685" s="751"/>
      <c r="K1685" s="751"/>
      <c r="L1685" s="751"/>
      <c r="M1685" s="751"/>
      <c r="N1685" s="751"/>
      <c r="O1685" s="751"/>
      <c r="P1685" s="751"/>
      <c r="Q1685" s="751"/>
      <c r="R1685" s="751"/>
      <c r="S1685" s="751"/>
      <c r="T1685" s="751"/>
      <c r="U1685" s="751"/>
      <c r="V1685" s="751"/>
      <c r="W1685" s="751"/>
      <c r="X1685" s="751"/>
      <c r="Y1685" s="751"/>
      <c r="Z1685" s="751"/>
      <c r="AA1685" s="751"/>
      <c r="AB1685" s="751"/>
      <c r="AC1685" s="751"/>
      <c r="AD1685" s="751"/>
      <c r="AE1685" s="751"/>
      <c r="AF1685" s="751"/>
      <c r="AG1685" s="751"/>
    </row>
    <row r="1686" spans="4:33">
      <c r="D1686" s="751"/>
      <c r="E1686" s="751"/>
      <c r="F1686" s="751"/>
      <c r="G1686" s="751"/>
      <c r="H1686" s="751"/>
      <c r="I1686" s="751"/>
      <c r="J1686" s="751"/>
      <c r="K1686" s="751"/>
      <c r="L1686" s="751"/>
      <c r="M1686" s="751"/>
      <c r="N1686" s="751"/>
      <c r="O1686" s="751"/>
      <c r="P1686" s="751"/>
      <c r="Q1686" s="751"/>
      <c r="R1686" s="751"/>
      <c r="S1686" s="751"/>
      <c r="T1686" s="751"/>
      <c r="U1686" s="751"/>
      <c r="V1686" s="751"/>
      <c r="W1686" s="751"/>
      <c r="X1686" s="751"/>
      <c r="Y1686" s="751"/>
      <c r="Z1686" s="751"/>
      <c r="AA1686" s="751"/>
      <c r="AB1686" s="751"/>
      <c r="AC1686" s="751"/>
      <c r="AD1686" s="751"/>
      <c r="AE1686" s="751"/>
      <c r="AF1686" s="751"/>
      <c r="AG1686" s="751"/>
    </row>
    <row r="1687" spans="4:33">
      <c r="D1687" s="751"/>
      <c r="E1687" s="751"/>
      <c r="F1687" s="751"/>
      <c r="G1687" s="751"/>
      <c r="H1687" s="751"/>
      <c r="I1687" s="751"/>
      <c r="J1687" s="751"/>
      <c r="K1687" s="751"/>
      <c r="L1687" s="751"/>
      <c r="M1687" s="751"/>
      <c r="N1687" s="751"/>
      <c r="O1687" s="751"/>
      <c r="P1687" s="751"/>
      <c r="Q1687" s="751"/>
      <c r="R1687" s="751"/>
      <c r="S1687" s="751"/>
      <c r="T1687" s="751"/>
      <c r="U1687" s="751"/>
      <c r="V1687" s="751"/>
      <c r="W1687" s="751"/>
      <c r="X1687" s="751"/>
      <c r="Y1687" s="751"/>
      <c r="Z1687" s="751"/>
      <c r="AA1687" s="751"/>
      <c r="AB1687" s="751"/>
      <c r="AC1687" s="751"/>
      <c r="AD1687" s="751"/>
      <c r="AE1687" s="751"/>
      <c r="AF1687" s="751"/>
      <c r="AG1687" s="751"/>
    </row>
    <row r="1688" spans="4:33">
      <c r="D1688" s="751"/>
      <c r="E1688" s="751"/>
      <c r="F1688" s="751"/>
      <c r="G1688" s="751"/>
      <c r="H1688" s="751"/>
      <c r="I1688" s="751"/>
      <c r="J1688" s="751"/>
      <c r="K1688" s="751"/>
      <c r="L1688" s="751"/>
      <c r="M1688" s="751"/>
      <c r="N1688" s="751"/>
      <c r="O1688" s="751"/>
      <c r="P1688" s="751"/>
      <c r="Q1688" s="751"/>
      <c r="R1688" s="751"/>
      <c r="S1688" s="751"/>
      <c r="T1688" s="751"/>
      <c r="U1688" s="751"/>
      <c r="V1688" s="751"/>
      <c r="W1688" s="751"/>
      <c r="X1688" s="751"/>
      <c r="Y1688" s="751"/>
      <c r="Z1688" s="751"/>
      <c r="AA1688" s="751"/>
      <c r="AB1688" s="751"/>
      <c r="AC1688" s="751"/>
      <c r="AD1688" s="751"/>
      <c r="AE1688" s="751"/>
      <c r="AF1688" s="751"/>
      <c r="AG1688" s="751"/>
    </row>
    <row r="1689" spans="4:33">
      <c r="D1689" s="751"/>
      <c r="E1689" s="751"/>
      <c r="F1689" s="751"/>
      <c r="G1689" s="751"/>
      <c r="H1689" s="751"/>
      <c r="I1689" s="751"/>
      <c r="J1689" s="751"/>
      <c r="K1689" s="751"/>
      <c r="L1689" s="751"/>
      <c r="M1689" s="751"/>
      <c r="N1689" s="751"/>
      <c r="O1689" s="751"/>
      <c r="P1689" s="751"/>
      <c r="Q1689" s="751"/>
      <c r="R1689" s="751"/>
      <c r="S1689" s="751"/>
      <c r="T1689" s="751"/>
      <c r="U1689" s="751"/>
      <c r="V1689" s="751"/>
      <c r="W1689" s="751"/>
      <c r="X1689" s="751"/>
      <c r="Y1689" s="751"/>
      <c r="Z1689" s="751"/>
      <c r="AA1689" s="751"/>
      <c r="AB1689" s="751"/>
      <c r="AC1689" s="751"/>
      <c r="AD1689" s="751"/>
      <c r="AE1689" s="751"/>
      <c r="AF1689" s="751"/>
      <c r="AG1689" s="751"/>
    </row>
    <row r="1690" spans="4:33">
      <c r="D1690" s="751"/>
      <c r="E1690" s="751"/>
      <c r="F1690" s="751"/>
      <c r="G1690" s="751"/>
      <c r="H1690" s="751"/>
      <c r="I1690" s="751"/>
      <c r="J1690" s="751"/>
      <c r="K1690" s="751"/>
      <c r="L1690" s="751"/>
      <c r="M1690" s="751"/>
      <c r="N1690" s="751"/>
      <c r="O1690" s="751"/>
      <c r="P1690" s="751"/>
      <c r="Q1690" s="751"/>
      <c r="R1690" s="751"/>
      <c r="S1690" s="751"/>
      <c r="T1690" s="751"/>
      <c r="U1690" s="751"/>
      <c r="V1690" s="751"/>
      <c r="W1690" s="751"/>
      <c r="X1690" s="751"/>
      <c r="Y1690" s="751"/>
      <c r="Z1690" s="751"/>
      <c r="AA1690" s="751"/>
      <c r="AB1690" s="751"/>
      <c r="AC1690" s="751"/>
      <c r="AD1690" s="751"/>
      <c r="AE1690" s="751"/>
      <c r="AF1690" s="751"/>
      <c r="AG1690" s="751"/>
    </row>
    <row r="1691" spans="4:33">
      <c r="D1691" s="751"/>
      <c r="E1691" s="751"/>
      <c r="F1691" s="751"/>
      <c r="G1691" s="751"/>
      <c r="H1691" s="751"/>
      <c r="I1691" s="751"/>
      <c r="J1691" s="751"/>
      <c r="K1691" s="751"/>
      <c r="L1691" s="751"/>
      <c r="M1691" s="751"/>
      <c r="N1691" s="751"/>
      <c r="O1691" s="751"/>
      <c r="P1691" s="751"/>
      <c r="Q1691" s="751"/>
      <c r="R1691" s="751"/>
      <c r="S1691" s="751"/>
      <c r="T1691" s="751"/>
      <c r="U1691" s="751"/>
      <c r="V1691" s="751"/>
      <c r="W1691" s="751"/>
      <c r="X1691" s="751"/>
      <c r="Y1691" s="751"/>
      <c r="Z1691" s="751"/>
      <c r="AA1691" s="751"/>
      <c r="AB1691" s="751"/>
      <c r="AC1691" s="751"/>
      <c r="AD1691" s="751"/>
      <c r="AE1691" s="751"/>
      <c r="AF1691" s="751"/>
      <c r="AG1691" s="751"/>
    </row>
    <row r="1692" spans="4:33">
      <c r="D1692" s="751"/>
      <c r="E1692" s="751"/>
      <c r="F1692" s="751"/>
      <c r="G1692" s="751"/>
      <c r="H1692" s="751"/>
      <c r="I1692" s="751"/>
      <c r="J1692" s="751"/>
      <c r="K1692" s="751"/>
      <c r="L1692" s="751"/>
      <c r="M1692" s="751"/>
      <c r="N1692" s="751"/>
      <c r="O1692" s="751"/>
      <c r="P1692" s="751"/>
      <c r="Q1692" s="751"/>
      <c r="R1692" s="751"/>
      <c r="S1692" s="751"/>
      <c r="T1692" s="751"/>
      <c r="U1692" s="751"/>
      <c r="V1692" s="751"/>
      <c r="W1692" s="751"/>
      <c r="X1692" s="751"/>
      <c r="Y1692" s="751"/>
      <c r="Z1692" s="751"/>
      <c r="AA1692" s="751"/>
      <c r="AB1692" s="751"/>
      <c r="AC1692" s="751"/>
      <c r="AD1692" s="751"/>
      <c r="AE1692" s="751"/>
      <c r="AF1692" s="751"/>
      <c r="AG1692" s="751"/>
    </row>
    <row r="1693" spans="4:33">
      <c r="D1693" s="751"/>
      <c r="E1693" s="751"/>
      <c r="F1693" s="751"/>
      <c r="G1693" s="751"/>
      <c r="H1693" s="751"/>
      <c r="I1693" s="751"/>
      <c r="J1693" s="751"/>
      <c r="K1693" s="751"/>
      <c r="L1693" s="751"/>
      <c r="M1693" s="751"/>
      <c r="N1693" s="751"/>
      <c r="O1693" s="751"/>
      <c r="P1693" s="751"/>
      <c r="Q1693" s="751"/>
      <c r="R1693" s="751"/>
      <c r="S1693" s="751"/>
      <c r="T1693" s="751"/>
      <c r="U1693" s="751"/>
      <c r="V1693" s="751"/>
      <c r="W1693" s="751"/>
      <c r="X1693" s="751"/>
      <c r="Y1693" s="751"/>
      <c r="Z1693" s="751"/>
      <c r="AA1693" s="751"/>
      <c r="AB1693" s="751"/>
      <c r="AC1693" s="751"/>
      <c r="AD1693" s="751"/>
      <c r="AE1693" s="751"/>
      <c r="AF1693" s="751"/>
      <c r="AG1693" s="751"/>
    </row>
    <row r="1694" spans="4:33">
      <c r="D1694" s="751"/>
      <c r="E1694" s="751"/>
      <c r="F1694" s="751"/>
      <c r="G1694" s="751"/>
      <c r="H1694" s="751"/>
      <c r="I1694" s="751"/>
      <c r="J1694" s="751"/>
      <c r="K1694" s="751"/>
      <c r="L1694" s="751"/>
      <c r="M1694" s="751"/>
      <c r="N1694" s="751"/>
      <c r="O1694" s="751"/>
      <c r="P1694" s="751"/>
      <c r="Q1694" s="751"/>
      <c r="R1694" s="751"/>
      <c r="S1694" s="751"/>
      <c r="T1694" s="751"/>
      <c r="U1694" s="751"/>
      <c r="V1694" s="751"/>
      <c r="W1694" s="751"/>
      <c r="X1694" s="751"/>
      <c r="Y1694" s="751"/>
      <c r="Z1694" s="751"/>
      <c r="AA1694" s="751"/>
      <c r="AB1694" s="751"/>
      <c r="AC1694" s="751"/>
      <c r="AD1694" s="751"/>
      <c r="AE1694" s="751"/>
      <c r="AF1694" s="751"/>
      <c r="AG1694" s="751"/>
    </row>
    <row r="1695" spans="4:33">
      <c r="D1695" s="751"/>
      <c r="E1695" s="751"/>
      <c r="F1695" s="751"/>
      <c r="G1695" s="751"/>
      <c r="H1695" s="751"/>
      <c r="I1695" s="751"/>
      <c r="J1695" s="751"/>
      <c r="K1695" s="751"/>
      <c r="L1695" s="751"/>
      <c r="M1695" s="751"/>
      <c r="N1695" s="751"/>
      <c r="O1695" s="751"/>
      <c r="P1695" s="751"/>
      <c r="Q1695" s="751"/>
      <c r="R1695" s="751"/>
      <c r="S1695" s="751"/>
      <c r="T1695" s="751"/>
      <c r="U1695" s="751"/>
      <c r="V1695" s="751"/>
      <c r="W1695" s="751"/>
      <c r="X1695" s="751"/>
      <c r="Y1695" s="751"/>
      <c r="Z1695" s="751"/>
      <c r="AA1695" s="751"/>
      <c r="AB1695" s="751"/>
      <c r="AC1695" s="751"/>
      <c r="AD1695" s="751"/>
      <c r="AE1695" s="751"/>
      <c r="AF1695" s="751"/>
      <c r="AG1695" s="751"/>
    </row>
    <row r="1696" spans="4:33">
      <c r="D1696" s="751"/>
      <c r="E1696" s="751"/>
      <c r="F1696" s="751"/>
      <c r="G1696" s="751"/>
      <c r="H1696" s="751"/>
      <c r="I1696" s="751"/>
      <c r="J1696" s="751"/>
      <c r="K1696" s="751"/>
      <c r="L1696" s="751"/>
      <c r="M1696" s="751"/>
      <c r="N1696" s="751"/>
      <c r="O1696" s="751"/>
      <c r="P1696" s="751"/>
      <c r="Q1696" s="751"/>
      <c r="R1696" s="751"/>
      <c r="S1696" s="751"/>
      <c r="T1696" s="751"/>
      <c r="U1696" s="751"/>
      <c r="V1696" s="751"/>
      <c r="W1696" s="751"/>
      <c r="X1696" s="751"/>
      <c r="Y1696" s="751"/>
      <c r="Z1696" s="751"/>
      <c r="AA1696" s="751"/>
      <c r="AB1696" s="751"/>
      <c r="AC1696" s="751"/>
      <c r="AD1696" s="751"/>
      <c r="AE1696" s="751"/>
      <c r="AF1696" s="751"/>
      <c r="AG1696" s="751"/>
    </row>
    <row r="1697" spans="4:33">
      <c r="D1697" s="751"/>
      <c r="E1697" s="751"/>
      <c r="F1697" s="751"/>
      <c r="G1697" s="751"/>
      <c r="H1697" s="751"/>
      <c r="I1697" s="751"/>
      <c r="J1697" s="751"/>
      <c r="K1697" s="751"/>
      <c r="L1697" s="751"/>
      <c r="M1697" s="751"/>
      <c r="N1697" s="751"/>
      <c r="O1697" s="751"/>
      <c r="P1697" s="751"/>
      <c r="Q1697" s="751"/>
      <c r="R1697" s="751"/>
      <c r="S1697" s="751"/>
      <c r="T1697" s="751"/>
      <c r="U1697" s="751"/>
      <c r="V1697" s="751"/>
      <c r="W1697" s="751"/>
      <c r="X1697" s="751"/>
      <c r="Y1697" s="751"/>
      <c r="Z1697" s="751"/>
      <c r="AA1697" s="751"/>
      <c r="AB1697" s="751"/>
      <c r="AC1697" s="751"/>
      <c r="AD1697" s="751"/>
      <c r="AE1697" s="751"/>
      <c r="AF1697" s="751"/>
      <c r="AG1697" s="751"/>
    </row>
    <row r="1698" spans="4:33">
      <c r="D1698" s="751"/>
      <c r="E1698" s="751"/>
      <c r="F1698" s="751"/>
      <c r="G1698" s="751"/>
      <c r="H1698" s="751"/>
      <c r="I1698" s="751"/>
      <c r="J1698" s="751"/>
      <c r="K1698" s="751"/>
      <c r="L1698" s="751"/>
      <c r="M1698" s="751"/>
      <c r="N1698" s="751"/>
      <c r="O1698" s="751"/>
      <c r="P1698" s="751"/>
      <c r="Q1698" s="751"/>
      <c r="R1698" s="751"/>
      <c r="S1698" s="751"/>
      <c r="T1698" s="751"/>
      <c r="U1698" s="751"/>
      <c r="V1698" s="751"/>
      <c r="W1698" s="751"/>
      <c r="X1698" s="751"/>
      <c r="Y1698" s="751"/>
      <c r="Z1698" s="751"/>
      <c r="AA1698" s="751"/>
      <c r="AB1698" s="751"/>
      <c r="AC1698" s="751"/>
      <c r="AD1698" s="751"/>
      <c r="AE1698" s="751"/>
      <c r="AF1698" s="751"/>
      <c r="AG1698" s="751"/>
    </row>
    <row r="1699" spans="4:33">
      <c r="D1699" s="751"/>
      <c r="E1699" s="751"/>
      <c r="F1699" s="751"/>
      <c r="G1699" s="751"/>
      <c r="H1699" s="751"/>
      <c r="I1699" s="751"/>
      <c r="J1699" s="751"/>
      <c r="K1699" s="751"/>
      <c r="L1699" s="751"/>
      <c r="M1699" s="751"/>
      <c r="N1699" s="751"/>
      <c r="O1699" s="751"/>
      <c r="P1699" s="751"/>
      <c r="Q1699" s="751"/>
      <c r="R1699" s="751"/>
      <c r="S1699" s="751"/>
      <c r="T1699" s="751"/>
      <c r="U1699" s="751"/>
      <c r="V1699" s="751"/>
      <c r="W1699" s="751"/>
      <c r="X1699" s="751"/>
      <c r="Y1699" s="751"/>
      <c r="Z1699" s="751"/>
      <c r="AA1699" s="751"/>
      <c r="AB1699" s="751"/>
      <c r="AC1699" s="751"/>
      <c r="AD1699" s="751"/>
      <c r="AE1699" s="751"/>
      <c r="AF1699" s="751"/>
      <c r="AG1699" s="751"/>
    </row>
    <row r="1700" spans="4:33">
      <c r="D1700" s="751"/>
      <c r="E1700" s="751"/>
      <c r="F1700" s="751"/>
      <c r="G1700" s="751"/>
      <c r="H1700" s="751"/>
      <c r="I1700" s="751"/>
      <c r="J1700" s="751"/>
      <c r="K1700" s="751"/>
      <c r="L1700" s="751"/>
      <c r="M1700" s="751"/>
      <c r="N1700" s="751"/>
      <c r="O1700" s="751"/>
      <c r="P1700" s="751"/>
      <c r="Q1700" s="751"/>
      <c r="R1700" s="751"/>
      <c r="S1700" s="751"/>
      <c r="T1700" s="751"/>
      <c r="U1700" s="751"/>
      <c r="V1700" s="751"/>
      <c r="W1700" s="751"/>
      <c r="X1700" s="751"/>
      <c r="Y1700" s="751"/>
      <c r="Z1700" s="751"/>
      <c r="AA1700" s="751"/>
      <c r="AB1700" s="751"/>
      <c r="AC1700" s="751"/>
      <c r="AD1700" s="751"/>
      <c r="AE1700" s="751"/>
      <c r="AF1700" s="751"/>
      <c r="AG1700" s="751"/>
    </row>
    <row r="1701" spans="4:33">
      <c r="D1701" s="751"/>
      <c r="E1701" s="751"/>
      <c r="F1701" s="751"/>
      <c r="G1701" s="751"/>
      <c r="H1701" s="751"/>
      <c r="I1701" s="751"/>
      <c r="J1701" s="751"/>
      <c r="K1701" s="751"/>
      <c r="L1701" s="751"/>
      <c r="M1701" s="751"/>
      <c r="N1701" s="751"/>
      <c r="O1701" s="751"/>
      <c r="P1701" s="751"/>
      <c r="Q1701" s="751"/>
      <c r="R1701" s="751"/>
      <c r="S1701" s="751"/>
      <c r="T1701" s="751"/>
      <c r="U1701" s="751"/>
      <c r="V1701" s="751"/>
      <c r="W1701" s="751"/>
      <c r="X1701" s="751"/>
      <c r="Y1701" s="751"/>
      <c r="Z1701" s="751"/>
      <c r="AA1701" s="751"/>
      <c r="AB1701" s="751"/>
      <c r="AC1701" s="751"/>
      <c r="AD1701" s="751"/>
      <c r="AE1701" s="751"/>
      <c r="AF1701" s="751"/>
      <c r="AG1701" s="751"/>
    </row>
    <row r="1702" spans="4:33">
      <c r="D1702" s="751"/>
      <c r="E1702" s="751"/>
      <c r="F1702" s="751"/>
      <c r="G1702" s="751"/>
      <c r="H1702" s="751"/>
      <c r="I1702" s="751"/>
      <c r="J1702" s="751"/>
      <c r="K1702" s="751"/>
      <c r="L1702" s="751"/>
      <c r="M1702" s="751"/>
      <c r="N1702" s="751"/>
      <c r="O1702" s="751"/>
      <c r="P1702" s="751"/>
      <c r="Q1702" s="751"/>
      <c r="R1702" s="751"/>
      <c r="S1702" s="751"/>
      <c r="T1702" s="751"/>
      <c r="U1702" s="751"/>
      <c r="V1702" s="751"/>
      <c r="W1702" s="751"/>
      <c r="X1702" s="751"/>
      <c r="Y1702" s="751"/>
      <c r="Z1702" s="751"/>
      <c r="AA1702" s="751"/>
      <c r="AB1702" s="751"/>
      <c r="AC1702" s="751"/>
      <c r="AD1702" s="751"/>
      <c r="AE1702" s="751"/>
      <c r="AF1702" s="751"/>
      <c r="AG1702" s="751"/>
    </row>
    <row r="1703" spans="4:33">
      <c r="D1703" s="751"/>
      <c r="E1703" s="751"/>
      <c r="F1703" s="751"/>
      <c r="G1703" s="751"/>
      <c r="H1703" s="751"/>
      <c r="I1703" s="751"/>
      <c r="J1703" s="751"/>
      <c r="K1703" s="751"/>
      <c r="L1703" s="751"/>
      <c r="M1703" s="751"/>
      <c r="N1703" s="751"/>
      <c r="O1703" s="751"/>
      <c r="P1703" s="751"/>
      <c r="Q1703" s="751"/>
      <c r="R1703" s="751"/>
      <c r="S1703" s="751"/>
      <c r="T1703" s="751"/>
      <c r="U1703" s="751"/>
      <c r="V1703" s="751"/>
      <c r="W1703" s="751"/>
      <c r="X1703" s="751"/>
      <c r="Y1703" s="751"/>
      <c r="Z1703" s="751"/>
      <c r="AA1703" s="751"/>
      <c r="AB1703" s="751"/>
      <c r="AC1703" s="751"/>
      <c r="AD1703" s="751"/>
      <c r="AE1703" s="751"/>
      <c r="AF1703" s="751"/>
      <c r="AG1703" s="751"/>
    </row>
    <row r="1704" spans="4:33">
      <c r="D1704" s="751"/>
      <c r="E1704" s="751"/>
      <c r="F1704" s="751"/>
      <c r="G1704" s="751"/>
      <c r="H1704" s="751"/>
      <c r="I1704" s="751"/>
      <c r="J1704" s="751"/>
      <c r="K1704" s="751"/>
      <c r="L1704" s="751"/>
      <c r="M1704" s="751"/>
      <c r="N1704" s="751"/>
      <c r="O1704" s="751"/>
      <c r="P1704" s="751"/>
      <c r="Q1704" s="751"/>
      <c r="R1704" s="751"/>
      <c r="S1704" s="751"/>
      <c r="T1704" s="751"/>
      <c r="U1704" s="751"/>
      <c r="V1704" s="751"/>
      <c r="W1704" s="751"/>
      <c r="X1704" s="751"/>
      <c r="Y1704" s="751"/>
      <c r="Z1704" s="751"/>
      <c r="AA1704" s="751"/>
      <c r="AB1704" s="751"/>
      <c r="AC1704" s="751"/>
      <c r="AD1704" s="751"/>
      <c r="AE1704" s="751"/>
      <c r="AF1704" s="751"/>
      <c r="AG1704" s="751"/>
    </row>
    <row r="1705" spans="4:33">
      <c r="D1705" s="751"/>
      <c r="E1705" s="751"/>
      <c r="F1705" s="751"/>
      <c r="G1705" s="751"/>
      <c r="H1705" s="751"/>
      <c r="I1705" s="751"/>
      <c r="J1705" s="751"/>
      <c r="K1705" s="751"/>
      <c r="L1705" s="751"/>
      <c r="M1705" s="751"/>
      <c r="N1705" s="751"/>
      <c r="O1705" s="751"/>
      <c r="P1705" s="751"/>
      <c r="Q1705" s="751"/>
      <c r="R1705" s="751"/>
      <c r="S1705" s="751"/>
      <c r="T1705" s="751"/>
      <c r="U1705" s="751"/>
      <c r="V1705" s="751"/>
      <c r="W1705" s="751"/>
      <c r="X1705" s="751"/>
      <c r="Y1705" s="751"/>
      <c r="Z1705" s="751"/>
      <c r="AA1705" s="751"/>
      <c r="AB1705" s="751"/>
      <c r="AC1705" s="751"/>
      <c r="AD1705" s="751"/>
      <c r="AE1705" s="751"/>
      <c r="AF1705" s="751"/>
      <c r="AG1705" s="751"/>
    </row>
    <row r="1706" spans="4:33">
      <c r="D1706" s="751"/>
      <c r="E1706" s="751"/>
      <c r="F1706" s="751"/>
      <c r="G1706" s="751"/>
      <c r="H1706" s="751"/>
      <c r="I1706" s="751"/>
      <c r="J1706" s="751"/>
      <c r="K1706" s="751"/>
      <c r="L1706" s="751"/>
      <c r="M1706" s="751"/>
      <c r="N1706" s="751"/>
      <c r="O1706" s="751"/>
      <c r="P1706" s="751"/>
      <c r="Q1706" s="751"/>
      <c r="R1706" s="751"/>
      <c r="S1706" s="751"/>
      <c r="T1706" s="751"/>
      <c r="U1706" s="751"/>
      <c r="V1706" s="751"/>
      <c r="W1706" s="751"/>
      <c r="X1706" s="751"/>
      <c r="Y1706" s="751"/>
      <c r="Z1706" s="751"/>
      <c r="AA1706" s="751"/>
      <c r="AB1706" s="751"/>
      <c r="AC1706" s="751"/>
      <c r="AD1706" s="751"/>
      <c r="AE1706" s="751"/>
      <c r="AF1706" s="751"/>
      <c r="AG1706" s="751"/>
    </row>
    <row r="1707" spans="4:33">
      <c r="D1707" s="751"/>
      <c r="E1707" s="751"/>
      <c r="F1707" s="751"/>
      <c r="G1707" s="751"/>
      <c r="H1707" s="751"/>
      <c r="I1707" s="751"/>
      <c r="J1707" s="751"/>
      <c r="K1707" s="751"/>
      <c r="L1707" s="751"/>
      <c r="M1707" s="751"/>
      <c r="N1707" s="751"/>
      <c r="O1707" s="751"/>
      <c r="P1707" s="751"/>
      <c r="Q1707" s="751"/>
      <c r="R1707" s="751"/>
      <c r="S1707" s="751"/>
      <c r="T1707" s="751"/>
      <c r="U1707" s="751"/>
      <c r="V1707" s="751"/>
      <c r="W1707" s="751"/>
      <c r="X1707" s="751"/>
      <c r="Y1707" s="751"/>
      <c r="Z1707" s="751"/>
      <c r="AA1707" s="751"/>
      <c r="AB1707" s="751"/>
      <c r="AC1707" s="751"/>
      <c r="AD1707" s="751"/>
      <c r="AE1707" s="751"/>
      <c r="AF1707" s="751"/>
      <c r="AG1707" s="751"/>
    </row>
    <row r="1708" spans="4:33">
      <c r="D1708" s="751"/>
      <c r="E1708" s="751"/>
      <c r="F1708" s="751"/>
      <c r="G1708" s="751"/>
      <c r="H1708" s="751"/>
      <c r="I1708" s="751"/>
      <c r="J1708" s="751"/>
      <c r="K1708" s="751"/>
      <c r="L1708" s="751"/>
      <c r="M1708" s="751"/>
      <c r="N1708" s="751"/>
      <c r="O1708" s="751"/>
      <c r="P1708" s="751"/>
      <c r="Q1708" s="751"/>
      <c r="R1708" s="751"/>
      <c r="S1708" s="751"/>
      <c r="T1708" s="751"/>
      <c r="U1708" s="751"/>
      <c r="V1708" s="751"/>
      <c r="W1708" s="751"/>
      <c r="X1708" s="751"/>
      <c r="Y1708" s="751"/>
      <c r="Z1708" s="751"/>
      <c r="AA1708" s="751"/>
      <c r="AB1708" s="751"/>
      <c r="AC1708" s="751"/>
      <c r="AD1708" s="751"/>
      <c r="AE1708" s="751"/>
      <c r="AF1708" s="751"/>
      <c r="AG1708" s="751"/>
    </row>
    <row r="1709" spans="4:33">
      <c r="D1709" s="751"/>
      <c r="E1709" s="751"/>
      <c r="F1709" s="751"/>
      <c r="G1709" s="751"/>
      <c r="H1709" s="751"/>
      <c r="I1709" s="751"/>
      <c r="J1709" s="751"/>
      <c r="K1709" s="751"/>
      <c r="L1709" s="751"/>
      <c r="M1709" s="751"/>
      <c r="N1709" s="751"/>
      <c r="O1709" s="751"/>
      <c r="P1709" s="751"/>
      <c r="Q1709" s="751"/>
      <c r="R1709" s="751"/>
      <c r="S1709" s="751"/>
      <c r="T1709" s="751"/>
      <c r="U1709" s="751"/>
      <c r="V1709" s="751"/>
      <c r="W1709" s="751"/>
      <c r="X1709" s="751"/>
      <c r="Y1709" s="751"/>
      <c r="Z1709" s="751"/>
      <c r="AA1709" s="751"/>
      <c r="AB1709" s="751"/>
      <c r="AC1709" s="751"/>
      <c r="AD1709" s="751"/>
      <c r="AE1709" s="751"/>
      <c r="AF1709" s="751"/>
      <c r="AG1709" s="751"/>
    </row>
    <row r="1710" spans="4:33">
      <c r="D1710" s="751"/>
      <c r="E1710" s="751"/>
      <c r="F1710" s="751"/>
      <c r="G1710" s="751"/>
      <c r="H1710" s="751"/>
      <c r="I1710" s="751"/>
      <c r="J1710" s="751"/>
      <c r="K1710" s="751"/>
      <c r="L1710" s="751"/>
      <c r="M1710" s="751"/>
      <c r="N1710" s="751"/>
      <c r="O1710" s="751"/>
      <c r="P1710" s="751"/>
      <c r="Q1710" s="751"/>
      <c r="R1710" s="751"/>
      <c r="S1710" s="751"/>
      <c r="T1710" s="751"/>
      <c r="U1710" s="751"/>
      <c r="V1710" s="751"/>
      <c r="W1710" s="751"/>
      <c r="X1710" s="751"/>
      <c r="Y1710" s="751"/>
      <c r="Z1710" s="751"/>
      <c r="AA1710" s="751"/>
      <c r="AB1710" s="751"/>
      <c r="AC1710" s="751"/>
      <c r="AD1710" s="751"/>
      <c r="AE1710" s="751"/>
      <c r="AF1710" s="751"/>
      <c r="AG1710" s="751"/>
    </row>
    <row r="1711" spans="4:33">
      <c r="D1711" s="751"/>
      <c r="E1711" s="751"/>
      <c r="F1711" s="751"/>
      <c r="G1711" s="751"/>
      <c r="H1711" s="751"/>
      <c r="I1711" s="751"/>
      <c r="J1711" s="751"/>
      <c r="K1711" s="751"/>
      <c r="L1711" s="751"/>
      <c r="M1711" s="751"/>
      <c r="N1711" s="751"/>
      <c r="O1711" s="751"/>
      <c r="P1711" s="751"/>
      <c r="Q1711" s="751"/>
      <c r="R1711" s="751"/>
      <c r="S1711" s="751"/>
      <c r="T1711" s="751"/>
      <c r="U1711" s="751"/>
      <c r="V1711" s="751"/>
      <c r="W1711" s="751"/>
      <c r="X1711" s="751"/>
      <c r="Y1711" s="751"/>
      <c r="Z1711" s="751"/>
      <c r="AA1711" s="751"/>
      <c r="AB1711" s="751"/>
      <c r="AC1711" s="751"/>
      <c r="AD1711" s="751"/>
      <c r="AE1711" s="751"/>
      <c r="AF1711" s="751"/>
      <c r="AG1711" s="751"/>
    </row>
    <row r="1712" spans="4:33">
      <c r="D1712" s="751"/>
      <c r="E1712" s="751"/>
      <c r="F1712" s="751"/>
      <c r="G1712" s="751"/>
      <c r="H1712" s="751"/>
      <c r="I1712" s="751"/>
      <c r="J1712" s="751"/>
      <c r="K1712" s="751"/>
      <c r="L1712" s="751"/>
      <c r="M1712" s="751"/>
      <c r="N1712" s="751"/>
      <c r="O1712" s="751"/>
      <c r="P1712" s="751"/>
      <c r="Q1712" s="751"/>
      <c r="R1712" s="751"/>
      <c r="S1712" s="751"/>
      <c r="T1712" s="751"/>
      <c r="U1712" s="751"/>
      <c r="V1712" s="751"/>
      <c r="W1712" s="751"/>
      <c r="X1712" s="751"/>
      <c r="Y1712" s="751"/>
      <c r="Z1712" s="751"/>
      <c r="AA1712" s="751"/>
      <c r="AB1712" s="751"/>
      <c r="AC1712" s="751"/>
      <c r="AD1712" s="751"/>
      <c r="AE1712" s="751"/>
      <c r="AF1712" s="751"/>
      <c r="AG1712" s="751"/>
    </row>
    <row r="1713" spans="4:33">
      <c r="D1713" s="751"/>
      <c r="E1713" s="751"/>
      <c r="F1713" s="751"/>
      <c r="G1713" s="751"/>
      <c r="H1713" s="751"/>
      <c r="I1713" s="751"/>
      <c r="J1713" s="751"/>
      <c r="K1713" s="751"/>
      <c r="L1713" s="751"/>
      <c r="M1713" s="751"/>
      <c r="N1713" s="751"/>
      <c r="O1713" s="751"/>
      <c r="P1713" s="751"/>
      <c r="Q1713" s="751"/>
      <c r="R1713" s="751"/>
      <c r="S1713" s="751"/>
      <c r="T1713" s="751"/>
      <c r="U1713" s="751"/>
      <c r="V1713" s="751"/>
      <c r="W1713" s="751"/>
      <c r="X1713" s="751"/>
      <c r="Y1713" s="751"/>
      <c r="Z1713" s="751"/>
      <c r="AA1713" s="751"/>
      <c r="AB1713" s="751"/>
      <c r="AC1713" s="751"/>
      <c r="AD1713" s="751"/>
      <c r="AE1713" s="751"/>
      <c r="AF1713" s="751"/>
      <c r="AG1713" s="751"/>
    </row>
    <row r="1714" spans="4:33">
      <c r="D1714" s="751"/>
      <c r="E1714" s="751"/>
      <c r="F1714" s="751"/>
      <c r="G1714" s="751"/>
      <c r="H1714" s="751"/>
      <c r="I1714" s="751"/>
      <c r="J1714" s="751"/>
      <c r="K1714" s="751"/>
      <c r="L1714" s="751"/>
      <c r="M1714" s="751"/>
      <c r="N1714" s="751"/>
      <c r="O1714" s="751"/>
      <c r="P1714" s="751"/>
      <c r="Q1714" s="751"/>
      <c r="R1714" s="751"/>
      <c r="S1714" s="751"/>
      <c r="T1714" s="751"/>
      <c r="U1714" s="751"/>
      <c r="V1714" s="751"/>
      <c r="W1714" s="751"/>
      <c r="X1714" s="751"/>
      <c r="Y1714" s="751"/>
      <c r="Z1714" s="751"/>
      <c r="AA1714" s="751"/>
      <c r="AB1714" s="751"/>
      <c r="AC1714" s="751"/>
      <c r="AD1714" s="751"/>
      <c r="AE1714" s="751"/>
      <c r="AF1714" s="751"/>
      <c r="AG1714" s="751"/>
    </row>
    <row r="1715" spans="4:33">
      <c r="D1715" s="751"/>
      <c r="E1715" s="751"/>
      <c r="F1715" s="751"/>
      <c r="G1715" s="751"/>
      <c r="H1715" s="751"/>
      <c r="I1715" s="751"/>
      <c r="J1715" s="751"/>
      <c r="K1715" s="751"/>
      <c r="L1715" s="751"/>
      <c r="M1715" s="751"/>
      <c r="N1715" s="751"/>
      <c r="O1715" s="751"/>
      <c r="P1715" s="751"/>
      <c r="Q1715" s="751"/>
      <c r="R1715" s="751"/>
      <c r="S1715" s="751"/>
      <c r="T1715" s="751"/>
      <c r="U1715" s="751"/>
      <c r="V1715" s="751"/>
      <c r="W1715" s="751"/>
      <c r="X1715" s="751"/>
      <c r="Y1715" s="751"/>
      <c r="Z1715" s="751"/>
      <c r="AA1715" s="751"/>
      <c r="AB1715" s="751"/>
      <c r="AC1715" s="751"/>
      <c r="AD1715" s="751"/>
      <c r="AE1715" s="751"/>
      <c r="AF1715" s="751"/>
      <c r="AG1715" s="751"/>
    </row>
    <row r="1716" spans="4:33">
      <c r="D1716" s="751"/>
      <c r="E1716" s="751"/>
      <c r="F1716" s="751"/>
      <c r="G1716" s="751"/>
      <c r="H1716" s="751"/>
      <c r="I1716" s="751"/>
      <c r="J1716" s="751"/>
      <c r="K1716" s="751"/>
      <c r="L1716" s="751"/>
      <c r="M1716" s="751"/>
      <c r="N1716" s="751"/>
      <c r="O1716" s="751"/>
      <c r="P1716" s="751"/>
      <c r="Q1716" s="751"/>
      <c r="R1716" s="751"/>
      <c r="S1716" s="751"/>
      <c r="T1716" s="751"/>
      <c r="U1716" s="751"/>
      <c r="V1716" s="751"/>
      <c r="W1716" s="751"/>
      <c r="X1716" s="751"/>
      <c r="Y1716" s="751"/>
      <c r="Z1716" s="751"/>
      <c r="AA1716" s="751"/>
      <c r="AB1716" s="751"/>
      <c r="AC1716" s="751"/>
      <c r="AD1716" s="751"/>
      <c r="AE1716" s="751"/>
      <c r="AF1716" s="751"/>
      <c r="AG1716" s="751"/>
    </row>
    <row r="1717" spans="4:33">
      <c r="D1717" s="751"/>
      <c r="E1717" s="751"/>
      <c r="F1717" s="751"/>
      <c r="G1717" s="751"/>
      <c r="H1717" s="751"/>
      <c r="I1717" s="751"/>
      <c r="J1717" s="751"/>
      <c r="K1717" s="751"/>
      <c r="L1717" s="751"/>
      <c r="M1717" s="751"/>
      <c r="N1717" s="751"/>
      <c r="O1717" s="751"/>
      <c r="P1717" s="751"/>
      <c r="Q1717" s="751"/>
      <c r="R1717" s="751"/>
      <c r="S1717" s="751"/>
      <c r="T1717" s="751"/>
      <c r="U1717" s="751"/>
      <c r="V1717" s="751"/>
      <c r="W1717" s="751"/>
      <c r="X1717" s="751"/>
      <c r="Y1717" s="751"/>
      <c r="Z1717" s="751"/>
      <c r="AA1717" s="751"/>
      <c r="AB1717" s="751"/>
      <c r="AC1717" s="751"/>
      <c r="AD1717" s="751"/>
      <c r="AE1717" s="751"/>
      <c r="AF1717" s="751"/>
      <c r="AG1717" s="751"/>
    </row>
    <row r="1718" spans="4:33">
      <c r="D1718" s="751"/>
      <c r="E1718" s="751"/>
      <c r="F1718" s="751"/>
      <c r="G1718" s="751"/>
      <c r="H1718" s="751"/>
      <c r="I1718" s="751"/>
      <c r="J1718" s="751"/>
      <c r="K1718" s="751"/>
      <c r="L1718" s="751"/>
      <c r="M1718" s="751"/>
      <c r="N1718" s="751"/>
      <c r="O1718" s="751"/>
      <c r="P1718" s="751"/>
      <c r="Q1718" s="751"/>
      <c r="R1718" s="751"/>
      <c r="S1718" s="751"/>
      <c r="T1718" s="751"/>
      <c r="U1718" s="751"/>
      <c r="V1718" s="751"/>
      <c r="W1718" s="751"/>
      <c r="X1718" s="751"/>
      <c r="Y1718" s="751"/>
      <c r="Z1718" s="751"/>
      <c r="AA1718" s="751"/>
      <c r="AB1718" s="751"/>
      <c r="AC1718" s="751"/>
      <c r="AD1718" s="751"/>
      <c r="AE1718" s="751"/>
      <c r="AF1718" s="751"/>
      <c r="AG1718" s="751"/>
    </row>
    <row r="1719" spans="4:33">
      <c r="D1719" s="751"/>
      <c r="E1719" s="751"/>
      <c r="F1719" s="751"/>
      <c r="G1719" s="751"/>
      <c r="H1719" s="751"/>
      <c r="I1719" s="751"/>
      <c r="J1719" s="751"/>
      <c r="K1719" s="751"/>
      <c r="L1719" s="751"/>
      <c r="M1719" s="751"/>
      <c r="N1719" s="751"/>
      <c r="O1719" s="751"/>
      <c r="P1719" s="751"/>
      <c r="Q1719" s="751"/>
      <c r="R1719" s="751"/>
      <c r="S1719" s="751"/>
      <c r="T1719" s="751"/>
      <c r="U1719" s="751"/>
      <c r="V1719" s="751"/>
      <c r="W1719" s="751"/>
      <c r="X1719" s="751"/>
      <c r="Y1719" s="751"/>
      <c r="Z1719" s="751"/>
      <c r="AA1719" s="751"/>
      <c r="AB1719" s="751"/>
      <c r="AC1719" s="751"/>
      <c r="AD1719" s="751"/>
      <c r="AE1719" s="751"/>
      <c r="AF1719" s="751"/>
      <c r="AG1719" s="751"/>
    </row>
    <row r="1720" spans="4:33">
      <c r="D1720" s="751"/>
      <c r="E1720" s="751"/>
      <c r="F1720" s="751"/>
      <c r="G1720" s="751"/>
      <c r="H1720" s="751"/>
      <c r="I1720" s="751"/>
      <c r="J1720" s="751"/>
      <c r="K1720" s="751"/>
      <c r="L1720" s="751"/>
      <c r="M1720" s="751"/>
      <c r="N1720" s="751"/>
      <c r="O1720" s="751"/>
      <c r="P1720" s="751"/>
      <c r="Q1720" s="751"/>
      <c r="R1720" s="751"/>
      <c r="S1720" s="751"/>
      <c r="T1720" s="751"/>
      <c r="U1720" s="751"/>
      <c r="V1720" s="751"/>
      <c r="W1720" s="751"/>
      <c r="X1720" s="751"/>
      <c r="Y1720" s="751"/>
      <c r="Z1720" s="751"/>
      <c r="AA1720" s="751"/>
      <c r="AB1720" s="751"/>
      <c r="AC1720" s="751"/>
      <c r="AD1720" s="751"/>
      <c r="AE1720" s="751"/>
      <c r="AF1720" s="751"/>
      <c r="AG1720" s="751"/>
    </row>
    <row r="1721" spans="4:33">
      <c r="D1721" s="751"/>
      <c r="E1721" s="751"/>
      <c r="F1721" s="751"/>
      <c r="G1721" s="751"/>
      <c r="H1721" s="751"/>
      <c r="I1721" s="751"/>
      <c r="J1721" s="751"/>
      <c r="K1721" s="751"/>
      <c r="L1721" s="751"/>
      <c r="M1721" s="751"/>
      <c r="N1721" s="751"/>
      <c r="O1721" s="751"/>
      <c r="P1721" s="751"/>
      <c r="Q1721" s="751"/>
      <c r="R1721" s="751"/>
      <c r="S1721" s="751"/>
      <c r="T1721" s="751"/>
      <c r="U1721" s="751"/>
      <c r="V1721" s="751"/>
      <c r="W1721" s="751"/>
      <c r="X1721" s="751"/>
      <c r="Y1721" s="751"/>
      <c r="Z1721" s="751"/>
      <c r="AA1721" s="751"/>
      <c r="AB1721" s="751"/>
      <c r="AC1721" s="751"/>
      <c r="AD1721" s="751"/>
      <c r="AE1721" s="751"/>
      <c r="AF1721" s="751"/>
      <c r="AG1721" s="751"/>
    </row>
    <row r="1722" spans="4:33">
      <c r="D1722" s="751"/>
      <c r="E1722" s="751"/>
      <c r="F1722" s="751"/>
      <c r="G1722" s="751"/>
      <c r="H1722" s="751"/>
      <c r="I1722" s="751"/>
      <c r="J1722" s="751"/>
      <c r="K1722" s="751"/>
      <c r="L1722" s="751"/>
      <c r="M1722" s="751"/>
      <c r="N1722" s="751"/>
      <c r="O1722" s="751"/>
      <c r="P1722" s="751"/>
      <c r="Q1722" s="751"/>
      <c r="R1722" s="751"/>
      <c r="S1722" s="751"/>
      <c r="T1722" s="751"/>
      <c r="U1722" s="751"/>
      <c r="V1722" s="751"/>
      <c r="W1722" s="751"/>
      <c r="X1722" s="751"/>
      <c r="Y1722" s="751"/>
      <c r="Z1722" s="751"/>
      <c r="AA1722" s="751"/>
      <c r="AB1722" s="751"/>
      <c r="AC1722" s="751"/>
      <c r="AD1722" s="751"/>
      <c r="AE1722" s="751"/>
      <c r="AF1722" s="751"/>
      <c r="AG1722" s="751"/>
    </row>
    <row r="1723" spans="4:33">
      <c r="D1723" s="751"/>
      <c r="E1723" s="751"/>
      <c r="F1723" s="751"/>
      <c r="G1723" s="751"/>
      <c r="H1723" s="751"/>
      <c r="I1723" s="751"/>
      <c r="J1723" s="751"/>
      <c r="K1723" s="751"/>
      <c r="L1723" s="751"/>
      <c r="M1723" s="751"/>
      <c r="N1723" s="751"/>
      <c r="O1723" s="751"/>
      <c r="P1723" s="751"/>
      <c r="Q1723" s="751"/>
      <c r="R1723" s="751"/>
      <c r="S1723" s="751"/>
      <c r="T1723" s="751"/>
      <c r="U1723" s="751"/>
      <c r="V1723" s="751"/>
      <c r="W1723" s="751"/>
      <c r="X1723" s="751"/>
      <c r="Y1723" s="751"/>
      <c r="Z1723" s="751"/>
      <c r="AA1723" s="751"/>
      <c r="AB1723" s="751"/>
      <c r="AC1723" s="751"/>
      <c r="AD1723" s="751"/>
      <c r="AE1723" s="751"/>
      <c r="AF1723" s="751"/>
      <c r="AG1723" s="751"/>
    </row>
    <row r="1724" spans="4:33">
      <c r="D1724" s="751"/>
      <c r="E1724" s="751"/>
      <c r="F1724" s="751"/>
      <c r="G1724" s="751"/>
      <c r="H1724" s="751"/>
      <c r="I1724" s="751"/>
      <c r="J1724" s="751"/>
      <c r="K1724" s="751"/>
      <c r="L1724" s="751"/>
      <c r="M1724" s="751"/>
      <c r="N1724" s="751"/>
      <c r="O1724" s="751"/>
      <c r="P1724" s="751"/>
      <c r="Q1724" s="751"/>
      <c r="R1724" s="751"/>
      <c r="S1724" s="751"/>
      <c r="T1724" s="751"/>
      <c r="U1724" s="751"/>
      <c r="V1724" s="751"/>
      <c r="W1724" s="751"/>
      <c r="X1724" s="751"/>
      <c r="Y1724" s="751"/>
      <c r="Z1724" s="751"/>
      <c r="AA1724" s="751"/>
      <c r="AB1724" s="751"/>
      <c r="AC1724" s="751"/>
      <c r="AD1724" s="751"/>
      <c r="AE1724" s="751"/>
      <c r="AF1724" s="751"/>
      <c r="AG1724" s="751"/>
    </row>
    <row r="1725" spans="4:33">
      <c r="D1725" s="751"/>
      <c r="E1725" s="751"/>
      <c r="F1725" s="751"/>
      <c r="G1725" s="751"/>
      <c r="H1725" s="751"/>
      <c r="I1725" s="751"/>
      <c r="J1725" s="751"/>
      <c r="K1725" s="751"/>
      <c r="L1725" s="751"/>
      <c r="M1725" s="751"/>
      <c r="N1725" s="751"/>
      <c r="O1725" s="751"/>
      <c r="P1725" s="751"/>
      <c r="Q1725" s="751"/>
      <c r="R1725" s="751"/>
      <c r="S1725" s="751"/>
      <c r="T1725" s="751"/>
      <c r="U1725" s="751"/>
      <c r="V1725" s="751"/>
      <c r="W1725" s="751"/>
      <c r="X1725" s="751"/>
      <c r="Y1725" s="751"/>
      <c r="Z1725" s="751"/>
      <c r="AA1725" s="751"/>
      <c r="AB1725" s="751"/>
      <c r="AC1725" s="751"/>
      <c r="AD1725" s="751"/>
      <c r="AE1725" s="751"/>
      <c r="AF1725" s="751"/>
      <c r="AG1725" s="751"/>
    </row>
    <row r="1726" spans="4:33">
      <c r="D1726" s="751"/>
      <c r="E1726" s="751"/>
      <c r="F1726" s="751"/>
      <c r="G1726" s="751"/>
      <c r="H1726" s="751"/>
      <c r="I1726" s="751"/>
      <c r="J1726" s="751"/>
      <c r="K1726" s="751"/>
      <c r="L1726" s="751"/>
      <c r="M1726" s="751"/>
      <c r="N1726" s="751"/>
      <c r="O1726" s="751"/>
      <c r="P1726" s="751"/>
      <c r="Q1726" s="751"/>
      <c r="R1726" s="751"/>
      <c r="S1726" s="751"/>
      <c r="T1726" s="751"/>
      <c r="U1726" s="751"/>
      <c r="V1726" s="751"/>
      <c r="W1726" s="751"/>
      <c r="X1726" s="751"/>
      <c r="Y1726" s="751"/>
      <c r="Z1726" s="751"/>
      <c r="AA1726" s="751"/>
      <c r="AB1726" s="751"/>
      <c r="AC1726" s="751"/>
      <c r="AD1726" s="751"/>
      <c r="AE1726" s="751"/>
      <c r="AF1726" s="751"/>
      <c r="AG1726" s="751"/>
    </row>
    <row r="1727" spans="4:33">
      <c r="D1727" s="751"/>
      <c r="E1727" s="751"/>
      <c r="F1727" s="751"/>
      <c r="G1727" s="751"/>
      <c r="H1727" s="751"/>
      <c r="I1727" s="751"/>
      <c r="J1727" s="751"/>
      <c r="K1727" s="751"/>
      <c r="L1727" s="751"/>
      <c r="M1727" s="751"/>
      <c r="N1727" s="751"/>
      <c r="O1727" s="751"/>
      <c r="P1727" s="751"/>
      <c r="Q1727" s="751"/>
      <c r="R1727" s="751"/>
      <c r="S1727" s="751"/>
      <c r="T1727" s="751"/>
      <c r="U1727" s="751"/>
      <c r="V1727" s="751"/>
      <c r="W1727" s="751"/>
      <c r="X1727" s="751"/>
      <c r="Y1727" s="751"/>
      <c r="Z1727" s="751"/>
      <c r="AA1727" s="751"/>
      <c r="AB1727" s="751"/>
      <c r="AC1727" s="751"/>
      <c r="AD1727" s="751"/>
      <c r="AE1727" s="751"/>
      <c r="AF1727" s="751"/>
      <c r="AG1727" s="751"/>
    </row>
    <row r="1728" spans="4:33">
      <c r="D1728" s="751"/>
      <c r="E1728" s="751"/>
      <c r="F1728" s="751"/>
      <c r="G1728" s="751"/>
      <c r="H1728" s="751"/>
      <c r="I1728" s="751"/>
      <c r="J1728" s="751"/>
      <c r="K1728" s="751"/>
      <c r="L1728" s="751"/>
      <c r="M1728" s="751"/>
      <c r="N1728" s="751"/>
      <c r="O1728" s="751"/>
      <c r="P1728" s="751"/>
      <c r="Q1728" s="751"/>
      <c r="R1728" s="751"/>
      <c r="S1728" s="751"/>
      <c r="T1728" s="751"/>
      <c r="U1728" s="751"/>
      <c r="V1728" s="751"/>
      <c r="W1728" s="751"/>
      <c r="X1728" s="751"/>
      <c r="Y1728" s="751"/>
      <c r="Z1728" s="751"/>
      <c r="AA1728" s="751"/>
      <c r="AB1728" s="751"/>
      <c r="AC1728" s="751"/>
      <c r="AD1728" s="751"/>
      <c r="AE1728" s="751"/>
      <c r="AF1728" s="751"/>
      <c r="AG1728" s="751"/>
    </row>
    <row r="1729" spans="4:33">
      <c r="D1729" s="751"/>
      <c r="E1729" s="751"/>
      <c r="F1729" s="751"/>
      <c r="G1729" s="751"/>
      <c r="H1729" s="751"/>
      <c r="I1729" s="751"/>
      <c r="J1729" s="751"/>
      <c r="K1729" s="751"/>
      <c r="L1729" s="751"/>
      <c r="M1729" s="751"/>
      <c r="N1729" s="751"/>
      <c r="O1729" s="751"/>
      <c r="P1729" s="751"/>
      <c r="Q1729" s="751"/>
      <c r="R1729" s="751"/>
      <c r="S1729" s="751"/>
      <c r="T1729" s="751"/>
      <c r="U1729" s="751"/>
      <c r="V1729" s="751"/>
      <c r="W1729" s="751"/>
      <c r="X1729" s="751"/>
      <c r="Y1729" s="751"/>
      <c r="Z1729" s="751"/>
      <c r="AA1729" s="751"/>
      <c r="AB1729" s="751"/>
      <c r="AC1729" s="751"/>
      <c r="AD1729" s="751"/>
      <c r="AE1729" s="751"/>
      <c r="AF1729" s="751"/>
      <c r="AG1729" s="751"/>
    </row>
    <row r="1730" spans="4:33">
      <c r="D1730" s="751"/>
      <c r="E1730" s="751"/>
      <c r="F1730" s="751"/>
      <c r="G1730" s="751"/>
      <c r="H1730" s="751"/>
      <c r="I1730" s="751"/>
      <c r="J1730" s="751"/>
      <c r="K1730" s="751"/>
      <c r="L1730" s="751"/>
      <c r="M1730" s="751"/>
      <c r="N1730" s="751"/>
      <c r="O1730" s="751"/>
      <c r="P1730" s="751"/>
      <c r="Q1730" s="751"/>
      <c r="R1730" s="751"/>
      <c r="S1730" s="751"/>
      <c r="T1730" s="751"/>
      <c r="U1730" s="751"/>
      <c r="V1730" s="751"/>
      <c r="W1730" s="751"/>
      <c r="X1730" s="751"/>
      <c r="Y1730" s="751"/>
      <c r="Z1730" s="751"/>
      <c r="AA1730" s="751"/>
      <c r="AB1730" s="751"/>
      <c r="AC1730" s="751"/>
      <c r="AD1730" s="751"/>
      <c r="AE1730" s="751"/>
      <c r="AF1730" s="751"/>
      <c r="AG1730" s="751"/>
    </row>
    <row r="1731" spans="4:33">
      <c r="D1731" s="751"/>
      <c r="E1731" s="751"/>
      <c r="F1731" s="751"/>
      <c r="G1731" s="751"/>
      <c r="H1731" s="751"/>
      <c r="I1731" s="751"/>
      <c r="J1731" s="751"/>
      <c r="K1731" s="751"/>
      <c r="L1731" s="751"/>
      <c r="M1731" s="751"/>
      <c r="N1731" s="751"/>
      <c r="O1731" s="751"/>
      <c r="P1731" s="751"/>
      <c r="Q1731" s="751"/>
      <c r="R1731" s="751"/>
      <c r="S1731" s="751"/>
      <c r="T1731" s="751"/>
      <c r="U1731" s="751"/>
      <c r="V1731" s="751"/>
      <c r="W1731" s="751"/>
      <c r="X1731" s="751"/>
      <c r="Y1731" s="751"/>
      <c r="Z1731" s="751"/>
      <c r="AA1731" s="751"/>
      <c r="AB1731" s="751"/>
      <c r="AC1731" s="751"/>
      <c r="AD1731" s="751"/>
      <c r="AE1731" s="751"/>
      <c r="AF1731" s="751"/>
      <c r="AG1731" s="751"/>
    </row>
    <row r="1732" spans="4:33">
      <c r="D1732" s="751"/>
      <c r="E1732" s="751"/>
      <c r="F1732" s="751"/>
      <c r="G1732" s="751"/>
      <c r="H1732" s="751"/>
      <c r="I1732" s="751"/>
      <c r="J1732" s="751"/>
      <c r="K1732" s="751"/>
      <c r="L1732" s="751"/>
      <c r="M1732" s="751"/>
      <c r="N1732" s="751"/>
      <c r="O1732" s="751"/>
      <c r="P1732" s="751"/>
      <c r="Q1732" s="751"/>
      <c r="R1732" s="751"/>
      <c r="S1732" s="751"/>
      <c r="T1732" s="751"/>
      <c r="U1732" s="751"/>
      <c r="V1732" s="751"/>
      <c r="W1732" s="751"/>
      <c r="X1732" s="751"/>
      <c r="Y1732" s="751"/>
      <c r="Z1732" s="751"/>
      <c r="AA1732" s="751"/>
      <c r="AB1732" s="751"/>
      <c r="AC1732" s="751"/>
      <c r="AD1732" s="751"/>
      <c r="AE1732" s="751"/>
      <c r="AF1732" s="751"/>
      <c r="AG1732" s="751"/>
    </row>
    <row r="1733" spans="4:33">
      <c r="D1733" s="751"/>
      <c r="E1733" s="751"/>
      <c r="F1733" s="751"/>
      <c r="G1733" s="751"/>
      <c r="H1733" s="751"/>
      <c r="I1733" s="751"/>
      <c r="J1733" s="751"/>
      <c r="K1733" s="751"/>
      <c r="L1733" s="751"/>
      <c r="M1733" s="751"/>
      <c r="N1733" s="751"/>
      <c r="O1733" s="751"/>
      <c r="P1733" s="751"/>
      <c r="Q1733" s="751"/>
      <c r="R1733" s="751"/>
      <c r="S1733" s="751"/>
      <c r="T1733" s="751"/>
      <c r="U1733" s="751"/>
      <c r="V1733" s="751"/>
      <c r="W1733" s="751"/>
      <c r="X1733" s="751"/>
      <c r="Y1733" s="751"/>
      <c r="Z1733" s="751"/>
      <c r="AA1733" s="751"/>
      <c r="AB1733" s="751"/>
      <c r="AC1733" s="751"/>
      <c r="AD1733" s="751"/>
      <c r="AE1733" s="751"/>
      <c r="AF1733" s="751"/>
      <c r="AG1733" s="751"/>
    </row>
    <row r="1734" spans="4:33">
      <c r="D1734" s="751"/>
      <c r="E1734" s="751"/>
      <c r="F1734" s="751"/>
      <c r="G1734" s="751"/>
      <c r="H1734" s="751"/>
      <c r="I1734" s="751"/>
      <c r="J1734" s="751"/>
      <c r="K1734" s="751"/>
      <c r="L1734" s="751"/>
      <c r="M1734" s="751"/>
      <c r="N1734" s="751"/>
      <c r="O1734" s="751"/>
      <c r="P1734" s="751"/>
      <c r="Q1734" s="751"/>
      <c r="R1734" s="751"/>
      <c r="S1734" s="751"/>
      <c r="T1734" s="751"/>
      <c r="U1734" s="751"/>
      <c r="V1734" s="751"/>
      <c r="W1734" s="751"/>
      <c r="X1734" s="751"/>
      <c r="Y1734" s="751"/>
      <c r="Z1734" s="751"/>
      <c r="AA1734" s="751"/>
      <c r="AB1734" s="751"/>
      <c r="AC1734" s="751"/>
      <c r="AD1734" s="751"/>
      <c r="AE1734" s="751"/>
      <c r="AF1734" s="751"/>
      <c r="AG1734" s="751"/>
    </row>
    <row r="1735" spans="4:33">
      <c r="D1735" s="751"/>
      <c r="E1735" s="751"/>
      <c r="F1735" s="751"/>
      <c r="G1735" s="751"/>
      <c r="H1735" s="751"/>
      <c r="I1735" s="751"/>
      <c r="J1735" s="751"/>
      <c r="K1735" s="751"/>
      <c r="L1735" s="751"/>
      <c r="M1735" s="751"/>
      <c r="N1735" s="751"/>
      <c r="O1735" s="751"/>
      <c r="P1735" s="751"/>
      <c r="Q1735" s="751"/>
      <c r="R1735" s="751"/>
      <c r="S1735" s="751"/>
      <c r="T1735" s="751"/>
      <c r="U1735" s="751"/>
      <c r="V1735" s="751"/>
      <c r="W1735" s="751"/>
      <c r="X1735" s="751"/>
      <c r="Y1735" s="751"/>
      <c r="Z1735" s="751"/>
      <c r="AA1735" s="751"/>
      <c r="AB1735" s="751"/>
      <c r="AC1735" s="751"/>
      <c r="AD1735" s="751"/>
      <c r="AE1735" s="751"/>
      <c r="AF1735" s="751"/>
      <c r="AG1735" s="751"/>
    </row>
    <row r="1736" spans="4:33">
      <c r="D1736" s="751"/>
      <c r="E1736" s="751"/>
      <c r="F1736" s="751"/>
      <c r="G1736" s="751"/>
      <c r="H1736" s="751"/>
      <c r="I1736" s="751"/>
      <c r="J1736" s="751"/>
      <c r="K1736" s="751"/>
      <c r="L1736" s="751"/>
      <c r="M1736" s="751"/>
      <c r="N1736" s="751"/>
      <c r="O1736" s="751"/>
      <c r="P1736" s="751"/>
      <c r="Q1736" s="751"/>
      <c r="R1736" s="751"/>
      <c r="S1736" s="751"/>
      <c r="T1736" s="751"/>
      <c r="U1736" s="751"/>
      <c r="V1736" s="751"/>
      <c r="W1736" s="751"/>
      <c r="X1736" s="751"/>
      <c r="Y1736" s="751"/>
      <c r="Z1736" s="751"/>
      <c r="AA1736" s="751"/>
      <c r="AB1736" s="751"/>
      <c r="AC1736" s="751"/>
      <c r="AD1736" s="751"/>
      <c r="AE1736" s="751"/>
      <c r="AF1736" s="751"/>
      <c r="AG1736" s="751"/>
    </row>
    <row r="1737" spans="4:33">
      <c r="D1737" s="751"/>
      <c r="E1737" s="751"/>
      <c r="F1737" s="751"/>
      <c r="G1737" s="751"/>
      <c r="H1737" s="751"/>
      <c r="I1737" s="751"/>
      <c r="J1737" s="751"/>
      <c r="K1737" s="751"/>
      <c r="L1737" s="751"/>
      <c r="M1737" s="751"/>
      <c r="N1737" s="751"/>
      <c r="O1737" s="751"/>
      <c r="P1737" s="751"/>
      <c r="Q1737" s="751"/>
      <c r="R1737" s="751"/>
      <c r="S1737" s="751"/>
      <c r="T1737" s="751"/>
      <c r="U1737" s="751"/>
      <c r="V1737" s="751"/>
      <c r="W1737" s="751"/>
      <c r="X1737" s="751"/>
      <c r="Y1737" s="751"/>
      <c r="Z1737" s="751"/>
      <c r="AA1737" s="751"/>
      <c r="AB1737" s="751"/>
      <c r="AC1737" s="751"/>
      <c r="AD1737" s="751"/>
      <c r="AE1737" s="751"/>
      <c r="AF1737" s="751"/>
      <c r="AG1737" s="751"/>
    </row>
    <row r="1738" spans="4:33">
      <c r="D1738" s="751"/>
      <c r="E1738" s="751"/>
      <c r="F1738" s="751"/>
      <c r="G1738" s="751"/>
      <c r="H1738" s="751"/>
      <c r="I1738" s="751"/>
      <c r="J1738" s="751"/>
      <c r="K1738" s="751"/>
      <c r="L1738" s="751"/>
      <c r="M1738" s="751"/>
      <c r="N1738" s="751"/>
      <c r="O1738" s="751"/>
      <c r="P1738" s="751"/>
      <c r="Q1738" s="751"/>
      <c r="R1738" s="751"/>
      <c r="S1738" s="751"/>
      <c r="T1738" s="751"/>
      <c r="U1738" s="751"/>
      <c r="V1738" s="751"/>
      <c r="W1738" s="751"/>
      <c r="X1738" s="751"/>
      <c r="Y1738" s="751"/>
      <c r="Z1738" s="751"/>
      <c r="AA1738" s="751"/>
      <c r="AB1738" s="751"/>
      <c r="AC1738" s="751"/>
      <c r="AD1738" s="751"/>
      <c r="AE1738" s="751"/>
      <c r="AF1738" s="751"/>
      <c r="AG1738" s="751"/>
    </row>
    <row r="1739" spans="4:33">
      <c r="D1739" s="751"/>
      <c r="E1739" s="751"/>
      <c r="F1739" s="751"/>
      <c r="G1739" s="751"/>
      <c r="H1739" s="751"/>
      <c r="I1739" s="751"/>
      <c r="J1739" s="751"/>
      <c r="K1739" s="751"/>
      <c r="L1739" s="751"/>
      <c r="M1739" s="751"/>
      <c r="N1739" s="751"/>
      <c r="O1739" s="751"/>
      <c r="P1739" s="751"/>
      <c r="Q1739" s="751"/>
      <c r="R1739" s="751"/>
      <c r="S1739" s="751"/>
      <c r="T1739" s="751"/>
      <c r="U1739" s="751"/>
      <c r="V1739" s="751"/>
      <c r="W1739" s="751"/>
      <c r="X1739" s="751"/>
      <c r="Y1739" s="751"/>
      <c r="Z1739" s="751"/>
      <c r="AA1739" s="751"/>
      <c r="AB1739" s="751"/>
      <c r="AC1739" s="751"/>
      <c r="AD1739" s="751"/>
      <c r="AE1739" s="751"/>
      <c r="AF1739" s="751"/>
      <c r="AG1739" s="751"/>
    </row>
    <row r="1740" spans="4:33">
      <c r="D1740" s="751"/>
      <c r="E1740" s="751"/>
      <c r="F1740" s="751"/>
      <c r="G1740" s="751"/>
      <c r="H1740" s="751"/>
      <c r="I1740" s="751"/>
      <c r="J1740" s="751"/>
      <c r="K1740" s="751"/>
      <c r="L1740" s="751"/>
      <c r="M1740" s="751"/>
      <c r="N1740" s="751"/>
      <c r="O1740" s="751"/>
      <c r="P1740" s="751"/>
      <c r="Q1740" s="751"/>
      <c r="R1740" s="751"/>
      <c r="S1740" s="751"/>
      <c r="T1740" s="751"/>
      <c r="U1740" s="751"/>
      <c r="V1740" s="751"/>
      <c r="W1740" s="751"/>
      <c r="X1740" s="751"/>
      <c r="Y1740" s="751"/>
      <c r="Z1740" s="751"/>
      <c r="AA1740" s="751"/>
      <c r="AB1740" s="751"/>
      <c r="AC1740" s="751"/>
      <c r="AD1740" s="751"/>
      <c r="AE1740" s="751"/>
      <c r="AF1740" s="751"/>
      <c r="AG1740" s="751"/>
    </row>
    <row r="1741" spans="4:33">
      <c r="D1741" s="751"/>
      <c r="E1741" s="751"/>
      <c r="F1741" s="751"/>
      <c r="G1741" s="751"/>
      <c r="H1741" s="751"/>
      <c r="I1741" s="751"/>
      <c r="J1741" s="751"/>
      <c r="K1741" s="751"/>
      <c r="L1741" s="751"/>
      <c r="M1741" s="751"/>
      <c r="N1741" s="751"/>
      <c r="O1741" s="751"/>
      <c r="P1741" s="751"/>
      <c r="Q1741" s="751"/>
      <c r="R1741" s="751"/>
      <c r="S1741" s="751"/>
      <c r="T1741" s="751"/>
      <c r="U1741" s="751"/>
      <c r="V1741" s="751"/>
      <c r="W1741" s="751"/>
      <c r="X1741" s="751"/>
      <c r="Y1741" s="751"/>
      <c r="Z1741" s="751"/>
      <c r="AA1741" s="751"/>
      <c r="AB1741" s="751"/>
      <c r="AC1741" s="751"/>
      <c r="AD1741" s="751"/>
      <c r="AE1741" s="751"/>
      <c r="AF1741" s="751"/>
      <c r="AG1741" s="751"/>
    </row>
    <row r="1742" spans="4:33">
      <c r="D1742" s="751"/>
      <c r="E1742" s="751"/>
      <c r="F1742" s="751"/>
      <c r="G1742" s="751"/>
      <c r="H1742" s="751"/>
      <c r="I1742" s="751"/>
      <c r="J1742" s="751"/>
      <c r="K1742" s="751"/>
      <c r="L1742" s="751"/>
      <c r="M1742" s="751"/>
      <c r="N1742" s="751"/>
      <c r="O1742" s="751"/>
      <c r="P1742" s="751"/>
      <c r="Q1742" s="751"/>
      <c r="R1742" s="751"/>
      <c r="S1742" s="751"/>
      <c r="T1742" s="751"/>
      <c r="U1742" s="751"/>
      <c r="V1742" s="751"/>
      <c r="W1742" s="751"/>
      <c r="X1742" s="751"/>
      <c r="Y1742" s="751"/>
      <c r="Z1742" s="751"/>
      <c r="AA1742" s="751"/>
      <c r="AB1742" s="751"/>
      <c r="AC1742" s="751"/>
      <c r="AD1742" s="751"/>
      <c r="AE1742" s="751"/>
      <c r="AF1742" s="751"/>
      <c r="AG1742" s="751"/>
    </row>
    <row r="1743" spans="4:33">
      <c r="D1743" s="751"/>
      <c r="E1743" s="751"/>
      <c r="F1743" s="751"/>
      <c r="G1743" s="751"/>
      <c r="H1743" s="751"/>
      <c r="I1743" s="751"/>
      <c r="J1743" s="751"/>
      <c r="K1743" s="751"/>
      <c r="L1743" s="751"/>
      <c r="M1743" s="751"/>
      <c r="N1743" s="751"/>
      <c r="O1743" s="751"/>
      <c r="P1743" s="751"/>
      <c r="Q1743" s="751"/>
      <c r="R1743" s="751"/>
      <c r="S1743" s="751"/>
      <c r="T1743" s="751"/>
      <c r="U1743" s="751"/>
      <c r="V1743" s="751"/>
      <c r="W1743" s="751"/>
      <c r="X1743" s="751"/>
      <c r="Y1743" s="751"/>
      <c r="Z1743" s="751"/>
      <c r="AA1743" s="751"/>
      <c r="AB1743" s="751"/>
      <c r="AC1743" s="751"/>
      <c r="AD1743" s="751"/>
      <c r="AE1743" s="751"/>
      <c r="AF1743" s="751"/>
      <c r="AG1743" s="751"/>
    </row>
    <row r="1744" spans="4:33">
      <c r="D1744" s="751"/>
      <c r="E1744" s="751"/>
      <c r="F1744" s="751"/>
      <c r="G1744" s="751"/>
      <c r="H1744" s="751"/>
      <c r="I1744" s="751"/>
      <c r="J1744" s="751"/>
      <c r="K1744" s="751"/>
      <c r="L1744" s="751"/>
      <c r="M1744" s="751"/>
      <c r="N1744" s="751"/>
      <c r="O1744" s="751"/>
      <c r="P1744" s="751"/>
      <c r="Q1744" s="751"/>
      <c r="R1744" s="751"/>
      <c r="S1744" s="751"/>
      <c r="T1744" s="751"/>
      <c r="U1744" s="751"/>
      <c r="V1744" s="751"/>
      <c r="W1744" s="751"/>
      <c r="X1744" s="751"/>
      <c r="Y1744" s="751"/>
      <c r="Z1744" s="751"/>
      <c r="AA1744" s="751"/>
      <c r="AB1744" s="751"/>
      <c r="AC1744" s="751"/>
      <c r="AD1744" s="751"/>
      <c r="AE1744" s="751"/>
      <c r="AF1744" s="751"/>
      <c r="AG1744" s="751"/>
    </row>
    <row r="1745" spans="4:33">
      <c r="D1745" s="751"/>
      <c r="E1745" s="751"/>
      <c r="F1745" s="751"/>
      <c r="G1745" s="751"/>
      <c r="H1745" s="751"/>
      <c r="I1745" s="751"/>
      <c r="J1745" s="751"/>
      <c r="K1745" s="751"/>
      <c r="L1745" s="751"/>
      <c r="M1745" s="751"/>
      <c r="N1745" s="751"/>
      <c r="O1745" s="751"/>
      <c r="P1745" s="751"/>
      <c r="Q1745" s="751"/>
      <c r="R1745" s="751"/>
      <c r="S1745" s="751"/>
      <c r="T1745" s="751"/>
      <c r="U1745" s="751"/>
      <c r="V1745" s="751"/>
      <c r="W1745" s="751"/>
      <c r="X1745" s="751"/>
      <c r="Y1745" s="751"/>
      <c r="Z1745" s="751"/>
      <c r="AA1745" s="751"/>
      <c r="AB1745" s="751"/>
      <c r="AC1745" s="751"/>
      <c r="AD1745" s="751"/>
      <c r="AE1745" s="751"/>
      <c r="AF1745" s="751"/>
      <c r="AG1745" s="751"/>
    </row>
    <row r="1746" spans="4:33">
      <c r="D1746" s="751"/>
      <c r="E1746" s="751"/>
      <c r="F1746" s="751"/>
      <c r="G1746" s="751"/>
      <c r="H1746" s="751"/>
      <c r="I1746" s="751"/>
      <c r="J1746" s="751"/>
      <c r="K1746" s="751"/>
      <c r="L1746" s="751"/>
      <c r="M1746" s="751"/>
      <c r="N1746" s="751"/>
      <c r="O1746" s="751"/>
      <c r="P1746" s="751"/>
      <c r="Q1746" s="751"/>
      <c r="R1746" s="751"/>
      <c r="S1746" s="751"/>
      <c r="T1746" s="751"/>
      <c r="U1746" s="751"/>
      <c r="V1746" s="751"/>
      <c r="W1746" s="751"/>
      <c r="X1746" s="751"/>
      <c r="Y1746" s="751"/>
      <c r="Z1746" s="751"/>
      <c r="AA1746" s="751"/>
      <c r="AB1746" s="751"/>
      <c r="AC1746" s="751"/>
      <c r="AD1746" s="751"/>
      <c r="AE1746" s="751"/>
      <c r="AF1746" s="751"/>
      <c r="AG1746" s="751"/>
    </row>
    <row r="1747" spans="4:33">
      <c r="D1747" s="751"/>
      <c r="E1747" s="751"/>
      <c r="F1747" s="751"/>
      <c r="G1747" s="751"/>
      <c r="H1747" s="751"/>
      <c r="I1747" s="751"/>
      <c r="J1747" s="751"/>
      <c r="K1747" s="751"/>
      <c r="L1747" s="751"/>
      <c r="M1747" s="751"/>
      <c r="N1747" s="751"/>
      <c r="O1747" s="751"/>
      <c r="P1747" s="751"/>
      <c r="Q1747" s="751"/>
      <c r="R1747" s="751"/>
      <c r="S1747" s="751"/>
      <c r="T1747" s="751"/>
      <c r="U1747" s="751"/>
      <c r="V1747" s="751"/>
      <c r="W1747" s="751"/>
      <c r="X1747" s="751"/>
      <c r="Y1747" s="751"/>
      <c r="Z1747" s="751"/>
      <c r="AA1747" s="751"/>
      <c r="AB1747" s="751"/>
      <c r="AC1747" s="751"/>
      <c r="AD1747" s="751"/>
      <c r="AE1747" s="751"/>
      <c r="AF1747" s="751"/>
      <c r="AG1747" s="751"/>
    </row>
    <row r="1748" spans="4:33">
      <c r="D1748" s="751"/>
      <c r="E1748" s="751"/>
      <c r="F1748" s="751"/>
      <c r="G1748" s="751"/>
      <c r="H1748" s="751"/>
      <c r="I1748" s="751"/>
      <c r="J1748" s="751"/>
      <c r="K1748" s="751"/>
      <c r="L1748" s="751"/>
      <c r="M1748" s="751"/>
      <c r="N1748" s="751"/>
      <c r="O1748" s="751"/>
      <c r="P1748" s="751"/>
      <c r="Q1748" s="751"/>
      <c r="R1748" s="751"/>
      <c r="S1748" s="751"/>
      <c r="T1748" s="751"/>
      <c r="U1748" s="751"/>
      <c r="V1748" s="751"/>
      <c r="W1748" s="751"/>
      <c r="X1748" s="751"/>
      <c r="Y1748" s="751"/>
      <c r="Z1748" s="751"/>
      <c r="AA1748" s="751"/>
      <c r="AB1748" s="751"/>
      <c r="AC1748" s="751"/>
      <c r="AD1748" s="751"/>
      <c r="AE1748" s="751"/>
      <c r="AF1748" s="751"/>
      <c r="AG1748" s="751"/>
    </row>
    <row r="1749" spans="4:33">
      <c r="D1749" s="751"/>
      <c r="E1749" s="751"/>
      <c r="F1749" s="751"/>
      <c r="G1749" s="751"/>
      <c r="H1749" s="751"/>
      <c r="I1749" s="751"/>
      <c r="J1749" s="751"/>
      <c r="K1749" s="751"/>
      <c r="L1749" s="751"/>
      <c r="M1749" s="751"/>
      <c r="N1749" s="751"/>
      <c r="O1749" s="751"/>
      <c r="P1749" s="751"/>
      <c r="Q1749" s="751"/>
      <c r="R1749" s="751"/>
      <c r="S1749" s="751"/>
      <c r="T1749" s="751"/>
      <c r="U1749" s="751"/>
      <c r="V1749" s="751"/>
      <c r="W1749" s="751"/>
      <c r="X1749" s="751"/>
      <c r="Y1749" s="751"/>
      <c r="Z1749" s="751"/>
      <c r="AA1749" s="751"/>
      <c r="AB1749" s="751"/>
      <c r="AC1749" s="751"/>
      <c r="AD1749" s="751"/>
      <c r="AE1749" s="751"/>
      <c r="AF1749" s="751"/>
      <c r="AG1749" s="751"/>
    </row>
    <row r="1750" spans="4:33">
      <c r="D1750" s="751"/>
      <c r="E1750" s="751"/>
      <c r="F1750" s="751"/>
      <c r="G1750" s="751"/>
      <c r="H1750" s="751"/>
      <c r="I1750" s="751"/>
      <c r="J1750" s="751"/>
      <c r="K1750" s="751"/>
      <c r="L1750" s="751"/>
      <c r="M1750" s="751"/>
      <c r="N1750" s="751"/>
      <c r="O1750" s="751"/>
      <c r="P1750" s="751"/>
      <c r="Q1750" s="751"/>
      <c r="R1750" s="751"/>
      <c r="S1750" s="751"/>
      <c r="T1750" s="751"/>
      <c r="U1750" s="751"/>
      <c r="V1750" s="751"/>
      <c r="W1750" s="751"/>
      <c r="X1750" s="751"/>
      <c r="Y1750" s="751"/>
      <c r="Z1750" s="751"/>
      <c r="AA1750" s="751"/>
      <c r="AB1750" s="751"/>
      <c r="AC1750" s="751"/>
      <c r="AD1750" s="751"/>
      <c r="AE1750" s="751"/>
      <c r="AF1750" s="751"/>
      <c r="AG1750" s="751"/>
    </row>
    <row r="1751" spans="4:33">
      <c r="D1751" s="751"/>
      <c r="E1751" s="751"/>
      <c r="F1751" s="751"/>
      <c r="G1751" s="751"/>
      <c r="H1751" s="751"/>
      <c r="I1751" s="751"/>
      <c r="J1751" s="751"/>
      <c r="K1751" s="751"/>
      <c r="L1751" s="751"/>
      <c r="M1751" s="751"/>
      <c r="N1751" s="751"/>
      <c r="O1751" s="751"/>
      <c r="P1751" s="751"/>
      <c r="Q1751" s="751"/>
      <c r="R1751" s="751"/>
      <c r="S1751" s="751"/>
      <c r="T1751" s="751"/>
      <c r="U1751" s="751"/>
      <c r="V1751" s="751"/>
      <c r="W1751" s="751"/>
      <c r="X1751" s="751"/>
      <c r="Y1751" s="751"/>
      <c r="Z1751" s="751"/>
      <c r="AA1751" s="751"/>
      <c r="AB1751" s="751"/>
      <c r="AC1751" s="751"/>
      <c r="AD1751" s="751"/>
      <c r="AE1751" s="751"/>
      <c r="AF1751" s="751"/>
      <c r="AG1751" s="751"/>
    </row>
    <row r="1752" spans="4:33">
      <c r="D1752" s="751"/>
      <c r="E1752" s="751"/>
      <c r="F1752" s="751"/>
      <c r="G1752" s="751"/>
      <c r="H1752" s="751"/>
      <c r="I1752" s="751"/>
      <c r="J1752" s="751"/>
      <c r="K1752" s="751"/>
      <c r="L1752" s="751"/>
      <c r="M1752" s="751"/>
      <c r="N1752" s="751"/>
      <c r="O1752" s="751"/>
      <c r="P1752" s="751"/>
      <c r="Q1752" s="751"/>
      <c r="R1752" s="751"/>
      <c r="S1752" s="751"/>
      <c r="T1752" s="751"/>
      <c r="U1752" s="751"/>
      <c r="V1752" s="751"/>
      <c r="W1752" s="751"/>
      <c r="X1752" s="751"/>
      <c r="Y1752" s="751"/>
      <c r="Z1752" s="751"/>
      <c r="AA1752" s="751"/>
      <c r="AB1752" s="751"/>
      <c r="AC1752" s="751"/>
      <c r="AD1752" s="751"/>
      <c r="AE1752" s="751"/>
      <c r="AF1752" s="751"/>
      <c r="AG1752" s="751"/>
    </row>
    <row r="1753" spans="4:33">
      <c r="D1753" s="751"/>
      <c r="E1753" s="751"/>
      <c r="F1753" s="751"/>
      <c r="G1753" s="751"/>
      <c r="H1753" s="751"/>
      <c r="I1753" s="751"/>
      <c r="J1753" s="751"/>
      <c r="K1753" s="751"/>
      <c r="L1753" s="751"/>
      <c r="M1753" s="751"/>
      <c r="N1753" s="751"/>
      <c r="O1753" s="751"/>
      <c r="P1753" s="751"/>
      <c r="Q1753" s="751"/>
      <c r="R1753" s="751"/>
      <c r="S1753" s="751"/>
      <c r="T1753" s="751"/>
      <c r="U1753" s="751"/>
      <c r="V1753" s="751"/>
      <c r="W1753" s="751"/>
      <c r="X1753" s="751"/>
      <c r="Y1753" s="751"/>
      <c r="Z1753" s="751"/>
      <c r="AA1753" s="751"/>
      <c r="AB1753" s="751"/>
      <c r="AC1753" s="751"/>
      <c r="AD1753" s="751"/>
      <c r="AE1753" s="751"/>
      <c r="AF1753" s="751"/>
      <c r="AG1753" s="751"/>
    </row>
    <row r="1754" spans="4:33">
      <c r="D1754" s="751"/>
      <c r="E1754" s="751"/>
      <c r="F1754" s="751"/>
      <c r="G1754" s="751"/>
      <c r="H1754" s="751"/>
      <c r="I1754" s="751"/>
      <c r="J1754" s="751"/>
      <c r="K1754" s="751"/>
      <c r="L1754" s="751"/>
      <c r="M1754" s="751"/>
      <c r="N1754" s="751"/>
      <c r="O1754" s="751"/>
      <c r="P1754" s="751"/>
      <c r="Q1754" s="751"/>
      <c r="R1754" s="751"/>
      <c r="S1754" s="751"/>
      <c r="T1754" s="751"/>
      <c r="U1754" s="751"/>
      <c r="V1754" s="751"/>
      <c r="W1754" s="751"/>
      <c r="X1754" s="751"/>
      <c r="Y1754" s="751"/>
      <c r="Z1754" s="751"/>
      <c r="AA1754" s="751"/>
      <c r="AB1754" s="751"/>
      <c r="AC1754" s="751"/>
      <c r="AD1754" s="751"/>
      <c r="AE1754" s="751"/>
      <c r="AF1754" s="751"/>
      <c r="AG1754" s="751"/>
    </row>
    <row r="1755" spans="4:33">
      <c r="D1755" s="751"/>
      <c r="E1755" s="751"/>
      <c r="F1755" s="751"/>
      <c r="G1755" s="751"/>
      <c r="H1755" s="751"/>
      <c r="I1755" s="751"/>
      <c r="J1755" s="751"/>
      <c r="K1755" s="751"/>
      <c r="L1755" s="751"/>
      <c r="M1755" s="751"/>
      <c r="N1755" s="751"/>
      <c r="O1755" s="751"/>
      <c r="P1755" s="751"/>
      <c r="Q1755" s="751"/>
      <c r="R1755" s="751"/>
      <c r="S1755" s="751"/>
      <c r="T1755" s="751"/>
      <c r="U1755" s="751"/>
      <c r="V1755" s="751"/>
      <c r="W1755" s="751"/>
      <c r="X1755" s="751"/>
      <c r="Y1755" s="751"/>
      <c r="Z1755" s="751"/>
      <c r="AA1755" s="751"/>
      <c r="AB1755" s="751"/>
      <c r="AC1755" s="751"/>
      <c r="AD1755" s="751"/>
      <c r="AE1755" s="751"/>
      <c r="AF1755" s="751"/>
      <c r="AG1755" s="751"/>
    </row>
    <row r="1756" spans="4:33">
      <c r="D1756" s="751"/>
      <c r="E1756" s="751"/>
      <c r="F1756" s="751"/>
      <c r="G1756" s="751"/>
      <c r="H1756" s="751"/>
      <c r="I1756" s="751"/>
      <c r="J1756" s="751"/>
      <c r="K1756" s="751"/>
      <c r="L1756" s="751"/>
      <c r="M1756" s="751"/>
      <c r="N1756" s="751"/>
      <c r="O1756" s="751"/>
      <c r="P1756" s="751"/>
      <c r="Q1756" s="751"/>
      <c r="R1756" s="751"/>
      <c r="S1756" s="751"/>
      <c r="T1756" s="751"/>
      <c r="U1756" s="751"/>
      <c r="V1756" s="751"/>
      <c r="W1756" s="751"/>
      <c r="X1756" s="751"/>
      <c r="Y1756" s="751"/>
      <c r="Z1756" s="751"/>
      <c r="AA1756" s="751"/>
      <c r="AB1756" s="751"/>
      <c r="AC1756" s="751"/>
      <c r="AD1756" s="751"/>
      <c r="AE1756" s="751"/>
      <c r="AF1756" s="751"/>
      <c r="AG1756" s="751"/>
    </row>
    <row r="1757" spans="4:33">
      <c r="D1757" s="751"/>
      <c r="E1757" s="751"/>
      <c r="F1757" s="751"/>
      <c r="G1757" s="751"/>
      <c r="H1757" s="751"/>
      <c r="I1757" s="751"/>
      <c r="J1757" s="751"/>
      <c r="K1757" s="751"/>
      <c r="L1757" s="751"/>
      <c r="M1757" s="751"/>
      <c r="N1757" s="751"/>
      <c r="O1757" s="751"/>
      <c r="P1757" s="751"/>
      <c r="Q1757" s="751"/>
      <c r="R1757" s="751"/>
      <c r="S1757" s="751"/>
      <c r="T1757" s="751"/>
      <c r="U1757" s="751"/>
      <c r="V1757" s="751"/>
      <c r="W1757" s="751"/>
      <c r="X1757" s="751"/>
      <c r="Y1757" s="751"/>
      <c r="Z1757" s="751"/>
      <c r="AA1757" s="751"/>
      <c r="AB1757" s="751"/>
      <c r="AC1757" s="751"/>
      <c r="AD1757" s="751"/>
      <c r="AE1757" s="751"/>
      <c r="AF1757" s="751"/>
      <c r="AG1757" s="751"/>
    </row>
    <row r="1758" spans="4:33">
      <c r="D1758" s="751"/>
      <c r="E1758" s="751"/>
      <c r="F1758" s="751"/>
      <c r="G1758" s="751"/>
      <c r="H1758" s="751"/>
      <c r="I1758" s="751"/>
      <c r="J1758" s="751"/>
      <c r="K1758" s="751"/>
      <c r="L1758" s="751"/>
      <c r="M1758" s="751"/>
      <c r="N1758" s="751"/>
      <c r="O1758" s="751"/>
      <c r="P1758" s="751"/>
      <c r="Q1758" s="751"/>
      <c r="R1758" s="751"/>
      <c r="S1758" s="751"/>
      <c r="T1758" s="751"/>
      <c r="U1758" s="751"/>
      <c r="V1758" s="751"/>
      <c r="W1758" s="751"/>
      <c r="X1758" s="751"/>
      <c r="Y1758" s="751"/>
      <c r="Z1758" s="751"/>
      <c r="AA1758" s="751"/>
      <c r="AB1758" s="751"/>
      <c r="AC1758" s="751"/>
      <c r="AD1758" s="751"/>
      <c r="AE1758" s="751"/>
      <c r="AF1758" s="751"/>
      <c r="AG1758" s="751"/>
    </row>
    <row r="1759" spans="4:33">
      <c r="D1759" s="751"/>
      <c r="E1759" s="751"/>
      <c r="F1759" s="751"/>
      <c r="G1759" s="751"/>
      <c r="H1759" s="751"/>
      <c r="I1759" s="751"/>
      <c r="J1759" s="751"/>
      <c r="K1759" s="751"/>
      <c r="L1759" s="751"/>
      <c r="M1759" s="751"/>
      <c r="N1759" s="751"/>
      <c r="O1759" s="751"/>
      <c r="P1759" s="751"/>
      <c r="Q1759" s="751"/>
      <c r="R1759" s="751"/>
      <c r="S1759" s="751"/>
      <c r="T1759" s="751"/>
      <c r="U1759" s="751"/>
      <c r="V1759" s="751"/>
      <c r="W1759" s="751"/>
      <c r="X1759" s="751"/>
      <c r="Y1759" s="751"/>
      <c r="Z1759" s="751"/>
      <c r="AA1759" s="751"/>
      <c r="AB1759" s="751"/>
      <c r="AC1759" s="751"/>
      <c r="AD1759" s="751"/>
      <c r="AE1759" s="751"/>
      <c r="AF1759" s="751"/>
      <c r="AG1759" s="751"/>
    </row>
    <row r="1760" spans="4:33">
      <c r="D1760" s="751"/>
      <c r="E1760" s="751"/>
      <c r="F1760" s="751"/>
      <c r="G1760" s="751"/>
      <c r="H1760" s="751"/>
      <c r="I1760" s="751"/>
      <c r="J1760" s="751"/>
      <c r="K1760" s="751"/>
      <c r="L1760" s="751"/>
      <c r="M1760" s="751"/>
      <c r="N1760" s="751"/>
      <c r="O1760" s="751"/>
      <c r="P1760" s="751"/>
      <c r="Q1760" s="751"/>
      <c r="R1760" s="751"/>
      <c r="S1760" s="751"/>
      <c r="T1760" s="751"/>
      <c r="U1760" s="751"/>
      <c r="V1760" s="751"/>
      <c r="W1760" s="751"/>
      <c r="X1760" s="751"/>
      <c r="Y1760" s="751"/>
      <c r="Z1760" s="751"/>
      <c r="AA1760" s="751"/>
      <c r="AB1760" s="751"/>
      <c r="AC1760" s="751"/>
      <c r="AD1760" s="751"/>
      <c r="AE1760" s="751"/>
      <c r="AF1760" s="751"/>
      <c r="AG1760" s="751"/>
    </row>
    <row r="1761" spans="4:33">
      <c r="D1761" s="751"/>
      <c r="E1761" s="751"/>
      <c r="F1761" s="751"/>
      <c r="G1761" s="751"/>
      <c r="H1761" s="751"/>
      <c r="I1761" s="751"/>
      <c r="J1761" s="751"/>
      <c r="K1761" s="751"/>
      <c r="L1761" s="751"/>
      <c r="M1761" s="751"/>
      <c r="N1761" s="751"/>
      <c r="O1761" s="751"/>
      <c r="P1761" s="751"/>
      <c r="Q1761" s="751"/>
      <c r="R1761" s="751"/>
      <c r="S1761" s="751"/>
      <c r="T1761" s="751"/>
      <c r="U1761" s="751"/>
      <c r="V1761" s="751"/>
      <c r="W1761" s="751"/>
      <c r="X1761" s="751"/>
      <c r="Y1761" s="751"/>
      <c r="Z1761" s="751"/>
      <c r="AA1761" s="751"/>
      <c r="AB1761" s="751"/>
      <c r="AC1761" s="751"/>
      <c r="AD1761" s="751"/>
      <c r="AE1761" s="751"/>
      <c r="AF1761" s="751"/>
      <c r="AG1761" s="751"/>
    </row>
    <row r="1762" spans="4:33">
      <c r="D1762" s="751"/>
      <c r="E1762" s="751"/>
      <c r="F1762" s="751"/>
      <c r="G1762" s="751"/>
      <c r="H1762" s="751"/>
      <c r="I1762" s="751"/>
      <c r="J1762" s="751"/>
      <c r="K1762" s="751"/>
      <c r="L1762" s="751"/>
      <c r="M1762" s="751"/>
      <c r="N1762" s="751"/>
      <c r="O1762" s="751"/>
      <c r="P1762" s="751"/>
      <c r="Q1762" s="751"/>
      <c r="R1762" s="751"/>
      <c r="S1762" s="751"/>
      <c r="T1762" s="751"/>
      <c r="U1762" s="751"/>
      <c r="V1762" s="751"/>
      <c r="W1762" s="751"/>
      <c r="X1762" s="751"/>
      <c r="Y1762" s="751"/>
      <c r="Z1762" s="751"/>
      <c r="AA1762" s="751"/>
      <c r="AB1762" s="751"/>
      <c r="AC1762" s="751"/>
      <c r="AD1762" s="751"/>
      <c r="AE1762" s="751"/>
      <c r="AF1762" s="751"/>
      <c r="AG1762" s="751"/>
    </row>
    <row r="1763" spans="4:33">
      <c r="D1763" s="751"/>
      <c r="E1763" s="751"/>
      <c r="F1763" s="751"/>
      <c r="G1763" s="751"/>
      <c r="H1763" s="751"/>
      <c r="I1763" s="751"/>
      <c r="J1763" s="751"/>
      <c r="K1763" s="751"/>
      <c r="L1763" s="751"/>
      <c r="M1763" s="751"/>
      <c r="N1763" s="751"/>
      <c r="O1763" s="751"/>
      <c r="P1763" s="751"/>
      <c r="Q1763" s="751"/>
      <c r="R1763" s="751"/>
      <c r="S1763" s="751"/>
      <c r="T1763" s="751"/>
      <c r="U1763" s="751"/>
      <c r="V1763" s="751"/>
      <c r="W1763" s="751"/>
      <c r="X1763" s="751"/>
      <c r="Y1763" s="751"/>
      <c r="Z1763" s="751"/>
      <c r="AA1763" s="751"/>
      <c r="AB1763" s="751"/>
      <c r="AC1763" s="751"/>
      <c r="AD1763" s="751"/>
      <c r="AE1763" s="751"/>
      <c r="AF1763" s="751"/>
      <c r="AG1763" s="751"/>
    </row>
    <row r="1764" spans="4:33">
      <c r="D1764" s="751"/>
      <c r="E1764" s="751"/>
      <c r="F1764" s="751"/>
      <c r="G1764" s="751"/>
      <c r="H1764" s="751"/>
      <c r="I1764" s="751"/>
      <c r="J1764" s="751"/>
      <c r="K1764" s="751"/>
      <c r="L1764" s="751"/>
      <c r="M1764" s="751"/>
      <c r="N1764" s="751"/>
      <c r="O1764" s="751"/>
      <c r="P1764" s="751"/>
      <c r="Q1764" s="751"/>
      <c r="R1764" s="751"/>
      <c r="S1764" s="751"/>
      <c r="T1764" s="751"/>
      <c r="U1764" s="751"/>
      <c r="V1764" s="751"/>
      <c r="W1764" s="751"/>
      <c r="X1764" s="751"/>
      <c r="Y1764" s="751"/>
      <c r="Z1764" s="751"/>
      <c r="AA1764" s="751"/>
      <c r="AB1764" s="751"/>
      <c r="AC1764" s="751"/>
      <c r="AD1764" s="751"/>
      <c r="AE1764" s="751"/>
      <c r="AF1764" s="751"/>
      <c r="AG1764" s="751"/>
    </row>
    <row r="1765" spans="4:33">
      <c r="D1765" s="751"/>
      <c r="E1765" s="751"/>
      <c r="F1765" s="751"/>
      <c r="G1765" s="751"/>
      <c r="H1765" s="751"/>
      <c r="I1765" s="751"/>
      <c r="J1765" s="751"/>
      <c r="K1765" s="751"/>
      <c r="L1765" s="751"/>
      <c r="M1765" s="751"/>
      <c r="N1765" s="751"/>
      <c r="O1765" s="751"/>
      <c r="P1765" s="751"/>
      <c r="Q1765" s="751"/>
      <c r="R1765" s="751"/>
      <c r="S1765" s="751"/>
      <c r="T1765" s="751"/>
      <c r="U1765" s="751"/>
      <c r="V1765" s="751"/>
      <c r="W1765" s="751"/>
      <c r="X1765" s="751"/>
      <c r="Y1765" s="751"/>
      <c r="Z1765" s="751"/>
      <c r="AA1765" s="751"/>
      <c r="AB1765" s="751"/>
      <c r="AC1765" s="751"/>
      <c r="AD1765" s="751"/>
      <c r="AE1765" s="751"/>
      <c r="AF1765" s="751"/>
      <c r="AG1765" s="751"/>
    </row>
    <row r="1766" spans="4:33">
      <c r="D1766" s="751"/>
      <c r="E1766" s="751"/>
      <c r="F1766" s="751"/>
      <c r="G1766" s="751"/>
      <c r="H1766" s="751"/>
      <c r="I1766" s="751"/>
      <c r="J1766" s="751"/>
      <c r="K1766" s="751"/>
      <c r="L1766" s="751"/>
      <c r="M1766" s="751"/>
      <c r="N1766" s="751"/>
      <c r="O1766" s="751"/>
      <c r="P1766" s="751"/>
      <c r="Q1766" s="751"/>
      <c r="R1766" s="751"/>
      <c r="S1766" s="751"/>
      <c r="T1766" s="751"/>
      <c r="U1766" s="751"/>
      <c r="V1766" s="751"/>
      <c r="W1766" s="751"/>
      <c r="X1766" s="751"/>
      <c r="Y1766" s="751"/>
      <c r="Z1766" s="751"/>
      <c r="AA1766" s="751"/>
      <c r="AB1766" s="751"/>
      <c r="AC1766" s="751"/>
      <c r="AD1766" s="751"/>
      <c r="AE1766" s="751"/>
      <c r="AF1766" s="751"/>
      <c r="AG1766" s="751"/>
    </row>
    <row r="1767" spans="4:33">
      <c r="D1767" s="751"/>
      <c r="E1767" s="751"/>
      <c r="F1767" s="751"/>
      <c r="G1767" s="751"/>
      <c r="H1767" s="751"/>
      <c r="I1767" s="751"/>
      <c r="J1767" s="751"/>
      <c r="K1767" s="751"/>
      <c r="L1767" s="751"/>
      <c r="M1767" s="751"/>
      <c r="N1767" s="751"/>
      <c r="O1767" s="751"/>
      <c r="P1767" s="751"/>
      <c r="Q1767" s="751"/>
      <c r="R1767" s="751"/>
      <c r="S1767" s="751"/>
      <c r="T1767" s="751"/>
      <c r="U1767" s="751"/>
      <c r="V1767" s="751"/>
      <c r="W1767" s="751"/>
      <c r="X1767" s="751"/>
      <c r="Y1767" s="751"/>
      <c r="Z1767" s="751"/>
      <c r="AA1767" s="751"/>
      <c r="AB1767" s="751"/>
      <c r="AC1767" s="751"/>
      <c r="AD1767" s="751"/>
      <c r="AE1767" s="751"/>
      <c r="AF1767" s="751"/>
      <c r="AG1767" s="751"/>
    </row>
    <row r="1768" spans="4:33">
      <c r="D1768" s="751"/>
      <c r="E1768" s="751"/>
      <c r="F1768" s="751"/>
      <c r="G1768" s="751"/>
      <c r="H1768" s="751"/>
      <c r="I1768" s="751"/>
      <c r="J1768" s="751"/>
      <c r="K1768" s="751"/>
      <c r="L1768" s="751"/>
      <c r="M1768" s="751"/>
      <c r="N1768" s="751"/>
      <c r="O1768" s="751"/>
      <c r="P1768" s="751"/>
      <c r="Q1768" s="751"/>
      <c r="R1768" s="751"/>
      <c r="S1768" s="751"/>
      <c r="T1768" s="751"/>
      <c r="U1768" s="751"/>
      <c r="V1768" s="751"/>
      <c r="W1768" s="751"/>
      <c r="X1768" s="751"/>
      <c r="Y1768" s="751"/>
      <c r="Z1768" s="751"/>
      <c r="AA1768" s="751"/>
      <c r="AB1768" s="751"/>
      <c r="AC1768" s="751"/>
      <c r="AD1768" s="751"/>
      <c r="AE1768" s="751"/>
      <c r="AF1768" s="751"/>
      <c r="AG1768" s="751"/>
    </row>
    <row r="1769" spans="4:33">
      <c r="D1769" s="751"/>
      <c r="E1769" s="751"/>
      <c r="F1769" s="751"/>
      <c r="G1769" s="751"/>
      <c r="H1769" s="751"/>
      <c r="I1769" s="751"/>
      <c r="J1769" s="751"/>
      <c r="K1769" s="751"/>
      <c r="L1769" s="751"/>
      <c r="M1769" s="751"/>
      <c r="N1769" s="751"/>
      <c r="O1769" s="751"/>
      <c r="P1769" s="751"/>
      <c r="Q1769" s="751"/>
      <c r="R1769" s="751"/>
      <c r="S1769" s="751"/>
      <c r="T1769" s="751"/>
      <c r="U1769" s="751"/>
      <c r="V1769" s="751"/>
      <c r="W1769" s="751"/>
      <c r="X1769" s="751"/>
      <c r="Y1769" s="751"/>
      <c r="Z1769" s="751"/>
      <c r="AA1769" s="751"/>
      <c r="AB1769" s="751"/>
      <c r="AC1769" s="751"/>
      <c r="AD1769" s="751"/>
      <c r="AE1769" s="751"/>
      <c r="AF1769" s="751"/>
      <c r="AG1769" s="751"/>
    </row>
    <row r="1770" spans="4:33">
      <c r="D1770" s="751"/>
      <c r="E1770" s="751"/>
      <c r="F1770" s="751"/>
      <c r="G1770" s="751"/>
      <c r="H1770" s="751"/>
      <c r="I1770" s="751"/>
      <c r="J1770" s="751"/>
      <c r="K1770" s="751"/>
      <c r="L1770" s="751"/>
      <c r="M1770" s="751"/>
      <c r="N1770" s="751"/>
      <c r="O1770" s="751"/>
      <c r="P1770" s="751"/>
      <c r="Q1770" s="751"/>
      <c r="R1770" s="751"/>
      <c r="S1770" s="751"/>
      <c r="T1770" s="751"/>
      <c r="U1770" s="751"/>
      <c r="V1770" s="751"/>
      <c r="W1770" s="751"/>
      <c r="X1770" s="751"/>
      <c r="Y1770" s="751"/>
      <c r="Z1770" s="751"/>
      <c r="AA1770" s="751"/>
      <c r="AB1770" s="751"/>
      <c r="AC1770" s="751"/>
      <c r="AD1770" s="751"/>
      <c r="AE1770" s="751"/>
      <c r="AF1770" s="751"/>
      <c r="AG1770" s="751"/>
    </row>
    <row r="1771" spans="4:33">
      <c r="D1771" s="751"/>
      <c r="E1771" s="751"/>
      <c r="F1771" s="751"/>
      <c r="G1771" s="751"/>
      <c r="H1771" s="751"/>
      <c r="I1771" s="751"/>
      <c r="J1771" s="751"/>
      <c r="K1771" s="751"/>
      <c r="L1771" s="751"/>
      <c r="M1771" s="751"/>
      <c r="N1771" s="751"/>
      <c r="O1771" s="751"/>
      <c r="P1771" s="751"/>
      <c r="Q1771" s="751"/>
      <c r="R1771" s="751"/>
      <c r="S1771" s="751"/>
      <c r="T1771" s="751"/>
      <c r="U1771" s="751"/>
      <c r="V1771" s="751"/>
      <c r="W1771" s="751"/>
      <c r="X1771" s="751"/>
      <c r="Y1771" s="751"/>
      <c r="Z1771" s="751"/>
      <c r="AA1771" s="751"/>
      <c r="AB1771" s="751"/>
      <c r="AC1771" s="751"/>
      <c r="AD1771" s="751"/>
      <c r="AE1771" s="751"/>
      <c r="AF1771" s="751"/>
      <c r="AG1771" s="751"/>
    </row>
    <row r="1772" spans="4:33">
      <c r="D1772" s="751"/>
      <c r="E1772" s="751"/>
      <c r="F1772" s="751"/>
      <c r="G1772" s="751"/>
      <c r="H1772" s="751"/>
      <c r="I1772" s="751"/>
      <c r="J1772" s="751"/>
      <c r="K1772" s="751"/>
      <c r="L1772" s="751"/>
      <c r="M1772" s="751"/>
      <c r="N1772" s="751"/>
      <c r="O1772" s="751"/>
      <c r="P1772" s="751"/>
      <c r="Q1772" s="751"/>
      <c r="R1772" s="751"/>
      <c r="S1772" s="751"/>
      <c r="T1772" s="751"/>
      <c r="U1772" s="751"/>
      <c r="V1772" s="751"/>
      <c r="W1772" s="751"/>
      <c r="X1772" s="751"/>
      <c r="Y1772" s="751"/>
      <c r="Z1772" s="751"/>
      <c r="AA1772" s="751"/>
      <c r="AB1772" s="751"/>
      <c r="AC1772" s="751"/>
      <c r="AD1772" s="751"/>
      <c r="AE1772" s="751"/>
      <c r="AF1772" s="751"/>
      <c r="AG1772" s="751"/>
    </row>
    <row r="1773" spans="4:33">
      <c r="D1773" s="751"/>
      <c r="E1773" s="751"/>
      <c r="F1773" s="751"/>
      <c r="G1773" s="751"/>
      <c r="H1773" s="751"/>
      <c r="I1773" s="751"/>
      <c r="J1773" s="751"/>
      <c r="K1773" s="751"/>
      <c r="L1773" s="751"/>
      <c r="M1773" s="751"/>
      <c r="N1773" s="751"/>
      <c r="O1773" s="751"/>
      <c r="P1773" s="751"/>
      <c r="Q1773" s="751"/>
      <c r="R1773" s="751"/>
      <c r="S1773" s="751"/>
      <c r="T1773" s="751"/>
      <c r="U1773" s="751"/>
      <c r="V1773" s="751"/>
      <c r="W1773" s="751"/>
      <c r="X1773" s="751"/>
      <c r="Y1773" s="751"/>
      <c r="Z1773" s="751"/>
      <c r="AA1773" s="751"/>
      <c r="AB1773" s="751"/>
      <c r="AC1773" s="751"/>
      <c r="AD1773" s="751"/>
      <c r="AE1773" s="751"/>
      <c r="AF1773" s="751"/>
      <c r="AG1773" s="751"/>
    </row>
    <row r="1774" spans="4:33">
      <c r="D1774" s="751"/>
      <c r="E1774" s="751"/>
      <c r="F1774" s="751"/>
      <c r="G1774" s="751"/>
      <c r="H1774" s="751"/>
      <c r="I1774" s="751"/>
      <c r="J1774" s="751"/>
      <c r="K1774" s="751"/>
      <c r="L1774" s="751"/>
      <c r="M1774" s="751"/>
      <c r="N1774" s="751"/>
      <c r="O1774" s="751"/>
      <c r="P1774" s="751"/>
      <c r="Q1774" s="751"/>
      <c r="R1774" s="751"/>
      <c r="S1774" s="751"/>
      <c r="T1774" s="751"/>
      <c r="U1774" s="751"/>
      <c r="V1774" s="751"/>
      <c r="W1774" s="751"/>
      <c r="X1774" s="751"/>
      <c r="Y1774" s="751"/>
      <c r="Z1774" s="751"/>
      <c r="AA1774" s="751"/>
      <c r="AB1774" s="751"/>
      <c r="AC1774" s="751"/>
      <c r="AD1774" s="751"/>
      <c r="AE1774" s="751"/>
      <c r="AF1774" s="751"/>
      <c r="AG1774" s="751"/>
    </row>
    <row r="1775" spans="4:33">
      <c r="D1775" s="751"/>
      <c r="E1775" s="751"/>
      <c r="F1775" s="751"/>
      <c r="G1775" s="751"/>
      <c r="H1775" s="751"/>
      <c r="I1775" s="751"/>
      <c r="J1775" s="751"/>
      <c r="K1775" s="751"/>
      <c r="L1775" s="751"/>
      <c r="M1775" s="751"/>
      <c r="N1775" s="751"/>
      <c r="O1775" s="751"/>
      <c r="P1775" s="751"/>
      <c r="Q1775" s="751"/>
      <c r="R1775" s="751"/>
      <c r="S1775" s="751"/>
      <c r="T1775" s="751"/>
      <c r="U1775" s="751"/>
      <c r="V1775" s="751"/>
      <c r="W1775" s="751"/>
      <c r="X1775" s="751"/>
      <c r="Y1775" s="751"/>
      <c r="Z1775" s="751"/>
      <c r="AA1775" s="751"/>
      <c r="AB1775" s="751"/>
      <c r="AC1775" s="751"/>
      <c r="AD1775" s="751"/>
      <c r="AE1775" s="751"/>
      <c r="AF1775" s="751"/>
      <c r="AG1775" s="751"/>
    </row>
    <row r="1776" spans="4:33">
      <c r="D1776" s="751"/>
      <c r="E1776" s="751"/>
      <c r="F1776" s="751"/>
      <c r="G1776" s="751"/>
      <c r="H1776" s="751"/>
      <c r="I1776" s="751"/>
      <c r="J1776" s="751"/>
      <c r="K1776" s="751"/>
      <c r="L1776" s="751"/>
      <c r="M1776" s="751"/>
      <c r="N1776" s="751"/>
      <c r="O1776" s="751"/>
      <c r="P1776" s="751"/>
      <c r="Q1776" s="751"/>
      <c r="R1776" s="751"/>
      <c r="S1776" s="751"/>
      <c r="T1776" s="751"/>
      <c r="U1776" s="751"/>
      <c r="V1776" s="751"/>
      <c r="W1776" s="751"/>
      <c r="X1776" s="751"/>
      <c r="Y1776" s="751"/>
      <c r="Z1776" s="751"/>
      <c r="AA1776" s="751"/>
      <c r="AB1776" s="751"/>
      <c r="AC1776" s="751"/>
      <c r="AD1776" s="751"/>
      <c r="AE1776" s="751"/>
      <c r="AF1776" s="751"/>
      <c r="AG1776" s="751"/>
    </row>
    <row r="1777" spans="4:33">
      <c r="D1777" s="751"/>
      <c r="E1777" s="751"/>
      <c r="F1777" s="751"/>
      <c r="G1777" s="751"/>
      <c r="H1777" s="751"/>
      <c r="I1777" s="751"/>
      <c r="J1777" s="751"/>
      <c r="K1777" s="751"/>
      <c r="L1777" s="751"/>
      <c r="M1777" s="751"/>
      <c r="N1777" s="751"/>
      <c r="O1777" s="751"/>
      <c r="P1777" s="751"/>
      <c r="Q1777" s="751"/>
      <c r="R1777" s="751"/>
      <c r="S1777" s="751"/>
      <c r="T1777" s="751"/>
      <c r="U1777" s="751"/>
      <c r="V1777" s="751"/>
      <c r="W1777" s="751"/>
      <c r="X1777" s="751"/>
      <c r="Y1777" s="751"/>
      <c r="Z1777" s="751"/>
      <c r="AA1777" s="751"/>
      <c r="AB1777" s="751"/>
      <c r="AC1777" s="751"/>
      <c r="AD1777" s="751"/>
      <c r="AE1777" s="751"/>
      <c r="AF1777" s="751"/>
      <c r="AG1777" s="751"/>
    </row>
    <row r="1778" spans="4:33">
      <c r="D1778" s="751"/>
      <c r="E1778" s="751"/>
      <c r="F1778" s="751"/>
      <c r="G1778" s="751"/>
      <c r="H1778" s="751"/>
      <c r="I1778" s="751"/>
      <c r="J1778" s="751"/>
      <c r="K1778" s="751"/>
      <c r="L1778" s="751"/>
      <c r="M1778" s="751"/>
      <c r="N1778" s="751"/>
      <c r="O1778" s="751"/>
      <c r="P1778" s="751"/>
      <c r="Q1778" s="751"/>
      <c r="R1778" s="751"/>
      <c r="S1778" s="751"/>
      <c r="T1778" s="751"/>
      <c r="U1778" s="751"/>
      <c r="V1778" s="751"/>
      <c r="W1778" s="751"/>
      <c r="X1778" s="751"/>
      <c r="Y1778" s="751"/>
      <c r="Z1778" s="751"/>
      <c r="AA1778" s="751"/>
      <c r="AB1778" s="751"/>
      <c r="AC1778" s="751"/>
      <c r="AD1778" s="751"/>
      <c r="AE1778" s="751"/>
      <c r="AF1778" s="751"/>
      <c r="AG1778" s="751"/>
    </row>
    <row r="1779" spans="4:33">
      <c r="D1779" s="751"/>
      <c r="E1779" s="751"/>
      <c r="F1779" s="751"/>
      <c r="G1779" s="751"/>
      <c r="H1779" s="751"/>
      <c r="I1779" s="751"/>
      <c r="J1779" s="751"/>
      <c r="K1779" s="751"/>
      <c r="L1779" s="751"/>
      <c r="M1779" s="751"/>
      <c r="N1779" s="751"/>
      <c r="O1779" s="751"/>
      <c r="P1779" s="751"/>
      <c r="Q1779" s="751"/>
      <c r="R1779" s="751"/>
      <c r="S1779" s="751"/>
      <c r="T1779" s="751"/>
      <c r="U1779" s="751"/>
      <c r="V1779" s="751"/>
      <c r="W1779" s="751"/>
      <c r="X1779" s="751"/>
      <c r="Y1779" s="751"/>
      <c r="Z1779" s="751"/>
      <c r="AA1779" s="751"/>
      <c r="AB1779" s="751"/>
      <c r="AC1779" s="751"/>
      <c r="AD1779" s="751"/>
      <c r="AE1779" s="751"/>
      <c r="AF1779" s="751"/>
      <c r="AG1779" s="751"/>
    </row>
    <row r="1780" spans="4:33">
      <c r="D1780" s="751"/>
      <c r="E1780" s="751"/>
      <c r="F1780" s="751"/>
      <c r="G1780" s="751"/>
      <c r="H1780" s="751"/>
      <c r="I1780" s="751"/>
      <c r="J1780" s="751"/>
      <c r="K1780" s="751"/>
      <c r="L1780" s="751"/>
      <c r="M1780" s="751"/>
      <c r="N1780" s="751"/>
      <c r="O1780" s="751"/>
      <c r="P1780" s="751"/>
      <c r="Q1780" s="751"/>
      <c r="R1780" s="751"/>
      <c r="S1780" s="751"/>
      <c r="T1780" s="751"/>
      <c r="U1780" s="751"/>
      <c r="V1780" s="751"/>
      <c r="W1780" s="751"/>
      <c r="X1780" s="751"/>
      <c r="Y1780" s="751"/>
      <c r="Z1780" s="751"/>
      <c r="AA1780" s="751"/>
      <c r="AB1780" s="751"/>
      <c r="AC1780" s="751"/>
      <c r="AD1780" s="751"/>
      <c r="AE1780" s="751"/>
      <c r="AF1780" s="751"/>
      <c r="AG1780" s="751"/>
    </row>
    <row r="1781" spans="4:33">
      <c r="D1781" s="751"/>
      <c r="E1781" s="751"/>
      <c r="F1781" s="751"/>
      <c r="G1781" s="751"/>
      <c r="H1781" s="751"/>
      <c r="I1781" s="751"/>
      <c r="J1781" s="751"/>
      <c r="K1781" s="751"/>
      <c r="L1781" s="751"/>
      <c r="M1781" s="751"/>
      <c r="N1781" s="751"/>
      <c r="O1781" s="751"/>
      <c r="P1781" s="751"/>
      <c r="Q1781" s="751"/>
      <c r="R1781" s="751"/>
      <c r="S1781" s="751"/>
      <c r="T1781" s="751"/>
      <c r="U1781" s="751"/>
      <c r="V1781" s="751"/>
      <c r="W1781" s="751"/>
      <c r="X1781" s="751"/>
      <c r="Y1781" s="751"/>
      <c r="Z1781" s="751"/>
      <c r="AA1781" s="751"/>
      <c r="AB1781" s="751"/>
      <c r="AC1781" s="751"/>
      <c r="AD1781" s="751"/>
      <c r="AE1781" s="751"/>
      <c r="AF1781" s="751"/>
      <c r="AG1781" s="751"/>
    </row>
    <row r="1782" spans="4:33">
      <c r="D1782" s="751"/>
      <c r="E1782" s="751"/>
      <c r="F1782" s="751"/>
      <c r="G1782" s="751"/>
      <c r="H1782" s="751"/>
      <c r="I1782" s="751"/>
      <c r="J1782" s="751"/>
      <c r="K1782" s="751"/>
      <c r="L1782" s="751"/>
      <c r="M1782" s="751"/>
      <c r="N1782" s="751"/>
      <c r="O1782" s="751"/>
      <c r="P1782" s="751"/>
      <c r="Q1782" s="751"/>
      <c r="R1782" s="751"/>
      <c r="S1782" s="751"/>
      <c r="T1782" s="751"/>
      <c r="U1782" s="751"/>
      <c r="V1782" s="751"/>
      <c r="W1782" s="751"/>
      <c r="X1782" s="751"/>
      <c r="Y1782" s="751"/>
      <c r="Z1782" s="751"/>
      <c r="AA1782" s="751"/>
      <c r="AB1782" s="751"/>
      <c r="AC1782" s="751"/>
      <c r="AD1782" s="751"/>
      <c r="AE1782" s="751"/>
      <c r="AF1782" s="751"/>
      <c r="AG1782" s="751"/>
    </row>
    <row r="1783" spans="4:33">
      <c r="D1783" s="751"/>
      <c r="E1783" s="751"/>
      <c r="F1783" s="751"/>
      <c r="G1783" s="751"/>
      <c r="H1783" s="751"/>
      <c r="I1783" s="751"/>
      <c r="J1783" s="751"/>
      <c r="K1783" s="751"/>
      <c r="L1783" s="751"/>
      <c r="M1783" s="751"/>
      <c r="N1783" s="751"/>
      <c r="O1783" s="751"/>
      <c r="P1783" s="751"/>
      <c r="Q1783" s="751"/>
      <c r="R1783" s="751"/>
      <c r="S1783" s="751"/>
      <c r="T1783" s="751"/>
      <c r="U1783" s="751"/>
      <c r="V1783" s="751"/>
      <c r="W1783" s="751"/>
      <c r="X1783" s="751"/>
      <c r="Y1783" s="751"/>
      <c r="Z1783" s="751"/>
      <c r="AA1783" s="751"/>
      <c r="AB1783" s="751"/>
      <c r="AC1783" s="751"/>
      <c r="AD1783" s="751"/>
      <c r="AE1783" s="751"/>
      <c r="AF1783" s="751"/>
      <c r="AG1783" s="751"/>
    </row>
    <row r="1784" spans="4:33">
      <c r="D1784" s="751"/>
      <c r="E1784" s="751"/>
      <c r="F1784" s="751"/>
      <c r="G1784" s="751"/>
      <c r="H1784" s="751"/>
      <c r="I1784" s="751"/>
      <c r="J1784" s="751"/>
      <c r="K1784" s="751"/>
      <c r="L1784" s="751"/>
      <c r="M1784" s="751"/>
      <c r="N1784" s="751"/>
      <c r="O1784" s="751"/>
      <c r="P1784" s="751"/>
      <c r="Q1784" s="751"/>
      <c r="R1784" s="751"/>
      <c r="S1784" s="751"/>
      <c r="T1784" s="751"/>
      <c r="U1784" s="751"/>
      <c r="V1784" s="751"/>
      <c r="W1784" s="751"/>
      <c r="X1784" s="751"/>
      <c r="Y1784" s="751"/>
      <c r="Z1784" s="751"/>
      <c r="AA1784" s="751"/>
      <c r="AB1784" s="751"/>
      <c r="AC1784" s="751"/>
      <c r="AD1784" s="751"/>
      <c r="AE1784" s="751"/>
      <c r="AF1784" s="751"/>
      <c r="AG1784" s="751"/>
    </row>
    <row r="1785" spans="4:33">
      <c r="D1785" s="751"/>
      <c r="E1785" s="751"/>
      <c r="F1785" s="751"/>
      <c r="G1785" s="751"/>
      <c r="H1785" s="751"/>
      <c r="I1785" s="751"/>
      <c r="J1785" s="751"/>
      <c r="K1785" s="751"/>
      <c r="L1785" s="751"/>
      <c r="M1785" s="751"/>
      <c r="N1785" s="751"/>
      <c r="O1785" s="751"/>
      <c r="P1785" s="751"/>
      <c r="Q1785" s="751"/>
      <c r="R1785" s="751"/>
      <c r="S1785" s="751"/>
      <c r="T1785" s="751"/>
      <c r="U1785" s="751"/>
      <c r="V1785" s="751"/>
      <c r="W1785" s="751"/>
      <c r="X1785" s="751"/>
      <c r="Y1785" s="751"/>
      <c r="Z1785" s="751"/>
      <c r="AA1785" s="751"/>
      <c r="AB1785" s="751"/>
      <c r="AC1785" s="751"/>
      <c r="AD1785" s="751"/>
      <c r="AE1785" s="751"/>
      <c r="AF1785" s="751"/>
      <c r="AG1785" s="751"/>
    </row>
    <row r="1786" spans="4:33">
      <c r="D1786" s="751"/>
      <c r="E1786" s="751"/>
      <c r="F1786" s="751"/>
      <c r="G1786" s="751"/>
      <c r="H1786" s="751"/>
      <c r="I1786" s="751"/>
      <c r="J1786" s="751"/>
      <c r="K1786" s="751"/>
      <c r="L1786" s="751"/>
      <c r="M1786" s="751"/>
      <c r="N1786" s="751"/>
      <c r="O1786" s="751"/>
      <c r="P1786" s="751"/>
      <c r="Q1786" s="751"/>
      <c r="R1786" s="751"/>
      <c r="S1786" s="751"/>
      <c r="T1786" s="751"/>
      <c r="U1786" s="751"/>
      <c r="V1786" s="751"/>
      <c r="W1786" s="751"/>
      <c r="X1786" s="751"/>
      <c r="Y1786" s="751"/>
      <c r="Z1786" s="751"/>
      <c r="AA1786" s="751"/>
      <c r="AB1786" s="751"/>
      <c r="AC1786" s="751"/>
      <c r="AD1786" s="751"/>
      <c r="AE1786" s="751"/>
      <c r="AF1786" s="751"/>
      <c r="AG1786" s="751"/>
    </row>
    <row r="1787" spans="4:33">
      <c r="D1787" s="751"/>
      <c r="E1787" s="751"/>
      <c r="F1787" s="751"/>
      <c r="G1787" s="751"/>
      <c r="H1787" s="751"/>
      <c r="I1787" s="751"/>
      <c r="J1787" s="751"/>
      <c r="K1787" s="751"/>
      <c r="L1787" s="751"/>
      <c r="M1787" s="751"/>
      <c r="N1787" s="751"/>
      <c r="O1787" s="751"/>
      <c r="P1787" s="751"/>
      <c r="Q1787" s="751"/>
      <c r="R1787" s="751"/>
      <c r="S1787" s="751"/>
      <c r="T1787" s="751"/>
      <c r="U1787" s="751"/>
      <c r="V1787" s="751"/>
      <c r="W1787" s="751"/>
      <c r="X1787" s="751"/>
      <c r="Y1787" s="751"/>
      <c r="Z1787" s="751"/>
      <c r="AA1787" s="751"/>
      <c r="AB1787" s="751"/>
      <c r="AC1787" s="751"/>
      <c r="AD1787" s="751"/>
      <c r="AE1787" s="751"/>
      <c r="AF1787" s="751"/>
      <c r="AG1787" s="751"/>
    </row>
    <row r="1788" spans="4:33">
      <c r="D1788" s="751"/>
      <c r="E1788" s="751"/>
      <c r="F1788" s="751"/>
      <c r="G1788" s="751"/>
      <c r="H1788" s="751"/>
      <c r="I1788" s="751"/>
      <c r="J1788" s="751"/>
      <c r="K1788" s="751"/>
      <c r="L1788" s="751"/>
      <c r="M1788" s="751"/>
      <c r="N1788" s="751"/>
      <c r="O1788" s="751"/>
      <c r="P1788" s="751"/>
      <c r="Q1788" s="751"/>
      <c r="R1788" s="751"/>
      <c r="S1788" s="751"/>
      <c r="T1788" s="751"/>
      <c r="U1788" s="751"/>
      <c r="V1788" s="751"/>
      <c r="W1788" s="751"/>
      <c r="X1788" s="751"/>
      <c r="Y1788" s="751"/>
      <c r="Z1788" s="751"/>
      <c r="AA1788" s="751"/>
      <c r="AB1788" s="751"/>
      <c r="AC1788" s="751"/>
      <c r="AD1788" s="751"/>
      <c r="AE1788" s="751"/>
      <c r="AF1788" s="751"/>
      <c r="AG1788" s="751"/>
    </row>
    <row r="1789" spans="4:33">
      <c r="D1789" s="751"/>
      <c r="E1789" s="751"/>
      <c r="F1789" s="751"/>
      <c r="G1789" s="751"/>
      <c r="H1789" s="751"/>
      <c r="I1789" s="751"/>
      <c r="J1789" s="751"/>
      <c r="K1789" s="751"/>
      <c r="L1789" s="751"/>
      <c r="M1789" s="751"/>
      <c r="N1789" s="751"/>
      <c r="O1789" s="751"/>
      <c r="P1789" s="751"/>
      <c r="Q1789" s="751"/>
      <c r="R1789" s="751"/>
      <c r="S1789" s="751"/>
      <c r="T1789" s="751"/>
      <c r="U1789" s="751"/>
      <c r="V1789" s="751"/>
      <c r="W1789" s="751"/>
      <c r="X1789" s="751"/>
      <c r="Y1789" s="751"/>
      <c r="Z1789" s="751"/>
      <c r="AA1789" s="751"/>
      <c r="AB1789" s="751"/>
      <c r="AC1789" s="751"/>
      <c r="AD1789" s="751"/>
      <c r="AE1789" s="751"/>
      <c r="AF1789" s="751"/>
      <c r="AG1789" s="751"/>
    </row>
    <row r="1790" spans="4:33">
      <c r="D1790" s="751"/>
      <c r="E1790" s="751"/>
      <c r="F1790" s="751"/>
      <c r="G1790" s="751"/>
      <c r="H1790" s="751"/>
      <c r="I1790" s="751"/>
      <c r="J1790" s="751"/>
      <c r="K1790" s="751"/>
      <c r="L1790" s="751"/>
      <c r="M1790" s="751"/>
      <c r="N1790" s="751"/>
      <c r="O1790" s="751"/>
      <c r="P1790" s="751"/>
      <c r="Q1790" s="751"/>
      <c r="R1790" s="751"/>
      <c r="S1790" s="751"/>
      <c r="T1790" s="751"/>
      <c r="U1790" s="751"/>
      <c r="V1790" s="751"/>
      <c r="W1790" s="751"/>
      <c r="X1790" s="751"/>
      <c r="Y1790" s="751"/>
      <c r="Z1790" s="751"/>
      <c r="AA1790" s="751"/>
      <c r="AB1790" s="751"/>
      <c r="AC1790" s="751"/>
      <c r="AD1790" s="751"/>
      <c r="AE1790" s="751"/>
      <c r="AF1790" s="751"/>
      <c r="AG1790" s="751"/>
    </row>
    <row r="1791" spans="4:33">
      <c r="D1791" s="751"/>
      <c r="E1791" s="751"/>
      <c r="F1791" s="751"/>
      <c r="G1791" s="751"/>
      <c r="H1791" s="751"/>
      <c r="I1791" s="751"/>
      <c r="J1791" s="751"/>
      <c r="K1791" s="751"/>
      <c r="L1791" s="751"/>
      <c r="M1791" s="751"/>
      <c r="N1791" s="751"/>
      <c r="O1791" s="751"/>
      <c r="P1791" s="751"/>
      <c r="Q1791" s="751"/>
      <c r="R1791" s="751"/>
      <c r="S1791" s="751"/>
      <c r="T1791" s="751"/>
      <c r="U1791" s="751"/>
      <c r="V1791" s="751"/>
      <c r="W1791" s="751"/>
      <c r="X1791" s="751"/>
      <c r="Y1791" s="751"/>
      <c r="Z1791" s="751"/>
      <c r="AA1791" s="751"/>
      <c r="AB1791" s="751"/>
      <c r="AC1791" s="751"/>
      <c r="AD1791" s="751"/>
      <c r="AE1791" s="751"/>
      <c r="AF1791" s="751"/>
      <c r="AG1791" s="751"/>
    </row>
    <row r="1792" spans="4:33">
      <c r="D1792" s="751"/>
      <c r="E1792" s="751"/>
      <c r="F1792" s="751"/>
      <c r="G1792" s="751"/>
      <c r="H1792" s="751"/>
      <c r="I1792" s="751"/>
      <c r="J1792" s="751"/>
      <c r="K1792" s="751"/>
      <c r="L1792" s="751"/>
      <c r="M1792" s="751"/>
      <c r="N1792" s="751"/>
      <c r="O1792" s="751"/>
      <c r="P1792" s="751"/>
      <c r="Q1792" s="751"/>
      <c r="R1792" s="751"/>
      <c r="S1792" s="751"/>
      <c r="T1792" s="751"/>
      <c r="U1792" s="751"/>
      <c r="V1792" s="751"/>
      <c r="W1792" s="751"/>
      <c r="X1792" s="751"/>
      <c r="Y1792" s="751"/>
      <c r="Z1792" s="751"/>
      <c r="AA1792" s="751"/>
      <c r="AB1792" s="751"/>
      <c r="AC1792" s="751"/>
      <c r="AD1792" s="751"/>
      <c r="AE1792" s="751"/>
      <c r="AF1792" s="751"/>
      <c r="AG1792" s="751"/>
    </row>
    <row r="1793" spans="4:33">
      <c r="D1793" s="751"/>
      <c r="E1793" s="751"/>
      <c r="F1793" s="751"/>
      <c r="G1793" s="751"/>
      <c r="H1793" s="751"/>
      <c r="I1793" s="751"/>
      <c r="J1793" s="751"/>
      <c r="K1793" s="751"/>
      <c r="L1793" s="751"/>
      <c r="M1793" s="751"/>
      <c r="N1793" s="751"/>
      <c r="O1793" s="751"/>
      <c r="P1793" s="751"/>
      <c r="Q1793" s="751"/>
      <c r="R1793" s="751"/>
      <c r="S1793" s="751"/>
      <c r="T1793" s="751"/>
      <c r="U1793" s="751"/>
      <c r="V1793" s="751"/>
      <c r="W1793" s="751"/>
      <c r="X1793" s="751"/>
      <c r="Y1793" s="751"/>
      <c r="Z1793" s="751"/>
      <c r="AA1793" s="751"/>
      <c r="AB1793" s="751"/>
      <c r="AC1793" s="751"/>
      <c r="AD1793" s="751"/>
      <c r="AE1793" s="751"/>
      <c r="AF1793" s="751"/>
      <c r="AG1793" s="751"/>
    </row>
    <row r="1794" spans="4:33">
      <c r="D1794" s="751"/>
      <c r="E1794" s="751"/>
      <c r="F1794" s="751"/>
      <c r="G1794" s="751"/>
      <c r="H1794" s="751"/>
      <c r="I1794" s="751"/>
      <c r="J1794" s="751"/>
      <c r="K1794" s="751"/>
      <c r="L1794" s="751"/>
      <c r="M1794" s="751"/>
      <c r="N1794" s="751"/>
      <c r="O1794" s="751"/>
      <c r="P1794" s="751"/>
      <c r="Q1794" s="751"/>
      <c r="R1794" s="751"/>
      <c r="S1794" s="751"/>
      <c r="T1794" s="751"/>
      <c r="U1794" s="751"/>
      <c r="V1794" s="751"/>
      <c r="W1794" s="751"/>
      <c r="X1794" s="751"/>
      <c r="Y1794" s="751"/>
      <c r="Z1794" s="751"/>
      <c r="AA1794" s="751"/>
      <c r="AB1794" s="751"/>
      <c r="AC1794" s="751"/>
      <c r="AD1794" s="751"/>
      <c r="AE1794" s="751"/>
      <c r="AF1794" s="751"/>
      <c r="AG1794" s="751"/>
    </row>
    <row r="1795" spans="4:33">
      <c r="D1795" s="751"/>
      <c r="E1795" s="751"/>
      <c r="F1795" s="751"/>
      <c r="G1795" s="751"/>
      <c r="H1795" s="751"/>
      <c r="I1795" s="751"/>
      <c r="J1795" s="751"/>
      <c r="K1795" s="751"/>
      <c r="L1795" s="751"/>
      <c r="M1795" s="751"/>
      <c r="N1795" s="751"/>
      <c r="O1795" s="751"/>
      <c r="P1795" s="751"/>
      <c r="Q1795" s="751"/>
      <c r="R1795" s="751"/>
      <c r="S1795" s="751"/>
      <c r="T1795" s="751"/>
      <c r="U1795" s="751"/>
      <c r="V1795" s="751"/>
      <c r="W1795" s="751"/>
      <c r="X1795" s="751"/>
      <c r="Y1795" s="751"/>
      <c r="Z1795" s="751"/>
      <c r="AA1795" s="751"/>
      <c r="AB1795" s="751"/>
      <c r="AC1795" s="751"/>
      <c r="AD1795" s="751"/>
      <c r="AE1795" s="751"/>
      <c r="AF1795" s="751"/>
      <c r="AG1795" s="751"/>
    </row>
    <row r="1796" spans="4:33">
      <c r="D1796" s="751"/>
      <c r="E1796" s="751"/>
      <c r="F1796" s="751"/>
      <c r="G1796" s="751"/>
      <c r="H1796" s="751"/>
      <c r="I1796" s="751"/>
      <c r="J1796" s="751"/>
      <c r="K1796" s="751"/>
      <c r="L1796" s="751"/>
      <c r="M1796" s="751"/>
      <c r="N1796" s="751"/>
      <c r="O1796" s="751"/>
      <c r="P1796" s="751"/>
      <c r="Q1796" s="751"/>
      <c r="R1796" s="751"/>
      <c r="S1796" s="751"/>
      <c r="T1796" s="751"/>
      <c r="U1796" s="751"/>
      <c r="V1796" s="751"/>
      <c r="W1796" s="751"/>
      <c r="X1796" s="751"/>
      <c r="Y1796" s="751"/>
      <c r="Z1796" s="751"/>
      <c r="AA1796" s="751"/>
      <c r="AB1796" s="751"/>
      <c r="AC1796" s="751"/>
      <c r="AD1796" s="751"/>
      <c r="AE1796" s="751"/>
      <c r="AF1796" s="751"/>
      <c r="AG1796" s="751"/>
    </row>
    <row r="1797" spans="4:33">
      <c r="D1797" s="751"/>
      <c r="E1797" s="751"/>
      <c r="F1797" s="751"/>
      <c r="G1797" s="751"/>
      <c r="H1797" s="751"/>
      <c r="I1797" s="751"/>
      <c r="J1797" s="751"/>
      <c r="K1797" s="751"/>
      <c r="L1797" s="751"/>
      <c r="M1797" s="751"/>
      <c r="N1797" s="751"/>
      <c r="O1797" s="751"/>
      <c r="P1797" s="751"/>
      <c r="Q1797" s="751"/>
      <c r="R1797" s="751"/>
      <c r="S1797" s="751"/>
      <c r="T1797" s="751"/>
      <c r="U1797" s="751"/>
      <c r="V1797" s="751"/>
      <c r="W1797" s="751"/>
      <c r="X1797" s="751"/>
      <c r="Y1797" s="751"/>
      <c r="Z1797" s="751"/>
      <c r="AA1797" s="751"/>
      <c r="AB1797" s="751"/>
      <c r="AC1797" s="751"/>
      <c r="AD1797" s="751"/>
      <c r="AE1797" s="751"/>
      <c r="AF1797" s="751"/>
      <c r="AG1797" s="751"/>
    </row>
    <row r="1798" spans="4:33">
      <c r="D1798" s="751"/>
      <c r="E1798" s="751"/>
      <c r="F1798" s="751"/>
      <c r="G1798" s="751"/>
      <c r="H1798" s="751"/>
      <c r="I1798" s="751"/>
      <c r="J1798" s="751"/>
      <c r="K1798" s="751"/>
      <c r="L1798" s="751"/>
      <c r="M1798" s="751"/>
      <c r="N1798" s="751"/>
      <c r="O1798" s="751"/>
      <c r="P1798" s="751"/>
      <c r="Q1798" s="751"/>
      <c r="R1798" s="751"/>
      <c r="S1798" s="751"/>
      <c r="T1798" s="751"/>
      <c r="U1798" s="751"/>
      <c r="V1798" s="751"/>
      <c r="W1798" s="751"/>
      <c r="X1798" s="751"/>
      <c r="Y1798" s="751"/>
      <c r="Z1798" s="751"/>
      <c r="AA1798" s="751"/>
      <c r="AB1798" s="751"/>
      <c r="AC1798" s="751"/>
      <c r="AD1798" s="751"/>
      <c r="AE1798" s="751"/>
      <c r="AF1798" s="751"/>
      <c r="AG1798" s="751"/>
    </row>
    <row r="1799" spans="4:33">
      <c r="D1799" s="751"/>
      <c r="E1799" s="751"/>
      <c r="F1799" s="751"/>
      <c r="G1799" s="751"/>
      <c r="H1799" s="751"/>
      <c r="I1799" s="751"/>
      <c r="J1799" s="751"/>
      <c r="K1799" s="751"/>
      <c r="L1799" s="751"/>
      <c r="M1799" s="751"/>
      <c r="N1799" s="751"/>
      <c r="O1799" s="751"/>
      <c r="P1799" s="751"/>
      <c r="Q1799" s="751"/>
      <c r="R1799" s="751"/>
      <c r="S1799" s="751"/>
      <c r="T1799" s="751"/>
      <c r="U1799" s="751"/>
      <c r="V1799" s="751"/>
      <c r="W1799" s="751"/>
      <c r="X1799" s="751"/>
      <c r="Y1799" s="751"/>
      <c r="Z1799" s="751"/>
      <c r="AA1799" s="751"/>
      <c r="AB1799" s="751"/>
      <c r="AC1799" s="751"/>
      <c r="AD1799" s="751"/>
      <c r="AE1799" s="751"/>
      <c r="AF1799" s="751"/>
      <c r="AG1799" s="751"/>
    </row>
    <row r="1800" spans="4:33">
      <c r="D1800" s="751"/>
      <c r="E1800" s="751"/>
      <c r="F1800" s="751"/>
      <c r="G1800" s="751"/>
      <c r="H1800" s="751"/>
      <c r="I1800" s="751"/>
      <c r="J1800" s="751"/>
      <c r="K1800" s="751"/>
      <c r="L1800" s="751"/>
      <c r="M1800" s="751"/>
      <c r="N1800" s="751"/>
      <c r="O1800" s="751"/>
      <c r="P1800" s="751"/>
      <c r="Q1800" s="751"/>
      <c r="R1800" s="751"/>
      <c r="S1800" s="751"/>
      <c r="T1800" s="751"/>
      <c r="U1800" s="751"/>
      <c r="V1800" s="751"/>
      <c r="W1800" s="751"/>
      <c r="X1800" s="751"/>
      <c r="Y1800" s="751"/>
      <c r="Z1800" s="751"/>
      <c r="AA1800" s="751"/>
      <c r="AB1800" s="751"/>
      <c r="AC1800" s="751"/>
      <c r="AD1800" s="751"/>
      <c r="AE1800" s="751"/>
      <c r="AF1800" s="751"/>
      <c r="AG1800" s="751"/>
    </row>
    <row r="1801" spans="4:33">
      <c r="D1801" s="751"/>
      <c r="E1801" s="751"/>
      <c r="F1801" s="751"/>
      <c r="G1801" s="751"/>
      <c r="H1801" s="751"/>
      <c r="I1801" s="751"/>
      <c r="J1801" s="751"/>
      <c r="K1801" s="751"/>
      <c r="L1801" s="751"/>
      <c r="M1801" s="751"/>
      <c r="N1801" s="751"/>
      <c r="O1801" s="751"/>
      <c r="P1801" s="751"/>
      <c r="Q1801" s="751"/>
      <c r="R1801" s="751"/>
      <c r="S1801" s="751"/>
      <c r="T1801" s="751"/>
      <c r="U1801" s="751"/>
      <c r="V1801" s="751"/>
      <c r="W1801" s="751"/>
      <c r="X1801" s="751"/>
      <c r="Y1801" s="751"/>
      <c r="Z1801" s="751"/>
      <c r="AA1801" s="751"/>
      <c r="AB1801" s="751"/>
      <c r="AC1801" s="751"/>
      <c r="AD1801" s="751"/>
      <c r="AE1801" s="751"/>
      <c r="AF1801" s="751"/>
      <c r="AG1801" s="751"/>
    </row>
    <row r="1802" spans="4:33">
      <c r="D1802" s="751"/>
      <c r="E1802" s="751"/>
      <c r="F1802" s="751"/>
      <c r="G1802" s="751"/>
      <c r="H1802" s="751"/>
      <c r="I1802" s="751"/>
      <c r="J1802" s="751"/>
      <c r="K1802" s="751"/>
      <c r="L1802" s="751"/>
      <c r="M1802" s="751"/>
      <c r="N1802" s="751"/>
      <c r="O1802" s="751"/>
      <c r="P1802" s="751"/>
      <c r="Q1802" s="751"/>
      <c r="R1802" s="751"/>
      <c r="S1802" s="751"/>
      <c r="T1802" s="751"/>
      <c r="U1802" s="751"/>
      <c r="V1802" s="751"/>
      <c r="W1802" s="751"/>
      <c r="X1802" s="751"/>
      <c r="Y1802" s="751"/>
      <c r="Z1802" s="751"/>
      <c r="AA1802" s="751"/>
      <c r="AB1802" s="751"/>
      <c r="AC1802" s="751"/>
      <c r="AD1802" s="751"/>
      <c r="AE1802" s="751"/>
      <c r="AF1802" s="751"/>
      <c r="AG1802" s="751"/>
    </row>
    <row r="1803" spans="4:33">
      <c r="D1803" s="751"/>
      <c r="E1803" s="751"/>
      <c r="F1803" s="751"/>
      <c r="G1803" s="751"/>
      <c r="H1803" s="751"/>
      <c r="I1803" s="751"/>
      <c r="J1803" s="751"/>
      <c r="K1803" s="751"/>
      <c r="L1803" s="751"/>
      <c r="M1803" s="751"/>
      <c r="N1803" s="751"/>
      <c r="O1803" s="751"/>
      <c r="P1803" s="751"/>
      <c r="Q1803" s="751"/>
      <c r="R1803" s="751"/>
      <c r="S1803" s="751"/>
      <c r="T1803" s="751"/>
      <c r="U1803" s="751"/>
      <c r="V1803" s="751"/>
      <c r="W1803" s="751"/>
      <c r="X1803" s="751"/>
      <c r="Y1803" s="751"/>
      <c r="Z1803" s="751"/>
      <c r="AA1803" s="751"/>
      <c r="AB1803" s="751"/>
      <c r="AC1803" s="751"/>
      <c r="AD1803" s="751"/>
      <c r="AE1803" s="751"/>
      <c r="AF1803" s="751"/>
      <c r="AG1803" s="751"/>
    </row>
    <row r="1804" spans="4:33">
      <c r="D1804" s="751"/>
      <c r="E1804" s="751"/>
      <c r="F1804" s="751"/>
      <c r="G1804" s="751"/>
      <c r="H1804" s="751"/>
      <c r="I1804" s="751"/>
      <c r="J1804" s="751"/>
      <c r="K1804" s="751"/>
      <c r="L1804" s="751"/>
      <c r="M1804" s="751"/>
      <c r="N1804" s="751"/>
      <c r="O1804" s="751"/>
      <c r="P1804" s="751"/>
      <c r="Q1804" s="751"/>
      <c r="R1804" s="751"/>
      <c r="S1804" s="751"/>
      <c r="T1804" s="751"/>
      <c r="U1804" s="751"/>
      <c r="V1804" s="751"/>
      <c r="W1804" s="751"/>
      <c r="X1804" s="751"/>
      <c r="Y1804" s="751"/>
      <c r="Z1804" s="751"/>
      <c r="AA1804" s="751"/>
      <c r="AB1804" s="751"/>
      <c r="AC1804" s="751"/>
      <c r="AD1804" s="751"/>
      <c r="AE1804" s="751"/>
      <c r="AF1804" s="751"/>
      <c r="AG1804" s="751"/>
    </row>
    <row r="1805" spans="4:33">
      <c r="D1805" s="751"/>
      <c r="E1805" s="751"/>
      <c r="F1805" s="751"/>
      <c r="G1805" s="751"/>
      <c r="H1805" s="751"/>
      <c r="I1805" s="751"/>
      <c r="J1805" s="751"/>
      <c r="K1805" s="751"/>
      <c r="L1805" s="751"/>
      <c r="M1805" s="751"/>
      <c r="N1805" s="751"/>
      <c r="O1805" s="751"/>
      <c r="P1805" s="751"/>
      <c r="Q1805" s="751"/>
      <c r="R1805" s="751"/>
      <c r="S1805" s="751"/>
      <c r="T1805" s="751"/>
      <c r="U1805" s="751"/>
      <c r="V1805" s="751"/>
      <c r="W1805" s="751"/>
      <c r="X1805" s="751"/>
      <c r="Y1805" s="751"/>
      <c r="Z1805" s="751"/>
      <c r="AA1805" s="751"/>
      <c r="AB1805" s="751"/>
      <c r="AC1805" s="751"/>
      <c r="AD1805" s="751"/>
      <c r="AE1805" s="751"/>
      <c r="AF1805" s="751"/>
      <c r="AG1805" s="751"/>
    </row>
    <row r="1806" spans="4:33">
      <c r="D1806" s="751"/>
      <c r="E1806" s="751"/>
      <c r="F1806" s="751"/>
      <c r="G1806" s="751"/>
      <c r="H1806" s="751"/>
      <c r="I1806" s="751"/>
      <c r="J1806" s="751"/>
      <c r="K1806" s="751"/>
      <c r="L1806" s="751"/>
      <c r="M1806" s="751"/>
      <c r="N1806" s="751"/>
      <c r="O1806" s="751"/>
      <c r="P1806" s="751"/>
      <c r="Q1806" s="751"/>
      <c r="R1806" s="751"/>
      <c r="S1806" s="751"/>
      <c r="T1806" s="751"/>
      <c r="U1806" s="751"/>
      <c r="V1806" s="751"/>
      <c r="W1806" s="751"/>
      <c r="X1806" s="751"/>
      <c r="Y1806" s="751"/>
      <c r="Z1806" s="751"/>
      <c r="AA1806" s="751"/>
      <c r="AB1806" s="751"/>
      <c r="AC1806" s="751"/>
      <c r="AD1806" s="751"/>
      <c r="AE1806" s="751"/>
      <c r="AF1806" s="751"/>
      <c r="AG1806" s="751"/>
    </row>
    <row r="1807" spans="4:33">
      <c r="D1807" s="751"/>
      <c r="E1807" s="751"/>
      <c r="F1807" s="751"/>
      <c r="G1807" s="751"/>
      <c r="H1807" s="751"/>
      <c r="I1807" s="751"/>
      <c r="J1807" s="751"/>
      <c r="K1807" s="751"/>
      <c r="L1807" s="751"/>
      <c r="M1807" s="751"/>
      <c r="N1807" s="751"/>
      <c r="O1807" s="751"/>
      <c r="P1807" s="751"/>
      <c r="Q1807" s="751"/>
      <c r="R1807" s="751"/>
      <c r="S1807" s="751"/>
      <c r="T1807" s="751"/>
      <c r="U1807" s="751"/>
      <c r="V1807" s="751"/>
      <c r="W1807" s="751"/>
      <c r="X1807" s="751"/>
      <c r="Y1807" s="751"/>
      <c r="Z1807" s="751"/>
      <c r="AA1807" s="751"/>
      <c r="AB1807" s="751"/>
      <c r="AC1807" s="751"/>
      <c r="AD1807" s="751"/>
      <c r="AE1807" s="751"/>
      <c r="AF1807" s="751"/>
      <c r="AG1807" s="751"/>
    </row>
    <row r="1808" spans="4:33">
      <c r="D1808" s="751"/>
      <c r="E1808" s="751"/>
      <c r="F1808" s="751"/>
      <c r="G1808" s="751"/>
      <c r="H1808" s="751"/>
      <c r="I1808" s="751"/>
      <c r="J1808" s="751"/>
      <c r="K1808" s="751"/>
      <c r="L1808" s="751"/>
      <c r="M1808" s="751"/>
      <c r="N1808" s="751"/>
      <c r="O1808" s="751"/>
      <c r="P1808" s="751"/>
      <c r="Q1808" s="751"/>
      <c r="R1808" s="751"/>
      <c r="S1808" s="751"/>
      <c r="T1808" s="751"/>
      <c r="U1808" s="751"/>
      <c r="V1808" s="751"/>
      <c r="W1808" s="751"/>
      <c r="X1808" s="751"/>
      <c r="Y1808" s="751"/>
      <c r="Z1808" s="751"/>
      <c r="AA1808" s="751"/>
      <c r="AB1808" s="751"/>
      <c r="AC1808" s="751"/>
      <c r="AD1808" s="751"/>
      <c r="AE1808" s="751"/>
      <c r="AF1808" s="751"/>
      <c r="AG1808" s="751"/>
    </row>
    <row r="1809" spans="4:33">
      <c r="D1809" s="751"/>
      <c r="E1809" s="751"/>
      <c r="F1809" s="751"/>
      <c r="G1809" s="751"/>
      <c r="H1809" s="751"/>
      <c r="I1809" s="751"/>
      <c r="J1809" s="751"/>
      <c r="K1809" s="751"/>
      <c r="L1809" s="751"/>
      <c r="M1809" s="751"/>
      <c r="N1809" s="751"/>
      <c r="O1809" s="751"/>
      <c r="P1809" s="751"/>
      <c r="Q1809" s="751"/>
      <c r="R1809" s="751"/>
      <c r="S1809" s="751"/>
      <c r="T1809" s="751"/>
      <c r="U1809" s="751"/>
      <c r="V1809" s="751"/>
      <c r="W1809" s="751"/>
      <c r="X1809" s="751"/>
      <c r="Y1809" s="751"/>
      <c r="Z1809" s="751"/>
      <c r="AA1809" s="751"/>
      <c r="AB1809" s="751"/>
      <c r="AC1809" s="751"/>
      <c r="AD1809" s="751"/>
      <c r="AE1809" s="751"/>
      <c r="AF1809" s="751"/>
      <c r="AG1809" s="751"/>
    </row>
    <row r="1810" spans="4:33">
      <c r="D1810" s="751"/>
      <c r="E1810" s="751"/>
      <c r="F1810" s="751"/>
      <c r="G1810" s="751"/>
      <c r="H1810" s="751"/>
      <c r="I1810" s="751"/>
      <c r="J1810" s="751"/>
      <c r="K1810" s="751"/>
      <c r="L1810" s="751"/>
      <c r="M1810" s="751"/>
      <c r="N1810" s="751"/>
      <c r="O1810" s="751"/>
      <c r="P1810" s="751"/>
      <c r="Q1810" s="751"/>
      <c r="R1810" s="751"/>
      <c r="S1810" s="751"/>
      <c r="T1810" s="751"/>
      <c r="U1810" s="751"/>
      <c r="V1810" s="751"/>
      <c r="W1810" s="751"/>
      <c r="X1810" s="751"/>
      <c r="Y1810" s="751"/>
      <c r="Z1810" s="751"/>
      <c r="AA1810" s="751"/>
      <c r="AB1810" s="751"/>
      <c r="AC1810" s="751"/>
      <c r="AD1810" s="751"/>
      <c r="AE1810" s="751"/>
      <c r="AF1810" s="751"/>
      <c r="AG1810" s="751"/>
    </row>
    <row r="1811" spans="4:33">
      <c r="D1811" s="751"/>
      <c r="E1811" s="751"/>
      <c r="F1811" s="751"/>
      <c r="G1811" s="751"/>
      <c r="H1811" s="751"/>
      <c r="I1811" s="751"/>
      <c r="J1811" s="751"/>
      <c r="K1811" s="751"/>
      <c r="L1811" s="751"/>
      <c r="M1811" s="751"/>
      <c r="N1811" s="751"/>
      <c r="O1811" s="751"/>
      <c r="P1811" s="751"/>
      <c r="Q1811" s="751"/>
      <c r="R1811" s="751"/>
      <c r="S1811" s="751"/>
      <c r="T1811" s="751"/>
      <c r="U1811" s="751"/>
      <c r="V1811" s="751"/>
      <c r="W1811" s="751"/>
      <c r="X1811" s="751"/>
      <c r="Y1811" s="751"/>
      <c r="Z1811" s="751"/>
      <c r="AA1811" s="751"/>
      <c r="AB1811" s="751"/>
      <c r="AC1811" s="751"/>
      <c r="AD1811" s="751"/>
      <c r="AE1811" s="751"/>
      <c r="AF1811" s="751"/>
      <c r="AG1811" s="751"/>
    </row>
    <row r="1812" spans="4:33">
      <c r="D1812" s="751"/>
      <c r="E1812" s="751"/>
      <c r="F1812" s="751"/>
      <c r="G1812" s="751"/>
      <c r="H1812" s="751"/>
      <c r="I1812" s="751"/>
      <c r="J1812" s="751"/>
      <c r="K1812" s="751"/>
      <c r="L1812" s="751"/>
      <c r="M1812" s="751"/>
      <c r="N1812" s="751"/>
      <c r="O1812" s="751"/>
      <c r="P1812" s="751"/>
      <c r="Q1812" s="751"/>
      <c r="R1812" s="751"/>
      <c r="S1812" s="751"/>
      <c r="T1812" s="751"/>
      <c r="U1812" s="751"/>
      <c r="V1812" s="751"/>
      <c r="W1812" s="751"/>
      <c r="X1812" s="751"/>
      <c r="Y1812" s="751"/>
      <c r="Z1812" s="751"/>
      <c r="AA1812" s="751"/>
      <c r="AB1812" s="751"/>
      <c r="AC1812" s="751"/>
      <c r="AD1812" s="751"/>
      <c r="AE1812" s="751"/>
      <c r="AF1812" s="751"/>
      <c r="AG1812" s="751"/>
    </row>
    <row r="1813" spans="4:33">
      <c r="D1813" s="751"/>
      <c r="E1813" s="751"/>
      <c r="F1813" s="751"/>
      <c r="G1813" s="751"/>
      <c r="H1813" s="751"/>
      <c r="I1813" s="751"/>
      <c r="J1813" s="751"/>
      <c r="K1813" s="751"/>
      <c r="L1813" s="751"/>
      <c r="M1813" s="751"/>
      <c r="N1813" s="751"/>
      <c r="O1813" s="751"/>
      <c r="P1813" s="751"/>
      <c r="Q1813" s="751"/>
      <c r="R1813" s="751"/>
      <c r="S1813" s="751"/>
      <c r="T1813" s="751"/>
      <c r="U1813" s="751"/>
      <c r="V1813" s="751"/>
      <c r="W1813" s="751"/>
      <c r="X1813" s="751"/>
      <c r="Y1813" s="751"/>
      <c r="Z1813" s="751"/>
      <c r="AA1813" s="751"/>
      <c r="AB1813" s="751"/>
      <c r="AC1813" s="751"/>
      <c r="AD1813" s="751"/>
      <c r="AE1813" s="751"/>
      <c r="AF1813" s="751"/>
      <c r="AG1813" s="751"/>
    </row>
    <row r="1814" spans="4:33">
      <c r="D1814" s="751"/>
      <c r="E1814" s="751"/>
      <c r="F1814" s="751"/>
      <c r="G1814" s="751"/>
      <c r="H1814" s="751"/>
      <c r="I1814" s="751"/>
      <c r="J1814" s="751"/>
      <c r="K1814" s="751"/>
      <c r="L1814" s="751"/>
      <c r="M1814" s="751"/>
      <c r="N1814" s="751"/>
      <c r="O1814" s="751"/>
      <c r="P1814" s="751"/>
      <c r="Q1814" s="751"/>
      <c r="R1814" s="751"/>
      <c r="S1814" s="751"/>
      <c r="T1814" s="751"/>
      <c r="U1814" s="751"/>
      <c r="V1814" s="751"/>
      <c r="W1814" s="751"/>
      <c r="X1814" s="751"/>
      <c r="Y1814" s="751"/>
      <c r="Z1814" s="751"/>
      <c r="AA1814" s="751"/>
      <c r="AB1814" s="751"/>
      <c r="AC1814" s="751"/>
      <c r="AD1814" s="751"/>
      <c r="AE1814" s="751"/>
      <c r="AF1814" s="751"/>
      <c r="AG1814" s="751"/>
    </row>
    <row r="1815" spans="4:33">
      <c r="D1815" s="751"/>
      <c r="E1815" s="751"/>
      <c r="F1815" s="751"/>
      <c r="G1815" s="751"/>
      <c r="H1815" s="751"/>
      <c r="I1815" s="751"/>
      <c r="J1815" s="751"/>
      <c r="K1815" s="751"/>
      <c r="L1815" s="751"/>
      <c r="M1815" s="751"/>
      <c r="N1815" s="751"/>
      <c r="O1815" s="751"/>
      <c r="P1815" s="751"/>
      <c r="Q1815" s="751"/>
      <c r="R1815" s="751"/>
      <c r="S1815" s="751"/>
      <c r="T1815" s="751"/>
      <c r="U1815" s="751"/>
      <c r="V1815" s="751"/>
      <c r="W1815" s="751"/>
      <c r="X1815" s="751"/>
      <c r="Y1815" s="751"/>
      <c r="Z1815" s="751"/>
      <c r="AA1815" s="751"/>
      <c r="AB1815" s="751"/>
      <c r="AC1815" s="751"/>
      <c r="AD1815" s="751"/>
      <c r="AE1815" s="751"/>
      <c r="AF1815" s="751"/>
      <c r="AG1815" s="751"/>
    </row>
    <row r="1816" spans="4:33">
      <c r="D1816" s="751"/>
      <c r="E1816" s="751"/>
      <c r="F1816" s="751"/>
      <c r="G1816" s="751"/>
      <c r="H1816" s="751"/>
      <c r="I1816" s="751"/>
      <c r="J1816" s="751"/>
      <c r="K1816" s="751"/>
      <c r="L1816" s="751"/>
      <c r="M1816" s="751"/>
      <c r="N1816" s="751"/>
      <c r="O1816" s="751"/>
      <c r="P1816" s="751"/>
      <c r="Q1816" s="751"/>
      <c r="R1816" s="751"/>
      <c r="S1816" s="751"/>
      <c r="T1816" s="751"/>
      <c r="U1816" s="751"/>
      <c r="V1816" s="751"/>
      <c r="W1816" s="751"/>
      <c r="X1816" s="751"/>
      <c r="Y1816" s="751"/>
      <c r="Z1816" s="751"/>
      <c r="AA1816" s="751"/>
      <c r="AB1816" s="751"/>
      <c r="AC1816" s="751"/>
      <c r="AD1816" s="751"/>
      <c r="AE1816" s="751"/>
      <c r="AF1816" s="751"/>
      <c r="AG1816" s="751"/>
    </row>
    <row r="1817" spans="4:33">
      <c r="D1817" s="751"/>
      <c r="E1817" s="751"/>
      <c r="F1817" s="751"/>
      <c r="G1817" s="751"/>
      <c r="H1817" s="751"/>
      <c r="I1817" s="751"/>
      <c r="J1817" s="751"/>
      <c r="K1817" s="751"/>
      <c r="L1817" s="751"/>
      <c r="M1817" s="751"/>
      <c r="N1817" s="751"/>
      <c r="O1817" s="751"/>
      <c r="P1817" s="751"/>
      <c r="Q1817" s="751"/>
      <c r="R1817" s="751"/>
      <c r="S1817" s="751"/>
      <c r="T1817" s="751"/>
      <c r="U1817" s="751"/>
      <c r="V1817" s="751"/>
      <c r="W1817" s="751"/>
      <c r="X1817" s="751"/>
      <c r="Y1817" s="751"/>
      <c r="Z1817" s="751"/>
      <c r="AA1817" s="751"/>
      <c r="AB1817" s="751"/>
      <c r="AC1817" s="751"/>
      <c r="AD1817" s="751"/>
      <c r="AE1817" s="751"/>
      <c r="AF1817" s="751"/>
      <c r="AG1817" s="751"/>
    </row>
    <row r="1818" spans="4:33">
      <c r="D1818" s="751"/>
      <c r="E1818" s="751"/>
      <c r="F1818" s="751"/>
      <c r="G1818" s="751"/>
      <c r="H1818" s="751"/>
      <c r="I1818" s="751"/>
      <c r="J1818" s="751"/>
      <c r="K1818" s="751"/>
      <c r="L1818" s="751"/>
      <c r="M1818" s="751"/>
      <c r="N1818" s="751"/>
      <c r="O1818" s="751"/>
      <c r="P1818" s="751"/>
      <c r="Q1818" s="751"/>
      <c r="R1818" s="751"/>
      <c r="S1818" s="751"/>
      <c r="T1818" s="751"/>
      <c r="U1818" s="751"/>
      <c r="V1818" s="751"/>
      <c r="W1818" s="751"/>
      <c r="X1818" s="751"/>
      <c r="Y1818" s="751"/>
      <c r="Z1818" s="751"/>
      <c r="AA1818" s="751"/>
      <c r="AB1818" s="751"/>
      <c r="AC1818" s="751"/>
      <c r="AD1818" s="751"/>
      <c r="AE1818" s="751"/>
      <c r="AF1818" s="751"/>
      <c r="AG1818" s="751"/>
    </row>
    <row r="1819" spans="4:33">
      <c r="D1819" s="751"/>
      <c r="E1819" s="751"/>
      <c r="F1819" s="751"/>
      <c r="G1819" s="751"/>
      <c r="H1819" s="751"/>
      <c r="I1819" s="751"/>
      <c r="J1819" s="751"/>
      <c r="K1819" s="751"/>
      <c r="L1819" s="751"/>
      <c r="M1819" s="751"/>
      <c r="N1819" s="751"/>
      <c r="O1819" s="751"/>
      <c r="P1819" s="751"/>
      <c r="Q1819" s="751"/>
      <c r="R1819" s="751"/>
      <c r="S1819" s="751"/>
      <c r="T1819" s="751"/>
      <c r="U1819" s="751"/>
      <c r="V1819" s="751"/>
      <c r="W1819" s="751"/>
      <c r="X1819" s="751"/>
      <c r="Y1819" s="751"/>
      <c r="Z1819" s="751"/>
      <c r="AA1819" s="751"/>
      <c r="AB1819" s="751"/>
      <c r="AC1819" s="751"/>
      <c r="AD1819" s="751"/>
      <c r="AE1819" s="751"/>
      <c r="AF1819" s="751"/>
      <c r="AG1819" s="751"/>
    </row>
    <row r="1820" spans="4:33">
      <c r="D1820" s="751"/>
      <c r="E1820" s="751"/>
      <c r="F1820" s="751"/>
      <c r="G1820" s="751"/>
      <c r="H1820" s="751"/>
      <c r="I1820" s="751"/>
      <c r="J1820" s="751"/>
      <c r="K1820" s="751"/>
      <c r="L1820" s="751"/>
      <c r="M1820" s="751"/>
      <c r="N1820" s="751"/>
      <c r="O1820" s="751"/>
      <c r="P1820" s="751"/>
      <c r="Q1820" s="751"/>
      <c r="R1820" s="751"/>
      <c r="S1820" s="751"/>
      <c r="T1820" s="751"/>
      <c r="U1820" s="751"/>
      <c r="V1820" s="751"/>
      <c r="W1820" s="751"/>
      <c r="X1820" s="751"/>
      <c r="Y1820" s="751"/>
      <c r="Z1820" s="751"/>
      <c r="AA1820" s="751"/>
      <c r="AB1820" s="751"/>
      <c r="AC1820" s="751"/>
      <c r="AD1820" s="751"/>
      <c r="AE1820" s="751"/>
      <c r="AF1820" s="751"/>
      <c r="AG1820" s="751"/>
    </row>
    <row r="1821" spans="4:33">
      <c r="D1821" s="751"/>
      <c r="E1821" s="751"/>
      <c r="F1821" s="751"/>
      <c r="G1821" s="751"/>
      <c r="H1821" s="751"/>
      <c r="I1821" s="751"/>
      <c r="J1821" s="751"/>
      <c r="K1821" s="751"/>
      <c r="L1821" s="751"/>
      <c r="M1821" s="751"/>
      <c r="N1821" s="751"/>
      <c r="O1821" s="751"/>
      <c r="P1821" s="751"/>
      <c r="Q1821" s="751"/>
      <c r="R1821" s="751"/>
      <c r="S1821" s="751"/>
      <c r="T1821" s="751"/>
      <c r="U1821" s="751"/>
      <c r="V1821" s="751"/>
      <c r="W1821" s="751"/>
      <c r="X1821" s="751"/>
      <c r="Y1821" s="751"/>
      <c r="Z1821" s="751"/>
      <c r="AA1821" s="751"/>
      <c r="AB1821" s="751"/>
      <c r="AC1821" s="751"/>
      <c r="AD1821" s="751"/>
      <c r="AE1821" s="751"/>
      <c r="AF1821" s="751"/>
      <c r="AG1821" s="751"/>
    </row>
    <row r="1822" spans="4:33">
      <c r="D1822" s="751"/>
      <c r="E1822" s="751"/>
      <c r="F1822" s="751"/>
      <c r="G1822" s="751"/>
      <c r="H1822" s="751"/>
      <c r="I1822" s="751"/>
      <c r="J1822" s="751"/>
      <c r="K1822" s="751"/>
      <c r="L1822" s="751"/>
      <c r="M1822" s="751"/>
      <c r="N1822" s="751"/>
      <c r="O1822" s="751"/>
      <c r="P1822" s="751"/>
      <c r="Q1822" s="751"/>
      <c r="R1822" s="751"/>
      <c r="S1822" s="751"/>
      <c r="T1822" s="751"/>
      <c r="U1822" s="751"/>
      <c r="V1822" s="751"/>
      <c r="W1822" s="751"/>
      <c r="X1822" s="751"/>
      <c r="Y1822" s="751"/>
      <c r="Z1822" s="751"/>
      <c r="AA1822" s="751"/>
      <c r="AB1822" s="751"/>
      <c r="AC1822" s="751"/>
      <c r="AD1822" s="751"/>
      <c r="AE1822" s="751"/>
      <c r="AF1822" s="751"/>
      <c r="AG1822" s="751"/>
    </row>
    <row r="1823" spans="4:33">
      <c r="D1823" s="751"/>
      <c r="E1823" s="751"/>
      <c r="F1823" s="751"/>
      <c r="G1823" s="751"/>
      <c r="H1823" s="751"/>
      <c r="I1823" s="751"/>
      <c r="J1823" s="751"/>
      <c r="K1823" s="751"/>
      <c r="L1823" s="751"/>
      <c r="M1823" s="751"/>
      <c r="N1823" s="751"/>
      <c r="O1823" s="751"/>
      <c r="P1823" s="751"/>
      <c r="Q1823" s="751"/>
      <c r="R1823" s="751"/>
      <c r="S1823" s="751"/>
      <c r="T1823" s="751"/>
      <c r="U1823" s="751"/>
      <c r="V1823" s="751"/>
      <c r="W1823" s="751"/>
      <c r="X1823" s="751"/>
      <c r="Y1823" s="751"/>
      <c r="Z1823" s="751"/>
      <c r="AA1823" s="751"/>
      <c r="AB1823" s="751"/>
      <c r="AC1823" s="751"/>
      <c r="AD1823" s="751"/>
      <c r="AE1823" s="751"/>
      <c r="AF1823" s="751"/>
      <c r="AG1823" s="751"/>
    </row>
    <row r="1824" spans="4:33">
      <c r="D1824" s="751"/>
      <c r="E1824" s="751"/>
      <c r="F1824" s="751"/>
      <c r="G1824" s="751"/>
      <c r="H1824" s="751"/>
      <c r="I1824" s="751"/>
      <c r="J1824" s="751"/>
      <c r="K1824" s="751"/>
      <c r="L1824" s="751"/>
      <c r="M1824" s="751"/>
      <c r="N1824" s="751"/>
      <c r="O1824" s="751"/>
      <c r="P1824" s="751"/>
      <c r="Q1824" s="751"/>
      <c r="R1824" s="751"/>
      <c r="S1824" s="751"/>
      <c r="T1824" s="751"/>
      <c r="U1824" s="751"/>
      <c r="V1824" s="751"/>
      <c r="W1824" s="751"/>
      <c r="X1824" s="751"/>
      <c r="Y1824" s="751"/>
      <c r="Z1824" s="751"/>
      <c r="AA1824" s="751"/>
      <c r="AB1824" s="751"/>
      <c r="AC1824" s="751"/>
      <c r="AD1824" s="751"/>
      <c r="AE1824" s="751"/>
      <c r="AF1824" s="751"/>
      <c r="AG1824" s="751"/>
    </row>
    <row r="1825" spans="4:33">
      <c r="D1825" s="751"/>
      <c r="E1825" s="751"/>
      <c r="F1825" s="751"/>
      <c r="G1825" s="751"/>
      <c r="H1825" s="751"/>
      <c r="I1825" s="751"/>
      <c r="J1825" s="751"/>
      <c r="K1825" s="751"/>
      <c r="L1825" s="751"/>
      <c r="M1825" s="751"/>
      <c r="N1825" s="751"/>
      <c r="O1825" s="751"/>
      <c r="P1825" s="751"/>
      <c r="Q1825" s="751"/>
      <c r="R1825" s="751"/>
      <c r="S1825" s="751"/>
      <c r="T1825" s="751"/>
      <c r="U1825" s="751"/>
      <c r="V1825" s="751"/>
      <c r="W1825" s="751"/>
      <c r="X1825" s="751"/>
      <c r="Y1825" s="751"/>
      <c r="Z1825" s="751"/>
      <c r="AA1825" s="751"/>
      <c r="AB1825" s="751"/>
      <c r="AC1825" s="751"/>
      <c r="AD1825" s="751"/>
      <c r="AE1825" s="751"/>
      <c r="AF1825" s="751"/>
      <c r="AG1825" s="751"/>
    </row>
    <row r="1826" spans="4:33">
      <c r="D1826" s="751"/>
      <c r="E1826" s="751"/>
      <c r="F1826" s="751"/>
      <c r="G1826" s="751"/>
      <c r="H1826" s="751"/>
      <c r="I1826" s="751"/>
      <c r="J1826" s="751"/>
      <c r="K1826" s="751"/>
      <c r="L1826" s="751"/>
      <c r="M1826" s="751"/>
      <c r="N1826" s="751"/>
      <c r="O1826" s="751"/>
      <c r="P1826" s="751"/>
      <c r="Q1826" s="751"/>
      <c r="R1826" s="751"/>
      <c r="S1826" s="751"/>
      <c r="T1826" s="751"/>
      <c r="U1826" s="751"/>
      <c r="V1826" s="751"/>
      <c r="W1826" s="751"/>
      <c r="X1826" s="751"/>
      <c r="Y1826" s="751"/>
      <c r="Z1826" s="751"/>
      <c r="AA1826" s="751"/>
      <c r="AB1826" s="751"/>
      <c r="AC1826" s="751"/>
      <c r="AD1826" s="751"/>
      <c r="AE1826" s="751"/>
      <c r="AF1826" s="751"/>
      <c r="AG1826" s="751"/>
    </row>
    <row r="1827" spans="4:33">
      <c r="D1827" s="751"/>
      <c r="E1827" s="751"/>
      <c r="F1827" s="751"/>
      <c r="G1827" s="751"/>
      <c r="H1827" s="751"/>
      <c r="I1827" s="751"/>
      <c r="J1827" s="751"/>
      <c r="K1827" s="751"/>
      <c r="L1827" s="751"/>
      <c r="M1827" s="751"/>
      <c r="N1827" s="751"/>
      <c r="O1827" s="751"/>
      <c r="P1827" s="751"/>
      <c r="Q1827" s="751"/>
      <c r="R1827" s="751"/>
      <c r="S1827" s="751"/>
      <c r="T1827" s="751"/>
      <c r="U1827" s="751"/>
      <c r="V1827" s="751"/>
      <c r="W1827" s="751"/>
      <c r="X1827" s="751"/>
      <c r="Y1827" s="751"/>
      <c r="Z1827" s="751"/>
      <c r="AA1827" s="751"/>
      <c r="AB1827" s="751"/>
      <c r="AC1827" s="751"/>
      <c r="AD1827" s="751"/>
      <c r="AE1827" s="751"/>
      <c r="AF1827" s="751"/>
      <c r="AG1827" s="751"/>
    </row>
    <row r="1828" spans="4:33">
      <c r="D1828" s="751"/>
      <c r="E1828" s="751"/>
      <c r="F1828" s="751"/>
      <c r="G1828" s="751"/>
      <c r="H1828" s="751"/>
      <c r="I1828" s="751"/>
      <c r="J1828" s="751"/>
      <c r="K1828" s="751"/>
      <c r="L1828" s="751"/>
      <c r="M1828" s="751"/>
      <c r="N1828" s="751"/>
      <c r="O1828" s="751"/>
      <c r="P1828" s="751"/>
      <c r="Q1828" s="751"/>
      <c r="R1828" s="751"/>
      <c r="S1828" s="751"/>
      <c r="T1828" s="751"/>
      <c r="U1828" s="751"/>
      <c r="V1828" s="751"/>
      <c r="W1828" s="751"/>
      <c r="X1828" s="751"/>
      <c r="Y1828" s="751"/>
      <c r="Z1828" s="751"/>
      <c r="AA1828" s="751"/>
      <c r="AB1828" s="751"/>
      <c r="AC1828" s="751"/>
      <c r="AD1828" s="751"/>
      <c r="AE1828" s="751"/>
      <c r="AF1828" s="751"/>
      <c r="AG1828" s="751"/>
    </row>
    <row r="1829" spans="4:33">
      <c r="D1829" s="751"/>
      <c r="E1829" s="751"/>
      <c r="F1829" s="751"/>
      <c r="G1829" s="751"/>
      <c r="H1829" s="751"/>
      <c r="I1829" s="751"/>
      <c r="J1829" s="751"/>
      <c r="K1829" s="751"/>
      <c r="L1829" s="751"/>
      <c r="M1829" s="751"/>
      <c r="N1829" s="751"/>
      <c r="O1829" s="751"/>
      <c r="P1829" s="751"/>
      <c r="Q1829" s="751"/>
      <c r="R1829" s="751"/>
      <c r="S1829" s="751"/>
      <c r="T1829" s="751"/>
      <c r="U1829" s="751"/>
      <c r="V1829" s="751"/>
      <c r="W1829" s="751"/>
      <c r="X1829" s="751"/>
      <c r="Y1829" s="751"/>
      <c r="Z1829" s="751"/>
      <c r="AA1829" s="751"/>
      <c r="AB1829" s="751"/>
      <c r="AC1829" s="751"/>
      <c r="AD1829" s="751"/>
      <c r="AE1829" s="751"/>
      <c r="AF1829" s="751"/>
      <c r="AG1829" s="751"/>
    </row>
    <row r="1830" spans="4:33">
      <c r="D1830" s="751"/>
      <c r="E1830" s="751"/>
      <c r="F1830" s="751"/>
      <c r="G1830" s="751"/>
      <c r="H1830" s="751"/>
      <c r="I1830" s="751"/>
      <c r="J1830" s="751"/>
      <c r="K1830" s="751"/>
      <c r="L1830" s="751"/>
      <c r="M1830" s="751"/>
      <c r="N1830" s="751"/>
      <c r="O1830" s="751"/>
      <c r="P1830" s="751"/>
      <c r="Q1830" s="751"/>
      <c r="R1830" s="751"/>
      <c r="S1830" s="751"/>
      <c r="T1830" s="751"/>
      <c r="U1830" s="751"/>
      <c r="V1830" s="751"/>
      <c r="W1830" s="751"/>
      <c r="X1830" s="751"/>
      <c r="Y1830" s="751"/>
      <c r="Z1830" s="751"/>
      <c r="AA1830" s="751"/>
      <c r="AB1830" s="751"/>
      <c r="AC1830" s="751"/>
      <c r="AD1830" s="751"/>
      <c r="AE1830" s="751"/>
      <c r="AF1830" s="751"/>
      <c r="AG1830" s="751"/>
    </row>
    <row r="1831" spans="4:33">
      <c r="D1831" s="751"/>
      <c r="E1831" s="751"/>
      <c r="F1831" s="751"/>
      <c r="G1831" s="751"/>
      <c r="H1831" s="751"/>
      <c r="I1831" s="751"/>
      <c r="J1831" s="751"/>
      <c r="K1831" s="751"/>
      <c r="L1831" s="751"/>
      <c r="M1831" s="751"/>
      <c r="N1831" s="751"/>
      <c r="O1831" s="751"/>
      <c r="P1831" s="751"/>
      <c r="Q1831" s="751"/>
      <c r="R1831" s="751"/>
      <c r="S1831" s="751"/>
      <c r="T1831" s="751"/>
      <c r="U1831" s="751"/>
      <c r="V1831" s="751"/>
      <c r="W1831" s="751"/>
      <c r="X1831" s="751"/>
      <c r="Y1831" s="751"/>
      <c r="Z1831" s="751"/>
      <c r="AA1831" s="751"/>
      <c r="AB1831" s="751"/>
      <c r="AC1831" s="751"/>
      <c r="AD1831" s="751"/>
      <c r="AE1831" s="751"/>
      <c r="AF1831" s="751"/>
      <c r="AG1831" s="751"/>
    </row>
    <row r="1832" spans="4:33">
      <c r="D1832" s="751"/>
      <c r="E1832" s="751"/>
      <c r="F1832" s="751"/>
      <c r="G1832" s="751"/>
      <c r="H1832" s="751"/>
      <c r="I1832" s="751"/>
      <c r="J1832" s="751"/>
      <c r="K1832" s="751"/>
      <c r="L1832" s="751"/>
      <c r="M1832" s="751"/>
      <c r="N1832" s="751"/>
      <c r="O1832" s="751"/>
      <c r="P1832" s="751"/>
      <c r="Q1832" s="751"/>
      <c r="R1832" s="751"/>
      <c r="S1832" s="751"/>
      <c r="T1832" s="751"/>
      <c r="U1832" s="751"/>
      <c r="V1832" s="751"/>
      <c r="W1832" s="751"/>
      <c r="X1832" s="751"/>
      <c r="Y1832" s="751"/>
      <c r="Z1832" s="751"/>
      <c r="AA1832" s="751"/>
      <c r="AB1832" s="751"/>
      <c r="AC1832" s="751"/>
      <c r="AD1832" s="751"/>
      <c r="AE1832" s="751"/>
      <c r="AF1832" s="751"/>
      <c r="AG1832" s="751"/>
    </row>
    <row r="1833" spans="4:33">
      <c r="D1833" s="751"/>
      <c r="E1833" s="751"/>
      <c r="F1833" s="751"/>
      <c r="G1833" s="751"/>
      <c r="H1833" s="751"/>
      <c r="I1833" s="751"/>
      <c r="J1833" s="751"/>
      <c r="K1833" s="751"/>
      <c r="L1833" s="751"/>
      <c r="M1833" s="751"/>
      <c r="N1833" s="751"/>
      <c r="O1833" s="751"/>
      <c r="P1833" s="751"/>
      <c r="Q1833" s="751"/>
      <c r="R1833" s="751"/>
      <c r="S1833" s="751"/>
      <c r="T1833" s="751"/>
      <c r="U1833" s="751"/>
      <c r="V1833" s="751"/>
      <c r="W1833" s="751"/>
      <c r="X1833" s="751"/>
      <c r="Y1833" s="751"/>
      <c r="Z1833" s="751"/>
      <c r="AA1833" s="751"/>
      <c r="AB1833" s="751"/>
      <c r="AC1833" s="751"/>
      <c r="AD1833" s="751"/>
      <c r="AE1833" s="751"/>
      <c r="AF1833" s="751"/>
      <c r="AG1833" s="751"/>
    </row>
    <row r="1834" spans="4:33">
      <c r="D1834" s="751"/>
      <c r="E1834" s="751"/>
      <c r="F1834" s="751"/>
      <c r="G1834" s="751"/>
      <c r="H1834" s="751"/>
      <c r="I1834" s="751"/>
      <c r="J1834" s="751"/>
      <c r="K1834" s="751"/>
      <c r="L1834" s="751"/>
      <c r="M1834" s="751"/>
      <c r="N1834" s="751"/>
      <c r="O1834" s="751"/>
      <c r="P1834" s="751"/>
      <c r="Q1834" s="751"/>
      <c r="R1834" s="751"/>
      <c r="S1834" s="751"/>
      <c r="T1834" s="751"/>
      <c r="U1834" s="751"/>
      <c r="V1834" s="751"/>
      <c r="W1834" s="751"/>
      <c r="X1834" s="751"/>
      <c r="Y1834" s="751"/>
      <c r="Z1834" s="751"/>
      <c r="AA1834" s="751"/>
      <c r="AB1834" s="751"/>
      <c r="AC1834" s="751"/>
      <c r="AD1834" s="751"/>
      <c r="AE1834" s="751"/>
      <c r="AF1834" s="751"/>
      <c r="AG1834" s="751"/>
    </row>
    <row r="1835" spans="4:33">
      <c r="D1835" s="751"/>
      <c r="E1835" s="751"/>
      <c r="F1835" s="751"/>
      <c r="G1835" s="751"/>
      <c r="H1835" s="751"/>
      <c r="I1835" s="751"/>
      <c r="J1835" s="751"/>
      <c r="K1835" s="751"/>
      <c r="L1835" s="751"/>
      <c r="M1835" s="751"/>
      <c r="N1835" s="751"/>
      <c r="O1835" s="751"/>
      <c r="P1835" s="751"/>
      <c r="Q1835" s="751"/>
      <c r="R1835" s="751"/>
      <c r="S1835" s="751"/>
      <c r="T1835" s="751"/>
      <c r="U1835" s="751"/>
      <c r="V1835" s="751"/>
      <c r="W1835" s="751"/>
      <c r="X1835" s="751"/>
      <c r="Y1835" s="751"/>
      <c r="Z1835" s="751"/>
      <c r="AA1835" s="751"/>
      <c r="AB1835" s="751"/>
      <c r="AC1835" s="751"/>
      <c r="AD1835" s="751"/>
      <c r="AE1835" s="751"/>
      <c r="AF1835" s="751"/>
      <c r="AG1835" s="751"/>
    </row>
    <row r="1836" spans="4:33">
      <c r="D1836" s="751"/>
      <c r="E1836" s="751"/>
      <c r="F1836" s="751"/>
      <c r="G1836" s="751"/>
      <c r="H1836" s="751"/>
      <c r="I1836" s="751"/>
      <c r="J1836" s="751"/>
      <c r="K1836" s="751"/>
      <c r="L1836" s="751"/>
      <c r="M1836" s="751"/>
      <c r="N1836" s="751"/>
      <c r="O1836" s="751"/>
      <c r="P1836" s="751"/>
      <c r="Q1836" s="751"/>
      <c r="R1836" s="751"/>
      <c r="S1836" s="751"/>
      <c r="T1836" s="751"/>
      <c r="U1836" s="751"/>
      <c r="V1836" s="751"/>
      <c r="W1836" s="751"/>
      <c r="X1836" s="751"/>
      <c r="Y1836" s="751"/>
      <c r="Z1836" s="751"/>
      <c r="AA1836" s="751"/>
      <c r="AB1836" s="751"/>
      <c r="AC1836" s="751"/>
      <c r="AD1836" s="751"/>
      <c r="AE1836" s="751"/>
      <c r="AF1836" s="751"/>
      <c r="AG1836" s="751"/>
    </row>
    <row r="1837" spans="4:33">
      <c r="D1837" s="751"/>
      <c r="E1837" s="751"/>
      <c r="F1837" s="751"/>
      <c r="G1837" s="751"/>
      <c r="H1837" s="751"/>
      <c r="I1837" s="751"/>
      <c r="J1837" s="751"/>
      <c r="K1837" s="751"/>
      <c r="L1837" s="751"/>
      <c r="M1837" s="751"/>
      <c r="N1837" s="751"/>
      <c r="O1837" s="751"/>
      <c r="P1837" s="751"/>
      <c r="Q1837" s="751"/>
      <c r="R1837" s="751"/>
      <c r="S1837" s="751"/>
      <c r="T1837" s="751"/>
      <c r="U1837" s="751"/>
      <c r="V1837" s="751"/>
      <c r="W1837" s="751"/>
      <c r="X1837" s="751"/>
      <c r="Y1837" s="751"/>
      <c r="Z1837" s="751"/>
      <c r="AA1837" s="751"/>
      <c r="AB1837" s="751"/>
      <c r="AC1837" s="751"/>
      <c r="AD1837" s="751"/>
      <c r="AE1837" s="751"/>
      <c r="AF1837" s="751"/>
      <c r="AG1837" s="751"/>
    </row>
    <row r="1838" spans="4:33">
      <c r="D1838" s="751"/>
      <c r="E1838" s="751"/>
      <c r="F1838" s="751"/>
      <c r="G1838" s="751"/>
      <c r="H1838" s="751"/>
      <c r="I1838" s="751"/>
      <c r="J1838" s="751"/>
      <c r="K1838" s="751"/>
      <c r="L1838" s="751"/>
      <c r="M1838" s="751"/>
      <c r="N1838" s="751"/>
      <c r="O1838" s="751"/>
      <c r="P1838" s="751"/>
      <c r="Q1838" s="751"/>
      <c r="R1838" s="751"/>
      <c r="S1838" s="751"/>
      <c r="T1838" s="751"/>
      <c r="U1838" s="751"/>
      <c r="V1838" s="751"/>
      <c r="W1838" s="751"/>
      <c r="X1838" s="751"/>
      <c r="Y1838" s="751"/>
      <c r="Z1838" s="751"/>
      <c r="AA1838" s="751"/>
      <c r="AB1838" s="751"/>
      <c r="AC1838" s="751"/>
      <c r="AD1838" s="751"/>
      <c r="AE1838" s="751"/>
      <c r="AF1838" s="751"/>
      <c r="AG1838" s="751"/>
    </row>
    <row r="1839" spans="4:33">
      <c r="D1839" s="751"/>
      <c r="E1839" s="751"/>
      <c r="F1839" s="751"/>
      <c r="G1839" s="751"/>
      <c r="H1839" s="751"/>
      <c r="I1839" s="751"/>
      <c r="J1839" s="751"/>
      <c r="K1839" s="751"/>
      <c r="L1839" s="751"/>
      <c r="M1839" s="751"/>
      <c r="N1839" s="751"/>
      <c r="O1839" s="751"/>
      <c r="P1839" s="751"/>
      <c r="Q1839" s="751"/>
      <c r="R1839" s="751"/>
      <c r="S1839" s="751"/>
      <c r="T1839" s="751"/>
      <c r="U1839" s="751"/>
      <c r="V1839" s="751"/>
      <c r="W1839" s="751"/>
      <c r="X1839" s="751"/>
      <c r="Y1839" s="751"/>
      <c r="Z1839" s="751"/>
      <c r="AA1839" s="751"/>
      <c r="AB1839" s="751"/>
      <c r="AC1839" s="751"/>
      <c r="AD1839" s="751"/>
      <c r="AE1839" s="751"/>
      <c r="AF1839" s="751"/>
      <c r="AG1839" s="751"/>
    </row>
    <row r="1840" spans="4:33">
      <c r="D1840" s="751"/>
      <c r="E1840" s="751"/>
      <c r="F1840" s="751"/>
      <c r="G1840" s="751"/>
      <c r="H1840" s="751"/>
      <c r="I1840" s="751"/>
      <c r="J1840" s="751"/>
      <c r="K1840" s="751"/>
      <c r="L1840" s="751"/>
      <c r="M1840" s="751"/>
      <c r="N1840" s="751"/>
      <c r="O1840" s="751"/>
      <c r="P1840" s="751"/>
      <c r="Q1840" s="751"/>
      <c r="R1840" s="751"/>
      <c r="S1840" s="751"/>
      <c r="T1840" s="751"/>
      <c r="U1840" s="751"/>
      <c r="V1840" s="751"/>
      <c r="W1840" s="751"/>
      <c r="X1840" s="751"/>
      <c r="Y1840" s="751"/>
      <c r="Z1840" s="751"/>
      <c r="AA1840" s="751"/>
      <c r="AB1840" s="751"/>
      <c r="AC1840" s="751"/>
      <c r="AD1840" s="751"/>
      <c r="AE1840" s="751"/>
      <c r="AF1840" s="751"/>
      <c r="AG1840" s="751"/>
    </row>
    <row r="1841" spans="4:33">
      <c r="D1841" s="751"/>
      <c r="E1841" s="751"/>
      <c r="F1841" s="751"/>
      <c r="G1841" s="751"/>
      <c r="H1841" s="751"/>
      <c r="I1841" s="751"/>
      <c r="J1841" s="751"/>
      <c r="K1841" s="751"/>
      <c r="L1841" s="751"/>
      <c r="M1841" s="751"/>
      <c r="N1841" s="751"/>
      <c r="O1841" s="751"/>
      <c r="P1841" s="751"/>
      <c r="Q1841" s="751"/>
      <c r="R1841" s="751"/>
      <c r="S1841" s="751"/>
      <c r="T1841" s="751"/>
      <c r="U1841" s="751"/>
      <c r="V1841" s="751"/>
      <c r="W1841" s="751"/>
      <c r="X1841" s="751"/>
      <c r="Y1841" s="751"/>
      <c r="Z1841" s="751"/>
      <c r="AA1841" s="751"/>
      <c r="AB1841" s="751"/>
      <c r="AC1841" s="751"/>
      <c r="AD1841" s="751"/>
      <c r="AE1841" s="751"/>
      <c r="AF1841" s="751"/>
      <c r="AG1841" s="751"/>
    </row>
    <row r="1842" spans="4:33">
      <c r="D1842" s="751"/>
      <c r="E1842" s="751"/>
      <c r="F1842" s="751"/>
      <c r="G1842" s="751"/>
      <c r="H1842" s="751"/>
      <c r="I1842" s="751"/>
      <c r="J1842" s="751"/>
      <c r="K1842" s="751"/>
      <c r="L1842" s="751"/>
      <c r="M1842" s="751"/>
      <c r="N1842" s="751"/>
      <c r="O1842" s="751"/>
      <c r="P1842" s="751"/>
      <c r="Q1842" s="751"/>
      <c r="R1842" s="751"/>
      <c r="S1842" s="751"/>
      <c r="T1842" s="751"/>
      <c r="U1842" s="751"/>
      <c r="V1842" s="751"/>
      <c r="W1842" s="751"/>
      <c r="X1842" s="751"/>
      <c r="Y1842" s="751"/>
      <c r="Z1842" s="751"/>
      <c r="AA1842" s="751"/>
      <c r="AB1842" s="751"/>
      <c r="AC1842" s="751"/>
      <c r="AD1842" s="751"/>
      <c r="AE1842" s="751"/>
      <c r="AF1842" s="751"/>
      <c r="AG1842" s="751"/>
    </row>
    <row r="1843" spans="4:33">
      <c r="D1843" s="751"/>
      <c r="E1843" s="751"/>
      <c r="F1843" s="751"/>
      <c r="G1843" s="751"/>
      <c r="H1843" s="751"/>
      <c r="I1843" s="751"/>
      <c r="J1843" s="751"/>
      <c r="K1843" s="751"/>
      <c r="L1843" s="751"/>
      <c r="M1843" s="751"/>
      <c r="N1843" s="751"/>
      <c r="O1843" s="751"/>
      <c r="P1843" s="751"/>
      <c r="Q1843" s="751"/>
      <c r="R1843" s="751"/>
      <c r="S1843" s="751"/>
      <c r="T1843" s="751"/>
      <c r="U1843" s="751"/>
      <c r="V1843" s="751"/>
      <c r="W1843" s="751"/>
      <c r="X1843" s="751"/>
      <c r="Y1843" s="751"/>
      <c r="Z1843" s="751"/>
      <c r="AA1843" s="751"/>
      <c r="AB1843" s="751"/>
      <c r="AC1843" s="751"/>
      <c r="AD1843" s="751"/>
      <c r="AE1843" s="751"/>
      <c r="AF1843" s="751"/>
      <c r="AG1843" s="751"/>
    </row>
    <row r="1844" spans="4:33">
      <c r="D1844" s="751"/>
      <c r="E1844" s="751"/>
      <c r="F1844" s="751"/>
      <c r="G1844" s="751"/>
      <c r="H1844" s="751"/>
      <c r="I1844" s="751"/>
      <c r="J1844" s="751"/>
      <c r="K1844" s="751"/>
      <c r="L1844" s="751"/>
      <c r="M1844" s="751"/>
      <c r="N1844" s="751"/>
      <c r="O1844" s="751"/>
      <c r="P1844" s="751"/>
      <c r="Q1844" s="751"/>
      <c r="R1844" s="751"/>
      <c r="S1844" s="751"/>
      <c r="T1844" s="751"/>
      <c r="U1844" s="751"/>
      <c r="V1844" s="751"/>
      <c r="W1844" s="751"/>
      <c r="X1844" s="751"/>
      <c r="Y1844" s="751"/>
      <c r="Z1844" s="751"/>
      <c r="AA1844" s="751"/>
      <c r="AB1844" s="751"/>
      <c r="AC1844" s="751"/>
      <c r="AD1844" s="751"/>
      <c r="AE1844" s="751"/>
      <c r="AF1844" s="751"/>
      <c r="AG1844" s="751"/>
    </row>
    <row r="1845" spans="4:33">
      <c r="D1845" s="751"/>
      <c r="E1845" s="751"/>
      <c r="F1845" s="751"/>
      <c r="G1845" s="751"/>
      <c r="H1845" s="751"/>
      <c r="I1845" s="751"/>
      <c r="J1845" s="751"/>
      <c r="K1845" s="751"/>
      <c r="L1845" s="751"/>
      <c r="M1845" s="751"/>
      <c r="N1845" s="751"/>
      <c r="O1845" s="751"/>
      <c r="P1845" s="751"/>
      <c r="Q1845" s="751"/>
      <c r="R1845" s="751"/>
      <c r="S1845" s="751"/>
      <c r="T1845" s="751"/>
      <c r="U1845" s="751"/>
      <c r="V1845" s="751"/>
      <c r="W1845" s="751"/>
      <c r="X1845" s="751"/>
      <c r="Y1845" s="751"/>
      <c r="Z1845" s="751"/>
      <c r="AA1845" s="751"/>
      <c r="AB1845" s="751"/>
      <c r="AC1845" s="751"/>
      <c r="AD1845" s="751"/>
      <c r="AE1845" s="751"/>
      <c r="AF1845" s="751"/>
      <c r="AG1845" s="751"/>
    </row>
    <row r="1846" spans="4:33">
      <c r="D1846" s="751"/>
      <c r="E1846" s="751"/>
      <c r="F1846" s="751"/>
      <c r="G1846" s="751"/>
      <c r="H1846" s="751"/>
      <c r="I1846" s="751"/>
      <c r="J1846" s="751"/>
      <c r="K1846" s="751"/>
      <c r="L1846" s="751"/>
      <c r="M1846" s="751"/>
      <c r="N1846" s="751"/>
      <c r="O1846" s="751"/>
      <c r="P1846" s="751"/>
      <c r="Q1846" s="751"/>
      <c r="R1846" s="751"/>
      <c r="S1846" s="751"/>
      <c r="T1846" s="751"/>
      <c r="U1846" s="751"/>
      <c r="V1846" s="751"/>
      <c r="W1846" s="751"/>
      <c r="X1846" s="751"/>
      <c r="Y1846" s="751"/>
      <c r="Z1846" s="751"/>
      <c r="AA1846" s="751"/>
      <c r="AB1846" s="751"/>
      <c r="AC1846" s="751"/>
      <c r="AD1846" s="751"/>
      <c r="AE1846" s="751"/>
      <c r="AF1846" s="751"/>
      <c r="AG1846" s="751"/>
    </row>
    <row r="1847" spans="4:33">
      <c r="D1847" s="751"/>
      <c r="E1847" s="751"/>
      <c r="F1847" s="751"/>
      <c r="G1847" s="751"/>
      <c r="H1847" s="751"/>
      <c r="I1847" s="751"/>
      <c r="J1847" s="751"/>
      <c r="K1847" s="751"/>
      <c r="L1847" s="751"/>
      <c r="M1847" s="751"/>
      <c r="N1847" s="751"/>
      <c r="O1847" s="751"/>
      <c r="P1847" s="751"/>
      <c r="Q1847" s="751"/>
      <c r="R1847" s="751"/>
      <c r="S1847" s="751"/>
      <c r="T1847" s="751"/>
      <c r="U1847" s="751"/>
      <c r="V1847" s="751"/>
      <c r="W1847" s="751"/>
      <c r="X1847" s="751"/>
      <c r="Y1847" s="751"/>
      <c r="Z1847" s="751"/>
      <c r="AA1847" s="751"/>
      <c r="AB1847" s="751"/>
      <c r="AC1847" s="751"/>
      <c r="AD1847" s="751"/>
      <c r="AE1847" s="751"/>
      <c r="AF1847" s="751"/>
      <c r="AG1847" s="751"/>
    </row>
    <row r="1848" spans="4:33">
      <c r="D1848" s="751"/>
      <c r="E1848" s="751"/>
      <c r="F1848" s="751"/>
      <c r="G1848" s="751"/>
      <c r="H1848" s="751"/>
      <c r="I1848" s="751"/>
      <c r="J1848" s="751"/>
      <c r="K1848" s="751"/>
      <c r="L1848" s="751"/>
      <c r="M1848" s="751"/>
      <c r="N1848" s="751"/>
      <c r="O1848" s="751"/>
      <c r="P1848" s="751"/>
      <c r="Q1848" s="751"/>
      <c r="R1848" s="751"/>
      <c r="S1848" s="751"/>
      <c r="T1848" s="751"/>
      <c r="U1848" s="751"/>
      <c r="V1848" s="751"/>
      <c r="W1848" s="751"/>
      <c r="X1848" s="751"/>
      <c r="Y1848" s="751"/>
      <c r="Z1848" s="751"/>
      <c r="AA1848" s="751"/>
      <c r="AB1848" s="751"/>
      <c r="AC1848" s="751"/>
      <c r="AD1848" s="751"/>
      <c r="AE1848" s="751"/>
      <c r="AF1848" s="751"/>
      <c r="AG1848" s="751"/>
    </row>
    <row r="1849" spans="4:33">
      <c r="D1849" s="751"/>
      <c r="E1849" s="751"/>
      <c r="F1849" s="751"/>
      <c r="G1849" s="751"/>
      <c r="H1849" s="751"/>
      <c r="I1849" s="751"/>
      <c r="J1849" s="751"/>
      <c r="K1849" s="751"/>
      <c r="L1849" s="751"/>
      <c r="M1849" s="751"/>
      <c r="N1849" s="751"/>
      <c r="O1849" s="751"/>
      <c r="P1849" s="751"/>
      <c r="Q1849" s="751"/>
      <c r="R1849" s="751"/>
      <c r="S1849" s="751"/>
      <c r="T1849" s="751"/>
      <c r="U1849" s="751"/>
      <c r="V1849" s="751"/>
      <c r="W1849" s="751"/>
      <c r="X1849" s="751"/>
      <c r="Y1849" s="751"/>
      <c r="Z1849" s="751"/>
      <c r="AA1849" s="751"/>
      <c r="AB1849" s="751"/>
      <c r="AC1849" s="751"/>
      <c r="AD1849" s="751"/>
      <c r="AE1849" s="751"/>
      <c r="AF1849" s="751"/>
      <c r="AG1849" s="751"/>
    </row>
    <row r="1850" spans="4:33">
      <c r="D1850" s="751"/>
      <c r="E1850" s="751"/>
      <c r="F1850" s="751"/>
      <c r="G1850" s="751"/>
      <c r="H1850" s="751"/>
      <c r="I1850" s="751"/>
      <c r="J1850" s="751"/>
      <c r="K1850" s="751"/>
      <c r="L1850" s="751"/>
      <c r="M1850" s="751"/>
      <c r="N1850" s="751"/>
      <c r="O1850" s="751"/>
      <c r="P1850" s="751"/>
      <c r="Q1850" s="751"/>
      <c r="R1850" s="751"/>
      <c r="S1850" s="751"/>
      <c r="T1850" s="751"/>
      <c r="U1850" s="751"/>
      <c r="V1850" s="751"/>
      <c r="W1850" s="751"/>
      <c r="X1850" s="751"/>
      <c r="Y1850" s="751"/>
      <c r="Z1850" s="751"/>
      <c r="AA1850" s="751"/>
      <c r="AB1850" s="751"/>
      <c r="AC1850" s="751"/>
      <c r="AD1850" s="751"/>
      <c r="AE1850" s="751"/>
      <c r="AF1850" s="751"/>
      <c r="AG1850" s="751"/>
    </row>
    <row r="1851" spans="4:33">
      <c r="D1851" s="751"/>
      <c r="E1851" s="751"/>
      <c r="F1851" s="751"/>
      <c r="G1851" s="751"/>
      <c r="H1851" s="751"/>
      <c r="I1851" s="751"/>
      <c r="J1851" s="751"/>
      <c r="K1851" s="751"/>
      <c r="L1851" s="751"/>
      <c r="M1851" s="751"/>
      <c r="N1851" s="751"/>
      <c r="O1851" s="751"/>
      <c r="P1851" s="751"/>
      <c r="Q1851" s="751"/>
      <c r="R1851" s="751"/>
      <c r="S1851" s="751"/>
      <c r="T1851" s="751"/>
      <c r="U1851" s="751"/>
      <c r="V1851" s="751"/>
      <c r="W1851" s="751"/>
      <c r="X1851" s="751"/>
      <c r="Y1851" s="751"/>
      <c r="Z1851" s="751"/>
      <c r="AA1851" s="751"/>
      <c r="AB1851" s="751"/>
      <c r="AC1851" s="751"/>
      <c r="AD1851" s="751"/>
      <c r="AE1851" s="751"/>
      <c r="AF1851" s="751"/>
      <c r="AG1851" s="751"/>
    </row>
    <row r="1852" spans="4:33">
      <c r="D1852" s="751"/>
      <c r="E1852" s="751"/>
      <c r="F1852" s="751"/>
      <c r="G1852" s="751"/>
      <c r="H1852" s="751"/>
      <c r="I1852" s="751"/>
      <c r="J1852" s="751"/>
      <c r="K1852" s="751"/>
      <c r="L1852" s="751"/>
      <c r="M1852" s="751"/>
      <c r="N1852" s="751"/>
      <c r="O1852" s="751"/>
      <c r="P1852" s="751"/>
      <c r="Q1852" s="751"/>
      <c r="R1852" s="751"/>
      <c r="S1852" s="751"/>
      <c r="T1852" s="751"/>
      <c r="U1852" s="751"/>
      <c r="V1852" s="751"/>
      <c r="W1852" s="751"/>
      <c r="X1852" s="751"/>
      <c r="Y1852" s="751"/>
      <c r="Z1852" s="751"/>
      <c r="AA1852" s="751"/>
      <c r="AB1852" s="751"/>
      <c r="AC1852" s="751"/>
      <c r="AD1852" s="751"/>
      <c r="AE1852" s="751"/>
      <c r="AF1852" s="751"/>
      <c r="AG1852" s="751"/>
    </row>
    <row r="1853" spans="4:33">
      <c r="D1853" s="751"/>
      <c r="E1853" s="751"/>
      <c r="F1853" s="751"/>
      <c r="G1853" s="751"/>
      <c r="H1853" s="751"/>
      <c r="I1853" s="751"/>
      <c r="J1853" s="751"/>
      <c r="K1853" s="751"/>
      <c r="L1853" s="751"/>
      <c r="M1853" s="751"/>
      <c r="N1853" s="751"/>
      <c r="O1853" s="751"/>
      <c r="P1853" s="751"/>
      <c r="Q1853" s="751"/>
      <c r="R1853" s="751"/>
      <c r="S1853" s="751"/>
      <c r="T1853" s="751"/>
      <c r="U1853" s="751"/>
      <c r="V1853" s="751"/>
      <c r="W1853" s="751"/>
      <c r="X1853" s="751"/>
      <c r="Y1853" s="751"/>
      <c r="Z1853" s="751"/>
      <c r="AA1853" s="751"/>
      <c r="AB1853" s="751"/>
      <c r="AC1853" s="751"/>
      <c r="AD1853" s="751"/>
      <c r="AE1853" s="751"/>
      <c r="AF1853" s="751"/>
      <c r="AG1853" s="751"/>
    </row>
    <row r="1854" spans="4:33">
      <c r="D1854" s="751"/>
      <c r="E1854" s="751"/>
      <c r="F1854" s="751"/>
      <c r="G1854" s="751"/>
      <c r="H1854" s="751"/>
      <c r="I1854" s="751"/>
      <c r="J1854" s="751"/>
      <c r="K1854" s="751"/>
      <c r="L1854" s="751"/>
      <c r="M1854" s="751"/>
      <c r="N1854" s="751"/>
      <c r="O1854" s="751"/>
      <c r="P1854" s="751"/>
      <c r="Q1854" s="751"/>
      <c r="R1854" s="751"/>
      <c r="S1854" s="751"/>
      <c r="T1854" s="751"/>
      <c r="U1854" s="751"/>
      <c r="V1854" s="751"/>
      <c r="W1854" s="751"/>
      <c r="X1854" s="751"/>
      <c r="Y1854" s="751"/>
      <c r="Z1854" s="751"/>
      <c r="AA1854" s="751"/>
      <c r="AB1854" s="751"/>
      <c r="AC1854" s="751"/>
      <c r="AD1854" s="751"/>
      <c r="AE1854" s="751"/>
      <c r="AF1854" s="751"/>
      <c r="AG1854" s="751"/>
    </row>
    <row r="1855" spans="4:33">
      <c r="D1855" s="751"/>
      <c r="E1855" s="751"/>
      <c r="F1855" s="751"/>
      <c r="G1855" s="751"/>
      <c r="H1855" s="751"/>
      <c r="I1855" s="751"/>
      <c r="J1855" s="751"/>
      <c r="K1855" s="751"/>
      <c r="L1855" s="751"/>
      <c r="M1855" s="751"/>
      <c r="N1855" s="751"/>
      <c r="O1855" s="751"/>
      <c r="P1855" s="751"/>
      <c r="Q1855" s="751"/>
      <c r="R1855" s="751"/>
      <c r="S1855" s="751"/>
      <c r="T1855" s="751"/>
      <c r="U1855" s="751"/>
      <c r="V1855" s="751"/>
      <c r="W1855" s="751"/>
      <c r="X1855" s="751"/>
      <c r="Y1855" s="751"/>
      <c r="Z1855" s="751"/>
      <c r="AA1855" s="751"/>
      <c r="AB1855" s="751"/>
      <c r="AC1855" s="751"/>
      <c r="AD1855" s="751"/>
      <c r="AE1855" s="751"/>
      <c r="AF1855" s="751"/>
      <c r="AG1855" s="751"/>
    </row>
    <row r="1856" spans="4:33">
      <c r="D1856" s="751"/>
      <c r="E1856" s="751"/>
      <c r="F1856" s="751"/>
      <c r="G1856" s="751"/>
      <c r="H1856" s="751"/>
      <c r="I1856" s="751"/>
      <c r="J1856" s="751"/>
      <c r="K1856" s="751"/>
      <c r="L1856" s="751"/>
      <c r="M1856" s="751"/>
      <c r="N1856" s="751"/>
      <c r="O1856" s="751"/>
      <c r="P1856" s="751"/>
      <c r="Q1856" s="751"/>
      <c r="R1856" s="751"/>
      <c r="S1856" s="751"/>
      <c r="T1856" s="751"/>
      <c r="U1856" s="751"/>
      <c r="V1856" s="751"/>
      <c r="W1856" s="751"/>
      <c r="X1856" s="751"/>
      <c r="Y1856" s="751"/>
      <c r="Z1856" s="751"/>
      <c r="AA1856" s="751"/>
      <c r="AB1856" s="751"/>
      <c r="AC1856" s="751"/>
      <c r="AD1856" s="751"/>
      <c r="AE1856" s="751"/>
      <c r="AF1856" s="751"/>
      <c r="AG1856" s="751"/>
    </row>
    <row r="1857" spans="4:33">
      <c r="D1857" s="751"/>
      <c r="E1857" s="751"/>
      <c r="F1857" s="751"/>
      <c r="G1857" s="751"/>
      <c r="H1857" s="751"/>
      <c r="I1857" s="751"/>
      <c r="J1857" s="751"/>
      <c r="K1857" s="751"/>
      <c r="L1857" s="751"/>
      <c r="M1857" s="751"/>
      <c r="N1857" s="751"/>
      <c r="O1857" s="751"/>
      <c r="P1857" s="751"/>
      <c r="Q1857" s="751"/>
      <c r="R1857" s="751"/>
      <c r="S1857" s="751"/>
      <c r="T1857" s="751"/>
      <c r="U1857" s="751"/>
      <c r="V1857" s="751"/>
      <c r="W1857" s="751"/>
      <c r="X1857" s="751"/>
      <c r="Y1857" s="751"/>
      <c r="Z1857" s="751"/>
      <c r="AA1857" s="751"/>
      <c r="AB1857" s="751"/>
      <c r="AC1857" s="751"/>
      <c r="AD1857" s="751"/>
      <c r="AE1857" s="751"/>
      <c r="AF1857" s="751"/>
      <c r="AG1857" s="751"/>
    </row>
    <row r="1858" spans="4:33">
      <c r="D1858" s="751"/>
      <c r="E1858" s="751"/>
      <c r="F1858" s="751"/>
      <c r="G1858" s="751"/>
      <c r="H1858" s="751"/>
      <c r="I1858" s="751"/>
      <c r="J1858" s="751"/>
      <c r="K1858" s="751"/>
      <c r="L1858" s="751"/>
      <c r="M1858" s="751"/>
      <c r="N1858" s="751"/>
      <c r="O1858" s="751"/>
      <c r="P1858" s="751"/>
      <c r="Q1858" s="751"/>
      <c r="R1858" s="751"/>
      <c r="S1858" s="751"/>
      <c r="T1858" s="751"/>
      <c r="U1858" s="751"/>
      <c r="V1858" s="751"/>
      <c r="W1858" s="751"/>
      <c r="X1858" s="751"/>
      <c r="Y1858" s="751"/>
      <c r="Z1858" s="751"/>
      <c r="AA1858" s="751"/>
      <c r="AB1858" s="751"/>
      <c r="AC1858" s="751"/>
      <c r="AD1858" s="751"/>
      <c r="AE1858" s="751"/>
      <c r="AF1858" s="751"/>
      <c r="AG1858" s="751"/>
    </row>
    <row r="1859" spans="4:33">
      <c r="D1859" s="751"/>
      <c r="E1859" s="751"/>
      <c r="F1859" s="751"/>
      <c r="G1859" s="751"/>
      <c r="H1859" s="751"/>
      <c r="I1859" s="751"/>
      <c r="J1859" s="751"/>
      <c r="K1859" s="751"/>
      <c r="L1859" s="751"/>
      <c r="M1859" s="751"/>
      <c r="N1859" s="751"/>
      <c r="O1859" s="751"/>
      <c r="P1859" s="751"/>
      <c r="Q1859" s="751"/>
      <c r="R1859" s="751"/>
      <c r="S1859" s="751"/>
      <c r="T1859" s="751"/>
      <c r="U1859" s="751"/>
      <c r="V1859" s="751"/>
      <c r="W1859" s="751"/>
      <c r="X1859" s="751"/>
      <c r="Y1859" s="751"/>
      <c r="Z1859" s="751"/>
      <c r="AA1859" s="751"/>
      <c r="AB1859" s="751"/>
      <c r="AC1859" s="751"/>
      <c r="AD1859" s="751"/>
      <c r="AE1859" s="751"/>
      <c r="AF1859" s="751"/>
      <c r="AG1859" s="751"/>
    </row>
    <row r="1860" spans="4:33">
      <c r="D1860" s="751"/>
      <c r="E1860" s="751"/>
      <c r="F1860" s="751"/>
      <c r="G1860" s="751"/>
      <c r="H1860" s="751"/>
      <c r="I1860" s="751"/>
      <c r="J1860" s="751"/>
      <c r="K1860" s="751"/>
      <c r="L1860" s="751"/>
      <c r="M1860" s="751"/>
      <c r="N1860" s="751"/>
      <c r="O1860" s="751"/>
      <c r="P1860" s="751"/>
      <c r="Q1860" s="751"/>
      <c r="R1860" s="751"/>
      <c r="S1860" s="751"/>
      <c r="T1860" s="751"/>
      <c r="U1860" s="751"/>
      <c r="V1860" s="751"/>
      <c r="W1860" s="751"/>
      <c r="X1860" s="751"/>
      <c r="Y1860" s="751"/>
      <c r="Z1860" s="751"/>
      <c r="AA1860" s="751"/>
      <c r="AB1860" s="751"/>
      <c r="AC1860" s="751"/>
      <c r="AD1860" s="751"/>
      <c r="AE1860" s="751"/>
      <c r="AF1860" s="751"/>
      <c r="AG1860" s="751"/>
    </row>
    <row r="1861" spans="4:33">
      <c r="D1861" s="751"/>
      <c r="E1861" s="751"/>
      <c r="F1861" s="751"/>
      <c r="G1861" s="751"/>
      <c r="H1861" s="751"/>
      <c r="I1861" s="751"/>
      <c r="J1861" s="751"/>
      <c r="K1861" s="751"/>
      <c r="L1861" s="751"/>
      <c r="M1861" s="751"/>
      <c r="N1861" s="751"/>
      <c r="O1861" s="751"/>
      <c r="P1861" s="751"/>
      <c r="Q1861" s="751"/>
      <c r="R1861" s="751"/>
      <c r="S1861" s="751"/>
      <c r="T1861" s="751"/>
      <c r="U1861" s="751"/>
      <c r="V1861" s="751"/>
      <c r="W1861" s="751"/>
      <c r="X1861" s="751"/>
      <c r="Y1861" s="751"/>
      <c r="Z1861" s="751"/>
      <c r="AA1861" s="751"/>
      <c r="AB1861" s="751"/>
      <c r="AC1861" s="751"/>
      <c r="AD1861" s="751"/>
      <c r="AE1861" s="751"/>
      <c r="AF1861" s="751"/>
      <c r="AG1861" s="751"/>
    </row>
    <row r="1862" spans="4:33">
      <c r="D1862" s="751"/>
      <c r="E1862" s="751"/>
      <c r="F1862" s="751"/>
      <c r="G1862" s="751"/>
      <c r="H1862" s="751"/>
      <c r="I1862" s="751"/>
      <c r="J1862" s="751"/>
      <c r="K1862" s="751"/>
      <c r="L1862" s="751"/>
      <c r="M1862" s="751"/>
      <c r="N1862" s="751"/>
      <c r="O1862" s="751"/>
      <c r="P1862" s="751"/>
      <c r="Q1862" s="751"/>
      <c r="R1862" s="751"/>
      <c r="S1862" s="751"/>
      <c r="T1862" s="751"/>
      <c r="U1862" s="751"/>
      <c r="V1862" s="751"/>
      <c r="W1862" s="751"/>
      <c r="X1862" s="751"/>
      <c r="Y1862" s="751"/>
      <c r="Z1862" s="751"/>
      <c r="AA1862" s="751"/>
      <c r="AB1862" s="751"/>
      <c r="AC1862" s="751"/>
      <c r="AD1862" s="751"/>
      <c r="AE1862" s="751"/>
      <c r="AF1862" s="751"/>
      <c r="AG1862" s="751"/>
    </row>
    <row r="1863" spans="4:33">
      <c r="D1863" s="751"/>
      <c r="E1863" s="751"/>
      <c r="F1863" s="751"/>
      <c r="G1863" s="751"/>
      <c r="H1863" s="751"/>
      <c r="I1863" s="751"/>
      <c r="J1863" s="751"/>
      <c r="K1863" s="751"/>
      <c r="L1863" s="751"/>
      <c r="M1863" s="751"/>
      <c r="N1863" s="751"/>
      <c r="O1863" s="751"/>
      <c r="P1863" s="751"/>
      <c r="Q1863" s="751"/>
      <c r="R1863" s="751"/>
      <c r="S1863" s="751"/>
      <c r="T1863" s="751"/>
      <c r="U1863" s="751"/>
      <c r="V1863" s="751"/>
      <c r="W1863" s="751"/>
      <c r="X1863" s="751"/>
      <c r="Y1863" s="751"/>
      <c r="Z1863" s="751"/>
      <c r="AA1863" s="751"/>
      <c r="AB1863" s="751"/>
      <c r="AC1863" s="751"/>
      <c r="AD1863" s="751"/>
      <c r="AE1863" s="751"/>
      <c r="AF1863" s="751"/>
      <c r="AG1863" s="751"/>
    </row>
    <row r="1864" spans="4:33">
      <c r="D1864" s="751"/>
      <c r="E1864" s="751"/>
      <c r="F1864" s="751"/>
      <c r="G1864" s="751"/>
      <c r="H1864" s="751"/>
      <c r="I1864" s="751"/>
      <c r="J1864" s="751"/>
      <c r="K1864" s="751"/>
      <c r="L1864" s="751"/>
      <c r="M1864" s="751"/>
      <c r="N1864" s="751"/>
      <c r="O1864" s="751"/>
      <c r="P1864" s="751"/>
      <c r="Q1864" s="751"/>
      <c r="R1864" s="751"/>
      <c r="S1864" s="751"/>
      <c r="T1864" s="751"/>
      <c r="U1864" s="751"/>
      <c r="V1864" s="751"/>
      <c r="W1864" s="751"/>
      <c r="X1864" s="751"/>
      <c r="Y1864" s="751"/>
      <c r="Z1864" s="751"/>
      <c r="AA1864" s="751"/>
      <c r="AB1864" s="751"/>
      <c r="AC1864" s="751"/>
      <c r="AD1864" s="751"/>
      <c r="AE1864" s="751"/>
      <c r="AF1864" s="751"/>
      <c r="AG1864" s="751"/>
    </row>
    <row r="1865" spans="4:33">
      <c r="D1865" s="751"/>
      <c r="E1865" s="751"/>
      <c r="F1865" s="751"/>
      <c r="G1865" s="751"/>
      <c r="H1865" s="751"/>
      <c r="I1865" s="751"/>
      <c r="J1865" s="751"/>
      <c r="K1865" s="751"/>
      <c r="L1865" s="751"/>
      <c r="M1865" s="751"/>
      <c r="N1865" s="751"/>
      <c r="O1865" s="751"/>
      <c r="P1865" s="751"/>
      <c r="Q1865" s="751"/>
      <c r="R1865" s="751"/>
      <c r="S1865" s="751"/>
      <c r="T1865" s="751"/>
      <c r="U1865" s="751"/>
      <c r="V1865" s="751"/>
      <c r="W1865" s="751"/>
      <c r="X1865" s="751"/>
      <c r="Y1865" s="751"/>
      <c r="Z1865" s="751"/>
      <c r="AA1865" s="751"/>
      <c r="AB1865" s="751"/>
      <c r="AC1865" s="751"/>
      <c r="AD1865" s="751"/>
      <c r="AE1865" s="751"/>
      <c r="AF1865" s="751"/>
      <c r="AG1865" s="751"/>
    </row>
    <row r="1866" spans="4:33">
      <c r="D1866" s="751"/>
      <c r="E1866" s="751"/>
      <c r="F1866" s="751"/>
      <c r="G1866" s="751"/>
      <c r="H1866" s="751"/>
      <c r="I1866" s="751"/>
      <c r="J1866" s="751"/>
      <c r="K1866" s="751"/>
      <c r="L1866" s="751"/>
      <c r="M1866" s="751"/>
      <c r="N1866" s="751"/>
      <c r="O1866" s="751"/>
      <c r="P1866" s="751"/>
      <c r="Q1866" s="751"/>
      <c r="R1866" s="751"/>
      <c r="S1866" s="751"/>
      <c r="T1866" s="751"/>
      <c r="U1866" s="751"/>
      <c r="V1866" s="751"/>
      <c r="W1866" s="751"/>
      <c r="X1866" s="751"/>
      <c r="Y1866" s="751"/>
      <c r="Z1866" s="751"/>
      <c r="AA1866" s="751"/>
      <c r="AB1866" s="751"/>
      <c r="AC1866" s="751"/>
      <c r="AD1866" s="751"/>
      <c r="AE1866" s="751"/>
      <c r="AF1866" s="751"/>
      <c r="AG1866" s="751"/>
    </row>
    <row r="1867" spans="4:33">
      <c r="D1867" s="751"/>
      <c r="E1867" s="751"/>
      <c r="F1867" s="751"/>
      <c r="G1867" s="751"/>
      <c r="H1867" s="751"/>
      <c r="I1867" s="751"/>
      <c r="J1867" s="751"/>
      <c r="K1867" s="751"/>
      <c r="L1867" s="751"/>
      <c r="M1867" s="751"/>
      <c r="N1867" s="751"/>
      <c r="O1867" s="751"/>
      <c r="P1867" s="751"/>
      <c r="Q1867" s="751"/>
      <c r="R1867" s="751"/>
      <c r="S1867" s="751"/>
      <c r="T1867" s="751"/>
      <c r="U1867" s="751"/>
      <c r="V1867" s="751"/>
      <c r="W1867" s="751"/>
      <c r="X1867" s="751"/>
      <c r="Y1867" s="751"/>
      <c r="Z1867" s="751"/>
      <c r="AA1867" s="751"/>
      <c r="AB1867" s="751"/>
      <c r="AC1867" s="751"/>
      <c r="AD1867" s="751"/>
      <c r="AE1867" s="751"/>
      <c r="AF1867" s="751"/>
      <c r="AG1867" s="751"/>
    </row>
    <row r="1868" spans="4:33">
      <c r="D1868" s="751"/>
      <c r="E1868" s="751"/>
      <c r="F1868" s="751"/>
      <c r="G1868" s="751"/>
      <c r="H1868" s="751"/>
      <c r="I1868" s="751"/>
      <c r="J1868" s="751"/>
      <c r="K1868" s="751"/>
      <c r="L1868" s="751"/>
      <c r="M1868" s="751"/>
      <c r="N1868" s="751"/>
      <c r="O1868" s="751"/>
      <c r="P1868" s="751"/>
      <c r="Q1868" s="751"/>
      <c r="R1868" s="751"/>
      <c r="S1868" s="751"/>
      <c r="T1868" s="751"/>
      <c r="U1868" s="751"/>
      <c r="V1868" s="751"/>
      <c r="W1868" s="751"/>
      <c r="X1868" s="751"/>
      <c r="Y1868" s="751"/>
      <c r="Z1868" s="751"/>
      <c r="AA1868" s="751"/>
      <c r="AB1868" s="751"/>
      <c r="AC1868" s="751"/>
      <c r="AD1868" s="751"/>
      <c r="AE1868" s="751"/>
      <c r="AF1868" s="751"/>
      <c r="AG1868" s="751"/>
    </row>
    <row r="1869" spans="4:33">
      <c r="D1869" s="751"/>
      <c r="E1869" s="751"/>
      <c r="F1869" s="751"/>
      <c r="G1869" s="751"/>
      <c r="H1869" s="751"/>
      <c r="I1869" s="751"/>
      <c r="J1869" s="751"/>
      <c r="K1869" s="751"/>
      <c r="L1869" s="751"/>
      <c r="M1869" s="751"/>
      <c r="N1869" s="751"/>
      <c r="O1869" s="751"/>
      <c r="P1869" s="751"/>
      <c r="Q1869" s="751"/>
      <c r="R1869" s="751"/>
      <c r="S1869" s="751"/>
      <c r="T1869" s="751"/>
      <c r="U1869" s="751"/>
      <c r="V1869" s="751"/>
      <c r="W1869" s="751"/>
      <c r="X1869" s="751"/>
      <c r="Y1869" s="751"/>
      <c r="Z1869" s="751"/>
      <c r="AA1869" s="751"/>
      <c r="AB1869" s="751"/>
      <c r="AC1869" s="751"/>
      <c r="AD1869" s="751"/>
      <c r="AE1869" s="751"/>
      <c r="AF1869" s="751"/>
      <c r="AG1869" s="751"/>
    </row>
    <row r="1870" spans="4:33">
      <c r="D1870" s="751"/>
      <c r="E1870" s="751"/>
      <c r="F1870" s="751"/>
      <c r="G1870" s="751"/>
      <c r="H1870" s="751"/>
      <c r="I1870" s="751"/>
      <c r="J1870" s="751"/>
      <c r="K1870" s="751"/>
      <c r="L1870" s="751"/>
      <c r="M1870" s="751"/>
      <c r="N1870" s="751"/>
      <c r="O1870" s="751"/>
      <c r="P1870" s="751"/>
      <c r="Q1870" s="751"/>
      <c r="R1870" s="751"/>
      <c r="S1870" s="751"/>
      <c r="T1870" s="751"/>
      <c r="U1870" s="751"/>
      <c r="V1870" s="751"/>
      <c r="W1870" s="751"/>
      <c r="X1870" s="751"/>
      <c r="Y1870" s="751"/>
      <c r="Z1870" s="751"/>
      <c r="AA1870" s="751"/>
      <c r="AB1870" s="751"/>
      <c r="AC1870" s="751"/>
      <c r="AD1870" s="751"/>
      <c r="AE1870" s="751"/>
      <c r="AF1870" s="751"/>
      <c r="AG1870" s="751"/>
    </row>
    <row r="1871" spans="4:33">
      <c r="D1871" s="751"/>
      <c r="E1871" s="751"/>
      <c r="F1871" s="751"/>
      <c r="G1871" s="751"/>
      <c r="H1871" s="751"/>
      <c r="I1871" s="751"/>
      <c r="J1871" s="751"/>
      <c r="K1871" s="751"/>
      <c r="L1871" s="751"/>
      <c r="M1871" s="751"/>
      <c r="N1871" s="751"/>
      <c r="O1871" s="751"/>
      <c r="P1871" s="751"/>
      <c r="Q1871" s="751"/>
      <c r="R1871" s="751"/>
      <c r="S1871" s="751"/>
      <c r="T1871" s="751"/>
      <c r="U1871" s="751"/>
      <c r="V1871" s="751"/>
      <c r="W1871" s="751"/>
      <c r="X1871" s="751"/>
      <c r="Y1871" s="751"/>
      <c r="Z1871" s="751"/>
      <c r="AA1871" s="751"/>
      <c r="AB1871" s="751"/>
      <c r="AC1871" s="751"/>
      <c r="AD1871" s="751"/>
      <c r="AE1871" s="751"/>
      <c r="AF1871" s="751"/>
      <c r="AG1871" s="751"/>
    </row>
    <row r="1872" spans="4:33">
      <c r="D1872" s="751"/>
      <c r="E1872" s="751"/>
      <c r="F1872" s="751"/>
      <c r="G1872" s="751"/>
      <c r="H1872" s="751"/>
      <c r="I1872" s="751"/>
      <c r="J1872" s="751"/>
      <c r="K1872" s="751"/>
      <c r="L1872" s="751"/>
      <c r="M1872" s="751"/>
      <c r="N1872" s="751"/>
      <c r="O1872" s="751"/>
      <c r="P1872" s="751"/>
      <c r="Q1872" s="751"/>
      <c r="R1872" s="751"/>
      <c r="S1872" s="751"/>
      <c r="T1872" s="751"/>
      <c r="U1872" s="751"/>
      <c r="V1872" s="751"/>
      <c r="W1872" s="751"/>
      <c r="X1872" s="751"/>
      <c r="Y1872" s="751"/>
      <c r="Z1872" s="751"/>
      <c r="AA1872" s="751"/>
      <c r="AB1872" s="751"/>
      <c r="AC1872" s="751"/>
      <c r="AD1872" s="751"/>
      <c r="AE1872" s="751"/>
      <c r="AF1872" s="751"/>
      <c r="AG1872" s="751"/>
    </row>
    <row r="1873" spans="4:33">
      <c r="D1873" s="751"/>
      <c r="E1873" s="751"/>
      <c r="F1873" s="751"/>
      <c r="G1873" s="751"/>
      <c r="H1873" s="751"/>
      <c r="I1873" s="751"/>
      <c r="J1873" s="751"/>
      <c r="K1873" s="751"/>
      <c r="L1873" s="751"/>
      <c r="M1873" s="751"/>
      <c r="N1873" s="751"/>
      <c r="O1873" s="751"/>
      <c r="P1873" s="751"/>
      <c r="Q1873" s="751"/>
      <c r="R1873" s="751"/>
      <c r="S1873" s="751"/>
      <c r="T1873" s="751"/>
      <c r="U1873" s="751"/>
      <c r="V1873" s="751"/>
      <c r="W1873" s="751"/>
      <c r="X1873" s="751"/>
      <c r="Y1873" s="751"/>
      <c r="Z1873" s="751"/>
      <c r="AA1873" s="751"/>
      <c r="AB1873" s="751"/>
      <c r="AC1873" s="751"/>
      <c r="AD1873" s="751"/>
      <c r="AE1873" s="751"/>
      <c r="AF1873" s="751"/>
      <c r="AG1873" s="751"/>
    </row>
    <row r="1874" spans="4:33">
      <c r="D1874" s="751"/>
      <c r="E1874" s="751"/>
      <c r="F1874" s="751"/>
      <c r="G1874" s="751"/>
      <c r="H1874" s="751"/>
      <c r="I1874" s="751"/>
      <c r="J1874" s="751"/>
      <c r="K1874" s="751"/>
      <c r="L1874" s="751"/>
      <c r="M1874" s="751"/>
      <c r="N1874" s="751"/>
      <c r="O1874" s="751"/>
      <c r="P1874" s="751"/>
      <c r="Q1874" s="751"/>
      <c r="R1874" s="751"/>
      <c r="S1874" s="751"/>
      <c r="T1874" s="751"/>
      <c r="U1874" s="751"/>
      <c r="V1874" s="751"/>
      <c r="W1874" s="751"/>
      <c r="X1874" s="751"/>
      <c r="Y1874" s="751"/>
      <c r="Z1874" s="751"/>
      <c r="AA1874" s="751"/>
      <c r="AB1874" s="751"/>
      <c r="AC1874" s="751"/>
      <c r="AD1874" s="751"/>
      <c r="AE1874" s="751"/>
      <c r="AF1874" s="751"/>
      <c r="AG1874" s="751"/>
    </row>
    <row r="1875" spans="4:33">
      <c r="D1875" s="751"/>
      <c r="E1875" s="751"/>
      <c r="F1875" s="751"/>
      <c r="G1875" s="751"/>
      <c r="H1875" s="751"/>
      <c r="I1875" s="751"/>
      <c r="J1875" s="751"/>
      <c r="K1875" s="751"/>
      <c r="L1875" s="751"/>
      <c r="M1875" s="751"/>
      <c r="N1875" s="751"/>
      <c r="O1875" s="751"/>
      <c r="P1875" s="751"/>
      <c r="Q1875" s="751"/>
      <c r="R1875" s="751"/>
      <c r="S1875" s="751"/>
      <c r="T1875" s="751"/>
      <c r="U1875" s="751"/>
      <c r="V1875" s="751"/>
      <c r="W1875" s="751"/>
      <c r="X1875" s="751"/>
      <c r="Y1875" s="751"/>
      <c r="Z1875" s="751"/>
      <c r="AA1875" s="751"/>
      <c r="AB1875" s="751"/>
      <c r="AC1875" s="751"/>
      <c r="AD1875" s="751"/>
      <c r="AE1875" s="751"/>
      <c r="AF1875" s="751"/>
      <c r="AG1875" s="751"/>
    </row>
    <row r="1876" spans="4:33">
      <c r="D1876" s="751"/>
      <c r="E1876" s="751"/>
      <c r="F1876" s="751"/>
      <c r="G1876" s="751"/>
      <c r="H1876" s="751"/>
      <c r="I1876" s="751"/>
      <c r="J1876" s="751"/>
      <c r="K1876" s="751"/>
      <c r="L1876" s="751"/>
      <c r="M1876" s="751"/>
      <c r="N1876" s="751"/>
      <c r="O1876" s="751"/>
      <c r="P1876" s="751"/>
      <c r="Q1876" s="751"/>
      <c r="R1876" s="751"/>
      <c r="S1876" s="751"/>
      <c r="T1876" s="751"/>
      <c r="U1876" s="751"/>
      <c r="V1876" s="751"/>
      <c r="W1876" s="751"/>
      <c r="X1876" s="751"/>
      <c r="Y1876" s="751"/>
      <c r="Z1876" s="751"/>
      <c r="AA1876" s="751"/>
      <c r="AB1876" s="751"/>
      <c r="AC1876" s="751"/>
      <c r="AD1876" s="751"/>
      <c r="AE1876" s="751"/>
      <c r="AF1876" s="751"/>
      <c r="AG1876" s="751"/>
    </row>
    <row r="1877" spans="4:33">
      <c r="D1877" s="751"/>
      <c r="E1877" s="751"/>
      <c r="F1877" s="751"/>
      <c r="G1877" s="751"/>
      <c r="H1877" s="751"/>
      <c r="I1877" s="751"/>
      <c r="J1877" s="751"/>
      <c r="K1877" s="751"/>
      <c r="L1877" s="751"/>
      <c r="M1877" s="751"/>
      <c r="N1877" s="751"/>
      <c r="O1877" s="751"/>
      <c r="P1877" s="751"/>
      <c r="Q1877" s="751"/>
      <c r="R1877" s="751"/>
      <c r="S1877" s="751"/>
      <c r="T1877" s="751"/>
      <c r="U1877" s="751"/>
      <c r="V1877" s="751"/>
      <c r="W1877" s="751"/>
      <c r="X1877" s="751"/>
      <c r="Y1877" s="751"/>
      <c r="Z1877" s="751"/>
      <c r="AA1877" s="751"/>
      <c r="AB1877" s="751"/>
      <c r="AC1877" s="751"/>
      <c r="AD1877" s="751"/>
      <c r="AE1877" s="751"/>
      <c r="AF1877" s="751"/>
      <c r="AG1877" s="751"/>
    </row>
    <row r="1878" spans="4:33">
      <c r="D1878" s="751"/>
      <c r="E1878" s="751"/>
      <c r="F1878" s="751"/>
      <c r="G1878" s="751"/>
      <c r="H1878" s="751"/>
      <c r="I1878" s="751"/>
      <c r="J1878" s="751"/>
      <c r="K1878" s="751"/>
      <c r="L1878" s="751"/>
      <c r="M1878" s="751"/>
      <c r="N1878" s="751"/>
      <c r="O1878" s="751"/>
      <c r="P1878" s="751"/>
      <c r="Q1878" s="751"/>
      <c r="R1878" s="751"/>
      <c r="S1878" s="751"/>
      <c r="T1878" s="751"/>
      <c r="U1878" s="751"/>
      <c r="V1878" s="751"/>
      <c r="W1878" s="751"/>
      <c r="X1878" s="751"/>
      <c r="Y1878" s="751"/>
      <c r="Z1878" s="751"/>
      <c r="AA1878" s="751"/>
      <c r="AB1878" s="751"/>
      <c r="AC1878" s="751"/>
      <c r="AD1878" s="751"/>
      <c r="AE1878" s="751"/>
      <c r="AF1878" s="751"/>
      <c r="AG1878" s="751"/>
    </row>
    <row r="1879" spans="4:33">
      <c r="D1879" s="751"/>
      <c r="E1879" s="751"/>
      <c r="F1879" s="751"/>
      <c r="G1879" s="751"/>
      <c r="H1879" s="751"/>
      <c r="I1879" s="751"/>
      <c r="J1879" s="751"/>
      <c r="K1879" s="751"/>
      <c r="L1879" s="751"/>
      <c r="M1879" s="751"/>
      <c r="N1879" s="751"/>
      <c r="O1879" s="751"/>
      <c r="P1879" s="751"/>
      <c r="Q1879" s="751"/>
      <c r="R1879" s="751"/>
      <c r="S1879" s="751"/>
      <c r="T1879" s="751"/>
      <c r="U1879" s="751"/>
      <c r="V1879" s="751"/>
      <c r="W1879" s="751"/>
      <c r="X1879" s="751"/>
      <c r="Y1879" s="751"/>
      <c r="Z1879" s="751"/>
      <c r="AA1879" s="751"/>
      <c r="AB1879" s="751"/>
      <c r="AC1879" s="751"/>
      <c r="AD1879" s="751"/>
      <c r="AE1879" s="751"/>
      <c r="AF1879" s="751"/>
      <c r="AG1879" s="751"/>
    </row>
    <row r="1880" spans="4:33">
      <c r="D1880" s="751"/>
      <c r="E1880" s="751"/>
      <c r="F1880" s="751"/>
      <c r="G1880" s="751"/>
      <c r="H1880" s="751"/>
      <c r="I1880" s="751"/>
      <c r="J1880" s="751"/>
      <c r="K1880" s="751"/>
      <c r="L1880" s="751"/>
      <c r="M1880" s="751"/>
      <c r="N1880" s="751"/>
      <c r="O1880" s="751"/>
      <c r="P1880" s="751"/>
      <c r="Q1880" s="751"/>
      <c r="R1880" s="751"/>
      <c r="S1880" s="751"/>
      <c r="T1880" s="751"/>
      <c r="U1880" s="751"/>
      <c r="V1880" s="751"/>
      <c r="W1880" s="751"/>
      <c r="X1880" s="751"/>
      <c r="Y1880" s="751"/>
      <c r="Z1880" s="751"/>
      <c r="AA1880" s="751"/>
      <c r="AB1880" s="751"/>
      <c r="AC1880" s="751"/>
      <c r="AD1880" s="751"/>
      <c r="AE1880" s="751"/>
      <c r="AF1880" s="751"/>
      <c r="AG1880" s="751"/>
    </row>
    <row r="1881" spans="4:33">
      <c r="D1881" s="751"/>
      <c r="E1881" s="751"/>
      <c r="F1881" s="751"/>
      <c r="G1881" s="751"/>
      <c r="H1881" s="751"/>
      <c r="I1881" s="751"/>
      <c r="J1881" s="751"/>
      <c r="K1881" s="751"/>
      <c r="L1881" s="751"/>
      <c r="M1881" s="751"/>
      <c r="N1881" s="751"/>
      <c r="O1881" s="751"/>
      <c r="P1881" s="751"/>
      <c r="Q1881" s="751"/>
      <c r="R1881" s="751"/>
      <c r="S1881" s="751"/>
      <c r="T1881" s="751"/>
      <c r="U1881" s="751"/>
      <c r="V1881" s="751"/>
      <c r="W1881" s="751"/>
      <c r="X1881" s="751"/>
      <c r="Y1881" s="751"/>
      <c r="Z1881" s="751"/>
      <c r="AA1881" s="751"/>
      <c r="AB1881" s="751"/>
      <c r="AC1881" s="751"/>
      <c r="AD1881" s="751"/>
      <c r="AE1881" s="751"/>
      <c r="AF1881" s="751"/>
      <c r="AG1881" s="751"/>
    </row>
    <row r="1882" spans="4:33">
      <c r="D1882" s="751"/>
      <c r="E1882" s="751"/>
      <c r="F1882" s="751"/>
      <c r="G1882" s="751"/>
      <c r="H1882" s="751"/>
      <c r="I1882" s="751"/>
      <c r="J1882" s="751"/>
      <c r="K1882" s="751"/>
      <c r="L1882" s="751"/>
      <c r="M1882" s="751"/>
      <c r="N1882" s="751"/>
      <c r="O1882" s="751"/>
      <c r="P1882" s="751"/>
      <c r="Q1882" s="751"/>
      <c r="R1882" s="751"/>
      <c r="S1882" s="751"/>
      <c r="T1882" s="751"/>
      <c r="U1882" s="751"/>
      <c r="V1882" s="751"/>
      <c r="W1882" s="751"/>
      <c r="X1882" s="751"/>
      <c r="Y1882" s="751"/>
      <c r="Z1882" s="751"/>
      <c r="AA1882" s="751"/>
      <c r="AB1882" s="751"/>
      <c r="AC1882" s="751"/>
      <c r="AD1882" s="751"/>
      <c r="AE1882" s="751"/>
      <c r="AF1882" s="751"/>
      <c r="AG1882" s="751"/>
    </row>
    <row r="1883" spans="4:33">
      <c r="D1883" s="751"/>
      <c r="E1883" s="751"/>
      <c r="F1883" s="751"/>
      <c r="G1883" s="751"/>
      <c r="H1883" s="751"/>
      <c r="I1883" s="751"/>
      <c r="J1883" s="751"/>
      <c r="K1883" s="751"/>
      <c r="L1883" s="751"/>
      <c r="M1883" s="751"/>
      <c r="N1883" s="751"/>
      <c r="O1883" s="751"/>
      <c r="P1883" s="751"/>
      <c r="Q1883" s="751"/>
      <c r="R1883" s="751"/>
      <c r="S1883" s="751"/>
      <c r="T1883" s="751"/>
      <c r="U1883" s="751"/>
      <c r="V1883" s="751"/>
      <c r="W1883" s="751"/>
      <c r="X1883" s="751"/>
      <c r="Y1883" s="751"/>
      <c r="Z1883" s="751"/>
      <c r="AA1883" s="751"/>
      <c r="AB1883" s="751"/>
      <c r="AC1883" s="751"/>
      <c r="AD1883" s="751"/>
      <c r="AE1883" s="751"/>
      <c r="AF1883" s="751"/>
      <c r="AG1883" s="751"/>
    </row>
    <row r="1884" spans="4:33">
      <c r="D1884" s="751"/>
      <c r="E1884" s="751"/>
      <c r="F1884" s="751"/>
      <c r="G1884" s="751"/>
      <c r="H1884" s="751"/>
      <c r="I1884" s="751"/>
      <c r="J1884" s="751"/>
      <c r="K1884" s="751"/>
      <c r="L1884" s="751"/>
      <c r="M1884" s="751"/>
      <c r="N1884" s="751"/>
      <c r="O1884" s="751"/>
      <c r="P1884" s="751"/>
      <c r="Q1884" s="751"/>
      <c r="R1884" s="751"/>
      <c r="S1884" s="751"/>
      <c r="T1884" s="751"/>
      <c r="U1884" s="751"/>
      <c r="V1884" s="751"/>
      <c r="W1884" s="751"/>
      <c r="X1884" s="751"/>
      <c r="Y1884" s="751"/>
      <c r="Z1884" s="751"/>
      <c r="AA1884" s="751"/>
      <c r="AB1884" s="751"/>
      <c r="AC1884" s="751"/>
      <c r="AD1884" s="751"/>
      <c r="AE1884" s="751"/>
      <c r="AF1884" s="751"/>
      <c r="AG1884" s="751"/>
    </row>
    <row r="1885" spans="4:33">
      <c r="D1885" s="751"/>
      <c r="E1885" s="751"/>
      <c r="F1885" s="751"/>
      <c r="G1885" s="751"/>
      <c r="H1885" s="751"/>
      <c r="I1885" s="751"/>
      <c r="J1885" s="751"/>
      <c r="K1885" s="751"/>
      <c r="L1885" s="751"/>
      <c r="M1885" s="751"/>
      <c r="N1885" s="751"/>
      <c r="O1885" s="751"/>
      <c r="P1885" s="751"/>
      <c r="Q1885" s="751"/>
      <c r="R1885" s="751"/>
      <c r="S1885" s="751"/>
      <c r="T1885" s="751"/>
      <c r="U1885" s="751"/>
      <c r="V1885" s="751"/>
      <c r="W1885" s="751"/>
      <c r="X1885" s="751"/>
      <c r="Y1885" s="751"/>
      <c r="Z1885" s="751"/>
      <c r="AA1885" s="751"/>
      <c r="AB1885" s="751"/>
      <c r="AC1885" s="751"/>
      <c r="AD1885" s="751"/>
      <c r="AE1885" s="751"/>
      <c r="AF1885" s="751"/>
      <c r="AG1885" s="751"/>
    </row>
    <row r="1886" spans="4:33">
      <c r="D1886" s="751"/>
      <c r="E1886" s="751"/>
      <c r="F1886" s="751"/>
      <c r="G1886" s="751"/>
      <c r="H1886" s="751"/>
      <c r="I1886" s="751"/>
      <c r="J1886" s="751"/>
      <c r="K1886" s="751"/>
      <c r="L1886" s="751"/>
      <c r="M1886" s="751"/>
      <c r="N1886" s="751"/>
      <c r="O1886" s="751"/>
      <c r="P1886" s="751"/>
      <c r="Q1886" s="751"/>
      <c r="R1886" s="751"/>
      <c r="S1886" s="751"/>
      <c r="T1886" s="751"/>
      <c r="U1886" s="751"/>
      <c r="V1886" s="751"/>
      <c r="W1886" s="751"/>
      <c r="X1886" s="751"/>
      <c r="Y1886" s="751"/>
      <c r="Z1886" s="751"/>
      <c r="AA1886" s="751"/>
      <c r="AB1886" s="751"/>
      <c r="AC1886" s="751"/>
      <c r="AD1886" s="751"/>
      <c r="AE1886" s="751"/>
      <c r="AF1886" s="751"/>
      <c r="AG1886" s="751"/>
    </row>
    <row r="1887" spans="4:33">
      <c r="D1887" s="751"/>
      <c r="E1887" s="751"/>
      <c r="F1887" s="751"/>
      <c r="G1887" s="751"/>
      <c r="H1887" s="751"/>
      <c r="I1887" s="751"/>
      <c r="J1887" s="751"/>
      <c r="K1887" s="751"/>
      <c r="L1887" s="751"/>
      <c r="M1887" s="751"/>
      <c r="N1887" s="751"/>
      <c r="O1887" s="751"/>
      <c r="P1887" s="751"/>
      <c r="Q1887" s="751"/>
      <c r="R1887" s="751"/>
      <c r="S1887" s="751"/>
      <c r="T1887" s="751"/>
      <c r="U1887" s="751"/>
      <c r="V1887" s="751"/>
      <c r="W1887" s="751"/>
      <c r="X1887" s="751"/>
      <c r="Y1887" s="751"/>
      <c r="Z1887" s="751"/>
      <c r="AA1887" s="751"/>
      <c r="AB1887" s="751"/>
      <c r="AC1887" s="751"/>
      <c r="AD1887" s="751"/>
      <c r="AE1887" s="751"/>
      <c r="AF1887" s="751"/>
      <c r="AG1887" s="751"/>
    </row>
    <row r="1888" spans="4:33">
      <c r="D1888" s="751"/>
      <c r="E1888" s="751"/>
      <c r="F1888" s="751"/>
      <c r="G1888" s="751"/>
      <c r="H1888" s="751"/>
      <c r="I1888" s="751"/>
      <c r="J1888" s="751"/>
      <c r="K1888" s="751"/>
      <c r="L1888" s="751"/>
      <c r="M1888" s="751"/>
      <c r="N1888" s="751"/>
      <c r="O1888" s="751"/>
      <c r="P1888" s="751"/>
      <c r="Q1888" s="751"/>
      <c r="R1888" s="751"/>
      <c r="S1888" s="751"/>
      <c r="T1888" s="751"/>
      <c r="U1888" s="751"/>
      <c r="V1888" s="751"/>
      <c r="W1888" s="751"/>
      <c r="X1888" s="751"/>
      <c r="Y1888" s="751"/>
      <c r="Z1888" s="751"/>
      <c r="AA1888" s="751"/>
      <c r="AB1888" s="751"/>
      <c r="AC1888" s="751"/>
      <c r="AD1888" s="751"/>
      <c r="AE1888" s="751"/>
      <c r="AF1888" s="751"/>
      <c r="AG1888" s="751"/>
    </row>
    <row r="1889" spans="4:33">
      <c r="D1889" s="751"/>
      <c r="E1889" s="751"/>
      <c r="F1889" s="751"/>
      <c r="G1889" s="751"/>
      <c r="H1889" s="751"/>
      <c r="I1889" s="751"/>
      <c r="J1889" s="751"/>
      <c r="K1889" s="751"/>
      <c r="L1889" s="751"/>
      <c r="M1889" s="751"/>
      <c r="N1889" s="751"/>
      <c r="O1889" s="751"/>
      <c r="P1889" s="751"/>
      <c r="Q1889" s="751"/>
      <c r="R1889" s="751"/>
      <c r="S1889" s="751"/>
      <c r="T1889" s="751"/>
      <c r="U1889" s="751"/>
      <c r="V1889" s="751"/>
      <c r="W1889" s="751"/>
      <c r="X1889" s="751"/>
      <c r="Y1889" s="751"/>
      <c r="Z1889" s="751"/>
      <c r="AA1889" s="751"/>
      <c r="AB1889" s="751"/>
      <c r="AC1889" s="751"/>
      <c r="AD1889" s="751"/>
      <c r="AE1889" s="751"/>
      <c r="AF1889" s="751"/>
      <c r="AG1889" s="751"/>
    </row>
    <row r="1890" spans="4:33">
      <c r="D1890" s="751"/>
      <c r="E1890" s="751"/>
      <c r="F1890" s="751"/>
      <c r="G1890" s="751"/>
      <c r="H1890" s="751"/>
      <c r="I1890" s="751"/>
      <c r="J1890" s="751"/>
      <c r="K1890" s="751"/>
      <c r="L1890" s="751"/>
      <c r="M1890" s="751"/>
      <c r="N1890" s="751"/>
      <c r="O1890" s="751"/>
      <c r="P1890" s="751"/>
      <c r="Q1890" s="751"/>
      <c r="R1890" s="751"/>
      <c r="S1890" s="751"/>
      <c r="T1890" s="751"/>
      <c r="U1890" s="751"/>
      <c r="V1890" s="751"/>
      <c r="W1890" s="751"/>
      <c r="X1890" s="751"/>
      <c r="Y1890" s="751"/>
      <c r="Z1890" s="751"/>
      <c r="AA1890" s="751"/>
      <c r="AB1890" s="751"/>
      <c r="AC1890" s="751"/>
      <c r="AD1890" s="751"/>
      <c r="AE1890" s="751"/>
      <c r="AF1890" s="751"/>
      <c r="AG1890" s="751"/>
    </row>
    <row r="1891" spans="4:33">
      <c r="D1891" s="751"/>
      <c r="E1891" s="751"/>
      <c r="F1891" s="751"/>
      <c r="G1891" s="751"/>
      <c r="H1891" s="751"/>
      <c r="I1891" s="751"/>
      <c r="J1891" s="751"/>
      <c r="K1891" s="751"/>
      <c r="L1891" s="751"/>
      <c r="M1891" s="751"/>
      <c r="N1891" s="751"/>
      <c r="O1891" s="751"/>
      <c r="P1891" s="751"/>
      <c r="Q1891" s="751"/>
      <c r="R1891" s="751"/>
      <c r="S1891" s="751"/>
      <c r="T1891" s="751"/>
      <c r="U1891" s="751"/>
      <c r="V1891" s="751"/>
      <c r="W1891" s="751"/>
      <c r="X1891" s="751"/>
      <c r="Y1891" s="751"/>
      <c r="Z1891" s="751"/>
      <c r="AA1891" s="751"/>
      <c r="AB1891" s="751"/>
      <c r="AC1891" s="751"/>
      <c r="AD1891" s="751"/>
      <c r="AE1891" s="751"/>
      <c r="AF1891" s="751"/>
      <c r="AG1891" s="751"/>
    </row>
    <row r="1892" spans="4:33">
      <c r="D1892" s="751"/>
      <c r="E1892" s="751"/>
      <c r="F1892" s="751"/>
      <c r="G1892" s="751"/>
      <c r="H1892" s="751"/>
      <c r="I1892" s="751"/>
      <c r="J1892" s="751"/>
      <c r="K1892" s="751"/>
      <c r="L1892" s="751"/>
      <c r="M1892" s="751"/>
      <c r="N1892" s="751"/>
      <c r="O1892" s="751"/>
      <c r="P1892" s="751"/>
      <c r="Q1892" s="751"/>
      <c r="R1892" s="751"/>
      <c r="S1892" s="751"/>
      <c r="T1892" s="751"/>
      <c r="U1892" s="751"/>
      <c r="V1892" s="751"/>
      <c r="W1892" s="751"/>
      <c r="X1892" s="751"/>
      <c r="Y1892" s="751"/>
      <c r="Z1892" s="751"/>
      <c r="AA1892" s="751"/>
      <c r="AB1892" s="751"/>
      <c r="AC1892" s="751"/>
      <c r="AD1892" s="751"/>
      <c r="AE1892" s="751"/>
      <c r="AF1892" s="751"/>
      <c r="AG1892" s="751"/>
    </row>
    <row r="1893" spans="4:33">
      <c r="D1893" s="751"/>
      <c r="E1893" s="751"/>
      <c r="F1893" s="751"/>
      <c r="G1893" s="751"/>
      <c r="H1893" s="751"/>
      <c r="I1893" s="751"/>
      <c r="J1893" s="751"/>
      <c r="K1893" s="751"/>
      <c r="L1893" s="751"/>
      <c r="M1893" s="751"/>
      <c r="N1893" s="751"/>
      <c r="O1893" s="751"/>
      <c r="P1893" s="751"/>
      <c r="Q1893" s="751"/>
      <c r="R1893" s="751"/>
      <c r="S1893" s="751"/>
      <c r="T1893" s="751"/>
      <c r="U1893" s="751"/>
      <c r="V1893" s="751"/>
      <c r="W1893" s="751"/>
      <c r="X1893" s="751"/>
      <c r="Y1893" s="751"/>
      <c r="Z1893" s="751"/>
      <c r="AA1893" s="751"/>
      <c r="AB1893" s="751"/>
      <c r="AC1893" s="751"/>
      <c r="AD1893" s="751"/>
      <c r="AE1893" s="751"/>
      <c r="AF1893" s="751"/>
      <c r="AG1893" s="751"/>
    </row>
    <row r="1894" spans="4:33">
      <c r="D1894" s="751"/>
      <c r="E1894" s="751"/>
      <c r="F1894" s="751"/>
      <c r="G1894" s="751"/>
      <c r="H1894" s="751"/>
      <c r="I1894" s="751"/>
      <c r="J1894" s="751"/>
      <c r="K1894" s="751"/>
      <c r="L1894" s="751"/>
      <c r="M1894" s="751"/>
      <c r="N1894" s="751"/>
      <c r="O1894" s="751"/>
      <c r="P1894" s="751"/>
      <c r="Q1894" s="751"/>
      <c r="R1894" s="751"/>
      <c r="S1894" s="751"/>
      <c r="T1894" s="751"/>
      <c r="U1894" s="751"/>
      <c r="V1894" s="751"/>
      <c r="W1894" s="751"/>
      <c r="X1894" s="751"/>
      <c r="Y1894" s="751"/>
      <c r="Z1894" s="751"/>
      <c r="AA1894" s="751"/>
      <c r="AB1894" s="751"/>
      <c r="AC1894" s="751"/>
      <c r="AD1894" s="751"/>
      <c r="AE1894" s="751"/>
      <c r="AF1894" s="751"/>
      <c r="AG1894" s="751"/>
    </row>
    <row r="1895" spans="4:33">
      <c r="D1895" s="751"/>
      <c r="E1895" s="751"/>
      <c r="F1895" s="751"/>
      <c r="G1895" s="751"/>
      <c r="H1895" s="751"/>
      <c r="I1895" s="751"/>
      <c r="J1895" s="751"/>
      <c r="K1895" s="751"/>
      <c r="L1895" s="751"/>
      <c r="M1895" s="751"/>
      <c r="N1895" s="751"/>
      <c r="O1895" s="751"/>
      <c r="P1895" s="751"/>
      <c r="Q1895" s="751"/>
      <c r="R1895" s="751"/>
      <c r="S1895" s="751"/>
      <c r="T1895" s="751"/>
      <c r="U1895" s="751"/>
      <c r="V1895" s="751"/>
      <c r="W1895" s="751"/>
      <c r="X1895" s="751"/>
      <c r="Y1895" s="751"/>
      <c r="Z1895" s="751"/>
      <c r="AA1895" s="751"/>
      <c r="AB1895" s="751"/>
      <c r="AC1895" s="751"/>
      <c r="AD1895" s="751"/>
      <c r="AE1895" s="751"/>
      <c r="AF1895" s="751"/>
      <c r="AG1895" s="751"/>
    </row>
    <row r="1896" spans="4:33">
      <c r="D1896" s="751"/>
      <c r="E1896" s="751"/>
      <c r="F1896" s="751"/>
      <c r="G1896" s="751"/>
      <c r="H1896" s="751"/>
      <c r="I1896" s="751"/>
      <c r="J1896" s="751"/>
      <c r="K1896" s="751"/>
      <c r="L1896" s="751"/>
      <c r="M1896" s="751"/>
      <c r="N1896" s="751"/>
      <c r="O1896" s="751"/>
      <c r="P1896" s="751"/>
      <c r="Q1896" s="751"/>
      <c r="R1896" s="751"/>
      <c r="S1896" s="751"/>
      <c r="T1896" s="751"/>
      <c r="U1896" s="751"/>
      <c r="V1896" s="751"/>
      <c r="W1896" s="751"/>
      <c r="X1896" s="751"/>
      <c r="Y1896" s="751"/>
      <c r="Z1896" s="751"/>
      <c r="AA1896" s="751"/>
      <c r="AB1896" s="751"/>
      <c r="AC1896" s="751"/>
      <c r="AD1896" s="751"/>
      <c r="AE1896" s="751"/>
      <c r="AF1896" s="751"/>
      <c r="AG1896" s="751"/>
    </row>
    <row r="1897" spans="4:33">
      <c r="D1897" s="751"/>
      <c r="E1897" s="751"/>
      <c r="F1897" s="751"/>
      <c r="G1897" s="751"/>
      <c r="H1897" s="751"/>
      <c r="I1897" s="751"/>
      <c r="J1897" s="751"/>
      <c r="K1897" s="751"/>
      <c r="L1897" s="751"/>
      <c r="M1897" s="751"/>
      <c r="N1897" s="751"/>
      <c r="O1897" s="751"/>
      <c r="P1897" s="751"/>
      <c r="Q1897" s="751"/>
      <c r="R1897" s="751"/>
      <c r="S1897" s="751"/>
      <c r="T1897" s="751"/>
      <c r="U1897" s="751"/>
      <c r="V1897" s="751"/>
      <c r="W1897" s="751"/>
      <c r="X1897" s="751"/>
      <c r="Y1897" s="751"/>
      <c r="Z1897" s="751"/>
      <c r="AA1897" s="751"/>
      <c r="AB1897" s="751"/>
      <c r="AC1897" s="751"/>
      <c r="AD1897" s="751"/>
      <c r="AE1897" s="751"/>
      <c r="AF1897" s="751"/>
      <c r="AG1897" s="751"/>
    </row>
    <row r="1898" spans="4:33">
      <c r="D1898" s="751"/>
      <c r="E1898" s="751"/>
      <c r="F1898" s="751"/>
      <c r="G1898" s="751"/>
      <c r="H1898" s="751"/>
      <c r="I1898" s="751"/>
      <c r="J1898" s="751"/>
      <c r="K1898" s="751"/>
      <c r="L1898" s="751"/>
      <c r="M1898" s="751"/>
      <c r="N1898" s="751"/>
      <c r="O1898" s="751"/>
      <c r="P1898" s="751"/>
      <c r="Q1898" s="751"/>
      <c r="R1898" s="751"/>
      <c r="S1898" s="751"/>
      <c r="T1898" s="751"/>
      <c r="U1898" s="751"/>
      <c r="V1898" s="751"/>
      <c r="W1898" s="751"/>
      <c r="X1898" s="751"/>
      <c r="Y1898" s="751"/>
      <c r="Z1898" s="751"/>
      <c r="AA1898" s="751"/>
      <c r="AB1898" s="751"/>
      <c r="AC1898" s="751"/>
      <c r="AD1898" s="751"/>
      <c r="AE1898" s="751"/>
      <c r="AF1898" s="751"/>
      <c r="AG1898" s="751"/>
    </row>
    <row r="1899" spans="4:33">
      <c r="D1899" s="751"/>
      <c r="E1899" s="751"/>
      <c r="F1899" s="751"/>
      <c r="G1899" s="751"/>
      <c r="H1899" s="751"/>
      <c r="I1899" s="751"/>
      <c r="J1899" s="751"/>
      <c r="K1899" s="751"/>
      <c r="L1899" s="751"/>
      <c r="M1899" s="751"/>
      <c r="N1899" s="751"/>
      <c r="O1899" s="751"/>
      <c r="P1899" s="751"/>
      <c r="Q1899" s="751"/>
      <c r="R1899" s="751"/>
      <c r="S1899" s="751"/>
      <c r="T1899" s="751"/>
      <c r="U1899" s="751"/>
      <c r="V1899" s="751"/>
      <c r="W1899" s="751"/>
      <c r="X1899" s="751"/>
      <c r="Y1899" s="751"/>
      <c r="Z1899" s="751"/>
      <c r="AA1899" s="751"/>
      <c r="AB1899" s="751"/>
      <c r="AC1899" s="751"/>
      <c r="AD1899" s="751"/>
      <c r="AE1899" s="751"/>
      <c r="AF1899" s="751"/>
      <c r="AG1899" s="751"/>
    </row>
    <row r="1900" spans="4:33">
      <c r="D1900" s="751"/>
      <c r="E1900" s="751"/>
      <c r="F1900" s="751"/>
      <c r="G1900" s="751"/>
      <c r="H1900" s="751"/>
      <c r="I1900" s="751"/>
      <c r="J1900" s="751"/>
      <c r="K1900" s="751"/>
      <c r="L1900" s="751"/>
      <c r="M1900" s="751"/>
      <c r="N1900" s="751"/>
      <c r="O1900" s="751"/>
      <c r="P1900" s="751"/>
      <c r="Q1900" s="751"/>
      <c r="R1900" s="751"/>
      <c r="S1900" s="751"/>
      <c r="T1900" s="751"/>
      <c r="U1900" s="751"/>
      <c r="V1900" s="751"/>
      <c r="W1900" s="751"/>
      <c r="X1900" s="751"/>
      <c r="Y1900" s="751"/>
      <c r="Z1900" s="751"/>
      <c r="AA1900" s="751"/>
      <c r="AB1900" s="751"/>
      <c r="AC1900" s="751"/>
      <c r="AD1900" s="751"/>
      <c r="AE1900" s="751"/>
      <c r="AF1900" s="751"/>
      <c r="AG1900" s="751"/>
    </row>
    <row r="1901" spans="4:33">
      <c r="D1901" s="751"/>
      <c r="E1901" s="751"/>
      <c r="F1901" s="751"/>
      <c r="G1901" s="751"/>
      <c r="H1901" s="751"/>
      <c r="I1901" s="751"/>
      <c r="J1901" s="751"/>
      <c r="K1901" s="751"/>
      <c r="L1901" s="751"/>
      <c r="M1901" s="751"/>
      <c r="N1901" s="751"/>
      <c r="O1901" s="751"/>
      <c r="P1901" s="751"/>
      <c r="Q1901" s="751"/>
      <c r="R1901" s="751"/>
      <c r="S1901" s="751"/>
      <c r="T1901" s="751"/>
      <c r="U1901" s="751"/>
      <c r="V1901" s="751"/>
      <c r="W1901" s="751"/>
      <c r="X1901" s="751"/>
      <c r="Y1901" s="751"/>
      <c r="Z1901" s="751"/>
      <c r="AA1901" s="751"/>
      <c r="AB1901" s="751"/>
      <c r="AC1901" s="751"/>
      <c r="AD1901" s="751"/>
      <c r="AE1901" s="751"/>
      <c r="AF1901" s="751"/>
      <c r="AG1901" s="751"/>
    </row>
    <row r="1902" spans="4:33">
      <c r="D1902" s="751"/>
      <c r="E1902" s="751"/>
      <c r="F1902" s="751"/>
      <c r="G1902" s="751"/>
      <c r="H1902" s="751"/>
      <c r="I1902" s="751"/>
      <c r="J1902" s="751"/>
      <c r="K1902" s="751"/>
      <c r="L1902" s="751"/>
      <c r="M1902" s="751"/>
      <c r="N1902" s="751"/>
      <c r="O1902" s="751"/>
      <c r="P1902" s="751"/>
      <c r="Q1902" s="751"/>
      <c r="R1902" s="751"/>
      <c r="S1902" s="751"/>
      <c r="T1902" s="751"/>
      <c r="U1902" s="751"/>
      <c r="V1902" s="751"/>
      <c r="W1902" s="751"/>
      <c r="X1902" s="751"/>
      <c r="Y1902" s="751"/>
      <c r="Z1902" s="751"/>
      <c r="AA1902" s="751"/>
      <c r="AB1902" s="751"/>
      <c r="AC1902" s="751"/>
      <c r="AD1902" s="751"/>
      <c r="AE1902" s="751"/>
      <c r="AF1902" s="751"/>
      <c r="AG1902" s="751"/>
    </row>
    <row r="1903" spans="4:33">
      <c r="D1903" s="751"/>
      <c r="E1903" s="751"/>
      <c r="F1903" s="751"/>
      <c r="G1903" s="751"/>
      <c r="H1903" s="751"/>
      <c r="I1903" s="751"/>
      <c r="J1903" s="751"/>
      <c r="K1903" s="751"/>
      <c r="L1903" s="751"/>
      <c r="M1903" s="751"/>
      <c r="N1903" s="751"/>
      <c r="O1903" s="751"/>
      <c r="P1903" s="751"/>
      <c r="Q1903" s="751"/>
      <c r="R1903" s="751"/>
      <c r="S1903" s="751"/>
      <c r="T1903" s="751"/>
      <c r="U1903" s="751"/>
      <c r="V1903" s="751"/>
      <c r="W1903" s="751"/>
      <c r="X1903" s="751"/>
      <c r="Y1903" s="751"/>
      <c r="Z1903" s="751"/>
      <c r="AA1903" s="751"/>
      <c r="AB1903" s="751"/>
      <c r="AC1903" s="751"/>
      <c r="AD1903" s="751"/>
      <c r="AE1903" s="751"/>
      <c r="AF1903" s="751"/>
      <c r="AG1903" s="751"/>
    </row>
    <row r="1904" spans="4:33">
      <c r="D1904" s="751"/>
      <c r="E1904" s="751"/>
      <c r="F1904" s="751"/>
      <c r="G1904" s="751"/>
      <c r="H1904" s="751"/>
      <c r="I1904" s="751"/>
      <c r="J1904" s="751"/>
      <c r="K1904" s="751"/>
      <c r="L1904" s="751"/>
      <c r="M1904" s="751"/>
      <c r="N1904" s="751"/>
      <c r="O1904" s="751"/>
      <c r="P1904" s="751"/>
      <c r="Q1904" s="751"/>
      <c r="R1904" s="751"/>
      <c r="S1904" s="751"/>
      <c r="T1904" s="751"/>
      <c r="U1904" s="751"/>
      <c r="V1904" s="751"/>
      <c r="W1904" s="751"/>
      <c r="X1904" s="751"/>
      <c r="Y1904" s="751"/>
      <c r="Z1904" s="751"/>
      <c r="AA1904" s="751"/>
      <c r="AB1904" s="751"/>
      <c r="AC1904" s="751"/>
      <c r="AD1904" s="751"/>
      <c r="AE1904" s="751"/>
      <c r="AF1904" s="751"/>
      <c r="AG1904" s="751"/>
    </row>
    <row r="1905" spans="4:33">
      <c r="D1905" s="751"/>
      <c r="E1905" s="751"/>
      <c r="F1905" s="751"/>
      <c r="G1905" s="751"/>
      <c r="H1905" s="751"/>
      <c r="I1905" s="751"/>
      <c r="J1905" s="751"/>
      <c r="K1905" s="751"/>
      <c r="L1905" s="751"/>
      <c r="M1905" s="751"/>
      <c r="N1905" s="751"/>
      <c r="O1905" s="751"/>
      <c r="P1905" s="751"/>
      <c r="Q1905" s="751"/>
      <c r="R1905" s="751"/>
      <c r="S1905" s="751"/>
      <c r="T1905" s="751"/>
      <c r="U1905" s="751"/>
      <c r="V1905" s="751"/>
      <c r="W1905" s="751"/>
      <c r="X1905" s="751"/>
      <c r="Y1905" s="751"/>
      <c r="Z1905" s="751"/>
      <c r="AA1905" s="751"/>
      <c r="AB1905" s="751"/>
      <c r="AC1905" s="751"/>
      <c r="AD1905" s="751"/>
      <c r="AE1905" s="751"/>
      <c r="AF1905" s="751"/>
      <c r="AG1905" s="751"/>
    </row>
    <row r="1906" spans="4:33">
      <c r="D1906" s="751"/>
      <c r="E1906" s="751"/>
      <c r="F1906" s="751"/>
      <c r="G1906" s="751"/>
      <c r="H1906" s="751"/>
      <c r="I1906" s="751"/>
      <c r="J1906" s="751"/>
      <c r="K1906" s="751"/>
      <c r="L1906" s="751"/>
      <c r="M1906" s="751"/>
      <c r="N1906" s="751"/>
      <c r="O1906" s="751"/>
      <c r="P1906" s="751"/>
      <c r="Q1906" s="751"/>
      <c r="R1906" s="751"/>
      <c r="S1906" s="751"/>
      <c r="T1906" s="751"/>
      <c r="U1906" s="751"/>
      <c r="V1906" s="751"/>
      <c r="W1906" s="751"/>
      <c r="X1906" s="751"/>
      <c r="Y1906" s="751"/>
      <c r="Z1906" s="751"/>
      <c r="AA1906" s="751"/>
      <c r="AB1906" s="751"/>
      <c r="AC1906" s="751"/>
      <c r="AD1906" s="751"/>
      <c r="AE1906" s="751"/>
      <c r="AF1906" s="751"/>
      <c r="AG1906" s="751"/>
    </row>
    <row r="1907" spans="4:33">
      <c r="D1907" s="751"/>
      <c r="E1907" s="751"/>
      <c r="F1907" s="751"/>
      <c r="G1907" s="751"/>
      <c r="H1907" s="751"/>
      <c r="I1907" s="751"/>
      <c r="J1907" s="751"/>
      <c r="K1907" s="751"/>
      <c r="L1907" s="751"/>
      <c r="M1907" s="751"/>
      <c r="N1907" s="751"/>
      <c r="O1907" s="751"/>
      <c r="P1907" s="751"/>
      <c r="Q1907" s="751"/>
      <c r="R1907" s="751"/>
      <c r="S1907" s="751"/>
      <c r="T1907" s="751"/>
      <c r="U1907" s="751"/>
      <c r="V1907" s="751"/>
      <c r="W1907" s="751"/>
      <c r="X1907" s="751"/>
      <c r="Y1907" s="751"/>
      <c r="Z1907" s="751"/>
      <c r="AA1907" s="751"/>
      <c r="AB1907" s="751"/>
      <c r="AC1907" s="751"/>
      <c r="AD1907" s="751"/>
      <c r="AE1907" s="751"/>
      <c r="AF1907" s="751"/>
      <c r="AG1907" s="751"/>
    </row>
    <row r="1908" spans="4:33">
      <c r="D1908" s="751"/>
      <c r="E1908" s="751"/>
      <c r="F1908" s="751"/>
      <c r="G1908" s="751"/>
      <c r="H1908" s="751"/>
      <c r="I1908" s="751"/>
      <c r="J1908" s="751"/>
      <c r="K1908" s="751"/>
      <c r="L1908" s="751"/>
      <c r="M1908" s="751"/>
      <c r="N1908" s="751"/>
      <c r="O1908" s="751"/>
      <c r="P1908" s="751"/>
      <c r="Q1908" s="751"/>
      <c r="R1908" s="751"/>
      <c r="S1908" s="751"/>
      <c r="T1908" s="751"/>
      <c r="U1908" s="751"/>
      <c r="V1908" s="751"/>
      <c r="W1908" s="751"/>
      <c r="X1908" s="751"/>
      <c r="Y1908" s="751"/>
      <c r="Z1908" s="751"/>
      <c r="AA1908" s="751"/>
      <c r="AB1908" s="751"/>
      <c r="AC1908" s="751"/>
      <c r="AD1908" s="751"/>
      <c r="AE1908" s="751"/>
      <c r="AF1908" s="751"/>
      <c r="AG1908" s="751"/>
    </row>
    <row r="1909" spans="4:33">
      <c r="D1909" s="751"/>
      <c r="E1909" s="751"/>
      <c r="F1909" s="751"/>
      <c r="G1909" s="751"/>
      <c r="H1909" s="751"/>
      <c r="I1909" s="751"/>
      <c r="J1909" s="751"/>
      <c r="K1909" s="751"/>
      <c r="L1909" s="751"/>
      <c r="M1909" s="751"/>
      <c r="N1909" s="751"/>
      <c r="O1909" s="751"/>
      <c r="P1909" s="751"/>
      <c r="Q1909" s="751"/>
      <c r="R1909" s="751"/>
      <c r="S1909" s="751"/>
      <c r="T1909" s="751"/>
      <c r="U1909" s="751"/>
      <c r="V1909" s="751"/>
      <c r="W1909" s="751"/>
      <c r="X1909" s="751"/>
      <c r="Y1909" s="751"/>
      <c r="Z1909" s="751"/>
      <c r="AA1909" s="751"/>
      <c r="AB1909" s="751"/>
      <c r="AC1909" s="751"/>
      <c r="AD1909" s="751"/>
      <c r="AE1909" s="751"/>
      <c r="AF1909" s="751"/>
      <c r="AG1909" s="751"/>
    </row>
    <row r="1910" spans="4:33">
      <c r="D1910" s="751"/>
      <c r="E1910" s="751"/>
      <c r="F1910" s="751"/>
      <c r="G1910" s="751"/>
      <c r="H1910" s="751"/>
      <c r="I1910" s="751"/>
      <c r="J1910" s="751"/>
      <c r="K1910" s="751"/>
      <c r="L1910" s="751"/>
      <c r="M1910" s="751"/>
      <c r="N1910" s="751"/>
      <c r="O1910" s="751"/>
      <c r="P1910" s="751"/>
      <c r="Q1910" s="751"/>
      <c r="R1910" s="751"/>
      <c r="S1910" s="751"/>
      <c r="T1910" s="751"/>
      <c r="U1910" s="751"/>
      <c r="V1910" s="751"/>
      <c r="W1910" s="751"/>
      <c r="X1910" s="751"/>
      <c r="Y1910" s="751"/>
      <c r="Z1910" s="751"/>
      <c r="AA1910" s="751"/>
      <c r="AB1910" s="751"/>
      <c r="AC1910" s="751"/>
      <c r="AD1910" s="751"/>
      <c r="AE1910" s="751"/>
      <c r="AF1910" s="751"/>
      <c r="AG1910" s="751"/>
    </row>
    <row r="1911" spans="4:33">
      <c r="D1911" s="751"/>
      <c r="E1911" s="751"/>
      <c r="F1911" s="751"/>
      <c r="G1911" s="751"/>
      <c r="H1911" s="751"/>
      <c r="I1911" s="751"/>
      <c r="J1911" s="751"/>
      <c r="K1911" s="751"/>
      <c r="L1911" s="751"/>
      <c r="M1911" s="751"/>
      <c r="N1911" s="751"/>
      <c r="O1911" s="751"/>
      <c r="P1911" s="751"/>
      <c r="Q1911" s="751"/>
      <c r="R1911" s="751"/>
      <c r="S1911" s="751"/>
      <c r="T1911" s="751"/>
      <c r="U1911" s="751"/>
      <c r="V1911" s="751"/>
      <c r="W1911" s="751"/>
      <c r="X1911" s="751"/>
      <c r="Y1911" s="751"/>
      <c r="Z1911" s="751"/>
      <c r="AA1911" s="751"/>
      <c r="AB1911" s="751"/>
      <c r="AC1911" s="751"/>
      <c r="AD1911" s="751"/>
      <c r="AE1911" s="751"/>
      <c r="AF1911" s="751"/>
      <c r="AG1911" s="751"/>
    </row>
    <row r="1912" spans="4:33">
      <c r="D1912" s="751"/>
      <c r="E1912" s="751"/>
      <c r="F1912" s="751"/>
      <c r="G1912" s="751"/>
      <c r="H1912" s="751"/>
      <c r="I1912" s="751"/>
      <c r="J1912" s="751"/>
      <c r="K1912" s="751"/>
      <c r="L1912" s="751"/>
      <c r="M1912" s="751"/>
      <c r="N1912" s="751"/>
      <c r="O1912" s="751"/>
      <c r="P1912" s="751"/>
      <c r="Q1912" s="751"/>
      <c r="R1912" s="751"/>
      <c r="S1912" s="751"/>
      <c r="T1912" s="751"/>
      <c r="U1912" s="751"/>
      <c r="V1912" s="751"/>
      <c r="W1912" s="751"/>
      <c r="X1912" s="751"/>
      <c r="Y1912" s="751"/>
      <c r="Z1912" s="751"/>
      <c r="AA1912" s="751"/>
      <c r="AB1912" s="751"/>
      <c r="AC1912" s="751"/>
      <c r="AD1912" s="751"/>
      <c r="AE1912" s="751"/>
      <c r="AF1912" s="751"/>
      <c r="AG1912" s="751"/>
    </row>
    <row r="1913" spans="4:33">
      <c r="D1913" s="751"/>
      <c r="E1913" s="751"/>
      <c r="F1913" s="751"/>
      <c r="G1913" s="751"/>
      <c r="H1913" s="751"/>
      <c r="I1913" s="751"/>
      <c r="J1913" s="751"/>
      <c r="K1913" s="751"/>
      <c r="L1913" s="751"/>
      <c r="M1913" s="751"/>
      <c r="N1913" s="751"/>
      <c r="O1913" s="751"/>
      <c r="P1913" s="751"/>
      <c r="Q1913" s="751"/>
      <c r="R1913" s="751"/>
      <c r="S1913" s="751"/>
      <c r="T1913" s="751"/>
      <c r="U1913" s="751"/>
      <c r="V1913" s="751"/>
      <c r="W1913" s="751"/>
      <c r="X1913" s="751"/>
      <c r="Y1913" s="751"/>
      <c r="Z1913" s="751"/>
      <c r="AA1913" s="751"/>
      <c r="AB1913" s="751"/>
      <c r="AC1913" s="751"/>
      <c r="AD1913" s="751"/>
      <c r="AE1913" s="751"/>
      <c r="AF1913" s="751"/>
      <c r="AG1913" s="751"/>
    </row>
    <row r="1914" spans="4:33">
      <c r="D1914" s="751"/>
      <c r="E1914" s="751"/>
      <c r="F1914" s="751"/>
      <c r="G1914" s="751"/>
      <c r="H1914" s="751"/>
      <c r="I1914" s="751"/>
      <c r="J1914" s="751"/>
      <c r="K1914" s="751"/>
      <c r="L1914" s="751"/>
      <c r="M1914" s="751"/>
      <c r="N1914" s="751"/>
      <c r="O1914" s="751"/>
      <c r="P1914" s="751"/>
      <c r="Q1914" s="751"/>
      <c r="R1914" s="751"/>
      <c r="S1914" s="751"/>
      <c r="T1914" s="751"/>
      <c r="U1914" s="751"/>
      <c r="V1914" s="751"/>
      <c r="W1914" s="751"/>
      <c r="X1914" s="751"/>
      <c r="Y1914" s="751"/>
      <c r="Z1914" s="751"/>
      <c r="AA1914" s="751"/>
      <c r="AB1914" s="751"/>
      <c r="AC1914" s="751"/>
      <c r="AD1914" s="751"/>
      <c r="AE1914" s="751"/>
      <c r="AF1914" s="751"/>
      <c r="AG1914" s="751"/>
    </row>
    <row r="1915" spans="4:33">
      <c r="D1915" s="751"/>
      <c r="E1915" s="751"/>
      <c r="F1915" s="751"/>
      <c r="G1915" s="751"/>
      <c r="H1915" s="751"/>
      <c r="I1915" s="751"/>
      <c r="J1915" s="751"/>
      <c r="K1915" s="751"/>
      <c r="L1915" s="751"/>
      <c r="M1915" s="751"/>
      <c r="N1915" s="751"/>
      <c r="O1915" s="751"/>
      <c r="P1915" s="751"/>
      <c r="Q1915" s="751"/>
      <c r="R1915" s="751"/>
      <c r="S1915" s="751"/>
      <c r="T1915" s="751"/>
      <c r="U1915" s="751"/>
      <c r="V1915" s="751"/>
      <c r="W1915" s="751"/>
      <c r="X1915" s="751"/>
      <c r="Y1915" s="751"/>
      <c r="Z1915" s="751"/>
      <c r="AA1915" s="751"/>
      <c r="AB1915" s="751"/>
      <c r="AC1915" s="751"/>
      <c r="AD1915" s="751"/>
      <c r="AE1915" s="751"/>
      <c r="AF1915" s="751"/>
      <c r="AG1915" s="751"/>
    </row>
    <row r="1916" spans="4:33">
      <c r="D1916" s="751"/>
      <c r="E1916" s="751"/>
      <c r="F1916" s="751"/>
      <c r="G1916" s="751"/>
      <c r="H1916" s="751"/>
      <c r="I1916" s="751"/>
      <c r="J1916" s="751"/>
      <c r="K1916" s="751"/>
      <c r="L1916" s="751"/>
      <c r="M1916" s="751"/>
      <c r="N1916" s="751"/>
      <c r="O1916" s="751"/>
      <c r="P1916" s="751"/>
      <c r="Q1916" s="751"/>
      <c r="R1916" s="751"/>
      <c r="S1916" s="751"/>
      <c r="T1916" s="751"/>
      <c r="U1916" s="751"/>
      <c r="V1916" s="751"/>
      <c r="W1916" s="751"/>
      <c r="X1916" s="751"/>
      <c r="Y1916" s="751"/>
      <c r="Z1916" s="751"/>
      <c r="AA1916" s="751"/>
      <c r="AB1916" s="751"/>
      <c r="AC1916" s="751"/>
      <c r="AD1916" s="751"/>
      <c r="AE1916" s="751"/>
      <c r="AF1916" s="751"/>
      <c r="AG1916" s="751"/>
    </row>
    <row r="1917" spans="4:33">
      <c r="D1917" s="751"/>
      <c r="E1917" s="751"/>
      <c r="F1917" s="751"/>
      <c r="G1917" s="751"/>
      <c r="H1917" s="751"/>
      <c r="I1917" s="751"/>
      <c r="J1917" s="751"/>
      <c r="K1917" s="751"/>
      <c r="L1917" s="751"/>
      <c r="M1917" s="751"/>
      <c r="N1917" s="751"/>
      <c r="O1917" s="751"/>
      <c r="P1917" s="751"/>
      <c r="Q1917" s="751"/>
      <c r="R1917" s="751"/>
      <c r="S1917" s="751"/>
      <c r="T1917" s="751"/>
      <c r="U1917" s="751"/>
      <c r="V1917" s="751"/>
      <c r="W1917" s="751"/>
      <c r="X1917" s="751"/>
      <c r="Y1917" s="751"/>
      <c r="Z1917" s="751"/>
      <c r="AA1917" s="751"/>
      <c r="AB1917" s="751"/>
      <c r="AC1917" s="751"/>
      <c r="AD1917" s="751"/>
      <c r="AE1917" s="751"/>
      <c r="AF1917" s="751"/>
      <c r="AG1917" s="751"/>
    </row>
    <row r="1918" spans="4:33">
      <c r="D1918" s="751"/>
      <c r="E1918" s="751"/>
      <c r="F1918" s="751"/>
      <c r="G1918" s="751"/>
      <c r="H1918" s="751"/>
      <c r="I1918" s="751"/>
      <c r="J1918" s="751"/>
      <c r="K1918" s="751"/>
      <c r="L1918" s="751"/>
      <c r="M1918" s="751"/>
      <c r="N1918" s="751"/>
      <c r="O1918" s="751"/>
      <c r="P1918" s="751"/>
      <c r="Q1918" s="751"/>
      <c r="R1918" s="751"/>
      <c r="S1918" s="751"/>
      <c r="T1918" s="751"/>
      <c r="U1918" s="751"/>
      <c r="V1918" s="751"/>
      <c r="W1918" s="751"/>
      <c r="X1918" s="751"/>
      <c r="Y1918" s="751"/>
      <c r="Z1918" s="751"/>
      <c r="AA1918" s="751"/>
      <c r="AB1918" s="751"/>
      <c r="AC1918" s="751"/>
      <c r="AD1918" s="751"/>
      <c r="AE1918" s="751"/>
      <c r="AF1918" s="751"/>
      <c r="AG1918" s="751"/>
    </row>
    <row r="1919" spans="4:33">
      <c r="D1919" s="751"/>
      <c r="E1919" s="751"/>
      <c r="F1919" s="751"/>
      <c r="G1919" s="751"/>
      <c r="H1919" s="751"/>
      <c r="I1919" s="751"/>
      <c r="J1919" s="751"/>
      <c r="K1919" s="751"/>
      <c r="L1919" s="751"/>
      <c r="M1919" s="751"/>
      <c r="N1919" s="751"/>
      <c r="O1919" s="751"/>
      <c r="P1919" s="751"/>
      <c r="Q1919" s="751"/>
      <c r="R1919" s="751"/>
      <c r="S1919" s="751"/>
      <c r="T1919" s="751"/>
      <c r="U1919" s="751"/>
      <c r="V1919" s="751"/>
      <c r="W1919" s="751"/>
      <c r="X1919" s="751"/>
      <c r="Y1919" s="751"/>
      <c r="Z1919" s="751"/>
      <c r="AA1919" s="751"/>
      <c r="AB1919" s="751"/>
      <c r="AC1919" s="751"/>
      <c r="AD1919" s="751"/>
      <c r="AE1919" s="751"/>
      <c r="AF1919" s="751"/>
      <c r="AG1919" s="751"/>
    </row>
    <row r="1920" spans="4:33">
      <c r="D1920" s="751"/>
      <c r="E1920" s="751"/>
      <c r="F1920" s="751"/>
      <c r="G1920" s="751"/>
      <c r="H1920" s="751"/>
      <c r="I1920" s="751"/>
      <c r="J1920" s="751"/>
      <c r="K1920" s="751"/>
      <c r="L1920" s="751"/>
      <c r="M1920" s="751"/>
      <c r="N1920" s="751"/>
      <c r="O1920" s="751"/>
      <c r="P1920" s="751"/>
      <c r="Q1920" s="751"/>
      <c r="R1920" s="751"/>
      <c r="S1920" s="751"/>
      <c r="T1920" s="751"/>
      <c r="U1920" s="751"/>
      <c r="V1920" s="751"/>
      <c r="W1920" s="751"/>
      <c r="X1920" s="751"/>
      <c r="Y1920" s="751"/>
      <c r="Z1920" s="751"/>
      <c r="AA1920" s="751"/>
      <c r="AB1920" s="751"/>
      <c r="AC1920" s="751"/>
      <c r="AD1920" s="751"/>
      <c r="AE1920" s="751"/>
      <c r="AF1920" s="751"/>
      <c r="AG1920" s="751"/>
    </row>
    <row r="1921" spans="4:33">
      <c r="D1921" s="751"/>
      <c r="E1921" s="751"/>
      <c r="F1921" s="751"/>
      <c r="G1921" s="751"/>
      <c r="H1921" s="751"/>
      <c r="I1921" s="751"/>
      <c r="J1921" s="751"/>
      <c r="K1921" s="751"/>
      <c r="L1921" s="751"/>
      <c r="M1921" s="751"/>
      <c r="N1921" s="751"/>
      <c r="O1921" s="751"/>
      <c r="P1921" s="751"/>
      <c r="Q1921" s="751"/>
      <c r="R1921" s="751"/>
      <c r="S1921" s="751"/>
      <c r="T1921" s="751"/>
      <c r="U1921" s="751"/>
      <c r="V1921" s="751"/>
      <c r="W1921" s="751"/>
      <c r="X1921" s="751"/>
      <c r="Y1921" s="751"/>
      <c r="Z1921" s="751"/>
      <c r="AA1921" s="751"/>
      <c r="AB1921" s="751"/>
      <c r="AC1921" s="751"/>
      <c r="AD1921" s="751"/>
      <c r="AE1921" s="751"/>
      <c r="AF1921" s="751"/>
      <c r="AG1921" s="751"/>
    </row>
    <row r="1922" spans="4:33">
      <c r="D1922" s="751"/>
      <c r="E1922" s="751"/>
      <c r="F1922" s="751"/>
      <c r="G1922" s="751"/>
      <c r="H1922" s="751"/>
      <c r="I1922" s="751"/>
      <c r="J1922" s="751"/>
      <c r="K1922" s="751"/>
      <c r="L1922" s="751"/>
      <c r="M1922" s="751"/>
      <c r="N1922" s="751"/>
      <c r="O1922" s="751"/>
      <c r="P1922" s="751"/>
      <c r="Q1922" s="751"/>
      <c r="R1922" s="751"/>
      <c r="S1922" s="751"/>
      <c r="T1922" s="751"/>
      <c r="U1922" s="751"/>
      <c r="V1922" s="751"/>
      <c r="W1922" s="751"/>
      <c r="X1922" s="751"/>
      <c r="Y1922" s="751"/>
      <c r="Z1922" s="751"/>
      <c r="AA1922" s="751"/>
      <c r="AB1922" s="751"/>
      <c r="AC1922" s="751"/>
      <c r="AD1922" s="751"/>
      <c r="AE1922" s="751"/>
      <c r="AF1922" s="751"/>
      <c r="AG1922" s="751"/>
    </row>
    <row r="1923" spans="4:33">
      <c r="D1923" s="751"/>
      <c r="E1923" s="751"/>
      <c r="F1923" s="751"/>
      <c r="G1923" s="751"/>
      <c r="H1923" s="751"/>
      <c r="I1923" s="751"/>
      <c r="J1923" s="751"/>
      <c r="K1923" s="751"/>
      <c r="L1923" s="751"/>
      <c r="M1923" s="751"/>
      <c r="N1923" s="751"/>
      <c r="O1923" s="751"/>
      <c r="P1923" s="751"/>
      <c r="Q1923" s="751"/>
      <c r="R1923" s="751"/>
      <c r="S1923" s="751"/>
      <c r="T1923" s="751"/>
      <c r="U1923" s="751"/>
      <c r="V1923" s="751"/>
      <c r="W1923" s="751"/>
      <c r="X1923" s="751"/>
      <c r="Y1923" s="751"/>
      <c r="Z1923" s="751"/>
      <c r="AA1923" s="751"/>
      <c r="AB1923" s="751"/>
      <c r="AC1923" s="751"/>
      <c r="AD1923" s="751"/>
      <c r="AE1923" s="751"/>
      <c r="AF1923" s="751"/>
      <c r="AG1923" s="751"/>
    </row>
    <row r="1924" spans="4:33">
      <c r="D1924" s="751"/>
      <c r="E1924" s="751"/>
      <c r="F1924" s="751"/>
      <c r="G1924" s="751"/>
      <c r="H1924" s="751"/>
      <c r="I1924" s="751"/>
      <c r="J1924" s="751"/>
      <c r="K1924" s="751"/>
      <c r="L1924" s="751"/>
      <c r="M1924" s="751"/>
      <c r="N1924" s="751"/>
      <c r="O1924" s="751"/>
      <c r="P1924" s="751"/>
      <c r="Q1924" s="751"/>
      <c r="R1924" s="751"/>
      <c r="S1924" s="751"/>
      <c r="T1924" s="751"/>
      <c r="U1924" s="751"/>
      <c r="V1924" s="751"/>
      <c r="W1924" s="751"/>
      <c r="X1924" s="751"/>
      <c r="Y1924" s="751"/>
      <c r="Z1924" s="751"/>
      <c r="AA1924" s="751"/>
      <c r="AB1924" s="751"/>
      <c r="AC1924" s="751"/>
      <c r="AD1924" s="751"/>
      <c r="AE1924" s="751"/>
      <c r="AF1924" s="751"/>
      <c r="AG1924" s="751"/>
    </row>
    <row r="1925" spans="4:33">
      <c r="D1925" s="751"/>
      <c r="E1925" s="751"/>
      <c r="F1925" s="751"/>
      <c r="G1925" s="751"/>
      <c r="H1925" s="751"/>
      <c r="I1925" s="751"/>
      <c r="J1925" s="751"/>
      <c r="K1925" s="751"/>
      <c r="L1925" s="751"/>
      <c r="M1925" s="751"/>
      <c r="N1925" s="751"/>
      <c r="O1925" s="751"/>
      <c r="P1925" s="751"/>
      <c r="Q1925" s="751"/>
      <c r="R1925" s="751"/>
      <c r="S1925" s="751"/>
      <c r="T1925" s="751"/>
      <c r="U1925" s="751"/>
      <c r="V1925" s="751"/>
      <c r="W1925" s="751"/>
      <c r="X1925" s="751"/>
      <c r="Y1925" s="751"/>
      <c r="Z1925" s="751"/>
      <c r="AA1925" s="751"/>
      <c r="AB1925" s="751"/>
      <c r="AC1925" s="751"/>
      <c r="AD1925" s="751"/>
      <c r="AE1925" s="751"/>
      <c r="AF1925" s="751"/>
      <c r="AG1925" s="751"/>
    </row>
    <row r="1926" spans="4:33">
      <c r="D1926" s="751"/>
      <c r="E1926" s="751"/>
      <c r="F1926" s="751"/>
      <c r="G1926" s="751"/>
      <c r="H1926" s="751"/>
      <c r="I1926" s="751"/>
      <c r="J1926" s="751"/>
      <c r="K1926" s="751"/>
      <c r="L1926" s="751"/>
      <c r="M1926" s="751"/>
      <c r="N1926" s="751"/>
      <c r="O1926" s="751"/>
      <c r="P1926" s="751"/>
      <c r="Q1926" s="751"/>
      <c r="R1926" s="751"/>
      <c r="S1926" s="751"/>
      <c r="T1926" s="751"/>
      <c r="U1926" s="751"/>
      <c r="V1926" s="751"/>
      <c r="W1926" s="751"/>
      <c r="X1926" s="751"/>
      <c r="Y1926" s="751"/>
      <c r="Z1926" s="751"/>
      <c r="AA1926" s="751"/>
      <c r="AB1926" s="751"/>
      <c r="AC1926" s="751"/>
      <c r="AD1926" s="751"/>
      <c r="AE1926" s="751"/>
      <c r="AF1926" s="751"/>
      <c r="AG1926" s="751"/>
    </row>
    <row r="1927" spans="4:33">
      <c r="D1927" s="751"/>
      <c r="E1927" s="751"/>
      <c r="F1927" s="751"/>
      <c r="G1927" s="751"/>
      <c r="H1927" s="751"/>
      <c r="I1927" s="751"/>
      <c r="J1927" s="751"/>
      <c r="K1927" s="751"/>
      <c r="L1927" s="751"/>
      <c r="M1927" s="751"/>
      <c r="N1927" s="751"/>
      <c r="O1927" s="751"/>
      <c r="P1927" s="751"/>
      <c r="Q1927" s="751"/>
      <c r="R1927" s="751"/>
      <c r="S1927" s="751"/>
      <c r="T1927" s="751"/>
      <c r="U1927" s="751"/>
      <c r="V1927" s="751"/>
      <c r="W1927" s="751"/>
      <c r="X1927" s="751"/>
      <c r="Y1927" s="751"/>
      <c r="Z1927" s="751"/>
      <c r="AA1927" s="751"/>
      <c r="AB1927" s="751"/>
      <c r="AC1927" s="751"/>
      <c r="AD1927" s="751"/>
      <c r="AE1927" s="751"/>
      <c r="AF1927" s="751"/>
      <c r="AG1927" s="751"/>
    </row>
    <row r="1928" spans="4:33">
      <c r="D1928" s="751"/>
      <c r="E1928" s="751"/>
      <c r="F1928" s="751"/>
      <c r="G1928" s="751"/>
      <c r="H1928" s="751"/>
      <c r="I1928" s="751"/>
      <c r="J1928" s="751"/>
      <c r="K1928" s="751"/>
      <c r="L1928" s="751"/>
      <c r="M1928" s="751"/>
      <c r="N1928" s="751"/>
      <c r="O1928" s="751"/>
      <c r="P1928" s="751"/>
      <c r="Q1928" s="751"/>
      <c r="R1928" s="751"/>
      <c r="S1928" s="751"/>
      <c r="T1928" s="751"/>
      <c r="U1928" s="751"/>
      <c r="V1928" s="751"/>
      <c r="W1928" s="751"/>
      <c r="X1928" s="751"/>
      <c r="Y1928" s="751"/>
      <c r="Z1928" s="751"/>
      <c r="AA1928" s="751"/>
      <c r="AB1928" s="751"/>
      <c r="AC1928" s="751"/>
      <c r="AD1928" s="751"/>
      <c r="AE1928" s="751"/>
      <c r="AF1928" s="751"/>
      <c r="AG1928" s="751"/>
    </row>
    <row r="1929" spans="4:33">
      <c r="D1929" s="751"/>
      <c r="E1929" s="751"/>
      <c r="F1929" s="751"/>
      <c r="G1929" s="751"/>
      <c r="H1929" s="751"/>
      <c r="I1929" s="751"/>
      <c r="J1929" s="751"/>
      <c r="K1929" s="751"/>
      <c r="L1929" s="751"/>
      <c r="M1929" s="751"/>
      <c r="N1929" s="751"/>
      <c r="O1929" s="751"/>
      <c r="P1929" s="751"/>
      <c r="Q1929" s="751"/>
      <c r="R1929" s="751"/>
      <c r="S1929" s="751"/>
      <c r="T1929" s="751"/>
      <c r="U1929" s="751"/>
      <c r="V1929" s="751"/>
      <c r="W1929" s="751"/>
      <c r="X1929" s="751"/>
      <c r="Y1929" s="751"/>
      <c r="Z1929" s="751"/>
      <c r="AA1929" s="751"/>
      <c r="AB1929" s="751"/>
      <c r="AC1929" s="751"/>
      <c r="AD1929" s="751"/>
      <c r="AE1929" s="751"/>
      <c r="AF1929" s="751"/>
      <c r="AG1929" s="751"/>
    </row>
    <row r="1930" spans="4:33">
      <c r="D1930" s="751"/>
      <c r="E1930" s="751"/>
      <c r="F1930" s="751"/>
      <c r="G1930" s="751"/>
      <c r="H1930" s="751"/>
      <c r="I1930" s="751"/>
      <c r="J1930" s="751"/>
      <c r="K1930" s="751"/>
      <c r="L1930" s="751"/>
      <c r="M1930" s="751"/>
      <c r="N1930" s="751"/>
      <c r="O1930" s="751"/>
      <c r="P1930" s="751"/>
      <c r="Q1930" s="751"/>
      <c r="R1930" s="751"/>
      <c r="S1930" s="751"/>
      <c r="T1930" s="751"/>
      <c r="U1930" s="751"/>
      <c r="V1930" s="751"/>
      <c r="W1930" s="751"/>
      <c r="X1930" s="751"/>
      <c r="Y1930" s="751"/>
      <c r="Z1930" s="751"/>
      <c r="AA1930" s="751"/>
      <c r="AB1930" s="751"/>
      <c r="AC1930" s="751"/>
      <c r="AD1930" s="751"/>
      <c r="AE1930" s="751"/>
      <c r="AF1930" s="751"/>
      <c r="AG1930" s="751"/>
    </row>
    <row r="1931" spans="4:33">
      <c r="D1931" s="751"/>
      <c r="E1931" s="751"/>
      <c r="F1931" s="751"/>
      <c r="G1931" s="751"/>
      <c r="H1931" s="751"/>
      <c r="I1931" s="751"/>
      <c r="J1931" s="751"/>
      <c r="K1931" s="751"/>
      <c r="L1931" s="751"/>
      <c r="M1931" s="751"/>
      <c r="N1931" s="751"/>
      <c r="O1931" s="751"/>
      <c r="P1931" s="751"/>
      <c r="Q1931" s="751"/>
      <c r="R1931" s="751"/>
      <c r="S1931" s="751"/>
      <c r="T1931" s="751"/>
      <c r="U1931" s="751"/>
      <c r="V1931" s="751"/>
      <c r="W1931" s="751"/>
      <c r="X1931" s="751"/>
      <c r="Y1931" s="751"/>
      <c r="Z1931" s="751"/>
      <c r="AA1931" s="751"/>
      <c r="AB1931" s="751"/>
      <c r="AC1931" s="751"/>
      <c r="AD1931" s="751"/>
      <c r="AE1931" s="751"/>
      <c r="AF1931" s="751"/>
      <c r="AG1931" s="751"/>
    </row>
    <row r="1932" spans="4:33">
      <c r="D1932" s="751"/>
      <c r="E1932" s="751"/>
      <c r="F1932" s="751"/>
      <c r="G1932" s="751"/>
      <c r="H1932" s="751"/>
      <c r="I1932" s="751"/>
      <c r="J1932" s="751"/>
      <c r="K1932" s="751"/>
      <c r="L1932" s="751"/>
      <c r="M1932" s="751"/>
      <c r="N1932" s="751"/>
      <c r="O1932" s="751"/>
      <c r="P1932" s="751"/>
      <c r="Q1932" s="751"/>
      <c r="R1932" s="751"/>
      <c r="S1932" s="751"/>
      <c r="T1932" s="751"/>
      <c r="U1932" s="751"/>
      <c r="V1932" s="751"/>
      <c r="W1932" s="751"/>
      <c r="X1932" s="751"/>
      <c r="Y1932" s="751"/>
      <c r="Z1932" s="751"/>
      <c r="AA1932" s="751"/>
      <c r="AB1932" s="751"/>
      <c r="AC1932" s="751"/>
      <c r="AD1932" s="751"/>
      <c r="AE1932" s="751"/>
      <c r="AF1932" s="751"/>
      <c r="AG1932" s="751"/>
    </row>
    <row r="1933" spans="4:33">
      <c r="D1933" s="751"/>
      <c r="E1933" s="751"/>
      <c r="F1933" s="751"/>
      <c r="G1933" s="751"/>
      <c r="H1933" s="751"/>
      <c r="I1933" s="751"/>
      <c r="J1933" s="751"/>
      <c r="K1933" s="751"/>
      <c r="L1933" s="751"/>
      <c r="M1933" s="751"/>
      <c r="N1933" s="751"/>
      <c r="O1933" s="751"/>
      <c r="P1933" s="751"/>
      <c r="Q1933" s="751"/>
      <c r="R1933" s="751"/>
      <c r="S1933" s="751"/>
      <c r="T1933" s="751"/>
      <c r="U1933" s="751"/>
      <c r="V1933" s="751"/>
      <c r="W1933" s="751"/>
      <c r="X1933" s="751"/>
      <c r="Y1933" s="751"/>
      <c r="Z1933" s="751"/>
      <c r="AA1933" s="751"/>
      <c r="AB1933" s="751"/>
      <c r="AC1933" s="751"/>
      <c r="AD1933" s="751"/>
      <c r="AE1933" s="751"/>
      <c r="AF1933" s="751"/>
      <c r="AG1933" s="751"/>
    </row>
    <row r="1934" spans="4:33">
      <c r="D1934" s="751"/>
      <c r="E1934" s="751"/>
      <c r="F1934" s="751"/>
      <c r="G1934" s="751"/>
      <c r="H1934" s="751"/>
      <c r="I1934" s="751"/>
      <c r="J1934" s="751"/>
      <c r="K1934" s="751"/>
      <c r="L1934" s="751"/>
      <c r="M1934" s="751"/>
      <c r="N1934" s="751"/>
      <c r="O1934" s="751"/>
      <c r="P1934" s="751"/>
      <c r="Q1934" s="751"/>
      <c r="R1934" s="751"/>
      <c r="S1934" s="751"/>
      <c r="T1934" s="751"/>
      <c r="U1934" s="751"/>
      <c r="V1934" s="751"/>
      <c r="W1934" s="751"/>
      <c r="X1934" s="751"/>
      <c r="Y1934" s="751"/>
      <c r="Z1934" s="751"/>
      <c r="AA1934" s="751"/>
      <c r="AB1934" s="751"/>
      <c r="AC1934" s="751"/>
      <c r="AD1934" s="751"/>
      <c r="AE1934" s="751"/>
      <c r="AF1934" s="751"/>
      <c r="AG1934" s="751"/>
    </row>
    <row r="1935" spans="4:33">
      <c r="D1935" s="751"/>
      <c r="E1935" s="751"/>
      <c r="F1935" s="751"/>
      <c r="G1935" s="751"/>
      <c r="H1935" s="751"/>
      <c r="I1935" s="751"/>
      <c r="J1935" s="751"/>
      <c r="K1935" s="751"/>
      <c r="L1935" s="751"/>
      <c r="M1935" s="751"/>
      <c r="N1935" s="751"/>
      <c r="O1935" s="751"/>
      <c r="P1935" s="751"/>
      <c r="Q1935" s="751"/>
      <c r="R1935" s="751"/>
      <c r="S1935" s="751"/>
      <c r="T1935" s="751"/>
      <c r="U1935" s="751"/>
      <c r="V1935" s="751"/>
      <c r="W1935" s="751"/>
      <c r="X1935" s="751"/>
      <c r="Y1935" s="751"/>
      <c r="Z1935" s="751"/>
      <c r="AA1935" s="751"/>
      <c r="AB1935" s="751"/>
      <c r="AC1935" s="751"/>
      <c r="AD1935" s="751"/>
      <c r="AE1935" s="751"/>
      <c r="AF1935" s="751"/>
      <c r="AG1935" s="751"/>
    </row>
    <row r="1936" spans="4:33">
      <c r="D1936" s="751"/>
      <c r="E1936" s="751"/>
      <c r="F1936" s="751"/>
      <c r="G1936" s="751"/>
      <c r="H1936" s="751"/>
      <c r="I1936" s="751"/>
      <c r="J1936" s="751"/>
      <c r="K1936" s="751"/>
      <c r="L1936" s="751"/>
      <c r="M1936" s="751"/>
      <c r="N1936" s="751"/>
      <c r="O1936" s="751"/>
      <c r="P1936" s="751"/>
      <c r="Q1936" s="751"/>
      <c r="R1936" s="751"/>
      <c r="S1936" s="751"/>
      <c r="T1936" s="751"/>
      <c r="U1936" s="751"/>
      <c r="V1936" s="751"/>
      <c r="W1936" s="751"/>
      <c r="X1936" s="751"/>
      <c r="Y1936" s="751"/>
      <c r="Z1936" s="751"/>
      <c r="AA1936" s="751"/>
      <c r="AB1936" s="751"/>
      <c r="AC1936" s="751"/>
      <c r="AD1936" s="751"/>
      <c r="AE1936" s="751"/>
      <c r="AF1936" s="751"/>
      <c r="AG1936" s="751"/>
    </row>
    <row r="1937" spans="4:33">
      <c r="D1937" s="751"/>
      <c r="E1937" s="751"/>
      <c r="F1937" s="751"/>
      <c r="G1937" s="751"/>
      <c r="H1937" s="751"/>
      <c r="I1937" s="751"/>
      <c r="J1937" s="751"/>
      <c r="K1937" s="751"/>
      <c r="L1937" s="751"/>
      <c r="M1937" s="751"/>
      <c r="N1937" s="751"/>
      <c r="O1937" s="751"/>
      <c r="P1937" s="751"/>
      <c r="Q1937" s="751"/>
      <c r="R1937" s="751"/>
      <c r="S1937" s="751"/>
      <c r="T1937" s="751"/>
      <c r="U1937" s="751"/>
      <c r="V1937" s="751"/>
      <c r="W1937" s="751"/>
      <c r="X1937" s="751"/>
      <c r="Y1937" s="751"/>
      <c r="Z1937" s="751"/>
      <c r="AA1937" s="751"/>
      <c r="AB1937" s="751"/>
      <c r="AC1937" s="751"/>
      <c r="AD1937" s="751"/>
      <c r="AE1937" s="751"/>
      <c r="AF1937" s="751"/>
      <c r="AG1937" s="751"/>
    </row>
    <row r="1938" spans="4:33">
      <c r="D1938" s="751"/>
      <c r="E1938" s="751"/>
      <c r="F1938" s="751"/>
      <c r="G1938" s="751"/>
      <c r="H1938" s="751"/>
      <c r="I1938" s="751"/>
      <c r="J1938" s="751"/>
      <c r="K1938" s="751"/>
      <c r="L1938" s="751"/>
      <c r="M1938" s="751"/>
      <c r="N1938" s="751"/>
      <c r="O1938" s="751"/>
      <c r="P1938" s="751"/>
      <c r="Q1938" s="751"/>
      <c r="R1938" s="751"/>
      <c r="S1938" s="751"/>
      <c r="T1938" s="751"/>
      <c r="U1938" s="751"/>
      <c r="V1938" s="751"/>
      <c r="W1938" s="751"/>
      <c r="X1938" s="751"/>
      <c r="Y1938" s="751"/>
      <c r="Z1938" s="751"/>
      <c r="AA1938" s="751"/>
      <c r="AB1938" s="751"/>
      <c r="AC1938" s="751"/>
      <c r="AD1938" s="751"/>
      <c r="AE1938" s="751"/>
      <c r="AF1938" s="751"/>
      <c r="AG1938" s="751"/>
    </row>
    <row r="1939" spans="4:33">
      <c r="D1939" s="751"/>
      <c r="E1939" s="751"/>
      <c r="F1939" s="751"/>
      <c r="G1939" s="751"/>
      <c r="H1939" s="751"/>
      <c r="I1939" s="751"/>
      <c r="J1939" s="751"/>
      <c r="K1939" s="751"/>
      <c r="L1939" s="751"/>
      <c r="M1939" s="751"/>
      <c r="N1939" s="751"/>
      <c r="O1939" s="751"/>
      <c r="P1939" s="751"/>
      <c r="Q1939" s="751"/>
      <c r="R1939" s="751"/>
      <c r="S1939" s="751"/>
      <c r="T1939" s="751"/>
      <c r="U1939" s="751"/>
      <c r="V1939" s="751"/>
      <c r="W1939" s="751"/>
      <c r="X1939" s="751"/>
      <c r="Y1939" s="751"/>
      <c r="Z1939" s="751"/>
      <c r="AA1939" s="751"/>
      <c r="AB1939" s="751"/>
      <c r="AC1939" s="751"/>
      <c r="AD1939" s="751"/>
      <c r="AE1939" s="751"/>
      <c r="AF1939" s="751"/>
      <c r="AG1939" s="751"/>
    </row>
    <row r="1940" spans="4:33">
      <c r="D1940" s="751"/>
      <c r="E1940" s="751"/>
      <c r="F1940" s="751"/>
      <c r="G1940" s="751"/>
      <c r="H1940" s="751"/>
      <c r="I1940" s="751"/>
      <c r="J1940" s="751"/>
      <c r="K1940" s="751"/>
      <c r="L1940" s="751"/>
      <c r="M1940" s="751"/>
      <c r="N1940" s="751"/>
      <c r="O1940" s="751"/>
      <c r="P1940" s="751"/>
      <c r="Q1940" s="751"/>
      <c r="R1940" s="751"/>
      <c r="S1940" s="751"/>
      <c r="T1940" s="751"/>
      <c r="U1940" s="751"/>
      <c r="V1940" s="751"/>
      <c r="W1940" s="751"/>
      <c r="X1940" s="751"/>
      <c r="Y1940" s="751"/>
      <c r="Z1940" s="751"/>
      <c r="AA1940" s="751"/>
      <c r="AB1940" s="751"/>
      <c r="AC1940" s="751"/>
      <c r="AD1940" s="751"/>
      <c r="AE1940" s="751"/>
      <c r="AF1940" s="751"/>
      <c r="AG1940" s="751"/>
    </row>
    <row r="1941" spans="4:33">
      <c r="D1941" s="751"/>
      <c r="E1941" s="751"/>
      <c r="F1941" s="751"/>
      <c r="G1941" s="751"/>
      <c r="H1941" s="751"/>
      <c r="I1941" s="751"/>
      <c r="J1941" s="751"/>
      <c r="K1941" s="751"/>
      <c r="L1941" s="751"/>
      <c r="M1941" s="751"/>
      <c r="N1941" s="751"/>
      <c r="O1941" s="751"/>
      <c r="P1941" s="751"/>
      <c r="Q1941" s="751"/>
      <c r="R1941" s="751"/>
      <c r="S1941" s="751"/>
      <c r="T1941" s="751"/>
      <c r="U1941" s="751"/>
      <c r="V1941" s="751"/>
      <c r="W1941" s="751"/>
      <c r="X1941" s="751"/>
      <c r="Y1941" s="751"/>
      <c r="Z1941" s="751"/>
      <c r="AA1941" s="751"/>
      <c r="AB1941" s="751"/>
      <c r="AC1941" s="751"/>
      <c r="AD1941" s="751"/>
      <c r="AE1941" s="751"/>
      <c r="AF1941" s="751"/>
      <c r="AG1941" s="751"/>
    </row>
    <row r="1942" spans="4:33">
      <c r="D1942" s="751"/>
      <c r="E1942" s="751"/>
      <c r="F1942" s="751"/>
      <c r="G1942" s="751"/>
      <c r="H1942" s="751"/>
      <c r="I1942" s="751"/>
      <c r="J1942" s="751"/>
      <c r="K1942" s="751"/>
      <c r="L1942" s="751"/>
      <c r="M1942" s="751"/>
      <c r="N1942" s="751"/>
      <c r="O1942" s="751"/>
      <c r="P1942" s="751"/>
      <c r="Q1942" s="751"/>
      <c r="R1942" s="751"/>
      <c r="S1942" s="751"/>
      <c r="T1942" s="751"/>
      <c r="U1942" s="751"/>
      <c r="V1942" s="751"/>
      <c r="W1942" s="751"/>
      <c r="X1942" s="751"/>
      <c r="Y1942" s="751"/>
      <c r="Z1942" s="751"/>
      <c r="AA1942" s="751"/>
      <c r="AB1942" s="751"/>
      <c r="AC1942" s="751"/>
      <c r="AD1942" s="751"/>
      <c r="AE1942" s="751"/>
      <c r="AF1942" s="751"/>
      <c r="AG1942" s="751"/>
    </row>
    <row r="1943" spans="4:33">
      <c r="D1943" s="751"/>
      <c r="E1943" s="751"/>
      <c r="F1943" s="751"/>
      <c r="G1943" s="751"/>
      <c r="H1943" s="751"/>
      <c r="I1943" s="751"/>
      <c r="J1943" s="751"/>
      <c r="K1943" s="751"/>
      <c r="L1943" s="751"/>
      <c r="M1943" s="751"/>
      <c r="N1943" s="751"/>
      <c r="O1943" s="751"/>
      <c r="P1943" s="751"/>
      <c r="Q1943" s="751"/>
      <c r="R1943" s="751"/>
      <c r="S1943" s="751"/>
      <c r="T1943" s="751"/>
      <c r="U1943" s="751"/>
      <c r="V1943" s="751"/>
      <c r="W1943" s="751"/>
      <c r="X1943" s="751"/>
      <c r="Y1943" s="751"/>
      <c r="Z1943" s="751"/>
      <c r="AA1943" s="751"/>
      <c r="AB1943" s="751"/>
      <c r="AC1943" s="751"/>
      <c r="AD1943" s="751"/>
      <c r="AE1943" s="751"/>
      <c r="AF1943" s="751"/>
      <c r="AG1943" s="751"/>
    </row>
    <row r="1944" spans="4:33">
      <c r="D1944" s="751"/>
      <c r="E1944" s="751"/>
      <c r="F1944" s="751"/>
      <c r="G1944" s="751"/>
      <c r="H1944" s="751"/>
      <c r="I1944" s="751"/>
      <c r="J1944" s="751"/>
      <c r="K1944" s="751"/>
      <c r="L1944" s="751"/>
      <c r="M1944" s="751"/>
      <c r="N1944" s="751"/>
      <c r="O1944" s="751"/>
      <c r="P1944" s="751"/>
      <c r="Q1944" s="751"/>
      <c r="R1944" s="751"/>
      <c r="S1944" s="751"/>
      <c r="T1944" s="751"/>
      <c r="U1944" s="751"/>
      <c r="V1944" s="751"/>
      <c r="W1944" s="751"/>
      <c r="X1944" s="751"/>
      <c r="Y1944" s="751"/>
      <c r="Z1944" s="751"/>
      <c r="AA1944" s="751"/>
      <c r="AB1944" s="751"/>
      <c r="AC1944" s="751"/>
      <c r="AD1944" s="751"/>
      <c r="AE1944" s="751"/>
      <c r="AF1944" s="751"/>
      <c r="AG1944" s="751"/>
    </row>
    <row r="1945" spans="4:33">
      <c r="D1945" s="751"/>
      <c r="E1945" s="751"/>
      <c r="F1945" s="751"/>
      <c r="G1945" s="751"/>
      <c r="H1945" s="751"/>
      <c r="I1945" s="751"/>
      <c r="J1945" s="751"/>
      <c r="K1945" s="751"/>
      <c r="L1945" s="751"/>
      <c r="M1945" s="751"/>
      <c r="N1945" s="751"/>
      <c r="O1945" s="751"/>
      <c r="P1945" s="751"/>
      <c r="Q1945" s="751"/>
      <c r="R1945" s="751"/>
      <c r="S1945" s="751"/>
      <c r="T1945" s="751"/>
      <c r="U1945" s="751"/>
      <c r="V1945" s="751"/>
      <c r="W1945" s="751"/>
      <c r="X1945" s="751"/>
      <c r="Y1945" s="751"/>
      <c r="Z1945" s="751"/>
      <c r="AA1945" s="751"/>
      <c r="AB1945" s="751"/>
      <c r="AC1945" s="751"/>
      <c r="AD1945" s="751"/>
      <c r="AE1945" s="751"/>
      <c r="AF1945" s="751"/>
      <c r="AG1945" s="751"/>
    </row>
    <row r="1946" spans="4:33">
      <c r="D1946" s="751"/>
      <c r="E1946" s="751"/>
      <c r="F1946" s="751"/>
      <c r="G1946" s="751"/>
      <c r="H1946" s="751"/>
      <c r="I1946" s="751"/>
      <c r="J1946" s="751"/>
      <c r="K1946" s="751"/>
      <c r="L1946" s="751"/>
      <c r="M1946" s="751"/>
      <c r="N1946" s="751"/>
      <c r="O1946" s="751"/>
      <c r="P1946" s="751"/>
      <c r="Q1946" s="751"/>
      <c r="R1946" s="751"/>
      <c r="S1946" s="751"/>
      <c r="T1946" s="751"/>
      <c r="U1946" s="751"/>
      <c r="V1946" s="751"/>
      <c r="W1946" s="751"/>
      <c r="X1946" s="751"/>
      <c r="Y1946" s="751"/>
      <c r="Z1946" s="751"/>
      <c r="AA1946" s="751"/>
      <c r="AB1946" s="751"/>
      <c r="AC1946" s="751"/>
      <c r="AD1946" s="751"/>
      <c r="AE1946" s="751"/>
      <c r="AF1946" s="751"/>
      <c r="AG1946" s="751"/>
    </row>
    <row r="1947" spans="4:33">
      <c r="D1947" s="751"/>
      <c r="E1947" s="751"/>
      <c r="F1947" s="751"/>
      <c r="G1947" s="751"/>
      <c r="H1947" s="751"/>
      <c r="I1947" s="751"/>
      <c r="J1947" s="751"/>
      <c r="K1947" s="751"/>
      <c r="L1947" s="751"/>
      <c r="M1947" s="751"/>
      <c r="N1947" s="751"/>
      <c r="O1947" s="751"/>
      <c r="P1947" s="751"/>
      <c r="Q1947" s="751"/>
      <c r="R1947" s="751"/>
      <c r="S1947" s="751"/>
      <c r="T1947" s="751"/>
      <c r="U1947" s="751"/>
      <c r="V1947" s="751"/>
      <c r="W1947" s="751"/>
      <c r="X1947" s="751"/>
      <c r="Y1947" s="751"/>
      <c r="Z1947" s="751"/>
      <c r="AA1947" s="751"/>
      <c r="AB1947" s="751"/>
      <c r="AC1947" s="751"/>
      <c r="AD1947" s="751"/>
      <c r="AE1947" s="751"/>
      <c r="AF1947" s="751"/>
      <c r="AG1947" s="751"/>
    </row>
    <row r="1948" spans="4:33">
      <c r="D1948" s="751"/>
      <c r="E1948" s="751"/>
      <c r="F1948" s="751"/>
      <c r="G1948" s="751"/>
      <c r="H1948" s="751"/>
      <c r="I1948" s="751"/>
      <c r="J1948" s="751"/>
      <c r="K1948" s="751"/>
      <c r="L1948" s="751"/>
      <c r="M1948" s="751"/>
      <c r="N1948" s="751"/>
      <c r="O1948" s="751"/>
      <c r="P1948" s="751"/>
      <c r="Q1948" s="751"/>
      <c r="R1948" s="751"/>
      <c r="S1948" s="751"/>
      <c r="T1948" s="751"/>
      <c r="U1948" s="751"/>
      <c r="V1948" s="751"/>
      <c r="W1948" s="751"/>
      <c r="X1948" s="751"/>
      <c r="Y1948" s="751"/>
      <c r="Z1948" s="751"/>
      <c r="AA1948" s="751"/>
      <c r="AB1948" s="751"/>
      <c r="AC1948" s="751"/>
      <c r="AD1948" s="751"/>
      <c r="AE1948" s="751"/>
      <c r="AF1948" s="751"/>
      <c r="AG1948" s="751"/>
    </row>
    <row r="1949" spans="4:33">
      <c r="D1949" s="751"/>
      <c r="E1949" s="751"/>
      <c r="F1949" s="751"/>
      <c r="G1949" s="751"/>
      <c r="H1949" s="751"/>
      <c r="I1949" s="751"/>
      <c r="J1949" s="751"/>
      <c r="K1949" s="751"/>
      <c r="L1949" s="751"/>
      <c r="M1949" s="751"/>
      <c r="N1949" s="751"/>
      <c r="O1949" s="751"/>
      <c r="P1949" s="751"/>
      <c r="Q1949" s="751"/>
      <c r="R1949" s="751"/>
      <c r="S1949" s="751"/>
      <c r="T1949" s="751"/>
      <c r="U1949" s="751"/>
      <c r="V1949" s="751"/>
      <c r="W1949" s="751"/>
      <c r="X1949" s="751"/>
      <c r="Y1949" s="751"/>
      <c r="Z1949" s="751"/>
      <c r="AA1949" s="751"/>
      <c r="AB1949" s="751"/>
      <c r="AC1949" s="751"/>
      <c r="AD1949" s="751"/>
      <c r="AE1949" s="751"/>
      <c r="AF1949" s="751"/>
      <c r="AG1949" s="751"/>
    </row>
    <row r="1950" spans="4:33">
      <c r="D1950" s="751"/>
      <c r="E1950" s="751"/>
      <c r="F1950" s="751"/>
      <c r="G1950" s="751"/>
      <c r="H1950" s="751"/>
      <c r="I1950" s="751"/>
      <c r="J1950" s="751"/>
      <c r="K1950" s="751"/>
      <c r="L1950" s="751"/>
      <c r="M1950" s="751"/>
      <c r="N1950" s="751"/>
      <c r="O1950" s="751"/>
      <c r="P1950" s="751"/>
      <c r="Q1950" s="751"/>
      <c r="R1950" s="751"/>
      <c r="S1950" s="751"/>
      <c r="T1950" s="751"/>
      <c r="U1950" s="751"/>
      <c r="V1950" s="751"/>
      <c r="W1950" s="751"/>
      <c r="X1950" s="751"/>
      <c r="Y1950" s="751"/>
      <c r="Z1950" s="751"/>
      <c r="AA1950" s="751"/>
      <c r="AB1950" s="751"/>
      <c r="AC1950" s="751"/>
      <c r="AD1950" s="751"/>
      <c r="AE1950" s="751"/>
      <c r="AF1950" s="751"/>
      <c r="AG1950" s="751"/>
    </row>
    <row r="1951" spans="4:33">
      <c r="D1951" s="751"/>
      <c r="E1951" s="751"/>
      <c r="F1951" s="751"/>
      <c r="G1951" s="751"/>
      <c r="H1951" s="751"/>
      <c r="I1951" s="751"/>
      <c r="J1951" s="751"/>
      <c r="K1951" s="751"/>
      <c r="L1951" s="751"/>
      <c r="M1951" s="751"/>
      <c r="N1951" s="751"/>
      <c r="O1951" s="751"/>
      <c r="P1951" s="751"/>
      <c r="Q1951" s="751"/>
      <c r="R1951" s="751"/>
      <c r="S1951" s="751"/>
      <c r="T1951" s="751"/>
      <c r="U1951" s="751"/>
      <c r="V1951" s="751"/>
      <c r="W1951" s="751"/>
      <c r="X1951" s="751"/>
      <c r="Y1951" s="751"/>
      <c r="Z1951" s="751"/>
      <c r="AA1951" s="751"/>
      <c r="AB1951" s="751"/>
      <c r="AC1951" s="751"/>
      <c r="AD1951" s="751"/>
      <c r="AE1951" s="751"/>
      <c r="AF1951" s="751"/>
      <c r="AG1951" s="751"/>
    </row>
    <row r="1952" spans="4:33">
      <c r="D1952" s="751"/>
      <c r="E1952" s="751"/>
      <c r="F1952" s="751"/>
      <c r="G1952" s="751"/>
      <c r="H1952" s="751"/>
      <c r="I1952" s="751"/>
      <c r="J1952" s="751"/>
      <c r="K1952" s="751"/>
      <c r="L1952" s="751"/>
      <c r="M1952" s="751"/>
      <c r="N1952" s="751"/>
      <c r="O1952" s="751"/>
      <c r="P1952" s="751"/>
      <c r="Q1952" s="751"/>
      <c r="R1952" s="751"/>
      <c r="S1952" s="751"/>
      <c r="T1952" s="751"/>
      <c r="U1952" s="751"/>
      <c r="V1952" s="751"/>
      <c r="W1952" s="751"/>
      <c r="X1952" s="751"/>
      <c r="Y1952" s="751"/>
      <c r="Z1952" s="751"/>
      <c r="AA1952" s="751"/>
      <c r="AB1952" s="751"/>
      <c r="AC1952" s="751"/>
      <c r="AD1952" s="751"/>
      <c r="AE1952" s="751"/>
      <c r="AF1952" s="751"/>
      <c r="AG1952" s="751"/>
    </row>
    <row r="1953" spans="4:33">
      <c r="D1953" s="751"/>
      <c r="E1953" s="751"/>
      <c r="F1953" s="751"/>
      <c r="G1953" s="751"/>
      <c r="H1953" s="751"/>
      <c r="I1953" s="751"/>
      <c r="J1953" s="751"/>
      <c r="K1953" s="751"/>
      <c r="L1953" s="751"/>
      <c r="M1953" s="751"/>
      <c r="N1953" s="751"/>
      <c r="O1953" s="751"/>
      <c r="P1953" s="751"/>
      <c r="Q1953" s="751"/>
      <c r="R1953" s="751"/>
      <c r="S1953" s="751"/>
      <c r="T1953" s="751"/>
      <c r="U1953" s="751"/>
      <c r="V1953" s="751"/>
      <c r="W1953" s="751"/>
      <c r="X1953" s="751"/>
      <c r="Y1953" s="751"/>
      <c r="Z1953" s="751"/>
      <c r="AA1953" s="751"/>
      <c r="AB1953" s="751"/>
      <c r="AC1953" s="751"/>
      <c r="AD1953" s="751"/>
      <c r="AE1953" s="751"/>
      <c r="AF1953" s="751"/>
      <c r="AG1953" s="751"/>
    </row>
    <row r="1954" spans="4:33">
      <c r="D1954" s="751"/>
      <c r="E1954" s="751"/>
      <c r="F1954" s="751"/>
      <c r="G1954" s="751"/>
      <c r="H1954" s="751"/>
      <c r="I1954" s="751"/>
      <c r="J1954" s="751"/>
      <c r="K1954" s="751"/>
      <c r="L1954" s="751"/>
      <c r="M1954" s="751"/>
      <c r="N1954" s="751"/>
      <c r="O1954" s="751"/>
      <c r="P1954" s="751"/>
      <c r="Q1954" s="751"/>
      <c r="R1954" s="751"/>
      <c r="S1954" s="751"/>
      <c r="T1954" s="751"/>
      <c r="U1954" s="751"/>
      <c r="V1954" s="751"/>
      <c r="W1954" s="751"/>
      <c r="X1954" s="751"/>
      <c r="Y1954" s="751"/>
      <c r="Z1954" s="751"/>
      <c r="AA1954" s="751"/>
      <c r="AB1954" s="751"/>
      <c r="AC1954" s="751"/>
      <c r="AD1954" s="751"/>
      <c r="AE1954" s="751"/>
      <c r="AF1954" s="751"/>
      <c r="AG1954" s="751"/>
    </row>
    <row r="1955" spans="4:33">
      <c r="D1955" s="751"/>
      <c r="E1955" s="751"/>
      <c r="F1955" s="751"/>
      <c r="G1955" s="751"/>
      <c r="H1955" s="751"/>
      <c r="I1955" s="751"/>
      <c r="J1955" s="751"/>
      <c r="K1955" s="751"/>
      <c r="L1955" s="751"/>
      <c r="M1955" s="751"/>
      <c r="N1955" s="751"/>
      <c r="O1955" s="751"/>
      <c r="P1955" s="751"/>
      <c r="Q1955" s="751"/>
      <c r="R1955" s="751"/>
      <c r="S1955" s="751"/>
      <c r="T1955" s="751"/>
      <c r="U1955" s="751"/>
      <c r="V1955" s="751"/>
      <c r="W1955" s="751"/>
      <c r="X1955" s="751"/>
      <c r="Y1955" s="751"/>
      <c r="Z1955" s="751"/>
      <c r="AA1955" s="751"/>
      <c r="AB1955" s="751"/>
      <c r="AC1955" s="751"/>
      <c r="AD1955" s="751"/>
      <c r="AE1955" s="751"/>
      <c r="AF1955" s="751"/>
      <c r="AG1955" s="751"/>
    </row>
    <row r="1956" spans="4:33">
      <c r="D1956" s="751"/>
      <c r="E1956" s="751"/>
      <c r="F1956" s="751"/>
      <c r="G1956" s="751"/>
      <c r="H1956" s="751"/>
      <c r="I1956" s="751"/>
      <c r="J1956" s="751"/>
      <c r="K1956" s="751"/>
      <c r="L1956" s="751"/>
      <c r="M1956" s="751"/>
      <c r="N1956" s="751"/>
      <c r="O1956" s="751"/>
      <c r="P1956" s="751"/>
      <c r="Q1956" s="751"/>
      <c r="R1956" s="751"/>
      <c r="S1956" s="751"/>
      <c r="T1956" s="751"/>
      <c r="U1956" s="751"/>
      <c r="V1956" s="751"/>
      <c r="W1956" s="751"/>
      <c r="X1956" s="751"/>
      <c r="Y1956" s="751"/>
      <c r="Z1956" s="751"/>
      <c r="AA1956" s="751"/>
      <c r="AB1956" s="751"/>
      <c r="AC1956" s="751"/>
      <c r="AD1956" s="751"/>
      <c r="AE1956" s="751"/>
      <c r="AF1956" s="751"/>
      <c r="AG1956" s="751"/>
    </row>
    <row r="1957" spans="4:33">
      <c r="D1957" s="751"/>
      <c r="E1957" s="751"/>
      <c r="F1957" s="751"/>
      <c r="G1957" s="751"/>
      <c r="H1957" s="751"/>
      <c r="I1957" s="751"/>
      <c r="J1957" s="751"/>
      <c r="K1957" s="751"/>
      <c r="L1957" s="751"/>
      <c r="M1957" s="751"/>
      <c r="N1957" s="751"/>
      <c r="O1957" s="751"/>
      <c r="P1957" s="751"/>
      <c r="Q1957" s="751"/>
      <c r="R1957" s="751"/>
      <c r="S1957" s="751"/>
      <c r="T1957" s="751"/>
      <c r="U1957" s="751"/>
      <c r="V1957" s="751"/>
      <c r="W1957" s="751"/>
      <c r="X1957" s="751"/>
      <c r="Y1957" s="751"/>
      <c r="Z1957" s="751"/>
      <c r="AA1957" s="751"/>
      <c r="AB1957" s="751"/>
      <c r="AC1957" s="751"/>
      <c r="AD1957" s="751"/>
      <c r="AE1957" s="751"/>
      <c r="AF1957" s="751"/>
      <c r="AG1957" s="751"/>
    </row>
    <row r="1958" spans="4:33">
      <c r="D1958" s="751"/>
      <c r="E1958" s="751"/>
      <c r="F1958" s="751"/>
      <c r="G1958" s="751"/>
      <c r="H1958" s="751"/>
      <c r="I1958" s="751"/>
      <c r="J1958" s="751"/>
      <c r="K1958" s="751"/>
      <c r="L1958" s="751"/>
      <c r="M1958" s="751"/>
      <c r="N1958" s="751"/>
      <c r="O1958" s="751"/>
      <c r="P1958" s="751"/>
      <c r="Q1958" s="751"/>
      <c r="R1958" s="751"/>
      <c r="S1958" s="751"/>
      <c r="T1958" s="751"/>
      <c r="U1958" s="751"/>
      <c r="V1958" s="751"/>
      <c r="W1958" s="751"/>
      <c r="X1958" s="751"/>
      <c r="Y1958" s="751"/>
      <c r="Z1958" s="751"/>
      <c r="AA1958" s="751"/>
      <c r="AB1958" s="751"/>
      <c r="AC1958" s="751"/>
      <c r="AD1958" s="751"/>
      <c r="AE1958" s="751"/>
      <c r="AF1958" s="751"/>
      <c r="AG1958" s="751"/>
    </row>
    <row r="1959" spans="4:33">
      <c r="D1959" s="751"/>
      <c r="E1959" s="751"/>
      <c r="F1959" s="751"/>
      <c r="G1959" s="751"/>
      <c r="H1959" s="751"/>
      <c r="I1959" s="751"/>
      <c r="J1959" s="751"/>
      <c r="K1959" s="751"/>
      <c r="L1959" s="751"/>
      <c r="M1959" s="751"/>
      <c r="N1959" s="751"/>
      <c r="O1959" s="751"/>
      <c r="P1959" s="751"/>
      <c r="Q1959" s="751"/>
      <c r="R1959" s="751"/>
      <c r="S1959" s="751"/>
      <c r="T1959" s="751"/>
      <c r="U1959" s="751"/>
      <c r="V1959" s="751"/>
      <c r="W1959" s="751"/>
      <c r="X1959" s="751"/>
      <c r="Y1959" s="751"/>
      <c r="Z1959" s="751"/>
      <c r="AA1959" s="751"/>
      <c r="AB1959" s="751"/>
      <c r="AC1959" s="751"/>
      <c r="AD1959" s="751"/>
      <c r="AE1959" s="751"/>
      <c r="AF1959" s="751"/>
      <c r="AG1959" s="751"/>
    </row>
    <row r="1960" spans="4:33">
      <c r="D1960" s="751"/>
      <c r="E1960" s="751"/>
      <c r="F1960" s="751"/>
      <c r="G1960" s="751"/>
      <c r="H1960" s="751"/>
      <c r="I1960" s="751"/>
      <c r="J1960" s="751"/>
      <c r="K1960" s="751"/>
      <c r="L1960" s="751"/>
      <c r="M1960" s="751"/>
      <c r="N1960" s="751"/>
      <c r="O1960" s="751"/>
      <c r="P1960" s="751"/>
      <c r="Q1960" s="751"/>
      <c r="R1960" s="751"/>
      <c r="S1960" s="751"/>
      <c r="T1960" s="751"/>
      <c r="U1960" s="751"/>
      <c r="V1960" s="751"/>
      <c r="W1960" s="751"/>
      <c r="X1960" s="751"/>
      <c r="Y1960" s="751"/>
      <c r="Z1960" s="751"/>
      <c r="AA1960" s="751"/>
      <c r="AB1960" s="751"/>
      <c r="AC1960" s="751"/>
      <c r="AD1960" s="751"/>
      <c r="AE1960" s="751"/>
      <c r="AF1960" s="751"/>
      <c r="AG1960" s="751"/>
    </row>
    <row r="1961" spans="4:33">
      <c r="D1961" s="751"/>
      <c r="E1961" s="751"/>
      <c r="F1961" s="751"/>
      <c r="G1961" s="751"/>
      <c r="H1961" s="751"/>
      <c r="I1961" s="751"/>
      <c r="J1961" s="751"/>
      <c r="K1961" s="751"/>
      <c r="L1961" s="751"/>
      <c r="M1961" s="751"/>
      <c r="N1961" s="751"/>
      <c r="O1961" s="751"/>
      <c r="P1961" s="751"/>
      <c r="Q1961" s="751"/>
      <c r="R1961" s="751"/>
      <c r="S1961" s="751"/>
      <c r="T1961" s="751"/>
      <c r="U1961" s="751"/>
      <c r="V1961" s="751"/>
      <c r="W1961" s="751"/>
      <c r="X1961" s="751"/>
      <c r="Y1961" s="751"/>
      <c r="Z1961" s="751"/>
      <c r="AA1961" s="751"/>
      <c r="AB1961" s="751"/>
      <c r="AC1961" s="751"/>
      <c r="AD1961" s="751"/>
      <c r="AE1961" s="751"/>
      <c r="AF1961" s="751"/>
      <c r="AG1961" s="751"/>
    </row>
    <row r="1962" spans="4:33">
      <c r="D1962" s="751"/>
      <c r="E1962" s="751"/>
      <c r="F1962" s="751"/>
      <c r="G1962" s="751"/>
      <c r="H1962" s="751"/>
      <c r="I1962" s="751"/>
      <c r="J1962" s="751"/>
      <c r="K1962" s="751"/>
      <c r="L1962" s="751"/>
      <c r="M1962" s="751"/>
      <c r="N1962" s="751"/>
      <c r="O1962" s="751"/>
      <c r="P1962" s="751"/>
      <c r="Q1962" s="751"/>
      <c r="R1962" s="751"/>
      <c r="S1962" s="751"/>
      <c r="T1962" s="751"/>
      <c r="U1962" s="751"/>
      <c r="V1962" s="751"/>
      <c r="W1962" s="751"/>
      <c r="X1962" s="751"/>
      <c r="Y1962" s="751"/>
      <c r="Z1962" s="751"/>
      <c r="AA1962" s="751"/>
      <c r="AB1962" s="751"/>
      <c r="AC1962" s="751"/>
      <c r="AD1962" s="751"/>
      <c r="AE1962" s="751"/>
      <c r="AF1962" s="751"/>
      <c r="AG1962" s="751"/>
    </row>
    <row r="1963" spans="4:33">
      <c r="D1963" s="751"/>
      <c r="E1963" s="751"/>
      <c r="F1963" s="751"/>
      <c r="G1963" s="751"/>
      <c r="H1963" s="751"/>
      <c r="I1963" s="751"/>
      <c r="J1963" s="751"/>
      <c r="K1963" s="751"/>
      <c r="L1963" s="751"/>
      <c r="M1963" s="751"/>
      <c r="N1963" s="751"/>
      <c r="O1963" s="751"/>
      <c r="P1963" s="751"/>
      <c r="Q1963" s="751"/>
      <c r="R1963" s="751"/>
      <c r="S1963" s="751"/>
      <c r="T1963" s="751"/>
      <c r="U1963" s="751"/>
      <c r="V1963" s="751"/>
      <c r="W1963" s="751"/>
      <c r="X1963" s="751"/>
      <c r="Y1963" s="751"/>
      <c r="Z1963" s="751"/>
      <c r="AA1963" s="751"/>
      <c r="AB1963" s="751"/>
      <c r="AC1963" s="751"/>
      <c r="AD1963" s="751"/>
      <c r="AE1963" s="751"/>
      <c r="AF1963" s="751"/>
      <c r="AG1963" s="751"/>
    </row>
    <row r="1964" spans="4:33">
      <c r="U1964" s="751"/>
    </row>
    <row r="1965" spans="4:33">
      <c r="U1965" s="751"/>
    </row>
    <row r="1966" spans="4:33">
      <c r="U1966" s="751"/>
    </row>
    <row r="1967" spans="4:33">
      <c r="U1967" s="751"/>
    </row>
    <row r="1968" spans="4:33">
      <c r="U1968" s="751"/>
    </row>
    <row r="1969" spans="21:21">
      <c r="U1969" s="751"/>
    </row>
    <row r="1970" spans="21:21">
      <c r="U1970" s="751"/>
    </row>
    <row r="1971" spans="21:21">
      <c r="U1971" s="751"/>
    </row>
    <row r="1972" spans="21:21">
      <c r="U1972" s="751"/>
    </row>
    <row r="1973" spans="21:21">
      <c r="U1973" s="751"/>
    </row>
    <row r="1974" spans="21:21">
      <c r="U1974" s="751"/>
    </row>
    <row r="1975" spans="21:21">
      <c r="U1975" s="751"/>
    </row>
    <row r="1976" spans="21:21">
      <c r="U1976" s="751"/>
    </row>
    <row r="1977" spans="21:21">
      <c r="U1977" s="751"/>
    </row>
    <row r="1978" spans="21:21">
      <c r="U1978" s="751"/>
    </row>
    <row r="1979" spans="21:21">
      <c r="U1979" s="751"/>
    </row>
    <row r="1980" spans="21:21">
      <c r="U1980" s="751"/>
    </row>
    <row r="1981" spans="21:21">
      <c r="U1981" s="751"/>
    </row>
    <row r="1982" spans="21:21">
      <c r="U1982" s="751"/>
    </row>
    <row r="1983" spans="21:21">
      <c r="U1983" s="751"/>
    </row>
    <row r="1984" spans="21:21">
      <c r="U1984" s="751"/>
    </row>
    <row r="1985" spans="21:21">
      <c r="U1985" s="751"/>
    </row>
    <row r="1986" spans="21:21">
      <c r="U1986" s="751"/>
    </row>
    <row r="1987" spans="21:21">
      <c r="U1987" s="751"/>
    </row>
    <row r="1988" spans="21:21">
      <c r="U1988" s="751"/>
    </row>
    <row r="1989" spans="21:21">
      <c r="U1989" s="751"/>
    </row>
    <row r="1990" spans="21:21">
      <c r="U1990" s="751"/>
    </row>
    <row r="1991" spans="21:21">
      <c r="U1991" s="751"/>
    </row>
    <row r="1992" spans="21:21">
      <c r="U1992" s="751"/>
    </row>
    <row r="1993" spans="21:21">
      <c r="U1993" s="751"/>
    </row>
    <row r="1994" spans="21:21">
      <c r="U1994" s="751"/>
    </row>
    <row r="1995" spans="21:21">
      <c r="U1995" s="751"/>
    </row>
    <row r="1996" spans="21:21">
      <c r="U1996" s="751"/>
    </row>
    <row r="1997" spans="21:21">
      <c r="U1997" s="751"/>
    </row>
    <row r="1998" spans="21:21">
      <c r="U1998" s="751"/>
    </row>
    <row r="1999" spans="21:21">
      <c r="U1999" s="751"/>
    </row>
    <row r="2000" spans="21:21">
      <c r="U2000" s="751"/>
    </row>
    <row r="2001" spans="21:21">
      <c r="U2001" s="751"/>
    </row>
    <row r="2002" spans="21:21">
      <c r="U2002" s="751"/>
    </row>
    <row r="2003" spans="21:21">
      <c r="U2003" s="751"/>
    </row>
    <row r="2004" spans="21:21">
      <c r="U2004" s="751"/>
    </row>
    <row r="2005" spans="21:21">
      <c r="U2005" s="751"/>
    </row>
    <row r="2006" spans="21:21">
      <c r="U2006" s="751"/>
    </row>
    <row r="2007" spans="21:21">
      <c r="U2007" s="751"/>
    </row>
    <row r="2008" spans="21:21">
      <c r="U2008" s="751"/>
    </row>
    <row r="2009" spans="21:21">
      <c r="U2009" s="751"/>
    </row>
    <row r="2010" spans="21:21">
      <c r="U2010" s="751"/>
    </row>
    <row r="2011" spans="21:21">
      <c r="U2011" s="751"/>
    </row>
    <row r="2012" spans="21:21">
      <c r="U2012" s="751"/>
    </row>
    <row r="2013" spans="21:21">
      <c r="U2013" s="751"/>
    </row>
    <row r="2014" spans="21:21">
      <c r="U2014" s="751"/>
    </row>
    <row r="2015" spans="21:21">
      <c r="U2015" s="751"/>
    </row>
    <row r="2016" spans="21:21">
      <c r="U2016" s="751"/>
    </row>
    <row r="2017" spans="21:21">
      <c r="U2017" s="751"/>
    </row>
    <row r="2018" spans="21:21">
      <c r="U2018" s="751"/>
    </row>
    <row r="2019" spans="21:21">
      <c r="U2019" s="751"/>
    </row>
    <row r="2020" spans="21:21">
      <c r="U2020" s="751"/>
    </row>
    <row r="2021" spans="21:21">
      <c r="U2021" s="751"/>
    </row>
    <row r="2022" spans="21:21">
      <c r="U2022" s="751"/>
    </row>
    <row r="2023" spans="21:21">
      <c r="U2023" s="751"/>
    </row>
    <row r="2024" spans="21:21">
      <c r="U2024" s="751"/>
    </row>
    <row r="2025" spans="21:21">
      <c r="U2025" s="751"/>
    </row>
    <row r="2026" spans="21:21">
      <c r="U2026" s="751"/>
    </row>
    <row r="2027" spans="21:21">
      <c r="U2027" s="751"/>
    </row>
    <row r="2028" spans="21:21">
      <c r="U2028" s="751"/>
    </row>
    <row r="2029" spans="21:21">
      <c r="U2029" s="751"/>
    </row>
    <row r="2030" spans="21:21">
      <c r="U2030" s="751"/>
    </row>
    <row r="2031" spans="21:21">
      <c r="U2031" s="751"/>
    </row>
    <row r="2032" spans="21:21">
      <c r="U2032" s="751"/>
    </row>
    <row r="2033" spans="21:21">
      <c r="U2033" s="751"/>
    </row>
    <row r="2034" spans="21:21">
      <c r="U2034" s="751"/>
    </row>
    <row r="2035" spans="21:21">
      <c r="U2035" s="751"/>
    </row>
    <row r="2036" spans="21:21">
      <c r="U2036" s="751"/>
    </row>
    <row r="2037" spans="21:21">
      <c r="U2037" s="751"/>
    </row>
    <row r="2038" spans="21:21">
      <c r="U2038" s="751"/>
    </row>
    <row r="2039" spans="21:21">
      <c r="U2039" s="751"/>
    </row>
    <row r="2040" spans="21:21">
      <c r="U2040" s="751"/>
    </row>
    <row r="2041" spans="21:21">
      <c r="U2041" s="751"/>
    </row>
    <row r="2042" spans="21:21">
      <c r="U2042" s="751"/>
    </row>
    <row r="2043" spans="21:21">
      <c r="U2043" s="751"/>
    </row>
    <row r="2044" spans="21:21">
      <c r="U2044" s="751"/>
    </row>
    <row r="2045" spans="21:21">
      <c r="U2045" s="751"/>
    </row>
    <row r="2046" spans="21:21">
      <c r="U2046" s="751"/>
    </row>
    <row r="2047" spans="21:21">
      <c r="U2047" s="751"/>
    </row>
    <row r="2048" spans="21:21">
      <c r="U2048" s="751"/>
    </row>
    <row r="2049" spans="21:21">
      <c r="U2049" s="751"/>
    </row>
    <row r="2050" spans="21:21">
      <c r="U2050" s="751"/>
    </row>
    <row r="2051" spans="21:21">
      <c r="U2051" s="751"/>
    </row>
    <row r="2052" spans="21:21">
      <c r="U2052" s="751"/>
    </row>
    <row r="2053" spans="21:21">
      <c r="U2053" s="751"/>
    </row>
    <row r="2054" spans="21:21">
      <c r="U2054" s="751"/>
    </row>
    <row r="2055" spans="21:21">
      <c r="U2055" s="751"/>
    </row>
    <row r="2056" spans="21:21">
      <c r="U2056" s="751"/>
    </row>
    <row r="2057" spans="21:21">
      <c r="U2057" s="751"/>
    </row>
    <row r="2058" spans="21:21">
      <c r="U2058" s="751"/>
    </row>
    <row r="2059" spans="21:21">
      <c r="U2059" s="751"/>
    </row>
    <row r="2060" spans="21:21">
      <c r="U2060" s="751"/>
    </row>
    <row r="2061" spans="21:21">
      <c r="U2061" s="751"/>
    </row>
    <row r="2062" spans="21:21">
      <c r="U2062" s="751"/>
    </row>
    <row r="2063" spans="21:21">
      <c r="U2063" s="751"/>
    </row>
    <row r="2064" spans="21:21">
      <c r="U2064" s="751"/>
    </row>
    <row r="2065" spans="21:21">
      <c r="U2065" s="751"/>
    </row>
    <row r="2066" spans="21:21">
      <c r="U2066" s="751"/>
    </row>
    <row r="2067" spans="21:21">
      <c r="U2067" s="751"/>
    </row>
    <row r="2068" spans="21:21">
      <c r="U2068" s="751"/>
    </row>
    <row r="2069" spans="21:21">
      <c r="U2069" s="751"/>
    </row>
    <row r="2070" spans="21:21">
      <c r="U2070" s="751"/>
    </row>
    <row r="2071" spans="21:21">
      <c r="U2071" s="751"/>
    </row>
    <row r="2072" spans="21:21">
      <c r="U2072" s="751"/>
    </row>
    <row r="2073" spans="21:21">
      <c r="U2073" s="751"/>
    </row>
    <row r="2074" spans="21:21">
      <c r="U2074" s="751"/>
    </row>
    <row r="2075" spans="21:21">
      <c r="U2075" s="751"/>
    </row>
    <row r="2076" spans="21:21">
      <c r="U2076" s="751"/>
    </row>
    <row r="2077" spans="21:21">
      <c r="U2077" s="751"/>
    </row>
    <row r="2078" spans="21:21">
      <c r="U2078" s="751"/>
    </row>
    <row r="2079" spans="21:21">
      <c r="U2079" s="751"/>
    </row>
    <row r="2080" spans="21:21">
      <c r="U2080" s="751"/>
    </row>
    <row r="2081" spans="21:21">
      <c r="U2081" s="751"/>
    </row>
    <row r="2082" spans="21:21">
      <c r="U2082" s="751"/>
    </row>
    <row r="2083" spans="21:21">
      <c r="U2083" s="751"/>
    </row>
    <row r="2084" spans="21:21">
      <c r="U2084" s="751"/>
    </row>
    <row r="2085" spans="21:21">
      <c r="U2085" s="751"/>
    </row>
    <row r="2086" spans="21:21">
      <c r="U2086" s="751"/>
    </row>
    <row r="2087" spans="21:21">
      <c r="U2087" s="751"/>
    </row>
    <row r="2088" spans="21:21">
      <c r="U2088" s="751"/>
    </row>
    <row r="2089" spans="21:21">
      <c r="U2089" s="751"/>
    </row>
    <row r="2090" spans="21:21">
      <c r="U2090" s="751"/>
    </row>
    <row r="2091" spans="21:21">
      <c r="U2091" s="751"/>
    </row>
    <row r="2092" spans="21:21">
      <c r="U2092" s="751"/>
    </row>
    <row r="2093" spans="21:21">
      <c r="U2093" s="751"/>
    </row>
    <row r="2094" spans="21:21">
      <c r="U2094" s="751"/>
    </row>
    <row r="2095" spans="21:21">
      <c r="U2095" s="751"/>
    </row>
    <row r="2096" spans="21:21">
      <c r="U2096" s="751"/>
    </row>
    <row r="2097" spans="21:21">
      <c r="U2097" s="751"/>
    </row>
    <row r="2098" spans="21:21">
      <c r="U2098" s="751"/>
    </row>
    <row r="2099" spans="21:21">
      <c r="U2099" s="751"/>
    </row>
    <row r="2100" spans="21:21">
      <c r="U2100" s="751"/>
    </row>
    <row r="2101" spans="21:21">
      <c r="U2101" s="751"/>
    </row>
    <row r="2102" spans="21:21">
      <c r="U2102" s="751"/>
    </row>
    <row r="2103" spans="21:21">
      <c r="U2103" s="751"/>
    </row>
    <row r="2104" spans="21:21">
      <c r="U2104" s="751"/>
    </row>
    <row r="2105" spans="21:21">
      <c r="U2105" s="751"/>
    </row>
    <row r="2106" spans="21:21">
      <c r="U2106" s="751"/>
    </row>
    <row r="2107" spans="21:21">
      <c r="U2107" s="751"/>
    </row>
    <row r="2108" spans="21:21">
      <c r="U2108" s="751"/>
    </row>
    <row r="2109" spans="21:21">
      <c r="U2109" s="751"/>
    </row>
    <row r="2110" spans="21:21">
      <c r="U2110" s="751"/>
    </row>
    <row r="2111" spans="21:21">
      <c r="U2111" s="751"/>
    </row>
    <row r="2112" spans="21:21">
      <c r="U2112" s="751"/>
    </row>
    <row r="2113" spans="21:21">
      <c r="U2113" s="751"/>
    </row>
    <row r="2114" spans="21:21">
      <c r="U2114" s="751"/>
    </row>
    <row r="2115" spans="21:21">
      <c r="U2115" s="751"/>
    </row>
    <row r="2116" spans="21:21">
      <c r="U2116" s="751"/>
    </row>
    <row r="2117" spans="21:21">
      <c r="U2117" s="751"/>
    </row>
    <row r="2118" spans="21:21">
      <c r="U2118" s="751"/>
    </row>
    <row r="2119" spans="21:21">
      <c r="U2119" s="751"/>
    </row>
    <row r="2120" spans="21:21">
      <c r="U2120" s="751"/>
    </row>
    <row r="2121" spans="21:21">
      <c r="U2121" s="751"/>
    </row>
    <row r="2122" spans="21:21">
      <c r="U2122" s="751"/>
    </row>
    <row r="2123" spans="21:21">
      <c r="U2123" s="751"/>
    </row>
    <row r="2124" spans="21:21">
      <c r="U2124" s="751"/>
    </row>
    <row r="2125" spans="21:21">
      <c r="U2125" s="751"/>
    </row>
    <row r="2126" spans="21:21">
      <c r="U2126" s="751"/>
    </row>
    <row r="2127" spans="21:21">
      <c r="U2127" s="751"/>
    </row>
    <row r="2128" spans="21:21">
      <c r="U2128" s="751"/>
    </row>
    <row r="2129" spans="21:21">
      <c r="U2129" s="751"/>
    </row>
    <row r="2130" spans="21:21">
      <c r="U2130" s="751"/>
    </row>
    <row r="2131" spans="21:21">
      <c r="U2131" s="751"/>
    </row>
    <row r="2132" spans="21:21">
      <c r="U2132" s="751"/>
    </row>
    <row r="2133" spans="21:21">
      <c r="U2133" s="751"/>
    </row>
    <row r="2134" spans="21:21">
      <c r="U2134" s="751"/>
    </row>
    <row r="2135" spans="21:21">
      <c r="U2135" s="751"/>
    </row>
    <row r="2136" spans="21:21">
      <c r="U2136" s="751"/>
    </row>
    <row r="2137" spans="21:21">
      <c r="U2137" s="751"/>
    </row>
    <row r="2138" spans="21:21">
      <c r="U2138" s="751"/>
    </row>
    <row r="2139" spans="21:21">
      <c r="U2139" s="751"/>
    </row>
    <row r="2140" spans="21:21">
      <c r="U2140" s="751"/>
    </row>
    <row r="2141" spans="21:21">
      <c r="U2141" s="751"/>
    </row>
    <row r="2142" spans="21:21">
      <c r="U2142" s="751"/>
    </row>
    <row r="2143" spans="21:21">
      <c r="U2143" s="751"/>
    </row>
    <row r="2144" spans="21:21">
      <c r="U2144" s="751"/>
    </row>
    <row r="2145" spans="21:21">
      <c r="U2145" s="751"/>
    </row>
    <row r="2146" spans="21:21">
      <c r="U2146" s="751"/>
    </row>
    <row r="2147" spans="21:21">
      <c r="U2147" s="751"/>
    </row>
    <row r="2148" spans="21:21">
      <c r="U2148" s="751"/>
    </row>
    <row r="2149" spans="21:21">
      <c r="U2149" s="751"/>
    </row>
    <row r="2150" spans="21:21">
      <c r="U2150" s="751"/>
    </row>
    <row r="2151" spans="21:21">
      <c r="U2151" s="751"/>
    </row>
    <row r="2152" spans="21:21">
      <c r="U2152" s="751"/>
    </row>
    <row r="2153" spans="21:21">
      <c r="U2153" s="751"/>
    </row>
    <row r="2154" spans="21:21">
      <c r="U2154" s="751"/>
    </row>
    <row r="2155" spans="21:21">
      <c r="U2155" s="751"/>
    </row>
    <row r="2156" spans="21:21">
      <c r="U2156" s="751"/>
    </row>
    <row r="2157" spans="21:21">
      <c r="U2157" s="751"/>
    </row>
    <row r="2158" spans="21:21">
      <c r="U2158" s="751"/>
    </row>
    <row r="2159" spans="21:21">
      <c r="U2159" s="751"/>
    </row>
    <row r="2160" spans="21:21">
      <c r="U2160" s="751"/>
    </row>
    <row r="2161" spans="21:21">
      <c r="U2161" s="751"/>
    </row>
    <row r="2162" spans="21:21">
      <c r="U2162" s="751"/>
    </row>
    <row r="2163" spans="21:21">
      <c r="U2163" s="751"/>
    </row>
    <row r="2164" spans="21:21">
      <c r="U2164" s="751"/>
    </row>
    <row r="2165" spans="21:21">
      <c r="U2165" s="751"/>
    </row>
    <row r="2166" spans="21:21">
      <c r="U2166" s="751"/>
    </row>
    <row r="2167" spans="21:21">
      <c r="U2167" s="751"/>
    </row>
    <row r="2168" spans="21:21">
      <c r="U2168" s="751"/>
    </row>
    <row r="2169" spans="21:21">
      <c r="U2169" s="751"/>
    </row>
    <row r="2170" spans="21:21">
      <c r="U2170" s="751"/>
    </row>
    <row r="2171" spans="21:21">
      <c r="U2171" s="751"/>
    </row>
  </sheetData>
  <sheetProtection formatColumns="0" formatRows="0"/>
  <mergeCells count="6">
    <mergeCell ref="S5:AG5"/>
    <mergeCell ref="D5:R5"/>
    <mergeCell ref="AI6:AI8"/>
    <mergeCell ref="AH6:AH8"/>
    <mergeCell ref="AG6:AG8"/>
    <mergeCell ref="R6:R8"/>
  </mergeCells>
  <phoneticPr fontId="14" type="noConversion"/>
  <pageMargins left="0.7" right="0.7" top="0.75" bottom="0.75" header="0.3" footer="0.3"/>
  <pageSetup paperSize="8" scale="54" orientation="landscape" r:id="rId1"/>
  <rowBreaks count="4" manualBreakCount="4">
    <brk id="222" max="16383" man="1"/>
    <brk id="316" max="16383" man="1"/>
    <brk id="524" max="16383" man="1"/>
    <brk id="806" max="34" man="1"/>
  </rowBreaks>
  <colBreaks count="1" manualBreakCount="1">
    <brk id="18"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DPR_Button1_Click">
                <anchor moveWithCells="1" sizeWithCells="1">
                  <from>
                    <xdr:col>0</xdr:col>
                    <xdr:colOff>142875</xdr:colOff>
                    <xdr:row>6</xdr:row>
                    <xdr:rowOff>314325</xdr:rowOff>
                  </from>
                  <to>
                    <xdr:col>1</xdr:col>
                    <xdr:colOff>771525</xdr:colOff>
                    <xdr:row>7</xdr:row>
                    <xdr:rowOff>428625</xdr:rowOff>
                  </to>
                </anchor>
              </controlPr>
            </control>
          </mc:Choice>
        </mc:AlternateContent>
        <mc:AlternateContent xmlns:mc="http://schemas.openxmlformats.org/markup-compatibility/2006">
          <mc:Choice Requires="x14">
            <control shapeId="43011" r:id="rId5" name="Option Button 3">
              <controlPr defaultSize="0" autoFill="0" autoLine="0" autoPict="0" macro="[0]!monthwise_Click" altText="Current Month">
                <anchor moveWithCells="1">
                  <from>
                    <xdr:col>0</xdr:col>
                    <xdr:colOff>295275</xdr:colOff>
                    <xdr:row>4</xdr:row>
                    <xdr:rowOff>295275</xdr:rowOff>
                  </from>
                  <to>
                    <xdr:col>1</xdr:col>
                    <xdr:colOff>409575</xdr:colOff>
                    <xdr:row>4</xdr:row>
                    <xdr:rowOff>485775</xdr:rowOff>
                  </to>
                </anchor>
              </controlPr>
            </control>
          </mc:Choice>
        </mc:AlternateContent>
        <mc:AlternateContent xmlns:mc="http://schemas.openxmlformats.org/markup-compatibility/2006">
          <mc:Choice Requires="x14">
            <control shapeId="43013" r:id="rId6" name="Option Button 5">
              <controlPr defaultSize="0" autoFill="0" autoLine="0" autoPict="0" macro="[0]!last30_Click">
                <anchor moveWithCells="1">
                  <from>
                    <xdr:col>0</xdr:col>
                    <xdr:colOff>276225</xdr:colOff>
                    <xdr:row>5</xdr:row>
                    <xdr:rowOff>104775</xdr:rowOff>
                  </from>
                  <to>
                    <xdr:col>1</xdr:col>
                    <xdr:colOff>419100</xdr:colOff>
                    <xdr:row>5</xdr:row>
                    <xdr:rowOff>314325</xdr:rowOff>
                  </to>
                </anchor>
              </controlPr>
            </control>
          </mc:Choice>
        </mc:AlternateContent>
        <mc:AlternateContent xmlns:mc="http://schemas.openxmlformats.org/markup-compatibility/2006">
          <mc:Choice Requires="x14">
            <control shapeId="43014" r:id="rId7" name="Button 6">
              <controlPr defaultSize="0" print="0" autoFill="0" autoPict="0" macro="[0]!DPRentrymode_Click">
                <anchor moveWithCells="1" sizeWithCells="1">
                  <from>
                    <xdr:col>38</xdr:col>
                    <xdr:colOff>47625</xdr:colOff>
                    <xdr:row>4</xdr:row>
                    <xdr:rowOff>447675</xdr:rowOff>
                  </from>
                  <to>
                    <xdr:col>39</xdr:col>
                    <xdr:colOff>561975</xdr:colOff>
                    <xdr:row>6</xdr:row>
                    <xdr:rowOff>9525</xdr:rowOff>
                  </to>
                </anchor>
              </controlPr>
            </control>
          </mc:Choice>
        </mc:AlternateContent>
        <mc:AlternateContent xmlns:mc="http://schemas.openxmlformats.org/markup-compatibility/2006">
          <mc:Choice Requires="x14">
            <control shapeId="43015" r:id="rId8" name="Button 7">
              <controlPr defaultSize="0" print="0" autoFill="0" autoPict="0" macro="[0]!normalmode_Click">
                <anchor moveWithCells="1" sizeWithCells="1">
                  <from>
                    <xdr:col>38</xdr:col>
                    <xdr:colOff>66675</xdr:colOff>
                    <xdr:row>6</xdr:row>
                    <xdr:rowOff>47625</xdr:rowOff>
                  </from>
                  <to>
                    <xdr:col>39</xdr:col>
                    <xdr:colOff>561975</xdr:colOff>
                    <xdr:row>7</xdr:row>
                    <xdr:rowOff>66675</xdr:rowOff>
                  </to>
                </anchor>
              </controlPr>
            </control>
          </mc:Choice>
        </mc:AlternateContent>
        <mc:AlternateContent xmlns:mc="http://schemas.openxmlformats.org/markup-compatibility/2006">
          <mc:Choice Requires="x14">
            <control shapeId="43016" r:id="rId9" name="Button 8">
              <controlPr defaultSize="0" print="0" autoFill="0" autoPict="0" macro="[0]!userformbutton_Click">
                <anchor moveWithCells="1" sizeWithCells="1">
                  <from>
                    <xdr:col>40</xdr:col>
                    <xdr:colOff>9525</xdr:colOff>
                    <xdr:row>4</xdr:row>
                    <xdr:rowOff>409575</xdr:rowOff>
                  </from>
                  <to>
                    <xdr:col>41</xdr:col>
                    <xdr:colOff>561975</xdr:colOff>
                    <xdr:row>7</xdr:row>
                    <xdr:rowOff>76200</xdr:rowOff>
                  </to>
                </anchor>
              </controlPr>
            </control>
          </mc:Choice>
        </mc:AlternateContent>
        <mc:AlternateContent xmlns:mc="http://schemas.openxmlformats.org/markup-compatibility/2006">
          <mc:Choice Requires="x14">
            <control shapeId="43017" r:id="rId10" name="Option Button 9">
              <controlPr defaultSize="0" autoFill="0" autoLine="0" autoPict="0" macro="[0]!full_Range_Click">
                <anchor moveWithCells="1">
                  <from>
                    <xdr:col>0</xdr:col>
                    <xdr:colOff>276225</xdr:colOff>
                    <xdr:row>5</xdr:row>
                    <xdr:rowOff>409575</xdr:rowOff>
                  </from>
                  <to>
                    <xdr:col>1</xdr:col>
                    <xdr:colOff>409575</xdr:colOff>
                    <xdr:row>6</xdr:row>
                    <xdr:rowOff>180975</xdr:rowOff>
                  </to>
                </anchor>
              </controlPr>
            </control>
          </mc:Choice>
        </mc:AlternateContent>
        <mc:AlternateContent xmlns:mc="http://schemas.openxmlformats.org/markup-compatibility/2006">
          <mc:Choice Requires="x14">
            <control shapeId="43018" r:id="rId11" name="Button 10">
              <controlPr defaultSize="0" print="0" autoFill="0" autoPict="0" macro="[0]!Button10_Click">
                <anchor moveWithCells="1" sizeWithCells="1">
                  <from>
                    <xdr:col>42</xdr:col>
                    <xdr:colOff>523875</xdr:colOff>
                    <xdr:row>4</xdr:row>
                    <xdr:rowOff>409575</xdr:rowOff>
                  </from>
                  <to>
                    <xdr:col>45</xdr:col>
                    <xdr:colOff>381000</xdr:colOff>
                    <xdr:row>6</xdr:row>
                    <xdr:rowOff>76200</xdr:rowOff>
                  </to>
                </anchor>
              </controlPr>
            </control>
          </mc:Choice>
        </mc:AlternateContent>
        <mc:AlternateContent xmlns:mc="http://schemas.openxmlformats.org/markup-compatibility/2006">
          <mc:Choice Requires="x14">
            <control shapeId="43020" r:id="rId12" name="Option Button 12">
              <controlPr defaultSize="0" autoFill="0" autoLine="0" autoPict="0" macro="[0]!CurrentFY_Click">
                <anchor moveWithCells="1">
                  <from>
                    <xdr:col>1</xdr:col>
                    <xdr:colOff>561975</xdr:colOff>
                    <xdr:row>4</xdr:row>
                    <xdr:rowOff>333375</xdr:rowOff>
                  </from>
                  <to>
                    <xdr:col>2</xdr:col>
                    <xdr:colOff>676275</xdr:colOff>
                    <xdr:row>5</xdr:row>
                    <xdr:rowOff>0</xdr:rowOff>
                  </to>
                </anchor>
              </controlPr>
            </control>
          </mc:Choice>
        </mc:AlternateContent>
        <mc:AlternateContent xmlns:mc="http://schemas.openxmlformats.org/markup-compatibility/2006">
          <mc:Choice Requires="x14">
            <control shapeId="43028" r:id="rId13" name="Group Box 20">
              <controlPr defaultSize="0" autoFill="0" autoPict="0">
                <anchor moveWithCells="1">
                  <from>
                    <xdr:col>45</xdr:col>
                    <xdr:colOff>638175</xdr:colOff>
                    <xdr:row>6</xdr:row>
                    <xdr:rowOff>85725</xdr:rowOff>
                  </from>
                  <to>
                    <xdr:col>47</xdr:col>
                    <xdr:colOff>733425</xdr:colOff>
                    <xdr:row>7</xdr:row>
                    <xdr:rowOff>333375</xdr:rowOff>
                  </to>
                </anchor>
              </controlPr>
            </control>
          </mc:Choice>
        </mc:AlternateContent>
        <mc:AlternateContent xmlns:mc="http://schemas.openxmlformats.org/markup-compatibility/2006">
          <mc:Choice Requires="x14">
            <control shapeId="43029" r:id="rId14" name="Option Button 21">
              <controlPr defaultSize="0" autoFill="0" autoLine="0" autoPict="0" macro="[0]!OptionButton21_Click">
                <anchor moveWithCells="1">
                  <from>
                    <xdr:col>46</xdr:col>
                    <xdr:colOff>161925</xdr:colOff>
                    <xdr:row>6</xdr:row>
                    <xdr:rowOff>342900</xdr:rowOff>
                  </from>
                  <to>
                    <xdr:col>46</xdr:col>
                    <xdr:colOff>1104900</xdr:colOff>
                    <xdr:row>7</xdr:row>
                    <xdr:rowOff>142875</xdr:rowOff>
                  </to>
                </anchor>
              </controlPr>
            </control>
          </mc:Choice>
        </mc:AlternateContent>
        <mc:AlternateContent xmlns:mc="http://schemas.openxmlformats.org/markup-compatibility/2006">
          <mc:Choice Requires="x14">
            <control shapeId="43030" r:id="rId15" name="Option Button 22">
              <controlPr defaultSize="0" autoFill="0" autoLine="0" autoPict="0" macro="[0]!OptionButton22_Click">
                <anchor moveWithCells="1">
                  <from>
                    <xdr:col>46</xdr:col>
                    <xdr:colOff>1247775</xdr:colOff>
                    <xdr:row>6</xdr:row>
                    <xdr:rowOff>304800</xdr:rowOff>
                  </from>
                  <to>
                    <xdr:col>47</xdr:col>
                    <xdr:colOff>581025</xdr:colOff>
                    <xdr:row>7</xdr:row>
                    <xdr:rowOff>180975</xdr:rowOff>
                  </to>
                </anchor>
              </controlPr>
            </control>
          </mc:Choice>
        </mc:AlternateContent>
        <mc:AlternateContent xmlns:mc="http://schemas.openxmlformats.org/markup-compatibility/2006">
          <mc:Choice Requires="x14">
            <control shapeId="43010" r:id="rId16" name="Group Box 2">
              <controlPr defaultSize="0" autoFill="0" autoPict="0">
                <anchor moveWithCells="1">
                  <from>
                    <xdr:col>0</xdr:col>
                    <xdr:colOff>123825</xdr:colOff>
                    <xdr:row>4</xdr:row>
                    <xdr:rowOff>114300</xdr:rowOff>
                  </from>
                  <to>
                    <xdr:col>2</xdr:col>
                    <xdr:colOff>828675</xdr:colOff>
                    <xdr:row>6</xdr:row>
                    <xdr:rowOff>342900</xdr:rowOff>
                  </to>
                </anchor>
              </controlPr>
            </control>
          </mc:Choice>
        </mc:AlternateContent>
        <mc:AlternateContent xmlns:mc="http://schemas.openxmlformats.org/markup-compatibility/2006">
          <mc:Choice Requires="x14">
            <control shapeId="43021" r:id="rId17" name="Option Button 13">
              <controlPr defaultSize="0" autoFill="0" autoLine="0" autoPict="0" macro="[0]!CurrentCY_Click">
                <anchor moveWithCells="1">
                  <from>
                    <xdr:col>1</xdr:col>
                    <xdr:colOff>542925</xdr:colOff>
                    <xdr:row>5</xdr:row>
                    <xdr:rowOff>104775</xdr:rowOff>
                  </from>
                  <to>
                    <xdr:col>2</xdr:col>
                    <xdr:colOff>676275</xdr:colOff>
                    <xdr:row>5</xdr:row>
                    <xdr:rowOff>314325</xdr:rowOff>
                  </to>
                </anchor>
              </controlPr>
            </control>
          </mc:Choice>
        </mc:AlternateContent>
        <mc:AlternateContent xmlns:mc="http://schemas.openxmlformats.org/markup-compatibility/2006">
          <mc:Choice Requires="x14">
            <control shapeId="43022" r:id="rId18" name="Option Button 14">
              <controlPr defaultSize="0" autoFill="0" autoLine="0" autoPict="0" macro="[0]!Last365_Click">
                <anchor moveWithCells="1">
                  <from>
                    <xdr:col>1</xdr:col>
                    <xdr:colOff>561975</xdr:colOff>
                    <xdr:row>5</xdr:row>
                    <xdr:rowOff>409575</xdr:rowOff>
                  </from>
                  <to>
                    <xdr:col>2</xdr:col>
                    <xdr:colOff>685800</xdr:colOff>
                    <xdr:row>6</xdr:row>
                    <xdr:rowOff>180975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Dropdowns!$A$408:$A$409</xm:f>
          </x14:formula1>
          <xm:sqref>AV6</xm:sqref>
        </x14:dataValidation>
      </x14:dataValidations>
    </ext>
  </extLs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4">
    <tabColor rgb="FF92D050"/>
  </sheetPr>
  <dimension ref="A1:AV216"/>
  <sheetViews>
    <sheetView topLeftCell="A7" workbookViewId="0">
      <selection activeCell="D16" sqref="D16"/>
    </sheetView>
  </sheetViews>
  <sheetFormatPr defaultColWidth="8.85546875" defaultRowHeight="15"/>
  <cols>
    <col min="1" max="1" width="11.85546875" customWidth="1"/>
    <col min="2" max="2" width="12.28515625" customWidth="1"/>
    <col min="3" max="3" width="13" customWidth="1"/>
    <col min="4" max="4" width="10.7109375" bestFit="1" customWidth="1"/>
    <col min="5" max="5" width="8.85546875" bestFit="1" customWidth="1"/>
    <col min="6" max="6" width="12.42578125" customWidth="1"/>
    <col min="7" max="7" width="12" customWidth="1"/>
    <col min="8" max="8" width="10.85546875" customWidth="1"/>
    <col min="9" max="9" width="13" customWidth="1"/>
    <col min="10" max="10" width="15.140625" customWidth="1"/>
    <col min="11" max="11" width="13.140625" customWidth="1"/>
    <col min="12" max="12" width="11.42578125" bestFit="1" customWidth="1"/>
    <col min="13" max="13" width="13" customWidth="1"/>
    <col min="14" max="14" width="11.42578125" bestFit="1" customWidth="1"/>
    <col min="15" max="15" width="12.42578125" bestFit="1" customWidth="1"/>
    <col min="16" max="16" width="10.7109375" customWidth="1"/>
    <col min="17" max="17" width="1.140625" hidden="1" customWidth="1"/>
    <col min="18" max="18" width="13.7109375" customWidth="1"/>
    <col min="19" max="19" width="11.7109375" customWidth="1"/>
    <col min="20" max="20" width="10" customWidth="1"/>
    <col min="21" max="22" width="10.140625" bestFit="1" customWidth="1"/>
    <col min="23" max="23" width="9.42578125" bestFit="1" customWidth="1"/>
    <col min="24" max="24" width="10.85546875" bestFit="1" customWidth="1"/>
    <col min="25" max="25" width="11" customWidth="1"/>
    <col min="26" max="26" width="9.28515625" hidden="1" customWidth="1"/>
    <col min="27" max="27" width="9.7109375" hidden="1" customWidth="1"/>
    <col min="28" max="28" width="9.28515625" hidden="1" customWidth="1"/>
    <col min="29" max="29" width="10.42578125" bestFit="1" customWidth="1"/>
    <col min="30" max="30" width="12.42578125" customWidth="1"/>
    <col min="31" max="31" width="9.140625" customWidth="1"/>
    <col min="32" max="32" width="10.140625" customWidth="1"/>
    <col min="33" max="33" width="10.42578125" bestFit="1" customWidth="1"/>
    <col min="34" max="34" width="7.85546875" customWidth="1"/>
    <col min="35" max="35" width="9.28515625" customWidth="1"/>
    <col min="36" max="36" width="9.140625" customWidth="1"/>
    <col min="37" max="37" width="11.140625" bestFit="1" customWidth="1"/>
    <col min="39" max="39" width="11.42578125" customWidth="1"/>
    <col min="47" max="47" width="24.85546875" customWidth="1"/>
    <col min="48" max="48" width="13" customWidth="1"/>
  </cols>
  <sheetData>
    <row r="1" spans="1:48" ht="16.350000000000001" hidden="1" customHeight="1">
      <c r="A1" s="287">
        <v>3</v>
      </c>
      <c r="C1">
        <v>1</v>
      </c>
      <c r="D1">
        <v>2</v>
      </c>
      <c r="E1">
        <v>3</v>
      </c>
      <c r="F1">
        <v>4</v>
      </c>
      <c r="G1">
        <v>5</v>
      </c>
      <c r="H1">
        <v>6</v>
      </c>
      <c r="I1">
        <v>7</v>
      </c>
      <c r="J1">
        <v>8</v>
      </c>
      <c r="K1">
        <v>9</v>
      </c>
      <c r="L1">
        <v>10</v>
      </c>
      <c r="M1">
        <v>11</v>
      </c>
      <c r="N1">
        <v>12</v>
      </c>
      <c r="O1">
        <v>13</v>
      </c>
      <c r="P1">
        <v>14</v>
      </c>
      <c r="Q1">
        <v>15</v>
      </c>
      <c r="R1">
        <v>16</v>
      </c>
      <c r="S1">
        <v>17</v>
      </c>
      <c r="T1">
        <v>18</v>
      </c>
      <c r="U1">
        <v>19</v>
      </c>
      <c r="V1">
        <v>20</v>
      </c>
      <c r="W1">
        <v>21</v>
      </c>
      <c r="X1">
        <v>22</v>
      </c>
      <c r="Y1">
        <v>23</v>
      </c>
      <c r="Z1">
        <v>24</v>
      </c>
      <c r="AA1">
        <v>25</v>
      </c>
      <c r="AB1">
        <v>26</v>
      </c>
      <c r="AC1">
        <v>27</v>
      </c>
      <c r="AD1">
        <v>28</v>
      </c>
      <c r="AE1">
        <v>29</v>
      </c>
      <c r="AF1">
        <v>30</v>
      </c>
      <c r="AG1">
        <v>31</v>
      </c>
      <c r="AH1">
        <v>32</v>
      </c>
      <c r="AI1">
        <v>33</v>
      </c>
      <c r="AJ1">
        <v>34</v>
      </c>
      <c r="AK1" s="246">
        <f>Dashboard!D3</f>
        <v>46265</v>
      </c>
    </row>
    <row r="2" spans="1:48" ht="17.850000000000001" hidden="1" customHeight="1">
      <c r="A2" s="246">
        <f>Dashboard!D3</f>
        <v>46265</v>
      </c>
    </row>
    <row r="3" spans="1:48" ht="15" hidden="1" customHeight="1"/>
    <row r="4" spans="1:48" ht="19.350000000000001" hidden="1" customHeight="1"/>
    <row r="5" spans="1:48" ht="39.6" customHeight="1">
      <c r="C5" s="273"/>
      <c r="D5" s="1291" t="s">
        <v>1638</v>
      </c>
      <c r="E5" s="1292"/>
      <c r="F5" s="1292"/>
      <c r="G5" s="1292"/>
      <c r="H5" s="1292"/>
      <c r="I5" s="1292"/>
      <c r="J5" s="1292"/>
      <c r="K5" s="1292"/>
      <c r="L5" s="1292"/>
      <c r="M5" s="1292"/>
      <c r="N5" s="1292"/>
      <c r="O5" s="1292"/>
      <c r="P5" s="1292"/>
      <c r="Q5" s="1292"/>
      <c r="R5" s="1292"/>
      <c r="S5" s="1293" t="s">
        <v>290</v>
      </c>
      <c r="T5" s="1294"/>
      <c r="U5" s="1294"/>
      <c r="V5" s="1294"/>
      <c r="W5" s="1294"/>
      <c r="X5" s="1294"/>
      <c r="Y5" s="1294"/>
      <c r="Z5" s="1294"/>
      <c r="AA5" s="1294"/>
      <c r="AB5" s="1294"/>
      <c r="AC5" s="1294"/>
      <c r="AD5" s="1294"/>
      <c r="AE5" s="1294"/>
      <c r="AF5" s="1294"/>
      <c r="AG5" s="1294"/>
      <c r="AK5" t="s">
        <v>2031</v>
      </c>
      <c r="AM5" s="338"/>
      <c r="AN5" s="339"/>
      <c r="AO5" s="339"/>
    </row>
    <row r="6" spans="1:48" ht="34.35" customHeight="1">
      <c r="C6" s="273"/>
      <c r="D6" s="897">
        <v>2.9250000000000002E-2</v>
      </c>
      <c r="E6" s="898">
        <v>0.27</v>
      </c>
      <c r="F6" s="898">
        <v>0.7</v>
      </c>
      <c r="G6" s="898">
        <v>0.5</v>
      </c>
      <c r="H6" s="898">
        <v>1</v>
      </c>
      <c r="I6" s="898">
        <v>0.2</v>
      </c>
      <c r="J6" s="898">
        <v>0.26</v>
      </c>
      <c r="K6" s="898">
        <v>0.25</v>
      </c>
      <c r="L6" s="899">
        <v>0.24124999999999999</v>
      </c>
      <c r="M6" s="898">
        <v>0.04</v>
      </c>
      <c r="N6" s="898">
        <v>0.11</v>
      </c>
      <c r="O6" s="898">
        <v>0.4</v>
      </c>
      <c r="P6" s="898">
        <v>0.45</v>
      </c>
      <c r="Q6" s="900">
        <v>0.17</v>
      </c>
      <c r="R6" s="1295" t="s">
        <v>475</v>
      </c>
      <c r="S6" s="901">
        <v>2.9250000000000002E-2</v>
      </c>
      <c r="T6" s="902">
        <v>0.27</v>
      </c>
      <c r="U6" s="902">
        <v>0.7</v>
      </c>
      <c r="V6" s="902">
        <v>0.5</v>
      </c>
      <c r="W6" s="902">
        <v>1</v>
      </c>
      <c r="X6" s="902">
        <v>0.2</v>
      </c>
      <c r="Y6" s="902">
        <v>0.26</v>
      </c>
      <c r="Z6" s="902">
        <v>0.25</v>
      </c>
      <c r="AA6" s="903">
        <v>0.24124999999999999</v>
      </c>
      <c r="AB6" s="902">
        <v>0.04</v>
      </c>
      <c r="AC6" s="902">
        <v>0.11</v>
      </c>
      <c r="AD6" s="902">
        <v>0.4</v>
      </c>
      <c r="AE6" s="902">
        <v>0.45</v>
      </c>
      <c r="AF6" s="902">
        <v>0.17</v>
      </c>
      <c r="AG6" s="1296" t="s">
        <v>475</v>
      </c>
      <c r="AH6" s="1297" t="s">
        <v>117</v>
      </c>
      <c r="AI6" s="1290" t="s">
        <v>9</v>
      </c>
      <c r="AK6" s="537"/>
      <c r="AU6" s="301"/>
      <c r="AV6" s="480"/>
    </row>
    <row r="7" spans="1:48" ht="34.5" customHeight="1">
      <c r="C7" s="283"/>
      <c r="D7" s="904" t="s">
        <v>57</v>
      </c>
      <c r="E7" s="904" t="s">
        <v>58</v>
      </c>
      <c r="F7" s="904" t="s">
        <v>63</v>
      </c>
      <c r="G7" s="904" t="s">
        <v>59</v>
      </c>
      <c r="H7" s="904" t="s">
        <v>62</v>
      </c>
      <c r="I7" s="904" t="s">
        <v>118</v>
      </c>
      <c r="J7" s="904" t="s">
        <v>61</v>
      </c>
      <c r="K7" s="904" t="s">
        <v>67</v>
      </c>
      <c r="L7" s="904" t="s">
        <v>68</v>
      </c>
      <c r="M7" s="904" t="s">
        <v>66</v>
      </c>
      <c r="N7" s="904" t="s">
        <v>64</v>
      </c>
      <c r="O7" s="904" t="s">
        <v>65</v>
      </c>
      <c r="P7" s="904" t="s">
        <v>69</v>
      </c>
      <c r="Q7" s="905" t="s">
        <v>70</v>
      </c>
      <c r="R7" s="1288"/>
      <c r="S7" s="906" t="s">
        <v>57</v>
      </c>
      <c r="T7" s="906" t="s">
        <v>58</v>
      </c>
      <c r="U7" s="906" t="s">
        <v>63</v>
      </c>
      <c r="V7" s="906" t="s">
        <v>59</v>
      </c>
      <c r="W7" s="906" t="s">
        <v>62</v>
      </c>
      <c r="X7" s="906" t="s">
        <v>118</v>
      </c>
      <c r="Y7" s="906" t="s">
        <v>61</v>
      </c>
      <c r="Z7" s="906" t="s">
        <v>67</v>
      </c>
      <c r="AA7" s="906" t="s">
        <v>68</v>
      </c>
      <c r="AB7" s="906" t="s">
        <v>66</v>
      </c>
      <c r="AC7" s="906" t="s">
        <v>64</v>
      </c>
      <c r="AD7" s="906" t="s">
        <v>65</v>
      </c>
      <c r="AE7" s="906" t="s">
        <v>69</v>
      </c>
      <c r="AF7" s="906" t="s">
        <v>70</v>
      </c>
      <c r="AG7" s="1285"/>
      <c r="AH7" s="1282"/>
      <c r="AI7" s="1290"/>
    </row>
    <row r="8" spans="1:48" ht="37.35" customHeight="1">
      <c r="C8" s="907" t="s">
        <v>116</v>
      </c>
      <c r="D8" s="908" t="s">
        <v>119</v>
      </c>
      <c r="E8" s="908" t="s">
        <v>120</v>
      </c>
      <c r="F8" s="908" t="s">
        <v>121</v>
      </c>
      <c r="G8" s="908" t="s">
        <v>121</v>
      </c>
      <c r="H8" s="908" t="s">
        <v>122</v>
      </c>
      <c r="I8" s="908" t="s">
        <v>122</v>
      </c>
      <c r="J8" s="908" t="s">
        <v>122</v>
      </c>
      <c r="K8" s="908" t="s">
        <v>123</v>
      </c>
      <c r="L8" s="908" t="s">
        <v>123</v>
      </c>
      <c r="M8" s="908" t="s">
        <v>124</v>
      </c>
      <c r="N8" s="908" t="s">
        <v>125</v>
      </c>
      <c r="O8" s="908" t="s">
        <v>125</v>
      </c>
      <c r="P8" s="908" t="s">
        <v>126</v>
      </c>
      <c r="Q8" s="905" t="s">
        <v>127</v>
      </c>
      <c r="R8" s="1289"/>
      <c r="S8" s="909" t="s">
        <v>119</v>
      </c>
      <c r="T8" s="909" t="s">
        <v>120</v>
      </c>
      <c r="U8" s="909" t="s">
        <v>121</v>
      </c>
      <c r="V8" s="909" t="s">
        <v>121</v>
      </c>
      <c r="W8" s="909" t="s">
        <v>122</v>
      </c>
      <c r="X8" s="909" t="s">
        <v>122</v>
      </c>
      <c r="Y8" s="909" t="s">
        <v>122</v>
      </c>
      <c r="Z8" s="909" t="s">
        <v>123</v>
      </c>
      <c r="AA8" s="909" t="s">
        <v>123</v>
      </c>
      <c r="AB8" s="909" t="s">
        <v>124</v>
      </c>
      <c r="AC8" s="909" t="s">
        <v>125</v>
      </c>
      <c r="AD8" s="909" t="s">
        <v>125</v>
      </c>
      <c r="AE8" s="909" t="s">
        <v>126</v>
      </c>
      <c r="AF8" s="909" t="s">
        <v>127</v>
      </c>
      <c r="AG8" s="1286"/>
      <c r="AH8" s="1283"/>
      <c r="AI8" s="1290"/>
    </row>
    <row r="9" spans="1:48" ht="29.25" customHeight="1">
      <c r="C9" s="910" t="s">
        <v>2031</v>
      </c>
      <c r="D9" s="908">
        <v>340000</v>
      </c>
      <c r="E9" s="908">
        <v>30000</v>
      </c>
      <c r="F9" s="908">
        <v>25000</v>
      </c>
      <c r="G9" s="908">
        <v>5000</v>
      </c>
      <c r="H9" s="908">
        <v>2200</v>
      </c>
      <c r="I9" s="908">
        <v>157000</v>
      </c>
      <c r="J9" s="908">
        <v>173000</v>
      </c>
      <c r="K9" s="908">
        <v>55000</v>
      </c>
      <c r="L9" s="908">
        <v>12500</v>
      </c>
      <c r="M9" s="908">
        <v>410000</v>
      </c>
      <c r="N9" s="908">
        <v>7500</v>
      </c>
      <c r="O9" s="908">
        <v>7425</v>
      </c>
      <c r="P9" s="908">
        <v>130</v>
      </c>
      <c r="Q9" s="911"/>
      <c r="R9" s="896"/>
      <c r="S9" s="909">
        <v>10.9</v>
      </c>
      <c r="T9" s="909">
        <v>0.27500000000000002</v>
      </c>
      <c r="U9" s="909">
        <v>4.0000000000000001E-3</v>
      </c>
      <c r="V9" s="909">
        <v>2.4E-2</v>
      </c>
      <c r="W9" s="909">
        <v>0.25</v>
      </c>
      <c r="X9" s="909">
        <v>9.6</v>
      </c>
      <c r="Y9" s="909">
        <v>10.9</v>
      </c>
      <c r="Z9" s="912"/>
      <c r="AA9" s="912"/>
      <c r="AB9" s="912"/>
      <c r="AC9" s="909">
        <v>0.22</v>
      </c>
      <c r="AD9" s="909">
        <v>0.114</v>
      </c>
      <c r="AE9" s="909">
        <v>0.31</v>
      </c>
      <c r="AF9" s="909">
        <v>14.891</v>
      </c>
      <c r="AG9" s="895"/>
      <c r="AH9" s="894"/>
      <c r="AI9" s="912"/>
    </row>
    <row r="10" spans="1:48" ht="43.5" customHeight="1">
      <c r="C10" s="910" t="s">
        <v>2032</v>
      </c>
      <c r="D10" s="908">
        <v>334413</v>
      </c>
      <c r="E10" s="908">
        <v>22690</v>
      </c>
      <c r="F10" s="908">
        <v>18247</v>
      </c>
      <c r="G10" s="908">
        <v>4941</v>
      </c>
      <c r="H10" s="908">
        <v>2561</v>
      </c>
      <c r="I10" s="908">
        <v>178474</v>
      </c>
      <c r="J10" s="908">
        <v>203914</v>
      </c>
      <c r="K10" s="908">
        <v>49040</v>
      </c>
      <c r="L10" s="908">
        <v>12665</v>
      </c>
      <c r="M10" s="908">
        <v>436845</v>
      </c>
      <c r="N10" s="908">
        <v>16630</v>
      </c>
      <c r="O10" s="908">
        <v>4200</v>
      </c>
      <c r="P10" s="908">
        <v>0</v>
      </c>
      <c r="Q10" s="911"/>
      <c r="R10" s="896"/>
      <c r="S10" s="909">
        <v>10.911</v>
      </c>
      <c r="T10" s="909">
        <v>0.23300000000000001</v>
      </c>
      <c r="U10" s="909">
        <v>4.0000000000000001E-3</v>
      </c>
      <c r="V10" s="909">
        <v>2.1999999999999999E-2</v>
      </c>
      <c r="W10" s="909">
        <v>0.318</v>
      </c>
      <c r="X10" s="909">
        <v>10.041</v>
      </c>
      <c r="Y10" s="909">
        <v>8.9779999999999998</v>
      </c>
      <c r="Z10" s="912"/>
      <c r="AA10" s="912"/>
      <c r="AB10" s="912"/>
      <c r="AC10" s="909">
        <v>0.69699999999999995</v>
      </c>
      <c r="AD10" s="909">
        <v>0.17100000000000001</v>
      </c>
      <c r="AE10" s="909">
        <v>0</v>
      </c>
      <c r="AF10" s="909">
        <v>14.058</v>
      </c>
      <c r="AG10" s="895"/>
      <c r="AH10" s="894"/>
      <c r="AI10" s="912"/>
    </row>
    <row r="11" spans="1:48" ht="51.75" customHeight="1">
      <c r="C11" s="913" t="s">
        <v>2030</v>
      </c>
      <c r="D11" s="908">
        <v>328152</v>
      </c>
      <c r="E11" s="908">
        <v>29509</v>
      </c>
      <c r="F11" s="908">
        <v>26226</v>
      </c>
      <c r="G11" s="908">
        <v>4591</v>
      </c>
      <c r="H11" s="908">
        <v>2120</v>
      </c>
      <c r="I11" s="908">
        <v>156900</v>
      </c>
      <c r="J11" s="908">
        <v>170250</v>
      </c>
      <c r="K11" s="908">
        <v>49457.2</v>
      </c>
      <c r="L11" s="908">
        <v>9435</v>
      </c>
      <c r="M11" s="908">
        <v>412868</v>
      </c>
      <c r="N11" s="908">
        <v>7352</v>
      </c>
      <c r="O11" s="908">
        <v>4376</v>
      </c>
      <c r="P11" s="914">
        <v>141.20600999999999</v>
      </c>
      <c r="Q11" s="911">
        <v>0</v>
      </c>
      <c r="R11" s="896"/>
      <c r="S11" s="915">
        <v>13.788025949533761</v>
      </c>
      <c r="T11" s="915">
        <v>0.46978500000000001</v>
      </c>
      <c r="U11" s="915">
        <v>3.4079575927305102E-3</v>
      </c>
      <c r="V11" s="915">
        <v>2.3E-2</v>
      </c>
      <c r="W11" s="915">
        <v>0.26856999999999998</v>
      </c>
      <c r="X11" s="915">
        <v>12.37857</v>
      </c>
      <c r="Y11" s="915">
        <v>3.33</v>
      </c>
      <c r="Z11" s="916">
        <v>0</v>
      </c>
      <c r="AA11" s="916">
        <v>0</v>
      </c>
      <c r="AB11" s="916">
        <v>0</v>
      </c>
      <c r="AC11" s="915">
        <v>0.22058802708220654</v>
      </c>
      <c r="AD11" s="915">
        <v>8.4412440145321913E-2</v>
      </c>
      <c r="AE11" s="915">
        <v>0.32580003000000002</v>
      </c>
      <c r="AF11" s="915">
        <v>12.508247273798164</v>
      </c>
      <c r="AG11" s="917"/>
      <c r="AH11" s="894"/>
      <c r="AI11" s="912"/>
    </row>
    <row r="12" spans="1:48" ht="15.75">
      <c r="C12" s="918">
        <v>45748</v>
      </c>
      <c r="D12" s="870">
        <f>MAX(0,IF($AK$5=$C$9,D$9-DPR!D1105,IF($AK$5=$C$10,D$10-DPR!D1105,IF($AK$5=$C$11,D$11-DPR!D1105))))</f>
        <v>25372</v>
      </c>
      <c r="E12" s="870">
        <f>MAX(0,IF($AK$5=$C$9,E$9-DPR!E1105,IF($AK$5=$C$10,E$10-DPR!E1105,IF($AK$5=$C$11,E$11-DPR!E1105))))</f>
        <v>0</v>
      </c>
      <c r="F12" s="870">
        <f>MAX(0,IF($AK$5=$C$9,F$9-DPR!F1105,IF($AK$5=$C$10,F$10-DPR!F1105,IF($AK$5=$C$11,F$11-DPR!F1105))))</f>
        <v>2734.5300000000025</v>
      </c>
      <c r="G12" s="870">
        <f>MAX(0,IF($AK$5=$C$9,G$9-DPR!G1105,IF($AK$5=$C$10,G$10-DPR!G1105,IF($AK$5=$C$11,G$11-DPR!G1105))))</f>
        <v>368</v>
      </c>
      <c r="H12" s="870">
        <f>MAX(0,IF($AK$5=$C$9,H$9-DPR!H1105,IF($AK$5=$C$10,H$10-DPR!H1105,IF($AK$5=$C$11,H$11-DPR!H1105))))</f>
        <v>203</v>
      </c>
      <c r="I12" s="870">
        <f>MAX(0,IF($AK$5=$C$9,I$9-DPR!I1105,IF($AK$5=$C$10,I$10-DPR!I1105,IF($AK$5=$C$11,I$11-DPR!I1105))))</f>
        <v>0</v>
      </c>
      <c r="J12" s="870">
        <f>MAX(0,IF($AK$5=$C$9,J$9-DPR!J1105,IF($AK$5=$C$10,J$10-DPR!J1105,IF($AK$5=$C$11,J$11-DPR!J1105))))</f>
        <v>15424</v>
      </c>
      <c r="K12" s="870">
        <f>MAX(0,IF($AK$5=$C$9,K$9-DPR!K1105,IF($AK$5=$C$10,K$10-DPR!K1105,IF($AK$5=$C$11,K$11-DPR!K1105))))</f>
        <v>916.23999999999796</v>
      </c>
      <c r="L12" s="870">
        <f>MAX(0,IF($AK$5=$C$9,L$9-DPR!L1105,IF($AK$5=$C$10,L$10-DPR!L1105,IF($AK$5=$C$11,L$11-DPR!L1105))))</f>
        <v>2082</v>
      </c>
      <c r="M12" s="870">
        <f>MAX(0,IF($AK$5=$C$9,M$9-DPR!M1105,IF($AK$5=$C$10,M$10-DPR!M1105,IF($AK$5=$C$11,M$11-DPR!M1105))))</f>
        <v>262105</v>
      </c>
      <c r="N12" s="870">
        <f>MAX(0,IF($AK$5=$C$9,N$9-DPR!N1105,IF($AK$5=$C$10,N$10-DPR!N1105,IF($AK$5=$C$11,N$11-DPR!N1105))))</f>
        <v>837</v>
      </c>
      <c r="O12" s="870">
        <f>MAX(0,IF($AK$5=$C$9,O$9-DPR!O1105,IF($AK$5=$C$10,O$10-DPR!O1105,IF($AK$5=$C$11,O$11-DPR!O1105))))</f>
        <v>3771</v>
      </c>
      <c r="P12" s="870">
        <f>MAX(0,IF($AK$5=$C$9,P$9-DPR!P1105,IF($AK$5=$C$10,P$10-DPR!P1105,IF($AK$5=$C$11,P$11-DPR!P1105))))</f>
        <v>130</v>
      </c>
      <c r="Q12" s="874">
        <v>0</v>
      </c>
      <c r="R12" s="919">
        <f>D12*D$6+E12*E$6+F12*F$6+G12*G$6+H12*H$6+I12*I$6+J12*J$6+K12*K$6+L12*L$6+M12*M$6+N12*N$6+O12*O$6+P12*P$6+Q12*Q$6</f>
        <v>19928.054500000002</v>
      </c>
      <c r="S12" s="878">
        <f>MAX(0,IF($AK$5=$C$9,S$9-DPR!S1105,IF($AK$5=$C$10,S$10-DPR!S1105,IF($AK$5=$C$11,S$11-DPR!S1105))))</f>
        <v>0</v>
      </c>
      <c r="T12" s="878">
        <f>MAX(0,IF($AK$5=$C$9,T$9-DPR!T1105,IF($AK$5=$C$10,T$10-DPR!T1105,IF($AK$5=$C$11,T$11-DPR!T1105))))</f>
        <v>0</v>
      </c>
      <c r="U12" s="878">
        <f>MAX(0,IF($AK$5=$C$9,U$9-DPR!U1105,IF($AK$5=$C$10,U$10-DPR!U1105,IF($AK$5=$C$11,U$11-DPR!U1105))))</f>
        <v>1.9158594013257962E-4</v>
      </c>
      <c r="V12" s="878">
        <f>MAX(0,IF($AK$5=$C$9,V$9-DPR!V1105,IF($AK$5=$C$10,V$10-DPR!V1105,IF($AK$5=$C$11,V$11-DPR!V1105))))</f>
        <v>0</v>
      </c>
      <c r="W12" s="878">
        <f>MAX(0,IF($AK$5=$C$9,W$9-DPR!W1105,IF($AK$5=$C$10,W$10-DPR!W1105,IF($AK$5=$C$11,W$11-DPR!W1105))))</f>
        <v>0</v>
      </c>
      <c r="X12" s="878">
        <f>MAX(0,IF($AK$5=$C$9,X$9-DPR!X1105,IF($AK$5=$C$10,X$10-DPR!X1105,IF($AK$5=$C$11,X$11-DPR!X1105))))</f>
        <v>0</v>
      </c>
      <c r="Y12" s="878">
        <f>MAX(0,IF($AK$5=$C$9,Y$9-DPR!Y1105,IF($AK$5=$C$10,Y$10-DPR!Y1105,IF($AK$5=$C$11,Y$11-DPR!Y1105))))</f>
        <v>0.49000000000000021</v>
      </c>
      <c r="Z12" s="878">
        <f>MAX(0,IF($AK$5=$C$9,Z$9-DPR!Z1105,IF($AK$5=$C$10,Z$10-DPR!Z1105,IF($AK$5=$C$11,Z$11-DPR!Z1105))))</f>
        <v>0</v>
      </c>
      <c r="AA12" s="878">
        <f>MAX(0,IF($AK$5=$C$9,AA$9-DPR!AA1105,IF($AK$5=$C$10,AA$10-DPR!AA1105,IF($AK$5=$C$11,AA$11-DPR!AA1105))))</f>
        <v>0</v>
      </c>
      <c r="AB12" s="878">
        <f>MAX(0,IF($AK$5=$C$9,AB$9-DPR!AB1105,IF($AK$5=$C$10,AB$10-DPR!AB1105,IF($AK$5=$C$11,AB$11-DPR!AB1105))))</f>
        <v>0</v>
      </c>
      <c r="AC12" s="878">
        <f>MAX(0,IF($AK$5=$C$9,AC$9-DPR!AC1105,IF($AK$5=$C$10,AC$10-DPR!AC1105,IF($AK$5=$C$11,AC$11-DPR!AC1105))))</f>
        <v>2.8295129223807669E-2</v>
      </c>
      <c r="AD12" s="878">
        <f>MAX(0,IF($AK$5=$C$9,AD$9-DPR!AD1105,IF($AK$5=$C$10,AD$10-DPR!AD1105,IF($AK$5=$C$11,AD$11-DPR!AD1105))))</f>
        <v>1.879885146978455E-2</v>
      </c>
      <c r="AE12" s="878">
        <f>MAX(0,IF($AK$5=$C$9,AE$9-DPR!AE1105,IF($AK$5=$C$10,AE$10-DPR!AE1105,IF($AK$5=$C$11,AE$11-DPR!AE1105))))</f>
        <v>0.31</v>
      </c>
      <c r="AF12" s="878">
        <f>MAX(0,IF($AK$5=$C$9,AF$9-DPR!AF1105,IF($AK$5=$C$10,AF$10-DPR!AF1105,IF($AK$5=$C$11,AF$11-DPR!AF1105))))</f>
        <v>0.10089842756699241</v>
      </c>
      <c r="AG12" s="920">
        <f>S12*S$6+T12*T$6+U12*U$6+V12*V$6+W12*W$6+X12*X$6+Y12*Y$6+Z12*Z$6+AA12*AA$6+AB12*AB$6+AC12*AC$6+AD12*AD$6+AE12*AE$6+AF12*AF$6</f>
        <v>0.29481884764701427</v>
      </c>
      <c r="AH12" s="888">
        <f t="shared" ref="AH12:AH52" si="0">IF($AK$1&gt;=C12,(YEAR(C12)*100+MONTH(C12)),0)</f>
        <v>202504</v>
      </c>
      <c r="AI12" s="826"/>
      <c r="AJ12" t="str">
        <f>DPR!AJ1105</f>
        <v xml:space="preserve">MECL:Prod'n deferred due to waiting well services.
SCB:Due to the unavailability of ullage, the dispatch of produced hydrocarbons has been affected.
LZC:Prod'n deferred due to DAS ullage constraints.
SPOC:1,460 bbl transfer to Tharjiath COST tank level.
</v>
      </c>
      <c r="AK12" s="262"/>
      <c r="AL12" s="262"/>
    </row>
    <row r="13" spans="1:48" ht="15.75">
      <c r="C13" s="918">
        <v>45749</v>
      </c>
      <c r="D13" s="870">
        <f>MAX(0,IF($AK$5=$C$9,D$9-DPR!D1106,IF($AK$5=$C$10,D$10-DPR!D1106,IF($AK$5=$C$11,D$11-DPR!D1106))))</f>
        <v>2517</v>
      </c>
      <c r="E13" s="870">
        <f>MAX(0,IF($AK$5=$C$9,E$9-DPR!E1106,IF($AK$5=$C$10,E$10-DPR!E1106,IF($AK$5=$C$11,E$11-DPR!E1106))))</f>
        <v>0</v>
      </c>
      <c r="F13" s="870">
        <f>MAX(0,IF($AK$5=$C$9,F$9-DPR!F1106,IF($AK$5=$C$10,F$10-DPR!F1106,IF($AK$5=$C$11,F$11-DPR!F1106))))</f>
        <v>2503</v>
      </c>
      <c r="G13" s="870">
        <f>MAX(0,IF($AK$5=$C$9,G$9-DPR!G1106,IF($AK$5=$C$10,G$10-DPR!G1106,IF($AK$5=$C$11,G$11-DPR!G1106))))</f>
        <v>488</v>
      </c>
      <c r="H13" s="870">
        <f>MAX(0,IF($AK$5=$C$9,H$9-DPR!H1106,IF($AK$5=$C$10,H$10-DPR!H1106,IF($AK$5=$C$11,H$11-DPR!H1106))))</f>
        <v>221</v>
      </c>
      <c r="I13" s="870">
        <f>MAX(0,IF($AK$5=$C$9,I$9-DPR!I1106,IF($AK$5=$C$10,I$10-DPR!I1106,IF($AK$5=$C$11,I$11-DPR!I1106))))</f>
        <v>0</v>
      </c>
      <c r="J13" s="870">
        <f>MAX(0,IF($AK$5=$C$9,J$9-DPR!J1106,IF($AK$5=$C$10,J$10-DPR!J1106,IF($AK$5=$C$11,J$11-DPR!J1106))))</f>
        <v>25906</v>
      </c>
      <c r="K13" s="870">
        <f>MAX(0,IF($AK$5=$C$9,K$9-DPR!K1106,IF($AK$5=$C$10,K$10-DPR!K1106,IF($AK$5=$C$11,K$11-DPR!K1106))))</f>
        <v>1363.989999999998</v>
      </c>
      <c r="L13" s="870">
        <f>MAX(0,IF($AK$5=$C$9,L$9-DPR!L1106,IF($AK$5=$C$10,L$10-DPR!L1106,IF($AK$5=$C$11,L$11-DPR!L1106))))</f>
        <v>0</v>
      </c>
      <c r="M13" s="870">
        <f>MAX(0,IF($AK$5=$C$9,M$9-DPR!M1106,IF($AK$5=$C$10,M$10-DPR!M1106,IF($AK$5=$C$11,M$11-DPR!M1106))))</f>
        <v>256710</v>
      </c>
      <c r="N13" s="870">
        <f>MAX(0,IF($AK$5=$C$9,N$9-DPR!N1106,IF($AK$5=$C$10,N$10-DPR!N1106,IF($AK$5=$C$11,N$11-DPR!N1106))))</f>
        <v>760</v>
      </c>
      <c r="O13" s="870">
        <f>MAX(0,IF($AK$5=$C$9,O$9-DPR!O1106,IF($AK$5=$C$10,O$10-DPR!O1106,IF($AK$5=$C$11,O$11-DPR!O1106))))</f>
        <v>3784</v>
      </c>
      <c r="P13" s="870">
        <f>MAX(0,IF($AK$5=$C$9,P$9-DPR!P1106,IF($AK$5=$C$10,P$10-DPR!P1106,IF($AK$5=$C$11,P$11-DPR!P1106))))</f>
        <v>130</v>
      </c>
      <c r="Q13" s="870">
        <v>0</v>
      </c>
      <c r="R13" s="919">
        <f t="shared" ref="R13:R62" si="1">D13*D$6+E13*E$6+F13*F$6+G13*G$6+H13*H$6+I13*I$6+J13*J$6+K13*K$6+L13*L$6+M13*M$6+N13*N$6+O13*O$6+P13*P$6+Q13*Q$6</f>
        <v>21291.379749999996</v>
      </c>
      <c r="S13" s="878">
        <f>MAX(0,IF($AK$5=$C$9,S$9-DPR!S1106,IF($AK$5=$C$10,S$10-DPR!S1106,IF($AK$5=$C$11,S$11-DPR!S1106))))</f>
        <v>0</v>
      </c>
      <c r="T13" s="878">
        <f>MAX(0,IF($AK$5=$C$9,T$9-DPR!T1106,IF($AK$5=$C$10,T$10-DPR!T1106,IF($AK$5=$C$11,T$11-DPR!T1106))))</f>
        <v>0</v>
      </c>
      <c r="U13" s="878">
        <f>MAX(0,IF($AK$5=$C$9,U$9-DPR!U1106,IF($AK$5=$C$10,U$10-DPR!U1106,IF($AK$5=$C$11,U$11-DPR!U1106))))</f>
        <v>5.7001192138118146E-4</v>
      </c>
      <c r="V13" s="878">
        <f>MAX(0,IF($AK$5=$C$9,V$9-DPR!V1106,IF($AK$5=$C$10,V$10-DPR!V1106,IF($AK$5=$C$11,V$11-DPR!V1106))))</f>
        <v>0</v>
      </c>
      <c r="W13" s="878">
        <f>MAX(0,IF($AK$5=$C$9,W$9-DPR!W1106,IF($AK$5=$C$10,W$10-DPR!W1106,IF($AK$5=$C$11,W$11-DPR!W1106))))</f>
        <v>0</v>
      </c>
      <c r="X13" s="878">
        <f>MAX(0,IF($AK$5=$C$9,X$9-DPR!X1106,IF($AK$5=$C$10,X$10-DPR!X1106,IF($AK$5=$C$11,X$11-DPR!X1106))))</f>
        <v>0</v>
      </c>
      <c r="Y13" s="878">
        <f>MAX(0,IF($AK$5=$C$9,Y$9-DPR!Y1106,IF($AK$5=$C$10,Y$10-DPR!Y1106,IF($AK$5=$C$11,Y$11-DPR!Y1106))))</f>
        <v>0.97000000000000064</v>
      </c>
      <c r="Z13" s="878">
        <f>MAX(0,IF($AK$5=$C$9,Z$9-DPR!Z1106,IF($AK$5=$C$10,Z$10-DPR!Z1106,IF($AK$5=$C$11,Z$11-DPR!Z1106))))</f>
        <v>0</v>
      </c>
      <c r="AA13" s="878">
        <f>MAX(0,IF($AK$5=$C$9,AA$9-DPR!AA1106,IF($AK$5=$C$10,AA$10-DPR!AA1106,IF($AK$5=$C$11,AA$11-DPR!AA1106))))</f>
        <v>0</v>
      </c>
      <c r="AB13" s="878">
        <f>MAX(0,IF($AK$5=$C$9,AB$9-DPR!AB1106,IF($AK$5=$C$10,AB$10-DPR!AB1106,IF($AK$5=$C$11,AB$11-DPR!AB1106))))</f>
        <v>0</v>
      </c>
      <c r="AC13" s="878">
        <f>MAX(0,IF($AK$5=$C$9,AC$9-DPR!AC1106,IF($AK$5=$C$10,AC$10-DPR!AC1106,IF($AK$5=$C$11,AC$11-DPR!AC1106))))</f>
        <v>1.8667410455136257E-2</v>
      </c>
      <c r="AD13" s="878">
        <f>MAX(0,IF($AK$5=$C$9,AD$9-DPR!AD1106,IF($AK$5=$C$10,AD$10-DPR!AD1106,IF($AK$5=$C$11,AD$11-DPR!AD1106))))</f>
        <v>2.494360138978953E-2</v>
      </c>
      <c r="AE13" s="878">
        <f>MAX(0,IF($AK$5=$C$9,AE$9-DPR!AE1106,IF($AK$5=$C$10,AE$10-DPR!AE1106,IF($AK$5=$C$11,AE$11-DPR!AE1106))))</f>
        <v>0.31</v>
      </c>
      <c r="AF13" s="878">
        <f>MAX(0,IF($AK$5=$C$9,AF$9-DPR!AF1106,IF($AK$5=$C$10,AF$10-DPR!AF1106,IF($AK$5=$C$11,AF$11-DPR!AF1106))))</f>
        <v>9.6594270940995486E-2</v>
      </c>
      <c r="AG13" s="920">
        <f t="shared" ref="AG13:AG63" si="2">S13*S$6+T13*T$6+U13*U$6+V13*V$6+W13*W$6+X13*X$6+Y13*Y$6+Z13*Z$6+AA13*AA$6+AB13*AB$6+AC13*AC$6+AD13*AD$6+AE13*AE$6+AF13*AF$6</f>
        <v>0.42055089011091706</v>
      </c>
      <c r="AH13" s="888">
        <f t="shared" si="0"/>
        <v>202504</v>
      </c>
      <c r="AI13" s="826"/>
      <c r="AJ13" t="str">
        <f>DPR!AJ1106</f>
        <v xml:space="preserve">MECL:Prod'n deferred due to waiting well services.
SCB:Due to the unavailability of ullage, the dispatch of produced hydrocarbons has been affected.
LZC:Prod'n deferred due to DAS ullage constraints.
</v>
      </c>
      <c r="AK13" s="262"/>
      <c r="AL13" s="262"/>
    </row>
    <row r="14" spans="1:48" ht="15.75">
      <c r="C14" s="918">
        <v>45750</v>
      </c>
      <c r="D14" s="870">
        <f>MAX(0,IF($AK$5=$C$9,D$9-DPR!D1107,IF($AK$5=$C$10,D$10-DPR!D1107,IF($AK$5=$C$11,D$11-DPR!D1107))))</f>
        <v>24857</v>
      </c>
      <c r="E14" s="870">
        <f>MAX(0,IF($AK$5=$C$9,E$9-DPR!E1107,IF($AK$5=$C$10,E$10-DPR!E1107,IF($AK$5=$C$11,E$11-DPR!E1107))))</f>
        <v>0</v>
      </c>
      <c r="F14" s="870">
        <f>MAX(0,IF($AK$5=$C$9,F$9-DPR!F1107,IF($AK$5=$C$10,F$10-DPR!F1107,IF($AK$5=$C$11,F$11-DPR!F1107))))</f>
        <v>2550</v>
      </c>
      <c r="G14" s="870">
        <f>MAX(0,IF($AK$5=$C$9,G$9-DPR!G1107,IF($AK$5=$C$10,G$10-DPR!G1107,IF($AK$5=$C$11,G$11-DPR!G1107))))</f>
        <v>329</v>
      </c>
      <c r="H14" s="870">
        <f>MAX(0,IF($AK$5=$C$9,H$9-DPR!H1107,IF($AK$5=$C$10,H$10-DPR!H1107,IF($AK$5=$C$11,H$11-DPR!H1107))))</f>
        <v>190</v>
      </c>
      <c r="I14" s="870">
        <f>MAX(0,IF($AK$5=$C$9,I$9-DPR!I1107,IF($AK$5=$C$10,I$10-DPR!I1107,IF($AK$5=$C$11,I$11-DPR!I1107))))</f>
        <v>0</v>
      </c>
      <c r="J14" s="870">
        <f>MAX(0,IF($AK$5=$C$9,J$9-DPR!J1107,IF($AK$5=$C$10,J$10-DPR!J1107,IF($AK$5=$C$11,J$11-DPR!J1107))))</f>
        <v>16336</v>
      </c>
      <c r="K14" s="870">
        <f>MAX(0,IF($AK$5=$C$9,K$9-DPR!K1107,IF($AK$5=$C$10,K$10-DPR!K1107,IF($AK$5=$C$11,K$11-DPR!K1107))))</f>
        <v>0</v>
      </c>
      <c r="L14" s="870">
        <f>MAX(0,IF($AK$5=$C$9,L$9-DPR!L1107,IF($AK$5=$C$10,L$10-DPR!L1107,IF($AK$5=$C$11,L$11-DPR!L1107))))</f>
        <v>0</v>
      </c>
      <c r="M14" s="870">
        <f>MAX(0,IF($AK$5=$C$9,M$9-DPR!M1107,IF($AK$5=$C$10,M$10-DPR!M1107,IF($AK$5=$C$11,M$11-DPR!M1107))))</f>
        <v>250995</v>
      </c>
      <c r="N14" s="870">
        <f>MAX(0,IF($AK$5=$C$9,N$9-DPR!N1107,IF($AK$5=$C$10,N$10-DPR!N1107,IF($AK$5=$C$11,N$11-DPR!N1107))))</f>
        <v>751</v>
      </c>
      <c r="O14" s="870">
        <f>MAX(0,IF($AK$5=$C$9,O$9-DPR!O1107,IF($AK$5=$C$10,O$10-DPR!O1107,IF($AK$5=$C$11,O$11-DPR!O1107))))</f>
        <v>3777</v>
      </c>
      <c r="P14" s="870">
        <f>MAX(0,IF($AK$5=$C$9,P$9-DPR!P1107,IF($AK$5=$C$10,P$10-DPR!P1107,IF($AK$5=$C$11,P$11-DPR!P1107))))</f>
        <v>130</v>
      </c>
      <c r="Q14" s="874">
        <v>0</v>
      </c>
      <c r="R14" s="919">
        <f t="shared" si="1"/>
        <v>18805.637250000003</v>
      </c>
      <c r="S14" s="878">
        <f>MAX(0,IF($AK$5=$C$9,S$9-DPR!S1107,IF($AK$5=$C$10,S$10-DPR!S1107,IF($AK$5=$C$11,S$11-DPR!S1107))))</f>
        <v>0</v>
      </c>
      <c r="T14" s="878">
        <f>MAX(0,IF($AK$5=$C$9,T$9-DPR!T1107,IF($AK$5=$C$10,T$10-DPR!T1107,IF($AK$5=$C$11,T$11-DPR!T1107))))</f>
        <v>0</v>
      </c>
      <c r="U14" s="878">
        <f>MAX(0,IF($AK$5=$C$9,U$9-DPR!U1107,IF($AK$5=$C$10,U$10-DPR!U1107,IF($AK$5=$C$11,U$11-DPR!U1107))))</f>
        <v>1.6510971351873334E-4</v>
      </c>
      <c r="V14" s="878">
        <f>MAX(0,IF($AK$5=$C$9,V$9-DPR!V1107,IF($AK$5=$C$10,V$10-DPR!V1107,IF($AK$5=$C$11,V$11-DPR!V1107))))</f>
        <v>0</v>
      </c>
      <c r="W14" s="878">
        <f>MAX(0,IF($AK$5=$C$9,W$9-DPR!W1107,IF($AK$5=$C$10,W$10-DPR!W1107,IF($AK$5=$C$11,W$11-DPR!W1107))))</f>
        <v>0</v>
      </c>
      <c r="X14" s="878">
        <f>MAX(0,IF($AK$5=$C$9,X$9-DPR!X1107,IF($AK$5=$C$10,X$10-DPR!X1107,IF($AK$5=$C$11,X$11-DPR!X1107))))</f>
        <v>0.17958866987401834</v>
      </c>
      <c r="Y14" s="878">
        <f>MAX(0,IF($AK$5=$C$9,Y$9-DPR!Y1107,IF($AK$5=$C$10,Y$10-DPR!Y1107,IF($AK$5=$C$11,Y$11-DPR!Y1107))))</f>
        <v>0.66000000000000014</v>
      </c>
      <c r="Z14" s="878">
        <f>MAX(0,IF($AK$5=$C$9,Z$9-DPR!Z1107,IF($AK$5=$C$10,Z$10-DPR!Z1107,IF($AK$5=$C$11,Z$11-DPR!Z1107))))</f>
        <v>0</v>
      </c>
      <c r="AA14" s="878">
        <f>MAX(0,IF($AK$5=$C$9,AA$9-DPR!AA1107,IF($AK$5=$C$10,AA$10-DPR!AA1107,IF($AK$5=$C$11,AA$11-DPR!AA1107))))</f>
        <v>0</v>
      </c>
      <c r="AB14" s="878">
        <f>MAX(0,IF($AK$5=$C$9,AB$9-DPR!AB1107,IF($AK$5=$C$10,AB$10-DPR!AB1107,IF($AK$5=$C$11,AB$11-DPR!AB1107))))</f>
        <v>0</v>
      </c>
      <c r="AC14" s="878">
        <f>MAX(0,IF($AK$5=$C$9,AC$9-DPR!AC1107,IF($AK$5=$C$10,AC$10-DPR!AC1107,IF($AK$5=$C$11,AC$11-DPR!AC1107))))</f>
        <v>1.1588205478171992E-2</v>
      </c>
      <c r="AD14" s="878">
        <f>MAX(0,IF($AK$5=$C$9,AD$9-DPR!AD1107,IF($AK$5=$C$10,AD$10-DPR!AD1107,IF($AK$5=$C$11,AD$11-DPR!AD1107))))</f>
        <v>2.5311720048591668E-2</v>
      </c>
      <c r="AE14" s="878">
        <f>MAX(0,IF($AK$5=$C$9,AE$9-DPR!AE1107,IF($AK$5=$C$10,AE$10-DPR!AE1107,IF($AK$5=$C$11,AE$11-DPR!AE1107))))</f>
        <v>0.31</v>
      </c>
      <c r="AF14" s="878">
        <f>MAX(0,IF($AK$5=$C$9,AF$9-DPR!AF1107,IF($AK$5=$C$10,AF$10-DPR!AF1107,IF($AK$5=$C$11,AF$11-DPR!AF1107))))</f>
        <v>0.11984238008534831</v>
      </c>
      <c r="AG14" s="920">
        <f t="shared" si="2"/>
        <v>0.37890590601081164</v>
      </c>
      <c r="AH14" s="888">
        <f t="shared" si="0"/>
        <v>202504</v>
      </c>
      <c r="AI14" s="826"/>
      <c r="AJ14" t="str">
        <f>DPR!AJ1107</f>
        <v xml:space="preserve">MECL:Prod'n deferred due to waiting well services.
SCB:Due to the unavailability of ullage, the dispatch of produced hydrocarbons has been affected.
LZC:Prod'n deferred due to DAS ullage constraints.
</v>
      </c>
      <c r="AK14" s="262"/>
      <c r="AL14" s="262"/>
    </row>
    <row r="15" spans="1:48" ht="15.75">
      <c r="C15" s="918">
        <v>45751</v>
      </c>
      <c r="D15" s="870">
        <f>MAX(0,IF($AK$5=$C$9,D$9-DPR!D1108,IF($AK$5=$C$10,D$10-DPR!D1108,IF($AK$5=$C$11,D$11-DPR!D1108))))</f>
        <v>33046</v>
      </c>
      <c r="E15" s="870">
        <f>MAX(0,IF($AK$5=$C$9,E$9-DPR!E1108,IF($AK$5=$C$10,E$10-DPR!E1108,IF($AK$5=$C$11,E$11-DPR!E1108))))</f>
        <v>0</v>
      </c>
      <c r="F15" s="870">
        <f>MAX(0,IF($AK$5=$C$9,F$9-DPR!F1108,IF($AK$5=$C$10,F$10-DPR!F1108,IF($AK$5=$C$11,F$11-DPR!F1108))))</f>
        <v>2591</v>
      </c>
      <c r="G15" s="870">
        <f>MAX(0,IF($AK$5=$C$9,G$9-DPR!G1108,IF($AK$5=$C$10,G$10-DPR!G1108,IF($AK$5=$C$11,G$11-DPR!G1108))))</f>
        <v>337</v>
      </c>
      <c r="H15" s="870">
        <f>MAX(0,IF($AK$5=$C$9,H$9-DPR!H1108,IF($AK$5=$C$10,H$10-DPR!H1108,IF($AK$5=$C$11,H$11-DPR!H1108))))</f>
        <v>161</v>
      </c>
      <c r="I15" s="870">
        <f>MAX(0,IF($AK$5=$C$9,I$9-DPR!I1108,IF($AK$5=$C$10,I$10-DPR!I1108,IF($AK$5=$C$11,I$11-DPR!I1108))))</f>
        <v>0</v>
      </c>
      <c r="J15" s="870">
        <f>MAX(0,IF($AK$5=$C$9,J$9-DPR!J1108,IF($AK$5=$C$10,J$10-DPR!J1108,IF($AK$5=$C$11,J$11-DPR!J1108))))</f>
        <v>16730</v>
      </c>
      <c r="K15" s="870">
        <f>MAX(0,IF($AK$5=$C$9,K$9-DPR!K1108,IF($AK$5=$C$10,K$10-DPR!K1108,IF($AK$5=$C$11,K$11-DPR!K1108))))</f>
        <v>1612</v>
      </c>
      <c r="L15" s="870">
        <f>MAX(0,IF($AK$5=$C$9,L$9-DPR!L1108,IF($AK$5=$C$10,L$10-DPR!L1108,IF($AK$5=$C$11,L$11-DPR!L1108))))</f>
        <v>2552</v>
      </c>
      <c r="M15" s="870">
        <f>MAX(0,IF($AK$5=$C$9,M$9-DPR!M1108,IF($AK$5=$C$10,M$10-DPR!M1108,IF($AK$5=$C$11,M$11-DPR!M1108))))</f>
        <v>215560</v>
      </c>
      <c r="N15" s="870">
        <f>MAX(0,IF($AK$5=$C$9,N$9-DPR!N1108,IF($AK$5=$C$10,N$10-DPR!N1108,IF($AK$5=$C$11,N$11-DPR!N1108))))</f>
        <v>799</v>
      </c>
      <c r="O15" s="870">
        <f>MAX(0,IF($AK$5=$C$9,O$9-DPR!O1108,IF($AK$5=$C$10,O$10-DPR!O1108,IF($AK$5=$C$11,O$11-DPR!O1108))))</f>
        <v>3694</v>
      </c>
      <c r="P15" s="870">
        <f>MAX(0,IF($AK$5=$C$9,P$9-DPR!P1108,IF($AK$5=$C$10,P$10-DPR!P1108,IF($AK$5=$C$11,P$11-DPR!P1108))))</f>
        <v>130</v>
      </c>
      <c r="Q15" s="870">
        <v>0</v>
      </c>
      <c r="R15" s="919">
        <f t="shared" si="1"/>
        <v>18724.655499999997</v>
      </c>
      <c r="S15" s="878">
        <f>MAX(0,IF($AK$5=$C$9,S$9-DPR!S1108,IF($AK$5=$C$10,S$10-DPR!S1108,IF($AK$5=$C$11,S$11-DPR!S1108))))</f>
        <v>0</v>
      </c>
      <c r="T15" s="878">
        <f>MAX(0,IF($AK$5=$C$9,T$9-DPR!T1108,IF($AK$5=$C$10,T$10-DPR!T1108,IF($AK$5=$C$11,T$11-DPR!T1108))))</f>
        <v>0</v>
      </c>
      <c r="U15" s="878">
        <f>MAX(0,IF($AK$5=$C$9,U$9-DPR!U1108,IF($AK$5=$C$10,U$10-DPR!U1108,IF($AK$5=$C$11,U$11-DPR!U1108))))</f>
        <v>1.1600834779850909E-4</v>
      </c>
      <c r="V15" s="878">
        <f>MAX(0,IF($AK$5=$C$9,V$9-DPR!V1108,IF($AK$5=$C$10,V$10-DPR!V1108,IF($AK$5=$C$11,V$11-DPR!V1108))))</f>
        <v>0</v>
      </c>
      <c r="W15" s="878">
        <f>MAX(0,IF($AK$5=$C$9,W$9-DPR!W1108,IF($AK$5=$C$10,W$10-DPR!W1108,IF($AK$5=$C$11,W$11-DPR!W1108))))</f>
        <v>0</v>
      </c>
      <c r="X15" s="878">
        <f>MAX(0,IF($AK$5=$C$9,X$9-DPR!X1108,IF($AK$5=$C$10,X$10-DPR!X1108,IF($AK$5=$C$11,X$11-DPR!X1108))))</f>
        <v>0.64769401977080321</v>
      </c>
      <c r="Y15" s="878">
        <f>MAX(0,IF($AK$5=$C$9,Y$9-DPR!Y1108,IF($AK$5=$C$10,Y$10-DPR!Y1108,IF($AK$5=$C$11,Y$11-DPR!Y1108))))</f>
        <v>0.75999999999999979</v>
      </c>
      <c r="Z15" s="878">
        <f>MAX(0,IF($AK$5=$C$9,Z$9-DPR!Z1108,IF($AK$5=$C$10,Z$10-DPR!Z1108,IF($AK$5=$C$11,Z$11-DPR!Z1108))))</f>
        <v>0</v>
      </c>
      <c r="AA15" s="878">
        <f>MAX(0,IF($AK$5=$C$9,AA$9-DPR!AA1108,IF($AK$5=$C$10,AA$10-DPR!AA1108,IF($AK$5=$C$11,AA$11-DPR!AA1108))))</f>
        <v>0</v>
      </c>
      <c r="AB15" s="878">
        <f>MAX(0,IF($AK$5=$C$9,AB$9-DPR!AB1108,IF($AK$5=$C$10,AB$10-DPR!AB1108,IF($AK$5=$C$11,AB$11-DPR!AB1108))))</f>
        <v>0</v>
      </c>
      <c r="AC15" s="878">
        <f>MAX(0,IF($AK$5=$C$9,AC$9-DPR!AC1108,IF($AK$5=$C$10,AC$10-DPR!AC1108,IF($AK$5=$C$11,AC$11-DPR!AC1108))))</f>
        <v>9.6060280846219925E-3</v>
      </c>
      <c r="AD15" s="878">
        <f>MAX(0,IF($AK$5=$C$9,AD$9-DPR!AD1108,IF($AK$5=$C$10,AD$10-DPR!AD1108,IF($AK$5=$C$11,AD$11-DPR!AD1108))))</f>
        <v>2.3641027674028106E-2</v>
      </c>
      <c r="AE15" s="878">
        <f>MAX(0,IF($AK$5=$C$9,AE$9-DPR!AE1108,IF($AK$5=$C$10,AE$10-DPR!AE1108,IF($AK$5=$C$11,AE$11-DPR!AE1108))))</f>
        <v>0.31</v>
      </c>
      <c r="AF15" s="878">
        <f>MAX(0,IF($AK$5=$C$9,AF$9-DPR!AF1108,IF($AK$5=$C$10,AF$10-DPR!AF1108,IF($AK$5=$C$11,AF$11-DPR!AF1108))))</f>
        <v>0.16053365029293865</v>
      </c>
      <c r="AG15" s="920">
        <f t="shared" si="2"/>
        <v>0.50452380450633882</v>
      </c>
      <c r="AH15" s="888">
        <f t="shared" si="0"/>
        <v>202504</v>
      </c>
      <c r="AI15" s="826"/>
      <c r="AJ15" t="str">
        <f>DPR!AJ1108</f>
        <v xml:space="preserve">MECL:Prod'n deferred due to waiting well services.
SCB:Due to the unavailability of ullage, the dispatch of produced hydrocarbons has been affected.
LZC:Prod'n deferred due to DAS ullage constraints.
SPOC:1,460 bbl transfer to Tharjiath COST tank level.
</v>
      </c>
      <c r="AK15" s="262"/>
      <c r="AL15" s="262"/>
    </row>
    <row r="16" spans="1:48" ht="15.75">
      <c r="C16" s="918">
        <v>45752</v>
      </c>
      <c r="D16" s="870">
        <f>MAX(0,IF($AK$5=$C$9,D$9-DPR!D1109,IF($AK$5=$C$10,D$10-DPR!D1109,IF($AK$5=$C$11,D$11-DPR!D1109))))</f>
        <v>15648</v>
      </c>
      <c r="E16" s="870">
        <f>MAX(0,IF($AK$5=$C$9,E$9-DPR!E1109,IF($AK$5=$C$10,E$10-DPR!E1109,IF($AK$5=$C$11,E$11-DPR!E1109))))</f>
        <v>0</v>
      </c>
      <c r="F16" s="870">
        <f>MAX(0,IF($AK$5=$C$9,F$9-DPR!F1109,IF($AK$5=$C$10,F$10-DPR!F1109,IF($AK$5=$C$11,F$11-DPR!F1109))))</f>
        <v>2543.59</v>
      </c>
      <c r="G16" s="870">
        <f>MAX(0,IF($AK$5=$C$9,G$9-DPR!G1109,IF($AK$5=$C$10,G$10-DPR!G1109,IF($AK$5=$C$11,G$11-DPR!G1109))))</f>
        <v>360</v>
      </c>
      <c r="H16" s="870">
        <f>MAX(0,IF($AK$5=$C$9,H$9-DPR!H1109,IF($AK$5=$C$10,H$10-DPR!H1109,IF($AK$5=$C$11,H$11-DPR!H1109))))</f>
        <v>169</v>
      </c>
      <c r="I16" s="870">
        <f>MAX(0,IF($AK$5=$C$9,I$9-DPR!I1109,IF($AK$5=$C$10,I$10-DPR!I1109,IF($AK$5=$C$11,I$11-DPR!I1109))))</f>
        <v>0</v>
      </c>
      <c r="J16" s="870">
        <f>MAX(0,IF($AK$5=$C$9,J$9-DPR!J1109,IF($AK$5=$C$10,J$10-DPR!J1109,IF($AK$5=$C$11,J$11-DPR!J1109))))</f>
        <v>17678</v>
      </c>
      <c r="K16" s="870">
        <f>MAX(0,IF($AK$5=$C$9,K$9-DPR!K1109,IF($AK$5=$C$10,K$10-DPR!K1109,IF($AK$5=$C$11,K$11-DPR!K1109))))</f>
        <v>758.84999999999854</v>
      </c>
      <c r="L16" s="870">
        <f>MAX(0,IF($AK$5=$C$9,L$9-DPR!L1109,IF($AK$5=$C$10,L$10-DPR!L1109,IF($AK$5=$C$11,L$11-DPR!L1109))))</f>
        <v>937</v>
      </c>
      <c r="M16" s="870">
        <f>MAX(0,IF($AK$5=$C$9,M$9-DPR!M1109,IF($AK$5=$C$10,M$10-DPR!M1109,IF($AK$5=$C$11,M$11-DPR!M1109))))</f>
        <v>192429</v>
      </c>
      <c r="N16" s="870">
        <f>MAX(0,IF($AK$5=$C$9,N$9-DPR!N1109,IF($AK$5=$C$10,N$10-DPR!N1109,IF($AK$5=$C$11,N$11-DPR!N1109))))</f>
        <v>720</v>
      </c>
      <c r="O16" s="870">
        <f>MAX(0,IF($AK$5=$C$9,O$9-DPR!O1109,IF($AK$5=$C$10,O$10-DPR!O1109,IF($AK$5=$C$11,O$11-DPR!O1109))))</f>
        <v>3783</v>
      </c>
      <c r="P16" s="870">
        <f>MAX(0,IF($AK$5=$C$9,P$9-DPR!P1109,IF($AK$5=$C$10,P$10-DPR!P1109,IF($AK$5=$C$11,P$11-DPR!P1109))))</f>
        <v>130</v>
      </c>
      <c r="Q16" s="874">
        <v>0</v>
      </c>
      <c r="R16" s="919">
        <f t="shared" si="1"/>
        <v>16947.320749999999</v>
      </c>
      <c r="S16" s="878">
        <f>MAX(0,IF($AK$5=$C$9,S$9-DPR!S1109,IF($AK$5=$C$10,S$10-DPR!S1109,IF($AK$5=$C$11,S$11-DPR!S1109))))</f>
        <v>0</v>
      </c>
      <c r="T16" s="878">
        <f>MAX(0,IF($AK$5=$C$9,T$9-DPR!T1109,IF($AK$5=$C$10,T$10-DPR!T1109,IF($AK$5=$C$11,T$11-DPR!T1109))))</f>
        <v>0</v>
      </c>
      <c r="U16" s="878">
        <f>MAX(0,IF($AK$5=$C$9,U$9-DPR!U1109,IF($AK$5=$C$10,U$10-DPR!U1109,IF($AK$5=$C$11,U$11-DPR!U1109))))</f>
        <v>9.0128614996021509E-4</v>
      </c>
      <c r="V16" s="878">
        <f>MAX(0,IF($AK$5=$C$9,V$9-DPR!V1109,IF($AK$5=$C$10,V$10-DPR!V1109,IF($AK$5=$C$11,V$11-DPR!V1109))))</f>
        <v>0</v>
      </c>
      <c r="W16" s="878">
        <f>MAX(0,IF($AK$5=$C$9,W$9-DPR!W1109,IF($AK$5=$C$10,W$10-DPR!W1109,IF($AK$5=$C$11,W$11-DPR!W1109))))</f>
        <v>0</v>
      </c>
      <c r="X16" s="878">
        <f>MAX(0,IF($AK$5=$C$9,X$9-DPR!X1109,IF($AK$5=$C$10,X$10-DPR!X1109,IF($AK$5=$C$11,X$11-DPR!X1109))))</f>
        <v>0</v>
      </c>
      <c r="Y16" s="878">
        <f>MAX(0,IF($AK$5=$C$9,Y$9-DPR!Y1109,IF($AK$5=$C$10,Y$10-DPR!Y1109,IF($AK$5=$C$11,Y$11-DPR!Y1109))))</f>
        <v>0.67999999999999972</v>
      </c>
      <c r="Z16" s="878">
        <f>MAX(0,IF($AK$5=$C$9,Z$9-DPR!Z1109,IF($AK$5=$C$10,Z$10-DPR!Z1109,IF($AK$5=$C$11,Z$11-DPR!Z1109))))</f>
        <v>0</v>
      </c>
      <c r="AA16" s="878">
        <f>MAX(0,IF($AK$5=$C$9,AA$9-DPR!AA1109,IF($AK$5=$C$10,AA$10-DPR!AA1109,IF($AK$5=$C$11,AA$11-DPR!AA1109))))</f>
        <v>0</v>
      </c>
      <c r="AB16" s="878">
        <f>MAX(0,IF($AK$5=$C$9,AB$9-DPR!AB1109,IF($AK$5=$C$10,AB$10-DPR!AB1109,IF($AK$5=$C$11,AB$11-DPR!AB1109))))</f>
        <v>0</v>
      </c>
      <c r="AC16" s="878">
        <f>MAX(0,IF($AK$5=$C$9,AC$9-DPR!AC1109,IF($AK$5=$C$10,AC$10-DPR!AC1109,IF($AK$5=$C$11,AC$11-DPR!AC1109))))</f>
        <v>1.2437710075407699E-2</v>
      </c>
      <c r="AD16" s="878">
        <f>MAX(0,IF($AK$5=$C$9,AD$9-DPR!AD1109,IF($AK$5=$C$10,AD$10-DPR!AD1109,IF($AK$5=$C$11,AD$11-DPR!AD1109))))</f>
        <v>1.6420238597524547E-2</v>
      </c>
      <c r="AE16" s="878">
        <f>MAX(0,IF($AK$5=$C$9,AE$9-DPR!AE1109,IF($AK$5=$C$10,AE$10-DPR!AE1109,IF($AK$5=$C$11,AE$11-DPR!AE1109))))</f>
        <v>0.31</v>
      </c>
      <c r="AF16" s="878">
        <f>MAX(0,IF($AK$5=$C$9,AF$9-DPR!AF1109,IF($AK$5=$C$10,AF$10-DPR!AF1109,IF($AK$5=$C$11,AF$11-DPR!AF1109))))</f>
        <v>0.1791944346122154</v>
      </c>
      <c r="AG16" s="920">
        <f t="shared" si="2"/>
        <v>0.35533019773635338</v>
      </c>
      <c r="AH16" s="888">
        <f t="shared" si="0"/>
        <v>202504</v>
      </c>
      <c r="AI16" s="826"/>
      <c r="AJ16" t="str">
        <f>DPR!AJ1109</f>
        <v xml:space="preserve">MECL:Prod'n deferred due to waiting well services.
SCB:Due to the unavailability of ullage, the dispatch of produced hydrocarbons has been affected.
LZC:Prod'n deferred due to DAS ullage constraints.
SPOC:725 bbl transfer to Tharjiath COST tank level.
</v>
      </c>
      <c r="AK16" s="262"/>
      <c r="AL16" s="262"/>
    </row>
    <row r="17" spans="3:38" ht="15.75">
      <c r="C17" s="918">
        <v>45753</v>
      </c>
      <c r="D17" s="870" t="e">
        <f>MAX(0,IF($AK$5=$C$9,D$9-DPR!#REF!,IF($AK$5=$C$10,D$10-DPR!#REF!,IF($AK$5=$C$11,D$11-DPR!#REF!))))</f>
        <v>#REF!</v>
      </c>
      <c r="E17" s="870" t="e">
        <f>MAX(0,IF($AK$5=$C$9,E$9-DPR!#REF!,IF($AK$5=$C$10,E$10-DPR!#REF!,IF($AK$5=$C$11,E$11-DPR!#REF!))))</f>
        <v>#REF!</v>
      </c>
      <c r="F17" s="870" t="e">
        <f>MAX(0,IF($AK$5=$C$9,F$9-DPR!#REF!,IF($AK$5=$C$10,F$10-DPR!#REF!,IF($AK$5=$C$11,F$11-DPR!#REF!))))</f>
        <v>#REF!</v>
      </c>
      <c r="G17" s="870" t="e">
        <f>MAX(0,IF($AK$5=$C$9,G$9-DPR!#REF!,IF($AK$5=$C$10,G$10-DPR!#REF!,IF($AK$5=$C$11,G$11-DPR!#REF!))))</f>
        <v>#REF!</v>
      </c>
      <c r="H17" s="870" t="e">
        <f>MAX(0,IF($AK$5=$C$9,H$9-DPR!#REF!,IF($AK$5=$C$10,H$10-DPR!#REF!,IF($AK$5=$C$11,H$11-DPR!#REF!))))</f>
        <v>#REF!</v>
      </c>
      <c r="I17" s="870" t="e">
        <f>MAX(0,IF($AK$5=$C$9,I$9-DPR!#REF!,IF($AK$5=$C$10,I$10-DPR!#REF!,IF($AK$5=$C$11,I$11-DPR!#REF!))))</f>
        <v>#REF!</v>
      </c>
      <c r="J17" s="870" t="e">
        <f>MAX(0,IF($AK$5=$C$9,J$9-DPR!#REF!,IF($AK$5=$C$10,J$10-DPR!#REF!,IF($AK$5=$C$11,J$11-DPR!#REF!))))</f>
        <v>#REF!</v>
      </c>
      <c r="K17" s="870" t="e">
        <f>MAX(0,IF($AK$5=$C$9,K$9-DPR!#REF!,IF($AK$5=$C$10,K$10-DPR!#REF!,IF($AK$5=$C$11,K$11-DPR!#REF!))))</f>
        <v>#REF!</v>
      </c>
      <c r="L17" s="870" t="e">
        <f>MAX(0,IF($AK$5=$C$9,L$9-DPR!#REF!,IF($AK$5=$C$10,L$10-DPR!#REF!,IF($AK$5=$C$11,L$11-DPR!#REF!))))</f>
        <v>#REF!</v>
      </c>
      <c r="M17" s="870" t="e">
        <f>MAX(0,IF($AK$5=$C$9,M$9-DPR!#REF!,IF($AK$5=$C$10,M$10-DPR!#REF!,IF($AK$5=$C$11,M$11-DPR!#REF!))))</f>
        <v>#REF!</v>
      </c>
      <c r="N17" s="870" t="e">
        <f>MAX(0,IF($AK$5=$C$9,N$9-DPR!#REF!,IF($AK$5=$C$10,N$10-DPR!#REF!,IF($AK$5=$C$11,N$11-DPR!#REF!))))</f>
        <v>#REF!</v>
      </c>
      <c r="O17" s="870" t="e">
        <f>MAX(0,IF($AK$5=$C$9,O$9-DPR!#REF!,IF($AK$5=$C$10,O$10-DPR!#REF!,IF($AK$5=$C$11,O$11-DPR!#REF!))))</f>
        <v>#REF!</v>
      </c>
      <c r="P17" s="870" t="e">
        <f>MAX(0,IF($AK$5=$C$9,P$9-DPR!#REF!,IF($AK$5=$C$10,P$10-DPR!#REF!,IF($AK$5=$C$11,P$11-DPR!#REF!))))</f>
        <v>#REF!</v>
      </c>
      <c r="Q17" s="870">
        <v>0</v>
      </c>
      <c r="R17" s="919" t="e">
        <f t="shared" si="1"/>
        <v>#REF!</v>
      </c>
      <c r="S17" s="878" t="e">
        <f>MAX(0,IF($AK$5=$C$9,S$9-DPR!#REF!,IF($AK$5=$C$10,S$10-DPR!#REF!,IF($AK$5=$C$11,S$11-DPR!#REF!))))</f>
        <v>#REF!</v>
      </c>
      <c r="T17" s="878" t="e">
        <f>MAX(0,IF($AK$5=$C$9,T$9-DPR!#REF!,IF($AK$5=$C$10,T$10-DPR!#REF!,IF($AK$5=$C$11,T$11-DPR!#REF!))))</f>
        <v>#REF!</v>
      </c>
      <c r="U17" s="878" t="e">
        <f>MAX(0,IF($AK$5=$C$9,U$9-DPR!#REF!,IF($AK$5=$C$10,U$10-DPR!#REF!,IF($AK$5=$C$11,U$11-DPR!#REF!))))</f>
        <v>#REF!</v>
      </c>
      <c r="V17" s="878" t="e">
        <f>MAX(0,IF($AK$5=$C$9,V$9-DPR!#REF!,IF($AK$5=$C$10,V$10-DPR!#REF!,IF($AK$5=$C$11,V$11-DPR!#REF!))))</f>
        <v>#REF!</v>
      </c>
      <c r="W17" s="878" t="e">
        <f>MAX(0,IF($AK$5=$C$9,W$9-DPR!#REF!,IF($AK$5=$C$10,W$10-DPR!#REF!,IF($AK$5=$C$11,W$11-DPR!#REF!))))</f>
        <v>#REF!</v>
      </c>
      <c r="X17" s="878" t="e">
        <f>MAX(0,IF($AK$5=$C$9,X$9-DPR!#REF!,IF($AK$5=$C$10,X$10-DPR!#REF!,IF($AK$5=$C$11,X$11-DPR!#REF!))))</f>
        <v>#REF!</v>
      </c>
      <c r="Y17" s="878" t="e">
        <f>MAX(0,IF($AK$5=$C$9,Y$9-DPR!#REF!,IF($AK$5=$C$10,Y$10-DPR!#REF!,IF($AK$5=$C$11,Y$11-DPR!#REF!))))</f>
        <v>#REF!</v>
      </c>
      <c r="Z17" s="878" t="e">
        <f>MAX(0,IF($AK$5=$C$9,Z$9-DPR!#REF!,IF($AK$5=$C$10,Z$10-DPR!#REF!,IF($AK$5=$C$11,Z$11-DPR!#REF!))))</f>
        <v>#REF!</v>
      </c>
      <c r="AA17" s="878" t="e">
        <f>MAX(0,IF($AK$5=$C$9,AA$9-DPR!#REF!,IF($AK$5=$C$10,AA$10-DPR!#REF!,IF($AK$5=$C$11,AA$11-DPR!#REF!))))</f>
        <v>#REF!</v>
      </c>
      <c r="AB17" s="878" t="e">
        <f>MAX(0,IF($AK$5=$C$9,AB$9-DPR!#REF!,IF($AK$5=$C$10,AB$10-DPR!#REF!,IF($AK$5=$C$11,AB$11-DPR!#REF!))))</f>
        <v>#REF!</v>
      </c>
      <c r="AC17" s="878" t="e">
        <f>MAX(0,IF($AK$5=$C$9,AC$9-DPR!#REF!,IF($AK$5=$C$10,AC$10-DPR!#REF!,IF($AK$5=$C$11,AC$11-DPR!#REF!))))</f>
        <v>#REF!</v>
      </c>
      <c r="AD17" s="878" t="e">
        <f>MAX(0,IF($AK$5=$C$9,AD$9-DPR!#REF!,IF($AK$5=$C$10,AD$10-DPR!#REF!,IF($AK$5=$C$11,AD$11-DPR!#REF!))))</f>
        <v>#REF!</v>
      </c>
      <c r="AE17" s="878" t="e">
        <f>MAX(0,IF($AK$5=$C$9,AE$9-DPR!#REF!,IF($AK$5=$C$10,AE$10-DPR!#REF!,IF($AK$5=$C$11,AE$11-DPR!#REF!))))</f>
        <v>#REF!</v>
      </c>
      <c r="AF17" s="878" t="e">
        <f>MAX(0,IF($AK$5=$C$9,AF$9-DPR!#REF!,IF($AK$5=$C$10,AF$10-DPR!#REF!,IF($AK$5=$C$11,AF$11-DPR!#REF!))))</f>
        <v>#REF!</v>
      </c>
      <c r="AG17" s="920" t="e">
        <f t="shared" si="2"/>
        <v>#REF!</v>
      </c>
      <c r="AH17" s="888">
        <f t="shared" si="0"/>
        <v>202504</v>
      </c>
      <c r="AI17" s="826"/>
      <c r="AJ17" t="e">
        <f>DPR!#REF!</f>
        <v>#REF!</v>
      </c>
      <c r="AK17" s="262"/>
      <c r="AL17" s="262"/>
    </row>
    <row r="18" spans="3:38" ht="15.75">
      <c r="C18" s="918">
        <v>45754</v>
      </c>
      <c r="D18" s="870" t="e">
        <f>MAX(0,IF($AK$5=$C$9,D$9-DPR!#REF!,IF($AK$5=$C$10,D$10-DPR!#REF!,IF($AK$5=$C$11,D$11-DPR!#REF!))))</f>
        <v>#REF!</v>
      </c>
      <c r="E18" s="870" t="e">
        <f>MAX(0,IF($AK$5=$C$9,E$9-DPR!#REF!,IF($AK$5=$C$10,E$10-DPR!#REF!,IF($AK$5=$C$11,E$11-DPR!#REF!))))</f>
        <v>#REF!</v>
      </c>
      <c r="F18" s="870" t="e">
        <f>MAX(0,IF($AK$5=$C$9,F$9-DPR!#REF!,IF($AK$5=$C$10,F$10-DPR!#REF!,IF($AK$5=$C$11,F$11-DPR!#REF!))))</f>
        <v>#REF!</v>
      </c>
      <c r="G18" s="870" t="e">
        <f>MAX(0,IF($AK$5=$C$9,G$9-DPR!#REF!,IF($AK$5=$C$10,G$10-DPR!#REF!,IF($AK$5=$C$11,G$11-DPR!#REF!))))</f>
        <v>#REF!</v>
      </c>
      <c r="H18" s="870" t="e">
        <f>MAX(0,IF($AK$5=$C$9,H$9-DPR!#REF!,IF($AK$5=$C$10,H$10-DPR!#REF!,IF($AK$5=$C$11,H$11-DPR!#REF!))))</f>
        <v>#REF!</v>
      </c>
      <c r="I18" s="870" t="e">
        <f>MAX(0,IF($AK$5=$C$9,I$9-DPR!#REF!,IF($AK$5=$C$10,I$10-DPR!#REF!,IF($AK$5=$C$11,I$11-DPR!#REF!))))</f>
        <v>#REF!</v>
      </c>
      <c r="J18" s="870" t="e">
        <f>MAX(0,IF($AK$5=$C$9,J$9-DPR!#REF!,IF($AK$5=$C$10,J$10-DPR!#REF!,IF($AK$5=$C$11,J$11-DPR!#REF!))))</f>
        <v>#REF!</v>
      </c>
      <c r="K18" s="870" t="e">
        <f>MAX(0,IF($AK$5=$C$9,K$9-DPR!#REF!,IF($AK$5=$C$10,K$10-DPR!#REF!,IF($AK$5=$C$11,K$11-DPR!#REF!))))</f>
        <v>#REF!</v>
      </c>
      <c r="L18" s="870" t="e">
        <f>MAX(0,IF($AK$5=$C$9,L$9-DPR!#REF!,IF($AK$5=$C$10,L$10-DPR!#REF!,IF($AK$5=$C$11,L$11-DPR!#REF!))))</f>
        <v>#REF!</v>
      </c>
      <c r="M18" s="870" t="e">
        <f>MAX(0,IF($AK$5=$C$9,M$9-DPR!#REF!,IF($AK$5=$C$10,M$10-DPR!#REF!,IF($AK$5=$C$11,M$11-DPR!#REF!))))</f>
        <v>#REF!</v>
      </c>
      <c r="N18" s="870" t="e">
        <f>MAX(0,IF($AK$5=$C$9,N$9-DPR!#REF!,IF($AK$5=$C$10,N$10-DPR!#REF!,IF($AK$5=$C$11,N$11-DPR!#REF!))))</f>
        <v>#REF!</v>
      </c>
      <c r="O18" s="870" t="e">
        <f>MAX(0,IF($AK$5=$C$9,O$9-DPR!#REF!,IF($AK$5=$C$10,O$10-DPR!#REF!,IF($AK$5=$C$11,O$11-DPR!#REF!))))</f>
        <v>#REF!</v>
      </c>
      <c r="P18" s="870" t="e">
        <f>MAX(0,IF($AK$5=$C$9,P$9-DPR!#REF!,IF($AK$5=$C$10,P$10-DPR!#REF!,IF($AK$5=$C$11,P$11-DPR!#REF!))))</f>
        <v>#REF!</v>
      </c>
      <c r="Q18" s="874"/>
      <c r="R18" s="919" t="e">
        <f t="shared" si="1"/>
        <v>#REF!</v>
      </c>
      <c r="S18" s="878" t="e">
        <f>MAX(0,IF($AK$5=$C$9,S$9-DPR!#REF!,IF($AK$5=$C$10,S$10-DPR!#REF!,IF($AK$5=$C$11,S$11-DPR!#REF!))))</f>
        <v>#REF!</v>
      </c>
      <c r="T18" s="878" t="e">
        <f>MAX(0,IF($AK$5=$C$9,T$9-DPR!#REF!,IF($AK$5=$C$10,T$10-DPR!#REF!,IF($AK$5=$C$11,T$11-DPR!#REF!))))</f>
        <v>#REF!</v>
      </c>
      <c r="U18" s="878" t="e">
        <f>MAX(0,IF($AK$5=$C$9,U$9-DPR!#REF!,IF($AK$5=$C$10,U$10-DPR!#REF!,IF($AK$5=$C$11,U$11-DPR!#REF!))))</f>
        <v>#REF!</v>
      </c>
      <c r="V18" s="878" t="e">
        <f>MAX(0,IF($AK$5=$C$9,V$9-DPR!#REF!,IF($AK$5=$C$10,V$10-DPR!#REF!,IF($AK$5=$C$11,V$11-DPR!#REF!))))</f>
        <v>#REF!</v>
      </c>
      <c r="W18" s="878" t="e">
        <f>MAX(0,IF($AK$5=$C$9,W$9-DPR!#REF!,IF($AK$5=$C$10,W$10-DPR!#REF!,IF($AK$5=$C$11,W$11-DPR!#REF!))))</f>
        <v>#REF!</v>
      </c>
      <c r="X18" s="878" t="e">
        <f>MAX(0,IF($AK$5=$C$9,X$9-DPR!#REF!,IF($AK$5=$C$10,X$10-DPR!#REF!,IF($AK$5=$C$11,X$11-DPR!#REF!))))</f>
        <v>#REF!</v>
      </c>
      <c r="Y18" s="878" t="e">
        <f>MAX(0,IF($AK$5=$C$9,Y$9-DPR!#REF!,IF($AK$5=$C$10,Y$10-DPR!#REF!,IF($AK$5=$C$11,Y$11-DPR!#REF!))))</f>
        <v>#REF!</v>
      </c>
      <c r="Z18" s="878" t="e">
        <f>MAX(0,IF($AK$5=$C$9,Z$9-DPR!#REF!,IF($AK$5=$C$10,Z$10-DPR!#REF!,IF($AK$5=$C$11,Z$11-DPR!#REF!))))</f>
        <v>#REF!</v>
      </c>
      <c r="AA18" s="878" t="e">
        <f>MAX(0,IF($AK$5=$C$9,AA$9-DPR!#REF!,IF($AK$5=$C$10,AA$10-DPR!#REF!,IF($AK$5=$C$11,AA$11-DPR!#REF!))))</f>
        <v>#REF!</v>
      </c>
      <c r="AB18" s="878" t="e">
        <f>MAX(0,IF($AK$5=$C$9,AB$9-DPR!#REF!,IF($AK$5=$C$10,AB$10-DPR!#REF!,IF($AK$5=$C$11,AB$11-DPR!#REF!))))</f>
        <v>#REF!</v>
      </c>
      <c r="AC18" s="878" t="e">
        <f>MAX(0,IF($AK$5=$C$9,AC$9-DPR!#REF!,IF($AK$5=$C$10,AC$10-DPR!#REF!,IF($AK$5=$C$11,AC$11-DPR!#REF!))))</f>
        <v>#REF!</v>
      </c>
      <c r="AD18" s="878" t="e">
        <f>MAX(0,IF($AK$5=$C$9,AD$9-DPR!#REF!,IF($AK$5=$C$10,AD$10-DPR!#REF!,IF($AK$5=$C$11,AD$11-DPR!#REF!))))</f>
        <v>#REF!</v>
      </c>
      <c r="AE18" s="878" t="e">
        <f>MAX(0,IF($AK$5=$C$9,AE$9-DPR!#REF!,IF($AK$5=$C$10,AE$10-DPR!#REF!,IF($AK$5=$C$11,AE$11-DPR!#REF!))))</f>
        <v>#REF!</v>
      </c>
      <c r="AF18" s="878" t="e">
        <f>MAX(0,IF($AK$5=$C$9,AF$9-DPR!#REF!,IF($AK$5=$C$10,AF$10-DPR!#REF!,IF($AK$5=$C$11,AF$11-DPR!#REF!))))</f>
        <v>#REF!</v>
      </c>
      <c r="AG18" s="920" t="e">
        <f t="shared" si="2"/>
        <v>#REF!</v>
      </c>
      <c r="AH18" s="888">
        <f t="shared" si="0"/>
        <v>202504</v>
      </c>
      <c r="AI18" s="826"/>
      <c r="AJ18" t="e">
        <f>DPR!#REF!</f>
        <v>#REF!</v>
      </c>
      <c r="AK18" s="262"/>
      <c r="AL18" s="262"/>
    </row>
    <row r="19" spans="3:38" ht="15.75">
      <c r="C19" s="918">
        <v>45755</v>
      </c>
      <c r="D19" s="870" t="e">
        <f>MAX(0,IF($AK$5=$C$9,D$9-DPR!#REF!,IF($AK$5=$C$10,D$10-DPR!#REF!,IF($AK$5=$C$11,D$11-DPR!#REF!))))</f>
        <v>#REF!</v>
      </c>
      <c r="E19" s="870" t="e">
        <f>MAX(0,IF($AK$5=$C$9,E$9-DPR!#REF!,IF($AK$5=$C$10,E$10-DPR!#REF!,IF($AK$5=$C$11,E$11-DPR!#REF!))))</f>
        <v>#REF!</v>
      </c>
      <c r="F19" s="870" t="e">
        <f>MAX(0,IF($AK$5=$C$9,F$9-DPR!#REF!,IF($AK$5=$C$10,F$10-DPR!#REF!,IF($AK$5=$C$11,F$11-DPR!#REF!))))</f>
        <v>#REF!</v>
      </c>
      <c r="G19" s="870" t="e">
        <f>MAX(0,IF($AK$5=$C$9,G$9-DPR!#REF!,IF($AK$5=$C$10,G$10-DPR!#REF!,IF($AK$5=$C$11,G$11-DPR!#REF!))))</f>
        <v>#REF!</v>
      </c>
      <c r="H19" s="870" t="e">
        <f>MAX(0,IF($AK$5=$C$9,H$9-DPR!#REF!,IF($AK$5=$C$10,H$10-DPR!#REF!,IF($AK$5=$C$11,H$11-DPR!#REF!))))</f>
        <v>#REF!</v>
      </c>
      <c r="I19" s="870" t="e">
        <f>MAX(0,IF($AK$5=$C$9,I$9-DPR!#REF!,IF($AK$5=$C$10,I$10-DPR!#REF!,IF($AK$5=$C$11,I$11-DPR!#REF!))))</f>
        <v>#REF!</v>
      </c>
      <c r="J19" s="870" t="e">
        <f>MAX(0,IF($AK$5=$C$9,J$9-DPR!#REF!,IF($AK$5=$C$10,J$10-DPR!#REF!,IF($AK$5=$C$11,J$11-DPR!#REF!))))</f>
        <v>#REF!</v>
      </c>
      <c r="K19" s="870" t="e">
        <f>MAX(0,IF($AK$5=$C$9,K$9-DPR!#REF!,IF($AK$5=$C$10,K$10-DPR!#REF!,IF($AK$5=$C$11,K$11-DPR!#REF!))))</f>
        <v>#REF!</v>
      </c>
      <c r="L19" s="870" t="e">
        <f>MAX(0,IF($AK$5=$C$9,L$9-DPR!#REF!,IF($AK$5=$C$10,L$10-DPR!#REF!,IF($AK$5=$C$11,L$11-DPR!#REF!))))</f>
        <v>#REF!</v>
      </c>
      <c r="M19" s="870" t="e">
        <f>MAX(0,IF($AK$5=$C$9,M$9-DPR!#REF!,IF($AK$5=$C$10,M$10-DPR!#REF!,IF($AK$5=$C$11,M$11-DPR!#REF!))))</f>
        <v>#REF!</v>
      </c>
      <c r="N19" s="870" t="e">
        <f>MAX(0,IF($AK$5=$C$9,N$9-DPR!#REF!,IF($AK$5=$C$10,N$10-DPR!#REF!,IF($AK$5=$C$11,N$11-DPR!#REF!))))</f>
        <v>#REF!</v>
      </c>
      <c r="O19" s="870" t="e">
        <f>MAX(0,IF($AK$5=$C$9,O$9-DPR!#REF!,IF($AK$5=$C$10,O$10-DPR!#REF!,IF($AK$5=$C$11,O$11-DPR!#REF!))))</f>
        <v>#REF!</v>
      </c>
      <c r="P19" s="870" t="e">
        <f>MAX(0,IF($AK$5=$C$9,P$9-DPR!#REF!,IF($AK$5=$C$10,P$10-DPR!#REF!,IF($AK$5=$C$11,P$11-DPR!#REF!))))</f>
        <v>#REF!</v>
      </c>
      <c r="Q19" s="870">
        <v>0</v>
      </c>
      <c r="R19" s="919" t="e">
        <f t="shared" si="1"/>
        <v>#REF!</v>
      </c>
      <c r="S19" s="878" t="e">
        <f>MAX(0,IF($AK$5=$C$9,S$9-DPR!#REF!,IF($AK$5=$C$10,S$10-DPR!#REF!,IF($AK$5=$C$11,S$11-DPR!#REF!))))</f>
        <v>#REF!</v>
      </c>
      <c r="T19" s="878" t="e">
        <f>MAX(0,IF($AK$5=$C$9,T$9-DPR!#REF!,IF($AK$5=$C$10,T$10-DPR!#REF!,IF($AK$5=$C$11,T$11-DPR!#REF!))))</f>
        <v>#REF!</v>
      </c>
      <c r="U19" s="878" t="e">
        <f>MAX(0,IF($AK$5=$C$9,U$9-DPR!#REF!,IF($AK$5=$C$10,U$10-DPR!#REF!,IF($AK$5=$C$11,U$11-DPR!#REF!))))</f>
        <v>#REF!</v>
      </c>
      <c r="V19" s="878" t="e">
        <f>MAX(0,IF($AK$5=$C$9,V$9-DPR!#REF!,IF($AK$5=$C$10,V$10-DPR!#REF!,IF($AK$5=$C$11,V$11-DPR!#REF!))))</f>
        <v>#REF!</v>
      </c>
      <c r="W19" s="878" t="e">
        <f>MAX(0,IF($AK$5=$C$9,W$9-DPR!#REF!,IF($AK$5=$C$10,W$10-DPR!#REF!,IF($AK$5=$C$11,W$11-DPR!#REF!))))</f>
        <v>#REF!</v>
      </c>
      <c r="X19" s="878" t="e">
        <f>MAX(0,IF($AK$5=$C$9,X$9-DPR!#REF!,IF($AK$5=$C$10,X$10-DPR!#REF!,IF($AK$5=$C$11,X$11-DPR!#REF!))))</f>
        <v>#REF!</v>
      </c>
      <c r="Y19" s="878" t="e">
        <f>MAX(0,IF($AK$5=$C$9,Y$9-DPR!#REF!,IF($AK$5=$C$10,Y$10-DPR!#REF!,IF($AK$5=$C$11,Y$11-DPR!#REF!))))</f>
        <v>#REF!</v>
      </c>
      <c r="Z19" s="878" t="e">
        <f>MAX(0,IF($AK$5=$C$9,Z$9-DPR!#REF!,IF($AK$5=$C$10,Z$10-DPR!#REF!,IF($AK$5=$C$11,Z$11-DPR!#REF!))))</f>
        <v>#REF!</v>
      </c>
      <c r="AA19" s="878" t="e">
        <f>MAX(0,IF($AK$5=$C$9,AA$9-DPR!#REF!,IF($AK$5=$C$10,AA$10-DPR!#REF!,IF($AK$5=$C$11,AA$11-DPR!#REF!))))</f>
        <v>#REF!</v>
      </c>
      <c r="AB19" s="878" t="e">
        <f>MAX(0,IF($AK$5=$C$9,AB$9-DPR!#REF!,IF($AK$5=$C$10,AB$10-DPR!#REF!,IF($AK$5=$C$11,AB$11-DPR!#REF!))))</f>
        <v>#REF!</v>
      </c>
      <c r="AC19" s="878" t="e">
        <f>MAX(0,IF($AK$5=$C$9,AC$9-DPR!#REF!,IF($AK$5=$C$10,AC$10-DPR!#REF!,IF($AK$5=$C$11,AC$11-DPR!#REF!))))</f>
        <v>#REF!</v>
      </c>
      <c r="AD19" s="878" t="e">
        <f>MAX(0,IF($AK$5=$C$9,AD$9-DPR!#REF!,IF($AK$5=$C$10,AD$10-DPR!#REF!,IF($AK$5=$C$11,AD$11-DPR!#REF!))))</f>
        <v>#REF!</v>
      </c>
      <c r="AE19" s="878" t="e">
        <f>MAX(0,IF($AK$5=$C$9,AE$9-DPR!#REF!,IF($AK$5=$C$10,AE$10-DPR!#REF!,IF($AK$5=$C$11,AE$11-DPR!#REF!))))</f>
        <v>#REF!</v>
      </c>
      <c r="AF19" s="878" t="e">
        <f>MAX(0,IF($AK$5=$C$9,AF$9-DPR!#REF!,IF($AK$5=$C$10,AF$10-DPR!#REF!,IF($AK$5=$C$11,AF$11-DPR!#REF!))))</f>
        <v>#REF!</v>
      </c>
      <c r="AG19" s="920" t="e">
        <f t="shared" si="2"/>
        <v>#REF!</v>
      </c>
      <c r="AH19" s="888">
        <f t="shared" si="0"/>
        <v>202504</v>
      </c>
      <c r="AI19" s="826"/>
      <c r="AJ19" t="e">
        <f>DPR!#REF!</f>
        <v>#REF!</v>
      </c>
      <c r="AK19" s="262"/>
      <c r="AL19" s="262"/>
    </row>
    <row r="20" spans="3:38" ht="15.75">
      <c r="C20" s="918">
        <v>45756</v>
      </c>
      <c r="D20" s="870" t="e">
        <f>MAX(0,IF($AK$5=$C$9,D$9-DPR!#REF!,IF($AK$5=$C$10,D$10-DPR!#REF!,IF($AK$5=$C$11,D$11-DPR!#REF!))))</f>
        <v>#REF!</v>
      </c>
      <c r="E20" s="870" t="e">
        <f>MAX(0,IF($AK$5=$C$9,E$9-DPR!#REF!,IF($AK$5=$C$10,E$10-DPR!#REF!,IF($AK$5=$C$11,E$11-DPR!#REF!))))</f>
        <v>#REF!</v>
      </c>
      <c r="F20" s="870" t="e">
        <f>MAX(0,IF($AK$5=$C$9,F$9-DPR!#REF!,IF($AK$5=$C$10,F$10-DPR!#REF!,IF($AK$5=$C$11,F$11-DPR!#REF!))))</f>
        <v>#REF!</v>
      </c>
      <c r="G20" s="870" t="e">
        <f>MAX(0,IF($AK$5=$C$9,G$9-DPR!#REF!,IF($AK$5=$C$10,G$10-DPR!#REF!,IF($AK$5=$C$11,G$11-DPR!#REF!))))</f>
        <v>#REF!</v>
      </c>
      <c r="H20" s="870" t="e">
        <f>MAX(0,IF($AK$5=$C$9,H$9-DPR!#REF!,IF($AK$5=$C$10,H$10-DPR!#REF!,IF($AK$5=$C$11,H$11-DPR!#REF!))))</f>
        <v>#REF!</v>
      </c>
      <c r="I20" s="870" t="e">
        <f>MAX(0,IF($AK$5=$C$9,I$9-DPR!#REF!,IF($AK$5=$C$10,I$10-DPR!#REF!,IF($AK$5=$C$11,I$11-DPR!#REF!))))</f>
        <v>#REF!</v>
      </c>
      <c r="J20" s="870" t="e">
        <f>MAX(0,IF($AK$5=$C$9,J$9-DPR!#REF!,IF($AK$5=$C$10,J$10-DPR!#REF!,IF($AK$5=$C$11,J$11-DPR!#REF!))))</f>
        <v>#REF!</v>
      </c>
      <c r="K20" s="870" t="e">
        <f>MAX(0,IF($AK$5=$C$9,K$9-DPR!#REF!,IF($AK$5=$C$10,K$10-DPR!#REF!,IF($AK$5=$C$11,K$11-DPR!#REF!))))</f>
        <v>#REF!</v>
      </c>
      <c r="L20" s="870" t="e">
        <f>MAX(0,IF($AK$5=$C$9,L$9-DPR!#REF!,IF($AK$5=$C$10,L$10-DPR!#REF!,IF($AK$5=$C$11,L$11-DPR!#REF!))))</f>
        <v>#REF!</v>
      </c>
      <c r="M20" s="870" t="e">
        <f>MAX(0,IF($AK$5=$C$9,M$9-DPR!#REF!,IF($AK$5=$C$10,M$10-DPR!#REF!,IF($AK$5=$C$11,M$11-DPR!#REF!))))</f>
        <v>#REF!</v>
      </c>
      <c r="N20" s="870" t="e">
        <f>MAX(0,IF($AK$5=$C$9,N$9-DPR!#REF!,IF($AK$5=$C$10,N$10-DPR!#REF!,IF($AK$5=$C$11,N$11-DPR!#REF!))))</f>
        <v>#REF!</v>
      </c>
      <c r="O20" s="870" t="e">
        <f>MAX(0,IF($AK$5=$C$9,O$9-DPR!#REF!,IF($AK$5=$C$10,O$10-DPR!#REF!,IF($AK$5=$C$11,O$11-DPR!#REF!))))</f>
        <v>#REF!</v>
      </c>
      <c r="P20" s="870" t="e">
        <f>MAX(0,IF($AK$5=$C$9,P$9-DPR!#REF!,IF($AK$5=$C$10,P$10-DPR!#REF!,IF($AK$5=$C$11,P$11-DPR!#REF!))))</f>
        <v>#REF!</v>
      </c>
      <c r="Q20" s="874">
        <v>0</v>
      </c>
      <c r="R20" s="919" t="e">
        <f t="shared" si="1"/>
        <v>#REF!</v>
      </c>
      <c r="S20" s="878" t="e">
        <f>MAX(0,IF($AK$5=$C$9,S$9-DPR!#REF!,IF($AK$5=$C$10,S$10-DPR!#REF!,IF($AK$5=$C$11,S$11-DPR!#REF!))))</f>
        <v>#REF!</v>
      </c>
      <c r="T20" s="878" t="e">
        <f>MAX(0,IF($AK$5=$C$9,T$9-DPR!#REF!,IF($AK$5=$C$10,T$10-DPR!#REF!,IF($AK$5=$C$11,T$11-DPR!#REF!))))</f>
        <v>#REF!</v>
      </c>
      <c r="U20" s="878" t="e">
        <f>MAX(0,IF($AK$5=$C$9,U$9-DPR!#REF!,IF($AK$5=$C$10,U$10-DPR!#REF!,IF($AK$5=$C$11,U$11-DPR!#REF!))))</f>
        <v>#REF!</v>
      </c>
      <c r="V20" s="878" t="e">
        <f>MAX(0,IF($AK$5=$C$9,V$9-DPR!#REF!,IF($AK$5=$C$10,V$10-DPR!#REF!,IF($AK$5=$C$11,V$11-DPR!#REF!))))</f>
        <v>#REF!</v>
      </c>
      <c r="W20" s="878" t="e">
        <f>MAX(0,IF($AK$5=$C$9,W$9-DPR!#REF!,IF($AK$5=$C$10,W$10-DPR!#REF!,IF($AK$5=$C$11,W$11-DPR!#REF!))))</f>
        <v>#REF!</v>
      </c>
      <c r="X20" s="878" t="e">
        <f>MAX(0,IF($AK$5=$C$9,X$9-DPR!#REF!,IF($AK$5=$C$10,X$10-DPR!#REF!,IF($AK$5=$C$11,X$11-DPR!#REF!))))</f>
        <v>#REF!</v>
      </c>
      <c r="Y20" s="878" t="e">
        <f>MAX(0,IF($AK$5=$C$9,Y$9-DPR!#REF!,IF($AK$5=$C$10,Y$10-DPR!#REF!,IF($AK$5=$C$11,Y$11-DPR!#REF!))))</f>
        <v>#REF!</v>
      </c>
      <c r="Z20" s="878" t="e">
        <f>MAX(0,IF($AK$5=$C$9,Z$9-DPR!#REF!,IF($AK$5=$C$10,Z$10-DPR!#REF!,IF($AK$5=$C$11,Z$11-DPR!#REF!))))</f>
        <v>#REF!</v>
      </c>
      <c r="AA20" s="878" t="e">
        <f>MAX(0,IF($AK$5=$C$9,AA$9-DPR!#REF!,IF($AK$5=$C$10,AA$10-DPR!#REF!,IF($AK$5=$C$11,AA$11-DPR!#REF!))))</f>
        <v>#REF!</v>
      </c>
      <c r="AB20" s="878" t="e">
        <f>MAX(0,IF($AK$5=$C$9,AB$9-DPR!#REF!,IF($AK$5=$C$10,AB$10-DPR!#REF!,IF($AK$5=$C$11,AB$11-DPR!#REF!))))</f>
        <v>#REF!</v>
      </c>
      <c r="AC20" s="878" t="e">
        <f>MAX(0,IF($AK$5=$C$9,AC$9-DPR!#REF!,IF($AK$5=$C$10,AC$10-DPR!#REF!,IF($AK$5=$C$11,AC$11-DPR!#REF!))))</f>
        <v>#REF!</v>
      </c>
      <c r="AD20" s="878" t="e">
        <f>MAX(0,IF($AK$5=$C$9,AD$9-DPR!#REF!,IF($AK$5=$C$10,AD$10-DPR!#REF!,IF($AK$5=$C$11,AD$11-DPR!#REF!))))</f>
        <v>#REF!</v>
      </c>
      <c r="AE20" s="878" t="e">
        <f>MAX(0,IF($AK$5=$C$9,AE$9-DPR!#REF!,IF($AK$5=$C$10,AE$10-DPR!#REF!,IF($AK$5=$C$11,AE$11-DPR!#REF!))))</f>
        <v>#REF!</v>
      </c>
      <c r="AF20" s="878" t="e">
        <f>MAX(0,IF($AK$5=$C$9,AF$9-DPR!#REF!,IF($AK$5=$C$10,AF$10-DPR!#REF!,IF($AK$5=$C$11,AF$11-DPR!#REF!))))</f>
        <v>#REF!</v>
      </c>
      <c r="AG20" s="920" t="e">
        <f t="shared" si="2"/>
        <v>#REF!</v>
      </c>
      <c r="AH20" s="888">
        <f t="shared" si="0"/>
        <v>202504</v>
      </c>
      <c r="AI20" s="826"/>
      <c r="AJ20" t="e">
        <f>DPR!#REF!</f>
        <v>#REF!</v>
      </c>
      <c r="AK20" s="262"/>
      <c r="AL20" s="262"/>
    </row>
    <row r="21" spans="3:38" ht="15.75">
      <c r="C21" s="918">
        <v>45757</v>
      </c>
      <c r="D21" s="870" t="e">
        <f>MAX(0,IF($AK$5=$C$9,D$9-DPR!#REF!,IF($AK$5=$C$10,D$10-DPR!#REF!,IF($AK$5=$C$11,D$11-DPR!#REF!))))</f>
        <v>#REF!</v>
      </c>
      <c r="E21" s="870" t="e">
        <f>MAX(0,IF($AK$5=$C$9,E$9-DPR!#REF!,IF($AK$5=$C$10,E$10-DPR!#REF!,IF($AK$5=$C$11,E$11-DPR!#REF!))))</f>
        <v>#REF!</v>
      </c>
      <c r="F21" s="870" t="e">
        <f>MAX(0,IF($AK$5=$C$9,F$9-DPR!#REF!,IF($AK$5=$C$10,F$10-DPR!#REF!,IF($AK$5=$C$11,F$11-DPR!#REF!))))</f>
        <v>#REF!</v>
      </c>
      <c r="G21" s="870" t="e">
        <f>MAX(0,IF($AK$5=$C$9,G$9-DPR!#REF!,IF($AK$5=$C$10,G$10-DPR!#REF!,IF($AK$5=$C$11,G$11-DPR!#REF!))))</f>
        <v>#REF!</v>
      </c>
      <c r="H21" s="870" t="e">
        <f>MAX(0,IF($AK$5=$C$9,H$9-DPR!#REF!,IF($AK$5=$C$10,H$10-DPR!#REF!,IF($AK$5=$C$11,H$11-DPR!#REF!))))</f>
        <v>#REF!</v>
      </c>
      <c r="I21" s="870" t="e">
        <f>MAX(0,IF($AK$5=$C$9,I$9-DPR!#REF!,IF($AK$5=$C$10,I$10-DPR!#REF!,IF($AK$5=$C$11,I$11-DPR!#REF!))))</f>
        <v>#REF!</v>
      </c>
      <c r="J21" s="870" t="e">
        <f>MAX(0,IF($AK$5=$C$9,J$9-DPR!#REF!,IF($AK$5=$C$10,J$10-DPR!#REF!,IF($AK$5=$C$11,J$11-DPR!#REF!))))</f>
        <v>#REF!</v>
      </c>
      <c r="K21" s="870" t="e">
        <f>MAX(0,IF($AK$5=$C$9,K$9-DPR!#REF!,IF($AK$5=$C$10,K$10-DPR!#REF!,IF($AK$5=$C$11,K$11-DPR!#REF!))))</f>
        <v>#REF!</v>
      </c>
      <c r="L21" s="870" t="e">
        <f>MAX(0,IF($AK$5=$C$9,L$9-DPR!#REF!,IF($AK$5=$C$10,L$10-DPR!#REF!,IF($AK$5=$C$11,L$11-DPR!#REF!))))</f>
        <v>#REF!</v>
      </c>
      <c r="M21" s="870" t="e">
        <f>MAX(0,IF($AK$5=$C$9,M$9-DPR!#REF!,IF($AK$5=$C$10,M$10-DPR!#REF!,IF($AK$5=$C$11,M$11-DPR!#REF!))))</f>
        <v>#REF!</v>
      </c>
      <c r="N21" s="870" t="e">
        <f>MAX(0,IF($AK$5=$C$9,N$9-DPR!#REF!,IF($AK$5=$C$10,N$10-DPR!#REF!,IF($AK$5=$C$11,N$11-DPR!#REF!))))</f>
        <v>#REF!</v>
      </c>
      <c r="O21" s="870" t="e">
        <f>MAX(0,IF($AK$5=$C$9,O$9-DPR!#REF!,IF($AK$5=$C$10,O$10-DPR!#REF!,IF($AK$5=$C$11,O$11-DPR!#REF!))))</f>
        <v>#REF!</v>
      </c>
      <c r="P21" s="870" t="e">
        <f>MAX(0,IF($AK$5=$C$9,P$9-DPR!#REF!,IF($AK$5=$C$10,P$10-DPR!#REF!,IF($AK$5=$C$11,P$11-DPR!#REF!))))</f>
        <v>#REF!</v>
      </c>
      <c r="Q21" s="870">
        <v>0</v>
      </c>
      <c r="R21" s="919" t="e">
        <f t="shared" si="1"/>
        <v>#REF!</v>
      </c>
      <c r="S21" s="878" t="e">
        <f>MAX(0,IF($AK$5=$C$9,S$9-DPR!#REF!,IF($AK$5=$C$10,S$10-DPR!#REF!,IF($AK$5=$C$11,S$11-DPR!#REF!))))</f>
        <v>#REF!</v>
      </c>
      <c r="T21" s="878" t="e">
        <f>MAX(0,IF($AK$5=$C$9,T$9-DPR!#REF!,IF($AK$5=$C$10,T$10-DPR!#REF!,IF($AK$5=$C$11,T$11-DPR!#REF!))))</f>
        <v>#REF!</v>
      </c>
      <c r="U21" s="878" t="e">
        <f>MAX(0,IF($AK$5=$C$9,U$9-DPR!#REF!,IF($AK$5=$C$10,U$10-DPR!#REF!,IF($AK$5=$C$11,U$11-DPR!#REF!))))</f>
        <v>#REF!</v>
      </c>
      <c r="V21" s="878" t="e">
        <f>MAX(0,IF($AK$5=$C$9,V$9-DPR!#REF!,IF($AK$5=$C$10,V$10-DPR!#REF!,IF($AK$5=$C$11,V$11-DPR!#REF!))))</f>
        <v>#REF!</v>
      </c>
      <c r="W21" s="878" t="e">
        <f>MAX(0,IF($AK$5=$C$9,W$9-DPR!#REF!,IF($AK$5=$C$10,W$10-DPR!#REF!,IF($AK$5=$C$11,W$11-DPR!#REF!))))</f>
        <v>#REF!</v>
      </c>
      <c r="X21" s="878" t="e">
        <f>MAX(0,IF($AK$5=$C$9,X$9-DPR!#REF!,IF($AK$5=$C$10,X$10-DPR!#REF!,IF($AK$5=$C$11,X$11-DPR!#REF!))))</f>
        <v>#REF!</v>
      </c>
      <c r="Y21" s="878" t="e">
        <f>MAX(0,IF($AK$5=$C$9,Y$9-DPR!#REF!,IF($AK$5=$C$10,Y$10-DPR!#REF!,IF($AK$5=$C$11,Y$11-DPR!#REF!))))</f>
        <v>#REF!</v>
      </c>
      <c r="Z21" s="878" t="e">
        <f>MAX(0,IF($AK$5=$C$9,Z$9-DPR!#REF!,IF($AK$5=$C$10,Z$10-DPR!#REF!,IF($AK$5=$C$11,Z$11-DPR!#REF!))))</f>
        <v>#REF!</v>
      </c>
      <c r="AA21" s="878" t="e">
        <f>MAX(0,IF($AK$5=$C$9,AA$9-DPR!#REF!,IF($AK$5=$C$10,AA$10-DPR!#REF!,IF($AK$5=$C$11,AA$11-DPR!#REF!))))</f>
        <v>#REF!</v>
      </c>
      <c r="AB21" s="878" t="e">
        <f>MAX(0,IF($AK$5=$C$9,AB$9-DPR!#REF!,IF($AK$5=$C$10,AB$10-DPR!#REF!,IF($AK$5=$C$11,AB$11-DPR!#REF!))))</f>
        <v>#REF!</v>
      </c>
      <c r="AC21" s="878" t="e">
        <f>MAX(0,IF($AK$5=$C$9,AC$9-DPR!#REF!,IF($AK$5=$C$10,AC$10-DPR!#REF!,IF($AK$5=$C$11,AC$11-DPR!#REF!))))</f>
        <v>#REF!</v>
      </c>
      <c r="AD21" s="878" t="e">
        <f>MAX(0,IF($AK$5=$C$9,AD$9-DPR!#REF!,IF($AK$5=$C$10,AD$10-DPR!#REF!,IF($AK$5=$C$11,AD$11-DPR!#REF!))))</f>
        <v>#REF!</v>
      </c>
      <c r="AE21" s="878" t="e">
        <f>MAX(0,IF($AK$5=$C$9,AE$9-DPR!#REF!,IF($AK$5=$C$10,AE$10-DPR!#REF!,IF($AK$5=$C$11,AE$11-DPR!#REF!))))</f>
        <v>#REF!</v>
      </c>
      <c r="AF21" s="878" t="e">
        <f>MAX(0,IF($AK$5=$C$9,AF$9-DPR!#REF!,IF($AK$5=$C$10,AF$10-DPR!#REF!,IF($AK$5=$C$11,AF$11-DPR!#REF!))))</f>
        <v>#REF!</v>
      </c>
      <c r="AG21" s="920" t="e">
        <f t="shared" si="2"/>
        <v>#REF!</v>
      </c>
      <c r="AH21" s="888">
        <f t="shared" si="0"/>
        <v>202504</v>
      </c>
      <c r="AI21" s="826"/>
      <c r="AJ21" t="e">
        <f>DPR!#REF!</f>
        <v>#REF!</v>
      </c>
      <c r="AK21" s="262"/>
      <c r="AL21" s="262"/>
    </row>
    <row r="22" spans="3:38" ht="15.75">
      <c r="C22" s="918">
        <v>45758</v>
      </c>
      <c r="D22" s="870" t="e">
        <f>MAX(0,IF($AK$5=$C$9,D$9-DPR!#REF!,IF($AK$5=$C$10,D$10-DPR!#REF!,IF($AK$5=$C$11,D$11-DPR!#REF!))))</f>
        <v>#REF!</v>
      </c>
      <c r="E22" s="870" t="e">
        <f>MAX(0,IF($AK$5=$C$9,E$9-DPR!#REF!,IF($AK$5=$C$10,E$10-DPR!#REF!,IF($AK$5=$C$11,E$11-DPR!#REF!))))</f>
        <v>#REF!</v>
      </c>
      <c r="F22" s="870" t="e">
        <f>MAX(0,IF($AK$5=$C$9,F$9-DPR!#REF!,IF($AK$5=$C$10,F$10-DPR!#REF!,IF($AK$5=$C$11,F$11-DPR!#REF!))))</f>
        <v>#REF!</v>
      </c>
      <c r="G22" s="870" t="e">
        <f>MAX(0,IF($AK$5=$C$9,G$9-DPR!#REF!,IF($AK$5=$C$10,G$10-DPR!#REF!,IF($AK$5=$C$11,G$11-DPR!#REF!))))</f>
        <v>#REF!</v>
      </c>
      <c r="H22" s="870" t="e">
        <f>MAX(0,IF($AK$5=$C$9,H$9-DPR!#REF!,IF($AK$5=$C$10,H$10-DPR!#REF!,IF($AK$5=$C$11,H$11-DPR!#REF!))))</f>
        <v>#REF!</v>
      </c>
      <c r="I22" s="870" t="e">
        <f>MAX(0,IF($AK$5=$C$9,I$9-DPR!#REF!,IF($AK$5=$C$10,I$10-DPR!#REF!,IF($AK$5=$C$11,I$11-DPR!#REF!))))</f>
        <v>#REF!</v>
      </c>
      <c r="J22" s="870" t="e">
        <f>MAX(0,IF($AK$5=$C$9,J$9-DPR!#REF!,IF($AK$5=$C$10,J$10-DPR!#REF!,IF($AK$5=$C$11,J$11-DPR!#REF!))))</f>
        <v>#REF!</v>
      </c>
      <c r="K22" s="870" t="e">
        <f>MAX(0,IF($AK$5=$C$9,K$9-DPR!#REF!,IF($AK$5=$C$10,K$10-DPR!#REF!,IF($AK$5=$C$11,K$11-DPR!#REF!))))</f>
        <v>#REF!</v>
      </c>
      <c r="L22" s="870" t="e">
        <f>MAX(0,IF($AK$5=$C$9,L$9-DPR!#REF!,IF($AK$5=$C$10,L$10-DPR!#REF!,IF($AK$5=$C$11,L$11-DPR!#REF!))))</f>
        <v>#REF!</v>
      </c>
      <c r="M22" s="870" t="e">
        <f>MAX(0,IF($AK$5=$C$9,M$9-DPR!#REF!,IF($AK$5=$C$10,M$10-DPR!#REF!,IF($AK$5=$C$11,M$11-DPR!#REF!))))</f>
        <v>#REF!</v>
      </c>
      <c r="N22" s="870" t="e">
        <f>MAX(0,IF($AK$5=$C$9,N$9-DPR!#REF!,IF($AK$5=$C$10,N$10-DPR!#REF!,IF($AK$5=$C$11,N$11-DPR!#REF!))))</f>
        <v>#REF!</v>
      </c>
      <c r="O22" s="870" t="e">
        <f>MAX(0,IF($AK$5=$C$9,O$9-DPR!#REF!,IF($AK$5=$C$10,O$10-DPR!#REF!,IF($AK$5=$C$11,O$11-DPR!#REF!))))</f>
        <v>#REF!</v>
      </c>
      <c r="P22" s="870" t="e">
        <f>MAX(0,IF($AK$5=$C$9,P$9-DPR!#REF!,IF($AK$5=$C$10,P$10-DPR!#REF!,IF($AK$5=$C$11,P$11-DPR!#REF!))))</f>
        <v>#REF!</v>
      </c>
      <c r="Q22" s="874">
        <v>0</v>
      </c>
      <c r="R22" s="919" t="e">
        <f t="shared" si="1"/>
        <v>#REF!</v>
      </c>
      <c r="S22" s="878" t="e">
        <f>MAX(0,IF($AK$5=$C$9,S$9-DPR!#REF!,IF($AK$5=$C$10,S$10-DPR!#REF!,IF($AK$5=$C$11,S$11-DPR!#REF!))))</f>
        <v>#REF!</v>
      </c>
      <c r="T22" s="878" t="e">
        <f>MAX(0,IF($AK$5=$C$9,T$9-DPR!#REF!,IF($AK$5=$C$10,T$10-DPR!#REF!,IF($AK$5=$C$11,T$11-DPR!#REF!))))</f>
        <v>#REF!</v>
      </c>
      <c r="U22" s="878" t="e">
        <f>MAX(0,IF($AK$5=$C$9,U$9-DPR!#REF!,IF($AK$5=$C$10,U$10-DPR!#REF!,IF($AK$5=$C$11,U$11-DPR!#REF!))))</f>
        <v>#REF!</v>
      </c>
      <c r="V22" s="878" t="e">
        <f>MAX(0,IF($AK$5=$C$9,V$9-DPR!#REF!,IF($AK$5=$C$10,V$10-DPR!#REF!,IF($AK$5=$C$11,V$11-DPR!#REF!))))</f>
        <v>#REF!</v>
      </c>
      <c r="W22" s="878" t="e">
        <f>MAX(0,IF($AK$5=$C$9,W$9-DPR!#REF!,IF($AK$5=$C$10,W$10-DPR!#REF!,IF($AK$5=$C$11,W$11-DPR!#REF!))))</f>
        <v>#REF!</v>
      </c>
      <c r="X22" s="878" t="e">
        <f>MAX(0,IF($AK$5=$C$9,X$9-DPR!#REF!,IF($AK$5=$C$10,X$10-DPR!#REF!,IF($AK$5=$C$11,X$11-DPR!#REF!))))</f>
        <v>#REF!</v>
      </c>
      <c r="Y22" s="878" t="e">
        <f>MAX(0,IF($AK$5=$C$9,Y$9-DPR!#REF!,IF($AK$5=$C$10,Y$10-DPR!#REF!,IF($AK$5=$C$11,Y$11-DPR!#REF!))))</f>
        <v>#REF!</v>
      </c>
      <c r="Z22" s="878" t="e">
        <f>MAX(0,IF($AK$5=$C$9,Z$9-DPR!#REF!,IF($AK$5=$C$10,Z$10-DPR!#REF!,IF($AK$5=$C$11,Z$11-DPR!#REF!))))</f>
        <v>#REF!</v>
      </c>
      <c r="AA22" s="878" t="e">
        <f>MAX(0,IF($AK$5=$C$9,AA$9-DPR!#REF!,IF($AK$5=$C$10,AA$10-DPR!#REF!,IF($AK$5=$C$11,AA$11-DPR!#REF!))))</f>
        <v>#REF!</v>
      </c>
      <c r="AB22" s="878" t="e">
        <f>MAX(0,IF($AK$5=$C$9,AB$9-DPR!#REF!,IF($AK$5=$C$10,AB$10-DPR!#REF!,IF($AK$5=$C$11,AB$11-DPR!#REF!))))</f>
        <v>#REF!</v>
      </c>
      <c r="AC22" s="878" t="e">
        <f>MAX(0,IF($AK$5=$C$9,AC$9-DPR!#REF!,IF($AK$5=$C$10,AC$10-DPR!#REF!,IF($AK$5=$C$11,AC$11-DPR!#REF!))))</f>
        <v>#REF!</v>
      </c>
      <c r="AD22" s="878" t="e">
        <f>MAX(0,IF($AK$5=$C$9,AD$9-DPR!#REF!,IF($AK$5=$C$10,AD$10-DPR!#REF!,IF($AK$5=$C$11,AD$11-DPR!#REF!))))</f>
        <v>#REF!</v>
      </c>
      <c r="AE22" s="878" t="e">
        <f>MAX(0,IF($AK$5=$C$9,AE$9-DPR!#REF!,IF($AK$5=$C$10,AE$10-DPR!#REF!,IF($AK$5=$C$11,AE$11-DPR!#REF!))))</f>
        <v>#REF!</v>
      </c>
      <c r="AF22" s="878" t="e">
        <f>MAX(0,IF($AK$5=$C$9,AF$9-DPR!#REF!,IF($AK$5=$C$10,AF$10-DPR!#REF!,IF($AK$5=$C$11,AF$11-DPR!#REF!))))</f>
        <v>#REF!</v>
      </c>
      <c r="AG22" s="920" t="e">
        <f t="shared" si="2"/>
        <v>#REF!</v>
      </c>
      <c r="AH22" s="888">
        <f t="shared" si="0"/>
        <v>202504</v>
      </c>
      <c r="AI22" s="826"/>
      <c r="AJ22" t="e">
        <f>DPR!#REF!</f>
        <v>#REF!</v>
      </c>
      <c r="AK22" s="262"/>
      <c r="AL22" s="262"/>
    </row>
    <row r="23" spans="3:38" ht="15.75">
      <c r="C23" s="918">
        <v>45759</v>
      </c>
      <c r="D23" s="870" t="e">
        <f>MAX(0,IF($AK$5=$C$9,D$9-DPR!#REF!,IF($AK$5=$C$10,D$10-DPR!#REF!,IF($AK$5=$C$11,D$11-DPR!#REF!))))</f>
        <v>#REF!</v>
      </c>
      <c r="E23" s="870" t="e">
        <f>MAX(0,IF($AK$5=$C$9,E$9-DPR!#REF!,IF($AK$5=$C$10,E$10-DPR!#REF!,IF($AK$5=$C$11,E$11-DPR!#REF!))))</f>
        <v>#REF!</v>
      </c>
      <c r="F23" s="870" t="e">
        <f>MAX(0,IF($AK$5=$C$9,F$9-DPR!#REF!,IF($AK$5=$C$10,F$10-DPR!#REF!,IF($AK$5=$C$11,F$11-DPR!#REF!))))</f>
        <v>#REF!</v>
      </c>
      <c r="G23" s="870" t="e">
        <f>MAX(0,IF($AK$5=$C$9,G$9-DPR!#REF!,IF($AK$5=$C$10,G$10-DPR!#REF!,IF($AK$5=$C$11,G$11-DPR!#REF!))))</f>
        <v>#REF!</v>
      </c>
      <c r="H23" s="870" t="e">
        <f>MAX(0,IF($AK$5=$C$9,H$9-DPR!#REF!,IF($AK$5=$C$10,H$10-DPR!#REF!,IF($AK$5=$C$11,H$11-DPR!#REF!))))</f>
        <v>#REF!</v>
      </c>
      <c r="I23" s="870" t="e">
        <f>MAX(0,IF($AK$5=$C$9,I$9-DPR!#REF!,IF($AK$5=$C$10,I$10-DPR!#REF!,IF($AK$5=$C$11,I$11-DPR!#REF!))))</f>
        <v>#REF!</v>
      </c>
      <c r="J23" s="870" t="e">
        <f>MAX(0,IF($AK$5=$C$9,J$9-DPR!#REF!,IF($AK$5=$C$10,J$10-DPR!#REF!,IF($AK$5=$C$11,J$11-DPR!#REF!))))</f>
        <v>#REF!</v>
      </c>
      <c r="K23" s="870" t="e">
        <f>MAX(0,IF($AK$5=$C$9,K$9-DPR!#REF!,IF($AK$5=$C$10,K$10-DPR!#REF!,IF($AK$5=$C$11,K$11-DPR!#REF!))))</f>
        <v>#REF!</v>
      </c>
      <c r="L23" s="870" t="e">
        <f>MAX(0,IF($AK$5=$C$9,L$9-DPR!#REF!,IF($AK$5=$C$10,L$10-DPR!#REF!,IF($AK$5=$C$11,L$11-DPR!#REF!))))</f>
        <v>#REF!</v>
      </c>
      <c r="M23" s="870" t="e">
        <f>MAX(0,IF($AK$5=$C$9,M$9-DPR!#REF!,IF($AK$5=$C$10,M$10-DPR!#REF!,IF($AK$5=$C$11,M$11-DPR!#REF!))))</f>
        <v>#REF!</v>
      </c>
      <c r="N23" s="870" t="e">
        <f>MAX(0,IF($AK$5=$C$9,N$9-DPR!#REF!,IF($AK$5=$C$10,N$10-DPR!#REF!,IF($AK$5=$C$11,N$11-DPR!#REF!))))</f>
        <v>#REF!</v>
      </c>
      <c r="O23" s="870" t="e">
        <f>MAX(0,IF($AK$5=$C$9,O$9-DPR!#REF!,IF($AK$5=$C$10,O$10-DPR!#REF!,IF($AK$5=$C$11,O$11-DPR!#REF!))))</f>
        <v>#REF!</v>
      </c>
      <c r="P23" s="870" t="e">
        <f>MAX(0,IF($AK$5=$C$9,P$9-DPR!#REF!,IF($AK$5=$C$10,P$10-DPR!#REF!,IF($AK$5=$C$11,P$11-DPR!#REF!))))</f>
        <v>#REF!</v>
      </c>
      <c r="Q23" s="870">
        <v>0</v>
      </c>
      <c r="R23" s="919" t="e">
        <f t="shared" si="1"/>
        <v>#REF!</v>
      </c>
      <c r="S23" s="878" t="e">
        <f>MAX(0,IF($AK$5=$C$9,S$9-DPR!#REF!,IF($AK$5=$C$10,S$10-DPR!#REF!,IF($AK$5=$C$11,S$11-DPR!#REF!))))</f>
        <v>#REF!</v>
      </c>
      <c r="T23" s="878" t="e">
        <f>MAX(0,IF($AK$5=$C$9,T$9-DPR!#REF!,IF($AK$5=$C$10,T$10-DPR!#REF!,IF($AK$5=$C$11,T$11-DPR!#REF!))))</f>
        <v>#REF!</v>
      </c>
      <c r="U23" s="878" t="e">
        <f>MAX(0,IF($AK$5=$C$9,U$9-DPR!#REF!,IF($AK$5=$C$10,U$10-DPR!#REF!,IF($AK$5=$C$11,U$11-DPR!#REF!))))</f>
        <v>#REF!</v>
      </c>
      <c r="V23" s="878" t="e">
        <f>MAX(0,IF($AK$5=$C$9,V$9-DPR!#REF!,IF($AK$5=$C$10,V$10-DPR!#REF!,IF($AK$5=$C$11,V$11-DPR!#REF!))))</f>
        <v>#REF!</v>
      </c>
      <c r="W23" s="878" t="e">
        <f>MAX(0,IF($AK$5=$C$9,W$9-DPR!#REF!,IF($AK$5=$C$10,W$10-DPR!#REF!,IF($AK$5=$C$11,W$11-DPR!#REF!))))</f>
        <v>#REF!</v>
      </c>
      <c r="X23" s="878" t="e">
        <f>MAX(0,IF($AK$5=$C$9,X$9-DPR!#REF!,IF($AK$5=$C$10,X$10-DPR!#REF!,IF($AK$5=$C$11,X$11-DPR!#REF!))))</f>
        <v>#REF!</v>
      </c>
      <c r="Y23" s="878" t="e">
        <f>MAX(0,IF($AK$5=$C$9,Y$9-DPR!#REF!,IF($AK$5=$C$10,Y$10-DPR!#REF!,IF($AK$5=$C$11,Y$11-DPR!#REF!))))</f>
        <v>#REF!</v>
      </c>
      <c r="Z23" s="878" t="e">
        <f>MAX(0,IF($AK$5=$C$9,Z$9-DPR!#REF!,IF($AK$5=$C$10,Z$10-DPR!#REF!,IF($AK$5=$C$11,Z$11-DPR!#REF!))))</f>
        <v>#REF!</v>
      </c>
      <c r="AA23" s="878" t="e">
        <f>MAX(0,IF($AK$5=$C$9,AA$9-DPR!#REF!,IF($AK$5=$C$10,AA$10-DPR!#REF!,IF($AK$5=$C$11,AA$11-DPR!#REF!))))</f>
        <v>#REF!</v>
      </c>
      <c r="AB23" s="878" t="e">
        <f>MAX(0,IF($AK$5=$C$9,AB$9-DPR!#REF!,IF($AK$5=$C$10,AB$10-DPR!#REF!,IF($AK$5=$C$11,AB$11-DPR!#REF!))))</f>
        <v>#REF!</v>
      </c>
      <c r="AC23" s="878" t="e">
        <f>MAX(0,IF($AK$5=$C$9,AC$9-DPR!#REF!,IF($AK$5=$C$10,AC$10-DPR!#REF!,IF($AK$5=$C$11,AC$11-DPR!#REF!))))</f>
        <v>#REF!</v>
      </c>
      <c r="AD23" s="878" t="e">
        <f>MAX(0,IF($AK$5=$C$9,AD$9-DPR!#REF!,IF($AK$5=$C$10,AD$10-DPR!#REF!,IF($AK$5=$C$11,AD$11-DPR!#REF!))))</f>
        <v>#REF!</v>
      </c>
      <c r="AE23" s="878" t="e">
        <f>MAX(0,IF($AK$5=$C$9,AE$9-DPR!#REF!,IF($AK$5=$C$10,AE$10-DPR!#REF!,IF($AK$5=$C$11,AE$11-DPR!#REF!))))</f>
        <v>#REF!</v>
      </c>
      <c r="AF23" s="878" t="e">
        <f>MAX(0,IF($AK$5=$C$9,AF$9-DPR!#REF!,IF($AK$5=$C$10,AF$10-DPR!#REF!,IF($AK$5=$C$11,AF$11-DPR!#REF!))))</f>
        <v>#REF!</v>
      </c>
      <c r="AG23" s="920" t="e">
        <f t="shared" si="2"/>
        <v>#REF!</v>
      </c>
      <c r="AH23" s="888">
        <f t="shared" si="0"/>
        <v>202504</v>
      </c>
      <c r="AI23" s="826"/>
      <c r="AJ23" t="e">
        <f>DPR!#REF!</f>
        <v>#REF!</v>
      </c>
      <c r="AK23" s="262"/>
      <c r="AL23" s="262"/>
    </row>
    <row r="24" spans="3:38" ht="15.75">
      <c r="C24" s="918">
        <v>45760</v>
      </c>
      <c r="D24" s="870" t="e">
        <f>MAX(0,IF($AK$5=$C$9,D$9-DPR!#REF!,IF($AK$5=$C$10,D$10-DPR!#REF!,IF($AK$5=$C$11,D$11-DPR!#REF!))))</f>
        <v>#REF!</v>
      </c>
      <c r="E24" s="870" t="e">
        <f>MAX(0,IF($AK$5=$C$9,E$9-DPR!#REF!,IF($AK$5=$C$10,E$10-DPR!#REF!,IF($AK$5=$C$11,E$11-DPR!#REF!))))</f>
        <v>#REF!</v>
      </c>
      <c r="F24" s="870" t="e">
        <f>MAX(0,IF($AK$5=$C$9,F$9-DPR!#REF!,IF($AK$5=$C$10,F$10-DPR!#REF!,IF($AK$5=$C$11,F$11-DPR!#REF!))))</f>
        <v>#REF!</v>
      </c>
      <c r="G24" s="870" t="e">
        <f>MAX(0,IF($AK$5=$C$9,G$9-DPR!#REF!,IF($AK$5=$C$10,G$10-DPR!#REF!,IF($AK$5=$C$11,G$11-DPR!#REF!))))</f>
        <v>#REF!</v>
      </c>
      <c r="H24" s="870" t="e">
        <f>MAX(0,IF($AK$5=$C$9,H$9-DPR!#REF!,IF($AK$5=$C$10,H$10-DPR!#REF!,IF($AK$5=$C$11,H$11-DPR!#REF!))))</f>
        <v>#REF!</v>
      </c>
      <c r="I24" s="870" t="e">
        <f>MAX(0,IF($AK$5=$C$9,I$9-DPR!#REF!,IF($AK$5=$C$10,I$10-DPR!#REF!,IF($AK$5=$C$11,I$11-DPR!#REF!))))</f>
        <v>#REF!</v>
      </c>
      <c r="J24" s="870" t="e">
        <f>MAX(0,IF($AK$5=$C$9,J$9-DPR!#REF!,IF($AK$5=$C$10,J$10-DPR!#REF!,IF($AK$5=$C$11,J$11-DPR!#REF!))))</f>
        <v>#REF!</v>
      </c>
      <c r="K24" s="870" t="e">
        <f>MAX(0,IF($AK$5=$C$9,K$9-DPR!#REF!,IF($AK$5=$C$10,K$10-DPR!#REF!,IF($AK$5=$C$11,K$11-DPR!#REF!))))</f>
        <v>#REF!</v>
      </c>
      <c r="L24" s="870" t="e">
        <f>MAX(0,IF($AK$5=$C$9,L$9-DPR!#REF!,IF($AK$5=$C$10,L$10-DPR!#REF!,IF($AK$5=$C$11,L$11-DPR!#REF!))))</f>
        <v>#REF!</v>
      </c>
      <c r="M24" s="870" t="e">
        <f>MAX(0,IF($AK$5=$C$9,M$9-DPR!#REF!,IF($AK$5=$C$10,M$10-DPR!#REF!,IF($AK$5=$C$11,M$11-DPR!#REF!))))</f>
        <v>#REF!</v>
      </c>
      <c r="N24" s="870" t="e">
        <f>MAX(0,IF($AK$5=$C$9,N$9-DPR!#REF!,IF($AK$5=$C$10,N$10-DPR!#REF!,IF($AK$5=$C$11,N$11-DPR!#REF!))))</f>
        <v>#REF!</v>
      </c>
      <c r="O24" s="870" t="e">
        <f>MAX(0,IF($AK$5=$C$9,O$9-DPR!#REF!,IF($AK$5=$C$10,O$10-DPR!#REF!,IF($AK$5=$C$11,O$11-DPR!#REF!))))</f>
        <v>#REF!</v>
      </c>
      <c r="P24" s="870" t="e">
        <f>MAX(0,IF($AK$5=$C$9,P$9-DPR!#REF!,IF($AK$5=$C$10,P$10-DPR!#REF!,IF($AK$5=$C$11,P$11-DPR!#REF!))))</f>
        <v>#REF!</v>
      </c>
      <c r="Q24" s="874">
        <v>0</v>
      </c>
      <c r="R24" s="919" t="e">
        <f t="shared" si="1"/>
        <v>#REF!</v>
      </c>
      <c r="S24" s="878" t="e">
        <f>MAX(0,IF($AK$5=$C$9,S$9-DPR!#REF!,IF($AK$5=$C$10,S$10-DPR!#REF!,IF($AK$5=$C$11,S$11-DPR!#REF!))))</f>
        <v>#REF!</v>
      </c>
      <c r="T24" s="878" t="e">
        <f>MAX(0,IF($AK$5=$C$9,T$9-DPR!#REF!,IF($AK$5=$C$10,T$10-DPR!#REF!,IF($AK$5=$C$11,T$11-DPR!#REF!))))</f>
        <v>#REF!</v>
      </c>
      <c r="U24" s="878" t="e">
        <f>MAX(0,IF($AK$5=$C$9,U$9-DPR!#REF!,IF($AK$5=$C$10,U$10-DPR!#REF!,IF($AK$5=$C$11,U$11-DPR!#REF!))))</f>
        <v>#REF!</v>
      </c>
      <c r="V24" s="878" t="e">
        <f>MAX(0,IF($AK$5=$C$9,V$9-DPR!#REF!,IF($AK$5=$C$10,V$10-DPR!#REF!,IF($AK$5=$C$11,V$11-DPR!#REF!))))</f>
        <v>#REF!</v>
      </c>
      <c r="W24" s="878" t="e">
        <f>MAX(0,IF($AK$5=$C$9,W$9-DPR!#REF!,IF($AK$5=$C$10,W$10-DPR!#REF!,IF($AK$5=$C$11,W$11-DPR!#REF!))))</f>
        <v>#REF!</v>
      </c>
      <c r="X24" s="878" t="e">
        <f>MAX(0,IF($AK$5=$C$9,X$9-DPR!#REF!,IF($AK$5=$C$10,X$10-DPR!#REF!,IF($AK$5=$C$11,X$11-DPR!#REF!))))</f>
        <v>#REF!</v>
      </c>
      <c r="Y24" s="878" t="e">
        <f>MAX(0,IF($AK$5=$C$9,Y$9-DPR!#REF!,IF($AK$5=$C$10,Y$10-DPR!#REF!,IF($AK$5=$C$11,Y$11-DPR!#REF!))))</f>
        <v>#REF!</v>
      </c>
      <c r="Z24" s="878" t="e">
        <f>MAX(0,IF($AK$5=$C$9,Z$9-DPR!#REF!,IF($AK$5=$C$10,Z$10-DPR!#REF!,IF($AK$5=$C$11,Z$11-DPR!#REF!))))</f>
        <v>#REF!</v>
      </c>
      <c r="AA24" s="878" t="e">
        <f>MAX(0,IF($AK$5=$C$9,AA$9-DPR!#REF!,IF($AK$5=$C$10,AA$10-DPR!#REF!,IF($AK$5=$C$11,AA$11-DPR!#REF!))))</f>
        <v>#REF!</v>
      </c>
      <c r="AB24" s="878" t="e">
        <f>MAX(0,IF($AK$5=$C$9,AB$9-DPR!#REF!,IF($AK$5=$C$10,AB$10-DPR!#REF!,IF($AK$5=$C$11,AB$11-DPR!#REF!))))</f>
        <v>#REF!</v>
      </c>
      <c r="AC24" s="878" t="e">
        <f>MAX(0,IF($AK$5=$C$9,AC$9-DPR!#REF!,IF($AK$5=$C$10,AC$10-DPR!#REF!,IF($AK$5=$C$11,AC$11-DPR!#REF!))))</f>
        <v>#REF!</v>
      </c>
      <c r="AD24" s="878" t="e">
        <f>MAX(0,IF($AK$5=$C$9,AD$9-DPR!#REF!,IF($AK$5=$C$10,AD$10-DPR!#REF!,IF($AK$5=$C$11,AD$11-DPR!#REF!))))</f>
        <v>#REF!</v>
      </c>
      <c r="AE24" s="878" t="e">
        <f>MAX(0,IF($AK$5=$C$9,AE$9-DPR!#REF!,IF($AK$5=$C$10,AE$10-DPR!#REF!,IF($AK$5=$C$11,AE$11-DPR!#REF!))))</f>
        <v>#REF!</v>
      </c>
      <c r="AF24" s="878" t="e">
        <f>MAX(0,IF($AK$5=$C$9,AF$9-DPR!#REF!,IF($AK$5=$C$10,AF$10-DPR!#REF!,IF($AK$5=$C$11,AF$11-DPR!#REF!))))</f>
        <v>#REF!</v>
      </c>
      <c r="AG24" s="920" t="e">
        <f t="shared" si="2"/>
        <v>#REF!</v>
      </c>
      <c r="AH24" s="888">
        <f t="shared" si="0"/>
        <v>202504</v>
      </c>
      <c r="AI24" s="826"/>
      <c r="AJ24" t="e">
        <f>DPR!#REF!</f>
        <v>#REF!</v>
      </c>
      <c r="AK24" s="262"/>
      <c r="AL24" s="262"/>
    </row>
    <row r="25" spans="3:38" ht="15.75">
      <c r="C25" s="918">
        <v>45761</v>
      </c>
      <c r="D25" s="870" t="e">
        <f>MAX(0,IF($AK$5=$C$9,D$9-DPR!#REF!,IF($AK$5=$C$10,D$10-DPR!#REF!,IF($AK$5=$C$11,D$11-DPR!#REF!))))</f>
        <v>#REF!</v>
      </c>
      <c r="E25" s="870" t="e">
        <f>MAX(0,IF($AK$5=$C$9,E$9-DPR!#REF!,IF($AK$5=$C$10,E$10-DPR!#REF!,IF($AK$5=$C$11,E$11-DPR!#REF!))))</f>
        <v>#REF!</v>
      </c>
      <c r="F25" s="870" t="e">
        <f>MAX(0,IF($AK$5=$C$9,F$9-DPR!#REF!,IF($AK$5=$C$10,F$10-DPR!#REF!,IF($AK$5=$C$11,F$11-DPR!#REF!))))</f>
        <v>#REF!</v>
      </c>
      <c r="G25" s="870" t="e">
        <f>MAX(0,IF($AK$5=$C$9,G$9-DPR!#REF!,IF($AK$5=$C$10,G$10-DPR!#REF!,IF($AK$5=$C$11,G$11-DPR!#REF!))))</f>
        <v>#REF!</v>
      </c>
      <c r="H25" s="870" t="e">
        <f>MAX(0,IF($AK$5=$C$9,H$9-DPR!#REF!,IF($AK$5=$C$10,H$10-DPR!#REF!,IF($AK$5=$C$11,H$11-DPR!#REF!))))</f>
        <v>#REF!</v>
      </c>
      <c r="I25" s="870" t="e">
        <f>MAX(0,IF($AK$5=$C$9,I$9-DPR!#REF!,IF($AK$5=$C$10,I$10-DPR!#REF!,IF($AK$5=$C$11,I$11-DPR!#REF!))))</f>
        <v>#REF!</v>
      </c>
      <c r="J25" s="870" t="e">
        <f>MAX(0,IF($AK$5=$C$9,J$9-DPR!#REF!,IF($AK$5=$C$10,J$10-DPR!#REF!,IF($AK$5=$C$11,J$11-DPR!#REF!))))</f>
        <v>#REF!</v>
      </c>
      <c r="K25" s="870" t="e">
        <f>MAX(0,IF($AK$5=$C$9,K$9-DPR!#REF!,IF($AK$5=$C$10,K$10-DPR!#REF!,IF($AK$5=$C$11,K$11-DPR!#REF!))))</f>
        <v>#REF!</v>
      </c>
      <c r="L25" s="870" t="e">
        <f>MAX(0,IF($AK$5=$C$9,L$9-DPR!#REF!,IF($AK$5=$C$10,L$10-DPR!#REF!,IF($AK$5=$C$11,L$11-DPR!#REF!))))</f>
        <v>#REF!</v>
      </c>
      <c r="M25" s="870" t="e">
        <f>MAX(0,IF($AK$5=$C$9,M$9-DPR!#REF!,IF($AK$5=$C$10,M$10-DPR!#REF!,IF($AK$5=$C$11,M$11-DPR!#REF!))))</f>
        <v>#REF!</v>
      </c>
      <c r="N25" s="870" t="e">
        <f>MAX(0,IF($AK$5=$C$9,N$9-DPR!#REF!,IF($AK$5=$C$10,N$10-DPR!#REF!,IF($AK$5=$C$11,N$11-DPR!#REF!))))</f>
        <v>#REF!</v>
      </c>
      <c r="O25" s="870" t="e">
        <f>MAX(0,IF($AK$5=$C$9,O$9-DPR!#REF!,IF($AK$5=$C$10,O$10-DPR!#REF!,IF($AK$5=$C$11,O$11-DPR!#REF!))))</f>
        <v>#REF!</v>
      </c>
      <c r="P25" s="870" t="e">
        <f>MAX(0,IF($AK$5=$C$9,P$9-DPR!#REF!,IF($AK$5=$C$10,P$10-DPR!#REF!,IF($AK$5=$C$11,P$11-DPR!#REF!))))</f>
        <v>#REF!</v>
      </c>
      <c r="Q25" s="870">
        <v>0</v>
      </c>
      <c r="R25" s="919" t="e">
        <f t="shared" si="1"/>
        <v>#REF!</v>
      </c>
      <c r="S25" s="878" t="e">
        <f>MAX(0,IF($AK$5=$C$9,S$9-DPR!#REF!,IF($AK$5=$C$10,S$10-DPR!#REF!,IF($AK$5=$C$11,S$11-DPR!#REF!))))</f>
        <v>#REF!</v>
      </c>
      <c r="T25" s="878" t="e">
        <f>MAX(0,IF($AK$5=$C$9,T$9-DPR!#REF!,IF($AK$5=$C$10,T$10-DPR!#REF!,IF($AK$5=$C$11,T$11-DPR!#REF!))))</f>
        <v>#REF!</v>
      </c>
      <c r="U25" s="878" t="e">
        <f>MAX(0,IF($AK$5=$C$9,U$9-DPR!#REF!,IF($AK$5=$C$10,U$10-DPR!#REF!,IF($AK$5=$C$11,U$11-DPR!#REF!))))</f>
        <v>#REF!</v>
      </c>
      <c r="V25" s="878" t="e">
        <f>MAX(0,IF($AK$5=$C$9,V$9-DPR!#REF!,IF($AK$5=$C$10,V$10-DPR!#REF!,IF($AK$5=$C$11,V$11-DPR!#REF!))))</f>
        <v>#REF!</v>
      </c>
      <c r="W25" s="878" t="e">
        <f>MAX(0,IF($AK$5=$C$9,W$9-DPR!#REF!,IF($AK$5=$C$10,W$10-DPR!#REF!,IF($AK$5=$C$11,W$11-DPR!#REF!))))</f>
        <v>#REF!</v>
      </c>
      <c r="X25" s="878" t="e">
        <f>MAX(0,IF($AK$5=$C$9,X$9-DPR!#REF!,IF($AK$5=$C$10,X$10-DPR!#REF!,IF($AK$5=$C$11,X$11-DPR!#REF!))))</f>
        <v>#REF!</v>
      </c>
      <c r="Y25" s="878" t="e">
        <f>MAX(0,IF($AK$5=$C$9,Y$9-DPR!#REF!,IF($AK$5=$C$10,Y$10-DPR!#REF!,IF($AK$5=$C$11,Y$11-DPR!#REF!))))</f>
        <v>#REF!</v>
      </c>
      <c r="Z25" s="878" t="e">
        <f>MAX(0,IF($AK$5=$C$9,Z$9-DPR!#REF!,IF($AK$5=$C$10,Z$10-DPR!#REF!,IF($AK$5=$C$11,Z$11-DPR!#REF!))))</f>
        <v>#REF!</v>
      </c>
      <c r="AA25" s="878" t="e">
        <f>MAX(0,IF($AK$5=$C$9,AA$9-DPR!#REF!,IF($AK$5=$C$10,AA$10-DPR!#REF!,IF($AK$5=$C$11,AA$11-DPR!#REF!))))</f>
        <v>#REF!</v>
      </c>
      <c r="AB25" s="878" t="e">
        <f>MAX(0,IF($AK$5=$C$9,AB$9-DPR!#REF!,IF($AK$5=$C$10,AB$10-DPR!#REF!,IF($AK$5=$C$11,AB$11-DPR!#REF!))))</f>
        <v>#REF!</v>
      </c>
      <c r="AC25" s="878" t="e">
        <f>MAX(0,IF($AK$5=$C$9,AC$9-DPR!#REF!,IF($AK$5=$C$10,AC$10-DPR!#REF!,IF($AK$5=$C$11,AC$11-DPR!#REF!))))</f>
        <v>#REF!</v>
      </c>
      <c r="AD25" s="878" t="e">
        <f>MAX(0,IF($AK$5=$C$9,AD$9-DPR!#REF!,IF($AK$5=$C$10,AD$10-DPR!#REF!,IF($AK$5=$C$11,AD$11-DPR!#REF!))))</f>
        <v>#REF!</v>
      </c>
      <c r="AE25" s="878" t="e">
        <f>MAX(0,IF($AK$5=$C$9,AE$9-DPR!#REF!,IF($AK$5=$C$10,AE$10-DPR!#REF!,IF($AK$5=$C$11,AE$11-DPR!#REF!))))</f>
        <v>#REF!</v>
      </c>
      <c r="AF25" s="878" t="e">
        <f>MAX(0,IF($AK$5=$C$9,AF$9-DPR!#REF!,IF($AK$5=$C$10,AF$10-DPR!#REF!,IF($AK$5=$C$11,AF$11-DPR!#REF!))))</f>
        <v>#REF!</v>
      </c>
      <c r="AG25" s="920" t="e">
        <f t="shared" si="2"/>
        <v>#REF!</v>
      </c>
      <c r="AH25" s="888">
        <f t="shared" si="0"/>
        <v>202504</v>
      </c>
      <c r="AI25" s="826"/>
      <c r="AJ25" t="e">
        <f>DPR!#REF!</f>
        <v>#REF!</v>
      </c>
      <c r="AK25" s="262"/>
      <c r="AL25" s="262"/>
    </row>
    <row r="26" spans="3:38" ht="15.75">
      <c r="C26" s="918">
        <v>45762</v>
      </c>
      <c r="D26" s="870" t="e">
        <f>MAX(0,IF($AK$5=$C$9,D$9-DPR!#REF!,IF($AK$5=$C$10,D$10-DPR!#REF!,IF($AK$5=$C$11,D$11-DPR!#REF!))))</f>
        <v>#REF!</v>
      </c>
      <c r="E26" s="870" t="e">
        <f>MAX(0,IF($AK$5=$C$9,E$9-DPR!#REF!,IF($AK$5=$C$10,E$10-DPR!#REF!,IF($AK$5=$C$11,E$11-DPR!#REF!))))</f>
        <v>#REF!</v>
      </c>
      <c r="F26" s="870" t="e">
        <f>MAX(0,IF($AK$5=$C$9,F$9-DPR!#REF!,IF($AK$5=$C$10,F$10-DPR!#REF!,IF($AK$5=$C$11,F$11-DPR!#REF!))))</f>
        <v>#REF!</v>
      </c>
      <c r="G26" s="870" t="e">
        <f>MAX(0,IF($AK$5=$C$9,G$9-DPR!#REF!,IF($AK$5=$C$10,G$10-DPR!#REF!,IF($AK$5=$C$11,G$11-DPR!#REF!))))</f>
        <v>#REF!</v>
      </c>
      <c r="H26" s="870" t="e">
        <f>MAX(0,IF($AK$5=$C$9,H$9-DPR!#REF!,IF($AK$5=$C$10,H$10-DPR!#REF!,IF($AK$5=$C$11,H$11-DPR!#REF!))))</f>
        <v>#REF!</v>
      </c>
      <c r="I26" s="870" t="e">
        <f>MAX(0,IF($AK$5=$C$9,I$9-DPR!#REF!,IF($AK$5=$C$10,I$10-DPR!#REF!,IF($AK$5=$C$11,I$11-DPR!#REF!))))</f>
        <v>#REF!</v>
      </c>
      <c r="J26" s="870" t="e">
        <f>MAX(0,IF($AK$5=$C$9,J$9-DPR!#REF!,IF($AK$5=$C$10,J$10-DPR!#REF!,IF($AK$5=$C$11,J$11-DPR!#REF!))))</f>
        <v>#REF!</v>
      </c>
      <c r="K26" s="870" t="e">
        <f>MAX(0,IF($AK$5=$C$9,K$9-DPR!#REF!,IF($AK$5=$C$10,K$10-DPR!#REF!,IF($AK$5=$C$11,K$11-DPR!#REF!))))</f>
        <v>#REF!</v>
      </c>
      <c r="L26" s="870" t="e">
        <f>MAX(0,IF($AK$5=$C$9,L$9-DPR!#REF!,IF($AK$5=$C$10,L$10-DPR!#REF!,IF($AK$5=$C$11,L$11-DPR!#REF!))))</f>
        <v>#REF!</v>
      </c>
      <c r="M26" s="870" t="e">
        <f>MAX(0,IF($AK$5=$C$9,M$9-DPR!#REF!,IF($AK$5=$C$10,M$10-DPR!#REF!,IF($AK$5=$C$11,M$11-DPR!#REF!))))</f>
        <v>#REF!</v>
      </c>
      <c r="N26" s="870" t="e">
        <f>MAX(0,IF($AK$5=$C$9,N$9-DPR!#REF!,IF($AK$5=$C$10,N$10-DPR!#REF!,IF($AK$5=$C$11,N$11-DPR!#REF!))))</f>
        <v>#REF!</v>
      </c>
      <c r="O26" s="870" t="e">
        <f>MAX(0,IF($AK$5=$C$9,O$9-DPR!#REF!,IF($AK$5=$C$10,O$10-DPR!#REF!,IF($AK$5=$C$11,O$11-DPR!#REF!))))</f>
        <v>#REF!</v>
      </c>
      <c r="P26" s="870" t="e">
        <f>MAX(0,IF($AK$5=$C$9,P$9-DPR!#REF!,IF($AK$5=$C$10,P$10-DPR!#REF!,IF($AK$5=$C$11,P$11-DPR!#REF!))))</f>
        <v>#REF!</v>
      </c>
      <c r="Q26" s="874">
        <v>0</v>
      </c>
      <c r="R26" s="919" t="e">
        <f t="shared" si="1"/>
        <v>#REF!</v>
      </c>
      <c r="S26" s="878" t="e">
        <f>MAX(0,IF($AK$5=$C$9,S$9-DPR!#REF!,IF($AK$5=$C$10,S$10-DPR!#REF!,IF($AK$5=$C$11,S$11-DPR!#REF!))))</f>
        <v>#REF!</v>
      </c>
      <c r="T26" s="878" t="e">
        <f>MAX(0,IF($AK$5=$C$9,T$9-DPR!#REF!,IF($AK$5=$C$10,T$10-DPR!#REF!,IF($AK$5=$C$11,T$11-DPR!#REF!))))</f>
        <v>#REF!</v>
      </c>
      <c r="U26" s="878" t="e">
        <f>MAX(0,IF($AK$5=$C$9,U$9-DPR!#REF!,IF($AK$5=$C$10,U$10-DPR!#REF!,IF($AK$5=$C$11,U$11-DPR!#REF!))))</f>
        <v>#REF!</v>
      </c>
      <c r="V26" s="878" t="e">
        <f>MAX(0,IF($AK$5=$C$9,V$9-DPR!#REF!,IF($AK$5=$C$10,V$10-DPR!#REF!,IF($AK$5=$C$11,V$11-DPR!#REF!))))</f>
        <v>#REF!</v>
      </c>
      <c r="W26" s="878" t="e">
        <f>MAX(0,IF($AK$5=$C$9,W$9-DPR!#REF!,IF($AK$5=$C$10,W$10-DPR!#REF!,IF($AK$5=$C$11,W$11-DPR!#REF!))))</f>
        <v>#REF!</v>
      </c>
      <c r="X26" s="878" t="e">
        <f>MAX(0,IF($AK$5=$C$9,X$9-DPR!#REF!,IF($AK$5=$C$10,X$10-DPR!#REF!,IF($AK$5=$C$11,X$11-DPR!#REF!))))</f>
        <v>#REF!</v>
      </c>
      <c r="Y26" s="878" t="e">
        <f>MAX(0,IF($AK$5=$C$9,Y$9-DPR!#REF!,IF($AK$5=$C$10,Y$10-DPR!#REF!,IF($AK$5=$C$11,Y$11-DPR!#REF!))))</f>
        <v>#REF!</v>
      </c>
      <c r="Z26" s="878" t="e">
        <f>MAX(0,IF($AK$5=$C$9,Z$9-DPR!#REF!,IF($AK$5=$C$10,Z$10-DPR!#REF!,IF($AK$5=$C$11,Z$11-DPR!#REF!))))</f>
        <v>#REF!</v>
      </c>
      <c r="AA26" s="878" t="e">
        <f>MAX(0,IF($AK$5=$C$9,AA$9-DPR!#REF!,IF($AK$5=$C$10,AA$10-DPR!#REF!,IF($AK$5=$C$11,AA$11-DPR!#REF!))))</f>
        <v>#REF!</v>
      </c>
      <c r="AB26" s="878" t="e">
        <f>MAX(0,IF($AK$5=$C$9,AB$9-DPR!#REF!,IF($AK$5=$C$10,AB$10-DPR!#REF!,IF($AK$5=$C$11,AB$11-DPR!#REF!))))</f>
        <v>#REF!</v>
      </c>
      <c r="AC26" s="878" t="e">
        <f>MAX(0,IF($AK$5=$C$9,AC$9-DPR!#REF!,IF($AK$5=$C$10,AC$10-DPR!#REF!,IF($AK$5=$C$11,AC$11-DPR!#REF!))))</f>
        <v>#REF!</v>
      </c>
      <c r="AD26" s="878" t="e">
        <f>MAX(0,IF($AK$5=$C$9,AD$9-DPR!#REF!,IF($AK$5=$C$10,AD$10-DPR!#REF!,IF($AK$5=$C$11,AD$11-DPR!#REF!))))</f>
        <v>#REF!</v>
      </c>
      <c r="AE26" s="878" t="e">
        <f>MAX(0,IF($AK$5=$C$9,AE$9-DPR!#REF!,IF($AK$5=$C$10,AE$10-DPR!#REF!,IF($AK$5=$C$11,AE$11-DPR!#REF!))))</f>
        <v>#REF!</v>
      </c>
      <c r="AF26" s="878" t="e">
        <f>MAX(0,IF($AK$5=$C$9,AF$9-DPR!#REF!,IF($AK$5=$C$10,AF$10-DPR!#REF!,IF($AK$5=$C$11,AF$11-DPR!#REF!))))</f>
        <v>#REF!</v>
      </c>
      <c r="AG26" s="920" t="e">
        <f t="shared" si="2"/>
        <v>#REF!</v>
      </c>
      <c r="AH26" s="888">
        <f t="shared" si="0"/>
        <v>202504</v>
      </c>
      <c r="AI26" s="826"/>
      <c r="AJ26" t="e">
        <f>DPR!#REF!</f>
        <v>#REF!</v>
      </c>
      <c r="AK26" s="262"/>
      <c r="AL26" s="262"/>
    </row>
    <row r="27" spans="3:38" ht="15.75">
      <c r="C27" s="918">
        <v>45763</v>
      </c>
      <c r="D27" s="870" t="e">
        <f>MAX(0,IF($AK$5=$C$9,D$9-DPR!#REF!,IF($AK$5=$C$10,D$10-DPR!#REF!,IF($AK$5=$C$11,D$11-DPR!#REF!))))</f>
        <v>#REF!</v>
      </c>
      <c r="E27" s="870" t="e">
        <f>MAX(0,IF($AK$5=$C$9,E$9-DPR!#REF!,IF($AK$5=$C$10,E$10-DPR!#REF!,IF($AK$5=$C$11,E$11-DPR!#REF!))))</f>
        <v>#REF!</v>
      </c>
      <c r="F27" s="870" t="e">
        <f>MAX(0,IF($AK$5=$C$9,F$9-DPR!#REF!,IF($AK$5=$C$10,F$10-DPR!#REF!,IF($AK$5=$C$11,F$11-DPR!#REF!))))</f>
        <v>#REF!</v>
      </c>
      <c r="G27" s="870" t="e">
        <f>MAX(0,IF($AK$5=$C$9,G$9-DPR!#REF!,IF($AK$5=$C$10,G$10-DPR!#REF!,IF($AK$5=$C$11,G$11-DPR!#REF!))))</f>
        <v>#REF!</v>
      </c>
      <c r="H27" s="870" t="e">
        <f>MAX(0,IF($AK$5=$C$9,H$9-DPR!#REF!,IF($AK$5=$C$10,H$10-DPR!#REF!,IF($AK$5=$C$11,H$11-DPR!#REF!))))</f>
        <v>#REF!</v>
      </c>
      <c r="I27" s="870" t="e">
        <f>MAX(0,IF($AK$5=$C$9,I$9-DPR!#REF!,IF($AK$5=$C$10,I$10-DPR!#REF!,IF($AK$5=$C$11,I$11-DPR!#REF!))))</f>
        <v>#REF!</v>
      </c>
      <c r="J27" s="870" t="e">
        <f>MAX(0,IF($AK$5=$C$9,J$9-DPR!#REF!,IF($AK$5=$C$10,J$10-DPR!#REF!,IF($AK$5=$C$11,J$11-DPR!#REF!))))</f>
        <v>#REF!</v>
      </c>
      <c r="K27" s="870" t="e">
        <f>MAX(0,IF($AK$5=$C$9,K$9-DPR!#REF!,IF($AK$5=$C$10,K$10-DPR!#REF!,IF($AK$5=$C$11,K$11-DPR!#REF!))))</f>
        <v>#REF!</v>
      </c>
      <c r="L27" s="870" t="e">
        <f>MAX(0,IF($AK$5=$C$9,L$9-DPR!#REF!,IF($AK$5=$C$10,L$10-DPR!#REF!,IF($AK$5=$C$11,L$11-DPR!#REF!))))</f>
        <v>#REF!</v>
      </c>
      <c r="M27" s="870" t="e">
        <f>MAX(0,IF($AK$5=$C$9,M$9-DPR!#REF!,IF($AK$5=$C$10,M$10-DPR!#REF!,IF($AK$5=$C$11,M$11-DPR!#REF!))))</f>
        <v>#REF!</v>
      </c>
      <c r="N27" s="870" t="e">
        <f>MAX(0,IF($AK$5=$C$9,N$9-DPR!#REF!,IF($AK$5=$C$10,N$10-DPR!#REF!,IF($AK$5=$C$11,N$11-DPR!#REF!))))</f>
        <v>#REF!</v>
      </c>
      <c r="O27" s="870" t="e">
        <f>MAX(0,IF($AK$5=$C$9,O$9-DPR!#REF!,IF($AK$5=$C$10,O$10-DPR!#REF!,IF($AK$5=$C$11,O$11-DPR!#REF!))))</f>
        <v>#REF!</v>
      </c>
      <c r="P27" s="870" t="e">
        <f>MAX(0,IF($AK$5=$C$9,P$9-DPR!#REF!,IF($AK$5=$C$10,P$10-DPR!#REF!,IF($AK$5=$C$11,P$11-DPR!#REF!))))</f>
        <v>#REF!</v>
      </c>
      <c r="Q27" s="870">
        <v>0</v>
      </c>
      <c r="R27" s="919" t="e">
        <f t="shared" si="1"/>
        <v>#REF!</v>
      </c>
      <c r="S27" s="878" t="e">
        <f>MAX(0,IF($AK$5=$C$9,S$9-DPR!#REF!,IF($AK$5=$C$10,S$10-DPR!#REF!,IF($AK$5=$C$11,S$11-DPR!#REF!))))</f>
        <v>#REF!</v>
      </c>
      <c r="T27" s="878" t="e">
        <f>MAX(0,IF($AK$5=$C$9,T$9-DPR!#REF!,IF($AK$5=$C$10,T$10-DPR!#REF!,IF($AK$5=$C$11,T$11-DPR!#REF!))))</f>
        <v>#REF!</v>
      </c>
      <c r="U27" s="878" t="e">
        <f>MAX(0,IF($AK$5=$C$9,U$9-DPR!#REF!,IF($AK$5=$C$10,U$10-DPR!#REF!,IF($AK$5=$C$11,U$11-DPR!#REF!))))</f>
        <v>#REF!</v>
      </c>
      <c r="V27" s="878" t="e">
        <f>MAX(0,IF($AK$5=$C$9,V$9-DPR!#REF!,IF($AK$5=$C$10,V$10-DPR!#REF!,IF($AK$5=$C$11,V$11-DPR!#REF!))))</f>
        <v>#REF!</v>
      </c>
      <c r="W27" s="878" t="e">
        <f>MAX(0,IF($AK$5=$C$9,W$9-DPR!#REF!,IF($AK$5=$C$10,W$10-DPR!#REF!,IF($AK$5=$C$11,W$11-DPR!#REF!))))</f>
        <v>#REF!</v>
      </c>
      <c r="X27" s="878" t="e">
        <f>MAX(0,IF($AK$5=$C$9,X$9-DPR!#REF!,IF($AK$5=$C$10,X$10-DPR!#REF!,IF($AK$5=$C$11,X$11-DPR!#REF!))))</f>
        <v>#REF!</v>
      </c>
      <c r="Y27" s="878" t="e">
        <f>MAX(0,IF($AK$5=$C$9,Y$9-DPR!#REF!,IF($AK$5=$C$10,Y$10-DPR!#REF!,IF($AK$5=$C$11,Y$11-DPR!#REF!))))</f>
        <v>#REF!</v>
      </c>
      <c r="Z27" s="878" t="e">
        <f>MAX(0,IF($AK$5=$C$9,Z$9-DPR!#REF!,IF($AK$5=$C$10,Z$10-DPR!#REF!,IF($AK$5=$C$11,Z$11-DPR!#REF!))))</f>
        <v>#REF!</v>
      </c>
      <c r="AA27" s="878" t="e">
        <f>MAX(0,IF($AK$5=$C$9,AA$9-DPR!#REF!,IF($AK$5=$C$10,AA$10-DPR!#REF!,IF($AK$5=$C$11,AA$11-DPR!#REF!))))</f>
        <v>#REF!</v>
      </c>
      <c r="AB27" s="878" t="e">
        <f>MAX(0,IF($AK$5=$C$9,AB$9-DPR!#REF!,IF($AK$5=$C$10,AB$10-DPR!#REF!,IF($AK$5=$C$11,AB$11-DPR!#REF!))))</f>
        <v>#REF!</v>
      </c>
      <c r="AC27" s="878" t="e">
        <f>MAX(0,IF($AK$5=$C$9,AC$9-DPR!#REF!,IF($AK$5=$C$10,AC$10-DPR!#REF!,IF($AK$5=$C$11,AC$11-DPR!#REF!))))</f>
        <v>#REF!</v>
      </c>
      <c r="AD27" s="878" t="e">
        <f>MAX(0,IF($AK$5=$C$9,AD$9-DPR!#REF!,IF($AK$5=$C$10,AD$10-DPR!#REF!,IF($AK$5=$C$11,AD$11-DPR!#REF!))))</f>
        <v>#REF!</v>
      </c>
      <c r="AE27" s="878" t="e">
        <f>MAX(0,IF($AK$5=$C$9,AE$9-DPR!#REF!,IF($AK$5=$C$10,AE$10-DPR!#REF!,IF($AK$5=$C$11,AE$11-DPR!#REF!))))</f>
        <v>#REF!</v>
      </c>
      <c r="AF27" s="878" t="e">
        <f>MAX(0,IF($AK$5=$C$9,AF$9-DPR!#REF!,IF($AK$5=$C$10,AF$10-DPR!#REF!,IF($AK$5=$C$11,AF$11-DPR!#REF!))))</f>
        <v>#REF!</v>
      </c>
      <c r="AG27" s="920" t="e">
        <f t="shared" si="2"/>
        <v>#REF!</v>
      </c>
      <c r="AH27" s="888">
        <f t="shared" si="0"/>
        <v>202504</v>
      </c>
      <c r="AI27" s="826"/>
      <c r="AJ27" t="e">
        <f>DPR!#REF!</f>
        <v>#REF!</v>
      </c>
      <c r="AK27" s="262"/>
      <c r="AL27" s="262"/>
    </row>
    <row r="28" spans="3:38" ht="15.75">
      <c r="C28" s="918">
        <v>45764</v>
      </c>
      <c r="D28" s="870" t="e">
        <f>MAX(0,IF($AK$5=$C$9,D$9-DPR!#REF!,IF($AK$5=$C$10,D$10-DPR!#REF!,IF($AK$5=$C$11,D$11-DPR!#REF!))))</f>
        <v>#REF!</v>
      </c>
      <c r="E28" s="870" t="e">
        <f>MAX(0,IF($AK$5=$C$9,E$9-DPR!#REF!,IF($AK$5=$C$10,E$10-DPR!#REF!,IF($AK$5=$C$11,E$11-DPR!#REF!))))</f>
        <v>#REF!</v>
      </c>
      <c r="F28" s="870" t="e">
        <f>MAX(0,IF($AK$5=$C$9,F$9-DPR!#REF!,IF($AK$5=$C$10,F$10-DPR!#REF!,IF($AK$5=$C$11,F$11-DPR!#REF!))))</f>
        <v>#REF!</v>
      </c>
      <c r="G28" s="870" t="e">
        <f>MAX(0,IF($AK$5=$C$9,G$9-DPR!#REF!,IF($AK$5=$C$10,G$10-DPR!#REF!,IF($AK$5=$C$11,G$11-DPR!#REF!))))</f>
        <v>#REF!</v>
      </c>
      <c r="H28" s="870" t="e">
        <f>MAX(0,IF($AK$5=$C$9,H$9-DPR!#REF!,IF($AK$5=$C$10,H$10-DPR!#REF!,IF($AK$5=$C$11,H$11-DPR!#REF!))))</f>
        <v>#REF!</v>
      </c>
      <c r="I28" s="870" t="e">
        <f>MAX(0,IF($AK$5=$C$9,I$9-DPR!#REF!,IF($AK$5=$C$10,I$10-DPR!#REF!,IF($AK$5=$C$11,I$11-DPR!#REF!))))</f>
        <v>#REF!</v>
      </c>
      <c r="J28" s="870" t="e">
        <f>MAX(0,IF($AK$5=$C$9,J$9-DPR!#REF!,IF($AK$5=$C$10,J$10-DPR!#REF!,IF($AK$5=$C$11,J$11-DPR!#REF!))))</f>
        <v>#REF!</v>
      </c>
      <c r="K28" s="870" t="e">
        <f>MAX(0,IF($AK$5=$C$9,K$9-DPR!#REF!,IF($AK$5=$C$10,K$10-DPR!#REF!,IF($AK$5=$C$11,K$11-DPR!#REF!))))</f>
        <v>#REF!</v>
      </c>
      <c r="L28" s="870" t="e">
        <f>MAX(0,IF($AK$5=$C$9,L$9-DPR!#REF!,IF($AK$5=$C$10,L$10-DPR!#REF!,IF($AK$5=$C$11,L$11-DPR!#REF!))))</f>
        <v>#REF!</v>
      </c>
      <c r="M28" s="870" t="e">
        <f>MAX(0,IF($AK$5=$C$9,M$9-DPR!#REF!,IF($AK$5=$C$10,M$10-DPR!#REF!,IF($AK$5=$C$11,M$11-DPR!#REF!))))</f>
        <v>#REF!</v>
      </c>
      <c r="N28" s="870" t="e">
        <f>MAX(0,IF($AK$5=$C$9,N$9-DPR!#REF!,IF($AK$5=$C$10,N$10-DPR!#REF!,IF($AK$5=$C$11,N$11-DPR!#REF!))))</f>
        <v>#REF!</v>
      </c>
      <c r="O28" s="870" t="e">
        <f>MAX(0,IF($AK$5=$C$9,O$9-DPR!#REF!,IF($AK$5=$C$10,O$10-DPR!#REF!,IF($AK$5=$C$11,O$11-DPR!#REF!))))</f>
        <v>#REF!</v>
      </c>
      <c r="P28" s="870" t="e">
        <f>MAX(0,IF($AK$5=$C$9,P$9-DPR!#REF!,IF($AK$5=$C$10,P$10-DPR!#REF!,IF($AK$5=$C$11,P$11-DPR!#REF!))))</f>
        <v>#REF!</v>
      </c>
      <c r="Q28" s="874">
        <v>0</v>
      </c>
      <c r="R28" s="919" t="e">
        <f t="shared" si="1"/>
        <v>#REF!</v>
      </c>
      <c r="S28" s="878" t="e">
        <f>MAX(0,IF($AK$5=$C$9,S$9-DPR!#REF!,IF($AK$5=$C$10,S$10-DPR!#REF!,IF($AK$5=$C$11,S$11-DPR!#REF!))))</f>
        <v>#REF!</v>
      </c>
      <c r="T28" s="878" t="e">
        <f>MAX(0,IF($AK$5=$C$9,T$9-DPR!#REF!,IF($AK$5=$C$10,T$10-DPR!#REF!,IF($AK$5=$C$11,T$11-DPR!#REF!))))</f>
        <v>#REF!</v>
      </c>
      <c r="U28" s="878" t="e">
        <f>MAX(0,IF($AK$5=$C$9,U$9-DPR!#REF!,IF($AK$5=$C$10,U$10-DPR!#REF!,IF($AK$5=$C$11,U$11-DPR!#REF!))))</f>
        <v>#REF!</v>
      </c>
      <c r="V28" s="878" t="e">
        <f>MAX(0,IF($AK$5=$C$9,V$9-DPR!#REF!,IF($AK$5=$C$10,V$10-DPR!#REF!,IF($AK$5=$C$11,V$11-DPR!#REF!))))</f>
        <v>#REF!</v>
      </c>
      <c r="W28" s="878" t="e">
        <f>MAX(0,IF($AK$5=$C$9,W$9-DPR!#REF!,IF($AK$5=$C$10,W$10-DPR!#REF!,IF($AK$5=$C$11,W$11-DPR!#REF!))))</f>
        <v>#REF!</v>
      </c>
      <c r="X28" s="878" t="e">
        <f>MAX(0,IF($AK$5=$C$9,X$9-DPR!#REF!,IF($AK$5=$C$10,X$10-DPR!#REF!,IF($AK$5=$C$11,X$11-DPR!#REF!))))</f>
        <v>#REF!</v>
      </c>
      <c r="Y28" s="878" t="e">
        <f>MAX(0,IF($AK$5=$C$9,Y$9-DPR!#REF!,IF($AK$5=$C$10,Y$10-DPR!#REF!,IF($AK$5=$C$11,Y$11-DPR!#REF!))))</f>
        <v>#REF!</v>
      </c>
      <c r="Z28" s="878" t="e">
        <f>MAX(0,IF($AK$5=$C$9,Z$9-DPR!#REF!,IF($AK$5=$C$10,Z$10-DPR!#REF!,IF($AK$5=$C$11,Z$11-DPR!#REF!))))</f>
        <v>#REF!</v>
      </c>
      <c r="AA28" s="878" t="e">
        <f>MAX(0,IF($AK$5=$C$9,AA$9-DPR!#REF!,IF($AK$5=$C$10,AA$10-DPR!#REF!,IF($AK$5=$C$11,AA$11-DPR!#REF!))))</f>
        <v>#REF!</v>
      </c>
      <c r="AB28" s="878" t="e">
        <f>MAX(0,IF($AK$5=$C$9,AB$9-DPR!#REF!,IF($AK$5=$C$10,AB$10-DPR!#REF!,IF($AK$5=$C$11,AB$11-DPR!#REF!))))</f>
        <v>#REF!</v>
      </c>
      <c r="AC28" s="878" t="e">
        <f>MAX(0,IF($AK$5=$C$9,AC$9-DPR!#REF!,IF($AK$5=$C$10,AC$10-DPR!#REF!,IF($AK$5=$C$11,AC$11-DPR!#REF!))))</f>
        <v>#REF!</v>
      </c>
      <c r="AD28" s="878" t="e">
        <f>MAX(0,IF($AK$5=$C$9,AD$9-DPR!#REF!,IF($AK$5=$C$10,AD$10-DPR!#REF!,IF($AK$5=$C$11,AD$11-DPR!#REF!))))</f>
        <v>#REF!</v>
      </c>
      <c r="AE28" s="878" t="e">
        <f>MAX(0,IF($AK$5=$C$9,AE$9-DPR!#REF!,IF($AK$5=$C$10,AE$10-DPR!#REF!,IF($AK$5=$C$11,AE$11-DPR!#REF!))))</f>
        <v>#REF!</v>
      </c>
      <c r="AF28" s="878" t="e">
        <f>MAX(0,IF($AK$5=$C$9,AF$9-DPR!#REF!,IF($AK$5=$C$10,AF$10-DPR!#REF!,IF($AK$5=$C$11,AF$11-DPR!#REF!))))</f>
        <v>#REF!</v>
      </c>
      <c r="AG28" s="920" t="e">
        <f t="shared" si="2"/>
        <v>#REF!</v>
      </c>
      <c r="AH28" s="888">
        <f t="shared" si="0"/>
        <v>202504</v>
      </c>
      <c r="AI28" s="826"/>
      <c r="AJ28" t="e">
        <f>DPR!#REF!</f>
        <v>#REF!</v>
      </c>
      <c r="AK28" s="262"/>
      <c r="AL28" s="262"/>
    </row>
    <row r="29" spans="3:38" ht="15.75">
      <c r="C29" s="918">
        <v>45765</v>
      </c>
      <c r="D29" s="870" t="e">
        <f>MAX(0,IF($AK$5=$C$9,D$9-DPR!#REF!,IF($AK$5=$C$10,D$10-DPR!#REF!,IF($AK$5=$C$11,D$11-DPR!#REF!))))</f>
        <v>#REF!</v>
      </c>
      <c r="E29" s="870" t="e">
        <f>MAX(0,IF($AK$5=$C$9,E$9-DPR!#REF!,IF($AK$5=$C$10,E$10-DPR!#REF!,IF($AK$5=$C$11,E$11-DPR!#REF!))))</f>
        <v>#REF!</v>
      </c>
      <c r="F29" s="870" t="e">
        <f>MAX(0,IF($AK$5=$C$9,F$9-DPR!#REF!,IF($AK$5=$C$10,F$10-DPR!#REF!,IF($AK$5=$C$11,F$11-DPR!#REF!))))</f>
        <v>#REF!</v>
      </c>
      <c r="G29" s="870" t="e">
        <f>MAX(0,IF($AK$5=$C$9,G$9-DPR!#REF!,IF($AK$5=$C$10,G$10-DPR!#REF!,IF($AK$5=$C$11,G$11-DPR!#REF!))))</f>
        <v>#REF!</v>
      </c>
      <c r="H29" s="870" t="e">
        <f>MAX(0,IF($AK$5=$C$9,H$9-DPR!#REF!,IF($AK$5=$C$10,H$10-DPR!#REF!,IF($AK$5=$C$11,H$11-DPR!#REF!))))</f>
        <v>#REF!</v>
      </c>
      <c r="I29" s="870" t="e">
        <f>MAX(0,IF($AK$5=$C$9,I$9-DPR!#REF!,IF($AK$5=$C$10,I$10-DPR!#REF!,IF($AK$5=$C$11,I$11-DPR!#REF!))))</f>
        <v>#REF!</v>
      </c>
      <c r="J29" s="870" t="e">
        <f>MAX(0,IF($AK$5=$C$9,J$9-DPR!#REF!,IF($AK$5=$C$10,J$10-DPR!#REF!,IF($AK$5=$C$11,J$11-DPR!#REF!))))</f>
        <v>#REF!</v>
      </c>
      <c r="K29" s="870" t="e">
        <f>MAX(0,IF($AK$5=$C$9,K$9-DPR!#REF!,IF($AK$5=$C$10,K$10-DPR!#REF!,IF($AK$5=$C$11,K$11-DPR!#REF!))))</f>
        <v>#REF!</v>
      </c>
      <c r="L29" s="870" t="e">
        <f>MAX(0,IF($AK$5=$C$9,L$9-DPR!#REF!,IF($AK$5=$C$10,L$10-DPR!#REF!,IF($AK$5=$C$11,L$11-DPR!#REF!))))</f>
        <v>#REF!</v>
      </c>
      <c r="M29" s="870" t="e">
        <f>MAX(0,IF($AK$5=$C$9,M$9-DPR!#REF!,IF($AK$5=$C$10,M$10-DPR!#REF!,IF($AK$5=$C$11,M$11-DPR!#REF!))))</f>
        <v>#REF!</v>
      </c>
      <c r="N29" s="870" t="e">
        <f>MAX(0,IF($AK$5=$C$9,N$9-DPR!#REF!,IF($AK$5=$C$10,N$10-DPR!#REF!,IF($AK$5=$C$11,N$11-DPR!#REF!))))</f>
        <v>#REF!</v>
      </c>
      <c r="O29" s="870" t="e">
        <f>MAX(0,IF($AK$5=$C$9,O$9-DPR!#REF!,IF($AK$5=$C$10,O$10-DPR!#REF!,IF($AK$5=$C$11,O$11-DPR!#REF!))))</f>
        <v>#REF!</v>
      </c>
      <c r="P29" s="870" t="e">
        <f>MAX(0,IF($AK$5=$C$9,P$9-DPR!#REF!,IF($AK$5=$C$10,P$10-DPR!#REF!,IF($AK$5=$C$11,P$11-DPR!#REF!))))</f>
        <v>#REF!</v>
      </c>
      <c r="Q29" s="870">
        <v>0</v>
      </c>
      <c r="R29" s="919" t="e">
        <f t="shared" si="1"/>
        <v>#REF!</v>
      </c>
      <c r="S29" s="878" t="e">
        <f>MAX(0,IF($AK$5=$C$9,S$9-DPR!#REF!,IF($AK$5=$C$10,S$10-DPR!#REF!,IF($AK$5=$C$11,S$11-DPR!#REF!))))</f>
        <v>#REF!</v>
      </c>
      <c r="T29" s="878" t="e">
        <f>MAX(0,IF($AK$5=$C$9,T$9-DPR!#REF!,IF($AK$5=$C$10,T$10-DPR!#REF!,IF($AK$5=$C$11,T$11-DPR!#REF!))))</f>
        <v>#REF!</v>
      </c>
      <c r="U29" s="878" t="e">
        <f>MAX(0,IF($AK$5=$C$9,U$9-DPR!#REF!,IF($AK$5=$C$10,U$10-DPR!#REF!,IF($AK$5=$C$11,U$11-DPR!#REF!))))</f>
        <v>#REF!</v>
      </c>
      <c r="V29" s="878" t="e">
        <f>MAX(0,IF($AK$5=$C$9,V$9-DPR!#REF!,IF($AK$5=$C$10,V$10-DPR!#REF!,IF($AK$5=$C$11,V$11-DPR!#REF!))))</f>
        <v>#REF!</v>
      </c>
      <c r="W29" s="878" t="e">
        <f>MAX(0,IF($AK$5=$C$9,W$9-DPR!#REF!,IF($AK$5=$C$10,W$10-DPR!#REF!,IF($AK$5=$C$11,W$11-DPR!#REF!))))</f>
        <v>#REF!</v>
      </c>
      <c r="X29" s="878" t="e">
        <f>MAX(0,IF($AK$5=$C$9,X$9-DPR!#REF!,IF($AK$5=$C$10,X$10-DPR!#REF!,IF($AK$5=$C$11,X$11-DPR!#REF!))))</f>
        <v>#REF!</v>
      </c>
      <c r="Y29" s="878" t="e">
        <f>MAX(0,IF($AK$5=$C$9,Y$9-DPR!#REF!,IF($AK$5=$C$10,Y$10-DPR!#REF!,IF($AK$5=$C$11,Y$11-DPR!#REF!))))</f>
        <v>#REF!</v>
      </c>
      <c r="Z29" s="878" t="e">
        <f>MAX(0,IF($AK$5=$C$9,Z$9-DPR!#REF!,IF($AK$5=$C$10,Z$10-DPR!#REF!,IF($AK$5=$C$11,Z$11-DPR!#REF!))))</f>
        <v>#REF!</v>
      </c>
      <c r="AA29" s="878" t="e">
        <f>MAX(0,IF($AK$5=$C$9,AA$9-DPR!#REF!,IF($AK$5=$C$10,AA$10-DPR!#REF!,IF($AK$5=$C$11,AA$11-DPR!#REF!))))</f>
        <v>#REF!</v>
      </c>
      <c r="AB29" s="878" t="e">
        <f>MAX(0,IF($AK$5=$C$9,AB$9-DPR!#REF!,IF($AK$5=$C$10,AB$10-DPR!#REF!,IF($AK$5=$C$11,AB$11-DPR!#REF!))))</f>
        <v>#REF!</v>
      </c>
      <c r="AC29" s="878" t="e">
        <f>MAX(0,IF($AK$5=$C$9,AC$9-DPR!#REF!,IF($AK$5=$C$10,AC$10-DPR!#REF!,IF($AK$5=$C$11,AC$11-DPR!#REF!))))</f>
        <v>#REF!</v>
      </c>
      <c r="AD29" s="878" t="e">
        <f>MAX(0,IF($AK$5=$C$9,AD$9-DPR!#REF!,IF($AK$5=$C$10,AD$10-DPR!#REF!,IF($AK$5=$C$11,AD$11-DPR!#REF!))))</f>
        <v>#REF!</v>
      </c>
      <c r="AE29" s="878" t="e">
        <f>MAX(0,IF($AK$5=$C$9,AE$9-DPR!#REF!,IF($AK$5=$C$10,AE$10-DPR!#REF!,IF($AK$5=$C$11,AE$11-DPR!#REF!))))</f>
        <v>#REF!</v>
      </c>
      <c r="AF29" s="878" t="e">
        <f>MAX(0,IF($AK$5=$C$9,AF$9-DPR!#REF!,IF($AK$5=$C$10,AF$10-DPR!#REF!,IF($AK$5=$C$11,AF$11-DPR!#REF!))))</f>
        <v>#REF!</v>
      </c>
      <c r="AG29" s="920" t="e">
        <f t="shared" si="2"/>
        <v>#REF!</v>
      </c>
      <c r="AH29" s="888">
        <f t="shared" si="0"/>
        <v>202504</v>
      </c>
      <c r="AI29" s="826"/>
      <c r="AJ29" t="e">
        <f>DPR!#REF!</f>
        <v>#REF!</v>
      </c>
      <c r="AK29" s="262"/>
      <c r="AL29" s="262"/>
    </row>
    <row r="30" spans="3:38" ht="15.75">
      <c r="C30" s="918">
        <v>45766</v>
      </c>
      <c r="D30" s="870" t="e">
        <f>MAX(0,IF($AK$5=$C$9,D$9-DPR!#REF!,IF($AK$5=$C$10,D$10-DPR!#REF!,IF($AK$5=$C$11,D$11-DPR!#REF!))))</f>
        <v>#REF!</v>
      </c>
      <c r="E30" s="870" t="e">
        <f>MAX(0,IF($AK$5=$C$9,E$9-DPR!#REF!,IF($AK$5=$C$10,E$10-DPR!#REF!,IF($AK$5=$C$11,E$11-DPR!#REF!))))</f>
        <v>#REF!</v>
      </c>
      <c r="F30" s="870" t="e">
        <f>MAX(0,IF($AK$5=$C$9,F$9-DPR!#REF!,IF($AK$5=$C$10,F$10-DPR!#REF!,IF($AK$5=$C$11,F$11-DPR!#REF!))))</f>
        <v>#REF!</v>
      </c>
      <c r="G30" s="870" t="e">
        <f>MAX(0,IF($AK$5=$C$9,G$9-DPR!#REF!,IF($AK$5=$C$10,G$10-DPR!#REF!,IF($AK$5=$C$11,G$11-DPR!#REF!))))</f>
        <v>#REF!</v>
      </c>
      <c r="H30" s="870" t="e">
        <f>MAX(0,IF($AK$5=$C$9,H$9-DPR!#REF!,IF($AK$5=$C$10,H$10-DPR!#REF!,IF($AK$5=$C$11,H$11-DPR!#REF!))))</f>
        <v>#REF!</v>
      </c>
      <c r="I30" s="870" t="e">
        <f>MAX(0,IF($AK$5=$C$9,I$9-DPR!#REF!,IF($AK$5=$C$10,I$10-DPR!#REF!,IF($AK$5=$C$11,I$11-DPR!#REF!))))</f>
        <v>#REF!</v>
      </c>
      <c r="J30" s="870" t="e">
        <f>MAX(0,IF($AK$5=$C$9,J$9-DPR!#REF!,IF($AK$5=$C$10,J$10-DPR!#REF!,IF($AK$5=$C$11,J$11-DPR!#REF!))))</f>
        <v>#REF!</v>
      </c>
      <c r="K30" s="870" t="e">
        <f>MAX(0,IF($AK$5=$C$9,K$9-DPR!#REF!,IF($AK$5=$C$10,K$10-DPR!#REF!,IF($AK$5=$C$11,K$11-DPR!#REF!))))</f>
        <v>#REF!</v>
      </c>
      <c r="L30" s="870" t="e">
        <f>MAX(0,IF($AK$5=$C$9,L$9-DPR!#REF!,IF($AK$5=$C$10,L$10-DPR!#REF!,IF($AK$5=$C$11,L$11-DPR!#REF!))))</f>
        <v>#REF!</v>
      </c>
      <c r="M30" s="870" t="e">
        <f>MAX(0,IF($AK$5=$C$9,M$9-DPR!#REF!,IF($AK$5=$C$10,M$10-DPR!#REF!,IF($AK$5=$C$11,M$11-DPR!#REF!))))</f>
        <v>#REF!</v>
      </c>
      <c r="N30" s="870" t="e">
        <f>MAX(0,IF($AK$5=$C$9,N$9-DPR!#REF!,IF($AK$5=$C$10,N$10-DPR!#REF!,IF($AK$5=$C$11,N$11-DPR!#REF!))))</f>
        <v>#REF!</v>
      </c>
      <c r="O30" s="870" t="e">
        <f>MAX(0,IF($AK$5=$C$9,O$9-DPR!#REF!,IF($AK$5=$C$10,O$10-DPR!#REF!,IF($AK$5=$C$11,O$11-DPR!#REF!))))</f>
        <v>#REF!</v>
      </c>
      <c r="P30" s="870" t="e">
        <f>MAX(0,IF($AK$5=$C$9,P$9-DPR!#REF!,IF($AK$5=$C$10,P$10-DPR!#REF!,IF($AK$5=$C$11,P$11-DPR!#REF!))))</f>
        <v>#REF!</v>
      </c>
      <c r="Q30" s="795">
        <v>0</v>
      </c>
      <c r="R30" s="919" t="e">
        <f t="shared" si="1"/>
        <v>#REF!</v>
      </c>
      <c r="S30" s="878" t="e">
        <f>MAX(0,IF($AK$5=$C$9,S$9-DPR!#REF!,IF($AK$5=$C$10,S$10-DPR!#REF!,IF($AK$5=$C$11,S$11-DPR!#REF!))))</f>
        <v>#REF!</v>
      </c>
      <c r="T30" s="878" t="e">
        <f>MAX(0,IF($AK$5=$C$9,T$9-DPR!#REF!,IF($AK$5=$C$10,T$10-DPR!#REF!,IF($AK$5=$C$11,T$11-DPR!#REF!))))</f>
        <v>#REF!</v>
      </c>
      <c r="U30" s="878" t="e">
        <f>MAX(0,IF($AK$5=$C$9,U$9-DPR!#REF!,IF($AK$5=$C$10,U$10-DPR!#REF!,IF($AK$5=$C$11,U$11-DPR!#REF!))))</f>
        <v>#REF!</v>
      </c>
      <c r="V30" s="878" t="e">
        <f>MAX(0,IF($AK$5=$C$9,V$9-DPR!#REF!,IF($AK$5=$C$10,V$10-DPR!#REF!,IF($AK$5=$C$11,V$11-DPR!#REF!))))</f>
        <v>#REF!</v>
      </c>
      <c r="W30" s="878" t="e">
        <f>MAX(0,IF($AK$5=$C$9,W$9-DPR!#REF!,IF($AK$5=$C$10,W$10-DPR!#REF!,IF($AK$5=$C$11,W$11-DPR!#REF!))))</f>
        <v>#REF!</v>
      </c>
      <c r="X30" s="878" t="e">
        <f>MAX(0,IF($AK$5=$C$9,X$9-DPR!#REF!,IF($AK$5=$C$10,X$10-DPR!#REF!,IF($AK$5=$C$11,X$11-DPR!#REF!))))</f>
        <v>#REF!</v>
      </c>
      <c r="Y30" s="878" t="e">
        <f>MAX(0,IF($AK$5=$C$9,Y$9-DPR!#REF!,IF($AK$5=$C$10,Y$10-DPR!#REF!,IF($AK$5=$C$11,Y$11-DPR!#REF!))))</f>
        <v>#REF!</v>
      </c>
      <c r="Z30" s="878" t="e">
        <f>MAX(0,IF($AK$5=$C$9,Z$9-DPR!#REF!,IF($AK$5=$C$10,Z$10-DPR!#REF!,IF($AK$5=$C$11,Z$11-DPR!#REF!))))</f>
        <v>#REF!</v>
      </c>
      <c r="AA30" s="878" t="e">
        <f>MAX(0,IF($AK$5=$C$9,AA$9-DPR!#REF!,IF($AK$5=$C$10,AA$10-DPR!#REF!,IF($AK$5=$C$11,AA$11-DPR!#REF!))))</f>
        <v>#REF!</v>
      </c>
      <c r="AB30" s="878" t="e">
        <f>MAX(0,IF($AK$5=$C$9,AB$9-DPR!#REF!,IF($AK$5=$C$10,AB$10-DPR!#REF!,IF($AK$5=$C$11,AB$11-DPR!#REF!))))</f>
        <v>#REF!</v>
      </c>
      <c r="AC30" s="878" t="e">
        <f>MAX(0,IF($AK$5=$C$9,AC$9-DPR!#REF!,IF($AK$5=$C$10,AC$10-DPR!#REF!,IF($AK$5=$C$11,AC$11-DPR!#REF!))))</f>
        <v>#REF!</v>
      </c>
      <c r="AD30" s="878" t="e">
        <f>MAX(0,IF($AK$5=$C$9,AD$9-DPR!#REF!,IF($AK$5=$C$10,AD$10-DPR!#REF!,IF($AK$5=$C$11,AD$11-DPR!#REF!))))</f>
        <v>#REF!</v>
      </c>
      <c r="AE30" s="878" t="e">
        <f>MAX(0,IF($AK$5=$C$9,AE$9-DPR!#REF!,IF($AK$5=$C$10,AE$10-DPR!#REF!,IF($AK$5=$C$11,AE$11-DPR!#REF!))))</f>
        <v>#REF!</v>
      </c>
      <c r="AF30" s="878" t="e">
        <f>MAX(0,IF($AK$5=$C$9,AF$9-DPR!#REF!,IF($AK$5=$C$10,AF$10-DPR!#REF!,IF($AK$5=$C$11,AF$11-DPR!#REF!))))</f>
        <v>#REF!</v>
      </c>
      <c r="AG30" s="920" t="e">
        <f t="shared" si="2"/>
        <v>#REF!</v>
      </c>
      <c r="AH30" s="842">
        <f t="shared" si="0"/>
        <v>202504</v>
      </c>
      <c r="AI30" s="826"/>
      <c r="AJ30" t="e">
        <f>DPR!#REF!</f>
        <v>#REF!</v>
      </c>
      <c r="AK30" s="262"/>
      <c r="AL30" s="262"/>
    </row>
    <row r="31" spans="3:38" ht="15.75">
      <c r="C31" s="918">
        <v>45767</v>
      </c>
      <c r="D31" s="870" t="e">
        <f>MAX(0,IF($AK$5=$C$9,D$9-DPR!#REF!,IF($AK$5=$C$10,D$10-DPR!#REF!,IF($AK$5=$C$11,D$11-DPR!#REF!))))</f>
        <v>#REF!</v>
      </c>
      <c r="E31" s="870" t="e">
        <f>MAX(0,IF($AK$5=$C$9,E$9-DPR!#REF!,IF($AK$5=$C$10,E$10-DPR!#REF!,IF($AK$5=$C$11,E$11-DPR!#REF!))))</f>
        <v>#REF!</v>
      </c>
      <c r="F31" s="870" t="e">
        <f>MAX(0,IF($AK$5=$C$9,F$9-DPR!#REF!,IF($AK$5=$C$10,F$10-DPR!#REF!,IF($AK$5=$C$11,F$11-DPR!#REF!))))</f>
        <v>#REF!</v>
      </c>
      <c r="G31" s="870" t="e">
        <f>MAX(0,IF($AK$5=$C$9,G$9-DPR!#REF!,IF($AK$5=$C$10,G$10-DPR!#REF!,IF($AK$5=$C$11,G$11-DPR!#REF!))))</f>
        <v>#REF!</v>
      </c>
      <c r="H31" s="870" t="e">
        <f>MAX(0,IF($AK$5=$C$9,H$9-DPR!#REF!,IF($AK$5=$C$10,H$10-DPR!#REF!,IF($AK$5=$C$11,H$11-DPR!#REF!))))</f>
        <v>#REF!</v>
      </c>
      <c r="I31" s="870" t="e">
        <f>MAX(0,IF($AK$5=$C$9,I$9-DPR!#REF!,IF($AK$5=$C$10,I$10-DPR!#REF!,IF($AK$5=$C$11,I$11-DPR!#REF!))))</f>
        <v>#REF!</v>
      </c>
      <c r="J31" s="870" t="e">
        <f>MAX(0,IF($AK$5=$C$9,J$9-DPR!#REF!,IF($AK$5=$C$10,J$10-DPR!#REF!,IF($AK$5=$C$11,J$11-DPR!#REF!))))</f>
        <v>#REF!</v>
      </c>
      <c r="K31" s="870" t="e">
        <f>MAX(0,IF($AK$5=$C$9,K$9-DPR!#REF!,IF($AK$5=$C$10,K$10-DPR!#REF!,IF($AK$5=$C$11,K$11-DPR!#REF!))))</f>
        <v>#REF!</v>
      </c>
      <c r="L31" s="870" t="e">
        <f>MAX(0,IF($AK$5=$C$9,L$9-DPR!#REF!,IF($AK$5=$C$10,L$10-DPR!#REF!,IF($AK$5=$C$11,L$11-DPR!#REF!))))</f>
        <v>#REF!</v>
      </c>
      <c r="M31" s="870" t="e">
        <f>MAX(0,IF($AK$5=$C$9,M$9-DPR!#REF!,IF($AK$5=$C$10,M$10-DPR!#REF!,IF($AK$5=$C$11,M$11-DPR!#REF!))))</f>
        <v>#REF!</v>
      </c>
      <c r="N31" s="870" t="e">
        <f>MAX(0,IF($AK$5=$C$9,N$9-DPR!#REF!,IF($AK$5=$C$10,N$10-DPR!#REF!,IF($AK$5=$C$11,N$11-DPR!#REF!))))</f>
        <v>#REF!</v>
      </c>
      <c r="O31" s="870" t="e">
        <f>MAX(0,IF($AK$5=$C$9,O$9-DPR!#REF!,IF($AK$5=$C$10,O$10-DPR!#REF!,IF($AK$5=$C$11,O$11-DPR!#REF!))))</f>
        <v>#REF!</v>
      </c>
      <c r="P31" s="870" t="e">
        <f>MAX(0,IF($AK$5=$C$9,P$9-DPR!#REF!,IF($AK$5=$C$10,P$10-DPR!#REF!,IF($AK$5=$C$11,P$11-DPR!#REF!))))</f>
        <v>#REF!</v>
      </c>
      <c r="Q31" s="773">
        <v>0</v>
      </c>
      <c r="R31" s="919" t="e">
        <f t="shared" si="1"/>
        <v>#REF!</v>
      </c>
      <c r="S31" s="878" t="e">
        <f>MAX(0,IF($AK$5=$C$9,S$9-DPR!#REF!,IF($AK$5=$C$10,S$10-DPR!#REF!,IF($AK$5=$C$11,S$11-DPR!#REF!))))</f>
        <v>#REF!</v>
      </c>
      <c r="T31" s="878" t="e">
        <f>MAX(0,IF($AK$5=$C$9,T$9-DPR!#REF!,IF($AK$5=$C$10,T$10-DPR!#REF!,IF($AK$5=$C$11,T$11-DPR!#REF!))))</f>
        <v>#REF!</v>
      </c>
      <c r="U31" s="878" t="e">
        <f>MAX(0,IF($AK$5=$C$9,U$9-DPR!#REF!,IF($AK$5=$C$10,U$10-DPR!#REF!,IF($AK$5=$C$11,U$11-DPR!#REF!))))</f>
        <v>#REF!</v>
      </c>
      <c r="V31" s="878" t="e">
        <f>MAX(0,IF($AK$5=$C$9,V$9-DPR!#REF!,IF($AK$5=$C$10,V$10-DPR!#REF!,IF($AK$5=$C$11,V$11-DPR!#REF!))))</f>
        <v>#REF!</v>
      </c>
      <c r="W31" s="878" t="e">
        <f>MAX(0,IF($AK$5=$C$9,W$9-DPR!#REF!,IF($AK$5=$C$10,W$10-DPR!#REF!,IF($AK$5=$C$11,W$11-DPR!#REF!))))</f>
        <v>#REF!</v>
      </c>
      <c r="X31" s="878" t="e">
        <f>MAX(0,IF($AK$5=$C$9,X$9-DPR!#REF!,IF($AK$5=$C$10,X$10-DPR!#REF!,IF($AK$5=$C$11,X$11-DPR!#REF!))))</f>
        <v>#REF!</v>
      </c>
      <c r="Y31" s="878" t="e">
        <f>MAX(0,IF($AK$5=$C$9,Y$9-DPR!#REF!,IF($AK$5=$C$10,Y$10-DPR!#REF!,IF($AK$5=$C$11,Y$11-DPR!#REF!))))</f>
        <v>#REF!</v>
      </c>
      <c r="Z31" s="878" t="e">
        <f>MAX(0,IF($AK$5=$C$9,Z$9-DPR!#REF!,IF($AK$5=$C$10,Z$10-DPR!#REF!,IF($AK$5=$C$11,Z$11-DPR!#REF!))))</f>
        <v>#REF!</v>
      </c>
      <c r="AA31" s="878" t="e">
        <f>MAX(0,IF($AK$5=$C$9,AA$9-DPR!#REF!,IF($AK$5=$C$10,AA$10-DPR!#REF!,IF($AK$5=$C$11,AA$11-DPR!#REF!))))</f>
        <v>#REF!</v>
      </c>
      <c r="AB31" s="878" t="e">
        <f>MAX(0,IF($AK$5=$C$9,AB$9-DPR!#REF!,IF($AK$5=$C$10,AB$10-DPR!#REF!,IF($AK$5=$C$11,AB$11-DPR!#REF!))))</f>
        <v>#REF!</v>
      </c>
      <c r="AC31" s="878" t="e">
        <f>MAX(0,IF($AK$5=$C$9,AC$9-DPR!#REF!,IF($AK$5=$C$10,AC$10-DPR!#REF!,IF($AK$5=$C$11,AC$11-DPR!#REF!))))</f>
        <v>#REF!</v>
      </c>
      <c r="AD31" s="878" t="e">
        <f>MAX(0,IF($AK$5=$C$9,AD$9-DPR!#REF!,IF($AK$5=$C$10,AD$10-DPR!#REF!,IF($AK$5=$C$11,AD$11-DPR!#REF!))))</f>
        <v>#REF!</v>
      </c>
      <c r="AE31" s="878" t="e">
        <f>MAX(0,IF($AK$5=$C$9,AE$9-DPR!#REF!,IF($AK$5=$C$10,AE$10-DPR!#REF!,IF($AK$5=$C$11,AE$11-DPR!#REF!))))</f>
        <v>#REF!</v>
      </c>
      <c r="AF31" s="878" t="e">
        <f>MAX(0,IF($AK$5=$C$9,AF$9-DPR!#REF!,IF($AK$5=$C$10,AF$10-DPR!#REF!,IF($AK$5=$C$11,AF$11-DPR!#REF!))))</f>
        <v>#REF!</v>
      </c>
      <c r="AG31" s="920" t="e">
        <f t="shared" si="2"/>
        <v>#REF!</v>
      </c>
      <c r="AH31" s="842">
        <f t="shared" si="0"/>
        <v>202504</v>
      </c>
      <c r="AI31" s="826"/>
      <c r="AJ31" t="e">
        <f>DPR!#REF!</f>
        <v>#REF!</v>
      </c>
      <c r="AK31" s="262"/>
      <c r="AL31" s="262"/>
    </row>
    <row r="32" spans="3:38" ht="15.75">
      <c r="C32" s="918">
        <v>45768</v>
      </c>
      <c r="D32" s="870" t="e">
        <f>MAX(0,IF($AK$5=$C$9,D$9-DPR!#REF!,IF($AK$5=$C$10,D$10-DPR!#REF!,IF($AK$5=$C$11,D$11-DPR!#REF!))))</f>
        <v>#REF!</v>
      </c>
      <c r="E32" s="870" t="e">
        <f>MAX(0,IF($AK$5=$C$9,E$9-DPR!#REF!,IF($AK$5=$C$10,E$10-DPR!#REF!,IF($AK$5=$C$11,E$11-DPR!#REF!))))</f>
        <v>#REF!</v>
      </c>
      <c r="F32" s="870" t="e">
        <f>MAX(0,IF($AK$5=$C$9,F$9-DPR!#REF!,IF($AK$5=$C$10,F$10-DPR!#REF!,IF($AK$5=$C$11,F$11-DPR!#REF!))))</f>
        <v>#REF!</v>
      </c>
      <c r="G32" s="870" t="e">
        <f>MAX(0,IF($AK$5=$C$9,G$9-DPR!#REF!,IF($AK$5=$C$10,G$10-DPR!#REF!,IF($AK$5=$C$11,G$11-DPR!#REF!))))</f>
        <v>#REF!</v>
      </c>
      <c r="H32" s="870" t="e">
        <f>MAX(0,IF($AK$5=$C$9,H$9-DPR!#REF!,IF($AK$5=$C$10,H$10-DPR!#REF!,IF($AK$5=$C$11,H$11-DPR!#REF!))))</f>
        <v>#REF!</v>
      </c>
      <c r="I32" s="870" t="e">
        <f>MAX(0,IF($AK$5=$C$9,I$9-DPR!#REF!,IF($AK$5=$C$10,I$10-DPR!#REF!,IF($AK$5=$C$11,I$11-DPR!#REF!))))</f>
        <v>#REF!</v>
      </c>
      <c r="J32" s="870" t="e">
        <f>MAX(0,IF($AK$5=$C$9,J$9-DPR!#REF!,IF($AK$5=$C$10,J$10-DPR!#REF!,IF($AK$5=$C$11,J$11-DPR!#REF!))))</f>
        <v>#REF!</v>
      </c>
      <c r="K32" s="870" t="e">
        <f>MAX(0,IF($AK$5=$C$9,K$9-DPR!#REF!,IF($AK$5=$C$10,K$10-DPR!#REF!,IF($AK$5=$C$11,K$11-DPR!#REF!))))</f>
        <v>#REF!</v>
      </c>
      <c r="L32" s="870" t="e">
        <f>MAX(0,IF($AK$5=$C$9,L$9-DPR!#REF!,IF($AK$5=$C$10,L$10-DPR!#REF!,IF($AK$5=$C$11,L$11-DPR!#REF!))))</f>
        <v>#REF!</v>
      </c>
      <c r="M32" s="870" t="e">
        <f>MAX(0,IF($AK$5=$C$9,M$9-DPR!#REF!,IF($AK$5=$C$10,M$10-DPR!#REF!,IF($AK$5=$C$11,M$11-DPR!#REF!))))</f>
        <v>#REF!</v>
      </c>
      <c r="N32" s="870" t="e">
        <f>MAX(0,IF($AK$5=$C$9,N$9-DPR!#REF!,IF($AK$5=$C$10,N$10-DPR!#REF!,IF($AK$5=$C$11,N$11-DPR!#REF!))))</f>
        <v>#REF!</v>
      </c>
      <c r="O32" s="870" t="e">
        <f>MAX(0,IF($AK$5=$C$9,O$9-DPR!#REF!,IF($AK$5=$C$10,O$10-DPR!#REF!,IF($AK$5=$C$11,O$11-DPR!#REF!))))</f>
        <v>#REF!</v>
      </c>
      <c r="P32" s="870" t="e">
        <f>MAX(0,IF($AK$5=$C$9,P$9-DPR!#REF!,IF($AK$5=$C$10,P$10-DPR!#REF!,IF($AK$5=$C$11,P$11-DPR!#REF!))))</f>
        <v>#REF!</v>
      </c>
      <c r="Q32" s="874">
        <v>0</v>
      </c>
      <c r="R32" s="919" t="e">
        <f t="shared" si="1"/>
        <v>#REF!</v>
      </c>
      <c r="S32" s="878" t="e">
        <f>MAX(0,IF($AK$5=$C$9,S$9-DPR!#REF!,IF($AK$5=$C$10,S$10-DPR!#REF!,IF($AK$5=$C$11,S$11-DPR!#REF!))))</f>
        <v>#REF!</v>
      </c>
      <c r="T32" s="878" t="e">
        <f>MAX(0,IF($AK$5=$C$9,T$9-DPR!#REF!,IF($AK$5=$C$10,T$10-DPR!#REF!,IF($AK$5=$C$11,T$11-DPR!#REF!))))</f>
        <v>#REF!</v>
      </c>
      <c r="U32" s="878" t="e">
        <f>MAX(0,IF($AK$5=$C$9,U$9-DPR!#REF!,IF($AK$5=$C$10,U$10-DPR!#REF!,IF($AK$5=$C$11,U$11-DPR!#REF!))))</f>
        <v>#REF!</v>
      </c>
      <c r="V32" s="878" t="e">
        <f>MAX(0,IF($AK$5=$C$9,V$9-DPR!#REF!,IF($AK$5=$C$10,V$10-DPR!#REF!,IF($AK$5=$C$11,V$11-DPR!#REF!))))</f>
        <v>#REF!</v>
      </c>
      <c r="W32" s="878" t="e">
        <f>MAX(0,IF($AK$5=$C$9,W$9-DPR!#REF!,IF($AK$5=$C$10,W$10-DPR!#REF!,IF($AK$5=$C$11,W$11-DPR!#REF!))))</f>
        <v>#REF!</v>
      </c>
      <c r="X32" s="878" t="e">
        <f>MAX(0,IF($AK$5=$C$9,X$9-DPR!#REF!,IF($AK$5=$C$10,X$10-DPR!#REF!,IF($AK$5=$C$11,X$11-DPR!#REF!))))</f>
        <v>#REF!</v>
      </c>
      <c r="Y32" s="878" t="e">
        <f>MAX(0,IF($AK$5=$C$9,Y$9-DPR!#REF!,IF($AK$5=$C$10,Y$10-DPR!#REF!,IF($AK$5=$C$11,Y$11-DPR!#REF!))))</f>
        <v>#REF!</v>
      </c>
      <c r="Z32" s="878" t="e">
        <f>MAX(0,IF($AK$5=$C$9,Z$9-DPR!#REF!,IF($AK$5=$C$10,Z$10-DPR!#REF!,IF($AK$5=$C$11,Z$11-DPR!#REF!))))</f>
        <v>#REF!</v>
      </c>
      <c r="AA32" s="878" t="e">
        <f>MAX(0,IF($AK$5=$C$9,AA$9-DPR!#REF!,IF($AK$5=$C$10,AA$10-DPR!#REF!,IF($AK$5=$C$11,AA$11-DPR!#REF!))))</f>
        <v>#REF!</v>
      </c>
      <c r="AB32" s="878" t="e">
        <f>MAX(0,IF($AK$5=$C$9,AB$9-DPR!#REF!,IF($AK$5=$C$10,AB$10-DPR!#REF!,IF($AK$5=$C$11,AB$11-DPR!#REF!))))</f>
        <v>#REF!</v>
      </c>
      <c r="AC32" s="878" t="e">
        <f>MAX(0,IF($AK$5=$C$9,AC$9-DPR!#REF!,IF($AK$5=$C$10,AC$10-DPR!#REF!,IF($AK$5=$C$11,AC$11-DPR!#REF!))))</f>
        <v>#REF!</v>
      </c>
      <c r="AD32" s="878" t="e">
        <f>MAX(0,IF($AK$5=$C$9,AD$9-DPR!#REF!,IF($AK$5=$C$10,AD$10-DPR!#REF!,IF($AK$5=$C$11,AD$11-DPR!#REF!))))</f>
        <v>#REF!</v>
      </c>
      <c r="AE32" s="878" t="e">
        <f>MAX(0,IF($AK$5=$C$9,AE$9-DPR!#REF!,IF($AK$5=$C$10,AE$10-DPR!#REF!,IF($AK$5=$C$11,AE$11-DPR!#REF!))))</f>
        <v>#REF!</v>
      </c>
      <c r="AF32" s="878" t="e">
        <f>MAX(0,IF($AK$5=$C$9,AF$9-DPR!#REF!,IF($AK$5=$C$10,AF$10-DPR!#REF!,IF($AK$5=$C$11,AF$11-DPR!#REF!))))</f>
        <v>#REF!</v>
      </c>
      <c r="AG32" s="920" t="e">
        <f t="shared" si="2"/>
        <v>#REF!</v>
      </c>
      <c r="AH32" s="842">
        <f t="shared" si="0"/>
        <v>202504</v>
      </c>
      <c r="AI32" s="826"/>
      <c r="AJ32" t="e">
        <f>DPR!#REF!</f>
        <v>#REF!</v>
      </c>
      <c r="AK32" s="262"/>
      <c r="AL32" s="262"/>
    </row>
    <row r="33" spans="2:38" ht="15.75">
      <c r="C33" s="918">
        <v>45769</v>
      </c>
      <c r="D33" s="870" t="e">
        <f>MAX(0,IF($AK$5=$C$9,D$9-DPR!#REF!,IF($AK$5=$C$10,D$10-DPR!#REF!,IF($AK$5=$C$11,D$11-DPR!#REF!))))</f>
        <v>#REF!</v>
      </c>
      <c r="E33" s="870" t="e">
        <f>MAX(0,IF($AK$5=$C$9,E$9-DPR!#REF!,IF($AK$5=$C$10,E$10-DPR!#REF!,IF($AK$5=$C$11,E$11-DPR!#REF!))))</f>
        <v>#REF!</v>
      </c>
      <c r="F33" s="870" t="e">
        <f>MAX(0,IF($AK$5=$C$9,F$9-DPR!#REF!,IF($AK$5=$C$10,F$10-DPR!#REF!,IF($AK$5=$C$11,F$11-DPR!#REF!))))</f>
        <v>#REF!</v>
      </c>
      <c r="G33" s="870" t="e">
        <f>MAX(0,IF($AK$5=$C$9,G$9-DPR!#REF!,IF($AK$5=$C$10,G$10-DPR!#REF!,IF($AK$5=$C$11,G$11-DPR!#REF!))))</f>
        <v>#REF!</v>
      </c>
      <c r="H33" s="870" t="e">
        <f>MAX(0,IF($AK$5=$C$9,H$9-DPR!#REF!,IF($AK$5=$C$10,H$10-DPR!#REF!,IF($AK$5=$C$11,H$11-DPR!#REF!))))</f>
        <v>#REF!</v>
      </c>
      <c r="I33" s="870" t="e">
        <f>MAX(0,IF($AK$5=$C$9,I$9-DPR!#REF!,IF($AK$5=$C$10,I$10-DPR!#REF!,IF($AK$5=$C$11,I$11-DPR!#REF!))))</f>
        <v>#REF!</v>
      </c>
      <c r="J33" s="870" t="e">
        <f>MAX(0,IF($AK$5=$C$9,J$9-DPR!#REF!,IF($AK$5=$C$10,J$10-DPR!#REF!,IF($AK$5=$C$11,J$11-DPR!#REF!))))</f>
        <v>#REF!</v>
      </c>
      <c r="K33" s="870" t="e">
        <f>MAX(0,IF($AK$5=$C$9,K$9-DPR!#REF!,IF($AK$5=$C$10,K$10-DPR!#REF!,IF($AK$5=$C$11,K$11-DPR!#REF!))))</f>
        <v>#REF!</v>
      </c>
      <c r="L33" s="870" t="e">
        <f>MAX(0,IF($AK$5=$C$9,L$9-DPR!#REF!,IF($AK$5=$C$10,L$10-DPR!#REF!,IF($AK$5=$C$11,L$11-DPR!#REF!))))</f>
        <v>#REF!</v>
      </c>
      <c r="M33" s="870" t="e">
        <f>MAX(0,IF($AK$5=$C$9,M$9-DPR!#REF!,IF($AK$5=$C$10,M$10-DPR!#REF!,IF($AK$5=$C$11,M$11-DPR!#REF!))))</f>
        <v>#REF!</v>
      </c>
      <c r="N33" s="870" t="e">
        <f>MAX(0,IF($AK$5=$C$9,N$9-DPR!#REF!,IF($AK$5=$C$10,N$10-DPR!#REF!,IF($AK$5=$C$11,N$11-DPR!#REF!))))</f>
        <v>#REF!</v>
      </c>
      <c r="O33" s="870" t="e">
        <f>MAX(0,IF($AK$5=$C$9,O$9-DPR!#REF!,IF($AK$5=$C$10,O$10-DPR!#REF!,IF($AK$5=$C$11,O$11-DPR!#REF!))))</f>
        <v>#REF!</v>
      </c>
      <c r="P33" s="870" t="e">
        <f>MAX(0,IF($AK$5=$C$9,P$9-DPR!#REF!,IF($AK$5=$C$10,P$10-DPR!#REF!,IF($AK$5=$C$11,P$11-DPR!#REF!))))</f>
        <v>#REF!</v>
      </c>
      <c r="Q33" s="870">
        <v>0</v>
      </c>
      <c r="R33" s="919" t="e">
        <f t="shared" si="1"/>
        <v>#REF!</v>
      </c>
      <c r="S33" s="878" t="e">
        <f>MAX(0,IF($AK$5=$C$9,S$9-DPR!#REF!,IF($AK$5=$C$10,S$10-DPR!#REF!,IF($AK$5=$C$11,S$11-DPR!#REF!))))</f>
        <v>#REF!</v>
      </c>
      <c r="T33" s="878" t="e">
        <f>MAX(0,IF($AK$5=$C$9,T$9-DPR!#REF!,IF($AK$5=$C$10,T$10-DPR!#REF!,IF($AK$5=$C$11,T$11-DPR!#REF!))))</f>
        <v>#REF!</v>
      </c>
      <c r="U33" s="878" t="e">
        <f>MAX(0,IF($AK$5=$C$9,U$9-DPR!#REF!,IF($AK$5=$C$10,U$10-DPR!#REF!,IF($AK$5=$C$11,U$11-DPR!#REF!))))</f>
        <v>#REF!</v>
      </c>
      <c r="V33" s="878" t="e">
        <f>MAX(0,IF($AK$5=$C$9,V$9-DPR!#REF!,IF($AK$5=$C$10,V$10-DPR!#REF!,IF($AK$5=$C$11,V$11-DPR!#REF!))))</f>
        <v>#REF!</v>
      </c>
      <c r="W33" s="878" t="e">
        <f>MAX(0,IF($AK$5=$C$9,W$9-DPR!#REF!,IF($AK$5=$C$10,W$10-DPR!#REF!,IF($AK$5=$C$11,W$11-DPR!#REF!))))</f>
        <v>#REF!</v>
      </c>
      <c r="X33" s="878" t="e">
        <f>MAX(0,IF($AK$5=$C$9,X$9-DPR!#REF!,IF($AK$5=$C$10,X$10-DPR!#REF!,IF($AK$5=$C$11,X$11-DPR!#REF!))))</f>
        <v>#REF!</v>
      </c>
      <c r="Y33" s="878" t="e">
        <f>MAX(0,IF($AK$5=$C$9,Y$9-DPR!#REF!,IF($AK$5=$C$10,Y$10-DPR!#REF!,IF($AK$5=$C$11,Y$11-DPR!#REF!))))</f>
        <v>#REF!</v>
      </c>
      <c r="Z33" s="878" t="e">
        <f>MAX(0,IF($AK$5=$C$9,Z$9-DPR!#REF!,IF($AK$5=$C$10,Z$10-DPR!#REF!,IF($AK$5=$C$11,Z$11-DPR!#REF!))))</f>
        <v>#REF!</v>
      </c>
      <c r="AA33" s="878" t="e">
        <f>MAX(0,IF($AK$5=$C$9,AA$9-DPR!#REF!,IF($AK$5=$C$10,AA$10-DPR!#REF!,IF($AK$5=$C$11,AA$11-DPR!#REF!))))</f>
        <v>#REF!</v>
      </c>
      <c r="AB33" s="878" t="e">
        <f>MAX(0,IF($AK$5=$C$9,AB$9-DPR!#REF!,IF($AK$5=$C$10,AB$10-DPR!#REF!,IF($AK$5=$C$11,AB$11-DPR!#REF!))))</f>
        <v>#REF!</v>
      </c>
      <c r="AC33" s="878" t="e">
        <f>MAX(0,IF($AK$5=$C$9,AC$9-DPR!#REF!,IF($AK$5=$C$10,AC$10-DPR!#REF!,IF($AK$5=$C$11,AC$11-DPR!#REF!))))</f>
        <v>#REF!</v>
      </c>
      <c r="AD33" s="878" t="e">
        <f>MAX(0,IF($AK$5=$C$9,AD$9-DPR!#REF!,IF($AK$5=$C$10,AD$10-DPR!#REF!,IF($AK$5=$C$11,AD$11-DPR!#REF!))))</f>
        <v>#REF!</v>
      </c>
      <c r="AE33" s="878" t="e">
        <f>MAX(0,IF($AK$5=$C$9,AE$9-DPR!#REF!,IF($AK$5=$C$10,AE$10-DPR!#REF!,IF($AK$5=$C$11,AE$11-DPR!#REF!))))</f>
        <v>#REF!</v>
      </c>
      <c r="AF33" s="878" t="e">
        <f>MAX(0,IF($AK$5=$C$9,AF$9-DPR!#REF!,IF($AK$5=$C$10,AF$10-DPR!#REF!,IF($AK$5=$C$11,AF$11-DPR!#REF!))))</f>
        <v>#REF!</v>
      </c>
      <c r="AG33" s="920" t="e">
        <f t="shared" si="2"/>
        <v>#REF!</v>
      </c>
      <c r="AH33" s="842">
        <f t="shared" si="0"/>
        <v>202504</v>
      </c>
      <c r="AI33" s="826"/>
      <c r="AJ33" t="e">
        <f>DPR!#REF!</f>
        <v>#REF!</v>
      </c>
      <c r="AK33" s="262"/>
      <c r="AL33" s="262"/>
    </row>
    <row r="34" spans="2:38" ht="15.75">
      <c r="C34" s="918">
        <v>45770</v>
      </c>
      <c r="D34" s="870" t="e">
        <f>MAX(0,IF($AK$5=$C$9,D$9-DPR!#REF!,IF($AK$5=$C$10,D$10-DPR!#REF!,IF($AK$5=$C$11,D$11-DPR!#REF!))))</f>
        <v>#REF!</v>
      </c>
      <c r="E34" s="870" t="e">
        <f>MAX(0,IF($AK$5=$C$9,E$9-DPR!#REF!,IF($AK$5=$C$10,E$10-DPR!#REF!,IF($AK$5=$C$11,E$11-DPR!#REF!))))</f>
        <v>#REF!</v>
      </c>
      <c r="F34" s="870" t="e">
        <f>MAX(0,IF($AK$5=$C$9,F$9-DPR!#REF!,IF($AK$5=$C$10,F$10-DPR!#REF!,IF($AK$5=$C$11,F$11-DPR!#REF!))))</f>
        <v>#REF!</v>
      </c>
      <c r="G34" s="870" t="e">
        <f>MAX(0,IF($AK$5=$C$9,G$9-DPR!#REF!,IF($AK$5=$C$10,G$10-DPR!#REF!,IF($AK$5=$C$11,G$11-DPR!#REF!))))</f>
        <v>#REF!</v>
      </c>
      <c r="H34" s="870" t="e">
        <f>MAX(0,IF($AK$5=$C$9,H$9-DPR!#REF!,IF($AK$5=$C$10,H$10-DPR!#REF!,IF($AK$5=$C$11,H$11-DPR!#REF!))))</f>
        <v>#REF!</v>
      </c>
      <c r="I34" s="870" t="e">
        <f>MAX(0,IF($AK$5=$C$9,I$9-DPR!#REF!,IF($AK$5=$C$10,I$10-DPR!#REF!,IF($AK$5=$C$11,I$11-DPR!#REF!))))</f>
        <v>#REF!</v>
      </c>
      <c r="J34" s="870" t="e">
        <f>MAX(0,IF($AK$5=$C$9,J$9-DPR!#REF!,IF($AK$5=$C$10,J$10-DPR!#REF!,IF($AK$5=$C$11,J$11-DPR!#REF!))))</f>
        <v>#REF!</v>
      </c>
      <c r="K34" s="870" t="e">
        <f>MAX(0,IF($AK$5=$C$9,K$9-DPR!#REF!,IF($AK$5=$C$10,K$10-DPR!#REF!,IF($AK$5=$C$11,K$11-DPR!#REF!))))</f>
        <v>#REF!</v>
      </c>
      <c r="L34" s="870" t="e">
        <f>MAX(0,IF($AK$5=$C$9,L$9-DPR!#REF!,IF($AK$5=$C$10,L$10-DPR!#REF!,IF($AK$5=$C$11,L$11-DPR!#REF!))))</f>
        <v>#REF!</v>
      </c>
      <c r="M34" s="870" t="e">
        <f>MAX(0,IF($AK$5=$C$9,M$9-DPR!#REF!,IF($AK$5=$C$10,M$10-DPR!#REF!,IF($AK$5=$C$11,M$11-DPR!#REF!))))</f>
        <v>#REF!</v>
      </c>
      <c r="N34" s="870" t="e">
        <f>MAX(0,IF($AK$5=$C$9,N$9-DPR!#REF!,IF($AK$5=$C$10,N$10-DPR!#REF!,IF($AK$5=$C$11,N$11-DPR!#REF!))))</f>
        <v>#REF!</v>
      </c>
      <c r="O34" s="870" t="e">
        <f>MAX(0,IF($AK$5=$C$9,O$9-DPR!#REF!,IF($AK$5=$C$10,O$10-DPR!#REF!,IF($AK$5=$C$11,O$11-DPR!#REF!))))</f>
        <v>#REF!</v>
      </c>
      <c r="P34" s="870" t="e">
        <f>MAX(0,IF($AK$5=$C$9,P$9-DPR!#REF!,IF($AK$5=$C$10,P$10-DPR!#REF!,IF($AK$5=$C$11,P$11-DPR!#REF!))))</f>
        <v>#REF!</v>
      </c>
      <c r="Q34" s="874"/>
      <c r="R34" s="919" t="e">
        <f t="shared" si="1"/>
        <v>#REF!</v>
      </c>
      <c r="S34" s="878" t="e">
        <f>MAX(0,IF($AK$5=$C$9,S$9-DPR!#REF!,IF($AK$5=$C$10,S$10-DPR!#REF!,IF($AK$5=$C$11,S$11-DPR!#REF!))))</f>
        <v>#REF!</v>
      </c>
      <c r="T34" s="878" t="e">
        <f>MAX(0,IF($AK$5=$C$9,T$9-DPR!#REF!,IF($AK$5=$C$10,T$10-DPR!#REF!,IF($AK$5=$C$11,T$11-DPR!#REF!))))</f>
        <v>#REF!</v>
      </c>
      <c r="U34" s="878" t="e">
        <f>MAX(0,IF($AK$5=$C$9,U$9-DPR!#REF!,IF($AK$5=$C$10,U$10-DPR!#REF!,IF($AK$5=$C$11,U$11-DPR!#REF!))))</f>
        <v>#REF!</v>
      </c>
      <c r="V34" s="878" t="e">
        <f>MAX(0,IF($AK$5=$C$9,V$9-DPR!#REF!,IF($AK$5=$C$10,V$10-DPR!#REF!,IF($AK$5=$C$11,V$11-DPR!#REF!))))</f>
        <v>#REF!</v>
      </c>
      <c r="W34" s="878" t="e">
        <f>MAX(0,IF($AK$5=$C$9,W$9-DPR!#REF!,IF($AK$5=$C$10,W$10-DPR!#REF!,IF($AK$5=$C$11,W$11-DPR!#REF!))))</f>
        <v>#REF!</v>
      </c>
      <c r="X34" s="878" t="e">
        <f>MAX(0,IF($AK$5=$C$9,X$9-DPR!#REF!,IF($AK$5=$C$10,X$10-DPR!#REF!,IF($AK$5=$C$11,X$11-DPR!#REF!))))</f>
        <v>#REF!</v>
      </c>
      <c r="Y34" s="878" t="e">
        <f>MAX(0,IF($AK$5=$C$9,Y$9-DPR!#REF!,IF($AK$5=$C$10,Y$10-DPR!#REF!,IF($AK$5=$C$11,Y$11-DPR!#REF!))))</f>
        <v>#REF!</v>
      </c>
      <c r="Z34" s="878" t="e">
        <f>MAX(0,IF($AK$5=$C$9,Z$9-DPR!#REF!,IF($AK$5=$C$10,Z$10-DPR!#REF!,IF($AK$5=$C$11,Z$11-DPR!#REF!))))</f>
        <v>#REF!</v>
      </c>
      <c r="AA34" s="878" t="e">
        <f>MAX(0,IF($AK$5=$C$9,AA$9-DPR!#REF!,IF($AK$5=$C$10,AA$10-DPR!#REF!,IF($AK$5=$C$11,AA$11-DPR!#REF!))))</f>
        <v>#REF!</v>
      </c>
      <c r="AB34" s="878" t="e">
        <f>MAX(0,IF($AK$5=$C$9,AB$9-DPR!#REF!,IF($AK$5=$C$10,AB$10-DPR!#REF!,IF($AK$5=$C$11,AB$11-DPR!#REF!))))</f>
        <v>#REF!</v>
      </c>
      <c r="AC34" s="878" t="e">
        <f>MAX(0,IF($AK$5=$C$9,AC$9-DPR!#REF!,IF($AK$5=$C$10,AC$10-DPR!#REF!,IF($AK$5=$C$11,AC$11-DPR!#REF!))))</f>
        <v>#REF!</v>
      </c>
      <c r="AD34" s="878" t="e">
        <f>MAX(0,IF($AK$5=$C$9,AD$9-DPR!#REF!,IF($AK$5=$C$10,AD$10-DPR!#REF!,IF($AK$5=$C$11,AD$11-DPR!#REF!))))</f>
        <v>#REF!</v>
      </c>
      <c r="AE34" s="878" t="e">
        <f>MAX(0,IF($AK$5=$C$9,AE$9-DPR!#REF!,IF($AK$5=$C$10,AE$10-DPR!#REF!,IF($AK$5=$C$11,AE$11-DPR!#REF!))))</f>
        <v>#REF!</v>
      </c>
      <c r="AF34" s="878" t="e">
        <f>MAX(0,IF($AK$5=$C$9,AF$9-DPR!#REF!,IF($AK$5=$C$10,AF$10-DPR!#REF!,IF($AK$5=$C$11,AF$11-DPR!#REF!))))</f>
        <v>#REF!</v>
      </c>
      <c r="AG34" s="920" t="e">
        <f t="shared" si="2"/>
        <v>#REF!</v>
      </c>
      <c r="AH34" s="842">
        <f t="shared" si="0"/>
        <v>202504</v>
      </c>
      <c r="AI34" s="826"/>
      <c r="AJ34" t="e">
        <f>DPR!#REF!</f>
        <v>#REF!</v>
      </c>
      <c r="AK34" s="262"/>
      <c r="AL34" s="262"/>
    </row>
    <row r="35" spans="2:38" ht="15.75">
      <c r="C35" s="918">
        <v>45771</v>
      </c>
      <c r="D35" s="870" t="e">
        <f>MAX(0,IF($AK$5=$C$9,D$9-DPR!#REF!,IF($AK$5=$C$10,D$10-DPR!#REF!,IF($AK$5=$C$11,D$11-DPR!#REF!))))</f>
        <v>#REF!</v>
      </c>
      <c r="E35" s="870" t="e">
        <f>MAX(0,IF($AK$5=$C$9,E$9-DPR!#REF!,IF($AK$5=$C$10,E$10-DPR!#REF!,IF($AK$5=$C$11,E$11-DPR!#REF!))))</f>
        <v>#REF!</v>
      </c>
      <c r="F35" s="870" t="e">
        <f>MAX(0,IF($AK$5=$C$9,F$9-DPR!#REF!,IF($AK$5=$C$10,F$10-DPR!#REF!,IF($AK$5=$C$11,F$11-DPR!#REF!))))</f>
        <v>#REF!</v>
      </c>
      <c r="G35" s="870" t="e">
        <f>MAX(0,IF($AK$5=$C$9,G$9-DPR!#REF!,IF($AK$5=$C$10,G$10-DPR!#REF!,IF($AK$5=$C$11,G$11-DPR!#REF!))))</f>
        <v>#REF!</v>
      </c>
      <c r="H35" s="870" t="e">
        <f>MAX(0,IF($AK$5=$C$9,H$9-DPR!#REF!,IF($AK$5=$C$10,H$10-DPR!#REF!,IF($AK$5=$C$11,H$11-DPR!#REF!))))</f>
        <v>#REF!</v>
      </c>
      <c r="I35" s="870" t="e">
        <f>MAX(0,IF($AK$5=$C$9,I$9-DPR!#REF!,IF($AK$5=$C$10,I$10-DPR!#REF!,IF($AK$5=$C$11,I$11-DPR!#REF!))))</f>
        <v>#REF!</v>
      </c>
      <c r="J35" s="870" t="e">
        <f>MAX(0,IF($AK$5=$C$9,J$9-DPR!#REF!,IF($AK$5=$C$10,J$10-DPR!#REF!,IF($AK$5=$C$11,J$11-DPR!#REF!))))</f>
        <v>#REF!</v>
      </c>
      <c r="K35" s="870" t="e">
        <f>MAX(0,IF($AK$5=$C$9,K$9-DPR!#REF!,IF($AK$5=$C$10,K$10-DPR!#REF!,IF($AK$5=$C$11,K$11-DPR!#REF!))))</f>
        <v>#REF!</v>
      </c>
      <c r="L35" s="870" t="e">
        <f>MAX(0,IF($AK$5=$C$9,L$9-DPR!#REF!,IF($AK$5=$C$10,L$10-DPR!#REF!,IF($AK$5=$C$11,L$11-DPR!#REF!))))</f>
        <v>#REF!</v>
      </c>
      <c r="M35" s="870" t="e">
        <f>MAX(0,IF($AK$5=$C$9,M$9-DPR!#REF!,IF($AK$5=$C$10,M$10-DPR!#REF!,IF($AK$5=$C$11,M$11-DPR!#REF!))))</f>
        <v>#REF!</v>
      </c>
      <c r="N35" s="870" t="e">
        <f>MAX(0,IF($AK$5=$C$9,N$9-DPR!#REF!,IF($AK$5=$C$10,N$10-DPR!#REF!,IF($AK$5=$C$11,N$11-DPR!#REF!))))</f>
        <v>#REF!</v>
      </c>
      <c r="O35" s="870" t="e">
        <f>MAX(0,IF($AK$5=$C$9,O$9-DPR!#REF!,IF($AK$5=$C$10,O$10-DPR!#REF!,IF($AK$5=$C$11,O$11-DPR!#REF!))))</f>
        <v>#REF!</v>
      </c>
      <c r="P35" s="870" t="e">
        <f>MAX(0,IF($AK$5=$C$9,P$9-DPR!#REF!,IF($AK$5=$C$10,P$10-DPR!#REF!,IF($AK$5=$C$11,P$11-DPR!#REF!))))</f>
        <v>#REF!</v>
      </c>
      <c r="Q35" s="870">
        <v>0</v>
      </c>
      <c r="R35" s="919" t="e">
        <f t="shared" si="1"/>
        <v>#REF!</v>
      </c>
      <c r="S35" s="878" t="e">
        <f>MAX(0,IF($AK$5=$C$9,S$9-DPR!#REF!,IF($AK$5=$C$10,S$10-DPR!#REF!,IF($AK$5=$C$11,S$11-DPR!#REF!))))</f>
        <v>#REF!</v>
      </c>
      <c r="T35" s="878" t="e">
        <f>MAX(0,IF($AK$5=$C$9,T$9-DPR!#REF!,IF($AK$5=$C$10,T$10-DPR!#REF!,IF($AK$5=$C$11,T$11-DPR!#REF!))))</f>
        <v>#REF!</v>
      </c>
      <c r="U35" s="878" t="e">
        <f>MAX(0,IF($AK$5=$C$9,U$9-DPR!#REF!,IF($AK$5=$C$10,U$10-DPR!#REF!,IF($AK$5=$C$11,U$11-DPR!#REF!))))</f>
        <v>#REF!</v>
      </c>
      <c r="V35" s="878" t="e">
        <f>MAX(0,IF($AK$5=$C$9,V$9-DPR!#REF!,IF($AK$5=$C$10,V$10-DPR!#REF!,IF($AK$5=$C$11,V$11-DPR!#REF!))))</f>
        <v>#REF!</v>
      </c>
      <c r="W35" s="878" t="e">
        <f>MAX(0,IF($AK$5=$C$9,W$9-DPR!#REF!,IF($AK$5=$C$10,W$10-DPR!#REF!,IF($AK$5=$C$11,W$11-DPR!#REF!))))</f>
        <v>#REF!</v>
      </c>
      <c r="X35" s="878" t="e">
        <f>MAX(0,IF($AK$5=$C$9,X$9-DPR!#REF!,IF($AK$5=$C$10,X$10-DPR!#REF!,IF($AK$5=$C$11,X$11-DPR!#REF!))))</f>
        <v>#REF!</v>
      </c>
      <c r="Y35" s="878" t="e">
        <f>MAX(0,IF($AK$5=$C$9,Y$9-DPR!#REF!,IF($AK$5=$C$10,Y$10-DPR!#REF!,IF($AK$5=$C$11,Y$11-DPR!#REF!))))</f>
        <v>#REF!</v>
      </c>
      <c r="Z35" s="878" t="e">
        <f>MAX(0,IF($AK$5=$C$9,Z$9-DPR!#REF!,IF($AK$5=$C$10,Z$10-DPR!#REF!,IF($AK$5=$C$11,Z$11-DPR!#REF!))))</f>
        <v>#REF!</v>
      </c>
      <c r="AA35" s="878" t="e">
        <f>MAX(0,IF($AK$5=$C$9,AA$9-DPR!#REF!,IF($AK$5=$C$10,AA$10-DPR!#REF!,IF($AK$5=$C$11,AA$11-DPR!#REF!))))</f>
        <v>#REF!</v>
      </c>
      <c r="AB35" s="878" t="e">
        <f>MAX(0,IF($AK$5=$C$9,AB$9-DPR!#REF!,IF($AK$5=$C$10,AB$10-DPR!#REF!,IF($AK$5=$C$11,AB$11-DPR!#REF!))))</f>
        <v>#REF!</v>
      </c>
      <c r="AC35" s="878" t="e">
        <f>MAX(0,IF($AK$5=$C$9,AC$9-DPR!#REF!,IF($AK$5=$C$10,AC$10-DPR!#REF!,IF($AK$5=$C$11,AC$11-DPR!#REF!))))</f>
        <v>#REF!</v>
      </c>
      <c r="AD35" s="878" t="e">
        <f>MAX(0,IF($AK$5=$C$9,AD$9-DPR!#REF!,IF($AK$5=$C$10,AD$10-DPR!#REF!,IF($AK$5=$C$11,AD$11-DPR!#REF!))))</f>
        <v>#REF!</v>
      </c>
      <c r="AE35" s="878" t="e">
        <f>MAX(0,IF($AK$5=$C$9,AE$9-DPR!#REF!,IF($AK$5=$C$10,AE$10-DPR!#REF!,IF($AK$5=$C$11,AE$11-DPR!#REF!))))</f>
        <v>#REF!</v>
      </c>
      <c r="AF35" s="878" t="e">
        <f>MAX(0,IF($AK$5=$C$9,AF$9-DPR!#REF!,IF($AK$5=$C$10,AF$10-DPR!#REF!,IF($AK$5=$C$11,AF$11-DPR!#REF!))))</f>
        <v>#REF!</v>
      </c>
      <c r="AG35" s="920" t="e">
        <f t="shared" si="2"/>
        <v>#REF!</v>
      </c>
      <c r="AH35" s="842">
        <f t="shared" si="0"/>
        <v>202504</v>
      </c>
      <c r="AI35" s="826"/>
      <c r="AJ35" t="e">
        <f>DPR!#REF!</f>
        <v>#REF!</v>
      </c>
      <c r="AK35" s="262"/>
      <c r="AL35" s="262"/>
    </row>
    <row r="36" spans="2:38" ht="15.75">
      <c r="C36" s="918">
        <v>45772</v>
      </c>
      <c r="D36" s="870" t="e">
        <f>MAX(0,IF($AK$5=$C$9,D$9-DPR!#REF!,IF($AK$5=$C$10,D$10-DPR!#REF!,IF($AK$5=$C$11,D$11-DPR!#REF!))))</f>
        <v>#REF!</v>
      </c>
      <c r="E36" s="870" t="e">
        <f>MAX(0,IF($AK$5=$C$9,E$9-DPR!#REF!,IF($AK$5=$C$10,E$10-DPR!#REF!,IF($AK$5=$C$11,E$11-DPR!#REF!))))</f>
        <v>#REF!</v>
      </c>
      <c r="F36" s="870" t="e">
        <f>MAX(0,IF($AK$5=$C$9,F$9-DPR!#REF!,IF($AK$5=$C$10,F$10-DPR!#REF!,IF($AK$5=$C$11,F$11-DPR!#REF!))))</f>
        <v>#REF!</v>
      </c>
      <c r="G36" s="870" t="e">
        <f>MAX(0,IF($AK$5=$C$9,G$9-DPR!#REF!,IF($AK$5=$C$10,G$10-DPR!#REF!,IF($AK$5=$C$11,G$11-DPR!#REF!))))</f>
        <v>#REF!</v>
      </c>
      <c r="H36" s="870" t="e">
        <f>MAX(0,IF($AK$5=$C$9,H$9-DPR!#REF!,IF($AK$5=$C$10,H$10-DPR!#REF!,IF($AK$5=$C$11,H$11-DPR!#REF!))))</f>
        <v>#REF!</v>
      </c>
      <c r="I36" s="870" t="e">
        <f>MAX(0,IF($AK$5=$C$9,I$9-DPR!#REF!,IF($AK$5=$C$10,I$10-DPR!#REF!,IF($AK$5=$C$11,I$11-DPR!#REF!))))</f>
        <v>#REF!</v>
      </c>
      <c r="J36" s="870" t="e">
        <f>MAX(0,IF($AK$5=$C$9,J$9-DPR!#REF!,IF($AK$5=$C$10,J$10-DPR!#REF!,IF($AK$5=$C$11,J$11-DPR!#REF!))))</f>
        <v>#REF!</v>
      </c>
      <c r="K36" s="870" t="e">
        <f>MAX(0,IF($AK$5=$C$9,K$9-DPR!#REF!,IF($AK$5=$C$10,K$10-DPR!#REF!,IF($AK$5=$C$11,K$11-DPR!#REF!))))</f>
        <v>#REF!</v>
      </c>
      <c r="L36" s="870" t="e">
        <f>MAX(0,IF($AK$5=$C$9,L$9-DPR!#REF!,IF($AK$5=$C$10,L$10-DPR!#REF!,IF($AK$5=$C$11,L$11-DPR!#REF!))))</f>
        <v>#REF!</v>
      </c>
      <c r="M36" s="870" t="e">
        <f>MAX(0,IF($AK$5=$C$9,M$9-DPR!#REF!,IF($AK$5=$C$10,M$10-DPR!#REF!,IF($AK$5=$C$11,M$11-DPR!#REF!))))</f>
        <v>#REF!</v>
      </c>
      <c r="N36" s="870" t="e">
        <f>MAX(0,IF($AK$5=$C$9,N$9-DPR!#REF!,IF($AK$5=$C$10,N$10-DPR!#REF!,IF($AK$5=$C$11,N$11-DPR!#REF!))))</f>
        <v>#REF!</v>
      </c>
      <c r="O36" s="870" t="e">
        <f>MAX(0,IF($AK$5=$C$9,O$9-DPR!#REF!,IF($AK$5=$C$10,O$10-DPR!#REF!,IF($AK$5=$C$11,O$11-DPR!#REF!))))</f>
        <v>#REF!</v>
      </c>
      <c r="P36" s="870" t="e">
        <f>MAX(0,IF($AK$5=$C$9,P$9-DPR!#REF!,IF($AK$5=$C$10,P$10-DPR!#REF!,IF($AK$5=$C$11,P$11-DPR!#REF!))))</f>
        <v>#REF!</v>
      </c>
      <c r="Q36" s="874">
        <v>0</v>
      </c>
      <c r="R36" s="919" t="e">
        <f t="shared" si="1"/>
        <v>#REF!</v>
      </c>
      <c r="S36" s="878" t="e">
        <f>MAX(0,IF($AK$5=$C$9,S$9-DPR!#REF!,IF($AK$5=$C$10,S$10-DPR!#REF!,IF($AK$5=$C$11,S$11-DPR!#REF!))))</f>
        <v>#REF!</v>
      </c>
      <c r="T36" s="878" t="e">
        <f>MAX(0,IF($AK$5=$C$9,T$9-DPR!#REF!,IF($AK$5=$C$10,T$10-DPR!#REF!,IF($AK$5=$C$11,T$11-DPR!#REF!))))</f>
        <v>#REF!</v>
      </c>
      <c r="U36" s="878" t="e">
        <f>MAX(0,IF($AK$5=$C$9,U$9-DPR!#REF!,IF($AK$5=$C$10,U$10-DPR!#REF!,IF($AK$5=$C$11,U$11-DPR!#REF!))))</f>
        <v>#REF!</v>
      </c>
      <c r="V36" s="878" t="e">
        <f>MAX(0,IF($AK$5=$C$9,V$9-DPR!#REF!,IF($AK$5=$C$10,V$10-DPR!#REF!,IF($AK$5=$C$11,V$11-DPR!#REF!))))</f>
        <v>#REF!</v>
      </c>
      <c r="W36" s="878" t="e">
        <f>MAX(0,IF($AK$5=$C$9,W$9-DPR!#REF!,IF($AK$5=$C$10,W$10-DPR!#REF!,IF($AK$5=$C$11,W$11-DPR!#REF!))))</f>
        <v>#REF!</v>
      </c>
      <c r="X36" s="878" t="e">
        <f>MAX(0,IF($AK$5=$C$9,X$9-DPR!#REF!,IF($AK$5=$C$10,X$10-DPR!#REF!,IF($AK$5=$C$11,X$11-DPR!#REF!))))</f>
        <v>#REF!</v>
      </c>
      <c r="Y36" s="878" t="e">
        <f>MAX(0,IF($AK$5=$C$9,Y$9-DPR!#REF!,IF($AK$5=$C$10,Y$10-DPR!#REF!,IF($AK$5=$C$11,Y$11-DPR!#REF!))))</f>
        <v>#REF!</v>
      </c>
      <c r="Z36" s="878" t="e">
        <f>MAX(0,IF($AK$5=$C$9,Z$9-DPR!#REF!,IF($AK$5=$C$10,Z$10-DPR!#REF!,IF($AK$5=$C$11,Z$11-DPR!#REF!))))</f>
        <v>#REF!</v>
      </c>
      <c r="AA36" s="878" t="e">
        <f>MAX(0,IF($AK$5=$C$9,AA$9-DPR!#REF!,IF($AK$5=$C$10,AA$10-DPR!#REF!,IF($AK$5=$C$11,AA$11-DPR!#REF!))))</f>
        <v>#REF!</v>
      </c>
      <c r="AB36" s="878" t="e">
        <f>MAX(0,IF($AK$5=$C$9,AB$9-DPR!#REF!,IF($AK$5=$C$10,AB$10-DPR!#REF!,IF($AK$5=$C$11,AB$11-DPR!#REF!))))</f>
        <v>#REF!</v>
      </c>
      <c r="AC36" s="878" t="e">
        <f>MAX(0,IF($AK$5=$C$9,AC$9-DPR!#REF!,IF($AK$5=$C$10,AC$10-DPR!#REF!,IF($AK$5=$C$11,AC$11-DPR!#REF!))))</f>
        <v>#REF!</v>
      </c>
      <c r="AD36" s="878" t="e">
        <f>MAX(0,IF($AK$5=$C$9,AD$9-DPR!#REF!,IF($AK$5=$C$10,AD$10-DPR!#REF!,IF($AK$5=$C$11,AD$11-DPR!#REF!))))</f>
        <v>#REF!</v>
      </c>
      <c r="AE36" s="878" t="e">
        <f>MAX(0,IF($AK$5=$C$9,AE$9-DPR!#REF!,IF($AK$5=$C$10,AE$10-DPR!#REF!,IF($AK$5=$C$11,AE$11-DPR!#REF!))))</f>
        <v>#REF!</v>
      </c>
      <c r="AF36" s="878" t="e">
        <f>MAX(0,IF($AK$5=$C$9,AF$9-DPR!#REF!,IF($AK$5=$C$10,AF$10-DPR!#REF!,IF($AK$5=$C$11,AF$11-DPR!#REF!))))</f>
        <v>#REF!</v>
      </c>
      <c r="AG36" s="920" t="e">
        <f t="shared" si="2"/>
        <v>#REF!</v>
      </c>
      <c r="AH36" s="842">
        <f t="shared" si="0"/>
        <v>202504</v>
      </c>
      <c r="AI36" s="826"/>
      <c r="AJ36" t="e">
        <f>DPR!#REF!</f>
        <v>#REF!</v>
      </c>
      <c r="AK36" s="262"/>
      <c r="AL36" s="262"/>
    </row>
    <row r="37" spans="2:38" ht="16.5" customHeight="1">
      <c r="C37" s="918">
        <v>45773</v>
      </c>
      <c r="D37" s="870" t="e">
        <f>MAX(0,IF($AK$5=$C$9,D$9-DPR!#REF!,IF($AK$5=$C$10,D$10-DPR!#REF!,IF($AK$5=$C$11,D$11-DPR!#REF!))))</f>
        <v>#REF!</v>
      </c>
      <c r="E37" s="870" t="e">
        <f>MAX(0,IF($AK$5=$C$9,E$9-DPR!#REF!,IF($AK$5=$C$10,E$10-DPR!#REF!,IF($AK$5=$C$11,E$11-DPR!#REF!))))</f>
        <v>#REF!</v>
      </c>
      <c r="F37" s="870" t="e">
        <f>MAX(0,IF($AK$5=$C$9,F$9-DPR!#REF!,IF($AK$5=$C$10,F$10-DPR!#REF!,IF($AK$5=$C$11,F$11-DPR!#REF!))))</f>
        <v>#REF!</v>
      </c>
      <c r="G37" s="870" t="e">
        <f>MAX(0,IF($AK$5=$C$9,G$9-DPR!#REF!,IF($AK$5=$C$10,G$10-DPR!#REF!,IF($AK$5=$C$11,G$11-DPR!#REF!))))</f>
        <v>#REF!</v>
      </c>
      <c r="H37" s="870" t="e">
        <f>MAX(0,IF($AK$5=$C$9,H$9-DPR!#REF!,IF($AK$5=$C$10,H$10-DPR!#REF!,IF($AK$5=$C$11,H$11-DPR!#REF!))))</f>
        <v>#REF!</v>
      </c>
      <c r="I37" s="870" t="e">
        <f>MAX(0,IF($AK$5=$C$9,I$9-DPR!#REF!,IF($AK$5=$C$10,I$10-DPR!#REF!,IF($AK$5=$C$11,I$11-DPR!#REF!))))</f>
        <v>#REF!</v>
      </c>
      <c r="J37" s="870" t="e">
        <f>MAX(0,IF($AK$5=$C$9,J$9-DPR!#REF!,IF($AK$5=$C$10,J$10-DPR!#REF!,IF($AK$5=$C$11,J$11-DPR!#REF!))))</f>
        <v>#REF!</v>
      </c>
      <c r="K37" s="870" t="e">
        <f>MAX(0,IF($AK$5=$C$9,K$9-DPR!#REF!,IF($AK$5=$C$10,K$10-DPR!#REF!,IF($AK$5=$C$11,K$11-DPR!#REF!))))</f>
        <v>#REF!</v>
      </c>
      <c r="L37" s="870" t="e">
        <f>MAX(0,IF($AK$5=$C$9,L$9-DPR!#REF!,IF($AK$5=$C$10,L$10-DPR!#REF!,IF($AK$5=$C$11,L$11-DPR!#REF!))))</f>
        <v>#REF!</v>
      </c>
      <c r="M37" s="870" t="e">
        <f>MAX(0,IF($AK$5=$C$9,M$9-DPR!#REF!,IF($AK$5=$C$10,M$10-DPR!#REF!,IF($AK$5=$C$11,M$11-DPR!#REF!))))</f>
        <v>#REF!</v>
      </c>
      <c r="N37" s="870" t="e">
        <f>MAX(0,IF($AK$5=$C$9,N$9-DPR!#REF!,IF($AK$5=$C$10,N$10-DPR!#REF!,IF($AK$5=$C$11,N$11-DPR!#REF!))))</f>
        <v>#REF!</v>
      </c>
      <c r="O37" s="870" t="e">
        <f>MAX(0,IF($AK$5=$C$9,O$9-DPR!#REF!,IF($AK$5=$C$10,O$10-DPR!#REF!,IF($AK$5=$C$11,O$11-DPR!#REF!))))</f>
        <v>#REF!</v>
      </c>
      <c r="P37" s="870" t="e">
        <f>MAX(0,IF($AK$5=$C$9,P$9-DPR!#REF!,IF($AK$5=$C$10,P$10-DPR!#REF!,IF($AK$5=$C$11,P$11-DPR!#REF!))))</f>
        <v>#REF!</v>
      </c>
      <c r="Q37" s="870">
        <v>0</v>
      </c>
      <c r="R37" s="919" t="e">
        <f t="shared" si="1"/>
        <v>#REF!</v>
      </c>
      <c r="S37" s="878" t="e">
        <f>MAX(0,IF($AK$5=$C$9,S$9-DPR!#REF!,IF($AK$5=$C$10,S$10-DPR!#REF!,IF($AK$5=$C$11,S$11-DPR!#REF!))))</f>
        <v>#REF!</v>
      </c>
      <c r="T37" s="878" t="e">
        <f>MAX(0,IF($AK$5=$C$9,T$9-DPR!#REF!,IF($AK$5=$C$10,T$10-DPR!#REF!,IF($AK$5=$C$11,T$11-DPR!#REF!))))</f>
        <v>#REF!</v>
      </c>
      <c r="U37" s="878" t="e">
        <f>MAX(0,IF($AK$5=$C$9,U$9-DPR!#REF!,IF($AK$5=$C$10,U$10-DPR!#REF!,IF($AK$5=$C$11,U$11-DPR!#REF!))))</f>
        <v>#REF!</v>
      </c>
      <c r="V37" s="878" t="e">
        <f>MAX(0,IF($AK$5=$C$9,V$9-DPR!#REF!,IF($AK$5=$C$10,V$10-DPR!#REF!,IF($AK$5=$C$11,V$11-DPR!#REF!))))</f>
        <v>#REF!</v>
      </c>
      <c r="W37" s="878" t="e">
        <f>MAX(0,IF($AK$5=$C$9,W$9-DPR!#REF!,IF($AK$5=$C$10,W$10-DPR!#REF!,IF($AK$5=$C$11,W$11-DPR!#REF!))))</f>
        <v>#REF!</v>
      </c>
      <c r="X37" s="878" t="e">
        <f>MAX(0,IF($AK$5=$C$9,X$9-DPR!#REF!,IF($AK$5=$C$10,X$10-DPR!#REF!,IF($AK$5=$C$11,X$11-DPR!#REF!))))</f>
        <v>#REF!</v>
      </c>
      <c r="Y37" s="878" t="e">
        <f>MAX(0,IF($AK$5=$C$9,Y$9-DPR!#REF!,IF($AK$5=$C$10,Y$10-DPR!#REF!,IF($AK$5=$C$11,Y$11-DPR!#REF!))))</f>
        <v>#REF!</v>
      </c>
      <c r="Z37" s="878" t="e">
        <f>MAX(0,IF($AK$5=$C$9,Z$9-DPR!#REF!,IF($AK$5=$C$10,Z$10-DPR!#REF!,IF($AK$5=$C$11,Z$11-DPR!#REF!))))</f>
        <v>#REF!</v>
      </c>
      <c r="AA37" s="878" t="e">
        <f>MAX(0,IF($AK$5=$C$9,AA$9-DPR!#REF!,IF($AK$5=$C$10,AA$10-DPR!#REF!,IF($AK$5=$C$11,AA$11-DPR!#REF!))))</f>
        <v>#REF!</v>
      </c>
      <c r="AB37" s="878" t="e">
        <f>MAX(0,IF($AK$5=$C$9,AB$9-DPR!#REF!,IF($AK$5=$C$10,AB$10-DPR!#REF!,IF($AK$5=$C$11,AB$11-DPR!#REF!))))</f>
        <v>#REF!</v>
      </c>
      <c r="AC37" s="878" t="e">
        <f>MAX(0,IF($AK$5=$C$9,AC$9-DPR!#REF!,IF($AK$5=$C$10,AC$10-DPR!#REF!,IF($AK$5=$C$11,AC$11-DPR!#REF!))))</f>
        <v>#REF!</v>
      </c>
      <c r="AD37" s="878" t="e">
        <f>MAX(0,IF($AK$5=$C$9,AD$9-DPR!#REF!,IF($AK$5=$C$10,AD$10-DPR!#REF!,IF($AK$5=$C$11,AD$11-DPR!#REF!))))</f>
        <v>#REF!</v>
      </c>
      <c r="AE37" s="878" t="e">
        <f>MAX(0,IF($AK$5=$C$9,AE$9-DPR!#REF!,IF($AK$5=$C$10,AE$10-DPR!#REF!,IF($AK$5=$C$11,AE$11-DPR!#REF!))))</f>
        <v>#REF!</v>
      </c>
      <c r="AF37" s="878" t="e">
        <f>MAX(0,IF($AK$5=$C$9,AF$9-DPR!#REF!,IF($AK$5=$C$10,AF$10-DPR!#REF!,IF($AK$5=$C$11,AF$11-DPR!#REF!))))</f>
        <v>#REF!</v>
      </c>
      <c r="AG37" s="920" t="e">
        <f t="shared" si="2"/>
        <v>#REF!</v>
      </c>
      <c r="AH37" s="842">
        <f t="shared" si="0"/>
        <v>202504</v>
      </c>
      <c r="AI37" s="826"/>
      <c r="AJ37" t="e">
        <f>DPR!#REF!</f>
        <v>#REF!</v>
      </c>
      <c r="AK37" s="262"/>
      <c r="AL37" s="262"/>
    </row>
    <row r="38" spans="2:38" ht="14.25" customHeight="1">
      <c r="C38" s="918">
        <v>45774</v>
      </c>
      <c r="D38" s="870" t="e">
        <f>MAX(0,IF($AK$5=$C$9,D$9-DPR!#REF!,IF($AK$5=$C$10,D$10-DPR!#REF!,IF($AK$5=$C$11,D$11-DPR!#REF!))))</f>
        <v>#REF!</v>
      </c>
      <c r="E38" s="870" t="e">
        <f>MAX(0,IF($AK$5=$C$9,E$9-DPR!#REF!,IF($AK$5=$C$10,E$10-DPR!#REF!,IF($AK$5=$C$11,E$11-DPR!#REF!))))</f>
        <v>#REF!</v>
      </c>
      <c r="F38" s="870" t="e">
        <f>MAX(0,IF($AK$5=$C$9,F$9-DPR!#REF!,IF($AK$5=$C$10,F$10-DPR!#REF!,IF($AK$5=$C$11,F$11-DPR!#REF!))))</f>
        <v>#REF!</v>
      </c>
      <c r="G38" s="870" t="e">
        <f>MAX(0,IF($AK$5=$C$9,G$9-DPR!#REF!,IF($AK$5=$C$10,G$10-DPR!#REF!,IF($AK$5=$C$11,G$11-DPR!#REF!))))</f>
        <v>#REF!</v>
      </c>
      <c r="H38" s="870" t="e">
        <f>MAX(0,IF($AK$5=$C$9,H$9-DPR!#REF!,IF($AK$5=$C$10,H$10-DPR!#REF!,IF($AK$5=$C$11,H$11-DPR!#REF!))))</f>
        <v>#REF!</v>
      </c>
      <c r="I38" s="870" t="e">
        <f>MAX(0,IF($AK$5=$C$9,I$9-DPR!#REF!,IF($AK$5=$C$10,I$10-DPR!#REF!,IF($AK$5=$C$11,I$11-DPR!#REF!))))</f>
        <v>#REF!</v>
      </c>
      <c r="J38" s="870" t="e">
        <f>MAX(0,IF($AK$5=$C$9,J$9-DPR!#REF!,IF($AK$5=$C$10,J$10-DPR!#REF!,IF($AK$5=$C$11,J$11-DPR!#REF!))))</f>
        <v>#REF!</v>
      </c>
      <c r="K38" s="870" t="e">
        <f>MAX(0,IF($AK$5=$C$9,K$9-DPR!#REF!,IF($AK$5=$C$10,K$10-DPR!#REF!,IF($AK$5=$C$11,K$11-DPR!#REF!))))</f>
        <v>#REF!</v>
      </c>
      <c r="L38" s="870" t="e">
        <f>MAX(0,IF($AK$5=$C$9,L$9-DPR!#REF!,IF($AK$5=$C$10,L$10-DPR!#REF!,IF($AK$5=$C$11,L$11-DPR!#REF!))))</f>
        <v>#REF!</v>
      </c>
      <c r="M38" s="870" t="e">
        <f>MAX(0,IF($AK$5=$C$9,M$9-DPR!#REF!,IF($AK$5=$C$10,M$10-DPR!#REF!,IF($AK$5=$C$11,M$11-DPR!#REF!))))</f>
        <v>#REF!</v>
      </c>
      <c r="N38" s="870" t="e">
        <f>MAX(0,IF($AK$5=$C$9,N$9-DPR!#REF!,IF($AK$5=$C$10,N$10-DPR!#REF!,IF($AK$5=$C$11,N$11-DPR!#REF!))))</f>
        <v>#REF!</v>
      </c>
      <c r="O38" s="870" t="e">
        <f>MAX(0,IF($AK$5=$C$9,O$9-DPR!#REF!,IF($AK$5=$C$10,O$10-DPR!#REF!,IF($AK$5=$C$11,O$11-DPR!#REF!))))</f>
        <v>#REF!</v>
      </c>
      <c r="P38" s="870" t="e">
        <f>MAX(0,IF($AK$5=$C$9,P$9-DPR!#REF!,IF($AK$5=$C$10,P$10-DPR!#REF!,IF($AK$5=$C$11,P$11-DPR!#REF!))))</f>
        <v>#REF!</v>
      </c>
      <c r="Q38" s="874">
        <v>0</v>
      </c>
      <c r="R38" s="919" t="e">
        <f t="shared" si="1"/>
        <v>#REF!</v>
      </c>
      <c r="S38" s="878" t="e">
        <f>MAX(0,IF($AK$5=$C$9,S$9-DPR!#REF!,IF($AK$5=$C$10,S$10-DPR!#REF!,IF($AK$5=$C$11,S$11-DPR!#REF!))))</f>
        <v>#REF!</v>
      </c>
      <c r="T38" s="878" t="e">
        <f>MAX(0,IF($AK$5=$C$9,T$9-DPR!#REF!,IF($AK$5=$C$10,T$10-DPR!#REF!,IF($AK$5=$C$11,T$11-DPR!#REF!))))</f>
        <v>#REF!</v>
      </c>
      <c r="U38" s="878" t="e">
        <f>MAX(0,IF($AK$5=$C$9,U$9-DPR!#REF!,IF($AK$5=$C$10,U$10-DPR!#REF!,IF($AK$5=$C$11,U$11-DPR!#REF!))))</f>
        <v>#REF!</v>
      </c>
      <c r="V38" s="878" t="e">
        <f>MAX(0,IF($AK$5=$C$9,V$9-DPR!#REF!,IF($AK$5=$C$10,V$10-DPR!#REF!,IF($AK$5=$C$11,V$11-DPR!#REF!))))</f>
        <v>#REF!</v>
      </c>
      <c r="W38" s="878" t="e">
        <f>MAX(0,IF($AK$5=$C$9,W$9-DPR!#REF!,IF($AK$5=$C$10,W$10-DPR!#REF!,IF($AK$5=$C$11,W$11-DPR!#REF!))))</f>
        <v>#REF!</v>
      </c>
      <c r="X38" s="878" t="e">
        <f>MAX(0,IF($AK$5=$C$9,X$9-DPR!#REF!,IF($AK$5=$C$10,X$10-DPR!#REF!,IF($AK$5=$C$11,X$11-DPR!#REF!))))</f>
        <v>#REF!</v>
      </c>
      <c r="Y38" s="878" t="e">
        <f>MAX(0,IF($AK$5=$C$9,Y$9-DPR!#REF!,IF($AK$5=$C$10,Y$10-DPR!#REF!,IF($AK$5=$C$11,Y$11-DPR!#REF!))))</f>
        <v>#REF!</v>
      </c>
      <c r="Z38" s="878" t="e">
        <f>MAX(0,IF($AK$5=$C$9,Z$9-DPR!#REF!,IF($AK$5=$C$10,Z$10-DPR!#REF!,IF($AK$5=$C$11,Z$11-DPR!#REF!))))</f>
        <v>#REF!</v>
      </c>
      <c r="AA38" s="878" t="e">
        <f>MAX(0,IF($AK$5=$C$9,AA$9-DPR!#REF!,IF($AK$5=$C$10,AA$10-DPR!#REF!,IF($AK$5=$C$11,AA$11-DPR!#REF!))))</f>
        <v>#REF!</v>
      </c>
      <c r="AB38" s="878" t="e">
        <f>MAX(0,IF($AK$5=$C$9,AB$9-DPR!#REF!,IF($AK$5=$C$10,AB$10-DPR!#REF!,IF($AK$5=$C$11,AB$11-DPR!#REF!))))</f>
        <v>#REF!</v>
      </c>
      <c r="AC38" s="878" t="e">
        <f>MAX(0,IF($AK$5=$C$9,AC$9-DPR!#REF!,IF($AK$5=$C$10,AC$10-DPR!#REF!,IF($AK$5=$C$11,AC$11-DPR!#REF!))))</f>
        <v>#REF!</v>
      </c>
      <c r="AD38" s="878" t="e">
        <f>MAX(0,IF($AK$5=$C$9,AD$9-DPR!#REF!,IF($AK$5=$C$10,AD$10-DPR!#REF!,IF($AK$5=$C$11,AD$11-DPR!#REF!))))</f>
        <v>#REF!</v>
      </c>
      <c r="AE38" s="878" t="e">
        <f>MAX(0,IF($AK$5=$C$9,AE$9-DPR!#REF!,IF($AK$5=$C$10,AE$10-DPR!#REF!,IF($AK$5=$C$11,AE$11-DPR!#REF!))))</f>
        <v>#REF!</v>
      </c>
      <c r="AF38" s="878" t="e">
        <f>MAX(0,IF($AK$5=$C$9,AF$9-DPR!#REF!,IF($AK$5=$C$10,AF$10-DPR!#REF!,IF($AK$5=$C$11,AF$11-DPR!#REF!))))</f>
        <v>#REF!</v>
      </c>
      <c r="AG38" s="920" t="e">
        <f t="shared" si="2"/>
        <v>#REF!</v>
      </c>
      <c r="AH38" s="842">
        <f t="shared" si="0"/>
        <v>202504</v>
      </c>
      <c r="AI38" s="826"/>
      <c r="AJ38" t="e">
        <f>DPR!#REF!</f>
        <v>#REF!</v>
      </c>
      <c r="AK38" s="262"/>
      <c r="AL38" s="262"/>
    </row>
    <row r="39" spans="2:38" ht="17.25" customHeight="1">
      <c r="C39" s="918">
        <v>45775</v>
      </c>
      <c r="D39" s="870" t="e">
        <f>MAX(0,IF($AK$5=$C$9,D$9-DPR!#REF!,IF($AK$5=$C$10,D$10-DPR!#REF!,IF($AK$5=$C$11,D$11-DPR!#REF!))))</f>
        <v>#REF!</v>
      </c>
      <c r="E39" s="870" t="e">
        <f>MAX(0,IF($AK$5=$C$9,E$9-DPR!#REF!,IF($AK$5=$C$10,E$10-DPR!#REF!,IF($AK$5=$C$11,E$11-DPR!#REF!))))</f>
        <v>#REF!</v>
      </c>
      <c r="F39" s="870" t="e">
        <f>MAX(0,IF($AK$5=$C$9,F$9-DPR!#REF!,IF($AK$5=$C$10,F$10-DPR!#REF!,IF($AK$5=$C$11,F$11-DPR!#REF!))))</f>
        <v>#REF!</v>
      </c>
      <c r="G39" s="870" t="e">
        <f>MAX(0,IF($AK$5=$C$9,G$9-DPR!#REF!,IF($AK$5=$C$10,G$10-DPR!#REF!,IF($AK$5=$C$11,G$11-DPR!#REF!))))</f>
        <v>#REF!</v>
      </c>
      <c r="H39" s="870" t="e">
        <f>MAX(0,IF($AK$5=$C$9,H$9-DPR!#REF!,IF($AK$5=$C$10,H$10-DPR!#REF!,IF($AK$5=$C$11,H$11-DPR!#REF!))))</f>
        <v>#REF!</v>
      </c>
      <c r="I39" s="870" t="e">
        <f>MAX(0,IF($AK$5=$C$9,I$9-DPR!#REF!,IF($AK$5=$C$10,I$10-DPR!#REF!,IF($AK$5=$C$11,I$11-DPR!#REF!))))</f>
        <v>#REF!</v>
      </c>
      <c r="J39" s="870" t="e">
        <f>MAX(0,IF($AK$5=$C$9,J$9-DPR!#REF!,IF($AK$5=$C$10,J$10-DPR!#REF!,IF($AK$5=$C$11,J$11-DPR!#REF!))))</f>
        <v>#REF!</v>
      </c>
      <c r="K39" s="870" t="e">
        <f>MAX(0,IF($AK$5=$C$9,K$9-DPR!#REF!,IF($AK$5=$C$10,K$10-DPR!#REF!,IF($AK$5=$C$11,K$11-DPR!#REF!))))</f>
        <v>#REF!</v>
      </c>
      <c r="L39" s="870" t="e">
        <f>MAX(0,IF($AK$5=$C$9,L$9-DPR!#REF!,IF($AK$5=$C$10,L$10-DPR!#REF!,IF($AK$5=$C$11,L$11-DPR!#REF!))))</f>
        <v>#REF!</v>
      </c>
      <c r="M39" s="870" t="e">
        <f>MAX(0,IF($AK$5=$C$9,M$9-DPR!#REF!,IF($AK$5=$C$10,M$10-DPR!#REF!,IF($AK$5=$C$11,M$11-DPR!#REF!))))</f>
        <v>#REF!</v>
      </c>
      <c r="N39" s="870" t="e">
        <f>MAX(0,IF($AK$5=$C$9,N$9-DPR!#REF!,IF($AK$5=$C$10,N$10-DPR!#REF!,IF($AK$5=$C$11,N$11-DPR!#REF!))))</f>
        <v>#REF!</v>
      </c>
      <c r="O39" s="870" t="e">
        <f>MAX(0,IF($AK$5=$C$9,O$9-DPR!#REF!,IF($AK$5=$C$10,O$10-DPR!#REF!,IF($AK$5=$C$11,O$11-DPR!#REF!))))</f>
        <v>#REF!</v>
      </c>
      <c r="P39" s="870" t="e">
        <f>MAX(0,IF($AK$5=$C$9,P$9-DPR!#REF!,IF($AK$5=$C$10,P$10-DPR!#REF!,IF($AK$5=$C$11,P$11-DPR!#REF!))))</f>
        <v>#REF!</v>
      </c>
      <c r="Q39" s="870"/>
      <c r="R39" s="919" t="e">
        <f t="shared" si="1"/>
        <v>#REF!</v>
      </c>
      <c r="S39" s="878" t="e">
        <f>MAX(0,IF($AK$5=$C$9,S$9-DPR!#REF!,IF($AK$5=$C$10,S$10-DPR!#REF!,IF($AK$5=$C$11,S$11-DPR!#REF!))))</f>
        <v>#REF!</v>
      </c>
      <c r="T39" s="878" t="e">
        <f>MAX(0,IF($AK$5=$C$9,T$9-DPR!#REF!,IF($AK$5=$C$10,T$10-DPR!#REF!,IF($AK$5=$C$11,T$11-DPR!#REF!))))</f>
        <v>#REF!</v>
      </c>
      <c r="U39" s="878" t="e">
        <f>MAX(0,IF($AK$5=$C$9,U$9-DPR!#REF!,IF($AK$5=$C$10,U$10-DPR!#REF!,IF($AK$5=$C$11,U$11-DPR!#REF!))))</f>
        <v>#REF!</v>
      </c>
      <c r="V39" s="878" t="e">
        <f>MAX(0,IF($AK$5=$C$9,V$9-DPR!#REF!,IF($AK$5=$C$10,V$10-DPR!#REF!,IF($AK$5=$C$11,V$11-DPR!#REF!))))</f>
        <v>#REF!</v>
      </c>
      <c r="W39" s="878" t="e">
        <f>MAX(0,IF($AK$5=$C$9,W$9-DPR!#REF!,IF($AK$5=$C$10,W$10-DPR!#REF!,IF($AK$5=$C$11,W$11-DPR!#REF!))))</f>
        <v>#REF!</v>
      </c>
      <c r="X39" s="878" t="e">
        <f>MAX(0,IF($AK$5=$C$9,X$9-DPR!#REF!,IF($AK$5=$C$10,X$10-DPR!#REF!,IF($AK$5=$C$11,X$11-DPR!#REF!))))</f>
        <v>#REF!</v>
      </c>
      <c r="Y39" s="878" t="e">
        <f>MAX(0,IF($AK$5=$C$9,Y$9-DPR!#REF!,IF($AK$5=$C$10,Y$10-DPR!#REF!,IF($AK$5=$C$11,Y$11-DPR!#REF!))))</f>
        <v>#REF!</v>
      </c>
      <c r="Z39" s="878" t="e">
        <f>MAX(0,IF($AK$5=$C$9,Z$9-DPR!#REF!,IF($AK$5=$C$10,Z$10-DPR!#REF!,IF($AK$5=$C$11,Z$11-DPR!#REF!))))</f>
        <v>#REF!</v>
      </c>
      <c r="AA39" s="878" t="e">
        <f>MAX(0,IF($AK$5=$C$9,AA$9-DPR!#REF!,IF($AK$5=$C$10,AA$10-DPR!#REF!,IF($AK$5=$C$11,AA$11-DPR!#REF!))))</f>
        <v>#REF!</v>
      </c>
      <c r="AB39" s="878" t="e">
        <f>MAX(0,IF($AK$5=$C$9,AB$9-DPR!#REF!,IF($AK$5=$C$10,AB$10-DPR!#REF!,IF($AK$5=$C$11,AB$11-DPR!#REF!))))</f>
        <v>#REF!</v>
      </c>
      <c r="AC39" s="878" t="e">
        <f>MAX(0,IF($AK$5=$C$9,AC$9-DPR!#REF!,IF($AK$5=$C$10,AC$10-DPR!#REF!,IF($AK$5=$C$11,AC$11-DPR!#REF!))))</f>
        <v>#REF!</v>
      </c>
      <c r="AD39" s="878" t="e">
        <f>MAX(0,IF($AK$5=$C$9,AD$9-DPR!#REF!,IF($AK$5=$C$10,AD$10-DPR!#REF!,IF($AK$5=$C$11,AD$11-DPR!#REF!))))</f>
        <v>#REF!</v>
      </c>
      <c r="AE39" s="878" t="e">
        <f>MAX(0,IF($AK$5=$C$9,AE$9-DPR!#REF!,IF($AK$5=$C$10,AE$10-DPR!#REF!,IF($AK$5=$C$11,AE$11-DPR!#REF!))))</f>
        <v>#REF!</v>
      </c>
      <c r="AF39" s="878" t="e">
        <f>MAX(0,IF($AK$5=$C$9,AF$9-DPR!#REF!,IF($AK$5=$C$10,AF$10-DPR!#REF!,IF($AK$5=$C$11,AF$11-DPR!#REF!))))</f>
        <v>#REF!</v>
      </c>
      <c r="AG39" s="920" t="e">
        <f t="shared" si="2"/>
        <v>#REF!</v>
      </c>
      <c r="AH39" s="842">
        <f t="shared" si="0"/>
        <v>202504</v>
      </c>
      <c r="AI39" s="826"/>
      <c r="AJ39" t="e">
        <f>DPR!#REF!</f>
        <v>#REF!</v>
      </c>
      <c r="AK39" s="262"/>
      <c r="AL39" s="262"/>
    </row>
    <row r="40" spans="2:38" ht="15.75">
      <c r="C40" s="918">
        <v>45776</v>
      </c>
      <c r="D40" s="870" t="e">
        <f>MAX(0,IF($AK$5=$C$9,D$9-DPR!#REF!,IF($AK$5=$C$10,D$10-DPR!#REF!,IF($AK$5=$C$11,D$11-DPR!#REF!))))</f>
        <v>#REF!</v>
      </c>
      <c r="E40" s="870" t="e">
        <f>MAX(0,IF($AK$5=$C$9,E$9-DPR!#REF!,IF($AK$5=$C$10,E$10-DPR!#REF!,IF($AK$5=$C$11,E$11-DPR!#REF!))))</f>
        <v>#REF!</v>
      </c>
      <c r="F40" s="870" t="e">
        <f>MAX(0,IF($AK$5=$C$9,F$9-DPR!#REF!,IF($AK$5=$C$10,F$10-DPR!#REF!,IF($AK$5=$C$11,F$11-DPR!#REF!))))</f>
        <v>#REF!</v>
      </c>
      <c r="G40" s="870" t="e">
        <f>MAX(0,IF($AK$5=$C$9,G$9-DPR!#REF!,IF($AK$5=$C$10,G$10-DPR!#REF!,IF($AK$5=$C$11,G$11-DPR!#REF!))))</f>
        <v>#REF!</v>
      </c>
      <c r="H40" s="870" t="e">
        <f>MAX(0,IF($AK$5=$C$9,H$9-DPR!#REF!,IF($AK$5=$C$10,H$10-DPR!#REF!,IF($AK$5=$C$11,H$11-DPR!#REF!))))</f>
        <v>#REF!</v>
      </c>
      <c r="I40" s="870" t="e">
        <f>MAX(0,IF($AK$5=$C$9,I$9-DPR!#REF!,IF($AK$5=$C$10,I$10-DPR!#REF!,IF($AK$5=$C$11,I$11-DPR!#REF!))))</f>
        <v>#REF!</v>
      </c>
      <c r="J40" s="870" t="e">
        <f>MAX(0,IF($AK$5=$C$9,J$9-DPR!#REF!,IF($AK$5=$C$10,J$10-DPR!#REF!,IF($AK$5=$C$11,J$11-DPR!#REF!))))</f>
        <v>#REF!</v>
      </c>
      <c r="K40" s="870" t="e">
        <f>MAX(0,IF($AK$5=$C$9,K$9-DPR!#REF!,IF($AK$5=$C$10,K$10-DPR!#REF!,IF($AK$5=$C$11,K$11-DPR!#REF!))))</f>
        <v>#REF!</v>
      </c>
      <c r="L40" s="870" t="e">
        <f>MAX(0,IF($AK$5=$C$9,L$9-DPR!#REF!,IF($AK$5=$C$10,L$10-DPR!#REF!,IF($AK$5=$C$11,L$11-DPR!#REF!))))</f>
        <v>#REF!</v>
      </c>
      <c r="M40" s="870" t="e">
        <f>MAX(0,IF($AK$5=$C$9,M$9-DPR!#REF!,IF($AK$5=$C$10,M$10-DPR!#REF!,IF($AK$5=$C$11,M$11-DPR!#REF!))))</f>
        <v>#REF!</v>
      </c>
      <c r="N40" s="870" t="e">
        <f>MAX(0,IF($AK$5=$C$9,N$9-DPR!#REF!,IF($AK$5=$C$10,N$10-DPR!#REF!,IF($AK$5=$C$11,N$11-DPR!#REF!))))</f>
        <v>#REF!</v>
      </c>
      <c r="O40" s="870" t="e">
        <f>MAX(0,IF($AK$5=$C$9,O$9-DPR!#REF!,IF($AK$5=$C$10,O$10-DPR!#REF!,IF($AK$5=$C$11,O$11-DPR!#REF!))))</f>
        <v>#REF!</v>
      </c>
      <c r="P40" s="870" t="e">
        <f>MAX(0,IF($AK$5=$C$9,P$9-DPR!#REF!,IF($AK$5=$C$10,P$10-DPR!#REF!,IF($AK$5=$C$11,P$11-DPR!#REF!))))</f>
        <v>#REF!</v>
      </c>
      <c r="Q40" s="874">
        <v>0</v>
      </c>
      <c r="R40" s="919" t="e">
        <f t="shared" si="1"/>
        <v>#REF!</v>
      </c>
      <c r="S40" s="878" t="e">
        <f>MAX(0,IF($AK$5=$C$9,S$9-DPR!#REF!,IF($AK$5=$C$10,S$10-DPR!#REF!,IF($AK$5=$C$11,S$11-DPR!#REF!))))</f>
        <v>#REF!</v>
      </c>
      <c r="T40" s="878" t="e">
        <f>MAX(0,IF($AK$5=$C$9,T$9-DPR!#REF!,IF($AK$5=$C$10,T$10-DPR!#REF!,IF($AK$5=$C$11,T$11-DPR!#REF!))))</f>
        <v>#REF!</v>
      </c>
      <c r="U40" s="878" t="e">
        <f>MAX(0,IF($AK$5=$C$9,U$9-DPR!#REF!,IF($AK$5=$C$10,U$10-DPR!#REF!,IF($AK$5=$C$11,U$11-DPR!#REF!))))</f>
        <v>#REF!</v>
      </c>
      <c r="V40" s="878" t="e">
        <f>MAX(0,IF($AK$5=$C$9,V$9-DPR!#REF!,IF($AK$5=$C$10,V$10-DPR!#REF!,IF($AK$5=$C$11,V$11-DPR!#REF!))))</f>
        <v>#REF!</v>
      </c>
      <c r="W40" s="878" t="e">
        <f>MAX(0,IF($AK$5=$C$9,W$9-DPR!#REF!,IF($AK$5=$C$10,W$10-DPR!#REF!,IF($AK$5=$C$11,W$11-DPR!#REF!))))</f>
        <v>#REF!</v>
      </c>
      <c r="X40" s="878" t="e">
        <f>MAX(0,IF($AK$5=$C$9,X$9-DPR!#REF!,IF($AK$5=$C$10,X$10-DPR!#REF!,IF($AK$5=$C$11,X$11-DPR!#REF!))))</f>
        <v>#REF!</v>
      </c>
      <c r="Y40" s="878" t="e">
        <f>MAX(0,IF($AK$5=$C$9,Y$9-DPR!#REF!,IF($AK$5=$C$10,Y$10-DPR!#REF!,IF($AK$5=$C$11,Y$11-DPR!#REF!))))</f>
        <v>#REF!</v>
      </c>
      <c r="Z40" s="878" t="e">
        <f>MAX(0,IF($AK$5=$C$9,Z$9-DPR!#REF!,IF($AK$5=$C$10,Z$10-DPR!#REF!,IF($AK$5=$C$11,Z$11-DPR!#REF!))))</f>
        <v>#REF!</v>
      </c>
      <c r="AA40" s="878" t="e">
        <f>MAX(0,IF($AK$5=$C$9,AA$9-DPR!#REF!,IF($AK$5=$C$10,AA$10-DPR!#REF!,IF($AK$5=$C$11,AA$11-DPR!#REF!))))</f>
        <v>#REF!</v>
      </c>
      <c r="AB40" s="878" t="e">
        <f>MAX(0,IF($AK$5=$C$9,AB$9-DPR!#REF!,IF($AK$5=$C$10,AB$10-DPR!#REF!,IF($AK$5=$C$11,AB$11-DPR!#REF!))))</f>
        <v>#REF!</v>
      </c>
      <c r="AC40" s="878" t="e">
        <f>MAX(0,IF($AK$5=$C$9,AC$9-DPR!#REF!,IF($AK$5=$C$10,AC$10-DPR!#REF!,IF($AK$5=$C$11,AC$11-DPR!#REF!))))</f>
        <v>#REF!</v>
      </c>
      <c r="AD40" s="878" t="e">
        <f>MAX(0,IF($AK$5=$C$9,AD$9-DPR!#REF!,IF($AK$5=$C$10,AD$10-DPR!#REF!,IF($AK$5=$C$11,AD$11-DPR!#REF!))))</f>
        <v>#REF!</v>
      </c>
      <c r="AE40" s="878" t="e">
        <f>MAX(0,IF($AK$5=$C$9,AE$9-DPR!#REF!,IF($AK$5=$C$10,AE$10-DPR!#REF!,IF($AK$5=$C$11,AE$11-DPR!#REF!))))</f>
        <v>#REF!</v>
      </c>
      <c r="AF40" s="878" t="e">
        <f>MAX(0,IF($AK$5=$C$9,AF$9-DPR!#REF!,IF($AK$5=$C$10,AF$10-DPR!#REF!,IF($AK$5=$C$11,AF$11-DPR!#REF!))))</f>
        <v>#REF!</v>
      </c>
      <c r="AG40" s="920" t="e">
        <f t="shared" si="2"/>
        <v>#REF!</v>
      </c>
      <c r="AH40" s="842">
        <f t="shared" si="0"/>
        <v>202504</v>
      </c>
      <c r="AI40" s="826"/>
      <c r="AJ40" t="e">
        <f>DPR!#REF!</f>
        <v>#REF!</v>
      </c>
      <c r="AK40" s="262"/>
      <c r="AL40" s="262"/>
    </row>
    <row r="41" spans="2:38" ht="15.75">
      <c r="C41" s="918">
        <v>45777</v>
      </c>
      <c r="D41" s="870" t="e">
        <f>MAX(0,IF($AK$5=$C$9,D$9-DPR!#REF!,IF($AK$5=$C$10,D$10-DPR!#REF!,IF($AK$5=$C$11,D$11-DPR!#REF!))))</f>
        <v>#REF!</v>
      </c>
      <c r="E41" s="870" t="e">
        <f>MAX(0,IF($AK$5=$C$9,E$9-DPR!#REF!,IF($AK$5=$C$10,E$10-DPR!#REF!,IF($AK$5=$C$11,E$11-DPR!#REF!))))</f>
        <v>#REF!</v>
      </c>
      <c r="F41" s="870" t="e">
        <f>MAX(0,IF($AK$5=$C$9,F$9-DPR!#REF!,IF($AK$5=$C$10,F$10-DPR!#REF!,IF($AK$5=$C$11,F$11-DPR!#REF!))))</f>
        <v>#REF!</v>
      </c>
      <c r="G41" s="870" t="e">
        <f>MAX(0,IF($AK$5=$C$9,G$9-DPR!#REF!,IF($AK$5=$C$10,G$10-DPR!#REF!,IF($AK$5=$C$11,G$11-DPR!#REF!))))</f>
        <v>#REF!</v>
      </c>
      <c r="H41" s="870" t="e">
        <f>MAX(0,IF($AK$5=$C$9,H$9-DPR!#REF!,IF($AK$5=$C$10,H$10-DPR!#REF!,IF($AK$5=$C$11,H$11-DPR!#REF!))))</f>
        <v>#REF!</v>
      </c>
      <c r="I41" s="870" t="e">
        <f>MAX(0,IF($AK$5=$C$9,I$9-DPR!#REF!,IF($AK$5=$C$10,I$10-DPR!#REF!,IF($AK$5=$C$11,I$11-DPR!#REF!))))</f>
        <v>#REF!</v>
      </c>
      <c r="J41" s="870" t="e">
        <f>MAX(0,IF($AK$5=$C$9,J$9-DPR!#REF!,IF($AK$5=$C$10,J$10-DPR!#REF!,IF($AK$5=$C$11,J$11-DPR!#REF!))))</f>
        <v>#REF!</v>
      </c>
      <c r="K41" s="870" t="e">
        <f>MAX(0,IF($AK$5=$C$9,K$9-DPR!#REF!,IF($AK$5=$C$10,K$10-DPR!#REF!,IF($AK$5=$C$11,K$11-DPR!#REF!))))</f>
        <v>#REF!</v>
      </c>
      <c r="L41" s="870" t="e">
        <f>MAX(0,IF($AK$5=$C$9,L$9-DPR!#REF!,IF($AK$5=$C$10,L$10-DPR!#REF!,IF($AK$5=$C$11,L$11-DPR!#REF!))))</f>
        <v>#REF!</v>
      </c>
      <c r="M41" s="870" t="e">
        <f>MAX(0,IF($AK$5=$C$9,M$9-DPR!#REF!,IF($AK$5=$C$10,M$10-DPR!#REF!,IF($AK$5=$C$11,M$11-DPR!#REF!))))</f>
        <v>#REF!</v>
      </c>
      <c r="N41" s="870" t="e">
        <f>MAX(0,IF($AK$5=$C$9,N$9-DPR!#REF!,IF($AK$5=$C$10,N$10-DPR!#REF!,IF($AK$5=$C$11,N$11-DPR!#REF!))))</f>
        <v>#REF!</v>
      </c>
      <c r="O41" s="870" t="e">
        <f>MAX(0,IF($AK$5=$C$9,O$9-DPR!#REF!,IF($AK$5=$C$10,O$10-DPR!#REF!,IF($AK$5=$C$11,O$11-DPR!#REF!))))</f>
        <v>#REF!</v>
      </c>
      <c r="P41" s="870" t="e">
        <f>MAX(0,IF($AK$5=$C$9,P$9-DPR!#REF!,IF($AK$5=$C$10,P$10-DPR!#REF!,IF($AK$5=$C$11,P$11-DPR!#REF!))))</f>
        <v>#REF!</v>
      </c>
      <c r="Q41" s="870">
        <v>0</v>
      </c>
      <c r="R41" s="919" t="e">
        <f t="shared" si="1"/>
        <v>#REF!</v>
      </c>
      <c r="S41" s="878" t="e">
        <f>MAX(0,IF($AK$5=$C$9,S$9-DPR!#REF!,IF($AK$5=$C$10,S$10-DPR!#REF!,IF($AK$5=$C$11,S$11-DPR!#REF!))))</f>
        <v>#REF!</v>
      </c>
      <c r="T41" s="878" t="e">
        <f>MAX(0,IF($AK$5=$C$9,T$9-DPR!#REF!,IF($AK$5=$C$10,T$10-DPR!#REF!,IF($AK$5=$C$11,T$11-DPR!#REF!))))</f>
        <v>#REF!</v>
      </c>
      <c r="U41" s="878" t="e">
        <f>MAX(0,IF($AK$5=$C$9,U$9-DPR!#REF!,IF($AK$5=$C$10,U$10-DPR!#REF!,IF($AK$5=$C$11,U$11-DPR!#REF!))))</f>
        <v>#REF!</v>
      </c>
      <c r="V41" s="878" t="e">
        <f>MAX(0,IF($AK$5=$C$9,V$9-DPR!#REF!,IF($AK$5=$C$10,V$10-DPR!#REF!,IF($AK$5=$C$11,V$11-DPR!#REF!))))</f>
        <v>#REF!</v>
      </c>
      <c r="W41" s="878" t="e">
        <f>MAX(0,IF($AK$5=$C$9,W$9-DPR!#REF!,IF($AK$5=$C$10,W$10-DPR!#REF!,IF($AK$5=$C$11,W$11-DPR!#REF!))))</f>
        <v>#REF!</v>
      </c>
      <c r="X41" s="878" t="e">
        <f>MAX(0,IF($AK$5=$C$9,X$9-DPR!#REF!,IF($AK$5=$C$10,X$10-DPR!#REF!,IF($AK$5=$C$11,X$11-DPR!#REF!))))</f>
        <v>#REF!</v>
      </c>
      <c r="Y41" s="878" t="e">
        <f>MAX(0,IF($AK$5=$C$9,Y$9-DPR!#REF!,IF($AK$5=$C$10,Y$10-DPR!#REF!,IF($AK$5=$C$11,Y$11-DPR!#REF!))))</f>
        <v>#REF!</v>
      </c>
      <c r="Z41" s="878" t="e">
        <f>MAX(0,IF($AK$5=$C$9,Z$9-DPR!#REF!,IF($AK$5=$C$10,Z$10-DPR!#REF!,IF($AK$5=$C$11,Z$11-DPR!#REF!))))</f>
        <v>#REF!</v>
      </c>
      <c r="AA41" s="878" t="e">
        <f>MAX(0,IF($AK$5=$C$9,AA$9-DPR!#REF!,IF($AK$5=$C$10,AA$10-DPR!#REF!,IF($AK$5=$C$11,AA$11-DPR!#REF!))))</f>
        <v>#REF!</v>
      </c>
      <c r="AB41" s="878" t="e">
        <f>MAX(0,IF($AK$5=$C$9,AB$9-DPR!#REF!,IF($AK$5=$C$10,AB$10-DPR!#REF!,IF($AK$5=$C$11,AB$11-DPR!#REF!))))</f>
        <v>#REF!</v>
      </c>
      <c r="AC41" s="878" t="e">
        <f>MAX(0,IF($AK$5=$C$9,AC$9-DPR!#REF!,IF($AK$5=$C$10,AC$10-DPR!#REF!,IF($AK$5=$C$11,AC$11-DPR!#REF!))))</f>
        <v>#REF!</v>
      </c>
      <c r="AD41" s="878" t="e">
        <f>MAX(0,IF($AK$5=$C$9,AD$9-DPR!#REF!,IF($AK$5=$C$10,AD$10-DPR!#REF!,IF($AK$5=$C$11,AD$11-DPR!#REF!))))</f>
        <v>#REF!</v>
      </c>
      <c r="AE41" s="878" t="e">
        <f>MAX(0,IF($AK$5=$C$9,AE$9-DPR!#REF!,IF($AK$5=$C$10,AE$10-DPR!#REF!,IF($AK$5=$C$11,AE$11-DPR!#REF!))))</f>
        <v>#REF!</v>
      </c>
      <c r="AF41" s="878" t="e">
        <f>MAX(0,IF($AK$5=$C$9,AF$9-DPR!#REF!,IF($AK$5=$C$10,AF$10-DPR!#REF!,IF($AK$5=$C$11,AF$11-DPR!#REF!))))</f>
        <v>#REF!</v>
      </c>
      <c r="AG41" s="920" t="e">
        <f t="shared" si="2"/>
        <v>#REF!</v>
      </c>
      <c r="AH41" s="842">
        <f t="shared" si="0"/>
        <v>202504</v>
      </c>
      <c r="AI41" s="826"/>
      <c r="AJ41" t="e">
        <f>DPR!#REF!</f>
        <v>#REF!</v>
      </c>
      <c r="AK41" s="262"/>
      <c r="AL41" s="262"/>
    </row>
    <row r="42" spans="2:38" ht="15.75">
      <c r="C42" s="918">
        <v>45778</v>
      </c>
      <c r="D42" s="870" t="e">
        <f>MAX(0,IF($AK$5=$C$9,D$9-DPR!#REF!,IF($AK$5=$C$10,D$10-DPR!#REF!,IF($AK$5=$C$11,D$11-DPR!#REF!))))</f>
        <v>#REF!</v>
      </c>
      <c r="E42" s="870" t="e">
        <f>MAX(0,IF($AK$5=$C$9,E$9-DPR!#REF!,IF($AK$5=$C$10,E$10-DPR!#REF!,IF($AK$5=$C$11,E$11-DPR!#REF!))))</f>
        <v>#REF!</v>
      </c>
      <c r="F42" s="870" t="e">
        <f>MAX(0,IF($AK$5=$C$9,F$9-DPR!#REF!,IF($AK$5=$C$10,F$10-DPR!#REF!,IF($AK$5=$C$11,F$11-DPR!#REF!))))</f>
        <v>#REF!</v>
      </c>
      <c r="G42" s="870" t="e">
        <f>MAX(0,IF($AK$5=$C$9,G$9-DPR!#REF!,IF($AK$5=$C$10,G$10-DPR!#REF!,IF($AK$5=$C$11,G$11-DPR!#REF!))))</f>
        <v>#REF!</v>
      </c>
      <c r="H42" s="870" t="e">
        <f>MAX(0,IF($AK$5=$C$9,H$9-DPR!#REF!,IF($AK$5=$C$10,H$10-DPR!#REF!,IF($AK$5=$C$11,H$11-DPR!#REF!))))</f>
        <v>#REF!</v>
      </c>
      <c r="I42" s="870" t="e">
        <f>MAX(0,IF($AK$5=$C$9,I$9-DPR!#REF!,IF($AK$5=$C$10,I$10-DPR!#REF!,IF($AK$5=$C$11,I$11-DPR!#REF!))))</f>
        <v>#REF!</v>
      </c>
      <c r="J42" s="870" t="e">
        <f>MAX(0,IF($AK$5=$C$9,J$9-DPR!#REF!,IF($AK$5=$C$10,J$10-DPR!#REF!,IF($AK$5=$C$11,J$11-DPR!#REF!))))</f>
        <v>#REF!</v>
      </c>
      <c r="K42" s="870" t="e">
        <f>MAX(0,IF($AK$5=$C$9,K$9-DPR!#REF!,IF($AK$5=$C$10,K$10-DPR!#REF!,IF($AK$5=$C$11,K$11-DPR!#REF!))))</f>
        <v>#REF!</v>
      </c>
      <c r="L42" s="870" t="e">
        <f>MAX(0,IF($AK$5=$C$9,L$9-DPR!#REF!,IF($AK$5=$C$10,L$10-DPR!#REF!,IF($AK$5=$C$11,L$11-DPR!#REF!))))</f>
        <v>#REF!</v>
      </c>
      <c r="M42" s="870" t="e">
        <f>MAX(0,IF($AK$5=$C$9,M$9-DPR!#REF!,IF($AK$5=$C$10,M$10-DPR!#REF!,IF($AK$5=$C$11,M$11-DPR!#REF!))))</f>
        <v>#REF!</v>
      </c>
      <c r="N42" s="870" t="e">
        <f>MAX(0,IF($AK$5=$C$9,N$9-DPR!#REF!,IF($AK$5=$C$10,N$10-DPR!#REF!,IF($AK$5=$C$11,N$11-DPR!#REF!))))</f>
        <v>#REF!</v>
      </c>
      <c r="O42" s="870" t="e">
        <f>MAX(0,IF($AK$5=$C$9,O$9-DPR!#REF!,IF($AK$5=$C$10,O$10-DPR!#REF!,IF($AK$5=$C$11,O$11-DPR!#REF!))))</f>
        <v>#REF!</v>
      </c>
      <c r="P42" s="870" t="e">
        <f>MAX(0,IF($AK$5=$C$9,P$9-DPR!#REF!,IF($AK$5=$C$10,P$10-DPR!#REF!,IF($AK$5=$C$11,P$11-DPR!#REF!))))</f>
        <v>#REF!</v>
      </c>
      <c r="Q42" s="874">
        <v>0</v>
      </c>
      <c r="R42" s="919" t="e">
        <f t="shared" si="1"/>
        <v>#REF!</v>
      </c>
      <c r="S42" s="878" t="e">
        <f>MAX(0,IF($AK$5=$C$9,S$9-DPR!#REF!,IF($AK$5=$C$10,S$10-DPR!#REF!,IF($AK$5=$C$11,S$11-DPR!#REF!))))</f>
        <v>#REF!</v>
      </c>
      <c r="T42" s="878" t="e">
        <f>MAX(0,IF($AK$5=$C$9,T$9-DPR!#REF!,IF($AK$5=$C$10,T$10-DPR!#REF!,IF($AK$5=$C$11,T$11-DPR!#REF!))))</f>
        <v>#REF!</v>
      </c>
      <c r="U42" s="878" t="e">
        <f>MAX(0,IF($AK$5=$C$9,U$9-DPR!#REF!,IF($AK$5=$C$10,U$10-DPR!#REF!,IF($AK$5=$C$11,U$11-DPR!#REF!))))</f>
        <v>#REF!</v>
      </c>
      <c r="V42" s="878" t="e">
        <f>MAX(0,IF($AK$5=$C$9,V$9-DPR!#REF!,IF($AK$5=$C$10,V$10-DPR!#REF!,IF($AK$5=$C$11,V$11-DPR!#REF!))))</f>
        <v>#REF!</v>
      </c>
      <c r="W42" s="878" t="e">
        <f>MAX(0,IF($AK$5=$C$9,W$9-DPR!#REF!,IF($AK$5=$C$10,W$10-DPR!#REF!,IF($AK$5=$C$11,W$11-DPR!#REF!))))</f>
        <v>#REF!</v>
      </c>
      <c r="X42" s="878" t="e">
        <f>MAX(0,IF($AK$5=$C$9,X$9-DPR!#REF!,IF($AK$5=$C$10,X$10-DPR!#REF!,IF($AK$5=$C$11,X$11-DPR!#REF!))))</f>
        <v>#REF!</v>
      </c>
      <c r="Y42" s="878" t="e">
        <f>MAX(0,IF($AK$5=$C$9,Y$9-DPR!#REF!,IF($AK$5=$C$10,Y$10-DPR!#REF!,IF($AK$5=$C$11,Y$11-DPR!#REF!))))</f>
        <v>#REF!</v>
      </c>
      <c r="Z42" s="878" t="e">
        <f>MAX(0,IF($AK$5=$C$9,Z$9-DPR!#REF!,IF($AK$5=$C$10,Z$10-DPR!#REF!,IF($AK$5=$C$11,Z$11-DPR!#REF!))))</f>
        <v>#REF!</v>
      </c>
      <c r="AA42" s="878" t="e">
        <f>MAX(0,IF($AK$5=$C$9,AA$9-DPR!#REF!,IF($AK$5=$C$10,AA$10-DPR!#REF!,IF($AK$5=$C$11,AA$11-DPR!#REF!))))</f>
        <v>#REF!</v>
      </c>
      <c r="AB42" s="878" t="e">
        <f>MAX(0,IF($AK$5=$C$9,AB$9-DPR!#REF!,IF($AK$5=$C$10,AB$10-DPR!#REF!,IF($AK$5=$C$11,AB$11-DPR!#REF!))))</f>
        <v>#REF!</v>
      </c>
      <c r="AC42" s="878" t="e">
        <f>MAX(0,IF($AK$5=$C$9,AC$9-DPR!#REF!,IF($AK$5=$C$10,AC$10-DPR!#REF!,IF($AK$5=$C$11,AC$11-DPR!#REF!))))</f>
        <v>#REF!</v>
      </c>
      <c r="AD42" s="878" t="e">
        <f>MAX(0,IF($AK$5=$C$9,AD$9-DPR!#REF!,IF($AK$5=$C$10,AD$10-DPR!#REF!,IF($AK$5=$C$11,AD$11-DPR!#REF!))))</f>
        <v>#REF!</v>
      </c>
      <c r="AE42" s="878" t="e">
        <f>MAX(0,IF($AK$5=$C$9,AE$9-DPR!#REF!,IF($AK$5=$C$10,AE$10-DPR!#REF!,IF($AK$5=$C$11,AE$11-DPR!#REF!))))</f>
        <v>#REF!</v>
      </c>
      <c r="AF42" s="878" t="e">
        <f>MAX(0,IF($AK$5=$C$9,AF$9-DPR!#REF!,IF($AK$5=$C$10,AF$10-DPR!#REF!,IF($AK$5=$C$11,AF$11-DPR!#REF!))))</f>
        <v>#REF!</v>
      </c>
      <c r="AG42" s="920" t="e">
        <f t="shared" si="2"/>
        <v>#REF!</v>
      </c>
      <c r="AH42" s="842">
        <f t="shared" si="0"/>
        <v>202505</v>
      </c>
      <c r="AI42" s="826"/>
      <c r="AJ42" t="e">
        <f>DPR!#REF!</f>
        <v>#REF!</v>
      </c>
      <c r="AK42" s="262"/>
      <c r="AL42" s="262"/>
    </row>
    <row r="43" spans="2:38" ht="15.75">
      <c r="B43" s="333"/>
      <c r="C43" s="918">
        <v>45779</v>
      </c>
      <c r="D43" s="870" t="e">
        <f>MAX(0,IF($AK$5=$C$9,D$9-DPR!#REF!,IF($AK$5=$C$10,D$10-DPR!#REF!,IF($AK$5=$C$11,D$11-DPR!#REF!))))</f>
        <v>#REF!</v>
      </c>
      <c r="E43" s="870" t="e">
        <f>MAX(0,IF($AK$5=$C$9,E$9-DPR!#REF!,IF($AK$5=$C$10,E$10-DPR!#REF!,IF($AK$5=$C$11,E$11-DPR!#REF!))))</f>
        <v>#REF!</v>
      </c>
      <c r="F43" s="870" t="e">
        <f>MAX(0,IF($AK$5=$C$9,F$9-DPR!#REF!,IF($AK$5=$C$10,F$10-DPR!#REF!,IF($AK$5=$C$11,F$11-DPR!#REF!))))</f>
        <v>#REF!</v>
      </c>
      <c r="G43" s="870" t="e">
        <f>MAX(0,IF($AK$5=$C$9,G$9-DPR!#REF!,IF($AK$5=$C$10,G$10-DPR!#REF!,IF($AK$5=$C$11,G$11-DPR!#REF!))))</f>
        <v>#REF!</v>
      </c>
      <c r="H43" s="870" t="e">
        <f>MAX(0,IF($AK$5=$C$9,H$9-DPR!#REF!,IF($AK$5=$C$10,H$10-DPR!#REF!,IF($AK$5=$C$11,H$11-DPR!#REF!))))</f>
        <v>#REF!</v>
      </c>
      <c r="I43" s="870" t="e">
        <f>MAX(0,IF($AK$5=$C$9,I$9-DPR!#REF!,IF($AK$5=$C$10,I$10-DPR!#REF!,IF($AK$5=$C$11,I$11-DPR!#REF!))))</f>
        <v>#REF!</v>
      </c>
      <c r="J43" s="870" t="e">
        <f>MAX(0,IF($AK$5=$C$9,J$9-DPR!#REF!,IF($AK$5=$C$10,J$10-DPR!#REF!,IF($AK$5=$C$11,J$11-DPR!#REF!))))</f>
        <v>#REF!</v>
      </c>
      <c r="K43" s="870" t="e">
        <f>MAX(0,IF($AK$5=$C$9,K$9-DPR!#REF!,IF($AK$5=$C$10,K$10-DPR!#REF!,IF($AK$5=$C$11,K$11-DPR!#REF!))))</f>
        <v>#REF!</v>
      </c>
      <c r="L43" s="870" t="e">
        <f>MAX(0,IF($AK$5=$C$9,L$9-DPR!#REF!,IF($AK$5=$C$10,L$10-DPR!#REF!,IF($AK$5=$C$11,L$11-DPR!#REF!))))</f>
        <v>#REF!</v>
      </c>
      <c r="M43" s="870" t="e">
        <f>MAX(0,IF($AK$5=$C$9,M$9-DPR!#REF!,IF($AK$5=$C$10,M$10-DPR!#REF!,IF($AK$5=$C$11,M$11-DPR!#REF!))))</f>
        <v>#REF!</v>
      </c>
      <c r="N43" s="870" t="e">
        <f>MAX(0,IF($AK$5=$C$9,N$9-DPR!#REF!,IF($AK$5=$C$10,N$10-DPR!#REF!,IF($AK$5=$C$11,N$11-DPR!#REF!))))</f>
        <v>#REF!</v>
      </c>
      <c r="O43" s="870" t="e">
        <f>MAX(0,IF($AK$5=$C$9,O$9-DPR!#REF!,IF($AK$5=$C$10,O$10-DPR!#REF!,IF($AK$5=$C$11,O$11-DPR!#REF!))))</f>
        <v>#REF!</v>
      </c>
      <c r="P43" s="870" t="e">
        <f>MAX(0,IF($AK$5=$C$9,P$9-DPR!#REF!,IF($AK$5=$C$10,P$10-DPR!#REF!,IF($AK$5=$C$11,P$11-DPR!#REF!))))</f>
        <v>#REF!</v>
      </c>
      <c r="Q43" s="870">
        <v>0</v>
      </c>
      <c r="R43" s="919" t="e">
        <f t="shared" si="1"/>
        <v>#REF!</v>
      </c>
      <c r="S43" s="878" t="e">
        <f>MAX(0,IF($AK$5=$C$9,S$9-DPR!#REF!,IF($AK$5=$C$10,S$10-DPR!#REF!,IF($AK$5=$C$11,S$11-DPR!#REF!))))</f>
        <v>#REF!</v>
      </c>
      <c r="T43" s="878" t="e">
        <f>MAX(0,IF($AK$5=$C$9,T$9-DPR!#REF!,IF($AK$5=$C$10,T$10-DPR!#REF!,IF($AK$5=$C$11,T$11-DPR!#REF!))))</f>
        <v>#REF!</v>
      </c>
      <c r="U43" s="878" t="e">
        <f>MAX(0,IF($AK$5=$C$9,U$9-DPR!#REF!,IF($AK$5=$C$10,U$10-DPR!#REF!,IF($AK$5=$C$11,U$11-DPR!#REF!))))</f>
        <v>#REF!</v>
      </c>
      <c r="V43" s="878" t="e">
        <f>MAX(0,IF($AK$5=$C$9,V$9-DPR!#REF!,IF($AK$5=$C$10,V$10-DPR!#REF!,IF($AK$5=$C$11,V$11-DPR!#REF!))))</f>
        <v>#REF!</v>
      </c>
      <c r="W43" s="878" t="e">
        <f>MAX(0,IF($AK$5=$C$9,W$9-DPR!#REF!,IF($AK$5=$C$10,W$10-DPR!#REF!,IF($AK$5=$C$11,W$11-DPR!#REF!))))</f>
        <v>#REF!</v>
      </c>
      <c r="X43" s="878" t="e">
        <f>MAX(0,IF($AK$5=$C$9,X$9-DPR!#REF!,IF($AK$5=$C$10,X$10-DPR!#REF!,IF($AK$5=$C$11,X$11-DPR!#REF!))))</f>
        <v>#REF!</v>
      </c>
      <c r="Y43" s="878" t="e">
        <f>MAX(0,IF($AK$5=$C$9,Y$9-DPR!#REF!,IF($AK$5=$C$10,Y$10-DPR!#REF!,IF($AK$5=$C$11,Y$11-DPR!#REF!))))</f>
        <v>#REF!</v>
      </c>
      <c r="Z43" s="878" t="e">
        <f>MAX(0,IF($AK$5=$C$9,Z$9-DPR!#REF!,IF($AK$5=$C$10,Z$10-DPR!#REF!,IF($AK$5=$C$11,Z$11-DPR!#REF!))))</f>
        <v>#REF!</v>
      </c>
      <c r="AA43" s="878" t="e">
        <f>MAX(0,IF($AK$5=$C$9,AA$9-DPR!#REF!,IF($AK$5=$C$10,AA$10-DPR!#REF!,IF($AK$5=$C$11,AA$11-DPR!#REF!))))</f>
        <v>#REF!</v>
      </c>
      <c r="AB43" s="878" t="e">
        <f>MAX(0,IF($AK$5=$C$9,AB$9-DPR!#REF!,IF($AK$5=$C$10,AB$10-DPR!#REF!,IF($AK$5=$C$11,AB$11-DPR!#REF!))))</f>
        <v>#REF!</v>
      </c>
      <c r="AC43" s="878" t="e">
        <f>MAX(0,IF($AK$5=$C$9,AC$9-DPR!#REF!,IF($AK$5=$C$10,AC$10-DPR!#REF!,IF($AK$5=$C$11,AC$11-DPR!#REF!))))</f>
        <v>#REF!</v>
      </c>
      <c r="AD43" s="878" t="e">
        <f>MAX(0,IF($AK$5=$C$9,AD$9-DPR!#REF!,IF($AK$5=$C$10,AD$10-DPR!#REF!,IF($AK$5=$C$11,AD$11-DPR!#REF!))))</f>
        <v>#REF!</v>
      </c>
      <c r="AE43" s="878" t="e">
        <f>MAX(0,IF($AK$5=$C$9,AE$9-DPR!#REF!,IF($AK$5=$C$10,AE$10-DPR!#REF!,IF($AK$5=$C$11,AE$11-DPR!#REF!))))</f>
        <v>#REF!</v>
      </c>
      <c r="AF43" s="878" t="e">
        <f>MAX(0,IF($AK$5=$C$9,AF$9-DPR!#REF!,IF($AK$5=$C$10,AF$10-DPR!#REF!,IF($AK$5=$C$11,AF$11-DPR!#REF!))))</f>
        <v>#REF!</v>
      </c>
      <c r="AG43" s="920" t="e">
        <f t="shared" si="2"/>
        <v>#REF!</v>
      </c>
      <c r="AH43" s="842">
        <f t="shared" si="0"/>
        <v>202505</v>
      </c>
      <c r="AI43" s="826"/>
      <c r="AJ43" t="e">
        <f>DPR!#REF!</f>
        <v>#REF!</v>
      </c>
      <c r="AK43" s="262"/>
      <c r="AL43" s="262"/>
    </row>
    <row r="44" spans="2:38" ht="15.75">
      <c r="B44" s="333"/>
      <c r="C44" s="918">
        <v>45780</v>
      </c>
      <c r="D44" s="870" t="e">
        <f>MAX(0,IF($AK$5=$C$9,D$9-DPR!#REF!,IF($AK$5=$C$10,D$10-DPR!#REF!,IF($AK$5=$C$11,D$11-DPR!#REF!))))</f>
        <v>#REF!</v>
      </c>
      <c r="E44" s="870" t="e">
        <f>MAX(0,IF($AK$5=$C$9,E$9-DPR!#REF!,IF($AK$5=$C$10,E$10-DPR!#REF!,IF($AK$5=$C$11,E$11-DPR!#REF!))))</f>
        <v>#REF!</v>
      </c>
      <c r="F44" s="870" t="e">
        <f>MAX(0,IF($AK$5=$C$9,F$9-DPR!#REF!,IF($AK$5=$C$10,F$10-DPR!#REF!,IF($AK$5=$C$11,F$11-DPR!#REF!))))</f>
        <v>#REF!</v>
      </c>
      <c r="G44" s="870" t="e">
        <f>MAX(0,IF($AK$5=$C$9,G$9-DPR!#REF!,IF($AK$5=$C$10,G$10-DPR!#REF!,IF($AK$5=$C$11,G$11-DPR!#REF!))))</f>
        <v>#REF!</v>
      </c>
      <c r="H44" s="870" t="e">
        <f>MAX(0,IF($AK$5=$C$9,H$9-DPR!#REF!,IF($AK$5=$C$10,H$10-DPR!#REF!,IF($AK$5=$C$11,H$11-DPR!#REF!))))</f>
        <v>#REF!</v>
      </c>
      <c r="I44" s="870" t="e">
        <f>MAX(0,IF($AK$5=$C$9,I$9-DPR!#REF!,IF($AK$5=$C$10,I$10-DPR!#REF!,IF($AK$5=$C$11,I$11-DPR!#REF!))))</f>
        <v>#REF!</v>
      </c>
      <c r="J44" s="870" t="e">
        <f>MAX(0,IF($AK$5=$C$9,J$9-DPR!#REF!,IF($AK$5=$C$10,J$10-DPR!#REF!,IF($AK$5=$C$11,J$11-DPR!#REF!))))</f>
        <v>#REF!</v>
      </c>
      <c r="K44" s="870" t="e">
        <f>MAX(0,IF($AK$5=$C$9,K$9-DPR!#REF!,IF($AK$5=$C$10,K$10-DPR!#REF!,IF($AK$5=$C$11,K$11-DPR!#REF!))))</f>
        <v>#REF!</v>
      </c>
      <c r="L44" s="870" t="e">
        <f>MAX(0,IF($AK$5=$C$9,L$9-DPR!#REF!,IF($AK$5=$C$10,L$10-DPR!#REF!,IF($AK$5=$C$11,L$11-DPR!#REF!))))</f>
        <v>#REF!</v>
      </c>
      <c r="M44" s="870" t="e">
        <f>MAX(0,IF($AK$5=$C$9,M$9-DPR!#REF!,IF($AK$5=$C$10,M$10-DPR!#REF!,IF($AK$5=$C$11,M$11-DPR!#REF!))))</f>
        <v>#REF!</v>
      </c>
      <c r="N44" s="870" t="e">
        <f>MAX(0,IF($AK$5=$C$9,N$9-DPR!#REF!,IF($AK$5=$C$10,N$10-DPR!#REF!,IF($AK$5=$C$11,N$11-DPR!#REF!))))</f>
        <v>#REF!</v>
      </c>
      <c r="O44" s="870" t="e">
        <f>MAX(0,IF($AK$5=$C$9,O$9-DPR!#REF!,IF($AK$5=$C$10,O$10-DPR!#REF!,IF($AK$5=$C$11,O$11-DPR!#REF!))))</f>
        <v>#REF!</v>
      </c>
      <c r="P44" s="870" t="e">
        <f>MAX(0,IF($AK$5=$C$9,P$9-DPR!#REF!,IF($AK$5=$C$10,P$10-DPR!#REF!,IF($AK$5=$C$11,P$11-DPR!#REF!))))</f>
        <v>#REF!</v>
      </c>
      <c r="Q44" s="874">
        <v>0</v>
      </c>
      <c r="R44" s="919" t="e">
        <f t="shared" si="1"/>
        <v>#REF!</v>
      </c>
      <c r="S44" s="878" t="e">
        <f>MAX(0,IF($AK$5=$C$9,S$9-DPR!#REF!,IF($AK$5=$C$10,S$10-DPR!#REF!,IF($AK$5=$C$11,S$11-DPR!#REF!))))</f>
        <v>#REF!</v>
      </c>
      <c r="T44" s="878" t="e">
        <f>MAX(0,IF($AK$5=$C$9,T$9-DPR!#REF!,IF($AK$5=$C$10,T$10-DPR!#REF!,IF($AK$5=$C$11,T$11-DPR!#REF!))))</f>
        <v>#REF!</v>
      </c>
      <c r="U44" s="878" t="e">
        <f>MAX(0,IF($AK$5=$C$9,U$9-DPR!#REF!,IF($AK$5=$C$10,U$10-DPR!#REF!,IF($AK$5=$C$11,U$11-DPR!#REF!))))</f>
        <v>#REF!</v>
      </c>
      <c r="V44" s="878" t="e">
        <f>MAX(0,IF($AK$5=$C$9,V$9-DPR!#REF!,IF($AK$5=$C$10,V$10-DPR!#REF!,IF($AK$5=$C$11,V$11-DPR!#REF!))))</f>
        <v>#REF!</v>
      </c>
      <c r="W44" s="878" t="e">
        <f>MAX(0,IF($AK$5=$C$9,W$9-DPR!#REF!,IF($AK$5=$C$10,W$10-DPR!#REF!,IF($AK$5=$C$11,W$11-DPR!#REF!))))</f>
        <v>#REF!</v>
      </c>
      <c r="X44" s="878" t="e">
        <f>MAX(0,IF($AK$5=$C$9,X$9-DPR!#REF!,IF($AK$5=$C$10,X$10-DPR!#REF!,IF($AK$5=$C$11,X$11-DPR!#REF!))))</f>
        <v>#REF!</v>
      </c>
      <c r="Y44" s="878" t="e">
        <f>MAX(0,IF($AK$5=$C$9,Y$9-DPR!#REF!,IF($AK$5=$C$10,Y$10-DPR!#REF!,IF($AK$5=$C$11,Y$11-DPR!#REF!))))</f>
        <v>#REF!</v>
      </c>
      <c r="Z44" s="878" t="e">
        <f>MAX(0,IF($AK$5=$C$9,Z$9-DPR!#REF!,IF($AK$5=$C$10,Z$10-DPR!#REF!,IF($AK$5=$C$11,Z$11-DPR!#REF!))))</f>
        <v>#REF!</v>
      </c>
      <c r="AA44" s="878" t="e">
        <f>MAX(0,IF($AK$5=$C$9,AA$9-DPR!#REF!,IF($AK$5=$C$10,AA$10-DPR!#REF!,IF($AK$5=$C$11,AA$11-DPR!#REF!))))</f>
        <v>#REF!</v>
      </c>
      <c r="AB44" s="878" t="e">
        <f>MAX(0,IF($AK$5=$C$9,AB$9-DPR!#REF!,IF($AK$5=$C$10,AB$10-DPR!#REF!,IF($AK$5=$C$11,AB$11-DPR!#REF!))))</f>
        <v>#REF!</v>
      </c>
      <c r="AC44" s="878" t="e">
        <f>MAX(0,IF($AK$5=$C$9,AC$9-DPR!#REF!,IF($AK$5=$C$10,AC$10-DPR!#REF!,IF($AK$5=$C$11,AC$11-DPR!#REF!))))</f>
        <v>#REF!</v>
      </c>
      <c r="AD44" s="878" t="e">
        <f>MAX(0,IF($AK$5=$C$9,AD$9-DPR!#REF!,IF($AK$5=$C$10,AD$10-DPR!#REF!,IF($AK$5=$C$11,AD$11-DPR!#REF!))))</f>
        <v>#REF!</v>
      </c>
      <c r="AE44" s="878" t="e">
        <f>MAX(0,IF($AK$5=$C$9,AE$9-DPR!#REF!,IF($AK$5=$C$10,AE$10-DPR!#REF!,IF($AK$5=$C$11,AE$11-DPR!#REF!))))</f>
        <v>#REF!</v>
      </c>
      <c r="AF44" s="878" t="e">
        <f>MAX(0,IF($AK$5=$C$9,AF$9-DPR!#REF!,IF($AK$5=$C$10,AF$10-DPR!#REF!,IF($AK$5=$C$11,AF$11-DPR!#REF!))))</f>
        <v>#REF!</v>
      </c>
      <c r="AG44" s="920" t="e">
        <f t="shared" si="2"/>
        <v>#REF!</v>
      </c>
      <c r="AH44" s="842">
        <f t="shared" si="0"/>
        <v>202505</v>
      </c>
      <c r="AI44" s="826"/>
      <c r="AJ44" t="e">
        <f>DPR!#REF!</f>
        <v>#REF!</v>
      </c>
      <c r="AK44" s="262"/>
      <c r="AL44" s="262"/>
    </row>
    <row r="45" spans="2:38" ht="15.75">
      <c r="B45" s="333"/>
      <c r="C45" s="918">
        <v>45781</v>
      </c>
      <c r="D45" s="870" t="e">
        <f>MAX(0,IF($AK$5=$C$9,D$9-DPR!#REF!,IF($AK$5=$C$10,D$10-DPR!#REF!,IF($AK$5=$C$11,D$11-DPR!#REF!))))</f>
        <v>#REF!</v>
      </c>
      <c r="E45" s="870" t="e">
        <f>MAX(0,IF($AK$5=$C$9,E$9-DPR!#REF!,IF($AK$5=$C$10,E$10-DPR!#REF!,IF($AK$5=$C$11,E$11-DPR!#REF!))))</f>
        <v>#REF!</v>
      </c>
      <c r="F45" s="870" t="e">
        <f>MAX(0,IF($AK$5=$C$9,F$9-DPR!#REF!,IF($AK$5=$C$10,F$10-DPR!#REF!,IF($AK$5=$C$11,F$11-DPR!#REF!))))</f>
        <v>#REF!</v>
      </c>
      <c r="G45" s="870" t="e">
        <f>MAX(0,IF($AK$5=$C$9,G$9-DPR!#REF!,IF($AK$5=$C$10,G$10-DPR!#REF!,IF($AK$5=$C$11,G$11-DPR!#REF!))))</f>
        <v>#REF!</v>
      </c>
      <c r="H45" s="870" t="e">
        <f>MAX(0,IF($AK$5=$C$9,H$9-DPR!#REF!,IF($AK$5=$C$10,H$10-DPR!#REF!,IF($AK$5=$C$11,H$11-DPR!#REF!))))</f>
        <v>#REF!</v>
      </c>
      <c r="I45" s="870" t="e">
        <f>MAX(0,IF($AK$5=$C$9,I$9-DPR!#REF!,IF($AK$5=$C$10,I$10-DPR!#REF!,IF($AK$5=$C$11,I$11-DPR!#REF!))))</f>
        <v>#REF!</v>
      </c>
      <c r="J45" s="870" t="e">
        <f>MAX(0,IF($AK$5=$C$9,J$9-DPR!#REF!,IF($AK$5=$C$10,J$10-DPR!#REF!,IF($AK$5=$C$11,J$11-DPR!#REF!))))</f>
        <v>#REF!</v>
      </c>
      <c r="K45" s="870" t="e">
        <f>MAX(0,IF($AK$5=$C$9,K$9-DPR!#REF!,IF($AK$5=$C$10,K$10-DPR!#REF!,IF($AK$5=$C$11,K$11-DPR!#REF!))))</f>
        <v>#REF!</v>
      </c>
      <c r="L45" s="870" t="e">
        <f>MAX(0,IF($AK$5=$C$9,L$9-DPR!#REF!,IF($AK$5=$C$10,L$10-DPR!#REF!,IF($AK$5=$C$11,L$11-DPR!#REF!))))</f>
        <v>#REF!</v>
      </c>
      <c r="M45" s="870" t="e">
        <f>MAX(0,IF($AK$5=$C$9,M$9-DPR!#REF!,IF($AK$5=$C$10,M$10-DPR!#REF!,IF($AK$5=$C$11,M$11-DPR!#REF!))))</f>
        <v>#REF!</v>
      </c>
      <c r="N45" s="870" t="e">
        <f>MAX(0,IF($AK$5=$C$9,N$9-DPR!#REF!,IF($AK$5=$C$10,N$10-DPR!#REF!,IF($AK$5=$C$11,N$11-DPR!#REF!))))</f>
        <v>#REF!</v>
      </c>
      <c r="O45" s="870" t="e">
        <f>MAX(0,IF($AK$5=$C$9,O$9-DPR!#REF!,IF($AK$5=$C$10,O$10-DPR!#REF!,IF($AK$5=$C$11,O$11-DPR!#REF!))))</f>
        <v>#REF!</v>
      </c>
      <c r="P45" s="870" t="e">
        <f>MAX(0,IF($AK$5=$C$9,P$9-DPR!#REF!,IF($AK$5=$C$10,P$10-DPR!#REF!,IF($AK$5=$C$11,P$11-DPR!#REF!))))</f>
        <v>#REF!</v>
      </c>
      <c r="Q45" s="870">
        <v>0</v>
      </c>
      <c r="R45" s="919" t="e">
        <f t="shared" si="1"/>
        <v>#REF!</v>
      </c>
      <c r="S45" s="878" t="e">
        <f>MAX(0,IF($AK$5=$C$9,S$9-DPR!#REF!,IF($AK$5=$C$10,S$10-DPR!#REF!,IF($AK$5=$C$11,S$11-DPR!#REF!))))</f>
        <v>#REF!</v>
      </c>
      <c r="T45" s="878" t="e">
        <f>MAX(0,IF($AK$5=$C$9,T$9-DPR!#REF!,IF($AK$5=$C$10,T$10-DPR!#REF!,IF($AK$5=$C$11,T$11-DPR!#REF!))))</f>
        <v>#REF!</v>
      </c>
      <c r="U45" s="878" t="e">
        <f>MAX(0,IF($AK$5=$C$9,U$9-DPR!#REF!,IF($AK$5=$C$10,U$10-DPR!#REF!,IF($AK$5=$C$11,U$11-DPR!#REF!))))</f>
        <v>#REF!</v>
      </c>
      <c r="V45" s="878" t="e">
        <f>MAX(0,IF($AK$5=$C$9,V$9-DPR!#REF!,IF($AK$5=$C$10,V$10-DPR!#REF!,IF($AK$5=$C$11,V$11-DPR!#REF!))))</f>
        <v>#REF!</v>
      </c>
      <c r="W45" s="878" t="e">
        <f>MAX(0,IF($AK$5=$C$9,W$9-DPR!#REF!,IF($AK$5=$C$10,W$10-DPR!#REF!,IF($AK$5=$C$11,W$11-DPR!#REF!))))</f>
        <v>#REF!</v>
      </c>
      <c r="X45" s="878" t="e">
        <f>MAX(0,IF($AK$5=$C$9,X$9-DPR!#REF!,IF($AK$5=$C$10,X$10-DPR!#REF!,IF($AK$5=$C$11,X$11-DPR!#REF!))))</f>
        <v>#REF!</v>
      </c>
      <c r="Y45" s="878" t="e">
        <f>MAX(0,IF($AK$5=$C$9,Y$9-DPR!#REF!,IF($AK$5=$C$10,Y$10-DPR!#REF!,IF($AK$5=$C$11,Y$11-DPR!#REF!))))</f>
        <v>#REF!</v>
      </c>
      <c r="Z45" s="878" t="e">
        <f>MAX(0,IF($AK$5=$C$9,Z$9-DPR!#REF!,IF($AK$5=$C$10,Z$10-DPR!#REF!,IF($AK$5=$C$11,Z$11-DPR!#REF!))))</f>
        <v>#REF!</v>
      </c>
      <c r="AA45" s="878" t="e">
        <f>MAX(0,IF($AK$5=$C$9,AA$9-DPR!#REF!,IF($AK$5=$C$10,AA$10-DPR!#REF!,IF($AK$5=$C$11,AA$11-DPR!#REF!))))</f>
        <v>#REF!</v>
      </c>
      <c r="AB45" s="878" t="e">
        <f>MAX(0,IF($AK$5=$C$9,AB$9-DPR!#REF!,IF($AK$5=$C$10,AB$10-DPR!#REF!,IF($AK$5=$C$11,AB$11-DPR!#REF!))))</f>
        <v>#REF!</v>
      </c>
      <c r="AC45" s="878" t="e">
        <f>MAX(0,IF($AK$5=$C$9,AC$9-DPR!#REF!,IF($AK$5=$C$10,AC$10-DPR!#REF!,IF($AK$5=$C$11,AC$11-DPR!#REF!))))</f>
        <v>#REF!</v>
      </c>
      <c r="AD45" s="878" t="e">
        <f>MAX(0,IF($AK$5=$C$9,AD$9-DPR!#REF!,IF($AK$5=$C$10,AD$10-DPR!#REF!,IF($AK$5=$C$11,AD$11-DPR!#REF!))))</f>
        <v>#REF!</v>
      </c>
      <c r="AE45" s="878" t="e">
        <f>MAX(0,IF($AK$5=$C$9,AE$9-DPR!#REF!,IF($AK$5=$C$10,AE$10-DPR!#REF!,IF($AK$5=$C$11,AE$11-DPR!#REF!))))</f>
        <v>#REF!</v>
      </c>
      <c r="AF45" s="878" t="e">
        <f>MAX(0,IF($AK$5=$C$9,AF$9-DPR!#REF!,IF($AK$5=$C$10,AF$10-DPR!#REF!,IF($AK$5=$C$11,AF$11-DPR!#REF!))))</f>
        <v>#REF!</v>
      </c>
      <c r="AG45" s="920" t="e">
        <f t="shared" si="2"/>
        <v>#REF!</v>
      </c>
      <c r="AH45" s="842">
        <f t="shared" si="0"/>
        <v>202505</v>
      </c>
      <c r="AI45" s="826"/>
      <c r="AJ45" t="e">
        <f>DPR!#REF!</f>
        <v>#REF!</v>
      </c>
      <c r="AK45" s="262"/>
      <c r="AL45" s="262"/>
    </row>
    <row r="46" spans="2:38" ht="15.75">
      <c r="C46" s="918">
        <v>45782</v>
      </c>
      <c r="D46" s="870" t="e">
        <f>MAX(0,IF($AK$5=$C$9,D$9-DPR!#REF!,IF($AK$5=$C$10,D$10-DPR!#REF!,IF($AK$5=$C$11,D$11-DPR!#REF!))))</f>
        <v>#REF!</v>
      </c>
      <c r="E46" s="870" t="e">
        <f>MAX(0,IF($AK$5=$C$9,E$9-DPR!#REF!,IF($AK$5=$C$10,E$10-DPR!#REF!,IF($AK$5=$C$11,E$11-DPR!#REF!))))</f>
        <v>#REF!</v>
      </c>
      <c r="F46" s="870" t="e">
        <f>MAX(0,IF($AK$5=$C$9,F$9-DPR!#REF!,IF($AK$5=$C$10,F$10-DPR!#REF!,IF($AK$5=$C$11,F$11-DPR!#REF!))))</f>
        <v>#REF!</v>
      </c>
      <c r="G46" s="870" t="e">
        <f>MAX(0,IF($AK$5=$C$9,G$9-DPR!#REF!,IF($AK$5=$C$10,G$10-DPR!#REF!,IF($AK$5=$C$11,G$11-DPR!#REF!))))</f>
        <v>#REF!</v>
      </c>
      <c r="H46" s="870" t="e">
        <f>MAX(0,IF($AK$5=$C$9,H$9-DPR!#REF!,IF($AK$5=$C$10,H$10-DPR!#REF!,IF($AK$5=$C$11,H$11-DPR!#REF!))))</f>
        <v>#REF!</v>
      </c>
      <c r="I46" s="870" t="e">
        <f>MAX(0,IF($AK$5=$C$9,I$9-DPR!#REF!,IF($AK$5=$C$10,I$10-DPR!#REF!,IF($AK$5=$C$11,I$11-DPR!#REF!))))</f>
        <v>#REF!</v>
      </c>
      <c r="J46" s="870" t="e">
        <f>MAX(0,IF($AK$5=$C$9,J$9-DPR!#REF!,IF($AK$5=$C$10,J$10-DPR!#REF!,IF($AK$5=$C$11,J$11-DPR!#REF!))))</f>
        <v>#REF!</v>
      </c>
      <c r="K46" s="870" t="e">
        <f>MAX(0,IF($AK$5=$C$9,K$9-DPR!#REF!,IF($AK$5=$C$10,K$10-DPR!#REF!,IF($AK$5=$C$11,K$11-DPR!#REF!))))</f>
        <v>#REF!</v>
      </c>
      <c r="L46" s="870" t="e">
        <f>MAX(0,IF($AK$5=$C$9,L$9-DPR!#REF!,IF($AK$5=$C$10,L$10-DPR!#REF!,IF($AK$5=$C$11,L$11-DPR!#REF!))))</f>
        <v>#REF!</v>
      </c>
      <c r="M46" s="870" t="e">
        <f>MAX(0,IF($AK$5=$C$9,M$9-DPR!#REF!,IF($AK$5=$C$10,M$10-DPR!#REF!,IF($AK$5=$C$11,M$11-DPR!#REF!))))</f>
        <v>#REF!</v>
      </c>
      <c r="N46" s="870" t="e">
        <f>MAX(0,IF($AK$5=$C$9,N$9-DPR!#REF!,IF($AK$5=$C$10,N$10-DPR!#REF!,IF($AK$5=$C$11,N$11-DPR!#REF!))))</f>
        <v>#REF!</v>
      </c>
      <c r="O46" s="870" t="e">
        <f>MAX(0,IF($AK$5=$C$9,O$9-DPR!#REF!,IF($AK$5=$C$10,O$10-DPR!#REF!,IF($AK$5=$C$11,O$11-DPR!#REF!))))</f>
        <v>#REF!</v>
      </c>
      <c r="P46" s="870" t="e">
        <f>MAX(0,IF($AK$5=$C$9,P$9-DPR!#REF!,IF($AK$5=$C$10,P$10-DPR!#REF!,IF($AK$5=$C$11,P$11-DPR!#REF!))))</f>
        <v>#REF!</v>
      </c>
      <c r="Q46" s="874">
        <v>0</v>
      </c>
      <c r="R46" s="919" t="e">
        <f t="shared" si="1"/>
        <v>#REF!</v>
      </c>
      <c r="S46" s="878" t="e">
        <f>MAX(0,IF($AK$5=$C$9,S$9-DPR!#REF!,IF($AK$5=$C$10,S$10-DPR!#REF!,IF($AK$5=$C$11,S$11-DPR!#REF!))))</f>
        <v>#REF!</v>
      </c>
      <c r="T46" s="878" t="e">
        <f>MAX(0,IF($AK$5=$C$9,T$9-DPR!#REF!,IF($AK$5=$C$10,T$10-DPR!#REF!,IF($AK$5=$C$11,T$11-DPR!#REF!))))</f>
        <v>#REF!</v>
      </c>
      <c r="U46" s="878" t="e">
        <f>MAX(0,IF($AK$5=$C$9,U$9-DPR!#REF!,IF($AK$5=$C$10,U$10-DPR!#REF!,IF($AK$5=$C$11,U$11-DPR!#REF!))))</f>
        <v>#REF!</v>
      </c>
      <c r="V46" s="878" t="e">
        <f>MAX(0,IF($AK$5=$C$9,V$9-DPR!#REF!,IF($AK$5=$C$10,V$10-DPR!#REF!,IF($AK$5=$C$11,V$11-DPR!#REF!))))</f>
        <v>#REF!</v>
      </c>
      <c r="W46" s="878" t="e">
        <f>MAX(0,IF($AK$5=$C$9,W$9-DPR!#REF!,IF($AK$5=$C$10,W$10-DPR!#REF!,IF($AK$5=$C$11,W$11-DPR!#REF!))))</f>
        <v>#REF!</v>
      </c>
      <c r="X46" s="878" t="e">
        <f>MAX(0,IF($AK$5=$C$9,X$9-DPR!#REF!,IF($AK$5=$C$10,X$10-DPR!#REF!,IF($AK$5=$C$11,X$11-DPR!#REF!))))</f>
        <v>#REF!</v>
      </c>
      <c r="Y46" s="878" t="e">
        <f>MAX(0,IF($AK$5=$C$9,Y$9-DPR!#REF!,IF($AK$5=$C$10,Y$10-DPR!#REF!,IF($AK$5=$C$11,Y$11-DPR!#REF!))))</f>
        <v>#REF!</v>
      </c>
      <c r="Z46" s="878" t="e">
        <f>MAX(0,IF($AK$5=$C$9,Z$9-DPR!#REF!,IF($AK$5=$C$10,Z$10-DPR!#REF!,IF($AK$5=$C$11,Z$11-DPR!#REF!))))</f>
        <v>#REF!</v>
      </c>
      <c r="AA46" s="878" t="e">
        <f>MAX(0,IF($AK$5=$C$9,AA$9-DPR!#REF!,IF($AK$5=$C$10,AA$10-DPR!#REF!,IF($AK$5=$C$11,AA$11-DPR!#REF!))))</f>
        <v>#REF!</v>
      </c>
      <c r="AB46" s="878" t="e">
        <f>MAX(0,IF($AK$5=$C$9,AB$9-DPR!#REF!,IF($AK$5=$C$10,AB$10-DPR!#REF!,IF($AK$5=$C$11,AB$11-DPR!#REF!))))</f>
        <v>#REF!</v>
      </c>
      <c r="AC46" s="878" t="e">
        <f>MAX(0,IF($AK$5=$C$9,AC$9-DPR!#REF!,IF($AK$5=$C$10,AC$10-DPR!#REF!,IF($AK$5=$C$11,AC$11-DPR!#REF!))))</f>
        <v>#REF!</v>
      </c>
      <c r="AD46" s="878" t="e">
        <f>MAX(0,IF($AK$5=$C$9,AD$9-DPR!#REF!,IF($AK$5=$C$10,AD$10-DPR!#REF!,IF($AK$5=$C$11,AD$11-DPR!#REF!))))</f>
        <v>#REF!</v>
      </c>
      <c r="AE46" s="878" t="e">
        <f>MAX(0,IF($AK$5=$C$9,AE$9-DPR!#REF!,IF($AK$5=$C$10,AE$10-DPR!#REF!,IF($AK$5=$C$11,AE$11-DPR!#REF!))))</f>
        <v>#REF!</v>
      </c>
      <c r="AF46" s="878" t="e">
        <f>MAX(0,IF($AK$5=$C$9,AF$9-DPR!#REF!,IF($AK$5=$C$10,AF$10-DPR!#REF!,IF($AK$5=$C$11,AF$11-DPR!#REF!))))</f>
        <v>#REF!</v>
      </c>
      <c r="AG46" s="920" t="e">
        <f t="shared" si="2"/>
        <v>#REF!</v>
      </c>
      <c r="AH46" s="842">
        <f t="shared" si="0"/>
        <v>202505</v>
      </c>
      <c r="AI46" s="826"/>
      <c r="AJ46" t="e">
        <f>DPR!#REF!</f>
        <v>#REF!</v>
      </c>
      <c r="AK46" s="262"/>
      <c r="AL46" s="262"/>
    </row>
    <row r="47" spans="2:38" ht="15.75">
      <c r="C47" s="918">
        <v>45783</v>
      </c>
      <c r="D47" s="870" t="e">
        <f>MAX(0,IF($AK$5=$C$9,D$9-DPR!#REF!,IF($AK$5=$C$10,D$10-DPR!#REF!,IF($AK$5=$C$11,D$11-DPR!#REF!))))</f>
        <v>#REF!</v>
      </c>
      <c r="E47" s="870" t="e">
        <f>MAX(0,IF($AK$5=$C$9,E$9-DPR!#REF!,IF($AK$5=$C$10,E$10-DPR!#REF!,IF($AK$5=$C$11,E$11-DPR!#REF!))))</f>
        <v>#REF!</v>
      </c>
      <c r="F47" s="870" t="e">
        <f>MAX(0,IF($AK$5=$C$9,F$9-DPR!#REF!,IF($AK$5=$C$10,F$10-DPR!#REF!,IF($AK$5=$C$11,F$11-DPR!#REF!))))</f>
        <v>#REF!</v>
      </c>
      <c r="G47" s="870" t="e">
        <f>MAX(0,IF($AK$5=$C$9,G$9-DPR!#REF!,IF($AK$5=$C$10,G$10-DPR!#REF!,IF($AK$5=$C$11,G$11-DPR!#REF!))))</f>
        <v>#REF!</v>
      </c>
      <c r="H47" s="870" t="e">
        <f>MAX(0,IF($AK$5=$C$9,H$9-DPR!#REF!,IF($AK$5=$C$10,H$10-DPR!#REF!,IF($AK$5=$C$11,H$11-DPR!#REF!))))</f>
        <v>#REF!</v>
      </c>
      <c r="I47" s="870" t="e">
        <f>MAX(0,IF($AK$5=$C$9,I$9-DPR!#REF!,IF($AK$5=$C$10,I$10-DPR!#REF!,IF($AK$5=$C$11,I$11-DPR!#REF!))))</f>
        <v>#REF!</v>
      </c>
      <c r="J47" s="870" t="e">
        <f>MAX(0,IF($AK$5=$C$9,J$9-DPR!#REF!,IF($AK$5=$C$10,J$10-DPR!#REF!,IF($AK$5=$C$11,J$11-DPR!#REF!))))</f>
        <v>#REF!</v>
      </c>
      <c r="K47" s="870" t="e">
        <f>MAX(0,IF($AK$5=$C$9,K$9-DPR!#REF!,IF($AK$5=$C$10,K$10-DPR!#REF!,IF($AK$5=$C$11,K$11-DPR!#REF!))))</f>
        <v>#REF!</v>
      </c>
      <c r="L47" s="870" t="e">
        <f>MAX(0,IF($AK$5=$C$9,L$9-DPR!#REF!,IF($AK$5=$C$10,L$10-DPR!#REF!,IF($AK$5=$C$11,L$11-DPR!#REF!))))</f>
        <v>#REF!</v>
      </c>
      <c r="M47" s="870" t="e">
        <f>MAX(0,IF($AK$5=$C$9,M$9-DPR!#REF!,IF($AK$5=$C$10,M$10-DPR!#REF!,IF($AK$5=$C$11,M$11-DPR!#REF!))))</f>
        <v>#REF!</v>
      </c>
      <c r="N47" s="870" t="e">
        <f>MAX(0,IF($AK$5=$C$9,N$9-DPR!#REF!,IF($AK$5=$C$10,N$10-DPR!#REF!,IF($AK$5=$C$11,N$11-DPR!#REF!))))</f>
        <v>#REF!</v>
      </c>
      <c r="O47" s="870" t="e">
        <f>MAX(0,IF($AK$5=$C$9,O$9-DPR!#REF!,IF($AK$5=$C$10,O$10-DPR!#REF!,IF($AK$5=$C$11,O$11-DPR!#REF!))))</f>
        <v>#REF!</v>
      </c>
      <c r="P47" s="870" t="e">
        <f>MAX(0,IF($AK$5=$C$9,P$9-DPR!#REF!,IF($AK$5=$C$10,P$10-DPR!#REF!,IF($AK$5=$C$11,P$11-DPR!#REF!))))</f>
        <v>#REF!</v>
      </c>
      <c r="Q47" s="870">
        <v>0</v>
      </c>
      <c r="R47" s="919" t="e">
        <f t="shared" si="1"/>
        <v>#REF!</v>
      </c>
      <c r="S47" s="878" t="e">
        <f>MAX(0,IF($AK$5=$C$9,S$9-DPR!#REF!,IF($AK$5=$C$10,S$10-DPR!#REF!,IF($AK$5=$C$11,S$11-DPR!#REF!))))</f>
        <v>#REF!</v>
      </c>
      <c r="T47" s="878" t="e">
        <f>MAX(0,IF($AK$5=$C$9,T$9-DPR!#REF!,IF($AK$5=$C$10,T$10-DPR!#REF!,IF($AK$5=$C$11,T$11-DPR!#REF!))))</f>
        <v>#REF!</v>
      </c>
      <c r="U47" s="878" t="e">
        <f>MAX(0,IF($AK$5=$C$9,U$9-DPR!#REF!,IF($AK$5=$C$10,U$10-DPR!#REF!,IF($AK$5=$C$11,U$11-DPR!#REF!))))</f>
        <v>#REF!</v>
      </c>
      <c r="V47" s="878" t="e">
        <f>MAX(0,IF($AK$5=$C$9,V$9-DPR!#REF!,IF($AK$5=$C$10,V$10-DPR!#REF!,IF($AK$5=$C$11,V$11-DPR!#REF!))))</f>
        <v>#REF!</v>
      </c>
      <c r="W47" s="878" t="e">
        <f>MAX(0,IF($AK$5=$C$9,W$9-DPR!#REF!,IF($AK$5=$C$10,W$10-DPR!#REF!,IF($AK$5=$C$11,W$11-DPR!#REF!))))</f>
        <v>#REF!</v>
      </c>
      <c r="X47" s="878" t="e">
        <f>MAX(0,IF($AK$5=$C$9,X$9-DPR!#REF!,IF($AK$5=$C$10,X$10-DPR!#REF!,IF($AK$5=$C$11,X$11-DPR!#REF!))))</f>
        <v>#REF!</v>
      </c>
      <c r="Y47" s="878" t="e">
        <f>MAX(0,IF($AK$5=$C$9,Y$9-DPR!#REF!,IF($AK$5=$C$10,Y$10-DPR!#REF!,IF($AK$5=$C$11,Y$11-DPR!#REF!))))</f>
        <v>#REF!</v>
      </c>
      <c r="Z47" s="878" t="e">
        <f>MAX(0,IF($AK$5=$C$9,Z$9-DPR!#REF!,IF($AK$5=$C$10,Z$10-DPR!#REF!,IF($AK$5=$C$11,Z$11-DPR!#REF!))))</f>
        <v>#REF!</v>
      </c>
      <c r="AA47" s="878" t="e">
        <f>MAX(0,IF($AK$5=$C$9,AA$9-DPR!#REF!,IF($AK$5=$C$10,AA$10-DPR!#REF!,IF($AK$5=$C$11,AA$11-DPR!#REF!))))</f>
        <v>#REF!</v>
      </c>
      <c r="AB47" s="878" t="e">
        <f>MAX(0,IF($AK$5=$C$9,AB$9-DPR!#REF!,IF($AK$5=$C$10,AB$10-DPR!#REF!,IF($AK$5=$C$11,AB$11-DPR!#REF!))))</f>
        <v>#REF!</v>
      </c>
      <c r="AC47" s="878" t="e">
        <f>MAX(0,IF($AK$5=$C$9,AC$9-DPR!#REF!,IF($AK$5=$C$10,AC$10-DPR!#REF!,IF($AK$5=$C$11,AC$11-DPR!#REF!))))</f>
        <v>#REF!</v>
      </c>
      <c r="AD47" s="878" t="e">
        <f>MAX(0,IF($AK$5=$C$9,AD$9-DPR!#REF!,IF($AK$5=$C$10,AD$10-DPR!#REF!,IF($AK$5=$C$11,AD$11-DPR!#REF!))))</f>
        <v>#REF!</v>
      </c>
      <c r="AE47" s="878" t="e">
        <f>MAX(0,IF($AK$5=$C$9,AE$9-DPR!#REF!,IF($AK$5=$C$10,AE$10-DPR!#REF!,IF($AK$5=$C$11,AE$11-DPR!#REF!))))</f>
        <v>#REF!</v>
      </c>
      <c r="AF47" s="878" t="e">
        <f>MAX(0,IF($AK$5=$C$9,AF$9-DPR!#REF!,IF($AK$5=$C$10,AF$10-DPR!#REF!,IF($AK$5=$C$11,AF$11-DPR!#REF!))))</f>
        <v>#REF!</v>
      </c>
      <c r="AG47" s="920" t="e">
        <f t="shared" si="2"/>
        <v>#REF!</v>
      </c>
      <c r="AH47" s="842">
        <f t="shared" si="0"/>
        <v>202505</v>
      </c>
      <c r="AI47" s="826"/>
      <c r="AJ47" t="e">
        <f>DPR!#REF!</f>
        <v>#REF!</v>
      </c>
      <c r="AK47" s="262"/>
      <c r="AL47" s="262"/>
    </row>
    <row r="48" spans="2:38" ht="15.75">
      <c r="C48" s="918">
        <v>45784</v>
      </c>
      <c r="D48" s="870" t="e">
        <f>MAX(0,IF($AK$5=$C$9,D$9-DPR!#REF!,IF($AK$5=$C$10,D$10-DPR!#REF!,IF($AK$5=$C$11,D$11-DPR!#REF!))))</f>
        <v>#REF!</v>
      </c>
      <c r="E48" s="870" t="e">
        <f>MAX(0,IF($AK$5=$C$9,E$9-DPR!#REF!,IF($AK$5=$C$10,E$10-DPR!#REF!,IF($AK$5=$C$11,E$11-DPR!#REF!))))</f>
        <v>#REF!</v>
      </c>
      <c r="F48" s="870" t="e">
        <f>MAX(0,IF($AK$5=$C$9,F$9-DPR!#REF!,IF($AK$5=$C$10,F$10-DPR!#REF!,IF($AK$5=$C$11,F$11-DPR!#REF!))))</f>
        <v>#REF!</v>
      </c>
      <c r="G48" s="870" t="e">
        <f>MAX(0,IF($AK$5=$C$9,G$9-DPR!#REF!,IF($AK$5=$C$10,G$10-DPR!#REF!,IF($AK$5=$C$11,G$11-DPR!#REF!))))</f>
        <v>#REF!</v>
      </c>
      <c r="H48" s="870" t="e">
        <f>MAX(0,IF($AK$5=$C$9,H$9-DPR!#REF!,IF($AK$5=$C$10,H$10-DPR!#REF!,IF($AK$5=$C$11,H$11-DPR!#REF!))))</f>
        <v>#REF!</v>
      </c>
      <c r="I48" s="870" t="e">
        <f>MAX(0,IF($AK$5=$C$9,I$9-DPR!#REF!,IF($AK$5=$C$10,I$10-DPR!#REF!,IF($AK$5=$C$11,I$11-DPR!#REF!))))</f>
        <v>#REF!</v>
      </c>
      <c r="J48" s="870" t="e">
        <f>MAX(0,IF($AK$5=$C$9,J$9-DPR!#REF!,IF($AK$5=$C$10,J$10-DPR!#REF!,IF($AK$5=$C$11,J$11-DPR!#REF!))))</f>
        <v>#REF!</v>
      </c>
      <c r="K48" s="870" t="e">
        <f>MAX(0,IF($AK$5=$C$9,K$9-DPR!#REF!,IF($AK$5=$C$10,K$10-DPR!#REF!,IF($AK$5=$C$11,K$11-DPR!#REF!))))</f>
        <v>#REF!</v>
      </c>
      <c r="L48" s="870" t="e">
        <f>MAX(0,IF($AK$5=$C$9,L$9-DPR!#REF!,IF($AK$5=$C$10,L$10-DPR!#REF!,IF($AK$5=$C$11,L$11-DPR!#REF!))))</f>
        <v>#REF!</v>
      </c>
      <c r="M48" s="870" t="e">
        <f>MAX(0,IF($AK$5=$C$9,M$9-DPR!#REF!,IF($AK$5=$C$10,M$10-DPR!#REF!,IF($AK$5=$C$11,M$11-DPR!#REF!))))</f>
        <v>#REF!</v>
      </c>
      <c r="N48" s="870" t="e">
        <f>MAX(0,IF($AK$5=$C$9,N$9-DPR!#REF!,IF($AK$5=$C$10,N$10-DPR!#REF!,IF($AK$5=$C$11,N$11-DPR!#REF!))))</f>
        <v>#REF!</v>
      </c>
      <c r="O48" s="870" t="e">
        <f>MAX(0,IF($AK$5=$C$9,O$9-DPR!#REF!,IF($AK$5=$C$10,O$10-DPR!#REF!,IF($AK$5=$C$11,O$11-DPR!#REF!))))</f>
        <v>#REF!</v>
      </c>
      <c r="P48" s="870" t="e">
        <f>MAX(0,IF($AK$5=$C$9,P$9-DPR!#REF!,IF($AK$5=$C$10,P$10-DPR!#REF!,IF($AK$5=$C$11,P$11-DPR!#REF!))))</f>
        <v>#REF!</v>
      </c>
      <c r="Q48" s="874">
        <v>0</v>
      </c>
      <c r="R48" s="919" t="e">
        <f t="shared" si="1"/>
        <v>#REF!</v>
      </c>
      <c r="S48" s="878" t="e">
        <f>MAX(0,IF($AK$5=$C$9,S$9-DPR!#REF!,IF($AK$5=$C$10,S$10-DPR!#REF!,IF($AK$5=$C$11,S$11-DPR!#REF!))))</f>
        <v>#REF!</v>
      </c>
      <c r="T48" s="878" t="e">
        <f>MAX(0,IF($AK$5=$C$9,T$9-DPR!#REF!,IF($AK$5=$C$10,T$10-DPR!#REF!,IF($AK$5=$C$11,T$11-DPR!#REF!))))</f>
        <v>#REF!</v>
      </c>
      <c r="U48" s="878" t="e">
        <f>MAX(0,IF($AK$5=$C$9,U$9-DPR!#REF!,IF($AK$5=$C$10,U$10-DPR!#REF!,IF($AK$5=$C$11,U$11-DPR!#REF!))))</f>
        <v>#REF!</v>
      </c>
      <c r="V48" s="878" t="e">
        <f>MAX(0,IF($AK$5=$C$9,V$9-DPR!#REF!,IF($AK$5=$C$10,V$10-DPR!#REF!,IF($AK$5=$C$11,V$11-DPR!#REF!))))</f>
        <v>#REF!</v>
      </c>
      <c r="W48" s="878" t="e">
        <f>MAX(0,IF($AK$5=$C$9,W$9-DPR!#REF!,IF($AK$5=$C$10,W$10-DPR!#REF!,IF($AK$5=$C$11,W$11-DPR!#REF!))))</f>
        <v>#REF!</v>
      </c>
      <c r="X48" s="878" t="e">
        <f>MAX(0,IF($AK$5=$C$9,X$9-DPR!#REF!,IF($AK$5=$C$10,X$10-DPR!#REF!,IF($AK$5=$C$11,X$11-DPR!#REF!))))</f>
        <v>#REF!</v>
      </c>
      <c r="Y48" s="878" t="e">
        <f>MAX(0,IF($AK$5=$C$9,Y$9-DPR!#REF!,IF($AK$5=$C$10,Y$10-DPR!#REF!,IF($AK$5=$C$11,Y$11-DPR!#REF!))))</f>
        <v>#REF!</v>
      </c>
      <c r="Z48" s="878" t="e">
        <f>MAX(0,IF($AK$5=$C$9,Z$9-DPR!#REF!,IF($AK$5=$C$10,Z$10-DPR!#REF!,IF($AK$5=$C$11,Z$11-DPR!#REF!))))</f>
        <v>#REF!</v>
      </c>
      <c r="AA48" s="878" t="e">
        <f>MAX(0,IF($AK$5=$C$9,AA$9-DPR!#REF!,IF($AK$5=$C$10,AA$10-DPR!#REF!,IF($AK$5=$C$11,AA$11-DPR!#REF!))))</f>
        <v>#REF!</v>
      </c>
      <c r="AB48" s="878" t="e">
        <f>MAX(0,IF($AK$5=$C$9,AB$9-DPR!#REF!,IF($AK$5=$C$10,AB$10-DPR!#REF!,IF($AK$5=$C$11,AB$11-DPR!#REF!))))</f>
        <v>#REF!</v>
      </c>
      <c r="AC48" s="878" t="e">
        <f>MAX(0,IF($AK$5=$C$9,AC$9-DPR!#REF!,IF($AK$5=$C$10,AC$10-DPR!#REF!,IF($AK$5=$C$11,AC$11-DPR!#REF!))))</f>
        <v>#REF!</v>
      </c>
      <c r="AD48" s="878" t="e">
        <f>MAX(0,IF($AK$5=$C$9,AD$9-DPR!#REF!,IF($AK$5=$C$10,AD$10-DPR!#REF!,IF($AK$5=$C$11,AD$11-DPR!#REF!))))</f>
        <v>#REF!</v>
      </c>
      <c r="AE48" s="878" t="e">
        <f>MAX(0,IF($AK$5=$C$9,AE$9-DPR!#REF!,IF($AK$5=$C$10,AE$10-DPR!#REF!,IF($AK$5=$C$11,AE$11-DPR!#REF!))))</f>
        <v>#REF!</v>
      </c>
      <c r="AF48" s="878" t="e">
        <f>MAX(0,IF($AK$5=$C$9,AF$9-DPR!#REF!,IF($AK$5=$C$10,AF$10-DPR!#REF!,IF($AK$5=$C$11,AF$11-DPR!#REF!))))</f>
        <v>#REF!</v>
      </c>
      <c r="AG48" s="920" t="e">
        <f t="shared" si="2"/>
        <v>#REF!</v>
      </c>
      <c r="AH48" s="842">
        <f t="shared" si="0"/>
        <v>202505</v>
      </c>
      <c r="AI48" s="826"/>
      <c r="AJ48" t="e">
        <f>DPR!#REF!</f>
        <v>#REF!</v>
      </c>
      <c r="AK48" s="262"/>
      <c r="AL48" s="262"/>
    </row>
    <row r="49" spans="3:38" ht="15.75">
      <c r="C49" s="918">
        <v>45785</v>
      </c>
      <c r="D49" s="870" t="e">
        <f>MAX(0,IF($AK$5=$C$9,D$9-DPR!#REF!,IF($AK$5=$C$10,D$10-DPR!#REF!,IF($AK$5=$C$11,D$11-DPR!#REF!))))</f>
        <v>#REF!</v>
      </c>
      <c r="E49" s="870" t="e">
        <f>MAX(0,IF($AK$5=$C$9,E$9-DPR!#REF!,IF($AK$5=$C$10,E$10-DPR!#REF!,IF($AK$5=$C$11,E$11-DPR!#REF!))))</f>
        <v>#REF!</v>
      </c>
      <c r="F49" s="870" t="e">
        <f>MAX(0,IF($AK$5=$C$9,F$9-DPR!#REF!,IF($AK$5=$C$10,F$10-DPR!#REF!,IF($AK$5=$C$11,F$11-DPR!#REF!))))</f>
        <v>#REF!</v>
      </c>
      <c r="G49" s="870" t="e">
        <f>MAX(0,IF($AK$5=$C$9,G$9-DPR!#REF!,IF($AK$5=$C$10,G$10-DPR!#REF!,IF($AK$5=$C$11,G$11-DPR!#REF!))))</f>
        <v>#REF!</v>
      </c>
      <c r="H49" s="870" t="e">
        <f>MAX(0,IF($AK$5=$C$9,H$9-DPR!#REF!,IF($AK$5=$C$10,H$10-DPR!#REF!,IF($AK$5=$C$11,H$11-DPR!#REF!))))</f>
        <v>#REF!</v>
      </c>
      <c r="I49" s="870" t="e">
        <f>MAX(0,IF($AK$5=$C$9,I$9-DPR!#REF!,IF($AK$5=$C$10,I$10-DPR!#REF!,IF($AK$5=$C$11,I$11-DPR!#REF!))))</f>
        <v>#REF!</v>
      </c>
      <c r="J49" s="870" t="e">
        <f>MAX(0,IF($AK$5=$C$9,J$9-DPR!#REF!,IF($AK$5=$C$10,J$10-DPR!#REF!,IF($AK$5=$C$11,J$11-DPR!#REF!))))</f>
        <v>#REF!</v>
      </c>
      <c r="K49" s="870" t="e">
        <f>MAX(0,IF($AK$5=$C$9,K$9-DPR!#REF!,IF($AK$5=$C$10,K$10-DPR!#REF!,IF($AK$5=$C$11,K$11-DPR!#REF!))))</f>
        <v>#REF!</v>
      </c>
      <c r="L49" s="870" t="e">
        <f>MAX(0,IF($AK$5=$C$9,L$9-DPR!#REF!,IF($AK$5=$C$10,L$10-DPR!#REF!,IF($AK$5=$C$11,L$11-DPR!#REF!))))</f>
        <v>#REF!</v>
      </c>
      <c r="M49" s="870" t="e">
        <f>MAX(0,IF($AK$5=$C$9,M$9-DPR!#REF!,IF($AK$5=$C$10,M$10-DPR!#REF!,IF($AK$5=$C$11,M$11-DPR!#REF!))))</f>
        <v>#REF!</v>
      </c>
      <c r="N49" s="870" t="e">
        <f>MAX(0,IF($AK$5=$C$9,N$9-DPR!#REF!,IF($AK$5=$C$10,N$10-DPR!#REF!,IF($AK$5=$C$11,N$11-DPR!#REF!))))</f>
        <v>#REF!</v>
      </c>
      <c r="O49" s="870" t="e">
        <f>MAX(0,IF($AK$5=$C$9,O$9-DPR!#REF!,IF($AK$5=$C$10,O$10-DPR!#REF!,IF($AK$5=$C$11,O$11-DPR!#REF!))))</f>
        <v>#REF!</v>
      </c>
      <c r="P49" s="870" t="e">
        <f>MAX(0,IF($AK$5=$C$9,P$9-DPR!#REF!,IF($AK$5=$C$10,P$10-DPR!#REF!,IF($AK$5=$C$11,P$11-DPR!#REF!))))</f>
        <v>#REF!</v>
      </c>
      <c r="Q49" s="870">
        <v>0</v>
      </c>
      <c r="R49" s="919" t="e">
        <f t="shared" si="1"/>
        <v>#REF!</v>
      </c>
      <c r="S49" s="878" t="e">
        <f>MAX(0,IF($AK$5=$C$9,S$9-DPR!#REF!,IF($AK$5=$C$10,S$10-DPR!#REF!,IF($AK$5=$C$11,S$11-DPR!#REF!))))</f>
        <v>#REF!</v>
      </c>
      <c r="T49" s="878" t="e">
        <f>MAX(0,IF($AK$5=$C$9,T$9-DPR!#REF!,IF($AK$5=$C$10,T$10-DPR!#REF!,IF($AK$5=$C$11,T$11-DPR!#REF!))))</f>
        <v>#REF!</v>
      </c>
      <c r="U49" s="878" t="e">
        <f>MAX(0,IF($AK$5=$C$9,U$9-DPR!#REF!,IF($AK$5=$C$10,U$10-DPR!#REF!,IF($AK$5=$C$11,U$11-DPR!#REF!))))</f>
        <v>#REF!</v>
      </c>
      <c r="V49" s="878" t="e">
        <f>MAX(0,IF($AK$5=$C$9,V$9-DPR!#REF!,IF($AK$5=$C$10,V$10-DPR!#REF!,IF($AK$5=$C$11,V$11-DPR!#REF!))))</f>
        <v>#REF!</v>
      </c>
      <c r="W49" s="878" t="e">
        <f>MAX(0,IF($AK$5=$C$9,W$9-DPR!#REF!,IF($AK$5=$C$10,W$10-DPR!#REF!,IF($AK$5=$C$11,W$11-DPR!#REF!))))</f>
        <v>#REF!</v>
      </c>
      <c r="X49" s="878" t="e">
        <f>MAX(0,IF($AK$5=$C$9,X$9-DPR!#REF!,IF($AK$5=$C$10,X$10-DPR!#REF!,IF($AK$5=$C$11,X$11-DPR!#REF!))))</f>
        <v>#REF!</v>
      </c>
      <c r="Y49" s="878" t="e">
        <f>MAX(0,IF($AK$5=$C$9,Y$9-DPR!#REF!,IF($AK$5=$C$10,Y$10-DPR!#REF!,IF($AK$5=$C$11,Y$11-DPR!#REF!))))</f>
        <v>#REF!</v>
      </c>
      <c r="Z49" s="878" t="e">
        <f>MAX(0,IF($AK$5=$C$9,Z$9-DPR!#REF!,IF($AK$5=$C$10,Z$10-DPR!#REF!,IF($AK$5=$C$11,Z$11-DPR!#REF!))))</f>
        <v>#REF!</v>
      </c>
      <c r="AA49" s="878" t="e">
        <f>MAX(0,IF($AK$5=$C$9,AA$9-DPR!#REF!,IF($AK$5=$C$10,AA$10-DPR!#REF!,IF($AK$5=$C$11,AA$11-DPR!#REF!))))</f>
        <v>#REF!</v>
      </c>
      <c r="AB49" s="878" t="e">
        <f>MAX(0,IF($AK$5=$C$9,AB$9-DPR!#REF!,IF($AK$5=$C$10,AB$10-DPR!#REF!,IF($AK$5=$C$11,AB$11-DPR!#REF!))))</f>
        <v>#REF!</v>
      </c>
      <c r="AC49" s="878" t="e">
        <f>MAX(0,IF($AK$5=$C$9,AC$9-DPR!#REF!,IF($AK$5=$C$10,AC$10-DPR!#REF!,IF($AK$5=$C$11,AC$11-DPR!#REF!))))</f>
        <v>#REF!</v>
      </c>
      <c r="AD49" s="878" t="e">
        <f>MAX(0,IF($AK$5=$C$9,AD$9-DPR!#REF!,IF($AK$5=$C$10,AD$10-DPR!#REF!,IF($AK$5=$C$11,AD$11-DPR!#REF!))))</f>
        <v>#REF!</v>
      </c>
      <c r="AE49" s="878" t="e">
        <f>MAX(0,IF($AK$5=$C$9,AE$9-DPR!#REF!,IF($AK$5=$C$10,AE$10-DPR!#REF!,IF($AK$5=$C$11,AE$11-DPR!#REF!))))</f>
        <v>#REF!</v>
      </c>
      <c r="AF49" s="878" t="e">
        <f>MAX(0,IF($AK$5=$C$9,AF$9-DPR!#REF!,IF($AK$5=$C$10,AF$10-DPR!#REF!,IF($AK$5=$C$11,AF$11-DPR!#REF!))))</f>
        <v>#REF!</v>
      </c>
      <c r="AG49" s="920" t="e">
        <f t="shared" si="2"/>
        <v>#REF!</v>
      </c>
      <c r="AH49" s="888">
        <f t="shared" si="0"/>
        <v>202505</v>
      </c>
      <c r="AI49" s="826"/>
      <c r="AJ49" t="e">
        <f>DPR!#REF!</f>
        <v>#REF!</v>
      </c>
      <c r="AK49" s="262"/>
      <c r="AL49" s="262"/>
    </row>
    <row r="50" spans="3:38" ht="15.75">
      <c r="C50" s="918">
        <v>45786</v>
      </c>
      <c r="D50" s="870" t="e">
        <f>MAX(0,IF($AK$5=$C$9,D$9-DPR!#REF!,IF($AK$5=$C$10,D$10-DPR!#REF!,IF($AK$5=$C$11,D$11-DPR!#REF!))))</f>
        <v>#REF!</v>
      </c>
      <c r="E50" s="870" t="e">
        <f>MAX(0,IF($AK$5=$C$9,E$9-DPR!#REF!,IF($AK$5=$C$10,E$10-DPR!#REF!,IF($AK$5=$C$11,E$11-DPR!#REF!))))</f>
        <v>#REF!</v>
      </c>
      <c r="F50" s="870" t="e">
        <f>MAX(0,IF($AK$5=$C$9,F$9-DPR!#REF!,IF($AK$5=$C$10,F$10-DPR!#REF!,IF($AK$5=$C$11,F$11-DPR!#REF!))))</f>
        <v>#REF!</v>
      </c>
      <c r="G50" s="870" t="e">
        <f>MAX(0,IF($AK$5=$C$9,G$9-DPR!#REF!,IF($AK$5=$C$10,G$10-DPR!#REF!,IF($AK$5=$C$11,G$11-DPR!#REF!))))</f>
        <v>#REF!</v>
      </c>
      <c r="H50" s="870" t="e">
        <f>MAX(0,IF($AK$5=$C$9,H$9-DPR!#REF!,IF($AK$5=$C$10,H$10-DPR!#REF!,IF($AK$5=$C$11,H$11-DPR!#REF!))))</f>
        <v>#REF!</v>
      </c>
      <c r="I50" s="870" t="e">
        <f>MAX(0,IF($AK$5=$C$9,I$9-DPR!#REF!,IF($AK$5=$C$10,I$10-DPR!#REF!,IF($AK$5=$C$11,I$11-DPR!#REF!))))</f>
        <v>#REF!</v>
      </c>
      <c r="J50" s="870" t="e">
        <f>MAX(0,IF($AK$5=$C$9,J$9-DPR!#REF!,IF($AK$5=$C$10,J$10-DPR!#REF!,IF($AK$5=$C$11,J$11-DPR!#REF!))))</f>
        <v>#REF!</v>
      </c>
      <c r="K50" s="870" t="e">
        <f>MAX(0,IF($AK$5=$C$9,K$9-DPR!#REF!,IF($AK$5=$C$10,K$10-DPR!#REF!,IF($AK$5=$C$11,K$11-DPR!#REF!))))</f>
        <v>#REF!</v>
      </c>
      <c r="L50" s="870" t="e">
        <f>MAX(0,IF($AK$5=$C$9,L$9-DPR!#REF!,IF($AK$5=$C$10,L$10-DPR!#REF!,IF($AK$5=$C$11,L$11-DPR!#REF!))))</f>
        <v>#REF!</v>
      </c>
      <c r="M50" s="870" t="e">
        <f>MAX(0,IF($AK$5=$C$9,M$9-DPR!#REF!,IF($AK$5=$C$10,M$10-DPR!#REF!,IF($AK$5=$C$11,M$11-DPR!#REF!))))</f>
        <v>#REF!</v>
      </c>
      <c r="N50" s="870" t="e">
        <f>MAX(0,IF($AK$5=$C$9,N$9-DPR!#REF!,IF($AK$5=$C$10,N$10-DPR!#REF!,IF($AK$5=$C$11,N$11-DPR!#REF!))))</f>
        <v>#REF!</v>
      </c>
      <c r="O50" s="870" t="e">
        <f>MAX(0,IF($AK$5=$C$9,O$9-DPR!#REF!,IF($AK$5=$C$10,O$10-DPR!#REF!,IF($AK$5=$C$11,O$11-DPR!#REF!))))</f>
        <v>#REF!</v>
      </c>
      <c r="P50" s="870" t="e">
        <f>MAX(0,IF($AK$5=$C$9,P$9-DPR!#REF!,IF($AK$5=$C$10,P$10-DPR!#REF!,IF($AK$5=$C$11,P$11-DPR!#REF!))))</f>
        <v>#REF!</v>
      </c>
      <c r="Q50" s="874">
        <v>0</v>
      </c>
      <c r="R50" s="919" t="e">
        <f t="shared" si="1"/>
        <v>#REF!</v>
      </c>
      <c r="S50" s="878" t="e">
        <f>MAX(0,IF($AK$5=$C$9,S$9-DPR!#REF!,IF($AK$5=$C$10,S$10-DPR!#REF!,IF($AK$5=$C$11,S$11-DPR!#REF!))))</f>
        <v>#REF!</v>
      </c>
      <c r="T50" s="878" t="e">
        <f>MAX(0,IF($AK$5=$C$9,T$9-DPR!#REF!,IF($AK$5=$C$10,T$10-DPR!#REF!,IF($AK$5=$C$11,T$11-DPR!#REF!))))</f>
        <v>#REF!</v>
      </c>
      <c r="U50" s="878" t="e">
        <f>MAX(0,IF($AK$5=$C$9,U$9-DPR!#REF!,IF($AK$5=$C$10,U$10-DPR!#REF!,IF($AK$5=$C$11,U$11-DPR!#REF!))))</f>
        <v>#REF!</v>
      </c>
      <c r="V50" s="878" t="e">
        <f>MAX(0,IF($AK$5=$C$9,V$9-DPR!#REF!,IF($AK$5=$C$10,V$10-DPR!#REF!,IF($AK$5=$C$11,V$11-DPR!#REF!))))</f>
        <v>#REF!</v>
      </c>
      <c r="W50" s="878" t="e">
        <f>MAX(0,IF($AK$5=$C$9,W$9-DPR!#REF!,IF($AK$5=$C$10,W$10-DPR!#REF!,IF($AK$5=$C$11,W$11-DPR!#REF!))))</f>
        <v>#REF!</v>
      </c>
      <c r="X50" s="878" t="e">
        <f>MAX(0,IF($AK$5=$C$9,X$9-DPR!#REF!,IF($AK$5=$C$10,X$10-DPR!#REF!,IF($AK$5=$C$11,X$11-DPR!#REF!))))</f>
        <v>#REF!</v>
      </c>
      <c r="Y50" s="878" t="e">
        <f>MAX(0,IF($AK$5=$C$9,Y$9-DPR!#REF!,IF($AK$5=$C$10,Y$10-DPR!#REF!,IF($AK$5=$C$11,Y$11-DPR!#REF!))))</f>
        <v>#REF!</v>
      </c>
      <c r="Z50" s="878" t="e">
        <f>MAX(0,IF($AK$5=$C$9,Z$9-DPR!#REF!,IF($AK$5=$C$10,Z$10-DPR!#REF!,IF($AK$5=$C$11,Z$11-DPR!#REF!))))</f>
        <v>#REF!</v>
      </c>
      <c r="AA50" s="878" t="e">
        <f>MAX(0,IF($AK$5=$C$9,AA$9-DPR!#REF!,IF($AK$5=$C$10,AA$10-DPR!#REF!,IF($AK$5=$C$11,AA$11-DPR!#REF!))))</f>
        <v>#REF!</v>
      </c>
      <c r="AB50" s="878" t="e">
        <f>MAX(0,IF($AK$5=$C$9,AB$9-DPR!#REF!,IF($AK$5=$C$10,AB$10-DPR!#REF!,IF($AK$5=$C$11,AB$11-DPR!#REF!))))</f>
        <v>#REF!</v>
      </c>
      <c r="AC50" s="878" t="e">
        <f>MAX(0,IF($AK$5=$C$9,AC$9-DPR!#REF!,IF($AK$5=$C$10,AC$10-DPR!#REF!,IF($AK$5=$C$11,AC$11-DPR!#REF!))))</f>
        <v>#REF!</v>
      </c>
      <c r="AD50" s="878" t="e">
        <f>MAX(0,IF($AK$5=$C$9,AD$9-DPR!#REF!,IF($AK$5=$C$10,AD$10-DPR!#REF!,IF($AK$5=$C$11,AD$11-DPR!#REF!))))</f>
        <v>#REF!</v>
      </c>
      <c r="AE50" s="878" t="e">
        <f>MAX(0,IF($AK$5=$C$9,AE$9-DPR!#REF!,IF($AK$5=$C$10,AE$10-DPR!#REF!,IF($AK$5=$C$11,AE$11-DPR!#REF!))))</f>
        <v>#REF!</v>
      </c>
      <c r="AF50" s="878" t="e">
        <f>MAX(0,IF($AK$5=$C$9,AF$9-DPR!#REF!,IF($AK$5=$C$10,AF$10-DPR!#REF!,IF($AK$5=$C$11,AF$11-DPR!#REF!))))</f>
        <v>#REF!</v>
      </c>
      <c r="AG50" s="920" t="e">
        <f t="shared" si="2"/>
        <v>#REF!</v>
      </c>
      <c r="AH50" s="888">
        <f t="shared" si="0"/>
        <v>202505</v>
      </c>
      <c r="AI50" s="826"/>
      <c r="AJ50" t="e">
        <f>DPR!#REF!</f>
        <v>#REF!</v>
      </c>
      <c r="AK50" s="262"/>
      <c r="AL50" s="262"/>
    </row>
    <row r="51" spans="3:38" ht="15.75">
      <c r="C51" s="918">
        <v>45787</v>
      </c>
      <c r="D51" s="870" t="e">
        <f>MAX(0,IF($AK$5=$C$9,D$9-DPR!#REF!,IF($AK$5=$C$10,D$10-DPR!#REF!,IF($AK$5=$C$11,D$11-DPR!#REF!))))</f>
        <v>#REF!</v>
      </c>
      <c r="E51" s="870" t="e">
        <f>MAX(0,IF($AK$5=$C$9,E$9-DPR!#REF!,IF($AK$5=$C$10,E$10-DPR!#REF!,IF($AK$5=$C$11,E$11-DPR!#REF!))))</f>
        <v>#REF!</v>
      </c>
      <c r="F51" s="870" t="e">
        <f>MAX(0,IF($AK$5=$C$9,F$9-DPR!#REF!,IF($AK$5=$C$10,F$10-DPR!#REF!,IF($AK$5=$C$11,F$11-DPR!#REF!))))</f>
        <v>#REF!</v>
      </c>
      <c r="G51" s="870" t="e">
        <f>MAX(0,IF($AK$5=$C$9,G$9-DPR!#REF!,IF($AK$5=$C$10,G$10-DPR!#REF!,IF($AK$5=$C$11,G$11-DPR!#REF!))))</f>
        <v>#REF!</v>
      </c>
      <c r="H51" s="870" t="e">
        <f>MAX(0,IF($AK$5=$C$9,H$9-DPR!#REF!,IF($AK$5=$C$10,H$10-DPR!#REF!,IF($AK$5=$C$11,H$11-DPR!#REF!))))</f>
        <v>#REF!</v>
      </c>
      <c r="I51" s="870" t="e">
        <f>MAX(0,IF($AK$5=$C$9,I$9-DPR!#REF!,IF($AK$5=$C$10,I$10-DPR!#REF!,IF($AK$5=$C$11,I$11-DPR!#REF!))))</f>
        <v>#REF!</v>
      </c>
      <c r="J51" s="870" t="e">
        <f>MAX(0,IF($AK$5=$C$9,J$9-DPR!#REF!,IF($AK$5=$C$10,J$10-DPR!#REF!,IF($AK$5=$C$11,J$11-DPR!#REF!))))</f>
        <v>#REF!</v>
      </c>
      <c r="K51" s="870" t="e">
        <f>MAX(0,IF($AK$5=$C$9,K$9-DPR!#REF!,IF($AK$5=$C$10,K$10-DPR!#REF!,IF($AK$5=$C$11,K$11-DPR!#REF!))))</f>
        <v>#REF!</v>
      </c>
      <c r="L51" s="870" t="e">
        <f>MAX(0,IF($AK$5=$C$9,L$9-DPR!#REF!,IF($AK$5=$C$10,L$10-DPR!#REF!,IF($AK$5=$C$11,L$11-DPR!#REF!))))</f>
        <v>#REF!</v>
      </c>
      <c r="M51" s="870" t="e">
        <f>MAX(0,IF($AK$5=$C$9,M$9-DPR!#REF!,IF($AK$5=$C$10,M$10-DPR!#REF!,IF($AK$5=$C$11,M$11-DPR!#REF!))))</f>
        <v>#REF!</v>
      </c>
      <c r="N51" s="870" t="e">
        <f>MAX(0,IF($AK$5=$C$9,N$9-DPR!#REF!,IF($AK$5=$C$10,N$10-DPR!#REF!,IF($AK$5=$C$11,N$11-DPR!#REF!))))</f>
        <v>#REF!</v>
      </c>
      <c r="O51" s="870" t="e">
        <f>MAX(0,IF($AK$5=$C$9,O$9-DPR!#REF!,IF($AK$5=$C$10,O$10-DPR!#REF!,IF($AK$5=$C$11,O$11-DPR!#REF!))))</f>
        <v>#REF!</v>
      </c>
      <c r="P51" s="870" t="e">
        <f>MAX(0,IF($AK$5=$C$9,P$9-DPR!#REF!,IF($AK$5=$C$10,P$10-DPR!#REF!,IF($AK$5=$C$11,P$11-DPR!#REF!))))</f>
        <v>#REF!</v>
      </c>
      <c r="Q51" s="870">
        <v>0</v>
      </c>
      <c r="R51" s="919" t="e">
        <f t="shared" si="1"/>
        <v>#REF!</v>
      </c>
      <c r="S51" s="878" t="e">
        <f>MAX(0,IF($AK$5=$C$9,S$9-DPR!#REF!,IF($AK$5=$C$10,S$10-DPR!#REF!,IF($AK$5=$C$11,S$11-DPR!#REF!))))</f>
        <v>#REF!</v>
      </c>
      <c r="T51" s="878" t="e">
        <f>MAX(0,IF($AK$5=$C$9,T$9-DPR!#REF!,IF($AK$5=$C$10,T$10-DPR!#REF!,IF($AK$5=$C$11,T$11-DPR!#REF!))))</f>
        <v>#REF!</v>
      </c>
      <c r="U51" s="878" t="e">
        <f>MAX(0,IF($AK$5=$C$9,U$9-DPR!#REF!,IF($AK$5=$C$10,U$10-DPR!#REF!,IF($AK$5=$C$11,U$11-DPR!#REF!))))</f>
        <v>#REF!</v>
      </c>
      <c r="V51" s="878" t="e">
        <f>MAX(0,IF($AK$5=$C$9,V$9-DPR!#REF!,IF($AK$5=$C$10,V$10-DPR!#REF!,IF($AK$5=$C$11,V$11-DPR!#REF!))))</f>
        <v>#REF!</v>
      </c>
      <c r="W51" s="878" t="e">
        <f>MAX(0,IF($AK$5=$C$9,W$9-DPR!#REF!,IF($AK$5=$C$10,W$10-DPR!#REF!,IF($AK$5=$C$11,W$11-DPR!#REF!))))</f>
        <v>#REF!</v>
      </c>
      <c r="X51" s="878" t="e">
        <f>MAX(0,IF($AK$5=$C$9,X$9-DPR!#REF!,IF($AK$5=$C$10,X$10-DPR!#REF!,IF($AK$5=$C$11,X$11-DPR!#REF!))))</f>
        <v>#REF!</v>
      </c>
      <c r="Y51" s="878" t="e">
        <f>MAX(0,IF($AK$5=$C$9,Y$9-DPR!#REF!,IF($AK$5=$C$10,Y$10-DPR!#REF!,IF($AK$5=$C$11,Y$11-DPR!#REF!))))</f>
        <v>#REF!</v>
      </c>
      <c r="Z51" s="878" t="e">
        <f>MAX(0,IF($AK$5=$C$9,Z$9-DPR!#REF!,IF($AK$5=$C$10,Z$10-DPR!#REF!,IF($AK$5=$C$11,Z$11-DPR!#REF!))))</f>
        <v>#REF!</v>
      </c>
      <c r="AA51" s="878" t="e">
        <f>MAX(0,IF($AK$5=$C$9,AA$9-DPR!#REF!,IF($AK$5=$C$10,AA$10-DPR!#REF!,IF($AK$5=$C$11,AA$11-DPR!#REF!))))</f>
        <v>#REF!</v>
      </c>
      <c r="AB51" s="878" t="e">
        <f>MAX(0,IF($AK$5=$C$9,AB$9-DPR!#REF!,IF($AK$5=$C$10,AB$10-DPR!#REF!,IF($AK$5=$C$11,AB$11-DPR!#REF!))))</f>
        <v>#REF!</v>
      </c>
      <c r="AC51" s="878" t="e">
        <f>MAX(0,IF($AK$5=$C$9,AC$9-DPR!#REF!,IF($AK$5=$C$10,AC$10-DPR!#REF!,IF($AK$5=$C$11,AC$11-DPR!#REF!))))</f>
        <v>#REF!</v>
      </c>
      <c r="AD51" s="878" t="e">
        <f>MAX(0,IF($AK$5=$C$9,AD$9-DPR!#REF!,IF($AK$5=$C$10,AD$10-DPR!#REF!,IF($AK$5=$C$11,AD$11-DPR!#REF!))))</f>
        <v>#REF!</v>
      </c>
      <c r="AE51" s="878" t="e">
        <f>MAX(0,IF($AK$5=$C$9,AE$9-DPR!#REF!,IF($AK$5=$C$10,AE$10-DPR!#REF!,IF($AK$5=$C$11,AE$11-DPR!#REF!))))</f>
        <v>#REF!</v>
      </c>
      <c r="AF51" s="878" t="e">
        <f>MAX(0,IF($AK$5=$C$9,AF$9-DPR!#REF!,IF($AK$5=$C$10,AF$10-DPR!#REF!,IF($AK$5=$C$11,AF$11-DPR!#REF!))))</f>
        <v>#REF!</v>
      </c>
      <c r="AG51" s="920" t="e">
        <f t="shared" si="2"/>
        <v>#REF!</v>
      </c>
      <c r="AH51" s="888">
        <f t="shared" si="0"/>
        <v>202505</v>
      </c>
      <c r="AI51" s="826"/>
      <c r="AJ51" t="e">
        <f>DPR!#REF!</f>
        <v>#REF!</v>
      </c>
      <c r="AK51" s="262"/>
      <c r="AL51" s="262"/>
    </row>
    <row r="52" spans="3:38" ht="15.75">
      <c r="C52" s="918">
        <v>45788</v>
      </c>
      <c r="D52" s="870" t="e">
        <f>MAX(0,IF($AK$5=$C$9,D$9-DPR!#REF!,IF($AK$5=$C$10,D$10-DPR!#REF!,IF($AK$5=$C$11,D$11-DPR!#REF!))))</f>
        <v>#REF!</v>
      </c>
      <c r="E52" s="870" t="e">
        <f>MAX(0,IF($AK$5=$C$9,E$9-DPR!#REF!,IF($AK$5=$C$10,E$10-DPR!#REF!,IF($AK$5=$C$11,E$11-DPR!#REF!))))</f>
        <v>#REF!</v>
      </c>
      <c r="F52" s="870" t="e">
        <f>MAX(0,IF($AK$5=$C$9,F$9-DPR!#REF!,IF($AK$5=$C$10,F$10-DPR!#REF!,IF($AK$5=$C$11,F$11-DPR!#REF!))))</f>
        <v>#REF!</v>
      </c>
      <c r="G52" s="870" t="e">
        <f>MAX(0,IF($AK$5=$C$9,G$9-DPR!#REF!,IF($AK$5=$C$10,G$10-DPR!#REF!,IF($AK$5=$C$11,G$11-DPR!#REF!))))</f>
        <v>#REF!</v>
      </c>
      <c r="H52" s="870" t="e">
        <f>MAX(0,IF($AK$5=$C$9,H$9-DPR!#REF!,IF($AK$5=$C$10,H$10-DPR!#REF!,IF($AK$5=$C$11,H$11-DPR!#REF!))))</f>
        <v>#REF!</v>
      </c>
      <c r="I52" s="870" t="e">
        <f>MAX(0,IF($AK$5=$C$9,I$9-DPR!#REF!,IF($AK$5=$C$10,I$10-DPR!#REF!,IF($AK$5=$C$11,I$11-DPR!#REF!))))</f>
        <v>#REF!</v>
      </c>
      <c r="J52" s="870" t="e">
        <f>MAX(0,IF($AK$5=$C$9,J$9-DPR!#REF!,IF($AK$5=$C$10,J$10-DPR!#REF!,IF($AK$5=$C$11,J$11-DPR!#REF!))))</f>
        <v>#REF!</v>
      </c>
      <c r="K52" s="870" t="e">
        <f>MAX(0,IF($AK$5=$C$9,K$9-DPR!#REF!,IF($AK$5=$C$10,K$10-DPR!#REF!,IF($AK$5=$C$11,K$11-DPR!#REF!))))</f>
        <v>#REF!</v>
      </c>
      <c r="L52" s="870" t="e">
        <f>MAX(0,IF($AK$5=$C$9,L$9-DPR!#REF!,IF($AK$5=$C$10,L$10-DPR!#REF!,IF($AK$5=$C$11,L$11-DPR!#REF!))))</f>
        <v>#REF!</v>
      </c>
      <c r="M52" s="870" t="e">
        <f>MAX(0,IF($AK$5=$C$9,M$9-DPR!#REF!,IF($AK$5=$C$10,M$10-DPR!#REF!,IF($AK$5=$C$11,M$11-DPR!#REF!))))</f>
        <v>#REF!</v>
      </c>
      <c r="N52" s="870" t="e">
        <f>MAX(0,IF($AK$5=$C$9,N$9-DPR!#REF!,IF($AK$5=$C$10,N$10-DPR!#REF!,IF($AK$5=$C$11,N$11-DPR!#REF!))))</f>
        <v>#REF!</v>
      </c>
      <c r="O52" s="870" t="e">
        <f>MAX(0,IF($AK$5=$C$9,O$9-DPR!#REF!,IF($AK$5=$C$10,O$10-DPR!#REF!,IF($AK$5=$C$11,O$11-DPR!#REF!))))</f>
        <v>#REF!</v>
      </c>
      <c r="P52" s="870" t="e">
        <f>MAX(0,IF($AK$5=$C$9,P$9-DPR!#REF!,IF($AK$5=$C$10,P$10-DPR!#REF!,IF($AK$5=$C$11,P$11-DPR!#REF!))))</f>
        <v>#REF!</v>
      </c>
      <c r="Q52" s="874">
        <v>0</v>
      </c>
      <c r="R52" s="919" t="e">
        <f t="shared" si="1"/>
        <v>#REF!</v>
      </c>
      <c r="S52" s="878" t="e">
        <f>MAX(0,IF($AK$5=$C$9,S$9-DPR!#REF!,IF($AK$5=$C$10,S$10-DPR!#REF!,IF($AK$5=$C$11,S$11-DPR!#REF!))))</f>
        <v>#REF!</v>
      </c>
      <c r="T52" s="878" t="e">
        <f>MAX(0,IF($AK$5=$C$9,T$9-DPR!#REF!,IF($AK$5=$C$10,T$10-DPR!#REF!,IF($AK$5=$C$11,T$11-DPR!#REF!))))</f>
        <v>#REF!</v>
      </c>
      <c r="U52" s="878" t="e">
        <f>MAX(0,IF($AK$5=$C$9,U$9-DPR!#REF!,IF($AK$5=$C$10,U$10-DPR!#REF!,IF($AK$5=$C$11,U$11-DPR!#REF!))))</f>
        <v>#REF!</v>
      </c>
      <c r="V52" s="878" t="e">
        <f>MAX(0,IF($AK$5=$C$9,V$9-DPR!#REF!,IF($AK$5=$C$10,V$10-DPR!#REF!,IF($AK$5=$C$11,V$11-DPR!#REF!))))</f>
        <v>#REF!</v>
      </c>
      <c r="W52" s="878" t="e">
        <f>MAX(0,IF($AK$5=$C$9,W$9-DPR!#REF!,IF($AK$5=$C$10,W$10-DPR!#REF!,IF($AK$5=$C$11,W$11-DPR!#REF!))))</f>
        <v>#REF!</v>
      </c>
      <c r="X52" s="878" t="e">
        <f>MAX(0,IF($AK$5=$C$9,X$9-DPR!#REF!,IF($AK$5=$C$10,X$10-DPR!#REF!,IF($AK$5=$C$11,X$11-DPR!#REF!))))</f>
        <v>#REF!</v>
      </c>
      <c r="Y52" s="878" t="e">
        <f>MAX(0,IF($AK$5=$C$9,Y$9-DPR!#REF!,IF($AK$5=$C$10,Y$10-DPR!#REF!,IF($AK$5=$C$11,Y$11-DPR!#REF!))))</f>
        <v>#REF!</v>
      </c>
      <c r="Z52" s="878" t="e">
        <f>MAX(0,IF($AK$5=$C$9,Z$9-DPR!#REF!,IF($AK$5=$C$10,Z$10-DPR!#REF!,IF($AK$5=$C$11,Z$11-DPR!#REF!))))</f>
        <v>#REF!</v>
      </c>
      <c r="AA52" s="878" t="e">
        <f>MAX(0,IF($AK$5=$C$9,AA$9-DPR!#REF!,IF($AK$5=$C$10,AA$10-DPR!#REF!,IF($AK$5=$C$11,AA$11-DPR!#REF!))))</f>
        <v>#REF!</v>
      </c>
      <c r="AB52" s="878" t="e">
        <f>MAX(0,IF($AK$5=$C$9,AB$9-DPR!#REF!,IF($AK$5=$C$10,AB$10-DPR!#REF!,IF($AK$5=$C$11,AB$11-DPR!#REF!))))</f>
        <v>#REF!</v>
      </c>
      <c r="AC52" s="878" t="e">
        <f>MAX(0,IF($AK$5=$C$9,AC$9-DPR!#REF!,IF($AK$5=$C$10,AC$10-DPR!#REF!,IF($AK$5=$C$11,AC$11-DPR!#REF!))))</f>
        <v>#REF!</v>
      </c>
      <c r="AD52" s="878" t="e">
        <f>MAX(0,IF($AK$5=$C$9,AD$9-DPR!#REF!,IF($AK$5=$C$10,AD$10-DPR!#REF!,IF($AK$5=$C$11,AD$11-DPR!#REF!))))</f>
        <v>#REF!</v>
      </c>
      <c r="AE52" s="878" t="e">
        <f>MAX(0,IF($AK$5=$C$9,AE$9-DPR!#REF!,IF($AK$5=$C$10,AE$10-DPR!#REF!,IF($AK$5=$C$11,AE$11-DPR!#REF!))))</f>
        <v>#REF!</v>
      </c>
      <c r="AF52" s="878" t="e">
        <f>MAX(0,IF($AK$5=$C$9,AF$9-DPR!#REF!,IF($AK$5=$C$10,AF$10-DPR!#REF!,IF($AK$5=$C$11,AF$11-DPR!#REF!))))</f>
        <v>#REF!</v>
      </c>
      <c r="AG52" s="920" t="e">
        <f t="shared" si="2"/>
        <v>#REF!</v>
      </c>
      <c r="AH52" s="888">
        <f t="shared" si="0"/>
        <v>202505</v>
      </c>
      <c r="AI52" s="826"/>
      <c r="AJ52" t="e">
        <f>DPR!#REF!</f>
        <v>#REF!</v>
      </c>
      <c r="AK52" s="262"/>
      <c r="AL52" s="262"/>
    </row>
    <row r="53" spans="3:38" ht="15.75">
      <c r="C53" s="918">
        <v>45789</v>
      </c>
      <c r="D53" s="870" t="e">
        <f>MAX(0,IF($AK$5=$C$9,D$9-DPR!#REF!,IF($AK$5=$C$10,D$10-DPR!#REF!,IF($AK$5=$C$11,D$11-DPR!#REF!))))</f>
        <v>#REF!</v>
      </c>
      <c r="E53" s="870" t="e">
        <f>MAX(0,IF($AK$5=$C$9,E$9-DPR!#REF!,IF($AK$5=$C$10,E$10-DPR!#REF!,IF($AK$5=$C$11,E$11-DPR!#REF!))))</f>
        <v>#REF!</v>
      </c>
      <c r="F53" s="870" t="e">
        <f>MAX(0,IF($AK$5=$C$9,F$9-DPR!#REF!,IF($AK$5=$C$10,F$10-DPR!#REF!,IF($AK$5=$C$11,F$11-DPR!#REF!))))</f>
        <v>#REF!</v>
      </c>
      <c r="G53" s="870" t="e">
        <f>MAX(0,IF($AK$5=$C$9,G$9-DPR!#REF!,IF($AK$5=$C$10,G$10-DPR!#REF!,IF($AK$5=$C$11,G$11-DPR!#REF!))))</f>
        <v>#REF!</v>
      </c>
      <c r="H53" s="870" t="e">
        <f>MAX(0,IF($AK$5=$C$9,H$9-DPR!#REF!,IF($AK$5=$C$10,H$10-DPR!#REF!,IF($AK$5=$C$11,H$11-DPR!#REF!))))</f>
        <v>#REF!</v>
      </c>
      <c r="I53" s="870" t="e">
        <f>MAX(0,IF($AK$5=$C$9,I$9-DPR!#REF!,IF($AK$5=$C$10,I$10-DPR!#REF!,IF($AK$5=$C$11,I$11-DPR!#REF!))))</f>
        <v>#REF!</v>
      </c>
      <c r="J53" s="870" t="e">
        <f>MAX(0,IF($AK$5=$C$9,J$9-DPR!#REF!,IF($AK$5=$C$10,J$10-DPR!#REF!,IF($AK$5=$C$11,J$11-DPR!#REF!))))</f>
        <v>#REF!</v>
      </c>
      <c r="K53" s="870" t="e">
        <f>MAX(0,IF($AK$5=$C$9,K$9-DPR!#REF!,IF($AK$5=$C$10,K$10-DPR!#REF!,IF($AK$5=$C$11,K$11-DPR!#REF!))))</f>
        <v>#REF!</v>
      </c>
      <c r="L53" s="870" t="e">
        <f>MAX(0,IF($AK$5=$C$9,L$9-DPR!#REF!,IF($AK$5=$C$10,L$10-DPR!#REF!,IF($AK$5=$C$11,L$11-DPR!#REF!))))</f>
        <v>#REF!</v>
      </c>
      <c r="M53" s="870" t="e">
        <f>MAX(0,IF($AK$5=$C$9,M$9-DPR!#REF!,IF($AK$5=$C$10,M$10-DPR!#REF!,IF($AK$5=$C$11,M$11-DPR!#REF!))))</f>
        <v>#REF!</v>
      </c>
      <c r="N53" s="870" t="e">
        <f>MAX(0,IF($AK$5=$C$9,N$9-DPR!#REF!,IF($AK$5=$C$10,N$10-DPR!#REF!,IF($AK$5=$C$11,N$11-DPR!#REF!))))</f>
        <v>#REF!</v>
      </c>
      <c r="O53" s="870" t="e">
        <f>MAX(0,IF($AK$5=$C$9,O$9-DPR!#REF!,IF($AK$5=$C$10,O$10-DPR!#REF!,IF($AK$5=$C$11,O$11-DPR!#REF!))))</f>
        <v>#REF!</v>
      </c>
      <c r="P53" s="870" t="e">
        <f>MAX(0,IF($AK$5=$C$9,P$9-DPR!#REF!,IF($AK$5=$C$10,P$10-DPR!#REF!,IF($AK$5=$C$11,P$11-DPR!#REF!))))</f>
        <v>#REF!</v>
      </c>
      <c r="Q53" s="870">
        <v>0</v>
      </c>
      <c r="R53" s="919" t="e">
        <f t="shared" si="1"/>
        <v>#REF!</v>
      </c>
      <c r="S53" s="878" t="e">
        <f>MAX(0,IF($AK$5=$C$9,S$9-DPR!#REF!,IF($AK$5=$C$10,S$10-DPR!#REF!,IF($AK$5=$C$11,S$11-DPR!#REF!))))</f>
        <v>#REF!</v>
      </c>
      <c r="T53" s="878" t="e">
        <f>MAX(0,IF($AK$5=$C$9,T$9-DPR!#REF!,IF($AK$5=$C$10,T$10-DPR!#REF!,IF($AK$5=$C$11,T$11-DPR!#REF!))))</f>
        <v>#REF!</v>
      </c>
      <c r="U53" s="878" t="e">
        <f>MAX(0,IF($AK$5=$C$9,U$9-DPR!#REF!,IF($AK$5=$C$10,U$10-DPR!#REF!,IF($AK$5=$C$11,U$11-DPR!#REF!))))</f>
        <v>#REF!</v>
      </c>
      <c r="V53" s="878" t="e">
        <f>MAX(0,IF($AK$5=$C$9,V$9-DPR!#REF!,IF($AK$5=$C$10,V$10-DPR!#REF!,IF($AK$5=$C$11,V$11-DPR!#REF!))))</f>
        <v>#REF!</v>
      </c>
      <c r="W53" s="878" t="e">
        <f>MAX(0,IF($AK$5=$C$9,W$9-DPR!#REF!,IF($AK$5=$C$10,W$10-DPR!#REF!,IF($AK$5=$C$11,W$11-DPR!#REF!))))</f>
        <v>#REF!</v>
      </c>
      <c r="X53" s="878" t="e">
        <f>MAX(0,IF($AK$5=$C$9,X$9-DPR!#REF!,IF($AK$5=$C$10,X$10-DPR!#REF!,IF($AK$5=$C$11,X$11-DPR!#REF!))))</f>
        <v>#REF!</v>
      </c>
      <c r="Y53" s="878" t="e">
        <f>MAX(0,IF($AK$5=$C$9,Y$9-DPR!#REF!,IF($AK$5=$C$10,Y$10-DPR!#REF!,IF($AK$5=$C$11,Y$11-DPR!#REF!))))</f>
        <v>#REF!</v>
      </c>
      <c r="Z53" s="878" t="e">
        <f>MAX(0,IF($AK$5=$C$9,Z$9-DPR!#REF!,IF($AK$5=$C$10,Z$10-DPR!#REF!,IF($AK$5=$C$11,Z$11-DPR!#REF!))))</f>
        <v>#REF!</v>
      </c>
      <c r="AA53" s="878" t="e">
        <f>MAX(0,IF($AK$5=$C$9,AA$9-DPR!#REF!,IF($AK$5=$C$10,AA$10-DPR!#REF!,IF($AK$5=$C$11,AA$11-DPR!#REF!))))</f>
        <v>#REF!</v>
      </c>
      <c r="AB53" s="878" t="e">
        <f>MAX(0,IF($AK$5=$C$9,AB$9-DPR!#REF!,IF($AK$5=$C$10,AB$10-DPR!#REF!,IF($AK$5=$C$11,AB$11-DPR!#REF!))))</f>
        <v>#REF!</v>
      </c>
      <c r="AC53" s="878" t="e">
        <f>MAX(0,IF($AK$5=$C$9,AC$9-DPR!#REF!,IF($AK$5=$C$10,AC$10-DPR!#REF!,IF($AK$5=$C$11,AC$11-DPR!#REF!))))</f>
        <v>#REF!</v>
      </c>
      <c r="AD53" s="878" t="e">
        <f>MAX(0,IF($AK$5=$C$9,AD$9-DPR!#REF!,IF($AK$5=$C$10,AD$10-DPR!#REF!,IF($AK$5=$C$11,AD$11-DPR!#REF!))))</f>
        <v>#REF!</v>
      </c>
      <c r="AE53" s="878" t="e">
        <f>MAX(0,IF($AK$5=$C$9,AE$9-DPR!#REF!,IF($AK$5=$C$10,AE$10-DPR!#REF!,IF($AK$5=$C$11,AE$11-DPR!#REF!))))</f>
        <v>#REF!</v>
      </c>
      <c r="AF53" s="878" t="e">
        <f>MAX(0,IF($AK$5=$C$9,AF$9-DPR!#REF!,IF($AK$5=$C$10,AF$10-DPR!#REF!,IF($AK$5=$C$11,AF$11-DPR!#REF!))))</f>
        <v>#REF!</v>
      </c>
      <c r="AG53" s="920" t="e">
        <f t="shared" si="2"/>
        <v>#REF!</v>
      </c>
      <c r="AH53" s="888">
        <f>IF($AK$1&gt;=C53,(YEAR(C53)*100+MONTH(C53)),0)</f>
        <v>202505</v>
      </c>
      <c r="AI53" s="826"/>
      <c r="AJ53" t="e">
        <f>DPR!#REF!</f>
        <v>#REF!</v>
      </c>
      <c r="AK53" s="262"/>
      <c r="AL53" s="262"/>
    </row>
    <row r="54" spans="3:38" ht="15.75">
      <c r="C54" s="918">
        <v>45790</v>
      </c>
      <c r="D54" s="870" t="e">
        <f>MAX(0,IF($AK$5=$C$9,D$9-DPR!#REF!,IF($AK$5=$C$10,D$10-DPR!#REF!,IF($AK$5=$C$11,D$11-DPR!#REF!))))</f>
        <v>#REF!</v>
      </c>
      <c r="E54" s="870" t="e">
        <f>MAX(0,IF($AK$5=$C$9,E$9-DPR!#REF!,IF($AK$5=$C$10,E$10-DPR!#REF!,IF($AK$5=$C$11,E$11-DPR!#REF!))))</f>
        <v>#REF!</v>
      </c>
      <c r="F54" s="870" t="e">
        <f>MAX(0,IF($AK$5=$C$9,F$9-DPR!#REF!,IF($AK$5=$C$10,F$10-DPR!#REF!,IF($AK$5=$C$11,F$11-DPR!#REF!))))</f>
        <v>#REF!</v>
      </c>
      <c r="G54" s="870" t="e">
        <f>MAX(0,IF($AK$5=$C$9,G$9-DPR!#REF!,IF($AK$5=$C$10,G$10-DPR!#REF!,IF($AK$5=$C$11,G$11-DPR!#REF!))))</f>
        <v>#REF!</v>
      </c>
      <c r="H54" s="870" t="e">
        <f>MAX(0,IF($AK$5=$C$9,H$9-DPR!#REF!,IF($AK$5=$C$10,H$10-DPR!#REF!,IF($AK$5=$C$11,H$11-DPR!#REF!))))</f>
        <v>#REF!</v>
      </c>
      <c r="I54" s="870" t="e">
        <f>MAX(0,IF($AK$5=$C$9,I$9-DPR!#REF!,IF($AK$5=$C$10,I$10-DPR!#REF!,IF($AK$5=$C$11,I$11-DPR!#REF!))))</f>
        <v>#REF!</v>
      </c>
      <c r="J54" s="870" t="e">
        <f>MAX(0,IF($AK$5=$C$9,J$9-DPR!#REF!,IF($AK$5=$C$10,J$10-DPR!#REF!,IF($AK$5=$C$11,J$11-DPR!#REF!))))</f>
        <v>#REF!</v>
      </c>
      <c r="K54" s="870" t="e">
        <f>MAX(0,IF($AK$5=$C$9,K$9-DPR!#REF!,IF($AK$5=$C$10,K$10-DPR!#REF!,IF($AK$5=$C$11,K$11-DPR!#REF!))))</f>
        <v>#REF!</v>
      </c>
      <c r="L54" s="870" t="e">
        <f>MAX(0,IF($AK$5=$C$9,L$9-DPR!#REF!,IF($AK$5=$C$10,L$10-DPR!#REF!,IF($AK$5=$C$11,L$11-DPR!#REF!))))</f>
        <v>#REF!</v>
      </c>
      <c r="M54" s="870" t="e">
        <f>MAX(0,IF($AK$5=$C$9,M$9-DPR!#REF!,IF($AK$5=$C$10,M$10-DPR!#REF!,IF($AK$5=$C$11,M$11-DPR!#REF!))))</f>
        <v>#REF!</v>
      </c>
      <c r="N54" s="870" t="e">
        <f>MAX(0,IF($AK$5=$C$9,N$9-DPR!#REF!,IF($AK$5=$C$10,N$10-DPR!#REF!,IF($AK$5=$C$11,N$11-DPR!#REF!))))</f>
        <v>#REF!</v>
      </c>
      <c r="O54" s="870" t="e">
        <f>MAX(0,IF($AK$5=$C$9,O$9-DPR!#REF!,IF($AK$5=$C$10,O$10-DPR!#REF!,IF($AK$5=$C$11,O$11-DPR!#REF!))))</f>
        <v>#REF!</v>
      </c>
      <c r="P54" s="870" t="e">
        <f>MAX(0,IF($AK$5=$C$9,P$9-DPR!#REF!,IF($AK$5=$C$10,P$10-DPR!#REF!,IF($AK$5=$C$11,P$11-DPR!#REF!))))</f>
        <v>#REF!</v>
      </c>
      <c r="Q54" s="874">
        <v>0</v>
      </c>
      <c r="R54" s="919" t="e">
        <f t="shared" si="1"/>
        <v>#REF!</v>
      </c>
      <c r="S54" s="878" t="e">
        <f>MAX(0,IF($AK$5=$C$9,S$9-DPR!#REF!,IF($AK$5=$C$10,S$10-DPR!#REF!,IF($AK$5=$C$11,S$11-DPR!#REF!))))</f>
        <v>#REF!</v>
      </c>
      <c r="T54" s="878" t="e">
        <f>MAX(0,IF($AK$5=$C$9,T$9-DPR!#REF!,IF($AK$5=$C$10,T$10-DPR!#REF!,IF($AK$5=$C$11,T$11-DPR!#REF!))))</f>
        <v>#REF!</v>
      </c>
      <c r="U54" s="878" t="e">
        <f>MAX(0,IF($AK$5=$C$9,U$9-DPR!#REF!,IF($AK$5=$C$10,U$10-DPR!#REF!,IF($AK$5=$C$11,U$11-DPR!#REF!))))</f>
        <v>#REF!</v>
      </c>
      <c r="V54" s="878" t="e">
        <f>MAX(0,IF($AK$5=$C$9,V$9-DPR!#REF!,IF($AK$5=$C$10,V$10-DPR!#REF!,IF($AK$5=$C$11,V$11-DPR!#REF!))))</f>
        <v>#REF!</v>
      </c>
      <c r="W54" s="878" t="e">
        <f>MAX(0,IF($AK$5=$C$9,W$9-DPR!#REF!,IF($AK$5=$C$10,W$10-DPR!#REF!,IF($AK$5=$C$11,W$11-DPR!#REF!))))</f>
        <v>#REF!</v>
      </c>
      <c r="X54" s="878" t="e">
        <f>MAX(0,IF($AK$5=$C$9,X$9-DPR!#REF!,IF($AK$5=$C$10,X$10-DPR!#REF!,IF($AK$5=$C$11,X$11-DPR!#REF!))))</f>
        <v>#REF!</v>
      </c>
      <c r="Y54" s="878" t="e">
        <f>MAX(0,IF($AK$5=$C$9,Y$9-DPR!#REF!,IF($AK$5=$C$10,Y$10-DPR!#REF!,IF($AK$5=$C$11,Y$11-DPR!#REF!))))</f>
        <v>#REF!</v>
      </c>
      <c r="Z54" s="878" t="e">
        <f>MAX(0,IF($AK$5=$C$9,Z$9-DPR!#REF!,IF($AK$5=$C$10,Z$10-DPR!#REF!,IF($AK$5=$C$11,Z$11-DPR!#REF!))))</f>
        <v>#REF!</v>
      </c>
      <c r="AA54" s="878" t="e">
        <f>MAX(0,IF($AK$5=$C$9,AA$9-DPR!#REF!,IF($AK$5=$C$10,AA$10-DPR!#REF!,IF($AK$5=$C$11,AA$11-DPR!#REF!))))</f>
        <v>#REF!</v>
      </c>
      <c r="AB54" s="878" t="e">
        <f>MAX(0,IF($AK$5=$C$9,AB$9-DPR!#REF!,IF($AK$5=$C$10,AB$10-DPR!#REF!,IF($AK$5=$C$11,AB$11-DPR!#REF!))))</f>
        <v>#REF!</v>
      </c>
      <c r="AC54" s="878" t="e">
        <f>MAX(0,IF($AK$5=$C$9,AC$9-DPR!#REF!,IF($AK$5=$C$10,AC$10-DPR!#REF!,IF($AK$5=$C$11,AC$11-DPR!#REF!))))</f>
        <v>#REF!</v>
      </c>
      <c r="AD54" s="878" t="e">
        <f>MAX(0,IF($AK$5=$C$9,AD$9-DPR!#REF!,IF($AK$5=$C$10,AD$10-DPR!#REF!,IF($AK$5=$C$11,AD$11-DPR!#REF!))))</f>
        <v>#REF!</v>
      </c>
      <c r="AE54" s="878" t="e">
        <f>MAX(0,IF($AK$5=$C$9,AE$9-DPR!#REF!,IF($AK$5=$C$10,AE$10-DPR!#REF!,IF($AK$5=$C$11,AE$11-DPR!#REF!))))</f>
        <v>#REF!</v>
      </c>
      <c r="AF54" s="878" t="e">
        <f>MAX(0,IF($AK$5=$C$9,AF$9-DPR!#REF!,IF($AK$5=$C$10,AF$10-DPR!#REF!,IF($AK$5=$C$11,AF$11-DPR!#REF!))))</f>
        <v>#REF!</v>
      </c>
      <c r="AG54" s="920" t="e">
        <f t="shared" si="2"/>
        <v>#REF!</v>
      </c>
      <c r="AH54" s="888">
        <f t="shared" ref="AH54:AH63" si="3">IF($AK$1&gt;=C54,(YEAR(C54)*100+MONTH(C54)),0)</f>
        <v>202505</v>
      </c>
      <c r="AI54" s="826"/>
      <c r="AJ54" t="e">
        <f>DPR!#REF!</f>
        <v>#REF!</v>
      </c>
      <c r="AK54" s="262"/>
      <c r="AL54" s="262"/>
    </row>
    <row r="55" spans="3:38" ht="15.75">
      <c r="C55" s="918">
        <v>45791</v>
      </c>
      <c r="D55" s="870" t="e">
        <f>MAX(0,IF($AK$5=$C$9,D$9-DPR!#REF!,IF($AK$5=$C$10,D$10-DPR!#REF!,IF($AK$5=$C$11,D$11-DPR!#REF!))))</f>
        <v>#REF!</v>
      </c>
      <c r="E55" s="870" t="e">
        <f>MAX(0,IF($AK$5=$C$9,E$9-DPR!#REF!,IF($AK$5=$C$10,E$10-DPR!#REF!,IF($AK$5=$C$11,E$11-DPR!#REF!))))</f>
        <v>#REF!</v>
      </c>
      <c r="F55" s="870" t="e">
        <f>MAX(0,IF($AK$5=$C$9,F$9-DPR!#REF!,IF($AK$5=$C$10,F$10-DPR!#REF!,IF($AK$5=$C$11,F$11-DPR!#REF!))))</f>
        <v>#REF!</v>
      </c>
      <c r="G55" s="870" t="e">
        <f>MAX(0,IF($AK$5=$C$9,G$9-DPR!#REF!,IF($AK$5=$C$10,G$10-DPR!#REF!,IF($AK$5=$C$11,G$11-DPR!#REF!))))</f>
        <v>#REF!</v>
      </c>
      <c r="H55" s="870" t="e">
        <f>MAX(0,IF($AK$5=$C$9,H$9-DPR!#REF!,IF($AK$5=$C$10,H$10-DPR!#REF!,IF($AK$5=$C$11,H$11-DPR!#REF!))))</f>
        <v>#REF!</v>
      </c>
      <c r="I55" s="870" t="e">
        <f>MAX(0,IF($AK$5=$C$9,I$9-DPR!#REF!,IF($AK$5=$C$10,I$10-DPR!#REF!,IF($AK$5=$C$11,I$11-DPR!#REF!))))</f>
        <v>#REF!</v>
      </c>
      <c r="J55" s="870" t="e">
        <f>MAX(0,IF($AK$5=$C$9,J$9-DPR!#REF!,IF($AK$5=$C$10,J$10-DPR!#REF!,IF($AK$5=$C$11,J$11-DPR!#REF!))))</f>
        <v>#REF!</v>
      </c>
      <c r="K55" s="870" t="e">
        <f>MAX(0,IF($AK$5=$C$9,K$9-DPR!#REF!,IF($AK$5=$C$10,K$10-DPR!#REF!,IF($AK$5=$C$11,K$11-DPR!#REF!))))</f>
        <v>#REF!</v>
      </c>
      <c r="L55" s="870" t="e">
        <f>MAX(0,IF($AK$5=$C$9,L$9-DPR!#REF!,IF($AK$5=$C$10,L$10-DPR!#REF!,IF($AK$5=$C$11,L$11-DPR!#REF!))))</f>
        <v>#REF!</v>
      </c>
      <c r="M55" s="870" t="e">
        <f>MAX(0,IF($AK$5=$C$9,M$9-DPR!#REF!,IF($AK$5=$C$10,M$10-DPR!#REF!,IF($AK$5=$C$11,M$11-DPR!#REF!))))</f>
        <v>#REF!</v>
      </c>
      <c r="N55" s="870" t="e">
        <f>MAX(0,IF($AK$5=$C$9,N$9-DPR!#REF!,IF($AK$5=$C$10,N$10-DPR!#REF!,IF($AK$5=$C$11,N$11-DPR!#REF!))))</f>
        <v>#REF!</v>
      </c>
      <c r="O55" s="870" t="e">
        <f>MAX(0,IF($AK$5=$C$9,O$9-DPR!#REF!,IF($AK$5=$C$10,O$10-DPR!#REF!,IF($AK$5=$C$11,O$11-DPR!#REF!))))</f>
        <v>#REF!</v>
      </c>
      <c r="P55" s="870" t="e">
        <f>MAX(0,IF($AK$5=$C$9,P$9-DPR!#REF!,IF($AK$5=$C$10,P$10-DPR!#REF!,IF($AK$5=$C$11,P$11-DPR!#REF!))))</f>
        <v>#REF!</v>
      </c>
      <c r="Q55" s="870">
        <v>0</v>
      </c>
      <c r="R55" s="919" t="e">
        <f t="shared" si="1"/>
        <v>#REF!</v>
      </c>
      <c r="S55" s="878" t="e">
        <f>MAX(0,IF($AK$5=$C$9,S$9-DPR!#REF!,IF($AK$5=$C$10,S$10-DPR!#REF!,IF($AK$5=$C$11,S$11-DPR!#REF!))))</f>
        <v>#REF!</v>
      </c>
      <c r="T55" s="878" t="e">
        <f>MAX(0,IF($AK$5=$C$9,T$9-DPR!#REF!,IF($AK$5=$C$10,T$10-DPR!#REF!,IF($AK$5=$C$11,T$11-DPR!#REF!))))</f>
        <v>#REF!</v>
      </c>
      <c r="U55" s="878" t="e">
        <f>MAX(0,IF($AK$5=$C$9,U$9-DPR!#REF!,IF($AK$5=$C$10,U$10-DPR!#REF!,IF($AK$5=$C$11,U$11-DPR!#REF!))))</f>
        <v>#REF!</v>
      </c>
      <c r="V55" s="878" t="e">
        <f>MAX(0,IF($AK$5=$C$9,V$9-DPR!#REF!,IF($AK$5=$C$10,V$10-DPR!#REF!,IF($AK$5=$C$11,V$11-DPR!#REF!))))</f>
        <v>#REF!</v>
      </c>
      <c r="W55" s="878" t="e">
        <f>MAX(0,IF($AK$5=$C$9,W$9-DPR!#REF!,IF($AK$5=$C$10,W$10-DPR!#REF!,IF($AK$5=$C$11,W$11-DPR!#REF!))))</f>
        <v>#REF!</v>
      </c>
      <c r="X55" s="878" t="e">
        <f>MAX(0,IF($AK$5=$C$9,X$9-DPR!#REF!,IF($AK$5=$C$10,X$10-DPR!#REF!,IF($AK$5=$C$11,X$11-DPR!#REF!))))</f>
        <v>#REF!</v>
      </c>
      <c r="Y55" s="878" t="e">
        <f>MAX(0,IF($AK$5=$C$9,Y$9-DPR!#REF!,IF($AK$5=$C$10,Y$10-DPR!#REF!,IF($AK$5=$C$11,Y$11-DPR!#REF!))))</f>
        <v>#REF!</v>
      </c>
      <c r="Z55" s="878" t="e">
        <f>MAX(0,IF($AK$5=$C$9,Z$9-DPR!#REF!,IF($AK$5=$C$10,Z$10-DPR!#REF!,IF($AK$5=$C$11,Z$11-DPR!#REF!))))</f>
        <v>#REF!</v>
      </c>
      <c r="AA55" s="878" t="e">
        <f>MAX(0,IF($AK$5=$C$9,AA$9-DPR!#REF!,IF($AK$5=$C$10,AA$10-DPR!#REF!,IF($AK$5=$C$11,AA$11-DPR!#REF!))))</f>
        <v>#REF!</v>
      </c>
      <c r="AB55" s="878" t="e">
        <f>MAX(0,IF($AK$5=$C$9,AB$9-DPR!#REF!,IF($AK$5=$C$10,AB$10-DPR!#REF!,IF($AK$5=$C$11,AB$11-DPR!#REF!))))</f>
        <v>#REF!</v>
      </c>
      <c r="AC55" s="878" t="e">
        <f>MAX(0,IF($AK$5=$C$9,AC$9-DPR!#REF!,IF($AK$5=$C$10,AC$10-DPR!#REF!,IF($AK$5=$C$11,AC$11-DPR!#REF!))))</f>
        <v>#REF!</v>
      </c>
      <c r="AD55" s="878" t="e">
        <f>MAX(0,IF($AK$5=$C$9,AD$9-DPR!#REF!,IF($AK$5=$C$10,AD$10-DPR!#REF!,IF($AK$5=$C$11,AD$11-DPR!#REF!))))</f>
        <v>#REF!</v>
      </c>
      <c r="AE55" s="878" t="e">
        <f>MAX(0,IF($AK$5=$C$9,AE$9-DPR!#REF!,IF($AK$5=$C$10,AE$10-DPR!#REF!,IF($AK$5=$C$11,AE$11-DPR!#REF!))))</f>
        <v>#REF!</v>
      </c>
      <c r="AF55" s="878" t="e">
        <f>MAX(0,IF($AK$5=$C$9,AF$9-DPR!#REF!,IF($AK$5=$C$10,AF$10-DPR!#REF!,IF($AK$5=$C$11,AF$11-DPR!#REF!))))</f>
        <v>#REF!</v>
      </c>
      <c r="AG55" s="920" t="e">
        <f t="shared" si="2"/>
        <v>#REF!</v>
      </c>
      <c r="AH55" s="888">
        <f t="shared" si="3"/>
        <v>202505</v>
      </c>
      <c r="AI55" s="826"/>
      <c r="AJ55" t="e">
        <f>DPR!#REF!</f>
        <v>#REF!</v>
      </c>
      <c r="AK55" s="262"/>
      <c r="AL55" s="262"/>
    </row>
    <row r="56" spans="3:38" ht="15.75">
      <c r="C56" s="918">
        <v>45792</v>
      </c>
      <c r="D56" s="870" t="e">
        <f>MAX(0,IF($AK$5=$C$9,D$9-DPR!#REF!,IF($AK$5=$C$10,D$10-DPR!#REF!,IF($AK$5=$C$11,D$11-DPR!#REF!))))</f>
        <v>#REF!</v>
      </c>
      <c r="E56" s="870" t="e">
        <f>MAX(0,IF($AK$5=$C$9,E$9-DPR!#REF!,IF($AK$5=$C$10,E$10-DPR!#REF!,IF($AK$5=$C$11,E$11-DPR!#REF!))))</f>
        <v>#REF!</v>
      </c>
      <c r="F56" s="870" t="e">
        <f>MAX(0,IF($AK$5=$C$9,F$9-DPR!#REF!,IF($AK$5=$C$10,F$10-DPR!#REF!,IF($AK$5=$C$11,F$11-DPR!#REF!))))</f>
        <v>#REF!</v>
      </c>
      <c r="G56" s="870" t="e">
        <f>MAX(0,IF($AK$5=$C$9,G$9-DPR!#REF!,IF($AK$5=$C$10,G$10-DPR!#REF!,IF($AK$5=$C$11,G$11-DPR!#REF!))))</f>
        <v>#REF!</v>
      </c>
      <c r="H56" s="870" t="e">
        <f>MAX(0,IF($AK$5=$C$9,H$9-DPR!#REF!,IF($AK$5=$C$10,H$10-DPR!#REF!,IF($AK$5=$C$11,H$11-DPR!#REF!))))</f>
        <v>#REF!</v>
      </c>
      <c r="I56" s="870" t="e">
        <f>MAX(0,IF($AK$5=$C$9,I$9-DPR!#REF!,IF($AK$5=$C$10,I$10-DPR!#REF!,IF($AK$5=$C$11,I$11-DPR!#REF!))))</f>
        <v>#REF!</v>
      </c>
      <c r="J56" s="870" t="e">
        <f>MAX(0,IF($AK$5=$C$9,J$9-DPR!#REF!,IF($AK$5=$C$10,J$10-DPR!#REF!,IF($AK$5=$C$11,J$11-DPR!#REF!))))</f>
        <v>#REF!</v>
      </c>
      <c r="K56" s="870" t="e">
        <f>MAX(0,IF($AK$5=$C$9,K$9-DPR!#REF!,IF($AK$5=$C$10,K$10-DPR!#REF!,IF($AK$5=$C$11,K$11-DPR!#REF!))))</f>
        <v>#REF!</v>
      </c>
      <c r="L56" s="870" t="e">
        <f>MAX(0,IF($AK$5=$C$9,L$9-DPR!#REF!,IF($AK$5=$C$10,L$10-DPR!#REF!,IF($AK$5=$C$11,L$11-DPR!#REF!))))</f>
        <v>#REF!</v>
      </c>
      <c r="M56" s="870" t="e">
        <f>MAX(0,IF($AK$5=$C$9,M$9-DPR!#REF!,IF($AK$5=$C$10,M$10-DPR!#REF!,IF($AK$5=$C$11,M$11-DPR!#REF!))))</f>
        <v>#REF!</v>
      </c>
      <c r="N56" s="870" t="e">
        <f>MAX(0,IF($AK$5=$C$9,N$9-DPR!#REF!,IF($AK$5=$C$10,N$10-DPR!#REF!,IF($AK$5=$C$11,N$11-DPR!#REF!))))</f>
        <v>#REF!</v>
      </c>
      <c r="O56" s="870" t="e">
        <f>MAX(0,IF($AK$5=$C$9,O$9-DPR!#REF!,IF($AK$5=$C$10,O$10-DPR!#REF!,IF($AK$5=$C$11,O$11-DPR!#REF!))))</f>
        <v>#REF!</v>
      </c>
      <c r="P56" s="870" t="e">
        <f>MAX(0,IF($AK$5=$C$9,P$9-DPR!#REF!,IF($AK$5=$C$10,P$10-DPR!#REF!,IF($AK$5=$C$11,P$11-DPR!#REF!))))</f>
        <v>#REF!</v>
      </c>
      <c r="Q56" s="874">
        <v>0</v>
      </c>
      <c r="R56" s="919" t="e">
        <f t="shared" si="1"/>
        <v>#REF!</v>
      </c>
      <c r="S56" s="878" t="e">
        <f>MAX(0,IF($AK$5=$C$9,S$9-DPR!#REF!,IF($AK$5=$C$10,S$10-DPR!#REF!,IF($AK$5=$C$11,S$11-DPR!#REF!))))</f>
        <v>#REF!</v>
      </c>
      <c r="T56" s="878" t="e">
        <f>MAX(0,IF($AK$5=$C$9,T$9-DPR!#REF!,IF($AK$5=$C$10,T$10-DPR!#REF!,IF($AK$5=$C$11,T$11-DPR!#REF!))))</f>
        <v>#REF!</v>
      </c>
      <c r="U56" s="878" t="e">
        <f>MAX(0,IF($AK$5=$C$9,U$9-DPR!#REF!,IF($AK$5=$C$10,U$10-DPR!#REF!,IF($AK$5=$C$11,U$11-DPR!#REF!))))</f>
        <v>#REF!</v>
      </c>
      <c r="V56" s="878" t="e">
        <f>MAX(0,IF($AK$5=$C$9,V$9-DPR!#REF!,IF($AK$5=$C$10,V$10-DPR!#REF!,IF($AK$5=$C$11,V$11-DPR!#REF!))))</f>
        <v>#REF!</v>
      </c>
      <c r="W56" s="878" t="e">
        <f>MAX(0,IF($AK$5=$C$9,W$9-DPR!#REF!,IF($AK$5=$C$10,W$10-DPR!#REF!,IF($AK$5=$C$11,W$11-DPR!#REF!))))</f>
        <v>#REF!</v>
      </c>
      <c r="X56" s="878" t="e">
        <f>MAX(0,IF($AK$5=$C$9,X$9-DPR!#REF!,IF($AK$5=$C$10,X$10-DPR!#REF!,IF($AK$5=$C$11,X$11-DPR!#REF!))))</f>
        <v>#REF!</v>
      </c>
      <c r="Y56" s="878" t="e">
        <f>MAX(0,IF($AK$5=$C$9,Y$9-DPR!#REF!,IF($AK$5=$C$10,Y$10-DPR!#REF!,IF($AK$5=$C$11,Y$11-DPR!#REF!))))</f>
        <v>#REF!</v>
      </c>
      <c r="Z56" s="878" t="e">
        <f>MAX(0,IF($AK$5=$C$9,Z$9-DPR!#REF!,IF($AK$5=$C$10,Z$10-DPR!#REF!,IF($AK$5=$C$11,Z$11-DPR!#REF!))))</f>
        <v>#REF!</v>
      </c>
      <c r="AA56" s="878" t="e">
        <f>MAX(0,IF($AK$5=$C$9,AA$9-DPR!#REF!,IF($AK$5=$C$10,AA$10-DPR!#REF!,IF($AK$5=$C$11,AA$11-DPR!#REF!))))</f>
        <v>#REF!</v>
      </c>
      <c r="AB56" s="878" t="e">
        <f>MAX(0,IF($AK$5=$C$9,AB$9-DPR!#REF!,IF($AK$5=$C$10,AB$10-DPR!#REF!,IF($AK$5=$C$11,AB$11-DPR!#REF!))))</f>
        <v>#REF!</v>
      </c>
      <c r="AC56" s="878" t="e">
        <f>MAX(0,IF($AK$5=$C$9,AC$9-DPR!#REF!,IF($AK$5=$C$10,AC$10-DPR!#REF!,IF($AK$5=$C$11,AC$11-DPR!#REF!))))</f>
        <v>#REF!</v>
      </c>
      <c r="AD56" s="878" t="e">
        <f>MAX(0,IF($AK$5=$C$9,AD$9-DPR!#REF!,IF($AK$5=$C$10,AD$10-DPR!#REF!,IF($AK$5=$C$11,AD$11-DPR!#REF!))))</f>
        <v>#REF!</v>
      </c>
      <c r="AE56" s="878" t="e">
        <f>MAX(0,IF($AK$5=$C$9,AE$9-DPR!#REF!,IF($AK$5=$C$10,AE$10-DPR!#REF!,IF($AK$5=$C$11,AE$11-DPR!#REF!))))</f>
        <v>#REF!</v>
      </c>
      <c r="AF56" s="878" t="e">
        <f>MAX(0,IF($AK$5=$C$9,AF$9-DPR!#REF!,IF($AK$5=$C$10,AF$10-DPR!#REF!,IF($AK$5=$C$11,AF$11-DPR!#REF!))))</f>
        <v>#REF!</v>
      </c>
      <c r="AG56" s="920" t="e">
        <f t="shared" si="2"/>
        <v>#REF!</v>
      </c>
      <c r="AH56" s="888">
        <f t="shared" si="3"/>
        <v>202505</v>
      </c>
      <c r="AI56" s="826"/>
      <c r="AJ56" t="e">
        <f>DPR!#REF!</f>
        <v>#REF!</v>
      </c>
      <c r="AK56" s="262"/>
      <c r="AL56" s="262"/>
    </row>
    <row r="57" spans="3:38" ht="15.75">
      <c r="C57" s="918">
        <v>45793</v>
      </c>
      <c r="D57" s="870" t="e">
        <f>MAX(0,IF($AK$5=$C$9,D$9-DPR!#REF!,IF($AK$5=$C$10,D$10-DPR!#REF!,IF($AK$5=$C$11,D$11-DPR!#REF!))))</f>
        <v>#REF!</v>
      </c>
      <c r="E57" s="870" t="e">
        <f>MAX(0,IF($AK$5=$C$9,E$9-DPR!#REF!,IF($AK$5=$C$10,E$10-DPR!#REF!,IF($AK$5=$C$11,E$11-DPR!#REF!))))</f>
        <v>#REF!</v>
      </c>
      <c r="F57" s="870" t="e">
        <f>MAX(0,IF($AK$5=$C$9,F$9-DPR!#REF!,IF($AK$5=$C$10,F$10-DPR!#REF!,IF($AK$5=$C$11,F$11-DPR!#REF!))))</f>
        <v>#REF!</v>
      </c>
      <c r="G57" s="870" t="e">
        <f>MAX(0,IF($AK$5=$C$9,G$9-DPR!#REF!,IF($AK$5=$C$10,G$10-DPR!#REF!,IF($AK$5=$C$11,G$11-DPR!#REF!))))</f>
        <v>#REF!</v>
      </c>
      <c r="H57" s="870" t="e">
        <f>MAX(0,IF($AK$5=$C$9,H$9-DPR!#REF!,IF($AK$5=$C$10,H$10-DPR!#REF!,IF($AK$5=$C$11,H$11-DPR!#REF!))))</f>
        <v>#REF!</v>
      </c>
      <c r="I57" s="870" t="e">
        <f>MAX(0,IF($AK$5=$C$9,I$9-DPR!#REF!,IF($AK$5=$C$10,I$10-DPR!#REF!,IF($AK$5=$C$11,I$11-DPR!#REF!))))</f>
        <v>#REF!</v>
      </c>
      <c r="J57" s="870" t="e">
        <f>MAX(0,IF($AK$5=$C$9,J$9-DPR!#REF!,IF($AK$5=$C$10,J$10-DPR!#REF!,IF($AK$5=$C$11,J$11-DPR!#REF!))))</f>
        <v>#REF!</v>
      </c>
      <c r="K57" s="870" t="e">
        <f>MAX(0,IF($AK$5=$C$9,K$9-DPR!#REF!,IF($AK$5=$C$10,K$10-DPR!#REF!,IF($AK$5=$C$11,K$11-DPR!#REF!))))</f>
        <v>#REF!</v>
      </c>
      <c r="L57" s="870" t="e">
        <f>MAX(0,IF($AK$5=$C$9,L$9-DPR!#REF!,IF($AK$5=$C$10,L$10-DPR!#REF!,IF($AK$5=$C$11,L$11-DPR!#REF!))))</f>
        <v>#REF!</v>
      </c>
      <c r="M57" s="870" t="e">
        <f>MAX(0,IF($AK$5=$C$9,M$9-DPR!#REF!,IF($AK$5=$C$10,M$10-DPR!#REF!,IF($AK$5=$C$11,M$11-DPR!#REF!))))</f>
        <v>#REF!</v>
      </c>
      <c r="N57" s="870" t="e">
        <f>MAX(0,IF($AK$5=$C$9,N$9-DPR!#REF!,IF($AK$5=$C$10,N$10-DPR!#REF!,IF($AK$5=$C$11,N$11-DPR!#REF!))))</f>
        <v>#REF!</v>
      </c>
      <c r="O57" s="870" t="e">
        <f>MAX(0,IF($AK$5=$C$9,O$9-DPR!#REF!,IF($AK$5=$C$10,O$10-DPR!#REF!,IF($AK$5=$C$11,O$11-DPR!#REF!))))</f>
        <v>#REF!</v>
      </c>
      <c r="P57" s="870" t="e">
        <f>MAX(0,IF($AK$5=$C$9,P$9-DPR!#REF!,IF($AK$5=$C$10,P$10-DPR!#REF!,IF($AK$5=$C$11,P$11-DPR!#REF!))))</f>
        <v>#REF!</v>
      </c>
      <c r="Q57" s="870">
        <v>0</v>
      </c>
      <c r="R57" s="919" t="e">
        <f t="shared" si="1"/>
        <v>#REF!</v>
      </c>
      <c r="S57" s="878" t="e">
        <f>MAX(0,IF($AK$5=$C$9,S$9-DPR!#REF!,IF($AK$5=$C$10,S$10-DPR!#REF!,IF($AK$5=$C$11,S$11-DPR!#REF!))))</f>
        <v>#REF!</v>
      </c>
      <c r="T57" s="878" t="e">
        <f>MAX(0,IF($AK$5=$C$9,T$9-DPR!#REF!,IF($AK$5=$C$10,T$10-DPR!#REF!,IF($AK$5=$C$11,T$11-DPR!#REF!))))</f>
        <v>#REF!</v>
      </c>
      <c r="U57" s="878" t="e">
        <f>MAX(0,IF($AK$5=$C$9,U$9-DPR!#REF!,IF($AK$5=$C$10,U$10-DPR!#REF!,IF($AK$5=$C$11,U$11-DPR!#REF!))))</f>
        <v>#REF!</v>
      </c>
      <c r="V57" s="878" t="e">
        <f>MAX(0,IF($AK$5=$C$9,V$9-DPR!#REF!,IF($AK$5=$C$10,V$10-DPR!#REF!,IF($AK$5=$C$11,V$11-DPR!#REF!))))</f>
        <v>#REF!</v>
      </c>
      <c r="W57" s="878" t="e">
        <f>MAX(0,IF($AK$5=$C$9,W$9-DPR!#REF!,IF($AK$5=$C$10,W$10-DPR!#REF!,IF($AK$5=$C$11,W$11-DPR!#REF!))))</f>
        <v>#REF!</v>
      </c>
      <c r="X57" s="878" t="e">
        <f>MAX(0,IF($AK$5=$C$9,X$9-DPR!#REF!,IF($AK$5=$C$10,X$10-DPR!#REF!,IF($AK$5=$C$11,X$11-DPR!#REF!))))</f>
        <v>#REF!</v>
      </c>
      <c r="Y57" s="878" t="e">
        <f>MAX(0,IF($AK$5=$C$9,Y$9-DPR!#REF!,IF($AK$5=$C$10,Y$10-DPR!#REF!,IF($AK$5=$C$11,Y$11-DPR!#REF!))))</f>
        <v>#REF!</v>
      </c>
      <c r="Z57" s="878" t="e">
        <f>MAX(0,IF($AK$5=$C$9,Z$9-DPR!#REF!,IF($AK$5=$C$10,Z$10-DPR!#REF!,IF($AK$5=$C$11,Z$11-DPR!#REF!))))</f>
        <v>#REF!</v>
      </c>
      <c r="AA57" s="878" t="e">
        <f>MAX(0,IF($AK$5=$C$9,AA$9-DPR!#REF!,IF($AK$5=$C$10,AA$10-DPR!#REF!,IF($AK$5=$C$11,AA$11-DPR!#REF!))))</f>
        <v>#REF!</v>
      </c>
      <c r="AB57" s="878" t="e">
        <f>MAX(0,IF($AK$5=$C$9,AB$9-DPR!#REF!,IF($AK$5=$C$10,AB$10-DPR!#REF!,IF($AK$5=$C$11,AB$11-DPR!#REF!))))</f>
        <v>#REF!</v>
      </c>
      <c r="AC57" s="878" t="e">
        <f>MAX(0,IF($AK$5=$C$9,AC$9-DPR!#REF!,IF($AK$5=$C$10,AC$10-DPR!#REF!,IF($AK$5=$C$11,AC$11-DPR!#REF!))))</f>
        <v>#REF!</v>
      </c>
      <c r="AD57" s="878" t="e">
        <f>MAX(0,IF($AK$5=$C$9,AD$9-DPR!#REF!,IF($AK$5=$C$10,AD$10-DPR!#REF!,IF($AK$5=$C$11,AD$11-DPR!#REF!))))</f>
        <v>#REF!</v>
      </c>
      <c r="AE57" s="878" t="e">
        <f>MAX(0,IF($AK$5=$C$9,AE$9-DPR!#REF!,IF($AK$5=$C$10,AE$10-DPR!#REF!,IF($AK$5=$C$11,AE$11-DPR!#REF!))))</f>
        <v>#REF!</v>
      </c>
      <c r="AF57" s="878" t="e">
        <f>MAX(0,IF($AK$5=$C$9,AF$9-DPR!#REF!,IF($AK$5=$C$10,AF$10-DPR!#REF!,IF($AK$5=$C$11,AF$11-DPR!#REF!))))</f>
        <v>#REF!</v>
      </c>
      <c r="AG57" s="920" t="e">
        <f t="shared" si="2"/>
        <v>#REF!</v>
      </c>
      <c r="AH57" s="888">
        <f t="shared" si="3"/>
        <v>202505</v>
      </c>
      <c r="AI57" s="826"/>
      <c r="AJ57" t="e">
        <f>DPR!#REF!</f>
        <v>#REF!</v>
      </c>
      <c r="AK57" s="262"/>
      <c r="AL57" s="262"/>
    </row>
    <row r="58" spans="3:38" ht="15.75">
      <c r="C58" s="918">
        <v>45794</v>
      </c>
      <c r="D58" s="870" t="e">
        <f>MAX(0,IF($AK$5=$C$9,D$9-DPR!#REF!,IF($AK$5=$C$10,D$10-DPR!#REF!,IF($AK$5=$C$11,D$11-DPR!#REF!))))</f>
        <v>#REF!</v>
      </c>
      <c r="E58" s="870" t="e">
        <f>MAX(0,IF($AK$5=$C$9,E$9-DPR!#REF!,IF($AK$5=$C$10,E$10-DPR!#REF!,IF($AK$5=$C$11,E$11-DPR!#REF!))))</f>
        <v>#REF!</v>
      </c>
      <c r="F58" s="870" t="e">
        <f>MAX(0,IF($AK$5=$C$9,F$9-DPR!#REF!,IF($AK$5=$C$10,F$10-DPR!#REF!,IF($AK$5=$C$11,F$11-DPR!#REF!))))</f>
        <v>#REF!</v>
      </c>
      <c r="G58" s="870" t="e">
        <f>MAX(0,IF($AK$5=$C$9,G$9-DPR!#REF!,IF($AK$5=$C$10,G$10-DPR!#REF!,IF($AK$5=$C$11,G$11-DPR!#REF!))))</f>
        <v>#REF!</v>
      </c>
      <c r="H58" s="870" t="e">
        <f>MAX(0,IF($AK$5=$C$9,H$9-DPR!#REF!,IF($AK$5=$C$10,H$10-DPR!#REF!,IF($AK$5=$C$11,H$11-DPR!#REF!))))</f>
        <v>#REF!</v>
      </c>
      <c r="I58" s="870" t="e">
        <f>MAX(0,IF($AK$5=$C$9,I$9-DPR!#REF!,IF($AK$5=$C$10,I$10-DPR!#REF!,IF($AK$5=$C$11,I$11-DPR!#REF!))))</f>
        <v>#REF!</v>
      </c>
      <c r="J58" s="870" t="e">
        <f>MAX(0,IF($AK$5=$C$9,J$9-DPR!#REF!,IF($AK$5=$C$10,J$10-DPR!#REF!,IF($AK$5=$C$11,J$11-DPR!#REF!))))</f>
        <v>#REF!</v>
      </c>
      <c r="K58" s="870" t="e">
        <f>MAX(0,IF($AK$5=$C$9,K$9-DPR!#REF!,IF($AK$5=$C$10,K$10-DPR!#REF!,IF($AK$5=$C$11,K$11-DPR!#REF!))))</f>
        <v>#REF!</v>
      </c>
      <c r="L58" s="870" t="e">
        <f>MAX(0,IF($AK$5=$C$9,L$9-DPR!#REF!,IF($AK$5=$C$10,L$10-DPR!#REF!,IF($AK$5=$C$11,L$11-DPR!#REF!))))</f>
        <v>#REF!</v>
      </c>
      <c r="M58" s="870" t="e">
        <f>MAX(0,IF($AK$5=$C$9,M$9-DPR!#REF!,IF($AK$5=$C$10,M$10-DPR!#REF!,IF($AK$5=$C$11,M$11-DPR!#REF!))))</f>
        <v>#REF!</v>
      </c>
      <c r="N58" s="870" t="e">
        <f>MAX(0,IF($AK$5=$C$9,N$9-DPR!#REF!,IF($AK$5=$C$10,N$10-DPR!#REF!,IF($AK$5=$C$11,N$11-DPR!#REF!))))</f>
        <v>#REF!</v>
      </c>
      <c r="O58" s="870" t="e">
        <f>MAX(0,IF($AK$5=$C$9,O$9-DPR!#REF!,IF($AK$5=$C$10,O$10-DPR!#REF!,IF($AK$5=$C$11,O$11-DPR!#REF!))))</f>
        <v>#REF!</v>
      </c>
      <c r="P58" s="870" t="e">
        <f>MAX(0,IF($AK$5=$C$9,P$9-DPR!#REF!,IF($AK$5=$C$10,P$10-DPR!#REF!,IF($AK$5=$C$11,P$11-DPR!#REF!))))</f>
        <v>#REF!</v>
      </c>
      <c r="Q58" s="874">
        <v>0</v>
      </c>
      <c r="R58" s="919" t="e">
        <f t="shared" si="1"/>
        <v>#REF!</v>
      </c>
      <c r="S58" s="878" t="e">
        <f>MAX(0,IF($AK$5=$C$9,S$9-DPR!#REF!,IF($AK$5=$C$10,S$10-DPR!#REF!,IF($AK$5=$C$11,S$11-DPR!#REF!))))</f>
        <v>#REF!</v>
      </c>
      <c r="T58" s="878" t="e">
        <f>MAX(0,IF($AK$5=$C$9,T$9-DPR!#REF!,IF($AK$5=$C$10,T$10-DPR!#REF!,IF($AK$5=$C$11,T$11-DPR!#REF!))))</f>
        <v>#REF!</v>
      </c>
      <c r="U58" s="878" t="e">
        <f>MAX(0,IF($AK$5=$C$9,U$9-DPR!#REF!,IF($AK$5=$C$10,U$10-DPR!#REF!,IF($AK$5=$C$11,U$11-DPR!#REF!))))</f>
        <v>#REF!</v>
      </c>
      <c r="V58" s="878" t="e">
        <f>MAX(0,IF($AK$5=$C$9,V$9-DPR!#REF!,IF($AK$5=$C$10,V$10-DPR!#REF!,IF($AK$5=$C$11,V$11-DPR!#REF!))))</f>
        <v>#REF!</v>
      </c>
      <c r="W58" s="878" t="e">
        <f>MAX(0,IF($AK$5=$C$9,W$9-DPR!#REF!,IF($AK$5=$C$10,W$10-DPR!#REF!,IF($AK$5=$C$11,W$11-DPR!#REF!))))</f>
        <v>#REF!</v>
      </c>
      <c r="X58" s="878" t="e">
        <f>MAX(0,IF($AK$5=$C$9,X$9-DPR!#REF!,IF($AK$5=$C$10,X$10-DPR!#REF!,IF($AK$5=$C$11,X$11-DPR!#REF!))))</f>
        <v>#REF!</v>
      </c>
      <c r="Y58" s="878" t="e">
        <f>MAX(0,IF($AK$5=$C$9,Y$9-DPR!#REF!,IF($AK$5=$C$10,Y$10-DPR!#REF!,IF($AK$5=$C$11,Y$11-DPR!#REF!))))</f>
        <v>#REF!</v>
      </c>
      <c r="Z58" s="878" t="e">
        <f>MAX(0,IF($AK$5=$C$9,Z$9-DPR!#REF!,IF($AK$5=$C$10,Z$10-DPR!#REF!,IF($AK$5=$C$11,Z$11-DPR!#REF!))))</f>
        <v>#REF!</v>
      </c>
      <c r="AA58" s="878" t="e">
        <f>MAX(0,IF($AK$5=$C$9,AA$9-DPR!#REF!,IF($AK$5=$C$10,AA$10-DPR!#REF!,IF($AK$5=$C$11,AA$11-DPR!#REF!))))</f>
        <v>#REF!</v>
      </c>
      <c r="AB58" s="878" t="e">
        <f>MAX(0,IF($AK$5=$C$9,AB$9-DPR!#REF!,IF($AK$5=$C$10,AB$10-DPR!#REF!,IF($AK$5=$C$11,AB$11-DPR!#REF!))))</f>
        <v>#REF!</v>
      </c>
      <c r="AC58" s="878" t="e">
        <f>MAX(0,IF($AK$5=$C$9,AC$9-DPR!#REF!,IF($AK$5=$C$10,AC$10-DPR!#REF!,IF($AK$5=$C$11,AC$11-DPR!#REF!))))</f>
        <v>#REF!</v>
      </c>
      <c r="AD58" s="878" t="e">
        <f>MAX(0,IF($AK$5=$C$9,AD$9-DPR!#REF!,IF($AK$5=$C$10,AD$10-DPR!#REF!,IF($AK$5=$C$11,AD$11-DPR!#REF!))))</f>
        <v>#REF!</v>
      </c>
      <c r="AE58" s="878" t="e">
        <f>MAX(0,IF($AK$5=$C$9,AE$9-DPR!#REF!,IF($AK$5=$C$10,AE$10-DPR!#REF!,IF($AK$5=$C$11,AE$11-DPR!#REF!))))</f>
        <v>#REF!</v>
      </c>
      <c r="AF58" s="878" t="e">
        <f>MAX(0,IF($AK$5=$C$9,AF$9-DPR!#REF!,IF($AK$5=$C$10,AF$10-DPR!#REF!,IF($AK$5=$C$11,AF$11-DPR!#REF!))))</f>
        <v>#REF!</v>
      </c>
      <c r="AG58" s="920" t="e">
        <f t="shared" si="2"/>
        <v>#REF!</v>
      </c>
      <c r="AH58" s="888">
        <f t="shared" si="3"/>
        <v>202505</v>
      </c>
      <c r="AI58" s="826"/>
      <c r="AJ58" t="e">
        <f>DPR!#REF!</f>
        <v>#REF!</v>
      </c>
      <c r="AK58" s="262"/>
      <c r="AL58" s="262"/>
    </row>
    <row r="59" spans="3:38" ht="15.75">
      <c r="C59" s="918">
        <v>45795</v>
      </c>
      <c r="D59" s="870" t="e">
        <f>MAX(0,IF($AK$5=$C$9,D$9-DPR!#REF!,IF($AK$5=$C$10,D$10-DPR!#REF!,IF($AK$5=$C$11,D$11-DPR!#REF!))))</f>
        <v>#REF!</v>
      </c>
      <c r="E59" s="870" t="e">
        <f>MAX(0,IF($AK$5=$C$9,E$9-DPR!#REF!,IF($AK$5=$C$10,E$10-DPR!#REF!,IF($AK$5=$C$11,E$11-DPR!#REF!))))</f>
        <v>#REF!</v>
      </c>
      <c r="F59" s="870" t="e">
        <f>MAX(0,IF($AK$5=$C$9,F$9-DPR!#REF!,IF($AK$5=$C$10,F$10-DPR!#REF!,IF($AK$5=$C$11,F$11-DPR!#REF!))))</f>
        <v>#REF!</v>
      </c>
      <c r="G59" s="870" t="e">
        <f>MAX(0,IF($AK$5=$C$9,G$9-DPR!#REF!,IF($AK$5=$C$10,G$10-DPR!#REF!,IF($AK$5=$C$11,G$11-DPR!#REF!))))</f>
        <v>#REF!</v>
      </c>
      <c r="H59" s="870" t="e">
        <f>MAX(0,IF($AK$5=$C$9,H$9-DPR!#REF!,IF($AK$5=$C$10,H$10-DPR!#REF!,IF($AK$5=$C$11,H$11-DPR!#REF!))))</f>
        <v>#REF!</v>
      </c>
      <c r="I59" s="870" t="e">
        <f>MAX(0,IF($AK$5=$C$9,I$9-DPR!#REF!,IF($AK$5=$C$10,I$10-DPR!#REF!,IF($AK$5=$C$11,I$11-DPR!#REF!))))</f>
        <v>#REF!</v>
      </c>
      <c r="J59" s="870" t="e">
        <f>MAX(0,IF($AK$5=$C$9,J$9-DPR!#REF!,IF($AK$5=$C$10,J$10-DPR!#REF!,IF($AK$5=$C$11,J$11-DPR!#REF!))))</f>
        <v>#REF!</v>
      </c>
      <c r="K59" s="870" t="e">
        <f>MAX(0,IF($AK$5=$C$9,K$9-DPR!#REF!,IF($AK$5=$C$10,K$10-DPR!#REF!,IF($AK$5=$C$11,K$11-DPR!#REF!))))</f>
        <v>#REF!</v>
      </c>
      <c r="L59" s="870" t="e">
        <f>MAX(0,IF($AK$5=$C$9,L$9-DPR!#REF!,IF($AK$5=$C$10,L$10-DPR!#REF!,IF($AK$5=$C$11,L$11-DPR!#REF!))))</f>
        <v>#REF!</v>
      </c>
      <c r="M59" s="870" t="e">
        <f>MAX(0,IF($AK$5=$C$9,M$9-DPR!#REF!,IF($AK$5=$C$10,M$10-DPR!#REF!,IF($AK$5=$C$11,M$11-DPR!#REF!))))</f>
        <v>#REF!</v>
      </c>
      <c r="N59" s="870" t="e">
        <f>MAX(0,IF($AK$5=$C$9,N$9-DPR!#REF!,IF($AK$5=$C$10,N$10-DPR!#REF!,IF($AK$5=$C$11,N$11-DPR!#REF!))))</f>
        <v>#REF!</v>
      </c>
      <c r="O59" s="870" t="e">
        <f>MAX(0,IF($AK$5=$C$9,O$9-DPR!#REF!,IF($AK$5=$C$10,O$10-DPR!#REF!,IF($AK$5=$C$11,O$11-DPR!#REF!))))</f>
        <v>#REF!</v>
      </c>
      <c r="P59" s="870" t="e">
        <f>MAX(0,IF($AK$5=$C$9,P$9-DPR!#REF!,IF($AK$5=$C$10,P$10-DPR!#REF!,IF($AK$5=$C$11,P$11-DPR!#REF!))))</f>
        <v>#REF!</v>
      </c>
      <c r="Q59" s="870">
        <v>0</v>
      </c>
      <c r="R59" s="919" t="e">
        <f t="shared" si="1"/>
        <v>#REF!</v>
      </c>
      <c r="S59" s="878" t="e">
        <f>MAX(0,IF($AK$5=$C$9,S$9-DPR!#REF!,IF($AK$5=$C$10,S$10-DPR!#REF!,IF($AK$5=$C$11,S$11-DPR!#REF!))))</f>
        <v>#REF!</v>
      </c>
      <c r="T59" s="878" t="e">
        <f>MAX(0,IF($AK$5=$C$9,T$9-DPR!#REF!,IF($AK$5=$C$10,T$10-DPR!#REF!,IF($AK$5=$C$11,T$11-DPR!#REF!))))</f>
        <v>#REF!</v>
      </c>
      <c r="U59" s="878" t="e">
        <f>MAX(0,IF($AK$5=$C$9,U$9-DPR!#REF!,IF($AK$5=$C$10,U$10-DPR!#REF!,IF($AK$5=$C$11,U$11-DPR!#REF!))))</f>
        <v>#REF!</v>
      </c>
      <c r="V59" s="878" t="e">
        <f>MAX(0,IF($AK$5=$C$9,V$9-DPR!#REF!,IF($AK$5=$C$10,V$10-DPR!#REF!,IF($AK$5=$C$11,V$11-DPR!#REF!))))</f>
        <v>#REF!</v>
      </c>
      <c r="W59" s="878" t="e">
        <f>MAX(0,IF($AK$5=$C$9,W$9-DPR!#REF!,IF($AK$5=$C$10,W$10-DPR!#REF!,IF($AK$5=$C$11,W$11-DPR!#REF!))))</f>
        <v>#REF!</v>
      </c>
      <c r="X59" s="878" t="e">
        <f>MAX(0,IF($AK$5=$C$9,X$9-DPR!#REF!,IF($AK$5=$C$10,X$10-DPR!#REF!,IF($AK$5=$C$11,X$11-DPR!#REF!))))</f>
        <v>#REF!</v>
      </c>
      <c r="Y59" s="878" t="e">
        <f>MAX(0,IF($AK$5=$C$9,Y$9-DPR!#REF!,IF($AK$5=$C$10,Y$10-DPR!#REF!,IF($AK$5=$C$11,Y$11-DPR!#REF!))))</f>
        <v>#REF!</v>
      </c>
      <c r="Z59" s="878" t="e">
        <f>MAX(0,IF($AK$5=$C$9,Z$9-DPR!#REF!,IF($AK$5=$C$10,Z$10-DPR!#REF!,IF($AK$5=$C$11,Z$11-DPR!#REF!))))</f>
        <v>#REF!</v>
      </c>
      <c r="AA59" s="878" t="e">
        <f>MAX(0,IF($AK$5=$C$9,AA$9-DPR!#REF!,IF($AK$5=$C$10,AA$10-DPR!#REF!,IF($AK$5=$C$11,AA$11-DPR!#REF!))))</f>
        <v>#REF!</v>
      </c>
      <c r="AB59" s="878" t="e">
        <f>MAX(0,IF($AK$5=$C$9,AB$9-DPR!#REF!,IF($AK$5=$C$10,AB$10-DPR!#REF!,IF($AK$5=$C$11,AB$11-DPR!#REF!))))</f>
        <v>#REF!</v>
      </c>
      <c r="AC59" s="878" t="e">
        <f>MAX(0,IF($AK$5=$C$9,AC$9-DPR!#REF!,IF($AK$5=$C$10,AC$10-DPR!#REF!,IF($AK$5=$C$11,AC$11-DPR!#REF!))))</f>
        <v>#REF!</v>
      </c>
      <c r="AD59" s="878" t="e">
        <f>MAX(0,IF($AK$5=$C$9,AD$9-DPR!#REF!,IF($AK$5=$C$10,AD$10-DPR!#REF!,IF($AK$5=$C$11,AD$11-DPR!#REF!))))</f>
        <v>#REF!</v>
      </c>
      <c r="AE59" s="878" t="e">
        <f>MAX(0,IF($AK$5=$C$9,AE$9-DPR!#REF!,IF($AK$5=$C$10,AE$10-DPR!#REF!,IF($AK$5=$C$11,AE$11-DPR!#REF!))))</f>
        <v>#REF!</v>
      </c>
      <c r="AF59" s="878" t="e">
        <f>MAX(0,IF($AK$5=$C$9,AF$9-DPR!#REF!,IF($AK$5=$C$10,AF$10-DPR!#REF!,IF($AK$5=$C$11,AF$11-DPR!#REF!))))</f>
        <v>#REF!</v>
      </c>
      <c r="AG59" s="920" t="e">
        <f t="shared" si="2"/>
        <v>#REF!</v>
      </c>
      <c r="AH59" s="888">
        <f t="shared" si="3"/>
        <v>202505</v>
      </c>
      <c r="AI59" s="826"/>
      <c r="AJ59" t="e">
        <f>DPR!#REF!</f>
        <v>#REF!</v>
      </c>
      <c r="AK59" s="262"/>
      <c r="AL59" s="262"/>
    </row>
    <row r="60" spans="3:38" ht="15.75">
      <c r="C60" s="918">
        <v>45796</v>
      </c>
      <c r="D60" s="870" t="e">
        <f>MAX(0,IF($AK$5=$C$9,D$9-DPR!#REF!,IF($AK$5=$C$10,D$10-DPR!#REF!,IF($AK$5=$C$11,D$11-DPR!#REF!))))</f>
        <v>#REF!</v>
      </c>
      <c r="E60" s="870" t="e">
        <f>MAX(0,IF($AK$5=$C$9,E$9-DPR!#REF!,IF($AK$5=$C$10,E$10-DPR!#REF!,IF($AK$5=$C$11,E$11-DPR!#REF!))))</f>
        <v>#REF!</v>
      </c>
      <c r="F60" s="870" t="e">
        <f>MAX(0,IF($AK$5=$C$9,F$9-DPR!#REF!,IF($AK$5=$C$10,F$10-DPR!#REF!,IF($AK$5=$C$11,F$11-DPR!#REF!))))</f>
        <v>#REF!</v>
      </c>
      <c r="G60" s="870" t="e">
        <f>MAX(0,IF($AK$5=$C$9,G$9-DPR!#REF!,IF($AK$5=$C$10,G$10-DPR!#REF!,IF($AK$5=$C$11,G$11-DPR!#REF!))))</f>
        <v>#REF!</v>
      </c>
      <c r="H60" s="870" t="e">
        <f>MAX(0,IF($AK$5=$C$9,H$9-DPR!#REF!,IF($AK$5=$C$10,H$10-DPR!#REF!,IF($AK$5=$C$11,H$11-DPR!#REF!))))</f>
        <v>#REF!</v>
      </c>
      <c r="I60" s="870" t="e">
        <f>MAX(0,IF($AK$5=$C$9,I$9-DPR!#REF!,IF($AK$5=$C$10,I$10-DPR!#REF!,IF($AK$5=$C$11,I$11-DPR!#REF!))))</f>
        <v>#REF!</v>
      </c>
      <c r="J60" s="870" t="e">
        <f>MAX(0,IF($AK$5=$C$9,J$9-DPR!#REF!,IF($AK$5=$C$10,J$10-DPR!#REF!,IF($AK$5=$C$11,J$11-DPR!#REF!))))</f>
        <v>#REF!</v>
      </c>
      <c r="K60" s="870" t="e">
        <f>MAX(0,IF($AK$5=$C$9,K$9-DPR!#REF!,IF($AK$5=$C$10,K$10-DPR!#REF!,IF($AK$5=$C$11,K$11-DPR!#REF!))))</f>
        <v>#REF!</v>
      </c>
      <c r="L60" s="870" t="e">
        <f>MAX(0,IF($AK$5=$C$9,L$9-DPR!#REF!,IF($AK$5=$C$10,L$10-DPR!#REF!,IF($AK$5=$C$11,L$11-DPR!#REF!))))</f>
        <v>#REF!</v>
      </c>
      <c r="M60" s="870" t="e">
        <f>MAX(0,IF($AK$5=$C$9,M$9-DPR!#REF!,IF($AK$5=$C$10,M$10-DPR!#REF!,IF($AK$5=$C$11,M$11-DPR!#REF!))))</f>
        <v>#REF!</v>
      </c>
      <c r="N60" s="870" t="e">
        <f>MAX(0,IF($AK$5=$C$9,N$9-DPR!#REF!,IF($AK$5=$C$10,N$10-DPR!#REF!,IF($AK$5=$C$11,N$11-DPR!#REF!))))</f>
        <v>#REF!</v>
      </c>
      <c r="O60" s="870" t="e">
        <f>MAX(0,IF($AK$5=$C$9,O$9-DPR!#REF!,IF($AK$5=$C$10,O$10-DPR!#REF!,IF($AK$5=$C$11,O$11-DPR!#REF!))))</f>
        <v>#REF!</v>
      </c>
      <c r="P60" s="870" t="e">
        <f>MAX(0,IF($AK$5=$C$9,P$9-DPR!#REF!,IF($AK$5=$C$10,P$10-DPR!#REF!,IF($AK$5=$C$11,P$11-DPR!#REF!))))</f>
        <v>#REF!</v>
      </c>
      <c r="Q60" s="874">
        <v>0</v>
      </c>
      <c r="R60" s="919" t="e">
        <f t="shared" si="1"/>
        <v>#REF!</v>
      </c>
      <c r="S60" s="878" t="e">
        <f>MAX(0,IF($AK$5=$C$9,S$9-DPR!#REF!,IF($AK$5=$C$10,S$10-DPR!#REF!,IF($AK$5=$C$11,S$11-DPR!#REF!))))</f>
        <v>#REF!</v>
      </c>
      <c r="T60" s="878" t="e">
        <f>MAX(0,IF($AK$5=$C$9,T$9-DPR!#REF!,IF($AK$5=$C$10,T$10-DPR!#REF!,IF($AK$5=$C$11,T$11-DPR!#REF!))))</f>
        <v>#REF!</v>
      </c>
      <c r="U60" s="878" t="e">
        <f>MAX(0,IF($AK$5=$C$9,U$9-DPR!#REF!,IF($AK$5=$C$10,U$10-DPR!#REF!,IF($AK$5=$C$11,U$11-DPR!#REF!))))</f>
        <v>#REF!</v>
      </c>
      <c r="V60" s="878" t="e">
        <f>MAX(0,IF($AK$5=$C$9,V$9-DPR!#REF!,IF($AK$5=$C$10,V$10-DPR!#REF!,IF($AK$5=$C$11,V$11-DPR!#REF!))))</f>
        <v>#REF!</v>
      </c>
      <c r="W60" s="878" t="e">
        <f>MAX(0,IF($AK$5=$C$9,W$9-DPR!#REF!,IF($AK$5=$C$10,W$10-DPR!#REF!,IF($AK$5=$C$11,W$11-DPR!#REF!))))</f>
        <v>#REF!</v>
      </c>
      <c r="X60" s="878" t="e">
        <f>MAX(0,IF($AK$5=$C$9,X$9-DPR!#REF!,IF($AK$5=$C$10,X$10-DPR!#REF!,IF($AK$5=$C$11,X$11-DPR!#REF!))))</f>
        <v>#REF!</v>
      </c>
      <c r="Y60" s="878" t="e">
        <f>MAX(0,IF($AK$5=$C$9,Y$9-DPR!#REF!,IF($AK$5=$C$10,Y$10-DPR!#REF!,IF($AK$5=$C$11,Y$11-DPR!#REF!))))</f>
        <v>#REF!</v>
      </c>
      <c r="Z60" s="878" t="e">
        <f>MAX(0,IF($AK$5=$C$9,Z$9-DPR!#REF!,IF($AK$5=$C$10,Z$10-DPR!#REF!,IF($AK$5=$C$11,Z$11-DPR!#REF!))))</f>
        <v>#REF!</v>
      </c>
      <c r="AA60" s="878" t="e">
        <f>MAX(0,IF($AK$5=$C$9,AA$9-DPR!#REF!,IF($AK$5=$C$10,AA$10-DPR!#REF!,IF($AK$5=$C$11,AA$11-DPR!#REF!))))</f>
        <v>#REF!</v>
      </c>
      <c r="AB60" s="878" t="e">
        <f>MAX(0,IF($AK$5=$C$9,AB$9-DPR!#REF!,IF($AK$5=$C$10,AB$10-DPR!#REF!,IF($AK$5=$C$11,AB$11-DPR!#REF!))))</f>
        <v>#REF!</v>
      </c>
      <c r="AC60" s="878" t="e">
        <f>MAX(0,IF($AK$5=$C$9,AC$9-DPR!#REF!,IF($AK$5=$C$10,AC$10-DPR!#REF!,IF($AK$5=$C$11,AC$11-DPR!#REF!))))</f>
        <v>#REF!</v>
      </c>
      <c r="AD60" s="878" t="e">
        <f>MAX(0,IF($AK$5=$C$9,AD$9-DPR!#REF!,IF($AK$5=$C$10,AD$10-DPR!#REF!,IF($AK$5=$C$11,AD$11-DPR!#REF!))))</f>
        <v>#REF!</v>
      </c>
      <c r="AE60" s="878" t="e">
        <f>MAX(0,IF($AK$5=$C$9,AE$9-DPR!#REF!,IF($AK$5=$C$10,AE$10-DPR!#REF!,IF($AK$5=$C$11,AE$11-DPR!#REF!))))</f>
        <v>#REF!</v>
      </c>
      <c r="AF60" s="878" t="e">
        <f>MAX(0,IF($AK$5=$C$9,AF$9-DPR!#REF!,IF($AK$5=$C$10,AF$10-DPR!#REF!,IF($AK$5=$C$11,AF$11-DPR!#REF!))))</f>
        <v>#REF!</v>
      </c>
      <c r="AG60" s="920" t="e">
        <f t="shared" si="2"/>
        <v>#REF!</v>
      </c>
      <c r="AH60" s="888">
        <f t="shared" si="3"/>
        <v>202505</v>
      </c>
      <c r="AI60" s="826"/>
      <c r="AJ60" t="e">
        <f>DPR!#REF!</f>
        <v>#REF!</v>
      </c>
      <c r="AK60" s="262"/>
      <c r="AL60" s="262"/>
    </row>
    <row r="61" spans="3:38" ht="15.75">
      <c r="C61" s="918">
        <v>45797</v>
      </c>
      <c r="D61" s="870" t="e">
        <f>MAX(0,IF($AK$5=$C$9,D$9-DPR!#REF!,IF($AK$5=$C$10,D$10-DPR!#REF!,IF($AK$5=$C$11,D$11-DPR!#REF!))))</f>
        <v>#REF!</v>
      </c>
      <c r="E61" s="870" t="e">
        <f>MAX(0,IF($AK$5=$C$9,E$9-DPR!#REF!,IF($AK$5=$C$10,E$10-DPR!#REF!,IF($AK$5=$C$11,E$11-DPR!#REF!))))</f>
        <v>#REF!</v>
      </c>
      <c r="F61" s="870" t="e">
        <f>MAX(0,IF($AK$5=$C$9,F$9-DPR!#REF!,IF($AK$5=$C$10,F$10-DPR!#REF!,IF($AK$5=$C$11,F$11-DPR!#REF!))))</f>
        <v>#REF!</v>
      </c>
      <c r="G61" s="870" t="e">
        <f>MAX(0,IF($AK$5=$C$9,G$9-DPR!#REF!,IF($AK$5=$C$10,G$10-DPR!#REF!,IF($AK$5=$C$11,G$11-DPR!#REF!))))</f>
        <v>#REF!</v>
      </c>
      <c r="H61" s="870" t="e">
        <f>MAX(0,IF($AK$5=$C$9,H$9-DPR!#REF!,IF($AK$5=$C$10,H$10-DPR!#REF!,IF($AK$5=$C$11,H$11-DPR!#REF!))))</f>
        <v>#REF!</v>
      </c>
      <c r="I61" s="870" t="e">
        <f>MAX(0,IF($AK$5=$C$9,I$9-DPR!#REF!,IF($AK$5=$C$10,I$10-DPR!#REF!,IF($AK$5=$C$11,I$11-DPR!#REF!))))</f>
        <v>#REF!</v>
      </c>
      <c r="J61" s="870" t="e">
        <f>MAX(0,IF($AK$5=$C$9,J$9-DPR!#REF!,IF($AK$5=$C$10,J$10-DPR!#REF!,IF($AK$5=$C$11,J$11-DPR!#REF!))))</f>
        <v>#REF!</v>
      </c>
      <c r="K61" s="870" t="e">
        <f>MAX(0,IF($AK$5=$C$9,K$9-DPR!#REF!,IF($AK$5=$C$10,K$10-DPR!#REF!,IF($AK$5=$C$11,K$11-DPR!#REF!))))</f>
        <v>#REF!</v>
      </c>
      <c r="L61" s="870" t="e">
        <f>MAX(0,IF($AK$5=$C$9,L$9-DPR!#REF!,IF($AK$5=$C$10,L$10-DPR!#REF!,IF($AK$5=$C$11,L$11-DPR!#REF!))))</f>
        <v>#REF!</v>
      </c>
      <c r="M61" s="870" t="e">
        <f>MAX(0,IF($AK$5=$C$9,M$9-DPR!#REF!,IF($AK$5=$C$10,M$10-DPR!#REF!,IF($AK$5=$C$11,M$11-DPR!#REF!))))</f>
        <v>#REF!</v>
      </c>
      <c r="N61" s="870" t="e">
        <f>MAX(0,IF($AK$5=$C$9,N$9-DPR!#REF!,IF($AK$5=$C$10,N$10-DPR!#REF!,IF($AK$5=$C$11,N$11-DPR!#REF!))))</f>
        <v>#REF!</v>
      </c>
      <c r="O61" s="870" t="e">
        <f>MAX(0,IF($AK$5=$C$9,O$9-DPR!#REF!,IF($AK$5=$C$10,O$10-DPR!#REF!,IF($AK$5=$C$11,O$11-DPR!#REF!))))</f>
        <v>#REF!</v>
      </c>
      <c r="P61" s="870" t="e">
        <f>MAX(0,IF($AK$5=$C$9,P$9-DPR!#REF!,IF($AK$5=$C$10,P$10-DPR!#REF!,IF($AK$5=$C$11,P$11-DPR!#REF!))))</f>
        <v>#REF!</v>
      </c>
      <c r="Q61" s="870">
        <v>0</v>
      </c>
      <c r="R61" s="919" t="e">
        <f t="shared" si="1"/>
        <v>#REF!</v>
      </c>
      <c r="S61" s="878" t="e">
        <f>MAX(0,IF($AK$5=$C$9,S$9-DPR!#REF!,IF($AK$5=$C$10,S$10-DPR!#REF!,IF($AK$5=$C$11,S$11-DPR!#REF!))))</f>
        <v>#REF!</v>
      </c>
      <c r="T61" s="878" t="e">
        <f>MAX(0,IF($AK$5=$C$9,T$9-DPR!#REF!,IF($AK$5=$C$10,T$10-DPR!#REF!,IF($AK$5=$C$11,T$11-DPR!#REF!))))</f>
        <v>#REF!</v>
      </c>
      <c r="U61" s="878" t="e">
        <f>MAX(0,IF($AK$5=$C$9,U$9-DPR!#REF!,IF($AK$5=$C$10,U$10-DPR!#REF!,IF($AK$5=$C$11,U$11-DPR!#REF!))))</f>
        <v>#REF!</v>
      </c>
      <c r="V61" s="878" t="e">
        <f>MAX(0,IF($AK$5=$C$9,V$9-DPR!#REF!,IF($AK$5=$C$10,V$10-DPR!#REF!,IF($AK$5=$C$11,V$11-DPR!#REF!))))</f>
        <v>#REF!</v>
      </c>
      <c r="W61" s="878" t="e">
        <f>MAX(0,IF($AK$5=$C$9,W$9-DPR!#REF!,IF($AK$5=$C$10,W$10-DPR!#REF!,IF($AK$5=$C$11,W$11-DPR!#REF!))))</f>
        <v>#REF!</v>
      </c>
      <c r="X61" s="878" t="e">
        <f>MAX(0,IF($AK$5=$C$9,X$9-DPR!#REF!,IF($AK$5=$C$10,X$10-DPR!#REF!,IF($AK$5=$C$11,X$11-DPR!#REF!))))</f>
        <v>#REF!</v>
      </c>
      <c r="Y61" s="878" t="e">
        <f>MAX(0,IF($AK$5=$C$9,Y$9-DPR!#REF!,IF($AK$5=$C$10,Y$10-DPR!#REF!,IF($AK$5=$C$11,Y$11-DPR!#REF!))))</f>
        <v>#REF!</v>
      </c>
      <c r="Z61" s="878" t="e">
        <f>MAX(0,IF($AK$5=$C$9,Z$9-DPR!#REF!,IF($AK$5=$C$10,Z$10-DPR!#REF!,IF($AK$5=$C$11,Z$11-DPR!#REF!))))</f>
        <v>#REF!</v>
      </c>
      <c r="AA61" s="878" t="e">
        <f>MAX(0,IF($AK$5=$C$9,AA$9-DPR!#REF!,IF($AK$5=$C$10,AA$10-DPR!#REF!,IF($AK$5=$C$11,AA$11-DPR!#REF!))))</f>
        <v>#REF!</v>
      </c>
      <c r="AB61" s="878" t="e">
        <f>MAX(0,IF($AK$5=$C$9,AB$9-DPR!#REF!,IF($AK$5=$C$10,AB$10-DPR!#REF!,IF($AK$5=$C$11,AB$11-DPR!#REF!))))</f>
        <v>#REF!</v>
      </c>
      <c r="AC61" s="878" t="e">
        <f>MAX(0,IF($AK$5=$C$9,AC$9-DPR!#REF!,IF($AK$5=$C$10,AC$10-DPR!#REF!,IF($AK$5=$C$11,AC$11-DPR!#REF!))))</f>
        <v>#REF!</v>
      </c>
      <c r="AD61" s="878" t="e">
        <f>MAX(0,IF($AK$5=$C$9,AD$9-DPR!#REF!,IF($AK$5=$C$10,AD$10-DPR!#REF!,IF($AK$5=$C$11,AD$11-DPR!#REF!))))</f>
        <v>#REF!</v>
      </c>
      <c r="AE61" s="878" t="e">
        <f>MAX(0,IF($AK$5=$C$9,AE$9-DPR!#REF!,IF($AK$5=$C$10,AE$10-DPR!#REF!,IF($AK$5=$C$11,AE$11-DPR!#REF!))))</f>
        <v>#REF!</v>
      </c>
      <c r="AF61" s="878" t="e">
        <f>MAX(0,IF($AK$5=$C$9,AF$9-DPR!#REF!,IF($AK$5=$C$10,AF$10-DPR!#REF!,IF($AK$5=$C$11,AF$11-DPR!#REF!))))</f>
        <v>#REF!</v>
      </c>
      <c r="AG61" s="920" t="e">
        <f t="shared" si="2"/>
        <v>#REF!</v>
      </c>
      <c r="AH61" s="888">
        <f t="shared" si="3"/>
        <v>202505</v>
      </c>
      <c r="AI61" s="826"/>
      <c r="AJ61" t="e">
        <f>DPR!#REF!</f>
        <v>#REF!</v>
      </c>
      <c r="AK61" s="262"/>
      <c r="AL61" s="262"/>
    </row>
    <row r="62" spans="3:38" ht="15.75">
      <c r="C62" s="918">
        <v>45798</v>
      </c>
      <c r="D62" s="870" t="e">
        <f>MAX(0,IF($AK$5=$C$9,D$9-DPR!#REF!,IF($AK$5=$C$10,D$10-DPR!#REF!,IF($AK$5=$C$11,D$11-DPR!#REF!))))</f>
        <v>#REF!</v>
      </c>
      <c r="E62" s="870" t="e">
        <f>MAX(0,IF($AK$5=$C$9,E$9-DPR!#REF!,IF($AK$5=$C$10,E$10-DPR!#REF!,IF($AK$5=$C$11,E$11-DPR!#REF!))))</f>
        <v>#REF!</v>
      </c>
      <c r="F62" s="870" t="e">
        <f>MAX(0,IF($AK$5=$C$9,F$9-DPR!#REF!,IF($AK$5=$C$10,F$10-DPR!#REF!,IF($AK$5=$C$11,F$11-DPR!#REF!))))</f>
        <v>#REF!</v>
      </c>
      <c r="G62" s="870" t="e">
        <f>MAX(0,IF($AK$5=$C$9,G$9-DPR!#REF!,IF($AK$5=$C$10,G$10-DPR!#REF!,IF($AK$5=$C$11,G$11-DPR!#REF!))))</f>
        <v>#REF!</v>
      </c>
      <c r="H62" s="870" t="e">
        <f>MAX(0,IF($AK$5=$C$9,H$9-DPR!#REF!,IF($AK$5=$C$10,H$10-DPR!#REF!,IF($AK$5=$C$11,H$11-DPR!#REF!))))</f>
        <v>#REF!</v>
      </c>
      <c r="I62" s="870" t="e">
        <f>MAX(0,IF($AK$5=$C$9,I$9-DPR!#REF!,IF($AK$5=$C$10,I$10-DPR!#REF!,IF($AK$5=$C$11,I$11-DPR!#REF!))))</f>
        <v>#REF!</v>
      </c>
      <c r="J62" s="870" t="e">
        <f>MAX(0,IF($AK$5=$C$9,J$9-DPR!#REF!,IF($AK$5=$C$10,J$10-DPR!#REF!,IF($AK$5=$C$11,J$11-DPR!#REF!))))</f>
        <v>#REF!</v>
      </c>
      <c r="K62" s="870" t="e">
        <f>MAX(0,IF($AK$5=$C$9,K$9-DPR!#REF!,IF($AK$5=$C$10,K$10-DPR!#REF!,IF($AK$5=$C$11,K$11-DPR!#REF!))))</f>
        <v>#REF!</v>
      </c>
      <c r="L62" s="870" t="e">
        <f>MAX(0,IF($AK$5=$C$9,L$9-DPR!#REF!,IF($AK$5=$C$10,L$10-DPR!#REF!,IF($AK$5=$C$11,L$11-DPR!#REF!))))</f>
        <v>#REF!</v>
      </c>
      <c r="M62" s="870" t="e">
        <f>MAX(0,IF($AK$5=$C$9,M$9-DPR!#REF!,IF($AK$5=$C$10,M$10-DPR!#REF!,IF($AK$5=$C$11,M$11-DPR!#REF!))))</f>
        <v>#REF!</v>
      </c>
      <c r="N62" s="870" t="e">
        <f>MAX(0,IF($AK$5=$C$9,N$9-DPR!#REF!,IF($AK$5=$C$10,N$10-DPR!#REF!,IF($AK$5=$C$11,N$11-DPR!#REF!))))</f>
        <v>#REF!</v>
      </c>
      <c r="O62" s="870" t="e">
        <f>MAX(0,IF($AK$5=$C$9,O$9-DPR!#REF!,IF($AK$5=$C$10,O$10-DPR!#REF!,IF($AK$5=$C$11,O$11-DPR!#REF!))))</f>
        <v>#REF!</v>
      </c>
      <c r="P62" s="870" t="e">
        <f>MAX(0,IF($AK$5=$C$9,P$9-DPR!#REF!,IF($AK$5=$C$10,P$10-DPR!#REF!,IF($AK$5=$C$11,P$11-DPR!#REF!))))</f>
        <v>#REF!</v>
      </c>
      <c r="Q62" s="874">
        <v>0</v>
      </c>
      <c r="R62" s="919" t="e">
        <f t="shared" si="1"/>
        <v>#REF!</v>
      </c>
      <c r="S62" s="878" t="e">
        <f>MAX(0,IF($AK$5=$C$9,S$9-DPR!#REF!,IF($AK$5=$C$10,S$10-DPR!#REF!,IF($AK$5=$C$11,S$11-DPR!#REF!))))</f>
        <v>#REF!</v>
      </c>
      <c r="T62" s="878" t="e">
        <f>MAX(0,IF($AK$5=$C$9,T$9-DPR!#REF!,IF($AK$5=$C$10,T$10-DPR!#REF!,IF($AK$5=$C$11,T$11-DPR!#REF!))))</f>
        <v>#REF!</v>
      </c>
      <c r="U62" s="878" t="e">
        <f>MAX(0,IF($AK$5=$C$9,U$9-DPR!#REF!,IF($AK$5=$C$10,U$10-DPR!#REF!,IF($AK$5=$C$11,U$11-DPR!#REF!))))</f>
        <v>#REF!</v>
      </c>
      <c r="V62" s="878" t="e">
        <f>MAX(0,IF($AK$5=$C$9,V$9-DPR!#REF!,IF($AK$5=$C$10,V$10-DPR!#REF!,IF($AK$5=$C$11,V$11-DPR!#REF!))))</f>
        <v>#REF!</v>
      </c>
      <c r="W62" s="878" t="e">
        <f>MAX(0,IF($AK$5=$C$9,W$9-DPR!#REF!,IF($AK$5=$C$10,W$10-DPR!#REF!,IF($AK$5=$C$11,W$11-DPR!#REF!))))</f>
        <v>#REF!</v>
      </c>
      <c r="X62" s="878" t="e">
        <f>MAX(0,IF($AK$5=$C$9,X$9-DPR!#REF!,IF($AK$5=$C$10,X$10-DPR!#REF!,IF($AK$5=$C$11,X$11-DPR!#REF!))))</f>
        <v>#REF!</v>
      </c>
      <c r="Y62" s="878" t="e">
        <f>MAX(0,IF($AK$5=$C$9,Y$9-DPR!#REF!,IF($AK$5=$C$10,Y$10-DPR!#REF!,IF($AK$5=$C$11,Y$11-DPR!#REF!))))</f>
        <v>#REF!</v>
      </c>
      <c r="Z62" s="878" t="e">
        <f>MAX(0,IF($AK$5=$C$9,Z$9-DPR!#REF!,IF($AK$5=$C$10,Z$10-DPR!#REF!,IF($AK$5=$C$11,Z$11-DPR!#REF!))))</f>
        <v>#REF!</v>
      </c>
      <c r="AA62" s="878" t="e">
        <f>MAX(0,IF($AK$5=$C$9,AA$9-DPR!#REF!,IF($AK$5=$C$10,AA$10-DPR!#REF!,IF($AK$5=$C$11,AA$11-DPR!#REF!))))</f>
        <v>#REF!</v>
      </c>
      <c r="AB62" s="878" t="e">
        <f>MAX(0,IF($AK$5=$C$9,AB$9-DPR!#REF!,IF($AK$5=$C$10,AB$10-DPR!#REF!,IF($AK$5=$C$11,AB$11-DPR!#REF!))))</f>
        <v>#REF!</v>
      </c>
      <c r="AC62" s="878" t="e">
        <f>MAX(0,IF($AK$5=$C$9,AC$9-DPR!#REF!,IF($AK$5=$C$10,AC$10-DPR!#REF!,IF($AK$5=$C$11,AC$11-DPR!#REF!))))</f>
        <v>#REF!</v>
      </c>
      <c r="AD62" s="878" t="e">
        <f>MAX(0,IF($AK$5=$C$9,AD$9-DPR!#REF!,IF($AK$5=$C$10,AD$10-DPR!#REF!,IF($AK$5=$C$11,AD$11-DPR!#REF!))))</f>
        <v>#REF!</v>
      </c>
      <c r="AE62" s="878" t="e">
        <f>MAX(0,IF($AK$5=$C$9,AE$9-DPR!#REF!,IF($AK$5=$C$10,AE$10-DPR!#REF!,IF($AK$5=$C$11,AE$11-DPR!#REF!))))</f>
        <v>#REF!</v>
      </c>
      <c r="AF62" s="878" t="e">
        <f>MAX(0,IF($AK$5=$C$9,AF$9-DPR!#REF!,IF($AK$5=$C$10,AF$10-DPR!#REF!,IF($AK$5=$C$11,AF$11-DPR!#REF!))))</f>
        <v>#REF!</v>
      </c>
      <c r="AG62" s="920" t="e">
        <f t="shared" si="2"/>
        <v>#REF!</v>
      </c>
      <c r="AH62" s="888">
        <f t="shared" si="3"/>
        <v>202505</v>
      </c>
      <c r="AI62" s="826"/>
      <c r="AJ62" t="e">
        <f>DPR!#REF!</f>
        <v>#REF!</v>
      </c>
      <c r="AK62" s="262"/>
      <c r="AL62" s="262"/>
    </row>
    <row r="63" spans="3:38" ht="15.75">
      <c r="C63" s="918">
        <v>45799</v>
      </c>
      <c r="D63" s="870" t="e">
        <f>MAX(0,IF($AK$5=$C$9,D$9-DPR!#REF!,IF($AK$5=$C$10,D$10-DPR!#REF!,IF($AK$5=$C$11,D$11-DPR!#REF!))))</f>
        <v>#REF!</v>
      </c>
      <c r="E63" s="870" t="e">
        <f>MAX(0,IF($AK$5=$C$9,E$9-DPR!#REF!,IF($AK$5=$C$10,E$10-DPR!#REF!,IF($AK$5=$C$11,E$11-DPR!#REF!))))</f>
        <v>#REF!</v>
      </c>
      <c r="F63" s="870" t="e">
        <f>MAX(0,IF($AK$5=$C$9,F$9-DPR!#REF!,IF($AK$5=$C$10,F$10-DPR!#REF!,IF($AK$5=$C$11,F$11-DPR!#REF!))))</f>
        <v>#REF!</v>
      </c>
      <c r="G63" s="870" t="e">
        <f>MAX(0,IF($AK$5=$C$9,G$9-DPR!#REF!,IF($AK$5=$C$10,G$10-DPR!#REF!,IF($AK$5=$C$11,G$11-DPR!#REF!))))</f>
        <v>#REF!</v>
      </c>
      <c r="H63" s="870" t="e">
        <f>MAX(0,IF($AK$5=$C$9,H$9-DPR!#REF!,IF($AK$5=$C$10,H$10-DPR!#REF!,IF($AK$5=$C$11,H$11-DPR!#REF!))))</f>
        <v>#REF!</v>
      </c>
      <c r="I63" s="870" t="e">
        <f>MAX(0,IF($AK$5=$C$9,I$9-DPR!#REF!,IF($AK$5=$C$10,I$10-DPR!#REF!,IF($AK$5=$C$11,I$11-DPR!#REF!))))</f>
        <v>#REF!</v>
      </c>
      <c r="J63" s="870" t="e">
        <f>MAX(0,IF($AK$5=$C$9,J$9-DPR!#REF!,IF($AK$5=$C$10,J$10-DPR!#REF!,IF($AK$5=$C$11,J$11-DPR!#REF!))))</f>
        <v>#REF!</v>
      </c>
      <c r="K63" s="870" t="e">
        <f>MAX(0,IF($AK$5=$C$9,K$9-DPR!#REF!,IF($AK$5=$C$10,K$10-DPR!#REF!,IF($AK$5=$C$11,K$11-DPR!#REF!))))</f>
        <v>#REF!</v>
      </c>
      <c r="L63" s="870" t="e">
        <f>MAX(0,IF($AK$5=$C$9,L$9-DPR!#REF!,IF($AK$5=$C$10,L$10-DPR!#REF!,IF($AK$5=$C$11,L$11-DPR!#REF!))))</f>
        <v>#REF!</v>
      </c>
      <c r="M63" s="870" t="e">
        <f>MAX(0,IF($AK$5=$C$9,M$9-DPR!#REF!,IF($AK$5=$C$10,M$10-DPR!#REF!,IF($AK$5=$C$11,M$11-DPR!#REF!))))</f>
        <v>#REF!</v>
      </c>
      <c r="N63" s="870" t="e">
        <f>MAX(0,IF($AK$5=$C$9,N$9-DPR!#REF!,IF($AK$5=$C$10,N$10-DPR!#REF!,IF($AK$5=$C$11,N$11-DPR!#REF!))))</f>
        <v>#REF!</v>
      </c>
      <c r="O63" s="870" t="e">
        <f>MAX(0,IF($AK$5=$C$9,O$9-DPR!#REF!,IF($AK$5=$C$10,O$10-DPR!#REF!,IF($AK$5=$C$11,O$11-DPR!#REF!))))</f>
        <v>#REF!</v>
      </c>
      <c r="P63" s="870" t="e">
        <f>MAX(0,IF($AK$5=$C$9,P$9-DPR!#REF!,IF($AK$5=$C$10,P$10-DPR!#REF!,IF($AK$5=$C$11,P$11-DPR!#REF!))))</f>
        <v>#REF!</v>
      </c>
      <c r="Q63" s="870">
        <v>0</v>
      </c>
      <c r="R63" s="919" t="e">
        <f t="shared" ref="R63:R91" si="4">D63*D$6+E63*E$6+F63*F$6+G63*G$6+H63*H$6+I63*I$6+J63*J$6+K63*K$6+L63*L$6+M63*M$6+N63*N$6+O63*O$6+P63*P$6+Q63*Q$6</f>
        <v>#REF!</v>
      </c>
      <c r="S63" s="878" t="e">
        <f>MAX(0,IF($AK$5=$C$9,S$9-DPR!#REF!,IF($AK$5=$C$10,S$10-DPR!#REF!,IF($AK$5=$C$11,S$11-DPR!#REF!))))</f>
        <v>#REF!</v>
      </c>
      <c r="T63" s="878" t="e">
        <f>MAX(0,IF($AK$5=$C$9,T$9-DPR!#REF!,IF($AK$5=$C$10,T$10-DPR!#REF!,IF($AK$5=$C$11,T$11-DPR!#REF!))))</f>
        <v>#REF!</v>
      </c>
      <c r="U63" s="878" t="e">
        <f>MAX(0,IF($AK$5=$C$9,U$9-DPR!#REF!,IF($AK$5=$C$10,U$10-DPR!#REF!,IF($AK$5=$C$11,U$11-DPR!#REF!))))</f>
        <v>#REF!</v>
      </c>
      <c r="V63" s="878" t="e">
        <f>MAX(0,IF($AK$5=$C$9,V$9-DPR!#REF!,IF($AK$5=$C$10,V$10-DPR!#REF!,IF($AK$5=$C$11,V$11-DPR!#REF!))))</f>
        <v>#REF!</v>
      </c>
      <c r="W63" s="878" t="e">
        <f>MAX(0,IF($AK$5=$C$9,W$9-DPR!#REF!,IF($AK$5=$C$10,W$10-DPR!#REF!,IF($AK$5=$C$11,W$11-DPR!#REF!))))</f>
        <v>#REF!</v>
      </c>
      <c r="X63" s="878" t="e">
        <f>MAX(0,IF($AK$5=$C$9,X$9-DPR!#REF!,IF($AK$5=$C$10,X$10-DPR!#REF!,IF($AK$5=$C$11,X$11-DPR!#REF!))))</f>
        <v>#REF!</v>
      </c>
      <c r="Y63" s="878" t="e">
        <f>MAX(0,IF($AK$5=$C$9,Y$9-DPR!#REF!,IF($AK$5=$C$10,Y$10-DPR!#REF!,IF($AK$5=$C$11,Y$11-DPR!#REF!))))</f>
        <v>#REF!</v>
      </c>
      <c r="Z63" s="878" t="e">
        <f>MAX(0,IF($AK$5=$C$9,Z$9-DPR!#REF!,IF($AK$5=$C$10,Z$10-DPR!#REF!,IF($AK$5=$C$11,Z$11-DPR!#REF!))))</f>
        <v>#REF!</v>
      </c>
      <c r="AA63" s="878" t="e">
        <f>MAX(0,IF($AK$5=$C$9,AA$9-DPR!#REF!,IF($AK$5=$C$10,AA$10-DPR!#REF!,IF($AK$5=$C$11,AA$11-DPR!#REF!))))</f>
        <v>#REF!</v>
      </c>
      <c r="AB63" s="878" t="e">
        <f>MAX(0,IF($AK$5=$C$9,AB$9-DPR!#REF!,IF($AK$5=$C$10,AB$10-DPR!#REF!,IF($AK$5=$C$11,AB$11-DPR!#REF!))))</f>
        <v>#REF!</v>
      </c>
      <c r="AC63" s="878" t="e">
        <f>MAX(0,IF($AK$5=$C$9,AC$9-DPR!#REF!,IF($AK$5=$C$10,AC$10-DPR!#REF!,IF($AK$5=$C$11,AC$11-DPR!#REF!))))</f>
        <v>#REF!</v>
      </c>
      <c r="AD63" s="878" t="e">
        <f>MAX(0,IF($AK$5=$C$9,AD$9-DPR!#REF!,IF($AK$5=$C$10,AD$10-DPR!#REF!,IF($AK$5=$C$11,AD$11-DPR!#REF!))))</f>
        <v>#REF!</v>
      </c>
      <c r="AE63" s="878" t="e">
        <f>MAX(0,IF($AK$5=$C$9,AE$9-DPR!#REF!,IF($AK$5=$C$10,AE$10-DPR!#REF!,IF($AK$5=$C$11,AE$11-DPR!#REF!))))</f>
        <v>#REF!</v>
      </c>
      <c r="AF63" s="878" t="e">
        <f>MAX(0,IF($AK$5=$C$9,AF$9-DPR!#REF!,IF($AK$5=$C$10,AF$10-DPR!#REF!,IF($AK$5=$C$11,AF$11-DPR!#REF!))))</f>
        <v>#REF!</v>
      </c>
      <c r="AG63" s="920" t="e">
        <f t="shared" si="2"/>
        <v>#REF!</v>
      </c>
      <c r="AH63" s="888">
        <f t="shared" si="3"/>
        <v>202505</v>
      </c>
      <c r="AI63" s="826" t="s">
        <v>2033</v>
      </c>
      <c r="AJ63" t="e">
        <f>DPR!#REF!</f>
        <v>#REF!</v>
      </c>
      <c r="AK63" s="262"/>
      <c r="AL63" s="262"/>
    </row>
    <row r="64" spans="3:38" ht="15.75">
      <c r="C64" s="918">
        <v>45800</v>
      </c>
      <c r="D64" s="870" t="e">
        <f>MAX(0,IF($AK$5=$C$9,D$9-DPR!#REF!,IF($AK$5=$C$10,D$10-DPR!#REF!,IF($AK$5=$C$11,D$11-DPR!#REF!))))</f>
        <v>#REF!</v>
      </c>
      <c r="E64" s="870" t="e">
        <f>MAX(0,IF($AK$5=$C$9,E$9-DPR!#REF!,IF($AK$5=$C$10,E$10-DPR!#REF!,IF($AK$5=$C$11,E$11-DPR!#REF!))))</f>
        <v>#REF!</v>
      </c>
      <c r="F64" s="870" t="e">
        <f>MAX(0,IF($AK$5=$C$9,F$9-DPR!#REF!,IF($AK$5=$C$10,F$10-DPR!#REF!,IF($AK$5=$C$11,F$11-DPR!#REF!))))</f>
        <v>#REF!</v>
      </c>
      <c r="G64" s="870" t="e">
        <f>MAX(0,IF($AK$5=$C$9,G$9-DPR!#REF!,IF($AK$5=$C$10,G$10-DPR!#REF!,IF($AK$5=$C$11,G$11-DPR!#REF!))))</f>
        <v>#REF!</v>
      </c>
      <c r="H64" s="870" t="e">
        <f>MAX(0,IF($AK$5=$C$9,H$9-DPR!#REF!,IF($AK$5=$C$10,H$10-DPR!#REF!,IF($AK$5=$C$11,H$11-DPR!#REF!))))</f>
        <v>#REF!</v>
      </c>
      <c r="I64" s="870" t="e">
        <f>MAX(0,IF($AK$5=$C$9,I$9-DPR!#REF!,IF($AK$5=$C$10,I$10-DPR!#REF!,IF($AK$5=$C$11,I$11-DPR!#REF!))))</f>
        <v>#REF!</v>
      </c>
      <c r="J64" s="870" t="e">
        <f>MAX(0,IF($AK$5=$C$9,J$9-DPR!#REF!,IF($AK$5=$C$10,J$10-DPR!#REF!,IF($AK$5=$C$11,J$11-DPR!#REF!))))</f>
        <v>#REF!</v>
      </c>
      <c r="K64" s="870" t="e">
        <f>MAX(0,IF($AK$5=$C$9,K$9-DPR!#REF!,IF($AK$5=$C$10,K$10-DPR!#REF!,IF($AK$5=$C$11,K$11-DPR!#REF!))))</f>
        <v>#REF!</v>
      </c>
      <c r="L64" s="870" t="e">
        <f>MAX(0,IF($AK$5=$C$9,L$9-DPR!#REF!,IF($AK$5=$C$10,L$10-DPR!#REF!,IF($AK$5=$C$11,L$11-DPR!#REF!))))</f>
        <v>#REF!</v>
      </c>
      <c r="M64" s="870" t="e">
        <f>MAX(0,IF($AK$5=$C$9,M$9-DPR!#REF!,IF($AK$5=$C$10,M$10-DPR!#REF!,IF($AK$5=$C$11,M$11-DPR!#REF!))))</f>
        <v>#REF!</v>
      </c>
      <c r="N64" s="870" t="e">
        <f>MAX(0,IF($AK$5=$C$9,N$9-DPR!#REF!,IF($AK$5=$C$10,N$10-DPR!#REF!,IF($AK$5=$C$11,N$11-DPR!#REF!))))</f>
        <v>#REF!</v>
      </c>
      <c r="O64" s="870" t="e">
        <f>MAX(0,IF($AK$5=$C$9,O$9-DPR!#REF!,IF($AK$5=$C$10,O$10-DPR!#REF!,IF($AK$5=$C$11,O$11-DPR!#REF!))))</f>
        <v>#REF!</v>
      </c>
      <c r="P64" s="870" t="e">
        <f>MAX(0,IF($AK$5=$C$9,P$9-DPR!#REF!,IF($AK$5=$C$10,P$10-DPR!#REF!,IF($AK$5=$C$11,P$11-DPR!#REF!))))</f>
        <v>#REF!</v>
      </c>
      <c r="Q64" s="874">
        <v>0</v>
      </c>
      <c r="R64" s="919" t="e">
        <f t="shared" si="4"/>
        <v>#REF!</v>
      </c>
      <c r="S64" s="878" t="e">
        <f>MAX(0,IF($AK$5=$C$9,S$9-DPR!#REF!,IF($AK$5=$C$10,S$10-DPR!#REF!,IF($AK$5=$C$11,S$11-DPR!#REF!))))</f>
        <v>#REF!</v>
      </c>
      <c r="T64" s="878" t="e">
        <f>MAX(0,IF($AK$5=$C$9,T$9-DPR!#REF!,IF($AK$5=$C$10,T$10-DPR!#REF!,IF($AK$5=$C$11,T$11-DPR!#REF!))))</f>
        <v>#REF!</v>
      </c>
      <c r="U64" s="878" t="e">
        <f>MAX(0,IF($AK$5=$C$9,U$9-DPR!#REF!,IF($AK$5=$C$10,U$10-DPR!#REF!,IF($AK$5=$C$11,U$11-DPR!#REF!))))</f>
        <v>#REF!</v>
      </c>
      <c r="V64" s="878" t="e">
        <f>MAX(0,IF($AK$5=$C$9,V$9-DPR!#REF!,IF($AK$5=$C$10,V$10-DPR!#REF!,IF($AK$5=$C$11,V$11-DPR!#REF!))))</f>
        <v>#REF!</v>
      </c>
      <c r="W64" s="878" t="e">
        <f>MAX(0,IF($AK$5=$C$9,W$9-DPR!#REF!,IF($AK$5=$C$10,W$10-DPR!#REF!,IF($AK$5=$C$11,W$11-DPR!#REF!))))</f>
        <v>#REF!</v>
      </c>
      <c r="X64" s="878" t="e">
        <f>MAX(0,IF($AK$5=$C$9,X$9-DPR!#REF!,IF($AK$5=$C$10,X$10-DPR!#REF!,IF($AK$5=$C$11,X$11-DPR!#REF!))))</f>
        <v>#REF!</v>
      </c>
      <c r="Y64" s="878" t="e">
        <f>MAX(0,IF($AK$5=$C$9,Y$9-DPR!#REF!,IF($AK$5=$C$10,Y$10-DPR!#REF!,IF($AK$5=$C$11,Y$11-DPR!#REF!))))</f>
        <v>#REF!</v>
      </c>
      <c r="Z64" s="878" t="e">
        <f>MAX(0,IF($AK$5=$C$9,Z$9-DPR!#REF!,IF($AK$5=$C$10,Z$10-DPR!#REF!,IF($AK$5=$C$11,Z$11-DPR!#REF!))))</f>
        <v>#REF!</v>
      </c>
      <c r="AA64" s="878" t="e">
        <f>MAX(0,IF($AK$5=$C$9,AA$9-DPR!#REF!,IF($AK$5=$C$10,AA$10-DPR!#REF!,IF($AK$5=$C$11,AA$11-DPR!#REF!))))</f>
        <v>#REF!</v>
      </c>
      <c r="AB64" s="878" t="e">
        <f>MAX(0,IF($AK$5=$C$9,AB$9-DPR!#REF!,IF($AK$5=$C$10,AB$10-DPR!#REF!,IF($AK$5=$C$11,AB$11-DPR!#REF!))))</f>
        <v>#REF!</v>
      </c>
      <c r="AC64" s="878" t="e">
        <f>MAX(0,IF($AK$5=$C$9,AC$9-DPR!#REF!,IF($AK$5=$C$10,AC$10-DPR!#REF!,IF($AK$5=$C$11,AC$11-DPR!#REF!))))</f>
        <v>#REF!</v>
      </c>
      <c r="AD64" s="878" t="e">
        <f>MAX(0,IF($AK$5=$C$9,AD$9-DPR!#REF!,IF($AK$5=$C$10,AD$10-DPR!#REF!,IF($AK$5=$C$11,AD$11-DPR!#REF!))))</f>
        <v>#REF!</v>
      </c>
      <c r="AE64" s="878" t="e">
        <f>MAX(0,IF($AK$5=$C$9,AE$9-DPR!#REF!,IF($AK$5=$C$10,AE$10-DPR!#REF!,IF($AK$5=$C$11,AE$11-DPR!#REF!))))</f>
        <v>#REF!</v>
      </c>
      <c r="AF64" s="878" t="e">
        <f>MAX(0,IF($AK$5=$C$9,AF$9-DPR!#REF!,IF($AK$5=$C$10,AF$10-DPR!#REF!,IF($AK$5=$C$11,AF$11-DPR!#REF!))))</f>
        <v>#REF!</v>
      </c>
      <c r="AG64" s="920" t="e">
        <f t="shared" ref="AG64:AG91" si="5">S64*S$6+T64*T$6+U64*U$6+V64*V$6+W64*W$6+X64*X$6+Y64*Y$6+Z64*Z$6+AA64*AA$6+AB64*AB$6+AC64*AC$6+AD64*AD$6+AE64*AE$6+AF64*AF$6</f>
        <v>#REF!</v>
      </c>
      <c r="AH64" s="888">
        <f t="shared" ref="AH64:AH91" si="6">IF($AK$1&gt;=C64,(YEAR(C64)*100+MONTH(C64)),0)</f>
        <v>202505</v>
      </c>
      <c r="AI64" t="e">
        <f>DPR!#REF!</f>
        <v>#REF!</v>
      </c>
      <c r="AJ64" t="e">
        <f>DPR!#REF!</f>
        <v>#REF!</v>
      </c>
    </row>
    <row r="65" spans="3:36" ht="15.75">
      <c r="C65" s="918">
        <v>45801</v>
      </c>
      <c r="D65" s="870" t="e">
        <f>MAX(0,IF($AK$5=$C$9,D$9-DPR!#REF!,IF($AK$5=$C$10,D$10-DPR!#REF!,IF($AK$5=$C$11,D$11-DPR!#REF!))))</f>
        <v>#REF!</v>
      </c>
      <c r="E65" s="870" t="e">
        <f>MAX(0,IF($AK$5=$C$9,E$9-DPR!#REF!,IF($AK$5=$C$10,E$10-DPR!#REF!,IF($AK$5=$C$11,E$11-DPR!#REF!))))</f>
        <v>#REF!</v>
      </c>
      <c r="F65" s="870" t="e">
        <f>MAX(0,IF($AK$5=$C$9,F$9-DPR!#REF!,IF($AK$5=$C$10,F$10-DPR!#REF!,IF($AK$5=$C$11,F$11-DPR!#REF!))))</f>
        <v>#REF!</v>
      </c>
      <c r="G65" s="870" t="e">
        <f>MAX(0,IF($AK$5=$C$9,G$9-DPR!#REF!,IF($AK$5=$C$10,G$10-DPR!#REF!,IF($AK$5=$C$11,G$11-DPR!#REF!))))</f>
        <v>#REF!</v>
      </c>
      <c r="H65" s="870" t="e">
        <f>MAX(0,IF($AK$5=$C$9,H$9-DPR!#REF!,IF($AK$5=$C$10,H$10-DPR!#REF!,IF($AK$5=$C$11,H$11-DPR!#REF!))))</f>
        <v>#REF!</v>
      </c>
      <c r="I65" s="870" t="e">
        <f>MAX(0,IF($AK$5=$C$9,I$9-DPR!#REF!,IF($AK$5=$C$10,I$10-DPR!#REF!,IF($AK$5=$C$11,I$11-DPR!#REF!))))</f>
        <v>#REF!</v>
      </c>
      <c r="J65" s="870" t="e">
        <f>MAX(0,IF($AK$5=$C$9,J$9-DPR!#REF!,IF($AK$5=$C$10,J$10-DPR!#REF!,IF($AK$5=$C$11,J$11-DPR!#REF!))))</f>
        <v>#REF!</v>
      </c>
      <c r="K65" s="870" t="e">
        <f>MAX(0,IF($AK$5=$C$9,K$9-DPR!#REF!,IF($AK$5=$C$10,K$10-DPR!#REF!,IF($AK$5=$C$11,K$11-DPR!#REF!))))</f>
        <v>#REF!</v>
      </c>
      <c r="L65" s="870" t="e">
        <f>MAX(0,IF($AK$5=$C$9,L$9-DPR!#REF!,IF($AK$5=$C$10,L$10-DPR!#REF!,IF($AK$5=$C$11,L$11-DPR!#REF!))))</f>
        <v>#REF!</v>
      </c>
      <c r="M65" s="870" t="e">
        <f>MAX(0,IF($AK$5=$C$9,M$9-DPR!#REF!,IF($AK$5=$C$10,M$10-DPR!#REF!,IF($AK$5=$C$11,M$11-DPR!#REF!))))</f>
        <v>#REF!</v>
      </c>
      <c r="N65" s="870" t="e">
        <f>MAX(0,IF($AK$5=$C$9,N$9-DPR!#REF!,IF($AK$5=$C$10,N$10-DPR!#REF!,IF($AK$5=$C$11,N$11-DPR!#REF!))))</f>
        <v>#REF!</v>
      </c>
      <c r="O65" s="870" t="e">
        <f>MAX(0,IF($AK$5=$C$9,O$9-DPR!#REF!,IF($AK$5=$C$10,O$10-DPR!#REF!,IF($AK$5=$C$11,O$11-DPR!#REF!))))</f>
        <v>#REF!</v>
      </c>
      <c r="P65" s="870" t="e">
        <f>MAX(0,IF($AK$5=$C$9,P$9-DPR!#REF!,IF($AK$5=$C$10,P$10-DPR!#REF!,IF($AK$5=$C$11,P$11-DPR!#REF!))))</f>
        <v>#REF!</v>
      </c>
      <c r="Q65" s="870">
        <v>0</v>
      </c>
      <c r="R65" s="919" t="e">
        <f t="shared" si="4"/>
        <v>#REF!</v>
      </c>
      <c r="S65" s="878" t="e">
        <f>MAX(0,IF($AK$5=$C$9,S$9-DPR!#REF!,IF($AK$5=$C$10,S$10-DPR!#REF!,IF($AK$5=$C$11,S$11-DPR!#REF!))))</f>
        <v>#REF!</v>
      </c>
      <c r="T65" s="878" t="e">
        <f>MAX(0,IF($AK$5=$C$9,T$9-DPR!#REF!,IF($AK$5=$C$10,T$10-DPR!#REF!,IF($AK$5=$C$11,T$11-DPR!#REF!))))</f>
        <v>#REF!</v>
      </c>
      <c r="U65" s="878" t="e">
        <f>MAX(0,IF($AK$5=$C$9,U$9-DPR!#REF!,IF($AK$5=$C$10,U$10-DPR!#REF!,IF($AK$5=$C$11,U$11-DPR!#REF!))))</f>
        <v>#REF!</v>
      </c>
      <c r="V65" s="878" t="e">
        <f>MAX(0,IF($AK$5=$C$9,V$9-DPR!#REF!,IF($AK$5=$C$10,V$10-DPR!#REF!,IF($AK$5=$C$11,V$11-DPR!#REF!))))</f>
        <v>#REF!</v>
      </c>
      <c r="W65" s="878" t="e">
        <f>MAX(0,IF($AK$5=$C$9,W$9-DPR!#REF!,IF($AK$5=$C$10,W$10-DPR!#REF!,IF($AK$5=$C$11,W$11-DPR!#REF!))))</f>
        <v>#REF!</v>
      </c>
      <c r="X65" s="878" t="e">
        <f>MAX(0,IF($AK$5=$C$9,X$9-DPR!#REF!,IF($AK$5=$C$10,X$10-DPR!#REF!,IF($AK$5=$C$11,X$11-DPR!#REF!))))</f>
        <v>#REF!</v>
      </c>
      <c r="Y65" s="878" t="e">
        <f>MAX(0,IF($AK$5=$C$9,Y$9-DPR!#REF!,IF($AK$5=$C$10,Y$10-DPR!#REF!,IF($AK$5=$C$11,Y$11-DPR!#REF!))))</f>
        <v>#REF!</v>
      </c>
      <c r="Z65" s="878" t="e">
        <f>MAX(0,IF($AK$5=$C$9,Z$9-DPR!#REF!,IF($AK$5=$C$10,Z$10-DPR!#REF!,IF($AK$5=$C$11,Z$11-DPR!#REF!))))</f>
        <v>#REF!</v>
      </c>
      <c r="AA65" s="878" t="e">
        <f>MAX(0,IF($AK$5=$C$9,AA$9-DPR!#REF!,IF($AK$5=$C$10,AA$10-DPR!#REF!,IF($AK$5=$C$11,AA$11-DPR!#REF!))))</f>
        <v>#REF!</v>
      </c>
      <c r="AB65" s="878" t="e">
        <f>MAX(0,IF($AK$5=$C$9,AB$9-DPR!#REF!,IF($AK$5=$C$10,AB$10-DPR!#REF!,IF($AK$5=$C$11,AB$11-DPR!#REF!))))</f>
        <v>#REF!</v>
      </c>
      <c r="AC65" s="878" t="e">
        <f>MAX(0,IF($AK$5=$C$9,AC$9-DPR!#REF!,IF($AK$5=$C$10,AC$10-DPR!#REF!,IF($AK$5=$C$11,AC$11-DPR!#REF!))))</f>
        <v>#REF!</v>
      </c>
      <c r="AD65" s="878" t="e">
        <f>MAX(0,IF($AK$5=$C$9,AD$9-DPR!#REF!,IF($AK$5=$C$10,AD$10-DPR!#REF!,IF($AK$5=$C$11,AD$11-DPR!#REF!))))</f>
        <v>#REF!</v>
      </c>
      <c r="AE65" s="878" t="e">
        <f>MAX(0,IF($AK$5=$C$9,AE$9-DPR!#REF!,IF($AK$5=$C$10,AE$10-DPR!#REF!,IF($AK$5=$C$11,AE$11-DPR!#REF!))))</f>
        <v>#REF!</v>
      </c>
      <c r="AF65" s="878" t="e">
        <f>MAX(0,IF($AK$5=$C$9,AF$9-DPR!#REF!,IF($AK$5=$C$10,AF$10-DPR!#REF!,IF($AK$5=$C$11,AF$11-DPR!#REF!))))</f>
        <v>#REF!</v>
      </c>
      <c r="AG65" s="920" t="e">
        <f t="shared" si="5"/>
        <v>#REF!</v>
      </c>
      <c r="AH65" s="888">
        <f t="shared" si="6"/>
        <v>202505</v>
      </c>
      <c r="AI65" t="e">
        <f>DPR!#REF!</f>
        <v>#REF!</v>
      </c>
      <c r="AJ65" t="e">
        <f>DPR!#REF!</f>
        <v>#REF!</v>
      </c>
    </row>
    <row r="66" spans="3:36" ht="15.75">
      <c r="C66" s="918">
        <v>45802</v>
      </c>
      <c r="D66" s="870" t="e">
        <f>MAX(0,IF($AK$5=$C$9,D$9-DPR!#REF!,IF($AK$5=$C$10,D$10-DPR!#REF!,IF($AK$5=$C$11,D$11-DPR!#REF!))))</f>
        <v>#REF!</v>
      </c>
      <c r="E66" s="870" t="e">
        <f>MAX(0,IF($AK$5=$C$9,E$9-DPR!#REF!,IF($AK$5=$C$10,E$10-DPR!#REF!,IF($AK$5=$C$11,E$11-DPR!#REF!))))</f>
        <v>#REF!</v>
      </c>
      <c r="F66" s="870" t="e">
        <f>MAX(0,IF($AK$5=$C$9,F$9-DPR!#REF!,IF($AK$5=$C$10,F$10-DPR!#REF!,IF($AK$5=$C$11,F$11-DPR!#REF!))))</f>
        <v>#REF!</v>
      </c>
      <c r="G66" s="870" t="e">
        <f>MAX(0,IF($AK$5=$C$9,G$9-DPR!#REF!,IF($AK$5=$C$10,G$10-DPR!#REF!,IF($AK$5=$C$11,G$11-DPR!#REF!))))</f>
        <v>#REF!</v>
      </c>
      <c r="H66" s="870" t="e">
        <f>MAX(0,IF($AK$5=$C$9,H$9-DPR!#REF!,IF($AK$5=$C$10,H$10-DPR!#REF!,IF($AK$5=$C$11,H$11-DPR!#REF!))))</f>
        <v>#REF!</v>
      </c>
      <c r="I66" s="870" t="e">
        <f>MAX(0,IF($AK$5=$C$9,I$9-DPR!#REF!,IF($AK$5=$C$10,I$10-DPR!#REF!,IF($AK$5=$C$11,I$11-DPR!#REF!))))</f>
        <v>#REF!</v>
      </c>
      <c r="J66" s="870" t="e">
        <f>MAX(0,IF($AK$5=$C$9,J$9-DPR!#REF!,IF($AK$5=$C$10,J$10-DPR!#REF!,IF($AK$5=$C$11,J$11-DPR!#REF!))))</f>
        <v>#REF!</v>
      </c>
      <c r="K66" s="870" t="e">
        <f>MAX(0,IF($AK$5=$C$9,K$9-DPR!#REF!,IF($AK$5=$C$10,K$10-DPR!#REF!,IF($AK$5=$C$11,K$11-DPR!#REF!))))</f>
        <v>#REF!</v>
      </c>
      <c r="L66" s="870" t="e">
        <f>MAX(0,IF($AK$5=$C$9,L$9-DPR!#REF!,IF($AK$5=$C$10,L$10-DPR!#REF!,IF($AK$5=$C$11,L$11-DPR!#REF!))))</f>
        <v>#REF!</v>
      </c>
      <c r="M66" s="870" t="e">
        <f>MAX(0,IF($AK$5=$C$9,M$9-DPR!#REF!,IF($AK$5=$C$10,M$10-DPR!#REF!,IF($AK$5=$C$11,M$11-DPR!#REF!))))</f>
        <v>#REF!</v>
      </c>
      <c r="N66" s="870" t="e">
        <f>MAX(0,IF($AK$5=$C$9,N$9-DPR!#REF!,IF($AK$5=$C$10,N$10-DPR!#REF!,IF($AK$5=$C$11,N$11-DPR!#REF!))))</f>
        <v>#REF!</v>
      </c>
      <c r="O66" s="870" t="e">
        <f>MAX(0,IF($AK$5=$C$9,O$9-DPR!#REF!,IF($AK$5=$C$10,O$10-DPR!#REF!,IF($AK$5=$C$11,O$11-DPR!#REF!))))</f>
        <v>#REF!</v>
      </c>
      <c r="P66" s="870" t="e">
        <f>MAX(0,IF($AK$5=$C$9,P$9-DPR!#REF!,IF($AK$5=$C$10,P$10-DPR!#REF!,IF($AK$5=$C$11,P$11-DPR!#REF!))))</f>
        <v>#REF!</v>
      </c>
      <c r="Q66" s="874">
        <v>0</v>
      </c>
      <c r="R66" s="919" t="e">
        <f t="shared" si="4"/>
        <v>#REF!</v>
      </c>
      <c r="S66" s="878" t="e">
        <f>MAX(0,IF($AK$5=$C$9,S$9-DPR!#REF!,IF($AK$5=$C$10,S$10-DPR!#REF!,IF($AK$5=$C$11,S$11-DPR!#REF!))))</f>
        <v>#REF!</v>
      </c>
      <c r="T66" s="878" t="e">
        <f>MAX(0,IF($AK$5=$C$9,T$9-DPR!#REF!,IF($AK$5=$C$10,T$10-DPR!#REF!,IF($AK$5=$C$11,T$11-DPR!#REF!))))</f>
        <v>#REF!</v>
      </c>
      <c r="U66" s="878" t="e">
        <f>MAX(0,IF($AK$5=$C$9,U$9-DPR!#REF!,IF($AK$5=$C$10,U$10-DPR!#REF!,IF($AK$5=$C$11,U$11-DPR!#REF!))))</f>
        <v>#REF!</v>
      </c>
      <c r="V66" s="878" t="e">
        <f>MAX(0,IF($AK$5=$C$9,V$9-DPR!#REF!,IF($AK$5=$C$10,V$10-DPR!#REF!,IF($AK$5=$C$11,V$11-DPR!#REF!))))</f>
        <v>#REF!</v>
      </c>
      <c r="W66" s="878" t="e">
        <f>MAX(0,IF($AK$5=$C$9,W$9-DPR!#REF!,IF($AK$5=$C$10,W$10-DPR!#REF!,IF($AK$5=$C$11,W$11-DPR!#REF!))))</f>
        <v>#REF!</v>
      </c>
      <c r="X66" s="878" t="e">
        <f>MAX(0,IF($AK$5=$C$9,X$9-DPR!#REF!,IF($AK$5=$C$10,X$10-DPR!#REF!,IF($AK$5=$C$11,X$11-DPR!#REF!))))</f>
        <v>#REF!</v>
      </c>
      <c r="Y66" s="878" t="e">
        <f>MAX(0,IF($AK$5=$C$9,Y$9-DPR!#REF!,IF($AK$5=$C$10,Y$10-DPR!#REF!,IF($AK$5=$C$11,Y$11-DPR!#REF!))))</f>
        <v>#REF!</v>
      </c>
      <c r="Z66" s="878" t="e">
        <f>MAX(0,IF($AK$5=$C$9,Z$9-DPR!#REF!,IF($AK$5=$C$10,Z$10-DPR!#REF!,IF($AK$5=$C$11,Z$11-DPR!#REF!))))</f>
        <v>#REF!</v>
      </c>
      <c r="AA66" s="878" t="e">
        <f>MAX(0,IF($AK$5=$C$9,AA$9-DPR!#REF!,IF($AK$5=$C$10,AA$10-DPR!#REF!,IF($AK$5=$C$11,AA$11-DPR!#REF!))))</f>
        <v>#REF!</v>
      </c>
      <c r="AB66" s="878" t="e">
        <f>MAX(0,IF($AK$5=$C$9,AB$9-DPR!#REF!,IF($AK$5=$C$10,AB$10-DPR!#REF!,IF($AK$5=$C$11,AB$11-DPR!#REF!))))</f>
        <v>#REF!</v>
      </c>
      <c r="AC66" s="878" t="e">
        <f>MAX(0,IF($AK$5=$C$9,AC$9-DPR!#REF!,IF($AK$5=$C$10,AC$10-DPR!#REF!,IF($AK$5=$C$11,AC$11-DPR!#REF!))))</f>
        <v>#REF!</v>
      </c>
      <c r="AD66" s="878" t="e">
        <f>MAX(0,IF($AK$5=$C$9,AD$9-DPR!#REF!,IF($AK$5=$C$10,AD$10-DPR!#REF!,IF($AK$5=$C$11,AD$11-DPR!#REF!))))</f>
        <v>#REF!</v>
      </c>
      <c r="AE66" s="878" t="e">
        <f>MAX(0,IF($AK$5=$C$9,AE$9-DPR!#REF!,IF($AK$5=$C$10,AE$10-DPR!#REF!,IF($AK$5=$C$11,AE$11-DPR!#REF!))))</f>
        <v>#REF!</v>
      </c>
      <c r="AF66" s="878" t="e">
        <f>MAX(0,IF($AK$5=$C$9,AF$9-DPR!#REF!,IF($AK$5=$C$10,AF$10-DPR!#REF!,IF($AK$5=$C$11,AF$11-DPR!#REF!))))</f>
        <v>#REF!</v>
      </c>
      <c r="AG66" s="920" t="e">
        <f t="shared" si="5"/>
        <v>#REF!</v>
      </c>
      <c r="AH66" s="888">
        <f t="shared" si="6"/>
        <v>202505</v>
      </c>
      <c r="AI66" t="e">
        <f>DPR!#REF!</f>
        <v>#REF!</v>
      </c>
      <c r="AJ66" t="e">
        <f>DPR!#REF!</f>
        <v>#REF!</v>
      </c>
    </row>
    <row r="67" spans="3:36" ht="15.75">
      <c r="C67" s="918">
        <v>45803</v>
      </c>
      <c r="D67" s="870" t="e">
        <f>MAX(0,IF($AK$5=$C$9,D$9-DPR!#REF!,IF($AK$5=$C$10,D$10-DPR!#REF!,IF($AK$5=$C$11,D$11-DPR!#REF!))))</f>
        <v>#REF!</v>
      </c>
      <c r="E67" s="870" t="e">
        <f>MAX(0,IF($AK$5=$C$9,E$9-DPR!#REF!,IF($AK$5=$C$10,E$10-DPR!#REF!,IF($AK$5=$C$11,E$11-DPR!#REF!))))</f>
        <v>#REF!</v>
      </c>
      <c r="F67" s="870" t="e">
        <f>MAX(0,IF($AK$5=$C$9,F$9-DPR!#REF!,IF($AK$5=$C$10,F$10-DPR!#REF!,IF($AK$5=$C$11,F$11-DPR!#REF!))))</f>
        <v>#REF!</v>
      </c>
      <c r="G67" s="870" t="e">
        <f>MAX(0,IF($AK$5=$C$9,G$9-DPR!#REF!,IF($AK$5=$C$10,G$10-DPR!#REF!,IF($AK$5=$C$11,G$11-DPR!#REF!))))</f>
        <v>#REF!</v>
      </c>
      <c r="H67" s="870" t="e">
        <f>MAX(0,IF($AK$5=$C$9,H$9-DPR!#REF!,IF($AK$5=$C$10,H$10-DPR!#REF!,IF($AK$5=$C$11,H$11-DPR!#REF!))))</f>
        <v>#REF!</v>
      </c>
      <c r="I67" s="870" t="e">
        <f>MAX(0,IF($AK$5=$C$9,I$9-DPR!#REF!,IF($AK$5=$C$10,I$10-DPR!#REF!,IF($AK$5=$C$11,I$11-DPR!#REF!))))</f>
        <v>#REF!</v>
      </c>
      <c r="J67" s="870" t="e">
        <f>MAX(0,IF($AK$5=$C$9,J$9-DPR!#REF!,IF($AK$5=$C$10,J$10-DPR!#REF!,IF($AK$5=$C$11,J$11-DPR!#REF!))))</f>
        <v>#REF!</v>
      </c>
      <c r="K67" s="870" t="e">
        <f>MAX(0,IF($AK$5=$C$9,K$9-DPR!#REF!,IF($AK$5=$C$10,K$10-DPR!#REF!,IF($AK$5=$C$11,K$11-DPR!#REF!))))</f>
        <v>#REF!</v>
      </c>
      <c r="L67" s="870" t="e">
        <f>MAX(0,IF($AK$5=$C$9,L$9-DPR!#REF!,IF($AK$5=$C$10,L$10-DPR!#REF!,IF($AK$5=$C$11,L$11-DPR!#REF!))))</f>
        <v>#REF!</v>
      </c>
      <c r="M67" s="870" t="e">
        <f>MAX(0,IF($AK$5=$C$9,M$9-DPR!#REF!,IF($AK$5=$C$10,M$10-DPR!#REF!,IF($AK$5=$C$11,M$11-DPR!#REF!))))</f>
        <v>#REF!</v>
      </c>
      <c r="N67" s="870" t="e">
        <f>MAX(0,IF($AK$5=$C$9,N$9-DPR!#REF!,IF($AK$5=$C$10,N$10-DPR!#REF!,IF($AK$5=$C$11,N$11-DPR!#REF!))))</f>
        <v>#REF!</v>
      </c>
      <c r="O67" s="870" t="e">
        <f>MAX(0,IF($AK$5=$C$9,O$9-DPR!#REF!,IF($AK$5=$C$10,O$10-DPR!#REF!,IF($AK$5=$C$11,O$11-DPR!#REF!))))</f>
        <v>#REF!</v>
      </c>
      <c r="P67" s="870" t="e">
        <f>MAX(0,IF($AK$5=$C$9,P$9-DPR!#REF!,IF($AK$5=$C$10,P$10-DPR!#REF!,IF($AK$5=$C$11,P$11-DPR!#REF!))))</f>
        <v>#REF!</v>
      </c>
      <c r="Q67" s="870">
        <v>0</v>
      </c>
      <c r="R67" s="919" t="e">
        <f t="shared" si="4"/>
        <v>#REF!</v>
      </c>
      <c r="S67" s="878" t="e">
        <f>MAX(0,IF($AK$5=$C$9,S$9-DPR!#REF!,IF($AK$5=$C$10,S$10-DPR!#REF!,IF($AK$5=$C$11,S$11-DPR!#REF!))))</f>
        <v>#REF!</v>
      </c>
      <c r="T67" s="878" t="e">
        <f>MAX(0,IF($AK$5=$C$9,T$9-DPR!#REF!,IF($AK$5=$C$10,T$10-DPR!#REF!,IF($AK$5=$C$11,T$11-DPR!#REF!))))</f>
        <v>#REF!</v>
      </c>
      <c r="U67" s="878" t="e">
        <f>MAX(0,IF($AK$5=$C$9,U$9-DPR!#REF!,IF($AK$5=$C$10,U$10-DPR!#REF!,IF($AK$5=$C$11,U$11-DPR!#REF!))))</f>
        <v>#REF!</v>
      </c>
      <c r="V67" s="878" t="e">
        <f>MAX(0,IF($AK$5=$C$9,V$9-DPR!#REF!,IF($AK$5=$C$10,V$10-DPR!#REF!,IF($AK$5=$C$11,V$11-DPR!#REF!))))</f>
        <v>#REF!</v>
      </c>
      <c r="W67" s="878" t="e">
        <f>MAX(0,IF($AK$5=$C$9,W$9-DPR!#REF!,IF($AK$5=$C$10,W$10-DPR!#REF!,IF($AK$5=$C$11,W$11-DPR!#REF!))))</f>
        <v>#REF!</v>
      </c>
      <c r="X67" s="878" t="e">
        <f>MAX(0,IF($AK$5=$C$9,X$9-DPR!#REF!,IF($AK$5=$C$10,X$10-DPR!#REF!,IF($AK$5=$C$11,X$11-DPR!#REF!))))</f>
        <v>#REF!</v>
      </c>
      <c r="Y67" s="878" t="e">
        <f>MAX(0,IF($AK$5=$C$9,Y$9-DPR!#REF!,IF($AK$5=$C$10,Y$10-DPR!#REF!,IF($AK$5=$C$11,Y$11-DPR!#REF!))))</f>
        <v>#REF!</v>
      </c>
      <c r="Z67" s="878" t="e">
        <f>MAX(0,IF($AK$5=$C$9,Z$9-DPR!#REF!,IF($AK$5=$C$10,Z$10-DPR!#REF!,IF($AK$5=$C$11,Z$11-DPR!#REF!))))</f>
        <v>#REF!</v>
      </c>
      <c r="AA67" s="878" t="e">
        <f>MAX(0,IF($AK$5=$C$9,AA$9-DPR!#REF!,IF($AK$5=$C$10,AA$10-DPR!#REF!,IF($AK$5=$C$11,AA$11-DPR!#REF!))))</f>
        <v>#REF!</v>
      </c>
      <c r="AB67" s="878" t="e">
        <f>MAX(0,IF($AK$5=$C$9,AB$9-DPR!#REF!,IF($AK$5=$C$10,AB$10-DPR!#REF!,IF($AK$5=$C$11,AB$11-DPR!#REF!))))</f>
        <v>#REF!</v>
      </c>
      <c r="AC67" s="878" t="e">
        <f>MAX(0,IF($AK$5=$C$9,AC$9-DPR!#REF!,IF($AK$5=$C$10,AC$10-DPR!#REF!,IF($AK$5=$C$11,AC$11-DPR!#REF!))))</f>
        <v>#REF!</v>
      </c>
      <c r="AD67" s="878" t="e">
        <f>MAX(0,IF($AK$5=$C$9,AD$9-DPR!#REF!,IF($AK$5=$C$10,AD$10-DPR!#REF!,IF($AK$5=$C$11,AD$11-DPR!#REF!))))</f>
        <v>#REF!</v>
      </c>
      <c r="AE67" s="878" t="e">
        <f>MAX(0,IF($AK$5=$C$9,AE$9-DPR!#REF!,IF($AK$5=$C$10,AE$10-DPR!#REF!,IF($AK$5=$C$11,AE$11-DPR!#REF!))))</f>
        <v>#REF!</v>
      </c>
      <c r="AF67" s="878" t="e">
        <f>MAX(0,IF($AK$5=$C$9,AF$9-DPR!#REF!,IF($AK$5=$C$10,AF$10-DPR!#REF!,IF($AK$5=$C$11,AF$11-DPR!#REF!))))</f>
        <v>#REF!</v>
      </c>
      <c r="AG67" s="920" t="e">
        <f t="shared" si="5"/>
        <v>#REF!</v>
      </c>
      <c r="AH67" s="888">
        <f t="shared" si="6"/>
        <v>202505</v>
      </c>
      <c r="AI67" t="e">
        <f>DPR!#REF!</f>
        <v>#REF!</v>
      </c>
      <c r="AJ67" t="e">
        <f>DPR!#REF!</f>
        <v>#REF!</v>
      </c>
    </row>
    <row r="68" spans="3:36" ht="15.75">
      <c r="C68" s="918">
        <v>45804</v>
      </c>
      <c r="D68" s="870" t="e">
        <f>MAX(0,IF($AK$5=$C$9,D$9-DPR!#REF!,IF($AK$5=$C$10,D$10-DPR!#REF!,IF($AK$5=$C$11,D$11-DPR!#REF!))))</f>
        <v>#REF!</v>
      </c>
      <c r="E68" s="870" t="e">
        <f>MAX(0,IF($AK$5=$C$9,E$9-DPR!#REF!,IF($AK$5=$C$10,E$10-DPR!#REF!,IF($AK$5=$C$11,E$11-DPR!#REF!))))</f>
        <v>#REF!</v>
      </c>
      <c r="F68" s="870" t="e">
        <f>MAX(0,IF($AK$5=$C$9,F$9-DPR!#REF!,IF($AK$5=$C$10,F$10-DPR!#REF!,IF($AK$5=$C$11,F$11-DPR!#REF!))))</f>
        <v>#REF!</v>
      </c>
      <c r="G68" s="870" t="e">
        <f>MAX(0,IF($AK$5=$C$9,G$9-DPR!#REF!,IF($AK$5=$C$10,G$10-DPR!#REF!,IF($AK$5=$C$11,G$11-DPR!#REF!))))</f>
        <v>#REF!</v>
      </c>
      <c r="H68" s="870" t="e">
        <f>MAX(0,IF($AK$5=$C$9,H$9-DPR!#REF!,IF($AK$5=$C$10,H$10-DPR!#REF!,IF($AK$5=$C$11,H$11-DPR!#REF!))))</f>
        <v>#REF!</v>
      </c>
      <c r="I68" s="870" t="e">
        <f>MAX(0,IF($AK$5=$C$9,I$9-DPR!#REF!,IF($AK$5=$C$10,I$10-DPR!#REF!,IF($AK$5=$C$11,I$11-DPR!#REF!))))</f>
        <v>#REF!</v>
      </c>
      <c r="J68" s="870" t="e">
        <f>MAX(0,IF($AK$5=$C$9,J$9-DPR!#REF!,IF($AK$5=$C$10,J$10-DPR!#REF!,IF($AK$5=$C$11,J$11-DPR!#REF!))))</f>
        <v>#REF!</v>
      </c>
      <c r="K68" s="870" t="e">
        <f>MAX(0,IF($AK$5=$C$9,K$9-DPR!#REF!,IF($AK$5=$C$10,K$10-DPR!#REF!,IF($AK$5=$C$11,K$11-DPR!#REF!))))</f>
        <v>#REF!</v>
      </c>
      <c r="L68" s="870" t="e">
        <f>MAX(0,IF($AK$5=$C$9,L$9-DPR!#REF!,IF($AK$5=$C$10,L$10-DPR!#REF!,IF($AK$5=$C$11,L$11-DPR!#REF!))))</f>
        <v>#REF!</v>
      </c>
      <c r="M68" s="870" t="e">
        <f>MAX(0,IF($AK$5=$C$9,M$9-DPR!#REF!,IF($AK$5=$C$10,M$10-DPR!#REF!,IF($AK$5=$C$11,M$11-DPR!#REF!))))</f>
        <v>#REF!</v>
      </c>
      <c r="N68" s="870" t="e">
        <f>MAX(0,IF($AK$5=$C$9,N$9-DPR!#REF!,IF($AK$5=$C$10,N$10-DPR!#REF!,IF($AK$5=$C$11,N$11-DPR!#REF!))))</f>
        <v>#REF!</v>
      </c>
      <c r="O68" s="870" t="e">
        <f>MAX(0,IF($AK$5=$C$9,O$9-DPR!#REF!,IF($AK$5=$C$10,O$10-DPR!#REF!,IF($AK$5=$C$11,O$11-DPR!#REF!))))</f>
        <v>#REF!</v>
      </c>
      <c r="P68" s="870" t="e">
        <f>MAX(0,IF($AK$5=$C$9,P$9-DPR!#REF!,IF($AK$5=$C$10,P$10-DPR!#REF!,IF($AK$5=$C$11,P$11-DPR!#REF!))))</f>
        <v>#REF!</v>
      </c>
      <c r="Q68" s="874">
        <v>0</v>
      </c>
      <c r="R68" s="919" t="e">
        <f t="shared" si="4"/>
        <v>#REF!</v>
      </c>
      <c r="S68" s="878" t="e">
        <f>MAX(0,IF($AK$5=$C$9,S$9-DPR!#REF!,IF($AK$5=$C$10,S$10-DPR!#REF!,IF($AK$5=$C$11,S$11-DPR!#REF!))))</f>
        <v>#REF!</v>
      </c>
      <c r="T68" s="878" t="e">
        <f>MAX(0,IF($AK$5=$C$9,T$9-DPR!#REF!,IF($AK$5=$C$10,T$10-DPR!#REF!,IF($AK$5=$C$11,T$11-DPR!#REF!))))</f>
        <v>#REF!</v>
      </c>
      <c r="U68" s="878" t="e">
        <f>MAX(0,IF($AK$5=$C$9,U$9-DPR!#REF!,IF($AK$5=$C$10,U$10-DPR!#REF!,IF($AK$5=$C$11,U$11-DPR!#REF!))))</f>
        <v>#REF!</v>
      </c>
      <c r="V68" s="878" t="e">
        <f>MAX(0,IF($AK$5=$C$9,V$9-DPR!#REF!,IF($AK$5=$C$10,V$10-DPR!#REF!,IF($AK$5=$C$11,V$11-DPR!#REF!))))</f>
        <v>#REF!</v>
      </c>
      <c r="W68" s="878" t="e">
        <f>MAX(0,IF($AK$5=$C$9,W$9-DPR!#REF!,IF($AK$5=$C$10,W$10-DPR!#REF!,IF($AK$5=$C$11,W$11-DPR!#REF!))))</f>
        <v>#REF!</v>
      </c>
      <c r="X68" s="878" t="e">
        <f>MAX(0,IF($AK$5=$C$9,X$9-DPR!#REF!,IF($AK$5=$C$10,X$10-DPR!#REF!,IF($AK$5=$C$11,X$11-DPR!#REF!))))</f>
        <v>#REF!</v>
      </c>
      <c r="Y68" s="878" t="e">
        <f>MAX(0,IF($AK$5=$C$9,Y$9-DPR!#REF!,IF($AK$5=$C$10,Y$10-DPR!#REF!,IF($AK$5=$C$11,Y$11-DPR!#REF!))))</f>
        <v>#REF!</v>
      </c>
      <c r="Z68" s="878" t="e">
        <f>MAX(0,IF($AK$5=$C$9,Z$9-DPR!#REF!,IF($AK$5=$C$10,Z$10-DPR!#REF!,IF($AK$5=$C$11,Z$11-DPR!#REF!))))</f>
        <v>#REF!</v>
      </c>
      <c r="AA68" s="878" t="e">
        <f>MAX(0,IF($AK$5=$C$9,AA$9-DPR!#REF!,IF($AK$5=$C$10,AA$10-DPR!#REF!,IF($AK$5=$C$11,AA$11-DPR!#REF!))))</f>
        <v>#REF!</v>
      </c>
      <c r="AB68" s="878" t="e">
        <f>MAX(0,IF($AK$5=$C$9,AB$9-DPR!#REF!,IF($AK$5=$C$10,AB$10-DPR!#REF!,IF($AK$5=$C$11,AB$11-DPR!#REF!))))</f>
        <v>#REF!</v>
      </c>
      <c r="AC68" s="878" t="e">
        <f>MAX(0,IF($AK$5=$C$9,AC$9-DPR!#REF!,IF($AK$5=$C$10,AC$10-DPR!#REF!,IF($AK$5=$C$11,AC$11-DPR!#REF!))))</f>
        <v>#REF!</v>
      </c>
      <c r="AD68" s="878" t="e">
        <f>MAX(0,IF($AK$5=$C$9,AD$9-DPR!#REF!,IF($AK$5=$C$10,AD$10-DPR!#REF!,IF($AK$5=$C$11,AD$11-DPR!#REF!))))</f>
        <v>#REF!</v>
      </c>
      <c r="AE68" s="878" t="e">
        <f>MAX(0,IF($AK$5=$C$9,AE$9-DPR!#REF!,IF($AK$5=$C$10,AE$10-DPR!#REF!,IF($AK$5=$C$11,AE$11-DPR!#REF!))))</f>
        <v>#REF!</v>
      </c>
      <c r="AF68" s="878" t="e">
        <f>MAX(0,IF($AK$5=$C$9,AF$9-DPR!#REF!,IF($AK$5=$C$10,AF$10-DPR!#REF!,IF($AK$5=$C$11,AF$11-DPR!#REF!))))</f>
        <v>#REF!</v>
      </c>
      <c r="AG68" s="920" t="e">
        <f t="shared" si="5"/>
        <v>#REF!</v>
      </c>
      <c r="AH68" s="888">
        <f t="shared" si="6"/>
        <v>202505</v>
      </c>
      <c r="AI68" t="e">
        <f>DPR!#REF!</f>
        <v>#REF!</v>
      </c>
      <c r="AJ68" t="e">
        <f>DPR!#REF!</f>
        <v>#REF!</v>
      </c>
    </row>
    <row r="69" spans="3:36" ht="15.75">
      <c r="C69" s="918">
        <v>45805</v>
      </c>
      <c r="D69" s="870" t="e">
        <f>MAX(0,IF($AK$5=$C$9,D$9-DPR!#REF!,IF($AK$5=$C$10,D$10-DPR!#REF!,IF($AK$5=$C$11,D$11-DPR!#REF!))))</f>
        <v>#REF!</v>
      </c>
      <c r="E69" s="870" t="e">
        <f>MAX(0,IF($AK$5=$C$9,E$9-DPR!#REF!,IF($AK$5=$C$10,E$10-DPR!#REF!,IF($AK$5=$C$11,E$11-DPR!#REF!))))</f>
        <v>#REF!</v>
      </c>
      <c r="F69" s="870" t="e">
        <f>MAX(0,IF($AK$5=$C$9,F$9-DPR!#REF!,IF($AK$5=$C$10,F$10-DPR!#REF!,IF($AK$5=$C$11,F$11-DPR!#REF!))))</f>
        <v>#REF!</v>
      </c>
      <c r="G69" s="870" t="e">
        <f>MAX(0,IF($AK$5=$C$9,G$9-DPR!#REF!,IF($AK$5=$C$10,G$10-DPR!#REF!,IF($AK$5=$C$11,G$11-DPR!#REF!))))</f>
        <v>#REF!</v>
      </c>
      <c r="H69" s="870" t="e">
        <f>MAX(0,IF($AK$5=$C$9,H$9-DPR!#REF!,IF($AK$5=$C$10,H$10-DPR!#REF!,IF($AK$5=$C$11,H$11-DPR!#REF!))))</f>
        <v>#REF!</v>
      </c>
      <c r="I69" s="870" t="e">
        <f>MAX(0,IF($AK$5=$C$9,I$9-DPR!#REF!,IF($AK$5=$C$10,I$10-DPR!#REF!,IF($AK$5=$C$11,I$11-DPR!#REF!))))</f>
        <v>#REF!</v>
      </c>
      <c r="J69" s="870" t="e">
        <f>MAX(0,IF($AK$5=$C$9,J$9-DPR!#REF!,IF($AK$5=$C$10,J$10-DPR!#REF!,IF($AK$5=$C$11,J$11-DPR!#REF!))))</f>
        <v>#REF!</v>
      </c>
      <c r="K69" s="870" t="e">
        <f>MAX(0,IF($AK$5=$C$9,K$9-DPR!#REF!,IF($AK$5=$C$10,K$10-DPR!#REF!,IF($AK$5=$C$11,K$11-DPR!#REF!))))</f>
        <v>#REF!</v>
      </c>
      <c r="L69" s="870" t="e">
        <f>MAX(0,IF($AK$5=$C$9,L$9-DPR!#REF!,IF($AK$5=$C$10,L$10-DPR!#REF!,IF($AK$5=$C$11,L$11-DPR!#REF!))))</f>
        <v>#REF!</v>
      </c>
      <c r="M69" s="870" t="e">
        <f>MAX(0,IF($AK$5=$C$9,M$9-DPR!#REF!,IF($AK$5=$C$10,M$10-DPR!#REF!,IF($AK$5=$C$11,M$11-DPR!#REF!))))</f>
        <v>#REF!</v>
      </c>
      <c r="N69" s="870" t="e">
        <f>MAX(0,IF($AK$5=$C$9,N$9-DPR!#REF!,IF($AK$5=$C$10,N$10-DPR!#REF!,IF($AK$5=$C$11,N$11-DPR!#REF!))))</f>
        <v>#REF!</v>
      </c>
      <c r="O69" s="870" t="e">
        <f>MAX(0,IF($AK$5=$C$9,O$9-DPR!#REF!,IF($AK$5=$C$10,O$10-DPR!#REF!,IF($AK$5=$C$11,O$11-DPR!#REF!))))</f>
        <v>#REF!</v>
      </c>
      <c r="P69" s="870" t="e">
        <f>MAX(0,IF($AK$5=$C$9,P$9-DPR!#REF!,IF($AK$5=$C$10,P$10-DPR!#REF!,IF($AK$5=$C$11,P$11-DPR!#REF!))))</f>
        <v>#REF!</v>
      </c>
      <c r="Q69" s="870">
        <v>0</v>
      </c>
      <c r="R69" s="919" t="e">
        <f t="shared" si="4"/>
        <v>#REF!</v>
      </c>
      <c r="S69" s="878" t="e">
        <f>MAX(0,IF($AK$5=$C$9,S$9-DPR!#REF!,IF($AK$5=$C$10,S$10-DPR!#REF!,IF($AK$5=$C$11,S$11-DPR!#REF!))))</f>
        <v>#REF!</v>
      </c>
      <c r="T69" s="878" t="e">
        <f>MAX(0,IF($AK$5=$C$9,T$9-DPR!#REF!,IF($AK$5=$C$10,T$10-DPR!#REF!,IF($AK$5=$C$11,T$11-DPR!#REF!))))</f>
        <v>#REF!</v>
      </c>
      <c r="U69" s="878" t="e">
        <f>MAX(0,IF($AK$5=$C$9,U$9-DPR!#REF!,IF($AK$5=$C$10,U$10-DPR!#REF!,IF($AK$5=$C$11,U$11-DPR!#REF!))))</f>
        <v>#REF!</v>
      </c>
      <c r="V69" s="878" t="e">
        <f>MAX(0,IF($AK$5=$C$9,V$9-DPR!#REF!,IF($AK$5=$C$10,V$10-DPR!#REF!,IF($AK$5=$C$11,V$11-DPR!#REF!))))</f>
        <v>#REF!</v>
      </c>
      <c r="W69" s="878" t="e">
        <f>MAX(0,IF($AK$5=$C$9,W$9-DPR!#REF!,IF($AK$5=$C$10,W$10-DPR!#REF!,IF($AK$5=$C$11,W$11-DPR!#REF!))))</f>
        <v>#REF!</v>
      </c>
      <c r="X69" s="878" t="e">
        <f>MAX(0,IF($AK$5=$C$9,X$9-DPR!#REF!,IF($AK$5=$C$10,X$10-DPR!#REF!,IF($AK$5=$C$11,X$11-DPR!#REF!))))</f>
        <v>#REF!</v>
      </c>
      <c r="Y69" s="878" t="e">
        <f>MAX(0,IF($AK$5=$C$9,Y$9-DPR!#REF!,IF($AK$5=$C$10,Y$10-DPR!#REF!,IF($AK$5=$C$11,Y$11-DPR!#REF!))))</f>
        <v>#REF!</v>
      </c>
      <c r="Z69" s="878" t="e">
        <f>MAX(0,IF($AK$5=$C$9,Z$9-DPR!#REF!,IF($AK$5=$C$10,Z$10-DPR!#REF!,IF($AK$5=$C$11,Z$11-DPR!#REF!))))</f>
        <v>#REF!</v>
      </c>
      <c r="AA69" s="878" t="e">
        <f>MAX(0,IF($AK$5=$C$9,AA$9-DPR!#REF!,IF($AK$5=$C$10,AA$10-DPR!#REF!,IF($AK$5=$C$11,AA$11-DPR!#REF!))))</f>
        <v>#REF!</v>
      </c>
      <c r="AB69" s="878" t="e">
        <f>MAX(0,IF($AK$5=$C$9,AB$9-DPR!#REF!,IF($AK$5=$C$10,AB$10-DPR!#REF!,IF($AK$5=$C$11,AB$11-DPR!#REF!))))</f>
        <v>#REF!</v>
      </c>
      <c r="AC69" s="878" t="e">
        <f>MAX(0,IF($AK$5=$C$9,AC$9-DPR!#REF!,IF($AK$5=$C$10,AC$10-DPR!#REF!,IF($AK$5=$C$11,AC$11-DPR!#REF!))))</f>
        <v>#REF!</v>
      </c>
      <c r="AD69" s="878" t="e">
        <f>MAX(0,IF($AK$5=$C$9,AD$9-DPR!#REF!,IF($AK$5=$C$10,AD$10-DPR!#REF!,IF($AK$5=$C$11,AD$11-DPR!#REF!))))</f>
        <v>#REF!</v>
      </c>
      <c r="AE69" s="878" t="e">
        <f>MAX(0,IF($AK$5=$C$9,AE$9-DPR!#REF!,IF($AK$5=$C$10,AE$10-DPR!#REF!,IF($AK$5=$C$11,AE$11-DPR!#REF!))))</f>
        <v>#REF!</v>
      </c>
      <c r="AF69" s="878" t="e">
        <f>MAX(0,IF($AK$5=$C$9,AF$9-DPR!#REF!,IF($AK$5=$C$10,AF$10-DPR!#REF!,IF($AK$5=$C$11,AF$11-DPR!#REF!))))</f>
        <v>#REF!</v>
      </c>
      <c r="AG69" s="920" t="e">
        <f t="shared" si="5"/>
        <v>#REF!</v>
      </c>
      <c r="AH69" s="888">
        <f t="shared" si="6"/>
        <v>202505</v>
      </c>
      <c r="AI69" t="e">
        <f>DPR!#REF!</f>
        <v>#REF!</v>
      </c>
      <c r="AJ69" t="e">
        <f>DPR!#REF!</f>
        <v>#REF!</v>
      </c>
    </row>
    <row r="70" spans="3:36" ht="15.75">
      <c r="C70" s="918">
        <v>45806</v>
      </c>
      <c r="D70" s="870" t="e">
        <f>MAX(0,IF($AK$5=$C$9,D$9-DPR!#REF!,IF($AK$5=$C$10,D$10-DPR!#REF!,IF($AK$5=$C$11,D$11-DPR!#REF!))))</f>
        <v>#REF!</v>
      </c>
      <c r="E70" s="870" t="e">
        <f>MAX(0,IF($AK$5=$C$9,E$9-DPR!#REF!,IF($AK$5=$C$10,E$10-DPR!#REF!,IF($AK$5=$C$11,E$11-DPR!#REF!))))</f>
        <v>#REF!</v>
      </c>
      <c r="F70" s="870" t="e">
        <f>MAX(0,IF($AK$5=$C$9,F$9-DPR!#REF!,IF($AK$5=$C$10,F$10-DPR!#REF!,IF($AK$5=$C$11,F$11-DPR!#REF!))))</f>
        <v>#REF!</v>
      </c>
      <c r="G70" s="870" t="e">
        <f>MAX(0,IF($AK$5=$C$9,G$9-DPR!#REF!,IF($AK$5=$C$10,G$10-DPR!#REF!,IF($AK$5=$C$11,G$11-DPR!#REF!))))</f>
        <v>#REF!</v>
      </c>
      <c r="H70" s="870" t="e">
        <f>MAX(0,IF($AK$5=$C$9,H$9-DPR!#REF!,IF($AK$5=$C$10,H$10-DPR!#REF!,IF($AK$5=$C$11,H$11-DPR!#REF!))))</f>
        <v>#REF!</v>
      </c>
      <c r="I70" s="870" t="e">
        <f>MAX(0,IF($AK$5=$C$9,I$9-DPR!#REF!,IF($AK$5=$C$10,I$10-DPR!#REF!,IF($AK$5=$C$11,I$11-DPR!#REF!))))</f>
        <v>#REF!</v>
      </c>
      <c r="J70" s="870" t="e">
        <f>MAX(0,IF($AK$5=$C$9,J$9-DPR!#REF!,IF($AK$5=$C$10,J$10-DPR!#REF!,IF($AK$5=$C$11,J$11-DPR!#REF!))))</f>
        <v>#REF!</v>
      </c>
      <c r="K70" s="870" t="e">
        <f>MAX(0,IF($AK$5=$C$9,K$9-DPR!#REF!,IF($AK$5=$C$10,K$10-DPR!#REF!,IF($AK$5=$C$11,K$11-DPR!#REF!))))</f>
        <v>#REF!</v>
      </c>
      <c r="L70" s="870" t="e">
        <f>MAX(0,IF($AK$5=$C$9,L$9-DPR!#REF!,IF($AK$5=$C$10,L$10-DPR!#REF!,IF($AK$5=$C$11,L$11-DPR!#REF!))))</f>
        <v>#REF!</v>
      </c>
      <c r="M70" s="870" t="e">
        <f>MAX(0,IF($AK$5=$C$9,M$9-DPR!#REF!,IF($AK$5=$C$10,M$10-DPR!#REF!,IF($AK$5=$C$11,M$11-DPR!#REF!))))</f>
        <v>#REF!</v>
      </c>
      <c r="N70" s="870" t="e">
        <f>MAX(0,IF($AK$5=$C$9,N$9-DPR!#REF!,IF($AK$5=$C$10,N$10-DPR!#REF!,IF($AK$5=$C$11,N$11-DPR!#REF!))))</f>
        <v>#REF!</v>
      </c>
      <c r="O70" s="870" t="e">
        <f>MAX(0,IF($AK$5=$C$9,O$9-DPR!#REF!,IF($AK$5=$C$10,O$10-DPR!#REF!,IF($AK$5=$C$11,O$11-DPR!#REF!))))</f>
        <v>#REF!</v>
      </c>
      <c r="P70" s="870" t="e">
        <f>MAX(0,IF($AK$5=$C$9,P$9-DPR!#REF!,IF($AK$5=$C$10,P$10-DPR!#REF!,IF($AK$5=$C$11,P$11-DPR!#REF!))))</f>
        <v>#REF!</v>
      </c>
      <c r="Q70" s="874">
        <v>0</v>
      </c>
      <c r="R70" s="919" t="e">
        <f t="shared" si="4"/>
        <v>#REF!</v>
      </c>
      <c r="S70" s="878" t="e">
        <f>MAX(0,IF($AK$5=$C$9,S$9-DPR!#REF!,IF($AK$5=$C$10,S$10-DPR!#REF!,IF($AK$5=$C$11,S$11-DPR!#REF!))))</f>
        <v>#REF!</v>
      </c>
      <c r="T70" s="878" t="e">
        <f>MAX(0,IF($AK$5=$C$9,T$9-DPR!#REF!,IF($AK$5=$C$10,T$10-DPR!#REF!,IF($AK$5=$C$11,T$11-DPR!#REF!))))</f>
        <v>#REF!</v>
      </c>
      <c r="U70" s="878" t="e">
        <f>MAX(0,IF($AK$5=$C$9,U$9-DPR!#REF!,IF($AK$5=$C$10,U$10-DPR!#REF!,IF($AK$5=$C$11,U$11-DPR!#REF!))))</f>
        <v>#REF!</v>
      </c>
      <c r="V70" s="878" t="e">
        <f>MAX(0,IF($AK$5=$C$9,V$9-DPR!#REF!,IF($AK$5=$C$10,V$10-DPR!#REF!,IF($AK$5=$C$11,V$11-DPR!#REF!))))</f>
        <v>#REF!</v>
      </c>
      <c r="W70" s="878" t="e">
        <f>MAX(0,IF($AK$5=$C$9,W$9-DPR!#REF!,IF($AK$5=$C$10,W$10-DPR!#REF!,IF($AK$5=$C$11,W$11-DPR!#REF!))))</f>
        <v>#REF!</v>
      </c>
      <c r="X70" s="878" t="e">
        <f>MAX(0,IF($AK$5=$C$9,X$9-DPR!#REF!,IF($AK$5=$C$10,X$10-DPR!#REF!,IF($AK$5=$C$11,X$11-DPR!#REF!))))</f>
        <v>#REF!</v>
      </c>
      <c r="Y70" s="878" t="e">
        <f>MAX(0,IF($AK$5=$C$9,Y$9-DPR!#REF!,IF($AK$5=$C$10,Y$10-DPR!#REF!,IF($AK$5=$C$11,Y$11-DPR!#REF!))))</f>
        <v>#REF!</v>
      </c>
      <c r="Z70" s="878" t="e">
        <f>MAX(0,IF($AK$5=$C$9,Z$9-DPR!#REF!,IF($AK$5=$C$10,Z$10-DPR!#REF!,IF($AK$5=$C$11,Z$11-DPR!#REF!))))</f>
        <v>#REF!</v>
      </c>
      <c r="AA70" s="878" t="e">
        <f>MAX(0,IF($AK$5=$C$9,AA$9-DPR!#REF!,IF($AK$5=$C$10,AA$10-DPR!#REF!,IF($AK$5=$C$11,AA$11-DPR!#REF!))))</f>
        <v>#REF!</v>
      </c>
      <c r="AB70" s="878" t="e">
        <f>MAX(0,IF($AK$5=$C$9,AB$9-DPR!#REF!,IF($AK$5=$C$10,AB$10-DPR!#REF!,IF($AK$5=$C$11,AB$11-DPR!#REF!))))</f>
        <v>#REF!</v>
      </c>
      <c r="AC70" s="878" t="e">
        <f>MAX(0,IF($AK$5=$C$9,AC$9-DPR!#REF!,IF($AK$5=$C$10,AC$10-DPR!#REF!,IF($AK$5=$C$11,AC$11-DPR!#REF!))))</f>
        <v>#REF!</v>
      </c>
      <c r="AD70" s="878" t="e">
        <f>MAX(0,IF($AK$5=$C$9,AD$9-DPR!#REF!,IF($AK$5=$C$10,AD$10-DPR!#REF!,IF($AK$5=$C$11,AD$11-DPR!#REF!))))</f>
        <v>#REF!</v>
      </c>
      <c r="AE70" s="878" t="e">
        <f>MAX(0,IF($AK$5=$C$9,AE$9-DPR!#REF!,IF($AK$5=$C$10,AE$10-DPR!#REF!,IF($AK$5=$C$11,AE$11-DPR!#REF!))))</f>
        <v>#REF!</v>
      </c>
      <c r="AF70" s="878" t="e">
        <f>MAX(0,IF($AK$5=$C$9,AF$9-DPR!#REF!,IF($AK$5=$C$10,AF$10-DPR!#REF!,IF($AK$5=$C$11,AF$11-DPR!#REF!))))</f>
        <v>#REF!</v>
      </c>
      <c r="AG70" s="920" t="e">
        <f t="shared" si="5"/>
        <v>#REF!</v>
      </c>
      <c r="AH70" s="888">
        <f t="shared" si="6"/>
        <v>202505</v>
      </c>
      <c r="AI70" t="e">
        <f>DPR!#REF!</f>
        <v>#REF!</v>
      </c>
      <c r="AJ70" t="e">
        <f>DPR!#REF!</f>
        <v>#REF!</v>
      </c>
    </row>
    <row r="71" spans="3:36" ht="15.75">
      <c r="C71" s="918">
        <v>45807</v>
      </c>
      <c r="D71" s="870" t="e">
        <f>MAX(0,IF($AK$5=$C$9,D$9-DPR!#REF!,IF($AK$5=$C$10,D$10-DPR!#REF!,IF($AK$5=$C$11,D$11-DPR!#REF!))))</f>
        <v>#REF!</v>
      </c>
      <c r="E71" s="870" t="e">
        <f>MAX(0,IF($AK$5=$C$9,E$9-DPR!#REF!,IF($AK$5=$C$10,E$10-DPR!#REF!,IF($AK$5=$C$11,E$11-DPR!#REF!))))</f>
        <v>#REF!</v>
      </c>
      <c r="F71" s="870" t="e">
        <f>MAX(0,IF($AK$5=$C$9,F$9-DPR!#REF!,IF($AK$5=$C$10,F$10-DPR!#REF!,IF($AK$5=$C$11,F$11-DPR!#REF!))))</f>
        <v>#REF!</v>
      </c>
      <c r="G71" s="870" t="e">
        <f>MAX(0,IF($AK$5=$C$9,G$9-DPR!#REF!,IF($AK$5=$C$10,G$10-DPR!#REF!,IF($AK$5=$C$11,G$11-DPR!#REF!))))</f>
        <v>#REF!</v>
      </c>
      <c r="H71" s="870" t="e">
        <f>MAX(0,IF($AK$5=$C$9,H$9-DPR!#REF!,IF($AK$5=$C$10,H$10-DPR!#REF!,IF($AK$5=$C$11,H$11-DPR!#REF!))))</f>
        <v>#REF!</v>
      </c>
      <c r="I71" s="870" t="e">
        <f>MAX(0,IF($AK$5=$C$9,I$9-DPR!#REF!,IF($AK$5=$C$10,I$10-DPR!#REF!,IF($AK$5=$C$11,I$11-DPR!#REF!))))</f>
        <v>#REF!</v>
      </c>
      <c r="J71" s="870" t="e">
        <f>MAX(0,IF($AK$5=$C$9,J$9-DPR!#REF!,IF($AK$5=$C$10,J$10-DPR!#REF!,IF($AK$5=$C$11,J$11-DPR!#REF!))))</f>
        <v>#REF!</v>
      </c>
      <c r="K71" s="870" t="e">
        <f>MAX(0,IF($AK$5=$C$9,K$9-DPR!#REF!,IF($AK$5=$C$10,K$10-DPR!#REF!,IF($AK$5=$C$11,K$11-DPR!#REF!))))</f>
        <v>#REF!</v>
      </c>
      <c r="L71" s="870" t="e">
        <f>MAX(0,IF($AK$5=$C$9,L$9-DPR!#REF!,IF($AK$5=$C$10,L$10-DPR!#REF!,IF($AK$5=$C$11,L$11-DPR!#REF!))))</f>
        <v>#REF!</v>
      </c>
      <c r="M71" s="870" t="e">
        <f>MAX(0,IF($AK$5=$C$9,M$9-DPR!#REF!,IF($AK$5=$C$10,M$10-DPR!#REF!,IF($AK$5=$C$11,M$11-DPR!#REF!))))</f>
        <v>#REF!</v>
      </c>
      <c r="N71" s="870" t="e">
        <f>MAX(0,IF($AK$5=$C$9,N$9-DPR!#REF!,IF($AK$5=$C$10,N$10-DPR!#REF!,IF($AK$5=$C$11,N$11-DPR!#REF!))))</f>
        <v>#REF!</v>
      </c>
      <c r="O71" s="870" t="e">
        <f>MAX(0,IF($AK$5=$C$9,O$9-DPR!#REF!,IF($AK$5=$C$10,O$10-DPR!#REF!,IF($AK$5=$C$11,O$11-DPR!#REF!))))</f>
        <v>#REF!</v>
      </c>
      <c r="P71" s="870" t="e">
        <f>MAX(0,IF($AK$5=$C$9,P$9-DPR!#REF!,IF($AK$5=$C$10,P$10-DPR!#REF!,IF($AK$5=$C$11,P$11-DPR!#REF!))))</f>
        <v>#REF!</v>
      </c>
      <c r="Q71" s="870">
        <v>0</v>
      </c>
      <c r="R71" s="919" t="e">
        <f t="shared" si="4"/>
        <v>#REF!</v>
      </c>
      <c r="S71" s="878" t="e">
        <f>MAX(0,IF($AK$5=$C$9,S$9-DPR!#REF!,IF($AK$5=$C$10,S$10-DPR!#REF!,IF($AK$5=$C$11,S$11-DPR!#REF!))))</f>
        <v>#REF!</v>
      </c>
      <c r="T71" s="878" t="e">
        <f>MAX(0,IF($AK$5=$C$9,T$9-DPR!#REF!,IF($AK$5=$C$10,T$10-DPR!#REF!,IF($AK$5=$C$11,T$11-DPR!#REF!))))</f>
        <v>#REF!</v>
      </c>
      <c r="U71" s="878" t="e">
        <f>MAX(0,IF($AK$5=$C$9,U$9-DPR!#REF!,IF($AK$5=$C$10,U$10-DPR!#REF!,IF($AK$5=$C$11,U$11-DPR!#REF!))))</f>
        <v>#REF!</v>
      </c>
      <c r="V71" s="878" t="e">
        <f>MAX(0,IF($AK$5=$C$9,V$9-DPR!#REF!,IF($AK$5=$C$10,V$10-DPR!#REF!,IF($AK$5=$C$11,V$11-DPR!#REF!))))</f>
        <v>#REF!</v>
      </c>
      <c r="W71" s="878" t="e">
        <f>MAX(0,IF($AK$5=$C$9,W$9-DPR!#REF!,IF($AK$5=$C$10,W$10-DPR!#REF!,IF($AK$5=$C$11,W$11-DPR!#REF!))))</f>
        <v>#REF!</v>
      </c>
      <c r="X71" s="878" t="e">
        <f>MAX(0,IF($AK$5=$C$9,X$9-DPR!#REF!,IF($AK$5=$C$10,X$10-DPR!#REF!,IF($AK$5=$C$11,X$11-DPR!#REF!))))</f>
        <v>#REF!</v>
      </c>
      <c r="Y71" s="878" t="e">
        <f>MAX(0,IF($AK$5=$C$9,Y$9-DPR!#REF!,IF($AK$5=$C$10,Y$10-DPR!#REF!,IF($AK$5=$C$11,Y$11-DPR!#REF!))))</f>
        <v>#REF!</v>
      </c>
      <c r="Z71" s="878" t="e">
        <f>MAX(0,IF($AK$5=$C$9,Z$9-DPR!#REF!,IF($AK$5=$C$10,Z$10-DPR!#REF!,IF($AK$5=$C$11,Z$11-DPR!#REF!))))</f>
        <v>#REF!</v>
      </c>
      <c r="AA71" s="878" t="e">
        <f>MAX(0,IF($AK$5=$C$9,AA$9-DPR!#REF!,IF($AK$5=$C$10,AA$10-DPR!#REF!,IF($AK$5=$C$11,AA$11-DPR!#REF!))))</f>
        <v>#REF!</v>
      </c>
      <c r="AB71" s="878" t="e">
        <f>MAX(0,IF($AK$5=$C$9,AB$9-DPR!#REF!,IF($AK$5=$C$10,AB$10-DPR!#REF!,IF($AK$5=$C$11,AB$11-DPR!#REF!))))</f>
        <v>#REF!</v>
      </c>
      <c r="AC71" s="878" t="e">
        <f>MAX(0,IF($AK$5=$C$9,AC$9-DPR!#REF!,IF($AK$5=$C$10,AC$10-DPR!#REF!,IF($AK$5=$C$11,AC$11-DPR!#REF!))))</f>
        <v>#REF!</v>
      </c>
      <c r="AD71" s="878" t="e">
        <f>MAX(0,IF($AK$5=$C$9,AD$9-DPR!#REF!,IF($AK$5=$C$10,AD$10-DPR!#REF!,IF($AK$5=$C$11,AD$11-DPR!#REF!))))</f>
        <v>#REF!</v>
      </c>
      <c r="AE71" s="878" t="e">
        <f>MAX(0,IF($AK$5=$C$9,AE$9-DPR!#REF!,IF($AK$5=$C$10,AE$10-DPR!#REF!,IF($AK$5=$C$11,AE$11-DPR!#REF!))))</f>
        <v>#REF!</v>
      </c>
      <c r="AF71" s="878" t="e">
        <f>MAX(0,IF($AK$5=$C$9,AF$9-DPR!#REF!,IF($AK$5=$C$10,AF$10-DPR!#REF!,IF($AK$5=$C$11,AF$11-DPR!#REF!))))</f>
        <v>#REF!</v>
      </c>
      <c r="AG71" s="920" t="e">
        <f t="shared" si="5"/>
        <v>#REF!</v>
      </c>
      <c r="AH71" s="888">
        <f t="shared" si="6"/>
        <v>202505</v>
      </c>
      <c r="AI71" t="e">
        <f>DPR!#REF!</f>
        <v>#REF!</v>
      </c>
      <c r="AJ71" t="e">
        <f>DPR!#REF!</f>
        <v>#REF!</v>
      </c>
    </row>
    <row r="72" spans="3:36" ht="15.75">
      <c r="C72" s="918">
        <v>45808</v>
      </c>
      <c r="D72" s="870" t="e">
        <f>MAX(0,IF($AK$5=$C$9,D$9-DPR!#REF!,IF($AK$5=$C$10,D$10-DPR!#REF!,IF($AK$5=$C$11,D$11-DPR!#REF!))))</f>
        <v>#REF!</v>
      </c>
      <c r="E72" s="870" t="e">
        <f>MAX(0,IF($AK$5=$C$9,E$9-DPR!#REF!,IF($AK$5=$C$10,E$10-DPR!#REF!,IF($AK$5=$C$11,E$11-DPR!#REF!))))</f>
        <v>#REF!</v>
      </c>
      <c r="F72" s="870" t="e">
        <f>MAX(0,IF($AK$5=$C$9,F$9-DPR!#REF!,IF($AK$5=$C$10,F$10-DPR!#REF!,IF($AK$5=$C$11,F$11-DPR!#REF!))))</f>
        <v>#REF!</v>
      </c>
      <c r="G72" s="870" t="e">
        <f>MAX(0,IF($AK$5=$C$9,G$9-DPR!#REF!,IF($AK$5=$C$10,G$10-DPR!#REF!,IF($AK$5=$C$11,G$11-DPR!#REF!))))</f>
        <v>#REF!</v>
      </c>
      <c r="H72" s="870" t="e">
        <f>MAX(0,IF($AK$5=$C$9,H$9-DPR!#REF!,IF($AK$5=$C$10,H$10-DPR!#REF!,IF($AK$5=$C$11,H$11-DPR!#REF!))))</f>
        <v>#REF!</v>
      </c>
      <c r="I72" s="870" t="e">
        <f>MAX(0,IF($AK$5=$C$9,I$9-DPR!#REF!,IF($AK$5=$C$10,I$10-DPR!#REF!,IF($AK$5=$C$11,I$11-DPR!#REF!))))</f>
        <v>#REF!</v>
      </c>
      <c r="J72" s="870" t="e">
        <f>MAX(0,IF($AK$5=$C$9,J$9-DPR!#REF!,IF($AK$5=$C$10,J$10-DPR!#REF!,IF($AK$5=$C$11,J$11-DPR!#REF!))))</f>
        <v>#REF!</v>
      </c>
      <c r="K72" s="870" t="e">
        <f>MAX(0,IF($AK$5=$C$9,K$9-DPR!#REF!,IF($AK$5=$C$10,K$10-DPR!#REF!,IF($AK$5=$C$11,K$11-DPR!#REF!))))</f>
        <v>#REF!</v>
      </c>
      <c r="L72" s="870" t="e">
        <f>MAX(0,IF($AK$5=$C$9,L$9-DPR!#REF!,IF($AK$5=$C$10,L$10-DPR!#REF!,IF($AK$5=$C$11,L$11-DPR!#REF!))))</f>
        <v>#REF!</v>
      </c>
      <c r="M72" s="870" t="e">
        <f>MAX(0,IF($AK$5=$C$9,M$9-DPR!#REF!,IF($AK$5=$C$10,M$10-DPR!#REF!,IF($AK$5=$C$11,M$11-DPR!#REF!))))</f>
        <v>#REF!</v>
      </c>
      <c r="N72" s="870" t="e">
        <f>MAX(0,IF($AK$5=$C$9,N$9-DPR!#REF!,IF($AK$5=$C$10,N$10-DPR!#REF!,IF($AK$5=$C$11,N$11-DPR!#REF!))))</f>
        <v>#REF!</v>
      </c>
      <c r="O72" s="870" t="e">
        <f>MAX(0,IF($AK$5=$C$9,O$9-DPR!#REF!,IF($AK$5=$C$10,O$10-DPR!#REF!,IF($AK$5=$C$11,O$11-DPR!#REF!))))</f>
        <v>#REF!</v>
      </c>
      <c r="P72" s="870" t="e">
        <f>MAX(0,IF($AK$5=$C$9,P$9-DPR!#REF!,IF($AK$5=$C$10,P$10-DPR!#REF!,IF($AK$5=$C$11,P$11-DPR!#REF!))))</f>
        <v>#REF!</v>
      </c>
      <c r="Q72" s="874">
        <v>0</v>
      </c>
      <c r="R72" s="919" t="e">
        <f t="shared" si="4"/>
        <v>#REF!</v>
      </c>
      <c r="S72" s="878" t="e">
        <f>MAX(0,IF($AK$5=$C$9,S$9-DPR!#REF!,IF($AK$5=$C$10,S$10-DPR!#REF!,IF($AK$5=$C$11,S$11-DPR!#REF!))))</f>
        <v>#REF!</v>
      </c>
      <c r="T72" s="878" t="e">
        <f>MAX(0,IF($AK$5=$C$9,T$9-DPR!#REF!,IF($AK$5=$C$10,T$10-DPR!#REF!,IF($AK$5=$C$11,T$11-DPR!#REF!))))</f>
        <v>#REF!</v>
      </c>
      <c r="U72" s="878" t="e">
        <f>MAX(0,IF($AK$5=$C$9,U$9-DPR!#REF!,IF($AK$5=$C$10,U$10-DPR!#REF!,IF($AK$5=$C$11,U$11-DPR!#REF!))))</f>
        <v>#REF!</v>
      </c>
      <c r="V72" s="878" t="e">
        <f>MAX(0,IF($AK$5=$C$9,V$9-DPR!#REF!,IF($AK$5=$C$10,V$10-DPR!#REF!,IF($AK$5=$C$11,V$11-DPR!#REF!))))</f>
        <v>#REF!</v>
      </c>
      <c r="W72" s="878" t="e">
        <f>MAX(0,IF($AK$5=$C$9,W$9-DPR!#REF!,IF($AK$5=$C$10,W$10-DPR!#REF!,IF($AK$5=$C$11,W$11-DPR!#REF!))))</f>
        <v>#REF!</v>
      </c>
      <c r="X72" s="878" t="e">
        <f>MAX(0,IF($AK$5=$C$9,X$9-DPR!#REF!,IF($AK$5=$C$10,X$10-DPR!#REF!,IF($AK$5=$C$11,X$11-DPR!#REF!))))</f>
        <v>#REF!</v>
      </c>
      <c r="Y72" s="878" t="e">
        <f>MAX(0,IF($AK$5=$C$9,Y$9-DPR!#REF!,IF($AK$5=$C$10,Y$10-DPR!#REF!,IF($AK$5=$C$11,Y$11-DPR!#REF!))))</f>
        <v>#REF!</v>
      </c>
      <c r="Z72" s="878" t="e">
        <f>MAX(0,IF($AK$5=$C$9,Z$9-DPR!#REF!,IF($AK$5=$C$10,Z$10-DPR!#REF!,IF($AK$5=$C$11,Z$11-DPR!#REF!))))</f>
        <v>#REF!</v>
      </c>
      <c r="AA72" s="878" t="e">
        <f>MAX(0,IF($AK$5=$C$9,AA$9-DPR!#REF!,IF($AK$5=$C$10,AA$10-DPR!#REF!,IF($AK$5=$C$11,AA$11-DPR!#REF!))))</f>
        <v>#REF!</v>
      </c>
      <c r="AB72" s="878" t="e">
        <f>MAX(0,IF($AK$5=$C$9,AB$9-DPR!#REF!,IF($AK$5=$C$10,AB$10-DPR!#REF!,IF($AK$5=$C$11,AB$11-DPR!#REF!))))</f>
        <v>#REF!</v>
      </c>
      <c r="AC72" s="878" t="e">
        <f>MAX(0,IF($AK$5=$C$9,AC$9-DPR!#REF!,IF($AK$5=$C$10,AC$10-DPR!#REF!,IF($AK$5=$C$11,AC$11-DPR!#REF!))))</f>
        <v>#REF!</v>
      </c>
      <c r="AD72" s="878" t="e">
        <f>MAX(0,IF($AK$5=$C$9,AD$9-DPR!#REF!,IF($AK$5=$C$10,AD$10-DPR!#REF!,IF($AK$5=$C$11,AD$11-DPR!#REF!))))</f>
        <v>#REF!</v>
      </c>
      <c r="AE72" s="878" t="e">
        <f>MAX(0,IF($AK$5=$C$9,AE$9-DPR!#REF!,IF($AK$5=$C$10,AE$10-DPR!#REF!,IF($AK$5=$C$11,AE$11-DPR!#REF!))))</f>
        <v>#REF!</v>
      </c>
      <c r="AF72" s="878" t="e">
        <f>MAX(0,IF($AK$5=$C$9,AF$9-DPR!#REF!,IF($AK$5=$C$10,AF$10-DPR!#REF!,IF($AK$5=$C$11,AF$11-DPR!#REF!))))</f>
        <v>#REF!</v>
      </c>
      <c r="AG72" s="920" t="e">
        <f t="shared" si="5"/>
        <v>#REF!</v>
      </c>
      <c r="AH72" s="888">
        <f t="shared" si="6"/>
        <v>202505</v>
      </c>
      <c r="AI72" t="e">
        <f>DPR!#REF!</f>
        <v>#REF!</v>
      </c>
      <c r="AJ72" t="e">
        <f>DPR!#REF!</f>
        <v>#REF!</v>
      </c>
    </row>
    <row r="73" spans="3:36" ht="15.75">
      <c r="C73" s="918">
        <v>45809</v>
      </c>
      <c r="D73" s="870" t="e">
        <f>MAX(0,IF($AK$5=$C$9,D$9-DPR!#REF!,IF($AK$5=$C$10,D$10-DPR!#REF!,IF($AK$5=$C$11,D$11-DPR!#REF!))))</f>
        <v>#REF!</v>
      </c>
      <c r="E73" s="870" t="e">
        <f>MAX(0,IF($AK$5=$C$9,E$9-DPR!#REF!,IF($AK$5=$C$10,E$10-DPR!#REF!,IF($AK$5=$C$11,E$11-DPR!#REF!))))</f>
        <v>#REF!</v>
      </c>
      <c r="F73" s="870" t="e">
        <f>MAX(0,IF($AK$5=$C$9,F$9-DPR!#REF!,IF($AK$5=$C$10,F$10-DPR!#REF!,IF($AK$5=$C$11,F$11-DPR!#REF!))))</f>
        <v>#REF!</v>
      </c>
      <c r="G73" s="870" t="e">
        <f>MAX(0,IF($AK$5=$C$9,G$9-DPR!#REF!,IF($AK$5=$C$10,G$10-DPR!#REF!,IF($AK$5=$C$11,G$11-DPR!#REF!))))</f>
        <v>#REF!</v>
      </c>
      <c r="H73" s="870" t="e">
        <f>MAX(0,IF($AK$5=$C$9,H$9-DPR!#REF!,IF($AK$5=$C$10,H$10-DPR!#REF!,IF($AK$5=$C$11,H$11-DPR!#REF!))))</f>
        <v>#REF!</v>
      </c>
      <c r="I73" s="870" t="e">
        <f>MAX(0,IF($AK$5=$C$9,I$9-DPR!#REF!,IF($AK$5=$C$10,I$10-DPR!#REF!,IF($AK$5=$C$11,I$11-DPR!#REF!))))</f>
        <v>#REF!</v>
      </c>
      <c r="J73" s="870" t="e">
        <f>MAX(0,IF($AK$5=$C$9,J$9-DPR!#REF!,IF($AK$5=$C$10,J$10-DPR!#REF!,IF($AK$5=$C$11,J$11-DPR!#REF!))))</f>
        <v>#REF!</v>
      </c>
      <c r="K73" s="870" t="e">
        <f>MAX(0,IF($AK$5=$C$9,K$9-DPR!#REF!,IF($AK$5=$C$10,K$10-DPR!#REF!,IF($AK$5=$C$11,K$11-DPR!#REF!))))</f>
        <v>#REF!</v>
      </c>
      <c r="L73" s="870" t="e">
        <f>MAX(0,IF($AK$5=$C$9,L$9-DPR!#REF!,IF($AK$5=$C$10,L$10-DPR!#REF!,IF($AK$5=$C$11,L$11-DPR!#REF!))))</f>
        <v>#REF!</v>
      </c>
      <c r="M73" s="870" t="e">
        <f>MAX(0,IF($AK$5=$C$9,M$9-DPR!#REF!,IF($AK$5=$C$10,M$10-DPR!#REF!,IF($AK$5=$C$11,M$11-DPR!#REF!))))</f>
        <v>#REF!</v>
      </c>
      <c r="N73" s="870" t="e">
        <f>MAX(0,IF($AK$5=$C$9,N$9-DPR!#REF!,IF($AK$5=$C$10,N$10-DPR!#REF!,IF($AK$5=$C$11,N$11-DPR!#REF!))))</f>
        <v>#REF!</v>
      </c>
      <c r="O73" s="870" t="e">
        <f>MAX(0,IF($AK$5=$C$9,O$9-DPR!#REF!,IF($AK$5=$C$10,O$10-DPR!#REF!,IF($AK$5=$C$11,O$11-DPR!#REF!))))</f>
        <v>#REF!</v>
      </c>
      <c r="P73" s="870" t="e">
        <f>MAX(0,IF($AK$5=$C$9,P$9-DPR!#REF!,IF($AK$5=$C$10,P$10-DPR!#REF!,IF($AK$5=$C$11,P$11-DPR!#REF!))))</f>
        <v>#REF!</v>
      </c>
      <c r="Q73" s="870">
        <v>0</v>
      </c>
      <c r="R73" s="919" t="e">
        <f t="shared" si="4"/>
        <v>#REF!</v>
      </c>
      <c r="S73" s="878" t="e">
        <f>MAX(0,IF($AK$5=$C$9,S$9-DPR!#REF!,IF($AK$5=$C$10,S$10-DPR!#REF!,IF($AK$5=$C$11,S$11-DPR!#REF!))))</f>
        <v>#REF!</v>
      </c>
      <c r="T73" s="878" t="e">
        <f>MAX(0,IF($AK$5=$C$9,T$9-DPR!#REF!,IF($AK$5=$C$10,T$10-DPR!#REF!,IF($AK$5=$C$11,T$11-DPR!#REF!))))</f>
        <v>#REF!</v>
      </c>
      <c r="U73" s="878" t="e">
        <f>MAX(0,IF($AK$5=$C$9,U$9-DPR!#REF!,IF($AK$5=$C$10,U$10-DPR!#REF!,IF($AK$5=$C$11,U$11-DPR!#REF!))))</f>
        <v>#REF!</v>
      </c>
      <c r="V73" s="878" t="e">
        <f>MAX(0,IF($AK$5=$C$9,V$9-DPR!#REF!,IF($AK$5=$C$10,V$10-DPR!#REF!,IF($AK$5=$C$11,V$11-DPR!#REF!))))</f>
        <v>#REF!</v>
      </c>
      <c r="W73" s="878" t="e">
        <f>MAX(0,IF($AK$5=$C$9,W$9-DPR!#REF!,IF($AK$5=$C$10,W$10-DPR!#REF!,IF($AK$5=$C$11,W$11-DPR!#REF!))))</f>
        <v>#REF!</v>
      </c>
      <c r="X73" s="878" t="e">
        <f>MAX(0,IF($AK$5=$C$9,X$9-DPR!#REF!,IF($AK$5=$C$10,X$10-DPR!#REF!,IF($AK$5=$C$11,X$11-DPR!#REF!))))</f>
        <v>#REF!</v>
      </c>
      <c r="Y73" s="878" t="e">
        <f>MAX(0,IF($AK$5=$C$9,Y$9-DPR!#REF!,IF($AK$5=$C$10,Y$10-DPR!#REF!,IF($AK$5=$C$11,Y$11-DPR!#REF!))))</f>
        <v>#REF!</v>
      </c>
      <c r="Z73" s="878" t="e">
        <f>MAX(0,IF($AK$5=$C$9,Z$9-DPR!#REF!,IF($AK$5=$C$10,Z$10-DPR!#REF!,IF($AK$5=$C$11,Z$11-DPR!#REF!))))</f>
        <v>#REF!</v>
      </c>
      <c r="AA73" s="878" t="e">
        <f>MAX(0,IF($AK$5=$C$9,AA$9-DPR!#REF!,IF($AK$5=$C$10,AA$10-DPR!#REF!,IF($AK$5=$C$11,AA$11-DPR!#REF!))))</f>
        <v>#REF!</v>
      </c>
      <c r="AB73" s="878" t="e">
        <f>MAX(0,IF($AK$5=$C$9,AB$9-DPR!#REF!,IF($AK$5=$C$10,AB$10-DPR!#REF!,IF($AK$5=$C$11,AB$11-DPR!#REF!))))</f>
        <v>#REF!</v>
      </c>
      <c r="AC73" s="878" t="e">
        <f>MAX(0,IF($AK$5=$C$9,AC$9-DPR!#REF!,IF($AK$5=$C$10,AC$10-DPR!#REF!,IF($AK$5=$C$11,AC$11-DPR!#REF!))))</f>
        <v>#REF!</v>
      </c>
      <c r="AD73" s="878" t="e">
        <f>MAX(0,IF($AK$5=$C$9,AD$9-DPR!#REF!,IF($AK$5=$C$10,AD$10-DPR!#REF!,IF($AK$5=$C$11,AD$11-DPR!#REF!))))</f>
        <v>#REF!</v>
      </c>
      <c r="AE73" s="878" t="e">
        <f>MAX(0,IF($AK$5=$C$9,AE$9-DPR!#REF!,IF($AK$5=$C$10,AE$10-DPR!#REF!,IF($AK$5=$C$11,AE$11-DPR!#REF!))))</f>
        <v>#REF!</v>
      </c>
      <c r="AF73" s="878" t="e">
        <f>MAX(0,IF($AK$5=$C$9,AF$9-DPR!#REF!,IF($AK$5=$C$10,AF$10-DPR!#REF!,IF($AK$5=$C$11,AF$11-DPR!#REF!))))</f>
        <v>#REF!</v>
      </c>
      <c r="AG73" s="920" t="e">
        <f t="shared" si="5"/>
        <v>#REF!</v>
      </c>
      <c r="AH73" s="888">
        <f t="shared" si="6"/>
        <v>202506</v>
      </c>
      <c r="AI73" t="e">
        <f>DPR!#REF!</f>
        <v>#REF!</v>
      </c>
      <c r="AJ73" t="e">
        <f>DPR!#REF!</f>
        <v>#REF!</v>
      </c>
    </row>
    <row r="74" spans="3:36" ht="15.75">
      <c r="C74" s="918">
        <v>45810</v>
      </c>
      <c r="D74" s="870" t="e">
        <f>MAX(0,IF($AK$5=$C$9,D$9-DPR!#REF!,IF($AK$5=$C$10,D$10-DPR!#REF!,IF($AK$5=$C$11,D$11-DPR!#REF!))))</f>
        <v>#REF!</v>
      </c>
      <c r="E74" s="870" t="e">
        <f>MAX(0,IF($AK$5=$C$9,E$9-DPR!#REF!,IF($AK$5=$C$10,E$10-DPR!#REF!,IF($AK$5=$C$11,E$11-DPR!#REF!))))</f>
        <v>#REF!</v>
      </c>
      <c r="F74" s="870" t="e">
        <f>MAX(0,IF($AK$5=$C$9,F$9-DPR!#REF!,IF($AK$5=$C$10,F$10-DPR!#REF!,IF($AK$5=$C$11,F$11-DPR!#REF!))))</f>
        <v>#REF!</v>
      </c>
      <c r="G74" s="870" t="e">
        <f>MAX(0,IF($AK$5=$C$9,G$9-DPR!#REF!,IF($AK$5=$C$10,G$10-DPR!#REF!,IF($AK$5=$C$11,G$11-DPR!#REF!))))</f>
        <v>#REF!</v>
      </c>
      <c r="H74" s="870" t="e">
        <f>MAX(0,IF($AK$5=$C$9,H$9-DPR!#REF!,IF($AK$5=$C$10,H$10-DPR!#REF!,IF($AK$5=$C$11,H$11-DPR!#REF!))))</f>
        <v>#REF!</v>
      </c>
      <c r="I74" s="870" t="e">
        <f>MAX(0,IF($AK$5=$C$9,I$9-DPR!#REF!,IF($AK$5=$C$10,I$10-DPR!#REF!,IF($AK$5=$C$11,I$11-DPR!#REF!))))</f>
        <v>#REF!</v>
      </c>
      <c r="J74" s="870" t="e">
        <f>MAX(0,IF($AK$5=$C$9,J$9-DPR!#REF!,IF($AK$5=$C$10,J$10-DPR!#REF!,IF($AK$5=$C$11,J$11-DPR!#REF!))))</f>
        <v>#REF!</v>
      </c>
      <c r="K74" s="870" t="e">
        <f>MAX(0,IF($AK$5=$C$9,K$9-DPR!#REF!,IF($AK$5=$C$10,K$10-DPR!#REF!,IF($AK$5=$C$11,K$11-DPR!#REF!))))</f>
        <v>#REF!</v>
      </c>
      <c r="L74" s="870" t="e">
        <f>MAX(0,IF($AK$5=$C$9,L$9-DPR!#REF!,IF($AK$5=$C$10,L$10-DPR!#REF!,IF($AK$5=$C$11,L$11-DPR!#REF!))))</f>
        <v>#REF!</v>
      </c>
      <c r="M74" s="870" t="e">
        <f>MAX(0,IF($AK$5=$C$9,M$9-DPR!#REF!,IF($AK$5=$C$10,M$10-DPR!#REF!,IF($AK$5=$C$11,M$11-DPR!#REF!))))</f>
        <v>#REF!</v>
      </c>
      <c r="N74" s="870" t="e">
        <f>MAX(0,IF($AK$5=$C$9,N$9-DPR!#REF!,IF($AK$5=$C$10,N$10-DPR!#REF!,IF($AK$5=$C$11,N$11-DPR!#REF!))))</f>
        <v>#REF!</v>
      </c>
      <c r="O74" s="870" t="e">
        <f>MAX(0,IF($AK$5=$C$9,O$9-DPR!#REF!,IF($AK$5=$C$10,O$10-DPR!#REF!,IF($AK$5=$C$11,O$11-DPR!#REF!))))</f>
        <v>#REF!</v>
      </c>
      <c r="P74" s="870" t="e">
        <f>MAX(0,IF($AK$5=$C$9,P$9-DPR!#REF!,IF($AK$5=$C$10,P$10-DPR!#REF!,IF($AK$5=$C$11,P$11-DPR!#REF!))))</f>
        <v>#REF!</v>
      </c>
      <c r="Q74" s="874">
        <v>0</v>
      </c>
      <c r="R74" s="919" t="e">
        <f t="shared" si="4"/>
        <v>#REF!</v>
      </c>
      <c r="S74" s="878" t="e">
        <f>MAX(0,IF($AK$5=$C$9,S$9-DPR!#REF!,IF($AK$5=$C$10,S$10-DPR!#REF!,IF($AK$5=$C$11,S$11-DPR!#REF!))))</f>
        <v>#REF!</v>
      </c>
      <c r="T74" s="878" t="e">
        <f>MAX(0,IF($AK$5=$C$9,T$9-DPR!#REF!,IF($AK$5=$C$10,T$10-DPR!#REF!,IF($AK$5=$C$11,T$11-DPR!#REF!))))</f>
        <v>#REF!</v>
      </c>
      <c r="U74" s="878" t="e">
        <f>MAX(0,IF($AK$5=$C$9,U$9-DPR!#REF!,IF($AK$5=$C$10,U$10-DPR!#REF!,IF($AK$5=$C$11,U$11-DPR!#REF!))))</f>
        <v>#REF!</v>
      </c>
      <c r="V74" s="878" t="e">
        <f>MAX(0,IF($AK$5=$C$9,V$9-DPR!#REF!,IF($AK$5=$C$10,V$10-DPR!#REF!,IF($AK$5=$C$11,V$11-DPR!#REF!))))</f>
        <v>#REF!</v>
      </c>
      <c r="W74" s="878" t="e">
        <f>MAX(0,IF($AK$5=$C$9,W$9-DPR!#REF!,IF($AK$5=$C$10,W$10-DPR!#REF!,IF($AK$5=$C$11,W$11-DPR!#REF!))))</f>
        <v>#REF!</v>
      </c>
      <c r="X74" s="878" t="e">
        <f>MAX(0,IF($AK$5=$C$9,X$9-DPR!#REF!,IF($AK$5=$C$10,X$10-DPR!#REF!,IF($AK$5=$C$11,X$11-DPR!#REF!))))</f>
        <v>#REF!</v>
      </c>
      <c r="Y74" s="878" t="e">
        <f>MAX(0,IF($AK$5=$C$9,Y$9-DPR!#REF!,IF($AK$5=$C$10,Y$10-DPR!#REF!,IF($AK$5=$C$11,Y$11-DPR!#REF!))))</f>
        <v>#REF!</v>
      </c>
      <c r="Z74" s="878" t="e">
        <f>MAX(0,IF($AK$5=$C$9,Z$9-DPR!#REF!,IF($AK$5=$C$10,Z$10-DPR!#REF!,IF($AK$5=$C$11,Z$11-DPR!#REF!))))</f>
        <v>#REF!</v>
      </c>
      <c r="AA74" s="878" t="e">
        <f>MAX(0,IF($AK$5=$C$9,AA$9-DPR!#REF!,IF($AK$5=$C$10,AA$10-DPR!#REF!,IF($AK$5=$C$11,AA$11-DPR!#REF!))))</f>
        <v>#REF!</v>
      </c>
      <c r="AB74" s="878" t="e">
        <f>MAX(0,IF($AK$5=$C$9,AB$9-DPR!#REF!,IF($AK$5=$C$10,AB$10-DPR!#REF!,IF($AK$5=$C$11,AB$11-DPR!#REF!))))</f>
        <v>#REF!</v>
      </c>
      <c r="AC74" s="878" t="e">
        <f>MAX(0,IF($AK$5=$C$9,AC$9-DPR!#REF!,IF($AK$5=$C$10,AC$10-DPR!#REF!,IF($AK$5=$C$11,AC$11-DPR!#REF!))))</f>
        <v>#REF!</v>
      </c>
      <c r="AD74" s="878" t="e">
        <f>MAX(0,IF($AK$5=$C$9,AD$9-DPR!#REF!,IF($AK$5=$C$10,AD$10-DPR!#REF!,IF($AK$5=$C$11,AD$11-DPR!#REF!))))</f>
        <v>#REF!</v>
      </c>
      <c r="AE74" s="878" t="e">
        <f>MAX(0,IF($AK$5=$C$9,AE$9-DPR!#REF!,IF($AK$5=$C$10,AE$10-DPR!#REF!,IF($AK$5=$C$11,AE$11-DPR!#REF!))))</f>
        <v>#REF!</v>
      </c>
      <c r="AF74" s="878" t="e">
        <f>MAX(0,IF($AK$5=$C$9,AF$9-DPR!#REF!,IF($AK$5=$C$10,AF$10-DPR!#REF!,IF($AK$5=$C$11,AF$11-DPR!#REF!))))</f>
        <v>#REF!</v>
      </c>
      <c r="AG74" s="920" t="e">
        <f t="shared" si="5"/>
        <v>#REF!</v>
      </c>
      <c r="AH74" s="888">
        <f t="shared" si="6"/>
        <v>202506</v>
      </c>
      <c r="AI74" t="e">
        <f>DPR!#REF!</f>
        <v>#REF!</v>
      </c>
      <c r="AJ74" t="e">
        <f>DPR!#REF!</f>
        <v>#REF!</v>
      </c>
    </row>
    <row r="75" spans="3:36" ht="15.75">
      <c r="C75" s="918">
        <v>45811</v>
      </c>
      <c r="D75" s="870" t="e">
        <f>MAX(0,IF($AK$5=$C$9,D$9-DPR!#REF!,IF($AK$5=$C$10,D$10-DPR!#REF!,IF($AK$5=$C$11,D$11-DPR!#REF!))))</f>
        <v>#REF!</v>
      </c>
      <c r="E75" s="870" t="e">
        <f>MAX(0,IF($AK$5=$C$9,E$9-DPR!#REF!,IF($AK$5=$C$10,E$10-DPR!#REF!,IF($AK$5=$C$11,E$11-DPR!#REF!))))</f>
        <v>#REF!</v>
      </c>
      <c r="F75" s="870" t="e">
        <f>MAX(0,IF($AK$5=$C$9,F$9-DPR!#REF!,IF($AK$5=$C$10,F$10-DPR!#REF!,IF($AK$5=$C$11,F$11-DPR!#REF!))))</f>
        <v>#REF!</v>
      </c>
      <c r="G75" s="870" t="e">
        <f>MAX(0,IF($AK$5=$C$9,G$9-DPR!#REF!,IF($AK$5=$C$10,G$10-DPR!#REF!,IF($AK$5=$C$11,G$11-DPR!#REF!))))</f>
        <v>#REF!</v>
      </c>
      <c r="H75" s="870" t="e">
        <f>MAX(0,IF($AK$5=$C$9,H$9-DPR!#REF!,IF($AK$5=$C$10,H$10-DPR!#REF!,IF($AK$5=$C$11,H$11-DPR!#REF!))))</f>
        <v>#REF!</v>
      </c>
      <c r="I75" s="870" t="e">
        <f>MAX(0,IF($AK$5=$C$9,I$9-DPR!#REF!,IF($AK$5=$C$10,I$10-DPR!#REF!,IF($AK$5=$C$11,I$11-DPR!#REF!))))</f>
        <v>#REF!</v>
      </c>
      <c r="J75" s="870" t="e">
        <f>MAX(0,IF($AK$5=$C$9,J$9-DPR!#REF!,IF($AK$5=$C$10,J$10-DPR!#REF!,IF($AK$5=$C$11,J$11-DPR!#REF!))))</f>
        <v>#REF!</v>
      </c>
      <c r="K75" s="870" t="e">
        <f>MAX(0,IF($AK$5=$C$9,K$9-DPR!#REF!,IF($AK$5=$C$10,K$10-DPR!#REF!,IF($AK$5=$C$11,K$11-DPR!#REF!))))</f>
        <v>#REF!</v>
      </c>
      <c r="L75" s="870" t="e">
        <f>MAX(0,IF($AK$5=$C$9,L$9-DPR!#REF!,IF($AK$5=$C$10,L$10-DPR!#REF!,IF($AK$5=$C$11,L$11-DPR!#REF!))))</f>
        <v>#REF!</v>
      </c>
      <c r="M75" s="870" t="e">
        <f>MAX(0,IF($AK$5=$C$9,M$9-DPR!#REF!,IF($AK$5=$C$10,M$10-DPR!#REF!,IF($AK$5=$C$11,M$11-DPR!#REF!))))</f>
        <v>#REF!</v>
      </c>
      <c r="N75" s="870" t="e">
        <f>MAX(0,IF($AK$5=$C$9,N$9-DPR!#REF!,IF($AK$5=$C$10,N$10-DPR!#REF!,IF($AK$5=$C$11,N$11-DPR!#REF!))))</f>
        <v>#REF!</v>
      </c>
      <c r="O75" s="870" t="e">
        <f>MAX(0,IF($AK$5=$C$9,O$9-DPR!#REF!,IF($AK$5=$C$10,O$10-DPR!#REF!,IF($AK$5=$C$11,O$11-DPR!#REF!))))</f>
        <v>#REF!</v>
      </c>
      <c r="P75" s="870" t="e">
        <f>MAX(0,IF($AK$5=$C$9,P$9-DPR!#REF!,IF($AK$5=$C$10,P$10-DPR!#REF!,IF($AK$5=$C$11,P$11-DPR!#REF!))))</f>
        <v>#REF!</v>
      </c>
      <c r="Q75" s="870">
        <v>0</v>
      </c>
      <c r="R75" s="919" t="e">
        <f t="shared" si="4"/>
        <v>#REF!</v>
      </c>
      <c r="S75" s="878" t="e">
        <f>MAX(0,IF($AK$5=$C$9,S$9-DPR!#REF!,IF($AK$5=$C$10,S$10-DPR!#REF!,IF($AK$5=$C$11,S$11-DPR!#REF!))))</f>
        <v>#REF!</v>
      </c>
      <c r="T75" s="878" t="e">
        <f>MAX(0,IF($AK$5=$C$9,T$9-DPR!#REF!,IF($AK$5=$C$10,T$10-DPR!#REF!,IF($AK$5=$C$11,T$11-DPR!#REF!))))</f>
        <v>#REF!</v>
      </c>
      <c r="U75" s="878" t="e">
        <f>MAX(0,IF($AK$5=$C$9,U$9-DPR!#REF!,IF($AK$5=$C$10,U$10-DPR!#REF!,IF($AK$5=$C$11,U$11-DPR!#REF!))))</f>
        <v>#REF!</v>
      </c>
      <c r="V75" s="878" t="e">
        <f>MAX(0,IF($AK$5=$C$9,V$9-DPR!#REF!,IF($AK$5=$C$10,V$10-DPR!#REF!,IF($AK$5=$C$11,V$11-DPR!#REF!))))</f>
        <v>#REF!</v>
      </c>
      <c r="W75" s="878" t="e">
        <f>MAX(0,IF($AK$5=$C$9,W$9-DPR!#REF!,IF($AK$5=$C$10,W$10-DPR!#REF!,IF($AK$5=$C$11,W$11-DPR!#REF!))))</f>
        <v>#REF!</v>
      </c>
      <c r="X75" s="878" t="e">
        <f>MAX(0,IF($AK$5=$C$9,X$9-DPR!#REF!,IF($AK$5=$C$10,X$10-DPR!#REF!,IF($AK$5=$C$11,X$11-DPR!#REF!))))</f>
        <v>#REF!</v>
      </c>
      <c r="Y75" s="878" t="e">
        <f>MAX(0,IF($AK$5=$C$9,Y$9-DPR!#REF!,IF($AK$5=$C$10,Y$10-DPR!#REF!,IF($AK$5=$C$11,Y$11-DPR!#REF!))))</f>
        <v>#REF!</v>
      </c>
      <c r="Z75" s="878" t="e">
        <f>MAX(0,IF($AK$5=$C$9,Z$9-DPR!#REF!,IF($AK$5=$C$10,Z$10-DPR!#REF!,IF($AK$5=$C$11,Z$11-DPR!#REF!))))</f>
        <v>#REF!</v>
      </c>
      <c r="AA75" s="878" t="e">
        <f>MAX(0,IF($AK$5=$C$9,AA$9-DPR!#REF!,IF($AK$5=$C$10,AA$10-DPR!#REF!,IF($AK$5=$C$11,AA$11-DPR!#REF!))))</f>
        <v>#REF!</v>
      </c>
      <c r="AB75" s="878" t="e">
        <f>MAX(0,IF($AK$5=$C$9,AB$9-DPR!#REF!,IF($AK$5=$C$10,AB$10-DPR!#REF!,IF($AK$5=$C$11,AB$11-DPR!#REF!))))</f>
        <v>#REF!</v>
      </c>
      <c r="AC75" s="878" t="e">
        <f>MAX(0,IF($AK$5=$C$9,AC$9-DPR!#REF!,IF($AK$5=$C$10,AC$10-DPR!#REF!,IF($AK$5=$C$11,AC$11-DPR!#REF!))))</f>
        <v>#REF!</v>
      </c>
      <c r="AD75" s="878" t="e">
        <f>MAX(0,IF($AK$5=$C$9,AD$9-DPR!#REF!,IF($AK$5=$C$10,AD$10-DPR!#REF!,IF($AK$5=$C$11,AD$11-DPR!#REF!))))</f>
        <v>#REF!</v>
      </c>
      <c r="AE75" s="878" t="e">
        <f>MAX(0,IF($AK$5=$C$9,AE$9-DPR!#REF!,IF($AK$5=$C$10,AE$10-DPR!#REF!,IF($AK$5=$C$11,AE$11-DPR!#REF!))))</f>
        <v>#REF!</v>
      </c>
      <c r="AF75" s="878" t="e">
        <f>MAX(0,IF($AK$5=$C$9,AF$9-DPR!#REF!,IF($AK$5=$C$10,AF$10-DPR!#REF!,IF($AK$5=$C$11,AF$11-DPR!#REF!))))</f>
        <v>#REF!</v>
      </c>
      <c r="AG75" s="920" t="e">
        <f t="shared" si="5"/>
        <v>#REF!</v>
      </c>
      <c r="AH75" s="888">
        <f t="shared" si="6"/>
        <v>202506</v>
      </c>
      <c r="AI75" t="e">
        <f>DPR!#REF!</f>
        <v>#REF!</v>
      </c>
      <c r="AJ75" t="e">
        <f>DPR!#REF!</f>
        <v>#REF!</v>
      </c>
    </row>
    <row r="76" spans="3:36" ht="15.75">
      <c r="C76" s="918">
        <v>45812</v>
      </c>
      <c r="D76" s="870" t="e">
        <f>MAX(0,IF($AK$5=$C$9,D$9-DPR!#REF!,IF($AK$5=$C$10,D$10-DPR!#REF!,IF($AK$5=$C$11,D$11-DPR!#REF!))))</f>
        <v>#REF!</v>
      </c>
      <c r="E76" s="870" t="e">
        <f>MAX(0,IF($AK$5=$C$9,E$9-DPR!#REF!,IF($AK$5=$C$10,E$10-DPR!#REF!,IF($AK$5=$C$11,E$11-DPR!#REF!))))</f>
        <v>#REF!</v>
      </c>
      <c r="F76" s="870" t="e">
        <f>MAX(0,IF($AK$5=$C$9,F$9-DPR!#REF!,IF($AK$5=$C$10,F$10-DPR!#REF!,IF($AK$5=$C$11,F$11-DPR!#REF!))))</f>
        <v>#REF!</v>
      </c>
      <c r="G76" s="870" t="e">
        <f>MAX(0,IF($AK$5=$C$9,G$9-DPR!#REF!,IF($AK$5=$C$10,G$10-DPR!#REF!,IF($AK$5=$C$11,G$11-DPR!#REF!))))</f>
        <v>#REF!</v>
      </c>
      <c r="H76" s="870" t="e">
        <f>MAX(0,IF($AK$5=$C$9,H$9-DPR!#REF!,IF($AK$5=$C$10,H$10-DPR!#REF!,IF($AK$5=$C$11,H$11-DPR!#REF!))))</f>
        <v>#REF!</v>
      </c>
      <c r="I76" s="870" t="e">
        <f>MAX(0,IF($AK$5=$C$9,I$9-DPR!#REF!,IF($AK$5=$C$10,I$10-DPR!#REF!,IF($AK$5=$C$11,I$11-DPR!#REF!))))</f>
        <v>#REF!</v>
      </c>
      <c r="J76" s="870" t="e">
        <f>MAX(0,IF($AK$5=$C$9,J$9-DPR!#REF!,IF($AK$5=$C$10,J$10-DPR!#REF!,IF($AK$5=$C$11,J$11-DPR!#REF!))))</f>
        <v>#REF!</v>
      </c>
      <c r="K76" s="870" t="e">
        <f>MAX(0,IF($AK$5=$C$9,K$9-DPR!#REF!,IF($AK$5=$C$10,K$10-DPR!#REF!,IF($AK$5=$C$11,K$11-DPR!#REF!))))</f>
        <v>#REF!</v>
      </c>
      <c r="L76" s="870" t="e">
        <f>MAX(0,IF($AK$5=$C$9,L$9-DPR!#REF!,IF($AK$5=$C$10,L$10-DPR!#REF!,IF($AK$5=$C$11,L$11-DPR!#REF!))))</f>
        <v>#REF!</v>
      </c>
      <c r="M76" s="870" t="e">
        <f>MAX(0,IF($AK$5=$C$9,M$9-DPR!#REF!,IF($AK$5=$C$10,M$10-DPR!#REF!,IF($AK$5=$C$11,M$11-DPR!#REF!))))</f>
        <v>#REF!</v>
      </c>
      <c r="N76" s="870" t="e">
        <f>MAX(0,IF($AK$5=$C$9,N$9-DPR!#REF!,IF($AK$5=$C$10,N$10-DPR!#REF!,IF($AK$5=$C$11,N$11-DPR!#REF!))))</f>
        <v>#REF!</v>
      </c>
      <c r="O76" s="870" t="e">
        <f>MAX(0,IF($AK$5=$C$9,O$9-DPR!#REF!,IF($AK$5=$C$10,O$10-DPR!#REF!,IF($AK$5=$C$11,O$11-DPR!#REF!))))</f>
        <v>#REF!</v>
      </c>
      <c r="P76" s="870" t="e">
        <f>MAX(0,IF($AK$5=$C$9,P$9-DPR!#REF!,IF($AK$5=$C$10,P$10-DPR!#REF!,IF($AK$5=$C$11,P$11-DPR!#REF!))))</f>
        <v>#REF!</v>
      </c>
      <c r="Q76" s="874">
        <v>0</v>
      </c>
      <c r="R76" s="919" t="e">
        <f t="shared" si="4"/>
        <v>#REF!</v>
      </c>
      <c r="S76" s="878" t="e">
        <f>MAX(0,IF($AK$5=$C$9,S$9-DPR!#REF!,IF($AK$5=$C$10,S$10-DPR!#REF!,IF($AK$5=$C$11,S$11-DPR!#REF!))))</f>
        <v>#REF!</v>
      </c>
      <c r="T76" s="878" t="e">
        <f>MAX(0,IF($AK$5=$C$9,T$9-DPR!#REF!,IF($AK$5=$C$10,T$10-DPR!#REF!,IF($AK$5=$C$11,T$11-DPR!#REF!))))</f>
        <v>#REF!</v>
      </c>
      <c r="U76" s="878" t="e">
        <f>MAX(0,IF($AK$5=$C$9,U$9-DPR!#REF!,IF($AK$5=$C$10,U$10-DPR!#REF!,IF($AK$5=$C$11,U$11-DPR!#REF!))))</f>
        <v>#REF!</v>
      </c>
      <c r="V76" s="878" t="e">
        <f>MAX(0,IF($AK$5=$C$9,V$9-DPR!#REF!,IF($AK$5=$C$10,V$10-DPR!#REF!,IF($AK$5=$C$11,V$11-DPR!#REF!))))</f>
        <v>#REF!</v>
      </c>
      <c r="W76" s="878" t="e">
        <f>MAX(0,IF($AK$5=$C$9,W$9-DPR!#REF!,IF($AK$5=$C$10,W$10-DPR!#REF!,IF($AK$5=$C$11,W$11-DPR!#REF!))))</f>
        <v>#REF!</v>
      </c>
      <c r="X76" s="878" t="e">
        <f>MAX(0,IF($AK$5=$C$9,X$9-DPR!#REF!,IF($AK$5=$C$10,X$10-DPR!#REF!,IF($AK$5=$C$11,X$11-DPR!#REF!))))</f>
        <v>#REF!</v>
      </c>
      <c r="Y76" s="878" t="e">
        <f>MAX(0,IF($AK$5=$C$9,Y$9-DPR!#REF!,IF($AK$5=$C$10,Y$10-DPR!#REF!,IF($AK$5=$C$11,Y$11-DPR!#REF!))))</f>
        <v>#REF!</v>
      </c>
      <c r="Z76" s="878" t="e">
        <f>MAX(0,IF($AK$5=$C$9,Z$9-DPR!#REF!,IF($AK$5=$C$10,Z$10-DPR!#REF!,IF($AK$5=$C$11,Z$11-DPR!#REF!))))</f>
        <v>#REF!</v>
      </c>
      <c r="AA76" s="878" t="e">
        <f>MAX(0,IF($AK$5=$C$9,AA$9-DPR!#REF!,IF($AK$5=$C$10,AA$10-DPR!#REF!,IF($AK$5=$C$11,AA$11-DPR!#REF!))))</f>
        <v>#REF!</v>
      </c>
      <c r="AB76" s="878" t="e">
        <f>MAX(0,IF($AK$5=$C$9,AB$9-DPR!#REF!,IF($AK$5=$C$10,AB$10-DPR!#REF!,IF($AK$5=$C$11,AB$11-DPR!#REF!))))</f>
        <v>#REF!</v>
      </c>
      <c r="AC76" s="878" t="e">
        <f>MAX(0,IF($AK$5=$C$9,AC$9-DPR!#REF!,IF($AK$5=$C$10,AC$10-DPR!#REF!,IF($AK$5=$C$11,AC$11-DPR!#REF!))))</f>
        <v>#REF!</v>
      </c>
      <c r="AD76" s="878" t="e">
        <f>MAX(0,IF($AK$5=$C$9,AD$9-DPR!#REF!,IF($AK$5=$C$10,AD$10-DPR!#REF!,IF($AK$5=$C$11,AD$11-DPR!#REF!))))</f>
        <v>#REF!</v>
      </c>
      <c r="AE76" s="878" t="e">
        <f>MAX(0,IF($AK$5=$C$9,AE$9-DPR!#REF!,IF($AK$5=$C$10,AE$10-DPR!#REF!,IF($AK$5=$C$11,AE$11-DPR!#REF!))))</f>
        <v>#REF!</v>
      </c>
      <c r="AF76" s="878" t="e">
        <f>MAX(0,IF($AK$5=$C$9,AF$9-DPR!#REF!,IF($AK$5=$C$10,AF$10-DPR!#REF!,IF($AK$5=$C$11,AF$11-DPR!#REF!))))</f>
        <v>#REF!</v>
      </c>
      <c r="AG76" s="920" t="e">
        <f t="shared" si="5"/>
        <v>#REF!</v>
      </c>
      <c r="AH76" s="888">
        <f t="shared" si="6"/>
        <v>202506</v>
      </c>
      <c r="AI76" t="e">
        <f>DPR!#REF!</f>
        <v>#REF!</v>
      </c>
      <c r="AJ76" t="e">
        <f>DPR!#REF!</f>
        <v>#REF!</v>
      </c>
    </row>
    <row r="77" spans="3:36" ht="15.75">
      <c r="C77" s="918">
        <v>45813</v>
      </c>
      <c r="D77" s="870" t="e">
        <f>MAX(0,IF($AK$5=$C$9,D$9-DPR!#REF!,IF($AK$5=$C$10,D$10-DPR!#REF!,IF($AK$5=$C$11,D$11-DPR!#REF!))))</f>
        <v>#REF!</v>
      </c>
      <c r="E77" s="870" t="e">
        <f>MAX(0,IF($AK$5=$C$9,E$9-DPR!#REF!,IF($AK$5=$C$10,E$10-DPR!#REF!,IF($AK$5=$C$11,E$11-DPR!#REF!))))</f>
        <v>#REF!</v>
      </c>
      <c r="F77" s="870" t="e">
        <f>MAX(0,IF($AK$5=$C$9,F$9-DPR!#REF!,IF($AK$5=$C$10,F$10-DPR!#REF!,IF($AK$5=$C$11,F$11-DPR!#REF!))))</f>
        <v>#REF!</v>
      </c>
      <c r="G77" s="870" t="e">
        <f>MAX(0,IF($AK$5=$C$9,G$9-DPR!#REF!,IF($AK$5=$C$10,G$10-DPR!#REF!,IF($AK$5=$C$11,G$11-DPR!#REF!))))</f>
        <v>#REF!</v>
      </c>
      <c r="H77" s="870" t="e">
        <f>MAX(0,IF($AK$5=$C$9,H$9-DPR!#REF!,IF($AK$5=$C$10,H$10-DPR!#REF!,IF($AK$5=$C$11,H$11-DPR!#REF!))))</f>
        <v>#REF!</v>
      </c>
      <c r="I77" s="870" t="e">
        <f>MAX(0,IF($AK$5=$C$9,I$9-DPR!#REF!,IF($AK$5=$C$10,I$10-DPR!#REF!,IF($AK$5=$C$11,I$11-DPR!#REF!))))</f>
        <v>#REF!</v>
      </c>
      <c r="J77" s="870" t="e">
        <f>MAX(0,IF($AK$5=$C$9,J$9-DPR!#REF!,IF($AK$5=$C$10,J$10-DPR!#REF!,IF($AK$5=$C$11,J$11-DPR!#REF!))))</f>
        <v>#REF!</v>
      </c>
      <c r="K77" s="870" t="e">
        <f>MAX(0,IF($AK$5=$C$9,K$9-DPR!#REF!,IF($AK$5=$C$10,K$10-DPR!#REF!,IF($AK$5=$C$11,K$11-DPR!#REF!))))</f>
        <v>#REF!</v>
      </c>
      <c r="L77" s="870" t="e">
        <f>MAX(0,IF($AK$5=$C$9,L$9-DPR!#REF!,IF($AK$5=$C$10,L$10-DPR!#REF!,IF($AK$5=$C$11,L$11-DPR!#REF!))))</f>
        <v>#REF!</v>
      </c>
      <c r="M77" s="870" t="e">
        <f>MAX(0,IF($AK$5=$C$9,M$9-DPR!#REF!,IF($AK$5=$C$10,M$10-DPR!#REF!,IF($AK$5=$C$11,M$11-DPR!#REF!))))</f>
        <v>#REF!</v>
      </c>
      <c r="N77" s="870" t="e">
        <f>MAX(0,IF($AK$5=$C$9,N$9-DPR!#REF!,IF($AK$5=$C$10,N$10-DPR!#REF!,IF($AK$5=$C$11,N$11-DPR!#REF!))))</f>
        <v>#REF!</v>
      </c>
      <c r="O77" s="870" t="e">
        <f>MAX(0,IF($AK$5=$C$9,O$9-DPR!#REF!,IF($AK$5=$C$10,O$10-DPR!#REF!,IF($AK$5=$C$11,O$11-DPR!#REF!))))</f>
        <v>#REF!</v>
      </c>
      <c r="P77" s="870" t="e">
        <f>MAX(0,IF($AK$5=$C$9,P$9-DPR!#REF!,IF($AK$5=$C$10,P$10-DPR!#REF!,IF($AK$5=$C$11,P$11-DPR!#REF!))))</f>
        <v>#REF!</v>
      </c>
      <c r="Q77" s="870">
        <v>0</v>
      </c>
      <c r="R77" s="919" t="e">
        <f t="shared" si="4"/>
        <v>#REF!</v>
      </c>
      <c r="S77" s="878" t="e">
        <f>MAX(0,IF($AK$5=$C$9,S$9-DPR!#REF!,IF($AK$5=$C$10,S$10-DPR!#REF!,IF($AK$5=$C$11,S$11-DPR!#REF!))))</f>
        <v>#REF!</v>
      </c>
      <c r="T77" s="878" t="e">
        <f>MAX(0,IF($AK$5=$C$9,T$9-DPR!#REF!,IF($AK$5=$C$10,T$10-DPR!#REF!,IF($AK$5=$C$11,T$11-DPR!#REF!))))</f>
        <v>#REF!</v>
      </c>
      <c r="U77" s="878" t="e">
        <f>MAX(0,IF($AK$5=$C$9,U$9-DPR!#REF!,IF($AK$5=$C$10,U$10-DPR!#REF!,IF($AK$5=$C$11,U$11-DPR!#REF!))))</f>
        <v>#REF!</v>
      </c>
      <c r="V77" s="878" t="e">
        <f>MAX(0,IF($AK$5=$C$9,V$9-DPR!#REF!,IF($AK$5=$C$10,V$10-DPR!#REF!,IF($AK$5=$C$11,V$11-DPR!#REF!))))</f>
        <v>#REF!</v>
      </c>
      <c r="W77" s="878" t="e">
        <f>MAX(0,IF($AK$5=$C$9,W$9-DPR!#REF!,IF($AK$5=$C$10,W$10-DPR!#REF!,IF($AK$5=$C$11,W$11-DPR!#REF!))))</f>
        <v>#REF!</v>
      </c>
      <c r="X77" s="878" t="e">
        <f>MAX(0,IF($AK$5=$C$9,X$9-DPR!#REF!,IF($AK$5=$C$10,X$10-DPR!#REF!,IF($AK$5=$C$11,X$11-DPR!#REF!))))</f>
        <v>#REF!</v>
      </c>
      <c r="Y77" s="878" t="e">
        <f>MAX(0,IF($AK$5=$C$9,Y$9-DPR!#REF!,IF($AK$5=$C$10,Y$10-DPR!#REF!,IF($AK$5=$C$11,Y$11-DPR!#REF!))))</f>
        <v>#REF!</v>
      </c>
      <c r="Z77" s="878" t="e">
        <f>MAX(0,IF($AK$5=$C$9,Z$9-DPR!#REF!,IF($AK$5=$C$10,Z$10-DPR!#REF!,IF($AK$5=$C$11,Z$11-DPR!#REF!))))</f>
        <v>#REF!</v>
      </c>
      <c r="AA77" s="878" t="e">
        <f>MAX(0,IF($AK$5=$C$9,AA$9-DPR!#REF!,IF($AK$5=$C$10,AA$10-DPR!#REF!,IF($AK$5=$C$11,AA$11-DPR!#REF!))))</f>
        <v>#REF!</v>
      </c>
      <c r="AB77" s="878" t="e">
        <f>MAX(0,IF($AK$5=$C$9,AB$9-DPR!#REF!,IF($AK$5=$C$10,AB$10-DPR!#REF!,IF($AK$5=$C$11,AB$11-DPR!#REF!))))</f>
        <v>#REF!</v>
      </c>
      <c r="AC77" s="878" t="e">
        <f>MAX(0,IF($AK$5=$C$9,AC$9-DPR!#REF!,IF($AK$5=$C$10,AC$10-DPR!#REF!,IF($AK$5=$C$11,AC$11-DPR!#REF!))))</f>
        <v>#REF!</v>
      </c>
      <c r="AD77" s="878" t="e">
        <f>MAX(0,IF($AK$5=$C$9,AD$9-DPR!#REF!,IF($AK$5=$C$10,AD$10-DPR!#REF!,IF($AK$5=$C$11,AD$11-DPR!#REF!))))</f>
        <v>#REF!</v>
      </c>
      <c r="AE77" s="878" t="e">
        <f>MAX(0,IF($AK$5=$C$9,AE$9-DPR!#REF!,IF($AK$5=$C$10,AE$10-DPR!#REF!,IF($AK$5=$C$11,AE$11-DPR!#REF!))))</f>
        <v>#REF!</v>
      </c>
      <c r="AF77" s="878" t="e">
        <f>MAX(0,IF($AK$5=$C$9,AF$9-DPR!#REF!,IF($AK$5=$C$10,AF$10-DPR!#REF!,IF($AK$5=$C$11,AF$11-DPR!#REF!))))</f>
        <v>#REF!</v>
      </c>
      <c r="AG77" s="920" t="e">
        <f t="shared" si="5"/>
        <v>#REF!</v>
      </c>
      <c r="AH77" s="888">
        <f t="shared" si="6"/>
        <v>202506</v>
      </c>
      <c r="AI77" t="e">
        <f>DPR!#REF!</f>
        <v>#REF!</v>
      </c>
      <c r="AJ77" t="e">
        <f>DPR!#REF!</f>
        <v>#REF!</v>
      </c>
    </row>
    <row r="78" spans="3:36" ht="15.75">
      <c r="C78" s="918">
        <v>45814</v>
      </c>
      <c r="D78" s="870" t="e">
        <f>MAX(0,IF($AK$5=$C$9,D$9-DPR!#REF!,IF($AK$5=$C$10,D$10-DPR!#REF!,IF($AK$5=$C$11,D$11-DPR!#REF!))))</f>
        <v>#REF!</v>
      </c>
      <c r="E78" s="870" t="e">
        <f>MAX(0,IF($AK$5=$C$9,E$9-DPR!#REF!,IF($AK$5=$C$10,E$10-DPR!#REF!,IF($AK$5=$C$11,E$11-DPR!#REF!))))</f>
        <v>#REF!</v>
      </c>
      <c r="F78" s="870" t="e">
        <f>MAX(0,IF($AK$5=$C$9,F$9-DPR!#REF!,IF($AK$5=$C$10,F$10-DPR!#REF!,IF($AK$5=$C$11,F$11-DPR!#REF!))))</f>
        <v>#REF!</v>
      </c>
      <c r="G78" s="870" t="e">
        <f>MAX(0,IF($AK$5=$C$9,G$9-DPR!#REF!,IF($AK$5=$C$10,G$10-DPR!#REF!,IF($AK$5=$C$11,G$11-DPR!#REF!))))</f>
        <v>#REF!</v>
      </c>
      <c r="H78" s="870" t="e">
        <f>MAX(0,IF($AK$5=$C$9,H$9-DPR!#REF!,IF($AK$5=$C$10,H$10-DPR!#REF!,IF($AK$5=$C$11,H$11-DPR!#REF!))))</f>
        <v>#REF!</v>
      </c>
      <c r="I78" s="870" t="e">
        <f>MAX(0,IF($AK$5=$C$9,I$9-DPR!#REF!,IF($AK$5=$C$10,I$10-DPR!#REF!,IF($AK$5=$C$11,I$11-DPR!#REF!))))</f>
        <v>#REF!</v>
      </c>
      <c r="J78" s="870" t="e">
        <f>MAX(0,IF($AK$5=$C$9,J$9-DPR!#REF!,IF($AK$5=$C$10,J$10-DPR!#REF!,IF($AK$5=$C$11,J$11-DPR!#REF!))))</f>
        <v>#REF!</v>
      </c>
      <c r="K78" s="870" t="e">
        <f>MAX(0,IF($AK$5=$C$9,K$9-DPR!#REF!,IF($AK$5=$C$10,K$10-DPR!#REF!,IF($AK$5=$C$11,K$11-DPR!#REF!))))</f>
        <v>#REF!</v>
      </c>
      <c r="L78" s="870" t="e">
        <f>MAX(0,IF($AK$5=$C$9,L$9-DPR!#REF!,IF($AK$5=$C$10,L$10-DPR!#REF!,IF($AK$5=$C$11,L$11-DPR!#REF!))))</f>
        <v>#REF!</v>
      </c>
      <c r="M78" s="870" t="e">
        <f>MAX(0,IF($AK$5=$C$9,M$9-DPR!#REF!,IF($AK$5=$C$10,M$10-DPR!#REF!,IF($AK$5=$C$11,M$11-DPR!#REF!))))</f>
        <v>#REF!</v>
      </c>
      <c r="N78" s="870" t="e">
        <f>MAX(0,IF($AK$5=$C$9,N$9-DPR!#REF!,IF($AK$5=$C$10,N$10-DPR!#REF!,IF($AK$5=$C$11,N$11-DPR!#REF!))))</f>
        <v>#REF!</v>
      </c>
      <c r="O78" s="870" t="e">
        <f>MAX(0,IF($AK$5=$C$9,O$9-DPR!#REF!,IF($AK$5=$C$10,O$10-DPR!#REF!,IF($AK$5=$C$11,O$11-DPR!#REF!))))</f>
        <v>#REF!</v>
      </c>
      <c r="P78" s="870" t="e">
        <f>MAX(0,IF($AK$5=$C$9,P$9-DPR!#REF!,IF($AK$5=$C$10,P$10-DPR!#REF!,IF($AK$5=$C$11,P$11-DPR!#REF!))))</f>
        <v>#REF!</v>
      </c>
      <c r="Q78" s="874">
        <v>0</v>
      </c>
      <c r="R78" s="919" t="e">
        <f t="shared" si="4"/>
        <v>#REF!</v>
      </c>
      <c r="S78" s="878" t="e">
        <f>MAX(0,IF($AK$5=$C$9,S$9-DPR!#REF!,IF($AK$5=$C$10,S$10-DPR!#REF!,IF($AK$5=$C$11,S$11-DPR!#REF!))))</f>
        <v>#REF!</v>
      </c>
      <c r="T78" s="878" t="e">
        <f>MAX(0,IF($AK$5=$C$9,T$9-DPR!#REF!,IF($AK$5=$C$10,T$10-DPR!#REF!,IF($AK$5=$C$11,T$11-DPR!#REF!))))</f>
        <v>#REF!</v>
      </c>
      <c r="U78" s="878" t="e">
        <f>MAX(0,IF($AK$5=$C$9,U$9-DPR!#REF!,IF($AK$5=$C$10,U$10-DPR!#REF!,IF($AK$5=$C$11,U$11-DPR!#REF!))))</f>
        <v>#REF!</v>
      </c>
      <c r="V78" s="878" t="e">
        <f>MAX(0,IF($AK$5=$C$9,V$9-DPR!#REF!,IF($AK$5=$C$10,V$10-DPR!#REF!,IF($AK$5=$C$11,V$11-DPR!#REF!))))</f>
        <v>#REF!</v>
      </c>
      <c r="W78" s="878" t="e">
        <f>MAX(0,IF($AK$5=$C$9,W$9-DPR!#REF!,IF($AK$5=$C$10,W$10-DPR!#REF!,IF($AK$5=$C$11,W$11-DPR!#REF!))))</f>
        <v>#REF!</v>
      </c>
      <c r="X78" s="878" t="e">
        <f>MAX(0,IF($AK$5=$C$9,X$9-DPR!#REF!,IF($AK$5=$C$10,X$10-DPR!#REF!,IF($AK$5=$C$11,X$11-DPR!#REF!))))</f>
        <v>#REF!</v>
      </c>
      <c r="Y78" s="878" t="e">
        <f>MAX(0,IF($AK$5=$C$9,Y$9-DPR!#REF!,IF($AK$5=$C$10,Y$10-DPR!#REF!,IF($AK$5=$C$11,Y$11-DPR!#REF!))))</f>
        <v>#REF!</v>
      </c>
      <c r="Z78" s="878" t="e">
        <f>MAX(0,IF($AK$5=$C$9,Z$9-DPR!#REF!,IF($AK$5=$C$10,Z$10-DPR!#REF!,IF($AK$5=$C$11,Z$11-DPR!#REF!))))</f>
        <v>#REF!</v>
      </c>
      <c r="AA78" s="878" t="e">
        <f>MAX(0,IF($AK$5=$C$9,AA$9-DPR!#REF!,IF($AK$5=$C$10,AA$10-DPR!#REF!,IF($AK$5=$C$11,AA$11-DPR!#REF!))))</f>
        <v>#REF!</v>
      </c>
      <c r="AB78" s="878" t="e">
        <f>MAX(0,IF($AK$5=$C$9,AB$9-DPR!#REF!,IF($AK$5=$C$10,AB$10-DPR!#REF!,IF($AK$5=$C$11,AB$11-DPR!#REF!))))</f>
        <v>#REF!</v>
      </c>
      <c r="AC78" s="878" t="e">
        <f>MAX(0,IF($AK$5=$C$9,AC$9-DPR!#REF!,IF($AK$5=$C$10,AC$10-DPR!#REF!,IF($AK$5=$C$11,AC$11-DPR!#REF!))))</f>
        <v>#REF!</v>
      </c>
      <c r="AD78" s="878" t="e">
        <f>MAX(0,IF($AK$5=$C$9,AD$9-DPR!#REF!,IF($AK$5=$C$10,AD$10-DPR!#REF!,IF($AK$5=$C$11,AD$11-DPR!#REF!))))</f>
        <v>#REF!</v>
      </c>
      <c r="AE78" s="878" t="e">
        <f>MAX(0,IF($AK$5=$C$9,AE$9-DPR!#REF!,IF($AK$5=$C$10,AE$10-DPR!#REF!,IF($AK$5=$C$11,AE$11-DPR!#REF!))))</f>
        <v>#REF!</v>
      </c>
      <c r="AF78" s="878" t="e">
        <f>MAX(0,IF($AK$5=$C$9,AF$9-DPR!#REF!,IF($AK$5=$C$10,AF$10-DPR!#REF!,IF($AK$5=$C$11,AF$11-DPR!#REF!))))</f>
        <v>#REF!</v>
      </c>
      <c r="AG78" s="920" t="e">
        <f t="shared" si="5"/>
        <v>#REF!</v>
      </c>
      <c r="AH78" s="888">
        <f t="shared" si="6"/>
        <v>202506</v>
      </c>
      <c r="AI78" t="e">
        <f>DPR!#REF!</f>
        <v>#REF!</v>
      </c>
      <c r="AJ78" t="e">
        <f>DPR!#REF!</f>
        <v>#REF!</v>
      </c>
    </row>
    <row r="79" spans="3:36" ht="15.75">
      <c r="C79" s="918">
        <v>45815</v>
      </c>
      <c r="D79" s="870" t="e">
        <f>MAX(0,IF($AK$5=$C$9,D$9-DPR!#REF!,IF($AK$5=$C$10,D$10-DPR!#REF!,IF($AK$5=$C$11,D$11-DPR!#REF!))))</f>
        <v>#REF!</v>
      </c>
      <c r="E79" s="870" t="e">
        <f>MAX(0,IF($AK$5=$C$9,E$9-DPR!#REF!,IF($AK$5=$C$10,E$10-DPR!#REF!,IF($AK$5=$C$11,E$11-DPR!#REF!))))</f>
        <v>#REF!</v>
      </c>
      <c r="F79" s="870" t="e">
        <f>MAX(0,IF($AK$5=$C$9,F$9-DPR!#REF!,IF($AK$5=$C$10,F$10-DPR!#REF!,IF($AK$5=$C$11,F$11-DPR!#REF!))))</f>
        <v>#REF!</v>
      </c>
      <c r="G79" s="870" t="e">
        <f>MAX(0,IF($AK$5=$C$9,G$9-DPR!#REF!,IF($AK$5=$C$10,G$10-DPR!#REF!,IF($AK$5=$C$11,G$11-DPR!#REF!))))</f>
        <v>#REF!</v>
      </c>
      <c r="H79" s="870" t="e">
        <f>MAX(0,IF($AK$5=$C$9,H$9-DPR!#REF!,IF($AK$5=$C$10,H$10-DPR!#REF!,IF($AK$5=$C$11,H$11-DPR!#REF!))))</f>
        <v>#REF!</v>
      </c>
      <c r="I79" s="870" t="e">
        <f>MAX(0,IF($AK$5=$C$9,I$9-DPR!#REF!,IF($AK$5=$C$10,I$10-DPR!#REF!,IF($AK$5=$C$11,I$11-DPR!#REF!))))</f>
        <v>#REF!</v>
      </c>
      <c r="J79" s="870" t="e">
        <f>MAX(0,IF($AK$5=$C$9,J$9-DPR!#REF!,IF($AK$5=$C$10,J$10-DPR!#REF!,IF($AK$5=$C$11,J$11-DPR!#REF!))))</f>
        <v>#REF!</v>
      </c>
      <c r="K79" s="870" t="e">
        <f>MAX(0,IF($AK$5=$C$9,K$9-DPR!#REF!,IF($AK$5=$C$10,K$10-DPR!#REF!,IF($AK$5=$C$11,K$11-DPR!#REF!))))</f>
        <v>#REF!</v>
      </c>
      <c r="L79" s="870" t="e">
        <f>MAX(0,IF($AK$5=$C$9,L$9-DPR!#REF!,IF($AK$5=$C$10,L$10-DPR!#REF!,IF($AK$5=$C$11,L$11-DPR!#REF!))))</f>
        <v>#REF!</v>
      </c>
      <c r="M79" s="870" t="e">
        <f>MAX(0,IF($AK$5=$C$9,M$9-DPR!#REF!,IF($AK$5=$C$10,M$10-DPR!#REF!,IF($AK$5=$C$11,M$11-DPR!#REF!))))</f>
        <v>#REF!</v>
      </c>
      <c r="N79" s="870" t="e">
        <f>MAX(0,IF($AK$5=$C$9,N$9-DPR!#REF!,IF($AK$5=$C$10,N$10-DPR!#REF!,IF($AK$5=$C$11,N$11-DPR!#REF!))))</f>
        <v>#REF!</v>
      </c>
      <c r="O79" s="870" t="e">
        <f>MAX(0,IF($AK$5=$C$9,O$9-DPR!#REF!,IF($AK$5=$C$10,O$10-DPR!#REF!,IF($AK$5=$C$11,O$11-DPR!#REF!))))</f>
        <v>#REF!</v>
      </c>
      <c r="P79" s="870" t="e">
        <f>MAX(0,IF($AK$5=$C$9,P$9-DPR!#REF!,IF($AK$5=$C$10,P$10-DPR!#REF!,IF($AK$5=$C$11,P$11-DPR!#REF!))))</f>
        <v>#REF!</v>
      </c>
      <c r="Q79" s="870">
        <v>0</v>
      </c>
      <c r="R79" s="919" t="e">
        <f t="shared" si="4"/>
        <v>#REF!</v>
      </c>
      <c r="S79" s="878" t="e">
        <f>MAX(0,IF($AK$5=$C$9,S$9-DPR!#REF!,IF($AK$5=$C$10,S$10-DPR!#REF!,IF($AK$5=$C$11,S$11-DPR!#REF!))))</f>
        <v>#REF!</v>
      </c>
      <c r="T79" s="878" t="e">
        <f>MAX(0,IF($AK$5=$C$9,T$9-DPR!#REF!,IF($AK$5=$C$10,T$10-DPR!#REF!,IF($AK$5=$C$11,T$11-DPR!#REF!))))</f>
        <v>#REF!</v>
      </c>
      <c r="U79" s="878" t="e">
        <f>MAX(0,IF($AK$5=$C$9,U$9-DPR!#REF!,IF($AK$5=$C$10,U$10-DPR!#REF!,IF($AK$5=$C$11,U$11-DPR!#REF!))))</f>
        <v>#REF!</v>
      </c>
      <c r="V79" s="878" t="e">
        <f>MAX(0,IF($AK$5=$C$9,V$9-DPR!#REF!,IF($AK$5=$C$10,V$10-DPR!#REF!,IF($AK$5=$C$11,V$11-DPR!#REF!))))</f>
        <v>#REF!</v>
      </c>
      <c r="W79" s="878" t="e">
        <f>MAX(0,IF($AK$5=$C$9,W$9-DPR!#REF!,IF($AK$5=$C$10,W$10-DPR!#REF!,IF($AK$5=$C$11,W$11-DPR!#REF!))))</f>
        <v>#REF!</v>
      </c>
      <c r="X79" s="878" t="e">
        <f>MAX(0,IF($AK$5=$C$9,X$9-DPR!#REF!,IF($AK$5=$C$10,X$10-DPR!#REF!,IF($AK$5=$C$11,X$11-DPR!#REF!))))</f>
        <v>#REF!</v>
      </c>
      <c r="Y79" s="878" t="e">
        <f>MAX(0,IF($AK$5=$C$9,Y$9-DPR!#REF!,IF($AK$5=$C$10,Y$10-DPR!#REF!,IF($AK$5=$C$11,Y$11-DPR!#REF!))))</f>
        <v>#REF!</v>
      </c>
      <c r="Z79" s="878" t="e">
        <f>MAX(0,IF($AK$5=$C$9,Z$9-DPR!#REF!,IF($AK$5=$C$10,Z$10-DPR!#REF!,IF($AK$5=$C$11,Z$11-DPR!#REF!))))</f>
        <v>#REF!</v>
      </c>
      <c r="AA79" s="878" t="e">
        <f>MAX(0,IF($AK$5=$C$9,AA$9-DPR!#REF!,IF($AK$5=$C$10,AA$10-DPR!#REF!,IF($AK$5=$C$11,AA$11-DPR!#REF!))))</f>
        <v>#REF!</v>
      </c>
      <c r="AB79" s="878" t="e">
        <f>MAX(0,IF($AK$5=$C$9,AB$9-DPR!#REF!,IF($AK$5=$C$10,AB$10-DPR!#REF!,IF($AK$5=$C$11,AB$11-DPR!#REF!))))</f>
        <v>#REF!</v>
      </c>
      <c r="AC79" s="878" t="e">
        <f>MAX(0,IF($AK$5=$C$9,AC$9-DPR!#REF!,IF($AK$5=$C$10,AC$10-DPR!#REF!,IF($AK$5=$C$11,AC$11-DPR!#REF!))))</f>
        <v>#REF!</v>
      </c>
      <c r="AD79" s="878" t="e">
        <f>MAX(0,IF($AK$5=$C$9,AD$9-DPR!#REF!,IF($AK$5=$C$10,AD$10-DPR!#REF!,IF($AK$5=$C$11,AD$11-DPR!#REF!))))</f>
        <v>#REF!</v>
      </c>
      <c r="AE79" s="878" t="e">
        <f>MAX(0,IF($AK$5=$C$9,AE$9-DPR!#REF!,IF($AK$5=$C$10,AE$10-DPR!#REF!,IF($AK$5=$C$11,AE$11-DPR!#REF!))))</f>
        <v>#REF!</v>
      </c>
      <c r="AF79" s="878" t="e">
        <f>MAX(0,IF($AK$5=$C$9,AF$9-DPR!#REF!,IF($AK$5=$C$10,AF$10-DPR!#REF!,IF($AK$5=$C$11,AF$11-DPR!#REF!))))</f>
        <v>#REF!</v>
      </c>
      <c r="AG79" s="920" t="e">
        <f t="shared" si="5"/>
        <v>#REF!</v>
      </c>
      <c r="AH79" s="888">
        <f t="shared" si="6"/>
        <v>202506</v>
      </c>
      <c r="AI79" t="e">
        <f>DPR!#REF!</f>
        <v>#REF!</v>
      </c>
      <c r="AJ79" t="e">
        <f>DPR!#REF!</f>
        <v>#REF!</v>
      </c>
    </row>
    <row r="80" spans="3:36" ht="15.75">
      <c r="C80" s="918">
        <v>45816</v>
      </c>
      <c r="D80" s="870" t="e">
        <f>MAX(0,IF($AK$5=$C$9,D$9-DPR!#REF!,IF($AK$5=$C$10,D$10-DPR!#REF!,IF($AK$5=$C$11,D$11-DPR!#REF!))))</f>
        <v>#REF!</v>
      </c>
      <c r="E80" s="870" t="e">
        <f>MAX(0,IF($AK$5=$C$9,E$9-DPR!#REF!,IF($AK$5=$C$10,E$10-DPR!#REF!,IF($AK$5=$C$11,E$11-DPR!#REF!))))</f>
        <v>#REF!</v>
      </c>
      <c r="F80" s="870" t="e">
        <f>MAX(0,IF($AK$5=$C$9,F$9-DPR!#REF!,IF($AK$5=$C$10,F$10-DPR!#REF!,IF($AK$5=$C$11,F$11-DPR!#REF!))))</f>
        <v>#REF!</v>
      </c>
      <c r="G80" s="870" t="e">
        <f>MAX(0,IF($AK$5=$C$9,G$9-DPR!#REF!,IF($AK$5=$C$10,G$10-DPR!#REF!,IF($AK$5=$C$11,G$11-DPR!#REF!))))</f>
        <v>#REF!</v>
      </c>
      <c r="H80" s="870" t="e">
        <f>MAX(0,IF($AK$5=$C$9,H$9-DPR!#REF!,IF($AK$5=$C$10,H$10-DPR!#REF!,IF($AK$5=$C$11,H$11-DPR!#REF!))))</f>
        <v>#REF!</v>
      </c>
      <c r="I80" s="870" t="e">
        <f>MAX(0,IF($AK$5=$C$9,I$9-DPR!#REF!,IF($AK$5=$C$10,I$10-DPR!#REF!,IF($AK$5=$C$11,I$11-DPR!#REF!))))</f>
        <v>#REF!</v>
      </c>
      <c r="J80" s="870" t="e">
        <f>MAX(0,IF($AK$5=$C$9,J$9-DPR!#REF!,IF($AK$5=$C$10,J$10-DPR!#REF!,IF($AK$5=$C$11,J$11-DPR!#REF!))))</f>
        <v>#REF!</v>
      </c>
      <c r="K80" s="870" t="e">
        <f>MAX(0,IF($AK$5=$C$9,K$9-DPR!#REF!,IF($AK$5=$C$10,K$10-DPR!#REF!,IF($AK$5=$C$11,K$11-DPR!#REF!))))</f>
        <v>#REF!</v>
      </c>
      <c r="L80" s="870" t="e">
        <f>MAX(0,IF($AK$5=$C$9,L$9-DPR!#REF!,IF($AK$5=$C$10,L$10-DPR!#REF!,IF($AK$5=$C$11,L$11-DPR!#REF!))))</f>
        <v>#REF!</v>
      </c>
      <c r="M80" s="870" t="e">
        <f>MAX(0,IF($AK$5=$C$9,M$9-DPR!#REF!,IF($AK$5=$C$10,M$10-DPR!#REF!,IF($AK$5=$C$11,M$11-DPR!#REF!))))</f>
        <v>#REF!</v>
      </c>
      <c r="N80" s="870" t="e">
        <f>MAX(0,IF($AK$5=$C$9,N$9-DPR!#REF!,IF($AK$5=$C$10,N$10-DPR!#REF!,IF($AK$5=$C$11,N$11-DPR!#REF!))))</f>
        <v>#REF!</v>
      </c>
      <c r="O80" s="870" t="e">
        <f>MAX(0,IF($AK$5=$C$9,O$9-DPR!#REF!,IF($AK$5=$C$10,O$10-DPR!#REF!,IF($AK$5=$C$11,O$11-DPR!#REF!))))</f>
        <v>#REF!</v>
      </c>
      <c r="P80" s="870" t="e">
        <f>MAX(0,IF($AK$5=$C$9,P$9-DPR!#REF!,IF($AK$5=$C$10,P$10-DPR!#REF!,IF($AK$5=$C$11,P$11-DPR!#REF!))))</f>
        <v>#REF!</v>
      </c>
      <c r="Q80" s="874">
        <v>0</v>
      </c>
      <c r="R80" s="919" t="e">
        <f t="shared" si="4"/>
        <v>#REF!</v>
      </c>
      <c r="S80" s="878" t="e">
        <f>MAX(0,IF($AK$5=$C$9,S$9-DPR!#REF!,IF($AK$5=$C$10,S$10-DPR!#REF!,IF($AK$5=$C$11,S$11-DPR!#REF!))))</f>
        <v>#REF!</v>
      </c>
      <c r="T80" s="878" t="e">
        <f>MAX(0,IF($AK$5=$C$9,T$9-DPR!#REF!,IF($AK$5=$C$10,T$10-DPR!#REF!,IF($AK$5=$C$11,T$11-DPR!#REF!))))</f>
        <v>#REF!</v>
      </c>
      <c r="U80" s="878" t="e">
        <f>MAX(0,IF($AK$5=$C$9,U$9-DPR!#REF!,IF($AK$5=$C$10,U$10-DPR!#REF!,IF($AK$5=$C$11,U$11-DPR!#REF!))))</f>
        <v>#REF!</v>
      </c>
      <c r="V80" s="878" t="e">
        <f>MAX(0,IF($AK$5=$C$9,V$9-DPR!#REF!,IF($AK$5=$C$10,V$10-DPR!#REF!,IF($AK$5=$C$11,V$11-DPR!#REF!))))</f>
        <v>#REF!</v>
      </c>
      <c r="W80" s="878" t="e">
        <f>MAX(0,IF($AK$5=$C$9,W$9-DPR!#REF!,IF($AK$5=$C$10,W$10-DPR!#REF!,IF($AK$5=$C$11,W$11-DPR!#REF!))))</f>
        <v>#REF!</v>
      </c>
      <c r="X80" s="878" t="e">
        <f>MAX(0,IF($AK$5=$C$9,X$9-DPR!#REF!,IF($AK$5=$C$10,X$10-DPR!#REF!,IF($AK$5=$C$11,X$11-DPR!#REF!))))</f>
        <v>#REF!</v>
      </c>
      <c r="Y80" s="878" t="e">
        <f>MAX(0,IF($AK$5=$C$9,Y$9-DPR!#REF!,IF($AK$5=$C$10,Y$10-DPR!#REF!,IF($AK$5=$C$11,Y$11-DPR!#REF!))))</f>
        <v>#REF!</v>
      </c>
      <c r="Z80" s="878" t="e">
        <f>MAX(0,IF($AK$5=$C$9,Z$9-DPR!#REF!,IF($AK$5=$C$10,Z$10-DPR!#REF!,IF($AK$5=$C$11,Z$11-DPR!#REF!))))</f>
        <v>#REF!</v>
      </c>
      <c r="AA80" s="878" t="e">
        <f>MAX(0,IF($AK$5=$C$9,AA$9-DPR!#REF!,IF($AK$5=$C$10,AA$10-DPR!#REF!,IF($AK$5=$C$11,AA$11-DPR!#REF!))))</f>
        <v>#REF!</v>
      </c>
      <c r="AB80" s="878" t="e">
        <f>MAX(0,IF($AK$5=$C$9,AB$9-DPR!#REF!,IF($AK$5=$C$10,AB$10-DPR!#REF!,IF($AK$5=$C$11,AB$11-DPR!#REF!))))</f>
        <v>#REF!</v>
      </c>
      <c r="AC80" s="878" t="e">
        <f>MAX(0,IF($AK$5=$C$9,AC$9-DPR!#REF!,IF($AK$5=$C$10,AC$10-DPR!#REF!,IF($AK$5=$C$11,AC$11-DPR!#REF!))))</f>
        <v>#REF!</v>
      </c>
      <c r="AD80" s="878" t="e">
        <f>MAX(0,IF($AK$5=$C$9,AD$9-DPR!#REF!,IF($AK$5=$C$10,AD$10-DPR!#REF!,IF($AK$5=$C$11,AD$11-DPR!#REF!))))</f>
        <v>#REF!</v>
      </c>
      <c r="AE80" s="878" t="e">
        <f>MAX(0,IF($AK$5=$C$9,AE$9-DPR!#REF!,IF($AK$5=$C$10,AE$10-DPR!#REF!,IF($AK$5=$C$11,AE$11-DPR!#REF!))))</f>
        <v>#REF!</v>
      </c>
      <c r="AF80" s="878" t="e">
        <f>MAX(0,IF($AK$5=$C$9,AF$9-DPR!#REF!,IF($AK$5=$C$10,AF$10-DPR!#REF!,IF($AK$5=$C$11,AF$11-DPR!#REF!))))</f>
        <v>#REF!</v>
      </c>
      <c r="AG80" s="920" t="e">
        <f t="shared" si="5"/>
        <v>#REF!</v>
      </c>
      <c r="AH80" s="888">
        <f t="shared" si="6"/>
        <v>202506</v>
      </c>
      <c r="AI80" t="e">
        <f>DPR!#REF!</f>
        <v>#REF!</v>
      </c>
      <c r="AJ80" t="e">
        <f>DPR!#REF!</f>
        <v>#REF!</v>
      </c>
    </row>
    <row r="81" spans="3:36" ht="15.75">
      <c r="C81" s="918">
        <v>45817</v>
      </c>
      <c r="D81" s="870" t="e">
        <f>MAX(0,IF($AK$5=$C$9,D$9-DPR!#REF!,IF($AK$5=$C$10,D$10-DPR!#REF!,IF($AK$5=$C$11,D$11-DPR!#REF!))))</f>
        <v>#REF!</v>
      </c>
      <c r="E81" s="870" t="e">
        <f>MAX(0,IF($AK$5=$C$9,E$9-DPR!#REF!,IF($AK$5=$C$10,E$10-DPR!#REF!,IF($AK$5=$C$11,E$11-DPR!#REF!))))</f>
        <v>#REF!</v>
      </c>
      <c r="F81" s="870" t="e">
        <f>MAX(0,IF($AK$5=$C$9,F$9-DPR!#REF!,IF($AK$5=$C$10,F$10-DPR!#REF!,IF($AK$5=$C$11,F$11-DPR!#REF!))))</f>
        <v>#REF!</v>
      </c>
      <c r="G81" s="870" t="e">
        <f>MAX(0,IF($AK$5=$C$9,G$9-DPR!#REF!,IF($AK$5=$C$10,G$10-DPR!#REF!,IF($AK$5=$C$11,G$11-DPR!#REF!))))</f>
        <v>#REF!</v>
      </c>
      <c r="H81" s="870" t="e">
        <f>MAX(0,IF($AK$5=$C$9,H$9-DPR!#REF!,IF($AK$5=$C$10,H$10-DPR!#REF!,IF($AK$5=$C$11,H$11-DPR!#REF!))))</f>
        <v>#REF!</v>
      </c>
      <c r="I81" s="870" t="e">
        <f>MAX(0,IF($AK$5=$C$9,I$9-DPR!#REF!,IF($AK$5=$C$10,I$10-DPR!#REF!,IF($AK$5=$C$11,I$11-DPR!#REF!))))</f>
        <v>#REF!</v>
      </c>
      <c r="J81" s="870" t="e">
        <f>MAX(0,IF($AK$5=$C$9,J$9-DPR!#REF!,IF($AK$5=$C$10,J$10-DPR!#REF!,IF($AK$5=$C$11,J$11-DPR!#REF!))))</f>
        <v>#REF!</v>
      </c>
      <c r="K81" s="870" t="e">
        <f>MAX(0,IF($AK$5=$C$9,K$9-DPR!#REF!,IF($AK$5=$C$10,K$10-DPR!#REF!,IF($AK$5=$C$11,K$11-DPR!#REF!))))</f>
        <v>#REF!</v>
      </c>
      <c r="L81" s="870" t="e">
        <f>MAX(0,IF($AK$5=$C$9,L$9-DPR!#REF!,IF($AK$5=$C$10,L$10-DPR!#REF!,IF($AK$5=$C$11,L$11-DPR!#REF!))))</f>
        <v>#REF!</v>
      </c>
      <c r="M81" s="870" t="e">
        <f>MAX(0,IF($AK$5=$C$9,M$9-DPR!#REF!,IF($AK$5=$C$10,M$10-DPR!#REF!,IF($AK$5=$C$11,M$11-DPR!#REF!))))</f>
        <v>#REF!</v>
      </c>
      <c r="N81" s="870" t="e">
        <f>MAX(0,IF($AK$5=$C$9,N$9-DPR!#REF!,IF($AK$5=$C$10,N$10-DPR!#REF!,IF($AK$5=$C$11,N$11-DPR!#REF!))))</f>
        <v>#REF!</v>
      </c>
      <c r="O81" s="870" t="e">
        <f>MAX(0,IF($AK$5=$C$9,O$9-DPR!#REF!,IF($AK$5=$C$10,O$10-DPR!#REF!,IF($AK$5=$C$11,O$11-DPR!#REF!))))</f>
        <v>#REF!</v>
      </c>
      <c r="P81" s="870" t="e">
        <f>MAX(0,IF($AK$5=$C$9,P$9-DPR!#REF!,IF($AK$5=$C$10,P$10-DPR!#REF!,IF($AK$5=$C$11,P$11-DPR!#REF!))))</f>
        <v>#REF!</v>
      </c>
      <c r="Q81" s="870">
        <v>0</v>
      </c>
      <c r="R81" s="919" t="e">
        <f t="shared" si="4"/>
        <v>#REF!</v>
      </c>
      <c r="S81" s="878" t="e">
        <f>MAX(0,IF($AK$5=$C$9,S$9-DPR!#REF!,IF($AK$5=$C$10,S$10-DPR!#REF!,IF($AK$5=$C$11,S$11-DPR!#REF!))))</f>
        <v>#REF!</v>
      </c>
      <c r="T81" s="878" t="e">
        <f>MAX(0,IF($AK$5=$C$9,T$9-DPR!#REF!,IF($AK$5=$C$10,T$10-DPR!#REF!,IF($AK$5=$C$11,T$11-DPR!#REF!))))</f>
        <v>#REF!</v>
      </c>
      <c r="U81" s="878" t="e">
        <f>MAX(0,IF($AK$5=$C$9,U$9-DPR!#REF!,IF($AK$5=$C$10,U$10-DPR!#REF!,IF($AK$5=$C$11,U$11-DPR!#REF!))))</f>
        <v>#REF!</v>
      </c>
      <c r="V81" s="878" t="e">
        <f>MAX(0,IF($AK$5=$C$9,V$9-DPR!#REF!,IF($AK$5=$C$10,V$10-DPR!#REF!,IF($AK$5=$C$11,V$11-DPR!#REF!))))</f>
        <v>#REF!</v>
      </c>
      <c r="W81" s="878" t="e">
        <f>MAX(0,IF($AK$5=$C$9,W$9-DPR!#REF!,IF($AK$5=$C$10,W$10-DPR!#REF!,IF($AK$5=$C$11,W$11-DPR!#REF!))))</f>
        <v>#REF!</v>
      </c>
      <c r="X81" s="878" t="e">
        <f>MAX(0,IF($AK$5=$C$9,X$9-DPR!#REF!,IF($AK$5=$C$10,X$10-DPR!#REF!,IF($AK$5=$C$11,X$11-DPR!#REF!))))</f>
        <v>#REF!</v>
      </c>
      <c r="Y81" s="878" t="e">
        <f>MAX(0,IF($AK$5=$C$9,Y$9-DPR!#REF!,IF($AK$5=$C$10,Y$10-DPR!#REF!,IF($AK$5=$C$11,Y$11-DPR!#REF!))))</f>
        <v>#REF!</v>
      </c>
      <c r="Z81" s="878" t="e">
        <f>MAX(0,IF($AK$5=$C$9,Z$9-DPR!#REF!,IF($AK$5=$C$10,Z$10-DPR!#REF!,IF($AK$5=$C$11,Z$11-DPR!#REF!))))</f>
        <v>#REF!</v>
      </c>
      <c r="AA81" s="878" t="e">
        <f>MAX(0,IF($AK$5=$C$9,AA$9-DPR!#REF!,IF($AK$5=$C$10,AA$10-DPR!#REF!,IF($AK$5=$C$11,AA$11-DPR!#REF!))))</f>
        <v>#REF!</v>
      </c>
      <c r="AB81" s="878" t="e">
        <f>MAX(0,IF($AK$5=$C$9,AB$9-DPR!#REF!,IF($AK$5=$C$10,AB$10-DPR!#REF!,IF($AK$5=$C$11,AB$11-DPR!#REF!))))</f>
        <v>#REF!</v>
      </c>
      <c r="AC81" s="878" t="e">
        <f>MAX(0,IF($AK$5=$C$9,AC$9-DPR!#REF!,IF($AK$5=$C$10,AC$10-DPR!#REF!,IF($AK$5=$C$11,AC$11-DPR!#REF!))))</f>
        <v>#REF!</v>
      </c>
      <c r="AD81" s="878" t="e">
        <f>MAX(0,IF($AK$5=$C$9,AD$9-DPR!#REF!,IF($AK$5=$C$10,AD$10-DPR!#REF!,IF($AK$5=$C$11,AD$11-DPR!#REF!))))</f>
        <v>#REF!</v>
      </c>
      <c r="AE81" s="878" t="e">
        <f>MAX(0,IF($AK$5=$C$9,AE$9-DPR!#REF!,IF($AK$5=$C$10,AE$10-DPR!#REF!,IF($AK$5=$C$11,AE$11-DPR!#REF!))))</f>
        <v>#REF!</v>
      </c>
      <c r="AF81" s="878" t="e">
        <f>MAX(0,IF($AK$5=$C$9,AF$9-DPR!#REF!,IF($AK$5=$C$10,AF$10-DPR!#REF!,IF($AK$5=$C$11,AF$11-DPR!#REF!))))</f>
        <v>#REF!</v>
      </c>
      <c r="AG81" s="920" t="e">
        <f t="shared" si="5"/>
        <v>#REF!</v>
      </c>
      <c r="AH81" s="888">
        <f t="shared" si="6"/>
        <v>202506</v>
      </c>
      <c r="AI81" t="e">
        <f>DPR!#REF!</f>
        <v>#REF!</v>
      </c>
      <c r="AJ81" t="e">
        <f>DPR!#REF!</f>
        <v>#REF!</v>
      </c>
    </row>
    <row r="82" spans="3:36" ht="15.75">
      <c r="C82" s="918">
        <v>45818</v>
      </c>
      <c r="D82" s="870" t="e">
        <f>MAX(0,IF($AK$5=$C$9,D$9-DPR!#REF!,IF($AK$5=$C$10,D$10-DPR!#REF!,IF($AK$5=$C$11,D$11-DPR!#REF!))))</f>
        <v>#REF!</v>
      </c>
      <c r="E82" s="870" t="e">
        <f>MAX(0,IF($AK$5=$C$9,E$9-DPR!#REF!,IF($AK$5=$C$10,E$10-DPR!#REF!,IF($AK$5=$C$11,E$11-DPR!#REF!))))</f>
        <v>#REF!</v>
      </c>
      <c r="F82" s="870" t="e">
        <f>MAX(0,IF($AK$5=$C$9,F$9-DPR!#REF!,IF($AK$5=$C$10,F$10-DPR!#REF!,IF($AK$5=$C$11,F$11-DPR!#REF!))))</f>
        <v>#REF!</v>
      </c>
      <c r="G82" s="870" t="e">
        <f>MAX(0,IF($AK$5=$C$9,G$9-DPR!#REF!,IF($AK$5=$C$10,G$10-DPR!#REF!,IF($AK$5=$C$11,G$11-DPR!#REF!))))</f>
        <v>#REF!</v>
      </c>
      <c r="H82" s="870" t="e">
        <f>MAX(0,IF($AK$5=$C$9,H$9-DPR!#REF!,IF($AK$5=$C$10,H$10-DPR!#REF!,IF($AK$5=$C$11,H$11-DPR!#REF!))))</f>
        <v>#REF!</v>
      </c>
      <c r="I82" s="870" t="e">
        <f>MAX(0,IF($AK$5=$C$9,I$9-DPR!#REF!,IF($AK$5=$C$10,I$10-DPR!#REF!,IF($AK$5=$C$11,I$11-DPR!#REF!))))</f>
        <v>#REF!</v>
      </c>
      <c r="J82" s="870" t="e">
        <f>MAX(0,IF($AK$5=$C$9,J$9-DPR!#REF!,IF($AK$5=$C$10,J$10-DPR!#REF!,IF($AK$5=$C$11,J$11-DPR!#REF!))))</f>
        <v>#REF!</v>
      </c>
      <c r="K82" s="870" t="e">
        <f>MAX(0,IF($AK$5=$C$9,K$9-DPR!#REF!,IF($AK$5=$C$10,K$10-DPR!#REF!,IF($AK$5=$C$11,K$11-DPR!#REF!))))</f>
        <v>#REF!</v>
      </c>
      <c r="L82" s="870" t="e">
        <f>MAX(0,IF($AK$5=$C$9,L$9-DPR!#REF!,IF($AK$5=$C$10,L$10-DPR!#REF!,IF($AK$5=$C$11,L$11-DPR!#REF!))))</f>
        <v>#REF!</v>
      </c>
      <c r="M82" s="870" t="e">
        <f>MAX(0,IF($AK$5=$C$9,M$9-DPR!#REF!,IF($AK$5=$C$10,M$10-DPR!#REF!,IF($AK$5=$C$11,M$11-DPR!#REF!))))</f>
        <v>#REF!</v>
      </c>
      <c r="N82" s="870" t="e">
        <f>MAX(0,IF($AK$5=$C$9,N$9-DPR!#REF!,IF($AK$5=$C$10,N$10-DPR!#REF!,IF($AK$5=$C$11,N$11-DPR!#REF!))))</f>
        <v>#REF!</v>
      </c>
      <c r="O82" s="870" t="e">
        <f>MAX(0,IF($AK$5=$C$9,O$9-DPR!#REF!,IF($AK$5=$C$10,O$10-DPR!#REF!,IF($AK$5=$C$11,O$11-DPR!#REF!))))</f>
        <v>#REF!</v>
      </c>
      <c r="P82" s="870" t="e">
        <f>MAX(0,IF($AK$5=$C$9,P$9-DPR!#REF!,IF($AK$5=$C$10,P$10-DPR!#REF!,IF($AK$5=$C$11,P$11-DPR!#REF!))))</f>
        <v>#REF!</v>
      </c>
      <c r="Q82" s="795">
        <v>0</v>
      </c>
      <c r="R82" s="919" t="e">
        <f t="shared" si="4"/>
        <v>#REF!</v>
      </c>
      <c r="S82" s="878" t="e">
        <f>MAX(0,IF($AK$5=$C$9,S$9-DPR!#REF!,IF($AK$5=$C$10,S$10-DPR!#REF!,IF($AK$5=$C$11,S$11-DPR!#REF!))))</f>
        <v>#REF!</v>
      </c>
      <c r="T82" s="878" t="e">
        <f>MAX(0,IF($AK$5=$C$9,T$9-DPR!#REF!,IF($AK$5=$C$10,T$10-DPR!#REF!,IF($AK$5=$C$11,T$11-DPR!#REF!))))</f>
        <v>#REF!</v>
      </c>
      <c r="U82" s="878" t="e">
        <f>MAX(0,IF($AK$5=$C$9,U$9-DPR!#REF!,IF($AK$5=$C$10,U$10-DPR!#REF!,IF($AK$5=$C$11,U$11-DPR!#REF!))))</f>
        <v>#REF!</v>
      </c>
      <c r="V82" s="878" t="e">
        <f>MAX(0,IF($AK$5=$C$9,V$9-DPR!#REF!,IF($AK$5=$C$10,V$10-DPR!#REF!,IF($AK$5=$C$11,V$11-DPR!#REF!))))</f>
        <v>#REF!</v>
      </c>
      <c r="W82" s="878" t="e">
        <f>MAX(0,IF($AK$5=$C$9,W$9-DPR!#REF!,IF($AK$5=$C$10,W$10-DPR!#REF!,IF($AK$5=$C$11,W$11-DPR!#REF!))))</f>
        <v>#REF!</v>
      </c>
      <c r="X82" s="878" t="e">
        <f>MAX(0,IF($AK$5=$C$9,X$9-DPR!#REF!,IF($AK$5=$C$10,X$10-DPR!#REF!,IF($AK$5=$C$11,X$11-DPR!#REF!))))</f>
        <v>#REF!</v>
      </c>
      <c r="Y82" s="878" t="e">
        <f>MAX(0,IF($AK$5=$C$9,Y$9-DPR!#REF!,IF($AK$5=$C$10,Y$10-DPR!#REF!,IF($AK$5=$C$11,Y$11-DPR!#REF!))))</f>
        <v>#REF!</v>
      </c>
      <c r="Z82" s="878" t="e">
        <f>MAX(0,IF($AK$5=$C$9,Z$9-DPR!#REF!,IF($AK$5=$C$10,Z$10-DPR!#REF!,IF($AK$5=$C$11,Z$11-DPR!#REF!))))</f>
        <v>#REF!</v>
      </c>
      <c r="AA82" s="878" t="e">
        <f>MAX(0,IF($AK$5=$C$9,AA$9-DPR!#REF!,IF($AK$5=$C$10,AA$10-DPR!#REF!,IF($AK$5=$C$11,AA$11-DPR!#REF!))))</f>
        <v>#REF!</v>
      </c>
      <c r="AB82" s="878" t="e">
        <f>MAX(0,IF($AK$5=$C$9,AB$9-DPR!#REF!,IF($AK$5=$C$10,AB$10-DPR!#REF!,IF($AK$5=$C$11,AB$11-DPR!#REF!))))</f>
        <v>#REF!</v>
      </c>
      <c r="AC82" s="878" t="e">
        <f>MAX(0,IF($AK$5=$C$9,AC$9-DPR!#REF!,IF($AK$5=$C$10,AC$10-DPR!#REF!,IF($AK$5=$C$11,AC$11-DPR!#REF!))))</f>
        <v>#REF!</v>
      </c>
      <c r="AD82" s="878" t="e">
        <f>MAX(0,IF($AK$5=$C$9,AD$9-DPR!#REF!,IF($AK$5=$C$10,AD$10-DPR!#REF!,IF($AK$5=$C$11,AD$11-DPR!#REF!))))</f>
        <v>#REF!</v>
      </c>
      <c r="AE82" s="878" t="e">
        <f>MAX(0,IF($AK$5=$C$9,AE$9-DPR!#REF!,IF($AK$5=$C$10,AE$10-DPR!#REF!,IF($AK$5=$C$11,AE$11-DPR!#REF!))))</f>
        <v>#REF!</v>
      </c>
      <c r="AF82" s="878" t="e">
        <f>MAX(0,IF($AK$5=$C$9,AF$9-DPR!#REF!,IF($AK$5=$C$10,AF$10-DPR!#REF!,IF($AK$5=$C$11,AF$11-DPR!#REF!))))</f>
        <v>#REF!</v>
      </c>
      <c r="AG82" s="920" t="e">
        <f t="shared" si="5"/>
        <v>#REF!</v>
      </c>
      <c r="AH82" s="888">
        <f t="shared" si="6"/>
        <v>202506</v>
      </c>
      <c r="AI82" t="e">
        <f>DPR!#REF!</f>
        <v>#REF!</v>
      </c>
      <c r="AJ82" t="e">
        <f>DPR!#REF!</f>
        <v>#REF!</v>
      </c>
    </row>
    <row r="83" spans="3:36" ht="15.75">
      <c r="C83" s="918">
        <v>45819</v>
      </c>
      <c r="D83" s="870" t="e">
        <f>MAX(0,IF($AK$5=$C$9,D$9-DPR!#REF!,IF($AK$5=$C$10,D$10-DPR!#REF!,IF($AK$5=$C$11,D$11-DPR!#REF!))))</f>
        <v>#REF!</v>
      </c>
      <c r="E83" s="870" t="e">
        <f>MAX(0,IF($AK$5=$C$9,E$9-DPR!#REF!,IF($AK$5=$C$10,E$10-DPR!#REF!,IF($AK$5=$C$11,E$11-DPR!#REF!))))</f>
        <v>#REF!</v>
      </c>
      <c r="F83" s="870" t="e">
        <f>MAX(0,IF($AK$5=$C$9,F$9-DPR!#REF!,IF($AK$5=$C$10,F$10-DPR!#REF!,IF($AK$5=$C$11,F$11-DPR!#REF!))))</f>
        <v>#REF!</v>
      </c>
      <c r="G83" s="870" t="e">
        <f>MAX(0,IF($AK$5=$C$9,G$9-DPR!#REF!,IF($AK$5=$C$10,G$10-DPR!#REF!,IF($AK$5=$C$11,G$11-DPR!#REF!))))</f>
        <v>#REF!</v>
      </c>
      <c r="H83" s="870" t="e">
        <f>MAX(0,IF($AK$5=$C$9,H$9-DPR!#REF!,IF($AK$5=$C$10,H$10-DPR!#REF!,IF($AK$5=$C$11,H$11-DPR!#REF!))))</f>
        <v>#REF!</v>
      </c>
      <c r="I83" s="870" t="e">
        <f>MAX(0,IF($AK$5=$C$9,I$9-DPR!#REF!,IF($AK$5=$C$10,I$10-DPR!#REF!,IF($AK$5=$C$11,I$11-DPR!#REF!))))</f>
        <v>#REF!</v>
      </c>
      <c r="J83" s="870" t="e">
        <f>MAX(0,IF($AK$5=$C$9,J$9-DPR!#REF!,IF($AK$5=$C$10,J$10-DPR!#REF!,IF($AK$5=$C$11,J$11-DPR!#REF!))))</f>
        <v>#REF!</v>
      </c>
      <c r="K83" s="870" t="e">
        <f>MAX(0,IF($AK$5=$C$9,K$9-DPR!#REF!,IF($AK$5=$C$10,K$10-DPR!#REF!,IF($AK$5=$C$11,K$11-DPR!#REF!))))</f>
        <v>#REF!</v>
      </c>
      <c r="L83" s="870" t="e">
        <f>MAX(0,IF($AK$5=$C$9,L$9-DPR!#REF!,IF($AK$5=$C$10,L$10-DPR!#REF!,IF($AK$5=$C$11,L$11-DPR!#REF!))))</f>
        <v>#REF!</v>
      </c>
      <c r="M83" s="870" t="e">
        <f>MAX(0,IF($AK$5=$C$9,M$9-DPR!#REF!,IF($AK$5=$C$10,M$10-DPR!#REF!,IF($AK$5=$C$11,M$11-DPR!#REF!))))</f>
        <v>#REF!</v>
      </c>
      <c r="N83" s="870" t="e">
        <f>MAX(0,IF($AK$5=$C$9,N$9-DPR!#REF!,IF($AK$5=$C$10,N$10-DPR!#REF!,IF($AK$5=$C$11,N$11-DPR!#REF!))))</f>
        <v>#REF!</v>
      </c>
      <c r="O83" s="870" t="e">
        <f>MAX(0,IF($AK$5=$C$9,O$9-DPR!#REF!,IF($AK$5=$C$10,O$10-DPR!#REF!,IF($AK$5=$C$11,O$11-DPR!#REF!))))</f>
        <v>#REF!</v>
      </c>
      <c r="P83" s="870" t="e">
        <f>MAX(0,IF($AK$5=$C$9,P$9-DPR!#REF!,IF($AK$5=$C$10,P$10-DPR!#REF!,IF($AK$5=$C$11,P$11-DPR!#REF!))))</f>
        <v>#REF!</v>
      </c>
      <c r="Q83" s="773">
        <v>0</v>
      </c>
      <c r="R83" s="919" t="e">
        <f t="shared" si="4"/>
        <v>#REF!</v>
      </c>
      <c r="S83" s="878" t="e">
        <f>MAX(0,IF($AK$5=$C$9,S$9-DPR!#REF!,IF($AK$5=$C$10,S$10-DPR!#REF!,IF($AK$5=$C$11,S$11-DPR!#REF!))))</f>
        <v>#REF!</v>
      </c>
      <c r="T83" s="878" t="e">
        <f>MAX(0,IF($AK$5=$C$9,T$9-DPR!#REF!,IF($AK$5=$C$10,T$10-DPR!#REF!,IF($AK$5=$C$11,T$11-DPR!#REF!))))</f>
        <v>#REF!</v>
      </c>
      <c r="U83" s="878" t="e">
        <f>MAX(0,IF($AK$5=$C$9,U$9-DPR!#REF!,IF($AK$5=$C$10,U$10-DPR!#REF!,IF($AK$5=$C$11,U$11-DPR!#REF!))))</f>
        <v>#REF!</v>
      </c>
      <c r="V83" s="878" t="e">
        <f>MAX(0,IF($AK$5=$C$9,V$9-DPR!#REF!,IF($AK$5=$C$10,V$10-DPR!#REF!,IF($AK$5=$C$11,V$11-DPR!#REF!))))</f>
        <v>#REF!</v>
      </c>
      <c r="W83" s="878" t="e">
        <f>MAX(0,IF($AK$5=$C$9,W$9-DPR!#REF!,IF($AK$5=$C$10,W$10-DPR!#REF!,IF($AK$5=$C$11,W$11-DPR!#REF!))))</f>
        <v>#REF!</v>
      </c>
      <c r="X83" s="878" t="e">
        <f>MAX(0,IF($AK$5=$C$9,X$9-DPR!#REF!,IF($AK$5=$C$10,X$10-DPR!#REF!,IF($AK$5=$C$11,X$11-DPR!#REF!))))</f>
        <v>#REF!</v>
      </c>
      <c r="Y83" s="878" t="e">
        <f>MAX(0,IF($AK$5=$C$9,Y$9-DPR!#REF!,IF($AK$5=$C$10,Y$10-DPR!#REF!,IF($AK$5=$C$11,Y$11-DPR!#REF!))))</f>
        <v>#REF!</v>
      </c>
      <c r="Z83" s="878" t="e">
        <f>MAX(0,IF($AK$5=$C$9,Z$9-DPR!#REF!,IF($AK$5=$C$10,Z$10-DPR!#REF!,IF($AK$5=$C$11,Z$11-DPR!#REF!))))</f>
        <v>#REF!</v>
      </c>
      <c r="AA83" s="878" t="e">
        <f>MAX(0,IF($AK$5=$C$9,AA$9-DPR!#REF!,IF($AK$5=$C$10,AA$10-DPR!#REF!,IF($AK$5=$C$11,AA$11-DPR!#REF!))))</f>
        <v>#REF!</v>
      </c>
      <c r="AB83" s="878" t="e">
        <f>MAX(0,IF($AK$5=$C$9,AB$9-DPR!#REF!,IF($AK$5=$C$10,AB$10-DPR!#REF!,IF($AK$5=$C$11,AB$11-DPR!#REF!))))</f>
        <v>#REF!</v>
      </c>
      <c r="AC83" s="878" t="e">
        <f>MAX(0,IF($AK$5=$C$9,AC$9-DPR!#REF!,IF($AK$5=$C$10,AC$10-DPR!#REF!,IF($AK$5=$C$11,AC$11-DPR!#REF!))))</f>
        <v>#REF!</v>
      </c>
      <c r="AD83" s="878" t="e">
        <f>MAX(0,IF($AK$5=$C$9,AD$9-DPR!#REF!,IF($AK$5=$C$10,AD$10-DPR!#REF!,IF($AK$5=$C$11,AD$11-DPR!#REF!))))</f>
        <v>#REF!</v>
      </c>
      <c r="AE83" s="878" t="e">
        <f>MAX(0,IF($AK$5=$C$9,AE$9-DPR!#REF!,IF($AK$5=$C$10,AE$10-DPR!#REF!,IF($AK$5=$C$11,AE$11-DPR!#REF!))))</f>
        <v>#REF!</v>
      </c>
      <c r="AF83" s="878" t="e">
        <f>MAX(0,IF($AK$5=$C$9,AF$9-DPR!#REF!,IF($AK$5=$C$10,AF$10-DPR!#REF!,IF($AK$5=$C$11,AF$11-DPR!#REF!))))</f>
        <v>#REF!</v>
      </c>
      <c r="AG83" s="920" t="e">
        <f t="shared" si="5"/>
        <v>#REF!</v>
      </c>
      <c r="AH83" s="888">
        <f t="shared" si="6"/>
        <v>202506</v>
      </c>
      <c r="AI83" t="e">
        <f>DPR!#REF!</f>
        <v>#REF!</v>
      </c>
      <c r="AJ83" t="e">
        <f>DPR!#REF!</f>
        <v>#REF!</v>
      </c>
    </row>
    <row r="84" spans="3:36" ht="15.75">
      <c r="C84" s="918">
        <v>45820</v>
      </c>
      <c r="D84" s="870" t="e">
        <f>MAX(0,IF($AK$5=$C$9,D$9-DPR!#REF!,IF($AK$5=$C$10,D$10-DPR!#REF!,IF($AK$5=$C$11,D$11-DPR!#REF!))))</f>
        <v>#REF!</v>
      </c>
      <c r="E84" s="870" t="e">
        <f>MAX(0,IF($AK$5=$C$9,E$9-DPR!#REF!,IF($AK$5=$C$10,E$10-DPR!#REF!,IF($AK$5=$C$11,E$11-DPR!#REF!))))</f>
        <v>#REF!</v>
      </c>
      <c r="F84" s="870" t="e">
        <f>MAX(0,IF($AK$5=$C$9,F$9-DPR!#REF!,IF($AK$5=$C$10,F$10-DPR!#REF!,IF($AK$5=$C$11,F$11-DPR!#REF!))))</f>
        <v>#REF!</v>
      </c>
      <c r="G84" s="870" t="e">
        <f>MAX(0,IF($AK$5=$C$9,G$9-DPR!#REF!,IF($AK$5=$C$10,G$10-DPR!#REF!,IF($AK$5=$C$11,G$11-DPR!#REF!))))</f>
        <v>#REF!</v>
      </c>
      <c r="H84" s="870" t="e">
        <f>MAX(0,IF($AK$5=$C$9,H$9-DPR!#REF!,IF($AK$5=$C$10,H$10-DPR!#REF!,IF($AK$5=$C$11,H$11-DPR!#REF!))))</f>
        <v>#REF!</v>
      </c>
      <c r="I84" s="870" t="e">
        <f>MAX(0,IF($AK$5=$C$9,I$9-DPR!#REF!,IF($AK$5=$C$10,I$10-DPR!#REF!,IF($AK$5=$C$11,I$11-DPR!#REF!))))</f>
        <v>#REF!</v>
      </c>
      <c r="J84" s="870" t="e">
        <f>MAX(0,IF($AK$5=$C$9,J$9-DPR!#REF!,IF($AK$5=$C$10,J$10-DPR!#REF!,IF($AK$5=$C$11,J$11-DPR!#REF!))))</f>
        <v>#REF!</v>
      </c>
      <c r="K84" s="870" t="e">
        <f>MAX(0,IF($AK$5=$C$9,K$9-DPR!#REF!,IF($AK$5=$C$10,K$10-DPR!#REF!,IF($AK$5=$C$11,K$11-DPR!#REF!))))</f>
        <v>#REF!</v>
      </c>
      <c r="L84" s="870" t="e">
        <f>MAX(0,IF($AK$5=$C$9,L$9-DPR!#REF!,IF($AK$5=$C$10,L$10-DPR!#REF!,IF($AK$5=$C$11,L$11-DPR!#REF!))))</f>
        <v>#REF!</v>
      </c>
      <c r="M84" s="870" t="e">
        <f>MAX(0,IF($AK$5=$C$9,M$9-DPR!#REF!,IF($AK$5=$C$10,M$10-DPR!#REF!,IF($AK$5=$C$11,M$11-DPR!#REF!))))</f>
        <v>#REF!</v>
      </c>
      <c r="N84" s="870" t="e">
        <f>MAX(0,IF($AK$5=$C$9,N$9-DPR!#REF!,IF($AK$5=$C$10,N$10-DPR!#REF!,IF($AK$5=$C$11,N$11-DPR!#REF!))))</f>
        <v>#REF!</v>
      </c>
      <c r="O84" s="870" t="e">
        <f>MAX(0,IF($AK$5=$C$9,O$9-DPR!#REF!,IF($AK$5=$C$10,O$10-DPR!#REF!,IF($AK$5=$C$11,O$11-DPR!#REF!))))</f>
        <v>#REF!</v>
      </c>
      <c r="P84" s="870" t="e">
        <f>MAX(0,IF($AK$5=$C$9,P$9-DPR!#REF!,IF($AK$5=$C$10,P$10-DPR!#REF!,IF($AK$5=$C$11,P$11-DPR!#REF!))))</f>
        <v>#REF!</v>
      </c>
      <c r="Q84" s="874">
        <v>0</v>
      </c>
      <c r="R84" s="919" t="e">
        <f t="shared" si="4"/>
        <v>#REF!</v>
      </c>
      <c r="S84" s="878" t="e">
        <f>MAX(0,IF($AK$5=$C$9,S$9-DPR!#REF!,IF($AK$5=$C$10,S$10-DPR!#REF!,IF($AK$5=$C$11,S$11-DPR!#REF!))))</f>
        <v>#REF!</v>
      </c>
      <c r="T84" s="878" t="e">
        <f>MAX(0,IF($AK$5=$C$9,T$9-DPR!#REF!,IF($AK$5=$C$10,T$10-DPR!#REF!,IF($AK$5=$C$11,T$11-DPR!#REF!))))</f>
        <v>#REF!</v>
      </c>
      <c r="U84" s="878" t="e">
        <f>MAX(0,IF($AK$5=$C$9,U$9-DPR!#REF!,IF($AK$5=$C$10,U$10-DPR!#REF!,IF($AK$5=$C$11,U$11-DPR!#REF!))))</f>
        <v>#REF!</v>
      </c>
      <c r="V84" s="878" t="e">
        <f>MAX(0,IF($AK$5=$C$9,V$9-DPR!#REF!,IF($AK$5=$C$10,V$10-DPR!#REF!,IF($AK$5=$C$11,V$11-DPR!#REF!))))</f>
        <v>#REF!</v>
      </c>
      <c r="W84" s="878" t="e">
        <f>MAX(0,IF($AK$5=$C$9,W$9-DPR!#REF!,IF($AK$5=$C$10,W$10-DPR!#REF!,IF($AK$5=$C$11,W$11-DPR!#REF!))))</f>
        <v>#REF!</v>
      </c>
      <c r="X84" s="878" t="e">
        <f>MAX(0,IF($AK$5=$C$9,X$9-DPR!#REF!,IF($AK$5=$C$10,X$10-DPR!#REF!,IF($AK$5=$C$11,X$11-DPR!#REF!))))</f>
        <v>#REF!</v>
      </c>
      <c r="Y84" s="878" t="e">
        <f>MAX(0,IF($AK$5=$C$9,Y$9-DPR!#REF!,IF($AK$5=$C$10,Y$10-DPR!#REF!,IF($AK$5=$C$11,Y$11-DPR!#REF!))))</f>
        <v>#REF!</v>
      </c>
      <c r="Z84" s="878" t="e">
        <f>MAX(0,IF($AK$5=$C$9,Z$9-DPR!#REF!,IF($AK$5=$C$10,Z$10-DPR!#REF!,IF($AK$5=$C$11,Z$11-DPR!#REF!))))</f>
        <v>#REF!</v>
      </c>
      <c r="AA84" s="878" t="e">
        <f>MAX(0,IF($AK$5=$C$9,AA$9-DPR!#REF!,IF($AK$5=$C$10,AA$10-DPR!#REF!,IF($AK$5=$C$11,AA$11-DPR!#REF!))))</f>
        <v>#REF!</v>
      </c>
      <c r="AB84" s="878" t="e">
        <f>MAX(0,IF($AK$5=$C$9,AB$9-DPR!#REF!,IF($AK$5=$C$10,AB$10-DPR!#REF!,IF($AK$5=$C$11,AB$11-DPR!#REF!))))</f>
        <v>#REF!</v>
      </c>
      <c r="AC84" s="878" t="e">
        <f>MAX(0,IF($AK$5=$C$9,AC$9-DPR!#REF!,IF($AK$5=$C$10,AC$10-DPR!#REF!,IF($AK$5=$C$11,AC$11-DPR!#REF!))))</f>
        <v>#REF!</v>
      </c>
      <c r="AD84" s="878" t="e">
        <f>MAX(0,IF($AK$5=$C$9,AD$9-DPR!#REF!,IF($AK$5=$C$10,AD$10-DPR!#REF!,IF($AK$5=$C$11,AD$11-DPR!#REF!))))</f>
        <v>#REF!</v>
      </c>
      <c r="AE84" s="878" t="e">
        <f>MAX(0,IF($AK$5=$C$9,AE$9-DPR!#REF!,IF($AK$5=$C$10,AE$10-DPR!#REF!,IF($AK$5=$C$11,AE$11-DPR!#REF!))))</f>
        <v>#REF!</v>
      </c>
      <c r="AF84" s="878" t="e">
        <f>MAX(0,IF($AK$5=$C$9,AF$9-DPR!#REF!,IF($AK$5=$C$10,AF$10-DPR!#REF!,IF($AK$5=$C$11,AF$11-DPR!#REF!))))</f>
        <v>#REF!</v>
      </c>
      <c r="AG84" s="920" t="e">
        <f t="shared" si="5"/>
        <v>#REF!</v>
      </c>
      <c r="AH84" s="888">
        <f t="shared" si="6"/>
        <v>202506</v>
      </c>
      <c r="AI84" t="e">
        <f>DPR!#REF!</f>
        <v>#REF!</v>
      </c>
      <c r="AJ84" t="e">
        <f>DPR!#REF!</f>
        <v>#REF!</v>
      </c>
    </row>
    <row r="85" spans="3:36" ht="15.75">
      <c r="C85" s="918">
        <v>45821</v>
      </c>
      <c r="D85" s="870" t="e">
        <f>MAX(0,IF($AK$5=$C$9,D$9-DPR!#REF!,IF($AK$5=$C$10,D$10-DPR!#REF!,IF($AK$5=$C$11,D$11-DPR!#REF!))))</f>
        <v>#REF!</v>
      </c>
      <c r="E85" s="870" t="e">
        <f>MAX(0,IF($AK$5=$C$9,E$9-DPR!#REF!,IF($AK$5=$C$10,E$10-DPR!#REF!,IF($AK$5=$C$11,E$11-DPR!#REF!))))</f>
        <v>#REF!</v>
      </c>
      <c r="F85" s="870" t="e">
        <f>MAX(0,IF($AK$5=$C$9,F$9-DPR!#REF!,IF($AK$5=$C$10,F$10-DPR!#REF!,IF($AK$5=$C$11,F$11-DPR!#REF!))))</f>
        <v>#REF!</v>
      </c>
      <c r="G85" s="870" t="e">
        <f>MAX(0,IF($AK$5=$C$9,G$9-DPR!#REF!,IF($AK$5=$C$10,G$10-DPR!#REF!,IF($AK$5=$C$11,G$11-DPR!#REF!))))</f>
        <v>#REF!</v>
      </c>
      <c r="H85" s="870" t="e">
        <f>MAX(0,IF($AK$5=$C$9,H$9-DPR!#REF!,IF($AK$5=$C$10,H$10-DPR!#REF!,IF($AK$5=$C$11,H$11-DPR!#REF!))))</f>
        <v>#REF!</v>
      </c>
      <c r="I85" s="870" t="e">
        <f>MAX(0,IF($AK$5=$C$9,I$9-DPR!#REF!,IF($AK$5=$C$10,I$10-DPR!#REF!,IF($AK$5=$C$11,I$11-DPR!#REF!))))</f>
        <v>#REF!</v>
      </c>
      <c r="J85" s="870" t="e">
        <f>MAX(0,IF($AK$5=$C$9,J$9-DPR!#REF!,IF($AK$5=$C$10,J$10-DPR!#REF!,IF($AK$5=$C$11,J$11-DPR!#REF!))))</f>
        <v>#REF!</v>
      </c>
      <c r="K85" s="870" t="e">
        <f>MAX(0,IF($AK$5=$C$9,K$9-DPR!#REF!,IF($AK$5=$C$10,K$10-DPR!#REF!,IF($AK$5=$C$11,K$11-DPR!#REF!))))</f>
        <v>#REF!</v>
      </c>
      <c r="L85" s="870" t="e">
        <f>MAX(0,IF($AK$5=$C$9,L$9-DPR!#REF!,IF($AK$5=$C$10,L$10-DPR!#REF!,IF($AK$5=$C$11,L$11-DPR!#REF!))))</f>
        <v>#REF!</v>
      </c>
      <c r="M85" s="870" t="e">
        <f>MAX(0,IF($AK$5=$C$9,M$9-DPR!#REF!,IF($AK$5=$C$10,M$10-DPR!#REF!,IF($AK$5=$C$11,M$11-DPR!#REF!))))</f>
        <v>#REF!</v>
      </c>
      <c r="N85" s="870" t="e">
        <f>MAX(0,IF($AK$5=$C$9,N$9-DPR!#REF!,IF($AK$5=$C$10,N$10-DPR!#REF!,IF($AK$5=$C$11,N$11-DPR!#REF!))))</f>
        <v>#REF!</v>
      </c>
      <c r="O85" s="870" t="e">
        <f>MAX(0,IF($AK$5=$C$9,O$9-DPR!#REF!,IF($AK$5=$C$10,O$10-DPR!#REF!,IF($AK$5=$C$11,O$11-DPR!#REF!))))</f>
        <v>#REF!</v>
      </c>
      <c r="P85" s="870" t="e">
        <f>MAX(0,IF($AK$5=$C$9,P$9-DPR!#REF!,IF($AK$5=$C$10,P$10-DPR!#REF!,IF($AK$5=$C$11,P$11-DPR!#REF!))))</f>
        <v>#REF!</v>
      </c>
      <c r="Q85" s="870">
        <v>0</v>
      </c>
      <c r="R85" s="919" t="e">
        <f t="shared" si="4"/>
        <v>#REF!</v>
      </c>
      <c r="S85" s="878" t="e">
        <f>MAX(0,IF($AK$5=$C$9,S$9-DPR!#REF!,IF($AK$5=$C$10,S$10-DPR!#REF!,IF($AK$5=$C$11,S$11-DPR!#REF!))))</f>
        <v>#REF!</v>
      </c>
      <c r="T85" s="878" t="e">
        <f>MAX(0,IF($AK$5=$C$9,T$9-DPR!#REF!,IF($AK$5=$C$10,T$10-DPR!#REF!,IF($AK$5=$C$11,T$11-DPR!#REF!))))</f>
        <v>#REF!</v>
      </c>
      <c r="U85" s="878" t="e">
        <f>MAX(0,IF($AK$5=$C$9,U$9-DPR!#REF!,IF($AK$5=$C$10,U$10-DPR!#REF!,IF($AK$5=$C$11,U$11-DPR!#REF!))))</f>
        <v>#REF!</v>
      </c>
      <c r="V85" s="878" t="e">
        <f>MAX(0,IF($AK$5=$C$9,V$9-DPR!#REF!,IF($AK$5=$C$10,V$10-DPR!#REF!,IF($AK$5=$C$11,V$11-DPR!#REF!))))</f>
        <v>#REF!</v>
      </c>
      <c r="W85" s="878" t="e">
        <f>MAX(0,IF($AK$5=$C$9,W$9-DPR!#REF!,IF($AK$5=$C$10,W$10-DPR!#REF!,IF($AK$5=$C$11,W$11-DPR!#REF!))))</f>
        <v>#REF!</v>
      </c>
      <c r="X85" s="878" t="e">
        <f>MAX(0,IF($AK$5=$C$9,X$9-DPR!#REF!,IF($AK$5=$C$10,X$10-DPR!#REF!,IF($AK$5=$C$11,X$11-DPR!#REF!))))</f>
        <v>#REF!</v>
      </c>
      <c r="Y85" s="878" t="e">
        <f>MAX(0,IF($AK$5=$C$9,Y$9-DPR!#REF!,IF($AK$5=$C$10,Y$10-DPR!#REF!,IF($AK$5=$C$11,Y$11-DPR!#REF!))))</f>
        <v>#REF!</v>
      </c>
      <c r="Z85" s="878" t="e">
        <f>MAX(0,IF($AK$5=$C$9,Z$9-DPR!#REF!,IF($AK$5=$C$10,Z$10-DPR!#REF!,IF($AK$5=$C$11,Z$11-DPR!#REF!))))</f>
        <v>#REF!</v>
      </c>
      <c r="AA85" s="878" t="e">
        <f>MAX(0,IF($AK$5=$C$9,AA$9-DPR!#REF!,IF($AK$5=$C$10,AA$10-DPR!#REF!,IF($AK$5=$C$11,AA$11-DPR!#REF!))))</f>
        <v>#REF!</v>
      </c>
      <c r="AB85" s="878" t="e">
        <f>MAX(0,IF($AK$5=$C$9,AB$9-DPR!#REF!,IF($AK$5=$C$10,AB$10-DPR!#REF!,IF($AK$5=$C$11,AB$11-DPR!#REF!))))</f>
        <v>#REF!</v>
      </c>
      <c r="AC85" s="878" t="e">
        <f>MAX(0,IF($AK$5=$C$9,AC$9-DPR!#REF!,IF($AK$5=$C$10,AC$10-DPR!#REF!,IF($AK$5=$C$11,AC$11-DPR!#REF!))))</f>
        <v>#REF!</v>
      </c>
      <c r="AD85" s="878" t="e">
        <f>MAX(0,IF($AK$5=$C$9,AD$9-DPR!#REF!,IF($AK$5=$C$10,AD$10-DPR!#REF!,IF($AK$5=$C$11,AD$11-DPR!#REF!))))</f>
        <v>#REF!</v>
      </c>
      <c r="AE85" s="878" t="e">
        <f>MAX(0,IF($AK$5=$C$9,AE$9-DPR!#REF!,IF($AK$5=$C$10,AE$10-DPR!#REF!,IF($AK$5=$C$11,AE$11-DPR!#REF!))))</f>
        <v>#REF!</v>
      </c>
      <c r="AF85" s="878" t="e">
        <f>MAX(0,IF($AK$5=$C$9,AF$9-DPR!#REF!,IF($AK$5=$C$10,AF$10-DPR!#REF!,IF($AK$5=$C$11,AF$11-DPR!#REF!))))</f>
        <v>#REF!</v>
      </c>
      <c r="AG85" s="920" t="e">
        <f t="shared" si="5"/>
        <v>#REF!</v>
      </c>
      <c r="AH85" s="888">
        <f t="shared" si="6"/>
        <v>202506</v>
      </c>
      <c r="AI85" t="e">
        <f>DPR!#REF!</f>
        <v>#REF!</v>
      </c>
      <c r="AJ85" t="e">
        <f>DPR!#REF!</f>
        <v>#REF!</v>
      </c>
    </row>
    <row r="86" spans="3:36" ht="15.75">
      <c r="C86" s="918">
        <v>45822</v>
      </c>
      <c r="D86" s="870" t="e">
        <f>MAX(0,IF($AK$5=$C$9,D$9-DPR!#REF!,IF($AK$5=$C$10,D$10-DPR!#REF!,IF($AK$5=$C$11,D$11-DPR!#REF!))))</f>
        <v>#REF!</v>
      </c>
      <c r="E86" s="870" t="e">
        <f>MAX(0,IF($AK$5=$C$9,E$9-DPR!#REF!,IF($AK$5=$C$10,E$10-DPR!#REF!,IF($AK$5=$C$11,E$11-DPR!#REF!))))</f>
        <v>#REF!</v>
      </c>
      <c r="F86" s="870" t="e">
        <f>MAX(0,IF($AK$5=$C$9,F$9-DPR!#REF!,IF($AK$5=$C$10,F$10-DPR!#REF!,IF($AK$5=$C$11,F$11-DPR!#REF!))))</f>
        <v>#REF!</v>
      </c>
      <c r="G86" s="870" t="e">
        <f>MAX(0,IF($AK$5=$C$9,G$9-DPR!#REF!,IF($AK$5=$C$10,G$10-DPR!#REF!,IF($AK$5=$C$11,G$11-DPR!#REF!))))</f>
        <v>#REF!</v>
      </c>
      <c r="H86" s="870" t="e">
        <f>MAX(0,IF($AK$5=$C$9,H$9-DPR!#REF!,IF($AK$5=$C$10,H$10-DPR!#REF!,IF($AK$5=$C$11,H$11-DPR!#REF!))))</f>
        <v>#REF!</v>
      </c>
      <c r="I86" s="870" t="e">
        <f>MAX(0,IF($AK$5=$C$9,I$9-DPR!#REF!,IF($AK$5=$C$10,I$10-DPR!#REF!,IF($AK$5=$C$11,I$11-DPR!#REF!))))</f>
        <v>#REF!</v>
      </c>
      <c r="J86" s="870" t="e">
        <f>MAX(0,IF($AK$5=$C$9,J$9-DPR!#REF!,IF($AK$5=$C$10,J$10-DPR!#REF!,IF($AK$5=$C$11,J$11-DPR!#REF!))))</f>
        <v>#REF!</v>
      </c>
      <c r="K86" s="870" t="e">
        <f>MAX(0,IF($AK$5=$C$9,K$9-DPR!#REF!,IF($AK$5=$C$10,K$10-DPR!#REF!,IF($AK$5=$C$11,K$11-DPR!#REF!))))</f>
        <v>#REF!</v>
      </c>
      <c r="L86" s="870" t="e">
        <f>MAX(0,IF($AK$5=$C$9,L$9-DPR!#REF!,IF($AK$5=$C$10,L$10-DPR!#REF!,IF($AK$5=$C$11,L$11-DPR!#REF!))))</f>
        <v>#REF!</v>
      </c>
      <c r="M86" s="870" t="e">
        <f>MAX(0,IF($AK$5=$C$9,M$9-DPR!#REF!,IF($AK$5=$C$10,M$10-DPR!#REF!,IF($AK$5=$C$11,M$11-DPR!#REF!))))</f>
        <v>#REF!</v>
      </c>
      <c r="N86" s="870" t="e">
        <f>MAX(0,IF($AK$5=$C$9,N$9-DPR!#REF!,IF($AK$5=$C$10,N$10-DPR!#REF!,IF($AK$5=$C$11,N$11-DPR!#REF!))))</f>
        <v>#REF!</v>
      </c>
      <c r="O86" s="870" t="e">
        <f>MAX(0,IF($AK$5=$C$9,O$9-DPR!#REF!,IF($AK$5=$C$10,O$10-DPR!#REF!,IF($AK$5=$C$11,O$11-DPR!#REF!))))</f>
        <v>#REF!</v>
      </c>
      <c r="P86" s="870" t="e">
        <f>MAX(0,IF($AK$5=$C$9,P$9-DPR!#REF!,IF($AK$5=$C$10,P$10-DPR!#REF!,IF($AK$5=$C$11,P$11-DPR!#REF!))))</f>
        <v>#REF!</v>
      </c>
      <c r="Q86" s="874">
        <v>0</v>
      </c>
      <c r="R86" s="919" t="e">
        <f t="shared" si="4"/>
        <v>#REF!</v>
      </c>
      <c r="S86" s="878" t="e">
        <f>MAX(0,IF($AK$5=$C$9,S$9-DPR!#REF!,IF($AK$5=$C$10,S$10-DPR!#REF!,IF($AK$5=$C$11,S$11-DPR!#REF!))))</f>
        <v>#REF!</v>
      </c>
      <c r="T86" s="878" t="e">
        <f>MAX(0,IF($AK$5=$C$9,T$9-DPR!#REF!,IF($AK$5=$C$10,T$10-DPR!#REF!,IF($AK$5=$C$11,T$11-DPR!#REF!))))</f>
        <v>#REF!</v>
      </c>
      <c r="U86" s="878" t="e">
        <f>MAX(0,IF($AK$5=$C$9,U$9-DPR!#REF!,IF($AK$5=$C$10,U$10-DPR!#REF!,IF($AK$5=$C$11,U$11-DPR!#REF!))))</f>
        <v>#REF!</v>
      </c>
      <c r="V86" s="878" t="e">
        <f>MAX(0,IF($AK$5=$C$9,V$9-DPR!#REF!,IF($AK$5=$C$10,V$10-DPR!#REF!,IF($AK$5=$C$11,V$11-DPR!#REF!))))</f>
        <v>#REF!</v>
      </c>
      <c r="W86" s="878" t="e">
        <f>MAX(0,IF($AK$5=$C$9,W$9-DPR!#REF!,IF($AK$5=$C$10,W$10-DPR!#REF!,IF($AK$5=$C$11,W$11-DPR!#REF!))))</f>
        <v>#REF!</v>
      </c>
      <c r="X86" s="878" t="e">
        <f>MAX(0,IF($AK$5=$C$9,X$9-DPR!#REF!,IF($AK$5=$C$10,X$10-DPR!#REF!,IF($AK$5=$C$11,X$11-DPR!#REF!))))</f>
        <v>#REF!</v>
      </c>
      <c r="Y86" s="878" t="e">
        <f>MAX(0,IF($AK$5=$C$9,Y$9-DPR!#REF!,IF($AK$5=$C$10,Y$10-DPR!#REF!,IF($AK$5=$C$11,Y$11-DPR!#REF!))))</f>
        <v>#REF!</v>
      </c>
      <c r="Z86" s="878" t="e">
        <f>MAX(0,IF($AK$5=$C$9,Z$9-DPR!#REF!,IF($AK$5=$C$10,Z$10-DPR!#REF!,IF($AK$5=$C$11,Z$11-DPR!#REF!))))</f>
        <v>#REF!</v>
      </c>
      <c r="AA86" s="878" t="e">
        <f>MAX(0,IF($AK$5=$C$9,AA$9-DPR!#REF!,IF($AK$5=$C$10,AA$10-DPR!#REF!,IF($AK$5=$C$11,AA$11-DPR!#REF!))))</f>
        <v>#REF!</v>
      </c>
      <c r="AB86" s="878" t="e">
        <f>MAX(0,IF($AK$5=$C$9,AB$9-DPR!#REF!,IF($AK$5=$C$10,AB$10-DPR!#REF!,IF($AK$5=$C$11,AB$11-DPR!#REF!))))</f>
        <v>#REF!</v>
      </c>
      <c r="AC86" s="878" t="e">
        <f>MAX(0,IF($AK$5=$C$9,AC$9-DPR!#REF!,IF($AK$5=$C$10,AC$10-DPR!#REF!,IF($AK$5=$C$11,AC$11-DPR!#REF!))))</f>
        <v>#REF!</v>
      </c>
      <c r="AD86" s="878" t="e">
        <f>MAX(0,IF($AK$5=$C$9,AD$9-DPR!#REF!,IF($AK$5=$C$10,AD$10-DPR!#REF!,IF($AK$5=$C$11,AD$11-DPR!#REF!))))</f>
        <v>#REF!</v>
      </c>
      <c r="AE86" s="878" t="e">
        <f>MAX(0,IF($AK$5=$C$9,AE$9-DPR!#REF!,IF($AK$5=$C$10,AE$10-DPR!#REF!,IF($AK$5=$C$11,AE$11-DPR!#REF!))))</f>
        <v>#REF!</v>
      </c>
      <c r="AF86" s="878" t="e">
        <f>MAX(0,IF($AK$5=$C$9,AF$9-DPR!#REF!,IF($AK$5=$C$10,AF$10-DPR!#REF!,IF($AK$5=$C$11,AF$11-DPR!#REF!))))</f>
        <v>#REF!</v>
      </c>
      <c r="AG86" s="920" t="e">
        <f t="shared" si="5"/>
        <v>#REF!</v>
      </c>
      <c r="AH86" s="888">
        <f t="shared" si="6"/>
        <v>202506</v>
      </c>
      <c r="AI86" t="e">
        <f>DPR!#REF!</f>
        <v>#REF!</v>
      </c>
      <c r="AJ86" t="e">
        <f>DPR!#REF!</f>
        <v>#REF!</v>
      </c>
    </row>
    <row r="87" spans="3:36" ht="15.75">
      <c r="C87" s="918">
        <v>45823</v>
      </c>
      <c r="D87" s="870" t="e">
        <f>MAX(0,IF($AK$5=$C$9,D$9-DPR!#REF!,IF($AK$5=$C$10,D$10-DPR!#REF!,IF($AK$5=$C$11,D$11-DPR!#REF!))))</f>
        <v>#REF!</v>
      </c>
      <c r="E87" s="870" t="e">
        <f>MAX(0,IF($AK$5=$C$9,E$9-DPR!#REF!,IF($AK$5=$C$10,E$10-DPR!#REF!,IF($AK$5=$C$11,E$11-DPR!#REF!))))</f>
        <v>#REF!</v>
      </c>
      <c r="F87" s="870" t="e">
        <f>MAX(0,IF($AK$5=$C$9,F$9-DPR!#REF!,IF($AK$5=$C$10,F$10-DPR!#REF!,IF($AK$5=$C$11,F$11-DPR!#REF!))))</f>
        <v>#REF!</v>
      </c>
      <c r="G87" s="870" t="e">
        <f>MAX(0,IF($AK$5=$C$9,G$9-DPR!#REF!,IF($AK$5=$C$10,G$10-DPR!#REF!,IF($AK$5=$C$11,G$11-DPR!#REF!))))</f>
        <v>#REF!</v>
      </c>
      <c r="H87" s="870" t="e">
        <f>MAX(0,IF($AK$5=$C$9,H$9-DPR!#REF!,IF($AK$5=$C$10,H$10-DPR!#REF!,IF($AK$5=$C$11,H$11-DPR!#REF!))))</f>
        <v>#REF!</v>
      </c>
      <c r="I87" s="870" t="e">
        <f>MAX(0,IF($AK$5=$C$9,I$9-DPR!#REF!,IF($AK$5=$C$10,I$10-DPR!#REF!,IF($AK$5=$C$11,I$11-DPR!#REF!))))</f>
        <v>#REF!</v>
      </c>
      <c r="J87" s="870" t="e">
        <f>MAX(0,IF($AK$5=$C$9,J$9-DPR!#REF!,IF($AK$5=$C$10,J$10-DPR!#REF!,IF($AK$5=$C$11,J$11-DPR!#REF!))))</f>
        <v>#REF!</v>
      </c>
      <c r="K87" s="870" t="e">
        <f>MAX(0,IF($AK$5=$C$9,K$9-DPR!#REF!,IF($AK$5=$C$10,K$10-DPR!#REF!,IF($AK$5=$C$11,K$11-DPR!#REF!))))</f>
        <v>#REF!</v>
      </c>
      <c r="L87" s="870" t="e">
        <f>MAX(0,IF($AK$5=$C$9,L$9-DPR!#REF!,IF($AK$5=$C$10,L$10-DPR!#REF!,IF($AK$5=$C$11,L$11-DPR!#REF!))))</f>
        <v>#REF!</v>
      </c>
      <c r="M87" s="870" t="e">
        <f>MAX(0,IF($AK$5=$C$9,M$9-DPR!#REF!,IF($AK$5=$C$10,M$10-DPR!#REF!,IF($AK$5=$C$11,M$11-DPR!#REF!))))</f>
        <v>#REF!</v>
      </c>
      <c r="N87" s="870" t="e">
        <f>MAX(0,IF($AK$5=$C$9,N$9-DPR!#REF!,IF($AK$5=$C$10,N$10-DPR!#REF!,IF($AK$5=$C$11,N$11-DPR!#REF!))))</f>
        <v>#REF!</v>
      </c>
      <c r="O87" s="870" t="e">
        <f>MAX(0,IF($AK$5=$C$9,O$9-DPR!#REF!,IF($AK$5=$C$10,O$10-DPR!#REF!,IF($AK$5=$C$11,O$11-DPR!#REF!))))</f>
        <v>#REF!</v>
      </c>
      <c r="P87" s="870" t="e">
        <f>MAX(0,IF($AK$5=$C$9,P$9-DPR!#REF!,IF($AK$5=$C$10,P$10-DPR!#REF!,IF($AK$5=$C$11,P$11-DPR!#REF!))))</f>
        <v>#REF!</v>
      </c>
      <c r="Q87" s="870">
        <v>0</v>
      </c>
      <c r="R87" s="919" t="e">
        <f t="shared" si="4"/>
        <v>#REF!</v>
      </c>
      <c r="S87" s="878" t="e">
        <f>MAX(0,IF($AK$5=$C$9,S$9-DPR!#REF!,IF($AK$5=$C$10,S$10-DPR!#REF!,IF($AK$5=$C$11,S$11-DPR!#REF!))))</f>
        <v>#REF!</v>
      </c>
      <c r="T87" s="878" t="e">
        <f>MAX(0,IF($AK$5=$C$9,T$9-DPR!#REF!,IF($AK$5=$C$10,T$10-DPR!#REF!,IF($AK$5=$C$11,T$11-DPR!#REF!))))</f>
        <v>#REF!</v>
      </c>
      <c r="U87" s="878" t="e">
        <f>MAX(0,IF($AK$5=$C$9,U$9-DPR!#REF!,IF($AK$5=$C$10,U$10-DPR!#REF!,IF($AK$5=$C$11,U$11-DPR!#REF!))))</f>
        <v>#REF!</v>
      </c>
      <c r="V87" s="878" t="e">
        <f>MAX(0,IF($AK$5=$C$9,V$9-DPR!#REF!,IF($AK$5=$C$10,V$10-DPR!#REF!,IF($AK$5=$C$11,V$11-DPR!#REF!))))</f>
        <v>#REF!</v>
      </c>
      <c r="W87" s="878" t="e">
        <f>MAX(0,IF($AK$5=$C$9,W$9-DPR!#REF!,IF($AK$5=$C$10,W$10-DPR!#REF!,IF($AK$5=$C$11,W$11-DPR!#REF!))))</f>
        <v>#REF!</v>
      </c>
      <c r="X87" s="878" t="e">
        <f>MAX(0,IF($AK$5=$C$9,X$9-DPR!#REF!,IF($AK$5=$C$10,X$10-DPR!#REF!,IF($AK$5=$C$11,X$11-DPR!#REF!))))</f>
        <v>#REF!</v>
      </c>
      <c r="Y87" s="878" t="e">
        <f>MAX(0,IF($AK$5=$C$9,Y$9-DPR!#REF!,IF($AK$5=$C$10,Y$10-DPR!#REF!,IF($AK$5=$C$11,Y$11-DPR!#REF!))))</f>
        <v>#REF!</v>
      </c>
      <c r="Z87" s="878" t="e">
        <f>MAX(0,IF($AK$5=$C$9,Z$9-DPR!#REF!,IF($AK$5=$C$10,Z$10-DPR!#REF!,IF($AK$5=$C$11,Z$11-DPR!#REF!))))</f>
        <v>#REF!</v>
      </c>
      <c r="AA87" s="878" t="e">
        <f>MAX(0,IF($AK$5=$C$9,AA$9-DPR!#REF!,IF($AK$5=$C$10,AA$10-DPR!#REF!,IF($AK$5=$C$11,AA$11-DPR!#REF!))))</f>
        <v>#REF!</v>
      </c>
      <c r="AB87" s="878" t="e">
        <f>MAX(0,IF($AK$5=$C$9,AB$9-DPR!#REF!,IF($AK$5=$C$10,AB$10-DPR!#REF!,IF($AK$5=$C$11,AB$11-DPR!#REF!))))</f>
        <v>#REF!</v>
      </c>
      <c r="AC87" s="878" t="e">
        <f>MAX(0,IF($AK$5=$C$9,AC$9-DPR!#REF!,IF($AK$5=$C$10,AC$10-DPR!#REF!,IF($AK$5=$C$11,AC$11-DPR!#REF!))))</f>
        <v>#REF!</v>
      </c>
      <c r="AD87" s="878" t="e">
        <f>MAX(0,IF($AK$5=$C$9,AD$9-DPR!#REF!,IF($AK$5=$C$10,AD$10-DPR!#REF!,IF($AK$5=$C$11,AD$11-DPR!#REF!))))</f>
        <v>#REF!</v>
      </c>
      <c r="AE87" s="878" t="e">
        <f>MAX(0,IF($AK$5=$C$9,AE$9-DPR!#REF!,IF($AK$5=$C$10,AE$10-DPR!#REF!,IF($AK$5=$C$11,AE$11-DPR!#REF!))))</f>
        <v>#REF!</v>
      </c>
      <c r="AF87" s="878" t="e">
        <f>MAX(0,IF($AK$5=$C$9,AF$9-DPR!#REF!,IF($AK$5=$C$10,AF$10-DPR!#REF!,IF($AK$5=$C$11,AF$11-DPR!#REF!))))</f>
        <v>#REF!</v>
      </c>
      <c r="AG87" s="920" t="e">
        <f t="shared" si="5"/>
        <v>#REF!</v>
      </c>
      <c r="AH87" s="888">
        <f t="shared" si="6"/>
        <v>202506</v>
      </c>
      <c r="AI87" t="e">
        <f>DPR!#REF!</f>
        <v>#REF!</v>
      </c>
      <c r="AJ87" t="e">
        <f>DPR!#REF!</f>
        <v>#REF!</v>
      </c>
    </row>
    <row r="88" spans="3:36" ht="15.75">
      <c r="C88" s="918">
        <v>45824</v>
      </c>
      <c r="D88" s="870" t="e">
        <f>MAX(0,IF($AK$5=$C$9,D$9-DPR!#REF!,IF($AK$5=$C$10,D$10-DPR!#REF!,IF($AK$5=$C$11,D$11-DPR!#REF!))))</f>
        <v>#REF!</v>
      </c>
      <c r="E88" s="870" t="e">
        <f>MAX(0,IF($AK$5=$C$9,E$9-DPR!#REF!,IF($AK$5=$C$10,E$10-DPR!#REF!,IF($AK$5=$C$11,E$11-DPR!#REF!))))</f>
        <v>#REF!</v>
      </c>
      <c r="F88" s="870" t="e">
        <f>MAX(0,IF($AK$5=$C$9,F$9-DPR!#REF!,IF($AK$5=$C$10,F$10-DPR!#REF!,IF($AK$5=$C$11,F$11-DPR!#REF!))))</f>
        <v>#REF!</v>
      </c>
      <c r="G88" s="870" t="e">
        <f>MAX(0,IF($AK$5=$C$9,G$9-DPR!#REF!,IF($AK$5=$C$10,G$10-DPR!#REF!,IF($AK$5=$C$11,G$11-DPR!#REF!))))</f>
        <v>#REF!</v>
      </c>
      <c r="H88" s="870" t="e">
        <f>MAX(0,IF($AK$5=$C$9,H$9-DPR!#REF!,IF($AK$5=$C$10,H$10-DPR!#REF!,IF($AK$5=$C$11,H$11-DPR!#REF!))))</f>
        <v>#REF!</v>
      </c>
      <c r="I88" s="870" t="e">
        <f>MAX(0,IF($AK$5=$C$9,I$9-DPR!#REF!,IF($AK$5=$C$10,I$10-DPR!#REF!,IF($AK$5=$C$11,I$11-DPR!#REF!))))</f>
        <v>#REF!</v>
      </c>
      <c r="J88" s="870" t="e">
        <f>MAX(0,IF($AK$5=$C$9,J$9-DPR!#REF!,IF($AK$5=$C$10,J$10-DPR!#REF!,IF($AK$5=$C$11,J$11-DPR!#REF!))))</f>
        <v>#REF!</v>
      </c>
      <c r="K88" s="870" t="e">
        <f>MAX(0,IF($AK$5=$C$9,K$9-DPR!#REF!,IF($AK$5=$C$10,K$10-DPR!#REF!,IF($AK$5=$C$11,K$11-DPR!#REF!))))</f>
        <v>#REF!</v>
      </c>
      <c r="L88" s="870" t="e">
        <f>MAX(0,IF($AK$5=$C$9,L$9-DPR!#REF!,IF($AK$5=$C$10,L$10-DPR!#REF!,IF($AK$5=$C$11,L$11-DPR!#REF!))))</f>
        <v>#REF!</v>
      </c>
      <c r="M88" s="870" t="e">
        <f>MAX(0,IF($AK$5=$C$9,M$9-DPR!#REF!,IF($AK$5=$C$10,M$10-DPR!#REF!,IF($AK$5=$C$11,M$11-DPR!#REF!))))</f>
        <v>#REF!</v>
      </c>
      <c r="N88" s="870" t="e">
        <f>MAX(0,IF($AK$5=$C$9,N$9-DPR!#REF!,IF($AK$5=$C$10,N$10-DPR!#REF!,IF($AK$5=$C$11,N$11-DPR!#REF!))))</f>
        <v>#REF!</v>
      </c>
      <c r="O88" s="870" t="e">
        <f>MAX(0,IF($AK$5=$C$9,O$9-DPR!#REF!,IF($AK$5=$C$10,O$10-DPR!#REF!,IF($AK$5=$C$11,O$11-DPR!#REF!))))</f>
        <v>#REF!</v>
      </c>
      <c r="P88" s="870" t="e">
        <f>MAX(0,IF($AK$5=$C$9,P$9-DPR!#REF!,IF($AK$5=$C$10,P$10-DPR!#REF!,IF($AK$5=$C$11,P$11-DPR!#REF!))))</f>
        <v>#REF!</v>
      </c>
      <c r="Q88" s="874">
        <v>0</v>
      </c>
      <c r="R88" s="919" t="e">
        <f t="shared" si="4"/>
        <v>#REF!</v>
      </c>
      <c r="S88" s="878" t="e">
        <f>MAX(0,IF($AK$5=$C$9,S$9-DPR!#REF!,IF($AK$5=$C$10,S$10-DPR!#REF!,IF($AK$5=$C$11,S$11-DPR!#REF!))))</f>
        <v>#REF!</v>
      </c>
      <c r="T88" s="878" t="e">
        <f>MAX(0,IF($AK$5=$C$9,T$9-DPR!#REF!,IF($AK$5=$C$10,T$10-DPR!#REF!,IF($AK$5=$C$11,T$11-DPR!#REF!))))</f>
        <v>#REF!</v>
      </c>
      <c r="U88" s="878" t="e">
        <f>MAX(0,IF($AK$5=$C$9,U$9-DPR!#REF!,IF($AK$5=$C$10,U$10-DPR!#REF!,IF($AK$5=$C$11,U$11-DPR!#REF!))))</f>
        <v>#REF!</v>
      </c>
      <c r="V88" s="878" t="e">
        <f>MAX(0,IF($AK$5=$C$9,V$9-DPR!#REF!,IF($AK$5=$C$10,V$10-DPR!#REF!,IF($AK$5=$C$11,V$11-DPR!#REF!))))</f>
        <v>#REF!</v>
      </c>
      <c r="W88" s="878" t="e">
        <f>MAX(0,IF($AK$5=$C$9,W$9-DPR!#REF!,IF($AK$5=$C$10,W$10-DPR!#REF!,IF($AK$5=$C$11,W$11-DPR!#REF!))))</f>
        <v>#REF!</v>
      </c>
      <c r="X88" s="878" t="e">
        <f>MAX(0,IF($AK$5=$C$9,X$9-DPR!#REF!,IF($AK$5=$C$10,X$10-DPR!#REF!,IF($AK$5=$C$11,X$11-DPR!#REF!))))</f>
        <v>#REF!</v>
      </c>
      <c r="Y88" s="878" t="e">
        <f>MAX(0,IF($AK$5=$C$9,Y$9-DPR!#REF!,IF($AK$5=$C$10,Y$10-DPR!#REF!,IF($AK$5=$C$11,Y$11-DPR!#REF!))))</f>
        <v>#REF!</v>
      </c>
      <c r="Z88" s="878" t="e">
        <f>MAX(0,IF($AK$5=$C$9,Z$9-DPR!#REF!,IF($AK$5=$C$10,Z$10-DPR!#REF!,IF($AK$5=$C$11,Z$11-DPR!#REF!))))</f>
        <v>#REF!</v>
      </c>
      <c r="AA88" s="878" t="e">
        <f>MAX(0,IF($AK$5=$C$9,AA$9-DPR!#REF!,IF($AK$5=$C$10,AA$10-DPR!#REF!,IF($AK$5=$C$11,AA$11-DPR!#REF!))))</f>
        <v>#REF!</v>
      </c>
      <c r="AB88" s="878" t="e">
        <f>MAX(0,IF($AK$5=$C$9,AB$9-DPR!#REF!,IF($AK$5=$C$10,AB$10-DPR!#REF!,IF($AK$5=$C$11,AB$11-DPR!#REF!))))</f>
        <v>#REF!</v>
      </c>
      <c r="AC88" s="878" t="e">
        <f>MAX(0,IF($AK$5=$C$9,AC$9-DPR!#REF!,IF($AK$5=$C$10,AC$10-DPR!#REF!,IF($AK$5=$C$11,AC$11-DPR!#REF!))))</f>
        <v>#REF!</v>
      </c>
      <c r="AD88" s="878" t="e">
        <f>MAX(0,IF($AK$5=$C$9,AD$9-DPR!#REF!,IF($AK$5=$C$10,AD$10-DPR!#REF!,IF($AK$5=$C$11,AD$11-DPR!#REF!))))</f>
        <v>#REF!</v>
      </c>
      <c r="AE88" s="878" t="e">
        <f>MAX(0,IF($AK$5=$C$9,AE$9-DPR!#REF!,IF($AK$5=$C$10,AE$10-DPR!#REF!,IF($AK$5=$C$11,AE$11-DPR!#REF!))))</f>
        <v>#REF!</v>
      </c>
      <c r="AF88" s="878" t="e">
        <f>MAX(0,IF($AK$5=$C$9,AF$9-DPR!#REF!,IF($AK$5=$C$10,AF$10-DPR!#REF!,IF($AK$5=$C$11,AF$11-DPR!#REF!))))</f>
        <v>#REF!</v>
      </c>
      <c r="AG88" s="920" t="e">
        <f t="shared" si="5"/>
        <v>#REF!</v>
      </c>
      <c r="AH88" s="888">
        <f t="shared" si="6"/>
        <v>202506</v>
      </c>
      <c r="AI88" t="e">
        <f>DPR!#REF!</f>
        <v>#REF!</v>
      </c>
      <c r="AJ88" t="e">
        <f>DPR!#REF!</f>
        <v>#REF!</v>
      </c>
    </row>
    <row r="89" spans="3:36" ht="15.75">
      <c r="C89" s="918">
        <v>45825</v>
      </c>
      <c r="D89" s="870" t="e">
        <f>MAX(0,IF($AK$5=$C$9,D$9-DPR!#REF!,IF($AK$5=$C$10,D$10-DPR!#REF!,IF($AK$5=$C$11,D$11-DPR!#REF!))))</f>
        <v>#REF!</v>
      </c>
      <c r="E89" s="870" t="e">
        <f>MAX(0,IF($AK$5=$C$9,E$9-DPR!#REF!,IF($AK$5=$C$10,E$10-DPR!#REF!,IF($AK$5=$C$11,E$11-DPR!#REF!))))</f>
        <v>#REF!</v>
      </c>
      <c r="F89" s="870" t="e">
        <f>MAX(0,IF($AK$5=$C$9,F$9-DPR!#REF!,IF($AK$5=$C$10,F$10-DPR!#REF!,IF($AK$5=$C$11,F$11-DPR!#REF!))))</f>
        <v>#REF!</v>
      </c>
      <c r="G89" s="870" t="e">
        <f>MAX(0,IF($AK$5=$C$9,G$9-DPR!#REF!,IF($AK$5=$C$10,G$10-DPR!#REF!,IF($AK$5=$C$11,G$11-DPR!#REF!))))</f>
        <v>#REF!</v>
      </c>
      <c r="H89" s="870" t="e">
        <f>MAX(0,IF($AK$5=$C$9,H$9-DPR!#REF!,IF($AK$5=$C$10,H$10-DPR!#REF!,IF($AK$5=$C$11,H$11-DPR!#REF!))))</f>
        <v>#REF!</v>
      </c>
      <c r="I89" s="870" t="e">
        <f>MAX(0,IF($AK$5=$C$9,I$9-DPR!#REF!,IF($AK$5=$C$10,I$10-DPR!#REF!,IF($AK$5=$C$11,I$11-DPR!#REF!))))</f>
        <v>#REF!</v>
      </c>
      <c r="J89" s="870" t="e">
        <f>MAX(0,IF($AK$5=$C$9,J$9-DPR!#REF!,IF($AK$5=$C$10,J$10-DPR!#REF!,IF($AK$5=$C$11,J$11-DPR!#REF!))))</f>
        <v>#REF!</v>
      </c>
      <c r="K89" s="870" t="e">
        <f>MAX(0,IF($AK$5=$C$9,K$9-DPR!#REF!,IF($AK$5=$C$10,K$10-DPR!#REF!,IF($AK$5=$C$11,K$11-DPR!#REF!))))</f>
        <v>#REF!</v>
      </c>
      <c r="L89" s="870" t="e">
        <f>MAX(0,IF($AK$5=$C$9,L$9-DPR!#REF!,IF($AK$5=$C$10,L$10-DPR!#REF!,IF($AK$5=$C$11,L$11-DPR!#REF!))))</f>
        <v>#REF!</v>
      </c>
      <c r="M89" s="870" t="e">
        <f>MAX(0,IF($AK$5=$C$9,M$9-DPR!#REF!,IF($AK$5=$C$10,M$10-DPR!#REF!,IF($AK$5=$C$11,M$11-DPR!#REF!))))</f>
        <v>#REF!</v>
      </c>
      <c r="N89" s="870" t="e">
        <f>MAX(0,IF($AK$5=$C$9,N$9-DPR!#REF!,IF($AK$5=$C$10,N$10-DPR!#REF!,IF($AK$5=$C$11,N$11-DPR!#REF!))))</f>
        <v>#REF!</v>
      </c>
      <c r="O89" s="870" t="e">
        <f>MAX(0,IF($AK$5=$C$9,O$9-DPR!#REF!,IF($AK$5=$C$10,O$10-DPR!#REF!,IF($AK$5=$C$11,O$11-DPR!#REF!))))</f>
        <v>#REF!</v>
      </c>
      <c r="P89" s="870" t="e">
        <f>MAX(0,IF($AK$5=$C$9,P$9-DPR!#REF!,IF($AK$5=$C$10,P$10-DPR!#REF!,IF($AK$5=$C$11,P$11-DPR!#REF!))))</f>
        <v>#REF!</v>
      </c>
      <c r="Q89" s="870">
        <v>0</v>
      </c>
      <c r="R89" s="919" t="e">
        <f t="shared" si="4"/>
        <v>#REF!</v>
      </c>
      <c r="S89" s="878" t="e">
        <f>MAX(0,IF($AK$5=$C$9,S$9-DPR!#REF!,IF($AK$5=$C$10,S$10-DPR!#REF!,IF($AK$5=$C$11,S$11-DPR!#REF!))))</f>
        <v>#REF!</v>
      </c>
      <c r="T89" s="878" t="e">
        <f>MAX(0,IF($AK$5=$C$9,T$9-DPR!#REF!,IF($AK$5=$C$10,T$10-DPR!#REF!,IF($AK$5=$C$11,T$11-DPR!#REF!))))</f>
        <v>#REF!</v>
      </c>
      <c r="U89" s="878" t="e">
        <f>MAX(0,IF($AK$5=$C$9,U$9-DPR!#REF!,IF($AK$5=$C$10,U$10-DPR!#REF!,IF($AK$5=$C$11,U$11-DPR!#REF!))))</f>
        <v>#REF!</v>
      </c>
      <c r="V89" s="878" t="e">
        <f>MAX(0,IF($AK$5=$C$9,V$9-DPR!#REF!,IF($AK$5=$C$10,V$10-DPR!#REF!,IF($AK$5=$C$11,V$11-DPR!#REF!))))</f>
        <v>#REF!</v>
      </c>
      <c r="W89" s="878" t="e">
        <f>MAX(0,IF($AK$5=$C$9,W$9-DPR!#REF!,IF($AK$5=$C$10,W$10-DPR!#REF!,IF($AK$5=$C$11,W$11-DPR!#REF!))))</f>
        <v>#REF!</v>
      </c>
      <c r="X89" s="878" t="e">
        <f>MAX(0,IF($AK$5=$C$9,X$9-DPR!#REF!,IF($AK$5=$C$10,X$10-DPR!#REF!,IF($AK$5=$C$11,X$11-DPR!#REF!))))</f>
        <v>#REF!</v>
      </c>
      <c r="Y89" s="878" t="e">
        <f>MAX(0,IF($AK$5=$C$9,Y$9-DPR!#REF!,IF($AK$5=$C$10,Y$10-DPR!#REF!,IF($AK$5=$C$11,Y$11-DPR!#REF!))))</f>
        <v>#REF!</v>
      </c>
      <c r="Z89" s="878" t="e">
        <f>MAX(0,IF($AK$5=$C$9,Z$9-DPR!#REF!,IF($AK$5=$C$10,Z$10-DPR!#REF!,IF($AK$5=$C$11,Z$11-DPR!#REF!))))</f>
        <v>#REF!</v>
      </c>
      <c r="AA89" s="878" t="e">
        <f>MAX(0,IF($AK$5=$C$9,AA$9-DPR!#REF!,IF($AK$5=$C$10,AA$10-DPR!#REF!,IF($AK$5=$C$11,AA$11-DPR!#REF!))))</f>
        <v>#REF!</v>
      </c>
      <c r="AB89" s="878" t="e">
        <f>MAX(0,IF($AK$5=$C$9,AB$9-DPR!#REF!,IF($AK$5=$C$10,AB$10-DPR!#REF!,IF($AK$5=$C$11,AB$11-DPR!#REF!))))</f>
        <v>#REF!</v>
      </c>
      <c r="AC89" s="878" t="e">
        <f>MAX(0,IF($AK$5=$C$9,AC$9-DPR!#REF!,IF($AK$5=$C$10,AC$10-DPR!#REF!,IF($AK$5=$C$11,AC$11-DPR!#REF!))))</f>
        <v>#REF!</v>
      </c>
      <c r="AD89" s="878" t="e">
        <f>MAX(0,IF($AK$5=$C$9,AD$9-DPR!#REF!,IF($AK$5=$C$10,AD$10-DPR!#REF!,IF($AK$5=$C$11,AD$11-DPR!#REF!))))</f>
        <v>#REF!</v>
      </c>
      <c r="AE89" s="878" t="e">
        <f>MAX(0,IF($AK$5=$C$9,AE$9-DPR!#REF!,IF($AK$5=$C$10,AE$10-DPR!#REF!,IF($AK$5=$C$11,AE$11-DPR!#REF!))))</f>
        <v>#REF!</v>
      </c>
      <c r="AF89" s="878" t="e">
        <f>MAX(0,IF($AK$5=$C$9,AF$9-DPR!#REF!,IF($AK$5=$C$10,AF$10-DPR!#REF!,IF($AK$5=$C$11,AF$11-DPR!#REF!))))</f>
        <v>#REF!</v>
      </c>
      <c r="AG89" s="920" t="e">
        <f t="shared" si="5"/>
        <v>#REF!</v>
      </c>
      <c r="AH89" s="888">
        <f t="shared" si="6"/>
        <v>202506</v>
      </c>
      <c r="AI89" t="e">
        <f>DPR!#REF!</f>
        <v>#REF!</v>
      </c>
      <c r="AJ89" t="e">
        <f>DPR!#REF!</f>
        <v>#REF!</v>
      </c>
    </row>
    <row r="90" spans="3:36" ht="15.75">
      <c r="C90" s="918">
        <v>45826</v>
      </c>
      <c r="D90" s="870" t="e">
        <f>MAX(0,IF($AK$5=$C$9,D$9-DPR!#REF!,IF($AK$5=$C$10,D$10-DPR!#REF!,IF($AK$5=$C$11,D$11-DPR!#REF!))))</f>
        <v>#REF!</v>
      </c>
      <c r="E90" s="870" t="e">
        <f>MAX(0,IF($AK$5=$C$9,E$9-DPR!#REF!,IF($AK$5=$C$10,E$10-DPR!#REF!,IF($AK$5=$C$11,E$11-DPR!#REF!))))</f>
        <v>#REF!</v>
      </c>
      <c r="F90" s="870" t="e">
        <f>MAX(0,IF($AK$5=$C$9,F$9-DPR!#REF!,IF($AK$5=$C$10,F$10-DPR!#REF!,IF($AK$5=$C$11,F$11-DPR!#REF!))))</f>
        <v>#REF!</v>
      </c>
      <c r="G90" s="870" t="e">
        <f>MAX(0,IF($AK$5=$C$9,G$9-DPR!#REF!,IF($AK$5=$C$10,G$10-DPR!#REF!,IF($AK$5=$C$11,G$11-DPR!#REF!))))</f>
        <v>#REF!</v>
      </c>
      <c r="H90" s="870" t="e">
        <f>MAX(0,IF($AK$5=$C$9,H$9-DPR!#REF!,IF($AK$5=$C$10,H$10-DPR!#REF!,IF($AK$5=$C$11,H$11-DPR!#REF!))))</f>
        <v>#REF!</v>
      </c>
      <c r="I90" s="870" t="e">
        <f>MAX(0,IF($AK$5=$C$9,I$9-DPR!#REF!,IF($AK$5=$C$10,I$10-DPR!#REF!,IF($AK$5=$C$11,I$11-DPR!#REF!))))</f>
        <v>#REF!</v>
      </c>
      <c r="J90" s="870" t="e">
        <f>MAX(0,IF($AK$5=$C$9,J$9-DPR!#REF!,IF($AK$5=$C$10,J$10-DPR!#REF!,IF($AK$5=$C$11,J$11-DPR!#REF!))))</f>
        <v>#REF!</v>
      </c>
      <c r="K90" s="870" t="e">
        <f>MAX(0,IF($AK$5=$C$9,K$9-DPR!#REF!,IF($AK$5=$C$10,K$10-DPR!#REF!,IF($AK$5=$C$11,K$11-DPR!#REF!))))</f>
        <v>#REF!</v>
      </c>
      <c r="L90" s="870" t="e">
        <f>MAX(0,IF($AK$5=$C$9,L$9-DPR!#REF!,IF($AK$5=$C$10,L$10-DPR!#REF!,IF($AK$5=$C$11,L$11-DPR!#REF!))))</f>
        <v>#REF!</v>
      </c>
      <c r="M90" s="870" t="e">
        <f>MAX(0,IF($AK$5=$C$9,M$9-DPR!#REF!,IF($AK$5=$C$10,M$10-DPR!#REF!,IF($AK$5=$C$11,M$11-DPR!#REF!))))</f>
        <v>#REF!</v>
      </c>
      <c r="N90" s="870" t="e">
        <f>MAX(0,IF($AK$5=$C$9,N$9-DPR!#REF!,IF($AK$5=$C$10,N$10-DPR!#REF!,IF($AK$5=$C$11,N$11-DPR!#REF!))))</f>
        <v>#REF!</v>
      </c>
      <c r="O90" s="870" t="e">
        <f>MAX(0,IF($AK$5=$C$9,O$9-DPR!#REF!,IF($AK$5=$C$10,O$10-DPR!#REF!,IF($AK$5=$C$11,O$11-DPR!#REF!))))</f>
        <v>#REF!</v>
      </c>
      <c r="P90" s="870" t="e">
        <f>MAX(0,IF($AK$5=$C$9,P$9-DPR!#REF!,IF($AK$5=$C$10,P$10-DPR!#REF!,IF($AK$5=$C$11,P$11-DPR!#REF!))))</f>
        <v>#REF!</v>
      </c>
      <c r="Q90" s="874">
        <v>0</v>
      </c>
      <c r="R90" s="919" t="e">
        <f t="shared" si="4"/>
        <v>#REF!</v>
      </c>
      <c r="S90" s="878" t="e">
        <f>MAX(0,IF($AK$5=$C$9,S$9-DPR!#REF!,IF($AK$5=$C$10,S$10-DPR!#REF!,IF($AK$5=$C$11,S$11-DPR!#REF!))))</f>
        <v>#REF!</v>
      </c>
      <c r="T90" s="878" t="e">
        <f>MAX(0,IF($AK$5=$C$9,T$9-DPR!#REF!,IF($AK$5=$C$10,T$10-DPR!#REF!,IF($AK$5=$C$11,T$11-DPR!#REF!))))</f>
        <v>#REF!</v>
      </c>
      <c r="U90" s="878" t="e">
        <f>MAX(0,IF($AK$5=$C$9,U$9-DPR!#REF!,IF($AK$5=$C$10,U$10-DPR!#REF!,IF($AK$5=$C$11,U$11-DPR!#REF!))))</f>
        <v>#REF!</v>
      </c>
      <c r="V90" s="878" t="e">
        <f>MAX(0,IF($AK$5=$C$9,V$9-DPR!#REF!,IF($AK$5=$C$10,V$10-DPR!#REF!,IF($AK$5=$C$11,V$11-DPR!#REF!))))</f>
        <v>#REF!</v>
      </c>
      <c r="W90" s="878" t="e">
        <f>MAX(0,IF($AK$5=$C$9,W$9-DPR!#REF!,IF($AK$5=$C$10,W$10-DPR!#REF!,IF($AK$5=$C$11,W$11-DPR!#REF!))))</f>
        <v>#REF!</v>
      </c>
      <c r="X90" s="878" t="e">
        <f>MAX(0,IF($AK$5=$C$9,X$9-DPR!#REF!,IF($AK$5=$C$10,X$10-DPR!#REF!,IF($AK$5=$C$11,X$11-DPR!#REF!))))</f>
        <v>#REF!</v>
      </c>
      <c r="Y90" s="878" t="e">
        <f>MAX(0,IF($AK$5=$C$9,Y$9-DPR!#REF!,IF($AK$5=$C$10,Y$10-DPR!#REF!,IF($AK$5=$C$11,Y$11-DPR!#REF!))))</f>
        <v>#REF!</v>
      </c>
      <c r="Z90" s="878" t="e">
        <f>MAX(0,IF($AK$5=$C$9,Z$9-DPR!#REF!,IF($AK$5=$C$10,Z$10-DPR!#REF!,IF($AK$5=$C$11,Z$11-DPR!#REF!))))</f>
        <v>#REF!</v>
      </c>
      <c r="AA90" s="878" t="e">
        <f>MAX(0,IF($AK$5=$C$9,AA$9-DPR!#REF!,IF($AK$5=$C$10,AA$10-DPR!#REF!,IF($AK$5=$C$11,AA$11-DPR!#REF!))))</f>
        <v>#REF!</v>
      </c>
      <c r="AB90" s="878" t="e">
        <f>MAX(0,IF($AK$5=$C$9,AB$9-DPR!#REF!,IF($AK$5=$C$10,AB$10-DPR!#REF!,IF($AK$5=$C$11,AB$11-DPR!#REF!))))</f>
        <v>#REF!</v>
      </c>
      <c r="AC90" s="878" t="e">
        <f>MAX(0,IF($AK$5=$C$9,AC$9-DPR!#REF!,IF($AK$5=$C$10,AC$10-DPR!#REF!,IF($AK$5=$C$11,AC$11-DPR!#REF!))))</f>
        <v>#REF!</v>
      </c>
      <c r="AD90" s="878" t="e">
        <f>MAX(0,IF($AK$5=$C$9,AD$9-DPR!#REF!,IF($AK$5=$C$10,AD$10-DPR!#REF!,IF($AK$5=$C$11,AD$11-DPR!#REF!))))</f>
        <v>#REF!</v>
      </c>
      <c r="AE90" s="878" t="e">
        <f>MAX(0,IF($AK$5=$C$9,AE$9-DPR!#REF!,IF($AK$5=$C$10,AE$10-DPR!#REF!,IF($AK$5=$C$11,AE$11-DPR!#REF!))))</f>
        <v>#REF!</v>
      </c>
      <c r="AF90" s="878" t="e">
        <f>MAX(0,IF($AK$5=$C$9,AF$9-DPR!#REF!,IF($AK$5=$C$10,AF$10-DPR!#REF!,IF($AK$5=$C$11,AF$11-DPR!#REF!))))</f>
        <v>#REF!</v>
      </c>
      <c r="AG90" s="920" t="e">
        <f t="shared" si="5"/>
        <v>#REF!</v>
      </c>
      <c r="AH90" s="888">
        <f t="shared" si="6"/>
        <v>202506</v>
      </c>
      <c r="AI90" t="e">
        <f>DPR!#REF!</f>
        <v>#REF!</v>
      </c>
      <c r="AJ90" t="e">
        <f>DPR!#REF!</f>
        <v>#REF!</v>
      </c>
    </row>
    <row r="91" spans="3:36" ht="15.75">
      <c r="C91" s="918">
        <v>45827</v>
      </c>
      <c r="D91" s="870" t="e">
        <f>MAX(0,IF($AK$5=$C$9,D$9-DPR!#REF!,IF($AK$5=$C$10,D$10-DPR!#REF!,IF($AK$5=$C$11,D$11-DPR!#REF!))))</f>
        <v>#REF!</v>
      </c>
      <c r="E91" s="870" t="e">
        <f>MAX(0,IF($AK$5=$C$9,E$9-DPR!#REF!,IF($AK$5=$C$10,E$10-DPR!#REF!,IF($AK$5=$C$11,E$11-DPR!#REF!))))</f>
        <v>#REF!</v>
      </c>
      <c r="F91" s="870" t="e">
        <f>MAX(0,IF($AK$5=$C$9,F$9-DPR!#REF!,IF($AK$5=$C$10,F$10-DPR!#REF!,IF($AK$5=$C$11,F$11-DPR!#REF!))))</f>
        <v>#REF!</v>
      </c>
      <c r="G91" s="870" t="e">
        <f>MAX(0,IF($AK$5=$C$9,G$9-DPR!#REF!,IF($AK$5=$C$10,G$10-DPR!#REF!,IF($AK$5=$C$11,G$11-DPR!#REF!))))</f>
        <v>#REF!</v>
      </c>
      <c r="H91" s="870" t="e">
        <f>MAX(0,IF($AK$5=$C$9,H$9-DPR!#REF!,IF($AK$5=$C$10,H$10-DPR!#REF!,IF($AK$5=$C$11,H$11-DPR!#REF!))))</f>
        <v>#REF!</v>
      </c>
      <c r="I91" s="870" t="e">
        <f>MAX(0,IF($AK$5=$C$9,I$9-DPR!#REF!,IF($AK$5=$C$10,I$10-DPR!#REF!,IF($AK$5=$C$11,I$11-DPR!#REF!))))</f>
        <v>#REF!</v>
      </c>
      <c r="J91" s="870" t="e">
        <f>MAX(0,IF($AK$5=$C$9,J$9-DPR!#REF!,IF($AK$5=$C$10,J$10-DPR!#REF!,IF($AK$5=$C$11,J$11-DPR!#REF!))))</f>
        <v>#REF!</v>
      </c>
      <c r="K91" s="870" t="e">
        <f>MAX(0,IF($AK$5=$C$9,K$9-DPR!#REF!,IF($AK$5=$C$10,K$10-DPR!#REF!,IF($AK$5=$C$11,K$11-DPR!#REF!))))</f>
        <v>#REF!</v>
      </c>
      <c r="L91" s="870" t="e">
        <f>MAX(0,IF($AK$5=$C$9,L$9-DPR!#REF!,IF($AK$5=$C$10,L$10-DPR!#REF!,IF($AK$5=$C$11,L$11-DPR!#REF!))))</f>
        <v>#REF!</v>
      </c>
      <c r="M91" s="870" t="e">
        <f>MAX(0,IF($AK$5=$C$9,M$9-DPR!#REF!,IF($AK$5=$C$10,M$10-DPR!#REF!,IF($AK$5=$C$11,M$11-DPR!#REF!))))</f>
        <v>#REF!</v>
      </c>
      <c r="N91" s="870" t="e">
        <f>MAX(0,IF($AK$5=$C$9,N$9-DPR!#REF!,IF($AK$5=$C$10,N$10-DPR!#REF!,IF($AK$5=$C$11,N$11-DPR!#REF!))))</f>
        <v>#REF!</v>
      </c>
      <c r="O91" s="870" t="e">
        <f>MAX(0,IF($AK$5=$C$9,O$9-DPR!#REF!,IF($AK$5=$C$10,O$10-DPR!#REF!,IF($AK$5=$C$11,O$11-DPR!#REF!))))</f>
        <v>#REF!</v>
      </c>
      <c r="P91" s="870" t="e">
        <f>MAX(0,IF($AK$5=$C$9,P$9-DPR!#REF!,IF($AK$5=$C$10,P$10-DPR!#REF!,IF($AK$5=$C$11,P$11-DPR!#REF!))))</f>
        <v>#REF!</v>
      </c>
      <c r="Q91" s="870">
        <v>0</v>
      </c>
      <c r="R91" s="919" t="e">
        <f t="shared" si="4"/>
        <v>#REF!</v>
      </c>
      <c r="S91" s="878"/>
      <c r="T91" s="878"/>
      <c r="U91" s="878"/>
      <c r="V91" s="878"/>
      <c r="W91" s="878"/>
      <c r="X91" s="878"/>
      <c r="Y91" s="878"/>
      <c r="Z91" s="878"/>
      <c r="AA91" s="878"/>
      <c r="AB91" s="878"/>
      <c r="AC91" s="878"/>
      <c r="AD91" s="878"/>
      <c r="AE91" s="878"/>
      <c r="AF91" s="847"/>
      <c r="AG91" s="920">
        <f t="shared" si="5"/>
        <v>0</v>
      </c>
      <c r="AH91" s="888">
        <f t="shared" si="6"/>
        <v>202506</v>
      </c>
      <c r="AI91" t="e">
        <f>DPR!#REF!</f>
        <v>#REF!</v>
      </c>
      <c r="AJ91" t="e">
        <f>DPR!#REF!</f>
        <v>#REF!</v>
      </c>
    </row>
    <row r="92" spans="3:36" ht="15.75">
      <c r="C92" s="918">
        <v>45828</v>
      </c>
      <c r="D92" s="870" t="e">
        <f>MAX(0,IF($AK$5=$C$9,D$9-DPR!#REF!,IF($AK$5=$C$10,D$10-DPR!#REF!,IF($AK$5=$C$11,D$11-DPR!#REF!))))</f>
        <v>#REF!</v>
      </c>
      <c r="E92" s="870" t="e">
        <f>MAX(0,IF($AK$5=$C$9,E$9-DPR!#REF!,IF($AK$5=$C$10,E$10-DPR!#REF!,IF($AK$5=$C$11,E$11-DPR!#REF!))))</f>
        <v>#REF!</v>
      </c>
      <c r="F92" s="870" t="e">
        <f>MAX(0,IF($AK$5=$C$9,F$9-DPR!#REF!,IF($AK$5=$C$10,F$10-DPR!#REF!,IF($AK$5=$C$11,F$11-DPR!#REF!))))</f>
        <v>#REF!</v>
      </c>
      <c r="G92" s="870" t="e">
        <f>MAX(0,IF($AK$5=$C$9,G$9-DPR!#REF!,IF($AK$5=$C$10,G$10-DPR!#REF!,IF($AK$5=$C$11,G$11-DPR!#REF!))))</f>
        <v>#REF!</v>
      </c>
      <c r="H92" s="870" t="e">
        <f>MAX(0,IF($AK$5=$C$9,H$9-DPR!#REF!,IF($AK$5=$C$10,H$10-DPR!#REF!,IF($AK$5=$C$11,H$11-DPR!#REF!))))</f>
        <v>#REF!</v>
      </c>
      <c r="I92" s="870" t="e">
        <f>MAX(0,IF($AK$5=$C$9,I$9-DPR!#REF!,IF($AK$5=$C$10,I$10-DPR!#REF!,IF($AK$5=$C$11,I$11-DPR!#REF!))))</f>
        <v>#REF!</v>
      </c>
      <c r="J92" s="870" t="e">
        <f>MAX(0,IF($AK$5=$C$9,J$9-DPR!#REF!,IF($AK$5=$C$10,J$10-DPR!#REF!,IF($AK$5=$C$11,J$11-DPR!#REF!))))</f>
        <v>#REF!</v>
      </c>
      <c r="K92" s="870" t="e">
        <f>MAX(0,IF($AK$5=$C$9,K$9-DPR!#REF!,IF($AK$5=$C$10,K$10-DPR!#REF!,IF($AK$5=$C$11,K$11-DPR!#REF!))))</f>
        <v>#REF!</v>
      </c>
      <c r="L92" s="870" t="e">
        <f>MAX(0,IF($AK$5=$C$9,L$9-DPR!#REF!,IF($AK$5=$C$10,L$10-DPR!#REF!,IF($AK$5=$C$11,L$11-DPR!#REF!))))</f>
        <v>#REF!</v>
      </c>
      <c r="M92" s="870" t="e">
        <f>MAX(0,IF($AK$5=$C$9,M$9-DPR!#REF!,IF($AK$5=$C$10,M$10-DPR!#REF!,IF($AK$5=$C$11,M$11-DPR!#REF!))))</f>
        <v>#REF!</v>
      </c>
      <c r="N92" s="870" t="e">
        <f>MAX(0,IF($AK$5=$C$9,N$9-DPR!#REF!,IF($AK$5=$C$10,N$10-DPR!#REF!,IF($AK$5=$C$11,N$11-DPR!#REF!))))</f>
        <v>#REF!</v>
      </c>
      <c r="O92" s="870" t="e">
        <f>MAX(0,IF($AK$5=$C$9,O$9-DPR!#REF!,IF($AK$5=$C$10,O$10-DPR!#REF!,IF($AK$5=$C$11,O$11-DPR!#REF!))))</f>
        <v>#REF!</v>
      </c>
      <c r="P92" s="870" t="e">
        <f>MAX(0,IF($AK$5=$C$9,P$9-DPR!#REF!,IF($AK$5=$C$10,P$10-DPR!#REF!,IF($AK$5=$C$11,P$11-DPR!#REF!))))</f>
        <v>#REF!</v>
      </c>
      <c r="Q92" s="870">
        <v>1</v>
      </c>
      <c r="R92" s="919" t="e">
        <f t="shared" ref="R92:R155" si="7">D92*D$6+E92*E$6+F92*F$6+G92*G$6+H92*H$6+I92*I$6+J92*J$6+K92*K$6+L92*L$6+M92*M$6+N92*N$6+O92*O$6+P92*P$6+Q92*Q$6</f>
        <v>#REF!</v>
      </c>
      <c r="S92" s="878"/>
      <c r="T92" s="878"/>
      <c r="U92" s="878"/>
      <c r="V92" s="878"/>
      <c r="W92" s="878"/>
      <c r="X92" s="878"/>
      <c r="Y92" s="878"/>
      <c r="Z92" s="878"/>
      <c r="AA92" s="878"/>
      <c r="AB92" s="878"/>
      <c r="AC92" s="878"/>
      <c r="AD92" s="878"/>
      <c r="AE92" s="878"/>
      <c r="AF92" s="847"/>
      <c r="AG92" s="920">
        <f t="shared" ref="AG92:AG155" si="8">S92*S$6+T92*T$6+U92*U$6+V92*V$6+W92*W$6+X92*X$6+Y92*Y$6+Z92*Z$6+AA92*AA$6+AB92*AB$6+AC92*AC$6+AD92*AD$6+AE92*AE$6+AF92*AF$6</f>
        <v>0</v>
      </c>
      <c r="AH92" s="888">
        <f t="shared" ref="AH92:AH155" si="9">IF($AK$1&gt;=C92,(YEAR(C92)*100+MONTH(C92)),0)</f>
        <v>202506</v>
      </c>
      <c r="AI92" t="e">
        <f>DPR!#REF!</f>
        <v>#REF!</v>
      </c>
    </row>
    <row r="93" spans="3:36" ht="15.75">
      <c r="C93" s="918">
        <v>45829</v>
      </c>
      <c r="D93" s="870" t="e">
        <f>MAX(0,IF($AK$5=$C$9,D$9-DPR!#REF!,IF($AK$5=$C$10,D$10-DPR!#REF!,IF($AK$5=$C$11,D$11-DPR!#REF!))))</f>
        <v>#REF!</v>
      </c>
      <c r="E93" s="870" t="e">
        <f>MAX(0,IF($AK$5=$C$9,E$9-DPR!#REF!,IF($AK$5=$C$10,E$10-DPR!#REF!,IF($AK$5=$C$11,E$11-DPR!#REF!))))</f>
        <v>#REF!</v>
      </c>
      <c r="F93" s="870" t="e">
        <f>MAX(0,IF($AK$5=$C$9,F$9-DPR!#REF!,IF($AK$5=$C$10,F$10-DPR!#REF!,IF($AK$5=$C$11,F$11-DPR!#REF!))))</f>
        <v>#REF!</v>
      </c>
      <c r="G93" s="870" t="e">
        <f>MAX(0,IF($AK$5=$C$9,G$9-DPR!#REF!,IF($AK$5=$C$10,G$10-DPR!#REF!,IF($AK$5=$C$11,G$11-DPR!#REF!))))</f>
        <v>#REF!</v>
      </c>
      <c r="H93" s="870" t="e">
        <f>MAX(0,IF($AK$5=$C$9,H$9-DPR!#REF!,IF($AK$5=$C$10,H$10-DPR!#REF!,IF($AK$5=$C$11,H$11-DPR!#REF!))))</f>
        <v>#REF!</v>
      </c>
      <c r="I93" s="870" t="e">
        <f>MAX(0,IF($AK$5=$C$9,I$9-DPR!#REF!,IF($AK$5=$C$10,I$10-DPR!#REF!,IF($AK$5=$C$11,I$11-DPR!#REF!))))</f>
        <v>#REF!</v>
      </c>
      <c r="J93" s="870" t="e">
        <f>MAX(0,IF($AK$5=$C$9,J$9-DPR!#REF!,IF($AK$5=$C$10,J$10-DPR!#REF!,IF($AK$5=$C$11,J$11-DPR!#REF!))))</f>
        <v>#REF!</v>
      </c>
      <c r="K93" s="870" t="e">
        <f>MAX(0,IF($AK$5=$C$9,K$9-DPR!#REF!,IF($AK$5=$C$10,K$10-DPR!#REF!,IF($AK$5=$C$11,K$11-DPR!#REF!))))</f>
        <v>#REF!</v>
      </c>
      <c r="L93" s="870" t="e">
        <f>MAX(0,IF($AK$5=$C$9,L$9-DPR!#REF!,IF($AK$5=$C$10,L$10-DPR!#REF!,IF($AK$5=$C$11,L$11-DPR!#REF!))))</f>
        <v>#REF!</v>
      </c>
      <c r="M93" s="870" t="e">
        <f>MAX(0,IF($AK$5=$C$9,M$9-DPR!#REF!,IF($AK$5=$C$10,M$10-DPR!#REF!,IF($AK$5=$C$11,M$11-DPR!#REF!))))</f>
        <v>#REF!</v>
      </c>
      <c r="N93" s="870" t="e">
        <f>MAX(0,IF($AK$5=$C$9,N$9-DPR!#REF!,IF($AK$5=$C$10,N$10-DPR!#REF!,IF($AK$5=$C$11,N$11-DPR!#REF!))))</f>
        <v>#REF!</v>
      </c>
      <c r="O93" s="870" t="e">
        <f>MAX(0,IF($AK$5=$C$9,O$9-DPR!#REF!,IF($AK$5=$C$10,O$10-DPR!#REF!,IF($AK$5=$C$11,O$11-DPR!#REF!))))</f>
        <v>#REF!</v>
      </c>
      <c r="P93" s="870" t="e">
        <f>MAX(0,IF($AK$5=$C$9,P$9-DPR!#REF!,IF($AK$5=$C$10,P$10-DPR!#REF!,IF($AK$5=$C$11,P$11-DPR!#REF!))))</f>
        <v>#REF!</v>
      </c>
      <c r="Q93" s="870">
        <v>2</v>
      </c>
      <c r="R93" s="919" t="e">
        <f t="shared" si="7"/>
        <v>#REF!</v>
      </c>
      <c r="S93" s="878"/>
      <c r="T93" s="878"/>
      <c r="U93" s="878"/>
      <c r="V93" s="878"/>
      <c r="W93" s="878"/>
      <c r="X93" s="878"/>
      <c r="Y93" s="878"/>
      <c r="Z93" s="878"/>
      <c r="AA93" s="878"/>
      <c r="AB93" s="878"/>
      <c r="AC93" s="878"/>
      <c r="AD93" s="878"/>
      <c r="AE93" s="878"/>
      <c r="AF93" s="847"/>
      <c r="AG93" s="920">
        <f t="shared" si="8"/>
        <v>0</v>
      </c>
      <c r="AH93" s="888">
        <f t="shared" si="9"/>
        <v>202506</v>
      </c>
      <c r="AI93" t="e">
        <f>DPR!#REF!</f>
        <v>#REF!</v>
      </c>
    </row>
    <row r="94" spans="3:36" ht="15.75">
      <c r="C94" s="918">
        <v>45830</v>
      </c>
      <c r="D94" s="870" t="e">
        <f>MAX(0,IF($AK$5=$C$9,D$9-DPR!#REF!,IF($AK$5=$C$10,D$10-DPR!#REF!,IF($AK$5=$C$11,D$11-DPR!#REF!))))</f>
        <v>#REF!</v>
      </c>
      <c r="E94" s="870" t="e">
        <f>MAX(0,IF($AK$5=$C$9,E$9-DPR!#REF!,IF($AK$5=$C$10,E$10-DPR!#REF!,IF($AK$5=$C$11,E$11-DPR!#REF!))))</f>
        <v>#REF!</v>
      </c>
      <c r="F94" s="870" t="e">
        <f>MAX(0,IF($AK$5=$C$9,F$9-DPR!#REF!,IF($AK$5=$C$10,F$10-DPR!#REF!,IF($AK$5=$C$11,F$11-DPR!#REF!))))</f>
        <v>#REF!</v>
      </c>
      <c r="G94" s="870" t="e">
        <f>MAX(0,IF($AK$5=$C$9,G$9-DPR!#REF!,IF($AK$5=$C$10,G$10-DPR!#REF!,IF($AK$5=$C$11,G$11-DPR!#REF!))))</f>
        <v>#REF!</v>
      </c>
      <c r="H94" s="870" t="e">
        <f>MAX(0,IF($AK$5=$C$9,H$9-DPR!#REF!,IF($AK$5=$C$10,H$10-DPR!#REF!,IF($AK$5=$C$11,H$11-DPR!#REF!))))</f>
        <v>#REF!</v>
      </c>
      <c r="I94" s="870" t="e">
        <f>MAX(0,IF($AK$5=$C$9,I$9-DPR!#REF!,IF($AK$5=$C$10,I$10-DPR!#REF!,IF($AK$5=$C$11,I$11-DPR!#REF!))))</f>
        <v>#REF!</v>
      </c>
      <c r="J94" s="870" t="e">
        <f>MAX(0,IF($AK$5=$C$9,J$9-DPR!#REF!,IF($AK$5=$C$10,J$10-DPR!#REF!,IF($AK$5=$C$11,J$11-DPR!#REF!))))</f>
        <v>#REF!</v>
      </c>
      <c r="K94" s="870" t="e">
        <f>MAX(0,IF($AK$5=$C$9,K$9-DPR!#REF!,IF($AK$5=$C$10,K$10-DPR!#REF!,IF($AK$5=$C$11,K$11-DPR!#REF!))))</f>
        <v>#REF!</v>
      </c>
      <c r="L94" s="870" t="e">
        <f>MAX(0,IF($AK$5=$C$9,L$9-DPR!#REF!,IF($AK$5=$C$10,L$10-DPR!#REF!,IF($AK$5=$C$11,L$11-DPR!#REF!))))</f>
        <v>#REF!</v>
      </c>
      <c r="M94" s="870" t="e">
        <f>MAX(0,IF($AK$5=$C$9,M$9-DPR!#REF!,IF($AK$5=$C$10,M$10-DPR!#REF!,IF($AK$5=$C$11,M$11-DPR!#REF!))))</f>
        <v>#REF!</v>
      </c>
      <c r="N94" s="870" t="e">
        <f>MAX(0,IF($AK$5=$C$9,N$9-DPR!#REF!,IF($AK$5=$C$10,N$10-DPR!#REF!,IF($AK$5=$C$11,N$11-DPR!#REF!))))</f>
        <v>#REF!</v>
      </c>
      <c r="O94" s="870" t="e">
        <f>MAX(0,IF($AK$5=$C$9,O$9-DPR!#REF!,IF($AK$5=$C$10,O$10-DPR!#REF!,IF($AK$5=$C$11,O$11-DPR!#REF!))))</f>
        <v>#REF!</v>
      </c>
      <c r="P94" s="870" t="e">
        <f>MAX(0,IF($AK$5=$C$9,P$9-DPR!#REF!,IF($AK$5=$C$10,P$10-DPR!#REF!,IF($AK$5=$C$11,P$11-DPR!#REF!))))</f>
        <v>#REF!</v>
      </c>
      <c r="Q94" s="870">
        <v>3</v>
      </c>
      <c r="R94" s="919" t="e">
        <f t="shared" si="7"/>
        <v>#REF!</v>
      </c>
      <c r="S94" s="878"/>
      <c r="T94" s="878"/>
      <c r="U94" s="878"/>
      <c r="V94" s="878"/>
      <c r="W94" s="878"/>
      <c r="X94" s="878"/>
      <c r="Y94" s="878"/>
      <c r="Z94" s="878"/>
      <c r="AA94" s="878"/>
      <c r="AB94" s="878"/>
      <c r="AC94" s="878"/>
      <c r="AD94" s="878"/>
      <c r="AE94" s="878"/>
      <c r="AF94" s="847"/>
      <c r="AG94" s="920">
        <f t="shared" si="8"/>
        <v>0</v>
      </c>
      <c r="AH94" s="888">
        <f t="shared" si="9"/>
        <v>202506</v>
      </c>
      <c r="AI94" t="e">
        <f>DPR!#REF!</f>
        <v>#REF!</v>
      </c>
    </row>
    <row r="95" spans="3:36" ht="15.75">
      <c r="C95" s="918">
        <v>45831</v>
      </c>
      <c r="D95" s="870" t="e">
        <f>MAX(0,IF($AK$5=$C$9,D$9-DPR!#REF!,IF($AK$5=$C$10,D$10-DPR!#REF!,IF($AK$5=$C$11,D$11-DPR!#REF!))))</f>
        <v>#REF!</v>
      </c>
      <c r="E95" s="870" t="e">
        <f>MAX(0,IF($AK$5=$C$9,E$9-DPR!#REF!,IF($AK$5=$C$10,E$10-DPR!#REF!,IF($AK$5=$C$11,E$11-DPR!#REF!))))</f>
        <v>#REF!</v>
      </c>
      <c r="F95" s="870" t="e">
        <f>MAX(0,IF($AK$5=$C$9,F$9-DPR!#REF!,IF($AK$5=$C$10,F$10-DPR!#REF!,IF($AK$5=$C$11,F$11-DPR!#REF!))))</f>
        <v>#REF!</v>
      </c>
      <c r="G95" s="870" t="e">
        <f>MAX(0,IF($AK$5=$C$9,G$9-DPR!#REF!,IF($AK$5=$C$10,G$10-DPR!#REF!,IF($AK$5=$C$11,G$11-DPR!#REF!))))</f>
        <v>#REF!</v>
      </c>
      <c r="H95" s="870" t="e">
        <f>MAX(0,IF($AK$5=$C$9,H$9-DPR!#REF!,IF($AK$5=$C$10,H$10-DPR!#REF!,IF($AK$5=$C$11,H$11-DPR!#REF!))))</f>
        <v>#REF!</v>
      </c>
      <c r="I95" s="870" t="e">
        <f>MAX(0,IF($AK$5=$C$9,I$9-DPR!#REF!,IF($AK$5=$C$10,I$10-DPR!#REF!,IF($AK$5=$C$11,I$11-DPR!#REF!))))</f>
        <v>#REF!</v>
      </c>
      <c r="J95" s="870" t="e">
        <f>MAX(0,IF($AK$5=$C$9,J$9-DPR!#REF!,IF($AK$5=$C$10,J$10-DPR!#REF!,IF($AK$5=$C$11,J$11-DPR!#REF!))))</f>
        <v>#REF!</v>
      </c>
      <c r="K95" s="870" t="e">
        <f>MAX(0,IF($AK$5=$C$9,K$9-DPR!#REF!,IF($AK$5=$C$10,K$10-DPR!#REF!,IF($AK$5=$C$11,K$11-DPR!#REF!))))</f>
        <v>#REF!</v>
      </c>
      <c r="L95" s="870" t="e">
        <f>MAX(0,IF($AK$5=$C$9,L$9-DPR!#REF!,IF($AK$5=$C$10,L$10-DPR!#REF!,IF($AK$5=$C$11,L$11-DPR!#REF!))))</f>
        <v>#REF!</v>
      </c>
      <c r="M95" s="870" t="e">
        <f>MAX(0,IF($AK$5=$C$9,M$9-DPR!#REF!,IF($AK$5=$C$10,M$10-DPR!#REF!,IF($AK$5=$C$11,M$11-DPR!#REF!))))</f>
        <v>#REF!</v>
      </c>
      <c r="N95" s="870" t="e">
        <f>MAX(0,IF($AK$5=$C$9,N$9-DPR!#REF!,IF($AK$5=$C$10,N$10-DPR!#REF!,IF($AK$5=$C$11,N$11-DPR!#REF!))))</f>
        <v>#REF!</v>
      </c>
      <c r="O95" s="870" t="e">
        <f>MAX(0,IF($AK$5=$C$9,O$9-DPR!#REF!,IF($AK$5=$C$10,O$10-DPR!#REF!,IF($AK$5=$C$11,O$11-DPR!#REF!))))</f>
        <v>#REF!</v>
      </c>
      <c r="P95" s="870" t="e">
        <f>MAX(0,IF($AK$5=$C$9,P$9-DPR!#REF!,IF($AK$5=$C$10,P$10-DPR!#REF!,IF($AK$5=$C$11,P$11-DPR!#REF!))))</f>
        <v>#REF!</v>
      </c>
      <c r="Q95" s="870">
        <v>4</v>
      </c>
      <c r="R95" s="919" t="e">
        <f t="shared" si="7"/>
        <v>#REF!</v>
      </c>
      <c r="S95" s="878"/>
      <c r="T95" s="878"/>
      <c r="U95" s="878"/>
      <c r="V95" s="878"/>
      <c r="W95" s="878"/>
      <c r="X95" s="878"/>
      <c r="Y95" s="878"/>
      <c r="Z95" s="878"/>
      <c r="AA95" s="878"/>
      <c r="AB95" s="878"/>
      <c r="AC95" s="878"/>
      <c r="AD95" s="878"/>
      <c r="AE95" s="878"/>
      <c r="AF95" s="847"/>
      <c r="AG95" s="920">
        <f t="shared" si="8"/>
        <v>0</v>
      </c>
      <c r="AH95" s="888">
        <f t="shared" si="9"/>
        <v>202506</v>
      </c>
      <c r="AI95" t="e">
        <f>DPR!#REF!</f>
        <v>#REF!</v>
      </c>
    </row>
    <row r="96" spans="3:36" ht="15.75">
      <c r="C96" s="918">
        <v>45832</v>
      </c>
      <c r="D96" s="870" t="e">
        <f>MAX(0,IF($AK$5=$C$9,D$9-DPR!#REF!,IF($AK$5=$C$10,D$10-DPR!#REF!,IF($AK$5=$C$11,D$11-DPR!#REF!))))</f>
        <v>#REF!</v>
      </c>
      <c r="E96" s="870" t="e">
        <f>MAX(0,IF($AK$5=$C$9,E$9-DPR!#REF!,IF($AK$5=$C$10,E$10-DPR!#REF!,IF($AK$5=$C$11,E$11-DPR!#REF!))))</f>
        <v>#REF!</v>
      </c>
      <c r="F96" s="870" t="e">
        <f>MAX(0,IF($AK$5=$C$9,F$9-DPR!#REF!,IF($AK$5=$C$10,F$10-DPR!#REF!,IF($AK$5=$C$11,F$11-DPR!#REF!))))</f>
        <v>#REF!</v>
      </c>
      <c r="G96" s="870" t="e">
        <f>MAX(0,IF($AK$5=$C$9,G$9-DPR!#REF!,IF($AK$5=$C$10,G$10-DPR!#REF!,IF($AK$5=$C$11,G$11-DPR!#REF!))))</f>
        <v>#REF!</v>
      </c>
      <c r="H96" s="870" t="e">
        <f>MAX(0,IF($AK$5=$C$9,H$9-DPR!#REF!,IF($AK$5=$C$10,H$10-DPR!#REF!,IF($AK$5=$C$11,H$11-DPR!#REF!))))</f>
        <v>#REF!</v>
      </c>
      <c r="I96" s="870" t="e">
        <f>MAX(0,IF($AK$5=$C$9,I$9-DPR!#REF!,IF($AK$5=$C$10,I$10-DPR!#REF!,IF($AK$5=$C$11,I$11-DPR!#REF!))))</f>
        <v>#REF!</v>
      </c>
      <c r="J96" s="870" t="e">
        <f>MAX(0,IF($AK$5=$C$9,J$9-DPR!#REF!,IF($AK$5=$C$10,J$10-DPR!#REF!,IF($AK$5=$C$11,J$11-DPR!#REF!))))</f>
        <v>#REF!</v>
      </c>
      <c r="K96" s="870" t="e">
        <f>MAX(0,IF($AK$5=$C$9,K$9-DPR!#REF!,IF($AK$5=$C$10,K$10-DPR!#REF!,IF($AK$5=$C$11,K$11-DPR!#REF!))))</f>
        <v>#REF!</v>
      </c>
      <c r="L96" s="870" t="e">
        <f>MAX(0,IF($AK$5=$C$9,L$9-DPR!#REF!,IF($AK$5=$C$10,L$10-DPR!#REF!,IF($AK$5=$C$11,L$11-DPR!#REF!))))</f>
        <v>#REF!</v>
      </c>
      <c r="M96" s="870" t="e">
        <f>MAX(0,IF($AK$5=$C$9,M$9-DPR!#REF!,IF($AK$5=$C$10,M$10-DPR!#REF!,IF($AK$5=$C$11,M$11-DPR!#REF!))))</f>
        <v>#REF!</v>
      </c>
      <c r="N96" s="870" t="e">
        <f>MAX(0,IF($AK$5=$C$9,N$9-DPR!#REF!,IF($AK$5=$C$10,N$10-DPR!#REF!,IF($AK$5=$C$11,N$11-DPR!#REF!))))</f>
        <v>#REF!</v>
      </c>
      <c r="O96" s="870" t="e">
        <f>MAX(0,IF($AK$5=$C$9,O$9-DPR!#REF!,IF($AK$5=$C$10,O$10-DPR!#REF!,IF($AK$5=$C$11,O$11-DPR!#REF!))))</f>
        <v>#REF!</v>
      </c>
      <c r="P96" s="870" t="e">
        <f>MAX(0,IF($AK$5=$C$9,P$9-DPR!#REF!,IF($AK$5=$C$10,P$10-DPR!#REF!,IF($AK$5=$C$11,P$11-DPR!#REF!))))</f>
        <v>#REF!</v>
      </c>
      <c r="Q96" s="870">
        <v>5</v>
      </c>
      <c r="R96" s="919" t="e">
        <f t="shared" si="7"/>
        <v>#REF!</v>
      </c>
      <c r="S96" s="878"/>
      <c r="T96" s="878"/>
      <c r="U96" s="878"/>
      <c r="V96" s="878"/>
      <c r="W96" s="878"/>
      <c r="X96" s="878"/>
      <c r="Y96" s="878"/>
      <c r="Z96" s="878"/>
      <c r="AA96" s="878"/>
      <c r="AB96" s="878"/>
      <c r="AC96" s="878"/>
      <c r="AD96" s="878"/>
      <c r="AE96" s="878"/>
      <c r="AF96" s="847"/>
      <c r="AG96" s="920">
        <f t="shared" si="8"/>
        <v>0</v>
      </c>
      <c r="AH96" s="888">
        <f t="shared" si="9"/>
        <v>202506</v>
      </c>
      <c r="AI96" t="e">
        <f>DPR!#REF!</f>
        <v>#REF!</v>
      </c>
    </row>
    <row r="97" spans="3:35" ht="15.75">
      <c r="C97" s="918">
        <v>45833</v>
      </c>
      <c r="D97" s="870" t="e">
        <f>MAX(0,IF($AK$5=$C$9,D$9-DPR!#REF!,IF($AK$5=$C$10,D$10-DPR!#REF!,IF($AK$5=$C$11,D$11-DPR!#REF!))))</f>
        <v>#REF!</v>
      </c>
      <c r="E97" s="870" t="e">
        <f>MAX(0,IF($AK$5=$C$9,E$9-DPR!#REF!,IF($AK$5=$C$10,E$10-DPR!#REF!,IF($AK$5=$C$11,E$11-DPR!#REF!))))</f>
        <v>#REF!</v>
      </c>
      <c r="F97" s="870" t="e">
        <f>MAX(0,IF($AK$5=$C$9,F$9-DPR!#REF!,IF($AK$5=$C$10,F$10-DPR!#REF!,IF($AK$5=$C$11,F$11-DPR!#REF!))))</f>
        <v>#REF!</v>
      </c>
      <c r="G97" s="870" t="e">
        <f>MAX(0,IF($AK$5=$C$9,G$9-DPR!#REF!,IF($AK$5=$C$10,G$10-DPR!#REF!,IF($AK$5=$C$11,G$11-DPR!#REF!))))</f>
        <v>#REF!</v>
      </c>
      <c r="H97" s="870" t="e">
        <f>MAX(0,IF($AK$5=$C$9,H$9-DPR!#REF!,IF($AK$5=$C$10,H$10-DPR!#REF!,IF($AK$5=$C$11,H$11-DPR!#REF!))))</f>
        <v>#REF!</v>
      </c>
      <c r="I97" s="870" t="e">
        <f>MAX(0,IF($AK$5=$C$9,I$9-DPR!#REF!,IF($AK$5=$C$10,I$10-DPR!#REF!,IF($AK$5=$C$11,I$11-DPR!#REF!))))</f>
        <v>#REF!</v>
      </c>
      <c r="J97" s="870" t="e">
        <f>MAX(0,IF($AK$5=$C$9,J$9-DPR!#REF!,IF($AK$5=$C$10,J$10-DPR!#REF!,IF($AK$5=$C$11,J$11-DPR!#REF!))))</f>
        <v>#REF!</v>
      </c>
      <c r="K97" s="870" t="e">
        <f>MAX(0,IF($AK$5=$C$9,K$9-DPR!#REF!,IF($AK$5=$C$10,K$10-DPR!#REF!,IF($AK$5=$C$11,K$11-DPR!#REF!))))</f>
        <v>#REF!</v>
      </c>
      <c r="L97" s="870" t="e">
        <f>MAX(0,IF($AK$5=$C$9,L$9-DPR!#REF!,IF($AK$5=$C$10,L$10-DPR!#REF!,IF($AK$5=$C$11,L$11-DPR!#REF!))))</f>
        <v>#REF!</v>
      </c>
      <c r="M97" s="870" t="e">
        <f>MAX(0,IF($AK$5=$C$9,M$9-DPR!#REF!,IF($AK$5=$C$10,M$10-DPR!#REF!,IF($AK$5=$C$11,M$11-DPR!#REF!))))</f>
        <v>#REF!</v>
      </c>
      <c r="N97" s="870" t="e">
        <f>MAX(0,IF($AK$5=$C$9,N$9-DPR!#REF!,IF($AK$5=$C$10,N$10-DPR!#REF!,IF($AK$5=$C$11,N$11-DPR!#REF!))))</f>
        <v>#REF!</v>
      </c>
      <c r="O97" s="870" t="e">
        <f>MAX(0,IF($AK$5=$C$9,O$9-DPR!#REF!,IF($AK$5=$C$10,O$10-DPR!#REF!,IF($AK$5=$C$11,O$11-DPR!#REF!))))</f>
        <v>#REF!</v>
      </c>
      <c r="P97" s="870" t="e">
        <f>MAX(0,IF($AK$5=$C$9,P$9-DPR!#REF!,IF($AK$5=$C$10,P$10-DPR!#REF!,IF($AK$5=$C$11,P$11-DPR!#REF!))))</f>
        <v>#REF!</v>
      </c>
      <c r="Q97" s="870">
        <v>6</v>
      </c>
      <c r="R97" s="919" t="e">
        <f t="shared" si="7"/>
        <v>#REF!</v>
      </c>
      <c r="S97" s="878"/>
      <c r="T97" s="878"/>
      <c r="U97" s="878"/>
      <c r="V97" s="878"/>
      <c r="W97" s="878"/>
      <c r="X97" s="878"/>
      <c r="Y97" s="878"/>
      <c r="Z97" s="878"/>
      <c r="AA97" s="878"/>
      <c r="AB97" s="878"/>
      <c r="AC97" s="878"/>
      <c r="AD97" s="878"/>
      <c r="AE97" s="878"/>
      <c r="AF97" s="847"/>
      <c r="AG97" s="920">
        <f t="shared" si="8"/>
        <v>0</v>
      </c>
      <c r="AH97" s="888">
        <f t="shared" si="9"/>
        <v>202506</v>
      </c>
      <c r="AI97" t="e">
        <f>DPR!#REF!</f>
        <v>#REF!</v>
      </c>
    </row>
    <row r="98" spans="3:35" ht="15.75">
      <c r="C98" s="918">
        <v>45834</v>
      </c>
      <c r="D98" s="870" t="e">
        <f>MAX(0,IF($AK$5=$C$9,D$9-DPR!#REF!,IF($AK$5=$C$10,D$10-DPR!#REF!,IF($AK$5=$C$11,D$11-DPR!#REF!))))</f>
        <v>#REF!</v>
      </c>
      <c r="E98" s="870" t="e">
        <f>MAX(0,IF($AK$5=$C$9,E$9-DPR!#REF!,IF($AK$5=$C$10,E$10-DPR!#REF!,IF($AK$5=$C$11,E$11-DPR!#REF!))))</f>
        <v>#REF!</v>
      </c>
      <c r="F98" s="870" t="e">
        <f>MAX(0,IF($AK$5=$C$9,F$9-DPR!#REF!,IF($AK$5=$C$10,F$10-DPR!#REF!,IF($AK$5=$C$11,F$11-DPR!#REF!))))</f>
        <v>#REF!</v>
      </c>
      <c r="G98" s="870" t="e">
        <f>MAX(0,IF($AK$5=$C$9,G$9-DPR!#REF!,IF($AK$5=$C$10,G$10-DPR!#REF!,IF($AK$5=$C$11,G$11-DPR!#REF!))))</f>
        <v>#REF!</v>
      </c>
      <c r="H98" s="870" t="e">
        <f>MAX(0,IF($AK$5=$C$9,H$9-DPR!#REF!,IF($AK$5=$C$10,H$10-DPR!#REF!,IF($AK$5=$C$11,H$11-DPR!#REF!))))</f>
        <v>#REF!</v>
      </c>
      <c r="I98" s="870" t="e">
        <f>MAX(0,IF($AK$5=$C$9,I$9-DPR!#REF!,IF($AK$5=$C$10,I$10-DPR!#REF!,IF($AK$5=$C$11,I$11-DPR!#REF!))))</f>
        <v>#REF!</v>
      </c>
      <c r="J98" s="870" t="e">
        <f>MAX(0,IF($AK$5=$C$9,J$9-DPR!#REF!,IF($AK$5=$C$10,J$10-DPR!#REF!,IF($AK$5=$C$11,J$11-DPR!#REF!))))</f>
        <v>#REF!</v>
      </c>
      <c r="K98" s="870" t="e">
        <f>MAX(0,IF($AK$5=$C$9,K$9-DPR!#REF!,IF($AK$5=$C$10,K$10-DPR!#REF!,IF($AK$5=$C$11,K$11-DPR!#REF!))))</f>
        <v>#REF!</v>
      </c>
      <c r="L98" s="870" t="e">
        <f>MAX(0,IF($AK$5=$C$9,L$9-DPR!#REF!,IF($AK$5=$C$10,L$10-DPR!#REF!,IF($AK$5=$C$11,L$11-DPR!#REF!))))</f>
        <v>#REF!</v>
      </c>
      <c r="M98" s="870" t="e">
        <f>MAX(0,IF($AK$5=$C$9,M$9-DPR!#REF!,IF($AK$5=$C$10,M$10-DPR!#REF!,IF($AK$5=$C$11,M$11-DPR!#REF!))))</f>
        <v>#REF!</v>
      </c>
      <c r="N98" s="870" t="e">
        <f>MAX(0,IF($AK$5=$C$9,N$9-DPR!#REF!,IF($AK$5=$C$10,N$10-DPR!#REF!,IF($AK$5=$C$11,N$11-DPR!#REF!))))</f>
        <v>#REF!</v>
      </c>
      <c r="O98" s="870" t="e">
        <f>MAX(0,IF($AK$5=$C$9,O$9-DPR!#REF!,IF($AK$5=$C$10,O$10-DPR!#REF!,IF($AK$5=$C$11,O$11-DPR!#REF!))))</f>
        <v>#REF!</v>
      </c>
      <c r="P98" s="870" t="e">
        <f>MAX(0,IF($AK$5=$C$9,P$9-DPR!#REF!,IF($AK$5=$C$10,P$10-DPR!#REF!,IF($AK$5=$C$11,P$11-DPR!#REF!))))</f>
        <v>#REF!</v>
      </c>
      <c r="Q98" s="870">
        <v>7</v>
      </c>
      <c r="R98" s="919" t="e">
        <f t="shared" si="7"/>
        <v>#REF!</v>
      </c>
      <c r="S98" s="878"/>
      <c r="T98" s="878"/>
      <c r="U98" s="878"/>
      <c r="V98" s="878"/>
      <c r="W98" s="878"/>
      <c r="X98" s="878"/>
      <c r="Y98" s="878"/>
      <c r="Z98" s="878"/>
      <c r="AA98" s="878"/>
      <c r="AB98" s="878"/>
      <c r="AC98" s="878"/>
      <c r="AD98" s="878"/>
      <c r="AE98" s="878"/>
      <c r="AF98" s="847"/>
      <c r="AG98" s="920">
        <f t="shared" si="8"/>
        <v>0</v>
      </c>
      <c r="AH98" s="888">
        <f t="shared" si="9"/>
        <v>202506</v>
      </c>
      <c r="AI98" t="e">
        <f>DPR!#REF!</f>
        <v>#REF!</v>
      </c>
    </row>
    <row r="99" spans="3:35" ht="15.75">
      <c r="C99" s="918">
        <v>45835</v>
      </c>
      <c r="D99" s="870" t="e">
        <f>MAX(0,IF($AK$5=$C$9,D$9-DPR!#REF!,IF($AK$5=$C$10,D$10-DPR!#REF!,IF($AK$5=$C$11,D$11-DPR!#REF!))))</f>
        <v>#REF!</v>
      </c>
      <c r="E99" s="870" t="e">
        <f>MAX(0,IF($AK$5=$C$9,E$9-DPR!#REF!,IF($AK$5=$C$10,E$10-DPR!#REF!,IF($AK$5=$C$11,E$11-DPR!#REF!))))</f>
        <v>#REF!</v>
      </c>
      <c r="F99" s="870" t="e">
        <f>MAX(0,IF($AK$5=$C$9,F$9-DPR!#REF!,IF($AK$5=$C$10,F$10-DPR!#REF!,IF($AK$5=$C$11,F$11-DPR!#REF!))))</f>
        <v>#REF!</v>
      </c>
      <c r="G99" s="870" t="e">
        <f>MAX(0,IF($AK$5=$C$9,G$9-DPR!#REF!,IF($AK$5=$C$10,G$10-DPR!#REF!,IF($AK$5=$C$11,G$11-DPR!#REF!))))</f>
        <v>#REF!</v>
      </c>
      <c r="H99" s="870" t="e">
        <f>MAX(0,IF($AK$5=$C$9,H$9-DPR!#REF!,IF($AK$5=$C$10,H$10-DPR!#REF!,IF($AK$5=$C$11,H$11-DPR!#REF!))))</f>
        <v>#REF!</v>
      </c>
      <c r="I99" s="870" t="e">
        <f>MAX(0,IF($AK$5=$C$9,I$9-DPR!#REF!,IF($AK$5=$C$10,I$10-DPR!#REF!,IF($AK$5=$C$11,I$11-DPR!#REF!))))</f>
        <v>#REF!</v>
      </c>
      <c r="J99" s="870" t="e">
        <f>MAX(0,IF($AK$5=$C$9,J$9-DPR!#REF!,IF($AK$5=$C$10,J$10-DPR!#REF!,IF($AK$5=$C$11,J$11-DPR!#REF!))))</f>
        <v>#REF!</v>
      </c>
      <c r="K99" s="870" t="e">
        <f>MAX(0,IF($AK$5=$C$9,K$9-DPR!#REF!,IF($AK$5=$C$10,K$10-DPR!#REF!,IF($AK$5=$C$11,K$11-DPR!#REF!))))</f>
        <v>#REF!</v>
      </c>
      <c r="L99" s="870" t="e">
        <f>MAX(0,IF($AK$5=$C$9,L$9-DPR!#REF!,IF($AK$5=$C$10,L$10-DPR!#REF!,IF($AK$5=$C$11,L$11-DPR!#REF!))))</f>
        <v>#REF!</v>
      </c>
      <c r="M99" s="870" t="e">
        <f>MAX(0,IF($AK$5=$C$9,M$9-DPR!#REF!,IF($AK$5=$C$10,M$10-DPR!#REF!,IF($AK$5=$C$11,M$11-DPR!#REF!))))</f>
        <v>#REF!</v>
      </c>
      <c r="N99" s="870" t="e">
        <f>MAX(0,IF($AK$5=$C$9,N$9-DPR!#REF!,IF($AK$5=$C$10,N$10-DPR!#REF!,IF($AK$5=$C$11,N$11-DPR!#REF!))))</f>
        <v>#REF!</v>
      </c>
      <c r="O99" s="870" t="e">
        <f>MAX(0,IF($AK$5=$C$9,O$9-DPR!#REF!,IF($AK$5=$C$10,O$10-DPR!#REF!,IF($AK$5=$C$11,O$11-DPR!#REF!))))</f>
        <v>#REF!</v>
      </c>
      <c r="P99" s="870" t="e">
        <f>MAX(0,IF($AK$5=$C$9,P$9-DPR!#REF!,IF($AK$5=$C$10,P$10-DPR!#REF!,IF($AK$5=$C$11,P$11-DPR!#REF!))))</f>
        <v>#REF!</v>
      </c>
      <c r="Q99" s="870">
        <v>8</v>
      </c>
      <c r="R99" s="919" t="e">
        <f t="shared" si="7"/>
        <v>#REF!</v>
      </c>
      <c r="S99" s="878"/>
      <c r="T99" s="878"/>
      <c r="U99" s="878"/>
      <c r="V99" s="878"/>
      <c r="W99" s="878"/>
      <c r="X99" s="878"/>
      <c r="Y99" s="878"/>
      <c r="Z99" s="878"/>
      <c r="AA99" s="878"/>
      <c r="AB99" s="878"/>
      <c r="AC99" s="878"/>
      <c r="AD99" s="878"/>
      <c r="AE99" s="878"/>
      <c r="AF99" s="847"/>
      <c r="AG99" s="920">
        <f t="shared" si="8"/>
        <v>0</v>
      </c>
      <c r="AH99" s="888">
        <f t="shared" si="9"/>
        <v>202506</v>
      </c>
      <c r="AI99" t="e">
        <f>DPR!#REF!</f>
        <v>#REF!</v>
      </c>
    </row>
    <row r="100" spans="3:35" ht="15.75">
      <c r="C100" s="918">
        <v>45836</v>
      </c>
      <c r="D100" s="870" t="e">
        <f>MAX(0,IF($AK$5=$C$9,D$9-DPR!#REF!,IF($AK$5=$C$10,D$10-DPR!#REF!,IF($AK$5=$C$11,D$11-DPR!#REF!))))</f>
        <v>#REF!</v>
      </c>
      <c r="E100" s="870" t="e">
        <f>MAX(0,IF($AK$5=$C$9,E$9-DPR!#REF!,IF($AK$5=$C$10,E$10-DPR!#REF!,IF($AK$5=$C$11,E$11-DPR!#REF!))))</f>
        <v>#REF!</v>
      </c>
      <c r="F100" s="870" t="e">
        <f>MAX(0,IF($AK$5=$C$9,F$9-DPR!#REF!,IF($AK$5=$C$10,F$10-DPR!#REF!,IF($AK$5=$C$11,F$11-DPR!#REF!))))</f>
        <v>#REF!</v>
      </c>
      <c r="G100" s="870" t="e">
        <f>MAX(0,IF($AK$5=$C$9,G$9-DPR!#REF!,IF($AK$5=$C$10,G$10-DPR!#REF!,IF($AK$5=$C$11,G$11-DPR!#REF!))))</f>
        <v>#REF!</v>
      </c>
      <c r="H100" s="870" t="e">
        <f>MAX(0,IF($AK$5=$C$9,H$9-DPR!#REF!,IF($AK$5=$C$10,H$10-DPR!#REF!,IF($AK$5=$C$11,H$11-DPR!#REF!))))</f>
        <v>#REF!</v>
      </c>
      <c r="I100" s="870" t="e">
        <f>MAX(0,IF($AK$5=$C$9,I$9-DPR!#REF!,IF($AK$5=$C$10,I$10-DPR!#REF!,IF($AK$5=$C$11,I$11-DPR!#REF!))))</f>
        <v>#REF!</v>
      </c>
      <c r="J100" s="870" t="e">
        <f>MAX(0,IF($AK$5=$C$9,J$9-DPR!#REF!,IF($AK$5=$C$10,J$10-DPR!#REF!,IF($AK$5=$C$11,J$11-DPR!#REF!))))</f>
        <v>#REF!</v>
      </c>
      <c r="K100" s="870" t="e">
        <f>MAX(0,IF($AK$5=$C$9,K$9-DPR!#REF!,IF($AK$5=$C$10,K$10-DPR!#REF!,IF($AK$5=$C$11,K$11-DPR!#REF!))))</f>
        <v>#REF!</v>
      </c>
      <c r="L100" s="870" t="e">
        <f>MAX(0,IF($AK$5=$C$9,L$9-DPR!#REF!,IF($AK$5=$C$10,L$10-DPR!#REF!,IF($AK$5=$C$11,L$11-DPR!#REF!))))</f>
        <v>#REF!</v>
      </c>
      <c r="M100" s="870" t="e">
        <f>MAX(0,IF($AK$5=$C$9,M$9-DPR!#REF!,IF($AK$5=$C$10,M$10-DPR!#REF!,IF($AK$5=$C$11,M$11-DPR!#REF!))))</f>
        <v>#REF!</v>
      </c>
      <c r="N100" s="870" t="e">
        <f>MAX(0,IF($AK$5=$C$9,N$9-DPR!#REF!,IF($AK$5=$C$10,N$10-DPR!#REF!,IF($AK$5=$C$11,N$11-DPR!#REF!))))</f>
        <v>#REF!</v>
      </c>
      <c r="O100" s="870" t="e">
        <f>MAX(0,IF($AK$5=$C$9,O$9-DPR!#REF!,IF($AK$5=$C$10,O$10-DPR!#REF!,IF($AK$5=$C$11,O$11-DPR!#REF!))))</f>
        <v>#REF!</v>
      </c>
      <c r="P100" s="870" t="e">
        <f>MAX(0,IF($AK$5=$C$9,P$9-DPR!#REF!,IF($AK$5=$C$10,P$10-DPR!#REF!,IF($AK$5=$C$11,P$11-DPR!#REF!))))</f>
        <v>#REF!</v>
      </c>
      <c r="Q100" s="870">
        <v>9</v>
      </c>
      <c r="R100" s="919" t="e">
        <f t="shared" si="7"/>
        <v>#REF!</v>
      </c>
      <c r="S100" s="878"/>
      <c r="T100" s="878"/>
      <c r="U100" s="878"/>
      <c r="V100" s="878"/>
      <c r="W100" s="878"/>
      <c r="X100" s="878"/>
      <c r="Y100" s="878"/>
      <c r="Z100" s="878"/>
      <c r="AA100" s="878"/>
      <c r="AB100" s="878"/>
      <c r="AC100" s="878"/>
      <c r="AD100" s="878"/>
      <c r="AE100" s="878"/>
      <c r="AF100" s="847"/>
      <c r="AG100" s="920">
        <f t="shared" si="8"/>
        <v>0</v>
      </c>
      <c r="AH100" s="888">
        <f t="shared" si="9"/>
        <v>202506</v>
      </c>
      <c r="AI100" t="e">
        <f>DPR!#REF!</f>
        <v>#REF!</v>
      </c>
    </row>
    <row r="101" spans="3:35" ht="15.75">
      <c r="C101" s="918">
        <v>45837</v>
      </c>
      <c r="D101" s="870" t="e">
        <f>MAX(0,IF($AK$5=$C$9,D$9-DPR!#REF!,IF($AK$5=$C$10,D$10-DPR!#REF!,IF($AK$5=$C$11,D$11-DPR!#REF!))))</f>
        <v>#REF!</v>
      </c>
      <c r="E101" s="870" t="e">
        <f>MAX(0,IF($AK$5=$C$9,E$9-DPR!#REF!,IF($AK$5=$C$10,E$10-DPR!#REF!,IF($AK$5=$C$11,E$11-DPR!#REF!))))</f>
        <v>#REF!</v>
      </c>
      <c r="F101" s="870" t="e">
        <f>MAX(0,IF($AK$5=$C$9,F$9-DPR!#REF!,IF($AK$5=$C$10,F$10-DPR!#REF!,IF($AK$5=$C$11,F$11-DPR!#REF!))))</f>
        <v>#REF!</v>
      </c>
      <c r="G101" s="870" t="e">
        <f>MAX(0,IF($AK$5=$C$9,G$9-DPR!#REF!,IF($AK$5=$C$10,G$10-DPR!#REF!,IF($AK$5=$C$11,G$11-DPR!#REF!))))</f>
        <v>#REF!</v>
      </c>
      <c r="H101" s="870" t="e">
        <f>MAX(0,IF($AK$5=$C$9,H$9-DPR!#REF!,IF($AK$5=$C$10,H$10-DPR!#REF!,IF($AK$5=$C$11,H$11-DPR!#REF!))))</f>
        <v>#REF!</v>
      </c>
      <c r="I101" s="870" t="e">
        <f>MAX(0,IF($AK$5=$C$9,I$9-DPR!#REF!,IF($AK$5=$C$10,I$10-DPR!#REF!,IF($AK$5=$C$11,I$11-DPR!#REF!))))</f>
        <v>#REF!</v>
      </c>
      <c r="J101" s="870" t="e">
        <f>MAX(0,IF($AK$5=$C$9,J$9-DPR!#REF!,IF($AK$5=$C$10,J$10-DPR!#REF!,IF($AK$5=$C$11,J$11-DPR!#REF!))))</f>
        <v>#REF!</v>
      </c>
      <c r="K101" s="870" t="e">
        <f>MAX(0,IF($AK$5=$C$9,K$9-DPR!#REF!,IF($AK$5=$C$10,K$10-DPR!#REF!,IF($AK$5=$C$11,K$11-DPR!#REF!))))</f>
        <v>#REF!</v>
      </c>
      <c r="L101" s="870" t="e">
        <f>MAX(0,IF($AK$5=$C$9,L$9-DPR!#REF!,IF($AK$5=$C$10,L$10-DPR!#REF!,IF($AK$5=$C$11,L$11-DPR!#REF!))))</f>
        <v>#REF!</v>
      </c>
      <c r="M101" s="870" t="e">
        <f>MAX(0,IF($AK$5=$C$9,M$9-DPR!#REF!,IF($AK$5=$C$10,M$10-DPR!#REF!,IF($AK$5=$C$11,M$11-DPR!#REF!))))</f>
        <v>#REF!</v>
      </c>
      <c r="N101" s="870" t="e">
        <f>MAX(0,IF($AK$5=$C$9,N$9-DPR!#REF!,IF($AK$5=$C$10,N$10-DPR!#REF!,IF($AK$5=$C$11,N$11-DPR!#REF!))))</f>
        <v>#REF!</v>
      </c>
      <c r="O101" s="870" t="e">
        <f>MAX(0,IF($AK$5=$C$9,O$9-DPR!#REF!,IF($AK$5=$C$10,O$10-DPR!#REF!,IF($AK$5=$C$11,O$11-DPR!#REF!))))</f>
        <v>#REF!</v>
      </c>
      <c r="P101" s="870" t="e">
        <f>MAX(0,IF($AK$5=$C$9,P$9-DPR!#REF!,IF($AK$5=$C$10,P$10-DPR!#REF!,IF($AK$5=$C$11,P$11-DPR!#REF!))))</f>
        <v>#REF!</v>
      </c>
      <c r="Q101" s="870">
        <v>10</v>
      </c>
      <c r="R101" s="919" t="e">
        <f t="shared" si="7"/>
        <v>#REF!</v>
      </c>
      <c r="S101" s="878"/>
      <c r="T101" s="878"/>
      <c r="U101" s="878"/>
      <c r="V101" s="878"/>
      <c r="W101" s="878"/>
      <c r="X101" s="878"/>
      <c r="Y101" s="878"/>
      <c r="Z101" s="878"/>
      <c r="AA101" s="878"/>
      <c r="AB101" s="878"/>
      <c r="AC101" s="878"/>
      <c r="AD101" s="878"/>
      <c r="AE101" s="878"/>
      <c r="AF101" s="847"/>
      <c r="AG101" s="920">
        <f t="shared" si="8"/>
        <v>0</v>
      </c>
      <c r="AH101" s="888">
        <f t="shared" si="9"/>
        <v>202506</v>
      </c>
      <c r="AI101" t="e">
        <f>DPR!#REF!</f>
        <v>#REF!</v>
      </c>
    </row>
    <row r="102" spans="3:35" ht="15.75">
      <c r="C102" s="918">
        <v>45838</v>
      </c>
      <c r="D102" s="870" t="e">
        <f>MAX(0,IF($AK$5=$C$9,D$9-DPR!#REF!,IF($AK$5=$C$10,D$10-DPR!#REF!,IF($AK$5=$C$11,D$11-DPR!#REF!))))</f>
        <v>#REF!</v>
      </c>
      <c r="E102" s="870" t="e">
        <f>MAX(0,IF($AK$5=$C$9,E$9-DPR!#REF!,IF($AK$5=$C$10,E$10-DPR!#REF!,IF($AK$5=$C$11,E$11-DPR!#REF!))))</f>
        <v>#REF!</v>
      </c>
      <c r="F102" s="870" t="e">
        <f>MAX(0,IF($AK$5=$C$9,F$9-DPR!#REF!,IF($AK$5=$C$10,F$10-DPR!#REF!,IF($AK$5=$C$11,F$11-DPR!#REF!))))</f>
        <v>#REF!</v>
      </c>
      <c r="G102" s="870" t="e">
        <f>MAX(0,IF($AK$5=$C$9,G$9-DPR!#REF!,IF($AK$5=$C$10,G$10-DPR!#REF!,IF($AK$5=$C$11,G$11-DPR!#REF!))))</f>
        <v>#REF!</v>
      </c>
      <c r="H102" s="870" t="e">
        <f>MAX(0,IF($AK$5=$C$9,H$9-DPR!#REF!,IF($AK$5=$C$10,H$10-DPR!#REF!,IF($AK$5=$C$11,H$11-DPR!#REF!))))</f>
        <v>#REF!</v>
      </c>
      <c r="I102" s="870" t="e">
        <f>MAX(0,IF($AK$5=$C$9,I$9-DPR!#REF!,IF($AK$5=$C$10,I$10-DPR!#REF!,IF($AK$5=$C$11,I$11-DPR!#REF!))))</f>
        <v>#REF!</v>
      </c>
      <c r="J102" s="870" t="e">
        <f>MAX(0,IF($AK$5=$C$9,J$9-DPR!#REF!,IF($AK$5=$C$10,J$10-DPR!#REF!,IF($AK$5=$C$11,J$11-DPR!#REF!))))</f>
        <v>#REF!</v>
      </c>
      <c r="K102" s="870" t="e">
        <f>MAX(0,IF($AK$5=$C$9,K$9-DPR!#REF!,IF($AK$5=$C$10,K$10-DPR!#REF!,IF($AK$5=$C$11,K$11-DPR!#REF!))))</f>
        <v>#REF!</v>
      </c>
      <c r="L102" s="870" t="e">
        <f>MAX(0,IF($AK$5=$C$9,L$9-DPR!#REF!,IF($AK$5=$C$10,L$10-DPR!#REF!,IF($AK$5=$C$11,L$11-DPR!#REF!))))</f>
        <v>#REF!</v>
      </c>
      <c r="M102" s="870" t="e">
        <f>MAX(0,IF($AK$5=$C$9,M$9-DPR!#REF!,IF($AK$5=$C$10,M$10-DPR!#REF!,IF($AK$5=$C$11,M$11-DPR!#REF!))))</f>
        <v>#REF!</v>
      </c>
      <c r="N102" s="870" t="e">
        <f>MAX(0,IF($AK$5=$C$9,N$9-DPR!#REF!,IF($AK$5=$C$10,N$10-DPR!#REF!,IF($AK$5=$C$11,N$11-DPR!#REF!))))</f>
        <v>#REF!</v>
      </c>
      <c r="O102" s="870" t="e">
        <f>MAX(0,IF($AK$5=$C$9,O$9-DPR!#REF!,IF($AK$5=$C$10,O$10-DPR!#REF!,IF($AK$5=$C$11,O$11-DPR!#REF!))))</f>
        <v>#REF!</v>
      </c>
      <c r="P102" s="870" t="e">
        <f>MAX(0,IF($AK$5=$C$9,P$9-DPR!#REF!,IF($AK$5=$C$10,P$10-DPR!#REF!,IF($AK$5=$C$11,P$11-DPR!#REF!))))</f>
        <v>#REF!</v>
      </c>
      <c r="Q102" s="870">
        <v>11</v>
      </c>
      <c r="R102" s="919" t="e">
        <f t="shared" si="7"/>
        <v>#REF!</v>
      </c>
      <c r="S102" s="878"/>
      <c r="T102" s="878"/>
      <c r="U102" s="878"/>
      <c r="V102" s="878"/>
      <c r="W102" s="878"/>
      <c r="X102" s="878"/>
      <c r="Y102" s="878"/>
      <c r="Z102" s="878"/>
      <c r="AA102" s="878"/>
      <c r="AB102" s="878"/>
      <c r="AC102" s="878"/>
      <c r="AD102" s="878"/>
      <c r="AE102" s="878"/>
      <c r="AF102" s="847"/>
      <c r="AG102" s="920">
        <f t="shared" si="8"/>
        <v>0</v>
      </c>
      <c r="AH102" s="888">
        <f t="shared" si="9"/>
        <v>202506</v>
      </c>
      <c r="AI102" t="e">
        <f>DPR!#REF!</f>
        <v>#REF!</v>
      </c>
    </row>
    <row r="103" spans="3:35" ht="15.75">
      <c r="C103" s="918">
        <v>45839</v>
      </c>
      <c r="D103" s="870" t="e">
        <f>MAX(0,IF($AK$5=$C$9,D$9-DPR!#REF!,IF($AK$5=$C$10,D$10-DPR!#REF!,IF($AK$5=$C$11,D$11-DPR!#REF!))))</f>
        <v>#REF!</v>
      </c>
      <c r="E103" s="870" t="e">
        <f>MAX(0,IF($AK$5=$C$9,E$9-DPR!#REF!,IF($AK$5=$C$10,E$10-DPR!#REF!,IF($AK$5=$C$11,E$11-DPR!#REF!))))</f>
        <v>#REF!</v>
      </c>
      <c r="F103" s="870" t="e">
        <f>MAX(0,IF($AK$5=$C$9,F$9-DPR!#REF!,IF($AK$5=$C$10,F$10-DPR!#REF!,IF($AK$5=$C$11,F$11-DPR!#REF!))))</f>
        <v>#REF!</v>
      </c>
      <c r="G103" s="870" t="e">
        <f>MAX(0,IF($AK$5=$C$9,G$9-DPR!#REF!,IF($AK$5=$C$10,G$10-DPR!#REF!,IF($AK$5=$C$11,G$11-DPR!#REF!))))</f>
        <v>#REF!</v>
      </c>
      <c r="H103" s="870" t="e">
        <f>MAX(0,IF($AK$5=$C$9,H$9-DPR!#REF!,IF($AK$5=$C$10,H$10-DPR!#REF!,IF($AK$5=$C$11,H$11-DPR!#REF!))))</f>
        <v>#REF!</v>
      </c>
      <c r="I103" s="870" t="e">
        <f>MAX(0,IF($AK$5=$C$9,I$9-DPR!#REF!,IF($AK$5=$C$10,I$10-DPR!#REF!,IF($AK$5=$C$11,I$11-DPR!#REF!))))</f>
        <v>#REF!</v>
      </c>
      <c r="J103" s="870" t="e">
        <f>MAX(0,IF($AK$5=$C$9,J$9-DPR!#REF!,IF($AK$5=$C$10,J$10-DPR!#REF!,IF($AK$5=$C$11,J$11-DPR!#REF!))))</f>
        <v>#REF!</v>
      </c>
      <c r="K103" s="870" t="e">
        <f>MAX(0,IF($AK$5=$C$9,K$9-DPR!#REF!,IF($AK$5=$C$10,K$10-DPR!#REF!,IF($AK$5=$C$11,K$11-DPR!#REF!))))</f>
        <v>#REF!</v>
      </c>
      <c r="L103" s="870" t="e">
        <f>MAX(0,IF($AK$5=$C$9,L$9-DPR!#REF!,IF($AK$5=$C$10,L$10-DPR!#REF!,IF($AK$5=$C$11,L$11-DPR!#REF!))))</f>
        <v>#REF!</v>
      </c>
      <c r="M103" s="870" t="e">
        <f>MAX(0,IF($AK$5=$C$9,M$9-DPR!#REF!,IF($AK$5=$C$10,M$10-DPR!#REF!,IF($AK$5=$C$11,M$11-DPR!#REF!))))</f>
        <v>#REF!</v>
      </c>
      <c r="N103" s="870" t="e">
        <f>MAX(0,IF($AK$5=$C$9,N$9-DPR!#REF!,IF($AK$5=$C$10,N$10-DPR!#REF!,IF($AK$5=$C$11,N$11-DPR!#REF!))))</f>
        <v>#REF!</v>
      </c>
      <c r="O103" s="870" t="e">
        <f>MAX(0,IF($AK$5=$C$9,O$9-DPR!#REF!,IF($AK$5=$C$10,O$10-DPR!#REF!,IF($AK$5=$C$11,O$11-DPR!#REF!))))</f>
        <v>#REF!</v>
      </c>
      <c r="P103" s="870" t="e">
        <f>MAX(0,IF($AK$5=$C$9,P$9-DPR!#REF!,IF($AK$5=$C$10,P$10-DPR!#REF!,IF($AK$5=$C$11,P$11-DPR!#REF!))))</f>
        <v>#REF!</v>
      </c>
      <c r="Q103" s="870">
        <v>12</v>
      </c>
      <c r="R103" s="919" t="e">
        <f t="shared" si="7"/>
        <v>#REF!</v>
      </c>
      <c r="S103" s="878"/>
      <c r="T103" s="878"/>
      <c r="U103" s="878"/>
      <c r="V103" s="878"/>
      <c r="W103" s="878"/>
      <c r="X103" s="878"/>
      <c r="Y103" s="878"/>
      <c r="Z103" s="878"/>
      <c r="AA103" s="878"/>
      <c r="AB103" s="878"/>
      <c r="AC103" s="878"/>
      <c r="AD103" s="878"/>
      <c r="AE103" s="878"/>
      <c r="AF103" s="847"/>
      <c r="AG103" s="920">
        <f t="shared" si="8"/>
        <v>0</v>
      </c>
      <c r="AH103" s="888">
        <f t="shared" si="9"/>
        <v>202507</v>
      </c>
      <c r="AI103" t="e">
        <f>DPR!#REF!</f>
        <v>#REF!</v>
      </c>
    </row>
    <row r="104" spans="3:35" ht="15.75">
      <c r="C104" s="918">
        <v>45840</v>
      </c>
      <c r="D104" s="870" t="e">
        <f>MAX(0,IF($AK$5=$C$9,D$9-DPR!#REF!,IF($AK$5=$C$10,D$10-DPR!#REF!,IF($AK$5=$C$11,D$11-DPR!#REF!))))</f>
        <v>#REF!</v>
      </c>
      <c r="E104" s="870" t="e">
        <f>MAX(0,IF($AK$5=$C$9,E$9-DPR!#REF!,IF($AK$5=$C$10,E$10-DPR!#REF!,IF($AK$5=$C$11,E$11-DPR!#REF!))))</f>
        <v>#REF!</v>
      </c>
      <c r="F104" s="870" t="e">
        <f>MAX(0,IF($AK$5=$C$9,F$9-DPR!#REF!,IF($AK$5=$C$10,F$10-DPR!#REF!,IF($AK$5=$C$11,F$11-DPR!#REF!))))</f>
        <v>#REF!</v>
      </c>
      <c r="G104" s="870" t="e">
        <f>MAX(0,IF($AK$5=$C$9,G$9-DPR!#REF!,IF($AK$5=$C$10,G$10-DPR!#REF!,IF($AK$5=$C$11,G$11-DPR!#REF!))))</f>
        <v>#REF!</v>
      </c>
      <c r="H104" s="870" t="e">
        <f>MAX(0,IF($AK$5=$C$9,H$9-DPR!#REF!,IF($AK$5=$C$10,H$10-DPR!#REF!,IF($AK$5=$C$11,H$11-DPR!#REF!))))</f>
        <v>#REF!</v>
      </c>
      <c r="I104" s="870" t="e">
        <f>MAX(0,IF($AK$5=$C$9,I$9-DPR!#REF!,IF($AK$5=$C$10,I$10-DPR!#REF!,IF($AK$5=$C$11,I$11-DPR!#REF!))))</f>
        <v>#REF!</v>
      </c>
      <c r="J104" s="870" t="e">
        <f>MAX(0,IF($AK$5=$C$9,J$9-DPR!#REF!,IF($AK$5=$C$10,J$10-DPR!#REF!,IF($AK$5=$C$11,J$11-DPR!#REF!))))</f>
        <v>#REF!</v>
      </c>
      <c r="K104" s="870" t="e">
        <f>MAX(0,IF($AK$5=$C$9,K$9-DPR!#REF!,IF($AK$5=$C$10,K$10-DPR!#REF!,IF($AK$5=$C$11,K$11-DPR!#REF!))))</f>
        <v>#REF!</v>
      </c>
      <c r="L104" s="870" t="e">
        <f>MAX(0,IF($AK$5=$C$9,L$9-DPR!#REF!,IF($AK$5=$C$10,L$10-DPR!#REF!,IF($AK$5=$C$11,L$11-DPR!#REF!))))</f>
        <v>#REF!</v>
      </c>
      <c r="M104" s="870" t="e">
        <f>MAX(0,IF($AK$5=$C$9,M$9-DPR!#REF!,IF($AK$5=$C$10,M$10-DPR!#REF!,IF($AK$5=$C$11,M$11-DPR!#REF!))))</f>
        <v>#REF!</v>
      </c>
      <c r="N104" s="870" t="e">
        <f>MAX(0,IF($AK$5=$C$9,N$9-DPR!#REF!,IF($AK$5=$C$10,N$10-DPR!#REF!,IF($AK$5=$C$11,N$11-DPR!#REF!))))</f>
        <v>#REF!</v>
      </c>
      <c r="O104" s="870" t="e">
        <f>MAX(0,IF($AK$5=$C$9,O$9-DPR!#REF!,IF($AK$5=$C$10,O$10-DPR!#REF!,IF($AK$5=$C$11,O$11-DPR!#REF!))))</f>
        <v>#REF!</v>
      </c>
      <c r="P104" s="870" t="e">
        <f>MAX(0,IF($AK$5=$C$9,P$9-DPR!#REF!,IF($AK$5=$C$10,P$10-DPR!#REF!,IF($AK$5=$C$11,P$11-DPR!#REF!))))</f>
        <v>#REF!</v>
      </c>
      <c r="Q104" s="870">
        <v>13</v>
      </c>
      <c r="R104" s="919" t="e">
        <f t="shared" si="7"/>
        <v>#REF!</v>
      </c>
      <c r="S104" s="878"/>
      <c r="T104" s="878"/>
      <c r="U104" s="878"/>
      <c r="V104" s="878"/>
      <c r="W104" s="878"/>
      <c r="X104" s="878"/>
      <c r="Y104" s="878"/>
      <c r="Z104" s="878"/>
      <c r="AA104" s="878"/>
      <c r="AB104" s="878"/>
      <c r="AC104" s="878"/>
      <c r="AD104" s="878"/>
      <c r="AE104" s="878"/>
      <c r="AF104" s="847"/>
      <c r="AG104" s="920">
        <f t="shared" si="8"/>
        <v>0</v>
      </c>
      <c r="AH104" s="888">
        <f t="shared" si="9"/>
        <v>202507</v>
      </c>
      <c r="AI104" t="e">
        <f>DPR!#REF!</f>
        <v>#REF!</v>
      </c>
    </row>
    <row r="105" spans="3:35" ht="15.75">
      <c r="C105" s="918">
        <v>45841</v>
      </c>
      <c r="D105" s="870" t="e">
        <f>MAX(0,IF($AK$5=$C$9,D$9-DPR!#REF!,IF($AK$5=$C$10,D$10-DPR!#REF!,IF($AK$5=$C$11,D$11-DPR!#REF!))))</f>
        <v>#REF!</v>
      </c>
      <c r="E105" s="870" t="e">
        <f>MAX(0,IF($AK$5=$C$9,E$9-DPR!#REF!,IF($AK$5=$C$10,E$10-DPR!#REF!,IF($AK$5=$C$11,E$11-DPR!#REF!))))</f>
        <v>#REF!</v>
      </c>
      <c r="F105" s="870" t="e">
        <f>MAX(0,IF($AK$5=$C$9,F$9-DPR!#REF!,IF($AK$5=$C$10,F$10-DPR!#REF!,IF($AK$5=$C$11,F$11-DPR!#REF!))))</f>
        <v>#REF!</v>
      </c>
      <c r="G105" s="870" t="e">
        <f>MAX(0,IF($AK$5=$C$9,G$9-DPR!#REF!,IF($AK$5=$C$10,G$10-DPR!#REF!,IF($AK$5=$C$11,G$11-DPR!#REF!))))</f>
        <v>#REF!</v>
      </c>
      <c r="H105" s="870" t="e">
        <f>MAX(0,IF($AK$5=$C$9,H$9-DPR!#REF!,IF($AK$5=$C$10,H$10-DPR!#REF!,IF($AK$5=$C$11,H$11-DPR!#REF!))))</f>
        <v>#REF!</v>
      </c>
      <c r="I105" s="870" t="e">
        <f>MAX(0,IF($AK$5=$C$9,I$9-DPR!#REF!,IF($AK$5=$C$10,I$10-DPR!#REF!,IF($AK$5=$C$11,I$11-DPR!#REF!))))</f>
        <v>#REF!</v>
      </c>
      <c r="J105" s="870" t="e">
        <f>MAX(0,IF($AK$5=$C$9,J$9-DPR!#REF!,IF($AK$5=$C$10,J$10-DPR!#REF!,IF($AK$5=$C$11,J$11-DPR!#REF!))))</f>
        <v>#REF!</v>
      </c>
      <c r="K105" s="870" t="e">
        <f>MAX(0,IF($AK$5=$C$9,K$9-DPR!#REF!,IF($AK$5=$C$10,K$10-DPR!#REF!,IF($AK$5=$C$11,K$11-DPR!#REF!))))</f>
        <v>#REF!</v>
      </c>
      <c r="L105" s="870" t="e">
        <f>MAX(0,IF($AK$5=$C$9,L$9-DPR!#REF!,IF($AK$5=$C$10,L$10-DPR!#REF!,IF($AK$5=$C$11,L$11-DPR!#REF!))))</f>
        <v>#REF!</v>
      </c>
      <c r="M105" s="870" t="e">
        <f>MAX(0,IF($AK$5=$C$9,M$9-DPR!#REF!,IF($AK$5=$C$10,M$10-DPR!#REF!,IF($AK$5=$C$11,M$11-DPR!#REF!))))</f>
        <v>#REF!</v>
      </c>
      <c r="N105" s="870" t="e">
        <f>MAX(0,IF($AK$5=$C$9,N$9-DPR!#REF!,IF($AK$5=$C$10,N$10-DPR!#REF!,IF($AK$5=$C$11,N$11-DPR!#REF!))))</f>
        <v>#REF!</v>
      </c>
      <c r="O105" s="870" t="e">
        <f>MAX(0,IF($AK$5=$C$9,O$9-DPR!#REF!,IF($AK$5=$C$10,O$10-DPR!#REF!,IF($AK$5=$C$11,O$11-DPR!#REF!))))</f>
        <v>#REF!</v>
      </c>
      <c r="P105" s="870" t="e">
        <f>MAX(0,IF($AK$5=$C$9,P$9-DPR!#REF!,IF($AK$5=$C$10,P$10-DPR!#REF!,IF($AK$5=$C$11,P$11-DPR!#REF!))))</f>
        <v>#REF!</v>
      </c>
      <c r="Q105" s="870">
        <v>14</v>
      </c>
      <c r="R105" s="919" t="e">
        <f t="shared" si="7"/>
        <v>#REF!</v>
      </c>
      <c r="S105" s="878"/>
      <c r="T105" s="878"/>
      <c r="U105" s="878"/>
      <c r="V105" s="878"/>
      <c r="W105" s="878"/>
      <c r="X105" s="878"/>
      <c r="Y105" s="878"/>
      <c r="Z105" s="878"/>
      <c r="AA105" s="878"/>
      <c r="AB105" s="878"/>
      <c r="AC105" s="878"/>
      <c r="AD105" s="878"/>
      <c r="AE105" s="878"/>
      <c r="AF105" s="847"/>
      <c r="AG105" s="920">
        <f t="shared" si="8"/>
        <v>0</v>
      </c>
      <c r="AH105" s="888">
        <f t="shared" si="9"/>
        <v>202507</v>
      </c>
      <c r="AI105" t="e">
        <f>DPR!#REF!</f>
        <v>#REF!</v>
      </c>
    </row>
    <row r="106" spans="3:35" ht="15.75">
      <c r="C106" s="918">
        <v>45842</v>
      </c>
      <c r="D106" s="870" t="e">
        <f>MAX(0,IF($AK$5=$C$9,D$9-DPR!#REF!,IF($AK$5=$C$10,D$10-DPR!#REF!,IF($AK$5=$C$11,D$11-DPR!#REF!))))</f>
        <v>#REF!</v>
      </c>
      <c r="E106" s="870" t="e">
        <f>MAX(0,IF($AK$5=$C$9,E$9-DPR!#REF!,IF($AK$5=$C$10,E$10-DPR!#REF!,IF($AK$5=$C$11,E$11-DPR!#REF!))))</f>
        <v>#REF!</v>
      </c>
      <c r="F106" s="870" t="e">
        <f>MAX(0,IF($AK$5=$C$9,F$9-DPR!#REF!,IF($AK$5=$C$10,F$10-DPR!#REF!,IF($AK$5=$C$11,F$11-DPR!#REF!))))</f>
        <v>#REF!</v>
      </c>
      <c r="G106" s="870" t="e">
        <f>MAX(0,IF($AK$5=$C$9,G$9-DPR!#REF!,IF($AK$5=$C$10,G$10-DPR!#REF!,IF($AK$5=$C$11,G$11-DPR!#REF!))))</f>
        <v>#REF!</v>
      </c>
      <c r="H106" s="870" t="e">
        <f>MAX(0,IF($AK$5=$C$9,H$9-DPR!#REF!,IF($AK$5=$C$10,H$10-DPR!#REF!,IF($AK$5=$C$11,H$11-DPR!#REF!))))</f>
        <v>#REF!</v>
      </c>
      <c r="I106" s="870" t="e">
        <f>MAX(0,IF($AK$5=$C$9,I$9-DPR!#REF!,IF($AK$5=$C$10,I$10-DPR!#REF!,IF($AK$5=$C$11,I$11-DPR!#REF!))))</f>
        <v>#REF!</v>
      </c>
      <c r="J106" s="870" t="e">
        <f>MAX(0,IF($AK$5=$C$9,J$9-DPR!#REF!,IF($AK$5=$C$10,J$10-DPR!#REF!,IF($AK$5=$C$11,J$11-DPR!#REF!))))</f>
        <v>#REF!</v>
      </c>
      <c r="K106" s="870" t="e">
        <f>MAX(0,IF($AK$5=$C$9,K$9-DPR!#REF!,IF($AK$5=$C$10,K$10-DPR!#REF!,IF($AK$5=$C$11,K$11-DPR!#REF!))))</f>
        <v>#REF!</v>
      </c>
      <c r="L106" s="870" t="e">
        <f>MAX(0,IF($AK$5=$C$9,L$9-DPR!#REF!,IF($AK$5=$C$10,L$10-DPR!#REF!,IF($AK$5=$C$11,L$11-DPR!#REF!))))</f>
        <v>#REF!</v>
      </c>
      <c r="M106" s="870" t="e">
        <f>MAX(0,IF($AK$5=$C$9,M$9-DPR!#REF!,IF($AK$5=$C$10,M$10-DPR!#REF!,IF($AK$5=$C$11,M$11-DPR!#REF!))))</f>
        <v>#REF!</v>
      </c>
      <c r="N106" s="870" t="e">
        <f>MAX(0,IF($AK$5=$C$9,N$9-DPR!#REF!,IF($AK$5=$C$10,N$10-DPR!#REF!,IF($AK$5=$C$11,N$11-DPR!#REF!))))</f>
        <v>#REF!</v>
      </c>
      <c r="O106" s="870" t="e">
        <f>MAX(0,IF($AK$5=$C$9,O$9-DPR!#REF!,IF($AK$5=$C$10,O$10-DPR!#REF!,IF($AK$5=$C$11,O$11-DPR!#REF!))))</f>
        <v>#REF!</v>
      </c>
      <c r="P106" s="870" t="e">
        <f>MAX(0,IF($AK$5=$C$9,P$9-DPR!#REF!,IF($AK$5=$C$10,P$10-DPR!#REF!,IF($AK$5=$C$11,P$11-DPR!#REF!))))</f>
        <v>#REF!</v>
      </c>
      <c r="Q106" s="870">
        <v>15</v>
      </c>
      <c r="R106" s="919" t="e">
        <f t="shared" si="7"/>
        <v>#REF!</v>
      </c>
      <c r="S106" s="878"/>
      <c r="T106" s="878"/>
      <c r="U106" s="878"/>
      <c r="V106" s="878"/>
      <c r="W106" s="878"/>
      <c r="X106" s="878"/>
      <c r="Y106" s="878"/>
      <c r="Z106" s="878"/>
      <c r="AA106" s="878"/>
      <c r="AB106" s="878"/>
      <c r="AC106" s="878"/>
      <c r="AD106" s="878"/>
      <c r="AE106" s="878"/>
      <c r="AF106" s="847"/>
      <c r="AG106" s="920">
        <f t="shared" si="8"/>
        <v>0</v>
      </c>
      <c r="AH106" s="888">
        <f t="shared" si="9"/>
        <v>202507</v>
      </c>
      <c r="AI106" t="e">
        <f>DPR!#REF!</f>
        <v>#REF!</v>
      </c>
    </row>
    <row r="107" spans="3:35" ht="15.75">
      <c r="C107" s="918">
        <v>45843</v>
      </c>
      <c r="D107" s="870" t="e">
        <f>MAX(0,IF($AK$5=$C$9,D$9-DPR!#REF!,IF($AK$5=$C$10,D$10-DPR!#REF!,IF($AK$5=$C$11,D$11-DPR!#REF!))))</f>
        <v>#REF!</v>
      </c>
      <c r="E107" s="870" t="e">
        <f>MAX(0,IF($AK$5=$C$9,E$9-DPR!#REF!,IF($AK$5=$C$10,E$10-DPR!#REF!,IF($AK$5=$C$11,E$11-DPR!#REF!))))</f>
        <v>#REF!</v>
      </c>
      <c r="F107" s="870" t="e">
        <f>MAX(0,IF($AK$5=$C$9,F$9-DPR!#REF!,IF($AK$5=$C$10,F$10-DPR!#REF!,IF($AK$5=$C$11,F$11-DPR!#REF!))))</f>
        <v>#REF!</v>
      </c>
      <c r="G107" s="870" t="e">
        <f>MAX(0,IF($AK$5=$C$9,G$9-DPR!#REF!,IF($AK$5=$C$10,G$10-DPR!#REF!,IF($AK$5=$C$11,G$11-DPR!#REF!))))</f>
        <v>#REF!</v>
      </c>
      <c r="H107" s="870" t="e">
        <f>MAX(0,IF($AK$5=$C$9,H$9-DPR!#REF!,IF($AK$5=$C$10,H$10-DPR!#REF!,IF($AK$5=$C$11,H$11-DPR!#REF!))))</f>
        <v>#REF!</v>
      </c>
      <c r="I107" s="870" t="e">
        <f>MAX(0,IF($AK$5=$C$9,I$9-DPR!#REF!,IF($AK$5=$C$10,I$10-DPR!#REF!,IF($AK$5=$C$11,I$11-DPR!#REF!))))</f>
        <v>#REF!</v>
      </c>
      <c r="J107" s="870" t="e">
        <f>MAX(0,IF($AK$5=$C$9,J$9-DPR!#REF!,IF($AK$5=$C$10,J$10-DPR!#REF!,IF($AK$5=$C$11,J$11-DPR!#REF!))))</f>
        <v>#REF!</v>
      </c>
      <c r="K107" s="870" t="e">
        <f>MAX(0,IF($AK$5=$C$9,K$9-DPR!#REF!,IF($AK$5=$C$10,K$10-DPR!#REF!,IF($AK$5=$C$11,K$11-DPR!#REF!))))</f>
        <v>#REF!</v>
      </c>
      <c r="L107" s="870" t="e">
        <f>MAX(0,IF($AK$5=$C$9,L$9-DPR!#REF!,IF($AK$5=$C$10,L$10-DPR!#REF!,IF($AK$5=$C$11,L$11-DPR!#REF!))))</f>
        <v>#REF!</v>
      </c>
      <c r="M107" s="870" t="e">
        <f>MAX(0,IF($AK$5=$C$9,M$9-DPR!#REF!,IF($AK$5=$C$10,M$10-DPR!#REF!,IF($AK$5=$C$11,M$11-DPR!#REF!))))</f>
        <v>#REF!</v>
      </c>
      <c r="N107" s="870" t="e">
        <f>MAX(0,IF($AK$5=$C$9,N$9-DPR!#REF!,IF($AK$5=$C$10,N$10-DPR!#REF!,IF($AK$5=$C$11,N$11-DPR!#REF!))))</f>
        <v>#REF!</v>
      </c>
      <c r="O107" s="870" t="e">
        <f>MAX(0,IF($AK$5=$C$9,O$9-DPR!#REF!,IF($AK$5=$C$10,O$10-DPR!#REF!,IF($AK$5=$C$11,O$11-DPR!#REF!))))</f>
        <v>#REF!</v>
      </c>
      <c r="P107" s="870" t="e">
        <f>MAX(0,IF($AK$5=$C$9,P$9-DPR!#REF!,IF($AK$5=$C$10,P$10-DPR!#REF!,IF($AK$5=$C$11,P$11-DPR!#REF!))))</f>
        <v>#REF!</v>
      </c>
      <c r="Q107" s="870">
        <v>16</v>
      </c>
      <c r="R107" s="919" t="e">
        <f t="shared" si="7"/>
        <v>#REF!</v>
      </c>
      <c r="S107" s="878"/>
      <c r="T107" s="878"/>
      <c r="U107" s="878"/>
      <c r="V107" s="878"/>
      <c r="W107" s="878"/>
      <c r="X107" s="878"/>
      <c r="Y107" s="878"/>
      <c r="Z107" s="878"/>
      <c r="AA107" s="878"/>
      <c r="AB107" s="878"/>
      <c r="AC107" s="878"/>
      <c r="AD107" s="878"/>
      <c r="AE107" s="878"/>
      <c r="AF107" s="847"/>
      <c r="AG107" s="920">
        <f t="shared" si="8"/>
        <v>0</v>
      </c>
      <c r="AH107" s="888">
        <f t="shared" si="9"/>
        <v>202507</v>
      </c>
      <c r="AI107" t="e">
        <f>DPR!#REF!</f>
        <v>#REF!</v>
      </c>
    </row>
    <row r="108" spans="3:35" ht="15.75">
      <c r="C108" s="918">
        <v>45844</v>
      </c>
      <c r="D108" s="870" t="e">
        <f>MAX(0,IF($AK$5=$C$9,D$9-DPR!#REF!,IF($AK$5=$C$10,D$10-DPR!#REF!,IF($AK$5=$C$11,D$11-DPR!#REF!))))</f>
        <v>#REF!</v>
      </c>
      <c r="E108" s="870" t="e">
        <f>MAX(0,IF($AK$5=$C$9,E$9-DPR!#REF!,IF($AK$5=$C$10,E$10-DPR!#REF!,IF($AK$5=$C$11,E$11-DPR!#REF!))))</f>
        <v>#REF!</v>
      </c>
      <c r="F108" s="870" t="e">
        <f>MAX(0,IF($AK$5=$C$9,F$9-DPR!#REF!,IF($AK$5=$C$10,F$10-DPR!#REF!,IF($AK$5=$C$11,F$11-DPR!#REF!))))</f>
        <v>#REF!</v>
      </c>
      <c r="G108" s="870" t="e">
        <f>MAX(0,IF($AK$5=$C$9,G$9-DPR!#REF!,IF($AK$5=$C$10,G$10-DPR!#REF!,IF($AK$5=$C$11,G$11-DPR!#REF!))))</f>
        <v>#REF!</v>
      </c>
      <c r="H108" s="870" t="e">
        <f>MAX(0,IF($AK$5=$C$9,H$9-DPR!#REF!,IF($AK$5=$C$10,H$10-DPR!#REF!,IF($AK$5=$C$11,H$11-DPR!#REF!))))</f>
        <v>#REF!</v>
      </c>
      <c r="I108" s="870" t="e">
        <f>MAX(0,IF($AK$5=$C$9,I$9-DPR!#REF!,IF($AK$5=$C$10,I$10-DPR!#REF!,IF($AK$5=$C$11,I$11-DPR!#REF!))))</f>
        <v>#REF!</v>
      </c>
      <c r="J108" s="870" t="e">
        <f>MAX(0,IF($AK$5=$C$9,J$9-DPR!#REF!,IF($AK$5=$C$10,J$10-DPR!#REF!,IF($AK$5=$C$11,J$11-DPR!#REF!))))</f>
        <v>#REF!</v>
      </c>
      <c r="K108" s="870" t="e">
        <f>MAX(0,IF($AK$5=$C$9,K$9-DPR!#REF!,IF($AK$5=$C$10,K$10-DPR!#REF!,IF($AK$5=$C$11,K$11-DPR!#REF!))))</f>
        <v>#REF!</v>
      </c>
      <c r="L108" s="870" t="e">
        <f>MAX(0,IF($AK$5=$C$9,L$9-DPR!#REF!,IF($AK$5=$C$10,L$10-DPR!#REF!,IF($AK$5=$C$11,L$11-DPR!#REF!))))</f>
        <v>#REF!</v>
      </c>
      <c r="M108" s="870" t="e">
        <f>MAX(0,IF($AK$5=$C$9,M$9-DPR!#REF!,IF($AK$5=$C$10,M$10-DPR!#REF!,IF($AK$5=$C$11,M$11-DPR!#REF!))))</f>
        <v>#REF!</v>
      </c>
      <c r="N108" s="870" t="e">
        <f>MAX(0,IF($AK$5=$C$9,N$9-DPR!#REF!,IF($AK$5=$C$10,N$10-DPR!#REF!,IF($AK$5=$C$11,N$11-DPR!#REF!))))</f>
        <v>#REF!</v>
      </c>
      <c r="O108" s="870" t="e">
        <f>MAX(0,IF($AK$5=$C$9,O$9-DPR!#REF!,IF($AK$5=$C$10,O$10-DPR!#REF!,IF($AK$5=$C$11,O$11-DPR!#REF!))))</f>
        <v>#REF!</v>
      </c>
      <c r="P108" s="870" t="e">
        <f>MAX(0,IF($AK$5=$C$9,P$9-DPR!#REF!,IF($AK$5=$C$10,P$10-DPR!#REF!,IF($AK$5=$C$11,P$11-DPR!#REF!))))</f>
        <v>#REF!</v>
      </c>
      <c r="Q108" s="870">
        <v>17</v>
      </c>
      <c r="R108" s="919" t="e">
        <f t="shared" si="7"/>
        <v>#REF!</v>
      </c>
      <c r="S108" s="878"/>
      <c r="T108" s="878"/>
      <c r="U108" s="878"/>
      <c r="V108" s="878"/>
      <c r="W108" s="878"/>
      <c r="X108" s="878"/>
      <c r="Y108" s="878"/>
      <c r="Z108" s="878"/>
      <c r="AA108" s="878"/>
      <c r="AB108" s="878"/>
      <c r="AC108" s="878"/>
      <c r="AD108" s="878"/>
      <c r="AE108" s="878"/>
      <c r="AF108" s="847"/>
      <c r="AG108" s="920">
        <f t="shared" si="8"/>
        <v>0</v>
      </c>
      <c r="AH108" s="888">
        <f t="shared" si="9"/>
        <v>202507</v>
      </c>
      <c r="AI108" t="e">
        <f>DPR!#REF!</f>
        <v>#REF!</v>
      </c>
    </row>
    <row r="109" spans="3:35" ht="15.75">
      <c r="C109" s="918">
        <v>45845</v>
      </c>
      <c r="D109" s="870" t="e">
        <f>MAX(0,IF($AK$5=$C$9,D$9-DPR!#REF!,IF($AK$5=$C$10,D$10-DPR!#REF!,IF($AK$5=$C$11,D$11-DPR!#REF!))))</f>
        <v>#REF!</v>
      </c>
      <c r="E109" s="870" t="e">
        <f>MAX(0,IF($AK$5=$C$9,E$9-DPR!#REF!,IF($AK$5=$C$10,E$10-DPR!#REF!,IF($AK$5=$C$11,E$11-DPR!#REF!))))</f>
        <v>#REF!</v>
      </c>
      <c r="F109" s="870" t="e">
        <f>MAX(0,IF($AK$5=$C$9,F$9-DPR!#REF!,IF($AK$5=$C$10,F$10-DPR!#REF!,IF($AK$5=$C$11,F$11-DPR!#REF!))))</f>
        <v>#REF!</v>
      </c>
      <c r="G109" s="870" t="e">
        <f>MAX(0,IF($AK$5=$C$9,G$9-DPR!#REF!,IF($AK$5=$C$10,G$10-DPR!#REF!,IF($AK$5=$C$11,G$11-DPR!#REF!))))</f>
        <v>#REF!</v>
      </c>
      <c r="H109" s="870" t="e">
        <f>MAX(0,IF($AK$5=$C$9,H$9-DPR!#REF!,IF($AK$5=$C$10,H$10-DPR!#REF!,IF($AK$5=$C$11,H$11-DPR!#REF!))))</f>
        <v>#REF!</v>
      </c>
      <c r="I109" s="870" t="e">
        <f>MAX(0,IF($AK$5=$C$9,I$9-DPR!#REF!,IF($AK$5=$C$10,I$10-DPR!#REF!,IF($AK$5=$C$11,I$11-DPR!#REF!))))</f>
        <v>#REF!</v>
      </c>
      <c r="J109" s="870" t="e">
        <f>MAX(0,IF($AK$5=$C$9,J$9-DPR!#REF!,IF($AK$5=$C$10,J$10-DPR!#REF!,IF($AK$5=$C$11,J$11-DPR!#REF!))))</f>
        <v>#REF!</v>
      </c>
      <c r="K109" s="870" t="e">
        <f>MAX(0,IF($AK$5=$C$9,K$9-DPR!#REF!,IF($AK$5=$C$10,K$10-DPR!#REF!,IF($AK$5=$C$11,K$11-DPR!#REF!))))</f>
        <v>#REF!</v>
      </c>
      <c r="L109" s="870" t="e">
        <f>MAX(0,IF($AK$5=$C$9,L$9-DPR!#REF!,IF($AK$5=$C$10,L$10-DPR!#REF!,IF($AK$5=$C$11,L$11-DPR!#REF!))))</f>
        <v>#REF!</v>
      </c>
      <c r="M109" s="870" t="e">
        <f>MAX(0,IF($AK$5=$C$9,M$9-DPR!#REF!,IF($AK$5=$C$10,M$10-DPR!#REF!,IF($AK$5=$C$11,M$11-DPR!#REF!))))</f>
        <v>#REF!</v>
      </c>
      <c r="N109" s="870" t="e">
        <f>MAX(0,IF($AK$5=$C$9,N$9-DPR!#REF!,IF($AK$5=$C$10,N$10-DPR!#REF!,IF($AK$5=$C$11,N$11-DPR!#REF!))))</f>
        <v>#REF!</v>
      </c>
      <c r="O109" s="870" t="e">
        <f>MAX(0,IF($AK$5=$C$9,O$9-DPR!#REF!,IF($AK$5=$C$10,O$10-DPR!#REF!,IF($AK$5=$C$11,O$11-DPR!#REF!))))</f>
        <v>#REF!</v>
      </c>
      <c r="P109" s="870" t="e">
        <f>MAX(0,IF($AK$5=$C$9,P$9-DPR!#REF!,IF($AK$5=$C$10,P$10-DPR!#REF!,IF($AK$5=$C$11,P$11-DPR!#REF!))))</f>
        <v>#REF!</v>
      </c>
      <c r="Q109" s="870">
        <v>18</v>
      </c>
      <c r="R109" s="919" t="e">
        <f t="shared" si="7"/>
        <v>#REF!</v>
      </c>
      <c r="S109" s="878"/>
      <c r="T109" s="878"/>
      <c r="U109" s="878"/>
      <c r="V109" s="878"/>
      <c r="W109" s="878"/>
      <c r="X109" s="878"/>
      <c r="Y109" s="878"/>
      <c r="Z109" s="878"/>
      <c r="AA109" s="878"/>
      <c r="AB109" s="878"/>
      <c r="AC109" s="878"/>
      <c r="AD109" s="878"/>
      <c r="AE109" s="878"/>
      <c r="AF109" s="847"/>
      <c r="AG109" s="920">
        <f t="shared" si="8"/>
        <v>0</v>
      </c>
      <c r="AH109" s="888">
        <f t="shared" si="9"/>
        <v>202507</v>
      </c>
      <c r="AI109" t="e">
        <f>DPR!#REF!</f>
        <v>#REF!</v>
      </c>
    </row>
    <row r="110" spans="3:35" ht="15.75">
      <c r="C110" s="918">
        <v>45846</v>
      </c>
      <c r="D110" s="870" t="e">
        <f>MAX(0,IF($AK$5=$C$9,D$9-DPR!#REF!,IF($AK$5=$C$10,D$10-DPR!#REF!,IF($AK$5=$C$11,D$11-DPR!#REF!))))</f>
        <v>#REF!</v>
      </c>
      <c r="E110" s="870" t="e">
        <f>MAX(0,IF($AK$5=$C$9,E$9-DPR!#REF!,IF($AK$5=$C$10,E$10-DPR!#REF!,IF($AK$5=$C$11,E$11-DPR!#REF!))))</f>
        <v>#REF!</v>
      </c>
      <c r="F110" s="870" t="e">
        <f>MAX(0,IF($AK$5=$C$9,F$9-DPR!#REF!,IF($AK$5=$C$10,F$10-DPR!#REF!,IF($AK$5=$C$11,F$11-DPR!#REF!))))</f>
        <v>#REF!</v>
      </c>
      <c r="G110" s="870" t="e">
        <f>MAX(0,IF($AK$5=$C$9,G$9-DPR!#REF!,IF($AK$5=$C$10,G$10-DPR!#REF!,IF($AK$5=$C$11,G$11-DPR!#REF!))))</f>
        <v>#REF!</v>
      </c>
      <c r="H110" s="870" t="e">
        <f>MAX(0,IF($AK$5=$C$9,H$9-DPR!#REF!,IF($AK$5=$C$10,H$10-DPR!#REF!,IF($AK$5=$C$11,H$11-DPR!#REF!))))</f>
        <v>#REF!</v>
      </c>
      <c r="I110" s="870" t="e">
        <f>MAX(0,IF($AK$5=$C$9,I$9-DPR!#REF!,IF($AK$5=$C$10,I$10-DPR!#REF!,IF($AK$5=$C$11,I$11-DPR!#REF!))))</f>
        <v>#REF!</v>
      </c>
      <c r="J110" s="870" t="e">
        <f>MAX(0,IF($AK$5=$C$9,J$9-DPR!#REF!,IF($AK$5=$C$10,J$10-DPR!#REF!,IF($AK$5=$C$11,J$11-DPR!#REF!))))</f>
        <v>#REF!</v>
      </c>
      <c r="K110" s="870" t="e">
        <f>MAX(0,IF($AK$5=$C$9,K$9-DPR!#REF!,IF($AK$5=$C$10,K$10-DPR!#REF!,IF($AK$5=$C$11,K$11-DPR!#REF!))))</f>
        <v>#REF!</v>
      </c>
      <c r="L110" s="870" t="e">
        <f>MAX(0,IF($AK$5=$C$9,L$9-DPR!#REF!,IF($AK$5=$C$10,L$10-DPR!#REF!,IF($AK$5=$C$11,L$11-DPR!#REF!))))</f>
        <v>#REF!</v>
      </c>
      <c r="M110" s="870" t="e">
        <f>MAX(0,IF($AK$5=$C$9,M$9-DPR!#REF!,IF($AK$5=$C$10,M$10-DPR!#REF!,IF($AK$5=$C$11,M$11-DPR!#REF!))))</f>
        <v>#REF!</v>
      </c>
      <c r="N110" s="870" t="e">
        <f>MAX(0,IF($AK$5=$C$9,N$9-DPR!#REF!,IF($AK$5=$C$10,N$10-DPR!#REF!,IF($AK$5=$C$11,N$11-DPR!#REF!))))</f>
        <v>#REF!</v>
      </c>
      <c r="O110" s="870" t="e">
        <f>MAX(0,IF($AK$5=$C$9,O$9-DPR!#REF!,IF($AK$5=$C$10,O$10-DPR!#REF!,IF($AK$5=$C$11,O$11-DPR!#REF!))))</f>
        <v>#REF!</v>
      </c>
      <c r="P110" s="870" t="e">
        <f>MAX(0,IF($AK$5=$C$9,P$9-DPR!#REF!,IF($AK$5=$C$10,P$10-DPR!#REF!,IF($AK$5=$C$11,P$11-DPR!#REF!))))</f>
        <v>#REF!</v>
      </c>
      <c r="Q110" s="870">
        <v>19</v>
      </c>
      <c r="R110" s="919" t="e">
        <f t="shared" si="7"/>
        <v>#REF!</v>
      </c>
      <c r="S110" s="878"/>
      <c r="T110" s="878"/>
      <c r="U110" s="878"/>
      <c r="V110" s="878"/>
      <c r="W110" s="878"/>
      <c r="X110" s="878"/>
      <c r="Y110" s="878"/>
      <c r="Z110" s="878"/>
      <c r="AA110" s="878"/>
      <c r="AB110" s="878"/>
      <c r="AC110" s="878"/>
      <c r="AD110" s="878"/>
      <c r="AE110" s="878"/>
      <c r="AF110" s="847"/>
      <c r="AG110" s="920">
        <f t="shared" si="8"/>
        <v>0</v>
      </c>
      <c r="AH110" s="888">
        <f t="shared" si="9"/>
        <v>202507</v>
      </c>
      <c r="AI110" t="e">
        <f>DPR!#REF!</f>
        <v>#REF!</v>
      </c>
    </row>
    <row r="111" spans="3:35" ht="15.75">
      <c r="C111" s="918">
        <v>45847</v>
      </c>
      <c r="D111" s="870" t="e">
        <f>MAX(0,IF($AK$5=$C$9,D$9-DPR!#REF!,IF($AK$5=$C$10,D$10-DPR!#REF!,IF($AK$5=$C$11,D$11-DPR!#REF!))))</f>
        <v>#REF!</v>
      </c>
      <c r="E111" s="870" t="e">
        <f>MAX(0,IF($AK$5=$C$9,E$9-DPR!#REF!,IF($AK$5=$C$10,E$10-DPR!#REF!,IF($AK$5=$C$11,E$11-DPR!#REF!))))</f>
        <v>#REF!</v>
      </c>
      <c r="F111" s="870" t="e">
        <f>MAX(0,IF($AK$5=$C$9,F$9-DPR!#REF!,IF($AK$5=$C$10,F$10-DPR!#REF!,IF($AK$5=$C$11,F$11-DPR!#REF!))))</f>
        <v>#REF!</v>
      </c>
      <c r="G111" s="870" t="e">
        <f>MAX(0,IF($AK$5=$C$9,G$9-DPR!#REF!,IF($AK$5=$C$10,G$10-DPR!#REF!,IF($AK$5=$C$11,G$11-DPR!#REF!))))</f>
        <v>#REF!</v>
      </c>
      <c r="H111" s="870" t="e">
        <f>MAX(0,IF($AK$5=$C$9,H$9-DPR!#REF!,IF($AK$5=$C$10,H$10-DPR!#REF!,IF($AK$5=$C$11,H$11-DPR!#REF!))))</f>
        <v>#REF!</v>
      </c>
      <c r="I111" s="870" t="e">
        <f>MAX(0,IF($AK$5=$C$9,I$9-DPR!#REF!,IF($AK$5=$C$10,I$10-DPR!#REF!,IF($AK$5=$C$11,I$11-DPR!#REF!))))</f>
        <v>#REF!</v>
      </c>
      <c r="J111" s="870" t="e">
        <f>MAX(0,IF($AK$5=$C$9,J$9-DPR!#REF!,IF($AK$5=$C$10,J$10-DPR!#REF!,IF($AK$5=$C$11,J$11-DPR!#REF!))))</f>
        <v>#REF!</v>
      </c>
      <c r="K111" s="870" t="e">
        <f>MAX(0,IF($AK$5=$C$9,K$9-DPR!#REF!,IF($AK$5=$C$10,K$10-DPR!#REF!,IF($AK$5=$C$11,K$11-DPR!#REF!))))</f>
        <v>#REF!</v>
      </c>
      <c r="L111" s="870" t="e">
        <f>MAX(0,IF($AK$5=$C$9,L$9-DPR!#REF!,IF($AK$5=$C$10,L$10-DPR!#REF!,IF($AK$5=$C$11,L$11-DPR!#REF!))))</f>
        <v>#REF!</v>
      </c>
      <c r="M111" s="870" t="e">
        <f>MAX(0,IF($AK$5=$C$9,M$9-DPR!#REF!,IF($AK$5=$C$10,M$10-DPR!#REF!,IF($AK$5=$C$11,M$11-DPR!#REF!))))</f>
        <v>#REF!</v>
      </c>
      <c r="N111" s="870" t="e">
        <f>MAX(0,IF($AK$5=$C$9,N$9-DPR!#REF!,IF($AK$5=$C$10,N$10-DPR!#REF!,IF($AK$5=$C$11,N$11-DPR!#REF!))))</f>
        <v>#REF!</v>
      </c>
      <c r="O111" s="870" t="e">
        <f>MAX(0,IF($AK$5=$C$9,O$9-DPR!#REF!,IF($AK$5=$C$10,O$10-DPR!#REF!,IF($AK$5=$C$11,O$11-DPR!#REF!))))</f>
        <v>#REF!</v>
      </c>
      <c r="P111" s="870" t="e">
        <f>MAX(0,IF($AK$5=$C$9,P$9-DPR!#REF!,IF($AK$5=$C$10,P$10-DPR!#REF!,IF($AK$5=$C$11,P$11-DPR!#REF!))))</f>
        <v>#REF!</v>
      </c>
      <c r="Q111" s="870">
        <v>20</v>
      </c>
      <c r="R111" s="919" t="e">
        <f t="shared" si="7"/>
        <v>#REF!</v>
      </c>
      <c r="S111" s="878"/>
      <c r="T111" s="878"/>
      <c r="U111" s="878"/>
      <c r="V111" s="878"/>
      <c r="W111" s="878"/>
      <c r="X111" s="878"/>
      <c r="Y111" s="878"/>
      <c r="Z111" s="878"/>
      <c r="AA111" s="878"/>
      <c r="AB111" s="878"/>
      <c r="AC111" s="878"/>
      <c r="AD111" s="878"/>
      <c r="AE111" s="878"/>
      <c r="AF111" s="847"/>
      <c r="AG111" s="920">
        <f t="shared" si="8"/>
        <v>0</v>
      </c>
      <c r="AH111" s="888">
        <f t="shared" si="9"/>
        <v>202507</v>
      </c>
      <c r="AI111" t="e">
        <f>DPR!#REF!</f>
        <v>#REF!</v>
      </c>
    </row>
    <row r="112" spans="3:35" ht="15.75">
      <c r="C112" s="918">
        <v>45848</v>
      </c>
      <c r="D112" s="870" t="e">
        <f>MAX(0,IF($AK$5=$C$9,D$9-DPR!#REF!,IF($AK$5=$C$10,D$10-DPR!#REF!,IF($AK$5=$C$11,D$11-DPR!#REF!))))</f>
        <v>#REF!</v>
      </c>
      <c r="E112" s="870" t="e">
        <f>MAX(0,IF($AK$5=$C$9,E$9-DPR!#REF!,IF($AK$5=$C$10,E$10-DPR!#REF!,IF($AK$5=$C$11,E$11-DPR!#REF!))))</f>
        <v>#REF!</v>
      </c>
      <c r="F112" s="870" t="e">
        <f>MAX(0,IF($AK$5=$C$9,F$9-DPR!#REF!,IF($AK$5=$C$10,F$10-DPR!#REF!,IF($AK$5=$C$11,F$11-DPR!#REF!))))</f>
        <v>#REF!</v>
      </c>
      <c r="G112" s="870" t="e">
        <f>MAX(0,IF($AK$5=$C$9,G$9-DPR!#REF!,IF($AK$5=$C$10,G$10-DPR!#REF!,IF($AK$5=$C$11,G$11-DPR!#REF!))))</f>
        <v>#REF!</v>
      </c>
      <c r="H112" s="870" t="e">
        <f>MAX(0,IF($AK$5=$C$9,H$9-DPR!#REF!,IF($AK$5=$C$10,H$10-DPR!#REF!,IF($AK$5=$C$11,H$11-DPR!#REF!))))</f>
        <v>#REF!</v>
      </c>
      <c r="I112" s="870" t="e">
        <f>MAX(0,IF($AK$5=$C$9,I$9-DPR!#REF!,IF($AK$5=$C$10,I$10-DPR!#REF!,IF($AK$5=$C$11,I$11-DPR!#REF!))))</f>
        <v>#REF!</v>
      </c>
      <c r="J112" s="870" t="e">
        <f>MAX(0,IF($AK$5=$C$9,J$9-DPR!#REF!,IF($AK$5=$C$10,J$10-DPR!#REF!,IF($AK$5=$C$11,J$11-DPR!#REF!))))</f>
        <v>#REF!</v>
      </c>
      <c r="K112" s="870" t="e">
        <f>MAX(0,IF($AK$5=$C$9,K$9-DPR!#REF!,IF($AK$5=$C$10,K$10-DPR!#REF!,IF($AK$5=$C$11,K$11-DPR!#REF!))))</f>
        <v>#REF!</v>
      </c>
      <c r="L112" s="870" t="e">
        <f>MAX(0,IF($AK$5=$C$9,L$9-DPR!#REF!,IF($AK$5=$C$10,L$10-DPR!#REF!,IF($AK$5=$C$11,L$11-DPR!#REF!))))</f>
        <v>#REF!</v>
      </c>
      <c r="M112" s="870" t="e">
        <f>MAX(0,IF($AK$5=$C$9,M$9-DPR!#REF!,IF($AK$5=$C$10,M$10-DPR!#REF!,IF($AK$5=$C$11,M$11-DPR!#REF!))))</f>
        <v>#REF!</v>
      </c>
      <c r="N112" s="870" t="e">
        <f>MAX(0,IF($AK$5=$C$9,N$9-DPR!#REF!,IF($AK$5=$C$10,N$10-DPR!#REF!,IF($AK$5=$C$11,N$11-DPR!#REF!))))</f>
        <v>#REF!</v>
      </c>
      <c r="O112" s="870" t="e">
        <f>MAX(0,IF($AK$5=$C$9,O$9-DPR!#REF!,IF($AK$5=$C$10,O$10-DPR!#REF!,IF($AK$5=$C$11,O$11-DPR!#REF!))))</f>
        <v>#REF!</v>
      </c>
      <c r="P112" s="870" t="e">
        <f>MAX(0,IF($AK$5=$C$9,P$9-DPR!#REF!,IF($AK$5=$C$10,P$10-DPR!#REF!,IF($AK$5=$C$11,P$11-DPR!#REF!))))</f>
        <v>#REF!</v>
      </c>
      <c r="Q112" s="870">
        <v>21</v>
      </c>
      <c r="R112" s="919" t="e">
        <f t="shared" si="7"/>
        <v>#REF!</v>
      </c>
      <c r="S112" s="878"/>
      <c r="T112" s="878"/>
      <c r="U112" s="878"/>
      <c r="V112" s="878"/>
      <c r="W112" s="878"/>
      <c r="X112" s="878"/>
      <c r="Y112" s="878"/>
      <c r="Z112" s="878"/>
      <c r="AA112" s="878"/>
      <c r="AB112" s="878"/>
      <c r="AC112" s="878"/>
      <c r="AD112" s="878"/>
      <c r="AE112" s="878"/>
      <c r="AF112" s="847"/>
      <c r="AG112" s="920">
        <f t="shared" si="8"/>
        <v>0</v>
      </c>
      <c r="AH112" s="888">
        <f t="shared" si="9"/>
        <v>202507</v>
      </c>
      <c r="AI112" t="e">
        <f>DPR!#REF!</f>
        <v>#REF!</v>
      </c>
    </row>
    <row r="113" spans="3:35" ht="15.75">
      <c r="C113" s="918">
        <v>45849</v>
      </c>
      <c r="D113" s="870" t="e">
        <f>MAX(0,IF($AK$5=$C$9,D$9-DPR!#REF!,IF($AK$5=$C$10,D$10-DPR!#REF!,IF($AK$5=$C$11,D$11-DPR!#REF!))))</f>
        <v>#REF!</v>
      </c>
      <c r="E113" s="870" t="e">
        <f>MAX(0,IF($AK$5=$C$9,E$9-DPR!#REF!,IF($AK$5=$C$10,E$10-DPR!#REF!,IF($AK$5=$C$11,E$11-DPR!#REF!))))</f>
        <v>#REF!</v>
      </c>
      <c r="F113" s="870" t="e">
        <f>MAX(0,IF($AK$5=$C$9,F$9-DPR!#REF!,IF($AK$5=$C$10,F$10-DPR!#REF!,IF($AK$5=$C$11,F$11-DPR!#REF!))))</f>
        <v>#REF!</v>
      </c>
      <c r="G113" s="870" t="e">
        <f>MAX(0,IF($AK$5=$C$9,G$9-DPR!#REF!,IF($AK$5=$C$10,G$10-DPR!#REF!,IF($AK$5=$C$11,G$11-DPR!#REF!))))</f>
        <v>#REF!</v>
      </c>
      <c r="H113" s="870" t="e">
        <f>MAX(0,IF($AK$5=$C$9,H$9-DPR!#REF!,IF($AK$5=$C$10,H$10-DPR!#REF!,IF($AK$5=$C$11,H$11-DPR!#REF!))))</f>
        <v>#REF!</v>
      </c>
      <c r="I113" s="870" t="e">
        <f>MAX(0,IF($AK$5=$C$9,I$9-DPR!#REF!,IF($AK$5=$C$10,I$10-DPR!#REF!,IF($AK$5=$C$11,I$11-DPR!#REF!))))</f>
        <v>#REF!</v>
      </c>
      <c r="J113" s="870" t="e">
        <f>MAX(0,IF($AK$5=$C$9,J$9-DPR!#REF!,IF($AK$5=$C$10,J$10-DPR!#REF!,IF($AK$5=$C$11,J$11-DPR!#REF!))))</f>
        <v>#REF!</v>
      </c>
      <c r="K113" s="870" t="e">
        <f>MAX(0,IF($AK$5=$C$9,K$9-DPR!#REF!,IF($AK$5=$C$10,K$10-DPR!#REF!,IF($AK$5=$C$11,K$11-DPR!#REF!))))</f>
        <v>#REF!</v>
      </c>
      <c r="L113" s="870" t="e">
        <f>MAX(0,IF($AK$5=$C$9,L$9-DPR!#REF!,IF($AK$5=$C$10,L$10-DPR!#REF!,IF($AK$5=$C$11,L$11-DPR!#REF!))))</f>
        <v>#REF!</v>
      </c>
      <c r="M113" s="870" t="e">
        <f>MAX(0,IF($AK$5=$C$9,M$9-DPR!#REF!,IF($AK$5=$C$10,M$10-DPR!#REF!,IF($AK$5=$C$11,M$11-DPR!#REF!))))</f>
        <v>#REF!</v>
      </c>
      <c r="N113" s="870" t="e">
        <f>MAX(0,IF($AK$5=$C$9,N$9-DPR!#REF!,IF($AK$5=$C$10,N$10-DPR!#REF!,IF($AK$5=$C$11,N$11-DPR!#REF!))))</f>
        <v>#REF!</v>
      </c>
      <c r="O113" s="870" t="e">
        <f>MAX(0,IF($AK$5=$C$9,O$9-DPR!#REF!,IF($AK$5=$C$10,O$10-DPR!#REF!,IF($AK$5=$C$11,O$11-DPR!#REF!))))</f>
        <v>#REF!</v>
      </c>
      <c r="P113" s="870" t="e">
        <f>MAX(0,IF($AK$5=$C$9,P$9-DPR!#REF!,IF($AK$5=$C$10,P$10-DPR!#REF!,IF($AK$5=$C$11,P$11-DPR!#REF!))))</f>
        <v>#REF!</v>
      </c>
      <c r="Q113" s="870">
        <v>22</v>
      </c>
      <c r="R113" s="919" t="e">
        <f t="shared" si="7"/>
        <v>#REF!</v>
      </c>
      <c r="S113" s="878"/>
      <c r="T113" s="878"/>
      <c r="U113" s="878"/>
      <c r="V113" s="878"/>
      <c r="W113" s="878"/>
      <c r="X113" s="878"/>
      <c r="Y113" s="878"/>
      <c r="Z113" s="878"/>
      <c r="AA113" s="878"/>
      <c r="AB113" s="878"/>
      <c r="AC113" s="878"/>
      <c r="AD113" s="878"/>
      <c r="AE113" s="878"/>
      <c r="AF113" s="847"/>
      <c r="AG113" s="920">
        <f t="shared" si="8"/>
        <v>0</v>
      </c>
      <c r="AH113" s="888">
        <f t="shared" si="9"/>
        <v>202507</v>
      </c>
      <c r="AI113" t="e">
        <f>DPR!#REF!</f>
        <v>#REF!</v>
      </c>
    </row>
    <row r="114" spans="3:35" ht="15.75">
      <c r="C114" s="918">
        <v>45850</v>
      </c>
      <c r="D114" s="870" t="e">
        <f>MAX(0,IF($AK$5=$C$9,D$9-DPR!#REF!,IF($AK$5=$C$10,D$10-DPR!#REF!,IF($AK$5=$C$11,D$11-DPR!#REF!))))</f>
        <v>#REF!</v>
      </c>
      <c r="E114" s="870" t="e">
        <f>MAX(0,IF($AK$5=$C$9,E$9-DPR!#REF!,IF($AK$5=$C$10,E$10-DPR!#REF!,IF($AK$5=$C$11,E$11-DPR!#REF!))))</f>
        <v>#REF!</v>
      </c>
      <c r="F114" s="870" t="e">
        <f>MAX(0,IF($AK$5=$C$9,F$9-DPR!#REF!,IF($AK$5=$C$10,F$10-DPR!#REF!,IF($AK$5=$C$11,F$11-DPR!#REF!))))</f>
        <v>#REF!</v>
      </c>
      <c r="G114" s="870" t="e">
        <f>MAX(0,IF($AK$5=$C$9,G$9-DPR!#REF!,IF($AK$5=$C$10,G$10-DPR!#REF!,IF($AK$5=$C$11,G$11-DPR!#REF!))))</f>
        <v>#REF!</v>
      </c>
      <c r="H114" s="870" t="e">
        <f>MAX(0,IF($AK$5=$C$9,H$9-DPR!#REF!,IF($AK$5=$C$10,H$10-DPR!#REF!,IF($AK$5=$C$11,H$11-DPR!#REF!))))</f>
        <v>#REF!</v>
      </c>
      <c r="I114" s="870" t="e">
        <f>MAX(0,IF($AK$5=$C$9,I$9-DPR!#REF!,IF($AK$5=$C$10,I$10-DPR!#REF!,IF($AK$5=$C$11,I$11-DPR!#REF!))))</f>
        <v>#REF!</v>
      </c>
      <c r="J114" s="870" t="e">
        <f>MAX(0,IF($AK$5=$C$9,J$9-DPR!#REF!,IF($AK$5=$C$10,J$10-DPR!#REF!,IF($AK$5=$C$11,J$11-DPR!#REF!))))</f>
        <v>#REF!</v>
      </c>
      <c r="K114" s="870" t="e">
        <f>MAX(0,IF($AK$5=$C$9,K$9-DPR!#REF!,IF($AK$5=$C$10,K$10-DPR!#REF!,IF($AK$5=$C$11,K$11-DPR!#REF!))))</f>
        <v>#REF!</v>
      </c>
      <c r="L114" s="870" t="e">
        <f>MAX(0,IF($AK$5=$C$9,L$9-DPR!#REF!,IF($AK$5=$C$10,L$10-DPR!#REF!,IF($AK$5=$C$11,L$11-DPR!#REF!))))</f>
        <v>#REF!</v>
      </c>
      <c r="M114" s="870" t="e">
        <f>MAX(0,IF($AK$5=$C$9,M$9-DPR!#REF!,IF($AK$5=$C$10,M$10-DPR!#REF!,IF($AK$5=$C$11,M$11-DPR!#REF!))))</f>
        <v>#REF!</v>
      </c>
      <c r="N114" s="870" t="e">
        <f>MAX(0,IF($AK$5=$C$9,N$9-DPR!#REF!,IF($AK$5=$C$10,N$10-DPR!#REF!,IF($AK$5=$C$11,N$11-DPR!#REF!))))</f>
        <v>#REF!</v>
      </c>
      <c r="O114" s="870" t="e">
        <f>MAX(0,IF($AK$5=$C$9,O$9-DPR!#REF!,IF($AK$5=$C$10,O$10-DPR!#REF!,IF($AK$5=$C$11,O$11-DPR!#REF!))))</f>
        <v>#REF!</v>
      </c>
      <c r="P114" s="870" t="e">
        <f>MAX(0,IF($AK$5=$C$9,P$9-DPR!#REF!,IF($AK$5=$C$10,P$10-DPR!#REF!,IF($AK$5=$C$11,P$11-DPR!#REF!))))</f>
        <v>#REF!</v>
      </c>
      <c r="Q114" s="870">
        <v>23</v>
      </c>
      <c r="R114" s="919" t="e">
        <f t="shared" si="7"/>
        <v>#REF!</v>
      </c>
      <c r="S114" s="878"/>
      <c r="T114" s="878"/>
      <c r="U114" s="878"/>
      <c r="V114" s="878"/>
      <c r="W114" s="878"/>
      <c r="X114" s="878"/>
      <c r="Y114" s="878"/>
      <c r="Z114" s="878"/>
      <c r="AA114" s="878"/>
      <c r="AB114" s="878"/>
      <c r="AC114" s="878"/>
      <c r="AD114" s="878"/>
      <c r="AE114" s="878"/>
      <c r="AF114" s="847"/>
      <c r="AG114" s="920">
        <f t="shared" si="8"/>
        <v>0</v>
      </c>
      <c r="AH114" s="888">
        <f t="shared" si="9"/>
        <v>202507</v>
      </c>
      <c r="AI114" t="e">
        <f>DPR!#REF!</f>
        <v>#REF!</v>
      </c>
    </row>
    <row r="115" spans="3:35" ht="15.75">
      <c r="C115" s="918">
        <v>45851</v>
      </c>
      <c r="D115" s="870" t="e">
        <f>MAX(0,IF($AK$5=$C$9,D$9-DPR!#REF!,IF($AK$5=$C$10,D$10-DPR!#REF!,IF($AK$5=$C$11,D$11-DPR!#REF!))))</f>
        <v>#REF!</v>
      </c>
      <c r="E115" s="870" t="e">
        <f>MAX(0,IF($AK$5=$C$9,E$9-DPR!#REF!,IF($AK$5=$C$10,E$10-DPR!#REF!,IF($AK$5=$C$11,E$11-DPR!#REF!))))</f>
        <v>#REF!</v>
      </c>
      <c r="F115" s="870" t="e">
        <f>MAX(0,IF($AK$5=$C$9,F$9-DPR!#REF!,IF($AK$5=$C$10,F$10-DPR!#REF!,IF($AK$5=$C$11,F$11-DPR!#REF!))))</f>
        <v>#REF!</v>
      </c>
      <c r="G115" s="870" t="e">
        <f>MAX(0,IF($AK$5=$C$9,G$9-DPR!#REF!,IF($AK$5=$C$10,G$10-DPR!#REF!,IF($AK$5=$C$11,G$11-DPR!#REF!))))</f>
        <v>#REF!</v>
      </c>
      <c r="H115" s="870" t="e">
        <f>MAX(0,IF($AK$5=$C$9,H$9-DPR!#REF!,IF($AK$5=$C$10,H$10-DPR!#REF!,IF($AK$5=$C$11,H$11-DPR!#REF!))))</f>
        <v>#REF!</v>
      </c>
      <c r="I115" s="870" t="e">
        <f>MAX(0,IF($AK$5=$C$9,I$9-DPR!#REF!,IF($AK$5=$C$10,I$10-DPR!#REF!,IF($AK$5=$C$11,I$11-DPR!#REF!))))</f>
        <v>#REF!</v>
      </c>
      <c r="J115" s="870" t="e">
        <f>MAX(0,IF($AK$5=$C$9,J$9-DPR!#REF!,IF($AK$5=$C$10,J$10-DPR!#REF!,IF($AK$5=$C$11,J$11-DPR!#REF!))))</f>
        <v>#REF!</v>
      </c>
      <c r="K115" s="870" t="e">
        <f>MAX(0,IF($AK$5=$C$9,K$9-DPR!#REF!,IF($AK$5=$C$10,K$10-DPR!#REF!,IF($AK$5=$C$11,K$11-DPR!#REF!))))</f>
        <v>#REF!</v>
      </c>
      <c r="L115" s="870" t="e">
        <f>MAX(0,IF($AK$5=$C$9,L$9-DPR!#REF!,IF($AK$5=$C$10,L$10-DPR!#REF!,IF($AK$5=$C$11,L$11-DPR!#REF!))))</f>
        <v>#REF!</v>
      </c>
      <c r="M115" s="870" t="e">
        <f>MAX(0,IF($AK$5=$C$9,M$9-DPR!#REF!,IF($AK$5=$C$10,M$10-DPR!#REF!,IF($AK$5=$C$11,M$11-DPR!#REF!))))</f>
        <v>#REF!</v>
      </c>
      <c r="N115" s="870" t="e">
        <f>MAX(0,IF($AK$5=$C$9,N$9-DPR!#REF!,IF($AK$5=$C$10,N$10-DPR!#REF!,IF($AK$5=$C$11,N$11-DPR!#REF!))))</f>
        <v>#REF!</v>
      </c>
      <c r="O115" s="870" t="e">
        <f>MAX(0,IF($AK$5=$C$9,O$9-DPR!#REF!,IF($AK$5=$C$10,O$10-DPR!#REF!,IF($AK$5=$C$11,O$11-DPR!#REF!))))</f>
        <v>#REF!</v>
      </c>
      <c r="P115" s="870" t="e">
        <f>MAX(0,IF($AK$5=$C$9,P$9-DPR!#REF!,IF($AK$5=$C$10,P$10-DPR!#REF!,IF($AK$5=$C$11,P$11-DPR!#REF!))))</f>
        <v>#REF!</v>
      </c>
      <c r="Q115" s="870">
        <v>24</v>
      </c>
      <c r="R115" s="919" t="e">
        <f t="shared" si="7"/>
        <v>#REF!</v>
      </c>
      <c r="S115" s="878"/>
      <c r="T115" s="878"/>
      <c r="U115" s="878"/>
      <c r="V115" s="878"/>
      <c r="W115" s="878"/>
      <c r="X115" s="878"/>
      <c r="Y115" s="878"/>
      <c r="Z115" s="878"/>
      <c r="AA115" s="878"/>
      <c r="AB115" s="878"/>
      <c r="AC115" s="878"/>
      <c r="AD115" s="878"/>
      <c r="AE115" s="878"/>
      <c r="AF115" s="847"/>
      <c r="AG115" s="920">
        <f t="shared" si="8"/>
        <v>0</v>
      </c>
      <c r="AH115" s="888">
        <f t="shared" si="9"/>
        <v>202507</v>
      </c>
      <c r="AI115" t="e">
        <f>DPR!#REF!</f>
        <v>#REF!</v>
      </c>
    </row>
    <row r="116" spans="3:35" ht="15.75">
      <c r="C116" s="918">
        <v>45852</v>
      </c>
      <c r="D116" s="870" t="e">
        <f>MAX(0,IF($AK$5=$C$9,D$9-DPR!#REF!,IF($AK$5=$C$10,D$10-DPR!#REF!,IF($AK$5=$C$11,D$11-DPR!#REF!))))</f>
        <v>#REF!</v>
      </c>
      <c r="E116" s="870" t="e">
        <f>MAX(0,IF($AK$5=$C$9,E$9-DPR!#REF!,IF($AK$5=$C$10,E$10-DPR!#REF!,IF($AK$5=$C$11,E$11-DPR!#REF!))))</f>
        <v>#REF!</v>
      </c>
      <c r="F116" s="870" t="e">
        <f>MAX(0,IF($AK$5=$C$9,F$9-DPR!#REF!,IF($AK$5=$C$10,F$10-DPR!#REF!,IF($AK$5=$C$11,F$11-DPR!#REF!))))</f>
        <v>#REF!</v>
      </c>
      <c r="G116" s="870" t="e">
        <f>MAX(0,IF($AK$5=$C$9,G$9-DPR!#REF!,IF($AK$5=$C$10,G$10-DPR!#REF!,IF($AK$5=$C$11,G$11-DPR!#REF!))))</f>
        <v>#REF!</v>
      </c>
      <c r="H116" s="870" t="e">
        <f>MAX(0,IF($AK$5=$C$9,H$9-DPR!#REF!,IF($AK$5=$C$10,H$10-DPR!#REF!,IF($AK$5=$C$11,H$11-DPR!#REF!))))</f>
        <v>#REF!</v>
      </c>
      <c r="I116" s="870" t="e">
        <f>MAX(0,IF($AK$5=$C$9,I$9-DPR!#REF!,IF($AK$5=$C$10,I$10-DPR!#REF!,IF($AK$5=$C$11,I$11-DPR!#REF!))))</f>
        <v>#REF!</v>
      </c>
      <c r="J116" s="870" t="e">
        <f>MAX(0,IF($AK$5=$C$9,J$9-DPR!#REF!,IF($AK$5=$C$10,J$10-DPR!#REF!,IF($AK$5=$C$11,J$11-DPR!#REF!))))</f>
        <v>#REF!</v>
      </c>
      <c r="K116" s="870" t="e">
        <f>MAX(0,IF($AK$5=$C$9,K$9-DPR!#REF!,IF($AK$5=$C$10,K$10-DPR!#REF!,IF($AK$5=$C$11,K$11-DPR!#REF!))))</f>
        <v>#REF!</v>
      </c>
      <c r="L116" s="870" t="e">
        <f>MAX(0,IF($AK$5=$C$9,L$9-DPR!#REF!,IF($AK$5=$C$10,L$10-DPR!#REF!,IF($AK$5=$C$11,L$11-DPR!#REF!))))</f>
        <v>#REF!</v>
      </c>
      <c r="M116" s="870" t="e">
        <f>MAX(0,IF($AK$5=$C$9,M$9-DPR!#REF!,IF($AK$5=$C$10,M$10-DPR!#REF!,IF($AK$5=$C$11,M$11-DPR!#REF!))))</f>
        <v>#REF!</v>
      </c>
      <c r="N116" s="870" t="e">
        <f>MAX(0,IF($AK$5=$C$9,N$9-DPR!#REF!,IF($AK$5=$C$10,N$10-DPR!#REF!,IF($AK$5=$C$11,N$11-DPR!#REF!))))</f>
        <v>#REF!</v>
      </c>
      <c r="O116" s="870" t="e">
        <f>MAX(0,IF($AK$5=$C$9,O$9-DPR!#REF!,IF($AK$5=$C$10,O$10-DPR!#REF!,IF($AK$5=$C$11,O$11-DPR!#REF!))))</f>
        <v>#REF!</v>
      </c>
      <c r="P116" s="870" t="e">
        <f>MAX(0,IF($AK$5=$C$9,P$9-DPR!#REF!,IF($AK$5=$C$10,P$10-DPR!#REF!,IF($AK$5=$C$11,P$11-DPR!#REF!))))</f>
        <v>#REF!</v>
      </c>
      <c r="Q116" s="870">
        <v>25</v>
      </c>
      <c r="R116" s="919" t="e">
        <f t="shared" si="7"/>
        <v>#REF!</v>
      </c>
      <c r="S116" s="878"/>
      <c r="T116" s="878"/>
      <c r="U116" s="878"/>
      <c r="V116" s="878"/>
      <c r="W116" s="878"/>
      <c r="X116" s="878"/>
      <c r="Y116" s="878"/>
      <c r="Z116" s="878"/>
      <c r="AA116" s="878"/>
      <c r="AB116" s="878"/>
      <c r="AC116" s="878"/>
      <c r="AD116" s="878"/>
      <c r="AE116" s="878"/>
      <c r="AF116" s="847"/>
      <c r="AG116" s="920">
        <f t="shared" si="8"/>
        <v>0</v>
      </c>
      <c r="AH116" s="888">
        <f t="shared" si="9"/>
        <v>202507</v>
      </c>
      <c r="AI116" t="e">
        <f>DPR!#REF!</f>
        <v>#REF!</v>
      </c>
    </row>
    <row r="117" spans="3:35" ht="15.75">
      <c r="C117" s="918">
        <v>45853</v>
      </c>
      <c r="D117" s="870" t="e">
        <f>MAX(0,IF($AK$5=$C$9,D$9-DPR!#REF!,IF($AK$5=$C$10,D$10-DPR!#REF!,IF($AK$5=$C$11,D$11-DPR!#REF!))))</f>
        <v>#REF!</v>
      </c>
      <c r="E117" s="870" t="e">
        <f>MAX(0,IF($AK$5=$C$9,E$9-DPR!#REF!,IF($AK$5=$C$10,E$10-DPR!#REF!,IF($AK$5=$C$11,E$11-DPR!#REF!))))</f>
        <v>#REF!</v>
      </c>
      <c r="F117" s="870" t="e">
        <f>MAX(0,IF($AK$5=$C$9,F$9-DPR!#REF!,IF($AK$5=$C$10,F$10-DPR!#REF!,IF($AK$5=$C$11,F$11-DPR!#REF!))))</f>
        <v>#REF!</v>
      </c>
      <c r="G117" s="870" t="e">
        <f>MAX(0,IF($AK$5=$C$9,G$9-DPR!#REF!,IF($AK$5=$C$10,G$10-DPR!#REF!,IF($AK$5=$C$11,G$11-DPR!#REF!))))</f>
        <v>#REF!</v>
      </c>
      <c r="H117" s="870" t="e">
        <f>MAX(0,IF($AK$5=$C$9,H$9-DPR!#REF!,IF($AK$5=$C$10,H$10-DPR!#REF!,IF($AK$5=$C$11,H$11-DPR!#REF!))))</f>
        <v>#REF!</v>
      </c>
      <c r="I117" s="870" t="e">
        <f>MAX(0,IF($AK$5=$C$9,I$9-DPR!#REF!,IF($AK$5=$C$10,I$10-DPR!#REF!,IF($AK$5=$C$11,I$11-DPR!#REF!))))</f>
        <v>#REF!</v>
      </c>
      <c r="J117" s="870" t="e">
        <f>MAX(0,IF($AK$5=$C$9,J$9-DPR!#REF!,IF($AK$5=$C$10,J$10-DPR!#REF!,IF($AK$5=$C$11,J$11-DPR!#REF!))))</f>
        <v>#REF!</v>
      </c>
      <c r="K117" s="870" t="e">
        <f>MAX(0,IF($AK$5=$C$9,K$9-DPR!#REF!,IF($AK$5=$C$10,K$10-DPR!#REF!,IF($AK$5=$C$11,K$11-DPR!#REF!))))</f>
        <v>#REF!</v>
      </c>
      <c r="L117" s="870" t="e">
        <f>MAX(0,IF($AK$5=$C$9,L$9-DPR!#REF!,IF($AK$5=$C$10,L$10-DPR!#REF!,IF($AK$5=$C$11,L$11-DPR!#REF!))))</f>
        <v>#REF!</v>
      </c>
      <c r="M117" s="870" t="e">
        <f>MAX(0,IF($AK$5=$C$9,M$9-DPR!#REF!,IF($AK$5=$C$10,M$10-DPR!#REF!,IF($AK$5=$C$11,M$11-DPR!#REF!))))</f>
        <v>#REF!</v>
      </c>
      <c r="N117" s="870" t="e">
        <f>MAX(0,IF($AK$5=$C$9,N$9-DPR!#REF!,IF($AK$5=$C$10,N$10-DPR!#REF!,IF($AK$5=$C$11,N$11-DPR!#REF!))))</f>
        <v>#REF!</v>
      </c>
      <c r="O117" s="870" t="e">
        <f>MAX(0,IF($AK$5=$C$9,O$9-DPR!#REF!,IF($AK$5=$C$10,O$10-DPR!#REF!,IF($AK$5=$C$11,O$11-DPR!#REF!))))</f>
        <v>#REF!</v>
      </c>
      <c r="P117" s="870" t="e">
        <f>MAX(0,IF($AK$5=$C$9,P$9-DPR!#REF!,IF($AK$5=$C$10,P$10-DPR!#REF!,IF($AK$5=$C$11,P$11-DPR!#REF!))))</f>
        <v>#REF!</v>
      </c>
      <c r="Q117" s="870">
        <v>26</v>
      </c>
      <c r="R117" s="919" t="e">
        <f t="shared" si="7"/>
        <v>#REF!</v>
      </c>
      <c r="S117" s="878"/>
      <c r="T117" s="878"/>
      <c r="U117" s="878"/>
      <c r="V117" s="878"/>
      <c r="W117" s="878"/>
      <c r="X117" s="878"/>
      <c r="Y117" s="878"/>
      <c r="Z117" s="878"/>
      <c r="AA117" s="878"/>
      <c r="AB117" s="878"/>
      <c r="AC117" s="878"/>
      <c r="AD117" s="878"/>
      <c r="AE117" s="878"/>
      <c r="AF117" s="847"/>
      <c r="AG117" s="920">
        <f t="shared" si="8"/>
        <v>0</v>
      </c>
      <c r="AH117" s="888">
        <f t="shared" si="9"/>
        <v>202507</v>
      </c>
      <c r="AI117" t="e">
        <f>DPR!#REF!</f>
        <v>#REF!</v>
      </c>
    </row>
    <row r="118" spans="3:35" ht="15.75">
      <c r="C118" s="918">
        <v>45854</v>
      </c>
      <c r="D118" s="870" t="e">
        <f>MAX(0,IF($AK$5=$C$9,D$9-DPR!#REF!,IF($AK$5=$C$10,D$10-DPR!#REF!,IF($AK$5=$C$11,D$11-DPR!#REF!))))</f>
        <v>#REF!</v>
      </c>
      <c r="E118" s="870" t="e">
        <f>MAX(0,IF($AK$5=$C$9,E$9-DPR!#REF!,IF($AK$5=$C$10,E$10-DPR!#REF!,IF($AK$5=$C$11,E$11-DPR!#REF!))))</f>
        <v>#REF!</v>
      </c>
      <c r="F118" s="870" t="e">
        <f>MAX(0,IF($AK$5=$C$9,F$9-DPR!#REF!,IF($AK$5=$C$10,F$10-DPR!#REF!,IF($AK$5=$C$11,F$11-DPR!#REF!))))</f>
        <v>#REF!</v>
      </c>
      <c r="G118" s="870" t="e">
        <f>MAX(0,IF($AK$5=$C$9,G$9-DPR!#REF!,IF($AK$5=$C$10,G$10-DPR!#REF!,IF($AK$5=$C$11,G$11-DPR!#REF!))))</f>
        <v>#REF!</v>
      </c>
      <c r="H118" s="870" t="e">
        <f>MAX(0,IF($AK$5=$C$9,H$9-DPR!#REF!,IF($AK$5=$C$10,H$10-DPR!#REF!,IF($AK$5=$C$11,H$11-DPR!#REF!))))</f>
        <v>#REF!</v>
      </c>
      <c r="I118" s="870" t="e">
        <f>MAX(0,IF($AK$5=$C$9,I$9-DPR!#REF!,IF($AK$5=$C$10,I$10-DPR!#REF!,IF($AK$5=$C$11,I$11-DPR!#REF!))))</f>
        <v>#REF!</v>
      </c>
      <c r="J118" s="870" t="e">
        <f>MAX(0,IF($AK$5=$C$9,J$9-DPR!#REF!,IF($AK$5=$C$10,J$10-DPR!#REF!,IF($AK$5=$C$11,J$11-DPR!#REF!))))</f>
        <v>#REF!</v>
      </c>
      <c r="K118" s="870" t="e">
        <f>MAX(0,IF($AK$5=$C$9,K$9-DPR!#REF!,IF($AK$5=$C$10,K$10-DPR!#REF!,IF($AK$5=$C$11,K$11-DPR!#REF!))))</f>
        <v>#REF!</v>
      </c>
      <c r="L118" s="870" t="e">
        <f>MAX(0,IF($AK$5=$C$9,L$9-DPR!#REF!,IF($AK$5=$C$10,L$10-DPR!#REF!,IF($AK$5=$C$11,L$11-DPR!#REF!))))</f>
        <v>#REF!</v>
      </c>
      <c r="M118" s="870" t="e">
        <f>MAX(0,IF($AK$5=$C$9,M$9-DPR!#REF!,IF($AK$5=$C$10,M$10-DPR!#REF!,IF($AK$5=$C$11,M$11-DPR!#REF!))))</f>
        <v>#REF!</v>
      </c>
      <c r="N118" s="870" t="e">
        <f>MAX(0,IF($AK$5=$C$9,N$9-DPR!#REF!,IF($AK$5=$C$10,N$10-DPR!#REF!,IF($AK$5=$C$11,N$11-DPR!#REF!))))</f>
        <v>#REF!</v>
      </c>
      <c r="O118" s="870" t="e">
        <f>MAX(0,IF($AK$5=$C$9,O$9-DPR!#REF!,IF($AK$5=$C$10,O$10-DPR!#REF!,IF($AK$5=$C$11,O$11-DPR!#REF!))))</f>
        <v>#REF!</v>
      </c>
      <c r="P118" s="870" t="e">
        <f>MAX(0,IF($AK$5=$C$9,P$9-DPR!#REF!,IF($AK$5=$C$10,P$10-DPR!#REF!,IF($AK$5=$C$11,P$11-DPR!#REF!))))</f>
        <v>#REF!</v>
      </c>
      <c r="Q118" s="870">
        <v>27</v>
      </c>
      <c r="R118" s="919" t="e">
        <f t="shared" si="7"/>
        <v>#REF!</v>
      </c>
      <c r="S118" s="878"/>
      <c r="T118" s="878"/>
      <c r="U118" s="878"/>
      <c r="V118" s="878"/>
      <c r="W118" s="878"/>
      <c r="X118" s="878"/>
      <c r="Y118" s="878"/>
      <c r="Z118" s="878"/>
      <c r="AA118" s="878"/>
      <c r="AB118" s="878"/>
      <c r="AC118" s="878"/>
      <c r="AD118" s="878"/>
      <c r="AE118" s="878"/>
      <c r="AF118" s="847"/>
      <c r="AG118" s="920">
        <f t="shared" si="8"/>
        <v>0</v>
      </c>
      <c r="AH118" s="888">
        <f t="shared" si="9"/>
        <v>202507</v>
      </c>
      <c r="AI118" t="e">
        <f>DPR!#REF!</f>
        <v>#REF!</v>
      </c>
    </row>
    <row r="119" spans="3:35" ht="15.75">
      <c r="C119" s="918">
        <v>45855</v>
      </c>
      <c r="D119" s="870" t="e">
        <f>MAX(0,IF($AK$5=$C$9,D$9-DPR!#REF!,IF($AK$5=$C$10,D$10-DPR!#REF!,IF($AK$5=$C$11,D$11-DPR!#REF!))))</f>
        <v>#REF!</v>
      </c>
      <c r="E119" s="870" t="e">
        <f>MAX(0,IF($AK$5=$C$9,E$9-DPR!#REF!,IF($AK$5=$C$10,E$10-DPR!#REF!,IF($AK$5=$C$11,E$11-DPR!#REF!))))</f>
        <v>#REF!</v>
      </c>
      <c r="F119" s="870" t="e">
        <f>MAX(0,IF($AK$5=$C$9,F$9-DPR!#REF!,IF($AK$5=$C$10,F$10-DPR!#REF!,IF($AK$5=$C$11,F$11-DPR!#REF!))))</f>
        <v>#REF!</v>
      </c>
      <c r="G119" s="870" t="e">
        <f>MAX(0,IF($AK$5=$C$9,G$9-DPR!#REF!,IF($AK$5=$C$10,G$10-DPR!#REF!,IF($AK$5=$C$11,G$11-DPR!#REF!))))</f>
        <v>#REF!</v>
      </c>
      <c r="H119" s="870" t="e">
        <f>MAX(0,IF($AK$5=$C$9,H$9-DPR!#REF!,IF($AK$5=$C$10,H$10-DPR!#REF!,IF($AK$5=$C$11,H$11-DPR!#REF!))))</f>
        <v>#REF!</v>
      </c>
      <c r="I119" s="870" t="e">
        <f>MAX(0,IF($AK$5=$C$9,I$9-DPR!#REF!,IF($AK$5=$C$10,I$10-DPR!#REF!,IF($AK$5=$C$11,I$11-DPR!#REF!))))</f>
        <v>#REF!</v>
      </c>
      <c r="J119" s="870" t="e">
        <f>MAX(0,IF($AK$5=$C$9,J$9-DPR!#REF!,IF($AK$5=$C$10,J$10-DPR!#REF!,IF($AK$5=$C$11,J$11-DPR!#REF!))))</f>
        <v>#REF!</v>
      </c>
      <c r="K119" s="870" t="e">
        <f>MAX(0,IF($AK$5=$C$9,K$9-DPR!#REF!,IF($AK$5=$C$10,K$10-DPR!#REF!,IF($AK$5=$C$11,K$11-DPR!#REF!))))</f>
        <v>#REF!</v>
      </c>
      <c r="L119" s="870" t="e">
        <f>MAX(0,IF($AK$5=$C$9,L$9-DPR!#REF!,IF($AK$5=$C$10,L$10-DPR!#REF!,IF($AK$5=$C$11,L$11-DPR!#REF!))))</f>
        <v>#REF!</v>
      </c>
      <c r="M119" s="870" t="e">
        <f>MAX(0,IF($AK$5=$C$9,M$9-DPR!#REF!,IF($AK$5=$C$10,M$10-DPR!#REF!,IF($AK$5=$C$11,M$11-DPR!#REF!))))</f>
        <v>#REF!</v>
      </c>
      <c r="N119" s="870" t="e">
        <f>MAX(0,IF($AK$5=$C$9,N$9-DPR!#REF!,IF($AK$5=$C$10,N$10-DPR!#REF!,IF($AK$5=$C$11,N$11-DPR!#REF!))))</f>
        <v>#REF!</v>
      </c>
      <c r="O119" s="870" t="e">
        <f>MAX(0,IF($AK$5=$C$9,O$9-DPR!#REF!,IF($AK$5=$C$10,O$10-DPR!#REF!,IF($AK$5=$C$11,O$11-DPR!#REF!))))</f>
        <v>#REF!</v>
      </c>
      <c r="P119" s="870" t="e">
        <f>MAX(0,IF($AK$5=$C$9,P$9-DPR!#REF!,IF($AK$5=$C$10,P$10-DPR!#REF!,IF($AK$5=$C$11,P$11-DPR!#REF!))))</f>
        <v>#REF!</v>
      </c>
      <c r="Q119" s="870">
        <v>28</v>
      </c>
      <c r="R119" s="919" t="e">
        <f t="shared" si="7"/>
        <v>#REF!</v>
      </c>
      <c r="S119" s="878"/>
      <c r="T119" s="878"/>
      <c r="U119" s="878"/>
      <c r="V119" s="878"/>
      <c r="W119" s="878"/>
      <c r="X119" s="878"/>
      <c r="Y119" s="878"/>
      <c r="Z119" s="878"/>
      <c r="AA119" s="878"/>
      <c r="AB119" s="878"/>
      <c r="AC119" s="878"/>
      <c r="AD119" s="878"/>
      <c r="AE119" s="878"/>
      <c r="AF119" s="847"/>
      <c r="AG119" s="920">
        <f t="shared" si="8"/>
        <v>0</v>
      </c>
      <c r="AH119" s="888">
        <f t="shared" si="9"/>
        <v>202507</v>
      </c>
      <c r="AI119" t="e">
        <f>DPR!#REF!</f>
        <v>#REF!</v>
      </c>
    </row>
    <row r="120" spans="3:35" ht="15.75">
      <c r="C120" s="918">
        <v>45856</v>
      </c>
      <c r="D120" s="870" t="e">
        <f>MAX(0,IF($AK$5=$C$9,D$9-DPR!#REF!,IF($AK$5=$C$10,D$10-DPR!#REF!,IF($AK$5=$C$11,D$11-DPR!#REF!))))</f>
        <v>#REF!</v>
      </c>
      <c r="E120" s="870" t="e">
        <f>MAX(0,IF($AK$5=$C$9,E$9-DPR!#REF!,IF($AK$5=$C$10,E$10-DPR!#REF!,IF($AK$5=$C$11,E$11-DPR!#REF!))))</f>
        <v>#REF!</v>
      </c>
      <c r="F120" s="870" t="e">
        <f>MAX(0,IF($AK$5=$C$9,F$9-DPR!#REF!,IF($AK$5=$C$10,F$10-DPR!#REF!,IF($AK$5=$C$11,F$11-DPR!#REF!))))</f>
        <v>#REF!</v>
      </c>
      <c r="G120" s="870" t="e">
        <f>MAX(0,IF($AK$5=$C$9,G$9-DPR!#REF!,IF($AK$5=$C$10,G$10-DPR!#REF!,IF($AK$5=$C$11,G$11-DPR!#REF!))))</f>
        <v>#REF!</v>
      </c>
      <c r="H120" s="870" t="e">
        <f>MAX(0,IF($AK$5=$C$9,H$9-DPR!#REF!,IF($AK$5=$C$10,H$10-DPR!#REF!,IF($AK$5=$C$11,H$11-DPR!#REF!))))</f>
        <v>#REF!</v>
      </c>
      <c r="I120" s="870" t="e">
        <f>MAX(0,IF($AK$5=$C$9,I$9-DPR!#REF!,IF($AK$5=$C$10,I$10-DPR!#REF!,IF($AK$5=$C$11,I$11-DPR!#REF!))))</f>
        <v>#REF!</v>
      </c>
      <c r="J120" s="870" t="e">
        <f>MAX(0,IF($AK$5=$C$9,J$9-DPR!#REF!,IF($AK$5=$C$10,J$10-DPR!#REF!,IF($AK$5=$C$11,J$11-DPR!#REF!))))</f>
        <v>#REF!</v>
      </c>
      <c r="K120" s="870" t="e">
        <f>MAX(0,IF($AK$5=$C$9,K$9-DPR!#REF!,IF($AK$5=$C$10,K$10-DPR!#REF!,IF($AK$5=$C$11,K$11-DPR!#REF!))))</f>
        <v>#REF!</v>
      </c>
      <c r="L120" s="870" t="e">
        <f>MAX(0,IF($AK$5=$C$9,L$9-DPR!#REF!,IF($AK$5=$C$10,L$10-DPR!#REF!,IF($AK$5=$C$11,L$11-DPR!#REF!))))</f>
        <v>#REF!</v>
      </c>
      <c r="M120" s="870" t="e">
        <f>MAX(0,IF($AK$5=$C$9,M$9-DPR!#REF!,IF($AK$5=$C$10,M$10-DPR!#REF!,IF($AK$5=$C$11,M$11-DPR!#REF!))))</f>
        <v>#REF!</v>
      </c>
      <c r="N120" s="870" t="e">
        <f>MAX(0,IF($AK$5=$C$9,N$9-DPR!#REF!,IF($AK$5=$C$10,N$10-DPR!#REF!,IF($AK$5=$C$11,N$11-DPR!#REF!))))</f>
        <v>#REF!</v>
      </c>
      <c r="O120" s="870" t="e">
        <f>MAX(0,IF($AK$5=$C$9,O$9-DPR!#REF!,IF($AK$5=$C$10,O$10-DPR!#REF!,IF($AK$5=$C$11,O$11-DPR!#REF!))))</f>
        <v>#REF!</v>
      </c>
      <c r="P120" s="870" t="e">
        <f>MAX(0,IF($AK$5=$C$9,P$9-DPR!#REF!,IF($AK$5=$C$10,P$10-DPR!#REF!,IF($AK$5=$C$11,P$11-DPR!#REF!))))</f>
        <v>#REF!</v>
      </c>
      <c r="Q120" s="870">
        <v>29</v>
      </c>
      <c r="R120" s="919" t="e">
        <f t="shared" si="7"/>
        <v>#REF!</v>
      </c>
      <c r="S120" s="878"/>
      <c r="T120" s="878"/>
      <c r="U120" s="878"/>
      <c r="V120" s="878"/>
      <c r="W120" s="878"/>
      <c r="X120" s="878"/>
      <c r="Y120" s="878"/>
      <c r="Z120" s="878"/>
      <c r="AA120" s="878"/>
      <c r="AB120" s="878"/>
      <c r="AC120" s="878"/>
      <c r="AD120" s="878"/>
      <c r="AE120" s="878"/>
      <c r="AF120" s="847"/>
      <c r="AG120" s="920">
        <f t="shared" si="8"/>
        <v>0</v>
      </c>
      <c r="AH120" s="888">
        <f t="shared" si="9"/>
        <v>202507</v>
      </c>
      <c r="AI120" t="e">
        <f>DPR!#REF!</f>
        <v>#REF!</v>
      </c>
    </row>
    <row r="121" spans="3:35" ht="15.75">
      <c r="C121" s="918">
        <v>45857</v>
      </c>
      <c r="D121" s="870" t="e">
        <f>MAX(0,IF($AK$5=$C$9,D$9-DPR!#REF!,IF($AK$5=$C$10,D$10-DPR!#REF!,IF($AK$5=$C$11,D$11-DPR!#REF!))))</f>
        <v>#REF!</v>
      </c>
      <c r="E121" s="870" t="e">
        <f>MAX(0,IF($AK$5=$C$9,E$9-DPR!#REF!,IF($AK$5=$C$10,E$10-DPR!#REF!,IF($AK$5=$C$11,E$11-DPR!#REF!))))</f>
        <v>#REF!</v>
      </c>
      <c r="F121" s="870" t="e">
        <f>MAX(0,IF($AK$5=$C$9,F$9-DPR!#REF!,IF($AK$5=$C$10,F$10-DPR!#REF!,IF($AK$5=$C$11,F$11-DPR!#REF!))))</f>
        <v>#REF!</v>
      </c>
      <c r="G121" s="870" t="e">
        <f>MAX(0,IF($AK$5=$C$9,G$9-DPR!#REF!,IF($AK$5=$C$10,G$10-DPR!#REF!,IF($AK$5=$C$11,G$11-DPR!#REF!))))</f>
        <v>#REF!</v>
      </c>
      <c r="H121" s="870" t="e">
        <f>MAX(0,IF($AK$5=$C$9,H$9-DPR!#REF!,IF($AK$5=$C$10,H$10-DPR!#REF!,IF($AK$5=$C$11,H$11-DPR!#REF!))))</f>
        <v>#REF!</v>
      </c>
      <c r="I121" s="870" t="e">
        <f>MAX(0,IF($AK$5=$C$9,I$9-DPR!#REF!,IF($AK$5=$C$10,I$10-DPR!#REF!,IF($AK$5=$C$11,I$11-DPR!#REF!))))</f>
        <v>#REF!</v>
      </c>
      <c r="J121" s="870" t="e">
        <f>MAX(0,IF($AK$5=$C$9,J$9-DPR!#REF!,IF($AK$5=$C$10,J$10-DPR!#REF!,IF($AK$5=$C$11,J$11-DPR!#REF!))))</f>
        <v>#REF!</v>
      </c>
      <c r="K121" s="870" t="e">
        <f>MAX(0,IF($AK$5=$C$9,K$9-DPR!#REF!,IF($AK$5=$C$10,K$10-DPR!#REF!,IF($AK$5=$C$11,K$11-DPR!#REF!))))</f>
        <v>#REF!</v>
      </c>
      <c r="L121" s="870" t="e">
        <f>MAX(0,IF($AK$5=$C$9,L$9-DPR!#REF!,IF($AK$5=$C$10,L$10-DPR!#REF!,IF($AK$5=$C$11,L$11-DPR!#REF!))))</f>
        <v>#REF!</v>
      </c>
      <c r="M121" s="870" t="e">
        <f>MAX(0,IF($AK$5=$C$9,M$9-DPR!#REF!,IF($AK$5=$C$10,M$10-DPR!#REF!,IF($AK$5=$C$11,M$11-DPR!#REF!))))</f>
        <v>#REF!</v>
      </c>
      <c r="N121" s="870" t="e">
        <f>MAX(0,IF($AK$5=$C$9,N$9-DPR!#REF!,IF($AK$5=$C$10,N$10-DPR!#REF!,IF($AK$5=$C$11,N$11-DPR!#REF!))))</f>
        <v>#REF!</v>
      </c>
      <c r="O121" s="870" t="e">
        <f>MAX(0,IF($AK$5=$C$9,O$9-DPR!#REF!,IF($AK$5=$C$10,O$10-DPR!#REF!,IF($AK$5=$C$11,O$11-DPR!#REF!))))</f>
        <v>#REF!</v>
      </c>
      <c r="P121" s="870" t="e">
        <f>MAX(0,IF($AK$5=$C$9,P$9-DPR!#REF!,IF($AK$5=$C$10,P$10-DPR!#REF!,IF($AK$5=$C$11,P$11-DPR!#REF!))))</f>
        <v>#REF!</v>
      </c>
      <c r="Q121" s="870">
        <v>30</v>
      </c>
      <c r="R121" s="919" t="e">
        <f t="shared" si="7"/>
        <v>#REF!</v>
      </c>
      <c r="S121" s="878"/>
      <c r="T121" s="878"/>
      <c r="U121" s="878"/>
      <c r="V121" s="878"/>
      <c r="W121" s="878"/>
      <c r="X121" s="878"/>
      <c r="Y121" s="878"/>
      <c r="Z121" s="878"/>
      <c r="AA121" s="878"/>
      <c r="AB121" s="878"/>
      <c r="AC121" s="878"/>
      <c r="AD121" s="878"/>
      <c r="AE121" s="878"/>
      <c r="AF121" s="847"/>
      <c r="AG121" s="920">
        <f t="shared" si="8"/>
        <v>0</v>
      </c>
      <c r="AH121" s="888">
        <f t="shared" si="9"/>
        <v>202507</v>
      </c>
      <c r="AI121" t="e">
        <f>DPR!#REF!</f>
        <v>#REF!</v>
      </c>
    </row>
    <row r="122" spans="3:35" ht="15.75">
      <c r="C122" s="918">
        <v>45858</v>
      </c>
      <c r="D122" s="870" t="e">
        <f>MAX(0,IF($AK$5=$C$9,D$9-DPR!#REF!,IF($AK$5=$C$10,D$10-DPR!#REF!,IF($AK$5=$C$11,D$11-DPR!#REF!))))</f>
        <v>#REF!</v>
      </c>
      <c r="E122" s="870" t="e">
        <f>MAX(0,IF($AK$5=$C$9,E$9-DPR!#REF!,IF($AK$5=$C$10,E$10-DPR!#REF!,IF($AK$5=$C$11,E$11-DPR!#REF!))))</f>
        <v>#REF!</v>
      </c>
      <c r="F122" s="870" t="e">
        <f>MAX(0,IF($AK$5=$C$9,F$9-DPR!#REF!,IF($AK$5=$C$10,F$10-DPR!#REF!,IF($AK$5=$C$11,F$11-DPR!#REF!))))</f>
        <v>#REF!</v>
      </c>
      <c r="G122" s="870" t="e">
        <f>MAX(0,IF($AK$5=$C$9,G$9-DPR!#REF!,IF($AK$5=$C$10,G$10-DPR!#REF!,IF($AK$5=$C$11,G$11-DPR!#REF!))))</f>
        <v>#REF!</v>
      </c>
      <c r="H122" s="870" t="e">
        <f>MAX(0,IF($AK$5=$C$9,H$9-DPR!#REF!,IF($AK$5=$C$10,H$10-DPR!#REF!,IF($AK$5=$C$11,H$11-DPR!#REF!))))</f>
        <v>#REF!</v>
      </c>
      <c r="I122" s="870" t="e">
        <f>MAX(0,IF($AK$5=$C$9,I$9-DPR!#REF!,IF($AK$5=$C$10,I$10-DPR!#REF!,IF($AK$5=$C$11,I$11-DPR!#REF!))))</f>
        <v>#REF!</v>
      </c>
      <c r="J122" s="870" t="e">
        <f>MAX(0,IF($AK$5=$C$9,J$9-DPR!#REF!,IF($AK$5=$C$10,J$10-DPR!#REF!,IF($AK$5=$C$11,J$11-DPR!#REF!))))</f>
        <v>#REF!</v>
      </c>
      <c r="K122" s="870" t="e">
        <f>MAX(0,IF($AK$5=$C$9,K$9-DPR!#REF!,IF($AK$5=$C$10,K$10-DPR!#REF!,IF($AK$5=$C$11,K$11-DPR!#REF!))))</f>
        <v>#REF!</v>
      </c>
      <c r="L122" s="870" t="e">
        <f>MAX(0,IF($AK$5=$C$9,L$9-DPR!#REF!,IF($AK$5=$C$10,L$10-DPR!#REF!,IF($AK$5=$C$11,L$11-DPR!#REF!))))</f>
        <v>#REF!</v>
      </c>
      <c r="M122" s="870" t="e">
        <f>MAX(0,IF($AK$5=$C$9,M$9-DPR!#REF!,IF($AK$5=$C$10,M$10-DPR!#REF!,IF($AK$5=$C$11,M$11-DPR!#REF!))))</f>
        <v>#REF!</v>
      </c>
      <c r="N122" s="870" t="e">
        <f>MAX(0,IF($AK$5=$C$9,N$9-DPR!#REF!,IF($AK$5=$C$10,N$10-DPR!#REF!,IF($AK$5=$C$11,N$11-DPR!#REF!))))</f>
        <v>#REF!</v>
      </c>
      <c r="O122" s="870" t="e">
        <f>MAX(0,IF($AK$5=$C$9,O$9-DPR!#REF!,IF($AK$5=$C$10,O$10-DPR!#REF!,IF($AK$5=$C$11,O$11-DPR!#REF!))))</f>
        <v>#REF!</v>
      </c>
      <c r="P122" s="870" t="e">
        <f>MAX(0,IF($AK$5=$C$9,P$9-DPR!#REF!,IF($AK$5=$C$10,P$10-DPR!#REF!,IF($AK$5=$C$11,P$11-DPR!#REF!))))</f>
        <v>#REF!</v>
      </c>
      <c r="Q122" s="870">
        <v>31</v>
      </c>
      <c r="R122" s="919" t="e">
        <f t="shared" si="7"/>
        <v>#REF!</v>
      </c>
      <c r="S122" s="878"/>
      <c r="T122" s="878"/>
      <c r="U122" s="878"/>
      <c r="V122" s="878"/>
      <c r="W122" s="878"/>
      <c r="X122" s="878"/>
      <c r="Y122" s="878"/>
      <c r="Z122" s="878"/>
      <c r="AA122" s="878"/>
      <c r="AB122" s="878"/>
      <c r="AC122" s="878"/>
      <c r="AD122" s="878"/>
      <c r="AE122" s="878"/>
      <c r="AF122" s="847"/>
      <c r="AG122" s="920">
        <f t="shared" si="8"/>
        <v>0</v>
      </c>
      <c r="AH122" s="888">
        <f t="shared" si="9"/>
        <v>202507</v>
      </c>
      <c r="AI122" t="e">
        <f>DPR!#REF!</f>
        <v>#REF!</v>
      </c>
    </row>
    <row r="123" spans="3:35" ht="15.75">
      <c r="C123" s="918">
        <v>45859</v>
      </c>
      <c r="D123" s="870" t="e">
        <f>MAX(0,IF($AK$5=$C$9,D$9-DPR!#REF!,IF($AK$5=$C$10,D$10-DPR!#REF!,IF($AK$5=$C$11,D$11-DPR!#REF!))))</f>
        <v>#REF!</v>
      </c>
      <c r="E123" s="870" t="e">
        <f>MAX(0,IF($AK$5=$C$9,E$9-DPR!#REF!,IF($AK$5=$C$10,E$10-DPR!#REF!,IF($AK$5=$C$11,E$11-DPR!#REF!))))</f>
        <v>#REF!</v>
      </c>
      <c r="F123" s="870" t="e">
        <f>MAX(0,IF($AK$5=$C$9,F$9-DPR!#REF!,IF($AK$5=$C$10,F$10-DPR!#REF!,IF($AK$5=$C$11,F$11-DPR!#REF!))))</f>
        <v>#REF!</v>
      </c>
      <c r="G123" s="870" t="e">
        <f>MAX(0,IF($AK$5=$C$9,G$9-DPR!#REF!,IF($AK$5=$C$10,G$10-DPR!#REF!,IF($AK$5=$C$11,G$11-DPR!#REF!))))</f>
        <v>#REF!</v>
      </c>
      <c r="H123" s="870" t="e">
        <f>MAX(0,IF($AK$5=$C$9,H$9-DPR!#REF!,IF($AK$5=$C$10,H$10-DPR!#REF!,IF($AK$5=$C$11,H$11-DPR!#REF!))))</f>
        <v>#REF!</v>
      </c>
      <c r="I123" s="870" t="e">
        <f>MAX(0,IF($AK$5=$C$9,I$9-DPR!#REF!,IF($AK$5=$C$10,I$10-DPR!#REF!,IF($AK$5=$C$11,I$11-DPR!#REF!))))</f>
        <v>#REF!</v>
      </c>
      <c r="J123" s="870" t="e">
        <f>MAX(0,IF($AK$5=$C$9,J$9-DPR!#REF!,IF($AK$5=$C$10,J$10-DPR!#REF!,IF($AK$5=$C$11,J$11-DPR!#REF!))))</f>
        <v>#REF!</v>
      </c>
      <c r="K123" s="870" t="e">
        <f>MAX(0,IF($AK$5=$C$9,K$9-DPR!#REF!,IF($AK$5=$C$10,K$10-DPR!#REF!,IF($AK$5=$C$11,K$11-DPR!#REF!))))</f>
        <v>#REF!</v>
      </c>
      <c r="L123" s="870" t="e">
        <f>MAX(0,IF($AK$5=$C$9,L$9-DPR!#REF!,IF($AK$5=$C$10,L$10-DPR!#REF!,IF($AK$5=$C$11,L$11-DPR!#REF!))))</f>
        <v>#REF!</v>
      </c>
      <c r="M123" s="870" t="e">
        <f>MAX(0,IF($AK$5=$C$9,M$9-DPR!#REF!,IF($AK$5=$C$10,M$10-DPR!#REF!,IF($AK$5=$C$11,M$11-DPR!#REF!))))</f>
        <v>#REF!</v>
      </c>
      <c r="N123" s="870" t="e">
        <f>MAX(0,IF($AK$5=$C$9,N$9-DPR!#REF!,IF($AK$5=$C$10,N$10-DPR!#REF!,IF($AK$5=$C$11,N$11-DPR!#REF!))))</f>
        <v>#REF!</v>
      </c>
      <c r="O123" s="870" t="e">
        <f>MAX(0,IF($AK$5=$C$9,O$9-DPR!#REF!,IF($AK$5=$C$10,O$10-DPR!#REF!,IF($AK$5=$C$11,O$11-DPR!#REF!))))</f>
        <v>#REF!</v>
      </c>
      <c r="P123" s="870" t="e">
        <f>MAX(0,IF($AK$5=$C$9,P$9-DPR!#REF!,IF($AK$5=$C$10,P$10-DPR!#REF!,IF($AK$5=$C$11,P$11-DPR!#REF!))))</f>
        <v>#REF!</v>
      </c>
      <c r="Q123" s="870">
        <v>32</v>
      </c>
      <c r="R123" s="919" t="e">
        <f t="shared" si="7"/>
        <v>#REF!</v>
      </c>
      <c r="S123" s="878"/>
      <c r="T123" s="878"/>
      <c r="U123" s="878"/>
      <c r="V123" s="878"/>
      <c r="W123" s="878"/>
      <c r="X123" s="878"/>
      <c r="Y123" s="878"/>
      <c r="Z123" s="878"/>
      <c r="AA123" s="878"/>
      <c r="AB123" s="878"/>
      <c r="AC123" s="878"/>
      <c r="AD123" s="878"/>
      <c r="AE123" s="878"/>
      <c r="AF123" s="847"/>
      <c r="AG123" s="920">
        <f t="shared" si="8"/>
        <v>0</v>
      </c>
      <c r="AH123" s="888">
        <f t="shared" si="9"/>
        <v>202507</v>
      </c>
      <c r="AI123" t="e">
        <f>DPR!#REF!</f>
        <v>#REF!</v>
      </c>
    </row>
    <row r="124" spans="3:35" ht="15.75">
      <c r="C124" s="918">
        <v>45860</v>
      </c>
      <c r="D124" s="870" t="e">
        <f>MAX(0,IF($AK$5=$C$9,D$9-DPR!#REF!,IF($AK$5=$C$10,D$10-DPR!#REF!,IF($AK$5=$C$11,D$11-DPR!#REF!))))</f>
        <v>#REF!</v>
      </c>
      <c r="E124" s="870" t="e">
        <f>MAX(0,IF($AK$5=$C$9,E$9-DPR!#REF!,IF($AK$5=$C$10,E$10-DPR!#REF!,IF($AK$5=$C$11,E$11-DPR!#REF!))))</f>
        <v>#REF!</v>
      </c>
      <c r="F124" s="870" t="e">
        <f>MAX(0,IF($AK$5=$C$9,F$9-DPR!#REF!,IF($AK$5=$C$10,F$10-DPR!#REF!,IF($AK$5=$C$11,F$11-DPR!#REF!))))</f>
        <v>#REF!</v>
      </c>
      <c r="G124" s="870" t="e">
        <f>MAX(0,IF($AK$5=$C$9,G$9-DPR!#REF!,IF($AK$5=$C$10,G$10-DPR!#REF!,IF($AK$5=$C$11,G$11-DPR!#REF!))))</f>
        <v>#REF!</v>
      </c>
      <c r="H124" s="870" t="e">
        <f>MAX(0,IF($AK$5=$C$9,H$9-DPR!#REF!,IF($AK$5=$C$10,H$10-DPR!#REF!,IF($AK$5=$C$11,H$11-DPR!#REF!))))</f>
        <v>#REF!</v>
      </c>
      <c r="I124" s="870" t="e">
        <f>MAX(0,IF($AK$5=$C$9,I$9-DPR!#REF!,IF($AK$5=$C$10,I$10-DPR!#REF!,IF($AK$5=$C$11,I$11-DPR!#REF!))))</f>
        <v>#REF!</v>
      </c>
      <c r="J124" s="870" t="e">
        <f>MAX(0,IF($AK$5=$C$9,J$9-DPR!#REF!,IF($AK$5=$C$10,J$10-DPR!#REF!,IF($AK$5=$C$11,J$11-DPR!#REF!))))</f>
        <v>#REF!</v>
      </c>
      <c r="K124" s="870" t="e">
        <f>MAX(0,IF($AK$5=$C$9,K$9-DPR!#REF!,IF($AK$5=$C$10,K$10-DPR!#REF!,IF($AK$5=$C$11,K$11-DPR!#REF!))))</f>
        <v>#REF!</v>
      </c>
      <c r="L124" s="870" t="e">
        <f>MAX(0,IF($AK$5=$C$9,L$9-DPR!#REF!,IF($AK$5=$C$10,L$10-DPR!#REF!,IF($AK$5=$C$11,L$11-DPR!#REF!))))</f>
        <v>#REF!</v>
      </c>
      <c r="M124" s="870" t="e">
        <f>MAX(0,IF($AK$5=$C$9,M$9-DPR!#REF!,IF($AK$5=$C$10,M$10-DPR!#REF!,IF($AK$5=$C$11,M$11-DPR!#REF!))))</f>
        <v>#REF!</v>
      </c>
      <c r="N124" s="870" t="e">
        <f>MAX(0,IF($AK$5=$C$9,N$9-DPR!#REF!,IF($AK$5=$C$10,N$10-DPR!#REF!,IF($AK$5=$C$11,N$11-DPR!#REF!))))</f>
        <v>#REF!</v>
      </c>
      <c r="O124" s="870" t="e">
        <f>MAX(0,IF($AK$5=$C$9,O$9-DPR!#REF!,IF($AK$5=$C$10,O$10-DPR!#REF!,IF($AK$5=$C$11,O$11-DPR!#REF!))))</f>
        <v>#REF!</v>
      </c>
      <c r="P124" s="870" t="e">
        <f>MAX(0,IF($AK$5=$C$9,P$9-DPR!#REF!,IF($AK$5=$C$10,P$10-DPR!#REF!,IF($AK$5=$C$11,P$11-DPR!#REF!))))</f>
        <v>#REF!</v>
      </c>
      <c r="Q124" s="870">
        <v>33</v>
      </c>
      <c r="R124" s="919" t="e">
        <f t="shared" si="7"/>
        <v>#REF!</v>
      </c>
      <c r="S124" s="878"/>
      <c r="T124" s="878"/>
      <c r="U124" s="878"/>
      <c r="V124" s="878"/>
      <c r="W124" s="878"/>
      <c r="X124" s="878"/>
      <c r="Y124" s="878"/>
      <c r="Z124" s="878"/>
      <c r="AA124" s="878"/>
      <c r="AB124" s="878"/>
      <c r="AC124" s="878"/>
      <c r="AD124" s="878"/>
      <c r="AE124" s="878"/>
      <c r="AF124" s="847"/>
      <c r="AG124" s="920">
        <f t="shared" si="8"/>
        <v>0</v>
      </c>
      <c r="AH124" s="888">
        <f t="shared" si="9"/>
        <v>202507</v>
      </c>
      <c r="AI124" t="e">
        <f>DPR!#REF!</f>
        <v>#REF!</v>
      </c>
    </row>
    <row r="125" spans="3:35" ht="15.75">
      <c r="C125" s="918">
        <v>45861</v>
      </c>
      <c r="D125" s="870" t="e">
        <f>MAX(0,IF($AK$5=$C$9,D$9-DPR!#REF!,IF($AK$5=$C$10,D$10-DPR!#REF!,IF($AK$5=$C$11,D$11-DPR!#REF!))))</f>
        <v>#REF!</v>
      </c>
      <c r="E125" s="870" t="e">
        <f>MAX(0,IF($AK$5=$C$9,E$9-DPR!#REF!,IF($AK$5=$C$10,E$10-DPR!#REF!,IF($AK$5=$C$11,E$11-DPR!#REF!))))</f>
        <v>#REF!</v>
      </c>
      <c r="F125" s="870" t="e">
        <f>MAX(0,IF($AK$5=$C$9,F$9-DPR!#REF!,IF($AK$5=$C$10,F$10-DPR!#REF!,IF($AK$5=$C$11,F$11-DPR!#REF!))))</f>
        <v>#REF!</v>
      </c>
      <c r="G125" s="870" t="e">
        <f>MAX(0,IF($AK$5=$C$9,G$9-DPR!#REF!,IF($AK$5=$C$10,G$10-DPR!#REF!,IF($AK$5=$C$11,G$11-DPR!#REF!))))</f>
        <v>#REF!</v>
      </c>
      <c r="H125" s="870" t="e">
        <f>MAX(0,IF($AK$5=$C$9,H$9-DPR!#REF!,IF($AK$5=$C$10,H$10-DPR!#REF!,IF($AK$5=$C$11,H$11-DPR!#REF!))))</f>
        <v>#REF!</v>
      </c>
      <c r="I125" s="870" t="e">
        <f>MAX(0,IF($AK$5=$C$9,I$9-DPR!#REF!,IF($AK$5=$C$10,I$10-DPR!#REF!,IF($AK$5=$C$11,I$11-DPR!#REF!))))</f>
        <v>#REF!</v>
      </c>
      <c r="J125" s="870" t="e">
        <f>MAX(0,IF($AK$5=$C$9,J$9-DPR!#REF!,IF($AK$5=$C$10,J$10-DPR!#REF!,IF($AK$5=$C$11,J$11-DPR!#REF!))))</f>
        <v>#REF!</v>
      </c>
      <c r="K125" s="870" t="e">
        <f>MAX(0,IF($AK$5=$C$9,K$9-DPR!#REF!,IF($AK$5=$C$10,K$10-DPR!#REF!,IF($AK$5=$C$11,K$11-DPR!#REF!))))</f>
        <v>#REF!</v>
      </c>
      <c r="L125" s="870" t="e">
        <f>MAX(0,IF($AK$5=$C$9,L$9-DPR!#REF!,IF($AK$5=$C$10,L$10-DPR!#REF!,IF($AK$5=$C$11,L$11-DPR!#REF!))))</f>
        <v>#REF!</v>
      </c>
      <c r="M125" s="870" t="e">
        <f>MAX(0,IF($AK$5=$C$9,M$9-DPR!#REF!,IF($AK$5=$C$10,M$10-DPR!#REF!,IF($AK$5=$C$11,M$11-DPR!#REF!))))</f>
        <v>#REF!</v>
      </c>
      <c r="N125" s="870" t="e">
        <f>MAX(0,IF($AK$5=$C$9,N$9-DPR!#REF!,IF($AK$5=$C$10,N$10-DPR!#REF!,IF($AK$5=$C$11,N$11-DPR!#REF!))))</f>
        <v>#REF!</v>
      </c>
      <c r="O125" s="870" t="e">
        <f>MAX(0,IF($AK$5=$C$9,O$9-DPR!#REF!,IF($AK$5=$C$10,O$10-DPR!#REF!,IF($AK$5=$C$11,O$11-DPR!#REF!))))</f>
        <v>#REF!</v>
      </c>
      <c r="P125" s="870" t="e">
        <f>MAX(0,IF($AK$5=$C$9,P$9-DPR!#REF!,IF($AK$5=$C$10,P$10-DPR!#REF!,IF($AK$5=$C$11,P$11-DPR!#REF!))))</f>
        <v>#REF!</v>
      </c>
      <c r="Q125" s="870">
        <v>34</v>
      </c>
      <c r="R125" s="919" t="e">
        <f t="shared" si="7"/>
        <v>#REF!</v>
      </c>
      <c r="S125" s="878"/>
      <c r="T125" s="878"/>
      <c r="U125" s="878"/>
      <c r="V125" s="878"/>
      <c r="W125" s="878"/>
      <c r="X125" s="878"/>
      <c r="Y125" s="878"/>
      <c r="Z125" s="878"/>
      <c r="AA125" s="878"/>
      <c r="AB125" s="878"/>
      <c r="AC125" s="878"/>
      <c r="AD125" s="878"/>
      <c r="AE125" s="878"/>
      <c r="AF125" s="847"/>
      <c r="AG125" s="920">
        <f t="shared" si="8"/>
        <v>0</v>
      </c>
      <c r="AH125" s="888">
        <f t="shared" si="9"/>
        <v>202507</v>
      </c>
      <c r="AI125" t="e">
        <f>DPR!#REF!</f>
        <v>#REF!</v>
      </c>
    </row>
    <row r="126" spans="3:35" ht="15.75">
      <c r="C126" s="918">
        <v>45862</v>
      </c>
      <c r="D126" s="870" t="e">
        <f>MAX(0,IF($AK$5=$C$9,D$9-DPR!#REF!,IF($AK$5=$C$10,D$10-DPR!#REF!,IF($AK$5=$C$11,D$11-DPR!#REF!))))</f>
        <v>#REF!</v>
      </c>
      <c r="E126" s="870" t="e">
        <f>MAX(0,IF($AK$5=$C$9,E$9-DPR!#REF!,IF($AK$5=$C$10,E$10-DPR!#REF!,IF($AK$5=$C$11,E$11-DPR!#REF!))))</f>
        <v>#REF!</v>
      </c>
      <c r="F126" s="870" t="e">
        <f>MAX(0,IF($AK$5=$C$9,F$9-DPR!#REF!,IF($AK$5=$C$10,F$10-DPR!#REF!,IF($AK$5=$C$11,F$11-DPR!#REF!))))</f>
        <v>#REF!</v>
      </c>
      <c r="G126" s="870" t="e">
        <f>MAX(0,IF($AK$5=$C$9,G$9-DPR!#REF!,IF($AK$5=$C$10,G$10-DPR!#REF!,IF($AK$5=$C$11,G$11-DPR!#REF!))))</f>
        <v>#REF!</v>
      </c>
      <c r="H126" s="870" t="e">
        <f>MAX(0,IF($AK$5=$C$9,H$9-DPR!#REF!,IF($AK$5=$C$10,H$10-DPR!#REF!,IF($AK$5=$C$11,H$11-DPR!#REF!))))</f>
        <v>#REF!</v>
      </c>
      <c r="I126" s="870" t="e">
        <f>MAX(0,IF($AK$5=$C$9,I$9-DPR!#REF!,IF($AK$5=$C$10,I$10-DPR!#REF!,IF($AK$5=$C$11,I$11-DPR!#REF!))))</f>
        <v>#REF!</v>
      </c>
      <c r="J126" s="870" t="e">
        <f>MAX(0,IF($AK$5=$C$9,J$9-DPR!#REF!,IF($AK$5=$C$10,J$10-DPR!#REF!,IF($AK$5=$C$11,J$11-DPR!#REF!))))</f>
        <v>#REF!</v>
      </c>
      <c r="K126" s="870" t="e">
        <f>MAX(0,IF($AK$5=$C$9,K$9-DPR!#REF!,IF($AK$5=$C$10,K$10-DPR!#REF!,IF($AK$5=$C$11,K$11-DPR!#REF!))))</f>
        <v>#REF!</v>
      </c>
      <c r="L126" s="870" t="e">
        <f>MAX(0,IF($AK$5=$C$9,L$9-DPR!#REF!,IF($AK$5=$C$10,L$10-DPR!#REF!,IF($AK$5=$C$11,L$11-DPR!#REF!))))</f>
        <v>#REF!</v>
      </c>
      <c r="M126" s="870" t="e">
        <f>MAX(0,IF($AK$5=$C$9,M$9-DPR!#REF!,IF($AK$5=$C$10,M$10-DPR!#REF!,IF($AK$5=$C$11,M$11-DPR!#REF!))))</f>
        <v>#REF!</v>
      </c>
      <c r="N126" s="870" t="e">
        <f>MAX(0,IF($AK$5=$C$9,N$9-DPR!#REF!,IF($AK$5=$C$10,N$10-DPR!#REF!,IF($AK$5=$C$11,N$11-DPR!#REF!))))</f>
        <v>#REF!</v>
      </c>
      <c r="O126" s="870" t="e">
        <f>MAX(0,IF($AK$5=$C$9,O$9-DPR!#REF!,IF($AK$5=$C$10,O$10-DPR!#REF!,IF($AK$5=$C$11,O$11-DPR!#REF!))))</f>
        <v>#REF!</v>
      </c>
      <c r="P126" s="870" t="e">
        <f>MAX(0,IF($AK$5=$C$9,P$9-DPR!#REF!,IF($AK$5=$C$10,P$10-DPR!#REF!,IF($AK$5=$C$11,P$11-DPR!#REF!))))</f>
        <v>#REF!</v>
      </c>
      <c r="Q126" s="870">
        <v>35</v>
      </c>
      <c r="R126" s="919" t="e">
        <f t="shared" si="7"/>
        <v>#REF!</v>
      </c>
      <c r="S126" s="878"/>
      <c r="T126" s="878"/>
      <c r="U126" s="878"/>
      <c r="V126" s="878"/>
      <c r="W126" s="878"/>
      <c r="X126" s="878"/>
      <c r="Y126" s="878"/>
      <c r="Z126" s="878"/>
      <c r="AA126" s="878"/>
      <c r="AB126" s="878"/>
      <c r="AC126" s="878"/>
      <c r="AD126" s="878"/>
      <c r="AE126" s="878"/>
      <c r="AF126" s="847"/>
      <c r="AG126" s="920">
        <f t="shared" si="8"/>
        <v>0</v>
      </c>
      <c r="AH126" s="888">
        <f t="shared" si="9"/>
        <v>202507</v>
      </c>
      <c r="AI126" t="e">
        <f>DPR!#REF!</f>
        <v>#REF!</v>
      </c>
    </row>
    <row r="127" spans="3:35" ht="15.75">
      <c r="C127" s="918">
        <v>45863</v>
      </c>
      <c r="D127" s="870" t="e">
        <f>MAX(0,IF($AK$5=$C$9,D$9-DPR!#REF!,IF($AK$5=$C$10,D$10-DPR!#REF!,IF($AK$5=$C$11,D$11-DPR!#REF!))))</f>
        <v>#REF!</v>
      </c>
      <c r="E127" s="870" t="e">
        <f>MAX(0,IF($AK$5=$C$9,E$9-DPR!#REF!,IF($AK$5=$C$10,E$10-DPR!#REF!,IF($AK$5=$C$11,E$11-DPR!#REF!))))</f>
        <v>#REF!</v>
      </c>
      <c r="F127" s="870" t="e">
        <f>MAX(0,IF($AK$5=$C$9,F$9-DPR!#REF!,IF($AK$5=$C$10,F$10-DPR!#REF!,IF($AK$5=$C$11,F$11-DPR!#REF!))))</f>
        <v>#REF!</v>
      </c>
      <c r="G127" s="870" t="e">
        <f>MAX(0,IF($AK$5=$C$9,G$9-DPR!#REF!,IF($AK$5=$C$10,G$10-DPR!#REF!,IF($AK$5=$C$11,G$11-DPR!#REF!))))</f>
        <v>#REF!</v>
      </c>
      <c r="H127" s="870" t="e">
        <f>MAX(0,IF($AK$5=$C$9,H$9-DPR!#REF!,IF($AK$5=$C$10,H$10-DPR!#REF!,IF($AK$5=$C$11,H$11-DPR!#REF!))))</f>
        <v>#REF!</v>
      </c>
      <c r="I127" s="870" t="e">
        <f>MAX(0,IF($AK$5=$C$9,I$9-DPR!#REF!,IF($AK$5=$C$10,I$10-DPR!#REF!,IF($AK$5=$C$11,I$11-DPR!#REF!))))</f>
        <v>#REF!</v>
      </c>
      <c r="J127" s="870" t="e">
        <f>MAX(0,IF($AK$5=$C$9,J$9-DPR!#REF!,IF($AK$5=$C$10,J$10-DPR!#REF!,IF($AK$5=$C$11,J$11-DPR!#REF!))))</f>
        <v>#REF!</v>
      </c>
      <c r="K127" s="870" t="e">
        <f>MAX(0,IF($AK$5=$C$9,K$9-DPR!#REF!,IF($AK$5=$C$10,K$10-DPR!#REF!,IF($AK$5=$C$11,K$11-DPR!#REF!))))</f>
        <v>#REF!</v>
      </c>
      <c r="L127" s="870" t="e">
        <f>MAX(0,IF($AK$5=$C$9,L$9-DPR!#REF!,IF($AK$5=$C$10,L$10-DPR!#REF!,IF($AK$5=$C$11,L$11-DPR!#REF!))))</f>
        <v>#REF!</v>
      </c>
      <c r="M127" s="870" t="e">
        <f>MAX(0,IF($AK$5=$C$9,M$9-DPR!#REF!,IF($AK$5=$C$10,M$10-DPR!#REF!,IF($AK$5=$C$11,M$11-DPR!#REF!))))</f>
        <v>#REF!</v>
      </c>
      <c r="N127" s="870" t="e">
        <f>MAX(0,IF($AK$5=$C$9,N$9-DPR!#REF!,IF($AK$5=$C$10,N$10-DPR!#REF!,IF($AK$5=$C$11,N$11-DPR!#REF!))))</f>
        <v>#REF!</v>
      </c>
      <c r="O127" s="870" t="e">
        <f>MAX(0,IF($AK$5=$C$9,O$9-DPR!#REF!,IF($AK$5=$C$10,O$10-DPR!#REF!,IF($AK$5=$C$11,O$11-DPR!#REF!))))</f>
        <v>#REF!</v>
      </c>
      <c r="P127" s="870" t="e">
        <f>MAX(0,IF($AK$5=$C$9,P$9-DPR!#REF!,IF($AK$5=$C$10,P$10-DPR!#REF!,IF($AK$5=$C$11,P$11-DPR!#REF!))))</f>
        <v>#REF!</v>
      </c>
      <c r="Q127" s="870">
        <v>36</v>
      </c>
      <c r="R127" s="919" t="e">
        <f t="shared" si="7"/>
        <v>#REF!</v>
      </c>
      <c r="S127" s="878"/>
      <c r="T127" s="878"/>
      <c r="U127" s="878"/>
      <c r="V127" s="878"/>
      <c r="W127" s="878"/>
      <c r="X127" s="878"/>
      <c r="Y127" s="878"/>
      <c r="Z127" s="878"/>
      <c r="AA127" s="878"/>
      <c r="AB127" s="878"/>
      <c r="AC127" s="878"/>
      <c r="AD127" s="878"/>
      <c r="AE127" s="878"/>
      <c r="AF127" s="847"/>
      <c r="AG127" s="920">
        <f t="shared" si="8"/>
        <v>0</v>
      </c>
      <c r="AH127" s="888">
        <f t="shared" si="9"/>
        <v>202507</v>
      </c>
      <c r="AI127" t="e">
        <f>DPR!#REF!</f>
        <v>#REF!</v>
      </c>
    </row>
    <row r="128" spans="3:35" ht="15.75">
      <c r="C128" s="918">
        <v>45864</v>
      </c>
      <c r="D128" s="870" t="e">
        <f>MAX(0,IF($AK$5=$C$9,D$9-DPR!#REF!,IF($AK$5=$C$10,D$10-DPR!#REF!,IF($AK$5=$C$11,D$11-DPR!#REF!))))</f>
        <v>#REF!</v>
      </c>
      <c r="E128" s="870" t="e">
        <f>MAX(0,IF($AK$5=$C$9,E$9-DPR!#REF!,IF($AK$5=$C$10,E$10-DPR!#REF!,IF($AK$5=$C$11,E$11-DPR!#REF!))))</f>
        <v>#REF!</v>
      </c>
      <c r="F128" s="870" t="e">
        <f>MAX(0,IF($AK$5=$C$9,F$9-DPR!#REF!,IF($AK$5=$C$10,F$10-DPR!#REF!,IF($AK$5=$C$11,F$11-DPR!#REF!))))</f>
        <v>#REF!</v>
      </c>
      <c r="G128" s="870" t="e">
        <f>MAX(0,IF($AK$5=$C$9,G$9-DPR!#REF!,IF($AK$5=$C$10,G$10-DPR!#REF!,IF($AK$5=$C$11,G$11-DPR!#REF!))))</f>
        <v>#REF!</v>
      </c>
      <c r="H128" s="870" t="e">
        <f>MAX(0,IF($AK$5=$C$9,H$9-DPR!#REF!,IF($AK$5=$C$10,H$10-DPR!#REF!,IF($AK$5=$C$11,H$11-DPR!#REF!))))</f>
        <v>#REF!</v>
      </c>
      <c r="I128" s="870" t="e">
        <f>MAX(0,IF($AK$5=$C$9,I$9-DPR!#REF!,IF($AK$5=$C$10,I$10-DPR!#REF!,IF($AK$5=$C$11,I$11-DPR!#REF!))))</f>
        <v>#REF!</v>
      </c>
      <c r="J128" s="870" t="e">
        <f>MAX(0,IF($AK$5=$C$9,J$9-DPR!#REF!,IF($AK$5=$C$10,J$10-DPR!#REF!,IF($AK$5=$C$11,J$11-DPR!#REF!))))</f>
        <v>#REF!</v>
      </c>
      <c r="K128" s="870" t="e">
        <f>MAX(0,IF($AK$5=$C$9,K$9-DPR!#REF!,IF($AK$5=$C$10,K$10-DPR!#REF!,IF($AK$5=$C$11,K$11-DPR!#REF!))))</f>
        <v>#REF!</v>
      </c>
      <c r="L128" s="870" t="e">
        <f>MAX(0,IF($AK$5=$C$9,L$9-DPR!#REF!,IF($AK$5=$C$10,L$10-DPR!#REF!,IF($AK$5=$C$11,L$11-DPR!#REF!))))</f>
        <v>#REF!</v>
      </c>
      <c r="M128" s="870" t="e">
        <f>MAX(0,IF($AK$5=$C$9,M$9-DPR!#REF!,IF($AK$5=$C$10,M$10-DPR!#REF!,IF($AK$5=$C$11,M$11-DPR!#REF!))))</f>
        <v>#REF!</v>
      </c>
      <c r="N128" s="870" t="e">
        <f>MAX(0,IF($AK$5=$C$9,N$9-DPR!#REF!,IF($AK$5=$C$10,N$10-DPR!#REF!,IF($AK$5=$C$11,N$11-DPR!#REF!))))</f>
        <v>#REF!</v>
      </c>
      <c r="O128" s="870" t="e">
        <f>MAX(0,IF($AK$5=$C$9,O$9-DPR!#REF!,IF($AK$5=$C$10,O$10-DPR!#REF!,IF($AK$5=$C$11,O$11-DPR!#REF!))))</f>
        <v>#REF!</v>
      </c>
      <c r="P128" s="870" t="e">
        <f>MAX(0,IF($AK$5=$C$9,P$9-DPR!#REF!,IF($AK$5=$C$10,P$10-DPR!#REF!,IF($AK$5=$C$11,P$11-DPR!#REF!))))</f>
        <v>#REF!</v>
      </c>
      <c r="Q128" s="870">
        <v>37</v>
      </c>
      <c r="R128" s="919" t="e">
        <f t="shared" si="7"/>
        <v>#REF!</v>
      </c>
      <c r="S128" s="878"/>
      <c r="T128" s="878"/>
      <c r="U128" s="878"/>
      <c r="V128" s="878"/>
      <c r="W128" s="878"/>
      <c r="X128" s="878"/>
      <c r="Y128" s="878"/>
      <c r="Z128" s="878"/>
      <c r="AA128" s="878"/>
      <c r="AB128" s="878"/>
      <c r="AC128" s="878"/>
      <c r="AD128" s="878"/>
      <c r="AE128" s="878"/>
      <c r="AF128" s="847"/>
      <c r="AG128" s="920">
        <f t="shared" si="8"/>
        <v>0</v>
      </c>
      <c r="AH128" s="888">
        <f t="shared" si="9"/>
        <v>202507</v>
      </c>
      <c r="AI128" t="e">
        <f>DPR!#REF!</f>
        <v>#REF!</v>
      </c>
    </row>
    <row r="129" spans="3:35" ht="15.75">
      <c r="C129" s="918">
        <v>45865</v>
      </c>
      <c r="D129" s="870" t="e">
        <f>MAX(0,IF($AK$5=$C$9,D$9-DPR!#REF!,IF($AK$5=$C$10,D$10-DPR!#REF!,IF($AK$5=$C$11,D$11-DPR!#REF!))))</f>
        <v>#REF!</v>
      </c>
      <c r="E129" s="870" t="e">
        <f>MAX(0,IF($AK$5=$C$9,E$9-DPR!#REF!,IF($AK$5=$C$10,E$10-DPR!#REF!,IF($AK$5=$C$11,E$11-DPR!#REF!))))</f>
        <v>#REF!</v>
      </c>
      <c r="F129" s="870" t="e">
        <f>MAX(0,IF($AK$5=$C$9,F$9-DPR!#REF!,IF($AK$5=$C$10,F$10-DPR!#REF!,IF($AK$5=$C$11,F$11-DPR!#REF!))))</f>
        <v>#REF!</v>
      </c>
      <c r="G129" s="870" t="e">
        <f>MAX(0,IF($AK$5=$C$9,G$9-DPR!#REF!,IF($AK$5=$C$10,G$10-DPR!#REF!,IF($AK$5=$C$11,G$11-DPR!#REF!))))</f>
        <v>#REF!</v>
      </c>
      <c r="H129" s="870" t="e">
        <f>MAX(0,IF($AK$5=$C$9,H$9-DPR!#REF!,IF($AK$5=$C$10,H$10-DPR!#REF!,IF($AK$5=$C$11,H$11-DPR!#REF!))))</f>
        <v>#REF!</v>
      </c>
      <c r="I129" s="870" t="e">
        <f>MAX(0,IF($AK$5=$C$9,I$9-DPR!#REF!,IF($AK$5=$C$10,I$10-DPR!#REF!,IF($AK$5=$C$11,I$11-DPR!#REF!))))</f>
        <v>#REF!</v>
      </c>
      <c r="J129" s="870" t="e">
        <f>MAX(0,IF($AK$5=$C$9,J$9-DPR!#REF!,IF($AK$5=$C$10,J$10-DPR!#REF!,IF($AK$5=$C$11,J$11-DPR!#REF!))))</f>
        <v>#REF!</v>
      </c>
      <c r="K129" s="870" t="e">
        <f>MAX(0,IF($AK$5=$C$9,K$9-DPR!#REF!,IF($AK$5=$C$10,K$10-DPR!#REF!,IF($AK$5=$C$11,K$11-DPR!#REF!))))</f>
        <v>#REF!</v>
      </c>
      <c r="L129" s="870" t="e">
        <f>MAX(0,IF($AK$5=$C$9,L$9-DPR!#REF!,IF($AK$5=$C$10,L$10-DPR!#REF!,IF($AK$5=$C$11,L$11-DPR!#REF!))))</f>
        <v>#REF!</v>
      </c>
      <c r="M129" s="870" t="e">
        <f>MAX(0,IF($AK$5=$C$9,M$9-DPR!#REF!,IF($AK$5=$C$10,M$10-DPR!#REF!,IF($AK$5=$C$11,M$11-DPR!#REF!))))</f>
        <v>#REF!</v>
      </c>
      <c r="N129" s="870" t="e">
        <f>MAX(0,IF($AK$5=$C$9,N$9-DPR!#REF!,IF($AK$5=$C$10,N$10-DPR!#REF!,IF($AK$5=$C$11,N$11-DPR!#REF!))))</f>
        <v>#REF!</v>
      </c>
      <c r="O129" s="870" t="e">
        <f>MAX(0,IF($AK$5=$C$9,O$9-DPR!#REF!,IF($AK$5=$C$10,O$10-DPR!#REF!,IF($AK$5=$C$11,O$11-DPR!#REF!))))</f>
        <v>#REF!</v>
      </c>
      <c r="P129" s="870" t="e">
        <f>MAX(0,IF($AK$5=$C$9,P$9-DPR!#REF!,IF($AK$5=$C$10,P$10-DPR!#REF!,IF($AK$5=$C$11,P$11-DPR!#REF!))))</f>
        <v>#REF!</v>
      </c>
      <c r="Q129" s="870">
        <v>38</v>
      </c>
      <c r="R129" s="919" t="e">
        <f t="shared" si="7"/>
        <v>#REF!</v>
      </c>
      <c r="S129" s="878"/>
      <c r="T129" s="878"/>
      <c r="U129" s="878"/>
      <c r="V129" s="878"/>
      <c r="W129" s="878"/>
      <c r="X129" s="878"/>
      <c r="Y129" s="878"/>
      <c r="Z129" s="878"/>
      <c r="AA129" s="878"/>
      <c r="AB129" s="878"/>
      <c r="AC129" s="878"/>
      <c r="AD129" s="878"/>
      <c r="AE129" s="878"/>
      <c r="AF129" s="847"/>
      <c r="AG129" s="920">
        <f t="shared" si="8"/>
        <v>0</v>
      </c>
      <c r="AH129" s="888">
        <f t="shared" si="9"/>
        <v>202507</v>
      </c>
      <c r="AI129" t="e">
        <f>DPR!#REF!</f>
        <v>#REF!</v>
      </c>
    </row>
    <row r="130" spans="3:35" ht="15.75">
      <c r="C130" s="918">
        <v>45866</v>
      </c>
      <c r="D130" s="870" t="e">
        <f>MAX(0,IF($AK$5=$C$9,D$9-DPR!#REF!,IF($AK$5=$C$10,D$10-DPR!#REF!,IF($AK$5=$C$11,D$11-DPR!#REF!))))</f>
        <v>#REF!</v>
      </c>
      <c r="E130" s="870" t="e">
        <f>MAX(0,IF($AK$5=$C$9,E$9-DPR!#REF!,IF($AK$5=$C$10,E$10-DPR!#REF!,IF($AK$5=$C$11,E$11-DPR!#REF!))))</f>
        <v>#REF!</v>
      </c>
      <c r="F130" s="870" t="e">
        <f>MAX(0,IF($AK$5=$C$9,F$9-DPR!#REF!,IF($AK$5=$C$10,F$10-DPR!#REF!,IF($AK$5=$C$11,F$11-DPR!#REF!))))</f>
        <v>#REF!</v>
      </c>
      <c r="G130" s="870" t="e">
        <f>MAX(0,IF($AK$5=$C$9,G$9-DPR!#REF!,IF($AK$5=$C$10,G$10-DPR!#REF!,IF($AK$5=$C$11,G$11-DPR!#REF!))))</f>
        <v>#REF!</v>
      </c>
      <c r="H130" s="870" t="e">
        <f>MAX(0,IF($AK$5=$C$9,H$9-DPR!#REF!,IF($AK$5=$C$10,H$10-DPR!#REF!,IF($AK$5=$C$11,H$11-DPR!#REF!))))</f>
        <v>#REF!</v>
      </c>
      <c r="I130" s="870" t="e">
        <f>MAX(0,IF($AK$5=$C$9,I$9-DPR!#REF!,IF($AK$5=$C$10,I$10-DPR!#REF!,IF($AK$5=$C$11,I$11-DPR!#REF!))))</f>
        <v>#REF!</v>
      </c>
      <c r="J130" s="870" t="e">
        <f>MAX(0,IF($AK$5=$C$9,J$9-DPR!#REF!,IF($AK$5=$C$10,J$10-DPR!#REF!,IF($AK$5=$C$11,J$11-DPR!#REF!))))</f>
        <v>#REF!</v>
      </c>
      <c r="K130" s="870" t="e">
        <f>MAX(0,IF($AK$5=$C$9,K$9-DPR!#REF!,IF($AK$5=$C$10,K$10-DPR!#REF!,IF($AK$5=$C$11,K$11-DPR!#REF!))))</f>
        <v>#REF!</v>
      </c>
      <c r="L130" s="870" t="e">
        <f>MAX(0,IF($AK$5=$C$9,L$9-DPR!#REF!,IF($AK$5=$C$10,L$10-DPR!#REF!,IF($AK$5=$C$11,L$11-DPR!#REF!))))</f>
        <v>#REF!</v>
      </c>
      <c r="M130" s="870" t="e">
        <f>MAX(0,IF($AK$5=$C$9,M$9-DPR!#REF!,IF($AK$5=$C$10,M$10-DPR!#REF!,IF($AK$5=$C$11,M$11-DPR!#REF!))))</f>
        <v>#REF!</v>
      </c>
      <c r="N130" s="870" t="e">
        <f>MAX(0,IF($AK$5=$C$9,N$9-DPR!#REF!,IF($AK$5=$C$10,N$10-DPR!#REF!,IF($AK$5=$C$11,N$11-DPR!#REF!))))</f>
        <v>#REF!</v>
      </c>
      <c r="O130" s="870" t="e">
        <f>MAX(0,IF($AK$5=$C$9,O$9-DPR!#REF!,IF($AK$5=$C$10,O$10-DPR!#REF!,IF($AK$5=$C$11,O$11-DPR!#REF!))))</f>
        <v>#REF!</v>
      </c>
      <c r="P130" s="870" t="e">
        <f>MAX(0,IF($AK$5=$C$9,P$9-DPR!#REF!,IF($AK$5=$C$10,P$10-DPR!#REF!,IF($AK$5=$C$11,P$11-DPR!#REF!))))</f>
        <v>#REF!</v>
      </c>
      <c r="Q130" s="870">
        <v>39</v>
      </c>
      <c r="R130" s="919" t="e">
        <f t="shared" si="7"/>
        <v>#REF!</v>
      </c>
      <c r="S130" s="878"/>
      <c r="T130" s="878"/>
      <c r="U130" s="878"/>
      <c r="V130" s="878"/>
      <c r="W130" s="878"/>
      <c r="X130" s="878"/>
      <c r="Y130" s="878"/>
      <c r="Z130" s="878"/>
      <c r="AA130" s="878"/>
      <c r="AB130" s="878"/>
      <c r="AC130" s="878"/>
      <c r="AD130" s="878"/>
      <c r="AE130" s="878"/>
      <c r="AF130" s="847"/>
      <c r="AG130" s="920">
        <f t="shared" si="8"/>
        <v>0</v>
      </c>
      <c r="AH130" s="888">
        <f t="shared" si="9"/>
        <v>202507</v>
      </c>
      <c r="AI130" t="e">
        <f>DPR!#REF!</f>
        <v>#REF!</v>
      </c>
    </row>
    <row r="131" spans="3:35" ht="15.75">
      <c r="C131" s="918">
        <v>45867</v>
      </c>
      <c r="D131" s="870" t="e">
        <f>MAX(0,IF($AK$5=$C$9,D$9-DPR!#REF!,IF($AK$5=$C$10,D$10-DPR!#REF!,IF($AK$5=$C$11,D$11-DPR!#REF!))))</f>
        <v>#REF!</v>
      </c>
      <c r="E131" s="870" t="e">
        <f>MAX(0,IF($AK$5=$C$9,E$9-DPR!#REF!,IF($AK$5=$C$10,E$10-DPR!#REF!,IF($AK$5=$C$11,E$11-DPR!#REF!))))</f>
        <v>#REF!</v>
      </c>
      <c r="F131" s="870" t="e">
        <f>MAX(0,IF($AK$5=$C$9,F$9-DPR!#REF!,IF($AK$5=$C$10,F$10-DPR!#REF!,IF($AK$5=$C$11,F$11-DPR!#REF!))))</f>
        <v>#REF!</v>
      </c>
      <c r="G131" s="870" t="e">
        <f>MAX(0,IF($AK$5=$C$9,G$9-DPR!#REF!,IF($AK$5=$C$10,G$10-DPR!#REF!,IF($AK$5=$C$11,G$11-DPR!#REF!))))</f>
        <v>#REF!</v>
      </c>
      <c r="H131" s="870" t="e">
        <f>MAX(0,IF($AK$5=$C$9,H$9-DPR!#REF!,IF($AK$5=$C$10,H$10-DPR!#REF!,IF($AK$5=$C$11,H$11-DPR!#REF!))))</f>
        <v>#REF!</v>
      </c>
      <c r="I131" s="870" t="e">
        <f>MAX(0,IF($AK$5=$C$9,I$9-DPR!#REF!,IF($AK$5=$C$10,I$10-DPR!#REF!,IF($AK$5=$C$11,I$11-DPR!#REF!))))</f>
        <v>#REF!</v>
      </c>
      <c r="J131" s="870" t="e">
        <f>MAX(0,IF($AK$5=$C$9,J$9-DPR!#REF!,IF($AK$5=$C$10,J$10-DPR!#REF!,IF($AK$5=$C$11,J$11-DPR!#REF!))))</f>
        <v>#REF!</v>
      </c>
      <c r="K131" s="870" t="e">
        <f>MAX(0,IF($AK$5=$C$9,K$9-DPR!#REF!,IF($AK$5=$C$10,K$10-DPR!#REF!,IF($AK$5=$C$11,K$11-DPR!#REF!))))</f>
        <v>#REF!</v>
      </c>
      <c r="L131" s="870" t="e">
        <f>MAX(0,IF($AK$5=$C$9,L$9-DPR!#REF!,IF($AK$5=$C$10,L$10-DPR!#REF!,IF($AK$5=$C$11,L$11-DPR!#REF!))))</f>
        <v>#REF!</v>
      </c>
      <c r="M131" s="870" t="e">
        <f>MAX(0,IF($AK$5=$C$9,M$9-DPR!#REF!,IF($AK$5=$C$10,M$10-DPR!#REF!,IF($AK$5=$C$11,M$11-DPR!#REF!))))</f>
        <v>#REF!</v>
      </c>
      <c r="N131" s="870" t="e">
        <f>MAX(0,IF($AK$5=$C$9,N$9-DPR!#REF!,IF($AK$5=$C$10,N$10-DPR!#REF!,IF($AK$5=$C$11,N$11-DPR!#REF!))))</f>
        <v>#REF!</v>
      </c>
      <c r="O131" s="870" t="e">
        <f>MAX(0,IF($AK$5=$C$9,O$9-DPR!#REF!,IF($AK$5=$C$10,O$10-DPR!#REF!,IF($AK$5=$C$11,O$11-DPR!#REF!))))</f>
        <v>#REF!</v>
      </c>
      <c r="P131" s="870" t="e">
        <f>MAX(0,IF($AK$5=$C$9,P$9-DPR!#REF!,IF($AK$5=$C$10,P$10-DPR!#REF!,IF($AK$5=$C$11,P$11-DPR!#REF!))))</f>
        <v>#REF!</v>
      </c>
      <c r="Q131" s="870">
        <v>40</v>
      </c>
      <c r="R131" s="919" t="e">
        <f t="shared" si="7"/>
        <v>#REF!</v>
      </c>
      <c r="S131" s="878"/>
      <c r="T131" s="878"/>
      <c r="U131" s="878"/>
      <c r="V131" s="878"/>
      <c r="W131" s="878"/>
      <c r="X131" s="878"/>
      <c r="Y131" s="878"/>
      <c r="Z131" s="878"/>
      <c r="AA131" s="878"/>
      <c r="AB131" s="878"/>
      <c r="AC131" s="878"/>
      <c r="AD131" s="878"/>
      <c r="AE131" s="878"/>
      <c r="AF131" s="847"/>
      <c r="AG131" s="920">
        <f t="shared" si="8"/>
        <v>0</v>
      </c>
      <c r="AH131" s="888">
        <f t="shared" si="9"/>
        <v>202507</v>
      </c>
      <c r="AI131" t="e">
        <f>DPR!#REF!</f>
        <v>#REF!</v>
      </c>
    </row>
    <row r="132" spans="3:35" ht="15.75">
      <c r="C132" s="918">
        <v>45868</v>
      </c>
      <c r="D132" s="870" t="e">
        <f>MAX(0,IF($AK$5=$C$9,D$9-DPR!#REF!,IF($AK$5=$C$10,D$10-DPR!#REF!,IF($AK$5=$C$11,D$11-DPR!#REF!))))</f>
        <v>#REF!</v>
      </c>
      <c r="E132" s="870" t="e">
        <f>MAX(0,IF($AK$5=$C$9,E$9-DPR!#REF!,IF($AK$5=$C$10,E$10-DPR!#REF!,IF($AK$5=$C$11,E$11-DPR!#REF!))))</f>
        <v>#REF!</v>
      </c>
      <c r="F132" s="870" t="e">
        <f>MAX(0,IF($AK$5=$C$9,F$9-DPR!#REF!,IF($AK$5=$C$10,F$10-DPR!#REF!,IF($AK$5=$C$11,F$11-DPR!#REF!))))</f>
        <v>#REF!</v>
      </c>
      <c r="G132" s="870" t="e">
        <f>MAX(0,IF($AK$5=$C$9,G$9-DPR!#REF!,IF($AK$5=$C$10,G$10-DPR!#REF!,IF($AK$5=$C$11,G$11-DPR!#REF!))))</f>
        <v>#REF!</v>
      </c>
      <c r="H132" s="870" t="e">
        <f>MAX(0,IF($AK$5=$C$9,H$9-DPR!#REF!,IF($AK$5=$C$10,H$10-DPR!#REF!,IF($AK$5=$C$11,H$11-DPR!#REF!))))</f>
        <v>#REF!</v>
      </c>
      <c r="I132" s="870" t="e">
        <f>MAX(0,IF($AK$5=$C$9,I$9-DPR!#REF!,IF($AK$5=$C$10,I$10-DPR!#REF!,IF($AK$5=$C$11,I$11-DPR!#REF!))))</f>
        <v>#REF!</v>
      </c>
      <c r="J132" s="870" t="e">
        <f>MAX(0,IF($AK$5=$C$9,J$9-DPR!#REF!,IF($AK$5=$C$10,J$10-DPR!#REF!,IF($AK$5=$C$11,J$11-DPR!#REF!))))</f>
        <v>#REF!</v>
      </c>
      <c r="K132" s="870" t="e">
        <f>MAX(0,IF($AK$5=$C$9,K$9-DPR!#REF!,IF($AK$5=$C$10,K$10-DPR!#REF!,IF($AK$5=$C$11,K$11-DPR!#REF!))))</f>
        <v>#REF!</v>
      </c>
      <c r="L132" s="870" t="e">
        <f>MAX(0,IF($AK$5=$C$9,L$9-DPR!#REF!,IF($AK$5=$C$10,L$10-DPR!#REF!,IF($AK$5=$C$11,L$11-DPR!#REF!))))</f>
        <v>#REF!</v>
      </c>
      <c r="M132" s="870" t="e">
        <f>MAX(0,IF($AK$5=$C$9,M$9-DPR!#REF!,IF($AK$5=$C$10,M$10-DPR!#REF!,IF($AK$5=$C$11,M$11-DPR!#REF!))))</f>
        <v>#REF!</v>
      </c>
      <c r="N132" s="870" t="e">
        <f>MAX(0,IF($AK$5=$C$9,N$9-DPR!#REF!,IF($AK$5=$C$10,N$10-DPR!#REF!,IF($AK$5=$C$11,N$11-DPR!#REF!))))</f>
        <v>#REF!</v>
      </c>
      <c r="O132" s="870" t="e">
        <f>MAX(0,IF($AK$5=$C$9,O$9-DPR!#REF!,IF($AK$5=$C$10,O$10-DPR!#REF!,IF($AK$5=$C$11,O$11-DPR!#REF!))))</f>
        <v>#REF!</v>
      </c>
      <c r="P132" s="870" t="e">
        <f>MAX(0,IF($AK$5=$C$9,P$9-DPR!#REF!,IF($AK$5=$C$10,P$10-DPR!#REF!,IF($AK$5=$C$11,P$11-DPR!#REF!))))</f>
        <v>#REF!</v>
      </c>
      <c r="Q132" s="870">
        <v>41</v>
      </c>
      <c r="R132" s="919" t="e">
        <f t="shared" si="7"/>
        <v>#REF!</v>
      </c>
      <c r="S132" s="878"/>
      <c r="T132" s="878"/>
      <c r="U132" s="878"/>
      <c r="V132" s="878"/>
      <c r="W132" s="878"/>
      <c r="X132" s="878"/>
      <c r="Y132" s="878"/>
      <c r="Z132" s="878"/>
      <c r="AA132" s="878"/>
      <c r="AB132" s="878"/>
      <c r="AC132" s="878"/>
      <c r="AD132" s="878"/>
      <c r="AE132" s="878"/>
      <c r="AF132" s="847"/>
      <c r="AG132" s="920">
        <f t="shared" si="8"/>
        <v>0</v>
      </c>
      <c r="AH132" s="888">
        <f t="shared" si="9"/>
        <v>202507</v>
      </c>
      <c r="AI132" t="e">
        <f>DPR!#REF!</f>
        <v>#REF!</v>
      </c>
    </row>
    <row r="133" spans="3:35" ht="15.75">
      <c r="C133" s="918">
        <v>45869</v>
      </c>
      <c r="D133" s="870" t="e">
        <f>MAX(0,IF($AK$5=$C$9,D$9-DPR!#REF!,IF($AK$5=$C$10,D$10-DPR!#REF!,IF($AK$5=$C$11,D$11-DPR!#REF!))))</f>
        <v>#REF!</v>
      </c>
      <c r="E133" s="870" t="e">
        <f>MAX(0,IF($AK$5=$C$9,E$9-DPR!#REF!,IF($AK$5=$C$10,E$10-DPR!#REF!,IF($AK$5=$C$11,E$11-DPR!#REF!))))</f>
        <v>#REF!</v>
      </c>
      <c r="F133" s="870" t="e">
        <f>MAX(0,IF($AK$5=$C$9,F$9-DPR!#REF!,IF($AK$5=$C$10,F$10-DPR!#REF!,IF($AK$5=$C$11,F$11-DPR!#REF!))))</f>
        <v>#REF!</v>
      </c>
      <c r="G133" s="870" t="e">
        <f>MAX(0,IF($AK$5=$C$9,G$9-DPR!#REF!,IF($AK$5=$C$10,G$10-DPR!#REF!,IF($AK$5=$C$11,G$11-DPR!#REF!))))</f>
        <v>#REF!</v>
      </c>
      <c r="H133" s="870" t="e">
        <f>MAX(0,IF($AK$5=$C$9,H$9-DPR!#REF!,IF($AK$5=$C$10,H$10-DPR!#REF!,IF($AK$5=$C$11,H$11-DPR!#REF!))))</f>
        <v>#REF!</v>
      </c>
      <c r="I133" s="870" t="e">
        <f>MAX(0,IF($AK$5=$C$9,I$9-DPR!#REF!,IF($AK$5=$C$10,I$10-DPR!#REF!,IF($AK$5=$C$11,I$11-DPR!#REF!))))</f>
        <v>#REF!</v>
      </c>
      <c r="J133" s="870" t="e">
        <f>MAX(0,IF($AK$5=$C$9,J$9-DPR!#REF!,IF($AK$5=$C$10,J$10-DPR!#REF!,IF($AK$5=$C$11,J$11-DPR!#REF!))))</f>
        <v>#REF!</v>
      </c>
      <c r="K133" s="870" t="e">
        <f>MAX(0,IF($AK$5=$C$9,K$9-DPR!#REF!,IF($AK$5=$C$10,K$10-DPR!#REF!,IF($AK$5=$C$11,K$11-DPR!#REF!))))</f>
        <v>#REF!</v>
      </c>
      <c r="L133" s="870" t="e">
        <f>MAX(0,IF($AK$5=$C$9,L$9-DPR!#REF!,IF($AK$5=$C$10,L$10-DPR!#REF!,IF($AK$5=$C$11,L$11-DPR!#REF!))))</f>
        <v>#REF!</v>
      </c>
      <c r="M133" s="870" t="e">
        <f>MAX(0,IF($AK$5=$C$9,M$9-DPR!#REF!,IF($AK$5=$C$10,M$10-DPR!#REF!,IF($AK$5=$C$11,M$11-DPR!#REF!))))</f>
        <v>#REF!</v>
      </c>
      <c r="N133" s="870" t="e">
        <f>MAX(0,IF($AK$5=$C$9,N$9-DPR!#REF!,IF($AK$5=$C$10,N$10-DPR!#REF!,IF($AK$5=$C$11,N$11-DPR!#REF!))))</f>
        <v>#REF!</v>
      </c>
      <c r="O133" s="870" t="e">
        <f>MAX(0,IF($AK$5=$C$9,O$9-DPR!#REF!,IF($AK$5=$C$10,O$10-DPR!#REF!,IF($AK$5=$C$11,O$11-DPR!#REF!))))</f>
        <v>#REF!</v>
      </c>
      <c r="P133" s="870" t="e">
        <f>MAX(0,IF($AK$5=$C$9,P$9-DPR!#REF!,IF($AK$5=$C$10,P$10-DPR!#REF!,IF($AK$5=$C$11,P$11-DPR!#REF!))))</f>
        <v>#REF!</v>
      </c>
      <c r="Q133" s="870">
        <v>42</v>
      </c>
      <c r="R133" s="919" t="e">
        <f t="shared" si="7"/>
        <v>#REF!</v>
      </c>
      <c r="S133" s="878"/>
      <c r="T133" s="878"/>
      <c r="U133" s="878"/>
      <c r="V133" s="878"/>
      <c r="W133" s="878"/>
      <c r="X133" s="878"/>
      <c r="Y133" s="878"/>
      <c r="Z133" s="878"/>
      <c r="AA133" s="878"/>
      <c r="AB133" s="878"/>
      <c r="AC133" s="878"/>
      <c r="AD133" s="878"/>
      <c r="AE133" s="878"/>
      <c r="AF133" s="847"/>
      <c r="AG133" s="920">
        <f t="shared" si="8"/>
        <v>0</v>
      </c>
      <c r="AH133" s="888">
        <f t="shared" si="9"/>
        <v>202507</v>
      </c>
      <c r="AI133" t="e">
        <f>DPR!#REF!</f>
        <v>#REF!</v>
      </c>
    </row>
    <row r="134" spans="3:35" ht="15.75">
      <c r="C134" s="918">
        <v>45870</v>
      </c>
      <c r="D134" s="870" t="e">
        <f>MAX(0,IF($AK$5=$C$9,D$9-DPR!#REF!,IF($AK$5=$C$10,D$10-DPR!#REF!,IF($AK$5=$C$11,D$11-DPR!#REF!))))</f>
        <v>#REF!</v>
      </c>
      <c r="E134" s="870" t="e">
        <f>MAX(0,IF($AK$5=$C$9,E$9-DPR!#REF!,IF($AK$5=$C$10,E$10-DPR!#REF!,IF($AK$5=$C$11,E$11-DPR!#REF!))))</f>
        <v>#REF!</v>
      </c>
      <c r="F134" s="870" t="e">
        <f>MAX(0,IF($AK$5=$C$9,F$9-DPR!#REF!,IF($AK$5=$C$10,F$10-DPR!#REF!,IF($AK$5=$C$11,F$11-DPR!#REF!))))</f>
        <v>#REF!</v>
      </c>
      <c r="G134" s="870" t="e">
        <f>MAX(0,IF($AK$5=$C$9,G$9-DPR!#REF!,IF($AK$5=$C$10,G$10-DPR!#REF!,IF($AK$5=$C$11,G$11-DPR!#REF!))))</f>
        <v>#REF!</v>
      </c>
      <c r="H134" s="870" t="e">
        <f>MAX(0,IF($AK$5=$C$9,H$9-DPR!#REF!,IF($AK$5=$C$10,H$10-DPR!#REF!,IF($AK$5=$C$11,H$11-DPR!#REF!))))</f>
        <v>#REF!</v>
      </c>
      <c r="I134" s="870" t="e">
        <f>MAX(0,IF($AK$5=$C$9,I$9-DPR!#REF!,IF($AK$5=$C$10,I$10-DPR!#REF!,IF($AK$5=$C$11,I$11-DPR!#REF!))))</f>
        <v>#REF!</v>
      </c>
      <c r="J134" s="870" t="e">
        <f>MAX(0,IF($AK$5=$C$9,J$9-DPR!#REF!,IF($AK$5=$C$10,J$10-DPR!#REF!,IF($AK$5=$C$11,J$11-DPR!#REF!))))</f>
        <v>#REF!</v>
      </c>
      <c r="K134" s="870" t="e">
        <f>MAX(0,IF($AK$5=$C$9,K$9-DPR!#REF!,IF($AK$5=$C$10,K$10-DPR!#REF!,IF($AK$5=$C$11,K$11-DPR!#REF!))))</f>
        <v>#REF!</v>
      </c>
      <c r="L134" s="870" t="e">
        <f>MAX(0,IF($AK$5=$C$9,L$9-DPR!#REF!,IF($AK$5=$C$10,L$10-DPR!#REF!,IF($AK$5=$C$11,L$11-DPR!#REF!))))</f>
        <v>#REF!</v>
      </c>
      <c r="M134" s="870" t="e">
        <f>MAX(0,IF($AK$5=$C$9,M$9-DPR!#REF!,IF($AK$5=$C$10,M$10-DPR!#REF!,IF($AK$5=$C$11,M$11-DPR!#REF!))))</f>
        <v>#REF!</v>
      </c>
      <c r="N134" s="870" t="e">
        <f>MAX(0,IF($AK$5=$C$9,N$9-DPR!#REF!,IF($AK$5=$C$10,N$10-DPR!#REF!,IF($AK$5=$C$11,N$11-DPR!#REF!))))</f>
        <v>#REF!</v>
      </c>
      <c r="O134" s="870" t="e">
        <f>MAX(0,IF($AK$5=$C$9,O$9-DPR!#REF!,IF($AK$5=$C$10,O$10-DPR!#REF!,IF($AK$5=$C$11,O$11-DPR!#REF!))))</f>
        <v>#REF!</v>
      </c>
      <c r="P134" s="870" t="e">
        <f>MAX(0,IF($AK$5=$C$9,P$9-DPR!#REF!,IF($AK$5=$C$10,P$10-DPR!#REF!,IF($AK$5=$C$11,P$11-DPR!#REF!))))</f>
        <v>#REF!</v>
      </c>
      <c r="Q134" s="870">
        <v>43</v>
      </c>
      <c r="R134" s="919" t="e">
        <f t="shared" si="7"/>
        <v>#REF!</v>
      </c>
      <c r="S134" s="878"/>
      <c r="T134" s="878"/>
      <c r="U134" s="878"/>
      <c r="V134" s="878"/>
      <c r="W134" s="878"/>
      <c r="X134" s="878"/>
      <c r="Y134" s="878"/>
      <c r="Z134" s="878"/>
      <c r="AA134" s="878"/>
      <c r="AB134" s="878"/>
      <c r="AC134" s="878"/>
      <c r="AD134" s="878"/>
      <c r="AE134" s="878"/>
      <c r="AF134" s="847"/>
      <c r="AG134" s="920">
        <f t="shared" si="8"/>
        <v>0</v>
      </c>
      <c r="AH134" s="888">
        <f t="shared" si="9"/>
        <v>202508</v>
      </c>
      <c r="AI134" t="e">
        <f>DPR!#REF!</f>
        <v>#REF!</v>
      </c>
    </row>
    <row r="135" spans="3:35" ht="15.75">
      <c r="C135" s="918">
        <v>45871</v>
      </c>
      <c r="D135" s="870" t="e">
        <f>MAX(0,IF($AK$5=$C$9,D$9-DPR!#REF!,IF($AK$5=$C$10,D$10-DPR!#REF!,IF($AK$5=$C$11,D$11-DPR!#REF!))))</f>
        <v>#REF!</v>
      </c>
      <c r="E135" s="870" t="e">
        <f>MAX(0,IF($AK$5=$C$9,E$9-DPR!#REF!,IF($AK$5=$C$10,E$10-DPR!#REF!,IF($AK$5=$C$11,E$11-DPR!#REF!))))</f>
        <v>#REF!</v>
      </c>
      <c r="F135" s="870" t="e">
        <f>MAX(0,IF($AK$5=$C$9,F$9-DPR!#REF!,IF($AK$5=$C$10,F$10-DPR!#REF!,IF($AK$5=$C$11,F$11-DPR!#REF!))))</f>
        <v>#REF!</v>
      </c>
      <c r="G135" s="870" t="e">
        <f>MAX(0,IF($AK$5=$C$9,G$9-DPR!#REF!,IF($AK$5=$C$10,G$10-DPR!#REF!,IF($AK$5=$C$11,G$11-DPR!#REF!))))</f>
        <v>#REF!</v>
      </c>
      <c r="H135" s="870" t="e">
        <f>MAX(0,IF($AK$5=$C$9,H$9-DPR!#REF!,IF($AK$5=$C$10,H$10-DPR!#REF!,IF($AK$5=$C$11,H$11-DPR!#REF!))))</f>
        <v>#REF!</v>
      </c>
      <c r="I135" s="870" t="e">
        <f>MAX(0,IF($AK$5=$C$9,I$9-DPR!#REF!,IF($AK$5=$C$10,I$10-DPR!#REF!,IF($AK$5=$C$11,I$11-DPR!#REF!))))</f>
        <v>#REF!</v>
      </c>
      <c r="J135" s="870" t="e">
        <f>MAX(0,IF($AK$5=$C$9,J$9-DPR!#REF!,IF($AK$5=$C$10,J$10-DPR!#REF!,IF($AK$5=$C$11,J$11-DPR!#REF!))))</f>
        <v>#REF!</v>
      </c>
      <c r="K135" s="870" t="e">
        <f>MAX(0,IF($AK$5=$C$9,K$9-DPR!#REF!,IF($AK$5=$C$10,K$10-DPR!#REF!,IF($AK$5=$C$11,K$11-DPR!#REF!))))</f>
        <v>#REF!</v>
      </c>
      <c r="L135" s="870" t="e">
        <f>MAX(0,IF($AK$5=$C$9,L$9-DPR!#REF!,IF($AK$5=$C$10,L$10-DPR!#REF!,IF($AK$5=$C$11,L$11-DPR!#REF!))))</f>
        <v>#REF!</v>
      </c>
      <c r="M135" s="870" t="e">
        <f>MAX(0,IF($AK$5=$C$9,M$9-DPR!#REF!,IF($AK$5=$C$10,M$10-DPR!#REF!,IF($AK$5=$C$11,M$11-DPR!#REF!))))</f>
        <v>#REF!</v>
      </c>
      <c r="N135" s="870" t="e">
        <f>MAX(0,IF($AK$5=$C$9,N$9-DPR!#REF!,IF($AK$5=$C$10,N$10-DPR!#REF!,IF($AK$5=$C$11,N$11-DPR!#REF!))))</f>
        <v>#REF!</v>
      </c>
      <c r="O135" s="870" t="e">
        <f>MAX(0,IF($AK$5=$C$9,O$9-DPR!#REF!,IF($AK$5=$C$10,O$10-DPR!#REF!,IF($AK$5=$C$11,O$11-DPR!#REF!))))</f>
        <v>#REF!</v>
      </c>
      <c r="P135" s="870" t="e">
        <f>MAX(0,IF($AK$5=$C$9,P$9-DPR!#REF!,IF($AK$5=$C$10,P$10-DPR!#REF!,IF($AK$5=$C$11,P$11-DPR!#REF!))))</f>
        <v>#REF!</v>
      </c>
      <c r="Q135" s="870">
        <v>44</v>
      </c>
      <c r="R135" s="919" t="e">
        <f t="shared" si="7"/>
        <v>#REF!</v>
      </c>
      <c r="S135" s="878"/>
      <c r="T135" s="878"/>
      <c r="U135" s="878"/>
      <c r="V135" s="878"/>
      <c r="W135" s="878"/>
      <c r="X135" s="878"/>
      <c r="Y135" s="878"/>
      <c r="Z135" s="878"/>
      <c r="AA135" s="878"/>
      <c r="AB135" s="878"/>
      <c r="AC135" s="878"/>
      <c r="AD135" s="878"/>
      <c r="AE135" s="878"/>
      <c r="AF135" s="847"/>
      <c r="AG135" s="920">
        <f t="shared" si="8"/>
        <v>0</v>
      </c>
      <c r="AH135" s="888">
        <f t="shared" si="9"/>
        <v>202508</v>
      </c>
      <c r="AI135" t="e">
        <f>DPR!#REF!</f>
        <v>#REF!</v>
      </c>
    </row>
    <row r="136" spans="3:35" ht="15.75">
      <c r="C136" s="918">
        <v>45872</v>
      </c>
      <c r="D136" s="870" t="e">
        <f>MAX(0,IF($AK$5=$C$9,D$9-DPR!#REF!,IF($AK$5=$C$10,D$10-DPR!#REF!,IF($AK$5=$C$11,D$11-DPR!#REF!))))</f>
        <v>#REF!</v>
      </c>
      <c r="E136" s="870" t="e">
        <f>MAX(0,IF($AK$5=$C$9,E$9-DPR!#REF!,IF($AK$5=$C$10,E$10-DPR!#REF!,IF($AK$5=$C$11,E$11-DPR!#REF!))))</f>
        <v>#REF!</v>
      </c>
      <c r="F136" s="870" t="e">
        <f>MAX(0,IF($AK$5=$C$9,F$9-DPR!#REF!,IF($AK$5=$C$10,F$10-DPR!#REF!,IF($AK$5=$C$11,F$11-DPR!#REF!))))</f>
        <v>#REF!</v>
      </c>
      <c r="G136" s="870" t="e">
        <f>MAX(0,IF($AK$5=$C$9,G$9-DPR!#REF!,IF($AK$5=$C$10,G$10-DPR!#REF!,IF($AK$5=$C$11,G$11-DPR!#REF!))))</f>
        <v>#REF!</v>
      </c>
      <c r="H136" s="870" t="e">
        <f>MAX(0,IF($AK$5=$C$9,H$9-DPR!#REF!,IF($AK$5=$C$10,H$10-DPR!#REF!,IF($AK$5=$C$11,H$11-DPR!#REF!))))</f>
        <v>#REF!</v>
      </c>
      <c r="I136" s="870" t="e">
        <f>MAX(0,IF($AK$5=$C$9,I$9-DPR!#REF!,IF($AK$5=$C$10,I$10-DPR!#REF!,IF($AK$5=$C$11,I$11-DPR!#REF!))))</f>
        <v>#REF!</v>
      </c>
      <c r="J136" s="870" t="e">
        <f>MAX(0,IF($AK$5=$C$9,J$9-DPR!#REF!,IF($AK$5=$C$10,J$10-DPR!#REF!,IF($AK$5=$C$11,J$11-DPR!#REF!))))</f>
        <v>#REF!</v>
      </c>
      <c r="K136" s="870" t="e">
        <f>MAX(0,IF($AK$5=$C$9,K$9-DPR!#REF!,IF($AK$5=$C$10,K$10-DPR!#REF!,IF($AK$5=$C$11,K$11-DPR!#REF!))))</f>
        <v>#REF!</v>
      </c>
      <c r="L136" s="870" t="e">
        <f>MAX(0,IF($AK$5=$C$9,L$9-DPR!#REF!,IF($AK$5=$C$10,L$10-DPR!#REF!,IF($AK$5=$C$11,L$11-DPR!#REF!))))</f>
        <v>#REF!</v>
      </c>
      <c r="M136" s="870" t="e">
        <f>MAX(0,IF($AK$5=$C$9,M$9-DPR!#REF!,IF($AK$5=$C$10,M$10-DPR!#REF!,IF($AK$5=$C$11,M$11-DPR!#REF!))))</f>
        <v>#REF!</v>
      </c>
      <c r="N136" s="870" t="e">
        <f>MAX(0,IF($AK$5=$C$9,N$9-DPR!#REF!,IF($AK$5=$C$10,N$10-DPR!#REF!,IF($AK$5=$C$11,N$11-DPR!#REF!))))</f>
        <v>#REF!</v>
      </c>
      <c r="O136" s="870" t="e">
        <f>MAX(0,IF($AK$5=$C$9,O$9-DPR!#REF!,IF($AK$5=$C$10,O$10-DPR!#REF!,IF($AK$5=$C$11,O$11-DPR!#REF!))))</f>
        <v>#REF!</v>
      </c>
      <c r="P136" s="870" t="e">
        <f>MAX(0,IF($AK$5=$C$9,P$9-DPR!#REF!,IF($AK$5=$C$10,P$10-DPR!#REF!,IF($AK$5=$C$11,P$11-DPR!#REF!))))</f>
        <v>#REF!</v>
      </c>
      <c r="Q136" s="870">
        <v>45</v>
      </c>
      <c r="R136" s="919" t="e">
        <f t="shared" si="7"/>
        <v>#REF!</v>
      </c>
      <c r="S136" s="878"/>
      <c r="T136" s="878"/>
      <c r="U136" s="878"/>
      <c r="V136" s="878"/>
      <c r="W136" s="878"/>
      <c r="X136" s="878"/>
      <c r="Y136" s="878"/>
      <c r="Z136" s="878"/>
      <c r="AA136" s="878"/>
      <c r="AB136" s="878"/>
      <c r="AC136" s="878"/>
      <c r="AD136" s="878"/>
      <c r="AE136" s="878"/>
      <c r="AF136" s="847"/>
      <c r="AG136" s="920">
        <f t="shared" si="8"/>
        <v>0</v>
      </c>
      <c r="AH136" s="888">
        <f t="shared" si="9"/>
        <v>202508</v>
      </c>
      <c r="AI136" t="e">
        <f>DPR!#REF!</f>
        <v>#REF!</v>
      </c>
    </row>
    <row r="137" spans="3:35" ht="15.75">
      <c r="C137" s="918">
        <v>45873</v>
      </c>
      <c r="D137" s="870" t="e">
        <f>MAX(0,IF($AK$5=$C$9,D$9-DPR!#REF!,IF($AK$5=$C$10,D$10-DPR!#REF!,IF($AK$5=$C$11,D$11-DPR!#REF!))))</f>
        <v>#REF!</v>
      </c>
      <c r="E137" s="870" t="e">
        <f>MAX(0,IF($AK$5=$C$9,E$9-DPR!#REF!,IF($AK$5=$C$10,E$10-DPR!#REF!,IF($AK$5=$C$11,E$11-DPR!#REF!))))</f>
        <v>#REF!</v>
      </c>
      <c r="F137" s="870" t="e">
        <f>MAX(0,IF($AK$5=$C$9,F$9-DPR!#REF!,IF($AK$5=$C$10,F$10-DPR!#REF!,IF($AK$5=$C$11,F$11-DPR!#REF!))))</f>
        <v>#REF!</v>
      </c>
      <c r="G137" s="870" t="e">
        <f>MAX(0,IF($AK$5=$C$9,G$9-DPR!#REF!,IF($AK$5=$C$10,G$10-DPR!#REF!,IF($AK$5=$C$11,G$11-DPR!#REF!))))</f>
        <v>#REF!</v>
      </c>
      <c r="H137" s="870" t="e">
        <f>MAX(0,IF($AK$5=$C$9,H$9-DPR!#REF!,IF($AK$5=$C$10,H$10-DPR!#REF!,IF($AK$5=$C$11,H$11-DPR!#REF!))))</f>
        <v>#REF!</v>
      </c>
      <c r="I137" s="870" t="e">
        <f>MAX(0,IF($AK$5=$C$9,I$9-DPR!#REF!,IF($AK$5=$C$10,I$10-DPR!#REF!,IF($AK$5=$C$11,I$11-DPR!#REF!))))</f>
        <v>#REF!</v>
      </c>
      <c r="J137" s="870" t="e">
        <f>MAX(0,IF($AK$5=$C$9,J$9-DPR!#REF!,IF($AK$5=$C$10,J$10-DPR!#REF!,IF($AK$5=$C$11,J$11-DPR!#REF!))))</f>
        <v>#REF!</v>
      </c>
      <c r="K137" s="870" t="e">
        <f>MAX(0,IF($AK$5=$C$9,K$9-DPR!#REF!,IF($AK$5=$C$10,K$10-DPR!#REF!,IF($AK$5=$C$11,K$11-DPR!#REF!))))</f>
        <v>#REF!</v>
      </c>
      <c r="L137" s="870" t="e">
        <f>MAX(0,IF($AK$5=$C$9,L$9-DPR!#REF!,IF($AK$5=$C$10,L$10-DPR!#REF!,IF($AK$5=$C$11,L$11-DPR!#REF!))))</f>
        <v>#REF!</v>
      </c>
      <c r="M137" s="870" t="e">
        <f>MAX(0,IF($AK$5=$C$9,M$9-DPR!#REF!,IF($AK$5=$C$10,M$10-DPR!#REF!,IF($AK$5=$C$11,M$11-DPR!#REF!))))</f>
        <v>#REF!</v>
      </c>
      <c r="N137" s="870" t="e">
        <f>MAX(0,IF($AK$5=$C$9,N$9-DPR!#REF!,IF($AK$5=$C$10,N$10-DPR!#REF!,IF($AK$5=$C$11,N$11-DPR!#REF!))))</f>
        <v>#REF!</v>
      </c>
      <c r="O137" s="870" t="e">
        <f>MAX(0,IF($AK$5=$C$9,O$9-DPR!#REF!,IF($AK$5=$C$10,O$10-DPR!#REF!,IF($AK$5=$C$11,O$11-DPR!#REF!))))</f>
        <v>#REF!</v>
      </c>
      <c r="P137" s="870" t="e">
        <f>MAX(0,IF($AK$5=$C$9,P$9-DPR!#REF!,IF($AK$5=$C$10,P$10-DPR!#REF!,IF($AK$5=$C$11,P$11-DPR!#REF!))))</f>
        <v>#REF!</v>
      </c>
      <c r="Q137" s="870">
        <v>46</v>
      </c>
      <c r="R137" s="919" t="e">
        <f t="shared" si="7"/>
        <v>#REF!</v>
      </c>
      <c r="S137" s="878"/>
      <c r="T137" s="878"/>
      <c r="U137" s="878"/>
      <c r="V137" s="878"/>
      <c r="W137" s="878"/>
      <c r="X137" s="878"/>
      <c r="Y137" s="878"/>
      <c r="Z137" s="878"/>
      <c r="AA137" s="878"/>
      <c r="AB137" s="878"/>
      <c r="AC137" s="878"/>
      <c r="AD137" s="878"/>
      <c r="AE137" s="878"/>
      <c r="AF137" s="847"/>
      <c r="AG137" s="920">
        <f t="shared" si="8"/>
        <v>0</v>
      </c>
      <c r="AH137" s="888">
        <f t="shared" si="9"/>
        <v>202508</v>
      </c>
      <c r="AI137" t="e">
        <f>DPR!#REF!</f>
        <v>#REF!</v>
      </c>
    </row>
    <row r="138" spans="3:35" ht="15.75">
      <c r="C138" s="918">
        <v>45874</v>
      </c>
      <c r="D138" s="870" t="e">
        <f>MAX(0,IF($AK$5=$C$9,D$9-DPR!#REF!,IF($AK$5=$C$10,D$10-DPR!#REF!,IF($AK$5=$C$11,D$11-DPR!#REF!))))</f>
        <v>#REF!</v>
      </c>
      <c r="E138" s="870" t="e">
        <f>MAX(0,IF($AK$5=$C$9,E$9-DPR!#REF!,IF($AK$5=$C$10,E$10-DPR!#REF!,IF($AK$5=$C$11,E$11-DPR!#REF!))))</f>
        <v>#REF!</v>
      </c>
      <c r="F138" s="870" t="e">
        <f>MAX(0,IF($AK$5=$C$9,F$9-DPR!#REF!,IF($AK$5=$C$10,F$10-DPR!#REF!,IF($AK$5=$C$11,F$11-DPR!#REF!))))</f>
        <v>#REF!</v>
      </c>
      <c r="G138" s="870" t="e">
        <f>MAX(0,IF($AK$5=$C$9,G$9-DPR!#REF!,IF($AK$5=$C$10,G$10-DPR!#REF!,IF($AK$5=$C$11,G$11-DPR!#REF!))))</f>
        <v>#REF!</v>
      </c>
      <c r="H138" s="870" t="e">
        <f>MAX(0,IF($AK$5=$C$9,H$9-DPR!#REF!,IF($AK$5=$C$10,H$10-DPR!#REF!,IF($AK$5=$C$11,H$11-DPR!#REF!))))</f>
        <v>#REF!</v>
      </c>
      <c r="I138" s="870" t="e">
        <f>MAX(0,IF($AK$5=$C$9,I$9-DPR!#REF!,IF($AK$5=$C$10,I$10-DPR!#REF!,IF($AK$5=$C$11,I$11-DPR!#REF!))))</f>
        <v>#REF!</v>
      </c>
      <c r="J138" s="870" t="e">
        <f>MAX(0,IF($AK$5=$C$9,J$9-DPR!#REF!,IF($AK$5=$C$10,J$10-DPR!#REF!,IF($AK$5=$C$11,J$11-DPR!#REF!))))</f>
        <v>#REF!</v>
      </c>
      <c r="K138" s="870" t="e">
        <f>MAX(0,IF($AK$5=$C$9,K$9-DPR!#REF!,IF($AK$5=$C$10,K$10-DPR!#REF!,IF($AK$5=$C$11,K$11-DPR!#REF!))))</f>
        <v>#REF!</v>
      </c>
      <c r="L138" s="870" t="e">
        <f>MAX(0,IF($AK$5=$C$9,L$9-DPR!#REF!,IF($AK$5=$C$10,L$10-DPR!#REF!,IF($AK$5=$C$11,L$11-DPR!#REF!))))</f>
        <v>#REF!</v>
      </c>
      <c r="M138" s="870" t="e">
        <f>MAX(0,IF($AK$5=$C$9,M$9-DPR!#REF!,IF($AK$5=$C$10,M$10-DPR!#REF!,IF($AK$5=$C$11,M$11-DPR!#REF!))))</f>
        <v>#REF!</v>
      </c>
      <c r="N138" s="870" t="e">
        <f>MAX(0,IF($AK$5=$C$9,N$9-DPR!#REF!,IF($AK$5=$C$10,N$10-DPR!#REF!,IF($AK$5=$C$11,N$11-DPR!#REF!))))</f>
        <v>#REF!</v>
      </c>
      <c r="O138" s="870" t="e">
        <f>MAX(0,IF($AK$5=$C$9,O$9-DPR!#REF!,IF($AK$5=$C$10,O$10-DPR!#REF!,IF($AK$5=$C$11,O$11-DPR!#REF!))))</f>
        <v>#REF!</v>
      </c>
      <c r="P138" s="870" t="e">
        <f>MAX(0,IF($AK$5=$C$9,P$9-DPR!#REF!,IF($AK$5=$C$10,P$10-DPR!#REF!,IF($AK$5=$C$11,P$11-DPR!#REF!))))</f>
        <v>#REF!</v>
      </c>
      <c r="Q138" s="870">
        <v>47</v>
      </c>
      <c r="R138" s="919" t="e">
        <f t="shared" si="7"/>
        <v>#REF!</v>
      </c>
      <c r="S138" s="878"/>
      <c r="T138" s="878"/>
      <c r="U138" s="878"/>
      <c r="V138" s="878"/>
      <c r="W138" s="878"/>
      <c r="X138" s="878"/>
      <c r="Y138" s="878"/>
      <c r="Z138" s="878"/>
      <c r="AA138" s="878"/>
      <c r="AB138" s="878"/>
      <c r="AC138" s="878"/>
      <c r="AD138" s="878"/>
      <c r="AE138" s="878"/>
      <c r="AF138" s="847"/>
      <c r="AG138" s="920">
        <f t="shared" si="8"/>
        <v>0</v>
      </c>
      <c r="AH138" s="888">
        <f t="shared" si="9"/>
        <v>202508</v>
      </c>
      <c r="AI138" t="e">
        <f>DPR!#REF!</f>
        <v>#REF!</v>
      </c>
    </row>
    <row r="139" spans="3:35" ht="15.75">
      <c r="C139" s="918">
        <v>45875</v>
      </c>
      <c r="D139" s="870" t="e">
        <f>MAX(0,IF($AK$5=$C$9,D$9-DPR!#REF!,IF($AK$5=$C$10,D$10-DPR!#REF!,IF($AK$5=$C$11,D$11-DPR!#REF!))))</f>
        <v>#REF!</v>
      </c>
      <c r="E139" s="870" t="e">
        <f>MAX(0,IF($AK$5=$C$9,E$9-DPR!#REF!,IF($AK$5=$C$10,E$10-DPR!#REF!,IF($AK$5=$C$11,E$11-DPR!#REF!))))</f>
        <v>#REF!</v>
      </c>
      <c r="F139" s="870" t="e">
        <f>MAX(0,IF($AK$5=$C$9,F$9-DPR!#REF!,IF($AK$5=$C$10,F$10-DPR!#REF!,IF($AK$5=$C$11,F$11-DPR!#REF!))))</f>
        <v>#REF!</v>
      </c>
      <c r="G139" s="870" t="e">
        <f>MAX(0,IF($AK$5=$C$9,G$9-DPR!#REF!,IF($AK$5=$C$10,G$10-DPR!#REF!,IF($AK$5=$C$11,G$11-DPR!#REF!))))</f>
        <v>#REF!</v>
      </c>
      <c r="H139" s="870" t="e">
        <f>MAX(0,IF($AK$5=$C$9,H$9-DPR!#REF!,IF($AK$5=$C$10,H$10-DPR!#REF!,IF($AK$5=$C$11,H$11-DPR!#REF!))))</f>
        <v>#REF!</v>
      </c>
      <c r="I139" s="870" t="e">
        <f>MAX(0,IF($AK$5=$C$9,I$9-DPR!#REF!,IF($AK$5=$C$10,I$10-DPR!#REF!,IF($AK$5=$C$11,I$11-DPR!#REF!))))</f>
        <v>#REF!</v>
      </c>
      <c r="J139" s="870" t="e">
        <f>MAX(0,IF($AK$5=$C$9,J$9-DPR!#REF!,IF($AK$5=$C$10,J$10-DPR!#REF!,IF($AK$5=$C$11,J$11-DPR!#REF!))))</f>
        <v>#REF!</v>
      </c>
      <c r="K139" s="870" t="e">
        <f>MAX(0,IF($AK$5=$C$9,K$9-DPR!#REF!,IF($AK$5=$C$10,K$10-DPR!#REF!,IF($AK$5=$C$11,K$11-DPR!#REF!))))</f>
        <v>#REF!</v>
      </c>
      <c r="L139" s="870" t="e">
        <f>MAX(0,IF($AK$5=$C$9,L$9-DPR!#REF!,IF($AK$5=$C$10,L$10-DPR!#REF!,IF($AK$5=$C$11,L$11-DPR!#REF!))))</f>
        <v>#REF!</v>
      </c>
      <c r="M139" s="870" t="e">
        <f>MAX(0,IF($AK$5=$C$9,M$9-DPR!#REF!,IF($AK$5=$C$10,M$10-DPR!#REF!,IF($AK$5=$C$11,M$11-DPR!#REF!))))</f>
        <v>#REF!</v>
      </c>
      <c r="N139" s="870" t="e">
        <f>MAX(0,IF($AK$5=$C$9,N$9-DPR!#REF!,IF($AK$5=$C$10,N$10-DPR!#REF!,IF($AK$5=$C$11,N$11-DPR!#REF!))))</f>
        <v>#REF!</v>
      </c>
      <c r="O139" s="870" t="e">
        <f>MAX(0,IF($AK$5=$C$9,O$9-DPR!#REF!,IF($AK$5=$C$10,O$10-DPR!#REF!,IF($AK$5=$C$11,O$11-DPR!#REF!))))</f>
        <v>#REF!</v>
      </c>
      <c r="P139" s="870" t="e">
        <f>MAX(0,IF($AK$5=$C$9,P$9-DPR!#REF!,IF($AK$5=$C$10,P$10-DPR!#REF!,IF($AK$5=$C$11,P$11-DPR!#REF!))))</f>
        <v>#REF!</v>
      </c>
      <c r="Q139" s="870">
        <v>48</v>
      </c>
      <c r="R139" s="919" t="e">
        <f t="shared" si="7"/>
        <v>#REF!</v>
      </c>
      <c r="S139" s="878"/>
      <c r="T139" s="878"/>
      <c r="U139" s="878"/>
      <c r="V139" s="878"/>
      <c r="W139" s="878"/>
      <c r="X139" s="878"/>
      <c r="Y139" s="878"/>
      <c r="Z139" s="878"/>
      <c r="AA139" s="878"/>
      <c r="AB139" s="878"/>
      <c r="AC139" s="878"/>
      <c r="AD139" s="878"/>
      <c r="AE139" s="878"/>
      <c r="AF139" s="847"/>
      <c r="AG139" s="920">
        <f t="shared" si="8"/>
        <v>0</v>
      </c>
      <c r="AH139" s="888">
        <f t="shared" si="9"/>
        <v>202508</v>
      </c>
      <c r="AI139" t="e">
        <f>DPR!#REF!</f>
        <v>#REF!</v>
      </c>
    </row>
    <row r="140" spans="3:35" ht="15.75">
      <c r="C140" s="918">
        <v>45876</v>
      </c>
      <c r="D140" s="870" t="e">
        <f>MAX(0,IF($AK$5=$C$9,D$9-DPR!#REF!,IF($AK$5=$C$10,D$10-DPR!#REF!,IF($AK$5=$C$11,D$11-DPR!#REF!))))</f>
        <v>#REF!</v>
      </c>
      <c r="E140" s="870" t="e">
        <f>MAX(0,IF($AK$5=$C$9,E$9-DPR!#REF!,IF($AK$5=$C$10,E$10-DPR!#REF!,IF($AK$5=$C$11,E$11-DPR!#REF!))))</f>
        <v>#REF!</v>
      </c>
      <c r="F140" s="870" t="e">
        <f>MAX(0,IF($AK$5=$C$9,F$9-DPR!#REF!,IF($AK$5=$C$10,F$10-DPR!#REF!,IF($AK$5=$C$11,F$11-DPR!#REF!))))</f>
        <v>#REF!</v>
      </c>
      <c r="G140" s="870" t="e">
        <f>MAX(0,IF($AK$5=$C$9,G$9-DPR!#REF!,IF($AK$5=$C$10,G$10-DPR!#REF!,IF($AK$5=$C$11,G$11-DPR!#REF!))))</f>
        <v>#REF!</v>
      </c>
      <c r="H140" s="870" t="e">
        <f>MAX(0,IF($AK$5=$C$9,H$9-DPR!#REF!,IF($AK$5=$C$10,H$10-DPR!#REF!,IF($AK$5=$C$11,H$11-DPR!#REF!))))</f>
        <v>#REF!</v>
      </c>
      <c r="I140" s="870" t="e">
        <f>MAX(0,IF($AK$5=$C$9,I$9-DPR!#REF!,IF($AK$5=$C$10,I$10-DPR!#REF!,IF($AK$5=$C$11,I$11-DPR!#REF!))))</f>
        <v>#REF!</v>
      </c>
      <c r="J140" s="870" t="e">
        <f>MAX(0,IF($AK$5=$C$9,J$9-DPR!#REF!,IF($AK$5=$C$10,J$10-DPR!#REF!,IF($AK$5=$C$11,J$11-DPR!#REF!))))</f>
        <v>#REF!</v>
      </c>
      <c r="K140" s="870" t="e">
        <f>MAX(0,IF($AK$5=$C$9,K$9-DPR!#REF!,IF($AK$5=$C$10,K$10-DPR!#REF!,IF($AK$5=$C$11,K$11-DPR!#REF!))))</f>
        <v>#REF!</v>
      </c>
      <c r="L140" s="870" t="e">
        <f>MAX(0,IF($AK$5=$C$9,L$9-DPR!#REF!,IF($AK$5=$C$10,L$10-DPR!#REF!,IF($AK$5=$C$11,L$11-DPR!#REF!))))</f>
        <v>#REF!</v>
      </c>
      <c r="M140" s="870" t="e">
        <f>MAX(0,IF($AK$5=$C$9,M$9-DPR!#REF!,IF($AK$5=$C$10,M$10-DPR!#REF!,IF($AK$5=$C$11,M$11-DPR!#REF!))))</f>
        <v>#REF!</v>
      </c>
      <c r="N140" s="870" t="e">
        <f>MAX(0,IF($AK$5=$C$9,N$9-DPR!#REF!,IF($AK$5=$C$10,N$10-DPR!#REF!,IF($AK$5=$C$11,N$11-DPR!#REF!))))</f>
        <v>#REF!</v>
      </c>
      <c r="O140" s="870" t="e">
        <f>MAX(0,IF($AK$5=$C$9,O$9-DPR!#REF!,IF($AK$5=$C$10,O$10-DPR!#REF!,IF($AK$5=$C$11,O$11-DPR!#REF!))))</f>
        <v>#REF!</v>
      </c>
      <c r="P140" s="870" t="e">
        <f>MAX(0,IF($AK$5=$C$9,P$9-DPR!#REF!,IF($AK$5=$C$10,P$10-DPR!#REF!,IF($AK$5=$C$11,P$11-DPR!#REF!))))</f>
        <v>#REF!</v>
      </c>
      <c r="Q140" s="870">
        <v>49</v>
      </c>
      <c r="R140" s="919" t="e">
        <f t="shared" si="7"/>
        <v>#REF!</v>
      </c>
      <c r="S140" s="878"/>
      <c r="T140" s="878"/>
      <c r="U140" s="878"/>
      <c r="V140" s="878"/>
      <c r="W140" s="878"/>
      <c r="X140" s="878"/>
      <c r="Y140" s="878"/>
      <c r="Z140" s="878"/>
      <c r="AA140" s="878"/>
      <c r="AB140" s="878"/>
      <c r="AC140" s="878"/>
      <c r="AD140" s="878"/>
      <c r="AE140" s="878"/>
      <c r="AF140" s="847"/>
      <c r="AG140" s="920">
        <f t="shared" si="8"/>
        <v>0</v>
      </c>
      <c r="AH140" s="888">
        <f t="shared" si="9"/>
        <v>202508</v>
      </c>
      <c r="AI140" t="e">
        <f>DPR!#REF!</f>
        <v>#REF!</v>
      </c>
    </row>
    <row r="141" spans="3:35" ht="15.75">
      <c r="C141" s="918">
        <v>45877</v>
      </c>
      <c r="D141" s="870" t="e">
        <f>MAX(0,IF($AK$5=$C$9,D$9-DPR!#REF!,IF($AK$5=$C$10,D$10-DPR!#REF!,IF($AK$5=$C$11,D$11-DPR!#REF!))))</f>
        <v>#REF!</v>
      </c>
      <c r="E141" s="870" t="e">
        <f>MAX(0,IF($AK$5=$C$9,E$9-DPR!#REF!,IF($AK$5=$C$10,E$10-DPR!#REF!,IF($AK$5=$C$11,E$11-DPR!#REF!))))</f>
        <v>#REF!</v>
      </c>
      <c r="F141" s="870" t="e">
        <f>MAX(0,IF($AK$5=$C$9,F$9-DPR!#REF!,IF($AK$5=$C$10,F$10-DPR!#REF!,IF($AK$5=$C$11,F$11-DPR!#REF!))))</f>
        <v>#REF!</v>
      </c>
      <c r="G141" s="870" t="e">
        <f>MAX(0,IF($AK$5=$C$9,G$9-DPR!#REF!,IF($AK$5=$C$10,G$10-DPR!#REF!,IF($AK$5=$C$11,G$11-DPR!#REF!))))</f>
        <v>#REF!</v>
      </c>
      <c r="H141" s="870" t="e">
        <f>MAX(0,IF($AK$5=$C$9,H$9-DPR!#REF!,IF($AK$5=$C$10,H$10-DPR!#REF!,IF($AK$5=$C$11,H$11-DPR!#REF!))))</f>
        <v>#REF!</v>
      </c>
      <c r="I141" s="870" t="e">
        <f>MAX(0,IF($AK$5=$C$9,I$9-DPR!#REF!,IF($AK$5=$C$10,I$10-DPR!#REF!,IF($AK$5=$C$11,I$11-DPR!#REF!))))</f>
        <v>#REF!</v>
      </c>
      <c r="J141" s="870" t="e">
        <f>MAX(0,IF($AK$5=$C$9,J$9-DPR!#REF!,IF($AK$5=$C$10,J$10-DPR!#REF!,IF($AK$5=$C$11,J$11-DPR!#REF!))))</f>
        <v>#REF!</v>
      </c>
      <c r="K141" s="870" t="e">
        <f>MAX(0,IF($AK$5=$C$9,K$9-DPR!#REF!,IF($AK$5=$C$10,K$10-DPR!#REF!,IF($AK$5=$C$11,K$11-DPR!#REF!))))</f>
        <v>#REF!</v>
      </c>
      <c r="L141" s="870" t="e">
        <f>MAX(0,IF($AK$5=$C$9,L$9-DPR!#REF!,IF($AK$5=$C$10,L$10-DPR!#REF!,IF($AK$5=$C$11,L$11-DPR!#REF!))))</f>
        <v>#REF!</v>
      </c>
      <c r="M141" s="870" t="e">
        <f>MAX(0,IF($AK$5=$C$9,M$9-DPR!#REF!,IF($AK$5=$C$10,M$10-DPR!#REF!,IF($AK$5=$C$11,M$11-DPR!#REF!))))</f>
        <v>#REF!</v>
      </c>
      <c r="N141" s="870" t="e">
        <f>MAX(0,IF($AK$5=$C$9,N$9-DPR!#REF!,IF($AK$5=$C$10,N$10-DPR!#REF!,IF($AK$5=$C$11,N$11-DPR!#REF!))))</f>
        <v>#REF!</v>
      </c>
      <c r="O141" s="870" t="e">
        <f>MAX(0,IF($AK$5=$C$9,O$9-DPR!#REF!,IF($AK$5=$C$10,O$10-DPR!#REF!,IF($AK$5=$C$11,O$11-DPR!#REF!))))</f>
        <v>#REF!</v>
      </c>
      <c r="P141" s="870" t="e">
        <f>MAX(0,IF($AK$5=$C$9,P$9-DPR!#REF!,IF($AK$5=$C$10,P$10-DPR!#REF!,IF($AK$5=$C$11,P$11-DPR!#REF!))))</f>
        <v>#REF!</v>
      </c>
      <c r="Q141" s="870">
        <v>50</v>
      </c>
      <c r="R141" s="919" t="e">
        <f t="shared" si="7"/>
        <v>#REF!</v>
      </c>
      <c r="S141" s="878"/>
      <c r="T141" s="878"/>
      <c r="U141" s="878"/>
      <c r="V141" s="878"/>
      <c r="W141" s="878"/>
      <c r="X141" s="878"/>
      <c r="Y141" s="878"/>
      <c r="Z141" s="878"/>
      <c r="AA141" s="878"/>
      <c r="AB141" s="878"/>
      <c r="AC141" s="878"/>
      <c r="AD141" s="878"/>
      <c r="AE141" s="878"/>
      <c r="AF141" s="847"/>
      <c r="AG141" s="920">
        <f t="shared" si="8"/>
        <v>0</v>
      </c>
      <c r="AH141" s="888">
        <f t="shared" si="9"/>
        <v>202508</v>
      </c>
      <c r="AI141" t="e">
        <f>DPR!#REF!</f>
        <v>#REF!</v>
      </c>
    </row>
    <row r="142" spans="3:35" ht="15.75">
      <c r="C142" s="918">
        <v>45878</v>
      </c>
      <c r="D142" s="870" t="e">
        <f>MAX(0,IF($AK$5=$C$9,D$9-DPR!#REF!,IF($AK$5=$C$10,D$10-DPR!#REF!,IF($AK$5=$C$11,D$11-DPR!#REF!))))</f>
        <v>#REF!</v>
      </c>
      <c r="E142" s="870" t="e">
        <f>MAX(0,IF($AK$5=$C$9,E$9-DPR!#REF!,IF($AK$5=$C$10,E$10-DPR!#REF!,IF($AK$5=$C$11,E$11-DPR!#REF!))))</f>
        <v>#REF!</v>
      </c>
      <c r="F142" s="870" t="e">
        <f>MAX(0,IF($AK$5=$C$9,F$9-DPR!#REF!,IF($AK$5=$C$10,F$10-DPR!#REF!,IF($AK$5=$C$11,F$11-DPR!#REF!))))</f>
        <v>#REF!</v>
      </c>
      <c r="G142" s="870" t="e">
        <f>MAX(0,IF($AK$5=$C$9,G$9-DPR!#REF!,IF($AK$5=$C$10,G$10-DPR!#REF!,IF($AK$5=$C$11,G$11-DPR!#REF!))))</f>
        <v>#REF!</v>
      </c>
      <c r="H142" s="870" t="e">
        <f>MAX(0,IF($AK$5=$C$9,H$9-DPR!#REF!,IF($AK$5=$C$10,H$10-DPR!#REF!,IF($AK$5=$C$11,H$11-DPR!#REF!))))</f>
        <v>#REF!</v>
      </c>
      <c r="I142" s="870" t="e">
        <f>MAX(0,IF($AK$5=$C$9,I$9-DPR!#REF!,IF($AK$5=$C$10,I$10-DPR!#REF!,IF($AK$5=$C$11,I$11-DPR!#REF!))))</f>
        <v>#REF!</v>
      </c>
      <c r="J142" s="870" t="e">
        <f>MAX(0,IF($AK$5=$C$9,J$9-DPR!#REF!,IF($AK$5=$C$10,J$10-DPR!#REF!,IF($AK$5=$C$11,J$11-DPR!#REF!))))</f>
        <v>#REF!</v>
      </c>
      <c r="K142" s="870" t="e">
        <f>MAX(0,IF($AK$5=$C$9,K$9-DPR!#REF!,IF($AK$5=$C$10,K$10-DPR!#REF!,IF($AK$5=$C$11,K$11-DPR!#REF!))))</f>
        <v>#REF!</v>
      </c>
      <c r="L142" s="870" t="e">
        <f>MAX(0,IF($AK$5=$C$9,L$9-DPR!#REF!,IF($AK$5=$C$10,L$10-DPR!#REF!,IF($AK$5=$C$11,L$11-DPR!#REF!))))</f>
        <v>#REF!</v>
      </c>
      <c r="M142" s="870" t="e">
        <f>MAX(0,IF($AK$5=$C$9,M$9-DPR!#REF!,IF($AK$5=$C$10,M$10-DPR!#REF!,IF($AK$5=$C$11,M$11-DPR!#REF!))))</f>
        <v>#REF!</v>
      </c>
      <c r="N142" s="870" t="e">
        <f>MAX(0,IF($AK$5=$C$9,N$9-DPR!#REF!,IF($AK$5=$C$10,N$10-DPR!#REF!,IF($AK$5=$C$11,N$11-DPR!#REF!))))</f>
        <v>#REF!</v>
      </c>
      <c r="O142" s="870" t="e">
        <f>MAX(0,IF($AK$5=$C$9,O$9-DPR!#REF!,IF($AK$5=$C$10,O$10-DPR!#REF!,IF($AK$5=$C$11,O$11-DPR!#REF!))))</f>
        <v>#REF!</v>
      </c>
      <c r="P142" s="870" t="e">
        <f>MAX(0,IF($AK$5=$C$9,P$9-DPR!#REF!,IF($AK$5=$C$10,P$10-DPR!#REF!,IF($AK$5=$C$11,P$11-DPR!#REF!))))</f>
        <v>#REF!</v>
      </c>
      <c r="Q142" s="870">
        <v>51</v>
      </c>
      <c r="R142" s="919" t="e">
        <f t="shared" si="7"/>
        <v>#REF!</v>
      </c>
      <c r="S142" s="878"/>
      <c r="T142" s="878"/>
      <c r="U142" s="878"/>
      <c r="V142" s="878"/>
      <c r="W142" s="878"/>
      <c r="X142" s="878"/>
      <c r="Y142" s="878"/>
      <c r="Z142" s="878"/>
      <c r="AA142" s="878"/>
      <c r="AB142" s="878"/>
      <c r="AC142" s="878"/>
      <c r="AD142" s="878"/>
      <c r="AE142" s="878"/>
      <c r="AF142" s="847"/>
      <c r="AG142" s="920">
        <f t="shared" si="8"/>
        <v>0</v>
      </c>
      <c r="AH142" s="888">
        <f t="shared" si="9"/>
        <v>202508</v>
      </c>
      <c r="AI142" t="e">
        <f>DPR!#REF!</f>
        <v>#REF!</v>
      </c>
    </row>
    <row r="143" spans="3:35" ht="15.75">
      <c r="C143" s="918">
        <v>45879</v>
      </c>
      <c r="D143" s="870" t="e">
        <f>MAX(0,IF($AK$5=$C$9,D$9-DPR!#REF!,IF($AK$5=$C$10,D$10-DPR!#REF!,IF($AK$5=$C$11,D$11-DPR!#REF!))))</f>
        <v>#REF!</v>
      </c>
      <c r="E143" s="870" t="e">
        <f>MAX(0,IF($AK$5=$C$9,E$9-DPR!#REF!,IF($AK$5=$C$10,E$10-DPR!#REF!,IF($AK$5=$C$11,E$11-DPR!#REF!))))</f>
        <v>#REF!</v>
      </c>
      <c r="F143" s="870" t="e">
        <f>MAX(0,IF($AK$5=$C$9,F$9-DPR!#REF!,IF($AK$5=$C$10,F$10-DPR!#REF!,IF($AK$5=$C$11,F$11-DPR!#REF!))))</f>
        <v>#REF!</v>
      </c>
      <c r="G143" s="870" t="e">
        <f>MAX(0,IF($AK$5=$C$9,G$9-DPR!#REF!,IF($AK$5=$C$10,G$10-DPR!#REF!,IF($AK$5=$C$11,G$11-DPR!#REF!))))</f>
        <v>#REF!</v>
      </c>
      <c r="H143" s="870" t="e">
        <f>MAX(0,IF($AK$5=$C$9,H$9-DPR!#REF!,IF($AK$5=$C$10,H$10-DPR!#REF!,IF($AK$5=$C$11,H$11-DPR!#REF!))))</f>
        <v>#REF!</v>
      </c>
      <c r="I143" s="870" t="e">
        <f>MAX(0,IF($AK$5=$C$9,I$9-DPR!#REF!,IF($AK$5=$C$10,I$10-DPR!#REF!,IF($AK$5=$C$11,I$11-DPR!#REF!))))</f>
        <v>#REF!</v>
      </c>
      <c r="J143" s="870" t="e">
        <f>MAX(0,IF($AK$5=$C$9,J$9-DPR!#REF!,IF($AK$5=$C$10,J$10-DPR!#REF!,IF($AK$5=$C$11,J$11-DPR!#REF!))))</f>
        <v>#REF!</v>
      </c>
      <c r="K143" s="870" t="e">
        <f>MAX(0,IF($AK$5=$C$9,K$9-DPR!#REF!,IF($AK$5=$C$10,K$10-DPR!#REF!,IF($AK$5=$C$11,K$11-DPR!#REF!))))</f>
        <v>#REF!</v>
      </c>
      <c r="L143" s="870" t="e">
        <f>MAX(0,IF($AK$5=$C$9,L$9-DPR!#REF!,IF($AK$5=$C$10,L$10-DPR!#REF!,IF($AK$5=$C$11,L$11-DPR!#REF!))))</f>
        <v>#REF!</v>
      </c>
      <c r="M143" s="870" t="e">
        <f>MAX(0,IF($AK$5=$C$9,M$9-DPR!#REF!,IF($AK$5=$C$10,M$10-DPR!#REF!,IF($AK$5=$C$11,M$11-DPR!#REF!))))</f>
        <v>#REF!</v>
      </c>
      <c r="N143" s="870" t="e">
        <f>MAX(0,IF($AK$5=$C$9,N$9-DPR!#REF!,IF($AK$5=$C$10,N$10-DPR!#REF!,IF($AK$5=$C$11,N$11-DPR!#REF!))))</f>
        <v>#REF!</v>
      </c>
      <c r="O143" s="870" t="e">
        <f>MAX(0,IF($AK$5=$C$9,O$9-DPR!#REF!,IF($AK$5=$C$10,O$10-DPR!#REF!,IF($AK$5=$C$11,O$11-DPR!#REF!))))</f>
        <v>#REF!</v>
      </c>
      <c r="P143" s="870" t="e">
        <f>MAX(0,IF($AK$5=$C$9,P$9-DPR!#REF!,IF($AK$5=$C$10,P$10-DPR!#REF!,IF($AK$5=$C$11,P$11-DPR!#REF!))))</f>
        <v>#REF!</v>
      </c>
      <c r="Q143" s="870">
        <v>52</v>
      </c>
      <c r="R143" s="919" t="e">
        <f t="shared" si="7"/>
        <v>#REF!</v>
      </c>
      <c r="S143" s="878"/>
      <c r="T143" s="878"/>
      <c r="U143" s="878"/>
      <c r="V143" s="878"/>
      <c r="W143" s="878"/>
      <c r="X143" s="878"/>
      <c r="Y143" s="878"/>
      <c r="Z143" s="878"/>
      <c r="AA143" s="878"/>
      <c r="AB143" s="878"/>
      <c r="AC143" s="878"/>
      <c r="AD143" s="878"/>
      <c r="AE143" s="878"/>
      <c r="AF143" s="847"/>
      <c r="AG143" s="920">
        <f t="shared" si="8"/>
        <v>0</v>
      </c>
      <c r="AH143" s="888">
        <f t="shared" si="9"/>
        <v>202508</v>
      </c>
      <c r="AI143" t="e">
        <f>DPR!#REF!</f>
        <v>#REF!</v>
      </c>
    </row>
    <row r="144" spans="3:35" ht="15.75">
      <c r="C144" s="918">
        <v>45880</v>
      </c>
      <c r="D144" s="870" t="e">
        <f>MAX(0,IF($AK$5=$C$9,D$9-DPR!#REF!,IF($AK$5=$C$10,D$10-DPR!#REF!,IF($AK$5=$C$11,D$11-DPR!#REF!))))</f>
        <v>#REF!</v>
      </c>
      <c r="E144" s="870" t="e">
        <f>MAX(0,IF($AK$5=$C$9,E$9-DPR!#REF!,IF($AK$5=$C$10,E$10-DPR!#REF!,IF($AK$5=$C$11,E$11-DPR!#REF!))))</f>
        <v>#REF!</v>
      </c>
      <c r="F144" s="870" t="e">
        <f>MAX(0,IF($AK$5=$C$9,F$9-DPR!#REF!,IF($AK$5=$C$10,F$10-DPR!#REF!,IF($AK$5=$C$11,F$11-DPR!#REF!))))</f>
        <v>#REF!</v>
      </c>
      <c r="G144" s="870" t="e">
        <f>MAX(0,IF($AK$5=$C$9,G$9-DPR!#REF!,IF($AK$5=$C$10,G$10-DPR!#REF!,IF($AK$5=$C$11,G$11-DPR!#REF!))))</f>
        <v>#REF!</v>
      </c>
      <c r="H144" s="870" t="e">
        <f>MAX(0,IF($AK$5=$C$9,H$9-DPR!#REF!,IF($AK$5=$C$10,H$10-DPR!#REF!,IF($AK$5=$C$11,H$11-DPR!#REF!))))</f>
        <v>#REF!</v>
      </c>
      <c r="I144" s="870" t="e">
        <f>MAX(0,IF($AK$5=$C$9,I$9-DPR!#REF!,IF($AK$5=$C$10,I$10-DPR!#REF!,IF($AK$5=$C$11,I$11-DPR!#REF!))))</f>
        <v>#REF!</v>
      </c>
      <c r="J144" s="870" t="e">
        <f>MAX(0,IF($AK$5=$C$9,J$9-DPR!#REF!,IF($AK$5=$C$10,J$10-DPR!#REF!,IF($AK$5=$C$11,J$11-DPR!#REF!))))</f>
        <v>#REF!</v>
      </c>
      <c r="K144" s="870" t="e">
        <f>MAX(0,IF($AK$5=$C$9,K$9-DPR!#REF!,IF($AK$5=$C$10,K$10-DPR!#REF!,IF($AK$5=$C$11,K$11-DPR!#REF!))))</f>
        <v>#REF!</v>
      </c>
      <c r="L144" s="870" t="e">
        <f>MAX(0,IF($AK$5=$C$9,L$9-DPR!#REF!,IF($AK$5=$C$10,L$10-DPR!#REF!,IF($AK$5=$C$11,L$11-DPR!#REF!))))</f>
        <v>#REF!</v>
      </c>
      <c r="M144" s="870" t="e">
        <f>MAX(0,IF($AK$5=$C$9,M$9-DPR!#REF!,IF($AK$5=$C$10,M$10-DPR!#REF!,IF($AK$5=$C$11,M$11-DPR!#REF!))))</f>
        <v>#REF!</v>
      </c>
      <c r="N144" s="870" t="e">
        <f>MAX(0,IF($AK$5=$C$9,N$9-DPR!#REF!,IF($AK$5=$C$10,N$10-DPR!#REF!,IF($AK$5=$C$11,N$11-DPR!#REF!))))</f>
        <v>#REF!</v>
      </c>
      <c r="O144" s="870" t="e">
        <f>MAX(0,IF($AK$5=$C$9,O$9-DPR!#REF!,IF($AK$5=$C$10,O$10-DPR!#REF!,IF($AK$5=$C$11,O$11-DPR!#REF!))))</f>
        <v>#REF!</v>
      </c>
      <c r="P144" s="870" t="e">
        <f>MAX(0,IF($AK$5=$C$9,P$9-DPR!#REF!,IF($AK$5=$C$10,P$10-DPR!#REF!,IF($AK$5=$C$11,P$11-DPR!#REF!))))</f>
        <v>#REF!</v>
      </c>
      <c r="Q144" s="870">
        <v>53</v>
      </c>
      <c r="R144" s="919" t="e">
        <f t="shared" si="7"/>
        <v>#REF!</v>
      </c>
      <c r="S144" s="878"/>
      <c r="T144" s="878"/>
      <c r="U144" s="878"/>
      <c r="V144" s="878"/>
      <c r="W144" s="878"/>
      <c r="X144" s="878"/>
      <c r="Y144" s="878"/>
      <c r="Z144" s="878"/>
      <c r="AA144" s="878"/>
      <c r="AB144" s="878"/>
      <c r="AC144" s="878"/>
      <c r="AD144" s="878"/>
      <c r="AE144" s="878"/>
      <c r="AF144" s="847"/>
      <c r="AG144" s="920">
        <f t="shared" si="8"/>
        <v>0</v>
      </c>
      <c r="AH144" s="888">
        <f t="shared" si="9"/>
        <v>202508</v>
      </c>
      <c r="AI144" t="e">
        <f>DPR!#REF!</f>
        <v>#REF!</v>
      </c>
    </row>
    <row r="145" spans="3:35" ht="15.75">
      <c r="C145" s="918">
        <v>45881</v>
      </c>
      <c r="D145" s="870" t="e">
        <f>MAX(0,IF($AK$5=$C$9,D$9-DPR!#REF!,IF($AK$5=$C$10,D$10-DPR!#REF!,IF($AK$5=$C$11,D$11-DPR!#REF!))))</f>
        <v>#REF!</v>
      </c>
      <c r="E145" s="870" t="e">
        <f>MAX(0,IF($AK$5=$C$9,E$9-DPR!#REF!,IF($AK$5=$C$10,E$10-DPR!#REF!,IF($AK$5=$C$11,E$11-DPR!#REF!))))</f>
        <v>#REF!</v>
      </c>
      <c r="F145" s="870" t="e">
        <f>MAX(0,IF($AK$5=$C$9,F$9-DPR!#REF!,IF($AK$5=$C$10,F$10-DPR!#REF!,IF($AK$5=$C$11,F$11-DPR!#REF!))))</f>
        <v>#REF!</v>
      </c>
      <c r="G145" s="870" t="e">
        <f>MAX(0,IF($AK$5=$C$9,G$9-DPR!#REF!,IF($AK$5=$C$10,G$10-DPR!#REF!,IF($AK$5=$C$11,G$11-DPR!#REF!))))</f>
        <v>#REF!</v>
      </c>
      <c r="H145" s="870" t="e">
        <f>MAX(0,IF($AK$5=$C$9,H$9-DPR!#REF!,IF($AK$5=$C$10,H$10-DPR!#REF!,IF($AK$5=$C$11,H$11-DPR!#REF!))))</f>
        <v>#REF!</v>
      </c>
      <c r="I145" s="870" t="e">
        <f>MAX(0,IF($AK$5=$C$9,I$9-DPR!#REF!,IF($AK$5=$C$10,I$10-DPR!#REF!,IF($AK$5=$C$11,I$11-DPR!#REF!))))</f>
        <v>#REF!</v>
      </c>
      <c r="J145" s="870" t="e">
        <f>MAX(0,IF($AK$5=$C$9,J$9-DPR!#REF!,IF($AK$5=$C$10,J$10-DPR!#REF!,IF($AK$5=$C$11,J$11-DPR!#REF!))))</f>
        <v>#REF!</v>
      </c>
      <c r="K145" s="870" t="e">
        <f>MAX(0,IF($AK$5=$C$9,K$9-DPR!#REF!,IF($AK$5=$C$10,K$10-DPR!#REF!,IF($AK$5=$C$11,K$11-DPR!#REF!))))</f>
        <v>#REF!</v>
      </c>
      <c r="L145" s="870" t="e">
        <f>MAX(0,IF($AK$5=$C$9,L$9-DPR!#REF!,IF($AK$5=$C$10,L$10-DPR!#REF!,IF($AK$5=$C$11,L$11-DPR!#REF!))))</f>
        <v>#REF!</v>
      </c>
      <c r="M145" s="870" t="e">
        <f>MAX(0,IF($AK$5=$C$9,M$9-DPR!#REF!,IF($AK$5=$C$10,M$10-DPR!#REF!,IF($AK$5=$C$11,M$11-DPR!#REF!))))</f>
        <v>#REF!</v>
      </c>
      <c r="N145" s="870" t="e">
        <f>MAX(0,IF($AK$5=$C$9,N$9-DPR!#REF!,IF($AK$5=$C$10,N$10-DPR!#REF!,IF($AK$5=$C$11,N$11-DPR!#REF!))))</f>
        <v>#REF!</v>
      </c>
      <c r="O145" s="870" t="e">
        <f>MAX(0,IF($AK$5=$C$9,O$9-DPR!#REF!,IF($AK$5=$C$10,O$10-DPR!#REF!,IF($AK$5=$C$11,O$11-DPR!#REF!))))</f>
        <v>#REF!</v>
      </c>
      <c r="P145" s="870" t="e">
        <f>MAX(0,IF($AK$5=$C$9,P$9-DPR!#REF!,IF($AK$5=$C$10,P$10-DPR!#REF!,IF($AK$5=$C$11,P$11-DPR!#REF!))))</f>
        <v>#REF!</v>
      </c>
      <c r="Q145" s="870">
        <v>54</v>
      </c>
      <c r="R145" s="919" t="e">
        <f t="shared" si="7"/>
        <v>#REF!</v>
      </c>
      <c r="S145" s="878"/>
      <c r="T145" s="878"/>
      <c r="U145" s="878"/>
      <c r="V145" s="878"/>
      <c r="W145" s="878"/>
      <c r="X145" s="878"/>
      <c r="Y145" s="878"/>
      <c r="Z145" s="878"/>
      <c r="AA145" s="878"/>
      <c r="AB145" s="878"/>
      <c r="AC145" s="878"/>
      <c r="AD145" s="878"/>
      <c r="AE145" s="878"/>
      <c r="AF145" s="847"/>
      <c r="AG145" s="920">
        <f t="shared" si="8"/>
        <v>0</v>
      </c>
      <c r="AH145" s="888">
        <f t="shared" si="9"/>
        <v>202508</v>
      </c>
      <c r="AI145" t="e">
        <f>DPR!#REF!</f>
        <v>#REF!</v>
      </c>
    </row>
    <row r="146" spans="3:35" ht="15.75">
      <c r="C146" s="918">
        <v>45882</v>
      </c>
      <c r="D146" s="870" t="e">
        <f>MAX(0,IF($AK$5=$C$9,D$9-DPR!#REF!,IF($AK$5=$C$10,D$10-DPR!#REF!,IF($AK$5=$C$11,D$11-DPR!#REF!))))</f>
        <v>#REF!</v>
      </c>
      <c r="E146" s="870" t="e">
        <f>MAX(0,IF($AK$5=$C$9,E$9-DPR!#REF!,IF($AK$5=$C$10,E$10-DPR!#REF!,IF($AK$5=$C$11,E$11-DPR!#REF!))))</f>
        <v>#REF!</v>
      </c>
      <c r="F146" s="870" t="e">
        <f>MAX(0,IF($AK$5=$C$9,F$9-DPR!#REF!,IF($AK$5=$C$10,F$10-DPR!#REF!,IF($AK$5=$C$11,F$11-DPR!#REF!))))</f>
        <v>#REF!</v>
      </c>
      <c r="G146" s="870" t="e">
        <f>MAX(0,IF($AK$5=$C$9,G$9-DPR!#REF!,IF($AK$5=$C$10,G$10-DPR!#REF!,IF($AK$5=$C$11,G$11-DPR!#REF!))))</f>
        <v>#REF!</v>
      </c>
      <c r="H146" s="870" t="e">
        <f>MAX(0,IF($AK$5=$C$9,H$9-DPR!#REF!,IF($AK$5=$C$10,H$10-DPR!#REF!,IF($AK$5=$C$11,H$11-DPR!#REF!))))</f>
        <v>#REF!</v>
      </c>
      <c r="I146" s="870" t="e">
        <f>MAX(0,IF($AK$5=$C$9,I$9-DPR!#REF!,IF($AK$5=$C$10,I$10-DPR!#REF!,IF($AK$5=$C$11,I$11-DPR!#REF!))))</f>
        <v>#REF!</v>
      </c>
      <c r="J146" s="870" t="e">
        <f>MAX(0,IF($AK$5=$C$9,J$9-DPR!#REF!,IF($AK$5=$C$10,J$10-DPR!#REF!,IF($AK$5=$C$11,J$11-DPR!#REF!))))</f>
        <v>#REF!</v>
      </c>
      <c r="K146" s="870" t="e">
        <f>MAX(0,IF($AK$5=$C$9,K$9-DPR!#REF!,IF($AK$5=$C$10,K$10-DPR!#REF!,IF($AK$5=$C$11,K$11-DPR!#REF!))))</f>
        <v>#REF!</v>
      </c>
      <c r="L146" s="870" t="e">
        <f>MAX(0,IF($AK$5=$C$9,L$9-DPR!#REF!,IF($AK$5=$C$10,L$10-DPR!#REF!,IF($AK$5=$C$11,L$11-DPR!#REF!))))</f>
        <v>#REF!</v>
      </c>
      <c r="M146" s="870" t="e">
        <f>MAX(0,IF($AK$5=$C$9,M$9-DPR!#REF!,IF($AK$5=$C$10,M$10-DPR!#REF!,IF($AK$5=$C$11,M$11-DPR!#REF!))))</f>
        <v>#REF!</v>
      </c>
      <c r="N146" s="870" t="e">
        <f>MAX(0,IF($AK$5=$C$9,N$9-DPR!#REF!,IF($AK$5=$C$10,N$10-DPR!#REF!,IF($AK$5=$C$11,N$11-DPR!#REF!))))</f>
        <v>#REF!</v>
      </c>
      <c r="O146" s="870" t="e">
        <f>MAX(0,IF($AK$5=$C$9,O$9-DPR!#REF!,IF($AK$5=$C$10,O$10-DPR!#REF!,IF($AK$5=$C$11,O$11-DPR!#REF!))))</f>
        <v>#REF!</v>
      </c>
      <c r="P146" s="870" t="e">
        <f>MAX(0,IF($AK$5=$C$9,P$9-DPR!#REF!,IF($AK$5=$C$10,P$10-DPR!#REF!,IF($AK$5=$C$11,P$11-DPR!#REF!))))</f>
        <v>#REF!</v>
      </c>
      <c r="Q146" s="870">
        <v>55</v>
      </c>
      <c r="R146" s="919" t="e">
        <f t="shared" si="7"/>
        <v>#REF!</v>
      </c>
      <c r="S146" s="878"/>
      <c r="T146" s="878"/>
      <c r="U146" s="878"/>
      <c r="V146" s="878"/>
      <c r="W146" s="878"/>
      <c r="X146" s="878"/>
      <c r="Y146" s="878"/>
      <c r="Z146" s="878"/>
      <c r="AA146" s="878"/>
      <c r="AB146" s="878"/>
      <c r="AC146" s="878"/>
      <c r="AD146" s="878"/>
      <c r="AE146" s="878"/>
      <c r="AF146" s="847"/>
      <c r="AG146" s="920">
        <f t="shared" si="8"/>
        <v>0</v>
      </c>
      <c r="AH146" s="888">
        <f t="shared" si="9"/>
        <v>202508</v>
      </c>
      <c r="AI146" t="e">
        <f>DPR!#REF!</f>
        <v>#REF!</v>
      </c>
    </row>
    <row r="147" spans="3:35" ht="15.75">
      <c r="C147" s="918">
        <v>45883</v>
      </c>
      <c r="D147" s="870" t="e">
        <f>MAX(0,IF($AK$5=$C$9,D$9-DPR!#REF!,IF($AK$5=$C$10,D$10-DPR!#REF!,IF($AK$5=$C$11,D$11-DPR!#REF!))))</f>
        <v>#REF!</v>
      </c>
      <c r="E147" s="870" t="e">
        <f>MAX(0,IF($AK$5=$C$9,E$9-DPR!#REF!,IF($AK$5=$C$10,E$10-DPR!#REF!,IF($AK$5=$C$11,E$11-DPR!#REF!))))</f>
        <v>#REF!</v>
      </c>
      <c r="F147" s="870" t="e">
        <f>MAX(0,IF($AK$5=$C$9,F$9-DPR!#REF!,IF($AK$5=$C$10,F$10-DPR!#REF!,IF($AK$5=$C$11,F$11-DPR!#REF!))))</f>
        <v>#REF!</v>
      </c>
      <c r="G147" s="870" t="e">
        <f>MAX(0,IF($AK$5=$C$9,G$9-DPR!#REF!,IF($AK$5=$C$10,G$10-DPR!#REF!,IF($AK$5=$C$11,G$11-DPR!#REF!))))</f>
        <v>#REF!</v>
      </c>
      <c r="H147" s="870" t="e">
        <f>MAX(0,IF($AK$5=$C$9,H$9-DPR!#REF!,IF($AK$5=$C$10,H$10-DPR!#REF!,IF($AK$5=$C$11,H$11-DPR!#REF!))))</f>
        <v>#REF!</v>
      </c>
      <c r="I147" s="870" t="e">
        <f>MAX(0,IF($AK$5=$C$9,I$9-DPR!#REF!,IF($AK$5=$C$10,I$10-DPR!#REF!,IF($AK$5=$C$11,I$11-DPR!#REF!))))</f>
        <v>#REF!</v>
      </c>
      <c r="J147" s="870" t="e">
        <f>MAX(0,IF($AK$5=$C$9,J$9-DPR!#REF!,IF($AK$5=$C$10,J$10-DPR!#REF!,IF($AK$5=$C$11,J$11-DPR!#REF!))))</f>
        <v>#REF!</v>
      </c>
      <c r="K147" s="870" t="e">
        <f>MAX(0,IF($AK$5=$C$9,K$9-DPR!#REF!,IF($AK$5=$C$10,K$10-DPR!#REF!,IF($AK$5=$C$11,K$11-DPR!#REF!))))</f>
        <v>#REF!</v>
      </c>
      <c r="L147" s="870" t="e">
        <f>MAX(0,IF($AK$5=$C$9,L$9-DPR!#REF!,IF($AK$5=$C$10,L$10-DPR!#REF!,IF($AK$5=$C$11,L$11-DPR!#REF!))))</f>
        <v>#REF!</v>
      </c>
      <c r="M147" s="870" t="e">
        <f>MAX(0,IF($AK$5=$C$9,M$9-DPR!#REF!,IF($AK$5=$C$10,M$10-DPR!#REF!,IF($AK$5=$C$11,M$11-DPR!#REF!))))</f>
        <v>#REF!</v>
      </c>
      <c r="N147" s="870" t="e">
        <f>MAX(0,IF($AK$5=$C$9,N$9-DPR!#REF!,IF($AK$5=$C$10,N$10-DPR!#REF!,IF($AK$5=$C$11,N$11-DPR!#REF!))))</f>
        <v>#REF!</v>
      </c>
      <c r="O147" s="870" t="e">
        <f>MAX(0,IF($AK$5=$C$9,O$9-DPR!#REF!,IF($AK$5=$C$10,O$10-DPR!#REF!,IF($AK$5=$C$11,O$11-DPR!#REF!))))</f>
        <v>#REF!</v>
      </c>
      <c r="P147" s="870" t="e">
        <f>MAX(0,IF($AK$5=$C$9,P$9-DPR!#REF!,IF($AK$5=$C$10,P$10-DPR!#REF!,IF($AK$5=$C$11,P$11-DPR!#REF!))))</f>
        <v>#REF!</v>
      </c>
      <c r="Q147" s="870">
        <v>56</v>
      </c>
      <c r="R147" s="919" t="e">
        <f t="shared" si="7"/>
        <v>#REF!</v>
      </c>
      <c r="S147" s="878"/>
      <c r="T147" s="878"/>
      <c r="U147" s="878"/>
      <c r="V147" s="878"/>
      <c r="W147" s="878"/>
      <c r="X147" s="878"/>
      <c r="Y147" s="878"/>
      <c r="Z147" s="878"/>
      <c r="AA147" s="878"/>
      <c r="AB147" s="878"/>
      <c r="AC147" s="878"/>
      <c r="AD147" s="878"/>
      <c r="AE147" s="878"/>
      <c r="AF147" s="847"/>
      <c r="AG147" s="920">
        <f t="shared" si="8"/>
        <v>0</v>
      </c>
      <c r="AH147" s="888">
        <f t="shared" si="9"/>
        <v>202508</v>
      </c>
      <c r="AI147" t="e">
        <f>DPR!#REF!</f>
        <v>#REF!</v>
      </c>
    </row>
    <row r="148" spans="3:35" ht="15.75">
      <c r="C148" s="918">
        <v>45884</v>
      </c>
      <c r="D148" s="870" t="e">
        <f>MAX(0,IF($AK$5=$C$9,D$9-DPR!#REF!,IF($AK$5=$C$10,D$10-DPR!#REF!,IF($AK$5=$C$11,D$11-DPR!#REF!))))</f>
        <v>#REF!</v>
      </c>
      <c r="E148" s="870" t="e">
        <f>MAX(0,IF($AK$5=$C$9,E$9-DPR!#REF!,IF($AK$5=$C$10,E$10-DPR!#REF!,IF($AK$5=$C$11,E$11-DPR!#REF!))))</f>
        <v>#REF!</v>
      </c>
      <c r="F148" s="870" t="e">
        <f>MAX(0,IF($AK$5=$C$9,F$9-DPR!#REF!,IF($AK$5=$C$10,F$10-DPR!#REF!,IF($AK$5=$C$11,F$11-DPR!#REF!))))</f>
        <v>#REF!</v>
      </c>
      <c r="G148" s="870" t="e">
        <f>MAX(0,IF($AK$5=$C$9,G$9-DPR!#REF!,IF($AK$5=$C$10,G$10-DPR!#REF!,IF($AK$5=$C$11,G$11-DPR!#REF!))))</f>
        <v>#REF!</v>
      </c>
      <c r="H148" s="870" t="e">
        <f>MAX(0,IF($AK$5=$C$9,H$9-DPR!#REF!,IF($AK$5=$C$10,H$10-DPR!#REF!,IF($AK$5=$C$11,H$11-DPR!#REF!))))</f>
        <v>#REF!</v>
      </c>
      <c r="I148" s="870" t="e">
        <f>MAX(0,IF($AK$5=$C$9,I$9-DPR!#REF!,IF($AK$5=$C$10,I$10-DPR!#REF!,IF($AK$5=$C$11,I$11-DPR!#REF!))))</f>
        <v>#REF!</v>
      </c>
      <c r="J148" s="870" t="e">
        <f>MAX(0,IF($AK$5=$C$9,J$9-DPR!#REF!,IF($AK$5=$C$10,J$10-DPR!#REF!,IF($AK$5=$C$11,J$11-DPR!#REF!))))</f>
        <v>#REF!</v>
      </c>
      <c r="K148" s="870" t="e">
        <f>MAX(0,IF($AK$5=$C$9,K$9-DPR!#REF!,IF($AK$5=$C$10,K$10-DPR!#REF!,IF($AK$5=$C$11,K$11-DPR!#REF!))))</f>
        <v>#REF!</v>
      </c>
      <c r="L148" s="870" t="e">
        <f>MAX(0,IF($AK$5=$C$9,L$9-DPR!#REF!,IF($AK$5=$C$10,L$10-DPR!#REF!,IF($AK$5=$C$11,L$11-DPR!#REF!))))</f>
        <v>#REF!</v>
      </c>
      <c r="M148" s="870" t="e">
        <f>MAX(0,IF($AK$5=$C$9,M$9-DPR!#REF!,IF($AK$5=$C$10,M$10-DPR!#REF!,IF($AK$5=$C$11,M$11-DPR!#REF!))))</f>
        <v>#REF!</v>
      </c>
      <c r="N148" s="870" t="e">
        <f>MAX(0,IF($AK$5=$C$9,N$9-DPR!#REF!,IF($AK$5=$C$10,N$10-DPR!#REF!,IF($AK$5=$C$11,N$11-DPR!#REF!))))</f>
        <v>#REF!</v>
      </c>
      <c r="O148" s="870" t="e">
        <f>MAX(0,IF($AK$5=$C$9,O$9-DPR!#REF!,IF($AK$5=$C$10,O$10-DPR!#REF!,IF($AK$5=$C$11,O$11-DPR!#REF!))))</f>
        <v>#REF!</v>
      </c>
      <c r="P148" s="870" t="e">
        <f>MAX(0,IF($AK$5=$C$9,P$9-DPR!#REF!,IF($AK$5=$C$10,P$10-DPR!#REF!,IF($AK$5=$C$11,P$11-DPR!#REF!))))</f>
        <v>#REF!</v>
      </c>
      <c r="Q148" s="870">
        <v>57</v>
      </c>
      <c r="R148" s="919" t="e">
        <f t="shared" si="7"/>
        <v>#REF!</v>
      </c>
      <c r="S148" s="878"/>
      <c r="T148" s="878"/>
      <c r="U148" s="878"/>
      <c r="V148" s="878"/>
      <c r="W148" s="878"/>
      <c r="X148" s="878"/>
      <c r="Y148" s="878"/>
      <c r="Z148" s="878"/>
      <c r="AA148" s="878"/>
      <c r="AB148" s="878"/>
      <c r="AC148" s="878"/>
      <c r="AD148" s="878"/>
      <c r="AE148" s="878"/>
      <c r="AF148" s="847"/>
      <c r="AG148" s="920">
        <f t="shared" si="8"/>
        <v>0</v>
      </c>
      <c r="AH148" s="888">
        <f t="shared" si="9"/>
        <v>202508</v>
      </c>
      <c r="AI148" t="e">
        <f>DPR!#REF!</f>
        <v>#REF!</v>
      </c>
    </row>
    <row r="149" spans="3:35" ht="15.75">
      <c r="C149" s="918">
        <v>45885</v>
      </c>
      <c r="D149" s="870" t="e">
        <f>MAX(0,IF($AK$5=$C$9,D$9-DPR!#REF!,IF($AK$5=$C$10,D$10-DPR!#REF!,IF($AK$5=$C$11,D$11-DPR!#REF!))))</f>
        <v>#REF!</v>
      </c>
      <c r="E149" s="870" t="e">
        <f>MAX(0,IF($AK$5=$C$9,E$9-DPR!#REF!,IF($AK$5=$C$10,E$10-DPR!#REF!,IF($AK$5=$C$11,E$11-DPR!#REF!))))</f>
        <v>#REF!</v>
      </c>
      <c r="F149" s="870" t="e">
        <f>MAX(0,IF($AK$5=$C$9,F$9-DPR!#REF!,IF($AK$5=$C$10,F$10-DPR!#REF!,IF($AK$5=$C$11,F$11-DPR!#REF!))))</f>
        <v>#REF!</v>
      </c>
      <c r="G149" s="870" t="e">
        <f>MAX(0,IF($AK$5=$C$9,G$9-DPR!#REF!,IF($AK$5=$C$10,G$10-DPR!#REF!,IF($AK$5=$C$11,G$11-DPR!#REF!))))</f>
        <v>#REF!</v>
      </c>
      <c r="H149" s="870" t="e">
        <f>MAX(0,IF($AK$5=$C$9,H$9-DPR!#REF!,IF($AK$5=$C$10,H$10-DPR!#REF!,IF($AK$5=$C$11,H$11-DPR!#REF!))))</f>
        <v>#REF!</v>
      </c>
      <c r="I149" s="870" t="e">
        <f>MAX(0,IF($AK$5=$C$9,I$9-DPR!#REF!,IF($AK$5=$C$10,I$10-DPR!#REF!,IF($AK$5=$C$11,I$11-DPR!#REF!))))</f>
        <v>#REF!</v>
      </c>
      <c r="J149" s="870" t="e">
        <f>MAX(0,IF($AK$5=$C$9,J$9-DPR!#REF!,IF($AK$5=$C$10,J$10-DPR!#REF!,IF($AK$5=$C$11,J$11-DPR!#REF!))))</f>
        <v>#REF!</v>
      </c>
      <c r="K149" s="870" t="e">
        <f>MAX(0,IF($AK$5=$C$9,K$9-DPR!#REF!,IF($AK$5=$C$10,K$10-DPR!#REF!,IF($AK$5=$C$11,K$11-DPR!#REF!))))</f>
        <v>#REF!</v>
      </c>
      <c r="L149" s="870" t="e">
        <f>MAX(0,IF($AK$5=$C$9,L$9-DPR!#REF!,IF($AK$5=$C$10,L$10-DPR!#REF!,IF($AK$5=$C$11,L$11-DPR!#REF!))))</f>
        <v>#REF!</v>
      </c>
      <c r="M149" s="870" t="e">
        <f>MAX(0,IF($AK$5=$C$9,M$9-DPR!#REF!,IF($AK$5=$C$10,M$10-DPR!#REF!,IF($AK$5=$C$11,M$11-DPR!#REF!))))</f>
        <v>#REF!</v>
      </c>
      <c r="N149" s="870" t="e">
        <f>MAX(0,IF($AK$5=$C$9,N$9-DPR!#REF!,IF($AK$5=$C$10,N$10-DPR!#REF!,IF($AK$5=$C$11,N$11-DPR!#REF!))))</f>
        <v>#REF!</v>
      </c>
      <c r="O149" s="870" t="e">
        <f>MAX(0,IF($AK$5=$C$9,O$9-DPR!#REF!,IF($AK$5=$C$10,O$10-DPR!#REF!,IF($AK$5=$C$11,O$11-DPR!#REF!))))</f>
        <v>#REF!</v>
      </c>
      <c r="P149" s="870" t="e">
        <f>MAX(0,IF($AK$5=$C$9,P$9-DPR!#REF!,IF($AK$5=$C$10,P$10-DPR!#REF!,IF($AK$5=$C$11,P$11-DPR!#REF!))))</f>
        <v>#REF!</v>
      </c>
      <c r="Q149" s="870">
        <v>58</v>
      </c>
      <c r="R149" s="919" t="e">
        <f t="shared" si="7"/>
        <v>#REF!</v>
      </c>
      <c r="S149" s="878"/>
      <c r="T149" s="878"/>
      <c r="U149" s="878"/>
      <c r="V149" s="878"/>
      <c r="W149" s="878"/>
      <c r="X149" s="878"/>
      <c r="Y149" s="878"/>
      <c r="Z149" s="878"/>
      <c r="AA149" s="878"/>
      <c r="AB149" s="878"/>
      <c r="AC149" s="878"/>
      <c r="AD149" s="878"/>
      <c r="AE149" s="878"/>
      <c r="AF149" s="847"/>
      <c r="AG149" s="920">
        <f t="shared" si="8"/>
        <v>0</v>
      </c>
      <c r="AH149" s="888">
        <f t="shared" si="9"/>
        <v>202508</v>
      </c>
      <c r="AI149" t="e">
        <f>DPR!#REF!</f>
        <v>#REF!</v>
      </c>
    </row>
    <row r="150" spans="3:35" ht="15.75">
      <c r="C150" s="918">
        <v>45886</v>
      </c>
      <c r="D150" s="870" t="e">
        <f>MAX(0,IF($AK$5=$C$9,D$9-DPR!#REF!,IF($AK$5=$C$10,D$10-DPR!#REF!,IF($AK$5=$C$11,D$11-DPR!#REF!))))</f>
        <v>#REF!</v>
      </c>
      <c r="E150" s="870" t="e">
        <f>MAX(0,IF($AK$5=$C$9,E$9-DPR!#REF!,IF($AK$5=$C$10,E$10-DPR!#REF!,IF($AK$5=$C$11,E$11-DPR!#REF!))))</f>
        <v>#REF!</v>
      </c>
      <c r="F150" s="870" t="e">
        <f>MAX(0,IF($AK$5=$C$9,F$9-DPR!#REF!,IF($AK$5=$C$10,F$10-DPR!#REF!,IF($AK$5=$C$11,F$11-DPR!#REF!))))</f>
        <v>#REF!</v>
      </c>
      <c r="G150" s="870" t="e">
        <f>MAX(0,IF($AK$5=$C$9,G$9-DPR!#REF!,IF($AK$5=$C$10,G$10-DPR!#REF!,IF($AK$5=$C$11,G$11-DPR!#REF!))))</f>
        <v>#REF!</v>
      </c>
      <c r="H150" s="870" t="e">
        <f>MAX(0,IF($AK$5=$C$9,H$9-DPR!#REF!,IF($AK$5=$C$10,H$10-DPR!#REF!,IF($AK$5=$C$11,H$11-DPR!#REF!))))</f>
        <v>#REF!</v>
      </c>
      <c r="I150" s="870" t="e">
        <f>MAX(0,IF($AK$5=$C$9,I$9-DPR!#REF!,IF($AK$5=$C$10,I$10-DPR!#REF!,IF($AK$5=$C$11,I$11-DPR!#REF!))))</f>
        <v>#REF!</v>
      </c>
      <c r="J150" s="870" t="e">
        <f>MAX(0,IF($AK$5=$C$9,J$9-DPR!#REF!,IF($AK$5=$C$10,J$10-DPR!#REF!,IF($AK$5=$C$11,J$11-DPR!#REF!))))</f>
        <v>#REF!</v>
      </c>
      <c r="K150" s="870" t="e">
        <f>MAX(0,IF($AK$5=$C$9,K$9-DPR!#REF!,IF($AK$5=$C$10,K$10-DPR!#REF!,IF($AK$5=$C$11,K$11-DPR!#REF!))))</f>
        <v>#REF!</v>
      </c>
      <c r="L150" s="870" t="e">
        <f>MAX(0,IF($AK$5=$C$9,L$9-DPR!#REF!,IF($AK$5=$C$10,L$10-DPR!#REF!,IF($AK$5=$C$11,L$11-DPR!#REF!))))</f>
        <v>#REF!</v>
      </c>
      <c r="M150" s="870" t="e">
        <f>MAX(0,IF($AK$5=$C$9,M$9-DPR!#REF!,IF($AK$5=$C$10,M$10-DPR!#REF!,IF($AK$5=$C$11,M$11-DPR!#REF!))))</f>
        <v>#REF!</v>
      </c>
      <c r="N150" s="870" t="e">
        <f>MAX(0,IF($AK$5=$C$9,N$9-DPR!#REF!,IF($AK$5=$C$10,N$10-DPR!#REF!,IF($AK$5=$C$11,N$11-DPR!#REF!))))</f>
        <v>#REF!</v>
      </c>
      <c r="O150" s="870" t="e">
        <f>MAX(0,IF($AK$5=$C$9,O$9-DPR!#REF!,IF($AK$5=$C$10,O$10-DPR!#REF!,IF($AK$5=$C$11,O$11-DPR!#REF!))))</f>
        <v>#REF!</v>
      </c>
      <c r="P150" s="870" t="e">
        <f>MAX(0,IF($AK$5=$C$9,P$9-DPR!#REF!,IF($AK$5=$C$10,P$10-DPR!#REF!,IF($AK$5=$C$11,P$11-DPR!#REF!))))</f>
        <v>#REF!</v>
      </c>
      <c r="Q150" s="870">
        <v>59</v>
      </c>
      <c r="R150" s="919" t="e">
        <f t="shared" si="7"/>
        <v>#REF!</v>
      </c>
      <c r="S150" s="878"/>
      <c r="T150" s="878"/>
      <c r="U150" s="878"/>
      <c r="V150" s="878"/>
      <c r="W150" s="878"/>
      <c r="X150" s="878"/>
      <c r="Y150" s="878"/>
      <c r="Z150" s="878"/>
      <c r="AA150" s="878"/>
      <c r="AB150" s="878"/>
      <c r="AC150" s="878"/>
      <c r="AD150" s="878"/>
      <c r="AE150" s="878"/>
      <c r="AF150" s="847"/>
      <c r="AG150" s="920">
        <f t="shared" si="8"/>
        <v>0</v>
      </c>
      <c r="AH150" s="888">
        <f t="shared" si="9"/>
        <v>202508</v>
      </c>
      <c r="AI150" t="e">
        <f>DPR!#REF!</f>
        <v>#REF!</v>
      </c>
    </row>
    <row r="151" spans="3:35" ht="15.75">
      <c r="C151" s="918">
        <v>45887</v>
      </c>
      <c r="D151" s="870" t="e">
        <f>MAX(0,IF($AK$5=$C$9,D$9-DPR!#REF!,IF($AK$5=$C$10,D$10-DPR!#REF!,IF($AK$5=$C$11,D$11-DPR!#REF!))))</f>
        <v>#REF!</v>
      </c>
      <c r="E151" s="870" t="e">
        <f>MAX(0,IF($AK$5=$C$9,E$9-DPR!#REF!,IF($AK$5=$C$10,E$10-DPR!#REF!,IF($AK$5=$C$11,E$11-DPR!#REF!))))</f>
        <v>#REF!</v>
      </c>
      <c r="F151" s="870" t="e">
        <f>MAX(0,IF($AK$5=$C$9,F$9-DPR!#REF!,IF($AK$5=$C$10,F$10-DPR!#REF!,IF($AK$5=$C$11,F$11-DPR!#REF!))))</f>
        <v>#REF!</v>
      </c>
      <c r="G151" s="870" t="e">
        <f>MAX(0,IF($AK$5=$C$9,G$9-DPR!#REF!,IF($AK$5=$C$10,G$10-DPR!#REF!,IF($AK$5=$C$11,G$11-DPR!#REF!))))</f>
        <v>#REF!</v>
      </c>
      <c r="H151" s="870" t="e">
        <f>MAX(0,IF($AK$5=$C$9,H$9-DPR!#REF!,IF($AK$5=$C$10,H$10-DPR!#REF!,IF($AK$5=$C$11,H$11-DPR!#REF!))))</f>
        <v>#REF!</v>
      </c>
      <c r="I151" s="870" t="e">
        <f>MAX(0,IF($AK$5=$C$9,I$9-DPR!#REF!,IF($AK$5=$C$10,I$10-DPR!#REF!,IF($AK$5=$C$11,I$11-DPR!#REF!))))</f>
        <v>#REF!</v>
      </c>
      <c r="J151" s="870" t="e">
        <f>MAX(0,IF($AK$5=$C$9,J$9-DPR!#REF!,IF($AK$5=$C$10,J$10-DPR!#REF!,IF($AK$5=$C$11,J$11-DPR!#REF!))))</f>
        <v>#REF!</v>
      </c>
      <c r="K151" s="870" t="e">
        <f>MAX(0,IF($AK$5=$C$9,K$9-DPR!#REF!,IF($AK$5=$C$10,K$10-DPR!#REF!,IF($AK$5=$C$11,K$11-DPR!#REF!))))</f>
        <v>#REF!</v>
      </c>
      <c r="L151" s="870" t="e">
        <f>MAX(0,IF($AK$5=$C$9,L$9-DPR!#REF!,IF($AK$5=$C$10,L$10-DPR!#REF!,IF($AK$5=$C$11,L$11-DPR!#REF!))))</f>
        <v>#REF!</v>
      </c>
      <c r="M151" s="870" t="e">
        <f>MAX(0,IF($AK$5=$C$9,M$9-DPR!#REF!,IF($AK$5=$C$10,M$10-DPR!#REF!,IF($AK$5=$C$11,M$11-DPR!#REF!))))</f>
        <v>#REF!</v>
      </c>
      <c r="N151" s="870" t="e">
        <f>MAX(0,IF($AK$5=$C$9,N$9-DPR!#REF!,IF($AK$5=$C$10,N$10-DPR!#REF!,IF($AK$5=$C$11,N$11-DPR!#REF!))))</f>
        <v>#REF!</v>
      </c>
      <c r="O151" s="870" t="e">
        <f>MAX(0,IF($AK$5=$C$9,O$9-DPR!#REF!,IF($AK$5=$C$10,O$10-DPR!#REF!,IF($AK$5=$C$11,O$11-DPR!#REF!))))</f>
        <v>#REF!</v>
      </c>
      <c r="P151" s="870" t="e">
        <f>MAX(0,IF($AK$5=$C$9,P$9-DPR!#REF!,IF($AK$5=$C$10,P$10-DPR!#REF!,IF($AK$5=$C$11,P$11-DPR!#REF!))))</f>
        <v>#REF!</v>
      </c>
      <c r="Q151" s="870">
        <v>60</v>
      </c>
      <c r="R151" s="919" t="e">
        <f t="shared" si="7"/>
        <v>#REF!</v>
      </c>
      <c r="S151" s="878"/>
      <c r="T151" s="878"/>
      <c r="U151" s="878"/>
      <c r="V151" s="878"/>
      <c r="W151" s="878"/>
      <c r="X151" s="878"/>
      <c r="Y151" s="878"/>
      <c r="Z151" s="878"/>
      <c r="AA151" s="878"/>
      <c r="AB151" s="878"/>
      <c r="AC151" s="878"/>
      <c r="AD151" s="878"/>
      <c r="AE151" s="878"/>
      <c r="AF151" s="847"/>
      <c r="AG151" s="920">
        <f t="shared" si="8"/>
        <v>0</v>
      </c>
      <c r="AH151" s="888">
        <f t="shared" si="9"/>
        <v>202508</v>
      </c>
      <c r="AI151" t="e">
        <f>DPR!#REF!</f>
        <v>#REF!</v>
      </c>
    </row>
    <row r="152" spans="3:35" ht="15.75">
      <c r="C152" s="918">
        <v>45888</v>
      </c>
      <c r="D152" s="870" t="e">
        <f>MAX(0,IF($AK$5=$C$9,D$9-DPR!#REF!,IF($AK$5=$C$10,D$10-DPR!#REF!,IF($AK$5=$C$11,D$11-DPR!#REF!))))</f>
        <v>#REF!</v>
      </c>
      <c r="E152" s="870" t="e">
        <f>MAX(0,IF($AK$5=$C$9,E$9-DPR!#REF!,IF($AK$5=$C$10,E$10-DPR!#REF!,IF($AK$5=$C$11,E$11-DPR!#REF!))))</f>
        <v>#REF!</v>
      </c>
      <c r="F152" s="870" t="e">
        <f>MAX(0,IF($AK$5=$C$9,F$9-DPR!#REF!,IF($AK$5=$C$10,F$10-DPR!#REF!,IF($AK$5=$C$11,F$11-DPR!#REF!))))</f>
        <v>#REF!</v>
      </c>
      <c r="G152" s="870" t="e">
        <f>MAX(0,IF($AK$5=$C$9,G$9-DPR!#REF!,IF($AK$5=$C$10,G$10-DPR!#REF!,IF($AK$5=$C$11,G$11-DPR!#REF!))))</f>
        <v>#REF!</v>
      </c>
      <c r="H152" s="870" t="e">
        <f>MAX(0,IF($AK$5=$C$9,H$9-DPR!#REF!,IF($AK$5=$C$10,H$10-DPR!#REF!,IF($AK$5=$C$11,H$11-DPR!#REF!))))</f>
        <v>#REF!</v>
      </c>
      <c r="I152" s="870" t="e">
        <f>MAX(0,IF($AK$5=$C$9,I$9-DPR!#REF!,IF($AK$5=$C$10,I$10-DPR!#REF!,IF($AK$5=$C$11,I$11-DPR!#REF!))))</f>
        <v>#REF!</v>
      </c>
      <c r="J152" s="870" t="e">
        <f>MAX(0,IF($AK$5=$C$9,J$9-DPR!#REF!,IF($AK$5=$C$10,J$10-DPR!#REF!,IF($AK$5=$C$11,J$11-DPR!#REF!))))</f>
        <v>#REF!</v>
      </c>
      <c r="K152" s="870" t="e">
        <f>MAX(0,IF($AK$5=$C$9,K$9-DPR!#REF!,IF($AK$5=$C$10,K$10-DPR!#REF!,IF($AK$5=$C$11,K$11-DPR!#REF!))))</f>
        <v>#REF!</v>
      </c>
      <c r="L152" s="870" t="e">
        <f>MAX(0,IF($AK$5=$C$9,L$9-DPR!#REF!,IF($AK$5=$C$10,L$10-DPR!#REF!,IF($AK$5=$C$11,L$11-DPR!#REF!))))</f>
        <v>#REF!</v>
      </c>
      <c r="M152" s="870" t="e">
        <f>MAX(0,IF($AK$5=$C$9,M$9-DPR!#REF!,IF($AK$5=$C$10,M$10-DPR!#REF!,IF($AK$5=$C$11,M$11-DPR!#REF!))))</f>
        <v>#REF!</v>
      </c>
      <c r="N152" s="870" t="e">
        <f>MAX(0,IF($AK$5=$C$9,N$9-DPR!#REF!,IF($AK$5=$C$10,N$10-DPR!#REF!,IF($AK$5=$C$11,N$11-DPR!#REF!))))</f>
        <v>#REF!</v>
      </c>
      <c r="O152" s="870" t="e">
        <f>MAX(0,IF($AK$5=$C$9,O$9-DPR!#REF!,IF($AK$5=$C$10,O$10-DPR!#REF!,IF($AK$5=$C$11,O$11-DPR!#REF!))))</f>
        <v>#REF!</v>
      </c>
      <c r="P152" s="870" t="e">
        <f>MAX(0,IF($AK$5=$C$9,P$9-DPR!#REF!,IF($AK$5=$C$10,P$10-DPR!#REF!,IF($AK$5=$C$11,P$11-DPR!#REF!))))</f>
        <v>#REF!</v>
      </c>
      <c r="Q152" s="870">
        <v>61</v>
      </c>
      <c r="R152" s="919" t="e">
        <f t="shared" si="7"/>
        <v>#REF!</v>
      </c>
      <c r="S152" s="878"/>
      <c r="T152" s="878"/>
      <c r="U152" s="878"/>
      <c r="V152" s="878"/>
      <c r="W152" s="878"/>
      <c r="X152" s="878"/>
      <c r="Y152" s="878"/>
      <c r="Z152" s="878"/>
      <c r="AA152" s="878"/>
      <c r="AB152" s="878"/>
      <c r="AC152" s="878"/>
      <c r="AD152" s="878"/>
      <c r="AE152" s="878"/>
      <c r="AF152" s="847"/>
      <c r="AG152" s="920">
        <f t="shared" si="8"/>
        <v>0</v>
      </c>
      <c r="AH152" s="888">
        <f t="shared" si="9"/>
        <v>202508</v>
      </c>
      <c r="AI152" t="e">
        <f>DPR!#REF!</f>
        <v>#REF!</v>
      </c>
    </row>
    <row r="153" spans="3:35" ht="15.75">
      <c r="C153" s="918">
        <v>45889</v>
      </c>
      <c r="D153" s="870" t="e">
        <f>MAX(0,IF($AK$5=$C$9,D$9-DPR!#REF!,IF($AK$5=$C$10,D$10-DPR!#REF!,IF($AK$5=$C$11,D$11-DPR!#REF!))))</f>
        <v>#REF!</v>
      </c>
      <c r="E153" s="870" t="e">
        <f>MAX(0,IF($AK$5=$C$9,E$9-DPR!#REF!,IF($AK$5=$C$10,E$10-DPR!#REF!,IF($AK$5=$C$11,E$11-DPR!#REF!))))</f>
        <v>#REF!</v>
      </c>
      <c r="F153" s="870" t="e">
        <f>MAX(0,IF($AK$5=$C$9,F$9-DPR!#REF!,IF($AK$5=$C$10,F$10-DPR!#REF!,IF($AK$5=$C$11,F$11-DPR!#REF!))))</f>
        <v>#REF!</v>
      </c>
      <c r="G153" s="870" t="e">
        <f>MAX(0,IF($AK$5=$C$9,G$9-DPR!#REF!,IF($AK$5=$C$10,G$10-DPR!#REF!,IF($AK$5=$C$11,G$11-DPR!#REF!))))</f>
        <v>#REF!</v>
      </c>
      <c r="H153" s="870" t="e">
        <f>MAX(0,IF($AK$5=$C$9,H$9-DPR!#REF!,IF($AK$5=$C$10,H$10-DPR!#REF!,IF($AK$5=$C$11,H$11-DPR!#REF!))))</f>
        <v>#REF!</v>
      </c>
      <c r="I153" s="870" t="e">
        <f>MAX(0,IF($AK$5=$C$9,I$9-DPR!#REF!,IF($AK$5=$C$10,I$10-DPR!#REF!,IF($AK$5=$C$11,I$11-DPR!#REF!))))</f>
        <v>#REF!</v>
      </c>
      <c r="J153" s="870" t="e">
        <f>MAX(0,IF($AK$5=$C$9,J$9-DPR!#REF!,IF($AK$5=$C$10,J$10-DPR!#REF!,IF($AK$5=$C$11,J$11-DPR!#REF!))))</f>
        <v>#REF!</v>
      </c>
      <c r="K153" s="870" t="e">
        <f>MAX(0,IF($AK$5=$C$9,K$9-DPR!#REF!,IF($AK$5=$C$10,K$10-DPR!#REF!,IF($AK$5=$C$11,K$11-DPR!#REF!))))</f>
        <v>#REF!</v>
      </c>
      <c r="L153" s="870" t="e">
        <f>MAX(0,IF($AK$5=$C$9,L$9-DPR!#REF!,IF($AK$5=$C$10,L$10-DPR!#REF!,IF($AK$5=$C$11,L$11-DPR!#REF!))))</f>
        <v>#REF!</v>
      </c>
      <c r="M153" s="870" t="e">
        <f>MAX(0,IF($AK$5=$C$9,M$9-DPR!#REF!,IF($AK$5=$C$10,M$10-DPR!#REF!,IF($AK$5=$C$11,M$11-DPR!#REF!))))</f>
        <v>#REF!</v>
      </c>
      <c r="N153" s="870" t="e">
        <f>MAX(0,IF($AK$5=$C$9,N$9-DPR!#REF!,IF($AK$5=$C$10,N$10-DPR!#REF!,IF($AK$5=$C$11,N$11-DPR!#REF!))))</f>
        <v>#REF!</v>
      </c>
      <c r="O153" s="870" t="e">
        <f>MAX(0,IF($AK$5=$C$9,O$9-DPR!#REF!,IF($AK$5=$C$10,O$10-DPR!#REF!,IF($AK$5=$C$11,O$11-DPR!#REF!))))</f>
        <v>#REF!</v>
      </c>
      <c r="P153" s="870" t="e">
        <f>MAX(0,IF($AK$5=$C$9,P$9-DPR!#REF!,IF($AK$5=$C$10,P$10-DPR!#REF!,IF($AK$5=$C$11,P$11-DPR!#REF!))))</f>
        <v>#REF!</v>
      </c>
      <c r="Q153" s="870">
        <v>62</v>
      </c>
      <c r="R153" s="919" t="e">
        <f t="shared" si="7"/>
        <v>#REF!</v>
      </c>
      <c r="S153" s="878"/>
      <c r="T153" s="878"/>
      <c r="U153" s="878"/>
      <c r="V153" s="878"/>
      <c r="W153" s="878"/>
      <c r="X153" s="878"/>
      <c r="Y153" s="878"/>
      <c r="Z153" s="878"/>
      <c r="AA153" s="878"/>
      <c r="AB153" s="878"/>
      <c r="AC153" s="878"/>
      <c r="AD153" s="878"/>
      <c r="AE153" s="878"/>
      <c r="AF153" s="847"/>
      <c r="AG153" s="920">
        <f t="shared" si="8"/>
        <v>0</v>
      </c>
      <c r="AH153" s="888">
        <f t="shared" si="9"/>
        <v>202508</v>
      </c>
      <c r="AI153" t="e">
        <f>DPR!#REF!</f>
        <v>#REF!</v>
      </c>
    </row>
    <row r="154" spans="3:35" ht="15.75">
      <c r="C154" s="918">
        <v>45890</v>
      </c>
      <c r="D154" s="870" t="e">
        <f>MAX(0,IF($AK$5=$C$9,D$9-DPR!#REF!,IF($AK$5=$C$10,D$10-DPR!#REF!,IF($AK$5=$C$11,D$11-DPR!#REF!))))</f>
        <v>#REF!</v>
      </c>
      <c r="E154" s="870" t="e">
        <f>MAX(0,IF($AK$5=$C$9,E$9-DPR!#REF!,IF($AK$5=$C$10,E$10-DPR!#REF!,IF($AK$5=$C$11,E$11-DPR!#REF!))))</f>
        <v>#REF!</v>
      </c>
      <c r="F154" s="870" t="e">
        <f>MAX(0,IF($AK$5=$C$9,F$9-DPR!#REF!,IF($AK$5=$C$10,F$10-DPR!#REF!,IF($AK$5=$C$11,F$11-DPR!#REF!))))</f>
        <v>#REF!</v>
      </c>
      <c r="G154" s="870" t="e">
        <f>MAX(0,IF($AK$5=$C$9,G$9-DPR!#REF!,IF($AK$5=$C$10,G$10-DPR!#REF!,IF($AK$5=$C$11,G$11-DPR!#REF!))))</f>
        <v>#REF!</v>
      </c>
      <c r="H154" s="870" t="e">
        <f>MAX(0,IF($AK$5=$C$9,H$9-DPR!#REF!,IF($AK$5=$C$10,H$10-DPR!#REF!,IF($AK$5=$C$11,H$11-DPR!#REF!))))</f>
        <v>#REF!</v>
      </c>
      <c r="I154" s="870" t="e">
        <f>MAX(0,IF($AK$5=$C$9,I$9-DPR!#REF!,IF($AK$5=$C$10,I$10-DPR!#REF!,IF($AK$5=$C$11,I$11-DPR!#REF!))))</f>
        <v>#REF!</v>
      </c>
      <c r="J154" s="870" t="e">
        <f>MAX(0,IF($AK$5=$C$9,J$9-DPR!#REF!,IF($AK$5=$C$10,J$10-DPR!#REF!,IF($AK$5=$C$11,J$11-DPR!#REF!))))</f>
        <v>#REF!</v>
      </c>
      <c r="K154" s="870" t="e">
        <f>MAX(0,IF($AK$5=$C$9,K$9-DPR!#REF!,IF($AK$5=$C$10,K$10-DPR!#REF!,IF($AK$5=$C$11,K$11-DPR!#REF!))))</f>
        <v>#REF!</v>
      </c>
      <c r="L154" s="870" t="e">
        <f>MAX(0,IF($AK$5=$C$9,L$9-DPR!#REF!,IF($AK$5=$C$10,L$10-DPR!#REF!,IF($AK$5=$C$11,L$11-DPR!#REF!))))</f>
        <v>#REF!</v>
      </c>
      <c r="M154" s="870" t="e">
        <f>MAX(0,IF($AK$5=$C$9,M$9-DPR!#REF!,IF($AK$5=$C$10,M$10-DPR!#REF!,IF($AK$5=$C$11,M$11-DPR!#REF!))))</f>
        <v>#REF!</v>
      </c>
      <c r="N154" s="870" t="e">
        <f>MAX(0,IF($AK$5=$C$9,N$9-DPR!#REF!,IF($AK$5=$C$10,N$10-DPR!#REF!,IF($AK$5=$C$11,N$11-DPR!#REF!))))</f>
        <v>#REF!</v>
      </c>
      <c r="O154" s="870" t="e">
        <f>MAX(0,IF($AK$5=$C$9,O$9-DPR!#REF!,IF($AK$5=$C$10,O$10-DPR!#REF!,IF($AK$5=$C$11,O$11-DPR!#REF!))))</f>
        <v>#REF!</v>
      </c>
      <c r="P154" s="870" t="e">
        <f>MAX(0,IF($AK$5=$C$9,P$9-DPR!#REF!,IF($AK$5=$C$10,P$10-DPR!#REF!,IF($AK$5=$C$11,P$11-DPR!#REF!))))</f>
        <v>#REF!</v>
      </c>
      <c r="Q154" s="870">
        <v>63</v>
      </c>
      <c r="R154" s="919" t="e">
        <f t="shared" si="7"/>
        <v>#REF!</v>
      </c>
      <c r="S154" s="878"/>
      <c r="T154" s="878"/>
      <c r="U154" s="878"/>
      <c r="V154" s="878"/>
      <c r="W154" s="878"/>
      <c r="X154" s="878"/>
      <c r="Y154" s="878"/>
      <c r="Z154" s="878"/>
      <c r="AA154" s="878"/>
      <c r="AB154" s="878"/>
      <c r="AC154" s="878"/>
      <c r="AD154" s="878"/>
      <c r="AE154" s="878"/>
      <c r="AF154" s="847"/>
      <c r="AG154" s="920">
        <f t="shared" si="8"/>
        <v>0</v>
      </c>
      <c r="AH154" s="888">
        <f t="shared" si="9"/>
        <v>202508</v>
      </c>
      <c r="AI154" t="e">
        <f>DPR!#REF!</f>
        <v>#REF!</v>
      </c>
    </row>
    <row r="155" spans="3:35" ht="15.75">
      <c r="C155" s="918">
        <v>45891</v>
      </c>
      <c r="D155" s="870" t="e">
        <f>MAX(0,IF($AK$5=$C$9,D$9-DPR!#REF!,IF($AK$5=$C$10,D$10-DPR!#REF!,IF($AK$5=$C$11,D$11-DPR!#REF!))))</f>
        <v>#REF!</v>
      </c>
      <c r="E155" s="870" t="e">
        <f>MAX(0,IF($AK$5=$C$9,E$9-DPR!#REF!,IF($AK$5=$C$10,E$10-DPR!#REF!,IF($AK$5=$C$11,E$11-DPR!#REF!))))</f>
        <v>#REF!</v>
      </c>
      <c r="F155" s="870" t="e">
        <f>MAX(0,IF($AK$5=$C$9,F$9-DPR!#REF!,IF($AK$5=$C$10,F$10-DPR!#REF!,IF($AK$5=$C$11,F$11-DPR!#REF!))))</f>
        <v>#REF!</v>
      </c>
      <c r="G155" s="870" t="e">
        <f>MAX(0,IF($AK$5=$C$9,G$9-DPR!#REF!,IF($AK$5=$C$10,G$10-DPR!#REF!,IF($AK$5=$C$11,G$11-DPR!#REF!))))</f>
        <v>#REF!</v>
      </c>
      <c r="H155" s="870" t="e">
        <f>MAX(0,IF($AK$5=$C$9,H$9-DPR!#REF!,IF($AK$5=$C$10,H$10-DPR!#REF!,IF($AK$5=$C$11,H$11-DPR!#REF!))))</f>
        <v>#REF!</v>
      </c>
      <c r="I155" s="870" t="e">
        <f>MAX(0,IF($AK$5=$C$9,I$9-DPR!#REF!,IF($AK$5=$C$10,I$10-DPR!#REF!,IF($AK$5=$C$11,I$11-DPR!#REF!))))</f>
        <v>#REF!</v>
      </c>
      <c r="J155" s="870" t="e">
        <f>MAX(0,IF($AK$5=$C$9,J$9-DPR!#REF!,IF($AK$5=$C$10,J$10-DPR!#REF!,IF($AK$5=$C$11,J$11-DPR!#REF!))))</f>
        <v>#REF!</v>
      </c>
      <c r="K155" s="870" t="e">
        <f>MAX(0,IF($AK$5=$C$9,K$9-DPR!#REF!,IF($AK$5=$C$10,K$10-DPR!#REF!,IF($AK$5=$C$11,K$11-DPR!#REF!))))</f>
        <v>#REF!</v>
      </c>
      <c r="L155" s="870" t="e">
        <f>MAX(0,IF($AK$5=$C$9,L$9-DPR!#REF!,IF($AK$5=$C$10,L$10-DPR!#REF!,IF($AK$5=$C$11,L$11-DPR!#REF!))))</f>
        <v>#REF!</v>
      </c>
      <c r="M155" s="870" t="e">
        <f>MAX(0,IF($AK$5=$C$9,M$9-DPR!#REF!,IF($AK$5=$C$10,M$10-DPR!#REF!,IF($AK$5=$C$11,M$11-DPR!#REF!))))</f>
        <v>#REF!</v>
      </c>
      <c r="N155" s="870" t="e">
        <f>MAX(0,IF($AK$5=$C$9,N$9-DPR!#REF!,IF($AK$5=$C$10,N$10-DPR!#REF!,IF($AK$5=$C$11,N$11-DPR!#REF!))))</f>
        <v>#REF!</v>
      </c>
      <c r="O155" s="870" t="e">
        <f>MAX(0,IF($AK$5=$C$9,O$9-DPR!#REF!,IF($AK$5=$C$10,O$10-DPR!#REF!,IF($AK$5=$C$11,O$11-DPR!#REF!))))</f>
        <v>#REF!</v>
      </c>
      <c r="P155" s="870" t="e">
        <f>MAX(0,IF($AK$5=$C$9,P$9-DPR!#REF!,IF($AK$5=$C$10,P$10-DPR!#REF!,IF($AK$5=$C$11,P$11-DPR!#REF!))))</f>
        <v>#REF!</v>
      </c>
      <c r="Q155" s="870">
        <v>64</v>
      </c>
      <c r="R155" s="919" t="e">
        <f t="shared" si="7"/>
        <v>#REF!</v>
      </c>
      <c r="S155" s="878"/>
      <c r="T155" s="878"/>
      <c r="U155" s="878"/>
      <c r="V155" s="878"/>
      <c r="W155" s="878"/>
      <c r="X155" s="878"/>
      <c r="Y155" s="878"/>
      <c r="Z155" s="878"/>
      <c r="AA155" s="878"/>
      <c r="AB155" s="878"/>
      <c r="AC155" s="878"/>
      <c r="AD155" s="878"/>
      <c r="AE155" s="878"/>
      <c r="AF155" s="847"/>
      <c r="AG155" s="920">
        <f t="shared" si="8"/>
        <v>0</v>
      </c>
      <c r="AH155" s="888">
        <f t="shared" si="9"/>
        <v>202508</v>
      </c>
      <c r="AI155" t="e">
        <f>DPR!#REF!</f>
        <v>#REF!</v>
      </c>
    </row>
    <row r="156" spans="3:35" ht="15.75">
      <c r="C156" s="918">
        <v>45892</v>
      </c>
      <c r="D156" s="870" t="e">
        <f>MAX(0,IF($AK$5=$C$9,D$9-DPR!#REF!,IF($AK$5=$C$10,D$10-DPR!#REF!,IF($AK$5=$C$11,D$11-DPR!#REF!))))</f>
        <v>#REF!</v>
      </c>
      <c r="E156" s="870" t="e">
        <f>MAX(0,IF($AK$5=$C$9,E$9-DPR!#REF!,IF($AK$5=$C$10,E$10-DPR!#REF!,IF($AK$5=$C$11,E$11-DPR!#REF!))))</f>
        <v>#REF!</v>
      </c>
      <c r="F156" s="870" t="e">
        <f>MAX(0,IF($AK$5=$C$9,F$9-DPR!#REF!,IF($AK$5=$C$10,F$10-DPR!#REF!,IF($AK$5=$C$11,F$11-DPR!#REF!))))</f>
        <v>#REF!</v>
      </c>
      <c r="G156" s="870" t="e">
        <f>MAX(0,IF($AK$5=$C$9,G$9-DPR!#REF!,IF($AK$5=$C$10,G$10-DPR!#REF!,IF($AK$5=$C$11,G$11-DPR!#REF!))))</f>
        <v>#REF!</v>
      </c>
      <c r="H156" s="870" t="e">
        <f>MAX(0,IF($AK$5=$C$9,H$9-DPR!#REF!,IF($AK$5=$C$10,H$10-DPR!#REF!,IF($AK$5=$C$11,H$11-DPR!#REF!))))</f>
        <v>#REF!</v>
      </c>
      <c r="I156" s="870" t="e">
        <f>MAX(0,IF($AK$5=$C$9,I$9-DPR!#REF!,IF($AK$5=$C$10,I$10-DPR!#REF!,IF($AK$5=$C$11,I$11-DPR!#REF!))))</f>
        <v>#REF!</v>
      </c>
      <c r="J156" s="870" t="e">
        <f>MAX(0,IF($AK$5=$C$9,J$9-DPR!#REF!,IF($AK$5=$C$10,J$10-DPR!#REF!,IF($AK$5=$C$11,J$11-DPR!#REF!))))</f>
        <v>#REF!</v>
      </c>
      <c r="K156" s="870" t="e">
        <f>MAX(0,IF($AK$5=$C$9,K$9-DPR!#REF!,IF($AK$5=$C$10,K$10-DPR!#REF!,IF($AK$5=$C$11,K$11-DPR!#REF!))))</f>
        <v>#REF!</v>
      </c>
      <c r="L156" s="870" t="e">
        <f>MAX(0,IF($AK$5=$C$9,L$9-DPR!#REF!,IF($AK$5=$C$10,L$10-DPR!#REF!,IF($AK$5=$C$11,L$11-DPR!#REF!))))</f>
        <v>#REF!</v>
      </c>
      <c r="M156" s="870" t="e">
        <f>MAX(0,IF($AK$5=$C$9,M$9-DPR!#REF!,IF($AK$5=$C$10,M$10-DPR!#REF!,IF($AK$5=$C$11,M$11-DPR!#REF!))))</f>
        <v>#REF!</v>
      </c>
      <c r="N156" s="870" t="e">
        <f>MAX(0,IF($AK$5=$C$9,N$9-DPR!#REF!,IF($AK$5=$C$10,N$10-DPR!#REF!,IF($AK$5=$C$11,N$11-DPR!#REF!))))</f>
        <v>#REF!</v>
      </c>
      <c r="O156" s="870" t="e">
        <f>MAX(0,IF($AK$5=$C$9,O$9-DPR!#REF!,IF($AK$5=$C$10,O$10-DPR!#REF!,IF($AK$5=$C$11,O$11-DPR!#REF!))))</f>
        <v>#REF!</v>
      </c>
      <c r="P156" s="870" t="e">
        <f>MAX(0,IF($AK$5=$C$9,P$9-DPR!#REF!,IF($AK$5=$C$10,P$10-DPR!#REF!,IF($AK$5=$C$11,P$11-DPR!#REF!))))</f>
        <v>#REF!</v>
      </c>
      <c r="Q156" s="870">
        <v>65</v>
      </c>
      <c r="R156" s="919" t="e">
        <f t="shared" ref="R156:R216" si="10">D156*D$6+E156*E$6+F156*F$6+G156*G$6+H156*H$6+I156*I$6+J156*J$6+K156*K$6+L156*L$6+M156*M$6+N156*N$6+O156*O$6+P156*P$6+Q156*Q$6</f>
        <v>#REF!</v>
      </c>
      <c r="S156" s="878"/>
      <c r="T156" s="878"/>
      <c r="U156" s="878"/>
      <c r="V156" s="878"/>
      <c r="W156" s="878"/>
      <c r="X156" s="878"/>
      <c r="Y156" s="878"/>
      <c r="Z156" s="878"/>
      <c r="AA156" s="878"/>
      <c r="AB156" s="878"/>
      <c r="AC156" s="878"/>
      <c r="AD156" s="878"/>
      <c r="AE156" s="878"/>
      <c r="AF156" s="847"/>
      <c r="AG156" s="920">
        <f t="shared" ref="AG156:AG216" si="11">S156*S$6+T156*T$6+U156*U$6+V156*V$6+W156*W$6+X156*X$6+Y156*Y$6+Z156*Z$6+AA156*AA$6+AB156*AB$6+AC156*AC$6+AD156*AD$6+AE156*AE$6+AF156*AF$6</f>
        <v>0</v>
      </c>
      <c r="AH156" s="888">
        <f t="shared" ref="AH156:AH216" si="12">IF($AK$1&gt;=C156,(YEAR(C156)*100+MONTH(C156)),0)</f>
        <v>202508</v>
      </c>
      <c r="AI156" t="e">
        <f>DPR!#REF!</f>
        <v>#REF!</v>
      </c>
    </row>
    <row r="157" spans="3:35" ht="15.75">
      <c r="C157" s="918">
        <v>45893</v>
      </c>
      <c r="D157" s="870" t="e">
        <f>MAX(0,IF($AK$5=$C$9,D$9-DPR!#REF!,IF($AK$5=$C$10,D$10-DPR!#REF!,IF($AK$5=$C$11,D$11-DPR!#REF!))))</f>
        <v>#REF!</v>
      </c>
      <c r="E157" s="870" t="e">
        <f>MAX(0,IF($AK$5=$C$9,E$9-DPR!#REF!,IF($AK$5=$C$10,E$10-DPR!#REF!,IF($AK$5=$C$11,E$11-DPR!#REF!))))</f>
        <v>#REF!</v>
      </c>
      <c r="F157" s="870" t="e">
        <f>MAX(0,IF($AK$5=$C$9,F$9-DPR!#REF!,IF($AK$5=$C$10,F$10-DPR!#REF!,IF($AK$5=$C$11,F$11-DPR!#REF!))))</f>
        <v>#REF!</v>
      </c>
      <c r="G157" s="870" t="e">
        <f>MAX(0,IF($AK$5=$C$9,G$9-DPR!#REF!,IF($AK$5=$C$10,G$10-DPR!#REF!,IF($AK$5=$C$11,G$11-DPR!#REF!))))</f>
        <v>#REF!</v>
      </c>
      <c r="H157" s="870" t="e">
        <f>MAX(0,IF($AK$5=$C$9,H$9-DPR!#REF!,IF($AK$5=$C$10,H$10-DPR!#REF!,IF($AK$5=$C$11,H$11-DPR!#REF!))))</f>
        <v>#REF!</v>
      </c>
      <c r="I157" s="870" t="e">
        <f>MAX(0,IF($AK$5=$C$9,I$9-DPR!#REF!,IF($AK$5=$C$10,I$10-DPR!#REF!,IF($AK$5=$C$11,I$11-DPR!#REF!))))</f>
        <v>#REF!</v>
      </c>
      <c r="J157" s="870" t="e">
        <f>MAX(0,IF($AK$5=$C$9,J$9-DPR!#REF!,IF($AK$5=$C$10,J$10-DPR!#REF!,IF($AK$5=$C$11,J$11-DPR!#REF!))))</f>
        <v>#REF!</v>
      </c>
      <c r="K157" s="870" t="e">
        <f>MAX(0,IF($AK$5=$C$9,K$9-DPR!#REF!,IF($AK$5=$C$10,K$10-DPR!#REF!,IF($AK$5=$C$11,K$11-DPR!#REF!))))</f>
        <v>#REF!</v>
      </c>
      <c r="L157" s="870" t="e">
        <f>MAX(0,IF($AK$5=$C$9,L$9-DPR!#REF!,IF($AK$5=$C$10,L$10-DPR!#REF!,IF($AK$5=$C$11,L$11-DPR!#REF!))))</f>
        <v>#REF!</v>
      </c>
      <c r="M157" s="870" t="e">
        <f>MAX(0,IF($AK$5=$C$9,M$9-DPR!#REF!,IF($AK$5=$C$10,M$10-DPR!#REF!,IF($AK$5=$C$11,M$11-DPR!#REF!))))</f>
        <v>#REF!</v>
      </c>
      <c r="N157" s="870" t="e">
        <f>MAX(0,IF($AK$5=$C$9,N$9-DPR!#REF!,IF($AK$5=$C$10,N$10-DPR!#REF!,IF($AK$5=$C$11,N$11-DPR!#REF!))))</f>
        <v>#REF!</v>
      </c>
      <c r="O157" s="870" t="e">
        <f>MAX(0,IF($AK$5=$C$9,O$9-DPR!#REF!,IF($AK$5=$C$10,O$10-DPR!#REF!,IF($AK$5=$C$11,O$11-DPR!#REF!))))</f>
        <v>#REF!</v>
      </c>
      <c r="P157" s="870" t="e">
        <f>MAX(0,IF($AK$5=$C$9,P$9-DPR!#REF!,IF($AK$5=$C$10,P$10-DPR!#REF!,IF($AK$5=$C$11,P$11-DPR!#REF!))))</f>
        <v>#REF!</v>
      </c>
      <c r="Q157" s="870">
        <v>66</v>
      </c>
      <c r="R157" s="919" t="e">
        <f t="shared" si="10"/>
        <v>#REF!</v>
      </c>
      <c r="S157" s="878"/>
      <c r="T157" s="878"/>
      <c r="U157" s="878"/>
      <c r="V157" s="878"/>
      <c r="W157" s="878"/>
      <c r="X157" s="878"/>
      <c r="Y157" s="878"/>
      <c r="Z157" s="878"/>
      <c r="AA157" s="878"/>
      <c r="AB157" s="878"/>
      <c r="AC157" s="878"/>
      <c r="AD157" s="878"/>
      <c r="AE157" s="878"/>
      <c r="AF157" s="847"/>
      <c r="AG157" s="920">
        <f t="shared" si="11"/>
        <v>0</v>
      </c>
      <c r="AH157" s="888">
        <f t="shared" si="12"/>
        <v>202508</v>
      </c>
      <c r="AI157" t="e">
        <f>DPR!#REF!</f>
        <v>#REF!</v>
      </c>
    </row>
    <row r="158" spans="3:35" ht="15.75">
      <c r="C158" s="918">
        <v>45894</v>
      </c>
      <c r="D158" s="870" t="e">
        <f>MAX(0,IF($AK$5=$C$9,D$9-DPR!#REF!,IF($AK$5=$C$10,D$10-DPR!#REF!,IF($AK$5=$C$11,D$11-DPR!#REF!))))</f>
        <v>#REF!</v>
      </c>
      <c r="E158" s="870" t="e">
        <f>MAX(0,IF($AK$5=$C$9,E$9-DPR!#REF!,IF($AK$5=$C$10,E$10-DPR!#REF!,IF($AK$5=$C$11,E$11-DPR!#REF!))))</f>
        <v>#REF!</v>
      </c>
      <c r="F158" s="870" t="e">
        <f>MAX(0,IF($AK$5=$C$9,F$9-DPR!#REF!,IF($AK$5=$C$10,F$10-DPR!#REF!,IF($AK$5=$C$11,F$11-DPR!#REF!))))</f>
        <v>#REF!</v>
      </c>
      <c r="G158" s="870" t="e">
        <f>MAX(0,IF($AK$5=$C$9,G$9-DPR!#REF!,IF($AK$5=$C$10,G$10-DPR!#REF!,IF($AK$5=$C$11,G$11-DPR!#REF!))))</f>
        <v>#REF!</v>
      </c>
      <c r="H158" s="870" t="e">
        <f>MAX(0,IF($AK$5=$C$9,H$9-DPR!#REF!,IF($AK$5=$C$10,H$10-DPR!#REF!,IF($AK$5=$C$11,H$11-DPR!#REF!))))</f>
        <v>#REF!</v>
      </c>
      <c r="I158" s="870" t="e">
        <f>MAX(0,IF($AK$5=$C$9,I$9-DPR!#REF!,IF($AK$5=$C$10,I$10-DPR!#REF!,IF($AK$5=$C$11,I$11-DPR!#REF!))))</f>
        <v>#REF!</v>
      </c>
      <c r="J158" s="870" t="e">
        <f>MAX(0,IF($AK$5=$C$9,J$9-DPR!#REF!,IF($AK$5=$C$10,J$10-DPR!#REF!,IF($AK$5=$C$11,J$11-DPR!#REF!))))</f>
        <v>#REF!</v>
      </c>
      <c r="K158" s="870" t="e">
        <f>MAX(0,IF($AK$5=$C$9,K$9-DPR!#REF!,IF($AK$5=$C$10,K$10-DPR!#REF!,IF($AK$5=$C$11,K$11-DPR!#REF!))))</f>
        <v>#REF!</v>
      </c>
      <c r="L158" s="870" t="e">
        <f>MAX(0,IF($AK$5=$C$9,L$9-DPR!#REF!,IF($AK$5=$C$10,L$10-DPR!#REF!,IF($AK$5=$C$11,L$11-DPR!#REF!))))</f>
        <v>#REF!</v>
      </c>
      <c r="M158" s="870" t="e">
        <f>MAX(0,IF($AK$5=$C$9,M$9-DPR!#REF!,IF($AK$5=$C$10,M$10-DPR!#REF!,IF($AK$5=$C$11,M$11-DPR!#REF!))))</f>
        <v>#REF!</v>
      </c>
      <c r="N158" s="870" t="e">
        <f>MAX(0,IF($AK$5=$C$9,N$9-DPR!#REF!,IF($AK$5=$C$10,N$10-DPR!#REF!,IF($AK$5=$C$11,N$11-DPR!#REF!))))</f>
        <v>#REF!</v>
      </c>
      <c r="O158" s="870" t="e">
        <f>MAX(0,IF($AK$5=$C$9,O$9-DPR!#REF!,IF($AK$5=$C$10,O$10-DPR!#REF!,IF($AK$5=$C$11,O$11-DPR!#REF!))))</f>
        <v>#REF!</v>
      </c>
      <c r="P158" s="870" t="e">
        <f>MAX(0,IF($AK$5=$C$9,P$9-DPR!#REF!,IF($AK$5=$C$10,P$10-DPR!#REF!,IF($AK$5=$C$11,P$11-DPR!#REF!))))</f>
        <v>#REF!</v>
      </c>
      <c r="Q158" s="870">
        <v>67</v>
      </c>
      <c r="R158" s="919" t="e">
        <f t="shared" si="10"/>
        <v>#REF!</v>
      </c>
      <c r="S158" s="878"/>
      <c r="T158" s="878"/>
      <c r="U158" s="878"/>
      <c r="V158" s="878"/>
      <c r="W158" s="878"/>
      <c r="X158" s="878"/>
      <c r="Y158" s="878"/>
      <c r="Z158" s="878"/>
      <c r="AA158" s="878"/>
      <c r="AB158" s="878"/>
      <c r="AC158" s="878"/>
      <c r="AD158" s="878"/>
      <c r="AE158" s="878"/>
      <c r="AF158" s="847"/>
      <c r="AG158" s="920">
        <f t="shared" si="11"/>
        <v>0</v>
      </c>
      <c r="AH158" s="888">
        <f t="shared" si="12"/>
        <v>202508</v>
      </c>
      <c r="AI158" t="e">
        <f>DPR!#REF!</f>
        <v>#REF!</v>
      </c>
    </row>
    <row r="159" spans="3:35" ht="15.75">
      <c r="C159" s="918">
        <v>45895</v>
      </c>
      <c r="D159" s="870" t="e">
        <f>MAX(0,IF($AK$5=$C$9,D$9-DPR!#REF!,IF($AK$5=$C$10,D$10-DPR!#REF!,IF($AK$5=$C$11,D$11-DPR!#REF!))))</f>
        <v>#REF!</v>
      </c>
      <c r="E159" s="870" t="e">
        <f>MAX(0,IF($AK$5=$C$9,E$9-DPR!#REF!,IF($AK$5=$C$10,E$10-DPR!#REF!,IF($AK$5=$C$11,E$11-DPR!#REF!))))</f>
        <v>#REF!</v>
      </c>
      <c r="F159" s="870" t="e">
        <f>MAX(0,IF($AK$5=$C$9,F$9-DPR!#REF!,IF($AK$5=$C$10,F$10-DPR!#REF!,IF($AK$5=$C$11,F$11-DPR!#REF!))))</f>
        <v>#REF!</v>
      </c>
      <c r="G159" s="870" t="e">
        <f>MAX(0,IF($AK$5=$C$9,G$9-DPR!#REF!,IF($AK$5=$C$10,G$10-DPR!#REF!,IF($AK$5=$C$11,G$11-DPR!#REF!))))</f>
        <v>#REF!</v>
      </c>
      <c r="H159" s="870" t="e">
        <f>MAX(0,IF($AK$5=$C$9,H$9-DPR!#REF!,IF($AK$5=$C$10,H$10-DPR!#REF!,IF($AK$5=$C$11,H$11-DPR!#REF!))))</f>
        <v>#REF!</v>
      </c>
      <c r="I159" s="870" t="e">
        <f>MAX(0,IF($AK$5=$C$9,I$9-DPR!#REF!,IF($AK$5=$C$10,I$10-DPR!#REF!,IF($AK$5=$C$11,I$11-DPR!#REF!))))</f>
        <v>#REF!</v>
      </c>
      <c r="J159" s="870" t="e">
        <f>MAX(0,IF($AK$5=$C$9,J$9-DPR!#REF!,IF($AK$5=$C$10,J$10-DPR!#REF!,IF($AK$5=$C$11,J$11-DPR!#REF!))))</f>
        <v>#REF!</v>
      </c>
      <c r="K159" s="870" t="e">
        <f>MAX(0,IF($AK$5=$C$9,K$9-DPR!#REF!,IF($AK$5=$C$10,K$10-DPR!#REF!,IF($AK$5=$C$11,K$11-DPR!#REF!))))</f>
        <v>#REF!</v>
      </c>
      <c r="L159" s="870" t="e">
        <f>MAX(0,IF($AK$5=$C$9,L$9-DPR!#REF!,IF($AK$5=$C$10,L$10-DPR!#REF!,IF($AK$5=$C$11,L$11-DPR!#REF!))))</f>
        <v>#REF!</v>
      </c>
      <c r="M159" s="870" t="e">
        <f>MAX(0,IF($AK$5=$C$9,M$9-DPR!#REF!,IF($AK$5=$C$10,M$10-DPR!#REF!,IF($AK$5=$C$11,M$11-DPR!#REF!))))</f>
        <v>#REF!</v>
      </c>
      <c r="N159" s="870" t="e">
        <f>MAX(0,IF($AK$5=$C$9,N$9-DPR!#REF!,IF($AK$5=$C$10,N$10-DPR!#REF!,IF($AK$5=$C$11,N$11-DPR!#REF!))))</f>
        <v>#REF!</v>
      </c>
      <c r="O159" s="870" t="e">
        <f>MAX(0,IF($AK$5=$C$9,O$9-DPR!#REF!,IF($AK$5=$C$10,O$10-DPR!#REF!,IF($AK$5=$C$11,O$11-DPR!#REF!))))</f>
        <v>#REF!</v>
      </c>
      <c r="P159" s="870" t="e">
        <f>MAX(0,IF($AK$5=$C$9,P$9-DPR!#REF!,IF($AK$5=$C$10,P$10-DPR!#REF!,IF($AK$5=$C$11,P$11-DPR!#REF!))))</f>
        <v>#REF!</v>
      </c>
      <c r="Q159" s="870">
        <v>68</v>
      </c>
      <c r="R159" s="919" t="e">
        <f t="shared" si="10"/>
        <v>#REF!</v>
      </c>
      <c r="S159" s="878"/>
      <c r="T159" s="878"/>
      <c r="U159" s="878"/>
      <c r="V159" s="878"/>
      <c r="W159" s="878"/>
      <c r="X159" s="878"/>
      <c r="Y159" s="878"/>
      <c r="Z159" s="878"/>
      <c r="AA159" s="878"/>
      <c r="AB159" s="878"/>
      <c r="AC159" s="878"/>
      <c r="AD159" s="878"/>
      <c r="AE159" s="878"/>
      <c r="AF159" s="847"/>
      <c r="AG159" s="920">
        <f t="shared" si="11"/>
        <v>0</v>
      </c>
      <c r="AH159" s="888">
        <f t="shared" si="12"/>
        <v>202508</v>
      </c>
      <c r="AI159" t="e">
        <f>DPR!#REF!</f>
        <v>#REF!</v>
      </c>
    </row>
    <row r="160" spans="3:35" ht="15.75">
      <c r="C160" s="918">
        <v>45896</v>
      </c>
      <c r="D160" s="870" t="e">
        <f>MAX(0,IF($AK$5=$C$9,D$9-DPR!#REF!,IF($AK$5=$C$10,D$10-DPR!#REF!,IF($AK$5=$C$11,D$11-DPR!#REF!))))</f>
        <v>#REF!</v>
      </c>
      <c r="E160" s="870" t="e">
        <f>MAX(0,IF($AK$5=$C$9,E$9-DPR!#REF!,IF($AK$5=$C$10,E$10-DPR!#REF!,IF($AK$5=$C$11,E$11-DPR!#REF!))))</f>
        <v>#REF!</v>
      </c>
      <c r="F160" s="870" t="e">
        <f>MAX(0,IF($AK$5=$C$9,F$9-DPR!#REF!,IF($AK$5=$C$10,F$10-DPR!#REF!,IF($AK$5=$C$11,F$11-DPR!#REF!))))</f>
        <v>#REF!</v>
      </c>
      <c r="G160" s="870" t="e">
        <f>MAX(0,IF($AK$5=$C$9,G$9-DPR!#REF!,IF($AK$5=$C$10,G$10-DPR!#REF!,IF($AK$5=$C$11,G$11-DPR!#REF!))))</f>
        <v>#REF!</v>
      </c>
      <c r="H160" s="870" t="e">
        <f>MAX(0,IF($AK$5=$C$9,H$9-DPR!#REF!,IF($AK$5=$C$10,H$10-DPR!#REF!,IF($AK$5=$C$11,H$11-DPR!#REF!))))</f>
        <v>#REF!</v>
      </c>
      <c r="I160" s="870" t="e">
        <f>MAX(0,IF($AK$5=$C$9,I$9-DPR!#REF!,IF($AK$5=$C$10,I$10-DPR!#REF!,IF($AK$5=$C$11,I$11-DPR!#REF!))))</f>
        <v>#REF!</v>
      </c>
      <c r="J160" s="870" t="e">
        <f>MAX(0,IF($AK$5=$C$9,J$9-DPR!#REF!,IF($AK$5=$C$10,J$10-DPR!#REF!,IF($AK$5=$C$11,J$11-DPR!#REF!))))</f>
        <v>#REF!</v>
      </c>
      <c r="K160" s="870" t="e">
        <f>MAX(0,IF($AK$5=$C$9,K$9-DPR!#REF!,IF($AK$5=$C$10,K$10-DPR!#REF!,IF($AK$5=$C$11,K$11-DPR!#REF!))))</f>
        <v>#REF!</v>
      </c>
      <c r="L160" s="870" t="e">
        <f>MAX(0,IF($AK$5=$C$9,L$9-DPR!#REF!,IF($AK$5=$C$10,L$10-DPR!#REF!,IF($AK$5=$C$11,L$11-DPR!#REF!))))</f>
        <v>#REF!</v>
      </c>
      <c r="M160" s="870" t="e">
        <f>MAX(0,IF($AK$5=$C$9,M$9-DPR!#REF!,IF($AK$5=$C$10,M$10-DPR!#REF!,IF($AK$5=$C$11,M$11-DPR!#REF!))))</f>
        <v>#REF!</v>
      </c>
      <c r="N160" s="870" t="e">
        <f>MAX(0,IF($AK$5=$C$9,N$9-DPR!#REF!,IF($AK$5=$C$10,N$10-DPR!#REF!,IF($AK$5=$C$11,N$11-DPR!#REF!))))</f>
        <v>#REF!</v>
      </c>
      <c r="O160" s="870" t="e">
        <f>MAX(0,IF($AK$5=$C$9,O$9-DPR!#REF!,IF($AK$5=$C$10,O$10-DPR!#REF!,IF($AK$5=$C$11,O$11-DPR!#REF!))))</f>
        <v>#REF!</v>
      </c>
      <c r="P160" s="870" t="e">
        <f>MAX(0,IF($AK$5=$C$9,P$9-DPR!#REF!,IF($AK$5=$C$10,P$10-DPR!#REF!,IF($AK$5=$C$11,P$11-DPR!#REF!))))</f>
        <v>#REF!</v>
      </c>
      <c r="Q160" s="870">
        <v>69</v>
      </c>
      <c r="R160" s="919" t="e">
        <f t="shared" si="10"/>
        <v>#REF!</v>
      </c>
      <c r="S160" s="878"/>
      <c r="T160" s="878"/>
      <c r="U160" s="878"/>
      <c r="V160" s="878"/>
      <c r="W160" s="878"/>
      <c r="X160" s="878"/>
      <c r="Y160" s="878"/>
      <c r="Z160" s="878"/>
      <c r="AA160" s="878"/>
      <c r="AB160" s="878"/>
      <c r="AC160" s="878"/>
      <c r="AD160" s="878"/>
      <c r="AE160" s="878"/>
      <c r="AF160" s="847"/>
      <c r="AG160" s="920">
        <f t="shared" si="11"/>
        <v>0</v>
      </c>
      <c r="AH160" s="888">
        <f t="shared" si="12"/>
        <v>202508</v>
      </c>
      <c r="AI160" t="e">
        <f>DPR!#REF!</f>
        <v>#REF!</v>
      </c>
    </row>
    <row r="161" spans="3:35" ht="15.75">
      <c r="C161" s="918">
        <v>45897</v>
      </c>
      <c r="D161" s="870" t="e">
        <f>MAX(0,IF($AK$5=$C$9,D$9-DPR!#REF!,IF($AK$5=$C$10,D$10-DPR!#REF!,IF($AK$5=$C$11,D$11-DPR!#REF!))))</f>
        <v>#REF!</v>
      </c>
      <c r="E161" s="870" t="e">
        <f>MAX(0,IF($AK$5=$C$9,E$9-DPR!#REF!,IF($AK$5=$C$10,E$10-DPR!#REF!,IF($AK$5=$C$11,E$11-DPR!#REF!))))</f>
        <v>#REF!</v>
      </c>
      <c r="F161" s="870" t="e">
        <f>MAX(0,IF($AK$5=$C$9,F$9-DPR!#REF!,IF($AK$5=$C$10,F$10-DPR!#REF!,IF($AK$5=$C$11,F$11-DPR!#REF!))))</f>
        <v>#REF!</v>
      </c>
      <c r="G161" s="870" t="e">
        <f>MAX(0,IF($AK$5=$C$9,G$9-DPR!#REF!,IF($AK$5=$C$10,G$10-DPR!#REF!,IF($AK$5=$C$11,G$11-DPR!#REF!))))</f>
        <v>#REF!</v>
      </c>
      <c r="H161" s="870" t="e">
        <f>MAX(0,IF($AK$5=$C$9,H$9-DPR!#REF!,IF($AK$5=$C$10,H$10-DPR!#REF!,IF($AK$5=$C$11,H$11-DPR!#REF!))))</f>
        <v>#REF!</v>
      </c>
      <c r="I161" s="870" t="e">
        <f>MAX(0,IF($AK$5=$C$9,I$9-DPR!#REF!,IF($AK$5=$C$10,I$10-DPR!#REF!,IF($AK$5=$C$11,I$11-DPR!#REF!))))</f>
        <v>#REF!</v>
      </c>
      <c r="J161" s="870" t="e">
        <f>MAX(0,IF($AK$5=$C$9,J$9-DPR!#REF!,IF($AK$5=$C$10,J$10-DPR!#REF!,IF($AK$5=$C$11,J$11-DPR!#REF!))))</f>
        <v>#REF!</v>
      </c>
      <c r="K161" s="870" t="e">
        <f>MAX(0,IF($AK$5=$C$9,K$9-DPR!#REF!,IF($AK$5=$C$10,K$10-DPR!#REF!,IF($AK$5=$C$11,K$11-DPR!#REF!))))</f>
        <v>#REF!</v>
      </c>
      <c r="L161" s="870" t="e">
        <f>MAX(0,IF($AK$5=$C$9,L$9-DPR!#REF!,IF($AK$5=$C$10,L$10-DPR!#REF!,IF($AK$5=$C$11,L$11-DPR!#REF!))))</f>
        <v>#REF!</v>
      </c>
      <c r="M161" s="870" t="e">
        <f>MAX(0,IF($AK$5=$C$9,M$9-DPR!#REF!,IF($AK$5=$C$10,M$10-DPR!#REF!,IF($AK$5=$C$11,M$11-DPR!#REF!))))</f>
        <v>#REF!</v>
      </c>
      <c r="N161" s="870" t="e">
        <f>MAX(0,IF($AK$5=$C$9,N$9-DPR!#REF!,IF($AK$5=$C$10,N$10-DPR!#REF!,IF($AK$5=$C$11,N$11-DPR!#REF!))))</f>
        <v>#REF!</v>
      </c>
      <c r="O161" s="870" t="e">
        <f>MAX(0,IF($AK$5=$C$9,O$9-DPR!#REF!,IF($AK$5=$C$10,O$10-DPR!#REF!,IF($AK$5=$C$11,O$11-DPR!#REF!))))</f>
        <v>#REF!</v>
      </c>
      <c r="P161" s="870" t="e">
        <f>MAX(0,IF($AK$5=$C$9,P$9-DPR!#REF!,IF($AK$5=$C$10,P$10-DPR!#REF!,IF($AK$5=$C$11,P$11-DPR!#REF!))))</f>
        <v>#REF!</v>
      </c>
      <c r="Q161" s="870">
        <v>70</v>
      </c>
      <c r="R161" s="919" t="e">
        <f t="shared" si="10"/>
        <v>#REF!</v>
      </c>
      <c r="S161" s="878"/>
      <c r="T161" s="878"/>
      <c r="U161" s="878"/>
      <c r="V161" s="878"/>
      <c r="W161" s="878"/>
      <c r="X161" s="878"/>
      <c r="Y161" s="878"/>
      <c r="Z161" s="878"/>
      <c r="AA161" s="878"/>
      <c r="AB161" s="878"/>
      <c r="AC161" s="878"/>
      <c r="AD161" s="878"/>
      <c r="AE161" s="878"/>
      <c r="AF161" s="847"/>
      <c r="AG161" s="920">
        <f t="shared" si="11"/>
        <v>0</v>
      </c>
      <c r="AH161" s="888">
        <f t="shared" si="12"/>
        <v>202508</v>
      </c>
      <c r="AI161" t="e">
        <f>DPR!#REF!</f>
        <v>#REF!</v>
      </c>
    </row>
    <row r="162" spans="3:35" ht="15.75">
      <c r="C162" s="918">
        <v>45898</v>
      </c>
      <c r="D162" s="870" t="e">
        <f>MAX(0,IF($AK$5=$C$9,D$9-DPR!#REF!,IF($AK$5=$C$10,D$10-DPR!#REF!,IF($AK$5=$C$11,D$11-DPR!#REF!))))</f>
        <v>#REF!</v>
      </c>
      <c r="E162" s="870" t="e">
        <f>MAX(0,IF($AK$5=$C$9,E$9-DPR!#REF!,IF($AK$5=$C$10,E$10-DPR!#REF!,IF($AK$5=$C$11,E$11-DPR!#REF!))))</f>
        <v>#REF!</v>
      </c>
      <c r="F162" s="870" t="e">
        <f>MAX(0,IF($AK$5=$C$9,F$9-DPR!#REF!,IF($AK$5=$C$10,F$10-DPR!#REF!,IF($AK$5=$C$11,F$11-DPR!#REF!))))</f>
        <v>#REF!</v>
      </c>
      <c r="G162" s="870" t="e">
        <f>MAX(0,IF($AK$5=$C$9,G$9-DPR!#REF!,IF($AK$5=$C$10,G$10-DPR!#REF!,IF($AK$5=$C$11,G$11-DPR!#REF!))))</f>
        <v>#REF!</v>
      </c>
      <c r="H162" s="870" t="e">
        <f>MAX(0,IF($AK$5=$C$9,H$9-DPR!#REF!,IF($AK$5=$C$10,H$10-DPR!#REF!,IF($AK$5=$C$11,H$11-DPR!#REF!))))</f>
        <v>#REF!</v>
      </c>
      <c r="I162" s="870" t="e">
        <f>MAX(0,IF($AK$5=$C$9,I$9-DPR!#REF!,IF($AK$5=$C$10,I$10-DPR!#REF!,IF($AK$5=$C$11,I$11-DPR!#REF!))))</f>
        <v>#REF!</v>
      </c>
      <c r="J162" s="870" t="e">
        <f>MAX(0,IF($AK$5=$C$9,J$9-DPR!#REF!,IF($AK$5=$C$10,J$10-DPR!#REF!,IF($AK$5=$C$11,J$11-DPR!#REF!))))</f>
        <v>#REF!</v>
      </c>
      <c r="K162" s="870" t="e">
        <f>MAX(0,IF($AK$5=$C$9,K$9-DPR!#REF!,IF($AK$5=$C$10,K$10-DPR!#REF!,IF($AK$5=$C$11,K$11-DPR!#REF!))))</f>
        <v>#REF!</v>
      </c>
      <c r="L162" s="870" t="e">
        <f>MAX(0,IF($AK$5=$C$9,L$9-DPR!#REF!,IF($AK$5=$C$10,L$10-DPR!#REF!,IF($AK$5=$C$11,L$11-DPR!#REF!))))</f>
        <v>#REF!</v>
      </c>
      <c r="M162" s="870" t="e">
        <f>MAX(0,IF($AK$5=$C$9,M$9-DPR!#REF!,IF($AK$5=$C$10,M$10-DPR!#REF!,IF($AK$5=$C$11,M$11-DPR!#REF!))))</f>
        <v>#REF!</v>
      </c>
      <c r="N162" s="870" t="e">
        <f>MAX(0,IF($AK$5=$C$9,N$9-DPR!#REF!,IF($AK$5=$C$10,N$10-DPR!#REF!,IF($AK$5=$C$11,N$11-DPR!#REF!))))</f>
        <v>#REF!</v>
      </c>
      <c r="O162" s="870" t="e">
        <f>MAX(0,IF($AK$5=$C$9,O$9-DPR!#REF!,IF($AK$5=$C$10,O$10-DPR!#REF!,IF($AK$5=$C$11,O$11-DPR!#REF!))))</f>
        <v>#REF!</v>
      </c>
      <c r="P162" s="870" t="e">
        <f>MAX(0,IF($AK$5=$C$9,P$9-DPR!#REF!,IF($AK$5=$C$10,P$10-DPR!#REF!,IF($AK$5=$C$11,P$11-DPR!#REF!))))</f>
        <v>#REF!</v>
      </c>
      <c r="Q162" s="870">
        <v>71</v>
      </c>
      <c r="R162" s="919" t="e">
        <f t="shared" si="10"/>
        <v>#REF!</v>
      </c>
      <c r="S162" s="878"/>
      <c r="T162" s="878"/>
      <c r="U162" s="878"/>
      <c r="V162" s="878"/>
      <c r="W162" s="878"/>
      <c r="X162" s="878"/>
      <c r="Y162" s="878"/>
      <c r="Z162" s="878"/>
      <c r="AA162" s="878"/>
      <c r="AB162" s="878"/>
      <c r="AC162" s="878"/>
      <c r="AD162" s="878"/>
      <c r="AE162" s="878"/>
      <c r="AF162" s="847"/>
      <c r="AG162" s="920">
        <f t="shared" si="11"/>
        <v>0</v>
      </c>
      <c r="AH162" s="888">
        <f t="shared" si="12"/>
        <v>202508</v>
      </c>
      <c r="AI162" t="e">
        <f>DPR!#REF!</f>
        <v>#REF!</v>
      </c>
    </row>
    <row r="163" spans="3:35" ht="15.75">
      <c r="C163" s="918">
        <v>45899</v>
      </c>
      <c r="D163" s="870" t="e">
        <f>MAX(0,IF($AK$5=$C$9,D$9-DPR!#REF!,IF($AK$5=$C$10,D$10-DPR!#REF!,IF($AK$5=$C$11,D$11-DPR!#REF!))))</f>
        <v>#REF!</v>
      </c>
      <c r="E163" s="870" t="e">
        <f>MAX(0,IF($AK$5=$C$9,E$9-DPR!#REF!,IF($AK$5=$C$10,E$10-DPR!#REF!,IF($AK$5=$C$11,E$11-DPR!#REF!))))</f>
        <v>#REF!</v>
      </c>
      <c r="F163" s="870" t="e">
        <f>MAX(0,IF($AK$5=$C$9,F$9-DPR!#REF!,IF($AK$5=$C$10,F$10-DPR!#REF!,IF($AK$5=$C$11,F$11-DPR!#REF!))))</f>
        <v>#REF!</v>
      </c>
      <c r="G163" s="870" t="e">
        <f>MAX(0,IF($AK$5=$C$9,G$9-DPR!#REF!,IF($AK$5=$C$10,G$10-DPR!#REF!,IF($AK$5=$C$11,G$11-DPR!#REF!))))</f>
        <v>#REF!</v>
      </c>
      <c r="H163" s="870" t="e">
        <f>MAX(0,IF($AK$5=$C$9,H$9-DPR!#REF!,IF($AK$5=$C$10,H$10-DPR!#REF!,IF($AK$5=$C$11,H$11-DPR!#REF!))))</f>
        <v>#REF!</v>
      </c>
      <c r="I163" s="870" t="e">
        <f>MAX(0,IF($AK$5=$C$9,I$9-DPR!#REF!,IF($AK$5=$C$10,I$10-DPR!#REF!,IF($AK$5=$C$11,I$11-DPR!#REF!))))</f>
        <v>#REF!</v>
      </c>
      <c r="J163" s="870" t="e">
        <f>MAX(0,IF($AK$5=$C$9,J$9-DPR!#REF!,IF($AK$5=$C$10,J$10-DPR!#REF!,IF($AK$5=$C$11,J$11-DPR!#REF!))))</f>
        <v>#REF!</v>
      </c>
      <c r="K163" s="870" t="e">
        <f>MAX(0,IF($AK$5=$C$9,K$9-DPR!#REF!,IF($AK$5=$C$10,K$10-DPR!#REF!,IF($AK$5=$C$11,K$11-DPR!#REF!))))</f>
        <v>#REF!</v>
      </c>
      <c r="L163" s="870" t="e">
        <f>MAX(0,IF($AK$5=$C$9,L$9-DPR!#REF!,IF($AK$5=$C$10,L$10-DPR!#REF!,IF($AK$5=$C$11,L$11-DPR!#REF!))))</f>
        <v>#REF!</v>
      </c>
      <c r="M163" s="870" t="e">
        <f>MAX(0,IF($AK$5=$C$9,M$9-DPR!#REF!,IF($AK$5=$C$10,M$10-DPR!#REF!,IF($AK$5=$C$11,M$11-DPR!#REF!))))</f>
        <v>#REF!</v>
      </c>
      <c r="N163" s="870" t="e">
        <f>MAX(0,IF($AK$5=$C$9,N$9-DPR!#REF!,IF($AK$5=$C$10,N$10-DPR!#REF!,IF($AK$5=$C$11,N$11-DPR!#REF!))))</f>
        <v>#REF!</v>
      </c>
      <c r="O163" s="870" t="e">
        <f>MAX(0,IF($AK$5=$C$9,O$9-DPR!#REF!,IF($AK$5=$C$10,O$10-DPR!#REF!,IF($AK$5=$C$11,O$11-DPR!#REF!))))</f>
        <v>#REF!</v>
      </c>
      <c r="P163" s="870" t="e">
        <f>MAX(0,IF($AK$5=$C$9,P$9-DPR!#REF!,IF($AK$5=$C$10,P$10-DPR!#REF!,IF($AK$5=$C$11,P$11-DPR!#REF!))))</f>
        <v>#REF!</v>
      </c>
      <c r="Q163" s="870">
        <v>72</v>
      </c>
      <c r="R163" s="919" t="e">
        <f t="shared" si="10"/>
        <v>#REF!</v>
      </c>
      <c r="S163" s="878"/>
      <c r="T163" s="878"/>
      <c r="U163" s="878"/>
      <c r="V163" s="878"/>
      <c r="W163" s="878"/>
      <c r="X163" s="878"/>
      <c r="Y163" s="878"/>
      <c r="Z163" s="878"/>
      <c r="AA163" s="878"/>
      <c r="AB163" s="878"/>
      <c r="AC163" s="878"/>
      <c r="AD163" s="878"/>
      <c r="AE163" s="878"/>
      <c r="AF163" s="847"/>
      <c r="AG163" s="920">
        <f t="shared" si="11"/>
        <v>0</v>
      </c>
      <c r="AH163" s="888">
        <f t="shared" si="12"/>
        <v>202508</v>
      </c>
      <c r="AI163" t="e">
        <f>DPR!#REF!</f>
        <v>#REF!</v>
      </c>
    </row>
    <row r="164" spans="3:35" ht="15.75">
      <c r="C164" s="918">
        <v>45900</v>
      </c>
      <c r="D164" s="870" t="e">
        <f>MAX(0,IF($AK$5=$C$9,D$9-DPR!#REF!,IF($AK$5=$C$10,D$10-DPR!#REF!,IF($AK$5=$C$11,D$11-DPR!#REF!))))</f>
        <v>#REF!</v>
      </c>
      <c r="E164" s="870" t="e">
        <f>MAX(0,IF($AK$5=$C$9,E$9-DPR!#REF!,IF($AK$5=$C$10,E$10-DPR!#REF!,IF($AK$5=$C$11,E$11-DPR!#REF!))))</f>
        <v>#REF!</v>
      </c>
      <c r="F164" s="870" t="e">
        <f>MAX(0,IF($AK$5=$C$9,F$9-DPR!#REF!,IF($AK$5=$C$10,F$10-DPR!#REF!,IF($AK$5=$C$11,F$11-DPR!#REF!))))</f>
        <v>#REF!</v>
      </c>
      <c r="G164" s="870" t="e">
        <f>MAX(0,IF($AK$5=$C$9,G$9-DPR!#REF!,IF($AK$5=$C$10,G$10-DPR!#REF!,IF($AK$5=$C$11,G$11-DPR!#REF!))))</f>
        <v>#REF!</v>
      </c>
      <c r="H164" s="870" t="e">
        <f>MAX(0,IF($AK$5=$C$9,H$9-DPR!#REF!,IF($AK$5=$C$10,H$10-DPR!#REF!,IF($AK$5=$C$11,H$11-DPR!#REF!))))</f>
        <v>#REF!</v>
      </c>
      <c r="I164" s="870" t="e">
        <f>MAX(0,IF($AK$5=$C$9,I$9-DPR!#REF!,IF($AK$5=$C$10,I$10-DPR!#REF!,IF($AK$5=$C$11,I$11-DPR!#REF!))))</f>
        <v>#REF!</v>
      </c>
      <c r="J164" s="870" t="e">
        <f>MAX(0,IF($AK$5=$C$9,J$9-DPR!#REF!,IF($AK$5=$C$10,J$10-DPR!#REF!,IF($AK$5=$C$11,J$11-DPR!#REF!))))</f>
        <v>#REF!</v>
      </c>
      <c r="K164" s="870" t="e">
        <f>MAX(0,IF($AK$5=$C$9,K$9-DPR!#REF!,IF($AK$5=$C$10,K$10-DPR!#REF!,IF($AK$5=$C$11,K$11-DPR!#REF!))))</f>
        <v>#REF!</v>
      </c>
      <c r="L164" s="870" t="e">
        <f>MAX(0,IF($AK$5=$C$9,L$9-DPR!#REF!,IF($AK$5=$C$10,L$10-DPR!#REF!,IF($AK$5=$C$11,L$11-DPR!#REF!))))</f>
        <v>#REF!</v>
      </c>
      <c r="M164" s="870" t="e">
        <f>MAX(0,IF($AK$5=$C$9,M$9-DPR!#REF!,IF($AK$5=$C$10,M$10-DPR!#REF!,IF($AK$5=$C$11,M$11-DPR!#REF!))))</f>
        <v>#REF!</v>
      </c>
      <c r="N164" s="870" t="e">
        <f>MAX(0,IF($AK$5=$C$9,N$9-DPR!#REF!,IF($AK$5=$C$10,N$10-DPR!#REF!,IF($AK$5=$C$11,N$11-DPR!#REF!))))</f>
        <v>#REF!</v>
      </c>
      <c r="O164" s="870" t="e">
        <f>MAX(0,IF($AK$5=$C$9,O$9-DPR!#REF!,IF($AK$5=$C$10,O$10-DPR!#REF!,IF($AK$5=$C$11,O$11-DPR!#REF!))))</f>
        <v>#REF!</v>
      </c>
      <c r="P164" s="870" t="e">
        <f>MAX(0,IF($AK$5=$C$9,P$9-DPR!#REF!,IF($AK$5=$C$10,P$10-DPR!#REF!,IF($AK$5=$C$11,P$11-DPR!#REF!))))</f>
        <v>#REF!</v>
      </c>
      <c r="Q164" s="870">
        <v>73</v>
      </c>
      <c r="R164" s="919" t="e">
        <f t="shared" si="10"/>
        <v>#REF!</v>
      </c>
      <c r="S164" s="878"/>
      <c r="T164" s="878"/>
      <c r="U164" s="878"/>
      <c r="V164" s="878"/>
      <c r="W164" s="878"/>
      <c r="X164" s="878"/>
      <c r="Y164" s="878"/>
      <c r="Z164" s="878"/>
      <c r="AA164" s="878"/>
      <c r="AB164" s="878"/>
      <c r="AC164" s="878"/>
      <c r="AD164" s="878"/>
      <c r="AE164" s="878"/>
      <c r="AF164" s="847"/>
      <c r="AG164" s="920">
        <f t="shared" si="11"/>
        <v>0</v>
      </c>
      <c r="AH164" s="888">
        <f t="shared" si="12"/>
        <v>202508</v>
      </c>
      <c r="AI164" t="e">
        <f>DPR!#REF!</f>
        <v>#REF!</v>
      </c>
    </row>
    <row r="165" spans="3:35" ht="15.75">
      <c r="C165" s="918">
        <v>45901</v>
      </c>
      <c r="D165" s="870" t="e">
        <f>MAX(0,IF($AK$5=$C$9,D$9-DPR!#REF!,IF($AK$5=$C$10,D$10-DPR!#REF!,IF($AK$5=$C$11,D$11-DPR!#REF!))))</f>
        <v>#REF!</v>
      </c>
      <c r="E165" s="870" t="e">
        <f>MAX(0,IF($AK$5=$C$9,E$9-DPR!#REF!,IF($AK$5=$C$10,E$10-DPR!#REF!,IF($AK$5=$C$11,E$11-DPR!#REF!))))</f>
        <v>#REF!</v>
      </c>
      <c r="F165" s="870" t="e">
        <f>MAX(0,IF($AK$5=$C$9,F$9-DPR!#REF!,IF($AK$5=$C$10,F$10-DPR!#REF!,IF($AK$5=$C$11,F$11-DPR!#REF!))))</f>
        <v>#REF!</v>
      </c>
      <c r="G165" s="870" t="e">
        <f>MAX(0,IF($AK$5=$C$9,G$9-DPR!#REF!,IF($AK$5=$C$10,G$10-DPR!#REF!,IF($AK$5=$C$11,G$11-DPR!#REF!))))</f>
        <v>#REF!</v>
      </c>
      <c r="H165" s="870" t="e">
        <f>MAX(0,IF($AK$5=$C$9,H$9-DPR!#REF!,IF($AK$5=$C$10,H$10-DPR!#REF!,IF($AK$5=$C$11,H$11-DPR!#REF!))))</f>
        <v>#REF!</v>
      </c>
      <c r="I165" s="870" t="e">
        <f>MAX(0,IF($AK$5=$C$9,I$9-DPR!#REF!,IF($AK$5=$C$10,I$10-DPR!#REF!,IF($AK$5=$C$11,I$11-DPR!#REF!))))</f>
        <v>#REF!</v>
      </c>
      <c r="J165" s="870" t="e">
        <f>MAX(0,IF($AK$5=$C$9,J$9-DPR!#REF!,IF($AK$5=$C$10,J$10-DPR!#REF!,IF($AK$5=$C$11,J$11-DPR!#REF!))))</f>
        <v>#REF!</v>
      </c>
      <c r="K165" s="870" t="e">
        <f>MAX(0,IF($AK$5=$C$9,K$9-DPR!#REF!,IF($AK$5=$C$10,K$10-DPR!#REF!,IF($AK$5=$C$11,K$11-DPR!#REF!))))</f>
        <v>#REF!</v>
      </c>
      <c r="L165" s="870" t="e">
        <f>MAX(0,IF($AK$5=$C$9,L$9-DPR!#REF!,IF($AK$5=$C$10,L$10-DPR!#REF!,IF($AK$5=$C$11,L$11-DPR!#REF!))))</f>
        <v>#REF!</v>
      </c>
      <c r="M165" s="870" t="e">
        <f>MAX(0,IF($AK$5=$C$9,M$9-DPR!#REF!,IF($AK$5=$C$10,M$10-DPR!#REF!,IF($AK$5=$C$11,M$11-DPR!#REF!))))</f>
        <v>#REF!</v>
      </c>
      <c r="N165" s="870" t="e">
        <f>MAX(0,IF($AK$5=$C$9,N$9-DPR!#REF!,IF($AK$5=$C$10,N$10-DPR!#REF!,IF($AK$5=$C$11,N$11-DPR!#REF!))))</f>
        <v>#REF!</v>
      </c>
      <c r="O165" s="870" t="e">
        <f>MAX(0,IF($AK$5=$C$9,O$9-DPR!#REF!,IF($AK$5=$C$10,O$10-DPR!#REF!,IF($AK$5=$C$11,O$11-DPR!#REF!))))</f>
        <v>#REF!</v>
      </c>
      <c r="P165" s="870" t="e">
        <f>MAX(0,IF($AK$5=$C$9,P$9-DPR!#REF!,IF($AK$5=$C$10,P$10-DPR!#REF!,IF($AK$5=$C$11,P$11-DPR!#REF!))))</f>
        <v>#REF!</v>
      </c>
      <c r="Q165" s="870">
        <v>74</v>
      </c>
      <c r="R165" s="919" t="e">
        <f t="shared" si="10"/>
        <v>#REF!</v>
      </c>
      <c r="S165" s="878"/>
      <c r="T165" s="878"/>
      <c r="U165" s="878"/>
      <c r="V165" s="878"/>
      <c r="W165" s="878"/>
      <c r="X165" s="878"/>
      <c r="Y165" s="878"/>
      <c r="Z165" s="878"/>
      <c r="AA165" s="878"/>
      <c r="AB165" s="878"/>
      <c r="AC165" s="878"/>
      <c r="AD165" s="878"/>
      <c r="AE165" s="878"/>
      <c r="AF165" s="847"/>
      <c r="AG165" s="920">
        <f t="shared" si="11"/>
        <v>0</v>
      </c>
      <c r="AH165" s="888">
        <f t="shared" si="12"/>
        <v>202509</v>
      </c>
      <c r="AI165" t="e">
        <f>DPR!#REF!</f>
        <v>#REF!</v>
      </c>
    </row>
    <row r="166" spans="3:35" ht="15.75">
      <c r="C166" s="918">
        <v>45902</v>
      </c>
      <c r="D166" s="870" t="e">
        <f>MAX(0,IF($AK$5=$C$9,D$9-DPR!#REF!,IF($AK$5=$C$10,D$10-DPR!#REF!,IF($AK$5=$C$11,D$11-DPR!#REF!))))</f>
        <v>#REF!</v>
      </c>
      <c r="E166" s="870" t="e">
        <f>MAX(0,IF($AK$5=$C$9,E$9-DPR!#REF!,IF($AK$5=$C$10,E$10-DPR!#REF!,IF($AK$5=$C$11,E$11-DPR!#REF!))))</f>
        <v>#REF!</v>
      </c>
      <c r="F166" s="870" t="e">
        <f>MAX(0,IF($AK$5=$C$9,F$9-DPR!#REF!,IF($AK$5=$C$10,F$10-DPR!#REF!,IF($AK$5=$C$11,F$11-DPR!#REF!))))</f>
        <v>#REF!</v>
      </c>
      <c r="G166" s="870" t="e">
        <f>MAX(0,IF($AK$5=$C$9,G$9-DPR!#REF!,IF($AK$5=$C$10,G$10-DPR!#REF!,IF($AK$5=$C$11,G$11-DPR!#REF!))))</f>
        <v>#REF!</v>
      </c>
      <c r="H166" s="870" t="e">
        <f>MAX(0,IF($AK$5=$C$9,H$9-DPR!#REF!,IF($AK$5=$C$10,H$10-DPR!#REF!,IF($AK$5=$C$11,H$11-DPR!#REF!))))</f>
        <v>#REF!</v>
      </c>
      <c r="I166" s="870" t="e">
        <f>MAX(0,IF($AK$5=$C$9,I$9-DPR!#REF!,IF($AK$5=$C$10,I$10-DPR!#REF!,IF($AK$5=$C$11,I$11-DPR!#REF!))))</f>
        <v>#REF!</v>
      </c>
      <c r="J166" s="870" t="e">
        <f>MAX(0,IF($AK$5=$C$9,J$9-DPR!#REF!,IF($AK$5=$C$10,J$10-DPR!#REF!,IF($AK$5=$C$11,J$11-DPR!#REF!))))</f>
        <v>#REF!</v>
      </c>
      <c r="K166" s="870" t="e">
        <f>MAX(0,IF($AK$5=$C$9,K$9-DPR!#REF!,IF($AK$5=$C$10,K$10-DPR!#REF!,IF($AK$5=$C$11,K$11-DPR!#REF!))))</f>
        <v>#REF!</v>
      </c>
      <c r="L166" s="870" t="e">
        <f>MAX(0,IF($AK$5=$C$9,L$9-DPR!#REF!,IF($AK$5=$C$10,L$10-DPR!#REF!,IF($AK$5=$C$11,L$11-DPR!#REF!))))</f>
        <v>#REF!</v>
      </c>
      <c r="M166" s="870" t="e">
        <f>MAX(0,IF($AK$5=$C$9,M$9-DPR!#REF!,IF($AK$5=$C$10,M$10-DPR!#REF!,IF($AK$5=$C$11,M$11-DPR!#REF!))))</f>
        <v>#REF!</v>
      </c>
      <c r="N166" s="870" t="e">
        <f>MAX(0,IF($AK$5=$C$9,N$9-DPR!#REF!,IF($AK$5=$C$10,N$10-DPR!#REF!,IF($AK$5=$C$11,N$11-DPR!#REF!))))</f>
        <v>#REF!</v>
      </c>
      <c r="O166" s="870" t="e">
        <f>MAX(0,IF($AK$5=$C$9,O$9-DPR!#REF!,IF($AK$5=$C$10,O$10-DPR!#REF!,IF($AK$5=$C$11,O$11-DPR!#REF!))))</f>
        <v>#REF!</v>
      </c>
      <c r="P166" s="870" t="e">
        <f>MAX(0,IF($AK$5=$C$9,P$9-DPR!#REF!,IF($AK$5=$C$10,P$10-DPR!#REF!,IF($AK$5=$C$11,P$11-DPR!#REF!))))</f>
        <v>#REF!</v>
      </c>
      <c r="Q166" s="870">
        <v>75</v>
      </c>
      <c r="R166" s="919" t="e">
        <f t="shared" si="10"/>
        <v>#REF!</v>
      </c>
      <c r="S166" s="878"/>
      <c r="T166" s="878"/>
      <c r="U166" s="878"/>
      <c r="V166" s="878"/>
      <c r="W166" s="878"/>
      <c r="X166" s="878"/>
      <c r="Y166" s="878"/>
      <c r="Z166" s="878"/>
      <c r="AA166" s="878"/>
      <c r="AB166" s="878"/>
      <c r="AC166" s="878"/>
      <c r="AD166" s="878"/>
      <c r="AE166" s="878"/>
      <c r="AF166" s="847"/>
      <c r="AG166" s="920">
        <f t="shared" si="11"/>
        <v>0</v>
      </c>
      <c r="AH166" s="888">
        <f t="shared" si="12"/>
        <v>202509</v>
      </c>
      <c r="AI166" t="e">
        <f>DPR!#REF!</f>
        <v>#REF!</v>
      </c>
    </row>
    <row r="167" spans="3:35" ht="15.75">
      <c r="C167" s="918">
        <v>45903</v>
      </c>
      <c r="D167" s="870" t="e">
        <f>MAX(0,IF($AK$5=$C$9,D$9-DPR!#REF!,IF($AK$5=$C$10,D$10-DPR!#REF!,IF($AK$5=$C$11,D$11-DPR!#REF!))))</f>
        <v>#REF!</v>
      </c>
      <c r="E167" s="870" t="e">
        <f>MAX(0,IF($AK$5=$C$9,E$9-DPR!#REF!,IF($AK$5=$C$10,E$10-DPR!#REF!,IF($AK$5=$C$11,E$11-DPR!#REF!))))</f>
        <v>#REF!</v>
      </c>
      <c r="F167" s="870" t="e">
        <f>MAX(0,IF($AK$5=$C$9,F$9-DPR!#REF!,IF($AK$5=$C$10,F$10-DPR!#REF!,IF($AK$5=$C$11,F$11-DPR!#REF!))))</f>
        <v>#REF!</v>
      </c>
      <c r="G167" s="870" t="e">
        <f>MAX(0,IF($AK$5=$C$9,G$9-DPR!#REF!,IF($AK$5=$C$10,G$10-DPR!#REF!,IF($AK$5=$C$11,G$11-DPR!#REF!))))</f>
        <v>#REF!</v>
      </c>
      <c r="H167" s="870" t="e">
        <f>MAX(0,IF($AK$5=$C$9,H$9-DPR!#REF!,IF($AK$5=$C$10,H$10-DPR!#REF!,IF($AK$5=$C$11,H$11-DPR!#REF!))))</f>
        <v>#REF!</v>
      </c>
      <c r="I167" s="870" t="e">
        <f>MAX(0,IF($AK$5=$C$9,I$9-DPR!#REF!,IF($AK$5=$C$10,I$10-DPR!#REF!,IF($AK$5=$C$11,I$11-DPR!#REF!))))</f>
        <v>#REF!</v>
      </c>
      <c r="J167" s="870" t="e">
        <f>MAX(0,IF($AK$5=$C$9,J$9-DPR!#REF!,IF($AK$5=$C$10,J$10-DPR!#REF!,IF($AK$5=$C$11,J$11-DPR!#REF!))))</f>
        <v>#REF!</v>
      </c>
      <c r="K167" s="870" t="e">
        <f>MAX(0,IF($AK$5=$C$9,K$9-DPR!#REF!,IF($AK$5=$C$10,K$10-DPR!#REF!,IF($AK$5=$C$11,K$11-DPR!#REF!))))</f>
        <v>#REF!</v>
      </c>
      <c r="L167" s="870" t="e">
        <f>MAX(0,IF($AK$5=$C$9,L$9-DPR!#REF!,IF($AK$5=$C$10,L$10-DPR!#REF!,IF($AK$5=$C$11,L$11-DPR!#REF!))))</f>
        <v>#REF!</v>
      </c>
      <c r="M167" s="870" t="e">
        <f>MAX(0,IF($AK$5=$C$9,M$9-DPR!#REF!,IF($AK$5=$C$10,M$10-DPR!#REF!,IF($AK$5=$C$11,M$11-DPR!#REF!))))</f>
        <v>#REF!</v>
      </c>
      <c r="N167" s="870" t="e">
        <f>MAX(0,IF($AK$5=$C$9,N$9-DPR!#REF!,IF($AK$5=$C$10,N$10-DPR!#REF!,IF($AK$5=$C$11,N$11-DPR!#REF!))))</f>
        <v>#REF!</v>
      </c>
      <c r="O167" s="870" t="e">
        <f>MAX(0,IF($AK$5=$C$9,O$9-DPR!#REF!,IF($AK$5=$C$10,O$10-DPR!#REF!,IF($AK$5=$C$11,O$11-DPR!#REF!))))</f>
        <v>#REF!</v>
      </c>
      <c r="P167" s="870" t="e">
        <f>MAX(0,IF($AK$5=$C$9,P$9-DPR!#REF!,IF($AK$5=$C$10,P$10-DPR!#REF!,IF($AK$5=$C$11,P$11-DPR!#REF!))))</f>
        <v>#REF!</v>
      </c>
      <c r="Q167" s="870">
        <v>76</v>
      </c>
      <c r="R167" s="919" t="e">
        <f t="shared" si="10"/>
        <v>#REF!</v>
      </c>
      <c r="S167" s="878"/>
      <c r="T167" s="878"/>
      <c r="U167" s="878"/>
      <c r="V167" s="878"/>
      <c r="W167" s="878"/>
      <c r="X167" s="878"/>
      <c r="Y167" s="878"/>
      <c r="Z167" s="878"/>
      <c r="AA167" s="878"/>
      <c r="AB167" s="878"/>
      <c r="AC167" s="878"/>
      <c r="AD167" s="878"/>
      <c r="AE167" s="878"/>
      <c r="AF167" s="847"/>
      <c r="AG167" s="920">
        <f t="shared" si="11"/>
        <v>0</v>
      </c>
      <c r="AH167" s="888">
        <f t="shared" si="12"/>
        <v>202509</v>
      </c>
      <c r="AI167" t="e">
        <f>DPR!#REF!</f>
        <v>#REF!</v>
      </c>
    </row>
    <row r="168" spans="3:35" ht="15.75">
      <c r="C168" s="918">
        <v>45904</v>
      </c>
      <c r="D168" s="870" t="e">
        <f>MAX(0,IF($AK$5=$C$9,D$9-DPR!#REF!,IF($AK$5=$C$10,D$10-DPR!#REF!,IF($AK$5=$C$11,D$11-DPR!#REF!))))</f>
        <v>#REF!</v>
      </c>
      <c r="E168" s="870" t="e">
        <f>MAX(0,IF($AK$5=$C$9,E$9-DPR!#REF!,IF($AK$5=$C$10,E$10-DPR!#REF!,IF($AK$5=$C$11,E$11-DPR!#REF!))))</f>
        <v>#REF!</v>
      </c>
      <c r="F168" s="870" t="e">
        <f>MAX(0,IF($AK$5=$C$9,F$9-DPR!#REF!,IF($AK$5=$C$10,F$10-DPR!#REF!,IF($AK$5=$C$11,F$11-DPR!#REF!))))</f>
        <v>#REF!</v>
      </c>
      <c r="G168" s="870" t="e">
        <f>MAX(0,IF($AK$5=$C$9,G$9-DPR!#REF!,IF($AK$5=$C$10,G$10-DPR!#REF!,IF($AK$5=$C$11,G$11-DPR!#REF!))))</f>
        <v>#REF!</v>
      </c>
      <c r="H168" s="870" t="e">
        <f>MAX(0,IF($AK$5=$C$9,H$9-DPR!#REF!,IF($AK$5=$C$10,H$10-DPR!#REF!,IF($AK$5=$C$11,H$11-DPR!#REF!))))</f>
        <v>#REF!</v>
      </c>
      <c r="I168" s="870" t="e">
        <f>MAX(0,IF($AK$5=$C$9,I$9-DPR!#REF!,IF($AK$5=$C$10,I$10-DPR!#REF!,IF($AK$5=$C$11,I$11-DPR!#REF!))))</f>
        <v>#REF!</v>
      </c>
      <c r="J168" s="870" t="e">
        <f>MAX(0,IF($AK$5=$C$9,J$9-DPR!#REF!,IF($AK$5=$C$10,J$10-DPR!#REF!,IF($AK$5=$C$11,J$11-DPR!#REF!))))</f>
        <v>#REF!</v>
      </c>
      <c r="K168" s="870" t="e">
        <f>MAX(0,IF($AK$5=$C$9,K$9-DPR!#REF!,IF($AK$5=$C$10,K$10-DPR!#REF!,IF($AK$5=$C$11,K$11-DPR!#REF!))))</f>
        <v>#REF!</v>
      </c>
      <c r="L168" s="870" t="e">
        <f>MAX(0,IF($AK$5=$C$9,L$9-DPR!#REF!,IF($AK$5=$C$10,L$10-DPR!#REF!,IF($AK$5=$C$11,L$11-DPR!#REF!))))</f>
        <v>#REF!</v>
      </c>
      <c r="M168" s="870" t="e">
        <f>MAX(0,IF($AK$5=$C$9,M$9-DPR!#REF!,IF($AK$5=$C$10,M$10-DPR!#REF!,IF($AK$5=$C$11,M$11-DPR!#REF!))))</f>
        <v>#REF!</v>
      </c>
      <c r="N168" s="870" t="e">
        <f>MAX(0,IF($AK$5=$C$9,N$9-DPR!#REF!,IF($AK$5=$C$10,N$10-DPR!#REF!,IF($AK$5=$C$11,N$11-DPR!#REF!))))</f>
        <v>#REF!</v>
      </c>
      <c r="O168" s="870" t="e">
        <f>MAX(0,IF($AK$5=$C$9,O$9-DPR!#REF!,IF($AK$5=$C$10,O$10-DPR!#REF!,IF($AK$5=$C$11,O$11-DPR!#REF!))))</f>
        <v>#REF!</v>
      </c>
      <c r="P168" s="870" t="e">
        <f>MAX(0,IF($AK$5=$C$9,P$9-DPR!#REF!,IF($AK$5=$C$10,P$10-DPR!#REF!,IF($AK$5=$C$11,P$11-DPR!#REF!))))</f>
        <v>#REF!</v>
      </c>
      <c r="Q168" s="870">
        <v>77</v>
      </c>
      <c r="R168" s="919" t="e">
        <f t="shared" si="10"/>
        <v>#REF!</v>
      </c>
      <c r="S168" s="878"/>
      <c r="T168" s="878"/>
      <c r="U168" s="878"/>
      <c r="V168" s="878"/>
      <c r="W168" s="878"/>
      <c r="X168" s="878"/>
      <c r="Y168" s="878"/>
      <c r="Z168" s="878"/>
      <c r="AA168" s="878"/>
      <c r="AB168" s="878"/>
      <c r="AC168" s="878"/>
      <c r="AD168" s="878"/>
      <c r="AE168" s="878"/>
      <c r="AF168" s="847"/>
      <c r="AG168" s="920">
        <f t="shared" si="11"/>
        <v>0</v>
      </c>
      <c r="AH168" s="888">
        <f t="shared" si="12"/>
        <v>202509</v>
      </c>
      <c r="AI168" t="e">
        <f>DPR!#REF!</f>
        <v>#REF!</v>
      </c>
    </row>
    <row r="169" spans="3:35" ht="15.75">
      <c r="C169" s="918">
        <v>45905</v>
      </c>
      <c r="D169" s="870" t="e">
        <f>MAX(0,IF($AK$5=$C$9,D$9-DPR!#REF!,IF($AK$5=$C$10,D$10-DPR!#REF!,IF($AK$5=$C$11,D$11-DPR!#REF!))))</f>
        <v>#REF!</v>
      </c>
      <c r="E169" s="870" t="e">
        <f>MAX(0,IF($AK$5=$C$9,E$9-DPR!#REF!,IF($AK$5=$C$10,E$10-DPR!#REF!,IF($AK$5=$C$11,E$11-DPR!#REF!))))</f>
        <v>#REF!</v>
      </c>
      <c r="F169" s="870" t="e">
        <f>MAX(0,IF($AK$5=$C$9,F$9-DPR!#REF!,IF($AK$5=$C$10,F$10-DPR!#REF!,IF($AK$5=$C$11,F$11-DPR!#REF!))))</f>
        <v>#REF!</v>
      </c>
      <c r="G169" s="870" t="e">
        <f>MAX(0,IF($AK$5=$C$9,G$9-DPR!#REF!,IF($AK$5=$C$10,G$10-DPR!#REF!,IF($AK$5=$C$11,G$11-DPR!#REF!))))</f>
        <v>#REF!</v>
      </c>
      <c r="H169" s="870" t="e">
        <f>MAX(0,IF($AK$5=$C$9,H$9-DPR!#REF!,IF($AK$5=$C$10,H$10-DPR!#REF!,IF($AK$5=$C$11,H$11-DPR!#REF!))))</f>
        <v>#REF!</v>
      </c>
      <c r="I169" s="870" t="e">
        <f>MAX(0,IF($AK$5=$C$9,I$9-DPR!#REF!,IF($AK$5=$C$10,I$10-DPR!#REF!,IF($AK$5=$C$11,I$11-DPR!#REF!))))</f>
        <v>#REF!</v>
      </c>
      <c r="J169" s="870" t="e">
        <f>MAX(0,IF($AK$5=$C$9,J$9-DPR!#REF!,IF($AK$5=$C$10,J$10-DPR!#REF!,IF($AK$5=$C$11,J$11-DPR!#REF!))))</f>
        <v>#REF!</v>
      </c>
      <c r="K169" s="870" t="e">
        <f>MAX(0,IF($AK$5=$C$9,K$9-DPR!#REF!,IF($AK$5=$C$10,K$10-DPR!#REF!,IF($AK$5=$C$11,K$11-DPR!#REF!))))</f>
        <v>#REF!</v>
      </c>
      <c r="L169" s="870" t="e">
        <f>MAX(0,IF($AK$5=$C$9,L$9-DPR!#REF!,IF($AK$5=$C$10,L$10-DPR!#REF!,IF($AK$5=$C$11,L$11-DPR!#REF!))))</f>
        <v>#REF!</v>
      </c>
      <c r="M169" s="870" t="e">
        <f>MAX(0,IF($AK$5=$C$9,M$9-DPR!#REF!,IF($AK$5=$C$10,M$10-DPR!#REF!,IF($AK$5=$C$11,M$11-DPR!#REF!))))</f>
        <v>#REF!</v>
      </c>
      <c r="N169" s="870" t="e">
        <f>MAX(0,IF($AK$5=$C$9,N$9-DPR!#REF!,IF($AK$5=$C$10,N$10-DPR!#REF!,IF($AK$5=$C$11,N$11-DPR!#REF!))))</f>
        <v>#REF!</v>
      </c>
      <c r="O169" s="870" t="e">
        <f>MAX(0,IF($AK$5=$C$9,O$9-DPR!#REF!,IF($AK$5=$C$10,O$10-DPR!#REF!,IF($AK$5=$C$11,O$11-DPR!#REF!))))</f>
        <v>#REF!</v>
      </c>
      <c r="P169" s="870" t="e">
        <f>MAX(0,IF($AK$5=$C$9,P$9-DPR!#REF!,IF($AK$5=$C$10,P$10-DPR!#REF!,IF($AK$5=$C$11,P$11-DPR!#REF!))))</f>
        <v>#REF!</v>
      </c>
      <c r="Q169" s="870">
        <v>78</v>
      </c>
      <c r="R169" s="919" t="e">
        <f t="shared" si="10"/>
        <v>#REF!</v>
      </c>
      <c r="S169" s="878"/>
      <c r="T169" s="878"/>
      <c r="U169" s="878"/>
      <c r="V169" s="878"/>
      <c r="W169" s="878"/>
      <c r="X169" s="878"/>
      <c r="Y169" s="878"/>
      <c r="Z169" s="878"/>
      <c r="AA169" s="878"/>
      <c r="AB169" s="878"/>
      <c r="AC169" s="878"/>
      <c r="AD169" s="878"/>
      <c r="AE169" s="878"/>
      <c r="AF169" s="847"/>
      <c r="AG169" s="920">
        <f t="shared" si="11"/>
        <v>0</v>
      </c>
      <c r="AH169" s="888">
        <f t="shared" si="12"/>
        <v>202509</v>
      </c>
      <c r="AI169" t="e">
        <f>DPR!#REF!</f>
        <v>#REF!</v>
      </c>
    </row>
    <row r="170" spans="3:35" ht="15.75">
      <c r="C170" s="918">
        <v>45906</v>
      </c>
      <c r="D170" s="870" t="e">
        <f>MAX(0,IF($AK$5=$C$9,D$9-DPR!#REF!,IF($AK$5=$C$10,D$10-DPR!#REF!,IF($AK$5=$C$11,D$11-DPR!#REF!))))</f>
        <v>#REF!</v>
      </c>
      <c r="E170" s="870" t="e">
        <f>MAX(0,IF($AK$5=$C$9,E$9-DPR!#REF!,IF($AK$5=$C$10,E$10-DPR!#REF!,IF($AK$5=$C$11,E$11-DPR!#REF!))))</f>
        <v>#REF!</v>
      </c>
      <c r="F170" s="870" t="e">
        <f>MAX(0,IF($AK$5=$C$9,F$9-DPR!#REF!,IF($AK$5=$C$10,F$10-DPR!#REF!,IF($AK$5=$C$11,F$11-DPR!#REF!))))</f>
        <v>#REF!</v>
      </c>
      <c r="G170" s="870" t="e">
        <f>MAX(0,IF($AK$5=$C$9,G$9-DPR!#REF!,IF($AK$5=$C$10,G$10-DPR!#REF!,IF($AK$5=$C$11,G$11-DPR!#REF!))))</f>
        <v>#REF!</v>
      </c>
      <c r="H170" s="870" t="e">
        <f>MAX(0,IF($AK$5=$C$9,H$9-DPR!#REF!,IF($AK$5=$C$10,H$10-DPR!#REF!,IF($AK$5=$C$11,H$11-DPR!#REF!))))</f>
        <v>#REF!</v>
      </c>
      <c r="I170" s="870" t="e">
        <f>MAX(0,IF($AK$5=$C$9,I$9-DPR!#REF!,IF($AK$5=$C$10,I$10-DPR!#REF!,IF($AK$5=$C$11,I$11-DPR!#REF!))))</f>
        <v>#REF!</v>
      </c>
      <c r="J170" s="870" t="e">
        <f>MAX(0,IF($AK$5=$C$9,J$9-DPR!#REF!,IF($AK$5=$C$10,J$10-DPR!#REF!,IF($AK$5=$C$11,J$11-DPR!#REF!))))</f>
        <v>#REF!</v>
      </c>
      <c r="K170" s="870" t="e">
        <f>MAX(0,IF($AK$5=$C$9,K$9-DPR!#REF!,IF($AK$5=$C$10,K$10-DPR!#REF!,IF($AK$5=$C$11,K$11-DPR!#REF!))))</f>
        <v>#REF!</v>
      </c>
      <c r="L170" s="870" t="e">
        <f>MAX(0,IF($AK$5=$C$9,L$9-DPR!#REF!,IF($AK$5=$C$10,L$10-DPR!#REF!,IF($AK$5=$C$11,L$11-DPR!#REF!))))</f>
        <v>#REF!</v>
      </c>
      <c r="M170" s="870" t="e">
        <f>MAX(0,IF($AK$5=$C$9,M$9-DPR!#REF!,IF($AK$5=$C$10,M$10-DPR!#REF!,IF($AK$5=$C$11,M$11-DPR!#REF!))))</f>
        <v>#REF!</v>
      </c>
      <c r="N170" s="870" t="e">
        <f>MAX(0,IF($AK$5=$C$9,N$9-DPR!#REF!,IF($AK$5=$C$10,N$10-DPR!#REF!,IF($AK$5=$C$11,N$11-DPR!#REF!))))</f>
        <v>#REF!</v>
      </c>
      <c r="O170" s="870" t="e">
        <f>MAX(0,IF($AK$5=$C$9,O$9-DPR!#REF!,IF($AK$5=$C$10,O$10-DPR!#REF!,IF($AK$5=$C$11,O$11-DPR!#REF!))))</f>
        <v>#REF!</v>
      </c>
      <c r="P170" s="870" t="e">
        <f>MAX(0,IF($AK$5=$C$9,P$9-DPR!#REF!,IF($AK$5=$C$10,P$10-DPR!#REF!,IF($AK$5=$C$11,P$11-DPR!#REF!))))</f>
        <v>#REF!</v>
      </c>
      <c r="Q170" s="870">
        <v>79</v>
      </c>
      <c r="R170" s="919" t="e">
        <f t="shared" si="10"/>
        <v>#REF!</v>
      </c>
      <c r="S170" s="878"/>
      <c r="T170" s="878"/>
      <c r="U170" s="878"/>
      <c r="V170" s="878"/>
      <c r="W170" s="878"/>
      <c r="X170" s="878"/>
      <c r="Y170" s="878"/>
      <c r="Z170" s="878"/>
      <c r="AA170" s="878"/>
      <c r="AB170" s="878"/>
      <c r="AC170" s="878"/>
      <c r="AD170" s="878"/>
      <c r="AE170" s="878"/>
      <c r="AF170" s="847"/>
      <c r="AG170" s="920">
        <f t="shared" si="11"/>
        <v>0</v>
      </c>
      <c r="AH170" s="888">
        <f t="shared" si="12"/>
        <v>202509</v>
      </c>
      <c r="AI170" t="e">
        <f>DPR!#REF!</f>
        <v>#REF!</v>
      </c>
    </row>
    <row r="171" spans="3:35" ht="15.75">
      <c r="C171" s="918">
        <v>45907</v>
      </c>
      <c r="D171" s="870" t="e">
        <f>MAX(0,IF($AK$5=$C$9,D$9-DPR!#REF!,IF($AK$5=$C$10,D$10-DPR!#REF!,IF($AK$5=$C$11,D$11-DPR!#REF!))))</f>
        <v>#REF!</v>
      </c>
      <c r="E171" s="870" t="e">
        <f>MAX(0,IF($AK$5=$C$9,E$9-DPR!#REF!,IF($AK$5=$C$10,E$10-DPR!#REF!,IF($AK$5=$C$11,E$11-DPR!#REF!))))</f>
        <v>#REF!</v>
      </c>
      <c r="F171" s="870" t="e">
        <f>MAX(0,IF($AK$5=$C$9,F$9-DPR!#REF!,IF($AK$5=$C$10,F$10-DPR!#REF!,IF($AK$5=$C$11,F$11-DPR!#REF!))))</f>
        <v>#REF!</v>
      </c>
      <c r="G171" s="870" t="e">
        <f>MAX(0,IF($AK$5=$C$9,G$9-DPR!#REF!,IF($AK$5=$C$10,G$10-DPR!#REF!,IF($AK$5=$C$11,G$11-DPR!#REF!))))</f>
        <v>#REF!</v>
      </c>
      <c r="H171" s="870" t="e">
        <f>MAX(0,IF($AK$5=$C$9,H$9-DPR!#REF!,IF($AK$5=$C$10,H$10-DPR!#REF!,IF($AK$5=$C$11,H$11-DPR!#REF!))))</f>
        <v>#REF!</v>
      </c>
      <c r="I171" s="870" t="e">
        <f>MAX(0,IF($AK$5=$C$9,I$9-DPR!#REF!,IF($AK$5=$C$10,I$10-DPR!#REF!,IF($AK$5=$C$11,I$11-DPR!#REF!))))</f>
        <v>#REF!</v>
      </c>
      <c r="J171" s="870" t="e">
        <f>MAX(0,IF($AK$5=$C$9,J$9-DPR!#REF!,IF($AK$5=$C$10,J$10-DPR!#REF!,IF($AK$5=$C$11,J$11-DPR!#REF!))))</f>
        <v>#REF!</v>
      </c>
      <c r="K171" s="870" t="e">
        <f>MAX(0,IF($AK$5=$C$9,K$9-DPR!#REF!,IF($AK$5=$C$10,K$10-DPR!#REF!,IF($AK$5=$C$11,K$11-DPR!#REF!))))</f>
        <v>#REF!</v>
      </c>
      <c r="L171" s="870" t="e">
        <f>MAX(0,IF($AK$5=$C$9,L$9-DPR!#REF!,IF($AK$5=$C$10,L$10-DPR!#REF!,IF($AK$5=$C$11,L$11-DPR!#REF!))))</f>
        <v>#REF!</v>
      </c>
      <c r="M171" s="870" t="e">
        <f>MAX(0,IF($AK$5=$C$9,M$9-DPR!#REF!,IF($AK$5=$C$10,M$10-DPR!#REF!,IF($AK$5=$C$11,M$11-DPR!#REF!))))</f>
        <v>#REF!</v>
      </c>
      <c r="N171" s="870" t="e">
        <f>MAX(0,IF($AK$5=$C$9,N$9-DPR!#REF!,IF($AK$5=$C$10,N$10-DPR!#REF!,IF($AK$5=$C$11,N$11-DPR!#REF!))))</f>
        <v>#REF!</v>
      </c>
      <c r="O171" s="870" t="e">
        <f>MAX(0,IF($AK$5=$C$9,O$9-DPR!#REF!,IF($AK$5=$C$10,O$10-DPR!#REF!,IF($AK$5=$C$11,O$11-DPR!#REF!))))</f>
        <v>#REF!</v>
      </c>
      <c r="P171" s="870" t="e">
        <f>MAX(0,IF($AK$5=$C$9,P$9-DPR!#REF!,IF($AK$5=$C$10,P$10-DPR!#REF!,IF($AK$5=$C$11,P$11-DPR!#REF!))))</f>
        <v>#REF!</v>
      </c>
      <c r="Q171" s="870">
        <v>80</v>
      </c>
      <c r="R171" s="919" t="e">
        <f t="shared" si="10"/>
        <v>#REF!</v>
      </c>
      <c r="S171" s="878"/>
      <c r="T171" s="878"/>
      <c r="U171" s="878"/>
      <c r="V171" s="878"/>
      <c r="W171" s="878"/>
      <c r="X171" s="878"/>
      <c r="Y171" s="878"/>
      <c r="Z171" s="878"/>
      <c r="AA171" s="878"/>
      <c r="AB171" s="878"/>
      <c r="AC171" s="878"/>
      <c r="AD171" s="878"/>
      <c r="AE171" s="878"/>
      <c r="AF171" s="847"/>
      <c r="AG171" s="920">
        <f t="shared" si="11"/>
        <v>0</v>
      </c>
      <c r="AH171" s="888">
        <f t="shared" si="12"/>
        <v>202509</v>
      </c>
      <c r="AI171" t="e">
        <f>DPR!#REF!</f>
        <v>#REF!</v>
      </c>
    </row>
    <row r="172" spans="3:35" ht="15.75">
      <c r="C172" s="918">
        <v>45908</v>
      </c>
      <c r="D172" s="870" t="e">
        <f>MAX(0,IF($AK$5=$C$9,D$9-DPR!#REF!,IF($AK$5=$C$10,D$10-DPR!#REF!,IF($AK$5=$C$11,D$11-DPR!#REF!))))</f>
        <v>#REF!</v>
      </c>
      <c r="E172" s="870" t="e">
        <f>MAX(0,IF($AK$5=$C$9,E$9-DPR!#REF!,IF($AK$5=$C$10,E$10-DPR!#REF!,IF($AK$5=$C$11,E$11-DPR!#REF!))))</f>
        <v>#REF!</v>
      </c>
      <c r="F172" s="870" t="e">
        <f>MAX(0,IF($AK$5=$C$9,F$9-DPR!#REF!,IF($AK$5=$C$10,F$10-DPR!#REF!,IF($AK$5=$C$11,F$11-DPR!#REF!))))</f>
        <v>#REF!</v>
      </c>
      <c r="G172" s="870" t="e">
        <f>MAX(0,IF($AK$5=$C$9,G$9-DPR!#REF!,IF($AK$5=$C$10,G$10-DPR!#REF!,IF($AK$5=$C$11,G$11-DPR!#REF!))))</f>
        <v>#REF!</v>
      </c>
      <c r="H172" s="870" t="e">
        <f>MAX(0,IF($AK$5=$C$9,H$9-DPR!#REF!,IF($AK$5=$C$10,H$10-DPR!#REF!,IF($AK$5=$C$11,H$11-DPR!#REF!))))</f>
        <v>#REF!</v>
      </c>
      <c r="I172" s="870" t="e">
        <f>MAX(0,IF($AK$5=$C$9,I$9-DPR!#REF!,IF($AK$5=$C$10,I$10-DPR!#REF!,IF($AK$5=$C$11,I$11-DPR!#REF!))))</f>
        <v>#REF!</v>
      </c>
      <c r="J172" s="870" t="e">
        <f>MAX(0,IF($AK$5=$C$9,J$9-DPR!#REF!,IF($AK$5=$C$10,J$10-DPR!#REF!,IF($AK$5=$C$11,J$11-DPR!#REF!))))</f>
        <v>#REF!</v>
      </c>
      <c r="K172" s="870" t="e">
        <f>MAX(0,IF($AK$5=$C$9,K$9-DPR!#REF!,IF($AK$5=$C$10,K$10-DPR!#REF!,IF($AK$5=$C$11,K$11-DPR!#REF!))))</f>
        <v>#REF!</v>
      </c>
      <c r="L172" s="870" t="e">
        <f>MAX(0,IF($AK$5=$C$9,L$9-DPR!#REF!,IF($AK$5=$C$10,L$10-DPR!#REF!,IF($AK$5=$C$11,L$11-DPR!#REF!))))</f>
        <v>#REF!</v>
      </c>
      <c r="M172" s="870" t="e">
        <f>MAX(0,IF($AK$5=$C$9,M$9-DPR!#REF!,IF($AK$5=$C$10,M$10-DPR!#REF!,IF($AK$5=$C$11,M$11-DPR!#REF!))))</f>
        <v>#REF!</v>
      </c>
      <c r="N172" s="870" t="e">
        <f>MAX(0,IF($AK$5=$C$9,N$9-DPR!#REF!,IF($AK$5=$C$10,N$10-DPR!#REF!,IF($AK$5=$C$11,N$11-DPR!#REF!))))</f>
        <v>#REF!</v>
      </c>
      <c r="O172" s="870" t="e">
        <f>MAX(0,IF($AK$5=$C$9,O$9-DPR!#REF!,IF($AK$5=$C$10,O$10-DPR!#REF!,IF($AK$5=$C$11,O$11-DPR!#REF!))))</f>
        <v>#REF!</v>
      </c>
      <c r="P172" s="870" t="e">
        <f>MAX(0,IF($AK$5=$C$9,P$9-DPR!#REF!,IF($AK$5=$C$10,P$10-DPR!#REF!,IF($AK$5=$C$11,P$11-DPR!#REF!))))</f>
        <v>#REF!</v>
      </c>
      <c r="Q172" s="870">
        <v>81</v>
      </c>
      <c r="R172" s="919" t="e">
        <f t="shared" si="10"/>
        <v>#REF!</v>
      </c>
      <c r="S172" s="878"/>
      <c r="T172" s="878"/>
      <c r="U172" s="878"/>
      <c r="V172" s="878"/>
      <c r="W172" s="878"/>
      <c r="X172" s="878"/>
      <c r="Y172" s="878"/>
      <c r="Z172" s="878"/>
      <c r="AA172" s="878"/>
      <c r="AB172" s="878"/>
      <c r="AC172" s="878"/>
      <c r="AD172" s="878"/>
      <c r="AE172" s="878"/>
      <c r="AF172" s="847"/>
      <c r="AG172" s="920">
        <f t="shared" si="11"/>
        <v>0</v>
      </c>
      <c r="AH172" s="888">
        <f t="shared" si="12"/>
        <v>202509</v>
      </c>
      <c r="AI172" t="e">
        <f>DPR!#REF!</f>
        <v>#REF!</v>
      </c>
    </row>
    <row r="173" spans="3:35" ht="15.75">
      <c r="C173" s="918">
        <v>45909</v>
      </c>
      <c r="D173" s="870" t="e">
        <f>MAX(0,IF($AK$5=$C$9,D$9-DPR!#REF!,IF($AK$5=$C$10,D$10-DPR!#REF!,IF($AK$5=$C$11,D$11-DPR!#REF!))))</f>
        <v>#REF!</v>
      </c>
      <c r="E173" s="870" t="e">
        <f>MAX(0,IF($AK$5=$C$9,E$9-DPR!#REF!,IF($AK$5=$C$10,E$10-DPR!#REF!,IF($AK$5=$C$11,E$11-DPR!#REF!))))</f>
        <v>#REF!</v>
      </c>
      <c r="F173" s="870" t="e">
        <f>MAX(0,IF($AK$5=$C$9,F$9-DPR!#REF!,IF($AK$5=$C$10,F$10-DPR!#REF!,IF($AK$5=$C$11,F$11-DPR!#REF!))))</f>
        <v>#REF!</v>
      </c>
      <c r="G173" s="870" t="e">
        <f>MAX(0,IF($AK$5=$C$9,G$9-DPR!#REF!,IF($AK$5=$C$10,G$10-DPR!#REF!,IF($AK$5=$C$11,G$11-DPR!#REF!))))</f>
        <v>#REF!</v>
      </c>
      <c r="H173" s="870" t="e">
        <f>MAX(0,IF($AK$5=$C$9,H$9-DPR!#REF!,IF($AK$5=$C$10,H$10-DPR!#REF!,IF($AK$5=$C$11,H$11-DPR!#REF!))))</f>
        <v>#REF!</v>
      </c>
      <c r="I173" s="870" t="e">
        <f>MAX(0,IF($AK$5=$C$9,I$9-DPR!#REF!,IF($AK$5=$C$10,I$10-DPR!#REF!,IF($AK$5=$C$11,I$11-DPR!#REF!))))</f>
        <v>#REF!</v>
      </c>
      <c r="J173" s="870" t="e">
        <f>MAX(0,IF($AK$5=$C$9,J$9-DPR!#REF!,IF($AK$5=$C$10,J$10-DPR!#REF!,IF($AK$5=$C$11,J$11-DPR!#REF!))))</f>
        <v>#REF!</v>
      </c>
      <c r="K173" s="870" t="e">
        <f>MAX(0,IF($AK$5=$C$9,K$9-DPR!#REF!,IF($AK$5=$C$10,K$10-DPR!#REF!,IF($AK$5=$C$11,K$11-DPR!#REF!))))</f>
        <v>#REF!</v>
      </c>
      <c r="L173" s="870" t="e">
        <f>MAX(0,IF($AK$5=$C$9,L$9-DPR!#REF!,IF($AK$5=$C$10,L$10-DPR!#REF!,IF($AK$5=$C$11,L$11-DPR!#REF!))))</f>
        <v>#REF!</v>
      </c>
      <c r="M173" s="870" t="e">
        <f>MAX(0,IF($AK$5=$C$9,M$9-DPR!#REF!,IF($AK$5=$C$10,M$10-DPR!#REF!,IF($AK$5=$C$11,M$11-DPR!#REF!))))</f>
        <v>#REF!</v>
      </c>
      <c r="N173" s="870" t="e">
        <f>MAX(0,IF($AK$5=$C$9,N$9-DPR!#REF!,IF($AK$5=$C$10,N$10-DPR!#REF!,IF($AK$5=$C$11,N$11-DPR!#REF!))))</f>
        <v>#REF!</v>
      </c>
      <c r="O173" s="870" t="e">
        <f>MAX(0,IF($AK$5=$C$9,O$9-DPR!#REF!,IF($AK$5=$C$10,O$10-DPR!#REF!,IF($AK$5=$C$11,O$11-DPR!#REF!))))</f>
        <v>#REF!</v>
      </c>
      <c r="P173" s="870" t="e">
        <f>MAX(0,IF($AK$5=$C$9,P$9-DPR!#REF!,IF($AK$5=$C$10,P$10-DPR!#REF!,IF($AK$5=$C$11,P$11-DPR!#REF!))))</f>
        <v>#REF!</v>
      </c>
      <c r="Q173" s="870">
        <v>82</v>
      </c>
      <c r="R173" s="919" t="e">
        <f t="shared" si="10"/>
        <v>#REF!</v>
      </c>
      <c r="S173" s="878"/>
      <c r="T173" s="878"/>
      <c r="U173" s="878"/>
      <c r="V173" s="878"/>
      <c r="W173" s="878"/>
      <c r="X173" s="878"/>
      <c r="Y173" s="878"/>
      <c r="Z173" s="878"/>
      <c r="AA173" s="878"/>
      <c r="AB173" s="878"/>
      <c r="AC173" s="878"/>
      <c r="AD173" s="878"/>
      <c r="AE173" s="878"/>
      <c r="AF173" s="847"/>
      <c r="AG173" s="920">
        <f t="shared" si="11"/>
        <v>0</v>
      </c>
      <c r="AH173" s="888">
        <f t="shared" si="12"/>
        <v>202509</v>
      </c>
      <c r="AI173" t="e">
        <f>DPR!#REF!</f>
        <v>#REF!</v>
      </c>
    </row>
    <row r="174" spans="3:35" ht="15.75">
      <c r="C174" s="918">
        <v>45910</v>
      </c>
      <c r="D174" s="870" t="e">
        <f>MAX(0,IF($AK$5=$C$9,D$9-DPR!#REF!,IF($AK$5=$C$10,D$10-DPR!#REF!,IF($AK$5=$C$11,D$11-DPR!#REF!))))</f>
        <v>#REF!</v>
      </c>
      <c r="E174" s="870" t="e">
        <f>MAX(0,IF($AK$5=$C$9,E$9-DPR!#REF!,IF($AK$5=$C$10,E$10-DPR!#REF!,IF($AK$5=$C$11,E$11-DPR!#REF!))))</f>
        <v>#REF!</v>
      </c>
      <c r="F174" s="870" t="e">
        <f>MAX(0,IF($AK$5=$C$9,F$9-DPR!#REF!,IF($AK$5=$C$10,F$10-DPR!#REF!,IF($AK$5=$C$11,F$11-DPR!#REF!))))</f>
        <v>#REF!</v>
      </c>
      <c r="G174" s="870" t="e">
        <f>MAX(0,IF($AK$5=$C$9,G$9-DPR!#REF!,IF($AK$5=$C$10,G$10-DPR!#REF!,IF($AK$5=$C$11,G$11-DPR!#REF!))))</f>
        <v>#REF!</v>
      </c>
      <c r="H174" s="870" t="e">
        <f>MAX(0,IF($AK$5=$C$9,H$9-DPR!#REF!,IF($AK$5=$C$10,H$10-DPR!#REF!,IF($AK$5=$C$11,H$11-DPR!#REF!))))</f>
        <v>#REF!</v>
      </c>
      <c r="I174" s="870" t="e">
        <f>MAX(0,IF($AK$5=$C$9,I$9-DPR!#REF!,IF($AK$5=$C$10,I$10-DPR!#REF!,IF($AK$5=$C$11,I$11-DPR!#REF!))))</f>
        <v>#REF!</v>
      </c>
      <c r="J174" s="870" t="e">
        <f>MAX(0,IF($AK$5=$C$9,J$9-DPR!#REF!,IF($AK$5=$C$10,J$10-DPR!#REF!,IF($AK$5=$C$11,J$11-DPR!#REF!))))</f>
        <v>#REF!</v>
      </c>
      <c r="K174" s="870" t="e">
        <f>MAX(0,IF($AK$5=$C$9,K$9-DPR!#REF!,IF($AK$5=$C$10,K$10-DPR!#REF!,IF($AK$5=$C$11,K$11-DPR!#REF!))))</f>
        <v>#REF!</v>
      </c>
      <c r="L174" s="870" t="e">
        <f>MAX(0,IF($AK$5=$C$9,L$9-DPR!#REF!,IF($AK$5=$C$10,L$10-DPR!#REF!,IF($AK$5=$C$11,L$11-DPR!#REF!))))</f>
        <v>#REF!</v>
      </c>
      <c r="M174" s="870" t="e">
        <f>MAX(0,IF($AK$5=$C$9,M$9-DPR!#REF!,IF($AK$5=$C$10,M$10-DPR!#REF!,IF($AK$5=$C$11,M$11-DPR!#REF!))))</f>
        <v>#REF!</v>
      </c>
      <c r="N174" s="870" t="e">
        <f>MAX(0,IF($AK$5=$C$9,N$9-DPR!#REF!,IF($AK$5=$C$10,N$10-DPR!#REF!,IF($AK$5=$C$11,N$11-DPR!#REF!))))</f>
        <v>#REF!</v>
      </c>
      <c r="O174" s="870" t="e">
        <f>MAX(0,IF($AK$5=$C$9,O$9-DPR!#REF!,IF($AK$5=$C$10,O$10-DPR!#REF!,IF($AK$5=$C$11,O$11-DPR!#REF!))))</f>
        <v>#REF!</v>
      </c>
      <c r="P174" s="870" t="e">
        <f>MAX(0,IF($AK$5=$C$9,P$9-DPR!#REF!,IF($AK$5=$C$10,P$10-DPR!#REF!,IF($AK$5=$C$11,P$11-DPR!#REF!))))</f>
        <v>#REF!</v>
      </c>
      <c r="Q174" s="870">
        <v>83</v>
      </c>
      <c r="R174" s="919" t="e">
        <f t="shared" si="10"/>
        <v>#REF!</v>
      </c>
      <c r="S174" s="878"/>
      <c r="T174" s="878"/>
      <c r="U174" s="878"/>
      <c r="V174" s="878"/>
      <c r="W174" s="878"/>
      <c r="X174" s="878"/>
      <c r="Y174" s="878"/>
      <c r="Z174" s="878"/>
      <c r="AA174" s="878"/>
      <c r="AB174" s="878"/>
      <c r="AC174" s="878"/>
      <c r="AD174" s="878"/>
      <c r="AE174" s="878"/>
      <c r="AF174" s="847"/>
      <c r="AG174" s="920">
        <f t="shared" si="11"/>
        <v>0</v>
      </c>
      <c r="AH174" s="888">
        <f t="shared" si="12"/>
        <v>202509</v>
      </c>
      <c r="AI174" t="e">
        <f>DPR!#REF!</f>
        <v>#REF!</v>
      </c>
    </row>
    <row r="175" spans="3:35" ht="15.75">
      <c r="C175" s="918">
        <v>45911</v>
      </c>
      <c r="D175" s="870" t="e">
        <f>MAX(0,IF($AK$5=$C$9,D$9-DPR!#REF!,IF($AK$5=$C$10,D$10-DPR!#REF!,IF($AK$5=$C$11,D$11-DPR!#REF!))))</f>
        <v>#REF!</v>
      </c>
      <c r="E175" s="870" t="e">
        <f>MAX(0,IF($AK$5=$C$9,E$9-DPR!#REF!,IF($AK$5=$C$10,E$10-DPR!#REF!,IF($AK$5=$C$11,E$11-DPR!#REF!))))</f>
        <v>#REF!</v>
      </c>
      <c r="F175" s="870" t="e">
        <f>MAX(0,IF($AK$5=$C$9,F$9-DPR!#REF!,IF($AK$5=$C$10,F$10-DPR!#REF!,IF($AK$5=$C$11,F$11-DPR!#REF!))))</f>
        <v>#REF!</v>
      </c>
      <c r="G175" s="870" t="e">
        <f>MAX(0,IF($AK$5=$C$9,G$9-DPR!#REF!,IF($AK$5=$C$10,G$10-DPR!#REF!,IF($AK$5=$C$11,G$11-DPR!#REF!))))</f>
        <v>#REF!</v>
      </c>
      <c r="H175" s="870" t="e">
        <f>MAX(0,IF($AK$5=$C$9,H$9-DPR!#REF!,IF($AK$5=$C$10,H$10-DPR!#REF!,IF($AK$5=$C$11,H$11-DPR!#REF!))))</f>
        <v>#REF!</v>
      </c>
      <c r="I175" s="870" t="e">
        <f>MAX(0,IF($AK$5=$C$9,I$9-DPR!#REF!,IF($AK$5=$C$10,I$10-DPR!#REF!,IF($AK$5=$C$11,I$11-DPR!#REF!))))</f>
        <v>#REF!</v>
      </c>
      <c r="J175" s="870" t="e">
        <f>MAX(0,IF($AK$5=$C$9,J$9-DPR!#REF!,IF($AK$5=$C$10,J$10-DPR!#REF!,IF($AK$5=$C$11,J$11-DPR!#REF!))))</f>
        <v>#REF!</v>
      </c>
      <c r="K175" s="870" t="e">
        <f>MAX(0,IF($AK$5=$C$9,K$9-DPR!#REF!,IF($AK$5=$C$10,K$10-DPR!#REF!,IF($AK$5=$C$11,K$11-DPR!#REF!))))</f>
        <v>#REF!</v>
      </c>
      <c r="L175" s="870" t="e">
        <f>MAX(0,IF($AK$5=$C$9,L$9-DPR!#REF!,IF($AK$5=$C$10,L$10-DPR!#REF!,IF($AK$5=$C$11,L$11-DPR!#REF!))))</f>
        <v>#REF!</v>
      </c>
      <c r="M175" s="870" t="e">
        <f>MAX(0,IF($AK$5=$C$9,M$9-DPR!#REF!,IF($AK$5=$C$10,M$10-DPR!#REF!,IF($AK$5=$C$11,M$11-DPR!#REF!))))</f>
        <v>#REF!</v>
      </c>
      <c r="N175" s="870" t="e">
        <f>MAX(0,IF($AK$5=$C$9,N$9-DPR!#REF!,IF($AK$5=$C$10,N$10-DPR!#REF!,IF($AK$5=$C$11,N$11-DPR!#REF!))))</f>
        <v>#REF!</v>
      </c>
      <c r="O175" s="870" t="e">
        <f>MAX(0,IF($AK$5=$C$9,O$9-DPR!#REF!,IF($AK$5=$C$10,O$10-DPR!#REF!,IF($AK$5=$C$11,O$11-DPR!#REF!))))</f>
        <v>#REF!</v>
      </c>
      <c r="P175" s="870" t="e">
        <f>MAX(0,IF($AK$5=$C$9,P$9-DPR!#REF!,IF($AK$5=$C$10,P$10-DPR!#REF!,IF($AK$5=$C$11,P$11-DPR!#REF!))))</f>
        <v>#REF!</v>
      </c>
      <c r="Q175" s="870">
        <v>84</v>
      </c>
      <c r="R175" s="919" t="e">
        <f t="shared" si="10"/>
        <v>#REF!</v>
      </c>
      <c r="S175" s="878"/>
      <c r="T175" s="878"/>
      <c r="U175" s="878"/>
      <c r="V175" s="878"/>
      <c r="W175" s="878"/>
      <c r="X175" s="878"/>
      <c r="Y175" s="878"/>
      <c r="Z175" s="878"/>
      <c r="AA175" s="878"/>
      <c r="AB175" s="878"/>
      <c r="AC175" s="878"/>
      <c r="AD175" s="878"/>
      <c r="AE175" s="878"/>
      <c r="AF175" s="847"/>
      <c r="AG175" s="920">
        <f t="shared" si="11"/>
        <v>0</v>
      </c>
      <c r="AH175" s="888">
        <f t="shared" si="12"/>
        <v>202509</v>
      </c>
      <c r="AI175" t="e">
        <f>DPR!#REF!</f>
        <v>#REF!</v>
      </c>
    </row>
    <row r="176" spans="3:35" ht="15.75">
      <c r="C176" s="918">
        <v>45912</v>
      </c>
      <c r="D176" s="870" t="e">
        <f>MAX(0,IF($AK$5=$C$9,D$9-DPR!#REF!,IF($AK$5=$C$10,D$10-DPR!#REF!,IF($AK$5=$C$11,D$11-DPR!#REF!))))</f>
        <v>#REF!</v>
      </c>
      <c r="E176" s="870" t="e">
        <f>MAX(0,IF($AK$5=$C$9,E$9-DPR!#REF!,IF($AK$5=$C$10,E$10-DPR!#REF!,IF($AK$5=$C$11,E$11-DPR!#REF!))))</f>
        <v>#REF!</v>
      </c>
      <c r="F176" s="870" t="e">
        <f>MAX(0,IF($AK$5=$C$9,F$9-DPR!#REF!,IF($AK$5=$C$10,F$10-DPR!#REF!,IF($AK$5=$C$11,F$11-DPR!#REF!))))</f>
        <v>#REF!</v>
      </c>
      <c r="G176" s="870" t="e">
        <f>MAX(0,IF($AK$5=$C$9,G$9-DPR!#REF!,IF($AK$5=$C$10,G$10-DPR!#REF!,IF($AK$5=$C$11,G$11-DPR!#REF!))))</f>
        <v>#REF!</v>
      </c>
      <c r="H176" s="870" t="e">
        <f>MAX(0,IF($AK$5=$C$9,H$9-DPR!#REF!,IF($AK$5=$C$10,H$10-DPR!#REF!,IF($AK$5=$C$11,H$11-DPR!#REF!))))</f>
        <v>#REF!</v>
      </c>
      <c r="I176" s="870" t="e">
        <f>MAX(0,IF($AK$5=$C$9,I$9-DPR!#REF!,IF($AK$5=$C$10,I$10-DPR!#REF!,IF($AK$5=$C$11,I$11-DPR!#REF!))))</f>
        <v>#REF!</v>
      </c>
      <c r="J176" s="870" t="e">
        <f>MAX(0,IF($AK$5=$C$9,J$9-DPR!#REF!,IF($AK$5=$C$10,J$10-DPR!#REF!,IF($AK$5=$C$11,J$11-DPR!#REF!))))</f>
        <v>#REF!</v>
      </c>
      <c r="K176" s="870" t="e">
        <f>MAX(0,IF($AK$5=$C$9,K$9-DPR!#REF!,IF($AK$5=$C$10,K$10-DPR!#REF!,IF($AK$5=$C$11,K$11-DPR!#REF!))))</f>
        <v>#REF!</v>
      </c>
      <c r="L176" s="870" t="e">
        <f>MAX(0,IF($AK$5=$C$9,L$9-DPR!#REF!,IF($AK$5=$C$10,L$10-DPR!#REF!,IF($AK$5=$C$11,L$11-DPR!#REF!))))</f>
        <v>#REF!</v>
      </c>
      <c r="M176" s="870" t="e">
        <f>MAX(0,IF($AK$5=$C$9,M$9-DPR!#REF!,IF($AK$5=$C$10,M$10-DPR!#REF!,IF($AK$5=$C$11,M$11-DPR!#REF!))))</f>
        <v>#REF!</v>
      </c>
      <c r="N176" s="870" t="e">
        <f>MAX(0,IF($AK$5=$C$9,N$9-DPR!#REF!,IF($AK$5=$C$10,N$10-DPR!#REF!,IF($AK$5=$C$11,N$11-DPR!#REF!))))</f>
        <v>#REF!</v>
      </c>
      <c r="O176" s="870" t="e">
        <f>MAX(0,IF($AK$5=$C$9,O$9-DPR!#REF!,IF($AK$5=$C$10,O$10-DPR!#REF!,IF($AK$5=$C$11,O$11-DPR!#REF!))))</f>
        <v>#REF!</v>
      </c>
      <c r="P176" s="870" t="e">
        <f>MAX(0,IF($AK$5=$C$9,P$9-DPR!#REF!,IF($AK$5=$C$10,P$10-DPR!#REF!,IF($AK$5=$C$11,P$11-DPR!#REF!))))</f>
        <v>#REF!</v>
      </c>
      <c r="Q176" s="870">
        <v>85</v>
      </c>
      <c r="R176" s="919" t="e">
        <f t="shared" si="10"/>
        <v>#REF!</v>
      </c>
      <c r="S176" s="878"/>
      <c r="T176" s="878"/>
      <c r="U176" s="878"/>
      <c r="V176" s="878"/>
      <c r="W176" s="878"/>
      <c r="X176" s="878"/>
      <c r="Y176" s="878"/>
      <c r="Z176" s="878"/>
      <c r="AA176" s="878"/>
      <c r="AB176" s="878"/>
      <c r="AC176" s="878"/>
      <c r="AD176" s="878"/>
      <c r="AE176" s="878"/>
      <c r="AF176" s="847"/>
      <c r="AG176" s="920">
        <f t="shared" si="11"/>
        <v>0</v>
      </c>
      <c r="AH176" s="888">
        <f t="shared" si="12"/>
        <v>202509</v>
      </c>
      <c r="AI176" t="e">
        <f>DPR!#REF!</f>
        <v>#REF!</v>
      </c>
    </row>
    <row r="177" spans="3:35" ht="15.75">
      <c r="C177" s="918">
        <v>45913</v>
      </c>
      <c r="D177" s="870" t="e">
        <f>MAX(0,IF($AK$5=$C$9,D$9-DPR!#REF!,IF($AK$5=$C$10,D$10-DPR!#REF!,IF($AK$5=$C$11,D$11-DPR!#REF!))))</f>
        <v>#REF!</v>
      </c>
      <c r="E177" s="870" t="e">
        <f>MAX(0,IF($AK$5=$C$9,E$9-DPR!#REF!,IF($AK$5=$C$10,E$10-DPR!#REF!,IF($AK$5=$C$11,E$11-DPR!#REF!))))</f>
        <v>#REF!</v>
      </c>
      <c r="F177" s="870" t="e">
        <f>MAX(0,IF($AK$5=$C$9,F$9-DPR!#REF!,IF($AK$5=$C$10,F$10-DPR!#REF!,IF($AK$5=$C$11,F$11-DPR!#REF!))))</f>
        <v>#REF!</v>
      </c>
      <c r="G177" s="870" t="e">
        <f>MAX(0,IF($AK$5=$C$9,G$9-DPR!#REF!,IF($AK$5=$C$10,G$10-DPR!#REF!,IF($AK$5=$C$11,G$11-DPR!#REF!))))</f>
        <v>#REF!</v>
      </c>
      <c r="H177" s="870" t="e">
        <f>MAX(0,IF($AK$5=$C$9,H$9-DPR!#REF!,IF($AK$5=$C$10,H$10-DPR!#REF!,IF($AK$5=$C$11,H$11-DPR!#REF!))))</f>
        <v>#REF!</v>
      </c>
      <c r="I177" s="870" t="e">
        <f>MAX(0,IF($AK$5=$C$9,I$9-DPR!#REF!,IF($AK$5=$C$10,I$10-DPR!#REF!,IF($AK$5=$C$11,I$11-DPR!#REF!))))</f>
        <v>#REF!</v>
      </c>
      <c r="J177" s="870" t="e">
        <f>MAX(0,IF($AK$5=$C$9,J$9-DPR!#REF!,IF($AK$5=$C$10,J$10-DPR!#REF!,IF($AK$5=$C$11,J$11-DPR!#REF!))))</f>
        <v>#REF!</v>
      </c>
      <c r="K177" s="870" t="e">
        <f>MAX(0,IF($AK$5=$C$9,K$9-DPR!#REF!,IF($AK$5=$C$10,K$10-DPR!#REF!,IF($AK$5=$C$11,K$11-DPR!#REF!))))</f>
        <v>#REF!</v>
      </c>
      <c r="L177" s="870" t="e">
        <f>MAX(0,IF($AK$5=$C$9,L$9-DPR!#REF!,IF($AK$5=$C$10,L$10-DPR!#REF!,IF($AK$5=$C$11,L$11-DPR!#REF!))))</f>
        <v>#REF!</v>
      </c>
      <c r="M177" s="870" t="e">
        <f>MAX(0,IF($AK$5=$C$9,M$9-DPR!#REF!,IF($AK$5=$C$10,M$10-DPR!#REF!,IF($AK$5=$C$11,M$11-DPR!#REF!))))</f>
        <v>#REF!</v>
      </c>
      <c r="N177" s="870" t="e">
        <f>MAX(0,IF($AK$5=$C$9,N$9-DPR!#REF!,IF($AK$5=$C$10,N$10-DPR!#REF!,IF($AK$5=$C$11,N$11-DPR!#REF!))))</f>
        <v>#REF!</v>
      </c>
      <c r="O177" s="870" t="e">
        <f>MAX(0,IF($AK$5=$C$9,O$9-DPR!#REF!,IF($AK$5=$C$10,O$10-DPR!#REF!,IF($AK$5=$C$11,O$11-DPR!#REF!))))</f>
        <v>#REF!</v>
      </c>
      <c r="P177" s="870" t="e">
        <f>MAX(0,IF($AK$5=$C$9,P$9-DPR!#REF!,IF($AK$5=$C$10,P$10-DPR!#REF!,IF($AK$5=$C$11,P$11-DPR!#REF!))))</f>
        <v>#REF!</v>
      </c>
      <c r="Q177" s="870">
        <v>86</v>
      </c>
      <c r="R177" s="919" t="e">
        <f t="shared" si="10"/>
        <v>#REF!</v>
      </c>
      <c r="S177" s="878"/>
      <c r="T177" s="878"/>
      <c r="U177" s="878"/>
      <c r="V177" s="878"/>
      <c r="W177" s="878"/>
      <c r="X177" s="878"/>
      <c r="Y177" s="878"/>
      <c r="Z177" s="878"/>
      <c r="AA177" s="878"/>
      <c r="AB177" s="878"/>
      <c r="AC177" s="878"/>
      <c r="AD177" s="878"/>
      <c r="AE177" s="878"/>
      <c r="AF177" s="847"/>
      <c r="AG177" s="920">
        <f t="shared" si="11"/>
        <v>0</v>
      </c>
      <c r="AH177" s="888">
        <f t="shared" si="12"/>
        <v>202509</v>
      </c>
      <c r="AI177" t="e">
        <f>DPR!#REF!</f>
        <v>#REF!</v>
      </c>
    </row>
    <row r="178" spans="3:35" ht="15.75">
      <c r="C178" s="918">
        <v>45914</v>
      </c>
      <c r="D178" s="870" t="e">
        <f>MAX(0,IF($AK$5=$C$9,D$9-DPR!#REF!,IF($AK$5=$C$10,D$10-DPR!#REF!,IF($AK$5=$C$11,D$11-DPR!#REF!))))</f>
        <v>#REF!</v>
      </c>
      <c r="E178" s="870" t="e">
        <f>MAX(0,IF($AK$5=$C$9,E$9-DPR!#REF!,IF($AK$5=$C$10,E$10-DPR!#REF!,IF($AK$5=$C$11,E$11-DPR!#REF!))))</f>
        <v>#REF!</v>
      </c>
      <c r="F178" s="870" t="e">
        <f>MAX(0,IF($AK$5=$C$9,F$9-DPR!#REF!,IF($AK$5=$C$10,F$10-DPR!#REF!,IF($AK$5=$C$11,F$11-DPR!#REF!))))</f>
        <v>#REF!</v>
      </c>
      <c r="G178" s="870" t="e">
        <f>MAX(0,IF($AK$5=$C$9,G$9-DPR!#REF!,IF($AK$5=$C$10,G$10-DPR!#REF!,IF($AK$5=$C$11,G$11-DPR!#REF!))))</f>
        <v>#REF!</v>
      </c>
      <c r="H178" s="870" t="e">
        <f>MAX(0,IF($AK$5=$C$9,H$9-DPR!#REF!,IF($AK$5=$C$10,H$10-DPR!#REF!,IF($AK$5=$C$11,H$11-DPR!#REF!))))</f>
        <v>#REF!</v>
      </c>
      <c r="I178" s="870" t="e">
        <f>MAX(0,IF($AK$5=$C$9,I$9-DPR!#REF!,IF($AK$5=$C$10,I$10-DPR!#REF!,IF($AK$5=$C$11,I$11-DPR!#REF!))))</f>
        <v>#REF!</v>
      </c>
      <c r="J178" s="870" t="e">
        <f>MAX(0,IF($AK$5=$C$9,J$9-DPR!#REF!,IF($AK$5=$C$10,J$10-DPR!#REF!,IF($AK$5=$C$11,J$11-DPR!#REF!))))</f>
        <v>#REF!</v>
      </c>
      <c r="K178" s="870" t="e">
        <f>MAX(0,IF($AK$5=$C$9,K$9-DPR!#REF!,IF($AK$5=$C$10,K$10-DPR!#REF!,IF($AK$5=$C$11,K$11-DPR!#REF!))))</f>
        <v>#REF!</v>
      </c>
      <c r="L178" s="870" t="e">
        <f>MAX(0,IF($AK$5=$C$9,L$9-DPR!#REF!,IF($AK$5=$C$10,L$10-DPR!#REF!,IF($AK$5=$C$11,L$11-DPR!#REF!))))</f>
        <v>#REF!</v>
      </c>
      <c r="M178" s="870" t="e">
        <f>MAX(0,IF($AK$5=$C$9,M$9-DPR!#REF!,IF($AK$5=$C$10,M$10-DPR!#REF!,IF($AK$5=$C$11,M$11-DPR!#REF!))))</f>
        <v>#REF!</v>
      </c>
      <c r="N178" s="870" t="e">
        <f>MAX(0,IF($AK$5=$C$9,N$9-DPR!#REF!,IF($AK$5=$C$10,N$10-DPR!#REF!,IF($AK$5=$C$11,N$11-DPR!#REF!))))</f>
        <v>#REF!</v>
      </c>
      <c r="O178" s="870" t="e">
        <f>MAX(0,IF($AK$5=$C$9,O$9-DPR!#REF!,IF($AK$5=$C$10,O$10-DPR!#REF!,IF($AK$5=$C$11,O$11-DPR!#REF!))))</f>
        <v>#REF!</v>
      </c>
      <c r="P178" s="870" t="e">
        <f>MAX(0,IF($AK$5=$C$9,P$9-DPR!#REF!,IF($AK$5=$C$10,P$10-DPR!#REF!,IF($AK$5=$C$11,P$11-DPR!#REF!))))</f>
        <v>#REF!</v>
      </c>
      <c r="Q178" s="870">
        <v>87</v>
      </c>
      <c r="R178" s="919" t="e">
        <f t="shared" si="10"/>
        <v>#REF!</v>
      </c>
      <c r="S178" s="878"/>
      <c r="T178" s="878"/>
      <c r="U178" s="878"/>
      <c r="V178" s="878"/>
      <c r="W178" s="878"/>
      <c r="X178" s="878"/>
      <c r="Y178" s="878"/>
      <c r="Z178" s="878"/>
      <c r="AA178" s="878"/>
      <c r="AB178" s="878"/>
      <c r="AC178" s="878"/>
      <c r="AD178" s="878"/>
      <c r="AE178" s="878"/>
      <c r="AF178" s="847"/>
      <c r="AG178" s="920">
        <f t="shared" si="11"/>
        <v>0</v>
      </c>
      <c r="AH178" s="888">
        <f t="shared" si="12"/>
        <v>202509</v>
      </c>
      <c r="AI178" t="e">
        <f>DPR!#REF!</f>
        <v>#REF!</v>
      </c>
    </row>
    <row r="179" spans="3:35" ht="15.75">
      <c r="C179" s="918">
        <v>45915</v>
      </c>
      <c r="D179" s="870" t="e">
        <f>MAX(0,IF($AK$5=$C$9,D$9-DPR!#REF!,IF($AK$5=$C$10,D$10-DPR!#REF!,IF($AK$5=$C$11,D$11-DPR!#REF!))))</f>
        <v>#REF!</v>
      </c>
      <c r="E179" s="870" t="e">
        <f>MAX(0,IF($AK$5=$C$9,E$9-DPR!#REF!,IF($AK$5=$C$10,E$10-DPR!#REF!,IF($AK$5=$C$11,E$11-DPR!#REF!))))</f>
        <v>#REF!</v>
      </c>
      <c r="F179" s="870" t="e">
        <f>MAX(0,IF($AK$5=$C$9,F$9-DPR!#REF!,IF($AK$5=$C$10,F$10-DPR!#REF!,IF($AK$5=$C$11,F$11-DPR!#REF!))))</f>
        <v>#REF!</v>
      </c>
      <c r="G179" s="870" t="e">
        <f>MAX(0,IF($AK$5=$C$9,G$9-DPR!#REF!,IF($AK$5=$C$10,G$10-DPR!#REF!,IF($AK$5=$C$11,G$11-DPR!#REF!))))</f>
        <v>#REF!</v>
      </c>
      <c r="H179" s="870" t="e">
        <f>MAX(0,IF($AK$5=$C$9,H$9-DPR!#REF!,IF($AK$5=$C$10,H$10-DPR!#REF!,IF($AK$5=$C$11,H$11-DPR!#REF!))))</f>
        <v>#REF!</v>
      </c>
      <c r="I179" s="870" t="e">
        <f>MAX(0,IF($AK$5=$C$9,I$9-DPR!#REF!,IF($AK$5=$C$10,I$10-DPR!#REF!,IF($AK$5=$C$11,I$11-DPR!#REF!))))</f>
        <v>#REF!</v>
      </c>
      <c r="J179" s="870" t="e">
        <f>MAX(0,IF($AK$5=$C$9,J$9-DPR!#REF!,IF($AK$5=$C$10,J$10-DPR!#REF!,IF($AK$5=$C$11,J$11-DPR!#REF!))))</f>
        <v>#REF!</v>
      </c>
      <c r="K179" s="870" t="e">
        <f>MAX(0,IF($AK$5=$C$9,K$9-DPR!#REF!,IF($AK$5=$C$10,K$10-DPR!#REF!,IF($AK$5=$C$11,K$11-DPR!#REF!))))</f>
        <v>#REF!</v>
      </c>
      <c r="L179" s="870" t="e">
        <f>MAX(0,IF($AK$5=$C$9,L$9-DPR!#REF!,IF($AK$5=$C$10,L$10-DPR!#REF!,IF($AK$5=$C$11,L$11-DPR!#REF!))))</f>
        <v>#REF!</v>
      </c>
      <c r="M179" s="870" t="e">
        <f>MAX(0,IF($AK$5=$C$9,M$9-DPR!#REF!,IF($AK$5=$C$10,M$10-DPR!#REF!,IF($AK$5=$C$11,M$11-DPR!#REF!))))</f>
        <v>#REF!</v>
      </c>
      <c r="N179" s="870" t="e">
        <f>MAX(0,IF($AK$5=$C$9,N$9-DPR!#REF!,IF($AK$5=$C$10,N$10-DPR!#REF!,IF($AK$5=$C$11,N$11-DPR!#REF!))))</f>
        <v>#REF!</v>
      </c>
      <c r="O179" s="870" t="e">
        <f>MAX(0,IF($AK$5=$C$9,O$9-DPR!#REF!,IF($AK$5=$C$10,O$10-DPR!#REF!,IF($AK$5=$C$11,O$11-DPR!#REF!))))</f>
        <v>#REF!</v>
      </c>
      <c r="P179" s="870" t="e">
        <f>MAX(0,IF($AK$5=$C$9,P$9-DPR!#REF!,IF($AK$5=$C$10,P$10-DPR!#REF!,IF($AK$5=$C$11,P$11-DPR!#REF!))))</f>
        <v>#REF!</v>
      </c>
      <c r="Q179" s="870">
        <v>88</v>
      </c>
      <c r="R179" s="919" t="e">
        <f t="shared" si="10"/>
        <v>#REF!</v>
      </c>
      <c r="S179" s="878"/>
      <c r="T179" s="878"/>
      <c r="U179" s="878"/>
      <c r="V179" s="878"/>
      <c r="W179" s="878"/>
      <c r="X179" s="878"/>
      <c r="Y179" s="878"/>
      <c r="Z179" s="878"/>
      <c r="AA179" s="878"/>
      <c r="AB179" s="878"/>
      <c r="AC179" s="878"/>
      <c r="AD179" s="878"/>
      <c r="AE179" s="878"/>
      <c r="AF179" s="847"/>
      <c r="AG179" s="920">
        <f t="shared" si="11"/>
        <v>0</v>
      </c>
      <c r="AH179" s="888">
        <f t="shared" si="12"/>
        <v>202509</v>
      </c>
      <c r="AI179" t="e">
        <f>DPR!#REF!</f>
        <v>#REF!</v>
      </c>
    </row>
    <row r="180" spans="3:35" ht="15.75">
      <c r="C180" s="918">
        <v>45916</v>
      </c>
      <c r="D180" s="870" t="e">
        <f>MAX(0,IF($AK$5=$C$9,D$9-DPR!#REF!,IF($AK$5=$C$10,D$10-DPR!#REF!,IF($AK$5=$C$11,D$11-DPR!#REF!))))</f>
        <v>#REF!</v>
      </c>
      <c r="E180" s="870" t="e">
        <f>MAX(0,IF($AK$5=$C$9,E$9-DPR!#REF!,IF($AK$5=$C$10,E$10-DPR!#REF!,IF($AK$5=$C$11,E$11-DPR!#REF!))))</f>
        <v>#REF!</v>
      </c>
      <c r="F180" s="870" t="e">
        <f>MAX(0,IF($AK$5=$C$9,F$9-DPR!#REF!,IF($AK$5=$C$10,F$10-DPR!#REF!,IF($AK$5=$C$11,F$11-DPR!#REF!))))</f>
        <v>#REF!</v>
      </c>
      <c r="G180" s="870" t="e">
        <f>MAX(0,IF($AK$5=$C$9,G$9-DPR!#REF!,IF($AK$5=$C$10,G$10-DPR!#REF!,IF($AK$5=$C$11,G$11-DPR!#REF!))))</f>
        <v>#REF!</v>
      </c>
      <c r="H180" s="870" t="e">
        <f>MAX(0,IF($AK$5=$C$9,H$9-DPR!#REF!,IF($AK$5=$C$10,H$10-DPR!#REF!,IF($AK$5=$C$11,H$11-DPR!#REF!))))</f>
        <v>#REF!</v>
      </c>
      <c r="I180" s="870" t="e">
        <f>MAX(0,IF($AK$5=$C$9,I$9-DPR!#REF!,IF($AK$5=$C$10,I$10-DPR!#REF!,IF($AK$5=$C$11,I$11-DPR!#REF!))))</f>
        <v>#REF!</v>
      </c>
      <c r="J180" s="870" t="e">
        <f>MAX(0,IF($AK$5=$C$9,J$9-DPR!#REF!,IF($AK$5=$C$10,J$10-DPR!#REF!,IF($AK$5=$C$11,J$11-DPR!#REF!))))</f>
        <v>#REF!</v>
      </c>
      <c r="K180" s="870" t="e">
        <f>MAX(0,IF($AK$5=$C$9,K$9-DPR!#REF!,IF($AK$5=$C$10,K$10-DPR!#REF!,IF($AK$5=$C$11,K$11-DPR!#REF!))))</f>
        <v>#REF!</v>
      </c>
      <c r="L180" s="870" t="e">
        <f>MAX(0,IF($AK$5=$C$9,L$9-DPR!#REF!,IF($AK$5=$C$10,L$10-DPR!#REF!,IF($AK$5=$C$11,L$11-DPR!#REF!))))</f>
        <v>#REF!</v>
      </c>
      <c r="M180" s="870" t="e">
        <f>MAX(0,IF($AK$5=$C$9,M$9-DPR!#REF!,IF($AK$5=$C$10,M$10-DPR!#REF!,IF($AK$5=$C$11,M$11-DPR!#REF!))))</f>
        <v>#REF!</v>
      </c>
      <c r="N180" s="870" t="e">
        <f>MAX(0,IF($AK$5=$C$9,N$9-DPR!#REF!,IF($AK$5=$C$10,N$10-DPR!#REF!,IF($AK$5=$C$11,N$11-DPR!#REF!))))</f>
        <v>#REF!</v>
      </c>
      <c r="O180" s="870" t="e">
        <f>MAX(0,IF($AK$5=$C$9,O$9-DPR!#REF!,IF($AK$5=$C$10,O$10-DPR!#REF!,IF($AK$5=$C$11,O$11-DPR!#REF!))))</f>
        <v>#REF!</v>
      </c>
      <c r="P180" s="870" t="e">
        <f>MAX(0,IF($AK$5=$C$9,P$9-DPR!#REF!,IF($AK$5=$C$10,P$10-DPR!#REF!,IF($AK$5=$C$11,P$11-DPR!#REF!))))</f>
        <v>#REF!</v>
      </c>
      <c r="Q180" s="870">
        <v>89</v>
      </c>
      <c r="R180" s="919" t="e">
        <f t="shared" si="10"/>
        <v>#REF!</v>
      </c>
      <c r="S180" s="878"/>
      <c r="T180" s="878"/>
      <c r="U180" s="878"/>
      <c r="V180" s="878"/>
      <c r="W180" s="878"/>
      <c r="X180" s="878"/>
      <c r="Y180" s="878"/>
      <c r="Z180" s="878"/>
      <c r="AA180" s="878"/>
      <c r="AB180" s="878"/>
      <c r="AC180" s="878"/>
      <c r="AD180" s="878"/>
      <c r="AE180" s="878"/>
      <c r="AF180" s="847"/>
      <c r="AG180" s="920">
        <f t="shared" si="11"/>
        <v>0</v>
      </c>
      <c r="AH180" s="888">
        <f t="shared" si="12"/>
        <v>202509</v>
      </c>
      <c r="AI180" t="e">
        <f>DPR!#REF!</f>
        <v>#REF!</v>
      </c>
    </row>
    <row r="181" spans="3:35" ht="15.75">
      <c r="C181" s="918">
        <v>45917</v>
      </c>
      <c r="D181" s="870" t="e">
        <f>MAX(0,IF($AK$5=$C$9,D$9-DPR!#REF!,IF($AK$5=$C$10,D$10-DPR!#REF!,IF($AK$5=$C$11,D$11-DPR!#REF!))))</f>
        <v>#REF!</v>
      </c>
      <c r="E181" s="870" t="e">
        <f>MAX(0,IF($AK$5=$C$9,E$9-DPR!#REF!,IF($AK$5=$C$10,E$10-DPR!#REF!,IF($AK$5=$C$11,E$11-DPR!#REF!))))</f>
        <v>#REF!</v>
      </c>
      <c r="F181" s="870" t="e">
        <f>MAX(0,IF($AK$5=$C$9,F$9-DPR!#REF!,IF($AK$5=$C$10,F$10-DPR!#REF!,IF($AK$5=$C$11,F$11-DPR!#REF!))))</f>
        <v>#REF!</v>
      </c>
      <c r="G181" s="870" t="e">
        <f>MAX(0,IF($AK$5=$C$9,G$9-DPR!#REF!,IF($AK$5=$C$10,G$10-DPR!#REF!,IF($AK$5=$C$11,G$11-DPR!#REF!))))</f>
        <v>#REF!</v>
      </c>
      <c r="H181" s="870" t="e">
        <f>MAX(0,IF($AK$5=$C$9,H$9-DPR!#REF!,IF($AK$5=$C$10,H$10-DPR!#REF!,IF($AK$5=$C$11,H$11-DPR!#REF!))))</f>
        <v>#REF!</v>
      </c>
      <c r="I181" s="870" t="e">
        <f>MAX(0,IF($AK$5=$C$9,I$9-DPR!#REF!,IF($AK$5=$C$10,I$10-DPR!#REF!,IF($AK$5=$C$11,I$11-DPR!#REF!))))</f>
        <v>#REF!</v>
      </c>
      <c r="J181" s="870" t="e">
        <f>MAX(0,IF($AK$5=$C$9,J$9-DPR!#REF!,IF($AK$5=$C$10,J$10-DPR!#REF!,IF($AK$5=$C$11,J$11-DPR!#REF!))))</f>
        <v>#REF!</v>
      </c>
      <c r="K181" s="870" t="e">
        <f>MAX(0,IF($AK$5=$C$9,K$9-DPR!#REF!,IF($AK$5=$C$10,K$10-DPR!#REF!,IF($AK$5=$C$11,K$11-DPR!#REF!))))</f>
        <v>#REF!</v>
      </c>
      <c r="L181" s="870" t="e">
        <f>MAX(0,IF($AK$5=$C$9,L$9-DPR!#REF!,IF($AK$5=$C$10,L$10-DPR!#REF!,IF($AK$5=$C$11,L$11-DPR!#REF!))))</f>
        <v>#REF!</v>
      </c>
      <c r="M181" s="870" t="e">
        <f>MAX(0,IF($AK$5=$C$9,M$9-DPR!#REF!,IF($AK$5=$C$10,M$10-DPR!#REF!,IF($AK$5=$C$11,M$11-DPR!#REF!))))</f>
        <v>#REF!</v>
      </c>
      <c r="N181" s="870" t="e">
        <f>MAX(0,IF($AK$5=$C$9,N$9-DPR!#REF!,IF($AK$5=$C$10,N$10-DPR!#REF!,IF($AK$5=$C$11,N$11-DPR!#REF!))))</f>
        <v>#REF!</v>
      </c>
      <c r="O181" s="870" t="e">
        <f>MAX(0,IF($AK$5=$C$9,O$9-DPR!#REF!,IF($AK$5=$C$10,O$10-DPR!#REF!,IF($AK$5=$C$11,O$11-DPR!#REF!))))</f>
        <v>#REF!</v>
      </c>
      <c r="P181" s="870" t="e">
        <f>MAX(0,IF($AK$5=$C$9,P$9-DPR!#REF!,IF($AK$5=$C$10,P$10-DPR!#REF!,IF($AK$5=$C$11,P$11-DPR!#REF!))))</f>
        <v>#REF!</v>
      </c>
      <c r="Q181" s="870">
        <v>90</v>
      </c>
      <c r="R181" s="919" t="e">
        <f t="shared" si="10"/>
        <v>#REF!</v>
      </c>
      <c r="S181" s="878"/>
      <c r="T181" s="878"/>
      <c r="U181" s="878"/>
      <c r="V181" s="878"/>
      <c r="W181" s="878"/>
      <c r="X181" s="878"/>
      <c r="Y181" s="878"/>
      <c r="Z181" s="878"/>
      <c r="AA181" s="878"/>
      <c r="AB181" s="878"/>
      <c r="AC181" s="878"/>
      <c r="AD181" s="878"/>
      <c r="AE181" s="878"/>
      <c r="AF181" s="847"/>
      <c r="AG181" s="920">
        <f t="shared" si="11"/>
        <v>0</v>
      </c>
      <c r="AH181" s="888">
        <f t="shared" si="12"/>
        <v>202509</v>
      </c>
      <c r="AI181" t="e">
        <f>DPR!#REF!</f>
        <v>#REF!</v>
      </c>
    </row>
    <row r="182" spans="3:35" ht="15.75">
      <c r="C182" s="918">
        <v>45918</v>
      </c>
      <c r="D182" s="870" t="e">
        <f>MAX(0,IF($AK$5=$C$9,D$9-DPR!#REF!,IF($AK$5=$C$10,D$10-DPR!#REF!,IF($AK$5=$C$11,D$11-DPR!#REF!))))</f>
        <v>#REF!</v>
      </c>
      <c r="E182" s="870" t="e">
        <f>MAX(0,IF($AK$5=$C$9,E$9-DPR!#REF!,IF($AK$5=$C$10,E$10-DPR!#REF!,IF($AK$5=$C$11,E$11-DPR!#REF!))))</f>
        <v>#REF!</v>
      </c>
      <c r="F182" s="870" t="e">
        <f>MAX(0,IF($AK$5=$C$9,F$9-DPR!#REF!,IF($AK$5=$C$10,F$10-DPR!#REF!,IF($AK$5=$C$11,F$11-DPR!#REF!))))</f>
        <v>#REF!</v>
      </c>
      <c r="G182" s="870" t="e">
        <f>MAX(0,IF($AK$5=$C$9,G$9-DPR!#REF!,IF($AK$5=$C$10,G$10-DPR!#REF!,IF($AK$5=$C$11,G$11-DPR!#REF!))))</f>
        <v>#REF!</v>
      </c>
      <c r="H182" s="870" t="e">
        <f>MAX(0,IF($AK$5=$C$9,H$9-DPR!#REF!,IF($AK$5=$C$10,H$10-DPR!#REF!,IF($AK$5=$C$11,H$11-DPR!#REF!))))</f>
        <v>#REF!</v>
      </c>
      <c r="I182" s="870" t="e">
        <f>MAX(0,IF($AK$5=$C$9,I$9-DPR!#REF!,IF($AK$5=$C$10,I$10-DPR!#REF!,IF($AK$5=$C$11,I$11-DPR!#REF!))))</f>
        <v>#REF!</v>
      </c>
      <c r="J182" s="870" t="e">
        <f>MAX(0,IF($AK$5=$C$9,J$9-DPR!#REF!,IF($AK$5=$C$10,J$10-DPR!#REF!,IF($AK$5=$C$11,J$11-DPR!#REF!))))</f>
        <v>#REF!</v>
      </c>
      <c r="K182" s="870" t="e">
        <f>MAX(0,IF($AK$5=$C$9,K$9-DPR!#REF!,IF($AK$5=$C$10,K$10-DPR!#REF!,IF($AK$5=$C$11,K$11-DPR!#REF!))))</f>
        <v>#REF!</v>
      </c>
      <c r="L182" s="870" t="e">
        <f>MAX(0,IF($AK$5=$C$9,L$9-DPR!#REF!,IF($AK$5=$C$10,L$10-DPR!#REF!,IF($AK$5=$C$11,L$11-DPR!#REF!))))</f>
        <v>#REF!</v>
      </c>
      <c r="M182" s="870" t="e">
        <f>MAX(0,IF($AK$5=$C$9,M$9-DPR!#REF!,IF($AK$5=$C$10,M$10-DPR!#REF!,IF($AK$5=$C$11,M$11-DPR!#REF!))))</f>
        <v>#REF!</v>
      </c>
      <c r="N182" s="870" t="e">
        <f>MAX(0,IF($AK$5=$C$9,N$9-DPR!#REF!,IF($AK$5=$C$10,N$10-DPR!#REF!,IF($AK$5=$C$11,N$11-DPR!#REF!))))</f>
        <v>#REF!</v>
      </c>
      <c r="O182" s="870" t="e">
        <f>MAX(0,IF($AK$5=$C$9,O$9-DPR!#REF!,IF($AK$5=$C$10,O$10-DPR!#REF!,IF($AK$5=$C$11,O$11-DPR!#REF!))))</f>
        <v>#REF!</v>
      </c>
      <c r="P182" s="870" t="e">
        <f>MAX(0,IF($AK$5=$C$9,P$9-DPR!#REF!,IF($AK$5=$C$10,P$10-DPR!#REF!,IF($AK$5=$C$11,P$11-DPR!#REF!))))</f>
        <v>#REF!</v>
      </c>
      <c r="Q182" s="870">
        <v>91</v>
      </c>
      <c r="R182" s="919" t="e">
        <f t="shared" si="10"/>
        <v>#REF!</v>
      </c>
      <c r="S182" s="878"/>
      <c r="T182" s="878"/>
      <c r="U182" s="878"/>
      <c r="V182" s="878"/>
      <c r="W182" s="878"/>
      <c r="X182" s="878"/>
      <c r="Y182" s="878"/>
      <c r="Z182" s="878"/>
      <c r="AA182" s="878"/>
      <c r="AB182" s="878"/>
      <c r="AC182" s="878"/>
      <c r="AD182" s="878"/>
      <c r="AE182" s="878"/>
      <c r="AF182" s="847"/>
      <c r="AG182" s="920">
        <f t="shared" si="11"/>
        <v>0</v>
      </c>
      <c r="AH182" s="888">
        <f t="shared" si="12"/>
        <v>202509</v>
      </c>
      <c r="AI182" t="e">
        <f>DPR!#REF!</f>
        <v>#REF!</v>
      </c>
    </row>
    <row r="183" spans="3:35" ht="15.75">
      <c r="C183" s="918">
        <v>45919</v>
      </c>
      <c r="D183" s="870" t="e">
        <f>MAX(0,IF($AK$5=$C$9,D$9-DPR!#REF!,IF($AK$5=$C$10,D$10-DPR!#REF!,IF($AK$5=$C$11,D$11-DPR!#REF!))))</f>
        <v>#REF!</v>
      </c>
      <c r="E183" s="870" t="e">
        <f>MAX(0,IF($AK$5=$C$9,E$9-DPR!#REF!,IF($AK$5=$C$10,E$10-DPR!#REF!,IF($AK$5=$C$11,E$11-DPR!#REF!))))</f>
        <v>#REF!</v>
      </c>
      <c r="F183" s="870" t="e">
        <f>MAX(0,IF($AK$5=$C$9,F$9-DPR!#REF!,IF($AK$5=$C$10,F$10-DPR!#REF!,IF($AK$5=$C$11,F$11-DPR!#REF!))))</f>
        <v>#REF!</v>
      </c>
      <c r="G183" s="870" t="e">
        <f>MAX(0,IF($AK$5=$C$9,G$9-DPR!#REF!,IF($AK$5=$C$10,G$10-DPR!#REF!,IF($AK$5=$C$11,G$11-DPR!#REF!))))</f>
        <v>#REF!</v>
      </c>
      <c r="H183" s="870" t="e">
        <f>MAX(0,IF($AK$5=$C$9,H$9-DPR!#REF!,IF($AK$5=$C$10,H$10-DPR!#REF!,IF($AK$5=$C$11,H$11-DPR!#REF!))))</f>
        <v>#REF!</v>
      </c>
      <c r="I183" s="870" t="e">
        <f>MAX(0,IF($AK$5=$C$9,I$9-DPR!#REF!,IF($AK$5=$C$10,I$10-DPR!#REF!,IF($AK$5=$C$11,I$11-DPR!#REF!))))</f>
        <v>#REF!</v>
      </c>
      <c r="J183" s="870" t="e">
        <f>MAX(0,IF($AK$5=$C$9,J$9-DPR!#REF!,IF($AK$5=$C$10,J$10-DPR!#REF!,IF($AK$5=$C$11,J$11-DPR!#REF!))))</f>
        <v>#REF!</v>
      </c>
      <c r="K183" s="870" t="e">
        <f>MAX(0,IF($AK$5=$C$9,K$9-DPR!#REF!,IF($AK$5=$C$10,K$10-DPR!#REF!,IF($AK$5=$C$11,K$11-DPR!#REF!))))</f>
        <v>#REF!</v>
      </c>
      <c r="L183" s="870" t="e">
        <f>MAX(0,IF($AK$5=$C$9,L$9-DPR!#REF!,IF($AK$5=$C$10,L$10-DPR!#REF!,IF($AK$5=$C$11,L$11-DPR!#REF!))))</f>
        <v>#REF!</v>
      </c>
      <c r="M183" s="870" t="e">
        <f>MAX(0,IF($AK$5=$C$9,M$9-DPR!#REF!,IF($AK$5=$C$10,M$10-DPR!#REF!,IF($AK$5=$C$11,M$11-DPR!#REF!))))</f>
        <v>#REF!</v>
      </c>
      <c r="N183" s="870" t="e">
        <f>MAX(0,IF($AK$5=$C$9,N$9-DPR!#REF!,IF($AK$5=$C$10,N$10-DPR!#REF!,IF($AK$5=$C$11,N$11-DPR!#REF!))))</f>
        <v>#REF!</v>
      </c>
      <c r="O183" s="870" t="e">
        <f>MAX(0,IF($AK$5=$C$9,O$9-DPR!#REF!,IF($AK$5=$C$10,O$10-DPR!#REF!,IF($AK$5=$C$11,O$11-DPR!#REF!))))</f>
        <v>#REF!</v>
      </c>
      <c r="P183" s="870" t="e">
        <f>MAX(0,IF($AK$5=$C$9,P$9-DPR!#REF!,IF($AK$5=$C$10,P$10-DPR!#REF!,IF($AK$5=$C$11,P$11-DPR!#REF!))))</f>
        <v>#REF!</v>
      </c>
      <c r="Q183" s="870">
        <v>92</v>
      </c>
      <c r="R183" s="919" t="e">
        <f t="shared" si="10"/>
        <v>#REF!</v>
      </c>
      <c r="S183" s="878"/>
      <c r="T183" s="878"/>
      <c r="U183" s="878"/>
      <c r="V183" s="878"/>
      <c r="W183" s="878"/>
      <c r="X183" s="878"/>
      <c r="Y183" s="878"/>
      <c r="Z183" s="878"/>
      <c r="AA183" s="878"/>
      <c r="AB183" s="878"/>
      <c r="AC183" s="878"/>
      <c r="AD183" s="878"/>
      <c r="AE183" s="878"/>
      <c r="AF183" s="847"/>
      <c r="AG183" s="920">
        <f t="shared" si="11"/>
        <v>0</v>
      </c>
      <c r="AH183" s="888">
        <f t="shared" si="12"/>
        <v>202509</v>
      </c>
      <c r="AI183" t="e">
        <f>DPR!#REF!</f>
        <v>#REF!</v>
      </c>
    </row>
    <row r="184" spans="3:35" ht="15.75">
      <c r="C184" s="918">
        <v>45920</v>
      </c>
      <c r="D184" s="870" t="e">
        <f>MAX(0,IF($AK$5=$C$9,D$9-DPR!#REF!,IF($AK$5=$C$10,D$10-DPR!#REF!,IF($AK$5=$C$11,D$11-DPR!#REF!))))</f>
        <v>#REF!</v>
      </c>
      <c r="E184" s="870" t="e">
        <f>MAX(0,IF($AK$5=$C$9,E$9-DPR!#REF!,IF($AK$5=$C$10,E$10-DPR!#REF!,IF($AK$5=$C$11,E$11-DPR!#REF!))))</f>
        <v>#REF!</v>
      </c>
      <c r="F184" s="870" t="e">
        <f>MAX(0,IF($AK$5=$C$9,F$9-DPR!#REF!,IF($AK$5=$C$10,F$10-DPR!#REF!,IF($AK$5=$C$11,F$11-DPR!#REF!))))</f>
        <v>#REF!</v>
      </c>
      <c r="G184" s="870" t="e">
        <f>MAX(0,IF($AK$5=$C$9,G$9-DPR!#REF!,IF($AK$5=$C$10,G$10-DPR!#REF!,IF($AK$5=$C$11,G$11-DPR!#REF!))))</f>
        <v>#REF!</v>
      </c>
      <c r="H184" s="870" t="e">
        <f>MAX(0,IF($AK$5=$C$9,H$9-DPR!#REF!,IF($AK$5=$C$10,H$10-DPR!#REF!,IF($AK$5=$C$11,H$11-DPR!#REF!))))</f>
        <v>#REF!</v>
      </c>
      <c r="I184" s="870" t="e">
        <f>MAX(0,IF($AK$5=$C$9,I$9-DPR!#REF!,IF($AK$5=$C$10,I$10-DPR!#REF!,IF($AK$5=$C$11,I$11-DPR!#REF!))))</f>
        <v>#REF!</v>
      </c>
      <c r="J184" s="870" t="e">
        <f>MAX(0,IF($AK$5=$C$9,J$9-DPR!#REF!,IF($AK$5=$C$10,J$10-DPR!#REF!,IF($AK$5=$C$11,J$11-DPR!#REF!))))</f>
        <v>#REF!</v>
      </c>
      <c r="K184" s="870" t="e">
        <f>MAX(0,IF($AK$5=$C$9,K$9-DPR!#REF!,IF($AK$5=$C$10,K$10-DPR!#REF!,IF($AK$5=$C$11,K$11-DPR!#REF!))))</f>
        <v>#REF!</v>
      </c>
      <c r="L184" s="870" t="e">
        <f>MAX(0,IF($AK$5=$C$9,L$9-DPR!#REF!,IF($AK$5=$C$10,L$10-DPR!#REF!,IF($AK$5=$C$11,L$11-DPR!#REF!))))</f>
        <v>#REF!</v>
      </c>
      <c r="M184" s="870" t="e">
        <f>MAX(0,IF($AK$5=$C$9,M$9-DPR!#REF!,IF($AK$5=$C$10,M$10-DPR!#REF!,IF($AK$5=$C$11,M$11-DPR!#REF!))))</f>
        <v>#REF!</v>
      </c>
      <c r="N184" s="870" t="e">
        <f>MAX(0,IF($AK$5=$C$9,N$9-DPR!#REF!,IF($AK$5=$C$10,N$10-DPR!#REF!,IF($AK$5=$C$11,N$11-DPR!#REF!))))</f>
        <v>#REF!</v>
      </c>
      <c r="O184" s="870" t="e">
        <f>MAX(0,IF($AK$5=$C$9,O$9-DPR!#REF!,IF($AK$5=$C$10,O$10-DPR!#REF!,IF($AK$5=$C$11,O$11-DPR!#REF!))))</f>
        <v>#REF!</v>
      </c>
      <c r="P184" s="870" t="e">
        <f>MAX(0,IF($AK$5=$C$9,P$9-DPR!#REF!,IF($AK$5=$C$10,P$10-DPR!#REF!,IF($AK$5=$C$11,P$11-DPR!#REF!))))</f>
        <v>#REF!</v>
      </c>
      <c r="Q184" s="870">
        <v>93</v>
      </c>
      <c r="R184" s="919" t="e">
        <f t="shared" si="10"/>
        <v>#REF!</v>
      </c>
      <c r="S184" s="878"/>
      <c r="T184" s="878"/>
      <c r="U184" s="878"/>
      <c r="V184" s="878"/>
      <c r="W184" s="878"/>
      <c r="X184" s="878"/>
      <c r="Y184" s="878"/>
      <c r="Z184" s="878"/>
      <c r="AA184" s="878"/>
      <c r="AB184" s="878"/>
      <c r="AC184" s="878"/>
      <c r="AD184" s="878"/>
      <c r="AE184" s="878"/>
      <c r="AF184" s="847"/>
      <c r="AG184" s="920">
        <f t="shared" si="11"/>
        <v>0</v>
      </c>
      <c r="AH184" s="888">
        <f t="shared" si="12"/>
        <v>202509</v>
      </c>
      <c r="AI184" t="e">
        <f>DPR!#REF!</f>
        <v>#REF!</v>
      </c>
    </row>
    <row r="185" spans="3:35" ht="15.75">
      <c r="C185" s="918">
        <v>45921</v>
      </c>
      <c r="D185" s="870" t="e">
        <f>MAX(0,IF($AK$5=$C$9,D$9-DPR!#REF!,IF($AK$5=$C$10,D$10-DPR!#REF!,IF($AK$5=$C$11,D$11-DPR!#REF!))))</f>
        <v>#REF!</v>
      </c>
      <c r="E185" s="870" t="e">
        <f>MAX(0,IF($AK$5=$C$9,E$9-DPR!#REF!,IF($AK$5=$C$10,E$10-DPR!#REF!,IF($AK$5=$C$11,E$11-DPR!#REF!))))</f>
        <v>#REF!</v>
      </c>
      <c r="F185" s="870" t="e">
        <f>MAX(0,IF($AK$5=$C$9,F$9-DPR!#REF!,IF($AK$5=$C$10,F$10-DPR!#REF!,IF($AK$5=$C$11,F$11-DPR!#REF!))))</f>
        <v>#REF!</v>
      </c>
      <c r="G185" s="870" t="e">
        <f>MAX(0,IF($AK$5=$C$9,G$9-DPR!#REF!,IF($AK$5=$C$10,G$10-DPR!#REF!,IF($AK$5=$C$11,G$11-DPR!#REF!))))</f>
        <v>#REF!</v>
      </c>
      <c r="H185" s="870" t="e">
        <f>MAX(0,IF($AK$5=$C$9,H$9-DPR!#REF!,IF($AK$5=$C$10,H$10-DPR!#REF!,IF($AK$5=$C$11,H$11-DPR!#REF!))))</f>
        <v>#REF!</v>
      </c>
      <c r="I185" s="870" t="e">
        <f>MAX(0,IF($AK$5=$C$9,I$9-DPR!#REF!,IF($AK$5=$C$10,I$10-DPR!#REF!,IF($AK$5=$C$11,I$11-DPR!#REF!))))</f>
        <v>#REF!</v>
      </c>
      <c r="J185" s="870" t="e">
        <f>MAX(0,IF($AK$5=$C$9,J$9-DPR!#REF!,IF($AK$5=$C$10,J$10-DPR!#REF!,IF($AK$5=$C$11,J$11-DPR!#REF!))))</f>
        <v>#REF!</v>
      </c>
      <c r="K185" s="870" t="e">
        <f>MAX(0,IF($AK$5=$C$9,K$9-DPR!#REF!,IF($AK$5=$C$10,K$10-DPR!#REF!,IF($AK$5=$C$11,K$11-DPR!#REF!))))</f>
        <v>#REF!</v>
      </c>
      <c r="L185" s="870" t="e">
        <f>MAX(0,IF($AK$5=$C$9,L$9-DPR!#REF!,IF($AK$5=$C$10,L$10-DPR!#REF!,IF($AK$5=$C$11,L$11-DPR!#REF!))))</f>
        <v>#REF!</v>
      </c>
      <c r="M185" s="870" t="e">
        <f>MAX(0,IF($AK$5=$C$9,M$9-DPR!#REF!,IF($AK$5=$C$10,M$10-DPR!#REF!,IF($AK$5=$C$11,M$11-DPR!#REF!))))</f>
        <v>#REF!</v>
      </c>
      <c r="N185" s="870" t="e">
        <f>MAX(0,IF($AK$5=$C$9,N$9-DPR!#REF!,IF($AK$5=$C$10,N$10-DPR!#REF!,IF($AK$5=$C$11,N$11-DPR!#REF!))))</f>
        <v>#REF!</v>
      </c>
      <c r="O185" s="870" t="e">
        <f>MAX(0,IF($AK$5=$C$9,O$9-DPR!#REF!,IF($AK$5=$C$10,O$10-DPR!#REF!,IF($AK$5=$C$11,O$11-DPR!#REF!))))</f>
        <v>#REF!</v>
      </c>
      <c r="P185" s="870" t="e">
        <f>MAX(0,IF($AK$5=$C$9,P$9-DPR!#REF!,IF($AK$5=$C$10,P$10-DPR!#REF!,IF($AK$5=$C$11,P$11-DPR!#REF!))))</f>
        <v>#REF!</v>
      </c>
      <c r="Q185" s="870">
        <v>94</v>
      </c>
      <c r="R185" s="919" t="e">
        <f t="shared" si="10"/>
        <v>#REF!</v>
      </c>
      <c r="S185" s="878"/>
      <c r="T185" s="878"/>
      <c r="U185" s="878"/>
      <c r="V185" s="878"/>
      <c r="W185" s="878"/>
      <c r="X185" s="878"/>
      <c r="Y185" s="878"/>
      <c r="Z185" s="878"/>
      <c r="AA185" s="878"/>
      <c r="AB185" s="878"/>
      <c r="AC185" s="878"/>
      <c r="AD185" s="878"/>
      <c r="AE185" s="878"/>
      <c r="AF185" s="847"/>
      <c r="AG185" s="920">
        <f t="shared" si="11"/>
        <v>0</v>
      </c>
      <c r="AH185" s="888">
        <f t="shared" si="12"/>
        <v>202509</v>
      </c>
      <c r="AI185" t="e">
        <f>DPR!#REF!</f>
        <v>#REF!</v>
      </c>
    </row>
    <row r="186" spans="3:35" ht="15.75">
      <c r="C186" s="918">
        <v>45922</v>
      </c>
      <c r="D186" s="870" t="e">
        <f>MAX(0,IF($AK$5=$C$9,D$9-DPR!#REF!,IF($AK$5=$C$10,D$10-DPR!#REF!,IF($AK$5=$C$11,D$11-DPR!#REF!))))</f>
        <v>#REF!</v>
      </c>
      <c r="E186" s="870" t="e">
        <f>MAX(0,IF($AK$5=$C$9,E$9-DPR!#REF!,IF($AK$5=$C$10,E$10-DPR!#REF!,IF($AK$5=$C$11,E$11-DPR!#REF!))))</f>
        <v>#REF!</v>
      </c>
      <c r="F186" s="870" t="e">
        <f>MAX(0,IF($AK$5=$C$9,F$9-DPR!#REF!,IF($AK$5=$C$10,F$10-DPR!#REF!,IF($AK$5=$C$11,F$11-DPR!#REF!))))</f>
        <v>#REF!</v>
      </c>
      <c r="G186" s="870" t="e">
        <f>MAX(0,IF($AK$5=$C$9,G$9-DPR!#REF!,IF($AK$5=$C$10,G$10-DPR!#REF!,IF($AK$5=$C$11,G$11-DPR!#REF!))))</f>
        <v>#REF!</v>
      </c>
      <c r="H186" s="870" t="e">
        <f>MAX(0,IF($AK$5=$C$9,H$9-DPR!#REF!,IF($AK$5=$C$10,H$10-DPR!#REF!,IF($AK$5=$C$11,H$11-DPR!#REF!))))</f>
        <v>#REF!</v>
      </c>
      <c r="I186" s="870" t="e">
        <f>MAX(0,IF($AK$5=$C$9,I$9-DPR!#REF!,IF($AK$5=$C$10,I$10-DPR!#REF!,IF($AK$5=$C$11,I$11-DPR!#REF!))))</f>
        <v>#REF!</v>
      </c>
      <c r="J186" s="870" t="e">
        <f>MAX(0,IF($AK$5=$C$9,J$9-DPR!#REF!,IF($AK$5=$C$10,J$10-DPR!#REF!,IF($AK$5=$C$11,J$11-DPR!#REF!))))</f>
        <v>#REF!</v>
      </c>
      <c r="K186" s="870" t="e">
        <f>MAX(0,IF($AK$5=$C$9,K$9-DPR!#REF!,IF($AK$5=$C$10,K$10-DPR!#REF!,IF($AK$5=$C$11,K$11-DPR!#REF!))))</f>
        <v>#REF!</v>
      </c>
      <c r="L186" s="870" t="e">
        <f>MAX(0,IF($AK$5=$C$9,L$9-DPR!#REF!,IF($AK$5=$C$10,L$10-DPR!#REF!,IF($AK$5=$C$11,L$11-DPR!#REF!))))</f>
        <v>#REF!</v>
      </c>
      <c r="M186" s="870" t="e">
        <f>MAX(0,IF($AK$5=$C$9,M$9-DPR!#REF!,IF($AK$5=$C$10,M$10-DPR!#REF!,IF($AK$5=$C$11,M$11-DPR!#REF!))))</f>
        <v>#REF!</v>
      </c>
      <c r="N186" s="870" t="e">
        <f>MAX(0,IF($AK$5=$C$9,N$9-DPR!#REF!,IF($AK$5=$C$10,N$10-DPR!#REF!,IF($AK$5=$C$11,N$11-DPR!#REF!))))</f>
        <v>#REF!</v>
      </c>
      <c r="O186" s="870" t="e">
        <f>MAX(0,IF($AK$5=$C$9,O$9-DPR!#REF!,IF($AK$5=$C$10,O$10-DPR!#REF!,IF($AK$5=$C$11,O$11-DPR!#REF!))))</f>
        <v>#REF!</v>
      </c>
      <c r="P186" s="870" t="e">
        <f>MAX(0,IF($AK$5=$C$9,P$9-DPR!#REF!,IF($AK$5=$C$10,P$10-DPR!#REF!,IF($AK$5=$C$11,P$11-DPR!#REF!))))</f>
        <v>#REF!</v>
      </c>
      <c r="Q186" s="870">
        <v>95</v>
      </c>
      <c r="R186" s="919" t="e">
        <f t="shared" si="10"/>
        <v>#REF!</v>
      </c>
      <c r="S186" s="878"/>
      <c r="T186" s="878"/>
      <c r="U186" s="878"/>
      <c r="V186" s="878"/>
      <c r="W186" s="878"/>
      <c r="X186" s="878"/>
      <c r="Y186" s="878"/>
      <c r="Z186" s="878"/>
      <c r="AA186" s="878"/>
      <c r="AB186" s="878"/>
      <c r="AC186" s="878"/>
      <c r="AD186" s="878"/>
      <c r="AE186" s="878"/>
      <c r="AF186" s="847"/>
      <c r="AG186" s="920">
        <f t="shared" si="11"/>
        <v>0</v>
      </c>
      <c r="AH186" s="888">
        <f t="shared" si="12"/>
        <v>202509</v>
      </c>
      <c r="AI186" t="e">
        <f>DPR!#REF!</f>
        <v>#REF!</v>
      </c>
    </row>
    <row r="187" spans="3:35" ht="15.75">
      <c r="C187" s="918">
        <v>45923</v>
      </c>
      <c r="D187" s="870" t="e">
        <f>MAX(0,IF($AK$5=$C$9,D$9-DPR!#REF!,IF($AK$5=$C$10,D$10-DPR!#REF!,IF($AK$5=$C$11,D$11-DPR!#REF!))))</f>
        <v>#REF!</v>
      </c>
      <c r="E187" s="870" t="e">
        <f>MAX(0,IF($AK$5=$C$9,E$9-DPR!#REF!,IF($AK$5=$C$10,E$10-DPR!#REF!,IF($AK$5=$C$11,E$11-DPR!#REF!))))</f>
        <v>#REF!</v>
      </c>
      <c r="F187" s="870" t="e">
        <f>MAX(0,IF($AK$5=$C$9,F$9-DPR!#REF!,IF($AK$5=$C$10,F$10-DPR!#REF!,IF($AK$5=$C$11,F$11-DPR!#REF!))))</f>
        <v>#REF!</v>
      </c>
      <c r="G187" s="870" t="e">
        <f>MAX(0,IF($AK$5=$C$9,G$9-DPR!#REF!,IF($AK$5=$C$10,G$10-DPR!#REF!,IF($AK$5=$C$11,G$11-DPR!#REF!))))</f>
        <v>#REF!</v>
      </c>
      <c r="H187" s="870" t="e">
        <f>MAX(0,IF($AK$5=$C$9,H$9-DPR!#REF!,IF($AK$5=$C$10,H$10-DPR!#REF!,IF($AK$5=$C$11,H$11-DPR!#REF!))))</f>
        <v>#REF!</v>
      </c>
      <c r="I187" s="870" t="e">
        <f>MAX(0,IF($AK$5=$C$9,I$9-DPR!#REF!,IF($AK$5=$C$10,I$10-DPR!#REF!,IF($AK$5=$C$11,I$11-DPR!#REF!))))</f>
        <v>#REF!</v>
      </c>
      <c r="J187" s="870" t="e">
        <f>MAX(0,IF($AK$5=$C$9,J$9-DPR!#REF!,IF($AK$5=$C$10,J$10-DPR!#REF!,IF($AK$5=$C$11,J$11-DPR!#REF!))))</f>
        <v>#REF!</v>
      </c>
      <c r="K187" s="870" t="e">
        <f>MAX(0,IF($AK$5=$C$9,K$9-DPR!#REF!,IF($AK$5=$C$10,K$10-DPR!#REF!,IF($AK$5=$C$11,K$11-DPR!#REF!))))</f>
        <v>#REF!</v>
      </c>
      <c r="L187" s="870" t="e">
        <f>MAX(0,IF($AK$5=$C$9,L$9-DPR!#REF!,IF($AK$5=$C$10,L$10-DPR!#REF!,IF($AK$5=$C$11,L$11-DPR!#REF!))))</f>
        <v>#REF!</v>
      </c>
      <c r="M187" s="870" t="e">
        <f>MAX(0,IF($AK$5=$C$9,M$9-DPR!#REF!,IF($AK$5=$C$10,M$10-DPR!#REF!,IF($AK$5=$C$11,M$11-DPR!#REF!))))</f>
        <v>#REF!</v>
      </c>
      <c r="N187" s="870" t="e">
        <f>MAX(0,IF($AK$5=$C$9,N$9-DPR!#REF!,IF($AK$5=$C$10,N$10-DPR!#REF!,IF($AK$5=$C$11,N$11-DPR!#REF!))))</f>
        <v>#REF!</v>
      </c>
      <c r="O187" s="870" t="e">
        <f>MAX(0,IF($AK$5=$C$9,O$9-DPR!#REF!,IF($AK$5=$C$10,O$10-DPR!#REF!,IF($AK$5=$C$11,O$11-DPR!#REF!))))</f>
        <v>#REF!</v>
      </c>
      <c r="P187" s="870" t="e">
        <f>MAX(0,IF($AK$5=$C$9,P$9-DPR!#REF!,IF($AK$5=$C$10,P$10-DPR!#REF!,IF($AK$5=$C$11,P$11-DPR!#REF!))))</f>
        <v>#REF!</v>
      </c>
      <c r="Q187" s="870">
        <v>96</v>
      </c>
      <c r="R187" s="919" t="e">
        <f t="shared" si="10"/>
        <v>#REF!</v>
      </c>
      <c r="S187" s="878"/>
      <c r="T187" s="878"/>
      <c r="U187" s="878"/>
      <c r="V187" s="878"/>
      <c r="W187" s="878"/>
      <c r="X187" s="878"/>
      <c r="Y187" s="878"/>
      <c r="Z187" s="878"/>
      <c r="AA187" s="878"/>
      <c r="AB187" s="878"/>
      <c r="AC187" s="878"/>
      <c r="AD187" s="878"/>
      <c r="AE187" s="878"/>
      <c r="AF187" s="847"/>
      <c r="AG187" s="920">
        <f t="shared" si="11"/>
        <v>0</v>
      </c>
      <c r="AH187" s="888">
        <f t="shared" si="12"/>
        <v>202509</v>
      </c>
      <c r="AI187" t="e">
        <f>DPR!#REF!</f>
        <v>#REF!</v>
      </c>
    </row>
    <row r="188" spans="3:35" ht="15.75">
      <c r="C188" s="918">
        <v>45924</v>
      </c>
      <c r="D188" s="870" t="e">
        <f>MAX(0,IF($AK$5=$C$9,D$9-DPR!#REF!,IF($AK$5=$C$10,D$10-DPR!#REF!,IF($AK$5=$C$11,D$11-DPR!#REF!))))</f>
        <v>#REF!</v>
      </c>
      <c r="E188" s="870" t="e">
        <f>MAX(0,IF($AK$5=$C$9,E$9-DPR!#REF!,IF($AK$5=$C$10,E$10-DPR!#REF!,IF($AK$5=$C$11,E$11-DPR!#REF!))))</f>
        <v>#REF!</v>
      </c>
      <c r="F188" s="870" t="e">
        <f>MAX(0,IF($AK$5=$C$9,F$9-DPR!#REF!,IF($AK$5=$C$10,F$10-DPR!#REF!,IF($AK$5=$C$11,F$11-DPR!#REF!))))</f>
        <v>#REF!</v>
      </c>
      <c r="G188" s="870" t="e">
        <f>MAX(0,IF($AK$5=$C$9,G$9-DPR!#REF!,IF($AK$5=$C$10,G$10-DPR!#REF!,IF($AK$5=$C$11,G$11-DPR!#REF!))))</f>
        <v>#REF!</v>
      </c>
      <c r="H188" s="870" t="e">
        <f>MAX(0,IF($AK$5=$C$9,H$9-DPR!#REF!,IF($AK$5=$C$10,H$10-DPR!#REF!,IF($AK$5=$C$11,H$11-DPR!#REF!))))</f>
        <v>#REF!</v>
      </c>
      <c r="I188" s="870" t="e">
        <f>MAX(0,IF($AK$5=$C$9,I$9-DPR!#REF!,IF($AK$5=$C$10,I$10-DPR!#REF!,IF($AK$5=$C$11,I$11-DPR!#REF!))))</f>
        <v>#REF!</v>
      </c>
      <c r="J188" s="870" t="e">
        <f>MAX(0,IF($AK$5=$C$9,J$9-DPR!#REF!,IF($AK$5=$C$10,J$10-DPR!#REF!,IF($AK$5=$C$11,J$11-DPR!#REF!))))</f>
        <v>#REF!</v>
      </c>
      <c r="K188" s="870" t="e">
        <f>MAX(0,IF($AK$5=$C$9,K$9-DPR!#REF!,IF($AK$5=$C$10,K$10-DPR!#REF!,IF($AK$5=$C$11,K$11-DPR!#REF!))))</f>
        <v>#REF!</v>
      </c>
      <c r="L188" s="870" t="e">
        <f>MAX(0,IF($AK$5=$C$9,L$9-DPR!#REF!,IF($AK$5=$C$10,L$10-DPR!#REF!,IF($AK$5=$C$11,L$11-DPR!#REF!))))</f>
        <v>#REF!</v>
      </c>
      <c r="M188" s="870" t="e">
        <f>MAX(0,IF($AK$5=$C$9,M$9-DPR!#REF!,IF($AK$5=$C$10,M$10-DPR!#REF!,IF($AK$5=$C$11,M$11-DPR!#REF!))))</f>
        <v>#REF!</v>
      </c>
      <c r="N188" s="870" t="e">
        <f>MAX(0,IF($AK$5=$C$9,N$9-DPR!#REF!,IF($AK$5=$C$10,N$10-DPR!#REF!,IF($AK$5=$C$11,N$11-DPR!#REF!))))</f>
        <v>#REF!</v>
      </c>
      <c r="O188" s="870" t="e">
        <f>MAX(0,IF($AK$5=$C$9,O$9-DPR!#REF!,IF($AK$5=$C$10,O$10-DPR!#REF!,IF($AK$5=$C$11,O$11-DPR!#REF!))))</f>
        <v>#REF!</v>
      </c>
      <c r="P188" s="870" t="e">
        <f>MAX(0,IF($AK$5=$C$9,P$9-DPR!#REF!,IF($AK$5=$C$10,P$10-DPR!#REF!,IF($AK$5=$C$11,P$11-DPR!#REF!))))</f>
        <v>#REF!</v>
      </c>
      <c r="Q188" s="870">
        <v>97</v>
      </c>
      <c r="R188" s="919" t="e">
        <f t="shared" si="10"/>
        <v>#REF!</v>
      </c>
      <c r="S188" s="878"/>
      <c r="T188" s="878"/>
      <c r="U188" s="878"/>
      <c r="V188" s="878"/>
      <c r="W188" s="878"/>
      <c r="X188" s="878"/>
      <c r="Y188" s="878"/>
      <c r="Z188" s="878"/>
      <c r="AA188" s="878"/>
      <c r="AB188" s="878"/>
      <c r="AC188" s="878"/>
      <c r="AD188" s="878"/>
      <c r="AE188" s="878"/>
      <c r="AF188" s="847"/>
      <c r="AG188" s="920">
        <f t="shared" si="11"/>
        <v>0</v>
      </c>
      <c r="AH188" s="888">
        <f t="shared" si="12"/>
        <v>202509</v>
      </c>
      <c r="AI188" t="e">
        <f>DPR!#REF!</f>
        <v>#REF!</v>
      </c>
    </row>
    <row r="189" spans="3:35" ht="15.75">
      <c r="C189" s="918">
        <v>45925</v>
      </c>
      <c r="D189" s="870" t="e">
        <f>MAX(0,IF($AK$5=$C$9,D$9-DPR!#REF!,IF($AK$5=$C$10,D$10-DPR!#REF!,IF($AK$5=$C$11,D$11-DPR!#REF!))))</f>
        <v>#REF!</v>
      </c>
      <c r="E189" s="870" t="e">
        <f>MAX(0,IF($AK$5=$C$9,E$9-DPR!#REF!,IF($AK$5=$C$10,E$10-DPR!#REF!,IF($AK$5=$C$11,E$11-DPR!#REF!))))</f>
        <v>#REF!</v>
      </c>
      <c r="F189" s="870" t="e">
        <f>MAX(0,IF($AK$5=$C$9,F$9-DPR!#REF!,IF($AK$5=$C$10,F$10-DPR!#REF!,IF($AK$5=$C$11,F$11-DPR!#REF!))))</f>
        <v>#REF!</v>
      </c>
      <c r="G189" s="870" t="e">
        <f>MAX(0,IF($AK$5=$C$9,G$9-DPR!#REF!,IF($AK$5=$C$10,G$10-DPR!#REF!,IF($AK$5=$C$11,G$11-DPR!#REF!))))</f>
        <v>#REF!</v>
      </c>
      <c r="H189" s="870" t="e">
        <f>MAX(0,IF($AK$5=$C$9,H$9-DPR!#REF!,IF($AK$5=$C$10,H$10-DPR!#REF!,IF($AK$5=$C$11,H$11-DPR!#REF!))))</f>
        <v>#REF!</v>
      </c>
      <c r="I189" s="870" t="e">
        <f>MAX(0,IF($AK$5=$C$9,I$9-DPR!#REF!,IF($AK$5=$C$10,I$10-DPR!#REF!,IF($AK$5=$C$11,I$11-DPR!#REF!))))</f>
        <v>#REF!</v>
      </c>
      <c r="J189" s="870" t="e">
        <f>MAX(0,IF($AK$5=$C$9,J$9-DPR!#REF!,IF($AK$5=$C$10,J$10-DPR!#REF!,IF($AK$5=$C$11,J$11-DPR!#REF!))))</f>
        <v>#REF!</v>
      </c>
      <c r="K189" s="870" t="e">
        <f>MAX(0,IF($AK$5=$C$9,K$9-DPR!#REF!,IF($AK$5=$C$10,K$10-DPR!#REF!,IF($AK$5=$C$11,K$11-DPR!#REF!))))</f>
        <v>#REF!</v>
      </c>
      <c r="L189" s="870" t="e">
        <f>MAX(0,IF($AK$5=$C$9,L$9-DPR!#REF!,IF($AK$5=$C$10,L$10-DPR!#REF!,IF($AK$5=$C$11,L$11-DPR!#REF!))))</f>
        <v>#REF!</v>
      </c>
      <c r="M189" s="870" t="e">
        <f>MAX(0,IF($AK$5=$C$9,M$9-DPR!#REF!,IF($AK$5=$C$10,M$10-DPR!#REF!,IF($AK$5=$C$11,M$11-DPR!#REF!))))</f>
        <v>#REF!</v>
      </c>
      <c r="N189" s="870" t="e">
        <f>MAX(0,IF($AK$5=$C$9,N$9-DPR!#REF!,IF($AK$5=$C$10,N$10-DPR!#REF!,IF($AK$5=$C$11,N$11-DPR!#REF!))))</f>
        <v>#REF!</v>
      </c>
      <c r="O189" s="870" t="e">
        <f>MAX(0,IF($AK$5=$C$9,O$9-DPR!#REF!,IF($AK$5=$C$10,O$10-DPR!#REF!,IF($AK$5=$C$11,O$11-DPR!#REF!))))</f>
        <v>#REF!</v>
      </c>
      <c r="P189" s="870" t="e">
        <f>MAX(0,IF($AK$5=$C$9,P$9-DPR!#REF!,IF($AK$5=$C$10,P$10-DPR!#REF!,IF($AK$5=$C$11,P$11-DPR!#REF!))))</f>
        <v>#REF!</v>
      </c>
      <c r="Q189" s="870">
        <v>98</v>
      </c>
      <c r="R189" s="919" t="e">
        <f t="shared" si="10"/>
        <v>#REF!</v>
      </c>
      <c r="S189" s="878"/>
      <c r="T189" s="878"/>
      <c r="U189" s="878"/>
      <c r="V189" s="878"/>
      <c r="W189" s="878"/>
      <c r="X189" s="878"/>
      <c r="Y189" s="878"/>
      <c r="Z189" s="878"/>
      <c r="AA189" s="878"/>
      <c r="AB189" s="878"/>
      <c r="AC189" s="878"/>
      <c r="AD189" s="878"/>
      <c r="AE189" s="878"/>
      <c r="AF189" s="847"/>
      <c r="AG189" s="920">
        <f t="shared" si="11"/>
        <v>0</v>
      </c>
      <c r="AH189" s="888">
        <f t="shared" si="12"/>
        <v>202509</v>
      </c>
      <c r="AI189" t="e">
        <f>DPR!#REF!</f>
        <v>#REF!</v>
      </c>
    </row>
    <row r="190" spans="3:35" ht="15.75">
      <c r="C190" s="918">
        <v>45926</v>
      </c>
      <c r="D190" s="870" t="e">
        <f>MAX(0,IF($AK$5=$C$9,D$9-DPR!#REF!,IF($AK$5=$C$10,D$10-DPR!#REF!,IF($AK$5=$C$11,D$11-DPR!#REF!))))</f>
        <v>#REF!</v>
      </c>
      <c r="E190" s="870" t="e">
        <f>MAX(0,IF($AK$5=$C$9,E$9-DPR!#REF!,IF($AK$5=$C$10,E$10-DPR!#REF!,IF($AK$5=$C$11,E$11-DPR!#REF!))))</f>
        <v>#REF!</v>
      </c>
      <c r="F190" s="870" t="e">
        <f>MAX(0,IF($AK$5=$C$9,F$9-DPR!#REF!,IF($AK$5=$C$10,F$10-DPR!#REF!,IF($AK$5=$C$11,F$11-DPR!#REF!))))</f>
        <v>#REF!</v>
      </c>
      <c r="G190" s="870" t="e">
        <f>MAX(0,IF($AK$5=$C$9,G$9-DPR!#REF!,IF($AK$5=$C$10,G$10-DPR!#REF!,IF($AK$5=$C$11,G$11-DPR!#REF!))))</f>
        <v>#REF!</v>
      </c>
      <c r="H190" s="870" t="e">
        <f>MAX(0,IF($AK$5=$C$9,H$9-DPR!#REF!,IF($AK$5=$C$10,H$10-DPR!#REF!,IF($AK$5=$C$11,H$11-DPR!#REF!))))</f>
        <v>#REF!</v>
      </c>
      <c r="I190" s="870" t="e">
        <f>MAX(0,IF($AK$5=$C$9,I$9-DPR!#REF!,IF($AK$5=$C$10,I$10-DPR!#REF!,IF($AK$5=$C$11,I$11-DPR!#REF!))))</f>
        <v>#REF!</v>
      </c>
      <c r="J190" s="870" t="e">
        <f>MAX(0,IF($AK$5=$C$9,J$9-DPR!#REF!,IF($AK$5=$C$10,J$10-DPR!#REF!,IF($AK$5=$C$11,J$11-DPR!#REF!))))</f>
        <v>#REF!</v>
      </c>
      <c r="K190" s="870" t="e">
        <f>MAX(0,IF($AK$5=$C$9,K$9-DPR!#REF!,IF($AK$5=$C$10,K$10-DPR!#REF!,IF($AK$5=$C$11,K$11-DPR!#REF!))))</f>
        <v>#REF!</v>
      </c>
      <c r="L190" s="870" t="e">
        <f>MAX(0,IF($AK$5=$C$9,L$9-DPR!#REF!,IF($AK$5=$C$10,L$10-DPR!#REF!,IF($AK$5=$C$11,L$11-DPR!#REF!))))</f>
        <v>#REF!</v>
      </c>
      <c r="M190" s="870" t="e">
        <f>MAX(0,IF($AK$5=$C$9,M$9-DPR!#REF!,IF($AK$5=$C$10,M$10-DPR!#REF!,IF($AK$5=$C$11,M$11-DPR!#REF!))))</f>
        <v>#REF!</v>
      </c>
      <c r="N190" s="870" t="e">
        <f>MAX(0,IF($AK$5=$C$9,N$9-DPR!#REF!,IF($AK$5=$C$10,N$10-DPR!#REF!,IF($AK$5=$C$11,N$11-DPR!#REF!))))</f>
        <v>#REF!</v>
      </c>
      <c r="O190" s="870" t="e">
        <f>MAX(0,IF($AK$5=$C$9,O$9-DPR!#REF!,IF($AK$5=$C$10,O$10-DPR!#REF!,IF($AK$5=$C$11,O$11-DPR!#REF!))))</f>
        <v>#REF!</v>
      </c>
      <c r="P190" s="870" t="e">
        <f>MAX(0,IF($AK$5=$C$9,P$9-DPR!#REF!,IF($AK$5=$C$10,P$10-DPR!#REF!,IF($AK$5=$C$11,P$11-DPR!#REF!))))</f>
        <v>#REF!</v>
      </c>
      <c r="Q190" s="870">
        <v>99</v>
      </c>
      <c r="R190" s="919" t="e">
        <f t="shared" si="10"/>
        <v>#REF!</v>
      </c>
      <c r="S190" s="878"/>
      <c r="T190" s="878"/>
      <c r="U190" s="878"/>
      <c r="V190" s="878"/>
      <c r="W190" s="878"/>
      <c r="X190" s="878"/>
      <c r="Y190" s="878"/>
      <c r="Z190" s="878"/>
      <c r="AA190" s="878"/>
      <c r="AB190" s="878"/>
      <c r="AC190" s="878"/>
      <c r="AD190" s="878"/>
      <c r="AE190" s="878"/>
      <c r="AF190" s="847"/>
      <c r="AG190" s="920">
        <f t="shared" si="11"/>
        <v>0</v>
      </c>
      <c r="AH190" s="888">
        <f t="shared" si="12"/>
        <v>202509</v>
      </c>
      <c r="AI190" t="e">
        <f>DPR!#REF!</f>
        <v>#REF!</v>
      </c>
    </row>
    <row r="191" spans="3:35" ht="15.75">
      <c r="C191" s="918">
        <v>45927</v>
      </c>
      <c r="D191" s="870" t="e">
        <f>MAX(0,IF($AK$5=$C$9,D$9-DPR!#REF!,IF($AK$5=$C$10,D$10-DPR!#REF!,IF($AK$5=$C$11,D$11-DPR!#REF!))))</f>
        <v>#REF!</v>
      </c>
      <c r="E191" s="870" t="e">
        <f>MAX(0,IF($AK$5=$C$9,E$9-DPR!#REF!,IF($AK$5=$C$10,E$10-DPR!#REF!,IF($AK$5=$C$11,E$11-DPR!#REF!))))</f>
        <v>#REF!</v>
      </c>
      <c r="F191" s="870" t="e">
        <f>MAX(0,IF($AK$5=$C$9,F$9-DPR!#REF!,IF($AK$5=$C$10,F$10-DPR!#REF!,IF($AK$5=$C$11,F$11-DPR!#REF!))))</f>
        <v>#REF!</v>
      </c>
      <c r="G191" s="870" t="e">
        <f>MAX(0,IF($AK$5=$C$9,G$9-DPR!#REF!,IF($AK$5=$C$10,G$10-DPR!#REF!,IF($AK$5=$C$11,G$11-DPR!#REF!))))</f>
        <v>#REF!</v>
      </c>
      <c r="H191" s="870" t="e">
        <f>MAX(0,IF($AK$5=$C$9,H$9-DPR!#REF!,IF($AK$5=$C$10,H$10-DPR!#REF!,IF($AK$5=$C$11,H$11-DPR!#REF!))))</f>
        <v>#REF!</v>
      </c>
      <c r="I191" s="870" t="e">
        <f>MAX(0,IF($AK$5=$C$9,I$9-DPR!#REF!,IF($AK$5=$C$10,I$10-DPR!#REF!,IF($AK$5=$C$11,I$11-DPR!#REF!))))</f>
        <v>#REF!</v>
      </c>
      <c r="J191" s="870" t="e">
        <f>MAX(0,IF($AK$5=$C$9,J$9-DPR!#REF!,IF($AK$5=$C$10,J$10-DPR!#REF!,IF($AK$5=$C$11,J$11-DPR!#REF!))))</f>
        <v>#REF!</v>
      </c>
      <c r="K191" s="870" t="e">
        <f>MAX(0,IF($AK$5=$C$9,K$9-DPR!#REF!,IF($AK$5=$C$10,K$10-DPR!#REF!,IF($AK$5=$C$11,K$11-DPR!#REF!))))</f>
        <v>#REF!</v>
      </c>
      <c r="L191" s="870" t="e">
        <f>MAX(0,IF($AK$5=$C$9,L$9-DPR!#REF!,IF($AK$5=$C$10,L$10-DPR!#REF!,IF($AK$5=$C$11,L$11-DPR!#REF!))))</f>
        <v>#REF!</v>
      </c>
      <c r="M191" s="870" t="e">
        <f>MAX(0,IF($AK$5=$C$9,M$9-DPR!#REF!,IF($AK$5=$C$10,M$10-DPR!#REF!,IF($AK$5=$C$11,M$11-DPR!#REF!))))</f>
        <v>#REF!</v>
      </c>
      <c r="N191" s="870" t="e">
        <f>MAX(0,IF($AK$5=$C$9,N$9-DPR!#REF!,IF($AK$5=$C$10,N$10-DPR!#REF!,IF($AK$5=$C$11,N$11-DPR!#REF!))))</f>
        <v>#REF!</v>
      </c>
      <c r="O191" s="870" t="e">
        <f>MAX(0,IF($AK$5=$C$9,O$9-DPR!#REF!,IF($AK$5=$C$10,O$10-DPR!#REF!,IF($AK$5=$C$11,O$11-DPR!#REF!))))</f>
        <v>#REF!</v>
      </c>
      <c r="P191" s="870" t="e">
        <f>MAX(0,IF($AK$5=$C$9,P$9-DPR!#REF!,IF($AK$5=$C$10,P$10-DPR!#REF!,IF($AK$5=$C$11,P$11-DPR!#REF!))))</f>
        <v>#REF!</v>
      </c>
      <c r="Q191" s="870">
        <v>100</v>
      </c>
      <c r="R191" s="919" t="e">
        <f t="shared" si="10"/>
        <v>#REF!</v>
      </c>
      <c r="S191" s="878"/>
      <c r="T191" s="878"/>
      <c r="U191" s="878"/>
      <c r="V191" s="878"/>
      <c r="W191" s="878"/>
      <c r="X191" s="878"/>
      <c r="Y191" s="878"/>
      <c r="Z191" s="878"/>
      <c r="AA191" s="878"/>
      <c r="AB191" s="878"/>
      <c r="AC191" s="878"/>
      <c r="AD191" s="878"/>
      <c r="AE191" s="878"/>
      <c r="AF191" s="847"/>
      <c r="AG191" s="920">
        <f t="shared" si="11"/>
        <v>0</v>
      </c>
      <c r="AH191" s="888">
        <f t="shared" si="12"/>
        <v>202509</v>
      </c>
      <c r="AI191" t="e">
        <f>DPR!#REF!</f>
        <v>#REF!</v>
      </c>
    </row>
    <row r="192" spans="3:35" ht="15.75">
      <c r="C192" s="918">
        <v>45928</v>
      </c>
      <c r="D192" s="870" t="e">
        <f>MAX(0,IF($AK$5=$C$9,D$9-DPR!#REF!,IF($AK$5=$C$10,D$10-DPR!#REF!,IF($AK$5=$C$11,D$11-DPR!#REF!))))</f>
        <v>#REF!</v>
      </c>
      <c r="E192" s="870" t="e">
        <f>MAX(0,IF($AK$5=$C$9,E$9-DPR!#REF!,IF($AK$5=$C$10,E$10-DPR!#REF!,IF($AK$5=$C$11,E$11-DPR!#REF!))))</f>
        <v>#REF!</v>
      </c>
      <c r="F192" s="870" t="e">
        <f>MAX(0,IF($AK$5=$C$9,F$9-DPR!#REF!,IF($AK$5=$C$10,F$10-DPR!#REF!,IF($AK$5=$C$11,F$11-DPR!#REF!))))</f>
        <v>#REF!</v>
      </c>
      <c r="G192" s="870" t="e">
        <f>MAX(0,IF($AK$5=$C$9,G$9-DPR!#REF!,IF($AK$5=$C$10,G$10-DPR!#REF!,IF($AK$5=$C$11,G$11-DPR!#REF!))))</f>
        <v>#REF!</v>
      </c>
      <c r="H192" s="870" t="e">
        <f>MAX(0,IF($AK$5=$C$9,H$9-DPR!#REF!,IF($AK$5=$C$10,H$10-DPR!#REF!,IF($AK$5=$C$11,H$11-DPR!#REF!))))</f>
        <v>#REF!</v>
      </c>
      <c r="I192" s="870" t="e">
        <f>MAX(0,IF($AK$5=$C$9,I$9-DPR!#REF!,IF($AK$5=$C$10,I$10-DPR!#REF!,IF($AK$5=$C$11,I$11-DPR!#REF!))))</f>
        <v>#REF!</v>
      </c>
      <c r="J192" s="870" t="e">
        <f>MAX(0,IF($AK$5=$C$9,J$9-DPR!#REF!,IF($AK$5=$C$10,J$10-DPR!#REF!,IF($AK$5=$C$11,J$11-DPR!#REF!))))</f>
        <v>#REF!</v>
      </c>
      <c r="K192" s="870" t="e">
        <f>MAX(0,IF($AK$5=$C$9,K$9-DPR!#REF!,IF($AK$5=$C$10,K$10-DPR!#REF!,IF($AK$5=$C$11,K$11-DPR!#REF!))))</f>
        <v>#REF!</v>
      </c>
      <c r="L192" s="870" t="e">
        <f>MAX(0,IF($AK$5=$C$9,L$9-DPR!#REF!,IF($AK$5=$C$10,L$10-DPR!#REF!,IF($AK$5=$C$11,L$11-DPR!#REF!))))</f>
        <v>#REF!</v>
      </c>
      <c r="M192" s="870" t="e">
        <f>MAX(0,IF($AK$5=$C$9,M$9-DPR!#REF!,IF($AK$5=$C$10,M$10-DPR!#REF!,IF($AK$5=$C$11,M$11-DPR!#REF!))))</f>
        <v>#REF!</v>
      </c>
      <c r="N192" s="870" t="e">
        <f>MAX(0,IF($AK$5=$C$9,N$9-DPR!#REF!,IF($AK$5=$C$10,N$10-DPR!#REF!,IF($AK$5=$C$11,N$11-DPR!#REF!))))</f>
        <v>#REF!</v>
      </c>
      <c r="O192" s="870" t="e">
        <f>MAX(0,IF($AK$5=$C$9,O$9-DPR!#REF!,IF($AK$5=$C$10,O$10-DPR!#REF!,IF($AK$5=$C$11,O$11-DPR!#REF!))))</f>
        <v>#REF!</v>
      </c>
      <c r="P192" s="870" t="e">
        <f>MAX(0,IF($AK$5=$C$9,P$9-DPR!#REF!,IF($AK$5=$C$10,P$10-DPR!#REF!,IF($AK$5=$C$11,P$11-DPR!#REF!))))</f>
        <v>#REF!</v>
      </c>
      <c r="Q192" s="870">
        <v>101</v>
      </c>
      <c r="R192" s="919" t="e">
        <f t="shared" si="10"/>
        <v>#REF!</v>
      </c>
      <c r="S192" s="878"/>
      <c r="T192" s="878"/>
      <c r="U192" s="878"/>
      <c r="V192" s="878"/>
      <c r="W192" s="878"/>
      <c r="X192" s="878"/>
      <c r="Y192" s="878"/>
      <c r="Z192" s="878"/>
      <c r="AA192" s="878"/>
      <c r="AB192" s="878"/>
      <c r="AC192" s="878"/>
      <c r="AD192" s="878"/>
      <c r="AE192" s="878"/>
      <c r="AF192" s="847"/>
      <c r="AG192" s="920">
        <f t="shared" si="11"/>
        <v>0</v>
      </c>
      <c r="AH192" s="888">
        <f t="shared" si="12"/>
        <v>202509</v>
      </c>
      <c r="AI192" t="e">
        <f>DPR!#REF!</f>
        <v>#REF!</v>
      </c>
    </row>
    <row r="193" spans="3:35" ht="15.75">
      <c r="C193" s="918">
        <v>45929</v>
      </c>
      <c r="D193" s="870" t="e">
        <f>MAX(0,IF($AK$5=$C$9,D$9-DPR!#REF!,IF($AK$5=$C$10,D$10-DPR!#REF!,IF($AK$5=$C$11,D$11-DPR!#REF!))))</f>
        <v>#REF!</v>
      </c>
      <c r="E193" s="870" t="e">
        <f>MAX(0,IF($AK$5=$C$9,E$9-DPR!#REF!,IF($AK$5=$C$10,E$10-DPR!#REF!,IF($AK$5=$C$11,E$11-DPR!#REF!))))</f>
        <v>#REF!</v>
      </c>
      <c r="F193" s="870" t="e">
        <f>MAX(0,IF($AK$5=$C$9,F$9-DPR!#REF!,IF($AK$5=$C$10,F$10-DPR!#REF!,IF($AK$5=$C$11,F$11-DPR!#REF!))))</f>
        <v>#REF!</v>
      </c>
      <c r="G193" s="870" t="e">
        <f>MAX(0,IF($AK$5=$C$9,G$9-DPR!#REF!,IF($AK$5=$C$10,G$10-DPR!#REF!,IF($AK$5=$C$11,G$11-DPR!#REF!))))</f>
        <v>#REF!</v>
      </c>
      <c r="H193" s="870" t="e">
        <f>MAX(0,IF($AK$5=$C$9,H$9-DPR!#REF!,IF($AK$5=$C$10,H$10-DPR!#REF!,IF($AK$5=$C$11,H$11-DPR!#REF!))))</f>
        <v>#REF!</v>
      </c>
      <c r="I193" s="870" t="e">
        <f>MAX(0,IF($AK$5=$C$9,I$9-DPR!#REF!,IF($AK$5=$C$10,I$10-DPR!#REF!,IF($AK$5=$C$11,I$11-DPR!#REF!))))</f>
        <v>#REF!</v>
      </c>
      <c r="J193" s="870" t="e">
        <f>MAX(0,IF($AK$5=$C$9,J$9-DPR!#REF!,IF($AK$5=$C$10,J$10-DPR!#REF!,IF($AK$5=$C$11,J$11-DPR!#REF!))))</f>
        <v>#REF!</v>
      </c>
      <c r="K193" s="870" t="e">
        <f>MAX(0,IF($AK$5=$C$9,K$9-DPR!#REF!,IF($AK$5=$C$10,K$10-DPR!#REF!,IF($AK$5=$C$11,K$11-DPR!#REF!))))</f>
        <v>#REF!</v>
      </c>
      <c r="L193" s="870" t="e">
        <f>MAX(0,IF($AK$5=$C$9,L$9-DPR!#REF!,IF($AK$5=$C$10,L$10-DPR!#REF!,IF($AK$5=$C$11,L$11-DPR!#REF!))))</f>
        <v>#REF!</v>
      </c>
      <c r="M193" s="870" t="e">
        <f>MAX(0,IF($AK$5=$C$9,M$9-DPR!#REF!,IF($AK$5=$C$10,M$10-DPR!#REF!,IF($AK$5=$C$11,M$11-DPR!#REF!))))</f>
        <v>#REF!</v>
      </c>
      <c r="N193" s="870" t="e">
        <f>MAX(0,IF($AK$5=$C$9,N$9-DPR!#REF!,IF($AK$5=$C$10,N$10-DPR!#REF!,IF($AK$5=$C$11,N$11-DPR!#REF!))))</f>
        <v>#REF!</v>
      </c>
      <c r="O193" s="870" t="e">
        <f>MAX(0,IF($AK$5=$C$9,O$9-DPR!#REF!,IF($AK$5=$C$10,O$10-DPR!#REF!,IF($AK$5=$C$11,O$11-DPR!#REF!))))</f>
        <v>#REF!</v>
      </c>
      <c r="P193" s="870" t="e">
        <f>MAX(0,IF($AK$5=$C$9,P$9-DPR!#REF!,IF($AK$5=$C$10,P$10-DPR!#REF!,IF($AK$5=$C$11,P$11-DPR!#REF!))))</f>
        <v>#REF!</v>
      </c>
      <c r="Q193" s="870">
        <v>102</v>
      </c>
      <c r="R193" s="919" t="e">
        <f t="shared" si="10"/>
        <v>#REF!</v>
      </c>
      <c r="S193" s="878"/>
      <c r="T193" s="878"/>
      <c r="U193" s="878"/>
      <c r="V193" s="878"/>
      <c r="W193" s="878"/>
      <c r="X193" s="878"/>
      <c r="Y193" s="878"/>
      <c r="Z193" s="878"/>
      <c r="AA193" s="878"/>
      <c r="AB193" s="878"/>
      <c r="AC193" s="878"/>
      <c r="AD193" s="878"/>
      <c r="AE193" s="878"/>
      <c r="AF193" s="847"/>
      <c r="AG193" s="920">
        <f t="shared" si="11"/>
        <v>0</v>
      </c>
      <c r="AH193" s="888">
        <f t="shared" si="12"/>
        <v>202509</v>
      </c>
      <c r="AI193" t="e">
        <f>DPR!#REF!</f>
        <v>#REF!</v>
      </c>
    </row>
    <row r="194" spans="3:35" ht="15.75">
      <c r="C194" s="918">
        <v>45930</v>
      </c>
      <c r="D194" s="870" t="e">
        <f>MAX(0,IF($AK$5=$C$9,D$9-DPR!#REF!,IF($AK$5=$C$10,D$10-DPR!#REF!,IF($AK$5=$C$11,D$11-DPR!#REF!))))</f>
        <v>#REF!</v>
      </c>
      <c r="E194" s="870" t="e">
        <f>MAX(0,IF($AK$5=$C$9,E$9-DPR!#REF!,IF($AK$5=$C$10,E$10-DPR!#REF!,IF($AK$5=$C$11,E$11-DPR!#REF!))))</f>
        <v>#REF!</v>
      </c>
      <c r="F194" s="870" t="e">
        <f>MAX(0,IF($AK$5=$C$9,F$9-DPR!#REF!,IF($AK$5=$C$10,F$10-DPR!#REF!,IF($AK$5=$C$11,F$11-DPR!#REF!))))</f>
        <v>#REF!</v>
      </c>
      <c r="G194" s="870" t="e">
        <f>MAX(0,IF($AK$5=$C$9,G$9-DPR!#REF!,IF($AK$5=$C$10,G$10-DPR!#REF!,IF($AK$5=$C$11,G$11-DPR!#REF!))))</f>
        <v>#REF!</v>
      </c>
      <c r="H194" s="870" t="e">
        <f>MAX(0,IF($AK$5=$C$9,H$9-DPR!#REF!,IF($AK$5=$C$10,H$10-DPR!#REF!,IF($AK$5=$C$11,H$11-DPR!#REF!))))</f>
        <v>#REF!</v>
      </c>
      <c r="I194" s="870" t="e">
        <f>MAX(0,IF($AK$5=$C$9,I$9-DPR!#REF!,IF($AK$5=$C$10,I$10-DPR!#REF!,IF($AK$5=$C$11,I$11-DPR!#REF!))))</f>
        <v>#REF!</v>
      </c>
      <c r="J194" s="870" t="e">
        <f>MAX(0,IF($AK$5=$C$9,J$9-DPR!#REF!,IF($AK$5=$C$10,J$10-DPR!#REF!,IF($AK$5=$C$11,J$11-DPR!#REF!))))</f>
        <v>#REF!</v>
      </c>
      <c r="K194" s="870" t="e">
        <f>MAX(0,IF($AK$5=$C$9,K$9-DPR!#REF!,IF($AK$5=$C$10,K$10-DPR!#REF!,IF($AK$5=$C$11,K$11-DPR!#REF!))))</f>
        <v>#REF!</v>
      </c>
      <c r="L194" s="870" t="e">
        <f>MAX(0,IF($AK$5=$C$9,L$9-DPR!#REF!,IF($AK$5=$C$10,L$10-DPR!#REF!,IF($AK$5=$C$11,L$11-DPR!#REF!))))</f>
        <v>#REF!</v>
      </c>
      <c r="M194" s="870" t="e">
        <f>MAX(0,IF($AK$5=$C$9,M$9-DPR!#REF!,IF($AK$5=$C$10,M$10-DPR!#REF!,IF($AK$5=$C$11,M$11-DPR!#REF!))))</f>
        <v>#REF!</v>
      </c>
      <c r="N194" s="870" t="e">
        <f>MAX(0,IF($AK$5=$C$9,N$9-DPR!#REF!,IF($AK$5=$C$10,N$10-DPR!#REF!,IF($AK$5=$C$11,N$11-DPR!#REF!))))</f>
        <v>#REF!</v>
      </c>
      <c r="O194" s="870" t="e">
        <f>MAX(0,IF($AK$5=$C$9,O$9-DPR!#REF!,IF($AK$5=$C$10,O$10-DPR!#REF!,IF($AK$5=$C$11,O$11-DPR!#REF!))))</f>
        <v>#REF!</v>
      </c>
      <c r="P194" s="870" t="e">
        <f>MAX(0,IF($AK$5=$C$9,P$9-DPR!#REF!,IF($AK$5=$C$10,P$10-DPR!#REF!,IF($AK$5=$C$11,P$11-DPR!#REF!))))</f>
        <v>#REF!</v>
      </c>
      <c r="Q194" s="870">
        <v>103</v>
      </c>
      <c r="R194" s="919" t="e">
        <f t="shared" si="10"/>
        <v>#REF!</v>
      </c>
      <c r="S194" s="878"/>
      <c r="T194" s="878"/>
      <c r="U194" s="878"/>
      <c r="V194" s="878"/>
      <c r="W194" s="878"/>
      <c r="X194" s="878"/>
      <c r="Y194" s="878"/>
      <c r="Z194" s="878"/>
      <c r="AA194" s="878"/>
      <c r="AB194" s="878"/>
      <c r="AC194" s="878"/>
      <c r="AD194" s="878"/>
      <c r="AE194" s="878"/>
      <c r="AF194" s="847"/>
      <c r="AG194" s="920">
        <f t="shared" si="11"/>
        <v>0</v>
      </c>
      <c r="AH194" s="888">
        <f t="shared" si="12"/>
        <v>202509</v>
      </c>
      <c r="AI194" t="e">
        <f>DPR!#REF!</f>
        <v>#REF!</v>
      </c>
    </row>
    <row r="195" spans="3:35" ht="15.75">
      <c r="C195" s="918">
        <v>45931</v>
      </c>
      <c r="D195" s="870" t="e">
        <f>MAX(0,IF($AK$5=$C$9,D$9-DPR!#REF!,IF($AK$5=$C$10,D$10-DPR!#REF!,IF($AK$5=$C$11,D$11-DPR!#REF!))))</f>
        <v>#REF!</v>
      </c>
      <c r="E195" s="870" t="e">
        <f>MAX(0,IF($AK$5=$C$9,E$9-DPR!#REF!,IF($AK$5=$C$10,E$10-DPR!#REF!,IF($AK$5=$C$11,E$11-DPR!#REF!))))</f>
        <v>#REF!</v>
      </c>
      <c r="F195" s="870" t="e">
        <f>MAX(0,IF($AK$5=$C$9,F$9-DPR!#REF!,IF($AK$5=$C$10,F$10-DPR!#REF!,IF($AK$5=$C$11,F$11-DPR!#REF!))))</f>
        <v>#REF!</v>
      </c>
      <c r="G195" s="870" t="e">
        <f>MAX(0,IF($AK$5=$C$9,G$9-DPR!#REF!,IF($AK$5=$C$10,G$10-DPR!#REF!,IF($AK$5=$C$11,G$11-DPR!#REF!))))</f>
        <v>#REF!</v>
      </c>
      <c r="H195" s="870" t="e">
        <f>MAX(0,IF($AK$5=$C$9,H$9-DPR!#REF!,IF($AK$5=$C$10,H$10-DPR!#REF!,IF($AK$5=$C$11,H$11-DPR!#REF!))))</f>
        <v>#REF!</v>
      </c>
      <c r="I195" s="870" t="e">
        <f>MAX(0,IF($AK$5=$C$9,I$9-DPR!#REF!,IF($AK$5=$C$10,I$10-DPR!#REF!,IF($AK$5=$C$11,I$11-DPR!#REF!))))</f>
        <v>#REF!</v>
      </c>
      <c r="J195" s="870" t="e">
        <f>MAX(0,IF($AK$5=$C$9,J$9-DPR!#REF!,IF($AK$5=$C$10,J$10-DPR!#REF!,IF($AK$5=$C$11,J$11-DPR!#REF!))))</f>
        <v>#REF!</v>
      </c>
      <c r="K195" s="870" t="e">
        <f>MAX(0,IF($AK$5=$C$9,K$9-DPR!#REF!,IF($AK$5=$C$10,K$10-DPR!#REF!,IF($AK$5=$C$11,K$11-DPR!#REF!))))</f>
        <v>#REF!</v>
      </c>
      <c r="L195" s="870" t="e">
        <f>MAX(0,IF($AK$5=$C$9,L$9-DPR!#REF!,IF($AK$5=$C$10,L$10-DPR!#REF!,IF($AK$5=$C$11,L$11-DPR!#REF!))))</f>
        <v>#REF!</v>
      </c>
      <c r="M195" s="870" t="e">
        <f>MAX(0,IF($AK$5=$C$9,M$9-DPR!#REF!,IF($AK$5=$C$10,M$10-DPR!#REF!,IF($AK$5=$C$11,M$11-DPR!#REF!))))</f>
        <v>#REF!</v>
      </c>
      <c r="N195" s="870" t="e">
        <f>MAX(0,IF($AK$5=$C$9,N$9-DPR!#REF!,IF($AK$5=$C$10,N$10-DPR!#REF!,IF($AK$5=$C$11,N$11-DPR!#REF!))))</f>
        <v>#REF!</v>
      </c>
      <c r="O195" s="870" t="e">
        <f>MAX(0,IF($AK$5=$C$9,O$9-DPR!#REF!,IF($AK$5=$C$10,O$10-DPR!#REF!,IF($AK$5=$C$11,O$11-DPR!#REF!))))</f>
        <v>#REF!</v>
      </c>
      <c r="P195" s="870" t="e">
        <f>MAX(0,IF($AK$5=$C$9,P$9-DPR!#REF!,IF($AK$5=$C$10,P$10-DPR!#REF!,IF($AK$5=$C$11,P$11-DPR!#REF!))))</f>
        <v>#REF!</v>
      </c>
      <c r="Q195" s="870">
        <v>104</v>
      </c>
      <c r="R195" s="919" t="e">
        <f t="shared" si="10"/>
        <v>#REF!</v>
      </c>
      <c r="S195" s="878"/>
      <c r="T195" s="878"/>
      <c r="U195" s="878"/>
      <c r="V195" s="878"/>
      <c r="W195" s="878"/>
      <c r="X195" s="878"/>
      <c r="Y195" s="878"/>
      <c r="Z195" s="878"/>
      <c r="AA195" s="878"/>
      <c r="AB195" s="878"/>
      <c r="AC195" s="878"/>
      <c r="AD195" s="878"/>
      <c r="AE195" s="878"/>
      <c r="AF195" s="847"/>
      <c r="AG195" s="920">
        <f t="shared" si="11"/>
        <v>0</v>
      </c>
      <c r="AH195" s="888">
        <f t="shared" si="12"/>
        <v>202510</v>
      </c>
      <c r="AI195" t="e">
        <f>DPR!#REF!</f>
        <v>#REF!</v>
      </c>
    </row>
    <row r="196" spans="3:35" ht="15.75">
      <c r="C196" s="918">
        <v>45932</v>
      </c>
      <c r="D196" s="870" t="e">
        <f>MAX(0,IF($AK$5=$C$9,D$9-DPR!#REF!,IF($AK$5=$C$10,D$10-DPR!#REF!,IF($AK$5=$C$11,D$11-DPR!#REF!))))</f>
        <v>#REF!</v>
      </c>
      <c r="E196" s="870" t="e">
        <f>MAX(0,IF($AK$5=$C$9,E$9-DPR!#REF!,IF($AK$5=$C$10,E$10-DPR!#REF!,IF($AK$5=$C$11,E$11-DPR!#REF!))))</f>
        <v>#REF!</v>
      </c>
      <c r="F196" s="870" t="e">
        <f>MAX(0,IF($AK$5=$C$9,F$9-DPR!#REF!,IF($AK$5=$C$10,F$10-DPR!#REF!,IF($AK$5=$C$11,F$11-DPR!#REF!))))</f>
        <v>#REF!</v>
      </c>
      <c r="G196" s="870" t="e">
        <f>MAX(0,IF($AK$5=$C$9,G$9-DPR!#REF!,IF($AK$5=$C$10,G$10-DPR!#REF!,IF($AK$5=$C$11,G$11-DPR!#REF!))))</f>
        <v>#REF!</v>
      </c>
      <c r="H196" s="870" t="e">
        <f>MAX(0,IF($AK$5=$C$9,H$9-DPR!#REF!,IF($AK$5=$C$10,H$10-DPR!#REF!,IF($AK$5=$C$11,H$11-DPR!#REF!))))</f>
        <v>#REF!</v>
      </c>
      <c r="I196" s="870" t="e">
        <f>MAX(0,IF($AK$5=$C$9,I$9-DPR!#REF!,IF($AK$5=$C$10,I$10-DPR!#REF!,IF($AK$5=$C$11,I$11-DPR!#REF!))))</f>
        <v>#REF!</v>
      </c>
      <c r="J196" s="870" t="e">
        <f>MAX(0,IF($AK$5=$C$9,J$9-DPR!#REF!,IF($AK$5=$C$10,J$10-DPR!#REF!,IF($AK$5=$C$11,J$11-DPR!#REF!))))</f>
        <v>#REF!</v>
      </c>
      <c r="K196" s="870" t="e">
        <f>MAX(0,IF($AK$5=$C$9,K$9-DPR!#REF!,IF($AK$5=$C$10,K$10-DPR!#REF!,IF($AK$5=$C$11,K$11-DPR!#REF!))))</f>
        <v>#REF!</v>
      </c>
      <c r="L196" s="870" t="e">
        <f>MAX(0,IF($AK$5=$C$9,L$9-DPR!#REF!,IF($AK$5=$C$10,L$10-DPR!#REF!,IF($AK$5=$C$11,L$11-DPR!#REF!))))</f>
        <v>#REF!</v>
      </c>
      <c r="M196" s="870" t="e">
        <f>MAX(0,IF($AK$5=$C$9,M$9-DPR!#REF!,IF($AK$5=$C$10,M$10-DPR!#REF!,IF($AK$5=$C$11,M$11-DPR!#REF!))))</f>
        <v>#REF!</v>
      </c>
      <c r="N196" s="870" t="e">
        <f>MAX(0,IF($AK$5=$C$9,N$9-DPR!#REF!,IF($AK$5=$C$10,N$10-DPR!#REF!,IF($AK$5=$C$11,N$11-DPR!#REF!))))</f>
        <v>#REF!</v>
      </c>
      <c r="O196" s="870" t="e">
        <f>MAX(0,IF($AK$5=$C$9,O$9-DPR!#REF!,IF($AK$5=$C$10,O$10-DPR!#REF!,IF($AK$5=$C$11,O$11-DPR!#REF!))))</f>
        <v>#REF!</v>
      </c>
      <c r="P196" s="870" t="e">
        <f>MAX(0,IF($AK$5=$C$9,P$9-DPR!#REF!,IF($AK$5=$C$10,P$10-DPR!#REF!,IF($AK$5=$C$11,P$11-DPR!#REF!))))</f>
        <v>#REF!</v>
      </c>
      <c r="Q196" s="870">
        <v>105</v>
      </c>
      <c r="R196" s="919" t="e">
        <f t="shared" si="10"/>
        <v>#REF!</v>
      </c>
      <c r="S196" s="878"/>
      <c r="T196" s="878"/>
      <c r="U196" s="878"/>
      <c r="V196" s="878"/>
      <c r="W196" s="878"/>
      <c r="X196" s="878"/>
      <c r="Y196" s="878"/>
      <c r="Z196" s="878"/>
      <c r="AA196" s="878"/>
      <c r="AB196" s="878"/>
      <c r="AC196" s="878"/>
      <c r="AD196" s="878"/>
      <c r="AE196" s="878"/>
      <c r="AF196" s="847"/>
      <c r="AG196" s="920">
        <f t="shared" si="11"/>
        <v>0</v>
      </c>
      <c r="AH196" s="888">
        <f t="shared" si="12"/>
        <v>202510</v>
      </c>
      <c r="AI196" t="e">
        <f>DPR!#REF!</f>
        <v>#REF!</v>
      </c>
    </row>
    <row r="197" spans="3:35" ht="15.75">
      <c r="C197" s="918">
        <v>45933</v>
      </c>
      <c r="D197" s="870" t="e">
        <f>MAX(0,IF($AK$5=$C$9,D$9-DPR!#REF!,IF($AK$5=$C$10,D$10-DPR!#REF!,IF($AK$5=$C$11,D$11-DPR!#REF!))))</f>
        <v>#REF!</v>
      </c>
      <c r="E197" s="870" t="e">
        <f>MAX(0,IF($AK$5=$C$9,E$9-DPR!#REF!,IF($AK$5=$C$10,E$10-DPR!#REF!,IF($AK$5=$C$11,E$11-DPR!#REF!))))</f>
        <v>#REF!</v>
      </c>
      <c r="F197" s="870" t="e">
        <f>MAX(0,IF($AK$5=$C$9,F$9-DPR!#REF!,IF($AK$5=$C$10,F$10-DPR!#REF!,IF($AK$5=$C$11,F$11-DPR!#REF!))))</f>
        <v>#REF!</v>
      </c>
      <c r="G197" s="870" t="e">
        <f>MAX(0,IF($AK$5=$C$9,G$9-DPR!#REF!,IF($AK$5=$C$10,G$10-DPR!#REF!,IF($AK$5=$C$11,G$11-DPR!#REF!))))</f>
        <v>#REF!</v>
      </c>
      <c r="H197" s="870" t="e">
        <f>MAX(0,IF($AK$5=$C$9,H$9-DPR!#REF!,IF($AK$5=$C$10,H$10-DPR!#REF!,IF($AK$5=$C$11,H$11-DPR!#REF!))))</f>
        <v>#REF!</v>
      </c>
      <c r="I197" s="870" t="e">
        <f>MAX(0,IF($AK$5=$C$9,I$9-DPR!#REF!,IF($AK$5=$C$10,I$10-DPR!#REF!,IF($AK$5=$C$11,I$11-DPR!#REF!))))</f>
        <v>#REF!</v>
      </c>
      <c r="J197" s="870" t="e">
        <f>MAX(0,IF($AK$5=$C$9,J$9-DPR!#REF!,IF($AK$5=$C$10,J$10-DPR!#REF!,IF($AK$5=$C$11,J$11-DPR!#REF!))))</f>
        <v>#REF!</v>
      </c>
      <c r="K197" s="870" t="e">
        <f>MAX(0,IF($AK$5=$C$9,K$9-DPR!#REF!,IF($AK$5=$C$10,K$10-DPR!#REF!,IF($AK$5=$C$11,K$11-DPR!#REF!))))</f>
        <v>#REF!</v>
      </c>
      <c r="L197" s="870" t="e">
        <f>MAX(0,IF($AK$5=$C$9,L$9-DPR!#REF!,IF($AK$5=$C$10,L$10-DPR!#REF!,IF($AK$5=$C$11,L$11-DPR!#REF!))))</f>
        <v>#REF!</v>
      </c>
      <c r="M197" s="870" t="e">
        <f>MAX(0,IF($AK$5=$C$9,M$9-DPR!#REF!,IF($AK$5=$C$10,M$10-DPR!#REF!,IF($AK$5=$C$11,M$11-DPR!#REF!))))</f>
        <v>#REF!</v>
      </c>
      <c r="N197" s="870" t="e">
        <f>MAX(0,IF($AK$5=$C$9,N$9-DPR!#REF!,IF($AK$5=$C$10,N$10-DPR!#REF!,IF($AK$5=$C$11,N$11-DPR!#REF!))))</f>
        <v>#REF!</v>
      </c>
      <c r="O197" s="870" t="e">
        <f>MAX(0,IF($AK$5=$C$9,O$9-DPR!#REF!,IF($AK$5=$C$10,O$10-DPR!#REF!,IF($AK$5=$C$11,O$11-DPR!#REF!))))</f>
        <v>#REF!</v>
      </c>
      <c r="P197" s="870" t="e">
        <f>MAX(0,IF($AK$5=$C$9,P$9-DPR!#REF!,IF($AK$5=$C$10,P$10-DPR!#REF!,IF($AK$5=$C$11,P$11-DPR!#REF!))))</f>
        <v>#REF!</v>
      </c>
      <c r="Q197" s="870">
        <v>106</v>
      </c>
      <c r="R197" s="919" t="e">
        <f t="shared" si="10"/>
        <v>#REF!</v>
      </c>
      <c r="S197" s="878"/>
      <c r="T197" s="878"/>
      <c r="U197" s="878"/>
      <c r="V197" s="878"/>
      <c r="W197" s="878"/>
      <c r="X197" s="878"/>
      <c r="Y197" s="878"/>
      <c r="Z197" s="878"/>
      <c r="AA197" s="878"/>
      <c r="AB197" s="878"/>
      <c r="AC197" s="878"/>
      <c r="AD197" s="878"/>
      <c r="AE197" s="878"/>
      <c r="AF197" s="847"/>
      <c r="AG197" s="920">
        <f t="shared" si="11"/>
        <v>0</v>
      </c>
      <c r="AH197" s="888">
        <f t="shared" si="12"/>
        <v>202510</v>
      </c>
      <c r="AI197" t="e">
        <f>DPR!#REF!</f>
        <v>#REF!</v>
      </c>
    </row>
    <row r="198" spans="3:35" ht="15.75">
      <c r="C198" s="918">
        <v>45934</v>
      </c>
      <c r="D198" s="870" t="e">
        <f>MAX(0,IF($AK$5=$C$9,D$9-DPR!#REF!,IF($AK$5=$C$10,D$10-DPR!#REF!,IF($AK$5=$C$11,D$11-DPR!#REF!))))</f>
        <v>#REF!</v>
      </c>
      <c r="E198" s="870" t="e">
        <f>MAX(0,IF($AK$5=$C$9,E$9-DPR!#REF!,IF($AK$5=$C$10,E$10-DPR!#REF!,IF($AK$5=$C$11,E$11-DPR!#REF!))))</f>
        <v>#REF!</v>
      </c>
      <c r="F198" s="870" t="e">
        <f>MAX(0,IF($AK$5=$C$9,F$9-DPR!#REF!,IF($AK$5=$C$10,F$10-DPR!#REF!,IF($AK$5=$C$11,F$11-DPR!#REF!))))</f>
        <v>#REF!</v>
      </c>
      <c r="G198" s="870" t="e">
        <f>MAX(0,IF($AK$5=$C$9,G$9-DPR!#REF!,IF($AK$5=$C$10,G$10-DPR!#REF!,IF($AK$5=$C$11,G$11-DPR!#REF!))))</f>
        <v>#REF!</v>
      </c>
      <c r="H198" s="870" t="e">
        <f>MAX(0,IF($AK$5=$C$9,H$9-DPR!#REF!,IF($AK$5=$C$10,H$10-DPR!#REF!,IF($AK$5=$C$11,H$11-DPR!#REF!))))</f>
        <v>#REF!</v>
      </c>
      <c r="I198" s="870" t="e">
        <f>MAX(0,IF($AK$5=$C$9,I$9-DPR!#REF!,IF($AK$5=$C$10,I$10-DPR!#REF!,IF($AK$5=$C$11,I$11-DPR!#REF!))))</f>
        <v>#REF!</v>
      </c>
      <c r="J198" s="870" t="e">
        <f>MAX(0,IF($AK$5=$C$9,J$9-DPR!#REF!,IF($AK$5=$C$10,J$10-DPR!#REF!,IF($AK$5=$C$11,J$11-DPR!#REF!))))</f>
        <v>#REF!</v>
      </c>
      <c r="K198" s="870" t="e">
        <f>MAX(0,IF($AK$5=$C$9,K$9-DPR!#REF!,IF($AK$5=$C$10,K$10-DPR!#REF!,IF($AK$5=$C$11,K$11-DPR!#REF!))))</f>
        <v>#REF!</v>
      </c>
      <c r="L198" s="870" t="e">
        <f>MAX(0,IF($AK$5=$C$9,L$9-DPR!#REF!,IF($AK$5=$C$10,L$10-DPR!#REF!,IF($AK$5=$C$11,L$11-DPR!#REF!))))</f>
        <v>#REF!</v>
      </c>
      <c r="M198" s="870" t="e">
        <f>MAX(0,IF($AK$5=$C$9,M$9-DPR!#REF!,IF($AK$5=$C$10,M$10-DPR!#REF!,IF($AK$5=$C$11,M$11-DPR!#REF!))))</f>
        <v>#REF!</v>
      </c>
      <c r="N198" s="870" t="e">
        <f>MAX(0,IF($AK$5=$C$9,N$9-DPR!#REF!,IF($AK$5=$C$10,N$10-DPR!#REF!,IF($AK$5=$C$11,N$11-DPR!#REF!))))</f>
        <v>#REF!</v>
      </c>
      <c r="O198" s="870" t="e">
        <f>MAX(0,IF($AK$5=$C$9,O$9-DPR!#REF!,IF($AK$5=$C$10,O$10-DPR!#REF!,IF($AK$5=$C$11,O$11-DPR!#REF!))))</f>
        <v>#REF!</v>
      </c>
      <c r="P198" s="870" t="e">
        <f>MAX(0,IF($AK$5=$C$9,P$9-DPR!#REF!,IF($AK$5=$C$10,P$10-DPR!#REF!,IF($AK$5=$C$11,P$11-DPR!#REF!))))</f>
        <v>#REF!</v>
      </c>
      <c r="Q198" s="870">
        <v>107</v>
      </c>
      <c r="R198" s="919" t="e">
        <f t="shared" si="10"/>
        <v>#REF!</v>
      </c>
      <c r="S198" s="878"/>
      <c r="T198" s="878"/>
      <c r="U198" s="878"/>
      <c r="V198" s="878"/>
      <c r="W198" s="878"/>
      <c r="X198" s="878"/>
      <c r="Y198" s="878"/>
      <c r="Z198" s="878"/>
      <c r="AA198" s="878"/>
      <c r="AB198" s="878"/>
      <c r="AC198" s="878"/>
      <c r="AD198" s="878"/>
      <c r="AE198" s="878"/>
      <c r="AF198" s="847"/>
      <c r="AG198" s="920">
        <f t="shared" si="11"/>
        <v>0</v>
      </c>
      <c r="AH198" s="888">
        <f t="shared" si="12"/>
        <v>202510</v>
      </c>
      <c r="AI198" t="e">
        <f>DPR!#REF!</f>
        <v>#REF!</v>
      </c>
    </row>
    <row r="199" spans="3:35" ht="15.75">
      <c r="C199" s="918">
        <v>45935</v>
      </c>
      <c r="D199" s="870" t="e">
        <f>MAX(0,IF($AK$5=$C$9,D$9-DPR!#REF!,IF($AK$5=$C$10,D$10-DPR!#REF!,IF($AK$5=$C$11,D$11-DPR!#REF!))))</f>
        <v>#REF!</v>
      </c>
      <c r="E199" s="870" t="e">
        <f>MAX(0,IF($AK$5=$C$9,E$9-DPR!#REF!,IF($AK$5=$C$10,E$10-DPR!#REF!,IF($AK$5=$C$11,E$11-DPR!#REF!))))</f>
        <v>#REF!</v>
      </c>
      <c r="F199" s="870" t="e">
        <f>MAX(0,IF($AK$5=$C$9,F$9-DPR!#REF!,IF($AK$5=$C$10,F$10-DPR!#REF!,IF($AK$5=$C$11,F$11-DPR!#REF!))))</f>
        <v>#REF!</v>
      </c>
      <c r="G199" s="870" t="e">
        <f>MAX(0,IF($AK$5=$C$9,G$9-DPR!#REF!,IF($AK$5=$C$10,G$10-DPR!#REF!,IF($AK$5=$C$11,G$11-DPR!#REF!))))</f>
        <v>#REF!</v>
      </c>
      <c r="H199" s="870" t="e">
        <f>MAX(0,IF($AK$5=$C$9,H$9-DPR!#REF!,IF($AK$5=$C$10,H$10-DPR!#REF!,IF($AK$5=$C$11,H$11-DPR!#REF!))))</f>
        <v>#REF!</v>
      </c>
      <c r="I199" s="870" t="e">
        <f>MAX(0,IF($AK$5=$C$9,I$9-DPR!#REF!,IF($AK$5=$C$10,I$10-DPR!#REF!,IF($AK$5=$C$11,I$11-DPR!#REF!))))</f>
        <v>#REF!</v>
      </c>
      <c r="J199" s="870" t="e">
        <f>MAX(0,IF($AK$5=$C$9,J$9-DPR!#REF!,IF($AK$5=$C$10,J$10-DPR!#REF!,IF($AK$5=$C$11,J$11-DPR!#REF!))))</f>
        <v>#REF!</v>
      </c>
      <c r="K199" s="870" t="e">
        <f>MAX(0,IF($AK$5=$C$9,K$9-DPR!#REF!,IF($AK$5=$C$10,K$10-DPR!#REF!,IF($AK$5=$C$11,K$11-DPR!#REF!))))</f>
        <v>#REF!</v>
      </c>
      <c r="L199" s="870" t="e">
        <f>MAX(0,IF($AK$5=$C$9,L$9-DPR!#REF!,IF($AK$5=$C$10,L$10-DPR!#REF!,IF($AK$5=$C$11,L$11-DPR!#REF!))))</f>
        <v>#REF!</v>
      </c>
      <c r="M199" s="870" t="e">
        <f>MAX(0,IF($AK$5=$C$9,M$9-DPR!#REF!,IF($AK$5=$C$10,M$10-DPR!#REF!,IF($AK$5=$C$11,M$11-DPR!#REF!))))</f>
        <v>#REF!</v>
      </c>
      <c r="N199" s="870" t="e">
        <f>MAX(0,IF($AK$5=$C$9,N$9-DPR!#REF!,IF($AK$5=$C$10,N$10-DPR!#REF!,IF($AK$5=$C$11,N$11-DPR!#REF!))))</f>
        <v>#REF!</v>
      </c>
      <c r="O199" s="870" t="e">
        <f>MAX(0,IF($AK$5=$C$9,O$9-DPR!#REF!,IF($AK$5=$C$10,O$10-DPR!#REF!,IF($AK$5=$C$11,O$11-DPR!#REF!))))</f>
        <v>#REF!</v>
      </c>
      <c r="P199" s="870" t="e">
        <f>MAX(0,IF($AK$5=$C$9,P$9-DPR!#REF!,IF($AK$5=$C$10,P$10-DPR!#REF!,IF($AK$5=$C$11,P$11-DPR!#REF!))))</f>
        <v>#REF!</v>
      </c>
      <c r="Q199" s="870">
        <v>108</v>
      </c>
      <c r="R199" s="919" t="e">
        <f t="shared" si="10"/>
        <v>#REF!</v>
      </c>
      <c r="S199" s="878"/>
      <c r="T199" s="878"/>
      <c r="U199" s="878"/>
      <c r="V199" s="878"/>
      <c r="W199" s="878"/>
      <c r="X199" s="878"/>
      <c r="Y199" s="878"/>
      <c r="Z199" s="878"/>
      <c r="AA199" s="878"/>
      <c r="AB199" s="878"/>
      <c r="AC199" s="878"/>
      <c r="AD199" s="878"/>
      <c r="AE199" s="878"/>
      <c r="AF199" s="847"/>
      <c r="AG199" s="920">
        <f t="shared" si="11"/>
        <v>0</v>
      </c>
      <c r="AH199" s="888">
        <f t="shared" si="12"/>
        <v>202510</v>
      </c>
      <c r="AI199" t="e">
        <f>DPR!#REF!</f>
        <v>#REF!</v>
      </c>
    </row>
    <row r="200" spans="3:35" ht="15.75">
      <c r="C200" s="918">
        <v>45936</v>
      </c>
      <c r="D200" s="870" t="e">
        <f>MAX(0,IF($AK$5=$C$9,D$9-DPR!#REF!,IF($AK$5=$C$10,D$10-DPR!#REF!,IF($AK$5=$C$11,D$11-DPR!#REF!))))</f>
        <v>#REF!</v>
      </c>
      <c r="E200" s="870" t="e">
        <f>MAX(0,IF($AK$5=$C$9,E$9-DPR!#REF!,IF($AK$5=$C$10,E$10-DPR!#REF!,IF($AK$5=$C$11,E$11-DPR!#REF!))))</f>
        <v>#REF!</v>
      </c>
      <c r="F200" s="870" t="e">
        <f>MAX(0,IF($AK$5=$C$9,F$9-DPR!#REF!,IF($AK$5=$C$10,F$10-DPR!#REF!,IF($AK$5=$C$11,F$11-DPR!#REF!))))</f>
        <v>#REF!</v>
      </c>
      <c r="G200" s="870" t="e">
        <f>MAX(0,IF($AK$5=$C$9,G$9-DPR!#REF!,IF($AK$5=$C$10,G$10-DPR!#REF!,IF($AK$5=$C$11,G$11-DPR!#REF!))))</f>
        <v>#REF!</v>
      </c>
      <c r="H200" s="870" t="e">
        <f>MAX(0,IF($AK$5=$C$9,H$9-DPR!#REF!,IF($AK$5=$C$10,H$10-DPR!#REF!,IF($AK$5=$C$11,H$11-DPR!#REF!))))</f>
        <v>#REF!</v>
      </c>
      <c r="I200" s="870" t="e">
        <f>MAX(0,IF($AK$5=$C$9,I$9-DPR!#REF!,IF($AK$5=$C$10,I$10-DPR!#REF!,IF($AK$5=$C$11,I$11-DPR!#REF!))))</f>
        <v>#REF!</v>
      </c>
      <c r="J200" s="870" t="e">
        <f>MAX(0,IF($AK$5=$C$9,J$9-DPR!#REF!,IF($AK$5=$C$10,J$10-DPR!#REF!,IF($AK$5=$C$11,J$11-DPR!#REF!))))</f>
        <v>#REF!</v>
      </c>
      <c r="K200" s="870" t="e">
        <f>MAX(0,IF($AK$5=$C$9,K$9-DPR!#REF!,IF($AK$5=$C$10,K$10-DPR!#REF!,IF($AK$5=$C$11,K$11-DPR!#REF!))))</f>
        <v>#REF!</v>
      </c>
      <c r="L200" s="870" t="e">
        <f>MAX(0,IF($AK$5=$C$9,L$9-DPR!#REF!,IF($AK$5=$C$10,L$10-DPR!#REF!,IF($AK$5=$C$11,L$11-DPR!#REF!))))</f>
        <v>#REF!</v>
      </c>
      <c r="M200" s="870" t="e">
        <f>MAX(0,IF($AK$5=$C$9,M$9-DPR!#REF!,IF($AK$5=$C$10,M$10-DPR!#REF!,IF($AK$5=$C$11,M$11-DPR!#REF!))))</f>
        <v>#REF!</v>
      </c>
      <c r="N200" s="870" t="e">
        <f>MAX(0,IF($AK$5=$C$9,N$9-DPR!#REF!,IF($AK$5=$C$10,N$10-DPR!#REF!,IF($AK$5=$C$11,N$11-DPR!#REF!))))</f>
        <v>#REF!</v>
      </c>
      <c r="O200" s="870" t="e">
        <f>MAX(0,IF($AK$5=$C$9,O$9-DPR!#REF!,IF($AK$5=$C$10,O$10-DPR!#REF!,IF($AK$5=$C$11,O$11-DPR!#REF!))))</f>
        <v>#REF!</v>
      </c>
      <c r="P200" s="870" t="e">
        <f>MAX(0,IF($AK$5=$C$9,P$9-DPR!#REF!,IF($AK$5=$C$10,P$10-DPR!#REF!,IF($AK$5=$C$11,P$11-DPR!#REF!))))</f>
        <v>#REF!</v>
      </c>
      <c r="Q200" s="870">
        <v>109</v>
      </c>
      <c r="R200" s="919" t="e">
        <f t="shared" si="10"/>
        <v>#REF!</v>
      </c>
      <c r="S200" s="878"/>
      <c r="T200" s="878"/>
      <c r="U200" s="878"/>
      <c r="V200" s="878"/>
      <c r="W200" s="878"/>
      <c r="X200" s="878"/>
      <c r="Y200" s="878"/>
      <c r="Z200" s="878"/>
      <c r="AA200" s="878"/>
      <c r="AB200" s="878"/>
      <c r="AC200" s="878"/>
      <c r="AD200" s="878"/>
      <c r="AE200" s="878"/>
      <c r="AF200" s="847"/>
      <c r="AG200" s="920">
        <f t="shared" si="11"/>
        <v>0</v>
      </c>
      <c r="AH200" s="888">
        <f t="shared" si="12"/>
        <v>202510</v>
      </c>
      <c r="AI200" t="e">
        <f>DPR!#REF!</f>
        <v>#REF!</v>
      </c>
    </row>
    <row r="201" spans="3:35" ht="15.75">
      <c r="C201" s="918">
        <v>45937</v>
      </c>
      <c r="D201" s="870" t="e">
        <f>MAX(0,IF($AK$5=$C$9,D$9-DPR!#REF!,IF($AK$5=$C$10,D$10-DPR!#REF!,IF($AK$5=$C$11,D$11-DPR!#REF!))))</f>
        <v>#REF!</v>
      </c>
      <c r="E201" s="870" t="e">
        <f>MAX(0,IF($AK$5=$C$9,E$9-DPR!#REF!,IF($AK$5=$C$10,E$10-DPR!#REF!,IF($AK$5=$C$11,E$11-DPR!#REF!))))</f>
        <v>#REF!</v>
      </c>
      <c r="F201" s="870" t="e">
        <f>MAX(0,IF($AK$5=$C$9,F$9-DPR!#REF!,IF($AK$5=$C$10,F$10-DPR!#REF!,IF($AK$5=$C$11,F$11-DPR!#REF!))))</f>
        <v>#REF!</v>
      </c>
      <c r="G201" s="870" t="e">
        <f>MAX(0,IF($AK$5=$C$9,G$9-DPR!#REF!,IF($AK$5=$C$10,G$10-DPR!#REF!,IF($AK$5=$C$11,G$11-DPR!#REF!))))</f>
        <v>#REF!</v>
      </c>
      <c r="H201" s="870" t="e">
        <f>MAX(0,IF($AK$5=$C$9,H$9-DPR!#REF!,IF($AK$5=$C$10,H$10-DPR!#REF!,IF($AK$5=$C$11,H$11-DPR!#REF!))))</f>
        <v>#REF!</v>
      </c>
      <c r="I201" s="870" t="e">
        <f>MAX(0,IF($AK$5=$C$9,I$9-DPR!#REF!,IF($AK$5=$C$10,I$10-DPR!#REF!,IF($AK$5=$C$11,I$11-DPR!#REF!))))</f>
        <v>#REF!</v>
      </c>
      <c r="J201" s="870" t="e">
        <f>MAX(0,IF($AK$5=$C$9,J$9-DPR!#REF!,IF($AK$5=$C$10,J$10-DPR!#REF!,IF($AK$5=$C$11,J$11-DPR!#REF!))))</f>
        <v>#REF!</v>
      </c>
      <c r="K201" s="870" t="e">
        <f>MAX(0,IF($AK$5=$C$9,K$9-DPR!#REF!,IF($AK$5=$C$10,K$10-DPR!#REF!,IF($AK$5=$C$11,K$11-DPR!#REF!))))</f>
        <v>#REF!</v>
      </c>
      <c r="L201" s="870" t="e">
        <f>MAX(0,IF($AK$5=$C$9,L$9-DPR!#REF!,IF($AK$5=$C$10,L$10-DPR!#REF!,IF($AK$5=$C$11,L$11-DPR!#REF!))))</f>
        <v>#REF!</v>
      </c>
      <c r="M201" s="870" t="e">
        <f>MAX(0,IF($AK$5=$C$9,M$9-DPR!#REF!,IF($AK$5=$C$10,M$10-DPR!#REF!,IF($AK$5=$C$11,M$11-DPR!#REF!))))</f>
        <v>#REF!</v>
      </c>
      <c r="N201" s="870" t="e">
        <f>MAX(0,IF($AK$5=$C$9,N$9-DPR!#REF!,IF($AK$5=$C$10,N$10-DPR!#REF!,IF($AK$5=$C$11,N$11-DPR!#REF!))))</f>
        <v>#REF!</v>
      </c>
      <c r="O201" s="870" t="e">
        <f>MAX(0,IF($AK$5=$C$9,O$9-DPR!#REF!,IF($AK$5=$C$10,O$10-DPR!#REF!,IF($AK$5=$C$11,O$11-DPR!#REF!))))</f>
        <v>#REF!</v>
      </c>
      <c r="P201" s="870" t="e">
        <f>MAX(0,IF($AK$5=$C$9,P$9-DPR!#REF!,IF($AK$5=$C$10,P$10-DPR!#REF!,IF($AK$5=$C$11,P$11-DPR!#REF!))))</f>
        <v>#REF!</v>
      </c>
      <c r="Q201" s="870">
        <v>110</v>
      </c>
      <c r="R201" s="919" t="e">
        <f t="shared" si="10"/>
        <v>#REF!</v>
      </c>
      <c r="S201" s="878"/>
      <c r="T201" s="878"/>
      <c r="U201" s="878"/>
      <c r="V201" s="878"/>
      <c r="W201" s="878"/>
      <c r="X201" s="878"/>
      <c r="Y201" s="878"/>
      <c r="Z201" s="878"/>
      <c r="AA201" s="878"/>
      <c r="AB201" s="878"/>
      <c r="AC201" s="878"/>
      <c r="AD201" s="878"/>
      <c r="AE201" s="878"/>
      <c r="AF201" s="847"/>
      <c r="AG201" s="920">
        <f t="shared" si="11"/>
        <v>0</v>
      </c>
      <c r="AH201" s="888">
        <f t="shared" si="12"/>
        <v>202510</v>
      </c>
      <c r="AI201" t="e">
        <f>DPR!#REF!</f>
        <v>#REF!</v>
      </c>
    </row>
    <row r="202" spans="3:35" ht="15.75">
      <c r="C202" s="918">
        <v>45938</v>
      </c>
      <c r="D202" s="870" t="e">
        <f>MAX(0,IF($AK$5=$C$9,D$9-DPR!#REF!,IF($AK$5=$C$10,D$10-DPR!#REF!,IF($AK$5=$C$11,D$11-DPR!#REF!))))</f>
        <v>#REF!</v>
      </c>
      <c r="E202" s="870" t="e">
        <f>MAX(0,IF($AK$5=$C$9,E$9-DPR!#REF!,IF($AK$5=$C$10,E$10-DPR!#REF!,IF($AK$5=$C$11,E$11-DPR!#REF!))))</f>
        <v>#REF!</v>
      </c>
      <c r="F202" s="870" t="e">
        <f>MAX(0,IF($AK$5=$C$9,F$9-DPR!#REF!,IF($AK$5=$C$10,F$10-DPR!#REF!,IF($AK$5=$C$11,F$11-DPR!#REF!))))</f>
        <v>#REF!</v>
      </c>
      <c r="G202" s="870" t="e">
        <f>MAX(0,IF($AK$5=$C$9,G$9-DPR!#REF!,IF($AK$5=$C$10,G$10-DPR!#REF!,IF($AK$5=$C$11,G$11-DPR!#REF!))))</f>
        <v>#REF!</v>
      </c>
      <c r="H202" s="870" t="e">
        <f>MAX(0,IF($AK$5=$C$9,H$9-DPR!#REF!,IF($AK$5=$C$10,H$10-DPR!#REF!,IF($AK$5=$C$11,H$11-DPR!#REF!))))</f>
        <v>#REF!</v>
      </c>
      <c r="I202" s="870" t="e">
        <f>MAX(0,IF($AK$5=$C$9,I$9-DPR!#REF!,IF($AK$5=$C$10,I$10-DPR!#REF!,IF($AK$5=$C$11,I$11-DPR!#REF!))))</f>
        <v>#REF!</v>
      </c>
      <c r="J202" s="870" t="e">
        <f>MAX(0,IF($AK$5=$C$9,J$9-DPR!#REF!,IF($AK$5=$C$10,J$10-DPR!#REF!,IF($AK$5=$C$11,J$11-DPR!#REF!))))</f>
        <v>#REF!</v>
      </c>
      <c r="K202" s="870" t="e">
        <f>MAX(0,IF($AK$5=$C$9,K$9-DPR!#REF!,IF($AK$5=$C$10,K$10-DPR!#REF!,IF($AK$5=$C$11,K$11-DPR!#REF!))))</f>
        <v>#REF!</v>
      </c>
      <c r="L202" s="870" t="e">
        <f>MAX(0,IF($AK$5=$C$9,L$9-DPR!#REF!,IF($AK$5=$C$10,L$10-DPR!#REF!,IF($AK$5=$C$11,L$11-DPR!#REF!))))</f>
        <v>#REF!</v>
      </c>
      <c r="M202" s="870" t="e">
        <f>MAX(0,IF($AK$5=$C$9,M$9-DPR!#REF!,IF($AK$5=$C$10,M$10-DPR!#REF!,IF($AK$5=$C$11,M$11-DPR!#REF!))))</f>
        <v>#REF!</v>
      </c>
      <c r="N202" s="870" t="e">
        <f>MAX(0,IF($AK$5=$C$9,N$9-DPR!#REF!,IF($AK$5=$C$10,N$10-DPR!#REF!,IF($AK$5=$C$11,N$11-DPR!#REF!))))</f>
        <v>#REF!</v>
      </c>
      <c r="O202" s="870" t="e">
        <f>MAX(0,IF($AK$5=$C$9,O$9-DPR!#REF!,IF($AK$5=$C$10,O$10-DPR!#REF!,IF($AK$5=$C$11,O$11-DPR!#REF!))))</f>
        <v>#REF!</v>
      </c>
      <c r="P202" s="870" t="e">
        <f>MAX(0,IF($AK$5=$C$9,P$9-DPR!#REF!,IF($AK$5=$C$10,P$10-DPR!#REF!,IF($AK$5=$C$11,P$11-DPR!#REF!))))</f>
        <v>#REF!</v>
      </c>
      <c r="Q202" s="870">
        <v>111</v>
      </c>
      <c r="R202" s="919" t="e">
        <f t="shared" si="10"/>
        <v>#REF!</v>
      </c>
      <c r="S202" s="878"/>
      <c r="T202" s="878"/>
      <c r="U202" s="878"/>
      <c r="V202" s="878"/>
      <c r="W202" s="878"/>
      <c r="X202" s="878"/>
      <c r="Y202" s="878"/>
      <c r="Z202" s="878"/>
      <c r="AA202" s="878"/>
      <c r="AB202" s="878"/>
      <c r="AC202" s="878"/>
      <c r="AD202" s="878"/>
      <c r="AE202" s="878"/>
      <c r="AF202" s="847"/>
      <c r="AG202" s="920">
        <f t="shared" si="11"/>
        <v>0</v>
      </c>
      <c r="AH202" s="888">
        <f t="shared" si="12"/>
        <v>202510</v>
      </c>
      <c r="AI202" t="e">
        <f>DPR!#REF!</f>
        <v>#REF!</v>
      </c>
    </row>
    <row r="203" spans="3:35" ht="15.75">
      <c r="C203" s="918">
        <v>45939</v>
      </c>
      <c r="D203" s="870" t="e">
        <f>MAX(0,IF($AK$5=$C$9,D$9-DPR!#REF!,IF($AK$5=$C$10,D$10-DPR!#REF!,IF($AK$5=$C$11,D$11-DPR!#REF!))))</f>
        <v>#REF!</v>
      </c>
      <c r="E203" s="870" t="e">
        <f>MAX(0,IF($AK$5=$C$9,E$9-DPR!#REF!,IF($AK$5=$C$10,E$10-DPR!#REF!,IF($AK$5=$C$11,E$11-DPR!#REF!))))</f>
        <v>#REF!</v>
      </c>
      <c r="F203" s="870" t="e">
        <f>MAX(0,IF($AK$5=$C$9,F$9-DPR!#REF!,IF($AK$5=$C$10,F$10-DPR!#REF!,IF($AK$5=$C$11,F$11-DPR!#REF!))))</f>
        <v>#REF!</v>
      </c>
      <c r="G203" s="870" t="e">
        <f>MAX(0,IF($AK$5=$C$9,G$9-DPR!#REF!,IF($AK$5=$C$10,G$10-DPR!#REF!,IF($AK$5=$C$11,G$11-DPR!#REF!))))</f>
        <v>#REF!</v>
      </c>
      <c r="H203" s="870" t="e">
        <f>MAX(0,IF($AK$5=$C$9,H$9-DPR!#REF!,IF($AK$5=$C$10,H$10-DPR!#REF!,IF($AK$5=$C$11,H$11-DPR!#REF!))))</f>
        <v>#REF!</v>
      </c>
      <c r="I203" s="870" t="e">
        <f>MAX(0,IF($AK$5=$C$9,I$9-DPR!#REF!,IF($AK$5=$C$10,I$10-DPR!#REF!,IF($AK$5=$C$11,I$11-DPR!#REF!))))</f>
        <v>#REF!</v>
      </c>
      <c r="J203" s="870" t="e">
        <f>MAX(0,IF($AK$5=$C$9,J$9-DPR!#REF!,IF($AK$5=$C$10,J$10-DPR!#REF!,IF($AK$5=$C$11,J$11-DPR!#REF!))))</f>
        <v>#REF!</v>
      </c>
      <c r="K203" s="870" t="e">
        <f>MAX(0,IF($AK$5=$C$9,K$9-DPR!#REF!,IF($AK$5=$C$10,K$10-DPR!#REF!,IF($AK$5=$C$11,K$11-DPR!#REF!))))</f>
        <v>#REF!</v>
      </c>
      <c r="L203" s="870" t="e">
        <f>MAX(0,IF($AK$5=$C$9,L$9-DPR!#REF!,IF($AK$5=$C$10,L$10-DPR!#REF!,IF($AK$5=$C$11,L$11-DPR!#REF!))))</f>
        <v>#REF!</v>
      </c>
      <c r="M203" s="870" t="e">
        <f>MAX(0,IF($AK$5=$C$9,M$9-DPR!#REF!,IF($AK$5=$C$10,M$10-DPR!#REF!,IF($AK$5=$C$11,M$11-DPR!#REF!))))</f>
        <v>#REF!</v>
      </c>
      <c r="N203" s="870" t="e">
        <f>MAX(0,IF($AK$5=$C$9,N$9-DPR!#REF!,IF($AK$5=$C$10,N$10-DPR!#REF!,IF($AK$5=$C$11,N$11-DPR!#REF!))))</f>
        <v>#REF!</v>
      </c>
      <c r="O203" s="870" t="e">
        <f>MAX(0,IF($AK$5=$C$9,O$9-DPR!#REF!,IF($AK$5=$C$10,O$10-DPR!#REF!,IF($AK$5=$C$11,O$11-DPR!#REF!))))</f>
        <v>#REF!</v>
      </c>
      <c r="P203" s="870" t="e">
        <f>MAX(0,IF($AK$5=$C$9,P$9-DPR!#REF!,IF($AK$5=$C$10,P$10-DPR!#REF!,IF($AK$5=$C$11,P$11-DPR!#REF!))))</f>
        <v>#REF!</v>
      </c>
      <c r="Q203" s="870">
        <v>112</v>
      </c>
      <c r="R203" s="919" t="e">
        <f t="shared" si="10"/>
        <v>#REF!</v>
      </c>
      <c r="S203" s="878"/>
      <c r="T203" s="878"/>
      <c r="U203" s="878"/>
      <c r="V203" s="878"/>
      <c r="W203" s="878"/>
      <c r="X203" s="878"/>
      <c r="Y203" s="878"/>
      <c r="Z203" s="878"/>
      <c r="AA203" s="878"/>
      <c r="AB203" s="878"/>
      <c r="AC203" s="878"/>
      <c r="AD203" s="878"/>
      <c r="AE203" s="878"/>
      <c r="AF203" s="847"/>
      <c r="AG203" s="920">
        <f t="shared" si="11"/>
        <v>0</v>
      </c>
      <c r="AH203" s="888">
        <f t="shared" si="12"/>
        <v>202510</v>
      </c>
      <c r="AI203" t="e">
        <f>DPR!#REF!</f>
        <v>#REF!</v>
      </c>
    </row>
    <row r="204" spans="3:35" ht="15.75">
      <c r="C204" s="918">
        <v>45940</v>
      </c>
      <c r="D204" s="870" t="e">
        <f>MAX(0,IF($AK$5=$C$9,D$9-DPR!#REF!,IF($AK$5=$C$10,D$10-DPR!#REF!,IF($AK$5=$C$11,D$11-DPR!#REF!))))</f>
        <v>#REF!</v>
      </c>
      <c r="E204" s="870" t="e">
        <f>MAX(0,IF($AK$5=$C$9,E$9-DPR!#REF!,IF($AK$5=$C$10,E$10-DPR!#REF!,IF($AK$5=$C$11,E$11-DPR!#REF!))))</f>
        <v>#REF!</v>
      </c>
      <c r="F204" s="870" t="e">
        <f>MAX(0,IF($AK$5=$C$9,F$9-DPR!#REF!,IF($AK$5=$C$10,F$10-DPR!#REF!,IF($AK$5=$C$11,F$11-DPR!#REF!))))</f>
        <v>#REF!</v>
      </c>
      <c r="G204" s="870" t="e">
        <f>MAX(0,IF($AK$5=$C$9,G$9-DPR!#REF!,IF($AK$5=$C$10,G$10-DPR!#REF!,IF($AK$5=$C$11,G$11-DPR!#REF!))))</f>
        <v>#REF!</v>
      </c>
      <c r="H204" s="870" t="e">
        <f>MAX(0,IF($AK$5=$C$9,H$9-DPR!#REF!,IF($AK$5=$C$10,H$10-DPR!#REF!,IF($AK$5=$C$11,H$11-DPR!#REF!))))</f>
        <v>#REF!</v>
      </c>
      <c r="I204" s="870" t="e">
        <f>MAX(0,IF($AK$5=$C$9,I$9-DPR!#REF!,IF($AK$5=$C$10,I$10-DPR!#REF!,IF($AK$5=$C$11,I$11-DPR!#REF!))))</f>
        <v>#REF!</v>
      </c>
      <c r="J204" s="870" t="e">
        <f>MAX(0,IF($AK$5=$C$9,J$9-DPR!#REF!,IF($AK$5=$C$10,J$10-DPR!#REF!,IF($AK$5=$C$11,J$11-DPR!#REF!))))</f>
        <v>#REF!</v>
      </c>
      <c r="K204" s="870" t="e">
        <f>MAX(0,IF($AK$5=$C$9,K$9-DPR!#REF!,IF($AK$5=$C$10,K$10-DPR!#REF!,IF($AK$5=$C$11,K$11-DPR!#REF!))))</f>
        <v>#REF!</v>
      </c>
      <c r="L204" s="870" t="e">
        <f>MAX(0,IF($AK$5=$C$9,L$9-DPR!#REF!,IF($AK$5=$C$10,L$10-DPR!#REF!,IF($AK$5=$C$11,L$11-DPR!#REF!))))</f>
        <v>#REF!</v>
      </c>
      <c r="M204" s="870" t="e">
        <f>MAX(0,IF($AK$5=$C$9,M$9-DPR!#REF!,IF($AK$5=$C$10,M$10-DPR!#REF!,IF($AK$5=$C$11,M$11-DPR!#REF!))))</f>
        <v>#REF!</v>
      </c>
      <c r="N204" s="870" t="e">
        <f>MAX(0,IF($AK$5=$C$9,N$9-DPR!#REF!,IF($AK$5=$C$10,N$10-DPR!#REF!,IF($AK$5=$C$11,N$11-DPR!#REF!))))</f>
        <v>#REF!</v>
      </c>
      <c r="O204" s="870" t="e">
        <f>MAX(0,IF($AK$5=$C$9,O$9-DPR!#REF!,IF($AK$5=$C$10,O$10-DPR!#REF!,IF($AK$5=$C$11,O$11-DPR!#REF!))))</f>
        <v>#REF!</v>
      </c>
      <c r="P204" s="870" t="e">
        <f>MAX(0,IF($AK$5=$C$9,P$9-DPR!#REF!,IF($AK$5=$C$10,P$10-DPR!#REF!,IF($AK$5=$C$11,P$11-DPR!#REF!))))</f>
        <v>#REF!</v>
      </c>
      <c r="Q204" s="870">
        <v>113</v>
      </c>
      <c r="R204" s="919" t="e">
        <f t="shared" si="10"/>
        <v>#REF!</v>
      </c>
      <c r="S204" s="878"/>
      <c r="T204" s="878"/>
      <c r="U204" s="878"/>
      <c r="V204" s="878"/>
      <c r="W204" s="878"/>
      <c r="X204" s="878"/>
      <c r="Y204" s="878"/>
      <c r="Z204" s="878"/>
      <c r="AA204" s="878"/>
      <c r="AB204" s="878"/>
      <c r="AC204" s="878"/>
      <c r="AD204" s="878"/>
      <c r="AE204" s="878"/>
      <c r="AF204" s="847"/>
      <c r="AG204" s="920">
        <f t="shared" si="11"/>
        <v>0</v>
      </c>
      <c r="AH204" s="888">
        <f t="shared" si="12"/>
        <v>202510</v>
      </c>
      <c r="AI204" t="e">
        <f>DPR!#REF!</f>
        <v>#REF!</v>
      </c>
    </row>
    <row r="205" spans="3:35" ht="15.75">
      <c r="C205" s="918">
        <v>45941</v>
      </c>
      <c r="D205" s="870" t="e">
        <f>MAX(0,IF($AK$5=$C$9,D$9-DPR!#REF!,IF($AK$5=$C$10,D$10-DPR!#REF!,IF($AK$5=$C$11,D$11-DPR!#REF!))))</f>
        <v>#REF!</v>
      </c>
      <c r="E205" s="870" t="e">
        <f>MAX(0,IF($AK$5=$C$9,E$9-DPR!#REF!,IF($AK$5=$C$10,E$10-DPR!#REF!,IF($AK$5=$C$11,E$11-DPR!#REF!))))</f>
        <v>#REF!</v>
      </c>
      <c r="F205" s="870" t="e">
        <f>MAX(0,IF($AK$5=$C$9,F$9-DPR!#REF!,IF($AK$5=$C$10,F$10-DPR!#REF!,IF($AK$5=$C$11,F$11-DPR!#REF!))))</f>
        <v>#REF!</v>
      </c>
      <c r="G205" s="870" t="e">
        <f>MAX(0,IF($AK$5=$C$9,G$9-DPR!#REF!,IF($AK$5=$C$10,G$10-DPR!#REF!,IF($AK$5=$C$11,G$11-DPR!#REF!))))</f>
        <v>#REF!</v>
      </c>
      <c r="H205" s="870" t="e">
        <f>MAX(0,IF($AK$5=$C$9,H$9-DPR!#REF!,IF($AK$5=$C$10,H$10-DPR!#REF!,IF($AK$5=$C$11,H$11-DPR!#REF!))))</f>
        <v>#REF!</v>
      </c>
      <c r="I205" s="870" t="e">
        <f>MAX(0,IF($AK$5=$C$9,I$9-DPR!#REF!,IF($AK$5=$C$10,I$10-DPR!#REF!,IF($AK$5=$C$11,I$11-DPR!#REF!))))</f>
        <v>#REF!</v>
      </c>
      <c r="J205" s="870" t="e">
        <f>MAX(0,IF($AK$5=$C$9,J$9-DPR!#REF!,IF($AK$5=$C$10,J$10-DPR!#REF!,IF($AK$5=$C$11,J$11-DPR!#REF!))))</f>
        <v>#REF!</v>
      </c>
      <c r="K205" s="870" t="e">
        <f>MAX(0,IF($AK$5=$C$9,K$9-DPR!#REF!,IF($AK$5=$C$10,K$10-DPR!#REF!,IF($AK$5=$C$11,K$11-DPR!#REF!))))</f>
        <v>#REF!</v>
      </c>
      <c r="L205" s="870" t="e">
        <f>MAX(0,IF($AK$5=$C$9,L$9-DPR!#REF!,IF($AK$5=$C$10,L$10-DPR!#REF!,IF($AK$5=$C$11,L$11-DPR!#REF!))))</f>
        <v>#REF!</v>
      </c>
      <c r="M205" s="870" t="e">
        <f>MAX(0,IF($AK$5=$C$9,M$9-DPR!#REF!,IF($AK$5=$C$10,M$10-DPR!#REF!,IF($AK$5=$C$11,M$11-DPR!#REF!))))</f>
        <v>#REF!</v>
      </c>
      <c r="N205" s="870" t="e">
        <f>MAX(0,IF($AK$5=$C$9,N$9-DPR!#REF!,IF($AK$5=$C$10,N$10-DPR!#REF!,IF($AK$5=$C$11,N$11-DPR!#REF!))))</f>
        <v>#REF!</v>
      </c>
      <c r="O205" s="870" t="e">
        <f>MAX(0,IF($AK$5=$C$9,O$9-DPR!#REF!,IF($AK$5=$C$10,O$10-DPR!#REF!,IF($AK$5=$C$11,O$11-DPR!#REF!))))</f>
        <v>#REF!</v>
      </c>
      <c r="P205" s="870" t="e">
        <f>MAX(0,IF($AK$5=$C$9,P$9-DPR!#REF!,IF($AK$5=$C$10,P$10-DPR!#REF!,IF($AK$5=$C$11,P$11-DPR!#REF!))))</f>
        <v>#REF!</v>
      </c>
      <c r="Q205" s="870">
        <v>114</v>
      </c>
      <c r="R205" s="919" t="e">
        <f t="shared" si="10"/>
        <v>#REF!</v>
      </c>
      <c r="S205" s="878"/>
      <c r="T205" s="878"/>
      <c r="U205" s="878"/>
      <c r="V205" s="878"/>
      <c r="W205" s="878"/>
      <c r="X205" s="878"/>
      <c r="Y205" s="878"/>
      <c r="Z205" s="878"/>
      <c r="AA205" s="878"/>
      <c r="AB205" s="878"/>
      <c r="AC205" s="878"/>
      <c r="AD205" s="878"/>
      <c r="AE205" s="878"/>
      <c r="AF205" s="847"/>
      <c r="AG205" s="920">
        <f t="shared" si="11"/>
        <v>0</v>
      </c>
      <c r="AH205" s="888">
        <f t="shared" si="12"/>
        <v>202510</v>
      </c>
      <c r="AI205" t="e">
        <f>DPR!#REF!</f>
        <v>#REF!</v>
      </c>
    </row>
    <row r="206" spans="3:35" ht="15.75">
      <c r="C206" s="918">
        <v>45942</v>
      </c>
      <c r="D206" s="870" t="e">
        <f>MAX(0,IF($AK$5=$C$9,D$9-DPR!#REF!,IF($AK$5=$C$10,D$10-DPR!#REF!,IF($AK$5=$C$11,D$11-DPR!#REF!))))</f>
        <v>#REF!</v>
      </c>
      <c r="E206" s="870" t="e">
        <f>MAX(0,IF($AK$5=$C$9,E$9-DPR!#REF!,IF($AK$5=$C$10,E$10-DPR!#REF!,IF($AK$5=$C$11,E$11-DPR!#REF!))))</f>
        <v>#REF!</v>
      </c>
      <c r="F206" s="870" t="e">
        <f>MAX(0,IF($AK$5=$C$9,F$9-DPR!#REF!,IF($AK$5=$C$10,F$10-DPR!#REF!,IF($AK$5=$C$11,F$11-DPR!#REF!))))</f>
        <v>#REF!</v>
      </c>
      <c r="G206" s="870" t="e">
        <f>MAX(0,IF($AK$5=$C$9,G$9-DPR!#REF!,IF($AK$5=$C$10,G$10-DPR!#REF!,IF($AK$5=$C$11,G$11-DPR!#REF!))))</f>
        <v>#REF!</v>
      </c>
      <c r="H206" s="870" t="e">
        <f>MAX(0,IF($AK$5=$C$9,H$9-DPR!#REF!,IF($AK$5=$C$10,H$10-DPR!#REF!,IF($AK$5=$C$11,H$11-DPR!#REF!))))</f>
        <v>#REF!</v>
      </c>
      <c r="I206" s="870" t="e">
        <f>MAX(0,IF($AK$5=$C$9,I$9-DPR!#REF!,IF($AK$5=$C$10,I$10-DPR!#REF!,IF($AK$5=$C$11,I$11-DPR!#REF!))))</f>
        <v>#REF!</v>
      </c>
      <c r="J206" s="870" t="e">
        <f>MAX(0,IF($AK$5=$C$9,J$9-DPR!#REF!,IF($AK$5=$C$10,J$10-DPR!#REF!,IF($AK$5=$C$11,J$11-DPR!#REF!))))</f>
        <v>#REF!</v>
      </c>
      <c r="K206" s="870" t="e">
        <f>MAX(0,IF($AK$5=$C$9,K$9-DPR!#REF!,IF($AK$5=$C$10,K$10-DPR!#REF!,IF($AK$5=$C$11,K$11-DPR!#REF!))))</f>
        <v>#REF!</v>
      </c>
      <c r="L206" s="870" t="e">
        <f>MAX(0,IF($AK$5=$C$9,L$9-DPR!#REF!,IF($AK$5=$C$10,L$10-DPR!#REF!,IF($AK$5=$C$11,L$11-DPR!#REF!))))</f>
        <v>#REF!</v>
      </c>
      <c r="M206" s="870" t="e">
        <f>MAX(0,IF($AK$5=$C$9,M$9-DPR!#REF!,IF($AK$5=$C$10,M$10-DPR!#REF!,IF($AK$5=$C$11,M$11-DPR!#REF!))))</f>
        <v>#REF!</v>
      </c>
      <c r="N206" s="870" t="e">
        <f>MAX(0,IF($AK$5=$C$9,N$9-DPR!#REF!,IF($AK$5=$C$10,N$10-DPR!#REF!,IF($AK$5=$C$11,N$11-DPR!#REF!))))</f>
        <v>#REF!</v>
      </c>
      <c r="O206" s="870" t="e">
        <f>MAX(0,IF($AK$5=$C$9,O$9-DPR!#REF!,IF($AK$5=$C$10,O$10-DPR!#REF!,IF($AK$5=$C$11,O$11-DPR!#REF!))))</f>
        <v>#REF!</v>
      </c>
      <c r="P206" s="870" t="e">
        <f>MAX(0,IF($AK$5=$C$9,P$9-DPR!#REF!,IF($AK$5=$C$10,P$10-DPR!#REF!,IF($AK$5=$C$11,P$11-DPR!#REF!))))</f>
        <v>#REF!</v>
      </c>
      <c r="Q206" s="870">
        <v>115</v>
      </c>
      <c r="R206" s="919" t="e">
        <f t="shared" si="10"/>
        <v>#REF!</v>
      </c>
      <c r="S206" s="878"/>
      <c r="T206" s="878"/>
      <c r="U206" s="878"/>
      <c r="V206" s="878"/>
      <c r="W206" s="878"/>
      <c r="X206" s="878"/>
      <c r="Y206" s="878"/>
      <c r="Z206" s="878"/>
      <c r="AA206" s="878"/>
      <c r="AB206" s="878"/>
      <c r="AC206" s="878"/>
      <c r="AD206" s="878"/>
      <c r="AE206" s="878"/>
      <c r="AF206" s="847"/>
      <c r="AG206" s="920">
        <f t="shared" si="11"/>
        <v>0</v>
      </c>
      <c r="AH206" s="888">
        <f t="shared" si="12"/>
        <v>202510</v>
      </c>
      <c r="AI206" t="e">
        <f>DPR!#REF!</f>
        <v>#REF!</v>
      </c>
    </row>
    <row r="207" spans="3:35" ht="15.75">
      <c r="C207" s="918">
        <v>45943</v>
      </c>
      <c r="D207" s="870" t="e">
        <f>MAX(0,IF($AK$5=$C$9,D$9-DPR!#REF!,IF($AK$5=$C$10,D$10-DPR!#REF!,IF($AK$5=$C$11,D$11-DPR!#REF!))))</f>
        <v>#REF!</v>
      </c>
      <c r="E207" s="870" t="e">
        <f>MAX(0,IF($AK$5=$C$9,E$9-DPR!#REF!,IF($AK$5=$C$10,E$10-DPR!#REF!,IF($AK$5=$C$11,E$11-DPR!#REF!))))</f>
        <v>#REF!</v>
      </c>
      <c r="F207" s="870" t="e">
        <f>MAX(0,IF($AK$5=$C$9,F$9-DPR!#REF!,IF($AK$5=$C$10,F$10-DPR!#REF!,IF($AK$5=$C$11,F$11-DPR!#REF!))))</f>
        <v>#REF!</v>
      </c>
      <c r="G207" s="870" t="e">
        <f>MAX(0,IF($AK$5=$C$9,G$9-DPR!#REF!,IF($AK$5=$C$10,G$10-DPR!#REF!,IF($AK$5=$C$11,G$11-DPR!#REF!))))</f>
        <v>#REF!</v>
      </c>
      <c r="H207" s="870" t="e">
        <f>MAX(0,IF($AK$5=$C$9,H$9-DPR!#REF!,IF($AK$5=$C$10,H$10-DPR!#REF!,IF($AK$5=$C$11,H$11-DPR!#REF!))))</f>
        <v>#REF!</v>
      </c>
      <c r="I207" s="870" t="e">
        <f>MAX(0,IF($AK$5=$C$9,I$9-DPR!#REF!,IF($AK$5=$C$10,I$10-DPR!#REF!,IF($AK$5=$C$11,I$11-DPR!#REF!))))</f>
        <v>#REF!</v>
      </c>
      <c r="J207" s="870" t="e">
        <f>MAX(0,IF($AK$5=$C$9,J$9-DPR!#REF!,IF($AK$5=$C$10,J$10-DPR!#REF!,IF($AK$5=$C$11,J$11-DPR!#REF!))))</f>
        <v>#REF!</v>
      </c>
      <c r="K207" s="870" t="e">
        <f>MAX(0,IF($AK$5=$C$9,K$9-DPR!#REF!,IF($AK$5=$C$10,K$10-DPR!#REF!,IF($AK$5=$C$11,K$11-DPR!#REF!))))</f>
        <v>#REF!</v>
      </c>
      <c r="L207" s="870" t="e">
        <f>MAX(0,IF($AK$5=$C$9,L$9-DPR!#REF!,IF($AK$5=$C$10,L$10-DPR!#REF!,IF($AK$5=$C$11,L$11-DPR!#REF!))))</f>
        <v>#REF!</v>
      </c>
      <c r="M207" s="870" t="e">
        <f>MAX(0,IF($AK$5=$C$9,M$9-DPR!#REF!,IF($AK$5=$C$10,M$10-DPR!#REF!,IF($AK$5=$C$11,M$11-DPR!#REF!))))</f>
        <v>#REF!</v>
      </c>
      <c r="N207" s="870" t="e">
        <f>MAX(0,IF($AK$5=$C$9,N$9-DPR!#REF!,IF($AK$5=$C$10,N$10-DPR!#REF!,IF($AK$5=$C$11,N$11-DPR!#REF!))))</f>
        <v>#REF!</v>
      </c>
      <c r="O207" s="870" t="e">
        <f>MAX(0,IF($AK$5=$C$9,O$9-DPR!#REF!,IF($AK$5=$C$10,O$10-DPR!#REF!,IF($AK$5=$C$11,O$11-DPR!#REF!))))</f>
        <v>#REF!</v>
      </c>
      <c r="P207" s="870" t="e">
        <f>MAX(0,IF($AK$5=$C$9,P$9-DPR!#REF!,IF($AK$5=$C$10,P$10-DPR!#REF!,IF($AK$5=$C$11,P$11-DPR!#REF!))))</f>
        <v>#REF!</v>
      </c>
      <c r="Q207" s="870">
        <v>116</v>
      </c>
      <c r="R207" s="919" t="e">
        <f t="shared" si="10"/>
        <v>#REF!</v>
      </c>
      <c r="S207" s="878"/>
      <c r="T207" s="878"/>
      <c r="U207" s="878"/>
      <c r="V207" s="878"/>
      <c r="W207" s="878"/>
      <c r="X207" s="878"/>
      <c r="Y207" s="878"/>
      <c r="Z207" s="878"/>
      <c r="AA207" s="878"/>
      <c r="AB207" s="878"/>
      <c r="AC207" s="878"/>
      <c r="AD207" s="878"/>
      <c r="AE207" s="878"/>
      <c r="AF207" s="847"/>
      <c r="AG207" s="920">
        <f t="shared" si="11"/>
        <v>0</v>
      </c>
      <c r="AH207" s="888">
        <f t="shared" si="12"/>
        <v>202510</v>
      </c>
      <c r="AI207" t="e">
        <f>DPR!#REF!</f>
        <v>#REF!</v>
      </c>
    </row>
    <row r="208" spans="3:35" ht="15.75">
      <c r="C208" s="918">
        <v>45944</v>
      </c>
      <c r="D208" s="870" t="e">
        <f>MAX(0,IF($AK$5=$C$9,D$9-DPR!#REF!,IF($AK$5=$C$10,D$10-DPR!#REF!,IF($AK$5=$C$11,D$11-DPR!#REF!))))</f>
        <v>#REF!</v>
      </c>
      <c r="E208" s="870" t="e">
        <f>MAX(0,IF($AK$5=$C$9,E$9-DPR!#REF!,IF($AK$5=$C$10,E$10-DPR!#REF!,IF($AK$5=$C$11,E$11-DPR!#REF!))))</f>
        <v>#REF!</v>
      </c>
      <c r="F208" s="870" t="e">
        <f>MAX(0,IF($AK$5=$C$9,F$9-DPR!#REF!,IF($AK$5=$C$10,F$10-DPR!#REF!,IF($AK$5=$C$11,F$11-DPR!#REF!))))</f>
        <v>#REF!</v>
      </c>
      <c r="G208" s="870" t="e">
        <f>MAX(0,IF($AK$5=$C$9,G$9-DPR!#REF!,IF($AK$5=$C$10,G$10-DPR!#REF!,IF($AK$5=$C$11,G$11-DPR!#REF!))))</f>
        <v>#REF!</v>
      </c>
      <c r="H208" s="870" t="e">
        <f>MAX(0,IF($AK$5=$C$9,H$9-DPR!#REF!,IF($AK$5=$C$10,H$10-DPR!#REF!,IF($AK$5=$C$11,H$11-DPR!#REF!))))</f>
        <v>#REF!</v>
      </c>
      <c r="I208" s="870" t="e">
        <f>MAX(0,IF($AK$5=$C$9,I$9-DPR!#REF!,IF($AK$5=$C$10,I$10-DPR!#REF!,IF($AK$5=$C$11,I$11-DPR!#REF!))))</f>
        <v>#REF!</v>
      </c>
      <c r="J208" s="870" t="e">
        <f>MAX(0,IF($AK$5=$C$9,J$9-DPR!#REF!,IF($AK$5=$C$10,J$10-DPR!#REF!,IF($AK$5=$C$11,J$11-DPR!#REF!))))</f>
        <v>#REF!</v>
      </c>
      <c r="K208" s="870" t="e">
        <f>MAX(0,IF($AK$5=$C$9,K$9-DPR!#REF!,IF($AK$5=$C$10,K$10-DPR!#REF!,IF($AK$5=$C$11,K$11-DPR!#REF!))))</f>
        <v>#REF!</v>
      </c>
      <c r="L208" s="870" t="e">
        <f>MAX(0,IF($AK$5=$C$9,L$9-DPR!#REF!,IF($AK$5=$C$10,L$10-DPR!#REF!,IF($AK$5=$C$11,L$11-DPR!#REF!))))</f>
        <v>#REF!</v>
      </c>
      <c r="M208" s="870" t="e">
        <f>MAX(0,IF($AK$5=$C$9,M$9-DPR!#REF!,IF($AK$5=$C$10,M$10-DPR!#REF!,IF($AK$5=$C$11,M$11-DPR!#REF!))))</f>
        <v>#REF!</v>
      </c>
      <c r="N208" s="870" t="e">
        <f>MAX(0,IF($AK$5=$C$9,N$9-DPR!#REF!,IF($AK$5=$C$10,N$10-DPR!#REF!,IF($AK$5=$C$11,N$11-DPR!#REF!))))</f>
        <v>#REF!</v>
      </c>
      <c r="O208" s="870" t="e">
        <f>MAX(0,IF($AK$5=$C$9,O$9-DPR!#REF!,IF($AK$5=$C$10,O$10-DPR!#REF!,IF($AK$5=$C$11,O$11-DPR!#REF!))))</f>
        <v>#REF!</v>
      </c>
      <c r="P208" s="870" t="e">
        <f>MAX(0,IF($AK$5=$C$9,P$9-DPR!#REF!,IF($AK$5=$C$10,P$10-DPR!#REF!,IF($AK$5=$C$11,P$11-DPR!#REF!))))</f>
        <v>#REF!</v>
      </c>
      <c r="Q208" s="870">
        <v>117</v>
      </c>
      <c r="R208" s="919" t="e">
        <f t="shared" si="10"/>
        <v>#REF!</v>
      </c>
      <c r="S208" s="878"/>
      <c r="T208" s="878"/>
      <c r="U208" s="878"/>
      <c r="V208" s="878"/>
      <c r="W208" s="878"/>
      <c r="X208" s="878"/>
      <c r="Y208" s="878"/>
      <c r="Z208" s="878"/>
      <c r="AA208" s="878"/>
      <c r="AB208" s="878"/>
      <c r="AC208" s="878"/>
      <c r="AD208" s="878"/>
      <c r="AE208" s="878"/>
      <c r="AF208" s="847"/>
      <c r="AG208" s="920">
        <f t="shared" si="11"/>
        <v>0</v>
      </c>
      <c r="AH208" s="888">
        <f t="shared" si="12"/>
        <v>202510</v>
      </c>
      <c r="AI208" t="e">
        <f>DPR!#REF!</f>
        <v>#REF!</v>
      </c>
    </row>
    <row r="209" spans="3:35" ht="15.75">
      <c r="C209" s="918">
        <v>45945</v>
      </c>
      <c r="D209" s="870" t="e">
        <f>MAX(0,IF($AK$5=$C$9,D$9-DPR!#REF!,IF($AK$5=$C$10,D$10-DPR!#REF!,IF($AK$5=$C$11,D$11-DPR!#REF!))))</f>
        <v>#REF!</v>
      </c>
      <c r="E209" s="870" t="e">
        <f>MAX(0,IF($AK$5=$C$9,E$9-DPR!#REF!,IF($AK$5=$C$10,E$10-DPR!#REF!,IF($AK$5=$C$11,E$11-DPR!#REF!))))</f>
        <v>#REF!</v>
      </c>
      <c r="F209" s="870" t="e">
        <f>MAX(0,IF($AK$5=$C$9,F$9-DPR!#REF!,IF($AK$5=$C$10,F$10-DPR!#REF!,IF($AK$5=$C$11,F$11-DPR!#REF!))))</f>
        <v>#REF!</v>
      </c>
      <c r="G209" s="870" t="e">
        <f>MAX(0,IF($AK$5=$C$9,G$9-DPR!#REF!,IF($AK$5=$C$10,G$10-DPR!#REF!,IF($AK$5=$C$11,G$11-DPR!#REF!))))</f>
        <v>#REF!</v>
      </c>
      <c r="H209" s="870" t="e">
        <f>MAX(0,IF($AK$5=$C$9,H$9-DPR!#REF!,IF($AK$5=$C$10,H$10-DPR!#REF!,IF($AK$5=$C$11,H$11-DPR!#REF!))))</f>
        <v>#REF!</v>
      </c>
      <c r="I209" s="870" t="e">
        <f>MAX(0,IF($AK$5=$C$9,I$9-DPR!#REF!,IF($AK$5=$C$10,I$10-DPR!#REF!,IF($AK$5=$C$11,I$11-DPR!#REF!))))</f>
        <v>#REF!</v>
      </c>
      <c r="J209" s="870" t="e">
        <f>MAX(0,IF($AK$5=$C$9,J$9-DPR!#REF!,IF($AK$5=$C$10,J$10-DPR!#REF!,IF($AK$5=$C$11,J$11-DPR!#REF!))))</f>
        <v>#REF!</v>
      </c>
      <c r="K209" s="870" t="e">
        <f>MAX(0,IF($AK$5=$C$9,K$9-DPR!#REF!,IF($AK$5=$C$10,K$10-DPR!#REF!,IF($AK$5=$C$11,K$11-DPR!#REF!))))</f>
        <v>#REF!</v>
      </c>
      <c r="L209" s="870" t="e">
        <f>MAX(0,IF($AK$5=$C$9,L$9-DPR!#REF!,IF($AK$5=$C$10,L$10-DPR!#REF!,IF($AK$5=$C$11,L$11-DPR!#REF!))))</f>
        <v>#REF!</v>
      </c>
      <c r="M209" s="870" t="e">
        <f>MAX(0,IF($AK$5=$C$9,M$9-DPR!#REF!,IF($AK$5=$C$10,M$10-DPR!#REF!,IF($AK$5=$C$11,M$11-DPR!#REF!))))</f>
        <v>#REF!</v>
      </c>
      <c r="N209" s="870" t="e">
        <f>MAX(0,IF($AK$5=$C$9,N$9-DPR!#REF!,IF($AK$5=$C$10,N$10-DPR!#REF!,IF($AK$5=$C$11,N$11-DPR!#REF!))))</f>
        <v>#REF!</v>
      </c>
      <c r="O209" s="870" t="e">
        <f>MAX(0,IF($AK$5=$C$9,O$9-DPR!#REF!,IF($AK$5=$C$10,O$10-DPR!#REF!,IF($AK$5=$C$11,O$11-DPR!#REF!))))</f>
        <v>#REF!</v>
      </c>
      <c r="P209" s="870" t="e">
        <f>MAX(0,IF($AK$5=$C$9,P$9-DPR!#REF!,IF($AK$5=$C$10,P$10-DPR!#REF!,IF($AK$5=$C$11,P$11-DPR!#REF!))))</f>
        <v>#REF!</v>
      </c>
      <c r="Q209" s="870">
        <v>118</v>
      </c>
      <c r="R209" s="919" t="e">
        <f t="shared" si="10"/>
        <v>#REF!</v>
      </c>
      <c r="S209" s="878"/>
      <c r="T209" s="878"/>
      <c r="U209" s="878"/>
      <c r="V209" s="878"/>
      <c r="W209" s="878"/>
      <c r="X209" s="878"/>
      <c r="Y209" s="878"/>
      <c r="Z209" s="878"/>
      <c r="AA209" s="878"/>
      <c r="AB209" s="878"/>
      <c r="AC209" s="878"/>
      <c r="AD209" s="878"/>
      <c r="AE209" s="878"/>
      <c r="AF209" s="847"/>
      <c r="AG209" s="920">
        <f t="shared" si="11"/>
        <v>0</v>
      </c>
      <c r="AH209" s="888">
        <f t="shared" si="12"/>
        <v>202510</v>
      </c>
      <c r="AI209" t="e">
        <f>DPR!#REF!</f>
        <v>#REF!</v>
      </c>
    </row>
    <row r="210" spans="3:35" ht="15.75">
      <c r="C210" s="918">
        <v>45946</v>
      </c>
      <c r="D210" s="870" t="e">
        <f>MAX(0,IF($AK$5=$C$9,D$9-DPR!#REF!,IF($AK$5=$C$10,D$10-DPR!#REF!,IF($AK$5=$C$11,D$11-DPR!#REF!))))</f>
        <v>#REF!</v>
      </c>
      <c r="E210" s="870" t="e">
        <f>MAX(0,IF($AK$5=$C$9,E$9-DPR!#REF!,IF($AK$5=$C$10,E$10-DPR!#REF!,IF($AK$5=$C$11,E$11-DPR!#REF!))))</f>
        <v>#REF!</v>
      </c>
      <c r="F210" s="870" t="e">
        <f>MAX(0,IF($AK$5=$C$9,F$9-DPR!#REF!,IF($AK$5=$C$10,F$10-DPR!#REF!,IF($AK$5=$C$11,F$11-DPR!#REF!))))</f>
        <v>#REF!</v>
      </c>
      <c r="G210" s="870" t="e">
        <f>MAX(0,IF($AK$5=$C$9,G$9-DPR!#REF!,IF($AK$5=$C$10,G$10-DPR!#REF!,IF($AK$5=$C$11,G$11-DPR!#REF!))))</f>
        <v>#REF!</v>
      </c>
      <c r="H210" s="870" t="e">
        <f>MAX(0,IF($AK$5=$C$9,H$9-DPR!#REF!,IF($AK$5=$C$10,H$10-DPR!#REF!,IF($AK$5=$C$11,H$11-DPR!#REF!))))</f>
        <v>#REF!</v>
      </c>
      <c r="I210" s="870" t="e">
        <f>MAX(0,IF($AK$5=$C$9,I$9-DPR!#REF!,IF($AK$5=$C$10,I$10-DPR!#REF!,IF($AK$5=$C$11,I$11-DPR!#REF!))))</f>
        <v>#REF!</v>
      </c>
      <c r="J210" s="870" t="e">
        <f>MAX(0,IF($AK$5=$C$9,J$9-DPR!#REF!,IF($AK$5=$C$10,J$10-DPR!#REF!,IF($AK$5=$C$11,J$11-DPR!#REF!))))</f>
        <v>#REF!</v>
      </c>
      <c r="K210" s="870" t="e">
        <f>MAX(0,IF($AK$5=$C$9,K$9-DPR!#REF!,IF($AK$5=$C$10,K$10-DPR!#REF!,IF($AK$5=$C$11,K$11-DPR!#REF!))))</f>
        <v>#REF!</v>
      </c>
      <c r="L210" s="870" t="e">
        <f>MAX(0,IF($AK$5=$C$9,L$9-DPR!#REF!,IF($AK$5=$C$10,L$10-DPR!#REF!,IF($AK$5=$C$11,L$11-DPR!#REF!))))</f>
        <v>#REF!</v>
      </c>
      <c r="M210" s="870" t="e">
        <f>MAX(0,IF($AK$5=$C$9,M$9-DPR!#REF!,IF($AK$5=$C$10,M$10-DPR!#REF!,IF($AK$5=$C$11,M$11-DPR!#REF!))))</f>
        <v>#REF!</v>
      </c>
      <c r="N210" s="870" t="e">
        <f>MAX(0,IF($AK$5=$C$9,N$9-DPR!#REF!,IF($AK$5=$C$10,N$10-DPR!#REF!,IF($AK$5=$C$11,N$11-DPR!#REF!))))</f>
        <v>#REF!</v>
      </c>
      <c r="O210" s="870" t="e">
        <f>MAX(0,IF($AK$5=$C$9,O$9-DPR!#REF!,IF($AK$5=$C$10,O$10-DPR!#REF!,IF($AK$5=$C$11,O$11-DPR!#REF!))))</f>
        <v>#REF!</v>
      </c>
      <c r="P210" s="870" t="e">
        <f>MAX(0,IF($AK$5=$C$9,P$9-DPR!#REF!,IF($AK$5=$C$10,P$10-DPR!#REF!,IF($AK$5=$C$11,P$11-DPR!#REF!))))</f>
        <v>#REF!</v>
      </c>
      <c r="Q210" s="870">
        <v>119</v>
      </c>
      <c r="R210" s="919" t="e">
        <f t="shared" si="10"/>
        <v>#REF!</v>
      </c>
      <c r="S210" s="878"/>
      <c r="T210" s="878"/>
      <c r="U210" s="878"/>
      <c r="V210" s="878"/>
      <c r="W210" s="878"/>
      <c r="X210" s="878"/>
      <c r="Y210" s="878"/>
      <c r="Z210" s="878"/>
      <c r="AA210" s="878"/>
      <c r="AB210" s="878"/>
      <c r="AC210" s="878"/>
      <c r="AD210" s="878"/>
      <c r="AE210" s="878"/>
      <c r="AF210" s="847"/>
      <c r="AG210" s="920">
        <f t="shared" si="11"/>
        <v>0</v>
      </c>
      <c r="AH210" s="888">
        <f t="shared" si="12"/>
        <v>202510</v>
      </c>
      <c r="AI210" t="e">
        <f>DPR!#REF!</f>
        <v>#REF!</v>
      </c>
    </row>
    <row r="211" spans="3:35" ht="15.75">
      <c r="C211" s="918">
        <v>45947</v>
      </c>
      <c r="D211" s="870" t="e">
        <f>MAX(0,IF($AK$5=$C$9,D$9-DPR!#REF!,IF($AK$5=$C$10,D$10-DPR!#REF!,IF($AK$5=$C$11,D$11-DPR!#REF!))))</f>
        <v>#REF!</v>
      </c>
      <c r="E211" s="870" t="e">
        <f>MAX(0,IF($AK$5=$C$9,E$9-DPR!#REF!,IF($AK$5=$C$10,E$10-DPR!#REF!,IF($AK$5=$C$11,E$11-DPR!#REF!))))</f>
        <v>#REF!</v>
      </c>
      <c r="F211" s="870" t="e">
        <f>MAX(0,IF($AK$5=$C$9,F$9-DPR!#REF!,IF($AK$5=$C$10,F$10-DPR!#REF!,IF($AK$5=$C$11,F$11-DPR!#REF!))))</f>
        <v>#REF!</v>
      </c>
      <c r="G211" s="870" t="e">
        <f>MAX(0,IF($AK$5=$C$9,G$9-DPR!#REF!,IF($AK$5=$C$10,G$10-DPR!#REF!,IF($AK$5=$C$11,G$11-DPR!#REF!))))</f>
        <v>#REF!</v>
      </c>
      <c r="H211" s="870" t="e">
        <f>MAX(0,IF($AK$5=$C$9,H$9-DPR!#REF!,IF($AK$5=$C$10,H$10-DPR!#REF!,IF($AK$5=$C$11,H$11-DPR!#REF!))))</f>
        <v>#REF!</v>
      </c>
      <c r="I211" s="870" t="e">
        <f>MAX(0,IF($AK$5=$C$9,I$9-DPR!#REF!,IF($AK$5=$C$10,I$10-DPR!#REF!,IF($AK$5=$C$11,I$11-DPR!#REF!))))</f>
        <v>#REF!</v>
      </c>
      <c r="J211" s="870" t="e">
        <f>MAX(0,IF($AK$5=$C$9,J$9-DPR!#REF!,IF($AK$5=$C$10,J$10-DPR!#REF!,IF($AK$5=$C$11,J$11-DPR!#REF!))))</f>
        <v>#REF!</v>
      </c>
      <c r="K211" s="870" t="e">
        <f>MAX(0,IF($AK$5=$C$9,K$9-DPR!#REF!,IF($AK$5=$C$10,K$10-DPR!#REF!,IF($AK$5=$C$11,K$11-DPR!#REF!))))</f>
        <v>#REF!</v>
      </c>
      <c r="L211" s="870" t="e">
        <f>MAX(0,IF($AK$5=$C$9,L$9-DPR!#REF!,IF($AK$5=$C$10,L$10-DPR!#REF!,IF($AK$5=$C$11,L$11-DPR!#REF!))))</f>
        <v>#REF!</v>
      </c>
      <c r="M211" s="870" t="e">
        <f>MAX(0,IF($AK$5=$C$9,M$9-DPR!#REF!,IF($AK$5=$C$10,M$10-DPR!#REF!,IF($AK$5=$C$11,M$11-DPR!#REF!))))</f>
        <v>#REF!</v>
      </c>
      <c r="N211" s="870" t="e">
        <f>MAX(0,IF($AK$5=$C$9,N$9-DPR!#REF!,IF($AK$5=$C$10,N$10-DPR!#REF!,IF($AK$5=$C$11,N$11-DPR!#REF!))))</f>
        <v>#REF!</v>
      </c>
      <c r="O211" s="870" t="e">
        <f>MAX(0,IF($AK$5=$C$9,O$9-DPR!#REF!,IF($AK$5=$C$10,O$10-DPR!#REF!,IF($AK$5=$C$11,O$11-DPR!#REF!))))</f>
        <v>#REF!</v>
      </c>
      <c r="P211" s="870" t="e">
        <f>MAX(0,IF($AK$5=$C$9,P$9-DPR!#REF!,IF($AK$5=$C$10,P$10-DPR!#REF!,IF($AK$5=$C$11,P$11-DPR!#REF!))))</f>
        <v>#REF!</v>
      </c>
      <c r="Q211" s="870">
        <v>120</v>
      </c>
      <c r="R211" s="919" t="e">
        <f t="shared" si="10"/>
        <v>#REF!</v>
      </c>
      <c r="S211" s="878"/>
      <c r="T211" s="878"/>
      <c r="U211" s="878"/>
      <c r="V211" s="878"/>
      <c r="W211" s="878"/>
      <c r="X211" s="878"/>
      <c r="Y211" s="878"/>
      <c r="Z211" s="878"/>
      <c r="AA211" s="878"/>
      <c r="AB211" s="878"/>
      <c r="AC211" s="878"/>
      <c r="AD211" s="878"/>
      <c r="AE211" s="878"/>
      <c r="AF211" s="847"/>
      <c r="AG211" s="920">
        <f t="shared" si="11"/>
        <v>0</v>
      </c>
      <c r="AH211" s="888">
        <f t="shared" si="12"/>
        <v>202510</v>
      </c>
      <c r="AI211" t="e">
        <f>DPR!#REF!</f>
        <v>#REF!</v>
      </c>
    </row>
    <row r="212" spans="3:35" ht="15.75">
      <c r="C212" s="918">
        <v>45948</v>
      </c>
      <c r="D212" s="870" t="e">
        <f>MAX(0,IF($AK$5=$C$9,D$9-DPR!#REF!,IF($AK$5=$C$10,D$10-DPR!#REF!,IF($AK$5=$C$11,D$11-DPR!#REF!))))</f>
        <v>#REF!</v>
      </c>
      <c r="E212" s="870" t="e">
        <f>MAX(0,IF($AK$5=$C$9,E$9-DPR!#REF!,IF($AK$5=$C$10,E$10-DPR!#REF!,IF($AK$5=$C$11,E$11-DPR!#REF!))))</f>
        <v>#REF!</v>
      </c>
      <c r="F212" s="870" t="e">
        <f>MAX(0,IF($AK$5=$C$9,F$9-DPR!#REF!,IF($AK$5=$C$10,F$10-DPR!#REF!,IF($AK$5=$C$11,F$11-DPR!#REF!))))</f>
        <v>#REF!</v>
      </c>
      <c r="G212" s="870" t="e">
        <f>MAX(0,IF($AK$5=$C$9,G$9-DPR!#REF!,IF($AK$5=$C$10,G$10-DPR!#REF!,IF($AK$5=$C$11,G$11-DPR!#REF!))))</f>
        <v>#REF!</v>
      </c>
      <c r="H212" s="870" t="e">
        <f>MAX(0,IF($AK$5=$C$9,H$9-DPR!#REF!,IF($AK$5=$C$10,H$10-DPR!#REF!,IF($AK$5=$C$11,H$11-DPR!#REF!))))</f>
        <v>#REF!</v>
      </c>
      <c r="I212" s="870" t="e">
        <f>MAX(0,IF($AK$5=$C$9,I$9-DPR!#REF!,IF($AK$5=$C$10,I$10-DPR!#REF!,IF($AK$5=$C$11,I$11-DPR!#REF!))))</f>
        <v>#REF!</v>
      </c>
      <c r="J212" s="870" t="e">
        <f>MAX(0,IF($AK$5=$C$9,J$9-DPR!#REF!,IF($AK$5=$C$10,J$10-DPR!#REF!,IF($AK$5=$C$11,J$11-DPR!#REF!))))</f>
        <v>#REF!</v>
      </c>
      <c r="K212" s="870" t="e">
        <f>MAX(0,IF($AK$5=$C$9,K$9-DPR!#REF!,IF($AK$5=$C$10,K$10-DPR!#REF!,IF($AK$5=$C$11,K$11-DPR!#REF!))))</f>
        <v>#REF!</v>
      </c>
      <c r="L212" s="870" t="e">
        <f>MAX(0,IF($AK$5=$C$9,L$9-DPR!#REF!,IF($AK$5=$C$10,L$10-DPR!#REF!,IF($AK$5=$C$11,L$11-DPR!#REF!))))</f>
        <v>#REF!</v>
      </c>
      <c r="M212" s="870" t="e">
        <f>MAX(0,IF($AK$5=$C$9,M$9-DPR!#REF!,IF($AK$5=$C$10,M$10-DPR!#REF!,IF($AK$5=$C$11,M$11-DPR!#REF!))))</f>
        <v>#REF!</v>
      </c>
      <c r="N212" s="870" t="e">
        <f>MAX(0,IF($AK$5=$C$9,N$9-DPR!#REF!,IF($AK$5=$C$10,N$10-DPR!#REF!,IF($AK$5=$C$11,N$11-DPR!#REF!))))</f>
        <v>#REF!</v>
      </c>
      <c r="O212" s="870" t="e">
        <f>MAX(0,IF($AK$5=$C$9,O$9-DPR!#REF!,IF($AK$5=$C$10,O$10-DPR!#REF!,IF($AK$5=$C$11,O$11-DPR!#REF!))))</f>
        <v>#REF!</v>
      </c>
      <c r="P212" s="870" t="e">
        <f>MAX(0,IF($AK$5=$C$9,P$9-DPR!#REF!,IF($AK$5=$C$10,P$10-DPR!#REF!,IF($AK$5=$C$11,P$11-DPR!#REF!))))</f>
        <v>#REF!</v>
      </c>
      <c r="Q212" s="870">
        <v>121</v>
      </c>
      <c r="R212" s="919" t="e">
        <f t="shared" si="10"/>
        <v>#REF!</v>
      </c>
      <c r="S212" s="878"/>
      <c r="T212" s="878"/>
      <c r="U212" s="878"/>
      <c r="V212" s="878"/>
      <c r="W212" s="878"/>
      <c r="X212" s="878"/>
      <c r="Y212" s="878"/>
      <c r="Z212" s="878"/>
      <c r="AA212" s="878"/>
      <c r="AB212" s="878"/>
      <c r="AC212" s="878"/>
      <c r="AD212" s="878"/>
      <c r="AE212" s="878"/>
      <c r="AF212" s="847"/>
      <c r="AG212" s="920">
        <f t="shared" si="11"/>
        <v>0</v>
      </c>
      <c r="AH212" s="888">
        <f t="shared" si="12"/>
        <v>202510</v>
      </c>
      <c r="AI212" t="e">
        <f>DPR!#REF!</f>
        <v>#REF!</v>
      </c>
    </row>
    <row r="213" spans="3:35" ht="15.75">
      <c r="C213" s="918">
        <v>45949</v>
      </c>
      <c r="D213" s="870" t="e">
        <f>MAX(0,IF($AK$5=$C$9,D$9-DPR!#REF!,IF($AK$5=$C$10,D$10-DPR!#REF!,IF($AK$5=$C$11,D$11-DPR!#REF!))))</f>
        <v>#REF!</v>
      </c>
      <c r="E213" s="870" t="e">
        <f>MAX(0,IF($AK$5=$C$9,E$9-DPR!#REF!,IF($AK$5=$C$10,E$10-DPR!#REF!,IF($AK$5=$C$11,E$11-DPR!#REF!))))</f>
        <v>#REF!</v>
      </c>
      <c r="F213" s="870" t="e">
        <f>MAX(0,IF($AK$5=$C$9,F$9-DPR!#REF!,IF($AK$5=$C$10,F$10-DPR!#REF!,IF($AK$5=$C$11,F$11-DPR!#REF!))))</f>
        <v>#REF!</v>
      </c>
      <c r="G213" s="870" t="e">
        <f>MAX(0,IF($AK$5=$C$9,G$9-DPR!#REF!,IF($AK$5=$C$10,G$10-DPR!#REF!,IF($AK$5=$C$11,G$11-DPR!#REF!))))</f>
        <v>#REF!</v>
      </c>
      <c r="H213" s="870" t="e">
        <f>MAX(0,IF($AK$5=$C$9,H$9-DPR!#REF!,IF($AK$5=$C$10,H$10-DPR!#REF!,IF($AK$5=$C$11,H$11-DPR!#REF!))))</f>
        <v>#REF!</v>
      </c>
      <c r="I213" s="870" t="e">
        <f>MAX(0,IF($AK$5=$C$9,I$9-DPR!#REF!,IF($AK$5=$C$10,I$10-DPR!#REF!,IF($AK$5=$C$11,I$11-DPR!#REF!))))</f>
        <v>#REF!</v>
      </c>
      <c r="J213" s="870" t="e">
        <f>MAX(0,IF($AK$5=$C$9,J$9-DPR!#REF!,IF($AK$5=$C$10,J$10-DPR!#REF!,IF($AK$5=$C$11,J$11-DPR!#REF!))))</f>
        <v>#REF!</v>
      </c>
      <c r="K213" s="870" t="e">
        <f>MAX(0,IF($AK$5=$C$9,K$9-DPR!#REF!,IF($AK$5=$C$10,K$10-DPR!#REF!,IF($AK$5=$C$11,K$11-DPR!#REF!))))</f>
        <v>#REF!</v>
      </c>
      <c r="L213" s="870" t="e">
        <f>MAX(0,IF($AK$5=$C$9,L$9-DPR!#REF!,IF($AK$5=$C$10,L$10-DPR!#REF!,IF($AK$5=$C$11,L$11-DPR!#REF!))))</f>
        <v>#REF!</v>
      </c>
      <c r="M213" s="870" t="e">
        <f>MAX(0,IF($AK$5=$C$9,M$9-DPR!#REF!,IF($AK$5=$C$10,M$10-DPR!#REF!,IF($AK$5=$C$11,M$11-DPR!#REF!))))</f>
        <v>#REF!</v>
      </c>
      <c r="N213" s="870" t="e">
        <f>MAX(0,IF($AK$5=$C$9,N$9-DPR!#REF!,IF($AK$5=$C$10,N$10-DPR!#REF!,IF($AK$5=$C$11,N$11-DPR!#REF!))))</f>
        <v>#REF!</v>
      </c>
      <c r="O213" s="870" t="e">
        <f>MAX(0,IF($AK$5=$C$9,O$9-DPR!#REF!,IF($AK$5=$C$10,O$10-DPR!#REF!,IF($AK$5=$C$11,O$11-DPR!#REF!))))</f>
        <v>#REF!</v>
      </c>
      <c r="P213" s="870" t="e">
        <f>MAX(0,IF($AK$5=$C$9,P$9-DPR!#REF!,IF($AK$5=$C$10,P$10-DPR!#REF!,IF($AK$5=$C$11,P$11-DPR!#REF!))))</f>
        <v>#REF!</v>
      </c>
      <c r="Q213" s="870">
        <v>122</v>
      </c>
      <c r="R213" s="919" t="e">
        <f t="shared" si="10"/>
        <v>#REF!</v>
      </c>
      <c r="S213" s="878"/>
      <c r="T213" s="878"/>
      <c r="U213" s="878"/>
      <c r="V213" s="878"/>
      <c r="W213" s="878"/>
      <c r="X213" s="878"/>
      <c r="Y213" s="878"/>
      <c r="Z213" s="878"/>
      <c r="AA213" s="878"/>
      <c r="AB213" s="878"/>
      <c r="AC213" s="878"/>
      <c r="AD213" s="878"/>
      <c r="AE213" s="878"/>
      <c r="AF213" s="847"/>
      <c r="AG213" s="920">
        <f t="shared" si="11"/>
        <v>0</v>
      </c>
      <c r="AH213" s="888">
        <f t="shared" si="12"/>
        <v>202510</v>
      </c>
      <c r="AI213" t="e">
        <f>DPR!#REF!</f>
        <v>#REF!</v>
      </c>
    </row>
    <row r="214" spans="3:35" ht="15.75">
      <c r="C214" s="918">
        <v>45950</v>
      </c>
      <c r="D214" s="870" t="e">
        <f>MAX(0,IF($AK$5=$C$9,D$9-DPR!#REF!,IF($AK$5=$C$10,D$10-DPR!#REF!,IF($AK$5=$C$11,D$11-DPR!#REF!))))</f>
        <v>#REF!</v>
      </c>
      <c r="E214" s="870" t="e">
        <f>MAX(0,IF($AK$5=$C$9,E$9-DPR!#REF!,IF($AK$5=$C$10,E$10-DPR!#REF!,IF($AK$5=$C$11,E$11-DPR!#REF!))))</f>
        <v>#REF!</v>
      </c>
      <c r="F214" s="870" t="e">
        <f>MAX(0,IF($AK$5=$C$9,F$9-DPR!#REF!,IF($AK$5=$C$10,F$10-DPR!#REF!,IF($AK$5=$C$11,F$11-DPR!#REF!))))</f>
        <v>#REF!</v>
      </c>
      <c r="G214" s="870" t="e">
        <f>MAX(0,IF($AK$5=$C$9,G$9-DPR!#REF!,IF($AK$5=$C$10,G$10-DPR!#REF!,IF($AK$5=$C$11,G$11-DPR!#REF!))))</f>
        <v>#REF!</v>
      </c>
      <c r="H214" s="870" t="e">
        <f>MAX(0,IF($AK$5=$C$9,H$9-DPR!#REF!,IF($AK$5=$C$10,H$10-DPR!#REF!,IF($AK$5=$C$11,H$11-DPR!#REF!))))</f>
        <v>#REF!</v>
      </c>
      <c r="I214" s="870" t="e">
        <f>MAX(0,IF($AK$5=$C$9,I$9-DPR!#REF!,IF($AK$5=$C$10,I$10-DPR!#REF!,IF($AK$5=$C$11,I$11-DPR!#REF!))))</f>
        <v>#REF!</v>
      </c>
      <c r="J214" s="870" t="e">
        <f>MAX(0,IF($AK$5=$C$9,J$9-DPR!#REF!,IF($AK$5=$C$10,J$10-DPR!#REF!,IF($AK$5=$C$11,J$11-DPR!#REF!))))</f>
        <v>#REF!</v>
      </c>
      <c r="K214" s="870" t="e">
        <f>MAX(0,IF($AK$5=$C$9,K$9-DPR!#REF!,IF($AK$5=$C$10,K$10-DPR!#REF!,IF($AK$5=$C$11,K$11-DPR!#REF!))))</f>
        <v>#REF!</v>
      </c>
      <c r="L214" s="870" t="e">
        <f>MAX(0,IF($AK$5=$C$9,L$9-DPR!#REF!,IF($AK$5=$C$10,L$10-DPR!#REF!,IF($AK$5=$C$11,L$11-DPR!#REF!))))</f>
        <v>#REF!</v>
      </c>
      <c r="M214" s="870" t="e">
        <f>MAX(0,IF($AK$5=$C$9,M$9-DPR!#REF!,IF($AK$5=$C$10,M$10-DPR!#REF!,IF($AK$5=$C$11,M$11-DPR!#REF!))))</f>
        <v>#REF!</v>
      </c>
      <c r="N214" s="870" t="e">
        <f>MAX(0,IF($AK$5=$C$9,N$9-DPR!#REF!,IF($AK$5=$C$10,N$10-DPR!#REF!,IF($AK$5=$C$11,N$11-DPR!#REF!))))</f>
        <v>#REF!</v>
      </c>
      <c r="O214" s="870" t="e">
        <f>MAX(0,IF($AK$5=$C$9,O$9-DPR!#REF!,IF($AK$5=$C$10,O$10-DPR!#REF!,IF($AK$5=$C$11,O$11-DPR!#REF!))))</f>
        <v>#REF!</v>
      </c>
      <c r="P214" s="870" t="e">
        <f>MAX(0,IF($AK$5=$C$9,P$9-DPR!#REF!,IF($AK$5=$C$10,P$10-DPR!#REF!,IF($AK$5=$C$11,P$11-DPR!#REF!))))</f>
        <v>#REF!</v>
      </c>
      <c r="Q214" s="870">
        <v>123</v>
      </c>
      <c r="R214" s="919" t="e">
        <f t="shared" si="10"/>
        <v>#REF!</v>
      </c>
      <c r="S214" s="878"/>
      <c r="T214" s="878"/>
      <c r="U214" s="878"/>
      <c r="V214" s="878"/>
      <c r="W214" s="878"/>
      <c r="X214" s="878"/>
      <c r="Y214" s="878"/>
      <c r="Z214" s="878"/>
      <c r="AA214" s="878"/>
      <c r="AB214" s="878"/>
      <c r="AC214" s="878"/>
      <c r="AD214" s="878"/>
      <c r="AE214" s="878"/>
      <c r="AF214" s="847"/>
      <c r="AG214" s="920">
        <f t="shared" si="11"/>
        <v>0</v>
      </c>
      <c r="AH214" s="888">
        <f t="shared" si="12"/>
        <v>202510</v>
      </c>
      <c r="AI214" t="e">
        <f>DPR!#REF!</f>
        <v>#REF!</v>
      </c>
    </row>
    <row r="215" spans="3:35" ht="15.75">
      <c r="C215" s="918">
        <v>45951</v>
      </c>
      <c r="D215" s="870" t="e">
        <f>MAX(0,IF($AK$5=$C$9,D$9-DPR!#REF!,IF($AK$5=$C$10,D$10-DPR!#REF!,IF($AK$5=$C$11,D$11-DPR!#REF!))))</f>
        <v>#REF!</v>
      </c>
      <c r="E215" s="870" t="e">
        <f>MAX(0,IF($AK$5=$C$9,E$9-DPR!#REF!,IF($AK$5=$C$10,E$10-DPR!#REF!,IF($AK$5=$C$11,E$11-DPR!#REF!))))</f>
        <v>#REF!</v>
      </c>
      <c r="F215" s="870" t="e">
        <f>MAX(0,IF($AK$5=$C$9,F$9-DPR!#REF!,IF($AK$5=$C$10,F$10-DPR!#REF!,IF($AK$5=$C$11,F$11-DPR!#REF!))))</f>
        <v>#REF!</v>
      </c>
      <c r="G215" s="870" t="e">
        <f>MAX(0,IF($AK$5=$C$9,G$9-DPR!#REF!,IF($AK$5=$C$10,G$10-DPR!#REF!,IF($AK$5=$C$11,G$11-DPR!#REF!))))</f>
        <v>#REF!</v>
      </c>
      <c r="H215" s="870" t="e">
        <f>MAX(0,IF($AK$5=$C$9,H$9-DPR!#REF!,IF($AK$5=$C$10,H$10-DPR!#REF!,IF($AK$5=$C$11,H$11-DPR!#REF!))))</f>
        <v>#REF!</v>
      </c>
      <c r="I215" s="870" t="e">
        <f>MAX(0,IF($AK$5=$C$9,I$9-DPR!#REF!,IF($AK$5=$C$10,I$10-DPR!#REF!,IF($AK$5=$C$11,I$11-DPR!#REF!))))</f>
        <v>#REF!</v>
      </c>
      <c r="J215" s="870" t="e">
        <f>MAX(0,IF($AK$5=$C$9,J$9-DPR!#REF!,IF($AK$5=$C$10,J$10-DPR!#REF!,IF($AK$5=$C$11,J$11-DPR!#REF!))))</f>
        <v>#REF!</v>
      </c>
      <c r="K215" s="870" t="e">
        <f>MAX(0,IF($AK$5=$C$9,K$9-DPR!#REF!,IF($AK$5=$C$10,K$10-DPR!#REF!,IF($AK$5=$C$11,K$11-DPR!#REF!))))</f>
        <v>#REF!</v>
      </c>
      <c r="L215" s="870" t="e">
        <f>MAX(0,IF($AK$5=$C$9,L$9-DPR!#REF!,IF($AK$5=$C$10,L$10-DPR!#REF!,IF($AK$5=$C$11,L$11-DPR!#REF!))))</f>
        <v>#REF!</v>
      </c>
      <c r="M215" s="870" t="e">
        <f>MAX(0,IF($AK$5=$C$9,M$9-DPR!#REF!,IF($AK$5=$C$10,M$10-DPR!#REF!,IF($AK$5=$C$11,M$11-DPR!#REF!))))</f>
        <v>#REF!</v>
      </c>
      <c r="N215" s="870" t="e">
        <f>MAX(0,IF($AK$5=$C$9,N$9-DPR!#REF!,IF($AK$5=$C$10,N$10-DPR!#REF!,IF($AK$5=$C$11,N$11-DPR!#REF!))))</f>
        <v>#REF!</v>
      </c>
      <c r="O215" s="870" t="e">
        <f>MAX(0,IF($AK$5=$C$9,O$9-DPR!#REF!,IF($AK$5=$C$10,O$10-DPR!#REF!,IF($AK$5=$C$11,O$11-DPR!#REF!))))</f>
        <v>#REF!</v>
      </c>
      <c r="P215" s="870" t="e">
        <f>MAX(0,IF($AK$5=$C$9,P$9-DPR!#REF!,IF($AK$5=$C$10,P$10-DPR!#REF!,IF($AK$5=$C$11,P$11-DPR!#REF!))))</f>
        <v>#REF!</v>
      </c>
      <c r="Q215" s="870">
        <v>124</v>
      </c>
      <c r="R215" s="919" t="e">
        <f t="shared" si="10"/>
        <v>#REF!</v>
      </c>
      <c r="S215" s="878"/>
      <c r="T215" s="878"/>
      <c r="U215" s="878"/>
      <c r="V215" s="878"/>
      <c r="W215" s="878"/>
      <c r="X215" s="878"/>
      <c r="Y215" s="878"/>
      <c r="Z215" s="878"/>
      <c r="AA215" s="878"/>
      <c r="AB215" s="878"/>
      <c r="AC215" s="878"/>
      <c r="AD215" s="878"/>
      <c r="AE215" s="878"/>
      <c r="AF215" s="847"/>
      <c r="AG215" s="920">
        <f t="shared" si="11"/>
        <v>0</v>
      </c>
      <c r="AH215" s="888">
        <f t="shared" si="12"/>
        <v>202510</v>
      </c>
      <c r="AI215" t="e">
        <f>DPR!#REF!</f>
        <v>#REF!</v>
      </c>
    </row>
    <row r="216" spans="3:35" ht="15.75">
      <c r="C216" s="918">
        <v>45952</v>
      </c>
      <c r="D216" s="870" t="e">
        <f>MAX(0,IF($AK$5=$C$9,D$9-DPR!#REF!,IF($AK$5=$C$10,D$10-DPR!#REF!,IF($AK$5=$C$11,D$11-DPR!#REF!))))</f>
        <v>#REF!</v>
      </c>
      <c r="E216" s="870" t="e">
        <f>MAX(0,IF($AK$5=$C$9,E$9-DPR!#REF!,IF($AK$5=$C$10,E$10-DPR!#REF!,IF($AK$5=$C$11,E$11-DPR!#REF!))))</f>
        <v>#REF!</v>
      </c>
      <c r="F216" s="870" t="e">
        <f>MAX(0,IF($AK$5=$C$9,F$9-DPR!#REF!,IF($AK$5=$C$10,F$10-DPR!#REF!,IF($AK$5=$C$11,F$11-DPR!#REF!))))</f>
        <v>#REF!</v>
      </c>
      <c r="G216" s="870" t="e">
        <f>MAX(0,IF($AK$5=$C$9,G$9-DPR!#REF!,IF($AK$5=$C$10,G$10-DPR!#REF!,IF($AK$5=$C$11,G$11-DPR!#REF!))))</f>
        <v>#REF!</v>
      </c>
      <c r="H216" s="870" t="e">
        <f>MAX(0,IF($AK$5=$C$9,H$9-DPR!#REF!,IF($AK$5=$C$10,H$10-DPR!#REF!,IF($AK$5=$C$11,H$11-DPR!#REF!))))</f>
        <v>#REF!</v>
      </c>
      <c r="I216" s="870" t="e">
        <f>MAX(0,IF($AK$5=$C$9,I$9-DPR!#REF!,IF($AK$5=$C$10,I$10-DPR!#REF!,IF($AK$5=$C$11,I$11-DPR!#REF!))))</f>
        <v>#REF!</v>
      </c>
      <c r="J216" s="870" t="e">
        <f>MAX(0,IF($AK$5=$C$9,J$9-DPR!#REF!,IF($AK$5=$C$10,J$10-DPR!#REF!,IF($AK$5=$C$11,J$11-DPR!#REF!))))</f>
        <v>#REF!</v>
      </c>
      <c r="K216" s="870" t="e">
        <f>MAX(0,IF($AK$5=$C$9,K$9-DPR!#REF!,IF($AK$5=$C$10,K$10-DPR!#REF!,IF($AK$5=$C$11,K$11-DPR!#REF!))))</f>
        <v>#REF!</v>
      </c>
      <c r="L216" s="870" t="e">
        <f>MAX(0,IF($AK$5=$C$9,L$9-DPR!#REF!,IF($AK$5=$C$10,L$10-DPR!#REF!,IF($AK$5=$C$11,L$11-DPR!#REF!))))</f>
        <v>#REF!</v>
      </c>
      <c r="M216" s="870" t="e">
        <f>MAX(0,IF($AK$5=$C$9,M$9-DPR!#REF!,IF($AK$5=$C$10,M$10-DPR!#REF!,IF($AK$5=$C$11,M$11-DPR!#REF!))))</f>
        <v>#REF!</v>
      </c>
      <c r="N216" s="870" t="e">
        <f>MAX(0,IF($AK$5=$C$9,N$9-DPR!#REF!,IF($AK$5=$C$10,N$10-DPR!#REF!,IF($AK$5=$C$11,N$11-DPR!#REF!))))</f>
        <v>#REF!</v>
      </c>
      <c r="O216" s="870" t="e">
        <f>MAX(0,IF($AK$5=$C$9,O$9-DPR!#REF!,IF($AK$5=$C$10,O$10-DPR!#REF!,IF($AK$5=$C$11,O$11-DPR!#REF!))))</f>
        <v>#REF!</v>
      </c>
      <c r="P216" s="870" t="e">
        <f>MAX(0,IF($AK$5=$C$9,P$9-DPR!#REF!,IF($AK$5=$C$10,P$10-DPR!#REF!,IF($AK$5=$C$11,P$11-DPR!#REF!))))</f>
        <v>#REF!</v>
      </c>
      <c r="Q216" s="870">
        <v>125</v>
      </c>
      <c r="R216" s="919" t="e">
        <f t="shared" si="10"/>
        <v>#REF!</v>
      </c>
      <c r="S216" s="878"/>
      <c r="T216" s="878"/>
      <c r="U216" s="878"/>
      <c r="V216" s="878"/>
      <c r="W216" s="878"/>
      <c r="X216" s="878"/>
      <c r="Y216" s="878"/>
      <c r="Z216" s="878"/>
      <c r="AA216" s="878"/>
      <c r="AB216" s="878"/>
      <c r="AC216" s="878"/>
      <c r="AD216" s="878"/>
      <c r="AE216" s="878"/>
      <c r="AF216" s="847"/>
      <c r="AG216" s="920">
        <f t="shared" si="11"/>
        <v>0</v>
      </c>
      <c r="AH216" s="888">
        <f t="shared" si="12"/>
        <v>202510</v>
      </c>
      <c r="AI216" t="e">
        <f>DPR!#REF!</f>
        <v>#REF!</v>
      </c>
    </row>
  </sheetData>
  <sheetProtection formatColumns="0" formatRows="0"/>
  <mergeCells count="6">
    <mergeCell ref="AI6:AI8"/>
    <mergeCell ref="D5:R5"/>
    <mergeCell ref="S5:AG5"/>
    <mergeCell ref="R6:R8"/>
    <mergeCell ref="AG6:AG8"/>
    <mergeCell ref="AH6:AH8"/>
  </mergeCells>
  <dataValidations count="1">
    <dataValidation type="list" allowBlank="1" showInputMessage="1" showErrorMessage="1" sqref="AK5">
      <formula1>$C$9:$C$11</formula1>
    </dataValidation>
  </dataValidations>
  <pageMargins left="0.7" right="0.7" top="0.75" bottom="0.75" header="0.3" footer="0.3"/>
  <pageSetup scale="38" orientation="landscape" r:id="rId1"/>
  <colBreaks count="1" manualBreakCount="1">
    <brk id="18"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39297" r:id="rId4" name="Button 1">
              <controlPr defaultSize="0" print="0" autoFill="0" autoPict="0" macro="[0]!DPR_Button1_Click">
                <anchor moveWithCells="1" sizeWithCells="1">
                  <from>
                    <xdr:col>0</xdr:col>
                    <xdr:colOff>142875</xdr:colOff>
                    <xdr:row>6</xdr:row>
                    <xdr:rowOff>314325</xdr:rowOff>
                  </from>
                  <to>
                    <xdr:col>1</xdr:col>
                    <xdr:colOff>771525</xdr:colOff>
                    <xdr:row>7</xdr:row>
                    <xdr:rowOff>428625</xdr:rowOff>
                  </to>
                </anchor>
              </controlPr>
            </control>
          </mc:Choice>
        </mc:AlternateContent>
        <mc:AlternateContent xmlns:mc="http://schemas.openxmlformats.org/markup-compatibility/2006">
          <mc:Choice Requires="x14">
            <control shapeId="439298" r:id="rId5" name="Group Box 2">
              <controlPr defaultSize="0" autoFill="0" autoPict="0">
                <anchor moveWithCells="1">
                  <from>
                    <xdr:col>0</xdr:col>
                    <xdr:colOff>123825</xdr:colOff>
                    <xdr:row>4</xdr:row>
                    <xdr:rowOff>114300</xdr:rowOff>
                  </from>
                  <to>
                    <xdr:col>2</xdr:col>
                    <xdr:colOff>828675</xdr:colOff>
                    <xdr:row>6</xdr:row>
                    <xdr:rowOff>342900</xdr:rowOff>
                  </to>
                </anchor>
              </controlPr>
            </control>
          </mc:Choice>
        </mc:AlternateContent>
        <mc:AlternateContent xmlns:mc="http://schemas.openxmlformats.org/markup-compatibility/2006">
          <mc:Choice Requires="x14">
            <control shapeId="439299" r:id="rId6" name="Option Button 3">
              <controlPr defaultSize="0" autoFill="0" autoLine="0" autoPict="0" macro="[0]!monthwise_Click" altText="Current Month">
                <anchor moveWithCells="1">
                  <from>
                    <xdr:col>0</xdr:col>
                    <xdr:colOff>295275</xdr:colOff>
                    <xdr:row>4</xdr:row>
                    <xdr:rowOff>295275</xdr:rowOff>
                  </from>
                  <to>
                    <xdr:col>1</xdr:col>
                    <xdr:colOff>409575</xdr:colOff>
                    <xdr:row>4</xdr:row>
                    <xdr:rowOff>485775</xdr:rowOff>
                  </to>
                </anchor>
              </controlPr>
            </control>
          </mc:Choice>
        </mc:AlternateContent>
        <mc:AlternateContent xmlns:mc="http://schemas.openxmlformats.org/markup-compatibility/2006">
          <mc:Choice Requires="x14">
            <control shapeId="439300" r:id="rId7" name="Option Button 4">
              <controlPr defaultSize="0" autoFill="0" autoLine="0" autoPict="0" macro="[0]!last30_Click">
                <anchor moveWithCells="1">
                  <from>
                    <xdr:col>0</xdr:col>
                    <xdr:colOff>276225</xdr:colOff>
                    <xdr:row>5</xdr:row>
                    <xdr:rowOff>104775</xdr:rowOff>
                  </from>
                  <to>
                    <xdr:col>1</xdr:col>
                    <xdr:colOff>419100</xdr:colOff>
                    <xdr:row>5</xdr:row>
                    <xdr:rowOff>314325</xdr:rowOff>
                  </to>
                </anchor>
              </controlPr>
            </control>
          </mc:Choice>
        </mc:AlternateContent>
        <mc:AlternateContent xmlns:mc="http://schemas.openxmlformats.org/markup-compatibility/2006">
          <mc:Choice Requires="x14">
            <control shapeId="439304" r:id="rId8" name="Option Button 8">
              <controlPr defaultSize="0" autoFill="0" autoLine="0" autoPict="0" macro="[0]!full_Range_Click">
                <anchor moveWithCells="1">
                  <from>
                    <xdr:col>0</xdr:col>
                    <xdr:colOff>276225</xdr:colOff>
                    <xdr:row>5</xdr:row>
                    <xdr:rowOff>409575</xdr:rowOff>
                  </from>
                  <to>
                    <xdr:col>1</xdr:col>
                    <xdr:colOff>409575</xdr:colOff>
                    <xdr:row>6</xdr:row>
                    <xdr:rowOff>180975</xdr:rowOff>
                  </to>
                </anchor>
              </controlPr>
            </control>
          </mc:Choice>
        </mc:AlternateContent>
        <mc:AlternateContent xmlns:mc="http://schemas.openxmlformats.org/markup-compatibility/2006">
          <mc:Choice Requires="x14">
            <control shapeId="439306" r:id="rId9" name="Option Button 10">
              <controlPr defaultSize="0" autoFill="0" autoLine="0" autoPict="0" macro="[0]!CurrentFY_Click">
                <anchor moveWithCells="1">
                  <from>
                    <xdr:col>1</xdr:col>
                    <xdr:colOff>561975</xdr:colOff>
                    <xdr:row>4</xdr:row>
                    <xdr:rowOff>333375</xdr:rowOff>
                  </from>
                  <to>
                    <xdr:col>2</xdr:col>
                    <xdr:colOff>676275</xdr:colOff>
                    <xdr:row>5</xdr:row>
                    <xdr:rowOff>0</xdr:rowOff>
                  </to>
                </anchor>
              </controlPr>
            </control>
          </mc:Choice>
        </mc:AlternateContent>
        <mc:AlternateContent xmlns:mc="http://schemas.openxmlformats.org/markup-compatibility/2006">
          <mc:Choice Requires="x14">
            <control shapeId="439307" r:id="rId10" name="Option Button 11">
              <controlPr defaultSize="0" autoFill="0" autoLine="0" autoPict="0" macro="[0]!CurrentCY_Click">
                <anchor moveWithCells="1">
                  <from>
                    <xdr:col>1</xdr:col>
                    <xdr:colOff>542925</xdr:colOff>
                    <xdr:row>5</xdr:row>
                    <xdr:rowOff>104775</xdr:rowOff>
                  </from>
                  <to>
                    <xdr:col>2</xdr:col>
                    <xdr:colOff>676275</xdr:colOff>
                    <xdr:row>5</xdr:row>
                    <xdr:rowOff>314325</xdr:rowOff>
                  </to>
                </anchor>
              </controlPr>
            </control>
          </mc:Choice>
        </mc:AlternateContent>
        <mc:AlternateContent xmlns:mc="http://schemas.openxmlformats.org/markup-compatibility/2006">
          <mc:Choice Requires="x14">
            <control shapeId="439308" r:id="rId11" name="Option Button 12">
              <controlPr defaultSize="0" autoFill="0" autoLine="0" autoPict="0" macro="[0]!Last365_Click">
                <anchor moveWithCells="1">
                  <from>
                    <xdr:col>1</xdr:col>
                    <xdr:colOff>561975</xdr:colOff>
                    <xdr:row>5</xdr:row>
                    <xdr:rowOff>409575</xdr:rowOff>
                  </from>
                  <to>
                    <xdr:col>2</xdr:col>
                    <xdr:colOff>685800</xdr:colOff>
                    <xdr:row>6</xdr:row>
                    <xdr:rowOff>180975</xdr:rowOff>
                  </to>
                </anchor>
              </controlPr>
            </control>
          </mc:Choice>
        </mc:AlternateContent>
        <mc:AlternateContent xmlns:mc="http://schemas.openxmlformats.org/markup-compatibility/2006">
          <mc:Choice Requires="x14">
            <control shapeId="439312" r:id="rId12" name="Option Button 16">
              <controlPr defaultSize="0" autoFill="0" autoLine="0" autoPict="0" macro="[1]!CurrentFY_Click">
                <anchor moveWithCells="1">
                  <from>
                    <xdr:col>1</xdr:col>
                    <xdr:colOff>561975</xdr:colOff>
                    <xdr:row>4</xdr:row>
                    <xdr:rowOff>333375</xdr:rowOff>
                  </from>
                  <to>
                    <xdr:col>2</xdr:col>
                    <xdr:colOff>676275</xdr:colOff>
                    <xdr:row>5</xdr:row>
                    <xdr:rowOff>0</xdr:rowOff>
                  </to>
                </anchor>
              </controlPr>
            </control>
          </mc:Choice>
        </mc:AlternateContent>
        <mc:AlternateContent xmlns:mc="http://schemas.openxmlformats.org/markup-compatibility/2006">
          <mc:Choice Requires="x14">
            <control shapeId="439313" r:id="rId13" name="Option Button 17">
              <controlPr defaultSize="0" autoFill="0" autoLine="0" autoPict="0" macro="[1]!CurrentCY_Click">
                <anchor moveWithCells="1">
                  <from>
                    <xdr:col>1</xdr:col>
                    <xdr:colOff>542925</xdr:colOff>
                    <xdr:row>5</xdr:row>
                    <xdr:rowOff>104775</xdr:rowOff>
                  </from>
                  <to>
                    <xdr:col>2</xdr:col>
                    <xdr:colOff>676275</xdr:colOff>
                    <xdr:row>5</xdr:row>
                    <xdr:rowOff>314325</xdr:rowOff>
                  </to>
                </anchor>
              </controlPr>
            </control>
          </mc:Choice>
        </mc:AlternateContent>
        <mc:AlternateContent xmlns:mc="http://schemas.openxmlformats.org/markup-compatibility/2006">
          <mc:Choice Requires="x14">
            <control shapeId="439314" r:id="rId14" name="Option Button 18">
              <controlPr defaultSize="0" autoFill="0" autoLine="0" autoPict="0" macro="[1]!Last365_Click">
                <anchor moveWithCells="1">
                  <from>
                    <xdr:col>1</xdr:col>
                    <xdr:colOff>561975</xdr:colOff>
                    <xdr:row>5</xdr:row>
                    <xdr:rowOff>409575</xdr:rowOff>
                  </from>
                  <to>
                    <xdr:col>2</xdr:col>
                    <xdr:colOff>685800</xdr:colOff>
                    <xdr:row>6</xdr:row>
                    <xdr:rowOff>180975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Dropdowns!$A$408:$A$409</xm:f>
          </x14:formula1>
          <xm:sqref>AV6</xm:sqref>
        </x14:dataValidation>
      </x14:dataValidations>
    </ext>
  </extLs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5">
    <tabColor rgb="FF92D050"/>
    <pageSetUpPr fitToPage="1"/>
  </sheetPr>
  <dimension ref="B1:U48"/>
  <sheetViews>
    <sheetView topLeftCell="C2" workbookViewId="0">
      <selection activeCell="J46" sqref="J46"/>
    </sheetView>
  </sheetViews>
  <sheetFormatPr defaultColWidth="8.85546875" defaultRowHeight="15"/>
  <cols>
    <col min="4" max="4" width="20.85546875" customWidth="1"/>
    <col min="5" max="5" width="16.42578125" bestFit="1" customWidth="1"/>
    <col min="6" max="6" width="16.28515625" hidden="1" customWidth="1"/>
    <col min="7" max="8" width="16.42578125" customWidth="1"/>
    <col min="9" max="9" width="13.85546875" bestFit="1" customWidth="1"/>
    <col min="10" max="10" width="19" customWidth="1"/>
    <col min="11" max="11" width="13.7109375" customWidth="1"/>
    <col min="12" max="12" width="15.42578125" hidden="1" customWidth="1"/>
    <col min="13" max="13" width="9.140625" hidden="1" customWidth="1"/>
    <col min="14" max="14" width="13.140625" hidden="1" customWidth="1"/>
    <col min="15" max="15" width="12.28515625" hidden="1" customWidth="1"/>
    <col min="16" max="16" width="13.7109375" hidden="1" customWidth="1"/>
    <col min="17" max="17" width="9.140625" customWidth="1"/>
    <col min="21" max="21" width="11.5703125" bestFit="1" customWidth="1"/>
  </cols>
  <sheetData>
    <row r="1" spans="2:17">
      <c r="L1" t="s">
        <v>1817</v>
      </c>
      <c r="N1" s="736">
        <f>interFY_transition!D86</f>
        <v>46112</v>
      </c>
      <c r="O1" s="737">
        <v>45565</v>
      </c>
      <c r="P1" s="353"/>
    </row>
    <row r="2" spans="2:17">
      <c r="D2" s="482" t="s">
        <v>862</v>
      </c>
      <c r="E2" s="557" t="str">
        <f>interFY_transition!D20</f>
        <v>2026-27</v>
      </c>
      <c r="N2" s="738">
        <f>_xlfn.DAYS(I6,N1)</f>
        <v>153</v>
      </c>
      <c r="O2" s="731">
        <f>_xlfn.DAYS(L6,O1)</f>
        <v>700</v>
      </c>
      <c r="P2" s="273"/>
      <c r="Q2" s="233"/>
    </row>
    <row r="3" spans="2:17">
      <c r="F3" s="445"/>
      <c r="N3" s="739">
        <f>interFY_transition!D25+337</f>
        <v>365</v>
      </c>
      <c r="O3" s="735">
        <f>N3/N2</f>
        <v>2.3856209150326797</v>
      </c>
      <c r="P3" s="740">
        <f>N3/O2</f>
        <v>0.52142857142857146</v>
      </c>
      <c r="Q3" s="233"/>
    </row>
    <row r="4" spans="2:17" ht="18" customHeight="1">
      <c r="D4" s="1307" t="s">
        <v>985</v>
      </c>
      <c r="E4" s="1307"/>
      <c r="F4" s="1307"/>
      <c r="G4" s="1307"/>
      <c r="H4" s="1307"/>
      <c r="I4" s="1307"/>
      <c r="J4" s="1307"/>
      <c r="K4" s="1307"/>
      <c r="L4" s="1307"/>
      <c r="Q4" s="233"/>
    </row>
    <row r="5" spans="2:17" ht="45" customHeight="1">
      <c r="D5" s="1308" t="s">
        <v>1953</v>
      </c>
      <c r="E5" s="1308" t="s">
        <v>2272</v>
      </c>
      <c r="F5" s="1308" t="s">
        <v>2273</v>
      </c>
      <c r="G5" s="1308" t="s">
        <v>2164</v>
      </c>
      <c r="H5" s="969" t="s">
        <v>1082</v>
      </c>
      <c r="I5" s="970" t="s">
        <v>988</v>
      </c>
      <c r="J5" s="1308" t="s">
        <v>2165</v>
      </c>
      <c r="K5" s="1308" t="s">
        <v>2274</v>
      </c>
      <c r="L5" s="970" t="s">
        <v>1789</v>
      </c>
      <c r="Q5" s="233"/>
    </row>
    <row r="6" spans="2:17" ht="20.25" customHeight="1">
      <c r="D6" s="1308"/>
      <c r="E6" s="1308"/>
      <c r="F6" s="1308"/>
      <c r="G6" s="1309"/>
      <c r="H6" s="971">
        <f>I6</f>
        <v>46265</v>
      </c>
      <c r="I6" s="970">
        <f>Dashboard!D3</f>
        <v>46265</v>
      </c>
      <c r="J6" s="1309"/>
      <c r="K6" s="1309"/>
      <c r="L6" s="970">
        <f>Dashboard!D3</f>
        <v>46265</v>
      </c>
      <c r="N6" s="247"/>
    </row>
    <row r="7" spans="2:17" ht="15.75">
      <c r="D7" s="972"/>
      <c r="E7" s="1298" t="s">
        <v>627</v>
      </c>
      <c r="F7" s="1298"/>
      <c r="G7" s="1298"/>
      <c r="H7" s="1298"/>
      <c r="I7" s="1298"/>
      <c r="J7" s="1298" t="s">
        <v>494</v>
      </c>
      <c r="K7" s="1298"/>
      <c r="L7" s="973"/>
      <c r="M7" s="733" t="s">
        <v>48</v>
      </c>
      <c r="N7" s="729" t="s">
        <v>157</v>
      </c>
      <c r="O7" s="729" t="s">
        <v>1787</v>
      </c>
      <c r="P7" s="733" t="s">
        <v>48</v>
      </c>
    </row>
    <row r="8" spans="2:17" ht="18.75">
      <c r="C8">
        <v>0.2</v>
      </c>
      <c r="D8" s="968" t="s">
        <v>60</v>
      </c>
      <c r="E8" s="975">
        <v>138587.80821917808</v>
      </c>
      <c r="F8" s="975"/>
      <c r="G8" s="976">
        <f>'Asking Rate'!J7</f>
        <v>106499.75030521472</v>
      </c>
      <c r="H8" s="976">
        <f>reference_points!AR5</f>
        <v>199390</v>
      </c>
      <c r="I8" s="977">
        <f ca="1">'YTD display'!I7</f>
        <v>0</v>
      </c>
      <c r="J8" s="978">
        <f>'Asking Rate'!F7</f>
        <v>0.75796189729712826</v>
      </c>
      <c r="K8" s="990">
        <v>1.369</v>
      </c>
      <c r="L8" s="949">
        <f>prod_compiled!W6</f>
        <v>0</v>
      </c>
      <c r="M8" s="731">
        <f>prod_compiled!W41</f>
        <v>0</v>
      </c>
      <c r="N8" s="727">
        <f>'YTD display'!L7</f>
        <v>0.75796189729712826</v>
      </c>
      <c r="O8" s="727">
        <f>N8*$O$3</f>
        <v>1.808209754989881</v>
      </c>
      <c r="P8" s="731">
        <f>M8*$P$3</f>
        <v>0</v>
      </c>
    </row>
    <row r="9" spans="2:17" ht="18.75">
      <c r="C9">
        <v>0.26</v>
      </c>
      <c r="D9" s="967" t="s">
        <v>61</v>
      </c>
      <c r="E9" s="975">
        <v>174593.04531085351</v>
      </c>
      <c r="F9" s="975"/>
      <c r="G9" s="976">
        <f>'Asking Rate'!J8</f>
        <v>188075.0761864915</v>
      </c>
      <c r="H9" s="976">
        <f>reference_points!AR6</f>
        <v>156705</v>
      </c>
      <c r="I9" s="979">
        <f ca="1">'YTD display'!I8</f>
        <v>0</v>
      </c>
      <c r="J9" s="978">
        <f>'Asking Rate'!F8</f>
        <v>0.83362658602794104</v>
      </c>
      <c r="K9" s="990">
        <v>2.2269999999999999</v>
      </c>
      <c r="L9" s="949">
        <f>prod_compiled!W7</f>
        <v>0</v>
      </c>
      <c r="M9" s="731">
        <f>prod_compiled!W42</f>
        <v>0</v>
      </c>
      <c r="N9" s="727">
        <f>'YTD display'!L8</f>
        <v>0.83362658602794104</v>
      </c>
      <c r="O9" s="727">
        <f>N9*$O$3</f>
        <v>1.9887170189555456</v>
      </c>
      <c r="P9" s="731">
        <f t="shared" ref="P9:P21" si="0">M9*$P$3</f>
        <v>0</v>
      </c>
    </row>
    <row r="10" spans="2:17" ht="18.75">
      <c r="C10">
        <v>1</v>
      </c>
      <c r="D10" s="967" t="s">
        <v>62</v>
      </c>
      <c r="E10" s="975">
        <v>2103.0136986301368</v>
      </c>
      <c r="F10" s="975"/>
      <c r="G10" s="976">
        <f>'Asking Rate'!J9</f>
        <v>2269.4606900579406</v>
      </c>
      <c r="H10" s="976">
        <f>reference_points!AR7</f>
        <v>1836</v>
      </c>
      <c r="I10" s="979">
        <f ca="1">'YTD display'!I9</f>
        <v>0</v>
      </c>
      <c r="J10" s="978">
        <f>'Asking Rate'!F9</f>
        <v>3.845796062048798E-2</v>
      </c>
      <c r="K10" s="990">
        <v>0.10100000000000001</v>
      </c>
      <c r="L10" s="949">
        <f>prod_compiled!W8</f>
        <v>0</v>
      </c>
      <c r="M10" s="731">
        <f>prod_compiled!W43</f>
        <v>0</v>
      </c>
      <c r="N10" s="727">
        <f>'YTD display'!L9</f>
        <v>3.845796062048798E-2</v>
      </c>
      <c r="O10" s="727">
        <f t="shared" ref="O10:O21" si="1">N10*$O$3</f>
        <v>9.1746115205739304E-2</v>
      </c>
      <c r="P10" s="731">
        <f t="shared" si="0"/>
        <v>0</v>
      </c>
    </row>
    <row r="11" spans="2:17" ht="18.75">
      <c r="B11">
        <v>2.9250000000000002E-2</v>
      </c>
      <c r="C11">
        <v>2.3099999999999999E-2</v>
      </c>
      <c r="D11" s="967" t="s">
        <v>57</v>
      </c>
      <c r="E11" s="975">
        <v>327345.27572883735</v>
      </c>
      <c r="F11" s="975"/>
      <c r="G11" s="976">
        <f>'Asking Rate'!J10</f>
        <v>334588.58641050354</v>
      </c>
      <c r="H11" s="976">
        <f>reference_points!AR8</f>
        <v>330793</v>
      </c>
      <c r="I11" s="979">
        <f ca="1">'YTD display'!I10</f>
        <v>0</v>
      </c>
      <c r="J11" s="978">
        <f>'Asking Rate'!F10</f>
        <v>0.19188916164803921</v>
      </c>
      <c r="K11" s="990">
        <v>0.47099999999999997</v>
      </c>
      <c r="L11" s="949">
        <f>prod_compiled!R3</f>
        <v>0</v>
      </c>
      <c r="M11" s="731">
        <f>prod_compiled!W44</f>
        <v>0</v>
      </c>
      <c r="N11" s="727">
        <f>'YTD display'!L10</f>
        <v>0.19188916164803921</v>
      </c>
      <c r="O11" s="759">
        <f>N11*$O$3</f>
        <v>0.45777479739564908</v>
      </c>
      <c r="P11" s="760">
        <f>M11*$P$3</f>
        <v>0</v>
      </c>
    </row>
    <row r="12" spans="2:17" ht="18.75">
      <c r="C12">
        <v>0.27</v>
      </c>
      <c r="D12" s="967" t="s">
        <v>58</v>
      </c>
      <c r="E12" s="975">
        <v>23635.210553018769</v>
      </c>
      <c r="F12" s="975"/>
      <c r="G12" s="976">
        <f>'Asking Rate'!J11</f>
        <v>17465.199624192242</v>
      </c>
      <c r="H12" s="976">
        <f>reference_points!AR9</f>
        <v>37478</v>
      </c>
      <c r="I12" s="979">
        <f ca="1">'YTD display'!I11</f>
        <v>0</v>
      </c>
      <c r="J12" s="978">
        <f>'Asking Rate'!F11</f>
        <v>0.1975245219248013</v>
      </c>
      <c r="K12" s="990">
        <v>0.35</v>
      </c>
      <c r="L12" s="949">
        <f>prod_compiled!W10</f>
        <v>0</v>
      </c>
      <c r="M12" s="731">
        <f>prod_compiled!W45</f>
        <v>0</v>
      </c>
      <c r="N12" s="727">
        <f>'YTD display'!L11</f>
        <v>0.1975245219248013</v>
      </c>
      <c r="O12" s="727">
        <f t="shared" si="1"/>
        <v>0.47121863073563708</v>
      </c>
      <c r="P12" s="731">
        <f t="shared" si="0"/>
        <v>0</v>
      </c>
    </row>
    <row r="13" spans="2:17" ht="18.75">
      <c r="C13">
        <v>0.5</v>
      </c>
      <c r="D13" s="967" t="s">
        <v>59</v>
      </c>
      <c r="E13" s="975">
        <v>5461.1506849315083</v>
      </c>
      <c r="F13" s="975"/>
      <c r="G13" s="976">
        <f>'Asking Rate'!J12</f>
        <v>5988.3643234948722</v>
      </c>
      <c r="H13" s="976">
        <f>reference_points!AR10</f>
        <v>5137</v>
      </c>
      <c r="I13" s="979">
        <f ca="1">'YTD display'!I12</f>
        <v>0</v>
      </c>
      <c r="J13" s="978">
        <f>'Asking Rate'!F12</f>
        <v>5.3377565889520216E-2</v>
      </c>
      <c r="K13" s="990">
        <v>0.14699999999999999</v>
      </c>
      <c r="L13" s="949">
        <f>prod_compiled!W11</f>
        <v>0</v>
      </c>
      <c r="M13" s="731">
        <f>prod_compiled!W46</f>
        <v>0</v>
      </c>
      <c r="N13" s="727">
        <f>'YTD display'!L12</f>
        <v>5.3377565889520216E-2</v>
      </c>
      <c r="O13" s="727">
        <f t="shared" si="1"/>
        <v>0.12733863757957437</v>
      </c>
      <c r="P13" s="731">
        <f t="shared" si="0"/>
        <v>0</v>
      </c>
    </row>
    <row r="14" spans="2:17" ht="18.75">
      <c r="C14">
        <v>0.7</v>
      </c>
      <c r="D14" s="967" t="s">
        <v>63</v>
      </c>
      <c r="E14" s="975">
        <v>22301.369863013701</v>
      </c>
      <c r="F14" s="975"/>
      <c r="G14" s="976">
        <f>'Asking Rate'!J13</f>
        <v>23394.767813025159</v>
      </c>
      <c r="H14" s="976">
        <f>reference_points!AR11</f>
        <v>21883.03</v>
      </c>
      <c r="I14" s="979">
        <f ca="1">'YTD display'!I13</f>
        <v>0</v>
      </c>
      <c r="J14" s="978">
        <f>'Asking Rate'!F13</f>
        <v>0.29918140266083793</v>
      </c>
      <c r="K14" s="990">
        <v>0.77</v>
      </c>
      <c r="L14" s="949">
        <f>prod_compiled!W12</f>
        <v>0</v>
      </c>
      <c r="M14" s="731">
        <f>prod_compiled!W47</f>
        <v>0</v>
      </c>
      <c r="N14" s="727">
        <f>'YTD display'!L13</f>
        <v>0.29918140266083793</v>
      </c>
      <c r="O14" s="727">
        <f>N14*$O$3</f>
        <v>0.71373341157650871</v>
      </c>
      <c r="P14" s="731">
        <f t="shared" si="0"/>
        <v>0</v>
      </c>
    </row>
    <row r="15" spans="2:17" ht="18.75">
      <c r="C15">
        <v>0.11</v>
      </c>
      <c r="D15" s="967" t="s">
        <v>64</v>
      </c>
      <c r="E15" s="975">
        <v>7770.8592777085942</v>
      </c>
      <c r="F15" s="975"/>
      <c r="G15" s="976">
        <f>'Asking Rate'!J14</f>
        <v>8354.4288019990236</v>
      </c>
      <c r="H15" s="976">
        <f>reference_points!AR12</f>
        <v>6836</v>
      </c>
      <c r="I15" s="979">
        <f ca="1">'YTD display'!I14</f>
        <v>0</v>
      </c>
      <c r="J15" s="978">
        <f>'Asking Rate'!F14</f>
        <v>1.8778006343221812E-2</v>
      </c>
      <c r="K15" s="990">
        <v>0.05</v>
      </c>
      <c r="L15" s="949">
        <f>prod_compiled!W13</f>
        <v>0</v>
      </c>
      <c r="M15" s="731">
        <f>prod_compiled!W48</f>
        <v>0</v>
      </c>
      <c r="N15" s="727">
        <f>'YTD display'!L14</f>
        <v>1.8778006343221812E-2</v>
      </c>
      <c r="O15" s="727">
        <f t="shared" si="1"/>
        <v>4.479720467500628E-2</v>
      </c>
      <c r="P15" s="731">
        <f t="shared" si="0"/>
        <v>0</v>
      </c>
    </row>
    <row r="16" spans="2:17" ht="18.75">
      <c r="C16">
        <v>0.4</v>
      </c>
      <c r="D16" s="967" t="s">
        <v>65</v>
      </c>
      <c r="E16" s="975">
        <v>5220</v>
      </c>
      <c r="F16" s="975"/>
      <c r="G16" s="976">
        <f>'Asking Rate'!J15</f>
        <v>5131.0634686282956</v>
      </c>
      <c r="H16" s="976">
        <f>reference_points!AR13</f>
        <v>5899</v>
      </c>
      <c r="I16" s="979">
        <f ca="1">'YTD display'!I15</f>
        <v>0</v>
      </c>
      <c r="J16" s="978">
        <f>'Asking Rate'!F15</f>
        <v>4.9772601919589168E-2</v>
      </c>
      <c r="K16" s="990">
        <v>0.11600000000000001</v>
      </c>
      <c r="L16" s="949">
        <f>prod_compiled!W14</f>
        <v>0</v>
      </c>
      <c r="M16" s="731">
        <f>prod_compiled!W49</f>
        <v>0</v>
      </c>
      <c r="N16" s="727">
        <f>'YTD display'!L15</f>
        <v>4.9772601919589168E-2</v>
      </c>
      <c r="O16" s="727">
        <f t="shared" si="1"/>
        <v>0.11873856013496763</v>
      </c>
      <c r="P16" s="731">
        <f t="shared" si="0"/>
        <v>0</v>
      </c>
    </row>
    <row r="17" spans="2:16" ht="18.75">
      <c r="C17">
        <v>0.04</v>
      </c>
      <c r="D17" s="967" t="s">
        <v>66</v>
      </c>
      <c r="E17" s="975">
        <v>431104.10958904115</v>
      </c>
      <c r="F17" s="975"/>
      <c r="G17" s="976">
        <f>'Asking Rate'!J16</f>
        <v>496772.12455863354</v>
      </c>
      <c r="H17" s="976">
        <f>reference_points!AR14</f>
        <v>431948</v>
      </c>
      <c r="I17" s="979">
        <f ca="1">'YTD display'!I16</f>
        <v>0</v>
      </c>
      <c r="J17" s="978">
        <f>'Asking Rate'!F16</f>
        <v>0.27316170604839674</v>
      </c>
      <c r="K17" s="990">
        <v>0.82599999999999996</v>
      </c>
      <c r="L17" s="949">
        <f>prod_compiled!W15</f>
        <v>0</v>
      </c>
      <c r="M17" s="731">
        <f>prod_compiled!W50</f>
        <v>0</v>
      </c>
      <c r="N17" s="727">
        <f>'YTD display'!L16</f>
        <v>0.27316170604839674</v>
      </c>
      <c r="O17" s="727">
        <f t="shared" si="1"/>
        <v>0.65166027913506408</v>
      </c>
      <c r="P17" s="731">
        <f t="shared" si="0"/>
        <v>0</v>
      </c>
    </row>
    <row r="18" spans="2:16" ht="18.75">
      <c r="C18">
        <v>0.25</v>
      </c>
      <c r="D18" s="967" t="s">
        <v>67</v>
      </c>
      <c r="E18" s="975">
        <v>52400</v>
      </c>
      <c r="F18" s="975"/>
      <c r="G18" s="976">
        <f>'Asking Rate'!J17</f>
        <v>51593.110492336295</v>
      </c>
      <c r="H18" s="976">
        <f>reference_points!AR15</f>
        <v>52592.26</v>
      </c>
      <c r="I18" s="979">
        <f ca="1">'YTD display'!I17</f>
        <v>0</v>
      </c>
      <c r="J18" s="978">
        <f>'Asking Rate'!F17</f>
        <v>0.28041999622492919</v>
      </c>
      <c r="K18" s="990">
        <v>0.65500000000000003</v>
      </c>
      <c r="L18" s="949">
        <f>prod_compiled!W16</f>
        <v>0</v>
      </c>
      <c r="M18" s="731">
        <f>prod_compiled!W51</f>
        <v>0</v>
      </c>
      <c r="N18" s="727">
        <f>'YTD display'!L17</f>
        <v>0.28041999622492919</v>
      </c>
      <c r="O18" s="727">
        <f t="shared" si="1"/>
        <v>0.66897580798757617</v>
      </c>
      <c r="P18" s="731">
        <f t="shared" si="0"/>
        <v>0</v>
      </c>
    </row>
    <row r="19" spans="2:16" ht="18.75">
      <c r="C19">
        <v>0.24124999999999999</v>
      </c>
      <c r="D19" s="967" t="s">
        <v>68</v>
      </c>
      <c r="E19" s="975">
        <v>13127.972176875577</v>
      </c>
      <c r="F19" s="975"/>
      <c r="G19" s="976">
        <f>'Asking Rate'!J18</f>
        <v>13621.127303379782</v>
      </c>
      <c r="H19" s="976">
        <f>reference_points!AR16</f>
        <v>13986</v>
      </c>
      <c r="I19" s="979">
        <f ca="1">'YTD display'!I18</f>
        <v>0</v>
      </c>
      <c r="J19" s="978">
        <f>'Asking Rate'!F18</f>
        <v>6.7550622111245281E-2</v>
      </c>
      <c r="K19" s="990">
        <v>0.17</v>
      </c>
      <c r="L19" s="949">
        <f>prod_compiled!W17</f>
        <v>0</v>
      </c>
      <c r="M19" s="731">
        <f>prod_compiled!W52</f>
        <v>0</v>
      </c>
      <c r="N19" s="727">
        <f>'YTD display'!L18</f>
        <v>6.7550622111245281E-2</v>
      </c>
      <c r="O19" s="727">
        <f t="shared" si="1"/>
        <v>0.16115017693205574</v>
      </c>
      <c r="P19" s="731">
        <f t="shared" si="0"/>
        <v>0</v>
      </c>
    </row>
    <row r="20" spans="2:16" ht="18.75">
      <c r="C20">
        <v>0.45</v>
      </c>
      <c r="D20" s="967" t="s">
        <v>69</v>
      </c>
      <c r="E20" s="980">
        <v>0</v>
      </c>
      <c r="F20" s="981"/>
      <c r="G20" s="982">
        <v>0</v>
      </c>
      <c r="H20" s="982">
        <f>reference_points!AR17</f>
        <v>0</v>
      </c>
      <c r="I20" s="979">
        <f ca="1">'YTD display'!I19</f>
        <v>0</v>
      </c>
      <c r="J20" s="978">
        <f>'Asking Rate'!F19</f>
        <v>0</v>
      </c>
      <c r="K20" s="982">
        <v>0</v>
      </c>
      <c r="L20" s="949">
        <f>prod_compiled!W18</f>
        <v>0</v>
      </c>
      <c r="M20" s="731">
        <f>prod_compiled!W53</f>
        <v>0</v>
      </c>
      <c r="N20" s="727">
        <f>'YTD display'!L19</f>
        <v>0</v>
      </c>
      <c r="O20" s="727">
        <f t="shared" si="1"/>
        <v>0</v>
      </c>
      <c r="P20" s="731">
        <f t="shared" si="0"/>
        <v>0</v>
      </c>
    </row>
    <row r="21" spans="2:16" ht="18.75">
      <c r="C21">
        <v>0.17</v>
      </c>
      <c r="D21" s="967" t="s">
        <v>70</v>
      </c>
      <c r="E21" s="980">
        <v>0</v>
      </c>
      <c r="F21" s="982">
        <v>0</v>
      </c>
      <c r="G21" s="982">
        <v>0</v>
      </c>
      <c r="H21" s="982">
        <v>0</v>
      </c>
      <c r="I21" s="982">
        <v>0</v>
      </c>
      <c r="J21" s="982">
        <v>0</v>
      </c>
      <c r="K21" s="982">
        <v>0</v>
      </c>
      <c r="L21" s="949">
        <f>prod_compiled!W19</f>
        <v>0</v>
      </c>
      <c r="M21" s="731">
        <f>prod_compiled!W54</f>
        <v>0</v>
      </c>
      <c r="N21" s="727">
        <f>'YTD display'!L20</f>
        <v>0</v>
      </c>
      <c r="O21" s="727">
        <f t="shared" si="1"/>
        <v>0</v>
      </c>
      <c r="P21" s="731">
        <f t="shared" si="0"/>
        <v>0</v>
      </c>
    </row>
    <row r="22" spans="2:16" ht="18.75">
      <c r="D22" s="974" t="s">
        <v>878</v>
      </c>
      <c r="E22" s="983">
        <f>E8*$C8+E9*$C9+E10*$C10+E11*$B11+E12*$C12+E13*$C13+E14*$C14+E15*$C15+E16*$C16+E17*$C17+E18*$C18+E19*$C19+E20*$C20+E21*$C21</f>
        <v>145966.73972602742</v>
      </c>
      <c r="F22" s="984">
        <f>F8*$C8+F9*$C9+F10*$C10+F11*$B11+F12*$C12+F13*$C13+F14*$C14+F15*$C15+F16*$C16+F17*$C17+F18*$C18+F19*$C19+F20*$C20+F21*$C21</f>
        <v>0</v>
      </c>
      <c r="G22" s="984">
        <f>G8*$C8+G9*$C9+G10*$C10+G11*$B11+G12*$C12+G13*$C13+G14*$C14+G15*$C15+G16*$C16+G17*$C17+G18*$C18+G19*$C19+G20*$C20+G21*$C21</f>
        <v>145368.44236453387</v>
      </c>
      <c r="H22" s="984">
        <f>H8*$C8+H9*$C9+H10*$C10+H11*$B11+H12*$C12+H13*$C13+H14*$C14+H15*$C15+H16*$C16+H17*$C17+H18*$C18+H19*$C19+H20*$C20+H21*$C21</f>
        <v>157050.34375000003</v>
      </c>
      <c r="I22" s="985">
        <f ca="1">'YTD display'!I21</f>
        <v>0</v>
      </c>
      <c r="J22" s="986"/>
      <c r="K22" s="986"/>
      <c r="L22" s="950">
        <f>L8*C8+L9*C9+L10*C10+IF(L6&lt; DATE(2024, 11, 29), L11 * (2.31 / 100), L11 * (2.925 / 100))+L12*C12+L13*C13+L14*C14+L15*C15+L16*C16+L17*C17+L18*C18+L19*C19+L20*C20+L21*C21</f>
        <v>0</v>
      </c>
      <c r="M22" s="731">
        <f>SUM(M8:M21)</f>
        <v>0</v>
      </c>
      <c r="N22" s="727">
        <f>'YTD display'!L21</f>
        <v>3.0617020287161378</v>
      </c>
      <c r="O22" s="728">
        <f>SUM(O8:O21)</f>
        <v>7.3040603953032051</v>
      </c>
      <c r="P22" s="731">
        <f>M22*$P$3</f>
        <v>0</v>
      </c>
    </row>
    <row r="23" spans="2:16" ht="19.5" customHeight="1">
      <c r="D23" s="951" t="s">
        <v>494</v>
      </c>
      <c r="E23" s="987">
        <v>7.2519999999999998</v>
      </c>
      <c r="F23" s="987"/>
      <c r="G23" s="987"/>
      <c r="H23" s="951"/>
      <c r="I23" s="988">
        <f>O22</f>
        <v>7.3040603953032051</v>
      </c>
      <c r="J23" s="989">
        <f>'Asking Rate'!F21</f>
        <v>3.0617020287161378</v>
      </c>
      <c r="K23" s="989">
        <v>7.2519999999999998</v>
      </c>
      <c r="L23" s="963">
        <f>P22</f>
        <v>0</v>
      </c>
      <c r="M23" s="731"/>
      <c r="N23" s="727"/>
      <c r="O23" s="727"/>
      <c r="P23" s="731"/>
    </row>
    <row r="24" spans="2:16" ht="40.5" hidden="1" customHeight="1">
      <c r="D24" s="964" t="s">
        <v>1818</v>
      </c>
      <c r="E24" s="965"/>
      <c r="F24" s="965"/>
      <c r="G24" s="965">
        <v>7.7439999999999998</v>
      </c>
      <c r="H24" s="965"/>
      <c r="I24" s="966">
        <f>O24</f>
        <v>7.3720603953032047</v>
      </c>
      <c r="J24" s="965"/>
      <c r="K24" s="965"/>
      <c r="L24" s="953">
        <f>P24</f>
        <v>6.8000000000000005E-2</v>
      </c>
      <c r="M24" s="731"/>
      <c r="N24" s="727"/>
      <c r="O24" s="727">
        <f>SUM(O8:O21)+0.068</f>
        <v>7.3720603953032047</v>
      </c>
      <c r="P24" s="731">
        <f>M22*$P$3+0.068</f>
        <v>6.8000000000000005E-2</v>
      </c>
    </row>
    <row r="25" spans="2:16" ht="15.75">
      <c r="D25" s="954"/>
      <c r="E25" s="1299" t="s">
        <v>983</v>
      </c>
      <c r="F25" s="1300"/>
      <c r="G25" s="1300"/>
      <c r="H25" s="1300"/>
      <c r="I25" s="1300"/>
      <c r="J25" s="1299" t="s">
        <v>841</v>
      </c>
      <c r="K25" s="1301"/>
      <c r="L25" s="947"/>
      <c r="M25" s="734" t="s">
        <v>48</v>
      </c>
      <c r="N25" s="730" t="s">
        <v>157</v>
      </c>
      <c r="O25" s="730" t="s">
        <v>1787</v>
      </c>
      <c r="P25" s="734" t="s">
        <v>48</v>
      </c>
    </row>
    <row r="26" spans="2:16" ht="18.75">
      <c r="C26">
        <v>0.2</v>
      </c>
      <c r="D26" s="948" t="s">
        <v>60</v>
      </c>
      <c r="E26" s="991">
        <v>8.4794520547945211</v>
      </c>
      <c r="F26" s="981"/>
      <c r="G26" s="991">
        <f>'Asking Rate'!J24</f>
        <v>8.8224440600287757</v>
      </c>
      <c r="H26" s="992">
        <f>reference_points!AR23</f>
        <v>8.3568032575669609</v>
      </c>
      <c r="I26" s="992">
        <f ca="1">'YTD display'!I24</f>
        <v>0</v>
      </c>
      <c r="J26" s="991">
        <f>'Asking Rate'!F24</f>
        <v>0.24492837185478003</v>
      </c>
      <c r="K26" s="990">
        <v>0.61899999999999999</v>
      </c>
      <c r="L26" s="955">
        <f>prod_compiled!W23</f>
        <v>0</v>
      </c>
      <c r="M26" s="731">
        <f>prod_compiled!W58</f>
        <v>0</v>
      </c>
      <c r="N26" s="727">
        <f>'YTD display'!L24</f>
        <v>0.24492837185478003</v>
      </c>
      <c r="O26" s="727">
        <f>N26*$O$3</f>
        <v>0.58430624658166475</v>
      </c>
      <c r="P26" s="731">
        <f>M26*$P$3</f>
        <v>0</v>
      </c>
    </row>
    <row r="27" spans="2:16" ht="18.75">
      <c r="C27">
        <v>0.26</v>
      </c>
      <c r="D27" s="948" t="s">
        <v>61</v>
      </c>
      <c r="E27" s="991">
        <v>8.4293488459373229</v>
      </c>
      <c r="F27" s="981"/>
      <c r="G27" s="991">
        <f>'Asking Rate'!J25</f>
        <v>7.4983859419349068</v>
      </c>
      <c r="H27" s="993">
        <f>reference_points!AR24</f>
        <v>10.210000000000001</v>
      </c>
      <c r="I27" s="993">
        <f ca="1">'YTD display'!I25</f>
        <v>0</v>
      </c>
      <c r="J27" s="991">
        <f>'Asking Rate'!F25</f>
        <v>0.38663417235999997</v>
      </c>
      <c r="K27" s="990">
        <v>0.8</v>
      </c>
      <c r="L27" s="955">
        <f>prod_compiled!W24</f>
        <v>0</v>
      </c>
      <c r="M27" s="731">
        <f>prod_compiled!W59</f>
        <v>0</v>
      </c>
      <c r="N27" s="727">
        <f>'YTD display'!L25</f>
        <v>0.38663417235999997</v>
      </c>
      <c r="O27" s="727">
        <f t="shared" ref="O27:O39" si="2">N27*$O$3</f>
        <v>0.92236256804836592</v>
      </c>
      <c r="P27" s="731">
        <f t="shared" ref="P27:P39" si="3">M27*$P$3</f>
        <v>0</v>
      </c>
    </row>
    <row r="28" spans="2:16" ht="18.75">
      <c r="C28">
        <v>1</v>
      </c>
      <c r="D28" s="948" t="s">
        <v>62</v>
      </c>
      <c r="E28" s="991">
        <v>0.25748920998311126</v>
      </c>
      <c r="F28" s="981"/>
      <c r="G28" s="991">
        <f>'Asking Rate'!J26</f>
        <v>0.26100751718790388</v>
      </c>
      <c r="H28" s="993">
        <f>reference_points!AR25</f>
        <v>0.251052</v>
      </c>
      <c r="I28" s="993">
        <f ca="1">'YTD display'!I26</f>
        <v>0</v>
      </c>
      <c r="J28" s="991">
        <f>'Asking Rate'!F26</f>
        <v>3.8649968E-2</v>
      </c>
      <c r="K28" s="990">
        <v>9.4E-2</v>
      </c>
      <c r="L28" s="955">
        <f>prod_compiled!W25</f>
        <v>0</v>
      </c>
      <c r="M28" s="731">
        <f>prod_compiled!W60</f>
        <v>0</v>
      </c>
      <c r="N28" s="727">
        <f>'YTD display'!L26</f>
        <v>3.8649968E-2</v>
      </c>
      <c r="O28" s="727">
        <f t="shared" si="2"/>
        <v>9.2204172026143782E-2</v>
      </c>
      <c r="P28" s="731">
        <f t="shared" si="3"/>
        <v>0</v>
      </c>
    </row>
    <row r="29" spans="2:16" ht="18.75">
      <c r="B29">
        <v>2.9250000000000002E-2</v>
      </c>
      <c r="C29">
        <v>2.3099999999999999E-2</v>
      </c>
      <c r="D29" s="948" t="s">
        <v>57</v>
      </c>
      <c r="E29" s="991">
        <v>10.851380849504324</v>
      </c>
      <c r="F29" s="981"/>
      <c r="G29" s="991">
        <f>'Asking Rate'!J27</f>
        <v>10.419019226909535</v>
      </c>
      <c r="H29" s="993">
        <f>reference_points!AR26</f>
        <v>6.4160250547222555</v>
      </c>
      <c r="I29" s="993">
        <f ca="1">'YTD display'!I27</f>
        <v>0</v>
      </c>
      <c r="J29" s="991">
        <f>'Asking Rate'!F27</f>
        <v>5.1243716568454493E-2</v>
      </c>
      <c r="K29" s="990">
        <v>0.11600000000000001</v>
      </c>
      <c r="L29" s="955">
        <f>prod_compiled!R21</f>
        <v>0</v>
      </c>
      <c r="M29" s="731">
        <f>prod_compiled!W61</f>
        <v>0</v>
      </c>
      <c r="N29" s="727">
        <f>'YTD display'!L27</f>
        <v>5.1243716568454493E-2</v>
      </c>
      <c r="O29" s="759">
        <f>N29*$O$3</f>
        <v>0.1222480820097117</v>
      </c>
      <c r="P29" s="758">
        <f>M29*$P$3</f>
        <v>0</v>
      </c>
    </row>
    <row r="30" spans="2:16" ht="18.75">
      <c r="C30">
        <v>0.27</v>
      </c>
      <c r="D30" s="948" t="s">
        <v>58</v>
      </c>
      <c r="E30" s="991">
        <v>0.25492935232098302</v>
      </c>
      <c r="F30" s="981"/>
      <c r="G30" s="991">
        <f>'Asking Rate'!J28</f>
        <v>0.13651245494816339</v>
      </c>
      <c r="H30" s="993">
        <f>reference_points!AR27</f>
        <v>0.57677999999999996</v>
      </c>
      <c r="I30" s="993">
        <f ca="1">'YTD display'!I28</f>
        <v>0</v>
      </c>
      <c r="J30" s="991">
        <f>'Asking Rate'!F28</f>
        <v>1.7309314750000002E-2</v>
      </c>
      <c r="K30" s="990">
        <v>2.5000000000000001E-2</v>
      </c>
      <c r="L30" s="955">
        <f>prod_compiled!W27</f>
        <v>0</v>
      </c>
      <c r="M30" s="731">
        <f>prod_compiled!W62</f>
        <v>0</v>
      </c>
      <c r="N30" s="727">
        <f>'YTD display'!L28</f>
        <v>1.7309314750000002E-2</v>
      </c>
      <c r="O30" s="727">
        <f t="shared" si="2"/>
        <v>4.1293463292483665E-2</v>
      </c>
      <c r="P30" s="731">
        <f t="shared" si="3"/>
        <v>0</v>
      </c>
    </row>
    <row r="31" spans="2:16" ht="18.75">
      <c r="C31">
        <v>0.5</v>
      </c>
      <c r="D31" s="948" t="s">
        <v>59</v>
      </c>
      <c r="E31" s="991">
        <v>2.1917808219178082E-2</v>
      </c>
      <c r="F31" s="981"/>
      <c r="G31" s="991">
        <f>'Asking Rate'!J29</f>
        <v>2.4669811320754714E-2</v>
      </c>
      <c r="H31" s="993">
        <f>reference_points!AR28</f>
        <v>2.4E-2</v>
      </c>
      <c r="I31" s="993">
        <f ca="1">'YTD display'!I29</f>
        <v>0</v>
      </c>
      <c r="J31" s="991">
        <f>'Asking Rate'!F29</f>
        <v>1.3850000000000004E-3</v>
      </c>
      <c r="K31" s="990">
        <v>4.0000000000000001E-3</v>
      </c>
      <c r="L31" s="955">
        <f>prod_compiled!W28</f>
        <v>0</v>
      </c>
      <c r="M31" s="731">
        <f>prod_compiled!W63</f>
        <v>0</v>
      </c>
      <c r="N31" s="727">
        <f>'YTD display'!L29</f>
        <v>1.3850000000000004E-3</v>
      </c>
      <c r="O31" s="727">
        <f t="shared" si="2"/>
        <v>3.3040849673202622E-3</v>
      </c>
      <c r="P31" s="731">
        <f t="shared" si="3"/>
        <v>0</v>
      </c>
    </row>
    <row r="32" spans="2:16" ht="18.75">
      <c r="C32">
        <v>0.7</v>
      </c>
      <c r="D32" s="948" t="s">
        <v>63</v>
      </c>
      <c r="E32" s="991">
        <v>3.9138943248532296E-3</v>
      </c>
      <c r="F32" s="981"/>
      <c r="G32" s="991">
        <f>'Asking Rate'!J30</f>
        <v>-4.779383656097886E-2</v>
      </c>
      <c r="H32" s="993">
        <f>reference_points!AR29</f>
        <v>5.4456076364799927E-3</v>
      </c>
      <c r="I32" s="993">
        <f ca="1">'YTD display'!I30</f>
        <v>0</v>
      </c>
      <c r="J32" s="991">
        <f>'Asking Rate'!F30</f>
        <v>8.0926053456492619E-3</v>
      </c>
      <c r="K32" s="990">
        <v>1E-3</v>
      </c>
      <c r="L32" s="955">
        <f>prod_compiled!W29</f>
        <v>0</v>
      </c>
      <c r="M32" s="731">
        <f>prod_compiled!W64</f>
        <v>0</v>
      </c>
      <c r="N32" s="727">
        <f>'YTD display'!L30</f>
        <v>8.0926053456492619E-3</v>
      </c>
      <c r="O32" s="727">
        <f t="shared" si="2"/>
        <v>1.9305888569686146E-2</v>
      </c>
      <c r="P32" s="731">
        <f t="shared" si="3"/>
        <v>0</v>
      </c>
    </row>
    <row r="33" spans="3:21" ht="18.75">
      <c r="C33">
        <v>0.11</v>
      </c>
      <c r="D33" s="948" t="s">
        <v>64</v>
      </c>
      <c r="E33" s="991">
        <v>0.21829099779934835</v>
      </c>
      <c r="F33" s="981"/>
      <c r="G33" s="991">
        <f>'Asking Rate'!J31</f>
        <v>0.17596241423055464</v>
      </c>
      <c r="H33" s="993">
        <f>reference_points!AR30</f>
        <v>0.1775464608222638</v>
      </c>
      <c r="I33" s="993">
        <f ca="1">'YTD display'!I31</f>
        <v>0</v>
      </c>
      <c r="J33" s="991">
        <f>'Asking Rate'!F31</f>
        <v>4.6609400617873015E-3</v>
      </c>
      <c r="K33" s="990">
        <v>8.9999999999999993E-3</v>
      </c>
      <c r="L33" s="955">
        <f>prod_compiled!W30</f>
        <v>0</v>
      </c>
      <c r="M33" s="731">
        <f>prod_compiled!W65</f>
        <v>0</v>
      </c>
      <c r="N33" s="727">
        <f>'YTD display'!L31</f>
        <v>4.6609400617873015E-3</v>
      </c>
      <c r="O33" s="727">
        <f t="shared" si="2"/>
        <v>1.1119236095113496E-2</v>
      </c>
      <c r="P33" s="731">
        <f t="shared" si="3"/>
        <v>0</v>
      </c>
    </row>
    <row r="34" spans="3:21" ht="18.75">
      <c r="C34">
        <v>0.4</v>
      </c>
      <c r="D34" s="948" t="s">
        <v>65</v>
      </c>
      <c r="E34" s="991">
        <v>0.21724526177519235</v>
      </c>
      <c r="F34" s="981"/>
      <c r="G34" s="991">
        <f>'Asking Rate'!J32</f>
        <v>0.30253309111515442</v>
      </c>
      <c r="H34" s="993">
        <f>reference_points!AR31</f>
        <v>0.10007164155436686</v>
      </c>
      <c r="I34" s="993">
        <f ca="1">'YTD display'!I32</f>
        <v>0</v>
      </c>
      <c r="J34" s="991">
        <f>'Asking Rate'!F32</f>
        <v>6.0630020926129916E-3</v>
      </c>
      <c r="K34" s="990">
        <v>3.2000000000000001E-2</v>
      </c>
      <c r="L34" s="955">
        <f>prod_compiled!W31</f>
        <v>0</v>
      </c>
      <c r="M34" s="731">
        <f>prod_compiled!W66</f>
        <v>0</v>
      </c>
      <c r="N34" s="727">
        <f>'YTD display'!L32</f>
        <v>6.0630020926129916E-3</v>
      </c>
      <c r="O34" s="727">
        <f t="shared" si="2"/>
        <v>1.4464024600024456E-2</v>
      </c>
      <c r="P34" s="731">
        <f t="shared" si="3"/>
        <v>0</v>
      </c>
    </row>
    <row r="35" spans="3:21" ht="18.75">
      <c r="C35">
        <v>0.04</v>
      </c>
      <c r="D35" s="948" t="s">
        <v>66</v>
      </c>
      <c r="E35" s="993">
        <v>0</v>
      </c>
      <c r="F35" s="994"/>
      <c r="G35" s="994">
        <v>0</v>
      </c>
      <c r="H35" s="994">
        <v>0</v>
      </c>
      <c r="I35" s="994">
        <v>0</v>
      </c>
      <c r="J35" s="994">
        <v>0</v>
      </c>
      <c r="K35" s="994">
        <v>0</v>
      </c>
      <c r="L35" s="955">
        <f>prod_compiled!W32</f>
        <v>0</v>
      </c>
      <c r="M35" s="731">
        <f>prod_compiled!W67</f>
        <v>0</v>
      </c>
      <c r="N35" s="727">
        <f>'YTD display'!L33</f>
        <v>0</v>
      </c>
      <c r="O35" s="727">
        <f t="shared" si="2"/>
        <v>0</v>
      </c>
      <c r="P35" s="731">
        <f t="shared" si="3"/>
        <v>0</v>
      </c>
    </row>
    <row r="36" spans="3:21" ht="18.75">
      <c r="C36">
        <v>0.25</v>
      </c>
      <c r="D36" s="948" t="s">
        <v>67</v>
      </c>
      <c r="E36" s="993">
        <v>0</v>
      </c>
      <c r="F36" s="994"/>
      <c r="G36" s="994">
        <v>0</v>
      </c>
      <c r="H36" s="994">
        <v>0</v>
      </c>
      <c r="I36" s="994">
        <v>0</v>
      </c>
      <c r="J36" s="994">
        <v>0</v>
      </c>
      <c r="K36" s="994">
        <v>0</v>
      </c>
      <c r="L36" s="955">
        <f>prod_compiled!W33</f>
        <v>0</v>
      </c>
      <c r="M36" s="731">
        <f>prod_compiled!W68</f>
        <v>0</v>
      </c>
      <c r="N36" s="727">
        <f>'YTD display'!L34</f>
        <v>0</v>
      </c>
      <c r="O36" s="727">
        <f t="shared" si="2"/>
        <v>0</v>
      </c>
      <c r="P36" s="731">
        <f t="shared" si="3"/>
        <v>0</v>
      </c>
    </row>
    <row r="37" spans="3:21" ht="18.75">
      <c r="C37">
        <v>0.24124999999999999</v>
      </c>
      <c r="D37" s="948" t="s">
        <v>68</v>
      </c>
      <c r="E37" s="993">
        <v>0</v>
      </c>
      <c r="F37" s="994"/>
      <c r="G37" s="994">
        <v>0</v>
      </c>
      <c r="H37" s="994">
        <v>0</v>
      </c>
      <c r="I37" s="994">
        <v>0</v>
      </c>
      <c r="J37" s="994">
        <v>0</v>
      </c>
      <c r="K37" s="994">
        <v>0</v>
      </c>
      <c r="L37" s="955">
        <f>prod_compiled!W34</f>
        <v>0</v>
      </c>
      <c r="M37" s="731">
        <f>prod_compiled!W69</f>
        <v>0</v>
      </c>
      <c r="N37" s="727">
        <f>'YTD display'!L35</f>
        <v>0</v>
      </c>
      <c r="O37" s="727">
        <f t="shared" si="2"/>
        <v>0</v>
      </c>
      <c r="P37" s="731">
        <f t="shared" si="3"/>
        <v>0</v>
      </c>
    </row>
    <row r="38" spans="3:21" ht="18.75">
      <c r="C38">
        <v>0.45</v>
      </c>
      <c r="D38" s="948" t="s">
        <v>69</v>
      </c>
      <c r="E38" s="993"/>
      <c r="F38" s="981"/>
      <c r="G38" s="991">
        <f>'Asking Rate'!J36</f>
        <v>0</v>
      </c>
      <c r="H38" s="993">
        <f>reference_points!AR35</f>
        <v>0</v>
      </c>
      <c r="I38" s="993">
        <f ca="1">'YTD display'!I36</f>
        <v>0</v>
      </c>
      <c r="J38" s="991">
        <f>'Asking Rate'!F36</f>
        <v>0</v>
      </c>
      <c r="K38" s="994">
        <v>0</v>
      </c>
      <c r="L38" s="955">
        <f>prod_compiled!W35</f>
        <v>0</v>
      </c>
      <c r="M38" s="731">
        <f>prod_compiled!W70</f>
        <v>0</v>
      </c>
      <c r="N38" s="727">
        <f>'YTD display'!L36</f>
        <v>0</v>
      </c>
      <c r="O38" s="727">
        <f t="shared" si="2"/>
        <v>0</v>
      </c>
      <c r="P38" s="731">
        <f t="shared" si="3"/>
        <v>0</v>
      </c>
    </row>
    <row r="39" spans="3:21" ht="18.75">
      <c r="C39">
        <v>0.17</v>
      </c>
      <c r="D39" s="948" t="s">
        <v>70</v>
      </c>
      <c r="E39" s="991">
        <v>14.089123883743774</v>
      </c>
      <c r="F39" s="981"/>
      <c r="G39" s="991">
        <f>'Asking Rate'!J37</f>
        <v>14.180647589949432</v>
      </c>
      <c r="H39" s="993">
        <f>reference_points!AR36</f>
        <v>13.984572996514199</v>
      </c>
      <c r="I39" s="993">
        <f ca="1">'YTD display'!I37</f>
        <v>0</v>
      </c>
      <c r="J39" s="991">
        <f>'Asking Rate'!F37</f>
        <v>0.36315959784452373</v>
      </c>
      <c r="K39" s="990">
        <v>0.874</v>
      </c>
      <c r="L39" s="955">
        <f>prod_compiled!W36</f>
        <v>0</v>
      </c>
      <c r="M39" s="731">
        <f>prod_compiled!W71</f>
        <v>0</v>
      </c>
      <c r="N39" s="727">
        <f>'YTD display'!L37</f>
        <v>0.36315959784452373</v>
      </c>
      <c r="O39" s="727">
        <f t="shared" si="2"/>
        <v>0.86636113211275267</v>
      </c>
      <c r="P39" s="731">
        <f t="shared" si="3"/>
        <v>0</v>
      </c>
    </row>
    <row r="40" spans="3:21" ht="18.75">
      <c r="D40" s="948" t="s">
        <v>878</v>
      </c>
      <c r="E40" s="995">
        <f>E26*$C26+E27*$C27+E28*$C28+E29*$B29+E30*$C30+E31*$C31+E32*$C32+E33*$C33+E34*$C34+E35*$C35+E36*$C36+E37*$C37+E38*$C38+E39*$C39</f>
        <v>7.051003940701821</v>
      </c>
      <c r="F40" s="995">
        <f>F26*$C26+F27*$C27+F28*$C28+F29*$B29+F30*$C30+F31*$C31+F32*$C32+F33*$C33+F34*$C34+F35*$C35+F36*$C36+F37*$C37+F38*$C38+F39*$C39</f>
        <v>0</v>
      </c>
      <c r="G40" s="995">
        <f>G26*$C26+G27*$C27+G28*$C28+G29*$B29+G30*$C30+G31*$C31+G32*$C32+G33*$C33+G34*$C34+G35*$C35+G36*$C36+G37*$C37+G38*$C38+G39*$C39</f>
        <v>6.8466497616903608</v>
      </c>
      <c r="H40" s="995">
        <f>H26*$C26+H27*$C27+H28*$C28+H29*$B29+H30*$C30+H31*$C31+H32*$C32+H33*$C33+H34*$C34+H35*$C35+H36*$C36+H37*$C37+H38*$C38+H39*$C39</f>
        <v>7.3731600864291638</v>
      </c>
      <c r="I40" s="996">
        <f ca="1">'YTD display'!I38</f>
        <v>0</v>
      </c>
      <c r="J40" s="991"/>
      <c r="K40" s="991"/>
      <c r="L40" s="956">
        <f>L26*C26+L27*C27+L28*C28+IF(L6&lt; DATE(2024, 11, 29), L29 * (2.31 / 100), L29 * (2.925 / 100))+L30*C30+L31*C31+L32*C32+L33*C33+L34*C34+L35*C35+L36*C36+L37*C37+L38*C38+L39*C39</f>
        <v>0</v>
      </c>
      <c r="M40" s="731">
        <f>SUM(M26:M39)</f>
        <v>0</v>
      </c>
      <c r="N40" s="727">
        <f>'YTD display'!L38</f>
        <v>1.1221266888778076</v>
      </c>
      <c r="O40" s="728">
        <f>SUM(O26:O39)</f>
        <v>2.6769688983032669</v>
      </c>
      <c r="P40" s="731">
        <f>SUM(P26:P39)</f>
        <v>0</v>
      </c>
    </row>
    <row r="41" spans="3:21" ht="23.25" customHeight="1">
      <c r="D41" s="957" t="s">
        <v>984</v>
      </c>
      <c r="E41" s="988">
        <f>K41</f>
        <v>2.5739999999999998</v>
      </c>
      <c r="F41" s="997"/>
      <c r="G41" s="997"/>
      <c r="H41" s="951"/>
      <c r="I41" s="988">
        <f>O40</f>
        <v>2.6769688983032669</v>
      </c>
      <c r="J41" s="998">
        <f>'Asking Rate'!F38</f>
        <v>1.1221266888778076</v>
      </c>
      <c r="K41" s="998">
        <v>2.5739999999999998</v>
      </c>
      <c r="L41" s="958">
        <f>P40</f>
        <v>0</v>
      </c>
      <c r="N41" s="727"/>
      <c r="O41" s="727"/>
      <c r="P41" s="731"/>
    </row>
    <row r="42" spans="3:21" ht="33" hidden="1" customHeight="1">
      <c r="D42" s="959" t="s">
        <v>1819</v>
      </c>
      <c r="E42" s="951"/>
      <c r="F42" s="951"/>
      <c r="G42" s="951"/>
      <c r="H42" s="951"/>
      <c r="I42" s="952">
        <f>O42</f>
        <v>2.6909688983032667</v>
      </c>
      <c r="J42" s="951"/>
      <c r="K42" s="951"/>
      <c r="L42" s="960">
        <f>P42</f>
        <v>1.4E-2</v>
      </c>
      <c r="N42" s="727"/>
      <c r="O42" s="727">
        <f>SUM(O26:O39)+0.014</f>
        <v>2.6909688983032667</v>
      </c>
      <c r="P42" s="731">
        <f>SUM(P26:P39)+0.014</f>
        <v>1.4E-2</v>
      </c>
    </row>
    <row r="43" spans="3:21" ht="24.75" customHeight="1" thickBot="1">
      <c r="D43" s="961" t="s">
        <v>2283</v>
      </c>
      <c r="E43" s="999">
        <f>E23+E41</f>
        <v>9.8260000000000005</v>
      </c>
      <c r="F43" s="999">
        <f>F23+F41</f>
        <v>0</v>
      </c>
      <c r="G43" s="999"/>
      <c r="H43" s="999"/>
      <c r="I43" s="999">
        <f>O43</f>
        <v>9.981029293606472</v>
      </c>
      <c r="J43" s="999">
        <f>J23+J41</f>
        <v>4.1838287175939453</v>
      </c>
      <c r="K43" s="999">
        <v>9.8260000000000005</v>
      </c>
      <c r="L43" s="962">
        <f>P43</f>
        <v>0</v>
      </c>
      <c r="N43" s="727"/>
      <c r="O43" s="728">
        <f>O22+O40</f>
        <v>9.981029293606472</v>
      </c>
      <c r="P43" s="732">
        <f>P22+P40</f>
        <v>0</v>
      </c>
      <c r="U43" s="197"/>
    </row>
    <row r="44" spans="3:21" ht="40.5" hidden="1" customHeight="1">
      <c r="D44" s="943" t="s">
        <v>1820</v>
      </c>
      <c r="E44" s="944"/>
      <c r="F44" s="945"/>
      <c r="G44" s="945">
        <f>G24+G42</f>
        <v>7.7439999999999998</v>
      </c>
      <c r="H44" s="945"/>
      <c r="I44" s="945"/>
      <c r="J44" s="946">
        <f>O46</f>
        <v>10.063029293606471</v>
      </c>
      <c r="K44" s="946"/>
      <c r="L44" s="946">
        <f>P46</f>
        <v>8.2000000000000003E-2</v>
      </c>
      <c r="N44" s="727"/>
      <c r="O44" s="728"/>
      <c r="P44" s="732"/>
    </row>
    <row r="45" spans="3:21" ht="28.5" hidden="1" customHeight="1">
      <c r="D45" s="1302" t="s">
        <v>1857</v>
      </c>
      <c r="E45" s="1303"/>
      <c r="F45" s="1303"/>
      <c r="G45" s="1303"/>
      <c r="H45" s="1304"/>
      <c r="I45" s="1303"/>
      <c r="J45" s="1303"/>
      <c r="K45" s="1305"/>
      <c r="L45" s="1306"/>
      <c r="O45" s="728">
        <f>O23+O41</f>
        <v>0</v>
      </c>
      <c r="P45" s="728">
        <f>P23+P41</f>
        <v>0</v>
      </c>
    </row>
    <row r="46" spans="3:21">
      <c r="O46" s="728">
        <f>O24+O42</f>
        <v>10.063029293606471</v>
      </c>
      <c r="P46" s="728">
        <f>P24+P42</f>
        <v>8.2000000000000003E-2</v>
      </c>
    </row>
    <row r="48" spans="3:21">
      <c r="F48" t="s">
        <v>1059</v>
      </c>
      <c r="G48" t="s">
        <v>1059</v>
      </c>
    </row>
  </sheetData>
  <mergeCells count="12">
    <mergeCell ref="D4:L4"/>
    <mergeCell ref="D5:D6"/>
    <mergeCell ref="E5:E6"/>
    <mergeCell ref="F5:F6"/>
    <mergeCell ref="G5:G6"/>
    <mergeCell ref="J5:J6"/>
    <mergeCell ref="K5:K6"/>
    <mergeCell ref="E7:I7"/>
    <mergeCell ref="J7:K7"/>
    <mergeCell ref="E25:I25"/>
    <mergeCell ref="J25:K25"/>
    <mergeCell ref="D45:L45"/>
  </mergeCells>
  <conditionalFormatting sqref="I8:I20 I22">
    <cfRule type="cellIs" dxfId="84" priority="9" operator="lessThan">
      <formula>$E8</formula>
    </cfRule>
    <cfRule type="cellIs" dxfId="83" priority="10" operator="greaterThan">
      <formula>$E8</formula>
    </cfRule>
  </conditionalFormatting>
  <conditionalFormatting sqref="I26:I34 I38:I40">
    <cfRule type="cellIs" dxfId="82" priority="7" operator="lessThan">
      <formula>$E26</formula>
    </cfRule>
    <cfRule type="cellIs" dxfId="81" priority="8" operator="greaterThan">
      <formula>$E26</formula>
    </cfRule>
  </conditionalFormatting>
  <conditionalFormatting sqref="L8:L21">
    <cfRule type="cellIs" dxfId="80" priority="5" operator="lessThan">
      <formula>$F8</formula>
    </cfRule>
    <cfRule type="cellIs" dxfId="79" priority="6" operator="greaterThan">
      <formula>$F8</formula>
    </cfRule>
  </conditionalFormatting>
  <conditionalFormatting sqref="L22">
    <cfRule type="cellIs" dxfId="78" priority="3" operator="lessThan">
      <formula>$F22</formula>
    </cfRule>
    <cfRule type="cellIs" dxfId="77" priority="4" operator="greaterThan">
      <formula>$F22</formula>
    </cfRule>
  </conditionalFormatting>
  <conditionalFormatting sqref="L26:L40">
    <cfRule type="cellIs" dxfId="76" priority="1" operator="lessThan">
      <formula>$F26</formula>
    </cfRule>
    <cfRule type="cellIs" dxfId="75" priority="2" operator="greaterThan">
      <formula>$F26</formula>
    </cfRule>
  </conditionalFormatting>
  <pageMargins left="0.25" right="0.25" top="0.75" bottom="0.75" header="0.3" footer="0.3"/>
  <pageSetup paperSize="9" scale="84"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89473" r:id="rId4" name="Button 1">
              <controlPr defaultSize="0" print="0" autoFill="0" autoPict="0" macro="[0]!Internal_Button1_Click">
                <anchor moveWithCells="1" sizeWithCells="1">
                  <from>
                    <xdr:col>17</xdr:col>
                    <xdr:colOff>200025</xdr:colOff>
                    <xdr:row>12</xdr:row>
                    <xdr:rowOff>219075</xdr:rowOff>
                  </from>
                  <to>
                    <xdr:col>21</xdr:col>
                    <xdr:colOff>47625</xdr:colOff>
                    <xdr:row>17</xdr:row>
                    <xdr:rowOff>104775</xdr:rowOff>
                  </to>
                </anchor>
              </controlPr>
            </control>
          </mc:Choice>
        </mc:AlternateContent>
        <mc:AlternateContent xmlns:mc="http://schemas.openxmlformats.org/markup-compatibility/2006">
          <mc:Choice Requires="x14">
            <control shapeId="489474" r:id="rId5" name="Button 2">
              <controlPr defaultSize="0" print="0" autoFill="0" autoPict="0" macro="[0]!Internal_screenshot_Button2_Click">
                <anchor moveWithCells="1" sizeWithCells="1">
                  <from>
                    <xdr:col>17</xdr:col>
                    <xdr:colOff>542925</xdr:colOff>
                    <xdr:row>9</xdr:row>
                    <xdr:rowOff>200025</xdr:rowOff>
                  </from>
                  <to>
                    <xdr:col>20</xdr:col>
                    <xdr:colOff>333375</xdr:colOff>
                    <xdr:row>12</xdr:row>
                    <xdr:rowOff>66675</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tabColor rgb="FF92D050"/>
  </sheetPr>
  <dimension ref="C5:AG1469"/>
  <sheetViews>
    <sheetView workbookViewId="0"/>
  </sheetViews>
  <sheetFormatPr defaultColWidth="8.85546875" defaultRowHeight="15"/>
  <cols>
    <col min="3" max="3" width="10.85546875" customWidth="1"/>
    <col min="9" max="9" width="10.28515625" customWidth="1"/>
    <col min="14" max="14" width="11.42578125" customWidth="1"/>
    <col min="15" max="15" width="11.7109375" customWidth="1"/>
    <col min="19" max="19" width="10.42578125" customWidth="1"/>
    <col min="24" max="24" width="10.28515625" customWidth="1"/>
    <col min="29" max="30" width="11.42578125" customWidth="1"/>
    <col min="32" max="32" width="10" customWidth="1"/>
  </cols>
  <sheetData>
    <row r="5" spans="3:33" ht="15.75">
      <c r="D5" s="1166" t="s">
        <v>289</v>
      </c>
      <c r="E5" s="1166"/>
      <c r="F5" s="1166"/>
      <c r="G5" s="1166"/>
      <c r="H5" s="1166"/>
      <c r="I5" s="1166"/>
      <c r="J5" s="1166"/>
      <c r="K5" s="1166"/>
      <c r="L5" s="1166"/>
      <c r="M5" s="1166"/>
      <c r="N5" s="1166"/>
      <c r="O5" s="1166"/>
      <c r="P5" s="1166"/>
      <c r="Q5" s="1166"/>
      <c r="R5" s="1166"/>
      <c r="S5" s="1167" t="s">
        <v>290</v>
      </c>
      <c r="T5" s="1167"/>
      <c r="U5" s="1167"/>
      <c r="V5" s="1167"/>
      <c r="W5" s="1167"/>
      <c r="X5" s="1167"/>
      <c r="Y5" s="1167"/>
      <c r="Z5" s="1167"/>
      <c r="AA5" s="1167"/>
      <c r="AB5" s="1167"/>
      <c r="AC5" s="1167"/>
      <c r="AD5" s="1167"/>
      <c r="AE5" s="1167"/>
      <c r="AF5" s="1167"/>
      <c r="AG5" s="1167"/>
    </row>
    <row r="6" spans="3:33" ht="15.75">
      <c r="D6" s="670">
        <v>2.9250000000000002E-2</v>
      </c>
      <c r="E6" s="671">
        <v>0.27</v>
      </c>
      <c r="F6" s="671">
        <v>0.7</v>
      </c>
      <c r="G6" s="671">
        <v>0.5</v>
      </c>
      <c r="H6" s="671">
        <v>1</v>
      </c>
      <c r="I6" s="671">
        <v>0.2</v>
      </c>
      <c r="J6" s="671">
        <v>0.26</v>
      </c>
      <c r="K6" s="671">
        <v>0.25</v>
      </c>
      <c r="L6" s="670">
        <v>0.24124999999999999</v>
      </c>
      <c r="M6" s="671">
        <v>0.04</v>
      </c>
      <c r="N6" s="671">
        <v>0.11</v>
      </c>
      <c r="O6" s="671">
        <v>0.4</v>
      </c>
      <c r="P6" s="671">
        <v>0.45</v>
      </c>
      <c r="Q6" s="671">
        <v>0.17</v>
      </c>
      <c r="R6" s="1310" t="s">
        <v>475</v>
      </c>
      <c r="S6" s="672">
        <v>2.3099999999999999E-2</v>
      </c>
      <c r="T6" s="673">
        <v>0.27</v>
      </c>
      <c r="U6" s="673">
        <v>0.7</v>
      </c>
      <c r="V6" s="673">
        <v>0.5</v>
      </c>
      <c r="W6" s="673">
        <v>1</v>
      </c>
      <c r="X6" s="673">
        <v>0.2</v>
      </c>
      <c r="Y6" s="673">
        <v>0.26</v>
      </c>
      <c r="Z6" s="673">
        <v>0.25</v>
      </c>
      <c r="AA6" s="672">
        <v>0.24124999999999999</v>
      </c>
      <c r="AB6" s="673">
        <v>0.04</v>
      </c>
      <c r="AC6" s="673">
        <v>0.11</v>
      </c>
      <c r="AD6" s="673">
        <v>0.4</v>
      </c>
      <c r="AE6" s="673">
        <v>0.45</v>
      </c>
      <c r="AF6" s="673">
        <v>0.17</v>
      </c>
      <c r="AG6" s="1284" t="s">
        <v>475</v>
      </c>
    </row>
    <row r="7" spans="3:33" ht="15.75" customHeight="1">
      <c r="D7" s="658" t="s">
        <v>57</v>
      </c>
      <c r="E7" s="658" t="s">
        <v>58</v>
      </c>
      <c r="F7" s="658" t="s">
        <v>63</v>
      </c>
      <c r="G7" s="658" t="s">
        <v>59</v>
      </c>
      <c r="H7" s="658" t="s">
        <v>62</v>
      </c>
      <c r="I7" s="658" t="s">
        <v>118</v>
      </c>
      <c r="J7" s="658" t="s">
        <v>61</v>
      </c>
      <c r="K7" s="658" t="s">
        <v>67</v>
      </c>
      <c r="L7" s="658" t="s">
        <v>68</v>
      </c>
      <c r="M7" s="658" t="s">
        <v>66</v>
      </c>
      <c r="N7" s="658" t="s">
        <v>64</v>
      </c>
      <c r="O7" s="658" t="s">
        <v>65</v>
      </c>
      <c r="P7" s="658" t="s">
        <v>69</v>
      </c>
      <c r="Q7" s="658" t="s">
        <v>70</v>
      </c>
      <c r="R7" s="1311"/>
      <c r="S7" s="659" t="s">
        <v>57</v>
      </c>
      <c r="T7" s="659" t="s">
        <v>58</v>
      </c>
      <c r="U7" s="659" t="s">
        <v>63</v>
      </c>
      <c r="V7" s="659" t="s">
        <v>59</v>
      </c>
      <c r="W7" s="659" t="s">
        <v>62</v>
      </c>
      <c r="X7" s="659" t="s">
        <v>118</v>
      </c>
      <c r="Y7" s="659" t="s">
        <v>61</v>
      </c>
      <c r="Z7" s="659" t="s">
        <v>67</v>
      </c>
      <c r="AA7" s="659" t="s">
        <v>68</v>
      </c>
      <c r="AB7" s="659" t="s">
        <v>66</v>
      </c>
      <c r="AC7" s="659" t="s">
        <v>64</v>
      </c>
      <c r="AD7" s="659" t="s">
        <v>65</v>
      </c>
      <c r="AE7" s="659" t="s">
        <v>69</v>
      </c>
      <c r="AF7" s="659" t="s">
        <v>70</v>
      </c>
      <c r="AG7" s="1285"/>
    </row>
    <row r="8" spans="3:33" ht="15.75">
      <c r="D8" s="658" t="s">
        <v>119</v>
      </c>
      <c r="E8" s="658" t="s">
        <v>120</v>
      </c>
      <c r="F8" s="658" t="s">
        <v>121</v>
      </c>
      <c r="G8" s="658" t="s">
        <v>121</v>
      </c>
      <c r="H8" s="658" t="s">
        <v>122</v>
      </c>
      <c r="I8" s="658" t="s">
        <v>122</v>
      </c>
      <c r="J8" s="658" t="s">
        <v>122</v>
      </c>
      <c r="K8" s="658" t="s">
        <v>123</v>
      </c>
      <c r="L8" s="658" t="s">
        <v>123</v>
      </c>
      <c r="M8" s="658" t="s">
        <v>124</v>
      </c>
      <c r="N8" s="658" t="s">
        <v>125</v>
      </c>
      <c r="O8" s="658" t="s">
        <v>125</v>
      </c>
      <c r="P8" s="658" t="s">
        <v>126</v>
      </c>
      <c r="Q8" s="658" t="s">
        <v>127</v>
      </c>
      <c r="R8" s="1181"/>
      <c r="S8" s="659" t="s">
        <v>119</v>
      </c>
      <c r="T8" s="659" t="s">
        <v>120</v>
      </c>
      <c r="U8" s="659" t="s">
        <v>121</v>
      </c>
      <c r="V8" s="659" t="s">
        <v>121</v>
      </c>
      <c r="W8" s="659" t="s">
        <v>122</v>
      </c>
      <c r="X8" s="659" t="s">
        <v>122</v>
      </c>
      <c r="Y8" s="659" t="s">
        <v>122</v>
      </c>
      <c r="Z8" s="659" t="s">
        <v>123</v>
      </c>
      <c r="AA8" s="659" t="s">
        <v>123</v>
      </c>
      <c r="AB8" s="659" t="s">
        <v>124</v>
      </c>
      <c r="AC8" s="659" t="s">
        <v>125</v>
      </c>
      <c r="AD8" s="659" t="s">
        <v>125</v>
      </c>
      <c r="AE8" s="659" t="s">
        <v>126</v>
      </c>
      <c r="AF8" s="659" t="s">
        <v>127</v>
      </c>
      <c r="AG8" s="1286"/>
    </row>
    <row r="9" spans="3:33" hidden="1">
      <c r="C9" s="235">
        <v>44652</v>
      </c>
    </row>
    <row r="10" spans="3:33" hidden="1">
      <c r="C10" s="237">
        <v>44653</v>
      </c>
    </row>
    <row r="11" spans="3:33" hidden="1">
      <c r="C11" s="235">
        <v>44654</v>
      </c>
    </row>
    <row r="12" spans="3:33" hidden="1">
      <c r="C12" s="237">
        <v>44655</v>
      </c>
    </row>
    <row r="13" spans="3:33" hidden="1">
      <c r="C13" s="235">
        <v>44656</v>
      </c>
    </row>
    <row r="14" spans="3:33" hidden="1">
      <c r="C14" s="237">
        <v>44657</v>
      </c>
    </row>
    <row r="15" spans="3:33" hidden="1">
      <c r="C15" s="235">
        <v>44658</v>
      </c>
    </row>
    <row r="16" spans="3:33" hidden="1">
      <c r="C16" s="237">
        <v>44659</v>
      </c>
    </row>
    <row r="17" spans="3:12" hidden="1">
      <c r="C17" s="235">
        <v>44660</v>
      </c>
      <c r="L17" t="s">
        <v>525</v>
      </c>
    </row>
    <row r="18" spans="3:12" hidden="1">
      <c r="C18" s="237">
        <v>44661</v>
      </c>
    </row>
    <row r="19" spans="3:12" hidden="1">
      <c r="C19" s="235">
        <v>44662</v>
      </c>
      <c r="E19" t="s">
        <v>513</v>
      </c>
    </row>
    <row r="20" spans="3:12" hidden="1">
      <c r="C20" s="237">
        <v>44663</v>
      </c>
    </row>
    <row r="21" spans="3:12" hidden="1">
      <c r="C21" s="235">
        <v>44664</v>
      </c>
    </row>
    <row r="22" spans="3:12" hidden="1">
      <c r="C22" s="237">
        <v>44665</v>
      </c>
    </row>
    <row r="23" spans="3:12" hidden="1">
      <c r="C23" s="235">
        <v>44666</v>
      </c>
    </row>
    <row r="24" spans="3:12" hidden="1">
      <c r="C24" s="237">
        <v>44667</v>
      </c>
    </row>
    <row r="25" spans="3:12" hidden="1">
      <c r="C25" s="235">
        <v>44668</v>
      </c>
    </row>
    <row r="26" spans="3:12" hidden="1">
      <c r="C26" s="237">
        <v>44669</v>
      </c>
    </row>
    <row r="27" spans="3:12" hidden="1">
      <c r="C27" s="235">
        <v>44670</v>
      </c>
    </row>
    <row r="28" spans="3:12" hidden="1">
      <c r="C28" s="237">
        <v>44671</v>
      </c>
    </row>
    <row r="29" spans="3:12" hidden="1">
      <c r="C29" s="235">
        <v>44672</v>
      </c>
    </row>
    <row r="30" spans="3:12" hidden="1">
      <c r="C30" s="237">
        <v>44673</v>
      </c>
    </row>
    <row r="31" spans="3:12" hidden="1">
      <c r="C31" s="235">
        <v>44674</v>
      </c>
    </row>
    <row r="32" spans="3:12" hidden="1">
      <c r="C32" s="237">
        <v>44675</v>
      </c>
    </row>
    <row r="33" spans="3:31" hidden="1">
      <c r="C33" s="235">
        <v>44676</v>
      </c>
    </row>
    <row r="34" spans="3:31" hidden="1">
      <c r="C34" s="237">
        <v>44677</v>
      </c>
    </row>
    <row r="35" spans="3:31" hidden="1">
      <c r="C35" s="235">
        <v>44678</v>
      </c>
      <c r="I35" t="s">
        <v>535</v>
      </c>
      <c r="L35" t="s">
        <v>526</v>
      </c>
    </row>
    <row r="36" spans="3:31" hidden="1">
      <c r="C36" s="237">
        <v>44679</v>
      </c>
    </row>
    <row r="37" spans="3:31" hidden="1">
      <c r="C37" s="235">
        <v>44680</v>
      </c>
    </row>
    <row r="38" spans="3:31" hidden="1">
      <c r="C38" s="237">
        <v>44681</v>
      </c>
    </row>
    <row r="39" spans="3:31" hidden="1">
      <c r="C39" s="235">
        <v>44682</v>
      </c>
    </row>
    <row r="40" spans="3:31" hidden="1">
      <c r="C40" s="237">
        <v>44683</v>
      </c>
      <c r="AE40" t="s">
        <v>531</v>
      </c>
    </row>
    <row r="41" spans="3:31" hidden="1">
      <c r="C41" s="235">
        <v>44684</v>
      </c>
    </row>
    <row r="42" spans="3:31" hidden="1">
      <c r="C42" s="237">
        <v>44685</v>
      </c>
    </row>
    <row r="43" spans="3:31" hidden="1">
      <c r="C43" s="235">
        <v>44686</v>
      </c>
    </row>
    <row r="44" spans="3:31" hidden="1">
      <c r="C44" s="237">
        <v>44687</v>
      </c>
    </row>
    <row r="45" spans="3:31" hidden="1">
      <c r="C45" s="235">
        <v>44688</v>
      </c>
    </row>
    <row r="46" spans="3:31" hidden="1">
      <c r="C46" s="237">
        <v>44689</v>
      </c>
      <c r="F46" t="s">
        <v>519</v>
      </c>
    </row>
    <row r="47" spans="3:31" hidden="1">
      <c r="C47" s="235">
        <v>44690</v>
      </c>
      <c r="D47" t="s">
        <v>515</v>
      </c>
    </row>
    <row r="48" spans="3:31" hidden="1">
      <c r="C48" s="237">
        <v>44691</v>
      </c>
    </row>
    <row r="49" spans="3:32" hidden="1">
      <c r="C49" s="235">
        <v>44692</v>
      </c>
    </row>
    <row r="50" spans="3:32" hidden="1">
      <c r="C50" s="237">
        <v>44693</v>
      </c>
      <c r="F50" t="s">
        <v>520</v>
      </c>
    </row>
    <row r="51" spans="3:32" hidden="1">
      <c r="C51" s="235">
        <v>44694</v>
      </c>
    </row>
    <row r="52" spans="3:32" hidden="1">
      <c r="C52" s="237">
        <v>44695</v>
      </c>
    </row>
    <row r="53" spans="3:32" hidden="1">
      <c r="C53" s="235">
        <v>44696</v>
      </c>
    </row>
    <row r="54" spans="3:32" hidden="1">
      <c r="C54" s="237">
        <v>44697</v>
      </c>
    </row>
    <row r="55" spans="3:32" hidden="1">
      <c r="C55" s="235">
        <v>44698</v>
      </c>
      <c r="H55" t="s">
        <v>529</v>
      </c>
    </row>
    <row r="56" spans="3:32" hidden="1">
      <c r="C56" s="237">
        <v>44699</v>
      </c>
    </row>
    <row r="57" spans="3:32" hidden="1">
      <c r="C57" s="235">
        <v>44700</v>
      </c>
      <c r="AF57" t="s">
        <v>534</v>
      </c>
    </row>
    <row r="58" spans="3:32" hidden="1">
      <c r="C58" s="237">
        <v>44701</v>
      </c>
    </row>
    <row r="59" spans="3:32" hidden="1">
      <c r="C59" s="235">
        <v>44702</v>
      </c>
      <c r="AF59" t="s">
        <v>533</v>
      </c>
    </row>
    <row r="60" spans="3:32" hidden="1">
      <c r="C60" s="237">
        <v>44703</v>
      </c>
    </row>
    <row r="61" spans="3:32" hidden="1">
      <c r="C61" s="235">
        <v>44704</v>
      </c>
      <c r="AE61" t="s">
        <v>531</v>
      </c>
    </row>
    <row r="62" spans="3:32" hidden="1">
      <c r="C62" s="237">
        <v>44705</v>
      </c>
    </row>
    <row r="63" spans="3:32" hidden="1">
      <c r="C63" s="235">
        <v>44706</v>
      </c>
      <c r="K63" t="s">
        <v>524</v>
      </c>
    </row>
    <row r="64" spans="3:32" hidden="1">
      <c r="C64" s="237">
        <v>44707</v>
      </c>
    </row>
    <row r="65" spans="3:31" hidden="1">
      <c r="C65" s="235">
        <v>44708</v>
      </c>
    </row>
    <row r="66" spans="3:31" hidden="1">
      <c r="C66" s="237">
        <v>44709</v>
      </c>
    </row>
    <row r="67" spans="3:31" hidden="1">
      <c r="C67" s="235">
        <v>44710</v>
      </c>
      <c r="F67" t="s">
        <v>522</v>
      </c>
    </row>
    <row r="68" spans="3:31" hidden="1">
      <c r="C68" s="237">
        <v>44711</v>
      </c>
      <c r="I68" t="s">
        <v>536</v>
      </c>
    </row>
    <row r="69" spans="3:31" hidden="1">
      <c r="C69" s="235">
        <v>44712</v>
      </c>
    </row>
    <row r="70" spans="3:31" hidden="1">
      <c r="C70" s="237">
        <v>44713</v>
      </c>
    </row>
    <row r="71" spans="3:31" hidden="1">
      <c r="C71" s="235">
        <v>44714</v>
      </c>
    </row>
    <row r="72" spans="3:31" hidden="1">
      <c r="C72" s="237">
        <v>44715</v>
      </c>
    </row>
    <row r="73" spans="3:31" hidden="1">
      <c r="C73" s="235">
        <v>44716</v>
      </c>
    </row>
    <row r="74" spans="3:31" hidden="1">
      <c r="C74" s="237">
        <v>44717</v>
      </c>
      <c r="L74" t="s">
        <v>527</v>
      </c>
      <c r="AE74" t="s">
        <v>531</v>
      </c>
    </row>
    <row r="75" spans="3:31" hidden="1">
      <c r="C75" s="235">
        <v>44718</v>
      </c>
      <c r="D75" t="s">
        <v>516</v>
      </c>
    </row>
    <row r="76" spans="3:31" hidden="1">
      <c r="C76" s="237">
        <v>44719</v>
      </c>
    </row>
    <row r="77" spans="3:31" hidden="1">
      <c r="C77" s="235">
        <v>44720</v>
      </c>
    </row>
    <row r="78" spans="3:31" hidden="1">
      <c r="C78" s="237">
        <v>44721</v>
      </c>
    </row>
    <row r="79" spans="3:31" hidden="1">
      <c r="C79" s="235">
        <v>44722</v>
      </c>
    </row>
    <row r="80" spans="3:31" hidden="1">
      <c r="C80" s="237">
        <v>44723</v>
      </c>
    </row>
    <row r="81" spans="3:31" hidden="1">
      <c r="C81" s="235">
        <v>44724</v>
      </c>
    </row>
    <row r="82" spans="3:31" hidden="1">
      <c r="C82" s="237">
        <v>44725</v>
      </c>
      <c r="D82" t="s">
        <v>512</v>
      </c>
    </row>
    <row r="83" spans="3:31" hidden="1">
      <c r="C83" s="235">
        <v>44726</v>
      </c>
    </row>
    <row r="84" spans="3:31" hidden="1">
      <c r="C84" s="237">
        <v>44727</v>
      </c>
    </row>
    <row r="85" spans="3:31" hidden="1">
      <c r="C85" s="235">
        <v>44728</v>
      </c>
    </row>
    <row r="86" spans="3:31" hidden="1">
      <c r="C86" s="237">
        <v>44729</v>
      </c>
    </row>
    <row r="87" spans="3:31" hidden="1">
      <c r="C87" s="235">
        <v>44730</v>
      </c>
    </row>
    <row r="88" spans="3:31" hidden="1">
      <c r="C88" s="237">
        <v>44731</v>
      </c>
    </row>
    <row r="89" spans="3:31" hidden="1">
      <c r="C89" s="235">
        <v>44732</v>
      </c>
    </row>
    <row r="90" spans="3:31" hidden="1">
      <c r="C90" s="237">
        <v>44733</v>
      </c>
    </row>
    <row r="91" spans="3:31" hidden="1">
      <c r="C91" s="235">
        <v>44734</v>
      </c>
    </row>
    <row r="92" spans="3:31" hidden="1">
      <c r="C92" s="237">
        <v>44735</v>
      </c>
    </row>
    <row r="93" spans="3:31" hidden="1">
      <c r="C93" s="235">
        <v>44736</v>
      </c>
    </row>
    <row r="94" spans="3:31" hidden="1">
      <c r="C94" s="237">
        <v>44737</v>
      </c>
    </row>
    <row r="95" spans="3:31" hidden="1">
      <c r="C95" s="235">
        <v>44738</v>
      </c>
      <c r="AE95" t="s">
        <v>531</v>
      </c>
    </row>
    <row r="96" spans="3:31" hidden="1">
      <c r="C96" s="237">
        <v>44739</v>
      </c>
    </row>
    <row r="97" spans="3:32" hidden="1">
      <c r="C97" s="235">
        <v>44740</v>
      </c>
    </row>
    <row r="98" spans="3:32" hidden="1">
      <c r="C98" s="237">
        <v>44741</v>
      </c>
    </row>
    <row r="99" spans="3:32" hidden="1">
      <c r="C99" s="235">
        <v>44742</v>
      </c>
      <c r="M99" t="s">
        <v>528</v>
      </c>
    </row>
    <row r="100" spans="3:32" hidden="1">
      <c r="C100" s="237">
        <v>44743</v>
      </c>
      <c r="F100" t="s">
        <v>521</v>
      </c>
    </row>
    <row r="101" spans="3:32" hidden="1">
      <c r="C101" s="235">
        <v>44744</v>
      </c>
      <c r="AF101" t="s">
        <v>537</v>
      </c>
    </row>
    <row r="102" spans="3:32" hidden="1">
      <c r="C102" s="237">
        <v>44745</v>
      </c>
      <c r="L102" t="s">
        <v>527</v>
      </c>
      <c r="AE102" t="s">
        <v>531</v>
      </c>
    </row>
    <row r="103" spans="3:32" hidden="1">
      <c r="C103" s="235">
        <v>44746</v>
      </c>
    </row>
    <row r="104" spans="3:32" hidden="1">
      <c r="C104" s="237">
        <v>44747</v>
      </c>
      <c r="D104" t="s">
        <v>517</v>
      </c>
    </row>
    <row r="105" spans="3:32" hidden="1">
      <c r="C105" s="235">
        <v>44748</v>
      </c>
    </row>
    <row r="106" spans="3:32" hidden="1">
      <c r="C106" s="237">
        <v>44749</v>
      </c>
    </row>
    <row r="107" spans="3:32" hidden="1">
      <c r="C107" s="235">
        <v>44750</v>
      </c>
    </row>
    <row r="108" spans="3:32" hidden="1">
      <c r="C108" s="237">
        <v>44751</v>
      </c>
      <c r="F108" t="s">
        <v>523</v>
      </c>
    </row>
    <row r="109" spans="3:32" hidden="1">
      <c r="C109" s="235">
        <v>44752</v>
      </c>
    </row>
    <row r="110" spans="3:32" hidden="1">
      <c r="C110" s="237">
        <v>44753</v>
      </c>
      <c r="E110" t="s">
        <v>518</v>
      </c>
    </row>
    <row r="111" spans="3:32" hidden="1">
      <c r="C111" s="235">
        <v>44754</v>
      </c>
    </row>
    <row r="112" spans="3:32" hidden="1">
      <c r="C112" s="237">
        <v>44755</v>
      </c>
      <c r="F112" t="s">
        <v>520</v>
      </c>
    </row>
    <row r="113" spans="3:32" hidden="1">
      <c r="C113" s="235">
        <v>44756</v>
      </c>
    </row>
    <row r="114" spans="3:32" hidden="1">
      <c r="C114" s="237">
        <v>44757</v>
      </c>
    </row>
    <row r="115" spans="3:32" hidden="1">
      <c r="C115" s="235">
        <v>44758</v>
      </c>
    </row>
    <row r="116" spans="3:32" hidden="1">
      <c r="C116" s="237">
        <v>44759</v>
      </c>
      <c r="AE116" t="s">
        <v>532</v>
      </c>
    </row>
    <row r="117" spans="3:32" hidden="1">
      <c r="C117" s="235">
        <v>44760</v>
      </c>
      <c r="E117" t="s">
        <v>514</v>
      </c>
    </row>
    <row r="118" spans="3:32" hidden="1">
      <c r="C118" s="237">
        <v>44761</v>
      </c>
    </row>
    <row r="119" spans="3:32" hidden="1">
      <c r="C119" s="235">
        <v>44762</v>
      </c>
      <c r="H119" t="s">
        <v>530</v>
      </c>
      <c r="L119" t="s">
        <v>539</v>
      </c>
    </row>
    <row r="120" spans="3:32" hidden="1">
      <c r="C120" s="237">
        <v>44763</v>
      </c>
      <c r="J120" t="s">
        <v>541</v>
      </c>
      <c r="AF120" t="s">
        <v>540</v>
      </c>
    </row>
    <row r="121" spans="3:32" hidden="1">
      <c r="C121" s="235">
        <v>44764</v>
      </c>
      <c r="F121" t="s">
        <v>538</v>
      </c>
    </row>
    <row r="122" spans="3:32" hidden="1">
      <c r="C122" s="237">
        <v>44765</v>
      </c>
    </row>
    <row r="123" spans="3:32" hidden="1">
      <c r="C123" s="235">
        <v>44766</v>
      </c>
    </row>
    <row r="124" spans="3:32" hidden="1">
      <c r="C124" s="237">
        <v>44767</v>
      </c>
      <c r="D124" t="s">
        <v>542</v>
      </c>
    </row>
    <row r="125" spans="3:32" hidden="1">
      <c r="C125" s="235">
        <v>44768</v>
      </c>
      <c r="AF125" t="s">
        <v>543</v>
      </c>
    </row>
    <row r="126" spans="3:32" hidden="1">
      <c r="C126" s="237">
        <v>44769</v>
      </c>
      <c r="F126" t="s">
        <v>544</v>
      </c>
    </row>
    <row r="127" spans="3:32" hidden="1">
      <c r="C127" s="235">
        <v>44770</v>
      </c>
      <c r="AF127" t="s">
        <v>545</v>
      </c>
    </row>
    <row r="128" spans="3:32" hidden="1">
      <c r="C128" s="237">
        <v>44771</v>
      </c>
    </row>
    <row r="129" spans="3:32" hidden="1">
      <c r="C129" s="235">
        <v>44772</v>
      </c>
    </row>
    <row r="130" spans="3:32" hidden="1">
      <c r="C130" s="237">
        <v>44773</v>
      </c>
    </row>
    <row r="131" spans="3:32" hidden="1">
      <c r="C131" s="235">
        <v>44774</v>
      </c>
    </row>
    <row r="132" spans="3:32" hidden="1">
      <c r="C132" s="237">
        <v>44775</v>
      </c>
    </row>
    <row r="133" spans="3:32" hidden="1">
      <c r="C133" s="235">
        <v>44776</v>
      </c>
    </row>
    <row r="134" spans="3:32" hidden="1">
      <c r="C134" s="237">
        <v>44777</v>
      </c>
      <c r="F134" t="s">
        <v>546</v>
      </c>
    </row>
    <row r="135" spans="3:32" hidden="1">
      <c r="C135" s="235">
        <v>44778</v>
      </c>
    </row>
    <row r="136" spans="3:32" hidden="1">
      <c r="C136" s="237">
        <v>44779</v>
      </c>
      <c r="K136" t="s">
        <v>547</v>
      </c>
      <c r="AF136" t="s">
        <v>548</v>
      </c>
    </row>
    <row r="137" spans="3:32" hidden="1">
      <c r="C137" s="235">
        <v>44780</v>
      </c>
      <c r="AE137" t="s">
        <v>531</v>
      </c>
      <c r="AF137" t="s">
        <v>549</v>
      </c>
    </row>
    <row r="138" spans="3:32" hidden="1">
      <c r="C138" s="237">
        <v>44781</v>
      </c>
      <c r="AE138" t="s">
        <v>531</v>
      </c>
    </row>
    <row r="139" spans="3:32" hidden="1">
      <c r="C139" s="235">
        <v>44782</v>
      </c>
    </row>
    <row r="140" spans="3:32" hidden="1">
      <c r="C140" s="237">
        <v>44783</v>
      </c>
    </row>
    <row r="141" spans="3:32" hidden="1">
      <c r="C141" s="235">
        <v>44784</v>
      </c>
    </row>
    <row r="142" spans="3:32" hidden="1">
      <c r="C142" s="237">
        <v>44785</v>
      </c>
    </row>
    <row r="143" spans="3:32" hidden="1">
      <c r="C143" s="235">
        <v>44786</v>
      </c>
    </row>
    <row r="144" spans="3:32" hidden="1">
      <c r="C144" s="237">
        <v>44787</v>
      </c>
      <c r="H144" t="s">
        <v>550</v>
      </c>
      <c r="AE144" t="s">
        <v>532</v>
      </c>
    </row>
    <row r="145" spans="3:32" hidden="1">
      <c r="C145" s="235">
        <v>44788</v>
      </c>
    </row>
    <row r="146" spans="3:32" hidden="1">
      <c r="C146" s="237">
        <v>44789</v>
      </c>
      <c r="F146" t="s">
        <v>552</v>
      </c>
      <c r="AF146" t="s">
        <v>551</v>
      </c>
    </row>
    <row r="147" spans="3:32" hidden="1">
      <c r="C147" s="235">
        <v>44790</v>
      </c>
    </row>
    <row r="148" spans="3:32" hidden="1">
      <c r="C148" s="237">
        <v>44791</v>
      </c>
    </row>
    <row r="149" spans="3:32" hidden="1">
      <c r="C149" s="235">
        <v>44792</v>
      </c>
    </row>
    <row r="150" spans="3:32" hidden="1">
      <c r="C150" s="237">
        <v>44793</v>
      </c>
    </row>
    <row r="151" spans="3:32" hidden="1">
      <c r="C151" s="235">
        <v>44794</v>
      </c>
    </row>
    <row r="152" spans="3:32" hidden="1">
      <c r="C152" s="237">
        <v>44795</v>
      </c>
    </row>
    <row r="153" spans="3:32" hidden="1">
      <c r="C153" s="235">
        <v>44796</v>
      </c>
    </row>
    <row r="154" spans="3:32" hidden="1">
      <c r="C154" s="237">
        <v>44797</v>
      </c>
      <c r="M154" t="s">
        <v>553</v>
      </c>
    </row>
    <row r="155" spans="3:32" hidden="1">
      <c r="C155" s="235">
        <v>44798</v>
      </c>
    </row>
    <row r="156" spans="3:32" hidden="1">
      <c r="C156" s="237">
        <v>44799</v>
      </c>
    </row>
    <row r="157" spans="3:32" hidden="1">
      <c r="C157" s="235">
        <v>44800</v>
      </c>
    </row>
    <row r="158" spans="3:32" hidden="1">
      <c r="C158" s="237">
        <v>44801</v>
      </c>
      <c r="K158" t="s">
        <v>554</v>
      </c>
      <c r="M158" t="s">
        <v>555</v>
      </c>
    </row>
    <row r="159" spans="3:32" hidden="1">
      <c r="C159" s="235">
        <v>44802</v>
      </c>
    </row>
    <row r="160" spans="3:32" hidden="1">
      <c r="C160" s="237">
        <v>44803</v>
      </c>
    </row>
    <row r="161" spans="3:31" hidden="1">
      <c r="C161" s="235">
        <v>44804</v>
      </c>
      <c r="L161" t="s">
        <v>556</v>
      </c>
    </row>
    <row r="162" spans="3:31" hidden="1">
      <c r="C162" s="237">
        <v>44805</v>
      </c>
    </row>
    <row r="163" spans="3:31" hidden="1">
      <c r="C163" s="235">
        <v>44806</v>
      </c>
      <c r="AE163" t="s">
        <v>557</v>
      </c>
    </row>
    <row r="164" spans="3:31" hidden="1">
      <c r="C164" s="237">
        <v>44807</v>
      </c>
    </row>
    <row r="165" spans="3:31" hidden="1">
      <c r="C165" s="235">
        <v>44808</v>
      </c>
    </row>
    <row r="166" spans="3:31" hidden="1">
      <c r="C166" s="237">
        <v>44809</v>
      </c>
    </row>
    <row r="167" spans="3:31" hidden="1">
      <c r="C167" s="235">
        <v>44810</v>
      </c>
      <c r="L167" t="s">
        <v>558</v>
      </c>
    </row>
    <row r="168" spans="3:31" hidden="1">
      <c r="C168" s="237">
        <v>44811</v>
      </c>
      <c r="F168" t="s">
        <v>559</v>
      </c>
    </row>
    <row r="169" spans="3:31" hidden="1">
      <c r="C169" s="235">
        <v>44812</v>
      </c>
      <c r="E169" t="s">
        <v>560</v>
      </c>
      <c r="F169" t="s">
        <v>520</v>
      </c>
    </row>
    <row r="170" spans="3:31" hidden="1">
      <c r="C170" s="237">
        <v>44813</v>
      </c>
    </row>
    <row r="171" spans="3:31" hidden="1">
      <c r="C171" s="235">
        <v>44814</v>
      </c>
      <c r="E171" t="s">
        <v>561</v>
      </c>
      <c r="L171" t="s">
        <v>562</v>
      </c>
    </row>
    <row r="172" spans="3:31" hidden="1">
      <c r="C172" s="237">
        <v>44815</v>
      </c>
    </row>
    <row r="173" spans="3:31" hidden="1">
      <c r="C173" s="235">
        <v>44816</v>
      </c>
      <c r="N173" t="s">
        <v>563</v>
      </c>
    </row>
    <row r="174" spans="3:31" hidden="1">
      <c r="C174" s="237">
        <v>44817</v>
      </c>
    </row>
    <row r="175" spans="3:31" hidden="1">
      <c r="C175" s="235">
        <v>44818</v>
      </c>
    </row>
    <row r="176" spans="3:31" hidden="1">
      <c r="C176" s="237">
        <v>44819</v>
      </c>
    </row>
    <row r="177" spans="3:14" hidden="1">
      <c r="C177" s="235">
        <v>44820</v>
      </c>
      <c r="D177" t="s">
        <v>564</v>
      </c>
    </row>
    <row r="178" spans="3:14" hidden="1">
      <c r="C178" s="237">
        <v>44821</v>
      </c>
    </row>
    <row r="179" spans="3:14" hidden="1">
      <c r="C179" s="235">
        <v>44822</v>
      </c>
      <c r="F179" t="s">
        <v>569</v>
      </c>
      <c r="L179" t="s">
        <v>558</v>
      </c>
    </row>
    <row r="180" spans="3:14" hidden="1">
      <c r="C180" s="237">
        <v>44823</v>
      </c>
    </row>
    <row r="181" spans="3:14" hidden="1">
      <c r="C181" s="235">
        <v>44824</v>
      </c>
    </row>
    <row r="182" spans="3:14" hidden="1">
      <c r="C182" s="237">
        <v>44825</v>
      </c>
      <c r="N182" t="s">
        <v>568</v>
      </c>
    </row>
    <row r="183" spans="3:14" hidden="1">
      <c r="C183" s="235">
        <v>44826</v>
      </c>
      <c r="K183" t="s">
        <v>565</v>
      </c>
    </row>
    <row r="184" spans="3:14" hidden="1">
      <c r="C184" s="237">
        <v>44827</v>
      </c>
    </row>
    <row r="185" spans="3:14" hidden="1">
      <c r="C185" s="235">
        <v>44828</v>
      </c>
      <c r="F185" t="s">
        <v>566</v>
      </c>
    </row>
    <row r="186" spans="3:14" hidden="1">
      <c r="C186" s="237">
        <v>44829</v>
      </c>
    </row>
    <row r="187" spans="3:14" hidden="1">
      <c r="C187" s="235">
        <v>44830</v>
      </c>
      <c r="H187" t="s">
        <v>567</v>
      </c>
    </row>
    <row r="188" spans="3:14" hidden="1">
      <c r="C188" s="237">
        <v>44831</v>
      </c>
    </row>
    <row r="189" spans="3:14" hidden="1">
      <c r="C189" s="235">
        <v>44832</v>
      </c>
    </row>
    <row r="190" spans="3:14" hidden="1">
      <c r="C190" s="237">
        <v>44833</v>
      </c>
    </row>
    <row r="191" spans="3:14" hidden="1">
      <c r="C191" s="235">
        <v>44834</v>
      </c>
      <c r="F191" t="s">
        <v>569</v>
      </c>
    </row>
    <row r="192" spans="3:14" hidden="1">
      <c r="C192" s="237">
        <v>44835</v>
      </c>
    </row>
    <row r="193" spans="3:31" hidden="1">
      <c r="C193" s="235">
        <v>44836</v>
      </c>
      <c r="H193" t="s">
        <v>570</v>
      </c>
      <c r="L193" t="s">
        <v>558</v>
      </c>
    </row>
    <row r="194" spans="3:31" hidden="1">
      <c r="C194" s="237">
        <v>44837</v>
      </c>
      <c r="AE194" t="s">
        <v>532</v>
      </c>
    </row>
    <row r="195" spans="3:31" hidden="1">
      <c r="C195" s="235">
        <v>44838</v>
      </c>
    </row>
    <row r="196" spans="3:31" hidden="1">
      <c r="C196" s="237">
        <v>44839</v>
      </c>
    </row>
    <row r="197" spans="3:31" hidden="1">
      <c r="C197" s="235">
        <v>44840</v>
      </c>
      <c r="F197" t="s">
        <v>571</v>
      </c>
    </row>
    <row r="198" spans="3:31" hidden="1">
      <c r="C198" s="237">
        <v>44841</v>
      </c>
    </row>
    <row r="199" spans="3:31" hidden="1">
      <c r="C199" s="235">
        <v>44842</v>
      </c>
    </row>
    <row r="200" spans="3:31" hidden="1">
      <c r="C200" s="237">
        <v>44843</v>
      </c>
      <c r="L200" t="s">
        <v>558</v>
      </c>
    </row>
    <row r="201" spans="3:31" hidden="1">
      <c r="C201" s="235">
        <v>44844</v>
      </c>
    </row>
    <row r="202" spans="3:31" hidden="1">
      <c r="C202" s="237">
        <v>44845</v>
      </c>
    </row>
    <row r="203" spans="3:31" hidden="1">
      <c r="C203" s="235">
        <v>44846</v>
      </c>
      <c r="K203" t="s">
        <v>572</v>
      </c>
    </row>
    <row r="204" spans="3:31" hidden="1">
      <c r="C204" s="237">
        <v>44847</v>
      </c>
    </row>
    <row r="205" spans="3:31" hidden="1">
      <c r="C205" s="235">
        <v>44848</v>
      </c>
    </row>
    <row r="206" spans="3:31" hidden="1">
      <c r="C206" s="237">
        <v>44849</v>
      </c>
      <c r="I206" t="s">
        <v>931</v>
      </c>
    </row>
    <row r="207" spans="3:31" hidden="1">
      <c r="C207" s="235">
        <v>44850</v>
      </c>
    </row>
    <row r="208" spans="3:31" hidden="1">
      <c r="C208" s="237">
        <v>44851</v>
      </c>
    </row>
    <row r="209" spans="3:31" hidden="1">
      <c r="C209" s="235">
        <v>44852</v>
      </c>
      <c r="K209" t="s">
        <v>573</v>
      </c>
    </row>
    <row r="210" spans="3:31" hidden="1">
      <c r="C210" s="237">
        <v>44853</v>
      </c>
      <c r="N210" t="s">
        <v>574</v>
      </c>
    </row>
    <row r="211" spans="3:31" hidden="1">
      <c r="C211" s="235">
        <v>44854</v>
      </c>
    </row>
    <row r="212" spans="3:31" hidden="1">
      <c r="C212" s="237">
        <v>44855</v>
      </c>
    </row>
    <row r="213" spans="3:31" hidden="1">
      <c r="C213" s="235">
        <v>44856</v>
      </c>
      <c r="E213" t="s">
        <v>575</v>
      </c>
      <c r="F213" t="s">
        <v>566</v>
      </c>
      <c r="AE213" t="s">
        <v>531</v>
      </c>
    </row>
    <row r="214" spans="3:31" hidden="1">
      <c r="C214" s="237">
        <v>44857</v>
      </c>
    </row>
    <row r="215" spans="3:31" hidden="1">
      <c r="C215" s="235">
        <v>44858</v>
      </c>
    </row>
    <row r="216" spans="3:31" hidden="1">
      <c r="C216" s="237">
        <v>44859</v>
      </c>
    </row>
    <row r="217" spans="3:31" hidden="1">
      <c r="C217" s="235">
        <v>44860</v>
      </c>
    </row>
    <row r="218" spans="3:31" hidden="1">
      <c r="C218" s="237">
        <v>44861</v>
      </c>
    </row>
    <row r="219" spans="3:31" hidden="1">
      <c r="C219" s="235">
        <v>44862</v>
      </c>
    </row>
    <row r="220" spans="3:31" hidden="1">
      <c r="C220" s="237">
        <v>44863</v>
      </c>
    </row>
    <row r="221" spans="3:31" hidden="1">
      <c r="C221" s="235">
        <v>44864</v>
      </c>
    </row>
    <row r="222" spans="3:31" hidden="1">
      <c r="C222" s="237">
        <v>44865</v>
      </c>
    </row>
    <row r="223" spans="3:31" hidden="1">
      <c r="C223" s="235">
        <v>44866</v>
      </c>
    </row>
    <row r="224" spans="3:31" hidden="1">
      <c r="C224" s="237">
        <v>44867</v>
      </c>
    </row>
    <row r="225" spans="3:12" hidden="1">
      <c r="C225" s="235">
        <v>44868</v>
      </c>
      <c r="H225" t="s">
        <v>576</v>
      </c>
    </row>
    <row r="226" spans="3:12" hidden="1">
      <c r="C226" s="237">
        <v>44869</v>
      </c>
      <c r="F226" t="s">
        <v>577</v>
      </c>
    </row>
    <row r="227" spans="3:12" hidden="1">
      <c r="C227" s="235">
        <v>44870</v>
      </c>
      <c r="K227" t="s">
        <v>578</v>
      </c>
    </row>
    <row r="228" spans="3:12" hidden="1">
      <c r="C228" s="237">
        <v>44871</v>
      </c>
    </row>
    <row r="229" spans="3:12" hidden="1">
      <c r="C229" s="235">
        <v>44872</v>
      </c>
      <c r="F229" t="s">
        <v>579</v>
      </c>
      <c r="L229" t="s">
        <v>580</v>
      </c>
    </row>
    <row r="230" spans="3:12" hidden="1">
      <c r="C230" s="237">
        <v>44873</v>
      </c>
    </row>
    <row r="231" spans="3:12" hidden="1">
      <c r="C231" s="235">
        <v>44874</v>
      </c>
    </row>
    <row r="232" spans="3:12" hidden="1">
      <c r="C232" s="237">
        <v>44875</v>
      </c>
    </row>
    <row r="233" spans="3:12" hidden="1">
      <c r="C233" s="235">
        <v>44876</v>
      </c>
    </row>
    <row r="234" spans="3:12" hidden="1">
      <c r="C234" s="237">
        <v>44877</v>
      </c>
    </row>
    <row r="235" spans="3:12" hidden="1">
      <c r="C235" s="235">
        <v>44878</v>
      </c>
      <c r="F235" s="447" t="s">
        <v>581</v>
      </c>
    </row>
    <row r="236" spans="3:12" hidden="1">
      <c r="C236" s="237">
        <v>44879</v>
      </c>
    </row>
    <row r="237" spans="3:12" hidden="1">
      <c r="C237" s="235">
        <v>44880</v>
      </c>
      <c r="I237" t="s">
        <v>931</v>
      </c>
    </row>
    <row r="238" spans="3:12" hidden="1">
      <c r="C238" s="237">
        <v>44881</v>
      </c>
    </row>
    <row r="239" spans="3:12" hidden="1">
      <c r="C239" s="235">
        <v>44882</v>
      </c>
      <c r="F239" t="s">
        <v>582</v>
      </c>
    </row>
    <row r="240" spans="3:12" hidden="1">
      <c r="C240" s="237">
        <v>44883</v>
      </c>
    </row>
    <row r="241" spans="3:32" hidden="1">
      <c r="C241" s="235">
        <v>44884</v>
      </c>
      <c r="E241" t="s">
        <v>585</v>
      </c>
    </row>
    <row r="242" spans="3:32" hidden="1">
      <c r="C242" s="237">
        <v>44885</v>
      </c>
    </row>
    <row r="243" spans="3:32" hidden="1">
      <c r="C243" s="235">
        <v>44886</v>
      </c>
      <c r="L243" t="s">
        <v>558</v>
      </c>
      <c r="AE243" t="s">
        <v>583</v>
      </c>
    </row>
    <row r="244" spans="3:32" hidden="1">
      <c r="C244" s="237">
        <v>44887</v>
      </c>
      <c r="E244" t="s">
        <v>584</v>
      </c>
    </row>
    <row r="245" spans="3:32" hidden="1">
      <c r="C245" s="235">
        <v>44888</v>
      </c>
    </row>
    <row r="246" spans="3:32" hidden="1">
      <c r="C246" s="237">
        <v>44889</v>
      </c>
    </row>
    <row r="247" spans="3:32" hidden="1">
      <c r="C247" s="235">
        <v>44890</v>
      </c>
      <c r="G247" t="s">
        <v>586</v>
      </c>
      <c r="AE247" t="s">
        <v>587</v>
      </c>
    </row>
    <row r="248" spans="3:32" hidden="1">
      <c r="C248" s="237">
        <v>44891</v>
      </c>
    </row>
    <row r="249" spans="3:32" hidden="1">
      <c r="C249" s="235">
        <v>44892</v>
      </c>
      <c r="E249" t="s">
        <v>588</v>
      </c>
    </row>
    <row r="250" spans="3:32" hidden="1">
      <c r="C250" s="237">
        <v>44893</v>
      </c>
      <c r="AE250" t="s">
        <v>589</v>
      </c>
    </row>
    <row r="251" spans="3:32" hidden="1">
      <c r="C251" s="235">
        <v>44894</v>
      </c>
    </row>
    <row r="252" spans="3:32" hidden="1">
      <c r="C252" s="237">
        <v>44895</v>
      </c>
      <c r="M252" t="s">
        <v>590</v>
      </c>
    </row>
    <row r="253" spans="3:32" hidden="1">
      <c r="C253" s="235">
        <v>44896</v>
      </c>
    </row>
    <row r="254" spans="3:32" hidden="1">
      <c r="C254" s="237">
        <v>44897</v>
      </c>
    </row>
    <row r="255" spans="3:32" hidden="1">
      <c r="C255" s="235">
        <v>44898</v>
      </c>
      <c r="L255" t="s">
        <v>591</v>
      </c>
    </row>
    <row r="256" spans="3:32" hidden="1">
      <c r="C256" s="237">
        <v>44899</v>
      </c>
      <c r="AF256" t="s">
        <v>592</v>
      </c>
    </row>
    <row r="257" spans="3:32" hidden="1">
      <c r="C257" s="235">
        <v>44900</v>
      </c>
      <c r="F257" t="s">
        <v>593</v>
      </c>
    </row>
    <row r="258" spans="3:32" hidden="1">
      <c r="C258" s="237">
        <v>44901</v>
      </c>
    </row>
    <row r="259" spans="3:32" hidden="1">
      <c r="C259" s="235">
        <v>44902</v>
      </c>
      <c r="L259" t="s">
        <v>594</v>
      </c>
    </row>
    <row r="260" spans="3:32" hidden="1">
      <c r="C260" s="237">
        <v>44903</v>
      </c>
    </row>
    <row r="261" spans="3:32" hidden="1">
      <c r="C261" s="235">
        <v>44904</v>
      </c>
    </row>
    <row r="262" spans="3:32" hidden="1">
      <c r="C262" s="237">
        <v>44905</v>
      </c>
      <c r="N262" t="s">
        <v>595</v>
      </c>
    </row>
    <row r="263" spans="3:32" hidden="1">
      <c r="C263" s="235">
        <v>44906</v>
      </c>
    </row>
    <row r="264" spans="3:32" hidden="1">
      <c r="C264" s="237">
        <v>44907</v>
      </c>
    </row>
    <row r="265" spans="3:32" hidden="1">
      <c r="C265" s="235">
        <v>44908</v>
      </c>
    </row>
    <row r="266" spans="3:32" hidden="1">
      <c r="C266" s="237">
        <v>44909</v>
      </c>
      <c r="E266" t="s">
        <v>597</v>
      </c>
      <c r="F266" t="s">
        <v>599</v>
      </c>
      <c r="L266" t="s">
        <v>600</v>
      </c>
      <c r="N266" t="s">
        <v>563</v>
      </c>
      <c r="AE266" t="s">
        <v>598</v>
      </c>
    </row>
    <row r="267" spans="3:32" hidden="1">
      <c r="C267" s="235">
        <v>44910</v>
      </c>
      <c r="I267" t="s">
        <v>931</v>
      </c>
    </row>
    <row r="268" spans="3:32" hidden="1">
      <c r="C268" s="237">
        <v>44911</v>
      </c>
    </row>
    <row r="269" spans="3:32" hidden="1">
      <c r="C269" s="235">
        <v>44912</v>
      </c>
    </row>
    <row r="270" spans="3:32" hidden="1">
      <c r="C270" s="237">
        <v>44913</v>
      </c>
      <c r="L270" t="s">
        <v>601</v>
      </c>
    </row>
    <row r="271" spans="3:32" hidden="1">
      <c r="C271" s="235">
        <v>44914</v>
      </c>
    </row>
    <row r="272" spans="3:32" hidden="1">
      <c r="C272" s="237">
        <v>44915</v>
      </c>
      <c r="AF272" t="s">
        <v>602</v>
      </c>
    </row>
    <row r="273" spans="3:32" hidden="1">
      <c r="C273" s="235">
        <v>44916</v>
      </c>
    </row>
    <row r="274" spans="3:32" hidden="1">
      <c r="C274" s="237">
        <v>44917</v>
      </c>
    </row>
    <row r="275" spans="3:32" hidden="1">
      <c r="C275" s="235">
        <v>44918</v>
      </c>
    </row>
    <row r="276" spans="3:32" hidden="1">
      <c r="C276" s="237">
        <v>44919</v>
      </c>
    </row>
    <row r="277" spans="3:32" hidden="1">
      <c r="C277" s="235">
        <v>44920</v>
      </c>
    </row>
    <row r="278" spans="3:32" hidden="1">
      <c r="C278" s="237">
        <v>44921</v>
      </c>
    </row>
    <row r="279" spans="3:32" hidden="1">
      <c r="C279" s="235">
        <v>44922</v>
      </c>
      <c r="M279" t="s">
        <v>606</v>
      </c>
    </row>
    <row r="280" spans="3:32" hidden="1">
      <c r="C280" s="237">
        <v>44923</v>
      </c>
    </row>
    <row r="281" spans="3:32" hidden="1">
      <c r="C281" s="235">
        <v>44924</v>
      </c>
    </row>
    <row r="282" spans="3:32" hidden="1">
      <c r="C282" s="237">
        <v>44925</v>
      </c>
    </row>
    <row r="283" spans="3:32" hidden="1">
      <c r="C283" s="235">
        <v>44926</v>
      </c>
      <c r="F283" t="s">
        <v>605</v>
      </c>
      <c r="L283" t="s">
        <v>604</v>
      </c>
    </row>
    <row r="284" spans="3:32" hidden="1">
      <c r="C284" s="237">
        <v>44927</v>
      </c>
      <c r="E284" t="s">
        <v>560</v>
      </c>
      <c r="AE284" t="s">
        <v>531</v>
      </c>
      <c r="AF284" t="s">
        <v>603</v>
      </c>
    </row>
    <row r="285" spans="3:32" hidden="1">
      <c r="C285" s="235">
        <v>44928</v>
      </c>
    </row>
    <row r="286" spans="3:32" hidden="1">
      <c r="C286" s="237">
        <v>44929</v>
      </c>
      <c r="F286" t="s">
        <v>607</v>
      </c>
    </row>
    <row r="287" spans="3:32" hidden="1">
      <c r="C287" s="235">
        <v>44930</v>
      </c>
      <c r="L287" t="s">
        <v>609</v>
      </c>
    </row>
    <row r="288" spans="3:32" hidden="1">
      <c r="C288" s="237">
        <v>44931</v>
      </c>
      <c r="H288" t="s">
        <v>608</v>
      </c>
    </row>
    <row r="289" spans="3:31" hidden="1">
      <c r="C289" s="235">
        <v>44932</v>
      </c>
    </row>
    <row r="290" spans="3:31" hidden="1">
      <c r="C290" s="237">
        <v>44933</v>
      </c>
    </row>
    <row r="291" spans="3:31" hidden="1">
      <c r="C291" s="235">
        <v>44934</v>
      </c>
    </row>
    <row r="292" spans="3:31" hidden="1">
      <c r="C292" s="237">
        <v>44935</v>
      </c>
    </row>
    <row r="293" spans="3:31" hidden="1">
      <c r="C293" s="235">
        <v>44936</v>
      </c>
      <c r="K293" t="s">
        <v>610</v>
      </c>
    </row>
    <row r="294" spans="3:31" hidden="1">
      <c r="C294" s="237">
        <v>44937</v>
      </c>
    </row>
    <row r="295" spans="3:31" hidden="1">
      <c r="C295" s="235">
        <v>44938</v>
      </c>
    </row>
    <row r="296" spans="3:31" hidden="1">
      <c r="C296" s="237">
        <v>44939</v>
      </c>
    </row>
    <row r="297" spans="3:31" hidden="1">
      <c r="C297" s="235">
        <v>44940</v>
      </c>
      <c r="E297" t="s">
        <v>611</v>
      </c>
    </row>
    <row r="298" spans="3:31" hidden="1">
      <c r="C298" s="237">
        <v>44941</v>
      </c>
      <c r="I298" t="s">
        <v>931</v>
      </c>
    </row>
    <row r="299" spans="3:31" hidden="1">
      <c r="C299" s="235">
        <v>44942</v>
      </c>
    </row>
    <row r="300" spans="3:31" hidden="1">
      <c r="C300" s="237">
        <v>44943</v>
      </c>
    </row>
    <row r="301" spans="3:31" hidden="1">
      <c r="C301" s="235">
        <v>44944</v>
      </c>
      <c r="F301" t="s">
        <v>612</v>
      </c>
      <c r="AE301" t="s">
        <v>613</v>
      </c>
    </row>
    <row r="302" spans="3:31" hidden="1">
      <c r="C302" s="237">
        <v>44945</v>
      </c>
    </row>
    <row r="303" spans="3:31" hidden="1">
      <c r="C303" s="235">
        <v>44946</v>
      </c>
    </row>
    <row r="304" spans="3:31" hidden="1">
      <c r="C304" s="237">
        <v>44947</v>
      </c>
    </row>
    <row r="305" spans="3:12" hidden="1">
      <c r="C305" s="235">
        <v>44948</v>
      </c>
    </row>
    <row r="306" spans="3:12" hidden="1">
      <c r="C306" s="237">
        <v>44949</v>
      </c>
    </row>
    <row r="307" spans="3:12" hidden="1">
      <c r="C307" s="235">
        <v>44950</v>
      </c>
    </row>
    <row r="308" spans="3:12" hidden="1">
      <c r="C308" s="237">
        <v>44951</v>
      </c>
      <c r="L308" t="s">
        <v>614</v>
      </c>
    </row>
    <row r="309" spans="3:12" hidden="1">
      <c r="C309" s="235">
        <v>44952</v>
      </c>
    </row>
    <row r="310" spans="3:12" hidden="1">
      <c r="C310" s="237">
        <v>44953</v>
      </c>
    </row>
    <row r="311" spans="3:12" hidden="1">
      <c r="C311" s="235">
        <v>44954</v>
      </c>
    </row>
    <row r="312" spans="3:12" hidden="1">
      <c r="C312" s="237">
        <v>44955</v>
      </c>
    </row>
    <row r="313" spans="3:12" hidden="1">
      <c r="C313" s="235">
        <v>44956</v>
      </c>
    </row>
    <row r="314" spans="3:12" hidden="1">
      <c r="C314" s="237">
        <v>44957</v>
      </c>
    </row>
    <row r="315" spans="3:12" hidden="1">
      <c r="C315" s="235">
        <v>44958</v>
      </c>
    </row>
    <row r="316" spans="3:12" hidden="1">
      <c r="C316" s="237">
        <v>44959</v>
      </c>
    </row>
    <row r="317" spans="3:12" hidden="1">
      <c r="C317" s="235">
        <v>44960</v>
      </c>
    </row>
    <row r="318" spans="3:12" hidden="1">
      <c r="C318" s="237">
        <v>44961</v>
      </c>
    </row>
    <row r="319" spans="3:12" hidden="1">
      <c r="C319" s="235">
        <v>44962</v>
      </c>
    </row>
    <row r="320" spans="3:12" hidden="1">
      <c r="C320" s="237">
        <v>44963</v>
      </c>
    </row>
    <row r="321" spans="3:14" hidden="1">
      <c r="C321" s="235">
        <v>44964</v>
      </c>
    </row>
    <row r="322" spans="3:14" hidden="1">
      <c r="C322" s="237">
        <v>44965</v>
      </c>
      <c r="K322" t="s">
        <v>646</v>
      </c>
      <c r="N322" t="s">
        <v>648</v>
      </c>
    </row>
    <row r="323" spans="3:14" hidden="1">
      <c r="C323" s="235">
        <v>44966</v>
      </c>
      <c r="M323" t="s">
        <v>647</v>
      </c>
    </row>
    <row r="324" spans="3:14" hidden="1">
      <c r="C324" s="237">
        <v>44967</v>
      </c>
    </row>
    <row r="325" spans="3:14" hidden="1">
      <c r="C325" s="235">
        <v>44968</v>
      </c>
    </row>
    <row r="326" spans="3:14" hidden="1">
      <c r="C326" s="237">
        <v>44969</v>
      </c>
    </row>
    <row r="327" spans="3:14" hidden="1">
      <c r="C327" s="235">
        <v>44970</v>
      </c>
    </row>
    <row r="328" spans="3:14" hidden="1">
      <c r="C328" s="237">
        <v>44971</v>
      </c>
    </row>
    <row r="329" spans="3:14" hidden="1">
      <c r="C329" s="235">
        <v>44972</v>
      </c>
      <c r="I329" t="s">
        <v>931</v>
      </c>
    </row>
    <row r="330" spans="3:14" hidden="1">
      <c r="C330" s="237">
        <v>44973</v>
      </c>
    </row>
    <row r="331" spans="3:14" hidden="1">
      <c r="C331" s="235">
        <v>44974</v>
      </c>
    </row>
    <row r="332" spans="3:14" hidden="1">
      <c r="C332" s="237">
        <v>44975</v>
      </c>
    </row>
    <row r="333" spans="3:14" hidden="1">
      <c r="C333" s="235">
        <v>44976</v>
      </c>
    </row>
    <row r="334" spans="3:14" hidden="1">
      <c r="C334" s="237">
        <v>44977</v>
      </c>
      <c r="E334" t="s">
        <v>650</v>
      </c>
    </row>
    <row r="335" spans="3:14" hidden="1">
      <c r="C335" s="235">
        <v>44978</v>
      </c>
    </row>
    <row r="336" spans="3:14" hidden="1">
      <c r="C336" s="237">
        <v>44979</v>
      </c>
    </row>
    <row r="337" spans="3:32" hidden="1">
      <c r="C337" s="235">
        <v>44980</v>
      </c>
    </row>
    <row r="338" spans="3:32" hidden="1">
      <c r="C338" s="237">
        <v>44981</v>
      </c>
    </row>
    <row r="339" spans="3:32" hidden="1">
      <c r="C339" s="235">
        <v>44982</v>
      </c>
    </row>
    <row r="340" spans="3:32" hidden="1">
      <c r="C340" s="237">
        <v>44983</v>
      </c>
    </row>
    <row r="341" spans="3:32" hidden="1">
      <c r="C341" s="235">
        <v>44984</v>
      </c>
    </row>
    <row r="342" spans="3:32" hidden="1">
      <c r="C342" s="237">
        <v>44985</v>
      </c>
    </row>
    <row r="343" spans="3:32" hidden="1">
      <c r="C343" s="235">
        <v>44986</v>
      </c>
      <c r="E343" t="s">
        <v>651</v>
      </c>
      <c r="F343" t="s">
        <v>520</v>
      </c>
      <c r="N343" t="s">
        <v>652</v>
      </c>
    </row>
    <row r="344" spans="3:32" hidden="1">
      <c r="C344" s="237">
        <v>44987</v>
      </c>
      <c r="AF344" t="s">
        <v>653</v>
      </c>
    </row>
    <row r="345" spans="3:32" hidden="1">
      <c r="C345" s="235">
        <v>44988</v>
      </c>
    </row>
    <row r="346" spans="3:32" hidden="1">
      <c r="C346" s="237">
        <v>44989</v>
      </c>
    </row>
    <row r="347" spans="3:32" hidden="1">
      <c r="C347" s="235">
        <v>44990</v>
      </c>
    </row>
    <row r="348" spans="3:32" hidden="1">
      <c r="C348" s="237">
        <v>44991</v>
      </c>
    </row>
    <row r="349" spans="3:32" hidden="1">
      <c r="C349" s="235">
        <v>44992</v>
      </c>
    </row>
    <row r="350" spans="3:32" hidden="1">
      <c r="C350" s="237">
        <v>44993</v>
      </c>
    </row>
    <row r="351" spans="3:32" hidden="1">
      <c r="C351" s="235">
        <v>44994</v>
      </c>
      <c r="I351" t="s">
        <v>932</v>
      </c>
    </row>
    <row r="352" spans="3:32" hidden="1">
      <c r="C352" s="237">
        <v>44995</v>
      </c>
    </row>
    <row r="353" spans="3:32" hidden="1">
      <c r="C353" s="235">
        <v>44996</v>
      </c>
    </row>
    <row r="354" spans="3:32" hidden="1">
      <c r="C354" s="237">
        <v>44997</v>
      </c>
    </row>
    <row r="355" spans="3:32" hidden="1">
      <c r="C355" s="235">
        <v>44998</v>
      </c>
      <c r="AF355" t="s">
        <v>654</v>
      </c>
    </row>
    <row r="356" spans="3:32" hidden="1">
      <c r="C356" s="237">
        <v>44999</v>
      </c>
      <c r="Y356" t="s">
        <v>655</v>
      </c>
    </row>
    <row r="357" spans="3:32" hidden="1">
      <c r="C357" s="235">
        <v>45000</v>
      </c>
    </row>
    <row r="358" spans="3:32" hidden="1">
      <c r="C358" s="237">
        <v>45001</v>
      </c>
    </row>
    <row r="359" spans="3:32" hidden="1">
      <c r="C359" s="235">
        <v>45002</v>
      </c>
    </row>
    <row r="360" spans="3:32" hidden="1">
      <c r="C360" s="237">
        <v>45003</v>
      </c>
      <c r="L360" t="s">
        <v>657</v>
      </c>
    </row>
    <row r="361" spans="3:32" hidden="1">
      <c r="C361" s="235">
        <v>45004</v>
      </c>
      <c r="E361" t="s">
        <v>656</v>
      </c>
    </row>
    <row r="362" spans="3:32" hidden="1">
      <c r="C362" s="237">
        <v>45005</v>
      </c>
    </row>
    <row r="363" spans="3:32" hidden="1">
      <c r="C363" s="235">
        <v>45006</v>
      </c>
    </row>
    <row r="364" spans="3:32" hidden="1">
      <c r="C364" s="237">
        <v>45007</v>
      </c>
    </row>
    <row r="365" spans="3:32" hidden="1">
      <c r="C365" s="235">
        <v>45008</v>
      </c>
      <c r="I365" t="s">
        <v>932</v>
      </c>
    </row>
    <row r="366" spans="3:32" hidden="1">
      <c r="C366" s="237">
        <v>45009</v>
      </c>
    </row>
    <row r="367" spans="3:32" hidden="1">
      <c r="C367" s="235">
        <v>45010</v>
      </c>
    </row>
    <row r="368" spans="3:32" hidden="1">
      <c r="C368" s="237">
        <v>45011</v>
      </c>
    </row>
    <row r="369" spans="3:9" hidden="1">
      <c r="C369" s="235">
        <v>45012</v>
      </c>
    </row>
    <row r="370" spans="3:9" hidden="1">
      <c r="C370" s="237">
        <v>45013</v>
      </c>
    </row>
    <row r="371" spans="3:9" hidden="1">
      <c r="C371" s="235">
        <v>45014</v>
      </c>
    </row>
    <row r="372" spans="3:9" hidden="1">
      <c r="C372" s="237">
        <v>45015</v>
      </c>
    </row>
    <row r="373" spans="3:9" hidden="1">
      <c r="C373" s="235">
        <v>45016</v>
      </c>
    </row>
    <row r="374" spans="3:9" hidden="1">
      <c r="C374" s="237">
        <v>45017</v>
      </c>
    </row>
    <row r="375" spans="3:9" hidden="1">
      <c r="C375" s="235">
        <v>45018</v>
      </c>
    </row>
    <row r="376" spans="3:9" hidden="1">
      <c r="C376" s="237">
        <v>45019</v>
      </c>
    </row>
    <row r="377" spans="3:9" hidden="1">
      <c r="C377" s="235">
        <v>45020</v>
      </c>
      <c r="I377" t="s">
        <v>932</v>
      </c>
    </row>
    <row r="378" spans="3:9" hidden="1">
      <c r="C378" s="237">
        <v>45021</v>
      </c>
    </row>
    <row r="379" spans="3:9" hidden="1">
      <c r="C379" s="235">
        <v>45022</v>
      </c>
    </row>
    <row r="380" spans="3:9" hidden="1">
      <c r="C380" s="237">
        <v>45023</v>
      </c>
    </row>
    <row r="381" spans="3:9" hidden="1">
      <c r="C381" s="235">
        <v>45024</v>
      </c>
    </row>
    <row r="382" spans="3:9" hidden="1">
      <c r="C382" s="237">
        <v>45025</v>
      </c>
    </row>
    <row r="383" spans="3:9" hidden="1">
      <c r="C383" s="235">
        <v>45026</v>
      </c>
    </row>
    <row r="384" spans="3:9" hidden="1">
      <c r="C384" s="237">
        <v>45027</v>
      </c>
    </row>
    <row r="385" spans="3:32" hidden="1">
      <c r="C385" s="235">
        <v>45028</v>
      </c>
    </row>
    <row r="386" spans="3:32" hidden="1">
      <c r="C386" s="237">
        <v>45029</v>
      </c>
    </row>
    <row r="387" spans="3:32" hidden="1">
      <c r="C387" s="235">
        <v>45030</v>
      </c>
    </row>
    <row r="388" spans="3:32" hidden="1">
      <c r="C388" s="237">
        <v>45031</v>
      </c>
    </row>
    <row r="389" spans="3:32" hidden="1">
      <c r="C389" s="235">
        <v>45032</v>
      </c>
    </row>
    <row r="390" spans="3:32" hidden="1">
      <c r="C390" s="237">
        <v>45033</v>
      </c>
    </row>
    <row r="391" spans="3:32" hidden="1">
      <c r="C391" s="235">
        <v>45034</v>
      </c>
      <c r="D391" t="s">
        <v>961</v>
      </c>
      <c r="E391" t="s">
        <v>964</v>
      </c>
      <c r="AF391" t="s">
        <v>965</v>
      </c>
    </row>
    <row r="392" spans="3:32" hidden="1">
      <c r="C392" s="237">
        <v>45035</v>
      </c>
    </row>
    <row r="393" spans="3:32" hidden="1">
      <c r="C393" s="235">
        <v>45036</v>
      </c>
      <c r="K393" t="s">
        <v>963</v>
      </c>
    </row>
    <row r="394" spans="3:32" hidden="1">
      <c r="C394" s="237">
        <v>45037</v>
      </c>
      <c r="AF394" t="s">
        <v>958</v>
      </c>
    </row>
    <row r="395" spans="3:32" hidden="1">
      <c r="C395" s="235">
        <v>45038</v>
      </c>
      <c r="L395" t="s">
        <v>959</v>
      </c>
    </row>
    <row r="396" spans="3:32" hidden="1">
      <c r="C396" s="237">
        <v>45039</v>
      </c>
    </row>
    <row r="397" spans="3:32" hidden="1">
      <c r="C397" s="235">
        <v>45040</v>
      </c>
    </row>
    <row r="398" spans="3:32" hidden="1">
      <c r="C398" s="237">
        <v>45041</v>
      </c>
    </row>
    <row r="399" spans="3:32" hidden="1">
      <c r="C399" s="235">
        <v>45042</v>
      </c>
    </row>
    <row r="400" spans="3:32" hidden="1">
      <c r="C400" s="237">
        <v>45043</v>
      </c>
    </row>
    <row r="401" spans="3:31" hidden="1">
      <c r="C401" s="235">
        <v>45044</v>
      </c>
    </row>
    <row r="402" spans="3:31" hidden="1">
      <c r="C402" s="237">
        <v>45045</v>
      </c>
    </row>
    <row r="403" spans="3:31" hidden="1">
      <c r="C403" s="235">
        <v>45046</v>
      </c>
      <c r="D403" t="s">
        <v>960</v>
      </c>
      <c r="E403" t="s">
        <v>962</v>
      </c>
    </row>
    <row r="404" spans="3:31" hidden="1">
      <c r="C404" s="237">
        <v>45047</v>
      </c>
      <c r="AE404" t="s">
        <v>531</v>
      </c>
    </row>
    <row r="405" spans="3:31" hidden="1">
      <c r="C405" s="235">
        <v>45048</v>
      </c>
    </row>
    <row r="406" spans="3:31" hidden="1">
      <c r="C406" s="237">
        <v>45049</v>
      </c>
    </row>
    <row r="407" spans="3:31" hidden="1">
      <c r="C407" s="235">
        <v>45050</v>
      </c>
    </row>
    <row r="408" spans="3:31" hidden="1">
      <c r="C408" s="237">
        <v>45051</v>
      </c>
    </row>
    <row r="409" spans="3:31" hidden="1">
      <c r="C409" s="235">
        <v>45052</v>
      </c>
    </row>
    <row r="410" spans="3:31" hidden="1">
      <c r="C410" s="237">
        <v>45053</v>
      </c>
    </row>
    <row r="411" spans="3:31" hidden="1">
      <c r="C411" s="235">
        <v>45054</v>
      </c>
    </row>
    <row r="412" spans="3:31" hidden="1">
      <c r="C412" s="237">
        <v>45055</v>
      </c>
    </row>
    <row r="413" spans="3:31" hidden="1">
      <c r="C413" s="235">
        <v>45056</v>
      </c>
    </row>
    <row r="414" spans="3:31" hidden="1">
      <c r="C414" s="237">
        <v>45057</v>
      </c>
    </row>
    <row r="415" spans="3:31" hidden="1">
      <c r="C415" s="235">
        <v>45058</v>
      </c>
    </row>
    <row r="416" spans="3:31" hidden="1">
      <c r="C416" s="237">
        <v>45059</v>
      </c>
      <c r="E416" t="s">
        <v>977</v>
      </c>
      <c r="F416" t="s">
        <v>975</v>
      </c>
    </row>
    <row r="417" spans="3:32" hidden="1">
      <c r="C417" s="235">
        <v>45060</v>
      </c>
      <c r="AF417" t="s">
        <v>976</v>
      </c>
    </row>
    <row r="418" spans="3:32" hidden="1">
      <c r="C418" s="237">
        <v>45061</v>
      </c>
    </row>
    <row r="419" spans="3:32" hidden="1">
      <c r="C419" s="235">
        <v>45062</v>
      </c>
    </row>
    <row r="420" spans="3:32" hidden="1">
      <c r="C420" s="237">
        <v>45063</v>
      </c>
      <c r="H420" t="s">
        <v>992</v>
      </c>
    </row>
    <row r="421" spans="3:32" hidden="1">
      <c r="C421" s="235">
        <v>45064</v>
      </c>
      <c r="F421" t="s">
        <v>991</v>
      </c>
    </row>
    <row r="422" spans="3:32" hidden="1">
      <c r="C422" s="237">
        <v>45065</v>
      </c>
    </row>
    <row r="423" spans="3:32" hidden="1">
      <c r="C423" s="235">
        <v>45066</v>
      </c>
    </row>
    <row r="424" spans="3:32" hidden="1">
      <c r="C424" s="237">
        <v>45067</v>
      </c>
    </row>
    <row r="425" spans="3:32" hidden="1">
      <c r="C425" s="235">
        <v>45068</v>
      </c>
      <c r="F425" t="s">
        <v>996</v>
      </c>
    </row>
    <row r="426" spans="3:32" hidden="1">
      <c r="C426" s="237">
        <v>45069</v>
      </c>
      <c r="H426" t="s">
        <v>997</v>
      </c>
    </row>
    <row r="427" spans="3:32" hidden="1">
      <c r="C427" s="235">
        <v>45070</v>
      </c>
    </row>
    <row r="428" spans="3:32" hidden="1">
      <c r="C428" s="237">
        <v>45071</v>
      </c>
    </row>
    <row r="429" spans="3:32" hidden="1">
      <c r="C429" s="235">
        <v>45072</v>
      </c>
    </row>
    <row r="430" spans="3:32" hidden="1">
      <c r="C430" s="237">
        <v>45073</v>
      </c>
    </row>
    <row r="431" spans="3:32" hidden="1">
      <c r="C431" s="235">
        <v>45074</v>
      </c>
    </row>
    <row r="432" spans="3:32" hidden="1">
      <c r="C432" s="237">
        <v>45075</v>
      </c>
    </row>
    <row r="433" spans="3:31" hidden="1">
      <c r="C433" s="235">
        <v>45076</v>
      </c>
    </row>
    <row r="434" spans="3:31" hidden="1">
      <c r="C434" s="237">
        <v>45077</v>
      </c>
    </row>
    <row r="435" spans="3:31" hidden="1">
      <c r="C435" s="235">
        <v>45078</v>
      </c>
    </row>
    <row r="436" spans="3:31" hidden="1">
      <c r="C436" s="237">
        <v>45079</v>
      </c>
    </row>
    <row r="437" spans="3:31" hidden="1">
      <c r="C437" s="235">
        <v>45080</v>
      </c>
      <c r="N437" t="s">
        <v>1009</v>
      </c>
    </row>
    <row r="438" spans="3:31" hidden="1">
      <c r="C438" s="237">
        <v>45081</v>
      </c>
    </row>
    <row r="439" spans="3:31" hidden="1">
      <c r="C439" s="235">
        <v>45082</v>
      </c>
    </row>
    <row r="440" spans="3:31" hidden="1">
      <c r="C440" s="237">
        <v>45083</v>
      </c>
    </row>
    <row r="441" spans="3:31" hidden="1">
      <c r="C441" s="235">
        <v>45084</v>
      </c>
    </row>
    <row r="442" spans="3:31" hidden="1">
      <c r="C442" s="237">
        <v>45085</v>
      </c>
    </row>
    <row r="443" spans="3:31" hidden="1">
      <c r="C443" s="235">
        <v>45086</v>
      </c>
    </row>
    <row r="444" spans="3:31" hidden="1">
      <c r="C444" s="237">
        <v>45087</v>
      </c>
      <c r="L444" t="s">
        <v>1027</v>
      </c>
    </row>
    <row r="445" spans="3:31" hidden="1">
      <c r="C445" s="235">
        <v>45088</v>
      </c>
    </row>
    <row r="446" spans="3:31" hidden="1">
      <c r="C446" s="237">
        <v>45089</v>
      </c>
    </row>
    <row r="447" spans="3:31" hidden="1">
      <c r="C447" s="235">
        <v>45090</v>
      </c>
    </row>
    <row r="448" spans="3:31" hidden="1">
      <c r="C448" s="237">
        <v>45091</v>
      </c>
      <c r="E448" t="s">
        <v>1083</v>
      </c>
      <c r="AE448" t="s">
        <v>1068</v>
      </c>
    </row>
    <row r="449" spans="3:32" hidden="1">
      <c r="C449" s="235">
        <v>45092</v>
      </c>
    </row>
    <row r="450" spans="3:32" hidden="1">
      <c r="C450" s="237">
        <v>45093</v>
      </c>
      <c r="AE450" t="s">
        <v>1070</v>
      </c>
    </row>
    <row r="451" spans="3:32" hidden="1">
      <c r="C451" s="235">
        <v>45094</v>
      </c>
    </row>
    <row r="452" spans="3:32" hidden="1">
      <c r="C452" s="237">
        <v>45095</v>
      </c>
      <c r="AF452" t="s">
        <v>1069</v>
      </c>
    </row>
    <row r="453" spans="3:32" hidden="1">
      <c r="C453" s="235">
        <v>45096</v>
      </c>
    </row>
    <row r="454" spans="3:32" hidden="1">
      <c r="C454" s="237">
        <v>45097</v>
      </c>
    </row>
    <row r="455" spans="3:32" hidden="1">
      <c r="C455" s="235">
        <v>45098</v>
      </c>
    </row>
    <row r="456" spans="3:32" hidden="1">
      <c r="C456" s="237">
        <v>45099</v>
      </c>
      <c r="L456" t="s">
        <v>1071</v>
      </c>
    </row>
    <row r="457" spans="3:32" hidden="1">
      <c r="C457" s="235">
        <v>45100</v>
      </c>
    </row>
    <row r="458" spans="3:32" hidden="1">
      <c r="C458" s="237">
        <v>45101</v>
      </c>
      <c r="I458" t="s">
        <v>1066</v>
      </c>
      <c r="J458" t="s">
        <v>1067</v>
      </c>
    </row>
    <row r="459" spans="3:32" hidden="1">
      <c r="C459" s="235">
        <v>45102</v>
      </c>
    </row>
    <row r="460" spans="3:32" hidden="1">
      <c r="C460" s="237">
        <v>45103</v>
      </c>
    </row>
    <row r="461" spans="3:32" hidden="1">
      <c r="C461" s="235">
        <v>45104</v>
      </c>
    </row>
    <row r="462" spans="3:32" hidden="1">
      <c r="C462" s="237">
        <v>45105</v>
      </c>
      <c r="G462" t="s">
        <v>1064</v>
      </c>
      <c r="K462" t="s">
        <v>1073</v>
      </c>
    </row>
    <row r="463" spans="3:32" hidden="1">
      <c r="C463" s="235">
        <v>45106</v>
      </c>
    </row>
    <row r="464" spans="3:32" hidden="1">
      <c r="C464" s="237">
        <v>45107</v>
      </c>
    </row>
    <row r="465" spans="3:11" hidden="1">
      <c r="C465" s="235">
        <v>45108</v>
      </c>
    </row>
    <row r="466" spans="3:11" hidden="1">
      <c r="C466" s="237">
        <v>45109</v>
      </c>
    </row>
    <row r="467" spans="3:11" hidden="1">
      <c r="C467" s="235">
        <v>45110</v>
      </c>
      <c r="J467" t="s">
        <v>1065</v>
      </c>
    </row>
    <row r="468" spans="3:11" hidden="1">
      <c r="C468" s="237">
        <v>45111</v>
      </c>
    </row>
    <row r="469" spans="3:11" hidden="1">
      <c r="C469" s="235">
        <v>45112</v>
      </c>
    </row>
    <row r="470" spans="3:11" hidden="1">
      <c r="C470" s="237">
        <v>45113</v>
      </c>
    </row>
    <row r="471" spans="3:11" hidden="1">
      <c r="C471" s="235">
        <v>45114</v>
      </c>
    </row>
    <row r="472" spans="3:11" hidden="1">
      <c r="C472" s="237">
        <v>45115</v>
      </c>
    </row>
    <row r="473" spans="3:11" hidden="1">
      <c r="C473" s="235">
        <v>45116</v>
      </c>
    </row>
    <row r="474" spans="3:11" hidden="1">
      <c r="C474" s="237">
        <v>45117</v>
      </c>
    </row>
    <row r="475" spans="3:11" hidden="1">
      <c r="C475" s="235">
        <v>45118</v>
      </c>
    </row>
    <row r="476" spans="3:11" hidden="1">
      <c r="C476" s="237">
        <v>45119</v>
      </c>
    </row>
    <row r="477" spans="3:11" hidden="1">
      <c r="C477" s="235">
        <v>45120</v>
      </c>
      <c r="K477" t="s">
        <v>1091</v>
      </c>
    </row>
    <row r="478" spans="3:11" hidden="1">
      <c r="C478" s="237">
        <v>45121</v>
      </c>
    </row>
    <row r="479" spans="3:11" hidden="1">
      <c r="C479" s="235">
        <v>45122</v>
      </c>
    </row>
    <row r="480" spans="3:11" hidden="1">
      <c r="C480" s="237">
        <v>45123</v>
      </c>
    </row>
    <row r="481" spans="3:31" hidden="1">
      <c r="C481" s="235">
        <v>45124</v>
      </c>
    </row>
    <row r="482" spans="3:31" hidden="1">
      <c r="C482" s="237">
        <v>45125</v>
      </c>
    </row>
    <row r="483" spans="3:31" hidden="1">
      <c r="C483" s="235">
        <v>45126</v>
      </c>
    </row>
    <row r="484" spans="3:31" hidden="1">
      <c r="C484" s="237">
        <v>45127</v>
      </c>
    </row>
    <row r="485" spans="3:31" hidden="1">
      <c r="C485" s="235">
        <v>45128</v>
      </c>
    </row>
    <row r="486" spans="3:31" hidden="1">
      <c r="C486" s="237">
        <v>45129</v>
      </c>
    </row>
    <row r="487" spans="3:31" hidden="1">
      <c r="C487" s="235">
        <v>45130</v>
      </c>
    </row>
    <row r="488" spans="3:31" hidden="1">
      <c r="C488" s="237">
        <v>45131</v>
      </c>
    </row>
    <row r="489" spans="3:31" hidden="1">
      <c r="C489" s="235">
        <v>45132</v>
      </c>
    </row>
    <row r="490" spans="3:31" hidden="1">
      <c r="C490" s="237">
        <v>45133</v>
      </c>
    </row>
    <row r="491" spans="3:31" hidden="1">
      <c r="C491" s="235">
        <v>45134</v>
      </c>
    </row>
    <row r="492" spans="3:31" hidden="1">
      <c r="C492" s="237">
        <v>45135</v>
      </c>
    </row>
    <row r="493" spans="3:31" hidden="1">
      <c r="C493" s="235">
        <v>45136</v>
      </c>
    </row>
    <row r="494" spans="3:31" hidden="1">
      <c r="C494" s="237">
        <v>45137</v>
      </c>
      <c r="E494" t="s">
        <v>1121</v>
      </c>
      <c r="AE494" t="s">
        <v>531</v>
      </c>
    </row>
    <row r="495" spans="3:31" hidden="1">
      <c r="C495" s="235">
        <v>45138</v>
      </c>
    </row>
    <row r="496" spans="3:31" hidden="1">
      <c r="C496" s="237">
        <v>45139</v>
      </c>
    </row>
    <row r="497" spans="3:14" hidden="1">
      <c r="C497" s="235">
        <v>45140</v>
      </c>
    </row>
    <row r="498" spans="3:14" hidden="1">
      <c r="C498" s="237">
        <v>45141</v>
      </c>
      <c r="E498" t="s">
        <v>1122</v>
      </c>
    </row>
    <row r="499" spans="3:14" hidden="1">
      <c r="C499" s="235">
        <v>45142</v>
      </c>
    </row>
    <row r="500" spans="3:14" hidden="1">
      <c r="C500" s="237">
        <v>45143</v>
      </c>
      <c r="M500" t="s">
        <v>1125</v>
      </c>
    </row>
    <row r="501" spans="3:14" hidden="1">
      <c r="C501" s="235">
        <v>45144</v>
      </c>
      <c r="G501" t="s">
        <v>1123</v>
      </c>
    </row>
    <row r="502" spans="3:14" hidden="1">
      <c r="C502" s="237">
        <v>45145</v>
      </c>
      <c r="L502" t="s">
        <v>1124</v>
      </c>
    </row>
    <row r="503" spans="3:14" hidden="1">
      <c r="C503" s="235">
        <v>45146</v>
      </c>
    </row>
    <row r="504" spans="3:14" hidden="1">
      <c r="C504" s="237">
        <v>45147</v>
      </c>
    </row>
    <row r="505" spans="3:14" hidden="1">
      <c r="C505" s="235">
        <v>45148</v>
      </c>
      <c r="I505" t="s">
        <v>1311</v>
      </c>
    </row>
    <row r="506" spans="3:14" hidden="1">
      <c r="C506" s="237">
        <v>45149</v>
      </c>
    </row>
    <row r="507" spans="3:14" hidden="1">
      <c r="C507" s="235">
        <v>45150</v>
      </c>
    </row>
    <row r="508" spans="3:14" hidden="1">
      <c r="C508" s="237">
        <v>45151</v>
      </c>
    </row>
    <row r="509" spans="3:14" hidden="1">
      <c r="C509" s="235">
        <v>45152</v>
      </c>
    </row>
    <row r="510" spans="3:14" hidden="1">
      <c r="C510" s="237">
        <v>45153</v>
      </c>
    </row>
    <row r="511" spans="3:14" hidden="1">
      <c r="C511" s="235">
        <v>45154</v>
      </c>
      <c r="E511" t="s">
        <v>1138</v>
      </c>
      <c r="K511" t="s">
        <v>1139</v>
      </c>
      <c r="L511" t="s">
        <v>1140</v>
      </c>
    </row>
    <row r="512" spans="3:14" hidden="1">
      <c r="C512" s="237">
        <v>45155</v>
      </c>
      <c r="N512" t="s">
        <v>1141</v>
      </c>
    </row>
    <row r="513" spans="3:31" hidden="1">
      <c r="C513" s="235">
        <v>45156</v>
      </c>
    </row>
    <row r="514" spans="3:31" hidden="1">
      <c r="C514" s="237">
        <v>45157</v>
      </c>
    </row>
    <row r="515" spans="3:31" hidden="1">
      <c r="C515" s="235">
        <v>45158</v>
      </c>
    </row>
    <row r="516" spans="3:31" hidden="1">
      <c r="C516" s="237">
        <v>45159</v>
      </c>
      <c r="F516" t="s">
        <v>1147</v>
      </c>
      <c r="AE516" t="s">
        <v>1148</v>
      </c>
    </row>
    <row r="517" spans="3:31" hidden="1">
      <c r="C517" s="235">
        <v>45160</v>
      </c>
    </row>
    <row r="518" spans="3:31" hidden="1">
      <c r="C518" s="237">
        <v>45161</v>
      </c>
    </row>
    <row r="519" spans="3:31" hidden="1">
      <c r="C519" s="235">
        <v>45162</v>
      </c>
    </row>
    <row r="520" spans="3:31" hidden="1">
      <c r="C520" s="237">
        <v>45163</v>
      </c>
    </row>
    <row r="521" spans="3:31" hidden="1">
      <c r="C521" s="235">
        <v>45164</v>
      </c>
    </row>
    <row r="522" spans="3:31" hidden="1">
      <c r="C522" s="237">
        <v>45165</v>
      </c>
    </row>
    <row r="523" spans="3:31" hidden="1">
      <c r="C523" s="235">
        <v>45166</v>
      </c>
    </row>
    <row r="524" spans="3:31" hidden="1">
      <c r="C524" s="237">
        <v>45167</v>
      </c>
    </row>
    <row r="525" spans="3:31" hidden="1">
      <c r="C525" s="235">
        <v>45168</v>
      </c>
    </row>
    <row r="526" spans="3:31" hidden="1">
      <c r="C526" s="237">
        <v>45169</v>
      </c>
    </row>
    <row r="527" spans="3:31" hidden="1">
      <c r="C527" s="235">
        <v>45170</v>
      </c>
    </row>
    <row r="528" spans="3:31" hidden="1">
      <c r="C528" s="237">
        <v>45171</v>
      </c>
    </row>
    <row r="529" spans="3:12" hidden="1">
      <c r="C529" s="235">
        <v>45172</v>
      </c>
      <c r="G529" t="s">
        <v>1168</v>
      </c>
    </row>
    <row r="530" spans="3:12" hidden="1">
      <c r="C530" s="237">
        <v>45173</v>
      </c>
    </row>
    <row r="531" spans="3:12" hidden="1">
      <c r="C531" s="235">
        <v>45174</v>
      </c>
    </row>
    <row r="532" spans="3:12" hidden="1">
      <c r="C532" s="237">
        <v>45175</v>
      </c>
    </row>
    <row r="533" spans="3:12" hidden="1">
      <c r="C533" s="235">
        <v>45176</v>
      </c>
      <c r="G533" t="s">
        <v>1170</v>
      </c>
    </row>
    <row r="534" spans="3:12" hidden="1">
      <c r="C534" s="237">
        <v>45177</v>
      </c>
    </row>
    <row r="535" spans="3:12" hidden="1">
      <c r="C535" s="235">
        <v>45178</v>
      </c>
      <c r="G535" t="s">
        <v>1171</v>
      </c>
    </row>
    <row r="536" spans="3:12" hidden="1">
      <c r="C536" s="237">
        <v>45179</v>
      </c>
    </row>
    <row r="537" spans="3:12" hidden="1">
      <c r="C537" s="235">
        <v>45180</v>
      </c>
    </row>
    <row r="538" spans="3:12" hidden="1">
      <c r="C538" s="237">
        <v>45181</v>
      </c>
    </row>
    <row r="539" spans="3:12" hidden="1">
      <c r="C539" s="235">
        <v>45182</v>
      </c>
    </row>
    <row r="540" spans="3:12" hidden="1">
      <c r="C540" s="237">
        <v>45183</v>
      </c>
    </row>
    <row r="541" spans="3:12" hidden="1">
      <c r="C541" s="235">
        <v>45184</v>
      </c>
    </row>
    <row r="542" spans="3:12" hidden="1">
      <c r="C542" s="237">
        <v>45185</v>
      </c>
      <c r="L542" t="s">
        <v>1306</v>
      </c>
    </row>
    <row r="543" spans="3:12" hidden="1">
      <c r="C543" s="235">
        <v>45186</v>
      </c>
      <c r="H543" t="s">
        <v>1215</v>
      </c>
    </row>
    <row r="544" spans="3:12" hidden="1">
      <c r="C544" s="237">
        <v>45187</v>
      </c>
      <c r="F544" t="s">
        <v>1216</v>
      </c>
    </row>
    <row r="545" spans="3:31" hidden="1">
      <c r="C545" s="235">
        <v>45188</v>
      </c>
      <c r="I545" t="s">
        <v>1473</v>
      </c>
      <c r="J545" t="s">
        <v>1223</v>
      </c>
    </row>
    <row r="546" spans="3:31" hidden="1">
      <c r="C546" s="237">
        <v>45189</v>
      </c>
    </row>
    <row r="547" spans="3:31" hidden="1">
      <c r="C547" s="235">
        <v>45190</v>
      </c>
    </row>
    <row r="548" spans="3:31" hidden="1">
      <c r="C548" s="237">
        <v>45191</v>
      </c>
      <c r="AE548" t="s">
        <v>1227</v>
      </c>
    </row>
    <row r="549" spans="3:31" hidden="1">
      <c r="C549" s="235">
        <v>45192</v>
      </c>
    </row>
    <row r="550" spans="3:31" hidden="1">
      <c r="C550" s="237">
        <v>45193</v>
      </c>
      <c r="E550" t="s">
        <v>1302</v>
      </c>
    </row>
    <row r="551" spans="3:31" hidden="1">
      <c r="C551" s="235">
        <v>45194</v>
      </c>
      <c r="N551" t="s">
        <v>1230</v>
      </c>
    </row>
    <row r="552" spans="3:31" hidden="1">
      <c r="C552" s="237">
        <v>45195</v>
      </c>
      <c r="F552" t="s">
        <v>1303</v>
      </c>
    </row>
    <row r="553" spans="3:31" hidden="1">
      <c r="C553" s="235">
        <v>45196</v>
      </c>
    </row>
    <row r="554" spans="3:31" hidden="1">
      <c r="C554" s="237">
        <v>45197</v>
      </c>
    </row>
    <row r="555" spans="3:31" hidden="1">
      <c r="C555" s="235">
        <v>45198</v>
      </c>
    </row>
    <row r="556" spans="3:31" hidden="1">
      <c r="C556" s="237">
        <v>45199</v>
      </c>
    </row>
    <row r="557" spans="3:31" hidden="1">
      <c r="C557" s="235">
        <v>45200</v>
      </c>
      <c r="F557" t="s">
        <v>1304</v>
      </c>
    </row>
    <row r="558" spans="3:31" hidden="1">
      <c r="C558" s="237">
        <v>45201</v>
      </c>
      <c r="L558" t="s">
        <v>1307</v>
      </c>
    </row>
    <row r="559" spans="3:31" hidden="1">
      <c r="C559" s="235">
        <v>45202</v>
      </c>
    </row>
    <row r="560" spans="3:31" hidden="1">
      <c r="C560" s="237">
        <v>45203</v>
      </c>
    </row>
    <row r="561" spans="3:32" hidden="1">
      <c r="C561" s="235">
        <v>45204</v>
      </c>
    </row>
    <row r="562" spans="3:32" hidden="1">
      <c r="C562" s="237">
        <v>45205</v>
      </c>
    </row>
    <row r="563" spans="3:32" hidden="1">
      <c r="C563" s="235">
        <v>45206</v>
      </c>
    </row>
    <row r="564" spans="3:32" hidden="1">
      <c r="C564" s="237">
        <v>45207</v>
      </c>
      <c r="M564" t="s">
        <v>1308</v>
      </c>
    </row>
    <row r="565" spans="3:32" hidden="1">
      <c r="C565" s="235">
        <v>45208</v>
      </c>
      <c r="K565" t="s">
        <v>1305</v>
      </c>
    </row>
    <row r="566" spans="3:32" hidden="1">
      <c r="C566" s="237">
        <v>45209</v>
      </c>
    </row>
    <row r="567" spans="3:32" hidden="1">
      <c r="C567" s="235">
        <v>45210</v>
      </c>
      <c r="J567" t="s">
        <v>1309</v>
      </c>
    </row>
    <row r="568" spans="3:32" hidden="1">
      <c r="C568" s="237">
        <v>45211</v>
      </c>
    </row>
    <row r="569" spans="3:32" hidden="1">
      <c r="C569" s="235">
        <v>45212</v>
      </c>
    </row>
    <row r="570" spans="3:32" hidden="1">
      <c r="C570" s="237">
        <v>45213</v>
      </c>
    </row>
    <row r="571" spans="3:32" hidden="1">
      <c r="C571" s="235">
        <v>45214</v>
      </c>
      <c r="AF571" t="s">
        <v>1310</v>
      </c>
    </row>
    <row r="572" spans="3:32" hidden="1">
      <c r="C572" s="237">
        <v>45215</v>
      </c>
    </row>
    <row r="573" spans="3:32" hidden="1">
      <c r="C573" s="235">
        <v>45216</v>
      </c>
    </row>
    <row r="574" spans="3:32" hidden="1">
      <c r="C574" s="237">
        <v>45217</v>
      </c>
    </row>
    <row r="575" spans="3:32" hidden="1">
      <c r="C575" s="235">
        <v>45218</v>
      </c>
    </row>
    <row r="576" spans="3:32" hidden="1">
      <c r="C576" s="237">
        <v>45219</v>
      </c>
      <c r="N576" t="s">
        <v>1328</v>
      </c>
    </row>
    <row r="577" spans="3:14" hidden="1">
      <c r="C577" s="235">
        <v>45220</v>
      </c>
      <c r="D577" t="s">
        <v>1324</v>
      </c>
      <c r="F577" t="s">
        <v>1325</v>
      </c>
    </row>
    <row r="578" spans="3:14" hidden="1">
      <c r="C578" s="237">
        <v>45221</v>
      </c>
    </row>
    <row r="579" spans="3:14" hidden="1">
      <c r="C579" s="235">
        <v>45222</v>
      </c>
      <c r="G579" t="s">
        <v>1326</v>
      </c>
      <c r="N579" t="s">
        <v>1326</v>
      </c>
    </row>
    <row r="580" spans="3:14" hidden="1">
      <c r="C580" s="237">
        <v>45223</v>
      </c>
      <c r="G580" t="s">
        <v>1327</v>
      </c>
    </row>
    <row r="581" spans="3:14" hidden="1">
      <c r="C581" s="235">
        <v>45224</v>
      </c>
      <c r="N581" t="s">
        <v>1328</v>
      </c>
    </row>
    <row r="582" spans="3:14" hidden="1">
      <c r="C582" s="237">
        <v>45225</v>
      </c>
    </row>
    <row r="583" spans="3:14" hidden="1">
      <c r="C583" s="235">
        <v>45226</v>
      </c>
    </row>
    <row r="584" spans="3:14" hidden="1">
      <c r="C584" s="237">
        <v>45227</v>
      </c>
    </row>
    <row r="585" spans="3:14" hidden="1">
      <c r="C585" s="235">
        <v>45228</v>
      </c>
    </row>
    <row r="586" spans="3:14" hidden="1">
      <c r="C586" s="237">
        <v>45229</v>
      </c>
    </row>
    <row r="587" spans="3:14" hidden="1">
      <c r="C587" s="235">
        <v>45230</v>
      </c>
    </row>
    <row r="588" spans="3:14" hidden="1">
      <c r="C588" s="237">
        <v>45231</v>
      </c>
    </row>
    <row r="589" spans="3:14" hidden="1">
      <c r="C589" s="235">
        <v>45232</v>
      </c>
    </row>
    <row r="590" spans="3:14" hidden="1">
      <c r="C590" s="237">
        <v>45233</v>
      </c>
    </row>
    <row r="591" spans="3:14" hidden="1">
      <c r="C591" s="235">
        <v>45234</v>
      </c>
    </row>
    <row r="592" spans="3:14" hidden="1">
      <c r="C592" s="237">
        <v>45235</v>
      </c>
      <c r="K592" t="s">
        <v>1464</v>
      </c>
    </row>
    <row r="593" spans="3:14" hidden="1">
      <c r="C593" s="235">
        <v>45236</v>
      </c>
      <c r="N593" t="s">
        <v>1328</v>
      </c>
    </row>
    <row r="594" spans="3:14" hidden="1">
      <c r="C594" s="237">
        <v>45237</v>
      </c>
    </row>
    <row r="595" spans="3:14" hidden="1">
      <c r="C595" s="235">
        <v>45238</v>
      </c>
    </row>
    <row r="596" spans="3:14" hidden="1">
      <c r="C596" s="237">
        <v>45239</v>
      </c>
      <c r="L596" t="s">
        <v>1355</v>
      </c>
    </row>
    <row r="597" spans="3:14" hidden="1">
      <c r="C597" s="235">
        <v>45240</v>
      </c>
    </row>
    <row r="598" spans="3:14" hidden="1">
      <c r="C598" s="237">
        <v>45241</v>
      </c>
    </row>
    <row r="599" spans="3:14" hidden="1">
      <c r="C599" s="235">
        <v>45242</v>
      </c>
    </row>
    <row r="600" spans="3:14" hidden="1">
      <c r="C600" s="237">
        <v>45243</v>
      </c>
    </row>
    <row r="601" spans="3:14" hidden="1">
      <c r="C601" s="235">
        <v>45244</v>
      </c>
    </row>
    <row r="602" spans="3:14" hidden="1">
      <c r="C602" s="237">
        <v>45245</v>
      </c>
      <c r="F602" t="s">
        <v>1362</v>
      </c>
    </row>
    <row r="603" spans="3:14" hidden="1">
      <c r="C603" s="235">
        <v>45246</v>
      </c>
    </row>
    <row r="604" spans="3:14" hidden="1">
      <c r="C604" s="237">
        <v>45247</v>
      </c>
    </row>
    <row r="605" spans="3:14" hidden="1">
      <c r="C605" s="235">
        <v>45248</v>
      </c>
      <c r="E605" t="s">
        <v>1452</v>
      </c>
    </row>
    <row r="606" spans="3:14" hidden="1">
      <c r="C606" s="237">
        <v>45249</v>
      </c>
    </row>
    <row r="607" spans="3:14" hidden="1">
      <c r="C607" s="235">
        <v>45250</v>
      </c>
      <c r="L607" t="s">
        <v>1457</v>
      </c>
    </row>
    <row r="608" spans="3:14" hidden="1">
      <c r="C608" s="237">
        <v>45251</v>
      </c>
    </row>
    <row r="609" spans="3:12" hidden="1">
      <c r="C609" s="235">
        <v>45252</v>
      </c>
    </row>
    <row r="610" spans="3:12" hidden="1">
      <c r="C610" s="237">
        <v>45253</v>
      </c>
    </row>
    <row r="611" spans="3:12" hidden="1">
      <c r="C611" s="235">
        <v>45254</v>
      </c>
    </row>
    <row r="612" spans="3:12" hidden="1">
      <c r="C612" s="237">
        <v>45255</v>
      </c>
    </row>
    <row r="613" spans="3:12" hidden="1">
      <c r="C613" s="235">
        <v>45256</v>
      </c>
    </row>
    <row r="614" spans="3:12" hidden="1">
      <c r="C614" s="237">
        <v>45257</v>
      </c>
    </row>
    <row r="615" spans="3:12" hidden="1">
      <c r="C615" s="235">
        <v>45258</v>
      </c>
      <c r="K615" t="s">
        <v>1466</v>
      </c>
    </row>
    <row r="616" spans="3:12" hidden="1">
      <c r="C616" s="237">
        <v>45259</v>
      </c>
    </row>
    <row r="617" spans="3:12" hidden="1">
      <c r="C617" s="235">
        <v>45260</v>
      </c>
    </row>
    <row r="618" spans="3:12" hidden="1">
      <c r="C618" s="237">
        <v>45261</v>
      </c>
    </row>
    <row r="619" spans="3:12" hidden="1">
      <c r="C619" s="235">
        <v>45262</v>
      </c>
      <c r="K619" t="s">
        <v>1462</v>
      </c>
    </row>
    <row r="620" spans="3:12" hidden="1">
      <c r="C620" s="237">
        <v>45263</v>
      </c>
    </row>
    <row r="621" spans="3:12" hidden="1">
      <c r="C621" s="235">
        <v>45264</v>
      </c>
      <c r="L621" t="s">
        <v>1457</v>
      </c>
    </row>
    <row r="622" spans="3:12" hidden="1">
      <c r="C622" s="237">
        <v>45265</v>
      </c>
    </row>
    <row r="623" spans="3:12" hidden="1">
      <c r="C623" s="235">
        <v>45266</v>
      </c>
      <c r="K623" t="s">
        <v>1463</v>
      </c>
    </row>
    <row r="624" spans="3:12" hidden="1">
      <c r="C624" s="237">
        <v>45267</v>
      </c>
      <c r="K624" t="s">
        <v>1388</v>
      </c>
    </row>
    <row r="625" spans="3:32" hidden="1">
      <c r="C625" s="235">
        <v>45268</v>
      </c>
    </row>
    <row r="626" spans="3:32" hidden="1">
      <c r="C626" s="237">
        <v>45269</v>
      </c>
    </row>
    <row r="627" spans="3:32" hidden="1">
      <c r="C627" s="235">
        <v>45270</v>
      </c>
    </row>
    <row r="628" spans="3:32" hidden="1">
      <c r="C628" s="237">
        <v>45271</v>
      </c>
      <c r="F628" t="s">
        <v>1453</v>
      </c>
    </row>
    <row r="629" spans="3:32" hidden="1">
      <c r="C629" s="235">
        <v>45272</v>
      </c>
    </row>
    <row r="630" spans="3:32" hidden="1">
      <c r="C630" s="237">
        <v>45273</v>
      </c>
      <c r="AF630" t="s">
        <v>1471</v>
      </c>
    </row>
    <row r="631" spans="3:32" hidden="1">
      <c r="C631" s="235">
        <v>45274</v>
      </c>
    </row>
    <row r="632" spans="3:32" hidden="1">
      <c r="C632" s="237">
        <v>45275</v>
      </c>
    </row>
    <row r="633" spans="3:32" hidden="1">
      <c r="C633" s="235">
        <v>45276</v>
      </c>
    </row>
    <row r="634" spans="3:32" hidden="1">
      <c r="C634" s="237">
        <v>45277</v>
      </c>
    </row>
    <row r="635" spans="3:32" hidden="1">
      <c r="C635" s="235">
        <v>45278</v>
      </c>
    </row>
    <row r="636" spans="3:32" hidden="1">
      <c r="C636" s="237">
        <v>45279</v>
      </c>
      <c r="J636" t="s">
        <v>1467</v>
      </c>
    </row>
    <row r="637" spans="3:32" hidden="1">
      <c r="C637" s="235">
        <v>45280</v>
      </c>
    </row>
    <row r="638" spans="3:32" hidden="1">
      <c r="C638" s="237">
        <v>45281</v>
      </c>
    </row>
    <row r="639" spans="3:32" hidden="1">
      <c r="C639" s="235">
        <v>45282</v>
      </c>
    </row>
    <row r="640" spans="3:32" hidden="1">
      <c r="C640" s="237">
        <v>45283</v>
      </c>
      <c r="N640" t="s">
        <v>1468</v>
      </c>
    </row>
    <row r="641" spans="3:31" hidden="1">
      <c r="C641" s="235">
        <v>45284</v>
      </c>
    </row>
    <row r="642" spans="3:31" hidden="1">
      <c r="C642" s="237">
        <v>45285</v>
      </c>
    </row>
    <row r="643" spans="3:31" hidden="1">
      <c r="C643" s="235">
        <v>45286</v>
      </c>
    </row>
    <row r="644" spans="3:31" hidden="1">
      <c r="C644" s="237">
        <v>45287</v>
      </c>
    </row>
    <row r="645" spans="3:31" hidden="1">
      <c r="C645" s="235">
        <v>45288</v>
      </c>
      <c r="N645" t="s">
        <v>1469</v>
      </c>
    </row>
    <row r="646" spans="3:31" hidden="1">
      <c r="C646" s="237">
        <v>45289</v>
      </c>
      <c r="F646" t="s">
        <v>1170</v>
      </c>
    </row>
    <row r="647" spans="3:31" hidden="1">
      <c r="C647" s="235">
        <v>45290</v>
      </c>
    </row>
    <row r="648" spans="3:31" hidden="1">
      <c r="C648" s="237">
        <v>45291</v>
      </c>
      <c r="E648" t="s">
        <v>1474</v>
      </c>
    </row>
    <row r="649" spans="3:31" hidden="1">
      <c r="C649" s="235">
        <v>45292</v>
      </c>
    </row>
    <row r="650" spans="3:31" hidden="1">
      <c r="C650" s="237">
        <v>45293</v>
      </c>
    </row>
    <row r="651" spans="3:31" hidden="1">
      <c r="C651" s="235">
        <v>45294</v>
      </c>
      <c r="AE651" t="s">
        <v>1470</v>
      </c>
    </row>
    <row r="652" spans="3:31" hidden="1">
      <c r="C652" s="237">
        <v>45295</v>
      </c>
      <c r="G652" t="s">
        <v>1460</v>
      </c>
    </row>
    <row r="653" spans="3:31" hidden="1">
      <c r="C653" s="235">
        <v>45296</v>
      </c>
    </row>
    <row r="654" spans="3:31" hidden="1">
      <c r="C654" s="237">
        <v>45297</v>
      </c>
    </row>
    <row r="655" spans="3:31" hidden="1">
      <c r="C655" s="235">
        <v>45298</v>
      </c>
      <c r="F655" t="s">
        <v>1456</v>
      </c>
    </row>
    <row r="656" spans="3:31" hidden="1">
      <c r="C656" s="237">
        <v>45299</v>
      </c>
    </row>
    <row r="657" spans="3:32" hidden="1">
      <c r="C657" s="235">
        <v>45300</v>
      </c>
    </row>
    <row r="658" spans="3:32" hidden="1">
      <c r="C658" s="237">
        <v>45301</v>
      </c>
      <c r="F658" t="s">
        <v>1455</v>
      </c>
    </row>
    <row r="659" spans="3:32" hidden="1">
      <c r="C659" s="235">
        <v>45302</v>
      </c>
    </row>
    <row r="660" spans="3:32" hidden="1">
      <c r="C660" s="237">
        <v>45303</v>
      </c>
    </row>
    <row r="661" spans="3:32" hidden="1">
      <c r="C661" s="235">
        <v>45304</v>
      </c>
    </row>
    <row r="662" spans="3:32" hidden="1">
      <c r="C662" s="237">
        <v>45305</v>
      </c>
      <c r="D662" t="s">
        <v>1451</v>
      </c>
      <c r="F662" t="s">
        <v>1454</v>
      </c>
    </row>
    <row r="663" spans="3:32" hidden="1">
      <c r="C663" s="235">
        <v>45306</v>
      </c>
    </row>
    <row r="664" spans="3:32" hidden="1">
      <c r="C664" s="237">
        <v>45307</v>
      </c>
    </row>
    <row r="665" spans="3:32" hidden="1">
      <c r="C665" s="235">
        <v>45308</v>
      </c>
    </row>
    <row r="666" spans="3:32" hidden="1">
      <c r="C666" s="237">
        <v>45309</v>
      </c>
      <c r="F666" t="s">
        <v>1453</v>
      </c>
      <c r="AF666" t="s">
        <v>1472</v>
      </c>
    </row>
    <row r="667" spans="3:32" hidden="1">
      <c r="C667" s="235">
        <v>45310</v>
      </c>
    </row>
    <row r="668" spans="3:32" hidden="1">
      <c r="C668" s="237">
        <v>45311</v>
      </c>
      <c r="L668" t="s">
        <v>1458</v>
      </c>
    </row>
    <row r="669" spans="3:32" hidden="1">
      <c r="C669" s="235">
        <v>45312</v>
      </c>
    </row>
    <row r="670" spans="3:32" hidden="1">
      <c r="C670" s="237">
        <v>45313</v>
      </c>
      <c r="K670" t="s">
        <v>1465</v>
      </c>
      <c r="M670" t="s">
        <v>1459</v>
      </c>
    </row>
    <row r="671" spans="3:32" hidden="1">
      <c r="C671" s="235">
        <v>45314</v>
      </c>
      <c r="H671" t="s">
        <v>1461</v>
      </c>
    </row>
    <row r="672" spans="3:32" hidden="1">
      <c r="C672" s="237">
        <v>45315</v>
      </c>
    </row>
    <row r="673" spans="3:13" hidden="1">
      <c r="C673" s="235">
        <v>45316</v>
      </c>
    </row>
    <row r="674" spans="3:13" hidden="1">
      <c r="C674" s="237">
        <v>45317</v>
      </c>
    </row>
    <row r="675" spans="3:13" hidden="1">
      <c r="C675" s="235">
        <v>45318</v>
      </c>
    </row>
    <row r="676" spans="3:13" hidden="1">
      <c r="C676" s="237">
        <v>45319</v>
      </c>
    </row>
    <row r="677" spans="3:13" hidden="1">
      <c r="C677" s="235">
        <v>45320</v>
      </c>
    </row>
    <row r="678" spans="3:13" hidden="1">
      <c r="C678" s="237">
        <v>45321</v>
      </c>
    </row>
    <row r="679" spans="3:13" hidden="1">
      <c r="C679" s="235">
        <v>45322</v>
      </c>
    </row>
    <row r="680" spans="3:13" hidden="1">
      <c r="C680" s="237">
        <v>45323</v>
      </c>
    </row>
    <row r="681" spans="3:13" hidden="1">
      <c r="C681" s="235">
        <v>45324</v>
      </c>
    </row>
    <row r="682" spans="3:13" hidden="1">
      <c r="C682" s="237">
        <v>45325</v>
      </c>
    </row>
    <row r="683" spans="3:13" hidden="1">
      <c r="C683" s="235">
        <v>45326</v>
      </c>
    </row>
    <row r="684" spans="3:13" hidden="1">
      <c r="C684" s="237">
        <v>45327</v>
      </c>
      <c r="M684" t="s">
        <v>1459</v>
      </c>
    </row>
    <row r="685" spans="3:13" hidden="1">
      <c r="C685" s="235">
        <v>45328</v>
      </c>
    </row>
    <row r="686" spans="3:13" hidden="1">
      <c r="C686" s="237">
        <v>45329</v>
      </c>
      <c r="E686" t="s">
        <v>1487</v>
      </c>
    </row>
    <row r="687" spans="3:13" hidden="1">
      <c r="C687" s="235">
        <v>45330</v>
      </c>
    </row>
    <row r="688" spans="3:13" hidden="1">
      <c r="C688" s="237">
        <v>45331</v>
      </c>
    </row>
    <row r="689" spans="3:31" hidden="1">
      <c r="C689" s="235">
        <v>45332</v>
      </c>
    </row>
    <row r="690" spans="3:31" hidden="1">
      <c r="C690" s="237">
        <v>45333</v>
      </c>
    </row>
    <row r="691" spans="3:31" hidden="1">
      <c r="C691" s="235">
        <v>45334</v>
      </c>
      <c r="AE691" t="s">
        <v>1494</v>
      </c>
    </row>
    <row r="692" spans="3:31" hidden="1">
      <c r="C692" s="237">
        <v>45335</v>
      </c>
    </row>
    <row r="693" spans="3:31" hidden="1">
      <c r="C693" s="235">
        <v>45336</v>
      </c>
    </row>
    <row r="694" spans="3:31" hidden="1">
      <c r="C694" s="237">
        <v>45337</v>
      </c>
    </row>
    <row r="695" spans="3:31" hidden="1">
      <c r="C695" s="235">
        <v>45338</v>
      </c>
      <c r="J695" t="s">
        <v>1495</v>
      </c>
    </row>
    <row r="696" spans="3:31" hidden="1">
      <c r="C696" s="237">
        <v>45339</v>
      </c>
      <c r="F696" t="s">
        <v>1496</v>
      </c>
    </row>
    <row r="697" spans="3:31" hidden="1">
      <c r="C697" s="235">
        <v>45340</v>
      </c>
    </row>
    <row r="698" spans="3:31" hidden="1">
      <c r="C698" s="237">
        <v>45341</v>
      </c>
    </row>
    <row r="699" spans="3:31" hidden="1">
      <c r="C699" s="235">
        <v>45342</v>
      </c>
    </row>
    <row r="700" spans="3:31" hidden="1">
      <c r="C700" s="237">
        <v>45343</v>
      </c>
    </row>
    <row r="701" spans="3:31" hidden="1">
      <c r="C701" s="235">
        <v>45344</v>
      </c>
    </row>
    <row r="702" spans="3:31" hidden="1">
      <c r="C702" s="237">
        <v>45345</v>
      </c>
    </row>
    <row r="703" spans="3:31" hidden="1">
      <c r="C703" s="235">
        <v>45346</v>
      </c>
    </row>
    <row r="704" spans="3:31" hidden="1">
      <c r="C704" s="237">
        <v>45347</v>
      </c>
    </row>
    <row r="705" spans="3:12" hidden="1">
      <c r="C705" s="235">
        <v>45348</v>
      </c>
      <c r="K705" t="s">
        <v>1509</v>
      </c>
    </row>
    <row r="706" spans="3:12" hidden="1">
      <c r="C706" s="237">
        <v>45349</v>
      </c>
      <c r="F706" t="s">
        <v>1510</v>
      </c>
    </row>
    <row r="707" spans="3:12" hidden="1">
      <c r="C707" s="235">
        <v>45350</v>
      </c>
    </row>
    <row r="708" spans="3:12" hidden="1">
      <c r="C708" s="237">
        <v>45351</v>
      </c>
      <c r="G708" t="s">
        <v>1511</v>
      </c>
    </row>
    <row r="709" spans="3:12" hidden="1">
      <c r="C709" s="235">
        <v>45352</v>
      </c>
    </row>
    <row r="710" spans="3:12" hidden="1">
      <c r="C710" s="237">
        <v>45353</v>
      </c>
    </row>
    <row r="711" spans="3:12" hidden="1">
      <c r="C711" s="235">
        <v>45354</v>
      </c>
    </row>
    <row r="712" spans="3:12" hidden="1">
      <c r="C712" s="237">
        <v>45355</v>
      </c>
    </row>
    <row r="713" spans="3:12" hidden="1">
      <c r="C713" s="235">
        <v>45356</v>
      </c>
    </row>
    <row r="714" spans="3:12" hidden="1">
      <c r="C714" s="237">
        <v>45357</v>
      </c>
      <c r="E714" t="s">
        <v>964</v>
      </c>
      <c r="L714" t="s">
        <v>1518</v>
      </c>
    </row>
    <row r="715" spans="3:12" hidden="1">
      <c r="C715" s="235">
        <v>45358</v>
      </c>
    </row>
    <row r="716" spans="3:12" hidden="1">
      <c r="C716" s="237">
        <v>45359</v>
      </c>
    </row>
    <row r="717" spans="3:12" hidden="1">
      <c r="C717" s="235">
        <v>45360</v>
      </c>
    </row>
    <row r="718" spans="3:12" hidden="1">
      <c r="C718" s="237">
        <v>45361</v>
      </c>
    </row>
    <row r="719" spans="3:12" hidden="1">
      <c r="C719" s="235">
        <v>45362</v>
      </c>
    </row>
    <row r="720" spans="3:12" hidden="1">
      <c r="C720" s="237">
        <v>45363</v>
      </c>
    </row>
    <row r="721" spans="3:6" hidden="1">
      <c r="C721" s="235">
        <v>45364</v>
      </c>
      <c r="F721" t="s">
        <v>1524</v>
      </c>
    </row>
    <row r="722" spans="3:6" hidden="1">
      <c r="C722" s="237">
        <v>45365</v>
      </c>
    </row>
    <row r="723" spans="3:6" hidden="1">
      <c r="C723" s="235">
        <v>45366</v>
      </c>
      <c r="E723" t="s">
        <v>1534</v>
      </c>
    </row>
    <row r="724" spans="3:6" hidden="1">
      <c r="C724" s="237">
        <v>45367</v>
      </c>
    </row>
    <row r="725" spans="3:6" hidden="1">
      <c r="C725" s="235">
        <v>45368</v>
      </c>
    </row>
    <row r="726" spans="3:6" hidden="1">
      <c r="C726" s="237">
        <v>45369</v>
      </c>
    </row>
    <row r="727" spans="3:6" hidden="1">
      <c r="C727" s="235">
        <v>45370</v>
      </c>
    </row>
    <row r="728" spans="3:6" hidden="1">
      <c r="C728" s="237">
        <v>45371</v>
      </c>
    </row>
    <row r="729" spans="3:6" hidden="1">
      <c r="C729" s="235">
        <v>45372</v>
      </c>
    </row>
    <row r="730" spans="3:6" hidden="1">
      <c r="C730" s="237">
        <v>45373</v>
      </c>
    </row>
    <row r="731" spans="3:6" hidden="1">
      <c r="C731" s="235">
        <v>45374</v>
      </c>
    </row>
    <row r="732" spans="3:6" hidden="1">
      <c r="C732" s="237">
        <v>45375</v>
      </c>
    </row>
    <row r="733" spans="3:6" hidden="1">
      <c r="C733" s="235">
        <v>45376</v>
      </c>
    </row>
    <row r="734" spans="3:6" hidden="1">
      <c r="C734" s="237">
        <v>45377</v>
      </c>
      <c r="F734" t="s">
        <v>1533</v>
      </c>
    </row>
    <row r="735" spans="3:6" hidden="1">
      <c r="C735" s="235">
        <v>45378</v>
      </c>
    </row>
    <row r="736" spans="3:6" hidden="1">
      <c r="C736" s="237">
        <v>45379</v>
      </c>
    </row>
    <row r="737" spans="3:14" hidden="1">
      <c r="C737" s="235">
        <v>45380</v>
      </c>
    </row>
    <row r="738" spans="3:14" hidden="1">
      <c r="C738" s="237">
        <v>45381</v>
      </c>
    </row>
    <row r="739" spans="3:14" hidden="1">
      <c r="C739" s="235">
        <v>45382</v>
      </c>
    </row>
    <row r="740" spans="3:14" hidden="1">
      <c r="C740" s="237">
        <v>45383</v>
      </c>
      <c r="N740" s="678" t="s">
        <v>1570</v>
      </c>
    </row>
    <row r="741" spans="3:14" hidden="1">
      <c r="C741" s="235">
        <v>45384</v>
      </c>
      <c r="N741" s="678" t="s">
        <v>1571</v>
      </c>
    </row>
    <row r="742" spans="3:14" hidden="1">
      <c r="C742" s="237">
        <v>45385</v>
      </c>
    </row>
    <row r="743" spans="3:14" hidden="1">
      <c r="C743" s="235">
        <v>45386</v>
      </c>
    </row>
    <row r="744" spans="3:14" hidden="1">
      <c r="C744" s="237">
        <v>45387</v>
      </c>
    </row>
    <row r="745" spans="3:14" hidden="1">
      <c r="C745" s="235">
        <v>45388</v>
      </c>
    </row>
    <row r="746" spans="3:14" hidden="1">
      <c r="C746" s="237">
        <v>45389</v>
      </c>
      <c r="E746" t="s">
        <v>1547</v>
      </c>
    </row>
    <row r="747" spans="3:14" hidden="1">
      <c r="C747" s="235">
        <v>45390</v>
      </c>
    </row>
    <row r="748" spans="3:14" hidden="1">
      <c r="C748" s="237">
        <v>45391</v>
      </c>
    </row>
    <row r="749" spans="3:14" hidden="1">
      <c r="C749" s="235">
        <v>45392</v>
      </c>
    </row>
    <row r="750" spans="3:14" hidden="1">
      <c r="C750" s="237">
        <v>45393</v>
      </c>
      <c r="F750" t="s">
        <v>1572</v>
      </c>
    </row>
    <row r="751" spans="3:14" hidden="1">
      <c r="C751" s="235">
        <v>45394</v>
      </c>
    </row>
    <row r="752" spans="3:14" hidden="1">
      <c r="C752" s="237">
        <v>45395</v>
      </c>
    </row>
    <row r="753" spans="3:32" hidden="1">
      <c r="C753" s="235">
        <v>45396</v>
      </c>
    </row>
    <row r="754" spans="3:32" hidden="1">
      <c r="C754" s="237">
        <v>45397</v>
      </c>
      <c r="E754" s="678" t="s">
        <v>1573</v>
      </c>
    </row>
    <row r="755" spans="3:32" hidden="1">
      <c r="C755" s="235">
        <v>45398</v>
      </c>
    </row>
    <row r="756" spans="3:32" hidden="1">
      <c r="C756" s="237">
        <v>45399</v>
      </c>
      <c r="H756" s="678" t="s">
        <v>1574</v>
      </c>
    </row>
    <row r="757" spans="3:32" hidden="1">
      <c r="C757" s="235">
        <v>45400</v>
      </c>
      <c r="F757" s="678" t="s">
        <v>1575</v>
      </c>
    </row>
    <row r="758" spans="3:32" hidden="1">
      <c r="C758" s="237">
        <v>45401</v>
      </c>
    </row>
    <row r="759" spans="3:32" hidden="1">
      <c r="C759" s="235">
        <v>45402</v>
      </c>
    </row>
    <row r="760" spans="3:32" hidden="1">
      <c r="C760" s="237">
        <v>45403</v>
      </c>
      <c r="J760" s="678" t="s">
        <v>1576</v>
      </c>
    </row>
    <row r="761" spans="3:32" hidden="1">
      <c r="C761" s="235">
        <v>45404</v>
      </c>
    </row>
    <row r="762" spans="3:32" hidden="1">
      <c r="C762" s="237">
        <v>45405</v>
      </c>
      <c r="J762" s="678" t="s">
        <v>1577</v>
      </c>
    </row>
    <row r="763" spans="3:32" hidden="1">
      <c r="C763" s="235">
        <v>45406</v>
      </c>
      <c r="E763" s="678" t="s">
        <v>1578</v>
      </c>
    </row>
    <row r="764" spans="3:32" hidden="1">
      <c r="C764" s="237">
        <v>45407</v>
      </c>
      <c r="D764" t="s">
        <v>1720</v>
      </c>
    </row>
    <row r="765" spans="3:32" hidden="1">
      <c r="C765" s="235">
        <v>45408</v>
      </c>
    </row>
    <row r="766" spans="3:32" hidden="1">
      <c r="C766" s="237">
        <v>45409</v>
      </c>
    </row>
    <row r="767" spans="3:32" hidden="1">
      <c r="C767" s="235">
        <v>45410</v>
      </c>
      <c r="N767" s="678" t="s">
        <v>1580</v>
      </c>
      <c r="AF767" s="678" t="s">
        <v>1579</v>
      </c>
    </row>
    <row r="768" spans="3:32" hidden="1">
      <c r="C768" s="237">
        <v>45411</v>
      </c>
      <c r="D768" t="s">
        <v>1719</v>
      </c>
    </row>
    <row r="769" spans="3:13" hidden="1">
      <c r="C769" s="235">
        <v>45412</v>
      </c>
      <c r="K769" s="678" t="s">
        <v>1585</v>
      </c>
    </row>
    <row r="770" spans="3:13" hidden="1">
      <c r="C770" s="237">
        <v>45413</v>
      </c>
      <c r="E770" s="678" t="s">
        <v>1581</v>
      </c>
    </row>
    <row r="771" spans="3:13" hidden="1">
      <c r="C771" s="235">
        <v>45414</v>
      </c>
    </row>
    <row r="772" spans="3:13" hidden="1">
      <c r="C772" s="237">
        <v>45415</v>
      </c>
    </row>
    <row r="773" spans="3:13" hidden="1">
      <c r="C773" s="235">
        <v>45416</v>
      </c>
    </row>
    <row r="774" spans="3:13" hidden="1">
      <c r="C774" s="237">
        <v>45417</v>
      </c>
    </row>
    <row r="775" spans="3:13" hidden="1">
      <c r="C775" s="235">
        <v>45418</v>
      </c>
    </row>
    <row r="776" spans="3:13" hidden="1">
      <c r="C776" s="237">
        <v>45419</v>
      </c>
      <c r="D776" s="678" t="s">
        <v>1582</v>
      </c>
      <c r="H776" s="678" t="s">
        <v>1709</v>
      </c>
    </row>
    <row r="777" spans="3:13" hidden="1">
      <c r="C777" s="235">
        <v>45420</v>
      </c>
    </row>
    <row r="778" spans="3:13" hidden="1">
      <c r="C778" s="237">
        <v>45421</v>
      </c>
      <c r="F778" t="s">
        <v>1583</v>
      </c>
    </row>
    <row r="779" spans="3:13" hidden="1">
      <c r="C779" s="235">
        <v>45422</v>
      </c>
    </row>
    <row r="780" spans="3:13" hidden="1">
      <c r="C780" s="237">
        <v>45423</v>
      </c>
      <c r="G780" s="678" t="s">
        <v>1584</v>
      </c>
    </row>
    <row r="781" spans="3:13" hidden="1">
      <c r="C781" s="235">
        <v>45424</v>
      </c>
      <c r="F781" t="s">
        <v>1583</v>
      </c>
      <c r="H781" t="s">
        <v>1709</v>
      </c>
    </row>
    <row r="782" spans="3:13" hidden="1">
      <c r="C782" s="237">
        <v>45425</v>
      </c>
      <c r="M782" t="s">
        <v>1711</v>
      </c>
    </row>
    <row r="783" spans="3:13" hidden="1">
      <c r="C783" s="235">
        <v>45426</v>
      </c>
    </row>
    <row r="784" spans="3:13" hidden="1">
      <c r="C784" s="237">
        <v>45427</v>
      </c>
    </row>
    <row r="785" spans="3:32" hidden="1">
      <c r="C785" s="235">
        <v>45428</v>
      </c>
    </row>
    <row r="786" spans="3:32" hidden="1">
      <c r="C786" s="237">
        <v>45429</v>
      </c>
    </row>
    <row r="787" spans="3:32" hidden="1">
      <c r="C787" s="235">
        <v>45430</v>
      </c>
    </row>
    <row r="788" spans="3:32" hidden="1">
      <c r="C788" s="237">
        <v>45431</v>
      </c>
    </row>
    <row r="789" spans="3:32" hidden="1">
      <c r="C789" s="235">
        <v>45432</v>
      </c>
      <c r="E789" t="s">
        <v>1712</v>
      </c>
      <c r="I789" t="s">
        <v>1716</v>
      </c>
    </row>
    <row r="790" spans="3:32" hidden="1">
      <c r="C790" s="237">
        <v>45433</v>
      </c>
    </row>
    <row r="791" spans="3:32" hidden="1">
      <c r="C791" s="235">
        <v>45434</v>
      </c>
    </row>
    <row r="792" spans="3:32" hidden="1">
      <c r="C792" s="237">
        <v>45435</v>
      </c>
      <c r="M792" t="s">
        <v>1713</v>
      </c>
    </row>
    <row r="793" spans="3:32" hidden="1">
      <c r="C793" s="235">
        <v>45436</v>
      </c>
    </row>
    <row r="794" spans="3:32" hidden="1">
      <c r="C794" s="237">
        <v>45437</v>
      </c>
    </row>
    <row r="795" spans="3:32" hidden="1">
      <c r="C795" s="235">
        <v>45438</v>
      </c>
      <c r="AF795" t="s">
        <v>1714</v>
      </c>
    </row>
    <row r="796" spans="3:32" hidden="1">
      <c r="C796" s="237">
        <v>45439</v>
      </c>
      <c r="H796" t="s">
        <v>1715</v>
      </c>
      <c r="AE796" t="s">
        <v>1717</v>
      </c>
    </row>
    <row r="797" spans="3:32" hidden="1">
      <c r="C797" s="235">
        <v>45440</v>
      </c>
    </row>
    <row r="798" spans="3:32" hidden="1">
      <c r="C798" s="237">
        <v>45441</v>
      </c>
      <c r="I798" t="s">
        <v>1716</v>
      </c>
    </row>
    <row r="799" spans="3:32" hidden="1">
      <c r="C799" s="235">
        <v>45442</v>
      </c>
    </row>
    <row r="800" spans="3:32" hidden="1">
      <c r="C800" s="237">
        <v>45443</v>
      </c>
    </row>
    <row r="801" spans="3:32" hidden="1">
      <c r="C801" s="235">
        <v>45444</v>
      </c>
    </row>
    <row r="802" spans="3:32" hidden="1">
      <c r="C802" s="237">
        <v>45445</v>
      </c>
    </row>
    <row r="803" spans="3:32" hidden="1">
      <c r="C803" s="235">
        <v>45446</v>
      </c>
      <c r="AF803" t="s">
        <v>1721</v>
      </c>
    </row>
    <row r="804" spans="3:32" hidden="1">
      <c r="C804" s="237">
        <v>45447</v>
      </c>
    </row>
    <row r="805" spans="3:32" hidden="1">
      <c r="C805" s="235">
        <v>45448</v>
      </c>
    </row>
    <row r="806" spans="3:32" hidden="1">
      <c r="C806" s="237">
        <v>45449</v>
      </c>
    </row>
    <row r="807" spans="3:32" hidden="1">
      <c r="C807" s="235">
        <v>45450</v>
      </c>
      <c r="N807" t="s">
        <v>1722</v>
      </c>
    </row>
    <row r="808" spans="3:32" hidden="1">
      <c r="C808" s="237">
        <v>45451</v>
      </c>
    </row>
    <row r="809" spans="3:32" hidden="1">
      <c r="C809" s="235">
        <v>45452</v>
      </c>
    </row>
    <row r="810" spans="3:32" hidden="1">
      <c r="C810" s="237">
        <v>45453</v>
      </c>
    </row>
    <row r="811" spans="3:32" hidden="1">
      <c r="C811" s="235">
        <v>45454</v>
      </c>
    </row>
    <row r="812" spans="3:32" hidden="1">
      <c r="C812" s="237">
        <v>45455</v>
      </c>
      <c r="H812" t="s">
        <v>1724</v>
      </c>
      <c r="O812" t="s">
        <v>1723</v>
      </c>
      <c r="AF812" t="s">
        <v>1725</v>
      </c>
    </row>
    <row r="813" spans="3:32" hidden="1">
      <c r="C813" s="235">
        <v>45456</v>
      </c>
    </row>
    <row r="814" spans="3:32" hidden="1">
      <c r="C814" s="237">
        <v>45457</v>
      </c>
      <c r="E814" t="s">
        <v>1726</v>
      </c>
    </row>
    <row r="815" spans="3:32" hidden="1">
      <c r="C815" s="235">
        <v>45458</v>
      </c>
      <c r="M815" t="s">
        <v>1727</v>
      </c>
    </row>
    <row r="816" spans="3:32" hidden="1">
      <c r="C816" s="237">
        <v>45459</v>
      </c>
    </row>
    <row r="817" spans="3:3" hidden="1">
      <c r="C817" s="235">
        <v>45460</v>
      </c>
    </row>
    <row r="818" spans="3:3" hidden="1">
      <c r="C818" s="237">
        <v>45461</v>
      </c>
    </row>
    <row r="819" spans="3:3" hidden="1">
      <c r="C819" s="235">
        <v>45462</v>
      </c>
    </row>
    <row r="820" spans="3:3" hidden="1">
      <c r="C820" s="237">
        <v>45463</v>
      </c>
    </row>
    <row r="821" spans="3:3" hidden="1">
      <c r="C821" s="235">
        <v>45464</v>
      </c>
    </row>
    <row r="822" spans="3:3" hidden="1">
      <c r="C822" s="237">
        <v>45465</v>
      </c>
    </row>
    <row r="823" spans="3:3" hidden="1">
      <c r="C823" s="235">
        <v>45466</v>
      </c>
    </row>
    <row r="824" spans="3:3" hidden="1">
      <c r="C824" s="237">
        <v>45467</v>
      </c>
    </row>
    <row r="825" spans="3:3" hidden="1">
      <c r="C825" s="235">
        <v>45468</v>
      </c>
    </row>
    <row r="826" spans="3:3" hidden="1">
      <c r="C826" s="237">
        <v>45469</v>
      </c>
    </row>
    <row r="827" spans="3:3" hidden="1">
      <c r="C827" s="235">
        <v>45470</v>
      </c>
    </row>
    <row r="828" spans="3:3" hidden="1">
      <c r="C828" s="237">
        <v>45471</v>
      </c>
    </row>
    <row r="829" spans="3:3" hidden="1">
      <c r="C829" s="235">
        <v>45472</v>
      </c>
    </row>
    <row r="830" spans="3:3" hidden="1">
      <c r="C830" s="237">
        <v>45473</v>
      </c>
    </row>
    <row r="831" spans="3:3" hidden="1">
      <c r="C831" s="235">
        <v>45474</v>
      </c>
    </row>
    <row r="832" spans="3:3" hidden="1">
      <c r="C832" s="237">
        <v>45475</v>
      </c>
    </row>
    <row r="833" spans="3:3" hidden="1">
      <c r="C833" s="235">
        <v>45476</v>
      </c>
    </row>
    <row r="834" spans="3:3" hidden="1">
      <c r="C834" s="237">
        <v>45477</v>
      </c>
    </row>
    <row r="835" spans="3:3" hidden="1">
      <c r="C835" s="235">
        <v>45478</v>
      </c>
    </row>
    <row r="836" spans="3:3" hidden="1">
      <c r="C836" s="237">
        <v>45479</v>
      </c>
    </row>
    <row r="837" spans="3:3" hidden="1">
      <c r="C837" s="235">
        <v>45480</v>
      </c>
    </row>
    <row r="838" spans="3:3" hidden="1">
      <c r="C838" s="237">
        <v>45481</v>
      </c>
    </row>
    <row r="839" spans="3:3" hidden="1">
      <c r="C839" s="235">
        <v>45482</v>
      </c>
    </row>
    <row r="840" spans="3:3" hidden="1">
      <c r="C840" s="237">
        <v>45483</v>
      </c>
    </row>
    <row r="841" spans="3:3" hidden="1">
      <c r="C841" s="235">
        <v>45484</v>
      </c>
    </row>
    <row r="842" spans="3:3" hidden="1">
      <c r="C842" s="237">
        <v>45485</v>
      </c>
    </row>
    <row r="843" spans="3:3" hidden="1">
      <c r="C843" s="235">
        <v>45486</v>
      </c>
    </row>
    <row r="844" spans="3:3" hidden="1">
      <c r="C844" s="237">
        <v>45487</v>
      </c>
    </row>
    <row r="845" spans="3:3" hidden="1">
      <c r="C845" s="235">
        <v>45488</v>
      </c>
    </row>
    <row r="846" spans="3:3" hidden="1">
      <c r="C846" s="237">
        <v>45489</v>
      </c>
    </row>
    <row r="847" spans="3:3" hidden="1">
      <c r="C847" s="235">
        <v>45490</v>
      </c>
    </row>
    <row r="848" spans="3:3" hidden="1">
      <c r="C848" s="237">
        <v>45491</v>
      </c>
    </row>
    <row r="849" spans="3:3" hidden="1">
      <c r="C849" s="235">
        <v>45492</v>
      </c>
    </row>
    <row r="850" spans="3:3" hidden="1">
      <c r="C850" s="237">
        <v>45493</v>
      </c>
    </row>
    <row r="851" spans="3:3" hidden="1">
      <c r="C851" s="235">
        <v>45494</v>
      </c>
    </row>
    <row r="852" spans="3:3" hidden="1">
      <c r="C852" s="237">
        <v>45495</v>
      </c>
    </row>
    <row r="853" spans="3:3" hidden="1">
      <c r="C853" s="235">
        <v>45496</v>
      </c>
    </row>
    <row r="854" spans="3:3" hidden="1">
      <c r="C854" s="237">
        <v>45497</v>
      </c>
    </row>
    <row r="855" spans="3:3" hidden="1">
      <c r="C855" s="235">
        <v>45498</v>
      </c>
    </row>
    <row r="856" spans="3:3" hidden="1">
      <c r="C856" s="237">
        <v>45499</v>
      </c>
    </row>
    <row r="857" spans="3:3" hidden="1">
      <c r="C857" s="235">
        <v>45500</v>
      </c>
    </row>
    <row r="858" spans="3:3" hidden="1">
      <c r="C858" s="237">
        <v>45501</v>
      </c>
    </row>
    <row r="859" spans="3:3" hidden="1">
      <c r="C859" s="235">
        <v>45502</v>
      </c>
    </row>
    <row r="860" spans="3:3" hidden="1">
      <c r="C860" s="237">
        <v>45503</v>
      </c>
    </row>
    <row r="861" spans="3:3" hidden="1">
      <c r="C861" s="235">
        <v>45504</v>
      </c>
    </row>
    <row r="862" spans="3:3" hidden="1">
      <c r="C862" s="237">
        <v>45505</v>
      </c>
    </row>
    <row r="863" spans="3:3" hidden="1">
      <c r="C863" s="235">
        <v>45506</v>
      </c>
    </row>
    <row r="864" spans="3:3" hidden="1">
      <c r="C864" s="237">
        <v>45507</v>
      </c>
    </row>
    <row r="865" spans="3:3" hidden="1">
      <c r="C865" s="235">
        <v>45508</v>
      </c>
    </row>
    <row r="866" spans="3:3" hidden="1">
      <c r="C866" s="237">
        <v>45509</v>
      </c>
    </row>
    <row r="867" spans="3:3" hidden="1">
      <c r="C867" s="235">
        <v>45510</v>
      </c>
    </row>
    <row r="868" spans="3:3" hidden="1">
      <c r="C868" s="237">
        <v>45511</v>
      </c>
    </row>
    <row r="869" spans="3:3" hidden="1">
      <c r="C869" s="235">
        <v>45512</v>
      </c>
    </row>
    <row r="870" spans="3:3" hidden="1">
      <c r="C870" s="237">
        <v>45513</v>
      </c>
    </row>
    <row r="871" spans="3:3" hidden="1">
      <c r="C871" s="235">
        <v>45514</v>
      </c>
    </row>
    <row r="872" spans="3:3" hidden="1">
      <c r="C872" s="237">
        <v>45515</v>
      </c>
    </row>
    <row r="873" spans="3:3" hidden="1">
      <c r="C873" s="235">
        <v>45516</v>
      </c>
    </row>
    <row r="874" spans="3:3" hidden="1">
      <c r="C874" s="237">
        <v>45517</v>
      </c>
    </row>
    <row r="875" spans="3:3" hidden="1">
      <c r="C875" s="235">
        <v>45518</v>
      </c>
    </row>
    <row r="876" spans="3:3" hidden="1">
      <c r="C876" s="237">
        <v>45519</v>
      </c>
    </row>
    <row r="877" spans="3:3" hidden="1">
      <c r="C877" s="235">
        <v>45520</v>
      </c>
    </row>
    <row r="878" spans="3:3" hidden="1">
      <c r="C878" s="237">
        <v>45521</v>
      </c>
    </row>
    <row r="879" spans="3:3" hidden="1">
      <c r="C879" s="235">
        <v>45522</v>
      </c>
    </row>
    <row r="880" spans="3:3" hidden="1">
      <c r="C880" s="237">
        <v>45523</v>
      </c>
    </row>
    <row r="881" spans="3:32" hidden="1">
      <c r="C881" s="235">
        <v>45524</v>
      </c>
    </row>
    <row r="882" spans="3:32" hidden="1">
      <c r="C882" s="237">
        <v>45525</v>
      </c>
    </row>
    <row r="883" spans="3:32" hidden="1">
      <c r="C883" s="235">
        <v>45526</v>
      </c>
    </row>
    <row r="884" spans="3:32" hidden="1">
      <c r="C884" s="237">
        <v>45527</v>
      </c>
    </row>
    <row r="885" spans="3:32" hidden="1">
      <c r="C885" s="235">
        <v>45528</v>
      </c>
    </row>
    <row r="886" spans="3:32" hidden="1">
      <c r="C886" s="237">
        <v>45529</v>
      </c>
    </row>
    <row r="887" spans="3:32" hidden="1">
      <c r="C887" s="235">
        <v>45530</v>
      </c>
    </row>
    <row r="888" spans="3:32" hidden="1">
      <c r="C888" s="237">
        <v>45531</v>
      </c>
    </row>
    <row r="889" spans="3:32" hidden="1">
      <c r="C889" s="235">
        <v>45532</v>
      </c>
    </row>
    <row r="890" spans="3:32" hidden="1">
      <c r="C890" s="237">
        <v>45533</v>
      </c>
    </row>
    <row r="891" spans="3:32" hidden="1">
      <c r="C891" s="235">
        <v>45534</v>
      </c>
    </row>
    <row r="892" spans="3:32" hidden="1">
      <c r="C892" s="237">
        <v>45535</v>
      </c>
    </row>
    <row r="893" spans="3:32" hidden="1">
      <c r="C893" s="235">
        <v>45536</v>
      </c>
      <c r="K893" t="s">
        <v>1757</v>
      </c>
      <c r="M893" t="s">
        <v>1756</v>
      </c>
      <c r="AF893" t="s">
        <v>1748</v>
      </c>
    </row>
    <row r="894" spans="3:32" hidden="1">
      <c r="C894" s="237">
        <v>45537</v>
      </c>
      <c r="I894" t="s">
        <v>1758</v>
      </c>
      <c r="L894" t="s">
        <v>1759</v>
      </c>
      <c r="M894" t="s">
        <v>1744</v>
      </c>
    </row>
    <row r="895" spans="3:32" hidden="1">
      <c r="C895" s="235">
        <v>45538</v>
      </c>
      <c r="D895" t="s">
        <v>1760</v>
      </c>
    </row>
    <row r="896" spans="3:32" hidden="1">
      <c r="C896" s="237">
        <v>45539</v>
      </c>
    </row>
    <row r="897" spans="3:13" hidden="1">
      <c r="C897" s="235">
        <v>45540</v>
      </c>
      <c r="M897" t="s">
        <v>1761</v>
      </c>
    </row>
    <row r="898" spans="3:13" hidden="1">
      <c r="C898" s="237">
        <v>45541</v>
      </c>
    </row>
    <row r="899" spans="3:13" hidden="1">
      <c r="C899" s="235">
        <v>45542</v>
      </c>
    </row>
    <row r="900" spans="3:13" hidden="1">
      <c r="C900" s="237">
        <v>45543</v>
      </c>
    </row>
    <row r="901" spans="3:13" hidden="1">
      <c r="C901" s="235">
        <v>45544</v>
      </c>
    </row>
    <row r="902" spans="3:13" hidden="1">
      <c r="C902" s="237">
        <v>45545</v>
      </c>
    </row>
    <row r="903" spans="3:13" hidden="1">
      <c r="C903" s="235">
        <v>45546</v>
      </c>
    </row>
    <row r="904" spans="3:13" hidden="1">
      <c r="C904" s="237">
        <v>45547</v>
      </c>
    </row>
    <row r="905" spans="3:13" hidden="1">
      <c r="C905" s="235">
        <v>45548</v>
      </c>
    </row>
    <row r="906" spans="3:13" hidden="1">
      <c r="C906" s="237">
        <v>45549</v>
      </c>
    </row>
    <row r="907" spans="3:13" hidden="1">
      <c r="C907" s="235">
        <v>45550</v>
      </c>
    </row>
    <row r="908" spans="3:13" hidden="1">
      <c r="C908" s="237">
        <v>45551</v>
      </c>
    </row>
    <row r="909" spans="3:13" hidden="1">
      <c r="C909" s="235">
        <v>45552</v>
      </c>
    </row>
    <row r="910" spans="3:13" hidden="1">
      <c r="C910" s="237">
        <v>45553</v>
      </c>
    </row>
    <row r="911" spans="3:13" hidden="1">
      <c r="C911" s="235">
        <v>45554</v>
      </c>
    </row>
    <row r="912" spans="3:13" hidden="1">
      <c r="C912" s="237">
        <v>45555</v>
      </c>
    </row>
    <row r="913" spans="3:32" hidden="1">
      <c r="C913" s="235">
        <v>45556</v>
      </c>
    </row>
    <row r="914" spans="3:32" hidden="1">
      <c r="C914" s="237">
        <v>45557</v>
      </c>
    </row>
    <row r="915" spans="3:32" hidden="1">
      <c r="C915" s="235">
        <v>45558</v>
      </c>
      <c r="H915" t="s">
        <v>992</v>
      </c>
    </row>
    <row r="916" spans="3:32" hidden="1">
      <c r="C916" s="237">
        <v>45559</v>
      </c>
    </row>
    <row r="917" spans="3:32" hidden="1">
      <c r="C917" s="235">
        <v>45560</v>
      </c>
    </row>
    <row r="918" spans="3:32" hidden="1">
      <c r="C918" s="237">
        <v>45561</v>
      </c>
      <c r="L918" t="s">
        <v>1762</v>
      </c>
    </row>
    <row r="919" spans="3:32" hidden="1">
      <c r="C919" s="235">
        <v>45562</v>
      </c>
    </row>
    <row r="920" spans="3:32" hidden="1">
      <c r="C920" s="237">
        <v>45563</v>
      </c>
      <c r="L920" t="s">
        <v>1762</v>
      </c>
    </row>
    <row r="921" spans="3:32" hidden="1">
      <c r="C921" s="235">
        <v>45564</v>
      </c>
    </row>
    <row r="922" spans="3:32" hidden="1">
      <c r="C922" s="237">
        <v>45565</v>
      </c>
    </row>
    <row r="923" spans="3:32" hidden="1">
      <c r="C923" s="235">
        <v>45566</v>
      </c>
      <c r="F923" t="s">
        <v>1747</v>
      </c>
      <c r="K923" t="s">
        <v>1746</v>
      </c>
      <c r="L923" t="s">
        <v>1762</v>
      </c>
      <c r="M923" t="s">
        <v>1755</v>
      </c>
      <c r="AF923" t="s">
        <v>1748</v>
      </c>
    </row>
    <row r="924" spans="3:32" hidden="1">
      <c r="C924" s="237">
        <v>45567</v>
      </c>
      <c r="K924" t="s">
        <v>1749</v>
      </c>
      <c r="M924" t="s">
        <v>1744</v>
      </c>
    </row>
    <row r="925" spans="3:32" hidden="1">
      <c r="C925" s="235">
        <v>45568</v>
      </c>
    </row>
    <row r="926" spans="3:32" hidden="1">
      <c r="C926" s="237">
        <v>45569</v>
      </c>
      <c r="L926" t="s">
        <v>1750</v>
      </c>
      <c r="N926" t="s">
        <v>1751</v>
      </c>
    </row>
    <row r="927" spans="3:32" hidden="1">
      <c r="C927" s="235">
        <v>45570</v>
      </c>
      <c r="K927" t="s">
        <v>1752</v>
      </c>
    </row>
    <row r="928" spans="3:32" hidden="1">
      <c r="C928" s="237">
        <v>45571</v>
      </c>
      <c r="F928" t="s">
        <v>1454</v>
      </c>
    </row>
    <row r="929" spans="3:14" hidden="1">
      <c r="C929" s="235">
        <v>45572</v>
      </c>
    </row>
    <row r="930" spans="3:14" hidden="1">
      <c r="C930" s="237">
        <v>45573</v>
      </c>
      <c r="E930" t="s">
        <v>1753</v>
      </c>
      <c r="F930" t="s">
        <v>1763</v>
      </c>
    </row>
    <row r="931" spans="3:14" hidden="1">
      <c r="C931" s="235">
        <v>45574</v>
      </c>
    </row>
    <row r="932" spans="3:14" hidden="1">
      <c r="C932" s="237">
        <v>45575</v>
      </c>
      <c r="F932" t="s">
        <v>1764</v>
      </c>
    </row>
    <row r="933" spans="3:14" hidden="1">
      <c r="C933" s="235">
        <v>45576</v>
      </c>
    </row>
    <row r="934" spans="3:14" hidden="1">
      <c r="C934" s="237">
        <v>45577</v>
      </c>
    </row>
    <row r="935" spans="3:14" hidden="1">
      <c r="C935" s="235">
        <v>45578</v>
      </c>
      <c r="E935" t="s">
        <v>1745</v>
      </c>
      <c r="K935" t="s">
        <v>1754</v>
      </c>
      <c r="N935" t="s">
        <v>1765</v>
      </c>
    </row>
    <row r="936" spans="3:14" hidden="1">
      <c r="C936" s="237">
        <v>45579</v>
      </c>
    </row>
    <row r="937" spans="3:14" hidden="1">
      <c r="C937" s="235">
        <v>45580</v>
      </c>
    </row>
    <row r="938" spans="3:14" hidden="1">
      <c r="C938" s="237">
        <v>45581</v>
      </c>
    </row>
    <row r="939" spans="3:14" hidden="1">
      <c r="C939" s="235">
        <v>45582</v>
      </c>
    </row>
    <row r="940" spans="3:14" hidden="1">
      <c r="C940" s="237">
        <v>45583</v>
      </c>
    </row>
    <row r="941" spans="3:14" hidden="1">
      <c r="C941" s="235">
        <v>45584</v>
      </c>
    </row>
    <row r="942" spans="3:14" hidden="1">
      <c r="C942" s="237">
        <v>45585</v>
      </c>
    </row>
    <row r="943" spans="3:14" hidden="1">
      <c r="C943" s="235">
        <v>45586</v>
      </c>
    </row>
    <row r="944" spans="3:14" hidden="1">
      <c r="C944" s="237">
        <v>45587</v>
      </c>
    </row>
    <row r="945" spans="3:3" hidden="1">
      <c r="C945" s="235">
        <v>45588</v>
      </c>
    </row>
    <row r="946" spans="3:3" hidden="1">
      <c r="C946" s="237">
        <v>45589</v>
      </c>
    </row>
    <row r="947" spans="3:3" hidden="1">
      <c r="C947" s="235">
        <v>45590</v>
      </c>
    </row>
    <row r="948" spans="3:3" hidden="1">
      <c r="C948" s="237">
        <v>45591</v>
      </c>
    </row>
    <row r="949" spans="3:3" hidden="1">
      <c r="C949" s="235">
        <v>45592</v>
      </c>
    </row>
    <row r="950" spans="3:3" hidden="1">
      <c r="C950" s="237">
        <v>45593</v>
      </c>
    </row>
    <row r="951" spans="3:3" hidden="1">
      <c r="C951" s="235">
        <v>45594</v>
      </c>
    </row>
    <row r="952" spans="3:3" hidden="1">
      <c r="C952" s="237">
        <v>45595</v>
      </c>
    </row>
    <row r="953" spans="3:3" hidden="1">
      <c r="C953" s="235">
        <v>45596</v>
      </c>
    </row>
    <row r="954" spans="3:3" hidden="1">
      <c r="C954" s="237">
        <v>45597</v>
      </c>
    </row>
    <row r="955" spans="3:3" hidden="1">
      <c r="C955" s="235">
        <v>45598</v>
      </c>
    </row>
    <row r="956" spans="3:3" hidden="1">
      <c r="C956" s="237">
        <v>45599</v>
      </c>
    </row>
    <row r="957" spans="3:3" hidden="1">
      <c r="C957" s="235">
        <v>45600</v>
      </c>
    </row>
    <row r="958" spans="3:3" hidden="1">
      <c r="C958" s="237">
        <v>45601</v>
      </c>
    </row>
    <row r="959" spans="3:3" hidden="1">
      <c r="C959" s="235">
        <v>45602</v>
      </c>
    </row>
    <row r="960" spans="3:3" hidden="1">
      <c r="C960" s="237">
        <v>45603</v>
      </c>
    </row>
    <row r="961" spans="3:3" hidden="1">
      <c r="C961" s="235">
        <v>45604</v>
      </c>
    </row>
    <row r="962" spans="3:3" hidden="1">
      <c r="C962" s="237">
        <v>45605</v>
      </c>
    </row>
    <row r="963" spans="3:3" hidden="1">
      <c r="C963" s="235">
        <v>45606</v>
      </c>
    </row>
    <row r="964" spans="3:3" hidden="1">
      <c r="C964" s="237">
        <v>45607</v>
      </c>
    </row>
    <row r="965" spans="3:3" hidden="1">
      <c r="C965" s="235">
        <v>45608</v>
      </c>
    </row>
    <row r="966" spans="3:3" hidden="1">
      <c r="C966" s="237">
        <v>45609</v>
      </c>
    </row>
    <row r="967" spans="3:3" hidden="1">
      <c r="C967" s="235">
        <v>45610</v>
      </c>
    </row>
    <row r="968" spans="3:3" hidden="1">
      <c r="C968" s="237">
        <v>45611</v>
      </c>
    </row>
    <row r="969" spans="3:3" hidden="1">
      <c r="C969" s="235">
        <v>45612</v>
      </c>
    </row>
    <row r="970" spans="3:3" hidden="1">
      <c r="C970" s="237">
        <v>45613</v>
      </c>
    </row>
    <row r="971" spans="3:3" hidden="1">
      <c r="C971" s="235">
        <v>45614</v>
      </c>
    </row>
    <row r="972" spans="3:3" hidden="1">
      <c r="C972" s="237">
        <v>45615</v>
      </c>
    </row>
    <row r="973" spans="3:3" hidden="1">
      <c r="C973" s="235">
        <v>45616</v>
      </c>
    </row>
    <row r="974" spans="3:3" hidden="1">
      <c r="C974" s="237">
        <v>45617</v>
      </c>
    </row>
    <row r="975" spans="3:3" hidden="1">
      <c r="C975" s="235">
        <v>45618</v>
      </c>
    </row>
    <row r="976" spans="3:3" hidden="1">
      <c r="C976" s="237">
        <v>45619</v>
      </c>
    </row>
    <row r="977" spans="3:3" hidden="1">
      <c r="C977" s="235">
        <v>45620</v>
      </c>
    </row>
    <row r="978" spans="3:3" hidden="1">
      <c r="C978" s="237">
        <v>45621</v>
      </c>
    </row>
    <row r="979" spans="3:3" hidden="1">
      <c r="C979" s="235">
        <v>45622</v>
      </c>
    </row>
    <row r="980" spans="3:3" hidden="1">
      <c r="C980" s="237">
        <v>45623</v>
      </c>
    </row>
    <row r="981" spans="3:3" hidden="1">
      <c r="C981" s="235">
        <v>45624</v>
      </c>
    </row>
    <row r="982" spans="3:3" hidden="1">
      <c r="C982" s="237">
        <v>45625</v>
      </c>
    </row>
    <row r="983" spans="3:3" hidden="1">
      <c r="C983" s="235">
        <v>45626</v>
      </c>
    </row>
    <row r="984" spans="3:3" hidden="1">
      <c r="C984" s="237">
        <v>45627</v>
      </c>
    </row>
    <row r="985" spans="3:3" hidden="1">
      <c r="C985" s="235">
        <v>45628</v>
      </c>
    </row>
    <row r="986" spans="3:3" hidden="1">
      <c r="C986" s="237">
        <v>45629</v>
      </c>
    </row>
    <row r="987" spans="3:3" hidden="1">
      <c r="C987" s="235">
        <v>45630</v>
      </c>
    </row>
    <row r="988" spans="3:3" hidden="1">
      <c r="C988" s="237">
        <v>45631</v>
      </c>
    </row>
    <row r="989" spans="3:3" hidden="1">
      <c r="C989" s="235">
        <v>45632</v>
      </c>
    </row>
    <row r="990" spans="3:3" hidden="1">
      <c r="C990" s="237">
        <v>45633</v>
      </c>
    </row>
    <row r="991" spans="3:3" hidden="1">
      <c r="C991" s="235">
        <v>45634</v>
      </c>
    </row>
    <row r="992" spans="3:3" hidden="1">
      <c r="C992" s="237">
        <v>45635</v>
      </c>
    </row>
    <row r="993" spans="3:3" hidden="1">
      <c r="C993" s="235">
        <v>45636</v>
      </c>
    </row>
    <row r="994" spans="3:3" hidden="1">
      <c r="C994" s="237">
        <v>45637</v>
      </c>
    </row>
    <row r="995" spans="3:3" hidden="1">
      <c r="C995" s="235">
        <v>45638</v>
      </c>
    </row>
    <row r="996" spans="3:3" hidden="1">
      <c r="C996" s="237">
        <v>45639</v>
      </c>
    </row>
    <row r="997" spans="3:3" hidden="1">
      <c r="C997" s="235">
        <v>45640</v>
      </c>
    </row>
    <row r="998" spans="3:3" hidden="1">
      <c r="C998" s="237">
        <v>45641</v>
      </c>
    </row>
    <row r="999" spans="3:3" hidden="1">
      <c r="C999" s="235">
        <v>45642</v>
      </c>
    </row>
    <row r="1000" spans="3:3" hidden="1">
      <c r="C1000" s="237">
        <v>45643</v>
      </c>
    </row>
    <row r="1001" spans="3:3" hidden="1">
      <c r="C1001" s="235">
        <v>45644</v>
      </c>
    </row>
    <row r="1002" spans="3:3" hidden="1">
      <c r="C1002" s="237">
        <v>45645</v>
      </c>
    </row>
    <row r="1003" spans="3:3" hidden="1">
      <c r="C1003" s="235">
        <v>45646</v>
      </c>
    </row>
    <row r="1004" spans="3:3" hidden="1">
      <c r="C1004" s="237">
        <v>45647</v>
      </c>
    </row>
    <row r="1005" spans="3:3" hidden="1">
      <c r="C1005" s="235">
        <v>45648</v>
      </c>
    </row>
    <row r="1006" spans="3:3" hidden="1">
      <c r="C1006" s="237">
        <v>45649</v>
      </c>
    </row>
    <row r="1007" spans="3:3" hidden="1">
      <c r="C1007" s="235">
        <v>45650</v>
      </c>
    </row>
    <row r="1008" spans="3:3" hidden="1">
      <c r="C1008" s="237">
        <v>45651</v>
      </c>
    </row>
    <row r="1009" spans="3:5" hidden="1">
      <c r="C1009" s="235">
        <v>45652</v>
      </c>
    </row>
    <row r="1010" spans="3:5" hidden="1">
      <c r="C1010" s="237">
        <v>45653</v>
      </c>
    </row>
    <row r="1011" spans="3:5" hidden="1">
      <c r="C1011" s="235">
        <v>45654</v>
      </c>
    </row>
    <row r="1012" spans="3:5" hidden="1">
      <c r="C1012" s="237">
        <v>45655</v>
      </c>
    </row>
    <row r="1013" spans="3:5" hidden="1">
      <c r="C1013" s="235">
        <v>45656</v>
      </c>
    </row>
    <row r="1014" spans="3:5" hidden="1">
      <c r="C1014" s="237">
        <v>45657</v>
      </c>
    </row>
    <row r="1015" spans="3:5" hidden="1">
      <c r="C1015" s="235">
        <v>45658</v>
      </c>
    </row>
    <row r="1016" spans="3:5" hidden="1">
      <c r="C1016" s="237">
        <v>45659</v>
      </c>
    </row>
    <row r="1017" spans="3:5" hidden="1">
      <c r="C1017" s="235">
        <v>45660</v>
      </c>
    </row>
    <row r="1018" spans="3:5" hidden="1">
      <c r="C1018" s="237">
        <v>45661</v>
      </c>
    </row>
    <row r="1019" spans="3:5" hidden="1">
      <c r="C1019" s="235">
        <v>45662</v>
      </c>
      <c r="E1019" t="s">
        <v>1979</v>
      </c>
    </row>
    <row r="1020" spans="3:5" hidden="1">
      <c r="C1020" s="237">
        <v>45663</v>
      </c>
    </row>
    <row r="1021" spans="3:5" hidden="1">
      <c r="C1021" s="235">
        <v>45664</v>
      </c>
    </row>
    <row r="1022" spans="3:5" hidden="1">
      <c r="C1022" s="237">
        <v>45665</v>
      </c>
    </row>
    <row r="1023" spans="3:5" hidden="1">
      <c r="C1023" s="235">
        <v>45666</v>
      </c>
    </row>
    <row r="1024" spans="3:5" hidden="1">
      <c r="C1024" s="237">
        <v>45667</v>
      </c>
    </row>
    <row r="1025" spans="3:17" hidden="1">
      <c r="C1025" s="235">
        <v>45668</v>
      </c>
    </row>
    <row r="1026" spans="3:17" hidden="1">
      <c r="C1026" s="237">
        <v>45669</v>
      </c>
    </row>
    <row r="1027" spans="3:17" hidden="1">
      <c r="C1027" s="235">
        <v>45670</v>
      </c>
    </row>
    <row r="1028" spans="3:17" hidden="1">
      <c r="C1028" s="237">
        <v>45671</v>
      </c>
      <c r="O1028" t="s">
        <v>1980</v>
      </c>
    </row>
    <row r="1029" spans="3:17" hidden="1">
      <c r="C1029" s="235">
        <v>45672</v>
      </c>
    </row>
    <row r="1030" spans="3:17" hidden="1">
      <c r="C1030" s="237">
        <v>45673</v>
      </c>
      <c r="Q1030" t="s">
        <v>1981</v>
      </c>
    </row>
    <row r="1031" spans="3:17" hidden="1">
      <c r="C1031" s="235">
        <v>45674</v>
      </c>
    </row>
    <row r="1032" spans="3:17" hidden="1">
      <c r="C1032" s="237">
        <v>45675</v>
      </c>
    </row>
    <row r="1033" spans="3:17" hidden="1">
      <c r="C1033" s="235">
        <v>45676</v>
      </c>
    </row>
    <row r="1034" spans="3:17" hidden="1">
      <c r="C1034" s="237">
        <v>45677</v>
      </c>
    </row>
    <row r="1035" spans="3:17" hidden="1">
      <c r="C1035" s="235">
        <v>45678</v>
      </c>
    </row>
    <row r="1036" spans="3:17" hidden="1">
      <c r="C1036" s="237">
        <v>45679</v>
      </c>
      <c r="O1036" t="s">
        <v>1980</v>
      </c>
    </row>
    <row r="1037" spans="3:17" hidden="1">
      <c r="C1037" s="235">
        <v>45680</v>
      </c>
    </row>
    <row r="1038" spans="3:17" hidden="1">
      <c r="C1038" s="237">
        <v>45681</v>
      </c>
    </row>
    <row r="1039" spans="3:17" hidden="1">
      <c r="C1039" s="235">
        <v>45682</v>
      </c>
      <c r="D1039" t="s">
        <v>1983</v>
      </c>
      <c r="M1039" t="s">
        <v>1982</v>
      </c>
    </row>
    <row r="1040" spans="3:17" hidden="1">
      <c r="C1040" s="237">
        <v>45683</v>
      </c>
      <c r="E1040" t="s">
        <v>1984</v>
      </c>
    </row>
    <row r="1041" spans="3:5" hidden="1">
      <c r="C1041" s="235">
        <v>45684</v>
      </c>
    </row>
    <row r="1042" spans="3:5" hidden="1">
      <c r="C1042" s="237">
        <v>45685</v>
      </c>
    </row>
    <row r="1043" spans="3:5" hidden="1">
      <c r="C1043" s="235">
        <v>45686</v>
      </c>
    </row>
    <row r="1044" spans="3:5" hidden="1">
      <c r="C1044" s="237">
        <v>45687</v>
      </c>
    </row>
    <row r="1045" spans="3:5" hidden="1">
      <c r="C1045" s="235">
        <v>45688</v>
      </c>
    </row>
    <row r="1046" spans="3:5" hidden="1">
      <c r="C1046" s="237">
        <v>45689</v>
      </c>
    </row>
    <row r="1047" spans="3:5" hidden="1">
      <c r="C1047" s="235">
        <v>45690</v>
      </c>
    </row>
    <row r="1048" spans="3:5" hidden="1">
      <c r="C1048" s="237">
        <v>45691</v>
      </c>
    </row>
    <row r="1049" spans="3:5" hidden="1">
      <c r="C1049" s="235">
        <v>45692</v>
      </c>
    </row>
    <row r="1050" spans="3:5" hidden="1">
      <c r="C1050" s="237">
        <v>45693</v>
      </c>
    </row>
    <row r="1051" spans="3:5" hidden="1">
      <c r="C1051" s="235">
        <v>45694</v>
      </c>
    </row>
    <row r="1052" spans="3:5" hidden="1">
      <c r="C1052" s="237">
        <v>45695</v>
      </c>
    </row>
    <row r="1053" spans="3:5" hidden="1">
      <c r="C1053" s="235">
        <v>45696</v>
      </c>
      <c r="E1053" t="s">
        <v>1985</v>
      </c>
    </row>
    <row r="1054" spans="3:5" hidden="1">
      <c r="C1054" s="237">
        <v>45697</v>
      </c>
    </row>
    <row r="1055" spans="3:5" hidden="1">
      <c r="C1055" s="235">
        <v>45698</v>
      </c>
    </row>
    <row r="1056" spans="3:5" hidden="1">
      <c r="C1056" s="237">
        <v>45699</v>
      </c>
    </row>
    <row r="1057" spans="3:14" hidden="1">
      <c r="C1057" s="235">
        <v>45700</v>
      </c>
      <c r="F1057" t="s">
        <v>1986</v>
      </c>
    </row>
    <row r="1058" spans="3:14" hidden="1">
      <c r="C1058" s="237">
        <v>45701</v>
      </c>
    </row>
    <row r="1059" spans="3:14" hidden="1">
      <c r="C1059" s="235">
        <v>45702</v>
      </c>
    </row>
    <row r="1060" spans="3:14" hidden="1">
      <c r="C1060" s="237">
        <v>45703</v>
      </c>
    </row>
    <row r="1061" spans="3:14" hidden="1">
      <c r="C1061" s="235">
        <v>45704</v>
      </c>
    </row>
    <row r="1062" spans="3:14" hidden="1">
      <c r="C1062" s="237">
        <v>45705</v>
      </c>
    </row>
    <row r="1063" spans="3:14" hidden="1">
      <c r="C1063" s="235">
        <v>45706</v>
      </c>
    </row>
    <row r="1064" spans="3:14" hidden="1">
      <c r="C1064" s="237">
        <v>45707</v>
      </c>
    </row>
    <row r="1065" spans="3:14" hidden="1">
      <c r="C1065" s="235">
        <v>45708</v>
      </c>
    </row>
    <row r="1066" spans="3:14" hidden="1">
      <c r="C1066" s="237">
        <v>45709</v>
      </c>
    </row>
    <row r="1067" spans="3:14" hidden="1">
      <c r="C1067" s="235">
        <v>45710</v>
      </c>
      <c r="E1067" t="s">
        <v>1987</v>
      </c>
    </row>
    <row r="1068" spans="3:14" hidden="1">
      <c r="C1068" s="237">
        <v>45711</v>
      </c>
      <c r="N1068" t="s">
        <v>1989</v>
      </c>
    </row>
    <row r="1069" spans="3:14" hidden="1">
      <c r="C1069" s="235">
        <v>45712</v>
      </c>
      <c r="K1069" t="s">
        <v>1988</v>
      </c>
    </row>
    <row r="1070" spans="3:14" hidden="1">
      <c r="C1070" s="237">
        <v>45713</v>
      </c>
      <c r="M1070" t="s">
        <v>1990</v>
      </c>
    </row>
    <row r="1071" spans="3:14" hidden="1">
      <c r="C1071" s="235">
        <v>45714</v>
      </c>
    </row>
    <row r="1072" spans="3:14" hidden="1">
      <c r="C1072" s="237">
        <v>45715</v>
      </c>
    </row>
    <row r="1073" spans="3:16" hidden="1">
      <c r="C1073" s="235">
        <v>45716</v>
      </c>
    </row>
    <row r="1074" spans="3:16" hidden="1">
      <c r="C1074" s="237">
        <v>45717</v>
      </c>
      <c r="L1074" t="s">
        <v>1991</v>
      </c>
    </row>
    <row r="1075" spans="3:16" hidden="1">
      <c r="C1075" s="235">
        <v>45718</v>
      </c>
    </row>
    <row r="1076" spans="3:16" hidden="1">
      <c r="C1076" s="237">
        <v>45719</v>
      </c>
    </row>
    <row r="1077" spans="3:16" hidden="1">
      <c r="C1077" s="235">
        <v>45720</v>
      </c>
      <c r="P1077" t="s">
        <v>1992</v>
      </c>
    </row>
    <row r="1078" spans="3:16" hidden="1">
      <c r="C1078" s="237">
        <v>45721</v>
      </c>
    </row>
    <row r="1079" spans="3:16" hidden="1">
      <c r="C1079" s="235">
        <v>45722</v>
      </c>
    </row>
    <row r="1080" spans="3:16" hidden="1">
      <c r="C1080" s="237">
        <v>45723</v>
      </c>
      <c r="J1080" t="s">
        <v>1993</v>
      </c>
    </row>
    <row r="1081" spans="3:16" hidden="1">
      <c r="C1081" s="235">
        <v>45724</v>
      </c>
    </row>
    <row r="1082" spans="3:16" hidden="1">
      <c r="C1082" s="237">
        <v>45725</v>
      </c>
      <c r="D1082" t="s">
        <v>1994</v>
      </c>
      <c r="E1082" t="s">
        <v>2014</v>
      </c>
      <c r="H1082" t="s">
        <v>2015</v>
      </c>
    </row>
    <row r="1083" spans="3:16" hidden="1">
      <c r="C1083" s="235">
        <v>45726</v>
      </c>
    </row>
    <row r="1084" spans="3:16" hidden="1">
      <c r="C1084" s="237">
        <v>45727</v>
      </c>
    </row>
    <row r="1085" spans="3:16" hidden="1">
      <c r="C1085" s="235">
        <v>45728</v>
      </c>
    </row>
    <row r="1086" spans="3:16" hidden="1">
      <c r="C1086" s="237">
        <v>45729</v>
      </c>
    </row>
    <row r="1087" spans="3:16" hidden="1">
      <c r="C1087" s="235">
        <v>45730</v>
      </c>
    </row>
    <row r="1088" spans="3:16" hidden="1">
      <c r="C1088" s="237">
        <v>45731</v>
      </c>
    </row>
    <row r="1089" spans="3:32" hidden="1">
      <c r="C1089" s="235">
        <v>45732</v>
      </c>
    </row>
    <row r="1090" spans="3:32" hidden="1">
      <c r="C1090" s="237">
        <v>45733</v>
      </c>
    </row>
    <row r="1091" spans="3:32" hidden="1">
      <c r="C1091" s="235">
        <v>45734</v>
      </c>
    </row>
    <row r="1092" spans="3:32" hidden="1">
      <c r="C1092" s="237">
        <v>45735</v>
      </c>
    </row>
    <row r="1093" spans="3:32" hidden="1">
      <c r="C1093" s="235">
        <v>45736</v>
      </c>
    </row>
    <row r="1094" spans="3:32" hidden="1">
      <c r="C1094" s="237">
        <v>45737</v>
      </c>
    </row>
    <row r="1095" spans="3:32" hidden="1">
      <c r="C1095" s="235">
        <v>45738</v>
      </c>
    </row>
    <row r="1096" spans="3:32" hidden="1">
      <c r="C1096" s="237">
        <v>45739</v>
      </c>
    </row>
    <row r="1097" spans="3:32" hidden="1">
      <c r="C1097" s="235">
        <v>45740</v>
      </c>
    </row>
    <row r="1098" spans="3:32" hidden="1">
      <c r="C1098" s="237">
        <v>45741</v>
      </c>
    </row>
    <row r="1099" spans="3:32" hidden="1">
      <c r="C1099" s="235">
        <v>45742</v>
      </c>
    </row>
    <row r="1100" spans="3:32" hidden="1">
      <c r="C1100" s="237">
        <v>45743</v>
      </c>
    </row>
    <row r="1101" spans="3:32" hidden="1">
      <c r="C1101" s="235">
        <v>45744</v>
      </c>
      <c r="Q1101" t="s">
        <v>1998</v>
      </c>
    </row>
    <row r="1102" spans="3:32" hidden="1">
      <c r="C1102" s="237">
        <v>45745</v>
      </c>
      <c r="F1102" t="s">
        <v>1986</v>
      </c>
      <c r="Q1102" t="s">
        <v>1998</v>
      </c>
    </row>
    <row r="1103" spans="3:32" hidden="1">
      <c r="C1103" s="235">
        <v>45746</v>
      </c>
      <c r="Q1103" t="s">
        <v>1998</v>
      </c>
      <c r="AF1103" t="s">
        <v>2017</v>
      </c>
    </row>
    <row r="1104" spans="3:32" hidden="1">
      <c r="C1104" s="237">
        <v>45747</v>
      </c>
      <c r="AF1104" t="s">
        <v>2017</v>
      </c>
    </row>
    <row r="1105" spans="3:13" hidden="1">
      <c r="C1105" s="235">
        <v>45748</v>
      </c>
    </row>
    <row r="1106" spans="3:13" hidden="1">
      <c r="C1106" s="237">
        <v>45749</v>
      </c>
    </row>
    <row r="1107" spans="3:13" hidden="1">
      <c r="C1107" s="235">
        <v>45750</v>
      </c>
    </row>
    <row r="1108" spans="3:13" hidden="1">
      <c r="C1108" s="237">
        <v>45751</v>
      </c>
    </row>
    <row r="1109" spans="3:13" hidden="1">
      <c r="C1109" s="235">
        <v>45752</v>
      </c>
      <c r="F1109" t="s">
        <v>1986</v>
      </c>
    </row>
    <row r="1110" spans="3:13" hidden="1">
      <c r="C1110" s="237">
        <v>45753</v>
      </c>
    </row>
    <row r="1111" spans="3:13" hidden="1">
      <c r="C1111" s="235">
        <v>45754</v>
      </c>
      <c r="K1111" t="s">
        <v>1995</v>
      </c>
    </row>
    <row r="1112" spans="3:13" hidden="1">
      <c r="C1112" s="237">
        <v>45755</v>
      </c>
    </row>
    <row r="1113" spans="3:13" hidden="1">
      <c r="C1113" s="235">
        <v>45756</v>
      </c>
      <c r="L1113" t="s">
        <v>1996</v>
      </c>
    </row>
    <row r="1114" spans="3:13" hidden="1">
      <c r="C1114" s="237">
        <v>45757</v>
      </c>
      <c r="M1114" t="s">
        <v>1997</v>
      </c>
    </row>
    <row r="1115" spans="3:13" hidden="1">
      <c r="C1115" s="235">
        <v>45758</v>
      </c>
    </row>
    <row r="1116" spans="3:13" hidden="1">
      <c r="C1116" s="237">
        <v>45759</v>
      </c>
    </row>
    <row r="1117" spans="3:13" hidden="1">
      <c r="C1117" s="235">
        <v>45760</v>
      </c>
      <c r="E1117" t="s">
        <v>1999</v>
      </c>
    </row>
    <row r="1118" spans="3:13" hidden="1">
      <c r="C1118" s="237">
        <v>45761</v>
      </c>
      <c r="L1118" t="s">
        <v>2000</v>
      </c>
    </row>
    <row r="1119" spans="3:13" hidden="1">
      <c r="C1119" s="235">
        <v>45762</v>
      </c>
    </row>
    <row r="1120" spans="3:13" hidden="1">
      <c r="C1120" s="237">
        <v>45763</v>
      </c>
    </row>
    <row r="1121" spans="3:14" hidden="1">
      <c r="C1121" s="235">
        <v>45764</v>
      </c>
    </row>
    <row r="1122" spans="3:14" hidden="1">
      <c r="C1122" s="237">
        <v>45765</v>
      </c>
    </row>
    <row r="1123" spans="3:14" hidden="1">
      <c r="C1123" s="235">
        <v>45766</v>
      </c>
      <c r="L1123" t="s">
        <v>2000</v>
      </c>
    </row>
    <row r="1124" spans="3:14" hidden="1">
      <c r="C1124" s="237">
        <v>45767</v>
      </c>
    </row>
    <row r="1125" spans="3:14" hidden="1">
      <c r="C1125" s="235">
        <v>45768</v>
      </c>
      <c r="M1125" t="s">
        <v>2001</v>
      </c>
      <c r="N1125" t="s">
        <v>2016</v>
      </c>
    </row>
    <row r="1126" spans="3:14" hidden="1">
      <c r="C1126" s="237">
        <v>45769</v>
      </c>
      <c r="H1126" t="s">
        <v>2002</v>
      </c>
    </row>
    <row r="1127" spans="3:14" hidden="1">
      <c r="C1127" s="235">
        <v>45770</v>
      </c>
    </row>
    <row r="1128" spans="3:14" hidden="1">
      <c r="C1128" s="237">
        <v>45771</v>
      </c>
    </row>
    <row r="1129" spans="3:14" hidden="1">
      <c r="C1129" s="235">
        <v>45772</v>
      </c>
      <c r="M1129" t="s">
        <v>2001</v>
      </c>
    </row>
    <row r="1130" spans="3:14" hidden="1">
      <c r="C1130" s="237">
        <v>45773</v>
      </c>
    </row>
    <row r="1131" spans="3:14" hidden="1">
      <c r="C1131" s="235">
        <v>45774</v>
      </c>
    </row>
    <row r="1132" spans="3:14" hidden="1">
      <c r="C1132" s="237">
        <v>45775</v>
      </c>
    </row>
    <row r="1133" spans="3:14" hidden="1">
      <c r="C1133" s="235">
        <v>45776</v>
      </c>
      <c r="E1133" t="s">
        <v>2003</v>
      </c>
    </row>
    <row r="1134" spans="3:14" hidden="1">
      <c r="C1134" s="237">
        <v>45777</v>
      </c>
    </row>
    <row r="1135" spans="3:14" hidden="1">
      <c r="C1135" s="235">
        <v>45778</v>
      </c>
    </row>
    <row r="1136" spans="3:14" hidden="1">
      <c r="C1136" s="237">
        <v>45779</v>
      </c>
    </row>
    <row r="1137" spans="3:13" hidden="1">
      <c r="C1137" s="235">
        <v>45780</v>
      </c>
      <c r="G1137" t="s">
        <v>2004</v>
      </c>
    </row>
    <row r="1138" spans="3:13" hidden="1">
      <c r="C1138" s="237">
        <v>45781</v>
      </c>
    </row>
    <row r="1139" spans="3:13" hidden="1">
      <c r="C1139" s="235">
        <v>45782</v>
      </c>
    </row>
    <row r="1140" spans="3:13" hidden="1">
      <c r="C1140" s="237">
        <v>45783</v>
      </c>
    </row>
    <row r="1141" spans="3:13" hidden="1">
      <c r="C1141" s="235">
        <v>45784</v>
      </c>
      <c r="D1141" t="s">
        <v>1994</v>
      </c>
    </row>
    <row r="1142" spans="3:13" hidden="1">
      <c r="C1142" s="237">
        <v>45785</v>
      </c>
      <c r="G1142" t="s">
        <v>2005</v>
      </c>
    </row>
    <row r="1143" spans="3:13" hidden="1">
      <c r="C1143" s="235">
        <v>45786</v>
      </c>
    </row>
    <row r="1144" spans="3:13" hidden="1">
      <c r="C1144" s="237">
        <v>45787</v>
      </c>
    </row>
    <row r="1145" spans="3:13" hidden="1">
      <c r="C1145" s="235">
        <v>45788</v>
      </c>
    </row>
    <row r="1146" spans="3:13" hidden="1">
      <c r="C1146" s="237">
        <v>45789</v>
      </c>
      <c r="L1146" t="s">
        <v>2006</v>
      </c>
    </row>
    <row r="1147" spans="3:13" hidden="1">
      <c r="C1147" s="235">
        <v>45790</v>
      </c>
    </row>
    <row r="1148" spans="3:13" hidden="1">
      <c r="C1148" s="237">
        <v>45791</v>
      </c>
      <c r="J1148" t="s">
        <v>2007</v>
      </c>
    </row>
    <row r="1149" spans="3:13" hidden="1">
      <c r="C1149" s="235">
        <v>45792</v>
      </c>
      <c r="M1149" t="s">
        <v>2049</v>
      </c>
    </row>
    <row r="1150" spans="3:13" hidden="1">
      <c r="C1150" s="237">
        <v>45793</v>
      </c>
    </row>
    <row r="1151" spans="3:13" hidden="1">
      <c r="C1151" s="235">
        <v>45794</v>
      </c>
      <c r="F1151" t="s">
        <v>2008</v>
      </c>
    </row>
    <row r="1152" spans="3:13" hidden="1">
      <c r="C1152" s="237">
        <v>45795</v>
      </c>
      <c r="F1152" t="s">
        <v>2008</v>
      </c>
    </row>
    <row r="1153" spans="3:13" hidden="1">
      <c r="C1153" s="235">
        <v>45796</v>
      </c>
      <c r="H1153" t="s">
        <v>2009</v>
      </c>
      <c r="K1153" t="s">
        <v>2010</v>
      </c>
    </row>
    <row r="1154" spans="3:13" hidden="1">
      <c r="C1154" s="237">
        <v>45797</v>
      </c>
    </row>
    <row r="1155" spans="3:13" hidden="1">
      <c r="C1155" s="235">
        <v>45798</v>
      </c>
    </row>
    <row r="1156" spans="3:13" hidden="1">
      <c r="C1156" s="237">
        <v>45799</v>
      </c>
    </row>
    <row r="1157" spans="3:13" hidden="1">
      <c r="C1157" s="235">
        <v>45800</v>
      </c>
      <c r="D1157" t="s">
        <v>2012</v>
      </c>
      <c r="E1157" t="s">
        <v>2013</v>
      </c>
      <c r="L1157" t="s">
        <v>2011</v>
      </c>
      <c r="M1157" t="s">
        <v>2050</v>
      </c>
    </row>
    <row r="1158" spans="3:13" hidden="1">
      <c r="C1158" s="237">
        <v>45801</v>
      </c>
      <c r="L1158" t="s">
        <v>2011</v>
      </c>
    </row>
    <row r="1159" spans="3:13" hidden="1">
      <c r="C1159" s="235">
        <v>45802</v>
      </c>
    </row>
    <row r="1160" spans="3:13" hidden="1">
      <c r="C1160" s="237">
        <v>45803</v>
      </c>
    </row>
    <row r="1161" spans="3:13" hidden="1">
      <c r="C1161" s="235">
        <v>45804</v>
      </c>
      <c r="J1161" t="s">
        <v>2007</v>
      </c>
    </row>
    <row r="1162" spans="3:13" hidden="1">
      <c r="C1162" s="237">
        <v>45805</v>
      </c>
    </row>
    <row r="1163" spans="3:13" hidden="1">
      <c r="C1163" s="235">
        <v>45806</v>
      </c>
    </row>
    <row r="1164" spans="3:13" hidden="1">
      <c r="C1164" s="237">
        <v>45807</v>
      </c>
    </row>
    <row r="1165" spans="3:13" hidden="1">
      <c r="C1165" s="235">
        <v>45808</v>
      </c>
    </row>
    <row r="1166" spans="3:13" hidden="1">
      <c r="C1166" s="237">
        <v>45809</v>
      </c>
    </row>
    <row r="1167" spans="3:13" hidden="1">
      <c r="C1167" s="235">
        <v>45810</v>
      </c>
    </row>
    <row r="1168" spans="3:13" hidden="1">
      <c r="C1168" s="237">
        <v>45811</v>
      </c>
    </row>
    <row r="1169" spans="3:17" hidden="1">
      <c r="C1169" s="235">
        <v>45812</v>
      </c>
      <c r="Q1169" t="s">
        <v>1998</v>
      </c>
    </row>
    <row r="1170" spans="3:17" hidden="1">
      <c r="C1170" s="237">
        <v>45813</v>
      </c>
      <c r="J1170" t="s">
        <v>2007</v>
      </c>
    </row>
    <row r="1171" spans="3:17" hidden="1">
      <c r="C1171" s="235">
        <v>45814</v>
      </c>
    </row>
    <row r="1172" spans="3:17" hidden="1">
      <c r="C1172" s="237">
        <v>45815</v>
      </c>
      <c r="H1172" t="s">
        <v>2053</v>
      </c>
    </row>
    <row r="1173" spans="3:17" hidden="1">
      <c r="C1173" s="235">
        <v>45816</v>
      </c>
      <c r="M1173" t="s">
        <v>2051</v>
      </c>
    </row>
    <row r="1174" spans="3:17" hidden="1">
      <c r="C1174" s="237">
        <v>45817</v>
      </c>
      <c r="D1174" t="s">
        <v>2064</v>
      </c>
      <c r="I1174" t="s">
        <v>2058</v>
      </c>
      <c r="L1174" t="s">
        <v>2048</v>
      </c>
    </row>
    <row r="1175" spans="3:17" hidden="1">
      <c r="C1175" s="235">
        <v>45818</v>
      </c>
    </row>
    <row r="1176" spans="3:17" hidden="1">
      <c r="C1176" s="237">
        <v>45819</v>
      </c>
      <c r="O1176" t="s">
        <v>2056</v>
      </c>
    </row>
    <row r="1177" spans="3:17" hidden="1">
      <c r="C1177" s="235">
        <v>45820</v>
      </c>
      <c r="F1177" t="s">
        <v>2008</v>
      </c>
    </row>
    <row r="1178" spans="3:17" hidden="1">
      <c r="C1178" s="237">
        <v>45821</v>
      </c>
      <c r="L1178" t="s">
        <v>2000</v>
      </c>
    </row>
    <row r="1179" spans="3:17" hidden="1">
      <c r="C1179" s="235">
        <v>45822</v>
      </c>
      <c r="H1179" t="s">
        <v>2054</v>
      </c>
    </row>
    <row r="1180" spans="3:17" hidden="1">
      <c r="C1180" s="237">
        <v>45823</v>
      </c>
      <c r="D1180" t="s">
        <v>2046</v>
      </c>
    </row>
    <row r="1181" spans="3:17" hidden="1">
      <c r="C1181" s="235">
        <v>45824</v>
      </c>
      <c r="H1181" t="s">
        <v>2054</v>
      </c>
    </row>
    <row r="1182" spans="3:17" hidden="1">
      <c r="C1182" s="237">
        <v>45825</v>
      </c>
    </row>
    <row r="1183" spans="3:17" hidden="1">
      <c r="C1183" s="235">
        <v>45826</v>
      </c>
      <c r="H1183" t="s">
        <v>2060</v>
      </c>
    </row>
    <row r="1184" spans="3:17" hidden="1">
      <c r="C1184" s="237">
        <v>45827</v>
      </c>
    </row>
    <row r="1185" spans="3:15" hidden="1">
      <c r="C1185" s="235">
        <v>45828</v>
      </c>
    </row>
    <row r="1186" spans="3:15" hidden="1">
      <c r="C1186" s="237">
        <v>45829</v>
      </c>
      <c r="F1186" t="s">
        <v>2008</v>
      </c>
      <c r="H1186" t="s">
        <v>2060</v>
      </c>
    </row>
    <row r="1187" spans="3:15" hidden="1">
      <c r="C1187" s="235">
        <v>45830</v>
      </c>
      <c r="N1187" t="s">
        <v>2061</v>
      </c>
      <c r="O1187" t="s">
        <v>2057</v>
      </c>
    </row>
    <row r="1188" spans="3:15" hidden="1">
      <c r="C1188" s="237">
        <v>45831</v>
      </c>
      <c r="K1188" t="s">
        <v>2062</v>
      </c>
    </row>
    <row r="1189" spans="3:15" hidden="1">
      <c r="C1189" s="235">
        <v>45832</v>
      </c>
      <c r="D1189" t="s">
        <v>2046</v>
      </c>
      <c r="H1189" t="s">
        <v>2054</v>
      </c>
    </row>
    <row r="1190" spans="3:15" hidden="1">
      <c r="C1190" s="237">
        <v>45833</v>
      </c>
    </row>
    <row r="1191" spans="3:15" hidden="1">
      <c r="C1191" s="235">
        <v>45834</v>
      </c>
      <c r="O1191" t="s">
        <v>2056</v>
      </c>
    </row>
    <row r="1192" spans="3:15" hidden="1">
      <c r="C1192" s="237">
        <v>45835</v>
      </c>
      <c r="E1192" t="s">
        <v>2047</v>
      </c>
      <c r="J1192" t="s">
        <v>2007</v>
      </c>
    </row>
    <row r="1193" spans="3:15" hidden="1">
      <c r="C1193" s="235">
        <v>45836</v>
      </c>
      <c r="M1193" t="s">
        <v>2052</v>
      </c>
    </row>
    <row r="1194" spans="3:15" hidden="1">
      <c r="C1194" s="237">
        <v>45837</v>
      </c>
      <c r="M1194" t="s">
        <v>2052</v>
      </c>
    </row>
    <row r="1195" spans="3:15" hidden="1">
      <c r="C1195" s="235">
        <v>45838</v>
      </c>
    </row>
    <row r="1196" spans="3:15" hidden="1">
      <c r="C1196" s="237">
        <v>45839</v>
      </c>
    </row>
    <row r="1197" spans="3:15" hidden="1">
      <c r="C1197" s="235">
        <v>45840</v>
      </c>
    </row>
    <row r="1198" spans="3:15" hidden="1">
      <c r="C1198" s="237">
        <v>45841</v>
      </c>
    </row>
    <row r="1199" spans="3:15" hidden="1">
      <c r="C1199" s="235">
        <v>45842</v>
      </c>
    </row>
    <row r="1200" spans="3:15" hidden="1">
      <c r="C1200" s="237">
        <v>45843</v>
      </c>
    </row>
    <row r="1201" spans="3:3" hidden="1">
      <c r="C1201" s="235">
        <v>45844</v>
      </c>
    </row>
    <row r="1202" spans="3:3" hidden="1">
      <c r="C1202" s="237">
        <v>45845</v>
      </c>
    </row>
    <row r="1203" spans="3:3" hidden="1">
      <c r="C1203" s="235">
        <v>45846</v>
      </c>
    </row>
    <row r="1204" spans="3:3" hidden="1">
      <c r="C1204" s="237">
        <v>45847</v>
      </c>
    </row>
    <row r="1205" spans="3:3" hidden="1">
      <c r="C1205" s="235">
        <v>45848</v>
      </c>
    </row>
    <row r="1206" spans="3:3" hidden="1">
      <c r="C1206" s="237">
        <v>45849</v>
      </c>
    </row>
    <row r="1207" spans="3:3" hidden="1">
      <c r="C1207" s="235">
        <v>45850</v>
      </c>
    </row>
    <row r="1208" spans="3:3" hidden="1">
      <c r="C1208" s="237">
        <v>45851</v>
      </c>
    </row>
    <row r="1209" spans="3:3" hidden="1">
      <c r="C1209" s="235">
        <v>45852</v>
      </c>
    </row>
    <row r="1210" spans="3:3" hidden="1">
      <c r="C1210" s="237">
        <v>45853</v>
      </c>
    </row>
    <row r="1211" spans="3:3" hidden="1">
      <c r="C1211" s="235">
        <v>45854</v>
      </c>
    </row>
    <row r="1212" spans="3:3">
      <c r="C1212" s="237">
        <v>45855</v>
      </c>
    </row>
    <row r="1213" spans="3:3">
      <c r="C1213" s="235">
        <v>45856</v>
      </c>
    </row>
    <row r="1214" spans="3:3">
      <c r="C1214" s="237">
        <v>45857</v>
      </c>
    </row>
    <row r="1215" spans="3:3">
      <c r="C1215" s="235">
        <v>45858</v>
      </c>
    </row>
    <row r="1216" spans="3:3">
      <c r="C1216" s="237">
        <v>45859</v>
      </c>
    </row>
    <row r="1217" spans="3:3">
      <c r="C1217" s="235">
        <v>45860</v>
      </c>
    </row>
    <row r="1218" spans="3:3">
      <c r="C1218" s="237">
        <v>45861</v>
      </c>
    </row>
    <row r="1219" spans="3:3">
      <c r="C1219" s="235">
        <v>45862</v>
      </c>
    </row>
    <row r="1220" spans="3:3">
      <c r="C1220" s="237">
        <v>45863</v>
      </c>
    </row>
    <row r="1221" spans="3:3">
      <c r="C1221" s="235">
        <v>45864</v>
      </c>
    </row>
    <row r="1222" spans="3:3">
      <c r="C1222" s="237">
        <v>45865</v>
      </c>
    </row>
    <row r="1223" spans="3:3">
      <c r="C1223" s="235">
        <v>45866</v>
      </c>
    </row>
    <row r="1224" spans="3:3">
      <c r="C1224" s="237">
        <v>45867</v>
      </c>
    </row>
    <row r="1225" spans="3:3">
      <c r="C1225" s="235">
        <v>45868</v>
      </c>
    </row>
    <row r="1226" spans="3:3">
      <c r="C1226" s="237">
        <v>45869</v>
      </c>
    </row>
    <row r="1227" spans="3:3">
      <c r="C1227" s="235">
        <v>45870</v>
      </c>
    </row>
    <row r="1228" spans="3:3">
      <c r="C1228" s="237">
        <v>45871</v>
      </c>
    </row>
    <row r="1229" spans="3:3">
      <c r="C1229" s="235">
        <v>45872</v>
      </c>
    </row>
    <row r="1230" spans="3:3">
      <c r="C1230" s="237">
        <v>45873</v>
      </c>
    </row>
    <row r="1231" spans="3:3">
      <c r="C1231" s="235">
        <v>45874</v>
      </c>
    </row>
    <row r="1232" spans="3:3">
      <c r="C1232" s="237">
        <v>45875</v>
      </c>
    </row>
    <row r="1233" spans="3:3">
      <c r="C1233" s="235">
        <v>45876</v>
      </c>
    </row>
    <row r="1234" spans="3:3">
      <c r="C1234" s="237">
        <v>45877</v>
      </c>
    </row>
    <row r="1235" spans="3:3">
      <c r="C1235" s="235">
        <v>45878</v>
      </c>
    </row>
    <row r="1236" spans="3:3">
      <c r="C1236" s="237">
        <v>45879</v>
      </c>
    </row>
    <row r="1237" spans="3:3">
      <c r="C1237" s="235">
        <v>45880</v>
      </c>
    </row>
    <row r="1238" spans="3:3">
      <c r="C1238" s="237">
        <v>45881</v>
      </c>
    </row>
    <row r="1239" spans="3:3">
      <c r="C1239" s="235">
        <v>45882</v>
      </c>
    </row>
    <row r="1240" spans="3:3">
      <c r="C1240" s="237">
        <v>45883</v>
      </c>
    </row>
    <row r="1241" spans="3:3">
      <c r="C1241" s="235">
        <v>45884</v>
      </c>
    </row>
    <row r="1242" spans="3:3">
      <c r="C1242" s="237">
        <v>45885</v>
      </c>
    </row>
    <row r="1243" spans="3:3" hidden="1">
      <c r="C1243" s="235">
        <v>45886</v>
      </c>
    </row>
    <row r="1244" spans="3:3" hidden="1">
      <c r="C1244" s="237">
        <v>45887</v>
      </c>
    </row>
    <row r="1245" spans="3:3" hidden="1">
      <c r="C1245" s="235">
        <v>45888</v>
      </c>
    </row>
    <row r="1246" spans="3:3" hidden="1">
      <c r="C1246" s="237">
        <v>45889</v>
      </c>
    </row>
    <row r="1247" spans="3:3" hidden="1">
      <c r="C1247" s="235">
        <v>45890</v>
      </c>
    </row>
    <row r="1248" spans="3:3" hidden="1">
      <c r="C1248" s="237">
        <v>45891</v>
      </c>
    </row>
    <row r="1249" spans="3:3" hidden="1">
      <c r="C1249" s="235">
        <v>45892</v>
      </c>
    </row>
    <row r="1250" spans="3:3" hidden="1">
      <c r="C1250" s="237">
        <v>45893</v>
      </c>
    </row>
    <row r="1251" spans="3:3" hidden="1">
      <c r="C1251" s="235">
        <v>45894</v>
      </c>
    </row>
    <row r="1252" spans="3:3" hidden="1">
      <c r="C1252" s="237">
        <v>45895</v>
      </c>
    </row>
    <row r="1253" spans="3:3" hidden="1">
      <c r="C1253" s="235">
        <v>45896</v>
      </c>
    </row>
    <row r="1254" spans="3:3" hidden="1">
      <c r="C1254" s="237">
        <v>45897</v>
      </c>
    </row>
    <row r="1255" spans="3:3" hidden="1">
      <c r="C1255" s="235">
        <v>45898</v>
      </c>
    </row>
    <row r="1256" spans="3:3" hidden="1">
      <c r="C1256" s="237">
        <v>45899</v>
      </c>
    </row>
    <row r="1257" spans="3:3" hidden="1">
      <c r="C1257" s="235">
        <v>45900</v>
      </c>
    </row>
    <row r="1258" spans="3:3" hidden="1">
      <c r="C1258" s="237">
        <v>45901</v>
      </c>
    </row>
    <row r="1259" spans="3:3" hidden="1">
      <c r="C1259" s="235">
        <v>45902</v>
      </c>
    </row>
    <row r="1260" spans="3:3" hidden="1">
      <c r="C1260" s="237">
        <v>45903</v>
      </c>
    </row>
    <row r="1261" spans="3:3" hidden="1">
      <c r="C1261" s="235">
        <v>45904</v>
      </c>
    </row>
    <row r="1262" spans="3:3" hidden="1">
      <c r="C1262" s="237">
        <v>45905</v>
      </c>
    </row>
    <row r="1263" spans="3:3" hidden="1">
      <c r="C1263" s="235">
        <v>45906</v>
      </c>
    </row>
    <row r="1264" spans="3:3" hidden="1">
      <c r="C1264" s="237">
        <v>45907</v>
      </c>
    </row>
    <row r="1265" spans="3:3" hidden="1">
      <c r="C1265" s="235">
        <v>45908</v>
      </c>
    </row>
    <row r="1266" spans="3:3" hidden="1">
      <c r="C1266" s="237">
        <v>45909</v>
      </c>
    </row>
    <row r="1267" spans="3:3" hidden="1">
      <c r="C1267" s="235">
        <v>45910</v>
      </c>
    </row>
    <row r="1268" spans="3:3" hidden="1">
      <c r="C1268" s="237">
        <v>45911</v>
      </c>
    </row>
    <row r="1269" spans="3:3" hidden="1">
      <c r="C1269" s="235">
        <v>45912</v>
      </c>
    </row>
    <row r="1270" spans="3:3" hidden="1">
      <c r="C1270" s="237">
        <v>45913</v>
      </c>
    </row>
    <row r="1271" spans="3:3" hidden="1">
      <c r="C1271" s="235">
        <v>45914</v>
      </c>
    </row>
    <row r="1272" spans="3:3" hidden="1">
      <c r="C1272" s="237">
        <v>45915</v>
      </c>
    </row>
    <row r="1273" spans="3:3" hidden="1">
      <c r="C1273" s="235">
        <v>45916</v>
      </c>
    </row>
    <row r="1274" spans="3:3" hidden="1">
      <c r="C1274" s="237">
        <v>45917</v>
      </c>
    </row>
    <row r="1275" spans="3:3" hidden="1">
      <c r="C1275" s="235">
        <v>45918</v>
      </c>
    </row>
    <row r="1276" spans="3:3" hidden="1">
      <c r="C1276" s="237">
        <v>45919</v>
      </c>
    </row>
    <row r="1277" spans="3:3" hidden="1">
      <c r="C1277" s="235">
        <v>45920</v>
      </c>
    </row>
    <row r="1278" spans="3:3" hidden="1">
      <c r="C1278" s="237">
        <v>45921</v>
      </c>
    </row>
    <row r="1279" spans="3:3" hidden="1">
      <c r="C1279" s="235">
        <v>45922</v>
      </c>
    </row>
    <row r="1280" spans="3:3" hidden="1">
      <c r="C1280" s="237">
        <v>45923</v>
      </c>
    </row>
    <row r="1281" spans="3:3" hidden="1">
      <c r="C1281" s="235">
        <v>45924</v>
      </c>
    </row>
    <row r="1282" spans="3:3" hidden="1">
      <c r="C1282" s="237">
        <v>45925</v>
      </c>
    </row>
    <row r="1283" spans="3:3" hidden="1">
      <c r="C1283" s="235">
        <v>45926</v>
      </c>
    </row>
    <row r="1284" spans="3:3" hidden="1">
      <c r="C1284" s="237">
        <v>45927</v>
      </c>
    </row>
    <row r="1285" spans="3:3" hidden="1">
      <c r="C1285" s="235">
        <v>45928</v>
      </c>
    </row>
    <row r="1286" spans="3:3" hidden="1">
      <c r="C1286" s="237">
        <v>45929</v>
      </c>
    </row>
    <row r="1287" spans="3:3" hidden="1">
      <c r="C1287" s="235">
        <v>45930</v>
      </c>
    </row>
    <row r="1288" spans="3:3" hidden="1">
      <c r="C1288" s="237">
        <v>45931</v>
      </c>
    </row>
    <row r="1289" spans="3:3" hidden="1">
      <c r="C1289" s="235">
        <v>45932</v>
      </c>
    </row>
    <row r="1290" spans="3:3" hidden="1">
      <c r="C1290" s="237">
        <v>45933</v>
      </c>
    </row>
    <row r="1291" spans="3:3" hidden="1">
      <c r="C1291" s="235">
        <v>45934</v>
      </c>
    </row>
    <row r="1292" spans="3:3" hidden="1">
      <c r="C1292" s="237">
        <v>45935</v>
      </c>
    </row>
    <row r="1293" spans="3:3" hidden="1">
      <c r="C1293" s="235">
        <v>45936</v>
      </c>
    </row>
    <row r="1294" spans="3:3" hidden="1">
      <c r="C1294" s="237">
        <v>45937</v>
      </c>
    </row>
    <row r="1295" spans="3:3" hidden="1">
      <c r="C1295" s="235">
        <v>45938</v>
      </c>
    </row>
    <row r="1296" spans="3:3" hidden="1">
      <c r="C1296" s="237">
        <v>45939</v>
      </c>
    </row>
    <row r="1297" spans="3:3" hidden="1">
      <c r="C1297" s="235">
        <v>45940</v>
      </c>
    </row>
    <row r="1298" spans="3:3" hidden="1">
      <c r="C1298" s="237">
        <v>45941</v>
      </c>
    </row>
    <row r="1299" spans="3:3" hidden="1">
      <c r="C1299" s="235">
        <v>45942</v>
      </c>
    </row>
    <row r="1300" spans="3:3" hidden="1">
      <c r="C1300" s="237">
        <v>45943</v>
      </c>
    </row>
    <row r="1301" spans="3:3" hidden="1">
      <c r="C1301" s="235">
        <v>45944</v>
      </c>
    </row>
    <row r="1302" spans="3:3" hidden="1">
      <c r="C1302" s="237">
        <v>45945</v>
      </c>
    </row>
    <row r="1303" spans="3:3" hidden="1">
      <c r="C1303" s="235">
        <v>45946</v>
      </c>
    </row>
    <row r="1304" spans="3:3" hidden="1">
      <c r="C1304" s="237">
        <v>45947</v>
      </c>
    </row>
    <row r="1305" spans="3:3" hidden="1">
      <c r="C1305" s="235">
        <v>45948</v>
      </c>
    </row>
    <row r="1306" spans="3:3" hidden="1">
      <c r="C1306" s="237">
        <v>45949</v>
      </c>
    </row>
    <row r="1307" spans="3:3" hidden="1">
      <c r="C1307" s="235">
        <v>45950</v>
      </c>
    </row>
    <row r="1308" spans="3:3" hidden="1">
      <c r="C1308" s="237">
        <v>45951</v>
      </c>
    </row>
    <row r="1309" spans="3:3" hidden="1">
      <c r="C1309" s="235">
        <v>45952</v>
      </c>
    </row>
    <row r="1310" spans="3:3" hidden="1">
      <c r="C1310" s="237">
        <v>45953</v>
      </c>
    </row>
    <row r="1311" spans="3:3" hidden="1">
      <c r="C1311" s="235">
        <v>45954</v>
      </c>
    </row>
    <row r="1312" spans="3:3" hidden="1">
      <c r="C1312" s="237">
        <v>45955</v>
      </c>
    </row>
    <row r="1313" spans="3:3" hidden="1">
      <c r="C1313" s="235">
        <v>45956</v>
      </c>
    </row>
    <row r="1314" spans="3:3" hidden="1">
      <c r="C1314" s="237">
        <v>45957</v>
      </c>
    </row>
    <row r="1315" spans="3:3" hidden="1">
      <c r="C1315" s="235">
        <v>45958</v>
      </c>
    </row>
    <row r="1316" spans="3:3" hidden="1">
      <c r="C1316" s="237">
        <v>45959</v>
      </c>
    </row>
    <row r="1317" spans="3:3" hidden="1">
      <c r="C1317" s="235">
        <v>45960</v>
      </c>
    </row>
    <row r="1318" spans="3:3" hidden="1">
      <c r="C1318" s="237">
        <v>45961</v>
      </c>
    </row>
    <row r="1319" spans="3:3" hidden="1">
      <c r="C1319" s="235">
        <v>45962</v>
      </c>
    </row>
    <row r="1320" spans="3:3" hidden="1">
      <c r="C1320" s="237">
        <v>45963</v>
      </c>
    </row>
    <row r="1321" spans="3:3" hidden="1">
      <c r="C1321" s="235">
        <v>45964</v>
      </c>
    </row>
    <row r="1322" spans="3:3" hidden="1">
      <c r="C1322" s="237">
        <v>45965</v>
      </c>
    </row>
    <row r="1323" spans="3:3" hidden="1">
      <c r="C1323" s="235">
        <v>45966</v>
      </c>
    </row>
    <row r="1324" spans="3:3" hidden="1">
      <c r="C1324" s="237">
        <v>45967</v>
      </c>
    </row>
    <row r="1325" spans="3:3" hidden="1">
      <c r="C1325" s="235">
        <v>45968</v>
      </c>
    </row>
    <row r="1326" spans="3:3" hidden="1">
      <c r="C1326" s="237">
        <v>45969</v>
      </c>
    </row>
    <row r="1327" spans="3:3" hidden="1">
      <c r="C1327" s="235">
        <v>45970</v>
      </c>
    </row>
    <row r="1328" spans="3:3" hidden="1">
      <c r="C1328" s="237">
        <v>45971</v>
      </c>
    </row>
    <row r="1329" spans="3:3" hidden="1">
      <c r="C1329" s="235">
        <v>45972</v>
      </c>
    </row>
    <row r="1330" spans="3:3" hidden="1">
      <c r="C1330" s="237">
        <v>45973</v>
      </c>
    </row>
    <row r="1331" spans="3:3" hidden="1">
      <c r="C1331" s="235">
        <v>45974</v>
      </c>
    </row>
    <row r="1332" spans="3:3" hidden="1">
      <c r="C1332" s="237">
        <v>45975</v>
      </c>
    </row>
    <row r="1333" spans="3:3" hidden="1">
      <c r="C1333" s="235">
        <v>45976</v>
      </c>
    </row>
    <row r="1334" spans="3:3" hidden="1">
      <c r="C1334" s="237">
        <v>45977</v>
      </c>
    </row>
    <row r="1335" spans="3:3" hidden="1">
      <c r="C1335" s="235">
        <v>45978</v>
      </c>
    </row>
    <row r="1336" spans="3:3" hidden="1">
      <c r="C1336" s="237">
        <v>45979</v>
      </c>
    </row>
    <row r="1337" spans="3:3" hidden="1">
      <c r="C1337" s="235">
        <v>45980</v>
      </c>
    </row>
    <row r="1338" spans="3:3" hidden="1">
      <c r="C1338" s="237">
        <v>45981</v>
      </c>
    </row>
    <row r="1339" spans="3:3" hidden="1">
      <c r="C1339" s="235">
        <v>45982</v>
      </c>
    </row>
    <row r="1340" spans="3:3" hidden="1">
      <c r="C1340" s="237">
        <v>45983</v>
      </c>
    </row>
    <row r="1341" spans="3:3" hidden="1">
      <c r="C1341" s="235">
        <v>45984</v>
      </c>
    </row>
    <row r="1342" spans="3:3" hidden="1">
      <c r="C1342" s="237">
        <v>45985</v>
      </c>
    </row>
    <row r="1343" spans="3:3" hidden="1">
      <c r="C1343" s="235">
        <v>45986</v>
      </c>
    </row>
    <row r="1344" spans="3:3" hidden="1">
      <c r="C1344" s="237">
        <v>45987</v>
      </c>
    </row>
    <row r="1345" spans="3:17" hidden="1">
      <c r="C1345" s="235">
        <v>45988</v>
      </c>
    </row>
    <row r="1346" spans="3:17" hidden="1">
      <c r="C1346" s="237">
        <v>45989</v>
      </c>
    </row>
    <row r="1347" spans="3:17" hidden="1">
      <c r="C1347" s="235">
        <v>45990</v>
      </c>
    </row>
    <row r="1348" spans="3:17" hidden="1">
      <c r="C1348" s="237">
        <v>45991</v>
      </c>
    </row>
    <row r="1349" spans="3:17" hidden="1">
      <c r="C1349" s="235">
        <v>45992</v>
      </c>
      <c r="E1349" t="s">
        <v>2199</v>
      </c>
      <c r="I1349" t="s">
        <v>2212</v>
      </c>
      <c r="J1349" t="s">
        <v>2207</v>
      </c>
      <c r="Q1349" t="s">
        <v>2211</v>
      </c>
    </row>
    <row r="1350" spans="3:17" hidden="1">
      <c r="C1350" s="237">
        <v>45993</v>
      </c>
    </row>
    <row r="1351" spans="3:17" hidden="1">
      <c r="C1351" s="235">
        <v>45994</v>
      </c>
      <c r="L1351" t="s">
        <v>2203</v>
      </c>
      <c r="O1351" t="s">
        <v>2209</v>
      </c>
    </row>
    <row r="1352" spans="3:17" hidden="1">
      <c r="C1352" s="237">
        <v>45995</v>
      </c>
    </row>
    <row r="1353" spans="3:17" hidden="1">
      <c r="C1353" s="235">
        <v>45996</v>
      </c>
    </row>
    <row r="1354" spans="3:17" hidden="1">
      <c r="C1354" s="237">
        <v>45997</v>
      </c>
      <c r="L1354" t="s">
        <v>2203</v>
      </c>
    </row>
    <row r="1355" spans="3:17" hidden="1">
      <c r="C1355" s="235">
        <v>45998</v>
      </c>
    </row>
    <row r="1356" spans="3:17" hidden="1">
      <c r="C1356" s="237">
        <v>45999</v>
      </c>
      <c r="J1356" t="s">
        <v>2208</v>
      </c>
      <c r="M1356" t="s">
        <v>2205</v>
      </c>
    </row>
    <row r="1357" spans="3:17" hidden="1">
      <c r="C1357" s="235">
        <v>46000</v>
      </c>
      <c r="L1357" t="s">
        <v>2203</v>
      </c>
    </row>
    <row r="1358" spans="3:17" hidden="1">
      <c r="C1358" s="237">
        <v>46001</v>
      </c>
      <c r="K1358" t="s">
        <v>2201</v>
      </c>
    </row>
    <row r="1359" spans="3:17" hidden="1">
      <c r="C1359" s="235">
        <v>46002</v>
      </c>
    </row>
    <row r="1360" spans="3:17" hidden="1">
      <c r="C1360" s="237">
        <v>46003</v>
      </c>
      <c r="L1360" t="s">
        <v>2204</v>
      </c>
    </row>
    <row r="1361" spans="3:15" hidden="1">
      <c r="C1361" s="235">
        <v>46004</v>
      </c>
    </row>
    <row r="1362" spans="3:15" hidden="1">
      <c r="C1362" s="237">
        <v>46005</v>
      </c>
    </row>
    <row r="1363" spans="3:15" hidden="1">
      <c r="C1363" s="235">
        <v>46006</v>
      </c>
    </row>
    <row r="1364" spans="3:15" hidden="1">
      <c r="C1364" s="237">
        <v>46007</v>
      </c>
      <c r="E1364" t="s">
        <v>2200</v>
      </c>
      <c r="M1364" t="s">
        <v>2206</v>
      </c>
    </row>
    <row r="1365" spans="3:15" hidden="1">
      <c r="C1365" s="235">
        <v>46008</v>
      </c>
      <c r="N1365" t="s">
        <v>2210</v>
      </c>
      <c r="O1365" t="s">
        <v>2210</v>
      </c>
    </row>
    <row r="1366" spans="3:15" hidden="1">
      <c r="C1366" s="237">
        <v>46009</v>
      </c>
    </row>
    <row r="1367" spans="3:15" hidden="1">
      <c r="C1367" s="235">
        <v>46010</v>
      </c>
    </row>
    <row r="1368" spans="3:15" hidden="1">
      <c r="C1368" s="237">
        <v>46011</v>
      </c>
      <c r="K1368" t="s">
        <v>2202</v>
      </c>
    </row>
    <row r="1369" spans="3:15" hidden="1">
      <c r="C1369" s="235">
        <v>46012</v>
      </c>
    </row>
    <row r="1370" spans="3:15" hidden="1">
      <c r="C1370" s="237">
        <v>46013</v>
      </c>
    </row>
    <row r="1371" spans="3:15" hidden="1">
      <c r="C1371" s="235">
        <v>46014</v>
      </c>
    </row>
    <row r="1372" spans="3:15" hidden="1">
      <c r="C1372" s="237">
        <v>46015</v>
      </c>
    </row>
    <row r="1373" spans="3:15" hidden="1">
      <c r="C1373" s="235">
        <v>46016</v>
      </c>
    </row>
    <row r="1374" spans="3:15" hidden="1">
      <c r="C1374" s="237">
        <v>46017</v>
      </c>
    </row>
    <row r="1375" spans="3:15" hidden="1">
      <c r="C1375" s="235">
        <v>46018</v>
      </c>
    </row>
    <row r="1376" spans="3:15" hidden="1">
      <c r="C1376" s="237">
        <v>46019</v>
      </c>
    </row>
    <row r="1377" spans="3:3" hidden="1">
      <c r="C1377" s="235">
        <v>46020</v>
      </c>
    </row>
    <row r="1378" spans="3:3" hidden="1">
      <c r="C1378" s="237">
        <v>46021</v>
      </c>
    </row>
    <row r="1379" spans="3:3" hidden="1">
      <c r="C1379" s="235">
        <v>46022</v>
      </c>
    </row>
    <row r="1380" spans="3:3" hidden="1">
      <c r="C1380" s="237">
        <v>46023</v>
      </c>
    </row>
    <row r="1381" spans="3:3" hidden="1">
      <c r="C1381" s="235">
        <v>46024</v>
      </c>
    </row>
    <row r="1382" spans="3:3" hidden="1">
      <c r="C1382" s="237">
        <v>46025</v>
      </c>
    </row>
    <row r="1383" spans="3:3" hidden="1">
      <c r="C1383" s="235">
        <v>46026</v>
      </c>
    </row>
    <row r="1384" spans="3:3" hidden="1">
      <c r="C1384" s="237">
        <v>46027</v>
      </c>
    </row>
    <row r="1385" spans="3:3" hidden="1">
      <c r="C1385" s="235">
        <v>46028</v>
      </c>
    </row>
    <row r="1386" spans="3:3" hidden="1">
      <c r="C1386" s="237">
        <v>46029</v>
      </c>
    </row>
    <row r="1387" spans="3:3" hidden="1">
      <c r="C1387" s="235">
        <v>46030</v>
      </c>
    </row>
    <row r="1388" spans="3:3" hidden="1">
      <c r="C1388" s="237">
        <v>46031</v>
      </c>
    </row>
    <row r="1389" spans="3:3" hidden="1">
      <c r="C1389" s="235">
        <v>46032</v>
      </c>
    </row>
    <row r="1390" spans="3:3" hidden="1">
      <c r="C1390" s="237">
        <v>46033</v>
      </c>
    </row>
    <row r="1391" spans="3:3" hidden="1">
      <c r="C1391" s="235">
        <v>46034</v>
      </c>
    </row>
    <row r="1392" spans="3:3" hidden="1">
      <c r="C1392" s="237">
        <v>46035</v>
      </c>
    </row>
    <row r="1393" spans="3:3" hidden="1">
      <c r="C1393" s="235">
        <v>46036</v>
      </c>
    </row>
    <row r="1394" spans="3:3" hidden="1">
      <c r="C1394" s="237">
        <v>46037</v>
      </c>
    </row>
    <row r="1395" spans="3:3" hidden="1">
      <c r="C1395" s="235">
        <v>46038</v>
      </c>
    </row>
    <row r="1396" spans="3:3" hidden="1">
      <c r="C1396" s="237">
        <v>46039</v>
      </c>
    </row>
    <row r="1397" spans="3:3" hidden="1">
      <c r="C1397" s="235">
        <v>46040</v>
      </c>
    </row>
    <row r="1398" spans="3:3" hidden="1">
      <c r="C1398" s="237">
        <v>46041</v>
      </c>
    </row>
    <row r="1399" spans="3:3" hidden="1">
      <c r="C1399" s="235">
        <v>46042</v>
      </c>
    </row>
    <row r="1400" spans="3:3" hidden="1">
      <c r="C1400" s="237">
        <v>46043</v>
      </c>
    </row>
    <row r="1401" spans="3:3" hidden="1">
      <c r="C1401" s="235">
        <v>46044</v>
      </c>
    </row>
    <row r="1402" spans="3:3" hidden="1">
      <c r="C1402" s="237">
        <v>46045</v>
      </c>
    </row>
    <row r="1403" spans="3:3" hidden="1">
      <c r="C1403" s="235">
        <v>46046</v>
      </c>
    </row>
    <row r="1404" spans="3:3" hidden="1">
      <c r="C1404" s="237">
        <v>46047</v>
      </c>
    </row>
    <row r="1405" spans="3:3" hidden="1">
      <c r="C1405" s="235">
        <v>46048</v>
      </c>
    </row>
    <row r="1406" spans="3:3" hidden="1">
      <c r="C1406" s="237">
        <v>46049</v>
      </c>
    </row>
    <row r="1407" spans="3:3" hidden="1">
      <c r="C1407" s="235">
        <v>46050</v>
      </c>
    </row>
    <row r="1408" spans="3:3" hidden="1">
      <c r="C1408" s="237">
        <v>46051</v>
      </c>
    </row>
    <row r="1409" spans="3:3" hidden="1">
      <c r="C1409" s="235">
        <v>46052</v>
      </c>
    </row>
    <row r="1410" spans="3:3" hidden="1">
      <c r="C1410" s="237">
        <v>46053</v>
      </c>
    </row>
    <row r="1411" spans="3:3" hidden="1">
      <c r="C1411" s="235">
        <v>46054</v>
      </c>
    </row>
    <row r="1412" spans="3:3" hidden="1">
      <c r="C1412" s="237">
        <v>46055</v>
      </c>
    </row>
    <row r="1413" spans="3:3" hidden="1">
      <c r="C1413" s="235">
        <v>46056</v>
      </c>
    </row>
    <row r="1414" spans="3:3" hidden="1">
      <c r="C1414" s="237">
        <v>46057</v>
      </c>
    </row>
    <row r="1415" spans="3:3" hidden="1">
      <c r="C1415" s="235">
        <v>46058</v>
      </c>
    </row>
    <row r="1416" spans="3:3" hidden="1">
      <c r="C1416" s="237">
        <v>46059</v>
      </c>
    </row>
    <row r="1417" spans="3:3" hidden="1">
      <c r="C1417" s="235">
        <v>46060</v>
      </c>
    </row>
    <row r="1418" spans="3:3" hidden="1">
      <c r="C1418" s="237">
        <v>46061</v>
      </c>
    </row>
    <row r="1419" spans="3:3" hidden="1">
      <c r="C1419" s="235">
        <v>46062</v>
      </c>
    </row>
    <row r="1420" spans="3:3" hidden="1">
      <c r="C1420" s="237">
        <v>46063</v>
      </c>
    </row>
    <row r="1421" spans="3:3" hidden="1">
      <c r="C1421" s="235">
        <v>46064</v>
      </c>
    </row>
    <row r="1422" spans="3:3" hidden="1">
      <c r="C1422" s="237">
        <v>46065</v>
      </c>
    </row>
    <row r="1423" spans="3:3" hidden="1">
      <c r="C1423" s="235">
        <v>46066</v>
      </c>
    </row>
    <row r="1424" spans="3:3" hidden="1">
      <c r="C1424" s="237">
        <v>46067</v>
      </c>
    </row>
    <row r="1425" spans="3:3" hidden="1">
      <c r="C1425" s="235">
        <v>46068</v>
      </c>
    </row>
    <row r="1426" spans="3:3" hidden="1">
      <c r="C1426" s="237">
        <v>46069</v>
      </c>
    </row>
    <row r="1427" spans="3:3" hidden="1">
      <c r="C1427" s="235">
        <v>46070</v>
      </c>
    </row>
    <row r="1428" spans="3:3" hidden="1">
      <c r="C1428" s="237">
        <v>46071</v>
      </c>
    </row>
    <row r="1429" spans="3:3" hidden="1">
      <c r="C1429" s="235">
        <v>46072</v>
      </c>
    </row>
    <row r="1430" spans="3:3" hidden="1">
      <c r="C1430" s="237">
        <v>46073</v>
      </c>
    </row>
    <row r="1431" spans="3:3" hidden="1">
      <c r="C1431" s="235">
        <v>46074</v>
      </c>
    </row>
    <row r="1432" spans="3:3" hidden="1">
      <c r="C1432" s="237">
        <v>46075</v>
      </c>
    </row>
    <row r="1433" spans="3:3" hidden="1">
      <c r="C1433" s="235">
        <v>46076</v>
      </c>
    </row>
    <row r="1434" spans="3:3" hidden="1">
      <c r="C1434" s="237">
        <v>46077</v>
      </c>
    </row>
    <row r="1435" spans="3:3" hidden="1">
      <c r="C1435" s="235">
        <v>46078</v>
      </c>
    </row>
    <row r="1436" spans="3:3" hidden="1">
      <c r="C1436" s="237">
        <v>46079</v>
      </c>
    </row>
    <row r="1437" spans="3:3" hidden="1">
      <c r="C1437" s="235">
        <v>46080</v>
      </c>
    </row>
    <row r="1438" spans="3:3" hidden="1">
      <c r="C1438" s="237">
        <v>46081</v>
      </c>
    </row>
    <row r="1439" spans="3:3" hidden="1">
      <c r="C1439" s="235">
        <v>46082</v>
      </c>
    </row>
    <row r="1440" spans="3:3" hidden="1">
      <c r="C1440" s="237">
        <v>46083</v>
      </c>
    </row>
    <row r="1441" spans="3:3" hidden="1">
      <c r="C1441" s="235">
        <v>46084</v>
      </c>
    </row>
    <row r="1442" spans="3:3" hidden="1">
      <c r="C1442" s="237">
        <v>46085</v>
      </c>
    </row>
    <row r="1443" spans="3:3" hidden="1">
      <c r="C1443" s="235">
        <v>46086</v>
      </c>
    </row>
    <row r="1444" spans="3:3" hidden="1">
      <c r="C1444" s="237">
        <v>46087</v>
      </c>
    </row>
    <row r="1445" spans="3:3" hidden="1">
      <c r="C1445" s="235">
        <v>46088</v>
      </c>
    </row>
    <row r="1446" spans="3:3" hidden="1">
      <c r="C1446" s="237">
        <v>46089</v>
      </c>
    </row>
    <row r="1447" spans="3:3" hidden="1">
      <c r="C1447" s="235">
        <v>46090</v>
      </c>
    </row>
    <row r="1448" spans="3:3" hidden="1">
      <c r="C1448" s="237">
        <v>46091</v>
      </c>
    </row>
    <row r="1449" spans="3:3" hidden="1">
      <c r="C1449" s="235">
        <v>46092</v>
      </c>
    </row>
    <row r="1450" spans="3:3" hidden="1">
      <c r="C1450" s="237">
        <v>46093</v>
      </c>
    </row>
    <row r="1451" spans="3:3" hidden="1">
      <c r="C1451" s="235">
        <v>46094</v>
      </c>
    </row>
    <row r="1452" spans="3:3" hidden="1">
      <c r="C1452" s="237">
        <v>46095</v>
      </c>
    </row>
    <row r="1453" spans="3:3" hidden="1">
      <c r="C1453" s="235">
        <v>46096</v>
      </c>
    </row>
    <row r="1454" spans="3:3" hidden="1">
      <c r="C1454" s="237">
        <v>46097</v>
      </c>
    </row>
    <row r="1455" spans="3:3" hidden="1">
      <c r="C1455" s="235">
        <v>46098</v>
      </c>
    </row>
    <row r="1456" spans="3:3" hidden="1">
      <c r="C1456" s="237">
        <v>46099</v>
      </c>
    </row>
    <row r="1457" spans="3:3" hidden="1">
      <c r="C1457" s="235">
        <v>46100</v>
      </c>
    </row>
    <row r="1458" spans="3:3" hidden="1">
      <c r="C1458" s="237">
        <v>46101</v>
      </c>
    </row>
    <row r="1459" spans="3:3" hidden="1">
      <c r="C1459" s="235">
        <v>46102</v>
      </c>
    </row>
    <row r="1460" spans="3:3" hidden="1">
      <c r="C1460" s="237">
        <v>46103</v>
      </c>
    </row>
    <row r="1461" spans="3:3" hidden="1">
      <c r="C1461" s="235">
        <v>46104</v>
      </c>
    </row>
    <row r="1462" spans="3:3" hidden="1">
      <c r="C1462" s="237">
        <v>46105</v>
      </c>
    </row>
    <row r="1463" spans="3:3" hidden="1">
      <c r="C1463" s="235">
        <v>46106</v>
      </c>
    </row>
    <row r="1464" spans="3:3" hidden="1">
      <c r="C1464" s="237">
        <v>46107</v>
      </c>
    </row>
    <row r="1465" spans="3:3" hidden="1">
      <c r="C1465" s="235">
        <v>46108</v>
      </c>
    </row>
    <row r="1466" spans="3:3" hidden="1">
      <c r="C1466" s="237">
        <v>46109</v>
      </c>
    </row>
    <row r="1467" spans="3:3" hidden="1">
      <c r="C1467" s="235">
        <v>46110</v>
      </c>
    </row>
    <row r="1468" spans="3:3" hidden="1">
      <c r="C1468" s="237">
        <v>46111</v>
      </c>
    </row>
    <row r="1469" spans="3:3" hidden="1">
      <c r="C1469" s="235">
        <v>46112</v>
      </c>
    </row>
  </sheetData>
  <mergeCells count="4">
    <mergeCell ref="D5:R5"/>
    <mergeCell ref="S5:AG5"/>
    <mergeCell ref="R6:R8"/>
    <mergeCell ref="AG6:AG8"/>
  </mergeCells>
  <pageMargins left="0.7" right="0.7" top="0.75" bottom="0.75" header="0.3" footer="0.3"/>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filterMode="1">
    <tabColor rgb="FF92D050"/>
    <pageSetUpPr fitToPage="1"/>
  </sheetPr>
  <dimension ref="B2:C1469"/>
  <sheetViews>
    <sheetView topLeftCell="A1102" workbookViewId="0">
      <selection activeCell="B1477" sqref="B1477"/>
    </sheetView>
  </sheetViews>
  <sheetFormatPr defaultColWidth="8.85546875" defaultRowHeight="15"/>
  <cols>
    <col min="2" max="2" width="15.85546875" customWidth="1"/>
    <col min="3" max="3" width="109.42578125" customWidth="1"/>
  </cols>
  <sheetData>
    <row r="2" spans="2:3" ht="15.75">
      <c r="B2" s="1312" t="s">
        <v>505</v>
      </c>
      <c r="C2" s="1312"/>
    </row>
    <row r="3" spans="2:3" ht="15.75">
      <c r="B3" s="1313" t="s">
        <v>882</v>
      </c>
      <c r="C3" s="1313"/>
    </row>
    <row r="4" spans="2:3">
      <c r="B4" s="246"/>
    </row>
    <row r="8" spans="2:3">
      <c r="B8" s="364" t="s">
        <v>116</v>
      </c>
      <c r="C8" s="364" t="s">
        <v>9</v>
      </c>
    </row>
    <row r="9" spans="2:3" ht="45">
      <c r="B9" s="446">
        <f>DPR!C879</f>
        <v>45887</v>
      </c>
      <c r="C9" s="364" t="str">
        <f>DPR!AJ879</f>
        <v>Sakhalin:Prod'n deferred due to the scheduled shutdown in August 2025 for the replacement of the gas flare tip at Chayvo and maintenance/replacement activities across all Sakhalin-1 facilities, which commenced on 1st August 2025.
GPOC:Prod'n deferred due to downhole problems.</v>
      </c>
    </row>
    <row r="10" spans="2:3" ht="45">
      <c r="B10" s="446">
        <f>DPR!C878</f>
        <v>45886</v>
      </c>
      <c r="C10" s="364" t="str">
        <f>DPR!AJ878</f>
        <v>Sakhalin:Prod'n deferred due to the scheduled shutdown in August 2025 for the replacement of the gas flare tip at Chayvo and maintenance/replacement activities across all Sakhalin-1 facilities, which commenced on 1st August 2025.
GPOC:Prod'n deferred due to downhole problems.</v>
      </c>
    </row>
    <row r="11" spans="2:3" ht="60">
      <c r="B11" s="446">
        <f>DPR!C877</f>
        <v>45885</v>
      </c>
      <c r="C11" s="364" t="str">
        <f>DPR!AJ877</f>
        <v>Sakhalin:Prod'n deferred due to the scheduled shutdown in August 2025 for the replacement of the gas flare tip at Chayvo and maintenance/replacement activities across all Sakhalin-1 facilities, which commenced on 1st August 2025.
GPOC:Prod'n deferred due to downhole problems.
BC-10:Prod'n deferred due to AW-1 well closed in Abalone field.</v>
      </c>
    </row>
    <row r="12" spans="2:3" ht="60">
      <c r="B12" s="446">
        <f>DPR!C876</f>
        <v>45884</v>
      </c>
      <c r="C12" s="364" t="str">
        <f>DPR!AJ876</f>
        <v>Sakhalin:Prod'n deferred due to the scheduled shutdown in August 2025 for the replacement of the gas flare tip at Chayvo and maintenance/replacement activities across all Sakhalin-1 facilities, which commenced on 1st August 2025.
GPOC:Prod'n deferred due to downhole problems.
BC-10:Prod'n deferred due to AW-1 well closed in Abalone field.</v>
      </c>
    </row>
    <row r="13" spans="2:3" ht="60">
      <c r="B13" s="446">
        <f>DPR!C875</f>
        <v>45883</v>
      </c>
      <c r="C13" s="364" t="str">
        <f>DPR!AJ875</f>
        <v>Sakhalin:Prod'n deferred due to the scheduled shutdown in August 2025 for the replacement of the gas flare tip at Chayvo and maintenance/replacement activities across all Sakhalin-1 facilities, which commenced on 1st August 2025.
GPOC:Prod'n deferred due to downhole problems.
BC-10:Prod'n deferred due to AW-1 well closed in Abalone field.</v>
      </c>
    </row>
    <row r="14" spans="2:3" ht="60">
      <c r="B14" s="446">
        <f>DPR!C874</f>
        <v>45882</v>
      </c>
      <c r="C14" s="364" t="str">
        <f>DPR!AJ874</f>
        <v>Sakhalin:Prod'n deferred due to the scheduled shutdown in August 2025 for the replacement of the gas flare tip at Chayvo and maintenance/replacement activities across all Sakhalin-1 facilities, which commenced on 1st August 2025.
GPOC:Prod'n deferred due to downhole problems.
BC-10:Prod'n deferred due to ALM 1  train C is offline.</v>
      </c>
    </row>
    <row r="15" spans="2:3" ht="60">
      <c r="B15" s="446">
        <f>DPR!C873</f>
        <v>45881</v>
      </c>
      <c r="C15" s="364" t="str">
        <f>DPR!AJ873</f>
        <v>Sakhalin:Prod'n deferred due to the scheduled shutdown in August 2025 for the replacement of the gas flare tip at Chayvo and maintenance/replacement activities across all Sakhalin-1 facilities, which commenced on 1st August 2025.
GPOC:Prod'n deferred due to downhole problems.
SCB:Prod'n deferred due to high water level in storage tank, can't fiscalize volume.</v>
      </c>
    </row>
    <row r="16" spans="2:3" ht="45">
      <c r="B16" s="446">
        <f>DPR!C872</f>
        <v>45880</v>
      </c>
      <c r="C16" s="364" t="str">
        <f>DPR!AJ872</f>
        <v>Sakhalin:Prod'n from Sakhalin-1 project as Nil from 02.08.2025 due to planned field shut down.
Vankor: Prod'n deferred due to gas injection during annual preventive maintenance.
GPOC:Prod'n deferred due to downhole problems.</v>
      </c>
    </row>
    <row r="17" spans="2:3" ht="75">
      <c r="B17" s="446">
        <f>DPR!C871</f>
        <v>45879</v>
      </c>
      <c r="C17" s="364" t="str">
        <f>DPR!AJ871</f>
        <v>Sakhalin:Prod'n from Sakhalin-1 project as Nil from 02.08.2025 due to planned field shut down.
Vankor: Prod'n deferred due to gas injection during annual preventive maintenance.
GPOC:Prod'n deferred due to downhole problems.
BC-10:Prod'n deferred due to ALM 2 Train B being offline.
SPOC:Prod'n deferred due to water draining.</v>
      </c>
    </row>
    <row r="18" spans="2:3" ht="60">
      <c r="B18" s="446">
        <f>DPR!C870</f>
        <v>45878</v>
      </c>
      <c r="C18" s="364" t="str">
        <f>DPR!AJ870</f>
        <v>Sakhalin:Prod'n from Sakhalin-1 project as Nil from 02.08.2025 due to planned field shut down.
Vankor: Prod'n deferred due to gas injection during annual preventive maintenance.
GPOC:Prod'n deferred due to downhole problems.
BC-10:Prod'n deferred due to ALM 2 Train B being offline.</v>
      </c>
    </row>
    <row r="19" spans="2:3" ht="45">
      <c r="B19" s="446">
        <f>DPR!C869</f>
        <v>45877</v>
      </c>
      <c r="C19" s="364" t="str">
        <f>DPR!AJ869</f>
        <v>Sakhalin:Prod'n from Sakhalin-1 project as Nil from 02.08.2025 due to planned field shut down.
Vankor: Prod'n deferred due to gas injection during annual preventive maintenance.
GPOC:Prod'n deferred due to downhole problems.</v>
      </c>
    </row>
    <row r="20" spans="2:3" ht="45">
      <c r="B20" s="446">
        <f>DPR!C868</f>
        <v>45876</v>
      </c>
      <c r="C20" s="364" t="str">
        <f>DPR!AJ868</f>
        <v>Sakhalin:Prod'n from Sakhalin-1 project as Nil from 02.08.2025 due to planned field shut down.
Vankor: Prod'n deferred due to gas injection during annual preventive maintenance.
GPOC:Prod'n deferred due to downhole problems.</v>
      </c>
    </row>
    <row r="21" spans="2:3" ht="45">
      <c r="B21" s="446">
        <f>DPR!C867</f>
        <v>45875</v>
      </c>
      <c r="C21" s="364" t="str">
        <f>DPR!AJ867</f>
        <v>Sakhalin:Prod'n from Sakhalin-1 project as Nil from 02.08.2025 due to planned field shut down.
ACG:Prod'n deferred due to  time out for safety(TOFS) reasons.
Vankor:Reason awaited from the operator.</v>
      </c>
    </row>
    <row r="22" spans="2:3" ht="75">
      <c r="B22" s="446">
        <f>DPR!C866</f>
        <v>45874</v>
      </c>
      <c r="C22" s="364" t="str">
        <f>DPR!AJ866</f>
        <v>Sakhalin-1:New prod'n data received from the operator.
Sakhalin:Prod'n deferment is observed due to rampdown for the planned shutdown in August 2025.
ACG:Prod'n deferred due to  time out for safety(TOFS) reasons.
SCB:Prod'n deferred due to clogging in the crude heater, which disrupted the dispatch of process crude oil.
Vankor:Reason awaited from the operator.</v>
      </c>
    </row>
    <row r="23" spans="2:3" ht="60">
      <c r="B23" s="446">
        <f>DPR!C865</f>
        <v>45873</v>
      </c>
      <c r="C23" s="364" t="str">
        <f>DPR!AJ865</f>
        <v>Sakhalin:Sakhalin:Prod'n deferment is observed due to rampdown for the planned shutdown in August 2025.
ACG:Prod'n deferred due to  time out for safety(TOFS) reasons.
SPOC:Prod'n deferred due to TJH-10, TJH-12, and TJH-14 wells shutdown due to VSD issue.
Vankor:Reason awaited from the operator.</v>
      </c>
    </row>
    <row r="24" spans="2:3" ht="30">
      <c r="B24" s="446">
        <f>DPR!C864</f>
        <v>45872</v>
      </c>
      <c r="C24" s="364" t="str">
        <f>DPR!AJ864</f>
        <v>Sakhalin:Sakhalin:Prod'n deferment is observed due to rampdown for the planned shutdown in August 2025.
ACG:Prod'n deferred due to  time out for safety(TOFS) reasons.</v>
      </c>
    </row>
    <row r="25" spans="2:3" ht="45">
      <c r="B25" s="446">
        <f>DPR!C863</f>
        <v>45871</v>
      </c>
      <c r="C25" s="364" t="str">
        <f>DPR!AJ863</f>
        <v>Sakhalin:Sakhalin:Prod'n deferment is observed due to rampdown for the planned shutdown in August 2025.
LZC:Prod'n deferred due to GPF Train-1 PM &amp; Rig activities.
ACG:Prod'n deferred due to  time out for safety(TOFS) reasons.</v>
      </c>
    </row>
    <row r="26" spans="2:3" ht="45">
      <c r="B26" s="446">
        <f>DPR!C862</f>
        <v>45870</v>
      </c>
      <c r="C26" s="364" t="str">
        <f>DPR!AJ862</f>
        <v>Sakhalin:Sakhalin:Prod'n deferment is observed due to rampdown for the planned shutdown in August 2025.
SPOC:Prod'n deferred due to power tripped in TJ-25, TJ-7, TJH-20, TJH-23, TJ-1 flowing wells supply affected. 
LZC:Prod'n deferred due to GPF Train-1 PM &amp; Rig activities.</v>
      </c>
    </row>
    <row r="27" spans="2:3" hidden="1">
      <c r="B27" s="446">
        <f>DPR!C861</f>
        <v>45869</v>
      </c>
      <c r="C27" s="364" t="str">
        <f>DPR!AJ861</f>
        <v>Sakhalin:Sakhalin:Prod'n deferment is observed due to rampdown for the planned shutdown in August 2025.</v>
      </c>
    </row>
    <row r="28" spans="2:3" hidden="1">
      <c r="B28" s="446">
        <f>DPR!C860</f>
        <v>45868</v>
      </c>
      <c r="C28" s="364" t="str">
        <f>DPR!AJ860</f>
        <v>Sakhalin:Sakhalin:Prod'n deferment is observed due to rampdown for the planned shutdown in August 2025.</v>
      </c>
    </row>
    <row r="29" spans="2:3" hidden="1">
      <c r="B29" s="446">
        <f>DPR!C859</f>
        <v>45867</v>
      </c>
      <c r="C29" s="364" t="str">
        <f>DPR!AJ859</f>
        <v>Sakhalin:Prod'n deferment is observed due to rampdown for the planned shutdown in August 2025..</v>
      </c>
    </row>
    <row r="30" spans="2:3" ht="30" hidden="1">
      <c r="B30" s="446">
        <f>DPR!C858</f>
        <v>45866</v>
      </c>
      <c r="C30" s="364" t="str">
        <f>DPR!AJ858</f>
        <v>Sakhalin-1:New prod'n data received from the operator.
Sakhalin:Sakhalin:Prod'n deferment is observed due to rampdown for the planned shutdown in August 2025.</v>
      </c>
    </row>
    <row r="31" spans="2:3" hidden="1">
      <c r="B31" s="446">
        <f>DPR!C857</f>
        <v>45865</v>
      </c>
      <c r="C31" s="364" t="str">
        <f>DPR!AJ857</f>
        <v>Sakhalin-1:Sakhalin:Prod'n deferment is observed due to rampdown for the planned shutdown in August 2025..</v>
      </c>
    </row>
    <row r="32" spans="2:3" ht="45" hidden="1">
      <c r="B32" s="446">
        <f>DPR!C856</f>
        <v>45864</v>
      </c>
      <c r="C32" s="364" t="str">
        <f>DPR!AJ856</f>
        <v>Sakhalin-1:Sakhalin:Prod'n deferment is observed due to rampdown for the planned shutdown in August 2025..
ACG:Prod'n deferred due to low prod'n in Central Azeri.
SPOC:Prod'n deferred due to TJH-12 well shutdown due to VSD issue.</v>
      </c>
    </row>
    <row r="33" spans="2:3" ht="45" hidden="1">
      <c r="B33" s="446">
        <f>DPR!C855</f>
        <v>45863</v>
      </c>
      <c r="C33" s="364" t="str">
        <f>DPR!AJ855</f>
        <v>Sakhalin-1:Sakhalin:Prod'n deferment is observed due to rampdown for the planned shutdown in August 2025..
ACG:Prod'n deferred due to low prod'n in Central Azeri.
SPOC:Prod'n deferred due to Central Power Plant blackout no power supply to TJ FSF wells.</v>
      </c>
    </row>
    <row r="34" spans="2:3" ht="30" hidden="1">
      <c r="B34" s="446">
        <f>DPR!C854</f>
        <v>45862</v>
      </c>
      <c r="C34" s="364" t="str">
        <f>DPR!AJ854</f>
        <v>Sakhalin-1:Reason awaited from the operator.
ACG:Prod'n deferred due to low prod'n in Central Azeri.</v>
      </c>
    </row>
    <row r="35" spans="2:3" ht="75" hidden="1">
      <c r="B35" s="446">
        <f>DPR!C853</f>
        <v>45861</v>
      </c>
      <c r="C35" s="364" t="str">
        <f>DPR!AJ853</f>
        <v>Sakhalin-1:Reason awaited from the operator.
ACG:Prod'n deferred due to low prod'n in Central Azeri.
Vankor:Reason awaited from the operator.
PCB:Prod'n deferred due to power outages in the National Electric System, affecting plant equipment and 16 producing wells.</v>
      </c>
    </row>
    <row r="36" spans="2:3" ht="45" hidden="1">
      <c r="B36" s="446">
        <f>DPR!C852</f>
        <v>45860</v>
      </c>
      <c r="C36" s="364" t="str">
        <f>DPR!AJ852</f>
        <v>Sakhalin-1:Reason awaited from the operator.
SPOC:Prod'n deferred due to ME-3 well shut in for high torque.
ACG:Prod'n deferred due to low prod'n in Central Azeri.</v>
      </c>
    </row>
    <row r="37" spans="2:3" hidden="1">
      <c r="B37" s="446">
        <f>DPR!C851</f>
        <v>45859</v>
      </c>
      <c r="C37" s="364" t="str">
        <f>DPR!AJ851</f>
        <v>Sakhalin-1:Reason awaited from the operator.</v>
      </c>
    </row>
    <row r="38" spans="2:3" ht="30" hidden="1">
      <c r="B38" s="446">
        <f>DPR!C850</f>
        <v>45858</v>
      </c>
      <c r="C38" s="364" t="str">
        <f>DPR!AJ850</f>
        <v>Sakhalin-1:Reason awaited from the operator.
GPOC:Prod'n deferred due to power tripped at Toma South &amp; El Toor.</v>
      </c>
    </row>
    <row r="39" spans="2:3" ht="30" hidden="1">
      <c r="B39" s="446">
        <f>DPR!C849</f>
        <v>45857</v>
      </c>
      <c r="C39" s="364" t="str">
        <f>DPR!AJ849</f>
        <v>Sakhalin-1:Reason awaited from the operator.
GPOC:Prod'n deferred due to power tripped at Toma South &amp; El Toor.</v>
      </c>
    </row>
    <row r="40" spans="2:3" ht="60" hidden="1">
      <c r="B40" s="446">
        <f>DPR!C848</f>
        <v>45856</v>
      </c>
      <c r="C40" s="364" t="str">
        <f>DPR!AJ848</f>
        <v>Sakhalin-1:Reason awaited from the operator.
ACG: Prod'n deferred due to 3 wells shutdown in Azeri Central East.
SPOC:Prod'n deferred due to power trip.
GPOC:Prod'n deferred due to power tripped at Toma South &amp; El Toor.</v>
      </c>
    </row>
    <row r="41" spans="2:3" ht="30" hidden="1">
      <c r="B41" s="446">
        <f>DPR!C847</f>
        <v>45855</v>
      </c>
      <c r="C41" s="364" t="str">
        <f>DPR!AJ847</f>
        <v xml:space="preserve">Sakhalin-1:Reason awaited from the operator.
</v>
      </c>
    </row>
    <row r="42" spans="2:3" ht="45" hidden="1">
      <c r="B42" s="446">
        <f>DPR!C846</f>
        <v>45854</v>
      </c>
      <c r="C42" s="364" t="str">
        <f>DPR!AJ846</f>
        <v>Sakhalin-1:New prod'n data received from the operator.
Sakhalin-1:Reason awaited from the operator.
ACG: Prod'n deferred due to 3 wells shutdown in Azeri Central East.</v>
      </c>
    </row>
    <row r="43" spans="2:3" ht="45" hidden="1">
      <c r="B43" s="446">
        <f>DPR!C845</f>
        <v>45853</v>
      </c>
      <c r="C43" s="364" t="str">
        <f>DPR!AJ845</f>
        <v>Sakhalin-1:Prod'n deferred due to lower gas compression caused by high ambient temperature impacting fluid handling capacity.
ACG: Prod'n deferred due to 3 wells shutdown in Azeri Central East.</v>
      </c>
    </row>
    <row r="44" spans="2:3" ht="60" hidden="1">
      <c r="B44" s="446">
        <f>DPR!C844</f>
        <v>45852</v>
      </c>
      <c r="C44" s="364" t="str">
        <f>DPR!AJ844</f>
        <v>ACG:Prod'n deferred due to all the wells of ACE K01, K02, K03 are closed.
Sakhalin-1:Prod'n deferred due to lower gas compression caused by high ambient temperature impacting fluid handling capacity.
Vankor:Prod'n deferred due to replacement of critical shut-off valves in the oil-gathering pipeline.</v>
      </c>
    </row>
    <row r="45" spans="2:3" ht="90" hidden="1">
      <c r="B45" s="446">
        <f>DPR!C843</f>
        <v>45851</v>
      </c>
      <c r="C45" s="364" t="str">
        <f>DPR!AJ843</f>
        <v xml:space="preserve">ACG:Prod'n deferred due to all the wells of ACE K01, K02, K03 are closed.
Sakhalin-1:Prod'n deferred due to lower gas compression caused by high ambient temperature impacting fluid handling capacity.
Vankor:Prod'n deferred due to repair of critical section of oil-gathering pipelines.
</v>
      </c>
    </row>
    <row r="46" spans="2:3" ht="90" hidden="1">
      <c r="B46" s="446">
        <f>DPR!C842</f>
        <v>45850</v>
      </c>
      <c r="C46" s="364" t="str">
        <f>DPR!AJ842</f>
        <v xml:space="preserve">ACG:Prod'n deferred due to all the wells of ACE K01, K02, K03 are closed.
Sakhalin-1:Prod'n deferred due to lower gas compression caused by high ambient temperature impacting fluid handling capacity.
Vankor:Prod'n deferred due to repair of critical section of oil-gathering pipelines.
LZC:Prod'n deferred due to GPF train 1 planned maintenance activity.
</v>
      </c>
    </row>
    <row r="47" spans="2:3" ht="75" hidden="1">
      <c r="B47" s="446">
        <f>DPR!C841</f>
        <v>45849</v>
      </c>
      <c r="C47" s="364" t="str">
        <f>DPR!AJ841</f>
        <v xml:space="preserve">ACG:Prod'n deferred due to low prod'n in Central and Western Azeri.
Sakhalin-1:Prod'n deferred due to lower gas compression caused by high ambient temperature impacting fluid handling capacity.
Vankor:Prod'n deferred due to repair of critical section of oil-gathering pipelines._x000D_
</v>
      </c>
    </row>
    <row r="48" spans="2:3" ht="75" hidden="1">
      <c r="B48" s="446">
        <f>DPR!C840</f>
        <v>45848</v>
      </c>
      <c r="C48" s="364" t="str">
        <f>DPR!AJ840</f>
        <v xml:space="preserve">ACG:Prod'n deferred due to low prod'n in Central and Western Azeri.
Sakhalin-1:Prod'n deferred due to lower gas compression caused by high ambient temperature impacting fluid handling capacity.
Vankor:Prod'n deferred due to repair of critical section of oil-gathering pipelines._x000D_
</v>
      </c>
    </row>
    <row r="49" spans="2:3" ht="90" hidden="1">
      <c r="B49" s="446">
        <f>DPR!C839</f>
        <v>45847</v>
      </c>
      <c r="C49" s="364" t="str">
        <f>DPR!AJ839</f>
        <v>ACG:Prod'n deferred due to low prod'n in Central and Western Azeri.
CPO-5:Prod'n deferred due to a community blockade at Indico-1X, Indico-6, and Indico-7.
Sakhalin-1:Prod'n deferred due to lower gas compression caused by high ambient temperature impacting fluid handling capacity.
IEC:Prod'n deferred due to APGT planned shut down.
Vankor:Prod'n deferred due to repair of critical section of oil-gathering pipelines.</v>
      </c>
    </row>
    <row r="50" spans="2:3" ht="75" hidden="1">
      <c r="B50" s="446">
        <f>DPR!C838</f>
        <v>45846</v>
      </c>
      <c r="C50" s="364" t="str">
        <f>DPR!AJ838</f>
        <v>Sakhalin-1:New prod'n data received from the operator.
LZC:Prod'n deferred due to GPF train 1 planned maintenance activity.
ACG:Prod'n deferred due to low prod'n in Central and Western Azeri.
CPO-5:Prod'n deferred due to a community blockade at Indico-1X, Indico-6, and Indico-7.
IEC:Prod'n deferred due to APGT planned shut down.</v>
      </c>
    </row>
    <row r="51" spans="2:3" ht="75" hidden="1">
      <c r="B51" s="446">
        <f>DPR!C837</f>
        <v>45845</v>
      </c>
      <c r="C51" s="364" t="str">
        <f>DPR!AJ837</f>
        <v>Sakhalin-1:Prod'n deferred due to ongoing replacement works of GIC and GTC in gas Train-2 in Odoptu.
LZC:Prod'n deferred due to GPF train 1 planned maintenance activity.
B-06.1:Lan Do wells &amp; Lan Tay wells are shutdown.
ACG:Prod'n deferred due to low prod'n in Central and Western Azeri.
CPO-5:Prod'n down due to Indico-6 and Indico-7 in community blockade.</v>
      </c>
    </row>
    <row r="52" spans="2:3" ht="60" hidden="1">
      <c r="B52" s="446">
        <f>DPR!C836</f>
        <v>45844</v>
      </c>
      <c r="C52" s="364" t="str">
        <f>DPR!AJ836</f>
        <v>Sakhalin-1:Prod'n deferred due to ongoing replacement works of GIC and GTC in gas Train-2 in Odoptu.
LZC:Prod'n deferred due to GPF train 1 planned maintenance activity.
B-06.1:Lan Do wells &amp; Lan Tay wells are shutdown.
IEC: APGT Shut down from 08:40 AM to 05:00 PM for cleaning to remove chocking of heat exchangers E 400 and E 401</v>
      </c>
    </row>
    <row r="53" spans="2:3" ht="45" hidden="1">
      <c r="B53" s="446">
        <f>DPR!C835</f>
        <v>45843</v>
      </c>
      <c r="C53" s="364" t="str">
        <f>DPR!AJ835</f>
        <v>Sakhalin-1:Prod'n deferred due to ongoing replacement works of GIC and GTC in gas Train-2 in Odoptu.
LZC:Prod'n deferred due to GPF train 1 planned maintenance activity.
B-06.1:Lan Do wells &amp; Lan Tay wells are shutdown.</v>
      </c>
    </row>
    <row r="54" spans="2:3" ht="45" hidden="1">
      <c r="B54" s="446">
        <f>DPR!C834</f>
        <v>45842</v>
      </c>
      <c r="C54" s="364" t="str">
        <f>DPR!AJ834</f>
        <v>Sakhalin-1:Prod'n deferred due to ongoing replacement works of GIC and GTC in gas Train-2 in Odoptu.
LZC:Prod'n deferred due to GPF train 1 planned maintenance activity.
B-06.1:Lan Do wells &amp; Lan Tay wells are shutdown.</v>
      </c>
    </row>
    <row r="55" spans="2:3" ht="60" hidden="1">
      <c r="B55" s="446">
        <f>DPR!C833</f>
        <v>45841</v>
      </c>
      <c r="C55" s="364" t="str">
        <f>DPR!AJ833</f>
        <v>Sakhalin-1:Prod'n deferred due to ongoing replacement works of GIC and GTC in gas Train-2 in Odoptu.
LZC:Prod'n deferred due to GPF train 1 planned maintenance activity.
IEC: Prod'n deferred due to Emergency power shutdown.
B-06.1:Lan Do wells &amp; Lan Tay wells are shutdown.</v>
      </c>
    </row>
    <row r="56" spans="2:3" ht="105" hidden="1">
      <c r="B56" s="446">
        <f>DPR!C832</f>
        <v>45840</v>
      </c>
      <c r="C56" s="364" t="str">
        <f>DPR!AJ832</f>
        <v>Sakhalin-1:New prod'n data received from the operator.
LZC:Prod'n deferred due to GPF train 1 planned maintenance activity.
IEC: Prod'n deferred due to Emergency power shutdown.
B-06.1:Lan Do wells &amp; Lan Tay wells are shutdown.
CPO-5: Indico-3 well s/d due to facilities transition.
GPOC: Prod'n deferred due to ~2.5 hr power trip on 01.07.25 affecting Unity (West Feeder), Munga wells down ~11 hrs from power trip; UBR-01, UBR-02, UBR-05 &amp; UBR-06 remain offline.</v>
      </c>
    </row>
    <row r="57" spans="2:3" ht="90" hidden="1">
      <c r="B57" s="446">
        <f>DPR!C831</f>
        <v>45839</v>
      </c>
      <c r="C57" s="364" t="str">
        <f>DPR!AJ831</f>
        <v xml:space="preserve">Sakhalin-1:Prod'n deferred due to ongoing replacement works of GIC and GTC in gas Train-2 in Odoptu.
LZC:Prod'n deferred due to GPF train 1 planned maintenance activity.
IEC: Prod'n deferred due to Emergency power shutdown.
B-06.1:Lan Do wells 1P and 2P are shutdown &amp; Lan Tay wells P1 and P2 are shutdown.
CPO-5:Prod'n deferred due to Indico-3 well shutdown due to facilities transition.
</v>
      </c>
    </row>
    <row r="58" spans="2:3" ht="45" hidden="1">
      <c r="B58" s="446">
        <f>DPR!C830</f>
        <v>45838</v>
      </c>
      <c r="C58" s="364" t="str">
        <f>DPR!AJ830</f>
        <v>Sakhalin-1:Prod'n deferred due to ongoing replacement works of GIC and GTC in gas Train-2 in Odoptu.
LZC:Prod'n deferred due to GPF train 1 planned maintenance activity.
IEC: Prod'n deferred due to Emergency power shutdown.</v>
      </c>
    </row>
    <row r="59" spans="2:3" ht="45" hidden="1">
      <c r="B59" s="446">
        <f>DPR!C829</f>
        <v>45837</v>
      </c>
      <c r="C59" s="364" t="str">
        <f>DPR!AJ829</f>
        <v>Sakhalin-1:Prod'n deferred due to ongoing replacement works of GIC and GTC in gas Train-2 in Odoptu.
ACG: Prod'n deferred due to CA platform Train-1 shutdown._x000D_
LZC:Prod'n deferred due to GPF train 1 planned maintenance activity.</v>
      </c>
    </row>
    <row r="60" spans="2:3" ht="45" hidden="1">
      <c r="B60" s="446">
        <f>DPR!C828</f>
        <v>45836</v>
      </c>
      <c r="C60" s="364" t="str">
        <f>DPR!AJ828</f>
        <v xml:space="preserve">Sakhalin-1:Prod'n deferred due to ongoing replacement works of GIC and GTC in gas Train-2 in Odoptu.
ACG: Prod'n deferred due to CA platform Train-1 shutdown.
</v>
      </c>
    </row>
    <row r="61" spans="2:3" ht="75" hidden="1">
      <c r="B61" s="446">
        <f>DPR!C827</f>
        <v>45835</v>
      </c>
      <c r="C61" s="364" t="str">
        <f>DPR!AJ827</f>
        <v xml:space="preserve">Sakhalin-1:Prod'n deferred due to ongoing replacement works of GIC and GTC in gas Train-2 in Odoptu.
ACG: Prod'n deferred due to CA platform Train-1 shutdown.
BC-10:Prod'n deferred due to ON-7 well closed.
Vankor:Prod'n deferred due to repair of oil-gathering pipelines.
</v>
      </c>
    </row>
    <row r="62" spans="2:3" ht="60" hidden="1">
      <c r="B62" s="446">
        <f>DPR!C826</f>
        <v>45834</v>
      </c>
      <c r="C62" s="364" t="str">
        <f>DPR!AJ826</f>
        <v>Sakhalin-1:New prod'n data received from the operator.
SCB:Prod'n deferred due to high water cut.
ACG: Prod'n deferred due to CA platform Train-1 shutdown.
CPO-5:Prod'n deferred due to turning off ESP following non-compliance with water truck nomination.</v>
      </c>
    </row>
    <row r="63" spans="2:3" ht="60" hidden="1">
      <c r="B63" s="446">
        <f>DPR!C825</f>
        <v>45833</v>
      </c>
      <c r="C63" s="364" t="str">
        <f>DPR!AJ825</f>
        <v xml:space="preserve">Sakhalin-1:Prod'n deferred due to ongoing replacement works of GIC and GTC in gas Train-2 in Odoptu.
ACG: Prod'n deferred due to CA platform Train-1 shutdown.
</v>
      </c>
    </row>
    <row r="64" spans="2:3" ht="75" hidden="1">
      <c r="B64" s="446">
        <f>DPR!C824</f>
        <v>45832</v>
      </c>
      <c r="C64" s="364" t="str">
        <f>DPR!AJ824</f>
        <v xml:space="preserve">Sakhalin-1:Prod'n deferred due to ongoing replacement works of GIC and GTC in gas Train-2 in Odoptu.
ACG: Prod'n deferred due to CA platform Train-1 shutdown.
IEC:Prod'n deferred due to pipeline imbalance in Snezhnoye field.
</v>
      </c>
    </row>
    <row r="65" spans="2:3" ht="60" hidden="1">
      <c r="B65" s="446">
        <f>DPR!C823</f>
        <v>45831</v>
      </c>
      <c r="C65" s="364" t="str">
        <f>DPR!AJ823</f>
        <v>Sakhalin-1:Prod'n deferred due to ongoing replacement works of GIC and GTC in gas Train-2 in Odoptu.
ACG: Prod'n deferred due to CA platform Train-1 shutdown.
SCB:Well closed due to high water cut.
GPOC:All flowing  wells of Toma South FPF shutdown at avg 3.5 hr due to power trip.</v>
      </c>
    </row>
    <row r="66" spans="2:3" hidden="1">
      <c r="B66" s="446">
        <f>DPR!C822</f>
        <v>45830</v>
      </c>
      <c r="C66" s="364" t="str">
        <f>DPR!AJ822</f>
        <v xml:space="preserve"> </v>
      </c>
    </row>
    <row r="67" spans="2:3" ht="60" hidden="1">
      <c r="B67" s="446">
        <f>DPR!C821</f>
        <v>45829</v>
      </c>
      <c r="C67" s="364" t="str">
        <f>DPR!AJ821</f>
        <v>Sakhalin-1:Prod'n deferred due to ongoing replacement works of GIC and GTC in gas Train-2 in Odoptu.
CPO-5:Prod'n from Indico pad wells is being ramped-up after lifting of  community blockade.
ACG: Prod'n deferred due to CA platform Train-1 shutdown.
IEC: Prod'n deferred due to Emergency power shutdown.</v>
      </c>
    </row>
    <row r="68" spans="2:3" ht="51.75" hidden="1" customHeight="1">
      <c r="B68" s="446">
        <f>DPR!C820</f>
        <v>45828</v>
      </c>
      <c r="C68" s="364" t="str">
        <f>DPR!AJ820</f>
        <v>Sakhalin-1:Prod'n deferred due to ongoing replacement works of GIC and GTC in gas Train-2 in Odoptu.
CPO-5:Prod'n deferred due to SAR personnel blockade.
ACG: Prod'n deferred due to CA platform Train-1 shutdown.
IEC: Prod'n deferred due to Emergency power shutdown.</v>
      </c>
    </row>
    <row r="69" spans="2:3" ht="75" hidden="1">
      <c r="B69" s="446">
        <f>DPR!C819</f>
        <v>45827</v>
      </c>
      <c r="C69" s="364" t="str">
        <f>DPR!AJ819</f>
        <v xml:space="preserve">Sakhalin-1:Prod'n deferred due to ongoing replacement works of GIC and GTC in gas Train-2 in Odoptu.
CPO-5:Prod'n deferred due to SAR personnel blockade.
ACG: Prod'n deferred due to CA platform Train-1 shutdown.
IEC: Prod'n deferred due to Emergency power shutdown.
</v>
      </c>
    </row>
    <row r="70" spans="2:3" ht="105" hidden="1">
      <c r="B70" s="446">
        <f>DPR!C818</f>
        <v>45826</v>
      </c>
      <c r="C70" s="364" t="str">
        <f>DPR!AJ818</f>
        <v xml:space="preserve">Sakhalin-1:New prod'n data received from the operator.
Sakhalin-1:Prod'n deferred due to ongoing replacement works of GIC and GTC in gas Train-2 in Odoptu.
CPO-5:Prod'n deferred due to SAR personnel blockade.
ACG:ACG: Prod'n deferred due to CA platform Train-1 shutdown. Likely causes of safety transmitter activation on main oil pump Train-1. .
IEC: Prod'n deferred due to Emergency power shutdown.
</v>
      </c>
    </row>
    <row r="71" spans="2:3" ht="105" hidden="1">
      <c r="B71" s="446">
        <f>DPR!C817</f>
        <v>45825</v>
      </c>
      <c r="C71" s="364" t="str">
        <f>DPR!AJ817</f>
        <v xml:space="preserve">Sakhalin-1:Prod'n deferred due to ongoing replacement works of GIC and GTC in gas Train-2 in Odoptu.
CPO-5:Prod'n deferred due to SAR personnel blockade.
ACG:ACG: Prod'n deferred due to CA platform Train-1 shutdown. Likely causes of safety transmitter activation on main oil pump Train-1. 
</v>
      </c>
    </row>
    <row r="72" spans="2:3" ht="120" hidden="1">
      <c r="B72" s="446">
        <f>DPR!C816</f>
        <v>45824</v>
      </c>
      <c r="C72" s="364" t="str">
        <f>DPR!AJ816</f>
        <v xml:space="preserve">Sakhalin-1:Prod'n deferred due to ongoing replacement works of GIC and GTC in gas Train-2 in Odoptu.
CPO-5:Prod'n deferred due to SAR personnel blockade.
ACG: Prod'n deferred due to CA platform Train-1 shutdown. Likely causes of safety transmitter activation on main oil pump Train-1. .
IEC:Prod'n deferred due to pipeline imbalance in Snezhnoye field
</v>
      </c>
    </row>
    <row r="73" spans="2:3" ht="105" hidden="1">
      <c r="B73" s="446">
        <f>DPR!C815</f>
        <v>45823</v>
      </c>
      <c r="C73" s="364" t="str">
        <f>DPR!AJ815</f>
        <v xml:space="preserve">Sakhalin-1:Prod'n deferred due to ongoing replacement works of GIC and GTC in gas Train-2 in Odoptu.
CPO-5:Prod'n deferred due to SAR personnel blockade.
SPOC:Prod'n deferred due to power trip.
ACG: Prod'n deferred due to CA platform Train-1 shutdown. Likely causes of safety transmitter activation on main oil pump Train-1.
</v>
      </c>
    </row>
    <row r="74" spans="2:3" ht="60" hidden="1">
      <c r="B74" s="446">
        <f>DPR!C814</f>
        <v>45822</v>
      </c>
      <c r="C74" s="364" t="str">
        <f>DPR!AJ814</f>
        <v xml:space="preserve">Sakhalin-1:Prod'n deferred due to ongoing replacement works of GIC and GTC in gas Train-2 in Odoptu.
CPO-5:Prod'n deferred due to SAR personnel blockade.
IEC:Prod'n deferred due to pipeline imbalance in Snezhnoye field
</v>
      </c>
    </row>
    <row r="75" spans="2:3" ht="60" hidden="1">
      <c r="B75" s="446">
        <f>DPR!C813</f>
        <v>45821</v>
      </c>
      <c r="C75" s="364" t="str">
        <f>DPR!AJ813</f>
        <v xml:space="preserve">Sakhalin-1:Prod'n deferred due to ongoing replacement works of GIC and GTC in gas Train-2 in Odoptu.
CPO-5:Prod'n deferred due to SAR personnel blockade.
SPOC:Prod'n deferred due to water draining.
</v>
      </c>
    </row>
    <row r="76" spans="2:3" ht="30" hidden="1">
      <c r="B76" s="446">
        <f>DPR!C812</f>
        <v>45820</v>
      </c>
      <c r="C76" s="364" t="str">
        <f>DPR!AJ812</f>
        <v>Sakhalin-1:Prod'n deferred due to ongoing replacement works of GIC and GTC in gas Train-2 in Odoptu.
CPO-5:Prod'n deferred due to SAR personnel blockade.</v>
      </c>
    </row>
    <row r="77" spans="2:3" ht="45" hidden="1">
      <c r="B77" s="446">
        <f>DPR!C811</f>
        <v>45819</v>
      </c>
      <c r="C77" s="364" t="str">
        <f>DPR!AJ811</f>
        <v>SCB:Well closed due to high water cut.
Sakhalin-1:Prod'n deferred due to ongoing replacement works of GIC and GTC in gas Train-2 in Odoptu.
IEC:Prod'n deferred due to pipeline imbalance in Snezhnoye field &amp; ESP issues in well 2-R Maiskoye field.</v>
      </c>
    </row>
    <row r="78" spans="2:3" ht="45" hidden="1">
      <c r="B78" s="446">
        <f>DPR!C810</f>
        <v>45818</v>
      </c>
      <c r="C78" s="364" t="str">
        <f>DPR!AJ810</f>
        <v>Sakhalin-1:New prod'n data received from the operator.
Sakhalin-1:Prod'n deferred due to ongoing replacement works of GIC and GTC in gas Train-2 in Odoptu.
IEC:Prod'n deferred due to pipeline imbalance in Snezhnoye field &amp; ESP issues in well 2-R Maiskoye field.</v>
      </c>
    </row>
    <row r="79" spans="2:3" ht="60" hidden="1">
      <c r="B79" s="446">
        <f>DPR!C809</f>
        <v>45817</v>
      </c>
      <c r="C79" s="364" t="str">
        <f>DPR!AJ809</f>
        <v>Sakhalin-1:Prod'n deferred due to ongoing replacement works of GIC and GTC in gas Train-2 in Odoptu.
LZC:Prod'n deferred due to barge movement.
SPOC:Prod'n deferred due to power fluctuation in TJ wells for 1 hour.
ACG:low prod'n in Central Azeri PDQ platform.</v>
      </c>
    </row>
    <row r="80" spans="2:3" ht="45" hidden="1">
      <c r="B80" s="446">
        <f>DPR!C808</f>
        <v>45816</v>
      </c>
      <c r="C80" s="364" t="str">
        <f>DPR!AJ808</f>
        <v>Vankor:Prod'n deferred due to repair of oil-gathering pipelines.
Sakhalin-1:Prod'n deferred due to ongoing replacement works of GIC and GTC in gas Train-2 in Odoptu.
LZC:Prod'n deferred due to barge movement.</v>
      </c>
    </row>
    <row r="81" spans="2:3" ht="45" hidden="1">
      <c r="B81" s="446">
        <f>DPR!C807</f>
        <v>45815</v>
      </c>
      <c r="C81" s="364" t="str">
        <f>DPR!AJ807</f>
        <v>Vankor:Prod'n deferred due to repair of oil-gathering pipelines.
Sakhalin-1:Prod'n deferred due to ongoing replacement works of GIC and GTC in gas Train-2 in Odoptu.
IEC:Prod'n deferred due to pipe rupture in South-Maiskoye field between PAD1-PAD4.</v>
      </c>
    </row>
    <row r="82" spans="2:3" ht="45" hidden="1">
      <c r="B82" s="446">
        <f>DPR!C806</f>
        <v>45814</v>
      </c>
      <c r="C82" s="364" t="str">
        <f>DPR!AJ806</f>
        <v>Vankor:Prod'n deferred due to repair of oil-gathering pipelines.
Sakhalin-1:Prod'n deferred due to ongoing replacement works of GIC and GTC in gas Train-2 in Odoptu.
IEC:Prod'n deferred due to pipe rupture in South-Maiskoye field between PAD1-PAD4.</v>
      </c>
    </row>
    <row r="83" spans="2:3" ht="30" hidden="1">
      <c r="B83" s="446">
        <f>DPR!C805</f>
        <v>45813</v>
      </c>
      <c r="C83" s="364" t="str">
        <f>DPR!AJ805</f>
        <v>Sakhalin-1:New prod'n data received from the operator.
Vankor:Prod'n deferred due to repair of oil-gathering pipelines.</v>
      </c>
    </row>
    <row r="84" spans="2:3" ht="30" hidden="1">
      <c r="B84" s="446">
        <f>DPR!C804</f>
        <v>45812</v>
      </c>
      <c r="C84" s="364" t="str">
        <f>DPR!AJ804</f>
        <v>A1-A3:Prod'n deferred due to reduced nomination of CNUOC.
Vankor:Reasons awaited from operator.</v>
      </c>
    </row>
    <row r="85" spans="2:3" hidden="1">
      <c r="B85" s="446">
        <f>DPR!C803</f>
        <v>45811</v>
      </c>
      <c r="C85" s="364" t="str">
        <f>DPR!AJ803</f>
        <v>Vankor:Reasons awaited from operator.</v>
      </c>
    </row>
    <row r="86" spans="2:3" hidden="1">
      <c r="B86" s="446">
        <f>DPR!C802</f>
        <v>45810</v>
      </c>
      <c r="C86" s="364" t="str">
        <f>DPR!AJ802</f>
        <v>Vankor:Reasons awaited from operator.</v>
      </c>
    </row>
    <row r="87" spans="2:3" hidden="1">
      <c r="B87" s="446">
        <f>DPR!C801</f>
        <v>45809</v>
      </c>
      <c r="C87" s="364">
        <f>DPR!AJ801</f>
        <v>0</v>
      </c>
    </row>
    <row r="88" spans="2:3" hidden="1">
      <c r="B88" s="446">
        <f>DPR!C800</f>
        <v>45808</v>
      </c>
      <c r="C88" s="364">
        <f>DPR!AJ800</f>
        <v>0</v>
      </c>
    </row>
    <row r="89" spans="2:3" hidden="1">
      <c r="B89" s="446">
        <f>DPR!C799</f>
        <v>45807</v>
      </c>
      <c r="C89" s="364">
        <f>DPR!AJ799</f>
        <v>0</v>
      </c>
    </row>
    <row r="90" spans="2:3" hidden="1">
      <c r="B90" s="446">
        <f>DPR!C798</f>
        <v>45806</v>
      </c>
      <c r="C90" s="364">
        <f>DPR!AJ798</f>
        <v>0</v>
      </c>
    </row>
    <row r="91" spans="2:3" hidden="1">
      <c r="B91" s="446">
        <f>DPR!C797</f>
        <v>45805</v>
      </c>
      <c r="C91" s="364">
        <f>DPR!AJ797</f>
        <v>0</v>
      </c>
    </row>
    <row r="92" spans="2:3" ht="45" hidden="1">
      <c r="B92" s="446">
        <f>DPR!C796</f>
        <v>45804</v>
      </c>
      <c r="C92" s="364" t="str">
        <f>DPR!AJ796</f>
        <v>ACG:Prod'n deferred due to sand issue in west chirag.
BC-10:Prod'n deferred due to AW-1 well closed in Abalone field.
Vankor:Technical and organizational measures for repair of critical sections of the oil gathering pipeline.</v>
      </c>
    </row>
    <row r="93" spans="2:3" ht="60" hidden="1">
      <c r="B93" s="446">
        <f>DPR!C795</f>
        <v>45803</v>
      </c>
      <c r="C93" s="364" t="str">
        <f>DPR!AJ795</f>
        <v>Sakhalin-1:New prod'n data received from the operator.
ACG:Prod'n deferred due to sand issue in west chirag.
SPOC:Prod'n deferred due to power tripped in TJ feeder-2. 13 TJ flowing wells supply affected. 
BC-10:Prod'n deferred due to AW-1 well closed in Abalone field.</v>
      </c>
    </row>
    <row r="94" spans="2:3" ht="45" hidden="1">
      <c r="B94" s="446">
        <f>DPR!C794</f>
        <v>45802</v>
      </c>
      <c r="C94" s="364" t="str">
        <f>DPR!AJ794</f>
        <v>ACG:Prod'n deferred due to sand issue in west chirag.
SPOC:TR-01 Breaker tripped affecting TJ wells supply.
BC-10:Prod'n deferred due to AW-1 well closed in Abalone field.</v>
      </c>
    </row>
    <row r="95" spans="2:3" ht="45" hidden="1">
      <c r="B95" s="446">
        <f>DPR!C793</f>
        <v>45801</v>
      </c>
      <c r="C95" s="364" t="str">
        <f>DPR!AJ793</f>
        <v>ACG:Prod'n deferred due to sand issue in west chirag.
SPOC:All TJ wells shutdown due to power dip.
BC-10:Prod'n deferred due to AW-1 well closed in Abalone field.</v>
      </c>
    </row>
    <row r="96" spans="2:3" ht="60" hidden="1">
      <c r="B96" s="446">
        <f>DPR!C792</f>
        <v>45800</v>
      </c>
      <c r="C96" s="364" t="str">
        <f>DPR!AJ792</f>
        <v xml:space="preserve">ACG:Prod'n deferred due to sand issue in west chirag.
SPOC:All TJ wells shutdown due to power dip.
BC-10:Prod'n deferred due to AW-1 well closed in Abalone field.
LZC:Prod'n deferred due to planned maintenance activities at gas injection platform. </v>
      </c>
    </row>
    <row r="97" spans="2:3" ht="45" hidden="1">
      <c r="B97" s="446">
        <f>DPR!C791</f>
        <v>45799</v>
      </c>
      <c r="C97" s="364" t="str">
        <f>DPR!AJ791</f>
        <v>CPO-5:Prod'n deferred due to SAR personnel blockade.
ACG:Prod'n deferred due to sand issue in west chirag.
SPOC:All TJ wells shutdown due to power dip.</v>
      </c>
    </row>
    <row r="98" spans="2:3" ht="45" hidden="1">
      <c r="B98" s="446">
        <f>DPR!C790</f>
        <v>45798</v>
      </c>
      <c r="C98" s="364" t="str">
        <f>DPR!AJ790</f>
        <v>Sakhalin-1:New prod'n data received from the operator.
CPO-5:Prod'n deferred due to SAR personnel blockade.
ACG:Prod'n deferred due to sand issue in west chirag.</v>
      </c>
    </row>
    <row r="99" spans="2:3" ht="60" hidden="1">
      <c r="B99" s="446">
        <f>DPR!C789</f>
        <v>45797</v>
      </c>
      <c r="C99" s="364" t="str">
        <f>DPR!AJ789</f>
        <v>CPO-5:Prod'n deferred due to SAR personnel blockade.
IEC:Prod'n deferred due to planned shutdown of APGTP.
GPOC:Prod'n deferred due to all flowing wells in running through west feeder in Unity were down and leakage reported in the Unity export line.</v>
      </c>
    </row>
    <row r="100" spans="2:3" ht="30" hidden="1">
      <c r="B100" s="446">
        <f>DPR!C788</f>
        <v>45796</v>
      </c>
      <c r="C100" s="364" t="str">
        <f>DPR!AJ788</f>
        <v>CPO-5:Prod'n deferred due to SAR personnel blockade.
IEC:Prod'n deferred due to planned shutdown of APGTP.</v>
      </c>
    </row>
    <row r="101" spans="2:3" ht="45" hidden="1">
      <c r="B101" s="446">
        <f>DPR!C787</f>
        <v>45795</v>
      </c>
      <c r="C101" s="364" t="str">
        <f>DPR!AJ787</f>
        <v>CPO-5:Prod'n deferred due to SAR personnel blockade.
Vankor:Prod'n deferred due to repair of oil-gathering pipelines.
IEC:Prod'n deferred due to planned shutdown of APGTP.</v>
      </c>
    </row>
    <row r="102" spans="2:3" ht="30" hidden="1">
      <c r="B102" s="446">
        <f>DPR!C786</f>
        <v>45794</v>
      </c>
      <c r="C102" s="364" t="str">
        <f>DPR!AJ786</f>
        <v>CPO-5:Prod'n deferred due to SAR personnel blockade.
IEC:Prod'n deferred due to planned shutdown of APGTP.</v>
      </c>
    </row>
    <row r="103" spans="2:3" ht="30" hidden="1">
      <c r="B103" s="446">
        <f>DPR!C785</f>
        <v>45793</v>
      </c>
      <c r="C103" s="364" t="str">
        <f>DPR!AJ785</f>
        <v>CPO-5:Prod'n deferred due to SAR personnel blockade.
IEC:Prod'n deferred due to planned shutdown of APGTP.</v>
      </c>
    </row>
    <row r="104" spans="2:3" ht="45" hidden="1">
      <c r="B104" s="446">
        <f>DPR!C784</f>
        <v>45792</v>
      </c>
      <c r="C104" s="364" t="str">
        <f>DPR!AJ784</f>
        <v>CPO-5:Prod'n deferred due to SAR personnel blockade.
Vankor:Prod'n deferred due to repair of oil-gathering pipelines.
LZC:Prod'n deferred due to planned GG-2 shutdown.</v>
      </c>
    </row>
    <row r="105" spans="2:3" hidden="1">
      <c r="B105" s="446">
        <f>DPR!C783</f>
        <v>45791</v>
      </c>
      <c r="C105" s="364" t="str">
        <f>DPR!AJ783</f>
        <v>Sakhalin-1:New prod'n data received from the operator.</v>
      </c>
    </row>
    <row r="106" spans="2:3" hidden="1">
      <c r="B106" s="446">
        <f>DPR!C782</f>
        <v>45790</v>
      </c>
      <c r="C106" s="364">
        <f>DPR!AJ782</f>
        <v>0</v>
      </c>
    </row>
    <row r="107" spans="2:3" ht="30" hidden="1">
      <c r="B107" s="446">
        <f>DPR!C781</f>
        <v>45789</v>
      </c>
      <c r="C107" s="364" t="str">
        <f>DPR!AJ781</f>
        <v>SPOC:Prod'n deferred due to shutdown of all Tharjiath wells for transmission line changeover.
IEC:Prod'n deferred due to repair of oil-gathering line in Snezhnoye well-503.</v>
      </c>
    </row>
    <row r="108" spans="2:3" hidden="1">
      <c r="B108" s="446">
        <f>DPR!C780</f>
        <v>45788</v>
      </c>
      <c r="C108" s="364" t="str">
        <f>DPR!AJ780</f>
        <v>SPOC:Prod'n deferred due to shutdown of all Tharjiath wells for transmission line changeover.</v>
      </c>
    </row>
    <row r="109" spans="2:3" hidden="1">
      <c r="B109" s="446">
        <f>DPR!C779</f>
        <v>45787</v>
      </c>
      <c r="C109" s="364">
        <f>DPR!AJ779</f>
        <v>0</v>
      </c>
    </row>
    <row r="110" spans="2:3" hidden="1">
      <c r="B110" s="446">
        <f>DPR!C778</f>
        <v>45786</v>
      </c>
      <c r="C110" s="364">
        <f>DPR!AJ778</f>
        <v>0</v>
      </c>
    </row>
    <row r="111" spans="2:3" ht="45" hidden="1">
      <c r="B111" s="446">
        <f>DPR!C777</f>
        <v>45785</v>
      </c>
      <c r="C111" s="364" t="str">
        <f>DPR!AJ777</f>
        <v>ACG:Prod'n deferred due to shut down of Chirag Platform to attend leakage from LP separator.
Vankor:Prod'n deferred due to repair of oil-gathering pipelines.
SPOC:Prod'n deferred due to water draining.</v>
      </c>
    </row>
    <row r="112" spans="2:3" ht="45" hidden="1">
      <c r="B112" s="446">
        <f>DPR!C776</f>
        <v>45784</v>
      </c>
      <c r="C112" s="364" t="str">
        <f>DPR!AJ776</f>
        <v xml:space="preserve">ACG:Prod'n deferred due to shut down of Chirag Platform to attend leakage from LP separator.
Vankor:Prod'n deferred due to repair of oil-gathering pipelines.
</v>
      </c>
    </row>
    <row r="113" spans="2:3" ht="45" hidden="1">
      <c r="B113" s="446">
        <f>DPR!C775</f>
        <v>45783</v>
      </c>
      <c r="C113" s="364" t="str">
        <f>DPR!AJ775</f>
        <v xml:space="preserve">ACG:Prod'n deferred due to shut down of Chirag Platform to attend leakage from LP separator.
Vankor:Prod'n deferred due to repair of critical sections of oil-gathering pipelines.
</v>
      </c>
    </row>
    <row r="114" spans="2:3" ht="60" hidden="1">
      <c r="B114" s="446">
        <f>DPR!C774</f>
        <v>45782</v>
      </c>
      <c r="C114" s="364" t="str">
        <f>DPR!AJ774</f>
        <v>Sakhalin-1:New prod'n data received from the operator.
ACG:Prod'n deferred due to the planned shutdown on May 1st. All wells (K-01, K-02, K-03) are currently online.
LZC:Prod'n deferred due to barge movement.
BC-10:Prod'n is being ramped up as ALM-1 train C is online.</v>
      </c>
    </row>
    <row r="115" spans="2:3" ht="60" hidden="1">
      <c r="B115" s="446">
        <f>DPR!C773</f>
        <v>45781</v>
      </c>
      <c r="C115" s="364" t="str">
        <f>DPR!AJ773</f>
        <v>ACG:Prod'n deferred due to sand issue in west chirag.
LZC:Prod'n deferred due to barge movement.
MECL:Prod'n deferred due to internal electric failure in north circuit.
SPOC:Prod'n deferred due to water draining.</v>
      </c>
    </row>
    <row r="116" spans="2:3" ht="60" hidden="1">
      <c r="B116" s="446">
        <f>DPR!C772</f>
        <v>45780</v>
      </c>
      <c r="C116" s="364" t="str">
        <f>DPR!AJ772</f>
        <v xml:space="preserve">ACG:Prod'n deferred due to sand issue in west chirag.
BC-10:Prod'n deferred due to ALM 1  train C is offline.
LZC:Prod'n deferred due to heavy lifting operations on the rig.
MECL:Prod'n deferred due to internal electric failure in north circuit. </v>
      </c>
    </row>
    <row r="117" spans="2:3" ht="45" hidden="1">
      <c r="B117" s="446">
        <f>DPR!C771</f>
        <v>45779</v>
      </c>
      <c r="C117" s="364" t="str">
        <f>DPR!AJ771</f>
        <v>ACG:Prod'n deferred due to sand issue in west chirag.
BC-10:Prod'n deferred due to ALM 1  train C is offline.
LZC:Prod'n deferred due to heavy lifting operations on the rig.</v>
      </c>
    </row>
    <row r="118" spans="2:3" ht="60" hidden="1">
      <c r="B118" s="446">
        <f>DPR!C770</f>
        <v>45778</v>
      </c>
      <c r="C118" s="364" t="str">
        <f>DPR!AJ770</f>
        <v>PCB:Prod'n deferred due to the low efficiency of PCPs in flowing wells.
ACG:Prod'n deferred due to sand issue in west chirag.
BC-10:Prod'n deferred due to ALM 1  train C is offline.
LZC:Prod'n deferred due to heavy lifting operations on the rig.</v>
      </c>
    </row>
    <row r="119" spans="2:3" ht="75" hidden="1">
      <c r="B119" s="446">
        <f>DPR!C769</f>
        <v>45777</v>
      </c>
      <c r="C119" s="364" t="str">
        <f>DPR!AJ769</f>
        <v>A1-A3:Prod'n deferred due to reduced nomination of CNUOC.
GPOC:Prod'n deferred due to biorem limitations, downhole complications.
PCB:Prod'n deferred due to the low efficiency of PCPs in flowing wells.
ACG:Prod'n deferred due to sand issue in west chirag.
BC-10:Prod'n deferred due to ALM 1  train C is offline.</v>
      </c>
    </row>
    <row r="120" spans="2:3" ht="90" hidden="1">
      <c r="B120" s="446">
        <f>DPR!C768</f>
        <v>45776</v>
      </c>
      <c r="C120" s="364" t="str">
        <f>DPR!AJ768</f>
        <v>Sakhalin-1:New prod'n data received from the operator.
A1-A3:Prod'n deferred due to reduced nomination of CNUOC.
GPOC:Prod'n deferred due to biorem limitations, downhole complications.
PCB:Prod'n deferred due to the low efficiency of PCPs in flowing wells.
ACG:Prod'n deferred due to sand issue in west chirag.
BC-10:Prod'n deferred due to ALM 1  train C is offline.</v>
      </c>
    </row>
    <row r="121" spans="2:3" ht="90" hidden="1">
      <c r="B121" s="446">
        <f>DPR!C767</f>
        <v>45775</v>
      </c>
      <c r="C121" s="364" t="str">
        <f>DPR!AJ767</f>
        <v>A1-A3:Prod'n deferred due to reduced nomination of CNUOC.
GPOC:Prod'n deferred due to biorem limitations, downhole complications.
PCB:Prod'n deferred due to the low efficiency of PCPs in flowing wells.
ACG:Prod'n deferred due to sand issue in west chirag.
BC-10:Prod'n deferred due to ALM 1  train C is offline.
LZC: Prod'n deferred due to planned shutdown for Hydrogen Induced Cracking issue.</v>
      </c>
    </row>
    <row r="122" spans="2:3" ht="105" hidden="1">
      <c r="B122" s="446">
        <f>DPR!C766</f>
        <v>45774</v>
      </c>
      <c r="C122" s="364" t="str">
        <f>DPR!AJ766</f>
        <v>A1-A3:Prod'n deferred due to reduced nomination of CNUOC.
GPOC:Prod'n deferred due to biorem limitations, downhole complications.
PCB:Prod'n deferred due to the low efficiency of PCPs in flowing wells.
ACG:Prod'n deferred due to sand issue in west chirag.
BC-10:Prod'n deferred due to ALM 1  train C is offline.
IEC:Prod'n deferred due to shutdown of Maiskoye well-2 &amp; Snezhnoye well-146,133,520.
LZC: Prod'n deferred due to planned shutdown for Hydrogen Induced Cracking issue.</v>
      </c>
    </row>
    <row r="123" spans="2:3" ht="90" hidden="1">
      <c r="B123" s="446">
        <f>DPR!C765</f>
        <v>45773</v>
      </c>
      <c r="C123" s="364" t="str">
        <f>DPR!AJ765</f>
        <v>A1-A3:Prod'n deferred due to reduced nomination of CNUOC.
GPOC:Prod'n deferred due to biorem limitations, downhole complications.
PCB:Prod'n deferred due to the low efficiency of PCPs in flowing wells.
IEC:Prod'n deferred due to shutdown of Maiskoye well-2 &amp; Snezhnoye well-146,133,520.
ACG:Prod'n deferred due to sand issue in west chirag.
LZC: Prod'n deferred due to planned shutdown for Hydrogen Induced Cracking issue.</v>
      </c>
    </row>
    <row r="124" spans="2:3" ht="90" hidden="1">
      <c r="B124" s="446">
        <f>DPR!C764</f>
        <v>45772</v>
      </c>
      <c r="C124" s="364" t="str">
        <f>DPR!AJ764</f>
        <v>A1-A3:Prod'n deferred due to reduced nomination of CNUOC.
GPOC:Prod'n deferred due to biorem limitations, downhole complications.
PCB:Prod'n deferred due to the low efficiency of PCPs in flowing wells.
IEC:Prod'n deferred due to shutdown of Maiskoye well-2 &amp; Snezhnoye well-146,133,520.
ACG:Prod'n deferred due to sand issue in west chirag.
LZC: Prod'n deferred due to planned shutdown for Hydrogen Induced Cracking issue.</v>
      </c>
    </row>
    <row r="125" spans="2:3" ht="90" hidden="1">
      <c r="B125" s="446">
        <f>DPR!C763</f>
        <v>45771</v>
      </c>
      <c r="C125" s="364" t="str">
        <f>DPR!AJ763</f>
        <v>A1-A3:Prod'n deferred due to reduced nomination of CNUOC.
GPOC:Prod'n deferred due to biorem limitations, downhole complications.
PCB:Prod'n deferred due to the low efficiency of PCPs in flowing wells.
IEC:Prod'n deferred due to shutdown of Maiskoye well-2 &amp; Snezhnoye well-146,133,520.
ACG:Prod'n deferred due to sand issue in west chirag.
LZC: Prod'n deferred due to planned shutdown for Hydrogen Induced Cracking issue.</v>
      </c>
    </row>
    <row r="126" spans="2:3" ht="90" hidden="1">
      <c r="B126" s="446">
        <f>DPR!C762</f>
        <v>45770</v>
      </c>
      <c r="C126" s="364" t="str">
        <f>DPR!AJ762</f>
        <v>A1-A3:Prod'n deferred due to reduced nomination of CNUOC.
GPOC:Prod'n deferred due to biorem limitations, downhole complications.
PCB:Prod'n deferred due to the low efficiency of PCPs in flowing wells.
IEC:Prod'n deferred due to shutdown of Maiskoye well-2 &amp; Snezhnoye well-146,133,520.
ACG:Prod'n deferred due to sand issue in west chirag.
LZC: Prod'n deferred due to planned shutdown for Hydrogen Induced Cracking issue.</v>
      </c>
    </row>
    <row r="127" spans="2:3" ht="105" hidden="1">
      <c r="B127" s="446">
        <f>DPR!C761</f>
        <v>45769</v>
      </c>
      <c r="C127" s="364" t="str">
        <f>DPR!AJ761</f>
        <v>A1-A3:Prod'n deferred due to reduced nomination of CNUOC.
GPOC:Prod'n deferred due to biorem limitations, downhole complications.
PCB:Prod'n deferred due to the low efficiency of PCPs in flowing wells.
IEC:Prod'n deferred due to shutdown of Maiskoye well-2 &amp; Snezhnoye well-146,133,520.
ACG:Prod'n deferred due to sand issue in west chirag.
SPOC:Prod'n deferred due to water draining.
LZC: Prod'n deferred due to planned shutdown for Hydrogen Induced Cracking issue.</v>
      </c>
    </row>
    <row r="128" spans="2:3" ht="90" hidden="1">
      <c r="B128" s="446">
        <f>DPR!C760</f>
        <v>45768</v>
      </c>
      <c r="C128" s="364" t="str">
        <f>DPR!AJ760</f>
        <v>Sakhalin-1:New prod'n data received from the operator.
A1-A3:Prod'n deferred due to reduced nomination of CNUOC.
GPOC:Prod'n deferred due to biorem limitations, downhole complications.
PCB:Prod'n deferred due to the low efficiency of PCPs in flowing wells.
IEC:Prod'n deferred due to shutdown of Maiskoye well-2 &amp;Snezhnoye well-146,133,520.
LZC: Prod'n deferred due to planned shutdown for Hydrogen Induced Cracking issue.</v>
      </c>
    </row>
    <row r="129" spans="2:3" ht="75" hidden="1">
      <c r="B129" s="446">
        <f>DPR!C759</f>
        <v>45767</v>
      </c>
      <c r="C129" s="364" t="str">
        <f>DPR!AJ759</f>
        <v>A1-A3:Prod'n deferred due to reduced nomination of CNUOC.
GPOC:Prod'n deferred due to biorem limitations, downhole complications.
PCB:Prod'n deferred due to the low efficiency of PCPs in flowing wells.
IEC:Prod'n deferred due to shutdown of Maiskoye well-2 &amp;Snezhnoye well-146,133,520.
LZC: Prod'n deferred due to planned shutdown for Hydrogen Induced Cracking issue.</v>
      </c>
    </row>
    <row r="130" spans="2:3" ht="90" hidden="1">
      <c r="B130" s="446">
        <f>DPR!C758</f>
        <v>45766</v>
      </c>
      <c r="C130" s="364" t="str">
        <f>DPR!AJ758</f>
        <v>A1-A3:Prod'n deferred due to reduced nomination of CNUOC.
GPOC:Prod'n deferred due to biorem limitations, downhole complications.
PCB:Prod'n deferred due to the low efficiency of PCPs in flowing wells.
IEC:Prod'n deferred due to shutdown of well Maiskoye well-2, Snezhnoye well-146,133,520.
SPOC:Prod'n deferred due to water draining.
LZC: Prod'n deferred due to planned shutdown for Hydrogen Induced Cracking issue.</v>
      </c>
    </row>
    <row r="131" spans="2:3" ht="105" hidden="1">
      <c r="B131" s="446">
        <f>DPR!C757</f>
        <v>45765</v>
      </c>
      <c r="C131" s="364" t="str">
        <f>DPR!AJ757</f>
        <v>A1-A3:Prod'n deferred due to reduced nomination of CNUOC.
GPOC:Prod'n deferred due to biorem limitations, downhole complications.
BC-10:All ALMs are online. Prod'n is being ramped up.
IEC:Prod'n deferred due to shutdown of well Maiskoye well-2, Snezhnoye well-146,133,520.
SPOC:Prod'n deferred due to water draining.
PCB:Prod'n deferred due to the low efficiency of PCPs in flowing wells.
LZC: Prod'n deferred due to planned shutdown for Hydrogen Induced Cracking issue.</v>
      </c>
    </row>
    <row r="132" spans="2:3" ht="75" hidden="1">
      <c r="B132" s="446">
        <f>DPR!C756</f>
        <v>45764</v>
      </c>
      <c r="C132" s="364" t="str">
        <f>DPR!AJ756</f>
        <v>A1-A3:Prod'n deferred due to reduced nomination of CNUOC.
GPOC:Prod'n deferred due to biorem limitations, downhole complications.
BC-10:All ALMs are online. Prod'n is being ramped up.
PCB:Prod'n deferred due to the low efficiency of PCPs in flowing wells.
LZC: Prod'n deferred due to planned shutdown for Hydrogen Induced Cracking issue.</v>
      </c>
    </row>
    <row r="133" spans="2:3" ht="75" hidden="1">
      <c r="B133" s="446">
        <f>DPR!C755</f>
        <v>45763</v>
      </c>
      <c r="C133" s="364" t="str">
        <f>DPR!AJ755</f>
        <v>A1-A3:Prod'n deferred due to reduced nomination of CNUOC.
GPOC:Prod'n deferred due to biorem limitations, downhole complications.
BC-10:All ALMs are online. Prod'n is being ramped up.
PCB:Prod'n deferred due to the low efficiency of PCPs in flowing wells.
LZC: Prod'n deferred due to planned shutdown for Hydrogen Induced Cracking issue.</v>
      </c>
    </row>
    <row r="134" spans="2:3" ht="75" hidden="1">
      <c r="B134" s="446">
        <f>DPR!C754</f>
        <v>45762</v>
      </c>
      <c r="C134" s="364" t="str">
        <f>DPR!AJ754</f>
        <v>Sakhalin-1:New prod'n data received from the operator.
A1-A3:Prod'n deferred due to reduced nomination of CNUOC.
GPOC:Prod'n deferred due to biorem limitations, downhole complications.
PCB:Prod'n deferred due to the low efficiency of PCPs in flowing wells.
LZC:Prod'n deferred due to Gas handling limitations during LZ GGII planned shut down.</v>
      </c>
    </row>
    <row r="135" spans="2:3" ht="90" hidden="1">
      <c r="B135" s="446">
        <f>DPR!C753</f>
        <v>45761</v>
      </c>
      <c r="C135" s="364" t="str">
        <f>DPR!AJ753</f>
        <v>A1-A3:Prod'n deferred due to reduced nomination of CNUOC.
BC-10: Prod'n deferred due to ALM 1 train C are offline.
GPOC:Prod'n deferred due to biorem limitations, downhole complications.
PCB:Prod'n deferred due to the low efficiency of PCPs in flowing wells.
SPOC:Prod'n deferred due to water draining.
LZC:Prod'n deferred due to Gas handling limitations during LZ GGII planned shut down.</v>
      </c>
    </row>
    <row r="136" spans="2:3" ht="75" hidden="1">
      <c r="B136" s="446">
        <f>DPR!C752</f>
        <v>45760</v>
      </c>
      <c r="C136" s="364" t="str">
        <f>DPR!AJ752</f>
        <v>A1-A3:Prod'n deferred due to reduced nomination of CNUOC.
BC-10: Prod'n deferred due to ALM 2 train B,  ALM 1 train C and ALM 3 train A are offline,
GPOC:Prod'n deferred due to biorem limitations, downhole complications.
PCB:Prod'n deferred due to the low efficiency of PCPs in flowing wells.
LZC:Prod'n deferred due to Gas handling limitations during LZ GGII planned shut down.</v>
      </c>
    </row>
    <row r="137" spans="2:3" ht="60" hidden="1">
      <c r="B137" s="446">
        <f>DPR!C751</f>
        <v>45759</v>
      </c>
      <c r="C137" s="364" t="str">
        <f>DPR!AJ751</f>
        <v>A1-A3:Prod'n deferred due to reduced nomination of CNUOC.
GPOC:Prod'n deferred due to biorem limitations &amp; downhole complications.
PCB:Prod'n deferred due to the low efficiency of PCPs in flowing wells.
LZC:Prod'n deferred due to Gas handling limitations during LZ GGII planned shut down.</v>
      </c>
    </row>
    <row r="138" spans="2:3" ht="60" hidden="1">
      <c r="B138" s="446">
        <f>DPR!C750</f>
        <v>45758</v>
      </c>
      <c r="C138" s="364" t="str">
        <f>DPR!AJ750</f>
        <v>A1-A3:Prod'n deferred due to reduced nomination of CNUOC.
GPOC:Prod'n deferred due to biorem limitations &amp; downhole complications.
PCB:Prod'n deferred due to the low efficiency of PCPs in flowing wells.
LZC:Prod'n deferred due to Gas handling limitations during LZ GGII planned shut down.</v>
      </c>
    </row>
    <row r="139" spans="2:3" ht="75" hidden="1">
      <c r="B139" s="446">
        <f>DPR!C749</f>
        <v>45757</v>
      </c>
      <c r="C139" s="364" t="str">
        <f>DPR!AJ749</f>
        <v>A1-A3:Prod'n deferred due to reduced nomination of CNUOC.
GPOC:Prod'n deferred due to biorem limitations &amp; downhole complications.
PCB:Prod'n deferred due to the low efficiency of PCPs in flowing wells.
SPOC:Prod'n deferred due to water draining.
LZC:Prod'n deferred due to Gas handling limitations during LZ GGII planned shut down.</v>
      </c>
    </row>
    <row r="140" spans="2:3" ht="90" hidden="1">
      <c r="B140" s="446">
        <f>DPR!C748</f>
        <v>45756</v>
      </c>
      <c r="C140" s="364" t="str">
        <f>DPR!AJ748</f>
        <v>Sakhalin-1:New prod'n data received from the operator.
A1-A3:Prod'n deferred due to reduced nomination of CNUOC.
GPOC:Prod'n deferred due to biorem limitations &amp; downhole complications.
PCB:Prod'n deferred due to the low efficiency of PCPs in flowing wells.
SPOC:Prod'n deferred due to water draining.
LZC:Lower Prod'n due to Barge Movement &amp; Hydrogen Induced Cracking issue.</v>
      </c>
    </row>
    <row r="141" spans="2:3" ht="45" hidden="1">
      <c r="B141" s="446">
        <f>DPR!C747</f>
        <v>45755</v>
      </c>
      <c r="C141" s="364" t="str">
        <f>DPR!AJ747</f>
        <v>A1-A3:Prod'n deferred due to reduced nomination of CNUOC.
GPOC:Prod'n deferred due to biorem limitations &amp; downhole complications.
PCB:Prod'n deferred due to the low efficiency of PCPs in flowing wells.</v>
      </c>
    </row>
    <row r="142" spans="2:3" ht="45" hidden="1">
      <c r="B142" s="446">
        <f>DPR!C746</f>
        <v>45754</v>
      </c>
      <c r="C142" s="364" t="str">
        <f>DPR!AJ746</f>
        <v>A1-A3:Prod'n deferred due to reduced nomination of CNUOC.
GPOC:Prod'n deferred due to biorem limitations &amp; downhole complications.
PCB:Prod'n deferred due to the low efficiency of PCPs in flowing wells.</v>
      </c>
    </row>
    <row r="143" spans="2:3" ht="45" hidden="1">
      <c r="B143" s="446">
        <f>DPR!C745</f>
        <v>45753</v>
      </c>
      <c r="C143" s="364" t="str">
        <f>DPR!AJ745</f>
        <v>A1-A3:Prod'n deferred due to reduced nomination of CNUOC.
GPOC:Prod'n deferred due to biorem limitations, downhole complications.
PCB:Prod'n deferred due to the low efficiency of PCPs in flowing wells.</v>
      </c>
    </row>
    <row r="144" spans="2:3" ht="75" hidden="1">
      <c r="B144" s="446">
        <f>DPR!C744</f>
        <v>45752</v>
      </c>
      <c r="C144" s="364" t="str">
        <f>DPR!AJ744</f>
        <v>A1-A3:Prod'n deferred due to reduced nomination of CNUOC.
GPOC:Prod'n deferred due to biorem limitations, downhole complications.
PCB:Prod'n deferred due to the low efficiency of PCPs in flowing wells.
ACG:Prod'n deferred due to sand issue.
CPO-5:Production down due to community blockade.</v>
      </c>
    </row>
    <row r="145" spans="2:3" ht="60" hidden="1">
      <c r="B145" s="446">
        <f>DPR!C743</f>
        <v>45751</v>
      </c>
      <c r="C145" s="364" t="str">
        <f>DPR!AJ743</f>
        <v>A1-A3:Prod'n deferred due to reduced nomination of CNUOC.
GPOC:Prod'n deferred due to biorem limitations, downhole complications.
PCB:Prod'n deferred due to the low efficiency of PCPs in flowing wells.
ACG:Prod'n deferred due to sand issue.</v>
      </c>
    </row>
    <row r="146" spans="2:3" ht="60" hidden="1">
      <c r="B146" s="446">
        <f>DPR!C742</f>
        <v>45750</v>
      </c>
      <c r="C146" s="364" t="str">
        <f>DPR!AJ742</f>
        <v>A1-A3:Prod'n deferred due to reduced nomination of CNUOC.
GPOC:Prod'n deferred due to biorem limitations, downhole complications.
PCB:Prod'n deferred due to the low efficiency of PCPs in flowing wells.
ACG:Prod'n deferred due to sand issue.</v>
      </c>
    </row>
    <row r="147" spans="2:3" ht="75" hidden="1">
      <c r="B147" s="446">
        <f>DPR!C741</f>
        <v>45749</v>
      </c>
      <c r="C147" s="364" t="str">
        <f>DPR!AJ741</f>
        <v>Sakhalin-1:New prod'n data received from the operator.
A1-A3:Prod'n deferred due to reduced nomination of CNUOC.
GPOC:Prod'n deferred due to biorem limitations, downhole complications.
PCB:Prod'n deferred due to the low efficiency of PCPs in flowing wells.
ACG:Prod'n deferred due to sand issue.</v>
      </c>
    </row>
    <row r="148" spans="2:3" ht="60" hidden="1">
      <c r="B148" s="446">
        <f>DPR!C740</f>
        <v>45748</v>
      </c>
      <c r="C148" s="364" t="str">
        <f>DPR!AJ740</f>
        <v>A1-A3:Prod'n deferred due to reduced nomination of CNUOC.
GPOC:Prod'n deferred due to biorem limitations, downhole complications.
PCB:Prod'n deferred due to the low efficiency of PCPs in flowing wells.
ACG:Prod'n deferred due to sand issue.</v>
      </c>
    </row>
    <row r="149" spans="2:3" ht="75" hidden="1">
      <c r="B149" s="446">
        <f>DPR!C739</f>
        <v>45747</v>
      </c>
      <c r="C149" s="364" t="str">
        <f>DPR!AJ739</f>
        <v>A1-A3:Prod'n deferred due to reduced nomination of CNUOC.
GPOC:Prod'n deferred due to biorem limitations, downhole complications.
PCB:Prod'n deferred due to the low efficiency of PCPs in flowing wells.
CPO-5:Production down due to community blockade.
ACG:Prod'n deferred due to sand issue.</v>
      </c>
    </row>
    <row r="150" spans="2:3" ht="90" hidden="1">
      <c r="B150" s="446">
        <f>DPR!C738</f>
        <v>45746</v>
      </c>
      <c r="C150" s="364" t="str">
        <f>DPR!AJ738</f>
        <v>A1-A3:Prod'n deferred due to reduced nomination of CNUOC.
GPOC:Prod'n deferred due to biorem limitations, downhole complications.
PCB:Prod'n deferred due to the low efficiency of PCPs in flowing wells.
SPOC:Prod'n deferred due to TJ CPF power blackout which affected all TJ wells.
BC-10: Reasons awaited from operator.
CPO-5:Production down due to community blockade.</v>
      </c>
    </row>
    <row r="151" spans="2:3" ht="90" hidden="1">
      <c r="B151" s="446">
        <f>DPR!C737</f>
        <v>45745</v>
      </c>
      <c r="C151" s="364" t="str">
        <f>DPR!AJ737</f>
        <v>A1-A3:Prod'n deferred due to reduced nomination of CNUOC.
GPOC:Prod'n deferred due to biorem limitations, downhole complications.
PCB:Prod'n deferred due to the low efficiency of PCPs in flowing wells.
SPOC:Prod'n deferred due to TJ CPF power blackout which affected all TJ wells.
BC-10: Reasons awaited from operator.
CPO-5:Production down due to community blockade.</v>
      </c>
    </row>
    <row r="152" spans="2:3" ht="75" hidden="1">
      <c r="B152" s="446">
        <f>DPR!C736</f>
        <v>45744</v>
      </c>
      <c r="C152" s="364" t="str">
        <f>DPR!AJ736</f>
        <v>A1-A3:Prod'n deferred due to reduced nomination of CNUOC.
GPOC:Prod'n deferred due to biorem limitations, downhole complications.
PCB:Prod'n deferred due to the low efficiency of PCPs in flowing wells.
SPOC:Prod'n deferred due to TJ CPF power blackout which affected all TJ wells.
CPO-5:Production down due to community blockade.</v>
      </c>
    </row>
    <row r="153" spans="2:3" ht="75" hidden="1">
      <c r="B153" s="446">
        <f>DPR!C735</f>
        <v>45743</v>
      </c>
      <c r="C153" s="364" t="str">
        <f>DPR!AJ735</f>
        <v>A1-A3:Prod'n deferred due to reduced nomination of CNUOC.
GPOC:Prod'n deferred due to biorem limitations, downhole complications.
PCB:Prod'n deferred due to the low efficiency of PCPs in flowing wells.
SPOC:Prod'n deferred due to TJ CPF power blackout which affected all TJ wells.
CPO-5:Production down due to community blockade.</v>
      </c>
    </row>
    <row r="154" spans="2:3" ht="105" hidden="1">
      <c r="B154" s="446">
        <f>DPR!C734</f>
        <v>45742</v>
      </c>
      <c r="C154" s="364" t="str">
        <f>DPR!AJ734</f>
        <v xml:space="preserve">A1-A3:Prod'n deferred due to reduced nomination of CNUOC from 353 to 200 MMscf.
GPOC:Prod'n deferred due to biorem limitations, downhole complications.
PCB:Prod'n deferred due to the low efficiency of PCPs in flowing wells.
SPOC:Prod'n deferred due to TJ CPF power blackout which affected all TJ wells.
CPO-5:Production down due to community blockade.
ACG:Prod'n deferred due to A14 well shutdown in chirag &amp; E06 well shutdown in Deepwater Gunashli due to sand issue, sangachal train 3 or 4 offline. </v>
      </c>
    </row>
    <row r="155" spans="2:3" ht="105" hidden="1">
      <c r="B155" s="446">
        <f>DPR!C733</f>
        <v>45741</v>
      </c>
      <c r="C155" s="364" t="str">
        <f>DPR!AJ733</f>
        <v xml:space="preserve">A1-A3:Prod'n deferred due to reduced nomination of CNUOC from 353 to 200 MMscf.
GPOC:Prod'n deferred due to biorem limitations, downhole complications.
PCB:Prod'n deferred due to the low efficiency of PCPs in flowing wells.
SPOC:Prod'n deferred due to TJ CPF power blackout which affected all TJ wells.
CPO-5:Production down due to community blockade.
ACG:Prod'n deferred due to A14 well shautdown in chirag &amp; E06 well shutdown in Deepwater Gunashli due to sand issue, sangachal train 3 or 4 offline. </v>
      </c>
    </row>
    <row r="156" spans="2:3" ht="90" hidden="1">
      <c r="B156" s="446">
        <f>DPR!C732</f>
        <v>45740</v>
      </c>
      <c r="C156" s="364" t="str">
        <f>DPR!AJ732</f>
        <v>Sakhalin-1:New prod'n data received from the operator.
A1-A3:Prod'n deferred due to reduced nomination of CNUOC from 333 to 200 MMscf for 4 days (20th-24th March).
GPOC:Prod'n deferred due to biorem limitations, downhole complications.
PCB:Prod'n deferred due to the low efficiency of PCPs in flowing wells.
SPOC:Prod'n deferred due to TJ CPF power blackout which affected all TJ wells.
ACG:Prod'n deferred due to shutdown of 3 wells in CA PDQ &amp; 1 well in EA PDQ.</v>
      </c>
    </row>
    <row r="157" spans="2:3" ht="75" hidden="1">
      <c r="B157" s="446">
        <f>DPR!C731</f>
        <v>45739</v>
      </c>
      <c r="C157" s="364" t="str">
        <f>DPR!AJ731</f>
        <v>A1-A3:Prod'n deferred due to reduced nomination of CNUOC from 333 to 200 MMscf for 4 days (20th-24th March).
GPOC:Prod'n deferred due to biorem limitations, downhole complications.
PCB:Prod'n deferred due to the low efficiency of PCPs in flowing wells.
SPOC:Prod'n deferred due to TJ CPF power blackout which affected all TJ wells.
ACG:Prod'n deferred due to shutdown of 3 wells in CA PDQ &amp; 1 well in EA PDQ.</v>
      </c>
    </row>
    <row r="158" spans="2:3" ht="45" hidden="1">
      <c r="B158" s="446">
        <f>DPR!C730</f>
        <v>45738</v>
      </c>
      <c r="C158" s="364" t="str">
        <f>DPR!AJ730</f>
        <v>A1-A3:Prod'n deferred due to reduced nomination of CNUOC from 333 to 200 MMscf for 4 days (20th-24th March).
GPOC:Prod'n deferred due to biorem limitations, downhole complications.
PCB:Prod'n deferred due to the low efficiency of PCPs in flowing wells.</v>
      </c>
    </row>
    <row r="159" spans="2:3" ht="45" hidden="1">
      <c r="B159" s="446">
        <f>DPR!C729</f>
        <v>45737</v>
      </c>
      <c r="C159" s="364" t="str">
        <f>DPR!AJ729</f>
        <v>A1-A3:Prod'n deferred due to reduced nomination of CNUOC from 333 to 200 MMscf for 4 days (20th-24th March).
GPOC:Prod'n deferred due to biorem limitations, downhole complications.
PCB:Prod'n deferred due to the low efficiency of PCPs in flowing wells.</v>
      </c>
    </row>
    <row r="160" spans="2:3" ht="75" hidden="1">
      <c r="B160" s="446">
        <f>DPR!C728</f>
        <v>45736</v>
      </c>
      <c r="C160" s="364" t="str">
        <f>DPR!AJ728</f>
        <v>A1-A3:Prod'n deferred due to reduced nomination of CNUOC from 333 to 200 MMscf for 4 days (20th-24th March).
IEC:Prod'n deferred due to the shutdown of the associated petroleum gas treatment plant because of hydrate formation in the pipeline.
GPOC:Prod'n deferred due to biorem limitations, downhole complications.
PCB:Prod'n deferred due to the low efficiency of PCPs in flowing wells.</v>
      </c>
    </row>
    <row r="161" spans="2:3" ht="75" hidden="1">
      <c r="B161" s="446">
        <f>DPR!C727</f>
        <v>45735</v>
      </c>
      <c r="C161" s="364" t="str">
        <f>DPR!AJ727</f>
        <v>A1-A3:Prod'n deferred due to reduced nomination from operator.
IEC:Prod'n deferred due to the shutdown of the associated petroleum gas treatment plant because of hydrate formation in the pipeline.
GPOC:Prod'n deferred due to biorem limitations, downhole complications.
PCB:Prod'n deferred due to the low efficiency of PCPs in flowing wells.</v>
      </c>
    </row>
    <row r="162" spans="2:3" ht="105" hidden="1">
      <c r="B162" s="446">
        <f>DPR!C726</f>
        <v>45734</v>
      </c>
      <c r="C162" s="364" t="str">
        <f>DPR!AJ726</f>
        <v>Sakhalin-1:New prod'n data received from the operator.
A1-A3:Prod'n deferred due to reduced nomination from operator.
LZC:Lower prod'n due to barge movement and planned preventive maintenance activity.
IEC:Prod'n deferred due to the shutdown of the associated petroleum gas treatment plant because of hydrate formation in the pipeline.
GPOC:Prod'n deferred due to biorem limitations, downhole complications.
PCB:Prod'n deferred due to the low efficiency of PCPs in flowing wells.</v>
      </c>
    </row>
    <row r="163" spans="2:3" ht="150" hidden="1">
      <c r="B163" s="446">
        <f>DPR!C725</f>
        <v>45733</v>
      </c>
      <c r="C163" s="364" t="str">
        <f>DPR!AJ725</f>
        <v>A1-A3:Prod'n deferred due to reduced nomination from operator.
SPOC:Prod'n deferred as MALA North-1 well is shut down for crude oil recirculation and further processing.
LZC:Prod'n deferred due to Hydrogen Induced Cracking issue and a planned preventive maintenance shutdown at the Zakum West drain line for leak rectification.
IEC:Prod'n deferred due to the shutdown of the associated petroleum gas treatment plant because of hydrate formation in the pipeline.
BC-10:ALM-2 has restarted. Production is being ramped up.
Vankor:Reason awaited from the operator.
GPOC:Prod'n deferred due to biorem limitations, downhole complications.
PCB:Prod'n deferred due to the low efficiency of PCPs in flowing wells.</v>
      </c>
    </row>
    <row r="164" spans="2:3" ht="135" hidden="1">
      <c r="B164" s="446">
        <f>DPR!C724</f>
        <v>45732</v>
      </c>
      <c r="C164" s="364" t="str">
        <f>DPR!AJ724</f>
        <v xml:space="preserve">A1-A3:Prod'n deferred due to reduced nomination from operator.
SPOC:Prod'n deferred as MALA North-1 well is shut down for crude oil recirculation and further processing.
LZC:Prod'n deferred due to Hydrogen Induced Cracking issue and a planned preventive maintenance shutdown at the Zakum West drain line for leak rectification.
BC-10:ALM-2 has restarted. Production is being ramped up.
Vankor:Reason awaited from the operator.
GPOC:Prod'n deferred due to biorem limitations, downhole complications.
PCB:Prod'n deferred due to the low efficiency of PCPs in flowing wells._x000D_
</v>
      </c>
    </row>
    <row r="165" spans="2:3" ht="105" hidden="1">
      <c r="B165" s="446">
        <f>DPR!C723</f>
        <v>45731</v>
      </c>
      <c r="C165" s="364" t="str">
        <f>DPR!AJ723</f>
        <v>GPOC:Prod'n deferred due to biorem limitations, downhole complications.
PCB:Prod'n deferred due to the low efficiency of PCPs in flowing wells.
ACG:Prod'n deferred due to high water cut in Central Azeri, West Azeri  &amp; East Azeri.
BC-10:ALM-2 restarted. rampup in progress.
LZC:Prod'n deferred due to Hydrogen Induced Cracking issue and planned preventive maintenance shutdown at Zakum West drain line for leak rectification.
Vankor:Reason awaited from the operator.</v>
      </c>
    </row>
    <row r="166" spans="2:3" ht="75" hidden="1">
      <c r="B166" s="446">
        <f>DPR!C722</f>
        <v>45730</v>
      </c>
      <c r="C166" s="364" t="str">
        <f>DPR!AJ722</f>
        <v>GPOC:Prod'n deferred due to biorem limitations, downhole complications.
PCB:Prod'n deferred due to the low efficiency of PCPs in flowing wells.
LZC:Prod'n deferred due to Hydrogen Induced Cracking issue and plant preventive maintenance shutdown at Zakum West drain line for leak rectification.
Vankor:Reason awaited from the operator.</v>
      </c>
    </row>
    <row r="167" spans="2:3" ht="90" hidden="1">
      <c r="B167" s="446">
        <f>DPR!C721</f>
        <v>45729</v>
      </c>
      <c r="C167" s="364" t="str">
        <f>DPR!AJ721</f>
        <v>GPOC:Prod'n deferred due to biorem limitations, downhole complications.
PCB:Prod'n deferred due to the low efficiency of PCPs in flowing wells.
ACG:Prod'n deferred due to high water cut in Central Azeri, West Azeri  &amp; East Azeri.
BC-10:ALM-2 restarted. rampup in progress.
LZC:Prod'n deferred due to Hydrogen Induced Cracking issue and planned preventive maintenance shutdown at Zakum West drain line for leak rectification.</v>
      </c>
    </row>
    <row r="168" spans="2:3" ht="90" hidden="1">
      <c r="B168" s="446">
        <f>DPR!C720</f>
        <v>45728</v>
      </c>
      <c r="C168" s="364" t="str">
        <f>DPR!AJ720</f>
        <v>GPOC:Prod'n deferred due to biorem limitations, downhole complications.
PCB:Prod'n deferred due to the low efficiency of PCPs in flowing wells.
BC-10:Prod'n deferred due to ALM 2 is offline.
ACG:Prod'n deferred due to high water cut in Central Azeri, West Azeri  &amp; East Azeri.
SPOC:Prod'n deferred due to the shutdown of two wells.
Vankor:Reason awaited from the operator.</v>
      </c>
    </row>
    <row r="169" spans="2:3" ht="90" hidden="1">
      <c r="B169" s="446">
        <f>DPR!C719</f>
        <v>45727</v>
      </c>
      <c r="C169" s="364" t="str">
        <f>DPR!AJ719</f>
        <v>GPOC:Prod'n deferred due to biorem limitations, downhole complications.
LZC:Prod'n deferred due to Hydrogen Induced Cracking issue and rig movement.
PCB:Prod'n deferred due to the low efficiency of PCPs in flowing wells.
BC-10:Prod'n deferred due to ALM 2 is offline.
ACG:Prod'n deferred due to high water cut in Central Azeri, West Azeri  &amp; East Azeri.
Vankor:Reason awaited from the operator.</v>
      </c>
    </row>
    <row r="170" spans="2:3" ht="105" hidden="1">
      <c r="B170" s="446">
        <f>DPR!C718</f>
        <v>45726</v>
      </c>
      <c r="C170" s="364" t="str">
        <f>DPR!AJ718</f>
        <v>Sakhalin-1:New prod'n data received from the operator.
GPOC:Prod'n deferred due to biorem limitations, downhole complications.
LZC:Prod'n deferred due to Hydrogen Induced Cracking issue and rig movement.
PCB:Prod'n deferred due to the low efficiency of PCPs in flowing wells.
BC-10:Prod'n deferred due to ALM 1 &amp; ALM 2 are offline.
ACG:Prod'n deferred due to high water cut in Central Azeri, West Azeri  &amp; East Azeri.
Vankor:Reason awaited from the operator.</v>
      </c>
    </row>
    <row r="171" spans="2:3" ht="105" hidden="1">
      <c r="B171" s="446">
        <f>DPR!C717</f>
        <v>45725</v>
      </c>
      <c r="C171" s="364" t="str">
        <f>DPR!AJ717</f>
        <v>GPOC:Prod'n deferred due to biorem limitations, downhole complications.
LZC:Prod'n deferred due to Hydrogen Induced Cracking issue and rig movement.
PCB:Prod'n deferred due to the low efficiency of PCPs in flowing wells.
BC-10:Prod'n deferred due to ALM 1,2 &amp; 3 are offline.
ACG:Prod'n deferred due to high water cut in Central Azeri, West Azeri  &amp; East Azeri.
IEC:Prod'n deferred due to the shutdown of the associated petroleum gas treatment plant because of hydrate formation in the pipeline.</v>
      </c>
    </row>
    <row r="172" spans="2:3" ht="75" hidden="1">
      <c r="B172" s="446">
        <f>DPR!C716</f>
        <v>45724</v>
      </c>
      <c r="C172" s="364" t="str">
        <f>DPR!AJ716</f>
        <v>GPOC:Prod'n deferred due to biorem limitations, downhole complications.
LZC:Prod'n deferred due to Hydrogen Induced Cracking issue and rig movement.
PCB:Prod'n deferred due to the low efficiency of PCPs in flowing wells.
BC-10:Prod'n deferred due to ALM 1,2 &amp; 3 are offline.
ACG:Prod'n deferred due to high water cut in Central Azeri, West Azeri  &amp; East Azeri.</v>
      </c>
    </row>
    <row r="173" spans="2:3" ht="60" hidden="1">
      <c r="B173" s="446">
        <f>DPR!C715</f>
        <v>45723</v>
      </c>
      <c r="C173" s="364" t="str">
        <f>DPR!AJ715</f>
        <v>GPOC:Prod'n deferred due to biorem limitations, downhole complications.
LZC:Prod'n deferred due to Hydrogen Induced Cracking issue and rig movement.
PCB:Prod'n deferred due to the low efficiency of PCPs in flowing wells.
ACG:Prod'n deferred due to high water cut in Central Azeri, West Azeri  &amp; East Azeri.</v>
      </c>
    </row>
    <row r="174" spans="2:3" ht="60" hidden="1">
      <c r="B174" s="446">
        <f>DPR!C714</f>
        <v>45722</v>
      </c>
      <c r="C174" s="364" t="str">
        <f>DPR!AJ714</f>
        <v>GPOC:Prod'n deferred due to biorem limitations, downhole complications.
LZC:Prod'n deferred due to Hydrogen Induced Cracking issue and rig movement.
PCB:Prod'n deferred due to the low efficiency of PCPs in flowing wells.
Vankor:Repair of defective sections of the oil gathering pipeline.</v>
      </c>
    </row>
    <row r="175" spans="2:3" ht="75" hidden="1">
      <c r="B175" s="446">
        <f>DPR!C713</f>
        <v>45721</v>
      </c>
      <c r="C175" s="364" t="str">
        <f>DPR!AJ713</f>
        <v>GPOC:Prod'n deferred due to biorem limitations, downhole complications.
LZC:Prod'n deferred due to Hydrogen Induced Cracking issue and rig movement.
PCB:Prod'n deferred due to the low efficiency of PCPs in flowing wells.
SPOC:Prod'n deferred for rectifying the mechanical seal oil leak in the export pump.
BC-10:Prod'n deferred due to crude oil pump mech seal replacement.</v>
      </c>
    </row>
    <row r="176" spans="2:3" ht="90" hidden="1">
      <c r="B176" s="446">
        <f>DPR!C712</f>
        <v>45720</v>
      </c>
      <c r="C176" s="364" t="str">
        <f>DPR!AJ712</f>
        <v>Sakhalin-1:New prod'n data received from the operator.
GPOC:Prod'n deferred due to biorem limitations, downhole complications.
LZC:Prod'n deferred due to Hydrogen Induced Cracking issue and rig movement.
PCB:Prod'n deferred due to the low efficiency of PCPs in flowing wells.
SPOC:Prod'n deferred for rectifying the mechanical seal oil leak in the export pump.
B-06.1:Lan do wells P1 and P2 are shutdown &amp; Lan Tay 2P well is shutdown and 1P well is unloading.</v>
      </c>
    </row>
    <row r="177" spans="2:3" ht="90" hidden="1">
      <c r="B177" s="446">
        <f>DPR!C711</f>
        <v>45719</v>
      </c>
      <c r="C177" s="364" t="str">
        <f>DPR!AJ711</f>
        <v>GPOC:Prod'n deferred due to biorem limitations, downhole complications.
PCB:Prod'n deferred due to the low efficiency of PCPs in flowing wells.
SPOC:Prod'n deferred for rectifying the mechanical seal oil leak in the export pump.
B-06.1:Lan do wells P1 and P2 are shutdown &amp; Lan Tay 1P well is shutdown and 2P well is unloading. 
LZC:Prod'n deferred due to Hydrogen Induced Cracking issue.
BC-10:Prod'n deferred due to MOBO-6 tripped.</v>
      </c>
    </row>
    <row r="178" spans="2:3" ht="75" hidden="1">
      <c r="B178" s="446">
        <f>DPR!C710</f>
        <v>45718</v>
      </c>
      <c r="C178" s="364" t="str">
        <f>DPR!AJ710</f>
        <v>GPOC:Prod'n deferred due to biorem limitations, downhole complications.
PCB:Prod'n deferred due to the low efficiency of PCPs in flowing wells.
SPOC:Prod'n deferred for rectifying the mechanical seal oil leak in the export pump.
B-06.1:Lan do wells 1P and 2P are shutdown &amp; Lan Tay P1 well is shutdown and P2 well is unloading. _x000D_
LZC:Lower Prod'n due to Hydrogen Induced Cracking issue.</v>
      </c>
    </row>
    <row r="179" spans="2:3" ht="60" hidden="1">
      <c r="B179" s="446">
        <f>DPR!C709</f>
        <v>45717</v>
      </c>
      <c r="C179" s="364" t="str">
        <f>DPR!AJ709</f>
        <v xml:space="preserve">GPOC:Prod'n deferred due to biorem limitations, downhole complications.
PCB:Prod'n deferred due to the low efficiency of PCPs in flowing wells.
SPOC:Prod'n deferred for rectify mechanical seal oil leak in export pump.
B-06.1:Lan do wells 1P and 2P are shutdown &amp; Lan Tay wells P1 and P2 are unloading. </v>
      </c>
    </row>
    <row r="180" spans="2:3" ht="60" hidden="1">
      <c r="B180" s="446">
        <f>DPR!C708</f>
        <v>45716</v>
      </c>
      <c r="C180" s="364" t="str">
        <f>DPR!AJ708</f>
        <v xml:space="preserve">GPOC:Prod'n deferred due to biorem limitations, downhole complications.
PCB:Prod'n deferred due to the low efficiency of PCPs in flowing wells.
SPOC:Prod'n deferred for rectify mechanical seal oil leak in export pump.
B-06.1:Lan do wells 1P and 2P are shutdown &amp; Lan Tay wells P1 and P2 are unloading. </v>
      </c>
    </row>
    <row r="181" spans="2:3" ht="30" hidden="1">
      <c r="B181" s="446">
        <f>DPR!C707</f>
        <v>45715</v>
      </c>
      <c r="C181" s="364" t="str">
        <f>DPR!AJ707</f>
        <v>GPOC:Prod'n deferred due to biorem limitations, downhole complications.
PCB:Prod'n deferred due to the low efficiency of PCPs in flowing wells.</v>
      </c>
    </row>
    <row r="182" spans="2:3" ht="60" hidden="1">
      <c r="B182" s="446">
        <f>DPR!C706</f>
        <v>45714</v>
      </c>
      <c r="C182" s="364" t="str">
        <f>DPR!AJ706</f>
        <v xml:space="preserve">GPOC:Prod'n deferred due to biorem limitations, downhole complications.
PCB:Prod'n deferred due to the low efficiency of PCPs in flowing wells.
SPOC:All TJH wells experienced total power loss due to central power plant blackout.
</v>
      </c>
    </row>
    <row r="183" spans="2:3" ht="75" hidden="1">
      <c r="B183" s="446">
        <f>DPR!C705</f>
        <v>45713</v>
      </c>
      <c r="C183" s="364" t="str">
        <f>DPR!AJ705</f>
        <v>_x000D_Sakhalin-1:New prod'n data received from the operator.
LZC:Lower Prod'n due to Hydrogen Induced Cracking issue.
BC-Prod'n deferred due to ALM-2 offline.
GPOC:Prod'n deferred due to biorem limitations, downhole complications.
PCB:Prod'n deferred due to the low efficiency of PCPs in flowing wells.</v>
      </c>
    </row>
    <row r="184" spans="2:3" ht="75" hidden="1">
      <c r="B184" s="446">
        <f>DPR!C704</f>
        <v>45712</v>
      </c>
      <c r="C184" s="364" t="str">
        <f>DPR!AJ704</f>
        <v>LZC:Lower Prod'n due to Barge Movement.
BC-10:ALM-1 planned shutdown from 18th to 24th February for subsea hydraulic line troubleshooting &amp; MOBO-2 VFD swap.
GPOC:Prod'n deferred due to biorem limitations, downhole complications.
PCB:Prod'n deferred due to the low efficiency of PCPs in flowing wells.</v>
      </c>
    </row>
    <row r="185" spans="2:3" ht="75" hidden="1">
      <c r="B185" s="446">
        <f>DPR!C703</f>
        <v>45711</v>
      </c>
      <c r="C185" s="364" t="str">
        <f>DPR!AJ703</f>
        <v>LZC:Lower Prod'n due to Barge Movement.
BC-10:ALM-1 planned shutdown from 18th to 24th February for subsea hydraulic line troubleshooting &amp; MOBO-2 VFD swap.
GPOC:Prod'n deferred due to biorem limitations, downhole complications.
PCB:Prod'n deferred due to the low efficiency of PCPs in flowing wells.</v>
      </c>
    </row>
    <row r="186" spans="2:3" ht="105" hidden="1">
      <c r="B186" s="446">
        <f>DPR!C702</f>
        <v>45710</v>
      </c>
      <c r="C186" s="364" t="str">
        <f>DPR!AJ702</f>
        <v>LZC:Lower Prod'n due to Barge Movement.
CPO-5:Indico-5 well is under well service operations.
BC-10:ALM-1 planned shutdown from 18th to 24th February for subsea hydraulic line troubleshooting &amp; MOBO-2 VFD swap.
GPOC:Prod'n deferred due to biorem limitations, downhole complications.
Vankor:Prod'n deferred due to repair of defects in oil-gathering pipeline.
PCB:Prod'n deferred due to the low efficiency of PCPs in flowing wells.</v>
      </c>
    </row>
    <row r="187" spans="2:3" ht="120" hidden="1">
      <c r="B187" s="446">
        <f>DPR!C701</f>
        <v>45709</v>
      </c>
      <c r="C187" s="364" t="str">
        <f>DPR!AJ701</f>
        <v>LZC:Lower Prod'n due to Barge Movement.
CPO-5:Indico-5 well is under well service operations.
BC-10:ALM-1 planned shutdown from 18th to 24th February for subsea hydraulic line troubleshooting &amp; MOBO-2 VFD swap.
SCB:Due to high water level in storage tank, can't fiscalize volume.
GPOC:Prod'n deferred due to biorem limitations, downhole complications.
Vankor:Prod'n deferred due to repair of defects in oil-gathering pipeline.
PCB:Prod'n deferred due to the low efficiency of PCPs in flowing wells.</v>
      </c>
    </row>
    <row r="188" spans="2:3" ht="120" hidden="1">
      <c r="B188" s="446">
        <f>DPR!C700</f>
        <v>45708</v>
      </c>
      <c r="C188" s="364" t="str">
        <f>DPR!AJ700</f>
        <v xml:space="preserve">LZC:Lower Prod'n due to Barge Movement.
CPO-5:Indico-5 well is under well service operations.
BC-10:ALM-1 planned shutdown from 18th to 24th February for subsea hydraulic line troubleshooting &amp; MOBO-2 VFD swap.
_x000D_GPOC:Prod'n deferred due to biorem limitations, downhole complications.
Vankor:Prod'n deferred due to repair of defects in oil-gathering pipeline.
PCB:Prod'n deferred due to the low efficiency of PCPs in 23 wells.
</v>
      </c>
    </row>
    <row r="189" spans="2:3" ht="90" hidden="1">
      <c r="B189" s="446">
        <f>DPR!C699</f>
        <v>45707</v>
      </c>
      <c r="C189" s="364" t="str">
        <f>DPR!AJ699</f>
        <v>_x000D_GPOC:Prod'n deferred due to biorem limitations, downhole complications.
Vankor:Prod'n deferred due to repair of defects in oil-gathering pipeline.
PCB:Prod'n deferred due to the low efficiency of PCPs in 23 wells.
CPO-5:Indico-5 well is under well service operations.
BC-10:ALM-1 planned shutdown from 18th to 24th February for subsea hydraulic line troubleshooting &amp; MOBO-2 VFD swap.</v>
      </c>
    </row>
    <row r="190" spans="2:3" ht="45" hidden="1">
      <c r="B190" s="446">
        <f>DPR!C698</f>
        <v>45706</v>
      </c>
      <c r="C190" s="364" t="str">
        <f>DPR!AJ698</f>
        <v>GPOC:Prod'n deferred due to biorem limitations, downhole complications.
Vankor:Prod'n deferred due to repair of defects in oil-gathering pipeline.
PCB:Prod'n deferred due to the low efficiency of PCPs in 23 wells.</v>
      </c>
    </row>
    <row r="191" spans="2:3" ht="90" hidden="1">
      <c r="B191" s="446">
        <f>DPR!C697</f>
        <v>45705</v>
      </c>
      <c r="C191" s="364" t="str">
        <f>DPR!AJ697</f>
        <v>GPOC:Prod'n deferred due to biorem limitations, downhole complications.
Vankor:Prod'n deferred due to repair of defects in oil-gathering pipeline.
SPOC:All TJH wells experienced total power lost due to central power plant blackout.
BC-10:ALM-2 restart on 14th Feb after train B cleaning.
ACG:Central Azeri Chirag gas compressor offline for maintenance.
PCB:Prod'n deferred due to the low efficiency of PCPs in 23 wells.</v>
      </c>
    </row>
    <row r="192" spans="2:3" ht="75" hidden="1">
      <c r="B192" s="446">
        <f>DPR!C696</f>
        <v>45704</v>
      </c>
      <c r="C192" s="364" t="str">
        <f>DPR!AJ696</f>
        <v>GPOC:Prod'n deferred due to biorem limitations, downhole complications.
BC-10:Prod'n is being ramped up as ALM-2 is online.
ACG:Azeri Central East K01,K02 &amp; K03 wells shutdown due to fire event.
PCB:Prod'n deferred due to the low efficiency of PCPs in 23 wells.
Sakhalin-1:New prod'n data received from the operator.</v>
      </c>
    </row>
    <row r="193" spans="2:3" ht="90" hidden="1">
      <c r="B193" s="446">
        <f>DPR!C695</f>
        <v>45703</v>
      </c>
      <c r="C193" s="364" t="str">
        <f>DPR!AJ695</f>
        <v>GPOC:Prod'n deferred due to biorem limitations, downhole complications.
BC-10:Prod'n is being ramped up as ALM-2 is online.
ACG:Azeri Central East K01,K02 &amp; K03 wells shutdown due to fire event.
SPOC:All TJH wells is tripped due to power loss. Continue draining oily water from central oil storage tanks tank bottom for reprocessing.
PCB:Prod'n deferred due to the low efficiency of PCPs in 23 wells.</v>
      </c>
    </row>
    <row r="194" spans="2:3" ht="75" hidden="1">
      <c r="B194" s="446">
        <f>DPR!C694</f>
        <v>45702</v>
      </c>
      <c r="C194" s="364" t="str">
        <f>DPR!AJ694</f>
        <v>GPOC:Prod'n deferred due to biorem limitations, downhole complications.
BC-10:Prod'n is being ramped up as ALM-2 is online.
CPO-5:Prod'n from Indico pad wells are being ramped-up after lifting of blockade.
ACG:Azeri Central East K01,K02 &amp; K03 wells shutdown due to fire event.
PCB:Prod'n deferred due to the low efficiency of PCPs in 23 wells.</v>
      </c>
    </row>
    <row r="195" spans="2:3" ht="105" hidden="1">
      <c r="B195" s="446">
        <f>DPR!C693</f>
        <v>45701</v>
      </c>
      <c r="C195" s="364" t="str">
        <f>DPR!AJ693</f>
        <v xml:space="preserve">
GPOC:Prod'n deferred due to biorem limitations, downhole complications.
BC-10:ALM-2 offline, will restart on 14 feb after train-B cleaning.
CPO-5:Prod'n deferred due to community blockade at Indico pad.
ACG:Azeri Central East K01,K02 &amp; K03 wells shutdown due to fire event.
SPOC:TJH-16,TJH-20 &amp; TJH-23 wells shutdown due to free water knockout high level.
PCB:Prod'n deferred due to the low efficiency of PCPs in 23 wells.</v>
      </c>
    </row>
    <row r="196" spans="2:3" ht="75" hidden="1">
      <c r="B196" s="446">
        <f>DPR!C692</f>
        <v>45700</v>
      </c>
      <c r="C196" s="364" t="str">
        <f>DPR!AJ692</f>
        <v>GPOC:Prod'n deferred due to biorem limitations, downhole complications.
BC-10:ALM-2 offline, will restart on 14 feb after train-B cleaning.
CPO-5:Prod'n deferred due to community blockade at Indico pad.
ACG:Azeri Central East K01,K02 &amp; K03 wells shutdown due to fire event.
PCB:Prod'n deferred due to the low efficiency of PCPs in 23 wells.</v>
      </c>
    </row>
    <row r="197" spans="2:3" ht="105" hidden="1">
      <c r="B197" s="446">
        <f>DPR!C691</f>
        <v>45699</v>
      </c>
      <c r="C197" s="364" t="str">
        <f>DPR!AJ691</f>
        <v>Sakhalin-1:New prod'n data received from the operator.
GPOC:Prod'n deferred due to biorem limitations, downhole complications.
SPOC:Prod'n deferred due to power dip in Tharjhat field.
BC-10:ALM-2 offline, will restart on 14 feb after train-B cleaning.
CPO-5:Prod'n deferred due to community blockade at Indico pad.
ACG:Azeri Central East K01,K02 &amp; K03 wells shutdown due to fire event.
PCB:Prod'n deferred due to the low efficiency of PCPs in 23 wells.</v>
      </c>
    </row>
    <row r="198" spans="2:3" ht="135" hidden="1">
      <c r="B198" s="446">
        <f>DPR!C690</f>
        <v>45698</v>
      </c>
      <c r="C198" s="364" t="str">
        <f>DPR!AJ690</f>
        <v xml:space="preserve">
GPOC:Prod'n deferred due to biorem limitations, downhole complications.
SPOC:TJH-17,TJH-20 &amp; TJH-23 wells shutdown due to free water knockout high level &amp; MN-04 well down due to drive head leakage.
BC-10:ALM-2 offline, will restart on 14 feb after train-B cleaning.
CPO-5:Prod'n deferred due to community blockade at Indico pad.
ACG:Azeri Central East K01,K02 &amp; K03 wells shutdown due to fire event.
Vankor:Repair of Power Equipment, Connection of 2 standby control stations.
PCB:Prod'n deferred due to the low efficiency of PCPs in 23 wells.</v>
      </c>
    </row>
    <row r="199" spans="2:3" ht="90" hidden="1">
      <c r="B199" s="446">
        <f>DPR!C689</f>
        <v>45697</v>
      </c>
      <c r="C199" s="364" t="str">
        <f>DPR!AJ689</f>
        <v>GPOC:Prod'n deferred due to biorem limitations, downhole complications.
PCB:Prod'n deferred due to the low efficiency of PCPs in 23 wells.
SPOC:TJH-17 &amp; TJH-23 wells shutdown due to free water knockout high level.
BC-10: Prod'n deferred due to ALM-2 offline, will restart on 14 feb after train-B cleaning.
CPO-5:Indico-5 well is under well service operations.
Vankor:Reason awaited from the operator.</v>
      </c>
    </row>
    <row r="200" spans="2:3" ht="105" hidden="1">
      <c r="B200" s="446">
        <f>DPR!C688</f>
        <v>45696</v>
      </c>
      <c r="C200" s="364" t="str">
        <f>DPR!AJ688</f>
        <v>BC-10: In Abalone main gas compressor is unavailable.
ACG:Prod'n ramped up as central azeri gas injection compressor re-opened.
MECL:Wells Vel-282, Vel-358 are under well service.
PCB:Prod'n deferred due to the low efficiency of PCPs in 23 wells.
SCB:Due to high water level in storage tank, can't fiscalize daily prod'n.
SPOC:TJH-16, TJH-17 &amp; TJH-20 wells shutdown due to free water knockout high level.
GPOC:Prod'n deferred due to biorem limitations, downhole complications._x000D_</v>
      </c>
    </row>
    <row r="201" spans="2:3" ht="90" hidden="1">
      <c r="B201" s="446">
        <f>DPR!C687</f>
        <v>45695</v>
      </c>
      <c r="C201" s="364" t="str">
        <f>DPR!AJ687</f>
        <v xml:space="preserve">
ACG:Prod'n ramped up as central azeri gas injection compressor re-opened.
MECL:Wells Vel-282, Vel-358 are under well service.
GPOC:Prod'n deferred due to biorem limitations, downhole complications.
BC-10: In Abalone main gas compressor is unavailable.
PCB:Prod'n deferred due to the low efficiency of PCPs in 23 wells.</v>
      </c>
    </row>
    <row r="202" spans="2:3" ht="105" hidden="1">
      <c r="B202" s="446">
        <f>DPR!C686</f>
        <v>45694</v>
      </c>
      <c r="C202" s="364" t="str">
        <f>DPR!AJ686</f>
        <v xml:space="preserve">CPO-5:Indico 5 well is under workover operations.Perico-1X well closed due to PBU test .
BC-10: In Abalone main gas compressor is unavailable.
ACG:Prod'n ramped up as central azeri gas injection compressor re-opened.
MECL:Wells Vel-282, Vel-358 are under well service.
GPOC:Prod'n deferred due to biorem limitations, downhole complications.
PCB:Prod'n deferred due to the low efficiency of PCPs in 23 wells.
</v>
      </c>
    </row>
    <row r="203" spans="2:3" ht="105" hidden="1">
      <c r="B203" s="446">
        <f>DPR!C685</f>
        <v>45693</v>
      </c>
      <c r="C203" s="364" t="str">
        <f>DPR!AJ685</f>
        <v xml:space="preserve">ACG:Prod'n ramped up as central azeri gas injection compressor re-opened.
MECL:Wells Vel-282, Vel-358 are under well service.
CPO-5:Indico 4 well  workover operation is completed.
SPOC:Prod'n deferred due to power dip in Tharjath field.
GPOC:Prod'n deferred due to biorem limitations, downhole complications.
PCB:Prod'n deferred due to the low efficiency of PCPs in 23 wells.
</v>
      </c>
    </row>
    <row r="204" spans="2:3" ht="105" hidden="1">
      <c r="B204" s="446">
        <f>DPR!C684</f>
        <v>45692</v>
      </c>
      <c r="C204" s="364" t="str">
        <f>DPR!AJ684</f>
        <v>ACG:Prod'n ramped up as central azeri gas injection compressor re-opened.
GPOC:Prod'n deferred due to biorem limitations, downhole complications.
MECL:Wells Vel-282, Vel-358 are under well service.
CPO-5:Indico 4 well  workover operation is completed.
PCB:Prod'n deferred due to the low efficiency of PCPs in 23 wells.
Vankor:Prod'n deferred due to repair of defect in oil gathering pipe.
Sakhalin-1:New prod'n data received from the operator.</v>
      </c>
    </row>
    <row r="205" spans="2:3" ht="105" hidden="1">
      <c r="B205" s="446">
        <f>DPR!C683</f>
        <v>45691</v>
      </c>
      <c r="C205" s="364" t="str">
        <f>DPR!AJ683</f>
        <v>ACG:Prod'n ramped up as central azeri gas injection compressor re-opened.
GPOC:Prod'n deferred due to biorem limitations, downhole complications.
MECL:Wells Vel-282, Vel-436 &amp; Vel-358 are under well service.
CPO-5:Indico 4 well is under workover operations.
PCB:Prod'n deferred due to the low efficiency of PCPs in 23 wells.
Vankor:Prod'n deferred due to repair of defect in oil gathering pipe.
Sakhalin-1:New prod'n data received from the operator.</v>
      </c>
    </row>
    <row r="206" spans="2:3" ht="120" hidden="1">
      <c r="B206" s="446">
        <f>DPR!C682</f>
        <v>45690</v>
      </c>
      <c r="C206" s="364" t="str">
        <f>DPR!AJ682</f>
        <v>ACG:Prod'n ramped up as central azeri gas injection compressor re-opened.
BC-10:Abalone field closed due to Main Gas Compressor being unavailable &amp; ALM 2 stopped as Gas Export valve has been closed by Petrobras.
GPOC:Prod'n deferred due to biorem limitations, downhole complications.
MECL:Wells Vel-282, Vel-436 &amp; Vel-358 are under well service.
CPO-5:Indico 4 well is under workover operations.
PCB:Prod'n deferred due to the low efficiency of PCPs in 23 wells.
Vankor:Prod'n deferred due to repair of defect in oil gathering pipe.</v>
      </c>
    </row>
    <row r="207" spans="2:3" ht="120" hidden="1">
      <c r="B207" s="446">
        <f>DPR!C681</f>
        <v>45689</v>
      </c>
      <c r="C207" s="364" t="str">
        <f>DPR!AJ681</f>
        <v>ACG:Prod'n ramped up as central azeri gas injection. Compressor re-opened.
BC-10:Abalone field closed due to Main Gas Compressor being unavailable &amp; ALM 2 stopped as Gas Export valve has been closed by Petrobras.
GPOC:Prod'n deferred due to biorem limitations, downhole complications.
MECL:Wells Vel-282, Vel-436 &amp; Vel-358 are under well service.
CPO-5:Indico 4 well is under workover operations.
PCB:Prod'n deferred due to the low efficiency of PCPs in 23 wells.
Vankor:Prod'n deferred due to repair of defect in oil gathering pipe.</v>
      </c>
    </row>
    <row r="208" spans="2:3" ht="135" hidden="1">
      <c r="B208" s="446">
        <f>DPR!C680</f>
        <v>45688</v>
      </c>
      <c r="C208" s="364" t="str">
        <f>DPR!AJ680</f>
        <v>ACG:Prod'n ramped up as central azeri gas injection. Compressor re-opened.
BC-10:Abalone field closed due to Main Gas Compressor being unavailable &amp; ALM 2 stopped as Gas Export valve has been closed by Petrobras.
GPOC:Prod'n deferred due to biorem limitations, downhole complications.
MECL:Wells Vel-282, Vel-436 &amp; Vel-358 are under well service.
CPO-5:Indico 4 well is under workover operations.
SPOC:Mala wells shut-in due to power shutdown.
PCB:Prod'n deferred due to the low efficiency of PCPs in 23 wells.
Vankor:Prod'n deferred due to repair of defect in oil gathering pipe.</v>
      </c>
    </row>
    <row r="209" spans="2:3" ht="120" hidden="1">
      <c r="B209" s="446">
        <f>DPR!C679</f>
        <v>45687</v>
      </c>
      <c r="C209" s="364" t="str">
        <f>DPR!AJ679</f>
        <v>ACG:Prod'n ramped up as central azeri gas injection. Compressor re-opened.
Vankor:Prod'n deferred due to repair of defect in oil gathering pipe.
BC-10:Abalone field closed due to Main Gas Compressor being unavailable &amp; ALM 2 stopped as Gas Export valve has been closed by Petrobras.
GPOC:Prod'n deferred due to biorem limitations, downhole complications.
MECL:Wells Vel-282, Vel-436 &amp; Vel-358 are under well service.
PCB:Prod'n deferred due to the low efficiency of PCPs in 23 wells.
CPO-5:Indico 4 well is under workover operations.</v>
      </c>
    </row>
    <row r="210" spans="2:3" ht="135" hidden="1">
      <c r="B210" s="446">
        <f>DPR!C678</f>
        <v>45686</v>
      </c>
      <c r="C210" s="364" t="str">
        <f>DPR!AJ678</f>
        <v xml:space="preserve">
ACG:Prod'n ramped up as central azeri gas injection. Compressor re-opened.
Vankor:Prod'n deferred due to repair of defect in oil gathering pipe.
BC-10:Abalone field closed due to Main Gas Compressor being unavailable &amp; ALM 2 stopped as Gas Export valve has been closed by Petrobras.
SCB:Due to high water level in storage tank, can't fiscalize volume, however daily prod'n is received.
GPOC:Prod'n deferred due to biorem limitations, downhole complications.
PCB:Prod'n deferred due to the low efficiency of PCPs in 23 wells.
CPO-5:Indico 4 well is under workover operations.</v>
      </c>
    </row>
    <row r="211" spans="2:3" ht="120" hidden="1">
      <c r="B211" s="446">
        <f>DPR!C677</f>
        <v>45685</v>
      </c>
      <c r="C211" s="364" t="str">
        <f>DPR!AJ677</f>
        <v>ACG:Prod'n ramped up as central azeri gas injection. Compressor re-opened.
Vankor:Prod'n deferred due to repair of defect in oil gathering pipe.
SPOC:Prod'n deferred due to water draining and power dip.
BC-10:Abalone field closed due to Main Gas Compressor being unavailable &amp; ALM 2 stopped as Gas Export valve has been closed by Petrobras.
GPOC:Prod'n deferred due to biorem limitations, downhole complications.
PCB:Prod'n deferred due to the low efficiency of PCPs in 23 wells.
CPO-5:Indico 4 well is under workover operations.</v>
      </c>
    </row>
    <row r="212" spans="2:3" ht="150" hidden="1">
      <c r="B212" s="446">
        <f>DPR!C676</f>
        <v>45684</v>
      </c>
      <c r="C212" s="364" t="str">
        <f>DPR!AJ676</f>
        <v>ACG:ACG:Prod'n ramped up as central azeri gas injection. Compressor re-opened.
Vankor:Prod'n deferred due to repair of defect in oil gathering pipe.
SPOC:Prod'n deferred due to water draining and power dip.
SCB:Due to high water level in storage tank, can't fiscalize volume, however daily prod'n is received.
BC-10:Abalone field closed due to Main Gas Compressor being unavailable &amp; ALM 2 stopped as Gas Export valve has been closed by Petrobras.
Sakhalin-1:New prod'n data received from the operator.
GPOC:Prod'n deferred due to biorem limitations, downhole complications.
PCB:Prod'n deferred due to the low efficiency of PCPs in 23 wells.
CPO-5:Indico 4 well is under workover operations.</v>
      </c>
    </row>
    <row r="213" spans="2:3" ht="105" hidden="1">
      <c r="B213" s="446">
        <f>DPR!C675</f>
        <v>45683</v>
      </c>
      <c r="C213" s="364" t="str">
        <f>DPR!AJ675</f>
        <v>_x000D_
GPOC:Prod'n deferred due to biorem limitations, downhole complications.
PCB:Prod'n deferred due to the low efficiency of PCPs in 23 wells.
CPO-5:Indico 4 well is under workover operations.
ACG:Onshore process shutdown due to gas leakage at Sangachal terminal.
BC-10:Abalone field closed due to Main Gas Compressor being unavailable &amp; ALM 2 stopped as Gas Export valve has been closed by Petrobras.</v>
      </c>
    </row>
    <row r="214" spans="2:3" ht="90" hidden="1">
      <c r="B214" s="446">
        <f>DPR!C674</f>
        <v>45682</v>
      </c>
      <c r="C214" s="364" t="str">
        <f>DPR!AJ674</f>
        <v xml:space="preserve">
GPOC:Prod'n deferred due to biorem limitations, downhole complications.
PCB:Prod'n deferred due to the low efficiency of PCPs in 23 wells.
ACG:Onshore process shutdown due to gas leakage, details awaited.
CPO-5:Indico 4 well is under workover operations.
LZC:AGI EPS-1: ZK-401 closed due to shutdown activities.</v>
      </c>
    </row>
    <row r="215" spans="2:3" ht="45" hidden="1">
      <c r="B215" s="446">
        <f>DPR!C673</f>
        <v>45681</v>
      </c>
      <c r="C215" s="364" t="str">
        <f>DPR!AJ673</f>
        <v xml:space="preserve">
GPOC:Prod'n deferred due to biorem limitations, downhole complications.
PCB:Prod'n deferred due to the low efficiency of PCPs in 23 wells.</v>
      </c>
    </row>
    <row r="216" spans="2:3" ht="60" hidden="1">
      <c r="B216" s="446">
        <f>DPR!C672</f>
        <v>45680</v>
      </c>
      <c r="C216" s="364" t="str">
        <f>DPR!AJ672</f>
        <v xml:space="preserve">
GPOC:Prod'n deferred due to biorem limitations, downhole complications.
PCB:Prod'n deferred due to the low efficiency of PCPs in 23 wells.
ACG:Prod'n ramped up as central azeri gas injection compressor re-opened.</v>
      </c>
    </row>
    <row r="217" spans="2:3" ht="105" hidden="1">
      <c r="B217" s="446">
        <f>DPR!C671</f>
        <v>45679</v>
      </c>
      <c r="C217" s="364" t="str">
        <f>DPR!AJ671</f>
        <v xml:space="preserve">
GPOC:Prod'n deferred due to biorem limitations, downhole complications.
PCB:Prod'n deferred due to the low efficiency of PCPs in 23 wells.
ACG:Prod'n ramped up as central azeri gas injection. Compressor re-opened.
SCB:Due to high water level in storage tank, can't fiscalize volume, however daily prod'n is received.
Sakhalin-1:New prod'n data received from the operator.
</v>
      </c>
    </row>
    <row r="218" spans="2:3" ht="60" hidden="1">
      <c r="B218" s="446">
        <f>DPR!C670</f>
        <v>45678</v>
      </c>
      <c r="C218" s="364" t="str">
        <f>DPR!AJ670</f>
        <v xml:space="preserve">
GPOC:Prod'n deferred due to biorem limitations, downhole complications.
PCB:Prod'n deferred due to the low efficiency of PCPs in 23 wells.
ACG:Prod'n ramped up as central azeri gas injection. Compressor re-opened.</v>
      </c>
    </row>
    <row r="219" spans="2:3" ht="75" hidden="1">
      <c r="B219" s="446">
        <f>DPR!C669</f>
        <v>45677</v>
      </c>
      <c r="C219" s="364" t="str">
        <f>DPR!AJ669</f>
        <v xml:space="preserve">
GPOC:Prod'n deferred due to biorem limitations, downhole complications.
PCB:Prod'n deferred due to the low efficiency of PCPs in 23 wells.
SCB:Due to high water level in storage tank, can't fiscalize volume, however daily prod'n is received.
ACG:B36 well shutdown due to sand issue.</v>
      </c>
    </row>
    <row r="220" spans="2:3" ht="60" hidden="1">
      <c r="B220" s="446">
        <f>DPR!C668</f>
        <v>45676</v>
      </c>
      <c r="C220" s="364" t="str">
        <f>DPR!AJ668</f>
        <v xml:space="preserve">
GPOC:Prod'n deferred due to biorem limitations, downhole complications.
PCB:Prod'n deferred due to the low efficiency of PCPs in 23 wells.
CPO-5:Indico 3 well is under workover operations.</v>
      </c>
    </row>
    <row r="221" spans="2:3" ht="60" hidden="1">
      <c r="B221" s="446">
        <f>DPR!C667</f>
        <v>45675</v>
      </c>
      <c r="C221" s="364" t="str">
        <f>DPR!AJ667</f>
        <v>GPOC:Prod'n deferred due to biorem limitations, downhole complications.
PCB:Prod'n deferred due to the low efficiency of PCPs in 23 wells.
CPO-5:Indico 3 well is under workover operations.
SPOC:Prod'n deferred due to water draining and power dip.</v>
      </c>
    </row>
    <row r="222" spans="2:3" ht="45" hidden="1">
      <c r="B222" s="446">
        <f>DPR!C666</f>
        <v>45674</v>
      </c>
      <c r="C222" s="364" t="str">
        <f>DPR!AJ666</f>
        <v>GPOC:Prod'n deferred due to biorem limitations, downhole complications.
PCB:Prod'n deferred due to the low efficiency of PCPs in 23 wells.
CPO-5:Indico 3 well is under workover operations.</v>
      </c>
    </row>
    <row r="223" spans="2:3" ht="90" hidden="1">
      <c r="B223" s="446">
        <f>DPR!C665</f>
        <v>45673</v>
      </c>
      <c r="C223" s="364" t="str">
        <f>DPR!AJ665</f>
        <v xml:space="preserve">
PCB:Prod'n deferred due to the low efficiency of PCPs in 23 wells.
GPOC:Prod'n deferred due to biorem limitations, downhole complications.
CPO-5:Indico 3 well is under workover operations.
ACG:Prod'n deferred as Gas Injection compressor is down.
A1-A3: Prod'n deferred due to Emergency Shutdown.</v>
      </c>
    </row>
    <row r="224" spans="2:3" ht="75" hidden="1">
      <c r="B224" s="446">
        <f>DPR!C664</f>
        <v>45672</v>
      </c>
      <c r="C224" s="364" t="str">
        <f>DPR!AJ664</f>
        <v xml:space="preserve">
PCB:Prod'n deferred due to the low efficiency of PCPs in 23 wells.
GPOC:Prod'n deferred due to biorem limitations, downhole complications.
CPO-5:Indico 3 well is under workover operations.
ACG: Prod'n deferred due to water injection. Prod'n is being ramped up.</v>
      </c>
    </row>
    <row r="225" spans="2:3" ht="135" hidden="1">
      <c r="B225" s="446">
        <f>DPR!C663</f>
        <v>45671</v>
      </c>
      <c r="C225" s="364" t="str">
        <f>DPR!AJ663</f>
        <v>CPO-5:Indico 3 well is under workover operations.
Vankor:Reason awaited from the operator.
SCB:Due to high water level in storage tank, can't fiscalize volume, however daily prod'n is received.
LZC:Shutdown due to Junana rig movement.
ACG:Wells J8a,J12,J17,C24 are shut due to sand issue.Well 18a is shut due to water load up.
Sakhalin-1:New Prod'n data received from operator.Production from new well DP-39U (from Berkut) has been lowered as a safety precaution.
PCB:Prod'n deferred due to the low efficiency of PCPs in 23 wells.
GPOC:Prod'n deferred due to biorem limitations, downhole complications.</v>
      </c>
    </row>
    <row r="226" spans="2:3" ht="90" hidden="1">
      <c r="B226" s="446">
        <f>DPR!C662</f>
        <v>45670</v>
      </c>
      <c r="C226" s="364" t="str">
        <f>DPR!AJ662</f>
        <v>PCB:Prod'n deferred due to the low efficiency of PCPs in 23 wells.
GPOC:Prod'n deferred due to biorem limitations, downhole complications.
ACG:Wells J8a,J12,J17,C24 are shut due to sand issue.Well 18a is shut due to water load up.
SPOC:Prod'n deferred due to water draining and power dip.
CPO-5:Indico 3-71.91 bopd because of fluid displacement that took place to control/kill the well with sodium formate.
Vankor:Reason awaited from the operator.</v>
      </c>
    </row>
    <row r="227" spans="2:3" ht="120" hidden="1">
      <c r="B227" s="446">
        <f>DPR!C661</f>
        <v>45669</v>
      </c>
      <c r="C227" s="364" t="str">
        <f>DPR!AJ661</f>
        <v xml:space="preserve">
PCB:Prod'n deferred due to the low efficiency of PCPs in 23 wells.
GPOC:Prod'n deferred due to biorem limitations, downhole complications.
ACG:Wells B12Z, B36 are closed due to Sand issue.
CPO-5:Indico-3 is closed at the request of the WO crew.
BC-10:BW2 shut-in due to high BSW and production liquid constraint.
SPOC:Prod'n deferred due to water draining and power dip.
</v>
      </c>
    </row>
    <row r="228" spans="2:3" ht="90" hidden="1">
      <c r="B228" s="446">
        <f>DPR!C660</f>
        <v>45668</v>
      </c>
      <c r="C228" s="364" t="str">
        <f>DPR!AJ660</f>
        <v>GPOC:Prod'n deferred due to biorem limitations, downhole complications.
PCB:Prod'n deferred due to the low efficiency of PCPs in 23 wells.
ACG:Wells B12Z, B36 are closed due to Sand issue.
CPO-5:Wells are closed because of a blockade performed by the community.
BC-10:BW1, BW3 shut down. As part of ALM2 strategy to maintain stability on Mobo 6. BW2 shut-in due to high BSW and production liquid constraint.</v>
      </c>
    </row>
    <row r="229" spans="2:3" ht="90" hidden="1">
      <c r="B229" s="446">
        <f>DPR!C659</f>
        <v>45667</v>
      </c>
      <c r="C229" s="364" t="str">
        <f>DPR!AJ659</f>
        <v xml:space="preserve">
GPOC:Prod'n deferred due to biorem limitations, downhole complications.
PCB:Prod'n deferred due to the low efficiency of PCPs in 23 wells.
ACG:Wells B12Z, B36 are closed due to Sand issue.
BC-10:BW1, BW3 shut down. As part of ALM2 strategy to maintain stability on Mobo 6. BW2 shut-in due to high BSW and production liquid constraint.</v>
      </c>
    </row>
    <row r="230" spans="2:3" ht="60" hidden="1">
      <c r="B230" s="446">
        <f>DPR!C658</f>
        <v>45666</v>
      </c>
      <c r="C230" s="364" t="str">
        <f>DPR!AJ658</f>
        <v xml:space="preserve">
GPOC:Prod'n deferred due to biorem limitations, downhole complications.
PCB:Prod'n deferred due to the low efficiency of PCPs in 23 wells.
ACG:Wells B12Z, B36 are closed due to Sand issue.</v>
      </c>
    </row>
    <row r="231" spans="2:3" ht="90" hidden="1">
      <c r="B231" s="446">
        <f>DPR!C657</f>
        <v>45665</v>
      </c>
      <c r="C231" s="364" t="str">
        <f>DPR!AJ657</f>
        <v xml:space="preserve">
PCB:Prod'n deferred due to the low efficiency of PCPs in 23 wells.
GPOC:Prod'n deferred due to biorem limitations, downhole complications.
LZC:Strorage tank integrity issue.
ACG:Wells B12Z, B33, B36 are closed due to Sand issue.
SPOC:MALA field wells is suspended for Genset servicing.</v>
      </c>
    </row>
    <row r="232" spans="2:3" ht="90" hidden="1">
      <c r="B232" s="446">
        <f>DPR!C656</f>
        <v>45664</v>
      </c>
      <c r="C232" s="364" t="str">
        <f>DPR!AJ656</f>
        <v>_x000D_
PCB:_x000D_Prod'n deferred due to the low efficiency of PCPs in 23 wells.
GPOC:Prod'n deferred due to biorem limitations, downhole complications.
LZC:Strorage tank integrity issue.
ACG:Wells B12Z, B33, B36 is closed due to Sand issue. GIC Tr4 is offline for outage.
SPOC:Prod'n deferred due to water draining and power dip.</v>
      </c>
    </row>
    <row r="233" spans="2:3" ht="120" hidden="1">
      <c r="B233" s="446">
        <f>DPR!C655</f>
        <v>45663</v>
      </c>
      <c r="C233" s="364" t="str">
        <f>DPR!AJ655</f>
        <v xml:space="preserve">
GPOC:Prod'n deferred due to biorem limitations, downhole complications.
PCB:Prod'n deferred due to the low efficiency of PCPs in 23 wells.
LZC:Strorage tank integrity issue.
CPO-5:CF-2 well shutdown due to a PBU test.
BC-10:ALM 2 stopped, high scaling phenomenas happening on train B pumps suction strainers both crude oil and PW pumps.</v>
      </c>
    </row>
    <row r="234" spans="2:3" ht="90" hidden="1">
      <c r="B234" s="446">
        <f>DPR!C654</f>
        <v>45662</v>
      </c>
      <c r="C234" s="364" t="str">
        <f>DPR!AJ654</f>
        <v>_x000D_GPOC:Prod'n deferred due to biorem limitations, downhole complications.
PCB:Prod'n deferred due to the low efficiency of PCPs in 23 wells.
CPO-5:CF-2 well shutdown due to a PBU test.
LZC:Strorage tank integrity issue.
BC-10:ALM 2 stopped, high scaling phenomenas happening on train B pumps suction strainers both crude oil and PW pumps.</v>
      </c>
    </row>
    <row r="235" spans="2:3" ht="60" hidden="1">
      <c r="B235" s="446">
        <f>DPR!C653</f>
        <v>45661</v>
      </c>
      <c r="C235" s="364" t="str">
        <f>DPR!AJ653</f>
        <v>_x000D_GPOC:Prod'n deferred due to biorem limitations, downhole complications.
PCB:Prod'n deferred due to the low efficiency of PCPs in 23 wells.
LZC:Strorage tank integrity issue.
CPO-5:CF-2 well shutdown due to a PBU test.</v>
      </c>
    </row>
    <row r="236" spans="2:3" ht="75" hidden="1">
      <c r="B236" s="446">
        <f>DPR!C652</f>
        <v>45660</v>
      </c>
      <c r="C236" s="364" t="str">
        <f>DPR!AJ652</f>
        <v xml:space="preserve">
GPOC:Prod'n deferred due to biorem limitations, downhole complications.
PCB:Prod'n deferred due to the low efficiency of PCPs in 23 wells.
SPOC:Prod'n deferred due to water draining and power dip.
CPO-5:The normalization of operations is taking more time due to tanker availability concerns.</v>
      </c>
    </row>
    <row r="237" spans="2:3" ht="60" hidden="1">
      <c r="B237" s="446">
        <f>DPR!C651</f>
        <v>45659</v>
      </c>
      <c r="C237" s="364" t="str">
        <f>DPR!AJ651</f>
        <v>_x000D_PCB:Prod'n deferred due to the low efficiency of PCPs in 23 wells.
GPOC:Prod'n deferred due to biorem limitations, downhole complications.
A1-A3:CNUOC has increased its gas nominations amid the winter season.MOGE's nominations have also increased.
CPO-5:The normalization of operations is taking more time due to tanker availability concerns.</v>
      </c>
    </row>
    <row r="238" spans="2:3" ht="75" hidden="1">
      <c r="B238" s="446">
        <f>DPR!C650</f>
        <v>45658</v>
      </c>
      <c r="C238" s="364" t="str">
        <f>DPR!AJ650</f>
        <v>CPO-5:Prod'n from Indico pad wells is being ramped-up after lifting of blockade. The normalization of operations is taking more time due to tanker availability concerns.
PCB:Prod'n deferred due to the low efficiency of PCPs in 23 wells.
GPOC:Prod'n deferred due to biorem limitations, downhole complications.
A1-A3:CNUOC has increased its gas nominations amid the winter season. MOGE's nominations have also increased._x000D_</v>
      </c>
    </row>
    <row r="239" spans="2:3" ht="75" hidden="1">
      <c r="B239" s="446">
        <f>DPR!C649</f>
        <v>45657</v>
      </c>
      <c r="C239" s="364" t="str">
        <f>DPR!AJ649</f>
        <v>_x000D_A1-A3:Prod'n deferred due to buyer's nomination.
GPOC:Prod'n deferred due to biorem limitations, downhole complications.
PCB:Prod'n deferred due to the low efficiency of PCPs in 23 wells.
CPO-5:Wells are closed because of a blockade by the local community.
SPOC:Prod'n deferred due to water draining and power dip.</v>
      </c>
    </row>
    <row r="240" spans="2:3" ht="60" hidden="1">
      <c r="B240" s="446">
        <f>DPR!C648</f>
        <v>45656</v>
      </c>
      <c r="C240" s="364" t="str">
        <f>DPR!AJ648</f>
        <v>_x000D_A1-A3:Prod'n deferred due to buyer's nomination.
GPOC:Prod'n deferred due to biorem limitations, downhole complications.
PCB:Prod'n deferred due to the low efficiency of PCPs in 23 wells.
CPO-5:Wells are closed because of a blockade by the local community &amp; CF-2 prod'n: 278.08 bopd.</v>
      </c>
    </row>
    <row r="241" spans="2:3" ht="90" hidden="1">
      <c r="B241" s="446">
        <f>DPR!C647</f>
        <v>45655</v>
      </c>
      <c r="C241" s="364" t="str">
        <f>DPR!AJ647</f>
        <v xml:space="preserve">
GPOC:Prod'n deferred due to biorem limitations, downhole complications.
PCB:Prod'n deferred due to the low efficiency of PCPs in 23 wells.
A1-A3:Prod'n deferred due to buyer's nomination.
CPO-5:Wells are closed because of a blockade by the local community.
</v>
      </c>
    </row>
    <row r="242" spans="2:3" ht="60" hidden="1">
      <c r="B242" s="446">
        <f>DPR!C646</f>
        <v>45654</v>
      </c>
      <c r="C242" s="364" t="str">
        <f>DPR!AJ646</f>
        <v>_x000D_GPOC:Prod'n deferred due to biorem limitations, downhole complications.
PCB:Prod'n deferred due to the low efficiency of PCPs in 23 wells.
A1-A3:Prod'n deferred due to buyer's nomination._x000D_
CPO-5:Wells are closed because of a blockade by the local community.</v>
      </c>
    </row>
    <row r="243" spans="2:3" ht="45" hidden="1">
      <c r="B243" s="446">
        <f>DPR!C645</f>
        <v>45653</v>
      </c>
      <c r="C243" s="364" t="str">
        <f>DPR!AJ645</f>
        <v>_x000D_GPOC:Prod'n deferred due to biorem limitations, downhole complications.
PCB:Prod'n deferred due to the low efficiency of PCPs in 23 wells.
A1-A3:Prod'n deferred due to buyer's nomination.</v>
      </c>
    </row>
    <row r="244" spans="2:3" ht="60" hidden="1">
      <c r="B244" s="446">
        <f>DPR!C644</f>
        <v>45652</v>
      </c>
      <c r="C244" s="364" t="str">
        <f>DPR!AJ644</f>
        <v>_x000D_GPOC:Prod'n deferred due to biorem limitations, downhole complications.
PCB:Prod'n deferred due to the low efficiency of PCPs in 23 wells.
A1-A3:Prod'n deferred due to buyer's nomination.
Sakhalin-1:New Prod'n data received from operator.</v>
      </c>
    </row>
    <row r="245" spans="2:3" ht="45" hidden="1">
      <c r="B245" s="446">
        <f>DPR!C643</f>
        <v>45651</v>
      </c>
      <c r="C245" s="364" t="str">
        <f>DPR!AJ643</f>
        <v>_x000D_PCB:Prod'n deferred due to the low efficiency of PCPs in 23 wells.
A1-A3:Prod'n deferred due to buyer's nomination.
GPOC:Prod'n deferred due to biorem limitations, downhole complications.</v>
      </c>
    </row>
    <row r="246" spans="2:3" ht="45" hidden="1">
      <c r="B246" s="446">
        <f>DPR!C642</f>
        <v>45650</v>
      </c>
      <c r="C246" s="364" t="str">
        <f>DPR!AJ642</f>
        <v>_x000D_PCB:_x000D_Prod'n deferred due to the low efficiency of PCPs in 23 wells.
GPOC:Prod'n deferred due to biorem limitations, downhole complications.
A1-A3:Prod'n deferred due to buyer's nomination.</v>
      </c>
    </row>
    <row r="247" spans="2:3" ht="45" hidden="1">
      <c r="B247" s="446">
        <f>DPR!C641</f>
        <v>45649</v>
      </c>
      <c r="C247" s="364" t="str">
        <f>DPR!AJ641</f>
        <v>_x000D_PCB:Prod'n deferred due to the low efficiency of PCPs in 23 wells.
GPOC:Prod'n deferred due to biorem limitations, downhole complications.
A1-A3:Prod'n deferred due to buyer's nomination.</v>
      </c>
    </row>
    <row r="248" spans="2:3" ht="45" hidden="1">
      <c r="B248" s="446">
        <f>DPR!C640</f>
        <v>45648</v>
      </c>
      <c r="C248" s="364" t="str">
        <f>DPR!AJ640</f>
        <v>_x000D_PCB:Prod'n deferred due to the low efficiency of PCPs in 23 wells.
GPOC:Prod'n deferred due to biorem limitations, downhole complications.
A1-A3:Prod'n deferred due to buyer's nomination.</v>
      </c>
    </row>
    <row r="249" spans="2:3" ht="75" hidden="1">
      <c r="B249" s="446">
        <f>DPR!C639</f>
        <v>45647</v>
      </c>
      <c r="C249" s="364" t="str">
        <f>DPR!AJ639</f>
        <v>_x000D_PCB:Prod'n deferred due to the low efficiency of PCPs in 23 wells._x000D_
BC-10:_x000D_Prod'n deferred due to ALM-2 and MOBO-5 is offline.
SCB:Prod'n deferred due to reduced oil pumping from Budre-2 to PTO.
GPOC:Prod'n deferred due to biorem limitations, downhole complications.
A1-A3:Prod'n deferred due to buyer's nomination.</v>
      </c>
    </row>
    <row r="250" spans="2:3" ht="45" hidden="1">
      <c r="B250" s="446">
        <f>DPR!C638</f>
        <v>45646</v>
      </c>
      <c r="C250" s="364" t="str">
        <f>DPR!AJ638</f>
        <v>_x000D_PCB:Prod'n deferred due to the low efficiency of PCPs in 23 wells.
_x000D_GPOC:Prod'n deferred due to biorem limitations, downhole complications.
A1-A3:MOGE and CNUOC have partially increased their nomination quantity accordingly the prod’n has increased.</v>
      </c>
    </row>
    <row r="251" spans="2:3" ht="75" hidden="1">
      <c r="B251" s="446">
        <f>DPR!C637</f>
        <v>45645</v>
      </c>
      <c r="C251" s="364" t="str">
        <f>DPR!AJ637</f>
        <v xml:space="preserve">_x000D_PCB:Prod'n deferred due to the low efficiency of PCPs in 23 wells._x000D_
GPOC:Prod'n deferred due to landing pressure drop in the pipeline at Heglig. Leakage identified at NCPF. It has been repaired. _x000D_
A1-A3:MOGE and CNUOC have partially increased their nomination quantity accordingly the prod’n has increased.
</v>
      </c>
    </row>
    <row r="252" spans="2:3" ht="75" hidden="1">
      <c r="B252" s="446">
        <f>DPR!C636</f>
        <v>45644</v>
      </c>
      <c r="C252" s="364" t="str">
        <f>DPR!AJ636</f>
        <v>PCB:Prod'n deferred due to the low efficiency of PCPs in 23 wells._x000D_
GPOC:Prod'n deferred due to biorem limitations, downhole complications.
A1-A3:MOGE and CNUOC have partially increased their nomination quantity according prod’n has increased.
Sakhalin-1:New Prod'n data received from operator &amp; Oil production from new well DP-29L (from Berkut) has started this week. In order to avoid any process upsets, production has been lowered as a safety precaution.</v>
      </c>
    </row>
    <row r="253" spans="2:3" ht="45" hidden="1">
      <c r="B253" s="446">
        <f>DPR!C635</f>
        <v>45643</v>
      </c>
      <c r="C253" s="364" t="str">
        <f>DPR!AJ635</f>
        <v>_x000D_A1-A3:Prod'n deferred due to buyer's nomination.
PCB:Prod'n deferred due to the low efficiency of PCPs in 23 wells.
GPOC:Prod'n deferred due to biorem limitations, downhole complications.</v>
      </c>
    </row>
    <row r="254" spans="2:3" ht="45" hidden="1">
      <c r="B254" s="446">
        <f>DPR!C634</f>
        <v>45642</v>
      </c>
      <c r="C254" s="364" t="str">
        <f>DPR!AJ634</f>
        <v>_x000D_A1-A3:Prod'n deferred due to buyer's nomination.
PCB:Prod'n deferred due to the low efficiency of PCPs in 23 wells.
GPOC:Prod'n deferred due to biorem limitations, downhole complications.</v>
      </c>
    </row>
    <row r="255" spans="2:3" ht="60" hidden="1">
      <c r="B255" s="446">
        <f>DPR!C633</f>
        <v>45641</v>
      </c>
      <c r="C255" s="364" t="str">
        <f>DPR!AJ633</f>
        <v>_x000D_PCB:Prod'n deferred due to the low efficiency of PCPs in 23 wells._x000D_
A1-A3:Prod'n deferred due to buyer's nomination._x000D_
GPOC:Prod'n deferred due to biorem limitations, downhole complications._x000D_
CPO-5:Prod'n deferred due to CPH Field Well shut in slickline unit rigup and PBU.</v>
      </c>
    </row>
    <row r="256" spans="2:3" ht="45" hidden="1">
      <c r="B256" s="446">
        <f>DPR!C632</f>
        <v>45640</v>
      </c>
      <c r="C256" s="364" t="str">
        <f>DPR!AJ632</f>
        <v>_x000D_PCB:Prod'n deferred due to the low efficiency of PCPs in 23 wells._x000D_
A1-A3:Prod'n deferred due to buyer's nomination._x000D_
GPOC:Prod'n deferred due to biorem limitations, downhole complications.</v>
      </c>
    </row>
    <row r="257" spans="2:3" ht="45" hidden="1">
      <c r="B257" s="446">
        <f>DPR!C631</f>
        <v>45639</v>
      </c>
      <c r="C257" s="364" t="str">
        <f>DPR!AJ631</f>
        <v>_x000D_PCB:Prod'n deferred due to the low efficiency of PCPs in 23 wells._x000D_
A1-A3:Prod'n deferred due to buyer's nomination._x000D_
GPOC:Prod'n deferred due to biorem limitations, downhole complications.</v>
      </c>
    </row>
    <row r="258" spans="2:3" ht="45" hidden="1">
      <c r="B258" s="446">
        <f>DPR!C630</f>
        <v>45638</v>
      </c>
      <c r="C258" s="364" t="str">
        <f>DPR!AJ630</f>
        <v>_x000D_PCB:Prod'n deferred due to the low efficiency of PCPs in 23 wells._x000D_
A1-A3:Prod'n deferred due to buyer's nomination._x000D_
GPOC:Prod'n deferred due to biorem limitations, downhole complications.</v>
      </c>
    </row>
    <row r="259" spans="2:3" ht="45" hidden="1">
      <c r="B259" s="446">
        <f>DPR!C629</f>
        <v>45637</v>
      </c>
      <c r="C259" s="364" t="str">
        <f>DPR!AJ629</f>
        <v>PCB:Prod'n deferred due to the low efficiency of PCPs in 23 wells.
A1-A3:Prod'n deferred due to buyer's nomination.
GPOC:Prod'n deferred due to biorem limitations, downhole complications.</v>
      </c>
    </row>
    <row r="260" spans="2:3" ht="45" hidden="1">
      <c r="B260" s="446">
        <f>DPR!C628</f>
        <v>45636</v>
      </c>
      <c r="C260" s="364" t="str">
        <f>DPR!AJ628</f>
        <v>PCB:Prod'n deferred due to the low efficiency of PCPs in 23 wells.
A1-A3:Prod'n deferred due to buyer's nomination.
GPOC:Prod'n deferred due to biorem limitations, downhole complications.</v>
      </c>
    </row>
    <row r="261" spans="2:3" ht="60" hidden="1">
      <c r="B261" s="446">
        <f>DPR!C627</f>
        <v>45635</v>
      </c>
      <c r="C261" s="364" t="str">
        <f>DPR!AJ627</f>
        <v>Sakhalin-1:New Prod'n data received from operator.
PCB:Prod'n deferred due to the low efficiency of PCPs in 23 wells.
A1-A3:Prod'n deferred due to buyer's nomination.
GPOC:Prod'n deferred due to biorem limitations, downhole complications.</v>
      </c>
    </row>
    <row r="262" spans="2:3" ht="75" hidden="1">
      <c r="B262" s="446">
        <f>DPR!C626</f>
        <v>45634</v>
      </c>
      <c r="C262" s="364" t="str">
        <f>DPR!AJ626</f>
        <v>_x000D_PCB:Prod'n deferred due to the low efficiency of PCPs in 23 wells.
SCB:_x000D_Prod'n deferred due to the leakage in pipeline.
CPO-5:Prod'n deferred due to RST Log job on Indico 7.
A1-A3:Prod'n deferred due to buyer's nomination._x000D_
GPOC:Prod'n deferred due to biorem limitations, downhole complications._x000D_</v>
      </c>
    </row>
    <row r="263" spans="2:3" ht="90" hidden="1">
      <c r="B263" s="446">
        <f>DPR!C625</f>
        <v>45633</v>
      </c>
      <c r="C263" s="364" t="str">
        <f>DPR!AJ625</f>
        <v>_x000D_PCB:Prod'n deferred due to the low efficiency of PCPs in 23 wells._x000D_
SCB:_x000D_Prod'n deferred due to the leakage in pipeline.
BC-10:Prod'n deferred due to no flaring due to maintenance activites.
CPO-5:Indico 7 well is shut and handed over to Baker Hughes for RST log job.
GPOC:Prod'n deferred due to biorem limitations, downhole complications._x000D_
A1-A3:Prod'n deferred due to buyer's nomination._x000D_</v>
      </c>
    </row>
    <row r="264" spans="2:3" ht="60" hidden="1">
      <c r="B264" s="446">
        <f>DPR!C624</f>
        <v>45632</v>
      </c>
      <c r="C264" s="364" t="str">
        <f>DPR!AJ624</f>
        <v>_x000D_PCB:Prod'n deferred due to the low efficiency of PCPs in 23 wells._x000D_
BC-10:_x000D_Prod'n deferred due to no flaring due to maintenance activites.
GPOC:Prod'n deferred due to biorem limitations, downhole complications._x000D_
A1-A3:Prod'n deferred due to buyer's nomination._x000D_</v>
      </c>
    </row>
    <row r="265" spans="2:3" ht="90" hidden="1">
      <c r="B265" s="446">
        <f>DPR!C623</f>
        <v>45631</v>
      </c>
      <c r="C265" s="364" t="str">
        <f>DPR!AJ623</f>
        <v>_x000D_PCB:Prod'n deferred due to the low efficiency of PCPs in 23 wells._x000D_
A1-A3:Prod'n deferred due to buyer's nomination._x000D_
GPOC:Prod'n deferred due to biorem limitations, downhole complications._x000D_
MECL:PCP rods of 1 wells broken, waiting for WO rig._x000D_
BC-10:Prod'n deferred due to no flaring due to maintenance activites._x000D__x000D_
Vankor:Reason for production shortfall awaited from the operator._x000D_</v>
      </c>
    </row>
    <row r="266" spans="2:3" ht="105" hidden="1">
      <c r="B266" s="446">
        <f>DPR!C622</f>
        <v>45630</v>
      </c>
      <c r="C266" s="364" t="str">
        <f>DPR!AJ622</f>
        <v>_x000D_Vankor:Reason for production shortfall awaited from the operator.
GPOC:Prod'n deferred due to biorem limitations, downhole complications._x000D_
PCB:Prod'n deferred due to the low efficiency of PCPs in 23 wells._x000D_
A1-A3:Prod'n deferred due to buyer's nomination._x000D_
CPO-5:Wells of Indico pad are being opened gradually, as the blockade is over.
BC-10:Prod'n deferred due to no flaring due to maintenance activites._x000D_
MECL:PCP rods of 2 wells broken, waiting for WO rig.</v>
      </c>
    </row>
    <row r="267" spans="2:3" ht="120" hidden="1">
      <c r="B267" s="446">
        <f>DPR!C621</f>
        <v>45629</v>
      </c>
      <c r="C267" s="364" t="str">
        <f>DPR!AJ621</f>
        <v>Vankor:Reason for production shortfall awaited from the operator.
LZC:Quota for the month is 425k bopd.
_x000D_PCB:Prod'n deferred due to the low efficiency of PCPs in 23 wells._x000D_
A1-A3:Prod'n deferred due to buyer's nomination._x000D_
GPOC:Prod'n deferred due to biorem limitations, downhole complications._x000D_
BC-10:Prod'n deferred due to no flaring due to maintenance activites._x000D_
CPO-5:Wells closed to SAR Energy's staff cessation of activities._x000D_
MECL:PCP rods of 3 wells broken, waiting for WO rig.</v>
      </c>
    </row>
    <row r="268" spans="2:3" ht="90" hidden="1">
      <c r="B268" s="446">
        <f>DPR!C620</f>
        <v>45628</v>
      </c>
      <c r="C268" s="364" t="str">
        <f>DPR!AJ620</f>
        <v>_x000D_PCB:Prod'n deferred due to the low efficiency of PCPs in 23 wells._x000D_
A1-A3:Prod'n deferred due to buyer's nomination._x000D_
MECL: PCP rods of 3 wells broken, waiting for WO rig._x000D_
GPOC:Prod'n deferred due to biorem limitations, downhole complications._x000D_
BC-10:Prod'n deferred due to no flaring due to maintenance activites._x000D_
CPO-5:Wells closed to SAR Energy's staff cessation of activities.</v>
      </c>
    </row>
    <row r="269" spans="2:3" ht="90" hidden="1">
      <c r="B269" s="446">
        <f>DPR!C619</f>
        <v>45627</v>
      </c>
      <c r="C269" s="364" t="str">
        <f>DPR!AJ619</f>
        <v>_x000D_PCB:Prod'n deferred due to the low efficiency of PCPs in 23 wells._x000D_
A1-A3:Prod'n deferred due to buyer's nomination._x000D_
MECL: PCP rods of 3 wells broken, waiting for WO rig._x000D_
GPOC:Prod'n deferred due to biorem limitations, downhole complications._x000D_
BC-10:Prod'n deferred due to no flaring due to maintenance activites._x000D_
CPO-5:Wells closed to SAR Energy's staff cessation of activities.</v>
      </c>
    </row>
    <row r="270" spans="2:3" ht="90" hidden="1">
      <c r="B270" s="446">
        <f>DPR!C618</f>
        <v>45626</v>
      </c>
      <c r="C270" s="364" t="str">
        <f>DPR!AJ618</f>
        <v>_x000D_PCB:Prod'n deferred due to the low efficiency of PCPs in 23 wells._x000D_
BC-10:Prod'n deferred due to no flaring due to maintenance activites._x000D_
GPOC:Prod'n deferred due to biorem limitations, downhole complications._x000D_
MECL: PCP rods of 3 wells broken, waiting for WO rig._x000D_
A1-A3:Prod'n deferred due to buyer's nomination._x000D_
CPO-5:Wells closed to SAR Energy's staff cessation of activities.</v>
      </c>
    </row>
    <row r="271" spans="2:3" ht="105" hidden="1">
      <c r="B271" s="446">
        <f>DPR!C617</f>
        <v>45625</v>
      </c>
      <c r="C271" s="364" t="str">
        <f>DPR!AJ617</f>
        <v>_x000D_PCB:Prod'n deferred due to the low efficiency of PCPs in 23 wells._x000D_
CPO-5:Wells closed to SAR Energy's staff cessation of activities._x000D_
BC-10:Prod'n deferred due to no flaring due to maintenance activites._x000D_
GPOC:Prod'n deferred due to biorem limitations, downhole complications._x000D_
MECL: PCP rods of 3 wells broken, waiting for WO rig._x000D_
A1-A3:Prod'n deferred due to buyer's nomination._x000D_
LZC:Blackout of Zakum Central Super Complex.</v>
      </c>
    </row>
    <row r="272" spans="2:3" ht="105" hidden="1">
      <c r="B272" s="446">
        <f>DPR!C616</f>
        <v>45624</v>
      </c>
      <c r="C272" s="364" t="str">
        <f>DPR!AJ616</f>
        <v>_x000D_
PCB:Prod'n deferred due to the low efficiency of PCPs in 23 wells._x000D_
GPOC:Prod'n deferred due to biorem limitations, downhole complications._x000D_
A1-A3:Prod'n deferred due to buyer's nomination._x000D_
MECL: PCP rods of 3 wells broken, waiting for WO rig._x000D_
BC-10:Prod'n deferred due to no flaring due to maintenance activites._x000D_
LZC:Blackout of Zakum Central Super Complex.</v>
      </c>
    </row>
    <row r="273" spans="2:3" ht="105" hidden="1">
      <c r="B273" s="446">
        <f>DPR!C615</f>
        <v>45623</v>
      </c>
      <c r="C273" s="364" t="str">
        <f>DPR!AJ615</f>
        <v>_x000D_
PCB:Prod'n deferred due to the low efficiency of PCPs in 23 wells._x000D_
GPOC:Prod'n deferred due to biorem limitations, downhole complications._x000D_
A1-A3:Prod'n deferred due to buyer's nomination._x000D_
MECL: PCP rods of 3 wells broken, waiting for WO rig._x000D_
BC-10:Prod'n deferred due to no flaring due to maintenance activites._x000D_
Sakhalin:New Gas prod'n data received from operator.</v>
      </c>
    </row>
    <row r="274" spans="2:3" ht="90" hidden="1">
      <c r="B274" s="446">
        <f>DPR!C614</f>
        <v>45622</v>
      </c>
      <c r="C274" s="364" t="str">
        <f>DPR!AJ614</f>
        <v>_x000D_
PCB:Prod'n deferred due to the low efficiency of PCPs in 23 wells._x000D_
GPOC:Prod'n deferred due to biorem limitations, downhole complications._x000D_
A1-A3:Prod'n deferred due to buyer's nomination._x000D_
MECL: PCP rods of 3 wells broken, waiting for WO rig._x000D_
BC-10:Prod'n deferred due to no flaring due to maintenance activites.</v>
      </c>
    </row>
    <row r="275" spans="2:3" ht="90" hidden="1">
      <c r="B275" s="446">
        <f>DPR!C613</f>
        <v>45621</v>
      </c>
      <c r="C275" s="364" t="str">
        <f>DPR!AJ613</f>
        <v>_x000D_
PCB:Prod'n deferred due to the low efficiency of PCPs in 23 wells._x000D_
GPOC:Prod'n deferred due to biorem limitations, downhole complications._x000D_
A1-A3:Prod'n deferred due to buyer's nomination._x000D_
_x000D_BC-10:Prod'n deferred due to no flaring due to maintenance activites.
MECL: PCP rods of 3 wells broken, waiting for WO rig.</v>
      </c>
    </row>
    <row r="276" spans="2:3" ht="60" hidden="1">
      <c r="B276" s="446">
        <f>DPR!C612</f>
        <v>45620</v>
      </c>
      <c r="C276" s="364" t="str">
        <f>DPR!AJ612</f>
        <v>_x000D_
PCB:Prod'n deferred due to the low efficiency of PCPs in 23 wells._x000D_
GPOC:Prod'n deferred due to biorem limitations, downhole complications._x000D_
A1-A3:Prod'n deferred due to buyer's nomination.</v>
      </c>
    </row>
    <row r="277" spans="2:3" ht="60" hidden="1">
      <c r="B277" s="446">
        <f>DPR!C611</f>
        <v>45619</v>
      </c>
      <c r="C277" s="364" t="str">
        <f>DPR!AJ611</f>
        <v>_x000D_
PCB:Prod'n deferred due to the low efficiency of PCPs in 23 wells._x000D_
GPOC:Prod'n deferred due to biorem limitations, downhole complications._x000D_
A1-A3:Prod'n deferred due to buyer's nomination.</v>
      </c>
    </row>
    <row r="278" spans="2:3" ht="60" hidden="1">
      <c r="B278" s="446">
        <f>DPR!C610</f>
        <v>45618</v>
      </c>
      <c r="C278" s="364" t="str">
        <f>DPR!AJ610</f>
        <v>_x000D_
PCB:Prod'n deferred due to the low efficiency of PCPs in 23 wells._x000D_
GPOC:Prod'n deferred due to biorem limitations, downhole complications._x000D_
A1-A3:Prod'n deferred due to buyer's nomination.</v>
      </c>
    </row>
    <row r="279" spans="2:3" ht="45" hidden="1">
      <c r="B279" s="446">
        <f>DPR!C609</f>
        <v>45617</v>
      </c>
      <c r="C279" s="364" t="str">
        <f>DPR!AJ609</f>
        <v>_x000D_PCB:Prod'n deferred due to the low efficiency of PCPs in 23 wells._x000D_
A1-A3:Prod'n deferred due to buyer's nomination._x000D_
GPOC:Prod'n deferred due to biorem limitations, downhole complications.</v>
      </c>
    </row>
    <row r="280" spans="2:3" ht="45" hidden="1">
      <c r="B280" s="446">
        <f>DPR!C608</f>
        <v>45616</v>
      </c>
      <c r="C280" s="364" t="str">
        <f>DPR!AJ608</f>
        <v>_x000D_PCB:Prod'n deferred due to the low efficiency of PCPs in 9 wells._x000D_
A1-A3:Prod'n deferred due to buyer's nomination._x000D_
GPOC:Prod'n deferred due to biorem limitations, downhole complications.</v>
      </c>
    </row>
    <row r="281" spans="2:3" ht="75" hidden="1">
      <c r="B281" s="446">
        <f>DPR!C607</f>
        <v>45615</v>
      </c>
      <c r="C281" s="364" t="str">
        <f>DPR!AJ607</f>
        <v>_x000D_PCB:Prod'n deferred due to the low efficiency of PCPs in 9 wells._x000D_
A1-A3:Prod'n deferred due to buyer's nomination._x000D_
GPOC:Prod'n deferred due to biorem limitations, downhole complications._x000D_
Sakhalin-1:New Prod'n data received from operator &amp; prod'n deferred due to overhaul of module 3 consists of Gas Turbine Compressor (GTC) in Chayvo.</v>
      </c>
    </row>
    <row r="282" spans="2:3" ht="45" hidden="1">
      <c r="B282" s="446">
        <f>DPR!C606</f>
        <v>45614</v>
      </c>
      <c r="C282" s="364" t="str">
        <f>DPR!AJ606</f>
        <v>_x000D_PCB:Prod'n deferred due to the low efficiency of PCPs in 9 wells
_x000D_A1-A3:Prod'n deferred due to buyer's nomination._x000D_
GPOC:Prod'n deferred due to biorem limitations, downhole complications.</v>
      </c>
    </row>
    <row r="283" spans="2:3" ht="45" hidden="1">
      <c r="B283" s="446">
        <f>DPR!C605</f>
        <v>45613</v>
      </c>
      <c r="C283" s="364" t="str">
        <f>DPR!AJ605</f>
        <v>_x000D_PCB:Prod'n deferred due to the low efficiency of PCPs in 9 wells_x000D_
GPOC:_x000D_Prod'n deferred due to biorem limitations, downhole complications.
A1-A3:Prod'n deferred due to buyer's nomination.</v>
      </c>
    </row>
    <row r="284" spans="2:3" ht="60" hidden="1">
      <c r="B284" s="446">
        <f>DPR!C604</f>
        <v>45612</v>
      </c>
      <c r="C284" s="364" t="str">
        <f>DPR!AJ604</f>
        <v>_x000D_PCB:_x000D_Prod'n deferred due to the low efficiency of PCPs in 9 wells
GPOC:_x000D_Prod'n deferred due to biorem limitations, downhole complications.
A1-A3:Prod'n deferred due to buyer's nomination._x000D_
LZC:Prod'n deferred due to adverse weather conditions.</v>
      </c>
    </row>
    <row r="285" spans="2:3" ht="60" hidden="1">
      <c r="B285" s="446">
        <f>DPR!C603</f>
        <v>45611</v>
      </c>
      <c r="C285" s="364" t="str">
        <f>DPR!AJ603</f>
        <v>_x000D_PCB:_x000D_Prod'n deferred due to the low efficiency of PCPs in 9 wells.
GPOC:_x000D_Prod'n deferred due to biorem limitations, downhole complications.
A1-A3:Prod'n deferred due to buyer's nomination._x000D_
LZC:Prod'n deferred due to adverse weather conditions.</v>
      </c>
    </row>
    <row r="286" spans="2:3" ht="60" hidden="1">
      <c r="B286" s="446">
        <f>DPR!C602</f>
        <v>45610</v>
      </c>
      <c r="C286" s="364" t="str">
        <f>DPR!AJ602</f>
        <v>_x000D_PCB:_x000D_Prod'n deferred due to the low efficiency of PCPs in 9 wells.
GPOC:Prod'n deferred due to biorem limitations, downhole complications._x000D_
A1-A3:Prod'n deferred due to buyer's nomination._x000D_
Sakhalin-1:New Prod'n data received from operator.</v>
      </c>
    </row>
    <row r="287" spans="2:3" ht="60" hidden="1">
      <c r="B287" s="446">
        <f>DPR!C601</f>
        <v>45609</v>
      </c>
      <c r="C287" s="364" t="str">
        <f>DPR!AJ601</f>
        <v>_x000D_PCB:Prod'n deferred due to the low efficiency of PCPs in 9 wells._x000D_
A1-A3:Prod'n deferred due to buyer's nomination._x000D_
GPOC:Prod'n deferred due to biorem limitations, downhole complications._x000D_
LZC:Due to Barge movment &amp; Gas Processing Facility (GPF) Tripped, prod'n deferred.</v>
      </c>
    </row>
    <row r="288" spans="2:3" ht="45" hidden="1">
      <c r="B288" s="446">
        <f>DPR!C600</f>
        <v>45608</v>
      </c>
      <c r="C288" s="364" t="str">
        <f>DPR!AJ600</f>
        <v>_x000D_PCB:Prod'n deferred due to the low efficiency of PCPs in 9 wells._x000D_
A1-A3:Prod'n deferred due to buyer's nomination._x000D_
GPOC:Prod'n deferred due to biorem limitations, downhole complications.</v>
      </c>
    </row>
    <row r="289" spans="2:3" ht="60" hidden="1">
      <c r="B289" s="446">
        <f>DPR!C599</f>
        <v>45607</v>
      </c>
      <c r="C289" s="364" t="str">
        <f>DPR!AJ599</f>
        <v>Sakhalin-1:New Prod'n data received from operator.
GPOC:Prod'n deferred due to biorem limitations, downhole complications.
A1-A3:Prod'n deferred due to buyer's nomination.
PCB:Prod'n deferred due to the low efficiency of PCPs in 9 wells.</v>
      </c>
    </row>
    <row r="290" spans="2:3" ht="45" hidden="1">
      <c r="B290" s="446">
        <f>DPR!C598</f>
        <v>45606</v>
      </c>
      <c r="C290" s="364" t="str">
        <f>DPR!AJ598</f>
        <v>GPOC:Prod'n deferred due to biorem limitations, downhole complications.
A1-A3:Prod'n deferred due to buyer's nomination.
PCB:Prod'n deferred due to the low efficiency of PCPs in 9 wells.</v>
      </c>
    </row>
    <row r="291" spans="2:3" ht="45" hidden="1">
      <c r="B291" s="446">
        <f>DPR!C597</f>
        <v>45605</v>
      </c>
      <c r="C291" s="364" t="str">
        <f>DPR!AJ597</f>
        <v>GPOC:Prod'n deferred due to biorem limitations, downhole complications.
A1-A3:Prod'n deferred due to buyer's nomination.
PCB:Prod'n deferred due to the low efficiency of PCPs in 9 wells.</v>
      </c>
    </row>
    <row r="292" spans="2:3" ht="75" hidden="1">
      <c r="B292" s="446">
        <f>DPR!C596</f>
        <v>45604</v>
      </c>
      <c r="C292" s="364" t="str">
        <f>DPR!AJ596</f>
        <v>GPOC:Prod'n deferred due to biorem limitations, downhole complications.
A1-A3:Prod'n deferred due to buyer's nomination &amp; Major Corrective Maintenance (Inspection campaign to identify potential corrosion point).
PCB:Prod'n deferred due to the low efficiency of PCPs in 9 wells.
LZC:Due to corrective maintenance activities, prod'n is deferred.</v>
      </c>
    </row>
    <row r="293" spans="2:3" ht="60" hidden="1">
      <c r="B293" s="446">
        <f>DPR!C595</f>
        <v>45603</v>
      </c>
      <c r="C293" s="364" t="str">
        <f>DPR!AJ595</f>
        <v>GPOC:Prod'n deferred due to biorem limitations, downhole complications.
A1-A3:Prod'n deferred due to buyer's nomination &amp; Major Corrective Maintenance (Inspection campaign to identify potential corrosion point).
PCB:Prod'n deferred due to the low efficiency of PCPs in 9 wells.</v>
      </c>
    </row>
    <row r="294" spans="2:3" ht="45" hidden="1">
      <c r="B294" s="446">
        <f>DPR!C594</f>
        <v>45602</v>
      </c>
      <c r="C294" s="364" t="str">
        <f>DPR!AJ594</f>
        <v>GPOC:Prod'n deferred due to biorem limitations, downhole complications.
A1-A3:Prod'n deferred due to buyer's nomination.
PCB:Prod'n deferred due to the low efficiency of PCPs in 9 wells.</v>
      </c>
    </row>
    <row r="295" spans="2:3" ht="45" hidden="1">
      <c r="B295" s="446">
        <f>DPR!C593</f>
        <v>45601</v>
      </c>
      <c r="C295" s="364" t="str">
        <f>DPR!AJ593</f>
        <v>GPOC:Prod'n deferred due to biorem limitations, downhole complications.
A1-A3:Prod'n deferred due to buyer's nomination.
PCB:Prod'n deferred due to the low efficiency of PCPs in 9 wells.</v>
      </c>
    </row>
    <row r="296" spans="2:3" ht="60" hidden="1">
      <c r="B296" s="446">
        <f>DPR!C592</f>
        <v>45600</v>
      </c>
      <c r="C296" s="364" t="str">
        <f>DPR!AJ592</f>
        <v>Sakhalin-1:New Prod'n data received from operator.
GPOC:Prod'n deferred due to biorem limitations, downhole complications.
A1-A3:Prod'n deferred due to buyer's nomination.
PCB:Prod'n deferred due to the low efficiency of PCPs in 9 wells.</v>
      </c>
    </row>
    <row r="297" spans="2:3" ht="60" hidden="1">
      <c r="B297" s="446">
        <f>DPR!C591</f>
        <v>45599</v>
      </c>
      <c r="C297" s="364" t="str">
        <f>DPR!AJ591</f>
        <v>BC-10:Prod'n Ramp-up is ongoing after starting MOBO 1 &amp; 3.
GPOC:Prod'n deferred due to biorem limitations, downhole complications.
A1-A3:Prod'n deferred due to buyer's nomination.
PCB:Prod'n deferred due to the low efficiency of PCPs in 9 wells.</v>
      </c>
    </row>
    <row r="298" spans="2:3" ht="75" hidden="1">
      <c r="B298" s="446">
        <f>DPR!C590</f>
        <v>45598</v>
      </c>
      <c r="C298" s="364" t="str">
        <f>DPR!AJ590</f>
        <v>_x000D_BC-10:Prod'n Ramp-up is ongoing after starting MOBO 1 &amp; 3.
CPO-5:Prod'n deferred due to community blockade at Indico pad.
GPOC:Prod'n deferred due to biorem limitations, downhole complications.
A1-A3:Prod'n deferred due to buyer's nomination.
PCB:Prod'n deferred due to the low efficiency of PCPs in 9 wells.</v>
      </c>
    </row>
    <row r="299" spans="2:3" ht="90" hidden="1">
      <c r="B299" s="446">
        <f>DPR!C589</f>
        <v>45597</v>
      </c>
      <c r="C299" s="364" t="str">
        <f>DPR!AJ589</f>
        <v>LZC:Quota for the month is 422k bopd.
BC-10:ALM-1 Train-C is online with MOBO 1, preparing MOBO 3 for start.
CPO-5:Prod'n deferred due to community blockade at Indico pad.
GPOC:Prod'n deferred due to biorem limitations, downhole complications.
A1-A3:Prod'n deferred due to buyer's nomination.
PCB:Prod'n deferred due to the low efficiency of PCPs in 9 wells.</v>
      </c>
    </row>
    <row r="300" spans="2:3" ht="75" hidden="1">
      <c r="B300" s="446">
        <f>DPR!C588</f>
        <v>45596</v>
      </c>
      <c r="C300" s="364" t="str">
        <f>DPR!AJ588</f>
        <v>BC-10:ALM-1 Train-C is Offline,hence prod'n is deferred.
GPOC:Prod'n deferred due to biorem limitations, downhole complications.
A1-A3:Prod'n deferred due to buyer's nomination.
LZC:Prod'n ramp-up.
PCB:Prod'n deferred due to the low efficiency of PCPs in 9 wells.</v>
      </c>
    </row>
    <row r="301" spans="2:3" ht="105" hidden="1">
      <c r="B301" s="446">
        <f>DPR!C587</f>
        <v>45595</v>
      </c>
      <c r="C301" s="364" t="str">
        <f>DPR!AJ587</f>
        <v>Sakhalin-1:New Prod'n data received from operator &amp; Reason for less prod'n due to maintenance activities on GTG#1 at Berkut Platform.
BC-10:ALM-1 Train-C is Offline,hence prod'n is deferred.
LZC:Due to bad weather, prod'n curtailment started to maintain required ullage.
GPOC:Prod'n deferred due to biorem limitations, downhole complications.
A1-A3:Prod'n deferred due to buyer's nomination.
PCB:Prod'n deferred due to the low efficiency of PCPs in 9 wells.</v>
      </c>
    </row>
    <row r="302" spans="2:3" ht="75" hidden="1">
      <c r="B302" s="446">
        <f>DPR!C586</f>
        <v>45594</v>
      </c>
      <c r="C302" s="364" t="str">
        <f>DPR!AJ586</f>
        <v>LZC:Due to bad weather, prod'n curtailment started to maintain required ullage.
BC-10:ALM-1 Train-C is Offline,hence prod'n is deferred.
GPOC:Prod'n deferred due to biorem limitations, downhole complications.
A1-A3:Prod'n deferred due to buyer's nomination.
PCB:Prod'n deferred due to the low efficiency of PCPs in 9 wells.</v>
      </c>
    </row>
    <row r="303" spans="2:3" ht="75" hidden="1">
      <c r="B303" s="446">
        <f>DPR!C585</f>
        <v>45593</v>
      </c>
      <c r="C303" s="364" t="str">
        <f>DPR!AJ585</f>
        <v>LZC:Due to bad weather, prod'n curtailment started to maintain required ullage.
BC-10:ALM-1 Train-C is Offline,hence prod'n is deferred.
GPOC:Prod'n deferred due to biorem limitations, downhole complications.
A1-A3:Prod'n deferred due to buyer's nomination.
PCB:Prod'n deferred due to the low efficiency of PCPs in 9 wells.</v>
      </c>
    </row>
    <row r="304" spans="2:3" ht="60" hidden="1">
      <c r="B304" s="446">
        <f>DPR!C584</f>
        <v>45592</v>
      </c>
      <c r="C304" s="364" t="str">
        <f>DPR!AJ584</f>
        <v>BC-10:ALM-1 Train-C is Offline,hence prod'n is deferred.
GPOC:Prod'n deferred due to biorem limitations, downhole complications.
A1-A3:Prod'n deferred due to buyer's nomination.
PCB:Prod'n deferred due to the low efficiency of PCPs in 9 wells.</v>
      </c>
    </row>
    <row r="305" spans="2:3" ht="60" hidden="1">
      <c r="B305" s="446">
        <f>DPR!C583</f>
        <v>45591</v>
      </c>
      <c r="C305" s="364" t="str">
        <f>DPR!AJ583</f>
        <v>BC-10:ALM-1 Train-C is Offline,hence prod'n is deferred.
GPOC:Prod'n deferred due to biorem limitations, downhole complications.
A1-A3:Prod'n deferred due to buyer's nomination.
PCB:Prod'n deferred due to the low efficiency of PCPs in 9 wells.</v>
      </c>
    </row>
    <row r="306" spans="2:3" ht="75" hidden="1">
      <c r="B306" s="446">
        <f>DPR!C582</f>
        <v>45590</v>
      </c>
      <c r="C306" s="364" t="str">
        <f>DPR!AJ582</f>
        <v>Sakhalin-1:New Prod'n data received from operator.
BC-10:ALM-1 Train-C is Offline,hence prod'n is deferred.
GPOC:Prod'n deferred due to biorem limitations, downhole complications.
A1-A3:Prod'n deferred due to buyer's nomination.
PCB:Prod'n deferred due to the low efficiency of PCPs in 9 wells.</v>
      </c>
    </row>
    <row r="307" spans="2:3" ht="90" hidden="1">
      <c r="B307" s="446">
        <f>DPR!C581</f>
        <v>45589</v>
      </c>
      <c r="C307" s="364" t="str">
        <f>DPR!AJ581</f>
        <v>B-06.1:Prod'n deferred due to gas compression train-1 tripped due to malfunction.
IEC:Reason awaited from the operator regarding prod'n deferment.
BC-10:ALM-1 Train-C is Offline,hence prod'n is deferred.
GPOC:Prod'n deferred due to biorem limitations, downhole complications.
A1-A3:Prod'n deferred due to buyer's nomination.
PCB:Prod'n deferred due to the low efficiency of PCPs in 9 wells.</v>
      </c>
    </row>
    <row r="308" spans="2:3" ht="60" hidden="1">
      <c r="B308" s="446">
        <f>DPR!C580</f>
        <v>45588</v>
      </c>
      <c r="C308" s="364" t="str">
        <f>DPR!AJ580</f>
        <v>A1-A3:Prod'n deferred due to buyer's nomination.
BC-10:ALM-1 Train-C is Offline,hence prod'n is deferred.
GPOC:Prod'n deferred due to biorem limitations, downhole complications.
PCB:Delay in prod'n stabilization due to constant electrical flickering at Petro carabobo.</v>
      </c>
    </row>
    <row r="309" spans="2:3" ht="75" hidden="1">
      <c r="B309" s="446">
        <f>DPR!C579</f>
        <v>45587</v>
      </c>
      <c r="C309" s="364" t="str">
        <f>DPR!AJ579</f>
        <v>A1-A3:Prod'n deferred due to buyer's nomination.
BC-10:ALM-1 Train-C is Offline,hence prod'n is deferred.
GPOC:Prod'n deferred due to biorem limitations, downhole complications.
CPO-5:CF-2 Well closed temporarily.
PCB:Delay in prod'n stabilization due to constant electrical flickering at Petro carabobo.</v>
      </c>
    </row>
    <row r="310" spans="2:3" ht="75" hidden="1">
      <c r="B310" s="446">
        <f>DPR!C578</f>
        <v>45586</v>
      </c>
      <c r="C310" s="364" t="str">
        <f>DPR!AJ578</f>
        <v>A1-A3:Prod'n deferred due to buyer's nomination.
BC-10:ALM-1 Train-C is Offline,hence prod'n is deferred.
GPOC:Prod'n deferred due to biorem limitations, downhole complications.
CPO-5:CF-2 Well closed temporarily.
PCB:Electrical flickering at Petro carabobo.</v>
      </c>
    </row>
    <row r="311" spans="2:3" ht="75" hidden="1">
      <c r="B311" s="446">
        <f>DPR!C577</f>
        <v>45585</v>
      </c>
      <c r="C311" s="364" t="str">
        <f>DPR!AJ577</f>
        <v>A1-A3:Prod'n deferred due to buyer's nomination.
BC-10:ALM-1 Train-C is Offline,hence prod'n is deferred.
GPOC:Prod'n deferred due to biorem limitations, downhole complications.
CPO-5:Indico-2 Well was closed from 8:00 to 13:00 to replace the Xmastree wing valve &amp; CF-2 Well closed temporarily.
PCB:Electrical flickering at Petro carabobo.</v>
      </c>
    </row>
    <row r="312" spans="2:3" ht="75" hidden="1">
      <c r="B312" s="446">
        <f>DPR!C576</f>
        <v>45584</v>
      </c>
      <c r="C312" s="364" t="str">
        <f>DPR!AJ576</f>
        <v>A1-A3:Prod'n deferred due to buyer's nomination.
BC-10:ALM-1 Train-C is Offline,hence prod'n is deferred.
GPOC:Prod'n deferred due to biorem limitations, downhole complications.
PCB:Electrical flickering at Petro carabobo.
CPO-5:CF-2 Well closed temporarily.</v>
      </c>
    </row>
    <row r="313" spans="2:3" ht="75" hidden="1">
      <c r="B313" s="446">
        <f>DPR!C575</f>
        <v>45583</v>
      </c>
      <c r="C313" s="364" t="str">
        <f>DPR!AJ575</f>
        <v>A1-A3:Prod'n deferred due to buyer's nomination.
BC-10:ALM-1 Train-C is Offline,hence prod'n is deferred.
GPOC:Prod'n deferred due to biorem limitations, downhole complications and power trip at El-Toor &amp; El-Nar.
PCB:Prod'n deferred due to constant electrical flickering at Petro carabobo.
CPO-5:CF-2 Well closed temporarily.</v>
      </c>
    </row>
    <row r="314" spans="2:3" ht="75" hidden="1">
      <c r="B314" s="446">
        <f>DPR!C574</f>
        <v>45582</v>
      </c>
      <c r="C314" s="364" t="str">
        <f>DPR!AJ574</f>
        <v>LZC:Prod'n deferred due to barge movement.
A1-A3:Prod'n deferred due to buyer's nomination &amp; Mya-North shut in.
GPOC:Prod'n deferred due to biorem limitations, downhole complications and power trip at El-Toor &amp; El-Nar.
CPO-5:CF-2 Well closed temporarily.
BC-10:ALM-1 Train-C is Offline,hence prod'n is deferred.</v>
      </c>
    </row>
    <row r="315" spans="2:3" ht="60" hidden="1">
      <c r="B315" s="446">
        <f>DPR!C573</f>
        <v>45581</v>
      </c>
      <c r="C315" s="364" t="str">
        <f>DPR!AJ573</f>
        <v>A1-A3:Prod'n deferred due to buyer's nomination.
GPOC:Prod'n deferred due to biorem limitations, downhole complications.
CPO-5:CF-2 Well closed temporarily.
BC-10:ALM-1 Train-C is Offline,hence prod'n is deferred.</v>
      </c>
    </row>
    <row r="316" spans="2:3" ht="75" hidden="1">
      <c r="B316" s="446">
        <f>DPR!C572</f>
        <v>45580</v>
      </c>
      <c r="C316" s="364" t="str">
        <f>DPR!AJ572</f>
        <v>A1-A3:Prod'n deferred due to buyer's nomination, and DPR will be given on Monday following the Thadingyut holidays, which are held from Oct 16th to 18th.
GPOC:Prod'n deferred due to biorem limitations, downhole complications.
CPO-5:CF-2 Well closed temporarily.
BC-10:ALM-1 Train-C is Offline,hence prod'n is deferred.</v>
      </c>
    </row>
    <row r="317" spans="2:3" ht="90" hidden="1">
      <c r="B317" s="446">
        <f>DPR!C571</f>
        <v>45579</v>
      </c>
      <c r="C317" s="364" t="str">
        <f>DPR!AJ571</f>
        <v>Sakhalin-1:New Prod'n data received from operator.
A1-A3:Prod'n deferred due to buyer's nomination.
GPOC:Prod'n deferred due to biorem limitations, downhole complications and power trip at Toma South.
CPO-5:CF-2 &amp; Mariposa-1 Wells closed temporarily.
BC-10:ALM-1 Train-C is Offline,hence prod'n was deferred.
PCB:Electrical flickering at Petro carabobo.</v>
      </c>
    </row>
    <row r="318" spans="2:3" ht="75" hidden="1">
      <c r="B318" s="446">
        <f>DPR!C570</f>
        <v>45578</v>
      </c>
      <c r="C318" s="364" t="str">
        <f>DPR!AJ570</f>
        <v>A1-A3:Prod'n deferred due to buyer's nomination.
GPOC:Prod'n deferred due to biorem limitations, downhole complications and power trip at El-Toor &amp; Munga.
CPO-5:CF-2 Well closed temporarily.
BC-10:ALM-1 Train-C is Offline,hence prod'n was deferred.
LZC:Reason awaited from the operator regarding prod'n deferment.</v>
      </c>
    </row>
    <row r="319" spans="2:3" ht="60" hidden="1">
      <c r="B319" s="446">
        <f>DPR!C569</f>
        <v>45577</v>
      </c>
      <c r="C319" s="364" t="str">
        <f>DPR!AJ569</f>
        <v>A1-A3:Prod'n deferred due to buyer's nomination.
CPO-5:CF-2 Well closed temporarily &amp; Mariposa-1 well closed due to PBU test.
BC-10:ALM-1 Train-C is Offline,hence prod'n was deferred.
GPOC:Prod'n deferred due to biorem limitations, downhole complications.</v>
      </c>
    </row>
    <row r="320" spans="2:3" ht="60" hidden="1">
      <c r="B320" s="446">
        <f>DPR!C568</f>
        <v>45576</v>
      </c>
      <c r="C320" s="364" t="str">
        <f>DPR!AJ568</f>
        <v>A1-A3:Prod'n deferred due to buyer's nomination.
CPO-5:CF-2 Well closed temporarily &amp; Mariposa-1 well closed due to PBU test.
BC-10:ALM-1 Train-C is Offline,hence prod'n was deferred.
IEC:Reason awaited from the operator regarding prod'n deferment.</v>
      </c>
    </row>
    <row r="321" spans="2:3" ht="60" hidden="1">
      <c r="B321" s="446">
        <f>DPR!C567</f>
        <v>45575</v>
      </c>
      <c r="C321" s="364" t="str">
        <f>DPR!AJ567</f>
        <v>A1-A3:Prod'n deferred due to buyer's nomination.
CPO-5:CF-2 Well closed temporarily &amp; Mariposa-1 well closed due to PBU test.
GPOC:Prod'n deferred due to biorem limitations, downhole complications.
BC-10:ALM-1 Train-C is Offline,hence prod'n was deferred.</v>
      </c>
    </row>
    <row r="322" spans="2:3" ht="75" hidden="1">
      <c r="B322" s="446">
        <f>DPR!C566</f>
        <v>45574</v>
      </c>
      <c r="C322" s="364" t="str">
        <f>DPR!AJ566</f>
        <v>A1-A3:Prod'n deferred due to buyer's nomination.
GPOC:Prod'n deferred due to biorem limitations, downhole complications.
CPO-5:Strike was lifted. Wells gradually opened at Indico pad &amp; CF-2 Well closed temporarily.
BC-10:ALM-1 Train-C is Offline,hence prod'n was deferred.
PCB:Prod'n stabilised after electrical failure.</v>
      </c>
    </row>
    <row r="323" spans="2:3" ht="75" hidden="1">
      <c r="B323" s="446">
        <f>DPR!C565</f>
        <v>45573</v>
      </c>
      <c r="C323" s="364" t="str">
        <f>DPR!AJ565</f>
        <v>A1-A3:Prod'n deferred due to buyer's nomination.
GPOC:Prod'n deferred due to biorem limitations, downhole complications.
CPO-5:Prod'n deferred due to a community strike at indico pad &amp; CF-2 Well closed temporarily.
BC-10:ALM-1 Train-C, ALM-2 Train-B and ALM-3 Train-A are Offline,hence prod'n was deferred.
PCB:Prod'n stabilised after electrical failure.</v>
      </c>
    </row>
    <row r="324" spans="2:3" ht="60" hidden="1">
      <c r="B324" s="446">
        <f>DPR!C564</f>
        <v>45572</v>
      </c>
      <c r="C324" s="364" t="str">
        <f>DPR!AJ564</f>
        <v>A1-A3:Prod'n deferred due to buyer's nomination.
GPOC:Prod'n deferred due to biorem limitations, downhole complications.
CPO-5:Prod'n deferred due to a community strike at indico pad &amp; CF-2 Well closed temporarily.
BC-10:ALM-1 Train-C, ALM-2 Train-B and ALM-3 Train-A are Offline,hence prod'n was deferred.</v>
      </c>
    </row>
    <row r="325" spans="2:3" ht="60" hidden="1">
      <c r="B325" s="446">
        <f>DPR!C563</f>
        <v>45571</v>
      </c>
      <c r="C325" s="364" t="str">
        <f>DPR!AJ563</f>
        <v>A1-A3:Prod'n deferred due to buyer's nomination.
CPO-5:CF-2 Well closed temporarily.
GPOC:Prod'n deferred due to biorem limitations, downhole complications &amp; power tripped at Unity.
PCB:Prod'n stabilised after electrical failure.</v>
      </c>
    </row>
    <row r="326" spans="2:3" ht="60" hidden="1">
      <c r="B326" s="446">
        <f>DPR!C562</f>
        <v>45570</v>
      </c>
      <c r="C326" s="364" t="str">
        <f>DPR!AJ562</f>
        <v>A1-A3:Prod'n deferred due to buyer's nomination.
CPO-5:CF-2 Well closed temporarily.
GPOC:Prod'n deferred due to biorem limitations, downhole complications.
PCB:Electrical failure at PCB, affecting CPF and 51 wells.</v>
      </c>
    </row>
    <row r="327" spans="2:3" ht="60" hidden="1">
      <c r="B327" s="446">
        <f>DPR!C561</f>
        <v>45569</v>
      </c>
      <c r="C327" s="364" t="str">
        <f>DPR!AJ561</f>
        <v>A1-A3:Prod'n deferred due to buyer's nomination.
SPOC:Prod'n deferred due to transformer issue at TJH-19 well.
CPO-5:CF-2 Well closed temporarily.
GPOC:Prod'n deferred due to biorem limitations, downhole complications.</v>
      </c>
    </row>
    <row r="328" spans="2:3" ht="75" hidden="1">
      <c r="B328" s="446">
        <f>DPR!C560</f>
        <v>45568</v>
      </c>
      <c r="C328" s="364" t="str">
        <f>DPR!AJ560</f>
        <v>A1-A3:Prod'n deferred due to buyer's nomination.
SPOC:All Mala, 6 TJ wells shut-in due to high w/c issues at CPF &amp; TJH-13,14 tripped due to power fluctuation and overload alarm, hence prod'n was deferred.
CPO-5:CF-2 Well closed temporarily.
GPOC:Prod'n deferred due to biorem limitations, downhole complications &amp; power tripped at Toma South.</v>
      </c>
    </row>
    <row r="329" spans="2:3" ht="60" hidden="1">
      <c r="B329" s="446">
        <f>DPR!C559</f>
        <v>45567</v>
      </c>
      <c r="C329" s="364" t="str">
        <f>DPR!AJ559</f>
        <v>LZC:prod'n deferred due to barge movement.
A1-A3:Prod'n deferred due to buyer's nomination.
CPO-5:CF-2 Well closed temporarily.
GPOC:Prod'n deferred due to biorem limitations, downhole complications &amp; power tripped at Toma South.</v>
      </c>
    </row>
    <row r="330" spans="2:3" ht="90" hidden="1">
      <c r="B330" s="446">
        <f>DPR!C558</f>
        <v>45566</v>
      </c>
      <c r="C330" s="364" t="str">
        <f>DPR!AJ558</f>
        <v>LZC::Quota for the month is 425k bopd &amp; Prod'n deferred due to barge movement.
SPOC:high w/c issues at CPF, hence prod'n was deferred.
IEC:Prod'n ramp-up.
A1-A3:Prod'n deferred due to buyer's nomination.
CPO-5:CF-2 Well closed temporarily.
GPOC:Prod'n deferred due to biorem limitations, downhole complications.</v>
      </c>
    </row>
    <row r="331" spans="2:3" ht="105" hidden="1">
      <c r="B331" s="446">
        <f>DPR!C557</f>
        <v>45565</v>
      </c>
      <c r="C331" s="364" t="str">
        <f>DPR!AJ557</f>
        <v>SPOC:high w/c issues at CPF, hence prod'n was deferred.
A1-A3:Prod'n deferred due to buyer's nomination.
CPO-5:CF-2 Well closed temporarily.
IEC:Prod'n deferred due to APG Plant s/d.
GPOC:Prod'n deferred due to biorem limitations, downhole complications.
Vankor:Routine repair of the overhead line and power equipment.
PCB:Electrical flickering at PCB, affecting process equipment and 22 wells.</v>
      </c>
    </row>
    <row r="332" spans="2:3" ht="90" hidden="1">
      <c r="B332" s="446">
        <f>DPR!C556</f>
        <v>45564</v>
      </c>
      <c r="C332" s="364" t="str">
        <f>DPR!AJ556</f>
        <v>SPOC:high w/c issues at CPF, hence prod'n was deferred.
IEC:Prod'n deferred due to APG Plant s/d from 23 to 29 Sep'24.
A1-A3:Prod'n deferred due to buyer's nomination.
CPO-5:CF-2 prod'n:431.90 bopd &amp;Well flowing under N2 Injection.
GPOC:Prod'n deferred due to biorem limitations, downhole complications.
Vankor:Routine repair of the overhead line and power equipment.</v>
      </c>
    </row>
    <row r="333" spans="2:3" ht="75" hidden="1">
      <c r="B333" s="446">
        <f>DPR!C555</f>
        <v>45563</v>
      </c>
      <c r="C333" s="364" t="str">
        <f>DPR!AJ555</f>
        <v>SPOC:high w/c issues at CPF, hence prod'n was deferred.
IEC:Prod'n deferred due to APG Plant s/d from 23 to 29 Sep'24.
A1-A3:Prod'n deferred due to buyer's nomination.
CPO-5:CF-2 prod'n:160.38 bopd &amp;Well flowing under N2 Injection.
GPOC:Prod'n deferred due to biorem limitations, downhole complications.</v>
      </c>
    </row>
    <row r="334" spans="2:3" ht="90" hidden="1">
      <c r="B334" s="446">
        <f>DPR!C554</f>
        <v>45562</v>
      </c>
      <c r="C334" s="364" t="str">
        <f>DPR!AJ554</f>
        <v>Sakhalin-1:New Prod'n data received from operator &amp; less prod'n at Odoptu, replaced dry gas seals on GIC#1. At Chayvo, the membrane replaced, and the water glycol system was put back online.
IEC:Prod'n deferred due to APG Plant s/d from 23 to 29 Sep'24.
A1-A3:Prod'n deferred due to buyer's nomination.
CPO-5:CF-2 prod'n:164.91 bopd &amp;Well flowing under N2 Injection.
GPOC:Prod'n deferred due to biorem limitations, downhole complications.</v>
      </c>
    </row>
    <row r="335" spans="2:3" ht="90" hidden="1">
      <c r="B335" s="446">
        <f>DPR!C553</f>
        <v>45561</v>
      </c>
      <c r="C335" s="364" t="str">
        <f>DPR!AJ553</f>
        <v>SPOC:TJH-17, TJH-20 &amp; TJH-23 wells were shut in due to high w/c issues at CPF, hence prod'n was deferred.
IEC:Prod'n deferred due to APG Plant s/d from 23 to 29 Sep'24.
A1-A3:Prod'n deferred due to buyer's nomination.
CPO-5:CF-2 Well, closed temporarily.
GPOC:Prod'n deferred due to biorem limitations, downhole complications and power trip at EL Toor.
BC-10:Prod'n less as some of produced oil is used to fill hot oil tank.</v>
      </c>
    </row>
    <row r="336" spans="2:3" ht="105" hidden="1">
      <c r="B336" s="446">
        <f>DPR!C552</f>
        <v>45560</v>
      </c>
      <c r="C336" s="364" t="str">
        <f>DPR!AJ552</f>
        <v>Sakhalin-1:New Oil Prod'n data received from Operator &amp; less production at Odoptu, completed 8K maintenance of GT engines on gas compression line #2.
IEC:Prod'n deferred due to APG Plant s/d from 23 to 29 Sep'24. 
A1-A3:Prod'n deferred due to buyer's nomination.
CPO-5:CF-2 Well, closed temporarily.
GPOC:Prod'n deferred due to biorem limitations and downhole complications.
BC-10:Prod'n less as some of produced oil is used to fill hot oil tank.</v>
      </c>
    </row>
    <row r="337" spans="2:3" ht="90" hidden="1">
      <c r="B337" s="446">
        <f>DPR!C551</f>
        <v>45559</v>
      </c>
      <c r="C337" s="364" t="str">
        <f>DPR!AJ551</f>
        <v>IEC:Prod'n deferred due to APG Plant s/d.
A1-A3:Prod'n deferred due to buyer's nomination.
CPO-5:CF-2 Well closed for PBU test.
GPOC:Prod'n deferred due to biorem limitations and downhole complications.
BC-10:Prod'n less as some of produced oil is used to fill hot oil tank.
B-06.1:prod'n deferred due to LD1P &amp; LD2P  Both wells were closed due to GT-B tripped.</v>
      </c>
    </row>
    <row r="338" spans="2:3" ht="75" hidden="1">
      <c r="B338" s="446">
        <f>DPR!C550</f>
        <v>45558</v>
      </c>
      <c r="C338" s="364" t="str">
        <f>DPR!AJ550</f>
        <v>IEC:Prod'n deferred due to APG Plant s/d.
A1-A3:Prod'n deferred due to buyer's nomination.
CPO-5:CF-2 Well closed for PBU test.
GPOC:Prod'n deferred due to biorem limitations and downhole complications.
BC-10:Prod'n less as some of produced oil is used to fill hot oil tank.</v>
      </c>
    </row>
    <row r="339" spans="2:3" ht="75" hidden="1">
      <c r="B339" s="446">
        <f>DPR!C549</f>
        <v>45557</v>
      </c>
      <c r="C339" s="364" t="str">
        <f>DPR!AJ549</f>
        <v>A1-A3:Prod'n deferred due to buyer's nomination.
CPO-5:CF-2 prod'n:0.67 bopd &amp;  slickline operations (multirate and PBU tests) ongoing.
GPOC:Prod'n deferred due to biorem limitations and downhole complications.
BC-10:Prod'n less as some of produced oil is used to fill hot oil tank.
LZC:Reason awaited from the operator regarding prod'n deferment.</v>
      </c>
    </row>
    <row r="340" spans="2:3" ht="75" hidden="1">
      <c r="B340" s="446">
        <f>DPR!C548</f>
        <v>45556</v>
      </c>
      <c r="C340" s="364" t="str">
        <f>DPR!AJ548</f>
        <v>A1-A3:Prod'n deferred due to buyer's nomination.
CPO-5:CF-2 prod'n:98.70 bopd &amp; Well closed at 15:20 hrs for slickline operations (multirate and PBU tests).
GPOC:Prod'n deferred due to biorem limitations and downhole complications.
BC-10:Prod'n less as some of produced oil is used to fill hot oil tank.
LZC:Reason awaited from the operator regarding prod'n deferment.</v>
      </c>
    </row>
    <row r="341" spans="2:3" ht="60" hidden="1">
      <c r="B341" s="446">
        <f>DPR!C547</f>
        <v>45555</v>
      </c>
      <c r="C341" s="364" t="str">
        <f>DPR!AJ547</f>
        <v>A1-A3:Prod'n deferred due to buyer's nomination.
GPOC:Prod'n deferred due to biorem limitations, downhole complications and power trip at EL Nar.
BC-10:Prod'n reduced to keep GE header pressure down.
CPO-5:CF-2 prod'n:319.31 bopd &amp; THP decrease from 40 psi to 20 psi.</v>
      </c>
    </row>
    <row r="342" spans="2:3" ht="60" hidden="1">
      <c r="B342" s="446">
        <f>DPR!C546</f>
        <v>45554</v>
      </c>
      <c r="C342" s="364" t="str">
        <f>DPR!AJ546</f>
        <v>A1-A3:Prod'n deferred due to buyer's nomination.
GPOC:Prod'n deferred due to biorem limitations and downhole complications.
BC-10:Prod'n reduced to keep GE header pressure down.
LZC:Al Ghallan zero prod'n due to gas lift compressor s/d. prod'n will resume after 2 days._x000D_</v>
      </c>
    </row>
    <row r="343" spans="2:3" ht="90" hidden="1">
      <c r="B343" s="446">
        <f>DPR!C545</f>
        <v>45553</v>
      </c>
      <c r="C343" s="364" t="str">
        <f>DPR!AJ545</f>
        <v>CPO-5:Cante Flamenco-2 prod'n:946.27 bopd &amp; Chk change from 28/64 to 24/64.
Vankor:Prod'n deferred due to Replacement of faulty sections in the oil gathering pipeline.
A1-A3:Prod'n deferred due to buyer's nomination.
GPOC:Prod'n deferred due to biorem limitations and downhole complications.
BC-10:Prod'n reduced to keep GE header pressure down.
LZC:Reason awaited from the operator regarding prod'n deferment.</v>
      </c>
    </row>
    <row r="344" spans="2:3" ht="60" hidden="1">
      <c r="B344" s="446">
        <f>DPR!C544</f>
        <v>45552</v>
      </c>
      <c r="C344" s="364" t="str">
        <f>DPR!AJ544</f>
        <v>CPO-5:Cante Flamenco-2 prod'n started with 1541.61 bopd.
IEC: Prod'n deferred due to well SM-314 s/d due to ESP trip, Snezhnoye.
A1-A3:Prod'n deferred due to buyer's nomination.
GPOC:Prod'n deferred due to biorem limitations and downhole complications.</v>
      </c>
    </row>
    <row r="345" spans="2:3" ht="75" hidden="1">
      <c r="B345" s="446">
        <f>DPR!C543</f>
        <v>45551</v>
      </c>
      <c r="C345" s="364" t="str">
        <f>DPR!AJ543</f>
        <v>SPOC:28 wells flowing &amp; Prod'n deferred due to Oil Treater &amp; BONO heater issues.
A1-A3:Prod'n deferred due to buyer's nomination.
GPOC:Prod'n deferred due to biorem limitations and downhole complications.
BC-10:Prod'n reduced to keep GE header pressure down.
LZC:Al Ghallan zero prod'n due to gas lift compressor s/d.</v>
      </c>
    </row>
    <row r="346" spans="2:3" ht="75" hidden="1">
      <c r="B346" s="446">
        <f>DPR!C542</f>
        <v>45550</v>
      </c>
      <c r="C346" s="364" t="str">
        <f>DPR!AJ542</f>
        <v>SPOC:28 wells flowing &amp; Prod'n deferred due to Oil Treater &amp; BONO heater issues.
A1-A3:Prod'n deferred due to buyer's nomination.
GPOC:Prod'n deferred due to biorem limitations and downhole complications.
BC-10:Prod'n reduced to keep GE header pressure down.
LZC:Al Ghallan zero prod'n due to gas lift compressor s/d.</v>
      </c>
    </row>
    <row r="347" spans="2:3" ht="60" hidden="1">
      <c r="B347" s="446">
        <f>DPR!C541</f>
        <v>45549</v>
      </c>
      <c r="C347" s="364" t="str">
        <f>DPR!AJ541</f>
        <v>SPOC:27 wells flowing &amp; Prod'n deferred due to Oil Treater &amp; BONO heater issues.
A1-A3:Prod'n deferred due to buyer's nomination.
GPOC:Prod'n deferred due to biorem limitations and downhole complications.
BC-10:Prod'n reduced to keep GE header pressure down.</v>
      </c>
    </row>
    <row r="348" spans="2:3" ht="75" hidden="1">
      <c r="B348" s="446">
        <f>DPR!C540</f>
        <v>45548</v>
      </c>
      <c r="C348" s="364" t="str">
        <f>DPR!AJ540</f>
        <v>Sakhalin-1:New Oil Prod'n data received from the Operator.
SPOC:21 wells flowing Prod'n deferred due to Oil Treater &amp; BONO heater issues.
A1-A3:Prod'n deferred due to buyer's nomination.
GPOC:Prod'n deferred due to biorem limitations and downhole complications.
BC-10:Prod'n reduced to keep GE header pressure down.</v>
      </c>
    </row>
    <row r="349" spans="2:3" ht="60" hidden="1">
      <c r="B349" s="446">
        <f>DPR!C539</f>
        <v>45547</v>
      </c>
      <c r="C349" s="364" t="str">
        <f>DPR!AJ539</f>
        <v>LZC:Prod'n deferred due to ZK-45 Oil radial s/d for 5hrs due to Rig Junanah Skid-in Operation.
SPOC:6 wells flowing prod'n deferred due to Oil Treater &amp; BONO heater issues.
A1-A3:Prod'n deferred due to buyer's nomination.
GPOC:Prod'n deferred due to biorem limitations and downhole complications.</v>
      </c>
    </row>
    <row r="350" spans="2:3" ht="60" hidden="1">
      <c r="B350" s="446">
        <f>DPR!C538</f>
        <v>45546</v>
      </c>
      <c r="C350" s="364" t="str">
        <f>DPR!AJ538</f>
        <v>SPOC:6 wells flowing &amp; Prod'n deferred due to Oil Treater &amp; BONO heater issues.
A1-A3:Prod'n deferred due to buyer's nomination.
GPOC:Prod'n deferred due to biorem limitations and downhole complications.
BC-10:Prod'n reduced to keep GE header pressure down.</v>
      </c>
    </row>
    <row r="351" spans="2:3" ht="60" hidden="1">
      <c r="B351" s="446">
        <f>DPR!C537</f>
        <v>45545</v>
      </c>
      <c r="C351" s="364" t="str">
        <f>DPR!AJ537</f>
        <v>SPOC:6 wells flowing &amp; Prod'n deferred due to Oil Treater &amp; BONO heater issues.
A1-A3:Prod'n deferred due to buyer's nomination.
GPOC:Prod'n deferred due to biorem limitations and downhole complications.
BC-10:Prod'n reduced to keep GE header pressure down.</v>
      </c>
    </row>
    <row r="352" spans="2:3" ht="75" hidden="1">
      <c r="B352" s="446">
        <f>DPR!C536</f>
        <v>45544</v>
      </c>
      <c r="C352" s="364" t="str">
        <f>DPR!AJ536</f>
        <v>Sakhalin-1:New Oil Prod'n data received from the Operator.
BC-10:Prod'n reduced to keep GE header pressure down.
SPOC:15 wells flowing &amp; Prod'n deferred due to Oil Treater &amp; BONO heater issues.
A1-A3:Prod'n deferred due to buyer's nomination.
GPOC:Prod'n deferred due to biorem limitations and downhole complications.</v>
      </c>
    </row>
    <row r="353" spans="2:3" ht="45" hidden="1">
      <c r="B353" s="446">
        <f>DPR!C535</f>
        <v>45543</v>
      </c>
      <c r="C353" s="364" t="str">
        <f>DPR!AJ535</f>
        <v>A1-A3:Prod'n deferred due to buyer's nomination.
SPOC:15 wells flowing &amp; Prod'n deferred due to Oil Treater &amp; BONO heater issues.
GPOC:Prod'n deferred due to biorem limitations and downhole complications.</v>
      </c>
    </row>
    <row r="354" spans="2:3" ht="60" hidden="1">
      <c r="B354" s="446">
        <f>DPR!C534</f>
        <v>45542</v>
      </c>
      <c r="C354" s="364" t="str">
        <f>DPR!AJ534</f>
        <v>A1-A3:Prod'n deferred due to buyer's nomination &amp; pipeline maintenance in China.
SPOC:Export not yet started. 15 wells flowing (TJ-6 Mala-9 Prod'n-2.3k bopd) Prod'n deferred due to Oil Treater &amp; BONO heater issues.
GPOC:Prod'n deferred due to biorem limitations and downhole complications.</v>
      </c>
    </row>
    <row r="355" spans="2:3" ht="60" hidden="1">
      <c r="B355" s="446">
        <f>DPR!C533</f>
        <v>45541</v>
      </c>
      <c r="C355" s="364" t="str">
        <f>DPR!AJ533</f>
        <v>A1-A3:Prod'n deferred due to buyer's nomination &amp; pipeline maintenance in China.
SPOC:Export not yet started. 15 wells flowing (TJ-6 Mala-9 Prod'n-803.2 bopd) Prod'n deferred due to Oil Treater &amp; BONO heater issues.
GPOC:Prod'n deferred due to biorem limitations and downhole complications.</v>
      </c>
    </row>
    <row r="356" spans="2:3" ht="60" hidden="1">
      <c r="B356" s="446">
        <f>DPR!C532</f>
        <v>45540</v>
      </c>
      <c r="C356" s="364" t="str">
        <f>DPR!AJ532</f>
        <v>ACG:Prod'n ramped up after s/d, Central Azeri.
A1-A3:Prod'n deferred due to buyer's nomination.
SPOC:TJ stopped export due to EOT &amp; BONO heater issues (Prod'n:-7.2k bopd).
GPOC:Prod'n deferred due to biorem limitations and downhole complications.</v>
      </c>
    </row>
    <row r="357" spans="2:3" ht="60" hidden="1">
      <c r="B357" s="446">
        <f>DPR!C531</f>
        <v>45539</v>
      </c>
      <c r="C357" s="364" t="str">
        <f>DPR!AJ531</f>
        <v>ACG:Prod'n deferred as fire broke on scaffolding of GIC Train-4, Central Azeri.
A1-A3:Prod'n deferred due to buyer's nomination.
SPOC:TJ stopped export due to EOT issues (Prod'n:-10.7k bopd).
GPOC:Prod'n deferred due to biorem limitations and downhole complications.</v>
      </c>
    </row>
    <row r="358" spans="2:3" ht="75" hidden="1">
      <c r="B358" s="446">
        <f>DPR!C530</f>
        <v>45538</v>
      </c>
      <c r="C358" s="364" t="str">
        <f>DPR!AJ530</f>
        <v>ACG:Prod'n deferred as fire broke on scaffolding of GIC Train-4, Central Azeri.
A1-A3:Prod'n deferred due to buyer's nomination.
SPOC:TJ stopped export due to EOT issues.
GPOC:Prod'n deferred due to biorem limitations and downhole complications.
LZC: The shortfall in prod'n is due to barge movement and planned activities, to be rectified in 2 days.</v>
      </c>
    </row>
    <row r="359" spans="2:3" ht="90" hidden="1">
      <c r="B359" s="446">
        <f>DPR!C529</f>
        <v>45537</v>
      </c>
      <c r="C359" s="364" t="str">
        <f>DPR!AJ529</f>
        <v>Sakhalin-1:New Prod'n data received from Operator. Prod'n deferred due to s/d of the booster gas comp. at Chayvo in week of 23–29 Aug'24.
A1&amp;A3:Prod'n deferred due to buyer's nomination.
SPOC:TJ stopped export due to EOT issues.
LZC: The shortfall in prod'n is due to barge movement and planned activities, to be rectified in 2 days.
GPOC:Prod'n deferred due to biorem limitations and downhole complications.</v>
      </c>
    </row>
    <row r="360" spans="2:3" ht="60" hidden="1">
      <c r="B360" s="446">
        <f>DPR!C528</f>
        <v>45536</v>
      </c>
      <c r="C360" s="364" t="str">
        <f>DPR!AJ528</f>
        <v>LZC:Quota for the month is 421k BOPD.
GPOC:Prod'n deferred due to biorem limitations and downhole complications  that stopped several wells at Toma South, Unity, El Toor, and Munga.
A1&amp;A3:buyer's nomination.</v>
      </c>
    </row>
    <row r="361" spans="2:3" ht="90" hidden="1">
      <c r="B361" s="446">
        <f>DPR!C527</f>
        <v>45535</v>
      </c>
      <c r="C361" s="364" t="str">
        <f>DPR!AJ527</f>
        <v>A1&amp;A3:buyer's nomination.
SPOC:WHCC resumed export to PS#1.
GPOC:Prod'n deferred due to biorem limitations and downhole complications  that stopped several wells at Toma South, Unity, El Toor, and Munga.
PCB:Prod'n deferred due to power blackout in Venezuela.
SCB:Prod'n deferred due to power blackout in Venezuela.</v>
      </c>
    </row>
    <row r="362" spans="2:3" ht="90" hidden="1">
      <c r="B362" s="446">
        <f>DPR!C526</f>
        <v>45534</v>
      </c>
      <c r="C362" s="364" t="str">
        <f>DPR!AJ526</f>
        <v>SPOC:WHCC resumed export to PS#1.
GPOC:Prod'n deferred due to biorem limitations and downhole complications  that stopped several wells at Toma South, Unity, El Toor, and Munga.
A1-A3:Mya-North wells shut in due to subsea communication loss &amp; SHP full production s/d due to produced water degassing.
PCB:Prod'n deferred due to power blackout in Venezuela.</v>
      </c>
    </row>
    <row r="363" spans="2:3" ht="45" hidden="1">
      <c r="B363" s="446">
        <f>DPR!C525</f>
        <v>45533</v>
      </c>
      <c r="C363" s="364" t="str">
        <f>DPR!AJ525</f>
        <v>SPOC:Export from WHCC to PS#1 stopped due to low COBT level.(Field Prod'n:-13.3k bopd)
A1&amp;A3:buyer's nomination.
GPOC:Prod'n deferred due to power tripped at Field.</v>
      </c>
    </row>
    <row r="364" spans="2:3" ht="27" hidden="1" customHeight="1">
      <c r="B364" s="446">
        <f>DPR!C524</f>
        <v>45532</v>
      </c>
      <c r="C364" s="364" t="str">
        <f>DPR!AJ524</f>
        <v>SPOC:TJ CPF stopped export to WHCC.(Field Prod'n:-11.6k bopd)
A1&amp;A3:buyer's nomination.
GPOC:Prod'n deferred due to power tripped at Field.</v>
      </c>
    </row>
    <row r="365" spans="2:3" ht="34.35" hidden="1" customHeight="1">
      <c r="B365" s="446">
        <f>DPR!C523</f>
        <v>45531</v>
      </c>
      <c r="C365" s="364" t="str">
        <f>DPR!AJ523</f>
        <v>IEC:Prod'n deferred due to a sudden increase in water cut from 5% to 13% at well no. 133 in the Snezhnoye field.
SPOC:TJ CPF stopped export to WHCC.(Field Prod'n:-12.7k bopd)
A1&amp;A3:buyer's nomination.
BC-10:Reason awaited from the operator regarding prod'n deferment.
GPOC:Prod'n deferred due to power tripped at Field.</v>
      </c>
    </row>
    <row r="366" spans="2:3" ht="19.350000000000001" hidden="1" customHeight="1">
      <c r="B366" s="446">
        <f>DPR!C522</f>
        <v>45530</v>
      </c>
      <c r="C366" s="364" t="str">
        <f>DPR!AJ522</f>
        <v>GPOC:Prod'n Deferred due to a transmission line issue at Munga and power outage at Toma South.
A1&amp;A3:Prod'n deferred due to buyer's nomination.
SPOC:TJ CPF stopped export to WHCC.(Field Prod'n:-10.2k bopd)
BC-10:Reason awaited from the operator regarding prod'n deferment.</v>
      </c>
    </row>
    <row r="367" spans="2:3" ht="21" hidden="1" customHeight="1">
      <c r="B367" s="446">
        <f>DPR!C521</f>
        <v>45529</v>
      </c>
      <c r="C367" s="364" t="str">
        <f>DPR!AJ521</f>
        <v>PCB:Prod'n deferred due to electrical failure leading to minor shatdowns.
GPOC:Prod'n Deferred due to a transmission line issue at Munga, a power outage at Toma South, and El Nar.
A1&amp;A3:Prod'n deferred due to buyer's nomination.
SPOC: TJ CPF stopped export to WHCC.(Field Prod'n:-11.3k bopd)</v>
      </c>
    </row>
    <row r="368" spans="2:3" ht="26.25" hidden="1" customHeight="1">
      <c r="B368" s="446">
        <f>DPR!C520</f>
        <v>45528</v>
      </c>
      <c r="C368" s="364" t="str">
        <f>DPR!AJ520</f>
        <v>GPOC:Prod'n Deferred due to Power tripped at Toma South,El Nar,Unity,El Toor &amp; Munga.
A1&amp;A3:Prod'n deferred due to buyer's nomination.
SPOC:TJ CPF stopped export to WHCC.(Field Prod'n:-12.7k bopd)</v>
      </c>
    </row>
    <row r="369" spans="2:3" ht="17.25" hidden="1" customHeight="1">
      <c r="B369" s="446">
        <f>DPR!C519</f>
        <v>45527</v>
      </c>
      <c r="C369" s="364" t="str">
        <f>DPR!AJ519</f>
        <v>GPOC:Prod'n Deferred due to Power tripped at Toma South,El Nar,Unity,El Toor &amp; Munga.
A1&amp;A3:Prod'n deferred due to buyer's nomination.
SCB:The heating system being out of service due to internal plugging is causing prod'n deferment.</v>
      </c>
    </row>
    <row r="370" spans="2:3" ht="20.100000000000001" hidden="1" customHeight="1">
      <c r="B370" s="446">
        <f>DPR!C518</f>
        <v>45526</v>
      </c>
      <c r="C370" s="364" t="str">
        <f>DPR!AJ518</f>
        <v>A1&amp;A3:Prod'n deferred due to buyer's nomination.
SPOC:WHCC restarted export to PS1.
GPOC:Prod'n Deferred due to Power tripped at El Nar &amp; El Toor.</v>
      </c>
    </row>
    <row r="371" spans="2:3" ht="18.600000000000001" hidden="1" customHeight="1">
      <c r="B371" s="446">
        <f>DPR!C517</f>
        <v>45525</v>
      </c>
      <c r="C371" s="364" t="str">
        <f>DPR!AJ517</f>
        <v>A1&amp;A3:Prod'n deferred due to buyer's nomination.
SPOC:WHCC restarted export to PS1.</v>
      </c>
    </row>
    <row r="372" spans="2:3" ht="12.6" hidden="1" customHeight="1">
      <c r="B372" s="446">
        <f>DPR!C516</f>
        <v>45524</v>
      </c>
      <c r="C372" s="364" t="str">
        <f>DPR!AJ516</f>
        <v>A1&amp;A3:Prod'n deferred due to buyer's nomination.
PCB:Prod'n deferred due to PCP Issue.</v>
      </c>
    </row>
    <row r="373" spans="2:3" ht="15.6" hidden="1" customHeight="1">
      <c r="B373" s="446">
        <f>DPR!C515</f>
        <v>45523</v>
      </c>
      <c r="C373" s="364" t="str">
        <f>DPR!AJ515</f>
        <v>A1&amp;A3:Prod'n deferred due to buyer's nomination.
Sakhalin-1:New Oil Prod'n data received from the Operator and Prod'n deferred because planned maintenance on GTC 2 and GTC 1 at Chayvo OPF has begun.</v>
      </c>
    </row>
    <row r="374" spans="2:3" hidden="1">
      <c r="B374" s="446">
        <f>DPR!C514</f>
        <v>45522</v>
      </c>
      <c r="C374" s="364" t="str">
        <f>DPR!AJ514</f>
        <v>A1&amp;A3:Prod'n deferred due to buyer's nomination.</v>
      </c>
    </row>
    <row r="375" spans="2:3" ht="30" hidden="1">
      <c r="B375" s="446">
        <f>DPR!C513</f>
        <v>45521</v>
      </c>
      <c r="C375" s="364" t="str">
        <f>DPR!AJ513</f>
        <v>PCB:Prod'n deferred due to malfunction in Crude Oil Heater.
A1&amp;A3:Prod'n deferred due to buyer's nomination.</v>
      </c>
    </row>
    <row r="376" spans="2:3" ht="30" hidden="1">
      <c r="B376" s="446">
        <f>DPR!C512</f>
        <v>45520</v>
      </c>
      <c r="C376" s="364" t="str">
        <f>DPR!AJ512</f>
        <v>SPOC:WHCC stopped export to PS1 as per Motor Control Center (MCC) requested.
A1&amp;A3:Prod'n deferred due to buyer's nomination.</v>
      </c>
    </row>
    <row r="377" spans="2:3" hidden="1">
      <c r="B377" s="446">
        <f>DPR!C511</f>
        <v>45519</v>
      </c>
      <c r="C377" s="364" t="str">
        <f>DPR!AJ511</f>
        <v>A1&amp;A3:Prod'n deferred due to buyer's nomination.</v>
      </c>
    </row>
    <row r="378" spans="2:3" ht="45" hidden="1">
      <c r="B378" s="446">
        <f>DPR!C510</f>
        <v>45518</v>
      </c>
      <c r="C378" s="364" t="str">
        <f>DPR!AJ510</f>
        <v>SPOC:WHCC restarted export to PS1.
A1&amp;A3:Prod'n deferred due to buyer's nomination.
Sakhalin-1:New Gas Prod'n data received from the Operator.</v>
      </c>
    </row>
    <row r="379" spans="2:3" ht="75" hidden="1">
      <c r="B379" s="446">
        <f>DPR!C509</f>
        <v>45517</v>
      </c>
      <c r="C379" s="364" t="str">
        <f>DPR!AJ509</f>
        <v>PCB:Prod'n deferred due to electrical flickering in the circuit associated with Petrocarabobo, affecting process equipment and 12 wells.
A1&amp;A3:Prod'n deferred due to buyer's nomination.
Sakhalin-1:New Oil Prod'n data received from the Operator. Slowdown activities were being carried out for regular summer maintenance. (Slowdown period 2nd Aug to 8th Aug). From 7th August prod'n has returned to previous level.</v>
      </c>
    </row>
    <row r="380" spans="2:3" ht="60" hidden="1">
      <c r="B380" s="446">
        <f>DPR!C508</f>
        <v>45516</v>
      </c>
      <c r="C380" s="364" t="str">
        <f>DPR!AJ508</f>
        <v>GPOC:Prod'n deferred due to Power trip in Unity.
A1&amp;A3:Prod'n deferred due to buyer's nomination.
SPOC:WHCC stopped export to PS1 as per Motor Control Center (MCC) requested.
LZC:Reason awaited from the operator.</v>
      </c>
    </row>
    <row r="381" spans="2:3" ht="75" hidden="1">
      <c r="B381" s="446">
        <f>DPR!C507</f>
        <v>45515</v>
      </c>
      <c r="C381" s="364" t="str">
        <f>DPR!AJ507</f>
        <v>A1&amp;A3:Due to SHP EGC-B &amp; Separator-B tripped, prod'n has been deferred.
CPO-5:Indico wells are progressively being opened after Community Strike.
LZC:Reason awaited from the operator.
SPOC:WHCC stopped export to PS1 as per Motor Control Center (MCC) requested.
GPOC:Prod'n deferred due to Power trip in Unity.</v>
      </c>
    </row>
    <row r="382" spans="2:3" ht="45" hidden="1">
      <c r="B382" s="446">
        <f>DPR!C506</f>
        <v>45514</v>
      </c>
      <c r="C382" s="364" t="str">
        <f>DPR!AJ506</f>
        <v>GPOC:Prod'n deferred due to Power trip in Unity &amp; El-toor.
CPO-5:Prod'n deferred due to community strike at Indico field.
SPOC:WHCC stopped export to PS1 as per Motor Control Center (MCC) requested.</v>
      </c>
    </row>
    <row r="383" spans="2:3" ht="30" hidden="1">
      <c r="B383" s="446">
        <f>DPR!C505</f>
        <v>45513</v>
      </c>
      <c r="C383" s="364" t="str">
        <f>DPR!AJ505</f>
        <v xml:space="preserve">SCB:The heating system being out of service due to internal plugging is causing prod'n deferment
</v>
      </c>
    </row>
    <row r="384" spans="2:3" ht="45" hidden="1">
      <c r="B384" s="446">
        <f>DPR!C504</f>
        <v>45512</v>
      </c>
      <c r="C384" s="364" t="str">
        <f>DPR!AJ504</f>
        <v>LZC:Reason awaited from the operator.
B-06.1:Prod'n deferred due to the tripping of gas compression train 2.
ACG:Due to HP Separator and Train-2 being offline, prod'n has been deferred.</v>
      </c>
    </row>
    <row r="385" spans="2:3" ht="45" hidden="1">
      <c r="B385" s="446">
        <f>DPR!C503</f>
        <v>45511</v>
      </c>
      <c r="C385" s="364" t="str">
        <f>DPR!AJ503</f>
        <v>Sakhalin-1:New Oil Prod'n data received from the Operator.
SPOC:WHCC restarted export to PS1.
ACG:Due to HP Separator, Test Separator and Train-1,2 being offline, prod'n has been deferred.</v>
      </c>
    </row>
    <row r="386" spans="2:3" ht="30" hidden="1">
      <c r="B386" s="446">
        <f>DPR!C502</f>
        <v>45510</v>
      </c>
      <c r="C386" s="364" t="str">
        <f>DPR!AJ502</f>
        <v>ACG:Due to HP Separator, Test Separator and Train-1,2 being offline, prod'n has been deferred.
SPOC: TJ CPF stopped export for maintenance on Transformers at CPP.(Oil Produced 12,588 bbl.)</v>
      </c>
    </row>
    <row r="387" spans="2:3" ht="30" hidden="1">
      <c r="B387" s="446">
        <f>DPR!C501</f>
        <v>45509</v>
      </c>
      <c r="C387" s="364" t="str">
        <f>DPR!AJ501</f>
        <v>ACG:Due to HP Separator, Test Separator and Train-1,2 being offline, prod'n has been deferred.
SPOC: TJ CPF stopped export for maintenance on Transformers at CPP.(Oil Produced 13,565 bbl.)</v>
      </c>
    </row>
    <row r="388" spans="2:3" ht="75" hidden="1">
      <c r="B388" s="446">
        <f>DPR!C500</f>
        <v>45508</v>
      </c>
      <c r="C388" s="364" t="str">
        <f>DPR!AJ500</f>
        <v>LZC:As per ADNOC Offshore(ADOF), Al-Ghallan Island's prod'n s/d due to SD activities in AGI. Production is expected to resume in next two days.
SPOC: TJ CPF stopped export for maintenance on Transformers at CPP.(Oil Produced 12,027 bbl.)
ACG:Due to HP Separator, Test Separator and Train-1,2 being offline, prod'n has been deferred.
GPOC:Prod'n deferred due to Power trip in Unity,Munga &amp; EL-Toor.</v>
      </c>
    </row>
    <row r="389" spans="2:3" ht="90" hidden="1">
      <c r="B389" s="446">
        <f>DPR!C499</f>
        <v>45507</v>
      </c>
      <c r="C389" s="364" t="str">
        <f>DPR!AJ499</f>
        <v>SPOC:Prod'n deferred due to TJ-3 still shut-in due to VSD issue.
LZC:Quota for the month is 422k BOPD &amp; 
As per ADNOC Offshore(ADOF), Al-Ghallan Island's prod'n s/d due to SD activities in AGI. Production is expected to resume in next two days.
B-06.1: Prod'n deferred due to P2 well being shut-in.
ACG:Due to HP Separator, Test Separator and Train-1,2 being offline, prod'n has been deferred.</v>
      </c>
    </row>
    <row r="390" spans="2:3" ht="45" hidden="1">
      <c r="B390" s="446">
        <f>DPR!C498</f>
        <v>45506</v>
      </c>
      <c r="C390" s="364" t="str">
        <f>DPR!AJ498</f>
        <v>Sakhalin-1:New Oil Prod'n data received from the Operator.
LZC:Quota for the month is 422k BOPD.
ACG:Due to HP Separator, Test Separator and Train-1,2 being offline, prod'n has been deferred.</v>
      </c>
    </row>
    <row r="391" spans="2:3" hidden="1">
      <c r="B391" s="446">
        <f>DPR!C497</f>
        <v>45505</v>
      </c>
      <c r="C391" s="364" t="str">
        <f>DPR!AJ497</f>
        <v>LZC:Quota for the month is 422k BOPD.</v>
      </c>
    </row>
    <row r="392" spans="2:3" hidden="1">
      <c r="B392" s="446">
        <f>DPR!C496</f>
        <v>45504</v>
      </c>
      <c r="C392" s="364">
        <f>DPR!AJ496</f>
        <v>0</v>
      </c>
    </row>
    <row r="393" spans="2:3" hidden="1">
      <c r="B393" s="446">
        <f>DPR!C495</f>
        <v>45503</v>
      </c>
      <c r="C393" s="364" t="str">
        <f>DPR!AJ495</f>
        <v>A1&amp;A3:Prod'n deferred due issue in digital controller.</v>
      </c>
    </row>
    <row r="394" spans="2:3" ht="30" hidden="1">
      <c r="B394" s="446">
        <f>DPR!C494</f>
        <v>45502</v>
      </c>
      <c r="C394" s="364" t="str">
        <f>DPR!AJ494</f>
        <v>Vankor:Less gas prod'n due to the annual scheduled preventive maintenance of gas treatment and transfer facilities (for gas delivery in Gazprom header ) from 23rd Jul'24 to 30th Jul'24.</v>
      </c>
    </row>
    <row r="395" spans="2:3" ht="45" hidden="1">
      <c r="B395" s="446">
        <f>DPR!C493</f>
        <v>45501</v>
      </c>
      <c r="C395" s="364" t="str">
        <f>DPR!AJ493</f>
        <v>Vankor:Less gas prod'n due to the annual scheduled preventive maintenance of gas treatment and transfer facilities (for gas delivery in Gazprom header ) from 23rd Jul'24 to 30th Jul'24.
PCB:PCB:Prod'n deferred due to electrical failure leading to minor shatdowns.</v>
      </c>
    </row>
    <row r="396" spans="2:3" ht="30" hidden="1">
      <c r="B396" s="446">
        <f>DPR!C492</f>
        <v>45500</v>
      </c>
      <c r="C396" s="364" t="str">
        <f>DPR!AJ492</f>
        <v>Vankor:Less gas prod'n due to the annual scheduled preventive maintenance of gas treatment and transfer facilities (for gas delivery in Gazprom header ) from 23rd Jul'24 to 30th Jul'24.</v>
      </c>
    </row>
    <row r="397" spans="2:3" ht="45" hidden="1">
      <c r="B397" s="446">
        <f>DPR!C491</f>
        <v>45499</v>
      </c>
      <c r="C397" s="364" t="str">
        <f>DPR!AJ491</f>
        <v>Vankor:Less gas prod'n due to the annual scheduled preventive maintenance of gas treatment and transfer facilities (for gas delivery in Gazprom header ) from 23rd Jul'24 to 30th Jul'24.
BC-10:Reason awaited from the operator regarding prod'n deferment.</v>
      </c>
    </row>
    <row r="398" spans="2:3" ht="30" hidden="1">
      <c r="B398" s="446">
        <f>DPR!C490</f>
        <v>45498</v>
      </c>
      <c r="C398" s="364" t="str">
        <f>DPR!AJ490</f>
        <v>Vankor:Less gas prod'n due to the annual scheduled preventive maintenance of gas treatment and transfer facilities (for gas delivery in Gazprom header ) from 23rd Jul'24 to 30th Jul'24.</v>
      </c>
    </row>
    <row r="399" spans="2:3" ht="45" hidden="1">
      <c r="B399" s="446">
        <f>DPR!C489</f>
        <v>45497</v>
      </c>
      <c r="C399" s="364" t="str">
        <f>DPR!AJ489</f>
        <v>Vankor:Less gas prduction  due to the annual scheduled preventive maintenance of gas treatment and transfer facilities (for gas delivery in Gazprom header ) from 23.07.2024 to 30.07.2024.
BC-10: Prod'n is being restored after resolving the leakage issue.</v>
      </c>
    </row>
    <row r="400" spans="2:3" ht="60" hidden="1">
      <c r="B400" s="446">
        <f>DPR!C488</f>
        <v>45496</v>
      </c>
      <c r="C400" s="364" t="str">
        <f>DPR!AJ488</f>
        <v>BC-10: Prod'n is being restored after resolving the leakage issue.
Sakhalin-1:Prod'n figures revised by the Operator.
Vankor:Less gas prduction  due to the annual scheduled preventive maintenance of gas treatment and transfer facilities (for gas delivery in Gazprom header ) from 23.07.2024 to 30.07.2024.</v>
      </c>
    </row>
    <row r="401" spans="2:3" ht="45" hidden="1">
      <c r="B401" s="446">
        <f>DPR!C487</f>
        <v>45495</v>
      </c>
      <c r="C401" s="364" t="str">
        <f>DPR!AJ487</f>
        <v>BC-10: Prod'n is being restored after resolving the leakage issue.
CPO-5:Prod'n defferd due to community blocked at CPH field.
SCB:The heating system being out of service due to internal plugging is causing prod'n deferment.</v>
      </c>
    </row>
    <row r="402" spans="2:3" ht="45" hidden="1">
      <c r="B402" s="446">
        <f>DPR!C486</f>
        <v>45494</v>
      </c>
      <c r="C402" s="364" t="str">
        <f>DPR!AJ486</f>
        <v xml:space="preserve">CPO-5:Prod'n defferd due to community blocked at CPH field.
BC-10: prod'n deffered due to leakage was detected in offloading hose section,normal prod'n resume expected by 23rd Jul'24. </v>
      </c>
    </row>
    <row r="403" spans="2:3" ht="45" hidden="1">
      <c r="B403" s="446">
        <f>DPR!C485</f>
        <v>45493</v>
      </c>
      <c r="C403" s="364" t="str">
        <f>DPR!AJ485</f>
        <v xml:space="preserve">CPO-5:Prod'n defferd due to community blocked at CPH field.
BC-10: prod'n deffered due to leakage was detected in offloading hose section,normal prod'n resume expected by 23rd Jul'24. </v>
      </c>
    </row>
    <row r="404" spans="2:3" ht="45" hidden="1">
      <c r="B404" s="446">
        <f>DPR!C484</f>
        <v>45492</v>
      </c>
      <c r="C404" s="364" t="str">
        <f>DPR!AJ484</f>
        <v xml:space="preserve">SCB:The heating system being out of service due to internal plugging is causing prod'n deferment.
BC-10: prod'n deffered due to leakage was detected in offloading hose section,normal prod'n resume expected by 23rd Jul'24. </v>
      </c>
    </row>
    <row r="405" spans="2:3" ht="60" hidden="1">
      <c r="B405" s="446">
        <f>DPR!C483</f>
        <v>45491</v>
      </c>
      <c r="C405" s="364" t="str">
        <f>DPR!AJ483</f>
        <v xml:space="preserve">LZC:Production deffered due to GPF train 2 maintenance activity.
GPOC:Prod'n deffered due to EL Nar FPF shutdown due to security reason.
BC-10: prod'n deffered due to leakage was detected in offloading hose section,normal prod'n resume expected by 23rd Jul'24. </v>
      </c>
    </row>
    <row r="406" spans="2:3" ht="30" hidden="1">
      <c r="B406" s="446">
        <f>DPR!C482</f>
        <v>45490</v>
      </c>
      <c r="C406" s="364" t="str">
        <f>DPR!AJ482</f>
        <v xml:space="preserve">BC-10: prod'n deffered due to leakage was detected in offloading hose section,normal prod'n resume expected by 23rd Jul'24. </v>
      </c>
    </row>
    <row r="407" spans="2:3" hidden="1">
      <c r="B407" s="446">
        <f>DPR!C481</f>
        <v>45489</v>
      </c>
      <c r="C407" s="364" t="str">
        <f>DPR!AJ481</f>
        <v>LZC:Prod'n deferred due to One COS tanks (capacity approx. 533 MB) out of operation, due to integrity issues.</v>
      </c>
    </row>
    <row r="408" spans="2:3" hidden="1">
      <c r="B408" s="446">
        <f>DPR!C480</f>
        <v>45488</v>
      </c>
      <c r="C408" s="364">
        <f>DPR!AJ480</f>
        <v>0</v>
      </c>
    </row>
    <row r="409" spans="2:3" hidden="1">
      <c r="B409" s="446">
        <f>DPR!C479</f>
        <v>45487</v>
      </c>
      <c r="C409" s="364">
        <f>DPR!AJ479</f>
        <v>0</v>
      </c>
    </row>
    <row r="410" spans="2:3" ht="30" hidden="1">
      <c r="B410" s="446">
        <f>DPR!C478</f>
        <v>45486</v>
      </c>
      <c r="C410" s="364" t="str">
        <f>DPR!AJ478</f>
        <v>A1A3: Prod'n deferred due to PSD activated by main power loss at SHP and followed by SHK ESD due to instrument air receiver PSLL.</v>
      </c>
    </row>
    <row r="411" spans="2:3" hidden="1">
      <c r="B411" s="446">
        <f>DPR!C477</f>
        <v>45485</v>
      </c>
      <c r="C411" s="364" t="str">
        <f>DPR!AJ477</f>
        <v>Sakhalin-1:New Oil Prod'n data received from the Operator.</v>
      </c>
    </row>
    <row r="412" spans="2:3" ht="30" hidden="1">
      <c r="B412" s="446">
        <f>DPR!C476</f>
        <v>45484</v>
      </c>
      <c r="C412" s="364" t="str">
        <f>DPR!AJ476</f>
        <v>LZC:Prod'n deferred due to heavy barge movement.
GPOC:Prod'n deferred due to power trip in EL Nar.</v>
      </c>
    </row>
    <row r="413" spans="2:3" hidden="1">
      <c r="B413" s="446">
        <f>DPR!C475</f>
        <v>45483</v>
      </c>
      <c r="C413" s="364" t="str">
        <f>DPR!AJ475</f>
        <v>SCB:The heating system being out of service due to internal plugging is causing prod'n deferment.</v>
      </c>
    </row>
    <row r="414" spans="2:3" ht="30" hidden="1">
      <c r="B414" s="446">
        <f>DPR!C474</f>
        <v>45482</v>
      </c>
      <c r="C414" s="364" t="str">
        <f>DPR!AJ474</f>
        <v>SCB:The heating system being out of service due to internal plugging is causing prod'n deferment.
GPOC:Prod'n deferment due to power trip in Toma South.</v>
      </c>
    </row>
    <row r="415" spans="2:3" hidden="1">
      <c r="B415" s="446">
        <f>DPR!C473</f>
        <v>45481</v>
      </c>
      <c r="C415" s="364" t="str">
        <f>DPR!AJ473</f>
        <v>GPOC:Prod'n deferment due to power trip in EL Nar.</v>
      </c>
    </row>
    <row r="416" spans="2:3" hidden="1">
      <c r="B416" s="446">
        <f>DPR!C472</f>
        <v>45480</v>
      </c>
      <c r="C416" s="364" t="str">
        <f>DPR!AJ472</f>
        <v>GPOC:Prod'n deferment due to power trip in EL Nar.</v>
      </c>
    </row>
    <row r="417" spans="2:3" ht="30" hidden="1">
      <c r="B417" s="446">
        <f>DPR!C471</f>
        <v>45479</v>
      </c>
      <c r="C417" s="364" t="str">
        <f>DPR!AJ471</f>
        <v>_x000D_SCB:The heating system being out of service due to internal plugging is causing prod'n deferment.
GPOC:Prod'n deferment due to power trip in EL Nar.</v>
      </c>
    </row>
    <row r="418" spans="2:3" hidden="1">
      <c r="B418" s="446">
        <f>DPR!C470</f>
        <v>45478</v>
      </c>
      <c r="C418" s="364">
        <f>DPR!AJ470</f>
        <v>0</v>
      </c>
    </row>
    <row r="419" spans="2:3" ht="45" hidden="1">
      <c r="B419" s="446">
        <f>DPR!C469</f>
        <v>45477</v>
      </c>
      <c r="C419" s="364" t="str">
        <f>DPR!AJ469</f>
        <v>LZC:Prod'n reduced due to GPF TRAIN-1 trip &amp; Capacity testing at Upper Zakum leading to closure EPS-1 wells.
GPOC:After the leakage at OGM at El Nar was resolved, production ramp up has begun.
Sakhalin-1:New Oil &amp; Gas Prod'n data received from the Operator.</v>
      </c>
    </row>
    <row r="420" spans="2:3" ht="60" hidden="1">
      <c r="B420" s="446">
        <f>DPR!C468</f>
        <v>45476</v>
      </c>
      <c r="C420" s="364" t="str">
        <f>DPR!AJ468</f>
        <v>LZC:Prod'n deferment due to DAS Port closure due to adverse weather condition and
Capacity testing at Upper Zakum leading to closure EPS-1 wells.
ACG:Production is low due to the Gas Compressor being offline due to maintenance.
GPOC:Due to leakage at OGM at EL Nar, 9 wells are being s/d, resulting in low prod'n.</v>
      </c>
    </row>
    <row r="421" spans="2:3" ht="75" hidden="1">
      <c r="B421" s="446">
        <f>DPR!C467</f>
        <v>45475</v>
      </c>
      <c r="C421" s="364" t="str">
        <f>DPR!AJ467</f>
        <v>IEC:APG plant started on load at 11:30 hrs on 2nd Jul-24 after starting the evacuations of LPG through alternative option (Barge).
GPOC:Due to leakage at OGM at EL Nar, 9 wells are being s/d, resulting in low prod'n.
LZC:Prod'n deferment due to AGI EPS-1: ZK-401 s/d for facility capacity test of Upper Zakum.
ACG:Production is low due to the Gas Compressor being offline due to maintenance.</v>
      </c>
    </row>
    <row r="422" spans="2:3" ht="60" hidden="1">
      <c r="B422" s="446">
        <f>DPR!C466</f>
        <v>45474</v>
      </c>
      <c r="C422" s="364" t="str">
        <f>DPR!AJ466</f>
        <v>IEC:APG plant s/d due to non evacuation of LPG (through tankers) from plant.
GPOC:Due to leakage at OGM at EL Nar, 19 wells are being shut down, resulting in low production.
ACG:Production is low due to the Gas Compressor being offline due to maintenance.
LZC:Quota for the month is 415k BOPD.</v>
      </c>
    </row>
    <row r="423" spans="2:3" ht="60" hidden="1">
      <c r="B423" s="446">
        <f>DPR!C465</f>
        <v>45473</v>
      </c>
      <c r="C423" s="364" t="str">
        <f>DPR!AJ465</f>
        <v>IEC:APG plant s/d due to non evacuation of LPG (through tankers) from plant.
A1-A3: Prod'n deferment due to Buyer's Nomination.
GPOC:Due to leakage at OGM at EL Nar, 19 wells are being shut down, resulting in low production.
ACG:Production is low due to the Gas Compressor being offline due to maintenance.</v>
      </c>
    </row>
    <row r="424" spans="2:3" ht="45" hidden="1">
      <c r="B424" s="446">
        <f>DPR!C464</f>
        <v>45472</v>
      </c>
      <c r="C424" s="364" t="str">
        <f>DPR!AJ464</f>
        <v>IEC:APG plant s/d due to non evacuation of LPG (through tankers) from plant.
A1-A3: Prod'n deferment due to Buyer's Nomination.
GPOC:After the s/d of EL Nar FPF, the production ramp-up has started.</v>
      </c>
    </row>
    <row r="425" spans="2:3" ht="60" hidden="1">
      <c r="B425" s="446">
        <f>DPR!C463</f>
        <v>45471</v>
      </c>
      <c r="C425" s="364" t="str">
        <f>DPR!AJ463</f>
        <v>IEC:APG plant s/d due to non evacuation of LPG (through tankers) from plant.
A1-A3: Prod'n deferment due to Buyer's Nomination.
GPOC:Prod'n Low due to EL Nar FPF was shutdown due to security reason and vandalism.,restarted on 28.06.24.
Sakhalin-1:New Gas Prod'n data received from the Operator.</v>
      </c>
    </row>
    <row r="426" spans="2:3" ht="60" hidden="1">
      <c r="B426" s="446">
        <f>DPR!C462</f>
        <v>45470</v>
      </c>
      <c r="C426" s="364" t="str">
        <f>DPR!AJ462</f>
        <v>IEC:APG plant s/d due to non evacuation of LPG (through tankers) from plant.
A1-A3: Prod'n deferment due to Buyer's Nomination.
Sakhalin-1:New daily Prod'n data received from the Operator.
GPOC: Prod'n ramp up of all fields except El-Nar completed.</v>
      </c>
    </row>
    <row r="427" spans="2:3" ht="60" hidden="1">
      <c r="B427" s="446">
        <f>DPR!C461</f>
        <v>45469</v>
      </c>
      <c r="C427" s="364" t="str">
        <f>DPR!AJ461</f>
        <v>A1-A3: Prod'n deferment due to Buyer's Nomination.
IEC:APG plant s/d due to non evacuation of LPG (through tankers) from plant.
BC-10: Prod'n Ramp up has started.
GPOC: Prod'n ramp up of all fields except El-Nar completed.</v>
      </c>
    </row>
    <row r="428" spans="2:3" ht="60" hidden="1">
      <c r="B428" s="446">
        <f>DPR!C460</f>
        <v>45468</v>
      </c>
      <c r="C428" s="364" t="str">
        <f>DPR!AJ460</f>
        <v>A1-A3: Prod'n deferment due to Buyer's Nomination.
IEC:APG plant s/d due to non evacuation of LPG (through tankers) from plant.
BC-10: Prod'n Ramp up has started. MOBO-6 &amp; MOBO-7 startup pending.
GPOC: Prodn ramp up of all fields except El-Nar completed.</v>
      </c>
    </row>
    <row r="429" spans="2:3" ht="60" hidden="1">
      <c r="B429" s="446">
        <f>DPR!C459</f>
        <v>45467</v>
      </c>
      <c r="C429" s="364" t="str">
        <f>DPR!AJ459</f>
        <v>A1-A3: Prod'n deferment due to Buyer's Nomination.
IEC:APG plant s/d due to non evacuation of LPG (through tankers) from plant.
BC-10: Prod'n Ramp up has started. MOBO-6 &amp; MOBO-7 startup pending.
GPOC: Due to internal civil disturbance, North field was evacuated.</v>
      </c>
    </row>
    <row r="430" spans="2:3" ht="75" hidden="1">
      <c r="B430" s="446">
        <f>DPR!C458</f>
        <v>45466</v>
      </c>
      <c r="C430" s="364" t="str">
        <f>DPR!AJ458</f>
        <v xml:space="preserve">A1-A3: Prod'n deferment due to Buyer's Nomination.
SCB:Prod'n deferment due to Heating system out of service due to internal plugging.
IEC:APG plant s/d due to non evacuation of LPG (through tankers) from plant.
BC-10: Prod'n Ramp up has started. MOBO-6 &amp; MOBO-7 startup pending._x000D_
</v>
      </c>
    </row>
    <row r="431" spans="2:3" ht="45" hidden="1">
      <c r="B431" s="446">
        <f>DPR!C457</f>
        <v>45465</v>
      </c>
      <c r="C431" s="364" t="str">
        <f>DPR!AJ457</f>
        <v>A1-A3: Prod'n deferment due to Buyer's Nomination.
IEC:APG plant s/d due to non evacuation of LPG (through tankers) from plant.
BC-10: Prod'n Ramp up has started. MOBO-6 &amp; MOBO-7 startup pending.</v>
      </c>
    </row>
    <row r="432" spans="2:3" ht="60" hidden="1">
      <c r="B432" s="446">
        <f>DPR!C456</f>
        <v>45464</v>
      </c>
      <c r="C432" s="364" t="str">
        <f>DPR!AJ456</f>
        <v>A1-A3: Prod'n deferment due to Buyer's Nomination.
IEC:APG plant s/d due to non evacuation of LPG (through tankers) from plant.
BC-10: Operator informed s/d from 17th Jun'24 to meet NR 13 compliance.Ramp down activities started from 14th June and s/d duration approx 6 days.</v>
      </c>
    </row>
    <row r="433" spans="2:3" ht="60" hidden="1">
      <c r="B433" s="446">
        <f>DPR!C455</f>
        <v>45463</v>
      </c>
      <c r="C433" s="364" t="str">
        <f>DPR!AJ455</f>
        <v>IEC:APG plant s/d due to non evacuation of LPG (through tankers) from plant.
BC-10: Operator informed s/d from 17th Jun'24 to meet NR 13 compliance.Ramp down activities started from 14th June and s/d duration approx 6 days.
A1-A3: Prod'n deferment due to Buyer's Nomination.</v>
      </c>
    </row>
    <row r="434" spans="2:3" ht="60" hidden="1">
      <c r="B434" s="446">
        <f>DPR!C454</f>
        <v>45462</v>
      </c>
      <c r="C434" s="364" t="str">
        <f>DPR!AJ454</f>
        <v>IEC:APG plant s/d due to non evacuation of LPG (through tankers) from plant.
BC-10: Operator informed s/d from 17th Jun'24 to meet NR 13 compliance.Ramp down activities started from 14th June and s/d duration approx 6 days.
A1-A3: Prod'n deferment due to Buyer's Nomination.</v>
      </c>
    </row>
    <row r="435" spans="2:3" ht="60" hidden="1">
      <c r="B435" s="446">
        <f>DPR!C453</f>
        <v>45461</v>
      </c>
      <c r="C435" s="364" t="str">
        <f>DPR!AJ453</f>
        <v>IEC:APG plant s/d due to non evacuation of LPG (through tankers) from plant.
A1-A3: Prod'n deferment due to Buyer's Nomination.
BC-10: Operator informed s/d from 17th Jun'24 to meet NR 13 compliance.Ramp down activities started from 14th June and s/d duration approx 6 days.</v>
      </c>
    </row>
    <row r="436" spans="2:3" ht="75" hidden="1">
      <c r="B436" s="446">
        <f>DPR!C452</f>
        <v>45460</v>
      </c>
      <c r="C436" s="364" t="str">
        <f>DPR!AJ452</f>
        <v>IEC:APG plant s/d due to non evacuation of LPG (through tankers) from plant.
A1-A3: Prod'n deferment due to Buyer's Nomination.
BC-10: Operator informed s/d from 17th Jun'24 to meet NR 13 compliance.Ramp down activities started from 14th June and s/d duration approx 6 days.
GPOC:Less production due to power trip in Toma South,El Nar &amp; El Toor.</v>
      </c>
    </row>
    <row r="437" spans="2:3" ht="60" hidden="1">
      <c r="B437" s="446">
        <f>DPR!C451</f>
        <v>45459</v>
      </c>
      <c r="C437" s="364" t="str">
        <f>DPR!AJ451</f>
        <v xml:space="preserve">IEC:APG plant s/d due to non evacuation of LPG (through tankers) from plant.
A1-A3: Prod'n deferment due to Buyer's Nomination.
BC-10: Operator informed s/d from 17th Jun'24 to meet NR 13 compliance.Ramp down activities started from 14th June and s/d duration approx 6 days. </v>
      </c>
    </row>
    <row r="438" spans="2:3" ht="75" hidden="1">
      <c r="B438" s="446">
        <f>DPR!C450</f>
        <v>45458</v>
      </c>
      <c r="C438" s="364" t="str">
        <f>DPR!AJ450</f>
        <v>A1-A3: Prod'n deferment due to Buyer's Nomination.
IEC:APG plant s/d due to non evacuation of LPG (through tankers) from plant.
BC-10: Operator informed s/d from 17th Jun'24 to meet NR 13 compliance.Ramp down activities started from 14th June and s/d duration approx 6 days. 
LZC: Lower Prod'n due to Oil pipeline (ZK-22 to ZK-39)pigging operation carried out.</v>
      </c>
    </row>
    <row r="439" spans="2:3" ht="75" hidden="1">
      <c r="B439" s="446">
        <f>DPR!C449</f>
        <v>45457</v>
      </c>
      <c r="C439" s="364" t="str">
        <f>DPR!AJ449</f>
        <v xml:space="preserve">A1-A3: Prod'n deferment due to Buyer's Nomination.
IEC:APG plant s/d due to non evacuation of LPG (through tankers) from plant.
LZC: Lower Prod'n due to Barge Movement For Rigless Jobs.
BC-10: Operator informed s/d from 17th Jun'24 to meet NR 13 compliance.Ramp down activities started from 14th June and s/d duration approx 6 days. </v>
      </c>
    </row>
    <row r="440" spans="2:3" ht="45" hidden="1">
      <c r="B440" s="446">
        <f>DPR!C448</f>
        <v>45456</v>
      </c>
      <c r="C440" s="364" t="str">
        <f>DPR!AJ448</f>
        <v>A1-A3: Prod'n deferment due to Buyer's Nomination.
IEC:APG plant s/d due to non evacuation of LPG (through tankers) from plant.
LZC: Lower Prod'n due to Barge Movement For Rigless Jobs.</v>
      </c>
    </row>
    <row r="441" spans="2:3" ht="60" hidden="1">
      <c r="B441" s="446">
        <f>DPR!C447</f>
        <v>45455</v>
      </c>
      <c r="C441" s="364" t="str">
        <f>DPR!AJ447</f>
        <v>SCB:Prod'n deferment due to Fluctuation in Power Grid resulting in tripping of PCPs.
IEC:Prod'n Deferment due to APG Plant s/d.
LZC: Lower Prod'n due to Barge Movement For Rigless Jobs.
A1-A3:Opertor informed major corrective maintenance job on 12th &amp; 13th June'24.</v>
      </c>
    </row>
    <row r="442" spans="2:3" ht="75" hidden="1">
      <c r="B442" s="446">
        <f>DPR!C446</f>
        <v>45454</v>
      </c>
      <c r="C442" s="364" t="str">
        <f>DPR!AJ446</f>
        <v>LZC:Prod'n being restored after planned s/d(LTDP project activities) of 28 days from 1st May.
IEC:Prod'n Deferment due to APG Plant s/d.
A1-A3: Prod'n deferment due to Buyer's Nomination.
Sakhalin-1: Less production is due to Odoptu plant shutdown on 10th June due to activation of fire detector. No fire was detected and production was reinstated within two hours.</v>
      </c>
    </row>
    <row r="443" spans="2:3" ht="60" hidden="1">
      <c r="B443" s="446">
        <f>DPR!C445</f>
        <v>45453</v>
      </c>
      <c r="C443" s="364" t="str">
        <f>DPR!AJ445</f>
        <v xml:space="preserve">A1-A3: Prod'n deferment due to Buyer's Nomination.
LZC:Prod'n being restored after planned s/d(LTDP project activities) of 28 days from 1st May.
IEC:Prod'n Deferment due to APG Plant s/d.
Sakhalin-1: Fresh Prod'n figures for June'24 received from the operator. </v>
      </c>
    </row>
    <row r="444" spans="2:3" ht="45" hidden="1">
      <c r="B444" s="446">
        <f>DPR!C444</f>
        <v>45452</v>
      </c>
      <c r="C444" s="364" t="str">
        <f>DPR!AJ444</f>
        <v>A1&amp;A3: Prod'n deferment due to Buyer's Nomination
LZC:Prod'n being restored after planned s/d(LTDP project activities) of 28 days from 1st May.
IEC:Prod'n Deferment due to APG Plant s/d.</v>
      </c>
    </row>
    <row r="445" spans="2:3" ht="45" hidden="1">
      <c r="B445" s="446">
        <f>DPR!C443</f>
        <v>45451</v>
      </c>
      <c r="C445" s="364" t="str">
        <f>DPR!AJ443</f>
        <v>A1-A3:Prod'n low due to low nomination.
LZC:Prod'n being restored after planned s/d(LTDP project activities) of 28 days from 1st May.
IEC:APG plant s/d due to non evacuation of LPG (through tankers) from plant.</v>
      </c>
    </row>
    <row r="446" spans="2:3" ht="60" hidden="1">
      <c r="B446" s="446">
        <f>DPR!C442</f>
        <v>45450</v>
      </c>
      <c r="C446" s="364" t="str">
        <f>DPR!AJ442</f>
        <v>PCB: Prod'n Deferment due to s/d at Electrical substation.
A1&amp;A3: Prod'n deferment due to Buyer's Nomination.
LZC:Prod'n being restored after planned s/d(LTDP project activities) of 28 days from 1st May.
IEC:APG plant s/d due to non evacuation of LPG (through tankers) from plant.</v>
      </c>
    </row>
    <row r="447" spans="2:3" ht="45" hidden="1">
      <c r="B447" s="446">
        <f>DPR!C441</f>
        <v>45449</v>
      </c>
      <c r="C447" s="364" t="str">
        <f>DPR!AJ441</f>
        <v>A1&amp;A3: Prod'n deferment due to Buyer's Nomination(CNUOC- 322 MMscf, MOGE - 125 MMscf).
LZC:Prod'n being restored after planned s/d(LTDP project activities) of 28 days from 1st May.
IEC:APG plant s/d due to non evacuation of LPG (through tankers) from plant.</v>
      </c>
    </row>
    <row r="448" spans="2:3" ht="60" hidden="1">
      <c r="B448" s="446">
        <f>DPR!C440</f>
        <v>45448</v>
      </c>
      <c r="C448" s="364" t="str">
        <f>DPR!AJ440</f>
        <v>Sakhalin-1: Less prod'n due to Turbine replacement works of GTC1 in Train 1 of Odoptu.
IEC:APG plant s/d due to non evacuation of LPG (through tankers) from plant.
A1&amp;A3: Prod'n deferment due to Buyer's Nomination.
LZC:Prod'n being restored after planned s/d(LTDP project activities) of 28 days from 1st May.</v>
      </c>
    </row>
    <row r="449" spans="2:3" ht="45" hidden="1">
      <c r="B449" s="446">
        <f>DPR!C439</f>
        <v>45447</v>
      </c>
      <c r="C449" s="364" t="str">
        <f>DPR!AJ439</f>
        <v>A1&amp;A3: Prod'n deferment due to Buyer's Nomination.
IEC:Prod'n deferment due to APG plant s/d.
LZC:Prod'n being restored after planned s/d(LTDP project activities) of 28 days from 1st May.</v>
      </c>
    </row>
    <row r="450" spans="2:3" ht="60" hidden="1">
      <c r="B450" s="446">
        <f>DPR!C438</f>
        <v>45446</v>
      </c>
      <c r="C450" s="364" t="str">
        <f>DPR!AJ438</f>
        <v>A1&amp;A3: Prod'n deferment due to Buyer's Nomination.
IEC:APG plant s/d due to non evacuation of LPG (through tankers) from plant.
LZC:Prod'n being restored after planned s/d(LTDP project activities) of 28 days from 1st May. Quota for the June month is 417K bopd.</v>
      </c>
    </row>
    <row r="451" spans="2:3" ht="45" hidden="1">
      <c r="B451" s="446">
        <f>DPR!C437</f>
        <v>45445</v>
      </c>
      <c r="C451" s="364" t="str">
        <f>DPR!AJ437</f>
        <v>IEC:APG plant s/d due to non evacuation of LPG (through tankers) from plant.
LZC:Prod'n being restored after planned s/d(LTDP project activities) of 28 days from 1st May. Quota for the June month is 417k bopd.</v>
      </c>
    </row>
    <row r="452" spans="2:3" ht="45" hidden="1">
      <c r="B452" s="446">
        <f>DPR!C436</f>
        <v>45444</v>
      </c>
      <c r="C452" s="364" t="str">
        <f>DPR!AJ436</f>
        <v>LZC:Prod'n being restored after planned s/d(LTDP project activities) of 28 days from 1st May. Quota for the June month is 417K bopd.
IEC:APG plant s/d due to non evacuation of LPG (through tankers) from plant.</v>
      </c>
    </row>
    <row r="453" spans="2:3" ht="30" hidden="1">
      <c r="B453" s="446">
        <f>DPR!C435</f>
        <v>45443</v>
      </c>
      <c r="C453" s="364" t="str">
        <f>DPR!AJ435</f>
        <v>IEC:APG plant s/d due to non evacuation of LPG (through tankers) from plant.
LZC:Prod'n being restored after planned s/d(LTDP project activities) of 28 days from 1st May.</v>
      </c>
    </row>
    <row r="454" spans="2:3" ht="45" hidden="1">
      <c r="B454" s="446">
        <f>DPR!C434</f>
        <v>45442</v>
      </c>
      <c r="C454" s="364" t="str">
        <f>DPR!AJ434</f>
        <v>Sakhalin-1:Less production due to ongoing maintenance work of GTC1 &amp; GIC1 in Train 1 of Odoptu.
LZC:Prod'n being restored after planned s/d(LTDP project activities) of 28 days from 1st May.
IEC:Production deferment due to APG plant s/d.</v>
      </c>
    </row>
    <row r="455" spans="2:3" ht="60" hidden="1">
      <c r="B455" s="446">
        <f>DPR!C433</f>
        <v>45441</v>
      </c>
      <c r="C455" s="364" t="str">
        <f>DPR!AJ433</f>
        <v>IEC:Production deferment due to APG plant s/d.
Sakhalin-1:Less production due to ongoing maintenance work of GTC1 &amp; GIC1 in Train 1 of Odoptu.
B-06.1:Lower Prod'n  due to well testing of well LD P2(under s/d).
LZC:Prod'n being restored after planned s/d(LTDP project activities) of 28 days from 1st May.</v>
      </c>
    </row>
    <row r="456" spans="2:3" ht="45" hidden="1">
      <c r="B456" s="446">
        <f>DPR!C432</f>
        <v>45440</v>
      </c>
      <c r="C456" s="364" t="str">
        <f>DPR!AJ432</f>
        <v>_x000D_IEC:APG plant s/d due to non evacuation of LPG (through tankers) from plant.
B-06.1:Lower Prod'n  due to well testing of well LD P2(under s/d).
LZC: LZ GPF under s/d and LTDP project activities planned for 28 days from 1st May 24.</v>
      </c>
    </row>
    <row r="457" spans="2:3" ht="45" hidden="1">
      <c r="B457" s="446">
        <f>DPR!C431</f>
        <v>45439</v>
      </c>
      <c r="C457" s="364" t="str">
        <f>DPR!AJ431</f>
        <v>IEC:APG plant s/d due to non evacuation of LPG (through tankers) from plant.
B-06.1:Lower Prod'n  due to well testing of well LD P2(under s/d).
LZC: LZ GPF under s/d and LTDP project activities planned for 28 days from 1st May 24.</v>
      </c>
    </row>
    <row r="458" spans="2:3" hidden="1">
      <c r="B458" s="446">
        <f>DPR!C430</f>
        <v>45438</v>
      </c>
      <c r="C458" s="364" t="str">
        <f>DPR!AJ430</f>
        <v>A1-A3: s/d due to HP/LP mode switching of compressor.</v>
      </c>
    </row>
    <row r="459" spans="2:3" hidden="1">
      <c r="B459" s="446">
        <f>DPR!C429</f>
        <v>45437</v>
      </c>
      <c r="C459" s="364" t="str">
        <f>DPR!AJ429</f>
        <v>LZC:LZGPF under s/d and LTDP project activities planned for 28 days from 1st May 24.</v>
      </c>
    </row>
    <row r="460" spans="2:3" hidden="1">
      <c r="B460" s="446">
        <f>DPR!C428</f>
        <v>45436</v>
      </c>
      <c r="C460" s="364" t="str">
        <f>DPR!AJ428</f>
        <v>LZC:LZGPF under s/d and LTDP project activities planned for 28 days from 1st May 24.</v>
      </c>
    </row>
    <row r="461" spans="2:3" hidden="1">
      <c r="B461" s="446">
        <f>DPR!C427</f>
        <v>45435</v>
      </c>
      <c r="C461" s="364">
        <f>DPR!AJ427</f>
        <v>0</v>
      </c>
    </row>
    <row r="462" spans="2:3" hidden="1">
      <c r="B462" s="446">
        <f>DPR!C426</f>
        <v>45434</v>
      </c>
      <c r="C462" s="364">
        <f>DPR!AJ426</f>
        <v>0</v>
      </c>
    </row>
    <row r="463" spans="2:3" hidden="1">
      <c r="B463" s="446">
        <f>DPR!C425</f>
        <v>45433</v>
      </c>
      <c r="C463" s="364" t="str">
        <f>DPR!AJ425</f>
        <v>BC-10:Production Deferment due to mobo 6 trip.</v>
      </c>
    </row>
    <row r="464" spans="2:3" ht="45" hidden="1">
      <c r="B464" s="446">
        <f>DPR!C424</f>
        <v>45432</v>
      </c>
      <c r="C464" s="364" t="str">
        <f>DPR!AJ424</f>
        <v>BC-10:Production Deferment due to mobo 6 trip and module fault._x000D_
LZC:Quota for the month is 225k due to NMGL related works.
Sakhalin-1:Less production due to ongoing maintenance work of GTC1 &amp; GIC1 in Train 1 of Odoptu.</v>
      </c>
    </row>
    <row r="465" spans="2:3" hidden="1">
      <c r="B465" s="446">
        <f>DPR!C423</f>
        <v>45431</v>
      </c>
      <c r="C465" s="364">
        <f>DPR!AJ423</f>
        <v>0</v>
      </c>
    </row>
    <row r="466" spans="2:3" hidden="1">
      <c r="B466" s="446">
        <f>DPR!C422</f>
        <v>45430</v>
      </c>
      <c r="C466" s="364" t="str">
        <f>DPR!AJ422</f>
        <v>LZC:Quota for the month is 225k due to NMGL related works.</v>
      </c>
    </row>
    <row r="467" spans="2:3" hidden="1">
      <c r="B467" s="446">
        <f>DPR!C421</f>
        <v>45429</v>
      </c>
      <c r="C467" s="364">
        <f>DPR!AJ421</f>
        <v>0</v>
      </c>
    </row>
    <row r="468" spans="2:3" hidden="1">
      <c r="B468" s="446">
        <f>DPR!C420</f>
        <v>45428</v>
      </c>
      <c r="C468" s="364" t="str">
        <f>DPR!AJ420</f>
        <v>LZC:Quota for the month is 225k bopd.(due to ongoing NMGL related works)</v>
      </c>
    </row>
    <row r="469" spans="2:3" hidden="1">
      <c r="B469" s="446">
        <f>DPR!C419</f>
        <v>45427</v>
      </c>
      <c r="C469" s="364" t="str">
        <f>DPR!AJ419</f>
        <v>CPO-5:Indico wells progressively opened.</v>
      </c>
    </row>
    <row r="470" spans="2:3" hidden="1">
      <c r="B470" s="446">
        <f>DPR!C418</f>
        <v>45426</v>
      </c>
      <c r="C470" s="364" t="str">
        <f>DPR!AJ418</f>
        <v>CPO-5:community blocked at Indico Pad.</v>
      </c>
    </row>
    <row r="471" spans="2:3" ht="45" hidden="1">
      <c r="B471" s="446">
        <f>DPR!C417</f>
        <v>45425</v>
      </c>
      <c r="C471" s="364" t="str">
        <f>DPR!AJ417</f>
        <v>IEC:Production deferment due to APG plant shutdown.
CPO-5:community blocked at indico pad.
LZC- Quota for the month is 225k due to NMGL related works._x000D_</v>
      </c>
    </row>
    <row r="472" spans="2:3" ht="45" hidden="1">
      <c r="B472" s="446">
        <f>DPR!C416</f>
        <v>45424</v>
      </c>
      <c r="C472" s="364" t="str">
        <f>DPR!AJ416</f>
        <v>IEC:Production deferment due to APG plant shutdown._x000D_
MECL:Prod'n deferment due to electrical issue._x000D_
CPO-5:Production Deferment due to a community strike at indico pad.</v>
      </c>
    </row>
    <row r="473" spans="2:3" ht="30" hidden="1">
      <c r="B473" s="446">
        <f>DPR!C415</f>
        <v>45423</v>
      </c>
      <c r="C473" s="364" t="str">
        <f>DPR!AJ415</f>
        <v>_x000D_
MECL:Prod'n deferment due to electrical issue.</v>
      </c>
    </row>
    <row r="474" spans="2:3" hidden="1">
      <c r="B474" s="446">
        <f>DPR!C414</f>
        <v>45422</v>
      </c>
      <c r="C474" s="364">
        <f>DPR!AJ414</f>
        <v>0</v>
      </c>
    </row>
    <row r="475" spans="2:3" ht="60" hidden="1">
      <c r="B475" s="446">
        <f>DPR!C413</f>
        <v>45421</v>
      </c>
      <c r="C475" s="364" t="str">
        <f>DPR!AJ413</f>
        <v>CPO-5:Production Deferment due to a community strike at indico pad.
IEC:Production deferment due to APG plant shutdown.
ACG:Production deferment due to DWG TAR and s/d at central Azeri due to false alarm
LZC:Quota for the month is 225k bopd.(due to ongoing NMGL related works)</v>
      </c>
    </row>
    <row r="476" spans="2:3" ht="30" hidden="1">
      <c r="B476" s="446">
        <f>DPR!C412</f>
        <v>45420</v>
      </c>
      <c r="C476" s="364" t="str">
        <f>DPR!AJ412</f>
        <v xml:space="preserve">_x000D_
</v>
      </c>
    </row>
    <row r="477" spans="2:3" ht="30" hidden="1">
      <c r="B477" s="446">
        <f>DPR!C411</f>
        <v>45419</v>
      </c>
      <c r="C477" s="364" t="str">
        <f>DPR!AJ411</f>
        <v>IEC:Production deferment due to APG plant shutdown.
ACG:Production deferment due to DWG TAR and s/d at central Azeri due to false alarm</v>
      </c>
    </row>
    <row r="478" spans="2:3" ht="30" hidden="1">
      <c r="B478" s="446">
        <f>DPR!C410</f>
        <v>45418</v>
      </c>
      <c r="C478" s="364" t="str">
        <f>DPR!AJ410</f>
        <v>ACG:Planned TAR ongoing at DWG(15 days).
LZC:Quota for the month is 225k bopd.(due to ongoing NMGL related works)</v>
      </c>
    </row>
    <row r="479" spans="2:3" ht="30" hidden="1">
      <c r="B479" s="446">
        <f>DPR!C409</f>
        <v>45417</v>
      </c>
      <c r="C479" s="364" t="str">
        <f>DPR!AJ409</f>
        <v>ACG:Planned TAR ongoing at DWG(15 days).
LZC:Quota for the month is 225k bopd.</v>
      </c>
    </row>
    <row r="480" spans="2:3" hidden="1">
      <c r="B480" s="446">
        <f>DPR!C408</f>
        <v>45416</v>
      </c>
      <c r="C480" s="364">
        <f>DPR!AJ408</f>
        <v>0</v>
      </c>
    </row>
    <row r="481" spans="2:3" hidden="1">
      <c r="B481" s="446">
        <f>DPR!C407</f>
        <v>45415</v>
      </c>
      <c r="C481" s="364">
        <f>DPR!AJ407</f>
        <v>0</v>
      </c>
    </row>
    <row r="482" spans="2:3" ht="30" hidden="1">
      <c r="B482" s="446">
        <f>DPR!C406</f>
        <v>45414</v>
      </c>
      <c r="C482" s="364" t="str">
        <f>DPR!AJ406</f>
        <v>ACG:Planned TAR ongoing at DWG.
LZC:Quota for the month is 225k bopd.</v>
      </c>
    </row>
    <row r="483" spans="2:3" ht="75" hidden="1">
      <c r="B483" s="446">
        <f>DPR!C405</f>
        <v>45413</v>
      </c>
      <c r="C483" s="364" t="str">
        <f>DPR!AJ405</f>
        <v xml:space="preserve">LZC:Quota for the month is 225k bopd.
BC-10:Mobo-7 and 10 tripped during the day.Restarted.
SPOC: Batching ongoing, along with viscocity reducer injection.
ACG:Planned TAR ongoing at DWG(15 days)_x000D_
</v>
      </c>
    </row>
    <row r="484" spans="2:3" ht="60" hidden="1">
      <c r="B484" s="446">
        <f>DPR!C404</f>
        <v>45412</v>
      </c>
      <c r="C484" s="364" t="str">
        <f>DPR!AJ404</f>
        <v xml:space="preserve">
GPOC:Less production due to power trip in Toma South.
ACG:Planned TAR of DWG.
A1-A3: Low nomination</v>
      </c>
    </row>
    <row r="485" spans="2:3" hidden="1">
      <c r="B485" s="446">
        <f>DPR!C403</f>
        <v>45411</v>
      </c>
      <c r="C485" s="364">
        <f>DPR!AJ403</f>
        <v>0</v>
      </c>
    </row>
    <row r="486" spans="2:3" ht="45" hidden="1">
      <c r="B486" s="446">
        <f>DPR!C402</f>
        <v>45410</v>
      </c>
      <c r="C486" s="364" t="str">
        <f>DPR!AJ402</f>
        <v>ACG:Planned TAR of DWG.
A1-A3: Low nomination
PCB:Deferment due to theft of power cables at Macolla-1</v>
      </c>
    </row>
    <row r="487" spans="2:3" hidden="1">
      <c r="B487" s="446">
        <f>DPR!C401</f>
        <v>45409</v>
      </c>
      <c r="C487" s="364">
        <f>DPR!AJ401</f>
        <v>0</v>
      </c>
    </row>
    <row r="488" spans="2:3" hidden="1">
      <c r="B488" s="446">
        <f>DPR!C400</f>
        <v>45408</v>
      </c>
      <c r="C488" s="364">
        <f>DPR!AJ400</f>
        <v>0</v>
      </c>
    </row>
    <row r="489" spans="2:3" ht="60" hidden="1">
      <c r="B489" s="446">
        <f>DPR!C399</f>
        <v>45407</v>
      </c>
      <c r="C489" s="364" t="str">
        <f>DPR!AJ399</f>
        <v xml:space="preserve">
ACG:Planned TAR(turnaround ) at DWG platform. K01 well(at ACE platform)  producing @ approximate rate 8.1 mbd oil with 4.2 mmscfd gas
BC-10:Deferment due to turbine trip on 23rd</v>
      </c>
    </row>
    <row r="490" spans="2:3" hidden="1">
      <c r="B490" s="446">
        <f>DPR!C398</f>
        <v>45406</v>
      </c>
      <c r="C490" s="364" t="str">
        <f>DPR!AJ398</f>
        <v>BC-10:Deferment due to turbine trip on 23rd</v>
      </c>
    </row>
    <row r="491" spans="2:3" hidden="1">
      <c r="B491" s="446">
        <f>DPR!C397</f>
        <v>45405</v>
      </c>
      <c r="C491" s="364" t="str">
        <f>DPR!AJ397</f>
        <v xml:space="preserve">Vankor:Production deferment as some wells were shut down due to safety reasons due to drilling. </v>
      </c>
    </row>
    <row r="492" spans="2:3" hidden="1">
      <c r="B492" s="446">
        <f>DPR!C396</f>
        <v>45404</v>
      </c>
      <c r="C492" s="364">
        <f>DPR!AJ396</f>
        <v>0</v>
      </c>
    </row>
    <row r="493" spans="2:3" hidden="1">
      <c r="B493" s="446">
        <f>DPR!C395</f>
        <v>45403</v>
      </c>
      <c r="C493" s="364" t="str">
        <f>DPR!AJ395</f>
        <v>Vankor:Reasons sought for prod'n deferment.</v>
      </c>
    </row>
    <row r="494" spans="2:3" hidden="1">
      <c r="B494" s="446">
        <f>DPR!C394</f>
        <v>45402</v>
      </c>
      <c r="C494" s="364">
        <f>DPR!AJ394</f>
        <v>0</v>
      </c>
    </row>
    <row r="495" spans="2:3" hidden="1">
      <c r="B495" s="446">
        <f>DPR!C393</f>
        <v>45401</v>
      </c>
      <c r="C495" s="364">
        <f>DPR!AJ393</f>
        <v>0</v>
      </c>
    </row>
    <row r="496" spans="2:3" ht="60" hidden="1">
      <c r="B496" s="446">
        <f>DPR!C392</f>
        <v>45400</v>
      </c>
      <c r="C496" s="364" t="str">
        <f>DPR!AJ392</f>
        <v xml:space="preserve">
CPO-5:Multi rate test ongoing in Indico-3 ( prod'n figure touching 30K+)
BC-10:Ramp up ongoing.
SPOC: Export resumed under batching in 17th April evening.</v>
      </c>
    </row>
    <row r="497" spans="2:3" ht="60" hidden="1">
      <c r="B497" s="446">
        <f>DPR!C391</f>
        <v>45399</v>
      </c>
      <c r="C497" s="364" t="str">
        <f>DPR!AJ391</f>
        <v>BC-10:Ramp up ongoing.
SPOC: Export resumed under batching in 17th April evening.
Imperial:Production increase during last few days due to addition of well in South Maiskoye after WOJ.
MECL: Prod'n touched 4k bopd on 16th April.</v>
      </c>
    </row>
    <row r="498" spans="2:3" hidden="1">
      <c r="B498" s="446">
        <f>DPR!C390</f>
        <v>45398</v>
      </c>
      <c r="C498" s="364">
        <f>DPR!AJ390</f>
        <v>0</v>
      </c>
    </row>
    <row r="499" spans="2:3" hidden="1">
      <c r="B499" s="446">
        <f>DPR!C389</f>
        <v>45397</v>
      </c>
      <c r="C499" s="364" t="str">
        <f>DPR!AJ389</f>
        <v>BC-10:Ramp up ongoing.</v>
      </c>
    </row>
    <row r="500" spans="2:3" ht="45" hidden="1">
      <c r="B500" s="446">
        <f>DPR!C388</f>
        <v>45396</v>
      </c>
      <c r="C500" s="364" t="str">
        <f>DPR!AJ388</f>
        <v>BC-10:During ramp up after resoving the issuing of turbine trip, a a flame-out event was detected at the flaring system, which led to a full-field ESD.Ramp up planning ongoing after troubleshooting.
SPOC:Batching done on 12th and 13th April (total export 64k.). Present stock 125k (50k at Tj and 75k at Heglig)</v>
      </c>
    </row>
    <row r="501" spans="2:3" hidden="1">
      <c r="B501" s="446">
        <f>DPR!C387</f>
        <v>45395</v>
      </c>
      <c r="C501" s="364">
        <f>DPR!AJ387</f>
        <v>0</v>
      </c>
    </row>
    <row r="502" spans="2:3" hidden="1">
      <c r="B502" s="446">
        <f>DPR!C386</f>
        <v>45394</v>
      </c>
      <c r="C502" s="364">
        <f>DPR!AJ386</f>
        <v>0</v>
      </c>
    </row>
    <row r="503" spans="2:3" ht="45" hidden="1">
      <c r="B503" s="446">
        <f>DPR!C385</f>
        <v>45393</v>
      </c>
      <c r="C503" s="364" t="str">
        <f>DPR!AJ385</f>
        <v>_x000D_
CPO-5:Well Indico-3 added. Contribution750 bbl in 8 hrs.Well under stabilization. Also, the wells Indico-4&amp;5 reopened at 12 noon (as the maintenance in Ocensa pipeline has been completed)</v>
      </c>
    </row>
    <row r="504" spans="2:3" hidden="1">
      <c r="B504" s="446">
        <f>DPR!C384</f>
        <v>45392</v>
      </c>
      <c r="C504" s="364">
        <f>DPR!AJ384</f>
        <v>0</v>
      </c>
    </row>
    <row r="505" spans="2:3" ht="45" hidden="1">
      <c r="B505" s="446">
        <f>DPR!C383</f>
        <v>45391</v>
      </c>
      <c r="C505" s="364" t="str">
        <f>DPR!AJ383</f>
        <v>BC-10:Production deferment due to turbine trip.
CPO-5: Due to on-going social issues and blockade on the roads as well as Ocensa pipeline maintenance works, M/s Vitol is not able to fulfil the daily tanker requirements. Production curtailed to manage the storage capacity.</v>
      </c>
    </row>
    <row r="506" spans="2:3" ht="30" hidden="1">
      <c r="B506" s="446">
        <f>DPR!C382</f>
        <v>45390</v>
      </c>
      <c r="C506" s="364" t="str">
        <f>DPR!AJ382</f>
        <v>BC-10:Production deferment due to turbine trip.
SPOC: WHCC stopped export to PS#1 on 08/04/2024 @ 1408hrs due to low COBT level.</v>
      </c>
    </row>
    <row r="507" spans="2:3" ht="30" hidden="1">
      <c r="B507" s="446">
        <f>DPR!C381</f>
        <v>45389</v>
      </c>
      <c r="C507" s="364" t="str">
        <f>DPR!AJ381</f>
        <v>BC-10:Production deferment due to turbine trip.
SPOC: Export ongoing.Stock 122k bbl (53k at TJ,69k at Heglig)</v>
      </c>
    </row>
    <row r="508" spans="2:3" hidden="1">
      <c r="B508" s="446">
        <f>DPR!C380</f>
        <v>45388</v>
      </c>
      <c r="C508" s="364">
        <f>DPR!AJ380</f>
        <v>0</v>
      </c>
    </row>
    <row r="509" spans="2:3" hidden="1">
      <c r="B509" s="446">
        <f>DPR!C379</f>
        <v>45387</v>
      </c>
      <c r="C509" s="364">
        <f>DPR!AJ379</f>
        <v>0</v>
      </c>
    </row>
    <row r="510" spans="2:3" hidden="1">
      <c r="B510" s="446">
        <f>DPR!C378</f>
        <v>45386</v>
      </c>
      <c r="C510" s="364" t="str">
        <f>DPR!AJ378</f>
        <v>SPOC: WHCC resumed injection to PS#1 @0224 hrs @04/04/2024 (312 m3/hr) .Stock 155k bbl (54k at TJ,101k at Heglig)</v>
      </c>
    </row>
    <row r="511" spans="2:3" ht="30" hidden="1">
      <c r="B511" s="446">
        <f>DPR!C377</f>
        <v>45385</v>
      </c>
      <c r="C511" s="364" t="str">
        <f>DPR!AJ377</f>
        <v xml:space="preserve">
LZC:Quota for the month is 401k bopd.</v>
      </c>
    </row>
    <row r="512" spans="2:3" ht="30" hidden="1">
      <c r="B512" s="446">
        <f>DPR!C376</f>
        <v>45384</v>
      </c>
      <c r="C512" s="364" t="str">
        <f>DPR!AJ376</f>
        <v>PCB:Prod'n deferment due to pipeline leak and electrical flickering.
LZC:Quota for the month is 401k bopd.</v>
      </c>
    </row>
    <row r="513" spans="2:3" hidden="1">
      <c r="B513" s="446">
        <f>DPR!C375</f>
        <v>45383</v>
      </c>
      <c r="C513" s="364" t="str">
        <f>DPR!AJ375</f>
        <v>PCB:Prod'n deferment due to pipeline leak.</v>
      </c>
    </row>
    <row r="514" spans="2:3" hidden="1">
      <c r="B514" s="446">
        <f>DPR!C374</f>
        <v>45382</v>
      </c>
      <c r="C514" s="364" t="str">
        <f>DPR!AJ374</f>
        <v>A1-A3:Information about restart after s/d awaited from operator.</v>
      </c>
    </row>
    <row r="515" spans="2:3" ht="45" hidden="1">
      <c r="B515" s="446">
        <f>DPR!C373</f>
        <v>45381</v>
      </c>
      <c r="C515" s="364" t="str">
        <f>DPR!AJ373</f>
        <v>SPOC:Export stopped on 29th due to low COBT.Export during the batch was 69k bbl. Total export during March is  419k bbl.
A1-A3:Information about restart after s/d awaited from operator.</v>
      </c>
    </row>
    <row r="516" spans="2:3" hidden="1">
      <c r="B516" s="446">
        <f>DPR!C372</f>
        <v>45380</v>
      </c>
      <c r="C516" s="364" t="str">
        <f>DPR!AJ372</f>
        <v>SPOC:Export stopped during the day due to low COBT. Total export during March is  419k bbl.</v>
      </c>
    </row>
    <row r="517" spans="2:3" ht="30" hidden="1">
      <c r="B517" s="446">
        <f>DPR!C371</f>
        <v>45379</v>
      </c>
      <c r="C517" s="364" t="str">
        <f>DPR!AJ371</f>
        <v>SPOC:Batching ongoing. 34 wells flowing. Field prod' 14k bopd. Pumping from Tj to Heglig at 12.7k bopd. Stock 125k bbl 57k at TJ and 68k at Heglig. SPOC export  from WHCC stopped  on  29/3/24 @13:13hrs, on low COBT  level</v>
      </c>
    </row>
    <row r="518" spans="2:3" hidden="1">
      <c r="B518" s="446">
        <f>DPR!C370</f>
        <v>45378</v>
      </c>
      <c r="C518" s="364" t="str">
        <f>DPR!AJ370</f>
        <v>SPOC:Export started on 28th morning(1 am).</v>
      </c>
    </row>
    <row r="519" spans="2:3" ht="30" hidden="1">
      <c r="B519" s="446">
        <f>DPR!C369</f>
        <v>45377</v>
      </c>
      <c r="C519" s="364" t="str">
        <f>DPR!AJ369</f>
        <v>_x000D_
CPO-5:Bean up in Indico 2,6,7. Halcon well closed due to generator problem.</v>
      </c>
    </row>
    <row r="520" spans="2:3" ht="45" hidden="1">
      <c r="B520" s="446">
        <f>DPR!C368</f>
        <v>45376</v>
      </c>
      <c r="C520" s="364" t="str">
        <f>DPR!AJ368</f>
        <v>CPO-5:Indico wells opened on 25-3-24.
SPOC:No export. 34 wells flowing.Field production rate 13k bopd.Pumping from Tj to Heglig at 12k bopd.Stock 140k bbl (59k at TJ,81k at Heglig)</v>
      </c>
    </row>
    <row r="521" spans="2:3" hidden="1">
      <c r="B521" s="446">
        <f>DPR!C367</f>
        <v>45375</v>
      </c>
      <c r="C521" s="364">
        <f>DPR!AJ367</f>
        <v>0</v>
      </c>
    </row>
    <row r="522" spans="2:3" hidden="1">
      <c r="B522" s="446">
        <f>DPR!C366</f>
        <v>45374</v>
      </c>
      <c r="C522" s="364">
        <f>DPR!AJ366</f>
        <v>0</v>
      </c>
    </row>
    <row r="523" spans="2:3" hidden="1">
      <c r="B523" s="446">
        <f>DPR!C365</f>
        <v>45373</v>
      </c>
      <c r="C523" s="364">
        <f>DPR!AJ365</f>
        <v>0</v>
      </c>
    </row>
    <row r="524" spans="2:3" ht="60" hidden="1">
      <c r="B524" s="446">
        <f>DPR!C364</f>
        <v>45372</v>
      </c>
      <c r="C524" s="364" t="str">
        <f>DPR!AJ364</f>
        <v>SPOC:Export ongoing.Stock 96k at Heglig, 54k at TJ.
GPOC:Production deferment in north fields and Munga due to power trip 
CPO-5:Blockade at Indico pad.
Myanmar:Shutdown ongoing for major works.</v>
      </c>
    </row>
    <row r="525" spans="2:3" ht="60" hidden="1">
      <c r="B525" s="446">
        <f>DPR!C363</f>
        <v>45371</v>
      </c>
      <c r="C525" s="364" t="str">
        <f>DPR!AJ363</f>
        <v>SPOC: Export resumed at 0105 hrs on 21.03.24(to be reflected in tomorrow's report). 34 wells flowing. Field prod 12.8k bopd. Pumping from TJ to Heglig at 11.5 k bopd.Stock 183k bbl (53k at TJ and 130k at Heglig).
A1-A3:Planned s/d of 10 days.</v>
      </c>
    </row>
    <row r="526" spans="2:3" ht="30" hidden="1">
      <c r="B526" s="446">
        <f>DPR!C362</f>
        <v>45370</v>
      </c>
      <c r="C526" s="364" t="str">
        <f>DPR!AJ362</f>
        <v>SPOC: No export. 34 wells flowing. Field prod 12.3k bopd. Pumping from TJ to Heglig at 11.3 k bopd.Stock 171k bbl (53k at TJ and 118k at Heglig)</v>
      </c>
    </row>
    <row r="527" spans="2:3" ht="45" hidden="1">
      <c r="B527" s="446">
        <f>DPR!C361</f>
        <v>45369</v>
      </c>
      <c r="C527" s="364" t="str">
        <f>DPR!AJ361</f>
        <v>SPOC:No export. 33 wells flowing. Field production about 13k bopd. Pumping from Tj to Heglig ongoing at 11.4k bopd.Stock 159k bbl(52k at Tj, 107k at Heglig)
CPO-5:Blockade ongoing at Indico pad.</v>
      </c>
    </row>
    <row r="528" spans="2:3" ht="105" hidden="1">
      <c r="B528" s="446">
        <f>DPR!C360</f>
        <v>45368</v>
      </c>
      <c r="C528" s="364" t="str">
        <f>DPR!AJ360</f>
        <v xml:space="preserve">
BC-10:Mobo-1 troubleshooting completed. Restarted in the evening.
SPOC:No export. 33 wells flowing. Field production 13k bopd.Pumping from Tj to Heglig ongoing at 11.4k bopd.Stock 146k bbl(51k at Tj, 95k at Heglig)
CPO-5:Blockade ongoing at Indico pad.
Vankor:Gas production deferment due to preventive maintenance of the equipment at high-pressure gas compressor station </v>
      </c>
    </row>
    <row r="529" spans="2:3" hidden="1">
      <c r="B529" s="446">
        <f>DPR!C359</f>
        <v>45367</v>
      </c>
      <c r="C529" s="364">
        <f>DPR!AJ359</f>
        <v>0</v>
      </c>
    </row>
    <row r="530" spans="2:3" hidden="1">
      <c r="B530" s="446">
        <f>DPR!C358</f>
        <v>45366</v>
      </c>
      <c r="C530" s="364">
        <f>DPR!AJ358</f>
        <v>0</v>
      </c>
    </row>
    <row r="531" spans="2:3" ht="75" hidden="1">
      <c r="B531" s="446">
        <f>DPR!C357</f>
        <v>45365</v>
      </c>
      <c r="C531" s="364" t="str">
        <f>DPR!AJ357</f>
        <v>CPO-5:Blockade at Indico pad.
Vankor(gas):Deferment in gas production due to shutdown.
SPOC:Export stopped at 5:30 hrs 14-March. 33 wells flowing. Field prod'n about 12.2k bopd. Pumping from TJ to Heglig at 12k bopd.Stock 111 k bbl(51k at TJ and 60k at Heglig)
BC-10:Mobo-1 trip under investigation. At present only 3 MOBO running.</v>
      </c>
    </row>
    <row r="532" spans="2:3" ht="60" hidden="1">
      <c r="B532" s="446">
        <f>DPR!C356</f>
        <v>45364</v>
      </c>
      <c r="C532" s="364" t="str">
        <f>DPR!AJ356</f>
        <v>SPOC:Export ongoing under batcing.33 wells flowing.Field prod'n 12.2 k bopd.Export from TJ to Heglig ongoing at 19.2 k bopd.Stock 109 bbl(50k at Tj, 59k at Heglig)
BC-10:More deferment due to MOBO-1 trip. Investigation ongoing.
CPO-5:Indico-5 closed for PBU.</v>
      </c>
    </row>
    <row r="533" spans="2:3" ht="45" hidden="1">
      <c r="B533" s="446">
        <f>DPR!C355</f>
        <v>45363</v>
      </c>
      <c r="C533" s="364" t="str">
        <f>DPR!AJ355</f>
        <v>SPOC: Export ongoing under batching . 33 wells flowing.Field prod'n 12.9k bopd.Pumping from TJ to Heglig ongoing at a rate of 18k bopd. Stock 145k (58k at TJ, 87k at Heglig)
SCB:Intermittent pumping. Field production 3.7k bopd.</v>
      </c>
    </row>
    <row r="534" spans="2:3" ht="45" hidden="1">
      <c r="B534" s="446">
        <f>DPR!C354</f>
        <v>45362</v>
      </c>
      <c r="C534" s="364" t="str">
        <f>DPR!AJ354</f>
        <v>SPOC:Export restarted on 11th night(details not recvd yet)
CPO-5:Multi bean test ongoing on well Indico-5
Sakh-1 gas for March month assumed as 12 mmscmd based on previous year trend</v>
      </c>
    </row>
    <row r="535" spans="2:3" ht="45" hidden="1">
      <c r="B535" s="446">
        <f>DPR!C353</f>
        <v>45361</v>
      </c>
      <c r="C535" s="364" t="str">
        <f>DPR!AJ353</f>
        <v>CPO-5: Choke increase in Indico-6 from 36 to 38/64. Plan in Indico-5 for multibean test and PBU to meet the compliance requirement.(bean to be increased in phases from current 46/64 to 58/64". After that 24 hr shut-in to be taken). Well was shutin for 4 hrs during the day for run-in of assembly.(Normal production of Indico-5 at 46/64 is about 3k bopd.</v>
      </c>
    </row>
    <row r="536" spans="2:3" ht="75" hidden="1">
      <c r="B536" s="446">
        <f>DPR!C352</f>
        <v>45360</v>
      </c>
      <c r="C536" s="364" t="str">
        <f>DPR!AJ352</f>
        <v xml:space="preserve">
SPOC:Export stopped on 8th March. Total export in this batch(5-8 march) is 140k bbl.At present well produciton about 14k bopd. Export from Tharjath to heglig about 18k bopd.Total stock around 163 bbl(78k at Tharjath, 85k at Heglig.)
BC-10:ALM-2 out of operation causing production deferement (MOBO-5).</v>
      </c>
    </row>
    <row r="537" spans="2:3" hidden="1">
      <c r="B537" s="446">
        <f>DPR!C351</f>
        <v>45359</v>
      </c>
      <c r="C537" s="364">
        <f>DPR!AJ351</f>
        <v>0</v>
      </c>
    </row>
    <row r="538" spans="2:3" hidden="1">
      <c r="B538" s="446">
        <f>DPR!C350</f>
        <v>45358</v>
      </c>
      <c r="C538" s="364">
        <f>DPR!AJ350</f>
        <v>0</v>
      </c>
    </row>
    <row r="539" spans="2:3" ht="45" hidden="1">
      <c r="B539" s="446">
        <f>DPR!C349</f>
        <v>45357</v>
      </c>
      <c r="C539" s="364" t="str">
        <f>DPR!AJ349</f>
        <v xml:space="preserve">SPOC:Batching process ongoing.
BC-10:Production deferment due to MOBO 5 trip. Matter being taken up with operator.
</v>
      </c>
    </row>
    <row r="540" spans="2:3" ht="45" hidden="1">
      <c r="B540" s="446">
        <f>DPR!C348</f>
        <v>45356</v>
      </c>
      <c r="C540" s="364" t="str">
        <f>DPR!AJ348</f>
        <v>SPOC:Export started on 5th March morning. 17 wells opened.
BC-10:MOBO-5 tripped in the morning. Under investigation.
Sakhalin-1:Updated as per latest weekly received.</v>
      </c>
    </row>
    <row r="541" spans="2:3" ht="60" hidden="1">
      <c r="B541" s="446">
        <f>DPR!C347</f>
        <v>45355</v>
      </c>
      <c r="C541" s="364" t="str">
        <f>DPR!AJ347</f>
        <v xml:space="preserve">SPOC: Export started on 5th march morning.(Batching). 17 wells opened. Producton to be reflected in tomorrow's report.
LZC:Quota information received from operator for June'24(417 kbopd).
</v>
      </c>
    </row>
    <row r="542" spans="2:3" ht="60" hidden="1">
      <c r="B542" s="446">
        <f>DPR!C346</f>
        <v>45354</v>
      </c>
      <c r="C542" s="364" t="str">
        <f>DPR!AJ346</f>
        <v>S-1 (Week 18-24 Feb report received): Production curtailed due to bad weather affecting tanker movement. Slowdown opportunity used for some planned
maintenance work for optimization purposes.Report for 25 onwards not yet received yet. Production assumed 170k bopd.</v>
      </c>
    </row>
    <row r="543" spans="2:3" hidden="1">
      <c r="B543" s="446">
        <f>DPR!C345</f>
        <v>45353</v>
      </c>
      <c r="C543" s="364">
        <f>DPR!AJ345</f>
        <v>0</v>
      </c>
    </row>
    <row r="544" spans="2:3" hidden="1">
      <c r="B544" s="446">
        <f>DPR!C344</f>
        <v>45352</v>
      </c>
      <c r="C544" s="364">
        <f>DPR!AJ344</f>
        <v>0</v>
      </c>
    </row>
    <row r="545" spans="2:3" ht="30" hidden="1">
      <c r="B545" s="446">
        <f>DPR!C343</f>
        <v>45351</v>
      </c>
      <c r="C545" s="364" t="str">
        <f>DPR!AJ343</f>
        <v>MECL:Electrical shutdown taken for preventive maintenance (due to identification of hotspots in main line)
SCB:Intermittent pumping. Field prod'n 3640 bopd.</v>
      </c>
    </row>
    <row r="546" spans="2:3" ht="30" hidden="1">
      <c r="B546" s="446">
        <f>DPR!C342</f>
        <v>45350</v>
      </c>
      <c r="C546" s="364" t="str">
        <f>DPR!AJ342</f>
        <v>CPO-5:Indico wells progressively opened.
GPOC: Crude from FPF stock, which was diverted on Monday, also being pumped (about 5.5k bbl)</v>
      </c>
    </row>
    <row r="547" spans="2:3" ht="45" hidden="1">
      <c r="B547" s="446">
        <f>DPR!C341</f>
        <v>45349</v>
      </c>
      <c r="C547" s="364" t="str">
        <f>DPR!AJ341</f>
        <v xml:space="preserve">GPOC: Production diverted to FPF Cost tank due to complete blackout at Heglig on Monday morning.Resumed export in the evening. Diverted volume approximately 24k.
CPO-5: Blockade at Indico pad. </v>
      </c>
    </row>
    <row r="548" spans="2:3" ht="45" hidden="1">
      <c r="B548" s="446">
        <f>DPR!C340</f>
        <v>45348</v>
      </c>
      <c r="C548" s="364" t="str">
        <f>DPR!AJ340</f>
        <v>SCB:Intermittent pumping. Field prod'n 3.6k bopd.
GPOC: Production diverted to FPF Cost tank due tocomplete blackout at Heglig on Monday morning.Resumed export in the evening. Diverted volume approximately 24k.</v>
      </c>
    </row>
    <row r="549" spans="2:3" hidden="1">
      <c r="B549" s="446">
        <f>DPR!C339</f>
        <v>45347</v>
      </c>
      <c r="C549" s="364" t="str">
        <f>DPR!AJ339</f>
        <v>SCB:Intermittent pumping. Field prod'n 3.6k bopd.</v>
      </c>
    </row>
    <row r="550" spans="2:3" hidden="1">
      <c r="B550" s="446">
        <f>DPR!C338</f>
        <v>45346</v>
      </c>
      <c r="C550" s="364">
        <f>DPR!AJ338</f>
        <v>0</v>
      </c>
    </row>
    <row r="551" spans="2:3" hidden="1">
      <c r="B551" s="446">
        <f>DPR!C337</f>
        <v>45345</v>
      </c>
      <c r="C551" s="364">
        <f>DPR!AJ337</f>
        <v>0</v>
      </c>
    </row>
    <row r="552" spans="2:3" hidden="1">
      <c r="B552" s="446">
        <f>DPR!C336</f>
        <v>45344</v>
      </c>
      <c r="C552" s="364" t="str">
        <f>DPR!AJ336</f>
        <v>SCB:Intermittent pumping. Field prod'n 3.4k bopd(deferment of 170 bopd due to electrical problem in a well)</v>
      </c>
    </row>
    <row r="553" spans="2:3" hidden="1">
      <c r="B553" s="446">
        <f>DPR!C335</f>
        <v>45343</v>
      </c>
      <c r="C553" s="364" t="str">
        <f>DPR!AJ335</f>
        <v>CPO-5:Blockade at Indico pad during the day. Wells reopened in evening.</v>
      </c>
    </row>
    <row r="554" spans="2:3" ht="30" hidden="1">
      <c r="B554" s="446">
        <f>DPR!C334</f>
        <v>45342</v>
      </c>
      <c r="C554" s="364" t="str">
        <f>DPR!AJ334</f>
        <v xml:space="preserve">
IEC:Decline in production from new tech wells and shutin of two wells in Snezhnoye field due to low influx.</v>
      </c>
    </row>
    <row r="555" spans="2:3" ht="60" hidden="1">
      <c r="B555" s="446">
        <f>DPR!C333</f>
        <v>45341</v>
      </c>
      <c r="C555" s="364" t="str">
        <f>DPR!AJ333</f>
        <v xml:space="preserve">
SPOC:No export. Stock level around 249k out of 300k bbl.
IEC:Deferment due to s/d of two wells. Details sought.</v>
      </c>
    </row>
    <row r="556" spans="2:3" ht="45" hidden="1">
      <c r="B556" s="446">
        <f>DPR!C332</f>
        <v>45340</v>
      </c>
      <c r="C556" s="364" t="str">
        <f>DPR!AJ332</f>
        <v xml:space="preserve">
SPOC:No export. Stock level around 249k out of 300k bbl.
SCB: Intermittent pumping. Field prod'n 3.55k bopd</v>
      </c>
    </row>
    <row r="557" spans="2:3" ht="75" hidden="1">
      <c r="B557" s="446">
        <f>DPR!C331</f>
        <v>45339</v>
      </c>
      <c r="C557" s="364" t="str">
        <f>DPR!AJ331</f>
        <v xml:space="preserve">
CPO-5:Indico site and Indico 3 were under blockade from 05:00 AM to 02:00 hrs. Blockade lifted after agreement on community demands
SPOC:No export. Stock level around 249k out of 300k bbl.
SCB:Intermittent pumping. Field prod'n 3.55k bopd</v>
      </c>
    </row>
    <row r="558" spans="2:3" ht="30" hidden="1">
      <c r="B558" s="446">
        <f>DPR!C330</f>
        <v>45338</v>
      </c>
      <c r="C558" s="364" t="str">
        <f>DPR!AJ330</f>
        <v>SCB: Intermittent pumping. Field prod'n 3.55k bopd.
Vankor:Deferment due to electrical shutdown</v>
      </c>
    </row>
    <row r="559" spans="2:3" hidden="1">
      <c r="B559" s="446">
        <f>DPR!C329</f>
        <v>45337</v>
      </c>
      <c r="C559" s="364">
        <f>DPR!AJ329</f>
        <v>0</v>
      </c>
    </row>
    <row r="560" spans="2:3" hidden="1">
      <c r="B560" s="446">
        <f>DPR!C328</f>
        <v>45336</v>
      </c>
      <c r="C560" s="364">
        <f>DPR!AJ328</f>
        <v>0</v>
      </c>
    </row>
    <row r="561" spans="2:3" hidden="1">
      <c r="B561" s="446">
        <f>DPR!C327</f>
        <v>45335</v>
      </c>
      <c r="C561" s="364">
        <f>DPR!AJ327</f>
        <v>0</v>
      </c>
    </row>
    <row r="562" spans="2:3" hidden="1">
      <c r="B562" s="446">
        <f>DPR!C326</f>
        <v>45334</v>
      </c>
      <c r="C562" s="364" t="str">
        <f>DPR!AJ326</f>
        <v>B-06.1:Pressure buildup test of well Ld-1P</v>
      </c>
    </row>
    <row r="563" spans="2:3" ht="30" hidden="1">
      <c r="B563" s="446">
        <f>DPR!C325</f>
        <v>45333</v>
      </c>
      <c r="C563" s="364" t="str">
        <f>DPR!AJ325</f>
        <v>SCB:Intermittent pumping. Field prod'n 3.6k bopd
SPOC:No export. Stock level around 249k out of 300k bbl.</v>
      </c>
    </row>
    <row r="564" spans="2:3" ht="45" hidden="1">
      <c r="B564" s="446">
        <f>DPR!C324</f>
        <v>45332</v>
      </c>
      <c r="C564" s="364" t="str">
        <f>DPR!AJ324</f>
        <v xml:space="preserve">_x000D_
SPOC:No export. Stock level around 249k out of 300k bbl._x000D_
</v>
      </c>
    </row>
    <row r="565" spans="2:3" ht="30" hidden="1">
      <c r="B565" s="446">
        <f>DPR!C323</f>
        <v>45331</v>
      </c>
      <c r="C565" s="364" t="str">
        <f>DPR!AJ323</f>
        <v>_x000D_
SPOC:No export. Stock level around 249k out of 300k bbl.</v>
      </c>
    </row>
    <row r="566" spans="2:3" ht="75" hidden="1">
      <c r="B566" s="446">
        <f>DPR!C322</f>
        <v>45330</v>
      </c>
      <c r="C566" s="364" t="str">
        <f>DPR!AJ322</f>
        <v xml:space="preserve">
SPOC:No export. Stock level around 249k out of 300k bbl.
CPO-5:Well halcon-1X opened under LTT. Production added 7th Feb onwards. .Current rate around 70 bopd, WC around 60%.Currently under stabilization
BC-10: Deferment due to Mobo-5 shutdown due to instability issues(Hot oiling long loop)</v>
      </c>
    </row>
    <row r="567" spans="2:3" ht="60" hidden="1">
      <c r="B567" s="446">
        <f>DPR!C321</f>
        <v>45329</v>
      </c>
      <c r="C567" s="364" t="str">
        <f>DPR!AJ321</f>
        <v xml:space="preserve">
SPOC:No export. Stock level around 249k out of 300k bbl.
LZC: Production deferment due to Ullage issue due to weather_x000D_
BC-10: Deferment due to Mobo-5 shutdown due to instability issues(Hot oiling long loop)</v>
      </c>
    </row>
    <row r="568" spans="2:3" ht="45" hidden="1">
      <c r="B568" s="446">
        <f>DPR!C320</f>
        <v>45328</v>
      </c>
      <c r="C568" s="364" t="str">
        <f>DPR!AJ320</f>
        <v xml:space="preserve">
LZC: Production deferment due to Ullage issue due to weather
</v>
      </c>
    </row>
    <row r="569" spans="2:3" ht="30" hidden="1">
      <c r="B569" s="446">
        <f>DPR!C319</f>
        <v>45327</v>
      </c>
      <c r="C569" s="364" t="str">
        <f>DPR!AJ319</f>
        <v>LZC: Production deferment due to Ullage issue due to weather
SPOC: No export. All wells closed. Stock around 248k out of 300k</v>
      </c>
    </row>
    <row r="570" spans="2:3" ht="30" hidden="1">
      <c r="B570" s="446">
        <f>DPR!C318</f>
        <v>45326</v>
      </c>
      <c r="C570" s="364" t="str">
        <f>DPR!AJ318</f>
        <v>LZC: Production deferment due to Ullage issue due to weather
SPOC: No export. All wells closed. Stock around 248k out of 300k</v>
      </c>
    </row>
    <row r="571" spans="2:3" hidden="1">
      <c r="B571" s="446">
        <f>DPR!C317</f>
        <v>45325</v>
      </c>
      <c r="C571" s="364">
        <f>DPR!AJ317</f>
        <v>0</v>
      </c>
    </row>
    <row r="572" spans="2:3" hidden="1">
      <c r="B572" s="446">
        <f>DPR!C316</f>
        <v>45324</v>
      </c>
      <c r="C572" s="364">
        <f>DPR!AJ316</f>
        <v>0</v>
      </c>
    </row>
    <row r="573" spans="2:3" hidden="1">
      <c r="B573" s="446">
        <f>DPR!C315</f>
        <v>45323</v>
      </c>
      <c r="C573" s="364">
        <f>DPR!AJ315</f>
        <v>0</v>
      </c>
    </row>
    <row r="574" spans="2:3" ht="30" hidden="1">
      <c r="B574" s="446">
        <f>DPR!C314</f>
        <v>45322</v>
      </c>
      <c r="C574" s="364" t="str">
        <f>DPR!AJ314</f>
        <v>_x000D_
SPOC: No export. All wells closed. Stock 248k bbl out of 300k.</v>
      </c>
    </row>
    <row r="575" spans="2:3" ht="90" hidden="1">
      <c r="B575" s="446">
        <f>DPR!C313</f>
        <v>45321</v>
      </c>
      <c r="C575" s="364" t="str">
        <f>DPR!AJ313</f>
        <v>SPOC: No export. All wells closed. Stock 248k bbl out of 300k.
LZC: Revised Quota for Q1 of CY 2024 received from operator. New Quota is as under: 
          Jan'24-399k(same as earlier) , 
          Feb'24: 397k (earlier 402k), 
          Mar'24: 405k (Earlier 415k). 
          No update received for Apr'24 quota which was 401k.</v>
      </c>
    </row>
    <row r="576" spans="2:3" hidden="1">
      <c r="B576" s="446">
        <f>DPR!C312</f>
        <v>45320</v>
      </c>
      <c r="C576" s="364" t="str">
        <f>DPR!AJ312</f>
        <v>SPOC: No export. All wells closed. Stock 248k bbl out of 300k.</v>
      </c>
    </row>
    <row r="577" spans="2:3" ht="45" hidden="1">
      <c r="B577" s="446">
        <f>DPR!C311</f>
        <v>45319</v>
      </c>
      <c r="C577" s="364" t="str">
        <f>DPR!AJ311</f>
        <v>CPO-5:Well Perico-1X opened on 27-Jan.
SCB:Field prod'n 3.5k bopd.
SPOC: No export. All wells closed. Stock 248k bbl out of 300k.</v>
      </c>
    </row>
    <row r="578" spans="2:3" hidden="1">
      <c r="B578" s="446">
        <f>DPR!C310</f>
        <v>45318</v>
      </c>
      <c r="C578" s="364">
        <f>DPR!AJ310</f>
        <v>0</v>
      </c>
    </row>
    <row r="579" spans="2:3" hidden="1">
      <c r="B579" s="446">
        <f>DPR!C309</f>
        <v>45317</v>
      </c>
      <c r="C579" s="364">
        <f>DPR!AJ309</f>
        <v>0</v>
      </c>
    </row>
    <row r="580" spans="2:3" hidden="1">
      <c r="B580" s="446">
        <f>DPR!C308</f>
        <v>45316</v>
      </c>
      <c r="C580" s="364">
        <f>DPR!AJ308</f>
        <v>0</v>
      </c>
    </row>
    <row r="581" spans="2:3" hidden="1">
      <c r="B581" s="446">
        <f>DPR!C307</f>
        <v>45315</v>
      </c>
      <c r="C581" s="364" t="str">
        <f>DPR!AJ307</f>
        <v>SPOC: Exort for about 7 hrs for VR trial</v>
      </c>
    </row>
    <row r="582" spans="2:3" ht="75" hidden="1">
      <c r="B582" s="446">
        <f>DPR!C306</f>
        <v>45314</v>
      </c>
      <c r="C582" s="364" t="str">
        <f>DPR!AJ306</f>
        <v>IEC: Production deferment due to pipeline leakage in South Maiskoye. Wells restarted. 
CPO-5:Perico well to be opened on 24th morning(Colombia time)
GPOC: About 4.5k bopd crude transferred to COST in Toma south, El toor and El nar.
SPOC:No export. Tank level 258.5 kbbl out of 300k bbl.
SCB:Field production around 3.5k bopd.</v>
      </c>
    </row>
    <row r="583" spans="2:3" ht="105" hidden="1">
      <c r="B583" s="446">
        <f>DPR!C305</f>
        <v>45313</v>
      </c>
      <c r="C583" s="364" t="str">
        <f>DPR!AJ305</f>
        <v>CPO-5: Well closed as crude dispatch could not commence owing to BS&amp;W not being within limits(0.5%) .Attempts being made to bring down BS&amp;W to the desired level by blending the crude with well fluid from other wells. Chemical expert team from Baker Hughes is at site to formulate proper dosage of chemical for the crude, once the well starts producing ;Commissioning of boiler also done.
SPOC: Viscocity reducer trial continued (export done for 7 hrs while injecting VR at 30 LPH,400 ppm).Stock 253k bbl out of 300 bbl. All wells closed.
LZC:Deferment due to ullage issue because of weather</v>
      </c>
    </row>
    <row r="584" spans="2:3" ht="45" hidden="1">
      <c r="B584" s="446">
        <f>DPR!C304</f>
        <v>45312</v>
      </c>
      <c r="C584" s="364" t="str">
        <f>DPR!AJ304</f>
        <v>CPO-5:PBU completed at Perico. Well to be opened.
SPOC: Viscocity reducer trial conducted at WHCC(for 8 hrs).Currently all wells closed. Stock level 258.5 kbbl out of 300k.
GPOC: Crude diverted to COST in Eltoor(3k bbl approx) and Toma south(3000 bbl approx) FPF.</v>
      </c>
    </row>
    <row r="585" spans="2:3" hidden="1">
      <c r="B585" s="446">
        <f>DPR!C303</f>
        <v>45311</v>
      </c>
      <c r="C585" s="364">
        <f>DPR!AJ303</f>
        <v>0</v>
      </c>
    </row>
    <row r="586" spans="2:3" hidden="1">
      <c r="B586" s="446">
        <f>DPR!C302</f>
        <v>45310</v>
      </c>
      <c r="C586" s="364">
        <f>DPR!AJ302</f>
        <v>0</v>
      </c>
    </row>
    <row r="587" spans="2:3" ht="75" hidden="1">
      <c r="B587" s="446">
        <f>DPR!C301</f>
        <v>45309</v>
      </c>
      <c r="C587" s="364" t="str">
        <f>DPR!AJ301</f>
        <v xml:space="preserve">
CPO-5:Blockade at Indico wells lifted on 18th evening.Wells to be opened.Perico well closed for PBU
SPOC:No export. All wells closed to avoid tank top. Stock around 262k out of 300k.
A1-A3: Production deferment due to reinstatement trial of well MND-D.Well MND-d closed again due to insufficient flow.</v>
      </c>
    </row>
    <row r="588" spans="2:3" ht="45" hidden="1">
      <c r="B588" s="446">
        <f>DPR!C300</f>
        <v>45308</v>
      </c>
      <c r="C588" s="364" t="str">
        <f>DPR!AJ300</f>
        <v xml:space="preserve">
CPO-5:Blockade at Indico wells. All wells closed at 7 am morning
SPOC:No export. All wells closed to avoid tank top. Stock around 261k out of 300k.</v>
      </c>
    </row>
    <row r="589" spans="2:3" hidden="1">
      <c r="B589" s="446">
        <f>DPR!C299</f>
        <v>45307</v>
      </c>
      <c r="C589" s="364">
        <f>DPR!AJ299</f>
        <v>0</v>
      </c>
    </row>
    <row r="590" spans="2:3" ht="45" hidden="1">
      <c r="B590" s="446">
        <f>DPR!C298</f>
        <v>45306</v>
      </c>
      <c r="C590" s="364" t="str">
        <f>DPR!AJ298</f>
        <v>SPOC:No export. All wells closed to avoid tank top. Stock around 261k out of 300k.
CPO-5:Indico wells progressively opened. Multi rate test going on in perico-1x.
S-1 gas updated based on Dec-23 report.</v>
      </c>
    </row>
    <row r="591" spans="2:3" ht="60" hidden="1">
      <c r="B591" s="446">
        <f>DPR!C297</f>
        <v>45305</v>
      </c>
      <c r="C591" s="364" t="str">
        <f>DPR!AJ297</f>
        <v>ACG:s/d in west chirag
CPO-5:The blockade at Indico pad was lifted at 14:30 hrs on 14.01.2024.Wells opening on 15th. Perico well flowing @ about 600 bopd,9% WC)
SPOC:No export.5 MALA wells flowing. Stock 260k out 300k bbl.</v>
      </c>
    </row>
    <row r="592" spans="2:3" hidden="1">
      <c r="B592" s="446">
        <f>DPR!C296</f>
        <v>45304</v>
      </c>
      <c r="C592" s="364" t="str">
        <f>DPR!AJ296</f>
        <v>ACG:s/d in west chirag</v>
      </c>
    </row>
    <row r="593" spans="2:3" hidden="1">
      <c r="B593" s="446">
        <f>DPR!C295</f>
        <v>45303</v>
      </c>
      <c r="C593" s="364">
        <f>DPR!AJ295</f>
        <v>0</v>
      </c>
    </row>
    <row r="594" spans="2:3" ht="45" hidden="1">
      <c r="B594" s="446">
        <f>DPR!C294</f>
        <v>45302</v>
      </c>
      <c r="C594" s="364" t="str">
        <f>DPR!AJ294</f>
        <v>CPO-5:Indico Wells closed since 7 am due to community  strike.Perico-1X rate about 308 bopd, WC 39%. Under stabilization.
SPOC:No export. 5 wells flowing. Stock around 254.7k out of 300k.</v>
      </c>
    </row>
    <row r="595" spans="2:3" ht="45" hidden="1">
      <c r="B595" s="446">
        <f>DPR!C293</f>
        <v>45301</v>
      </c>
      <c r="C595" s="364" t="str">
        <f>DPR!AJ293</f>
        <v xml:space="preserve">
SPOC:No export. 5 wells flowing. Stock around 254k out of 300k.
CPO-5:Perico-1x production started. </v>
      </c>
    </row>
    <row r="596" spans="2:3" ht="75" hidden="1">
      <c r="B596" s="446">
        <f>DPR!C292</f>
        <v>45300</v>
      </c>
      <c r="C596" s="364" t="str">
        <f>DPR!AJ292</f>
        <v xml:space="preserve">
SPOC:No export. 5 wells flowing. Stock around 255k out of 300k.
CPO-5:Wells(Indico-2,5&amp;6) flowing with reduced chokes due to non availibility of sufficient no. of tankers due to community bloackade at Cusiana
BC-10:Megger test planned for MOBO-6 (to verify the condition of electrical insulation)</v>
      </c>
    </row>
    <row r="597" spans="2:3" ht="60" hidden="1">
      <c r="B597" s="446">
        <f>DPR!C291</f>
        <v>45299</v>
      </c>
      <c r="C597" s="364" t="str">
        <f>DPR!AJ291</f>
        <v xml:space="preserve">
SPOC:No export. 5 wells flowing. Stock around 252k out of 300k.
CPO-5:Wells(Indico-2&amp;6) flowing with reduced chokes due to non availibility of sufficient no. of tankers due to community bloackade at Cusiana</v>
      </c>
    </row>
    <row r="598" spans="2:3" ht="60" hidden="1">
      <c r="B598" s="446">
        <f>DPR!C290</f>
        <v>45298</v>
      </c>
      <c r="C598" s="364" t="str">
        <f>DPR!AJ290</f>
        <v>CPO-5:Wells(Indico-2&amp;6) flowing with reduced chokes due to non availibility of sufficient no. of tankers due to community bloackade at Cusiana
SPOC:SPOC:No export. 5 wells flowing. Stock 250k out of 300k.
BC-10: MOBO -6 not yet ramped up, as low insulation resistance reported.Being investigated.</v>
      </c>
    </row>
    <row r="599" spans="2:3" ht="30" hidden="1">
      <c r="B599" s="446">
        <f>DPR!C289</f>
        <v>45297</v>
      </c>
      <c r="C599" s="364" t="str">
        <f>DPR!AJ289</f>
        <v xml:space="preserve">
CPO-5:Wells flowing with reduced chokes due to non availibility of sufficient no. of tankers.</v>
      </c>
    </row>
    <row r="600" spans="2:3" hidden="1">
      <c r="B600" s="446">
        <f>DPR!C288</f>
        <v>45296</v>
      </c>
      <c r="C600" s="364">
        <f>DPR!AJ288</f>
        <v>0</v>
      </c>
    </row>
    <row r="601" spans="2:3" ht="90" hidden="1">
      <c r="B601" s="446">
        <f>DPR!C287</f>
        <v>45295</v>
      </c>
      <c r="C601" s="364" t="str">
        <f>DPR!AJ287</f>
        <v xml:space="preserve">MECL:Deferment due to electrical tripping, further leading to elastomer damage in some wells.WS rig job needed.
B-06.1:Choke increase in LD-p1 leading to prod'n increase.
SCB:Intermittent pumping. Field prod'n 3.4k bopd
SPOC:No export. Stock 244k out of 300k.
LZC:Quota for the month is 399k bopd.
</v>
      </c>
    </row>
    <row r="602" spans="2:3" ht="105" hidden="1">
      <c r="B602" s="446">
        <f>DPR!C286</f>
        <v>45294</v>
      </c>
      <c r="C602" s="364" t="str">
        <f>DPR!AJ286</f>
        <v>GPOC:Transmission line problem in El nar and El toor. Deferment about 3k.
LZC:Quota for the month is 399k bopd.
SCB:Intermittent pumping. Field prod'n 3.4k bopd
BC-10:Ramp up ongoing.
MECL:Deferment due to electrical circuit issues.
PCB:Speed reduction to Macolla 1, 2 &amp; 3 wells due to high level in Comor Tank T-55001 caused by high water content_x000D_
SPOC:No export. 5 wells flowing. Stock 243k bbl out of 300k.</v>
      </c>
    </row>
    <row r="603" spans="2:3" hidden="1">
      <c r="B603" s="446">
        <f>DPR!C285</f>
        <v>45293</v>
      </c>
      <c r="C603" s="364">
        <f>DPR!AJ285</f>
        <v>0</v>
      </c>
    </row>
    <row r="604" spans="2:3" ht="30" hidden="1">
      <c r="B604" s="446">
        <f>DPR!C284</f>
        <v>45292</v>
      </c>
      <c r="C604" s="364" t="str">
        <f>DPR!AJ284</f>
        <v>BC-10:Ramp up ongoing after ESD.
CPO-5:Production curtailment due to shortage of tankers due to holiday. Expected to be normalised today.</v>
      </c>
    </row>
    <row r="605" spans="2:3" ht="60" hidden="1">
      <c r="B605" s="446">
        <f>DPR!C283</f>
        <v>45291</v>
      </c>
      <c r="C605" s="364" t="str">
        <f>DPR!AJ283</f>
        <v>SPOC:Export stopped by petco. 5 wells flowing.Stock level 224k out of 300k.
CPO-5: Ramp up ongoing after deferment due to Blockade by local community.
BC-10:Deferment due to Emergency shutdown (due to false alarm) in  the morning(31st Dec). Restart and rampup in progress.</v>
      </c>
    </row>
    <row r="606" spans="2:3" hidden="1">
      <c r="B606" s="446">
        <f>DPR!C282</f>
        <v>45290</v>
      </c>
      <c r="C606" s="364" t="str">
        <f>DPR!AJ282</f>
        <v>SPOC:Export stopped by petco. 5 wells flowing.Stock level 224k out of 300k.</v>
      </c>
    </row>
    <row r="607" spans="2:3" ht="30" hidden="1">
      <c r="B607" s="446">
        <f>DPR!C281</f>
        <v>45289</v>
      </c>
      <c r="C607" s="364" t="str">
        <f>DPR!AJ281</f>
        <v xml:space="preserve">
CPO-5:Blockade by local community</v>
      </c>
    </row>
    <row r="608" spans="2:3" hidden="1">
      <c r="B608" s="446">
        <f>DPR!C280</f>
        <v>45288</v>
      </c>
      <c r="C608" s="364">
        <f>DPR!AJ280</f>
        <v>0</v>
      </c>
    </row>
    <row r="609" spans="2:3" hidden="1">
      <c r="B609" s="446">
        <f>DPR!C279</f>
        <v>45287</v>
      </c>
      <c r="C609" s="364" t="str">
        <f>DPR!AJ279</f>
        <v>PCB:Full plant  and wells s/d due to high level in COMOR tank T-55001 and T-1201.(due to hgi WC in T 55001)</v>
      </c>
    </row>
    <row r="610" spans="2:3" hidden="1">
      <c r="B610" s="446">
        <f>DPR!C278</f>
        <v>45286</v>
      </c>
      <c r="C610" s="364" t="str">
        <f>DPR!AJ278</f>
        <v>Sakh-1 gas figure updated based on Nov report by operator</v>
      </c>
    </row>
    <row r="611" spans="2:3" ht="45" hidden="1">
      <c r="B611" s="446">
        <f>DPR!C277</f>
        <v>45285</v>
      </c>
      <c r="C611" s="364" t="str">
        <f>DPR!AJ277</f>
        <v>SPOC:Export stopped by petco.All wells closed since 22nd Dec. Stock level at Tj and Heglig 223.7k out of 300k.
PCB:Macollas 1 &amp; 3 shutdown due to high level in tanks T-1201 caused by cavitation in feed pumps and exporting pumps P-1202 and  P-1203.</v>
      </c>
    </row>
    <row r="612" spans="2:3" hidden="1">
      <c r="B612" s="446">
        <f>DPR!C276</f>
        <v>45284</v>
      </c>
      <c r="C612" s="364">
        <f>DPR!AJ276</f>
        <v>0</v>
      </c>
    </row>
    <row r="613" spans="2:3" hidden="1">
      <c r="B613" s="446">
        <f>DPR!C275</f>
        <v>45283</v>
      </c>
      <c r="C613" s="364">
        <f>DPR!AJ275</f>
        <v>0</v>
      </c>
    </row>
    <row r="614" spans="2:3" hidden="1">
      <c r="B614" s="446">
        <f>DPR!C274</f>
        <v>45282</v>
      </c>
      <c r="C614" s="364">
        <f>DPR!AJ274</f>
        <v>0</v>
      </c>
    </row>
    <row r="615" spans="2:3" ht="45" hidden="1">
      <c r="B615" s="446">
        <f>DPR!C273</f>
        <v>45281</v>
      </c>
      <c r="C615" s="364" t="str">
        <f>DPR!AJ273</f>
        <v>Vankor:Reason for deferment in previous days: Shutdown  of 7 wells due to safety reasons to avoid  possible consequences related to drilling and collision of wellbores and Shutdown of  5 wells of base well stock;
SCB:Intermittent pumping. Field prod'n 3.32k bopd.</v>
      </c>
    </row>
    <row r="616" spans="2:3" ht="60" hidden="1">
      <c r="B616" s="446">
        <f>DPR!C272</f>
        <v>45280</v>
      </c>
      <c r="C616" s="364" t="str">
        <f>DPR!AJ272</f>
        <v>SPOC:Export stopped currently.24 wells flowing.Stock level at Tharjath and Heglig about 223.5k bbl(out of 300k)
LZC:Quota for the month is 388k bopd
Vankor: Reason for deferment: Shutdown  of 7 wells due to safety reasons to avoid  possible consequences related to drilling and collision of wellbores. 2. Shutdown of  5 wells of base well stock;</v>
      </c>
    </row>
    <row r="617" spans="2:3" ht="45" hidden="1">
      <c r="B617" s="446">
        <f>DPR!C271</f>
        <v>45279</v>
      </c>
      <c r="C617" s="364" t="str">
        <f>DPR!AJ271</f>
        <v>Vankor: Reasons for production deferment still awaited from operator.
LZC:Quota for the month is 388k bopd.
SPOC:Export stopped currently.27 wells flowing.Stock level at Tharjath and Heglig about 213.7k bbl(out of 300k)</v>
      </c>
    </row>
    <row r="618" spans="2:3" ht="45" hidden="1">
      <c r="B618" s="446">
        <f>DPR!C270</f>
        <v>45278</v>
      </c>
      <c r="C618" s="364" t="str">
        <f>DPR!AJ270</f>
        <v>Vankor: Reasons for production deferment sought from the operator.
LZC:Quota for the month is 388k bopd.
SPOC:Export stopped currently.28 wells flowing.Stock level at Tharjath and Heglig about 204k bbl(out of 300k)</v>
      </c>
    </row>
    <row r="619" spans="2:3" ht="30" hidden="1">
      <c r="B619" s="446">
        <f>DPR!C269</f>
        <v>45277</v>
      </c>
      <c r="C619" s="364" t="str">
        <f>DPR!AJ269</f>
        <v>SPOC:Export stopped currently.28 wells flowing.Stock level at Tharjath and Heglig about 193k bbl(out of 300k)
LZC:Quota for the month is 388k bopd</v>
      </c>
    </row>
    <row r="620" spans="2:3" hidden="1">
      <c r="B620" s="446">
        <f>DPR!C268</f>
        <v>45276</v>
      </c>
      <c r="C620" s="364">
        <f>DPR!AJ268</f>
        <v>0</v>
      </c>
    </row>
    <row r="621" spans="2:3" hidden="1">
      <c r="B621" s="446">
        <f>DPR!C267</f>
        <v>45275</v>
      </c>
      <c r="C621" s="364">
        <f>DPR!AJ267</f>
        <v>0</v>
      </c>
    </row>
    <row r="622" spans="2:3" hidden="1">
      <c r="B622" s="446">
        <f>DPR!C266</f>
        <v>45274</v>
      </c>
      <c r="C622" s="364" t="str">
        <f>DPR!AJ266</f>
        <v>SPOC: Export currently stopped.28 wells flowing. Total stock at Tharjath and Heglig 165k bbl(out of 300k capacity)</v>
      </c>
    </row>
    <row r="623" spans="2:3" ht="45" hidden="1">
      <c r="B623" s="446">
        <f>DPR!C265</f>
        <v>45273</v>
      </c>
      <c r="C623" s="364" t="str">
        <f>DPR!AJ265</f>
        <v xml:space="preserve">
A1-A3:Productiuon deferment due to phase-3 project bridge installation job
LZC:Quota for the month is 388k bopd</v>
      </c>
    </row>
    <row r="624" spans="2:3" hidden="1">
      <c r="B624" s="446">
        <f>DPR!C264</f>
        <v>45272</v>
      </c>
      <c r="C624" s="364">
        <f>DPR!AJ264</f>
        <v>0</v>
      </c>
    </row>
    <row r="625" spans="2:3" ht="45" hidden="1">
      <c r="B625" s="446">
        <f>DPR!C263</f>
        <v>45271</v>
      </c>
      <c r="C625" s="364" t="str">
        <f>DPR!AJ263</f>
        <v>CPO-5:Indico wells closed since 8AM yesterday(11 Dec) due to community blockade.
ACG gas:Gas injection low due to Central Azeri GIC compressor issue.
LZC:Quota for the month is 388k bopd</v>
      </c>
    </row>
    <row r="626" spans="2:3" ht="60" hidden="1">
      <c r="B626" s="446">
        <f>DPR!C262</f>
        <v>45270</v>
      </c>
      <c r="C626" s="364" t="str">
        <f>DPR!AJ262</f>
        <v>ACG gas:Central Azeri GIC maintenance activities ongoing
LZC:Quota for the month is 388k bopd
SPOC:Export stopped by Petco. 15 wells flowing.(field prod approx 7k bopd).Tharjath wells gradually opened to build up COST tank level and optimize viscosities.</v>
      </c>
    </row>
    <row r="627" spans="2:3" hidden="1">
      <c r="B627" s="446">
        <f>DPR!C261</f>
        <v>45269</v>
      </c>
      <c r="C627" s="364">
        <f>DPR!AJ261</f>
        <v>0</v>
      </c>
    </row>
    <row r="628" spans="2:3" hidden="1">
      <c r="B628" s="446">
        <f>DPR!C260</f>
        <v>45268</v>
      </c>
      <c r="C628" s="364">
        <f>DPR!AJ260</f>
        <v>0</v>
      </c>
    </row>
    <row r="629" spans="2:3" ht="45" hidden="1">
      <c r="B629" s="446">
        <f>DPR!C259</f>
        <v>45267</v>
      </c>
      <c r="C629" s="364" t="str">
        <f>DPR!AJ259</f>
        <v>ACG gas:Central Azeri GIC maintenance activities ongoing
LZC:Quota for the month is 388k bopd
GPOC: Flow diverted to cost(about 13000) due to pipeline rupture.Also deferment due to power outage in Toma south</v>
      </c>
    </row>
    <row r="630" spans="2:3" ht="30" hidden="1">
      <c r="B630" s="446">
        <f>DPR!C258</f>
        <v>45266</v>
      </c>
      <c r="C630" s="364" t="str">
        <f>DPR!AJ258</f>
        <v xml:space="preserve">GPOC:Deferment due to power trip in Toma south
SPOC:Export stopped on 05-Dec (0120 hrs).Stock level 36%. </v>
      </c>
    </row>
    <row r="631" spans="2:3" hidden="1">
      <c r="B631" s="446">
        <f>DPR!C257</f>
        <v>45265</v>
      </c>
      <c r="C631" s="364" t="str">
        <f>DPR!AJ257</f>
        <v>LZC:Quota for the month is 388k bopd</v>
      </c>
    </row>
    <row r="632" spans="2:3" hidden="1">
      <c r="B632" s="446">
        <f>DPR!C256</f>
        <v>45264</v>
      </c>
      <c r="C632" s="364" t="str">
        <f>DPR!AJ256</f>
        <v>LZC:Quota for the month is 388k bopd</v>
      </c>
    </row>
    <row r="633" spans="2:3" ht="45" hidden="1">
      <c r="B633" s="446">
        <f>DPR!C255</f>
        <v>45263</v>
      </c>
      <c r="C633" s="364" t="str">
        <f>DPR!AJ255</f>
        <v>SPOC:Export from WHCC to PS-1 restarted on 02/12/23 at 23.42 hrs, rate 358 m3/hr .Pumping ratio SPOC: 2BOPCO : GPOC (51.5 23.1:25.4)
GPOC:Deferment due to transmission line problem in El nar and El toor.</v>
      </c>
    </row>
    <row r="634" spans="2:3" ht="30" hidden="1">
      <c r="B634" s="446">
        <f>DPR!C254</f>
        <v>45262</v>
      </c>
      <c r="C634" s="364" t="str">
        <f>DPR!AJ254</f>
        <v>GPOC:Deferment due to transmission line problem in El nar and El toor.
CPO-5:Well indico-2 closed from 14:10 - 18:20 hrs due to transition from hammer union to welded flowlines;</v>
      </c>
    </row>
    <row r="635" spans="2:3" hidden="1">
      <c r="B635" s="446">
        <f>DPR!C253</f>
        <v>45261</v>
      </c>
      <c r="C635" s="364">
        <f>DPR!AJ253</f>
        <v>0</v>
      </c>
    </row>
    <row r="636" spans="2:3" ht="30" hidden="1">
      <c r="B636" s="446">
        <f>DPR!C252</f>
        <v>45260</v>
      </c>
      <c r="C636" s="364" t="str">
        <f>DPR!AJ252</f>
        <v>S-1 gas updated based on Oct'23 report
SPOC:Pumping from Tharjath to Heglig ongoing. MALA (5 wells) flowing</v>
      </c>
    </row>
    <row r="637" spans="2:3" hidden="1">
      <c r="B637" s="446">
        <f>DPR!C251</f>
        <v>45259</v>
      </c>
      <c r="C637" s="364" t="str">
        <f>DPR!AJ251</f>
        <v>SPOC:Pumping from Tharjath to Heglig ongoing. MALA (5 wells) opened.</v>
      </c>
    </row>
    <row r="638" spans="2:3" ht="45" hidden="1">
      <c r="B638" s="446">
        <f>DPR!C250</f>
        <v>45258</v>
      </c>
      <c r="C638" s="364" t="str">
        <f>DPR!AJ250</f>
        <v>GPOC:West feeder trip in Unity due to overcurrent
SPOC:Pumping from Tharjath to Heglig resumed on 28/11/23 @1325 hrs after getting PETCO approval_x000D_
SCB:Intermittent pumping.Field prod'n 3k bopd. Deferment due to electrical circuit issue.</v>
      </c>
    </row>
    <row r="639" spans="2:3" hidden="1">
      <c r="B639" s="446">
        <f>DPR!C249</f>
        <v>45257</v>
      </c>
      <c r="C639" s="364" t="str">
        <f>DPR!AJ249</f>
        <v>SCB:Intermittent pumping. Field prod'n 3600 bopd</v>
      </c>
    </row>
    <row r="640" spans="2:3" ht="60" hidden="1">
      <c r="B640" s="446">
        <f>DPR!C248</f>
        <v>45256</v>
      </c>
      <c r="C640" s="364" t="str">
        <f>DPR!AJ248</f>
        <v>SPOC:Export shut by PETCO( As per PETCO  ,next export from SPOC will be determined on basis of crude column parameters pumped on 20/11/23 to 21/11/23 as it reaches PS-2 /PS-3 ). All wells remain shutin  as no clearence from PETCO to start TJ to WHCC export. Stock level 97.9 % at Tj and 41.3% at Heglig.
SCB:Intermittent pumping. Field prod 3.55kbopd</v>
      </c>
    </row>
    <row r="641" spans="2:3" hidden="1">
      <c r="B641" s="446">
        <f>DPR!C247</f>
        <v>45255</v>
      </c>
      <c r="C641" s="364">
        <f>DPR!AJ247</f>
        <v>0</v>
      </c>
    </row>
    <row r="642" spans="2:3" hidden="1">
      <c r="B642" s="446">
        <f>DPR!C246</f>
        <v>45254</v>
      </c>
      <c r="C642" s="364">
        <f>DPR!AJ246</f>
        <v>0</v>
      </c>
    </row>
    <row r="643" spans="2:3" hidden="1">
      <c r="B643" s="446">
        <f>DPR!C245</f>
        <v>45253</v>
      </c>
      <c r="C643" s="364">
        <f>DPR!AJ245</f>
        <v>0</v>
      </c>
    </row>
    <row r="644" spans="2:3" ht="60" hidden="1">
      <c r="B644" s="446">
        <f>DPR!C244</f>
        <v>45252</v>
      </c>
      <c r="C644" s="364" t="str">
        <f>DPR!AJ244</f>
        <v>SPOC:As per PETCO on 22/11/23 ,next export from SPOC will be determined on basis of crude column parameters pumped on 20/11/23 to
21/11/23 as it reaches PS-2 /PS-3._x000D_
SCB:Intermittent pumping. Field prod'n 3.6k bopd</v>
      </c>
    </row>
    <row r="645" spans="2:3" ht="60" hidden="1">
      <c r="B645" s="446">
        <f>DPR!C243</f>
        <v>45251</v>
      </c>
      <c r="C645" s="364" t="str">
        <f>DPR!AJ243</f>
        <v xml:space="preserve">
SPOC:Export stopped in the morning(10:50 am)
PCB:Prod'n deferment due to start-up of Dehydrator V-1103 after repairing electrostatic cells and sediment cleaning. </v>
      </c>
    </row>
    <row r="646" spans="2:3" ht="45" hidden="1">
      <c r="B646" s="446">
        <f>DPR!C242</f>
        <v>45250</v>
      </c>
      <c r="C646" s="364" t="str">
        <f>DPR!AJ242</f>
        <v>SPOC:Export from WHCC to PS-1 restarted on 20/11/23 at 05.10 hrs, rate @ 355 m3/hr, reduced to 245 m3/hr at 23.05 hrs .Pumping ratio SPOC: 2BOPCO : GPOC (51.5:23.1:25.4)
BC-10:Offloading commneced in the evening. All 3 ALMs online.Production ramp up ongoing.</v>
      </c>
    </row>
    <row r="647" spans="2:3" ht="75" hidden="1">
      <c r="B647" s="446">
        <f>DPR!C241</f>
        <v>45249</v>
      </c>
      <c r="C647" s="364" t="str">
        <f>DPR!AJ241</f>
        <v xml:space="preserve">SPOC:All wells closed due to high stock level(Total current stock 265043 bbl at Tharjath and Heglig) .Export stopped by PETCO citing high pour point of GPOC crude. GPOC to conduct PPD injection optimization in presence of PETCO representative in order to reduce its export crude pour point .
ACG gas:GEC Tr 1 is stopped/isolated for maintenance.
</v>
      </c>
    </row>
    <row r="648" spans="2:3" ht="30" hidden="1">
      <c r="B648" s="446">
        <f>DPR!C240</f>
        <v>45248</v>
      </c>
      <c r="C648" s="364" t="str">
        <f>DPR!AJ240</f>
        <v>BC-10: ALM2 to be  started.
SPOC:Export stopped by PETCO citing high pour point</v>
      </c>
    </row>
    <row r="649" spans="2:3" hidden="1">
      <c r="B649" s="446">
        <f>DPR!C239</f>
        <v>45247</v>
      </c>
      <c r="C649" s="364">
        <f>DPR!AJ239</f>
        <v>0</v>
      </c>
    </row>
    <row r="650" spans="2:3" ht="45" hidden="1">
      <c r="B650" s="446">
        <f>DPR!C238</f>
        <v>45246</v>
      </c>
      <c r="C650" s="364" t="str">
        <f>DPR!AJ238</f>
        <v>CPO-5:Indico wells opened on 16-11-23 late evening.
BC-10:Ramp up ongoing with ALM1 and 3 online. 
SPOC:Export from WHCC to #PS1 stopped at 1424 hrs by PETCO citing high pour point of GPOC crude</v>
      </c>
    </row>
    <row r="651" spans="2:3" ht="60" hidden="1">
      <c r="B651" s="446">
        <f>DPR!C237</f>
        <v>45245</v>
      </c>
      <c r="C651" s="364" t="str">
        <f>DPR!AJ237</f>
        <v>CPO-5:Since 7:00 a.m. on 15/11/2023, Indico wells were closed due to community blockade.Efforts to lift the blockade ongoing.
SCB:intermittent pumping. Field prod'n 3560 bopd.
BC-10:Ramp up ongoing with ALM1 and 3 online. ALM 2 yet to be started</v>
      </c>
    </row>
    <row r="652" spans="2:3" ht="60" hidden="1">
      <c r="B652" s="446">
        <f>DPR!C236</f>
        <v>45244</v>
      </c>
      <c r="C652" s="364" t="str">
        <f>DPR!AJ236</f>
        <v>SPOC:Export from WHCC to #PS1 stopped at 11.48 hrs by PETCO due to low 2BOPCO tank levels (2BOPCO low production)
BC-10:Ramp up ongoing. ALM1 and ALM3 online.
ACG gas:West Chirag Gas export compressor (GEC) Tr 1 is stopped/isolated for maintenance</v>
      </c>
    </row>
    <row r="653" spans="2:3" ht="60" hidden="1">
      <c r="B653" s="446">
        <f>DPR!C235</f>
        <v>45243</v>
      </c>
      <c r="C653" s="364" t="str">
        <f>DPR!AJ235</f>
        <v xml:space="preserve">BC-10: ramp up ongoing.(ALM1 and ALM 3 started)
SPOC:Export from WHCC to #PS1 restared at 0915 hrs w.e.f 13/11/23 @50m3/hr by PETCO
ACG gas:West Chirag Gas export compressor (GEC) Tr 1 is stopped/isolated for maintenance
</v>
      </c>
    </row>
    <row r="654" spans="2:3" ht="105" hidden="1">
      <c r="B654" s="446">
        <f>DPR!C234</f>
        <v>45242</v>
      </c>
      <c r="C654" s="364" t="str">
        <f>DPR!AJ234</f>
        <v xml:space="preserve">
BC-10:Ramp up started with ALM1 (on 9th Nov night). ALM3 and ALM2 still shut in
SPOC:Export from WHCC to #PS1 stopped at 0920 hrs w.e.f 10/11/23 for flow ratio optimization field trail by PETCO(Batching process). Field prod 10k bopd.
SCB:Intermittent pumping. Field prod 3.5k bopd
ACG gas:GEC Tr 1 is stopped/isolated for maintenance
</v>
      </c>
    </row>
    <row r="655" spans="2:3" hidden="1">
      <c r="B655" s="446">
        <f>DPR!C233</f>
        <v>45241</v>
      </c>
      <c r="C655" s="364">
        <f>DPR!AJ233</f>
        <v>0</v>
      </c>
    </row>
    <row r="656" spans="2:3" hidden="1">
      <c r="B656" s="446">
        <f>DPR!C232</f>
        <v>45240</v>
      </c>
      <c r="C656" s="364" t="str">
        <f>DPR!AJ232</f>
        <v xml:space="preserve">BC-10:ALM 1 / Train C  MOBO 3 started Nov 9th 20:18 hours </v>
      </c>
    </row>
    <row r="657" spans="2:3" ht="45" hidden="1">
      <c r="B657" s="446">
        <f>DPR!C231</f>
        <v>45239</v>
      </c>
      <c r="C657" s="364" t="str">
        <f>DPR!AJ231</f>
        <v>SPOC:Export from WHCC to #PS1 increased to 220m3/hr at 0920 hrs for flow ratio optimization field trail (Batching)
A1-A3:SHP process shutdown @ 08:28 hr due to fuel gas heater element high temperature.Resumed export at 12:08 hrs 
SCB:Intermittent pumping. Field prod'n 3.5k bopd</v>
      </c>
    </row>
    <row r="658" spans="2:3" ht="30" hidden="1">
      <c r="B658" s="446">
        <f>DPR!C230</f>
        <v>45238</v>
      </c>
      <c r="C658" s="364" t="str">
        <f>DPR!AJ230</f>
        <v>GPOC:Pipeline leakage rectified. Wells opened late evening.
SCB:Intermittent pumping. Field prod 3.35 bopd</v>
      </c>
    </row>
    <row r="659" spans="2:3" ht="75" hidden="1">
      <c r="B659" s="446">
        <f>DPR!C229</f>
        <v>45237</v>
      </c>
      <c r="C659" s="364" t="str">
        <f>DPR!AJ229</f>
        <v>GPOC: Repair of El har pipeline rupture ongoing.
BC-10:Ramp down due to gas leak in flash gas vessel in the Gas Dehydration and tripping of MOBO-9. Repair ongoing.Expected timeline of restart not yet conveyed by operator.
SCB:Intermittent pumping.field prod'n 3.5k bopd:::    PCB:Diluent issue
SPOC: Export closed for 14 hrs during the day due to low 2B-OPCO production.Field prod'n from SPOC about 8.8k bopd.</v>
      </c>
    </row>
    <row r="660" spans="2:3" ht="75" hidden="1">
      <c r="B660" s="446">
        <f>DPR!C228</f>
        <v>45236</v>
      </c>
      <c r="C660" s="364" t="str">
        <f>DPR!AJ228</f>
        <v>GPOC: 9 wells of El Har closed due to flowline rupture(Deferment 3.8k bopd). Also 2 El toor wells closed(800 bbl) , need flowline flushing and electrical cable replacement. 
BC-10:Ramp up affected by gas leak in flash gas vessel in the Gas Dehydration and tripping of MOBO-9. Given the high flaring conditions a decision was taken to keep the full field shutdown to perform the repair.  
PCB:Deferment due to diluent issue.</v>
      </c>
    </row>
    <row r="661" spans="2:3" ht="60" hidden="1">
      <c r="B661" s="446">
        <f>DPR!C227</f>
        <v>45235</v>
      </c>
      <c r="C661" s="364" t="str">
        <f>DPR!AJ227</f>
        <v>BC-10:Ramp up started on 3rd Nov'23 after flotal campaign.
PCB:Production loss due to high % of BS&amp;W in the Mesa 30 diluent received.
LZC:Quota for the month is 385k bopd._x000D_
SCB:Intermittent pumping. Field prod'n 3360 bopd</v>
      </c>
    </row>
    <row r="662" spans="2:3" hidden="1">
      <c r="B662" s="446">
        <f>DPR!C226</f>
        <v>45234</v>
      </c>
      <c r="C662" s="364" t="str">
        <f>DPR!AJ226</f>
        <v xml:space="preserve">SPOC: Export closed for 12 hrs during the day. </v>
      </c>
    </row>
    <row r="663" spans="2:3" ht="30" hidden="1">
      <c r="B663" s="446">
        <f>DPR!C225</f>
        <v>45233</v>
      </c>
      <c r="C663" s="364" t="str">
        <f>DPR!AJ225</f>
        <v>_x000D_
BC-10:Ramp up started after flotal campaign(with ALM3)</v>
      </c>
    </row>
    <row r="664" spans="2:3" ht="75" hidden="1">
      <c r="B664" s="446">
        <f>DPR!C224</f>
        <v>45232</v>
      </c>
      <c r="C664" s="364" t="str">
        <f>DPR!AJ224</f>
        <v>SCB:Intermittent pumping. Field prod'n 3.3k bopd
LZC:Quota for the month is 385k bopd.
A1-A3:Low nomination from China side
B-06.1: Prod'n gradually reduced by operator ( adjusting choke in one well-LD-P1). Plan for Nov 1.77 mmscmd.(Plan considered in RE also similar)</v>
      </c>
    </row>
    <row r="665" spans="2:3" ht="30" hidden="1">
      <c r="B665" s="446">
        <f>DPR!C223</f>
        <v>45231</v>
      </c>
      <c r="C665" s="364" t="str">
        <f>DPR!AJ223</f>
        <v>LZC:Quota for the month is 385k bopd.
SPOC: Export temporarily stopped for about 8.5 hrs during the day.Field prod'n about 10900 bopd.</v>
      </c>
    </row>
    <row r="666" spans="2:3" hidden="1">
      <c r="B666" s="446">
        <f>DPR!C222</f>
        <v>45230</v>
      </c>
      <c r="C666" s="364" t="str">
        <f>DPR!AJ222</f>
        <v>SPOC: Export clamped on 50 m3/hr by PETCO. Field prod'n around 11200 bopd.</v>
      </c>
    </row>
    <row r="667" spans="2:3" ht="45" hidden="1">
      <c r="B667" s="446">
        <f>DPR!C221</f>
        <v>45229</v>
      </c>
      <c r="C667" s="364" t="str">
        <f>DPR!AJ221</f>
        <v>BC-10:Prod'n reading from fiscal meters due to hot oil circulation. Wells remained closed.
SPOC:Field prod'n about 11k bopd.
SCB:Intermittent pumping. Field prod'n 3.3k bopd.</v>
      </c>
    </row>
    <row r="668" spans="2:3" ht="30" hidden="1">
      <c r="B668" s="446">
        <f>DPR!C220</f>
        <v>45228</v>
      </c>
      <c r="C668" s="364" t="str">
        <f>DPR!AJ220</f>
        <v>BC-10:Details sough from operator about flotal campaign status.
SPOC:Field prod'n about 11k bopd.</v>
      </c>
    </row>
    <row r="669" spans="2:3" hidden="1">
      <c r="B669" s="446">
        <f>DPR!C219</f>
        <v>45227</v>
      </c>
      <c r="C669" s="364">
        <f>DPR!AJ219</f>
        <v>0</v>
      </c>
    </row>
    <row r="670" spans="2:3" hidden="1">
      <c r="B670" s="446">
        <f>DPR!C218</f>
        <v>45226</v>
      </c>
      <c r="C670" s="364">
        <f>DPR!AJ218</f>
        <v>0</v>
      </c>
    </row>
    <row r="671" spans="2:3" ht="45" hidden="1">
      <c r="B671" s="446">
        <f>DPR!C217</f>
        <v>45225</v>
      </c>
      <c r="C671" s="364" t="str">
        <f>DPR!AJ217</f>
        <v>SPOC:PETCO  stopped oil export from 08.50 hrs to 18.26 hrs citing high export line pour point. Approx feld prod'n from wells:11k bopd.
SCB: Field prod'n 2.6k bopd. Deferment due to power trip.</v>
      </c>
    </row>
    <row r="672" spans="2:3" ht="60" hidden="1">
      <c r="B672" s="446">
        <f>DPR!C216</f>
        <v>45224</v>
      </c>
      <c r="C672" s="364" t="str">
        <f>DPR!AJ216</f>
        <v>SPOC:PETCO stopped oil export from 09.00 hrs to 16.00 hrs citing high export line pour point.Approx field oil prod'n 11269 bbl.
PCB:Macolla 3 &amp; 5 wells shutdown due to reduction in the diluent flowrate to PCB reported on 24.10.2023 . Restarted after diluent supply reestablished.</v>
      </c>
    </row>
    <row r="673" spans="2:3" ht="90" hidden="1">
      <c r="B673" s="446">
        <f>DPR!C215</f>
        <v>45223</v>
      </c>
      <c r="C673" s="364" t="str">
        <f>DPR!AJ215</f>
        <v xml:space="preserve">ACG:Deferment due to west azeri s/d on 21st oct.(ramp up ongoing)
MECL:Deferment due to sand problem in 2 wells, and gas lock in 2 wells.
SPOC: Export rate clamped around 50 m3/hr by PETCO.Delegation from SPOC to visit port sudan for meeting with PETCO.
SCB:Field prod 3.5k bopd.
</v>
      </c>
    </row>
    <row r="674" spans="2:3" ht="30" hidden="1">
      <c r="B674" s="446">
        <f>DPR!C214</f>
        <v>45222</v>
      </c>
      <c r="C674" s="364" t="str">
        <f>DPR!AJ214</f>
        <v xml:space="preserve">PCB:Deferment due to electrical flickering
</v>
      </c>
    </row>
    <row r="675" spans="2:3" hidden="1">
      <c r="B675" s="446">
        <f>DPR!C213</f>
        <v>45221</v>
      </c>
      <c r="C675" s="364">
        <f>DPR!AJ213</f>
        <v>0</v>
      </c>
    </row>
    <row r="676" spans="2:3" ht="30" hidden="1">
      <c r="B676" s="446">
        <f>DPR!C212</f>
        <v>45220</v>
      </c>
      <c r="C676" s="364" t="str">
        <f>DPR!AJ212</f>
        <v>_x000D_
CPO-5: Indico-6 choke size change from 30 to 34/64 inch</v>
      </c>
    </row>
    <row r="677" spans="2:3" ht="30" hidden="1">
      <c r="B677" s="446">
        <f>DPR!C211</f>
        <v>45219</v>
      </c>
      <c r="C677" s="364" t="str">
        <f>DPR!AJ211</f>
        <v xml:space="preserve">PCB:Diluent issue
</v>
      </c>
    </row>
    <row r="678" spans="2:3" ht="45" hidden="1">
      <c r="B678" s="446">
        <f>DPR!C210</f>
        <v>45218</v>
      </c>
      <c r="C678" s="364" t="str">
        <f>DPR!AJ210</f>
        <v>SCB: Intermittent pumping. Field prod 3.5 k bopd.
A1-A3:Reduced production due to pipeline maintenance job in China side. (Period 17th Oct to 21st Oct 2023 tentatively)
SPOC:Pumping speed varied during the day by PETCO to monitor export line parameters</v>
      </c>
    </row>
    <row r="679" spans="2:3" ht="45" hidden="1">
      <c r="B679" s="446">
        <f>DPR!C209</f>
        <v>45217</v>
      </c>
      <c r="C679" s="364" t="str">
        <f>DPR!AJ209</f>
        <v xml:space="preserve">SCB: Intermittent pumping. Field prod 3.5 k bopd.
A1-A3:Reduced production due to pipeline maintenance job in China side. (Period 17th Oct to 21st Oct 2023 tentatively)
SPOC:Pumping  reduced  to 50 m3/hr at 08.45 hrs , PETCO citing pour point increase to 36 in export line  </v>
      </c>
    </row>
    <row r="680" spans="2:3" ht="45" hidden="1">
      <c r="B680" s="446">
        <f>DPR!C208</f>
        <v>45216</v>
      </c>
      <c r="C680" s="364" t="str">
        <f>DPR!AJ208</f>
        <v>PCB:General shutdown of the plant and wells, due to failure in the supply of diluent to Petrocarabobo.
SCB: Intermittent pumping. Field prod 3.5 k bopd.
A1-A3:Reduced production due to pipeline maintenance job in China side. (Period 17th Oct to 21st Oct 2023 tentatively)</v>
      </c>
    </row>
    <row r="681" spans="2:3" ht="45" hidden="1">
      <c r="B681" s="446">
        <f>DPR!C207</f>
        <v>45215</v>
      </c>
      <c r="C681" s="364" t="str">
        <f>DPR!AJ207</f>
        <v>A1-A3:Reduced production due to pipeline maintenance job in China side. (Period 17th Oct to 21st Oct 2023 tentatively)
SPOC:Total stock dev at TJ and WHCC:2676 bbls
SCB:Intermittent pumping. Field prod 3.46k bopd</v>
      </c>
    </row>
    <row r="682" spans="2:3" ht="45" hidden="1">
      <c r="B682" s="446">
        <f>DPR!C206</f>
        <v>45214</v>
      </c>
      <c r="C682" s="364" t="str">
        <f>DPR!AJ206</f>
        <v>SPOC:Total stock dev at TJ and WHCC:5203 bbls
A1-A3:Reduced production due to pipeline maintenance job in China side. (Period 17th Oct to 21st Oct 2023 tentatively)
SCB:Intermittent pumping. Field prod 3.4k bopd</v>
      </c>
    </row>
    <row r="683" spans="2:3" hidden="1">
      <c r="B683" s="446">
        <f>DPR!C205</f>
        <v>45213</v>
      </c>
      <c r="C683" s="364">
        <f>DPR!AJ205</f>
        <v>0</v>
      </c>
    </row>
    <row r="684" spans="2:3" hidden="1">
      <c r="B684" s="446">
        <f>DPR!C204</f>
        <v>45212</v>
      </c>
      <c r="C684" s="364">
        <f>DPR!AJ204</f>
        <v>0</v>
      </c>
    </row>
    <row r="685" spans="2:3" ht="75" hidden="1">
      <c r="B685" s="446">
        <f>DPR!C203</f>
        <v>45211</v>
      </c>
      <c r="C685" s="364" t="str">
        <f>DPR!AJ203</f>
        <v>CPO-5:Ind-6 flowing 3500 bopd(30/64).Ind 7 flowing with 3925 bopd(34/64)
GPOC:Deferment due to transmission line problem in Unity.
SPOC:Export from WHCC started. Dev in total stock at TJ and WHCC 8824 bopd. 29 wells flowing_x000D_
Vankor:Deferment due to preparation of the oil gathering pipeline section to tie up in the junction point of the FWKF-Center for the construction and installation of the junction point.</v>
      </c>
    </row>
    <row r="686" spans="2:3" ht="75" hidden="1">
      <c r="B686" s="446">
        <f>DPR!C202</f>
        <v>45210</v>
      </c>
      <c r="C686" s="364" t="str">
        <f>DPR!AJ202</f>
        <v xml:space="preserve">Vankor:Deferment due to preparation of the oil gathering pipeline section to tie up in the junction point of the FWKF-Center for the construction and installation of the junction point.(likely to last 3 days)
SCB:Intermittent pumping. field prod 3350.
CPO-5:Indico 6 rate 3551 bopd(30/64), Ind 7 rate: 3934 bopd (34/64)
</v>
      </c>
    </row>
    <row r="687" spans="2:3" ht="30" hidden="1">
      <c r="B687" s="446">
        <f>DPR!C201</f>
        <v>45209</v>
      </c>
      <c r="C687" s="364" t="str">
        <f>DPR!AJ201</f>
        <v>SPOC:Export not yet started. 28 wells flowing. Total stock dev at TJ and WHCC 11591 bbl.
Cpo-5: Ind 6- -3460 bopd(28/64 for 5hrs and 30/64 for 19 hrs), Ind 7 --3938 bopd with 34/64.</v>
      </c>
    </row>
    <row r="688" spans="2:3" ht="90" hidden="1">
      <c r="B688" s="446">
        <f>DPR!C200</f>
        <v>45208</v>
      </c>
      <c r="C688" s="364" t="str">
        <f>DPR!AJ200</f>
        <v>CPO-5: Indico 6- 2718 bopd(24/64 for 10.5 hrs, 28/64 for 13.5 hrs) .
               Indico-7 with 34/64 (3936 bopd)
SPOC:Wells restarted on 7th Oct.Heating ongoing before starting export. Total tank dev during the day (at TJ and Heglig) is 10700 bbl.
LZC:S/d due to compressor maintenance activity.
GPOC:Prod'n deferment due to transmission line problem(feeder trip) in Unity, also in El nar,El toor and Munga.</v>
      </c>
    </row>
    <row r="689" spans="2:3" ht="45" hidden="1">
      <c r="B689" s="446">
        <f>DPR!C199</f>
        <v>45207</v>
      </c>
      <c r="C689" s="364" t="str">
        <f>DPR!AJ199</f>
        <v>CPO-5:Indico-6 flowing with 24/64(2356 bopd) .Indico-7 with 34/64 (3939 bopd)
SPOC:Wells restarted on 7th Oct.
LZC:S/d due to compressor maintenance activity.More details sought.</v>
      </c>
    </row>
    <row r="690" spans="2:3" hidden="1">
      <c r="B690" s="446">
        <f>DPR!C198</f>
        <v>45206</v>
      </c>
      <c r="C690" s="364">
        <f>DPR!AJ198</f>
        <v>0</v>
      </c>
    </row>
    <row r="691" spans="2:3" hidden="1">
      <c r="B691" s="446">
        <f>DPR!C197</f>
        <v>45205</v>
      </c>
      <c r="C691" s="364">
        <f>DPR!AJ197</f>
        <v>0</v>
      </c>
    </row>
    <row r="692" spans="2:3" ht="75" hidden="1">
      <c r="B692" s="446">
        <f>DPR!C196</f>
        <v>45204</v>
      </c>
      <c r="C692" s="364" t="str">
        <f>DPR!AJ196</f>
        <v xml:space="preserve">SPOC:BONO-C unit started at 11.30 hrs . Ramping up of hot oil temperature in progress
CPO-5:  Indico-6: 385 bopd @ 10/64"
                Indico-7: 3971 bopd @ 34/64"
Myanmar:Deferment due to low demand.
</v>
      </c>
    </row>
    <row r="693" spans="2:3" ht="90" hidden="1">
      <c r="B693" s="446">
        <f>DPR!C195</f>
        <v>45203</v>
      </c>
      <c r="C693" s="364" t="str">
        <f>DPR!AJ195</f>
        <v>CPO-5: Indico 6: Contribution 382 bopd at 10/64" choke. 
                Indico 7: Contribution 3724 bopd (30/64" choke for 11.5 hrs and 34/64 for 12.5 hrs)
MECL:Prod'n crosses 3200 bopd(due to contribution from 2nd infill well V 364)
SPOC:Export  stopped on 1st October 23 by WHCC .
BC-10:Flotal campaign. ----------LZC:Quota for the month is 382k bopd.
A1-A3:Prod'n deferment due to low demand.</v>
      </c>
    </row>
    <row r="694" spans="2:3" ht="105" hidden="1">
      <c r="B694" s="446">
        <f>DPR!C194</f>
        <v>45202</v>
      </c>
      <c r="C694" s="364" t="str">
        <f>DPR!AJ194</f>
        <v>CPO-5: Indico 6: Contribution 376 bopd at 10/64" choke. 
                Indico 7: Contribution 3484 bopd at 30/64" choke.
MECL: V-364(2nd infill well) added.Test rate 178 bopd pure oil at well site. MECL achieved highest prod'n in CY 2023 on 2nd oct(3195 bopd)
SPOC:Export  stopped on 1st October 23 by WHCC .
BC-10:Flotal campaign. ----------LZC:Quota for the month is 382k bopd.
A1-A3:Prod'n deferment due to low demand.</v>
      </c>
    </row>
    <row r="695" spans="2:3" ht="105" hidden="1">
      <c r="B695" s="446">
        <f>DPR!C193</f>
        <v>45201</v>
      </c>
      <c r="C695" s="364" t="str">
        <f>DPR!AJ193</f>
        <v xml:space="preserve">CPO-5: Indico 6: Contribution 375 bopd at 10/64" choke. 
                Indico 7:Contribution 2789 bopd(  26/64" for 18 hrs and 30/64" for 6 hrs)
SPOC:Export  stopped at 23.48 hrs on 1st October 23 by WHCC . BONO -C under maintenance - troubleshooting ongoing.
SCB:Intermittent pumping.field prod 3040 bopd.Deferment due to power trip issues.
BC-10:Flotal campaign.        LZC:Quota for the month is 382k bopd.
A1-A3:Prod'n deferment due to low demand.
</v>
      </c>
    </row>
    <row r="696" spans="2:3" ht="60" hidden="1">
      <c r="B696" s="446">
        <f>DPR!C192</f>
        <v>45200</v>
      </c>
      <c r="C696" s="364" t="str">
        <f>DPR!AJ192</f>
        <v>CPO-5:Indico-7 flowing with choke of 26/64(2565 bopd).Indico 6 opened on 1st Oct (9 PM) with 10/64.
LZC:Quota for Oct'23 is 382k bopd
BC-10:Flotal campaign.
A1-A3:Prod'n deferment due to low demand.</v>
      </c>
    </row>
    <row r="697" spans="2:3" hidden="1">
      <c r="B697" s="446">
        <f>DPR!C191</f>
        <v>45199</v>
      </c>
      <c r="C697" s="364">
        <f>DPR!AJ191</f>
        <v>0</v>
      </c>
    </row>
    <row r="698" spans="2:3" hidden="1">
      <c r="B698" s="446">
        <f>DPR!C190</f>
        <v>45198</v>
      </c>
      <c r="C698" s="364">
        <f>DPR!AJ190</f>
        <v>0</v>
      </c>
    </row>
    <row r="699" spans="2:3" ht="75" hidden="1">
      <c r="B699" s="446">
        <f>DPR!C189</f>
        <v>45197</v>
      </c>
      <c r="C699" s="364" t="str">
        <f>DPR!AJ189</f>
        <v>CPO-5:Indico-7 opened on 26th Sep.Choke size being increased gradually.Contribution 1134 bopd (with choke 16/64 for 21 hrs and 20/64 for 3 hrs)
SPOC:All TJ and Mala wells shut in from 16th Sept. due to BONO-C major maintenance activity
SCB:Intermittent pumping. field prod 2.63k bopd. Deferment due to power s/d.
BC-10:Flotal campaign</v>
      </c>
    </row>
    <row r="700" spans="2:3" hidden="1">
      <c r="B700" s="446">
        <f>DPR!C188</f>
        <v>45196</v>
      </c>
      <c r="C700" s="364">
        <f>DPR!AJ188</f>
        <v>0</v>
      </c>
    </row>
    <row r="701" spans="2:3" hidden="1">
      <c r="B701" s="446">
        <f>DPR!C187</f>
        <v>45195</v>
      </c>
      <c r="C701" s="364">
        <f>DPR!AJ187</f>
        <v>0</v>
      </c>
    </row>
    <row r="702" spans="2:3" ht="60" hidden="1">
      <c r="B702" s="446">
        <f>DPR!C186</f>
        <v>45194</v>
      </c>
      <c r="C702" s="364" t="str">
        <f>DPR!AJ186</f>
        <v>BC-10:Flotal campaign ongoing.
PCB:General well shutdown reported on 25.09.2023 (04:20) due to stoppage of Mesa 30 pumps in EPJ2 station. Wells restarted at 12:00.
SCB:Intermittent pumping. Field prod'n 3.1k bopd. Curtailemnt due to pipeline leakage.</v>
      </c>
    </row>
    <row r="703" spans="2:3" ht="75" hidden="1">
      <c r="B703" s="446">
        <f>DPR!C185</f>
        <v>45193</v>
      </c>
      <c r="C703" s="364" t="str">
        <f>DPR!AJ185</f>
        <v>BC-10:Rampdown due to flotal campaign.
B-06.1:Restarted after TAR 2023 campaign
PCB:Mesa diluent received with high water cut (~28%) causing high discharge pressure in Macolla 1 and 5 wells.  
SCB:Intermittent pumping. Field prod 2.8k bopd.Deferment due to closure of 3 wells. (Details sought)
SPOC:All wells Shut in for the maintenance of BONO heater. Exports continued.</v>
      </c>
    </row>
    <row r="704" spans="2:3" hidden="1">
      <c r="B704" s="446">
        <f>DPR!C184</f>
        <v>45192</v>
      </c>
      <c r="C704" s="364">
        <f>DPR!AJ184</f>
        <v>0</v>
      </c>
    </row>
    <row r="705" spans="2:3" ht="30" hidden="1">
      <c r="B705" s="446">
        <f>DPR!C183</f>
        <v>45191</v>
      </c>
      <c r="C705" s="364" t="str">
        <f>DPR!AJ183</f>
        <v>_x000D_
B-06.1:S/d due to TAR 2023 campaign</v>
      </c>
    </row>
    <row r="706" spans="2:3" ht="90" hidden="1">
      <c r="B706" s="446">
        <f>DPR!C182</f>
        <v>45190</v>
      </c>
      <c r="C706" s="364" t="str">
        <f>DPR!AJ182</f>
        <v>BC-10:Rampdown for flotal campaign started.
SPOC: BONO -C under maintenance., All wells Shut in for the maintenance activity. Exports continued due to existing tank levels.
Myanamar &amp; Vietnam: Low nomination.
CPO-5:ANH has communicated approval to open Indico 6 and Indico 7 wells. CO team is working on ways to start the wells at the earliest.</v>
      </c>
    </row>
    <row r="707" spans="2:3" ht="75" hidden="1">
      <c r="B707" s="446">
        <f>DPR!C181</f>
        <v>45189</v>
      </c>
      <c r="C707" s="364" t="str">
        <f>DPR!AJ181</f>
        <v>SCB:Intermittent pumping. Field prod 2.8k bopd. 27 wells affected during the day due to power failure
BC-10:Rampdown for flotal campaign started.
SPOC: BONO -C under maintenance (internal cleaning and process tune up by field team) , All wells Shut in for the maintenance activity. Exports continued due to existing tank levels.
IEC:APG plant planned s/d(16-20 Sep)</v>
      </c>
    </row>
    <row r="708" spans="2:3" ht="90" hidden="1">
      <c r="B708" s="446">
        <f>DPR!C180</f>
        <v>45188</v>
      </c>
      <c r="C708" s="364" t="str">
        <f>DPR!AJ180</f>
        <v>BC-10:Rampdown for flotal campaign started.
SPOC: BONO-C heater shutdown due to drop in efficiency for heat transfer between burner and coil tube, high-high flue gas temperature and bad combustion.BONO -C under maintenance (internal cleaning and process tune up by field team) , All wells Shut in for the maintenance activity. Exports continued due to existing tank levels.
S-1:Gas updated since 1-Aug-23 based on latest monthly.
IEC:APG plant planned s/d(16-20 Sep)</v>
      </c>
    </row>
    <row r="709" spans="2:3" ht="45" hidden="1">
      <c r="B709" s="446">
        <f>DPR!C179</f>
        <v>45187</v>
      </c>
      <c r="C709" s="364" t="str">
        <f>DPR!AJ179</f>
        <v>IEC:APG plant planned s/d(16-20 Sep)
SCB:Intermittent pumping. Field prod 3.4k bopd
A1-A3:Prod'n low due to low nomination/low demand from CNUOC.</v>
      </c>
    </row>
    <row r="710" spans="2:3" ht="75" hidden="1">
      <c r="B710" s="446">
        <f>DPR!C178</f>
        <v>45186</v>
      </c>
      <c r="C710" s="364" t="str">
        <f>DPR!AJ178</f>
        <v xml:space="preserve">
CPO-5: Prod'n being ramped up after resultion of strike by SAR staff 
IEC:APG plant planned s/d(16-20 Sep)
SCB:Intermittent pumping. Field prod 3350 bopd
A1-A3:Prod'n low due to low nomination/low demand from CNUOC.</v>
      </c>
    </row>
    <row r="711" spans="2:3" ht="30" hidden="1">
      <c r="B711" s="446">
        <f>DPR!C177</f>
        <v>45185</v>
      </c>
      <c r="C711" s="364" t="str">
        <f>DPR!AJ177</f>
        <v>CPO-5: Strike at Indico pad by SAR staff
IEC:APG plant planned s/d(16-20 Sep)</v>
      </c>
    </row>
    <row r="712" spans="2:3" hidden="1">
      <c r="B712" s="446">
        <f>DPR!C176</f>
        <v>45184</v>
      </c>
      <c r="C712" s="364">
        <f>DPR!AJ176</f>
        <v>0</v>
      </c>
    </row>
    <row r="713" spans="2:3" ht="60" hidden="1">
      <c r="B713" s="446">
        <f>DPR!C175</f>
        <v>45183</v>
      </c>
      <c r="C713" s="364" t="str">
        <f>DPR!AJ175</f>
        <v>MECL: Wells V-287 and V-301 started prod'n on 14-sep but external electrical failure cause stoppage wells for 5-7 hrs
SCB:Intermittent pumping. Field prod 3.4k bopd
LZC:Quota for the month is 360k bopd.
A1-A3:Prod'n low due to low nomination/low demand from CNUOC.</v>
      </c>
    </row>
    <row r="714" spans="2:3" ht="75" hidden="1">
      <c r="B714" s="446">
        <f>DPR!C174</f>
        <v>45182</v>
      </c>
      <c r="C714" s="364" t="str">
        <f>DPR!AJ174</f>
        <v xml:space="preserve">
SCB:Intermittent pumping. Field prod 3.4k bopd
LZC:Quota for the month is 360k bopd.
MECL:Ongoing deferment due to rod failures, tubing leakage, low pump efficiency etc. Production expected to recovered back to 3100 levels by sep end.</v>
      </c>
    </row>
    <row r="715" spans="2:3" ht="60" hidden="1">
      <c r="B715" s="446">
        <f>DPR!C173</f>
        <v>45181</v>
      </c>
      <c r="C715" s="364" t="str">
        <f>DPR!AJ173</f>
        <v>SCB:Intermittent prod'n. Field prod 3420 bopd
LZC:Quota for the month is 360k bopd.
MECL:Ongoing deferment due to rod failures, tubing leakage, low pump efficiency etc. Production expected to recovered back to 3100 levels by sep end.</v>
      </c>
    </row>
    <row r="716" spans="2:3" ht="90" hidden="1">
      <c r="B716" s="446">
        <f>DPR!C172</f>
        <v>45180</v>
      </c>
      <c r="C716" s="364" t="str">
        <f>DPR!AJ172</f>
        <v xml:space="preserve">
SCB:Intermittent prod'n. Field prod 3420 bopd
LZC:Quota for the month is 360k bopd.
S-1:Based on latest weekly report. Deferment during the previous week due to Maintenance activities at Crude Storage Tank (COST-1), Chayvo and planned maintenance activities – cleaning of inlet separator and maintenance of the Gas Turbine Compressors at Odoptu</v>
      </c>
    </row>
    <row r="717" spans="2:3" ht="75" hidden="1">
      <c r="B717" s="446">
        <f>DPR!C171</f>
        <v>45179</v>
      </c>
      <c r="C717" s="364" t="str">
        <f>DPR!AJ171</f>
        <v>S-1:Updated based on latest weekly report. Deferment during the previous week due to Maintenance activities at Crude Storage Tank (COST-1), Chayvo and planned maintenance activities – cleaning of inlet separator and maintenance of the Gas Turbine Compressors at Odoptu
LZC:Quota for the month is 360k bopd.
SCB:Intermittent pumping. Field prod 3.4k bopd.</v>
      </c>
    </row>
    <row r="718" spans="2:3" ht="60" hidden="1">
      <c r="B718" s="446">
        <f>DPR!C170</f>
        <v>45178</v>
      </c>
      <c r="C718" s="364" t="str">
        <f>DPR!AJ170</f>
        <v>SCB:Intermittent pumping. Field prod 3.4k bopd
MECL:3 wells stopped ( 2 wells due to broken rod and one well due to pump failure)
SPOC:Export stopped during the day.Restarted.
LZC:Quota for the month is 360k bopd.</v>
      </c>
    </row>
    <row r="719" spans="2:3" hidden="1">
      <c r="B719" s="446">
        <f>DPR!C169</f>
        <v>45177</v>
      </c>
      <c r="C719" s="364">
        <f>DPR!AJ169</f>
        <v>0</v>
      </c>
    </row>
    <row r="720" spans="2:3" ht="30" hidden="1">
      <c r="B720" s="446">
        <f>DPR!C168</f>
        <v>45176</v>
      </c>
      <c r="C720" s="364" t="str">
        <f>DPR!AJ168</f>
        <v xml:space="preserve">
MECL:Community blockade</v>
      </c>
    </row>
    <row r="721" spans="2:3" hidden="1">
      <c r="B721" s="446">
        <f>DPR!C167</f>
        <v>45175</v>
      </c>
      <c r="C721" s="364">
        <f>DPR!AJ167</f>
        <v>0</v>
      </c>
    </row>
    <row r="722" spans="2:3" ht="30" hidden="1">
      <c r="B722" s="446">
        <f>DPR!C166</f>
        <v>45174</v>
      </c>
      <c r="C722" s="364" t="str">
        <f>DPR!AJ166</f>
        <v>SCB:Intermittent pumping. Field prod 3.4k bopd
LZC:Quota for the month is 360k bopd</v>
      </c>
    </row>
    <row r="723" spans="2:3" ht="45" hidden="1">
      <c r="B723" s="446">
        <f>DPR!C165</f>
        <v>45173</v>
      </c>
      <c r="C723" s="364" t="str">
        <f>DPR!AJ165</f>
        <v xml:space="preserve">
SCB:Intermittent pumping. Field prod 3.4 k bopd
MECL:Deferment due to low rod torque in V 341 and V 311. Well services rig being deployed.</v>
      </c>
    </row>
    <row r="724" spans="2:3" ht="45" hidden="1">
      <c r="B724" s="446">
        <f>DPR!C164</f>
        <v>45172</v>
      </c>
      <c r="C724" s="364" t="str">
        <f>DPR!AJ164</f>
        <v>SPOC:Export to PS#1 stopped by PETCO at 0240 hours and resumed back at 1555 hours
SCB:Intermittent pumping.Field prod 3.4 kbopd
MECL:Deferment due to low rod torque in V 341 and V 311. Well services rig being deployed.</v>
      </c>
    </row>
    <row r="725" spans="2:3" ht="30" hidden="1">
      <c r="B725" s="446">
        <f>DPR!C163</f>
        <v>45171</v>
      </c>
      <c r="C725" s="364" t="str">
        <f>DPR!AJ163</f>
        <v>_x000D_
B-06.1:Gas compressor train-2 tipped during the day</v>
      </c>
    </row>
    <row r="726" spans="2:3" hidden="1">
      <c r="B726" s="446">
        <f>DPR!C162</f>
        <v>45170</v>
      </c>
      <c r="C726" s="364">
        <f>DPR!AJ162</f>
        <v>0</v>
      </c>
    </row>
    <row r="727" spans="2:3" ht="45" hidden="1">
      <c r="B727" s="446">
        <f>DPR!C161</f>
        <v>45169</v>
      </c>
      <c r="C727" s="364" t="str">
        <f>DPR!AJ161</f>
        <v>SCB:Intermittent pumping. Field prod 3370 bopd.
SPOC:Export resumed at 1500 hrs.
IEC:Well Sn#520(135 bopd) stopped flowing due to ESP problem.Awaiting WO.</v>
      </c>
    </row>
    <row r="728" spans="2:3" ht="60" hidden="1">
      <c r="B728" s="446">
        <f>DPR!C160</f>
        <v>45168</v>
      </c>
      <c r="C728" s="364" t="str">
        <f>DPR!AJ160</f>
        <v>SPOC:Export to PS#1 stopped at 2248 hours, 30th August 2023 due to 2BOPCO low production. Waiting on build up the tank level at nCPF Heiglig and PETCO instruction for resuming export to SCOTS.
GPOC:Power trip in El toor during the day.
IEC:Well Sn#520(135 bopd) stopped flowing due to ESP problem.Awaiting WO.</v>
      </c>
    </row>
    <row r="729" spans="2:3" hidden="1">
      <c r="B729" s="446">
        <f>DPR!C159</f>
        <v>45167</v>
      </c>
      <c r="C729" s="364">
        <f>DPR!AJ159</f>
        <v>0</v>
      </c>
    </row>
    <row r="730" spans="2:3" ht="45" hidden="1">
      <c r="B730" s="446">
        <f>DPR!C158</f>
        <v>45166</v>
      </c>
      <c r="C730" s="364" t="str">
        <f>DPR!AJ158</f>
        <v xml:space="preserve">PCB:Deferment due to electrical failure(46 wells affected)
LZC : Quota for the month revised to 354k from 346k. 
</v>
      </c>
    </row>
    <row r="731" spans="2:3" ht="30" hidden="1">
      <c r="B731" s="446">
        <f>DPR!C157</f>
        <v>45165</v>
      </c>
      <c r="C731" s="364" t="str">
        <f>DPR!AJ157</f>
        <v>LZC : Quota for the month revised to 354k from 346k. 
SCB:Intermittent pumping. Field prod 3040 bopd. Differment as 3 wells clsoed due to electrical failure.</v>
      </c>
    </row>
    <row r="732" spans="2:3" hidden="1">
      <c r="B732" s="446">
        <f>DPR!C156</f>
        <v>45164</v>
      </c>
      <c r="C732" s="364">
        <f>DPR!AJ156</f>
        <v>0</v>
      </c>
    </row>
    <row r="733" spans="2:3" hidden="1">
      <c r="B733" s="446">
        <f>DPR!C155</f>
        <v>45163</v>
      </c>
      <c r="C733" s="364">
        <f>DPR!AJ155</f>
        <v>0</v>
      </c>
    </row>
    <row r="734" spans="2:3" ht="60" hidden="1">
      <c r="B734" s="446">
        <f>DPR!C154</f>
        <v>45162</v>
      </c>
      <c r="C734" s="364" t="str">
        <f>DPR!AJ154</f>
        <v>MECL : Deferment as V-347 was closed for connection to flow line(battery 2). Connection to flow line done and well reopened.Also differment in V#226&amp;342 due to broken rod.V#342 prod'n restarted after well service rig job. V#226 under well service job.
SCB:Intermittent pumping.Field prod 3.32k bopd</v>
      </c>
    </row>
    <row r="735" spans="2:3" ht="45" hidden="1">
      <c r="B735" s="446">
        <f>DPR!C153</f>
        <v>45161</v>
      </c>
      <c r="C735" s="364" t="str">
        <f>DPR!AJ153</f>
        <v>MECL: Deferment as 7 wells stopped for the connection of production line of well V-347 (1st infill well) to the north connection line of battery 2.
BC-10: ALM2 rampup in progress</v>
      </c>
    </row>
    <row r="736" spans="2:3" ht="105" hidden="1">
      <c r="B736" s="446">
        <f>DPR!C152</f>
        <v>45160</v>
      </c>
      <c r="C736" s="364" t="str">
        <f>DPR!AJ152</f>
        <v>SPOC:Export to PS#1 restarted.
BC-10:MOBO 5 &amp; 6 restarted. Rampup in progress.
MECL: Deferment as 7 wells stopped for the connection of production line of well V-347 (1st infill well) to the north connection line of battery 2.
CPO-5:Choke size  for Indico-2 changed from 60/64" to 64/64
B-06.1: Wells closed for abt 3 hrs during the day (failure of solenoid of pneumatic pilot valve, which closed the export valve)</v>
      </c>
    </row>
    <row r="737" spans="2:3" ht="60" hidden="1">
      <c r="B737" s="446">
        <f>DPR!C151</f>
        <v>45159</v>
      </c>
      <c r="C737" s="364" t="str">
        <f>DPR!AJ151</f>
        <v xml:space="preserve">
BC-10:MOBO-6 tripped due to instability in MOBO. MOBO-5 stopped for gas cap release.
SCB:Intermittent pumping. Field prod 3.44k bopd
SPOC:WHCC COBT reheating in progress prior export resumption to PS#1.</v>
      </c>
    </row>
    <row r="738" spans="2:3" ht="90" hidden="1">
      <c r="B738" s="446">
        <f>DPR!C150</f>
        <v>45158</v>
      </c>
      <c r="C738" s="364" t="str">
        <f>DPR!AJ150</f>
        <v>S-1:Gas figures from 1st July'23 onwards updated based on July report by operator.Oil figures down based on last weekly report( Prod'n curtailed in prev week to avoid tank top due to handicap in Ship to Ship transfer at South Korea Yusu port, due to unfavourable weather situation (Typhoon khanun)
SPOC:PS#2 in operation to stabilize and decrease SCOTS pipeline pressure prior resuming export from WHCC - PS#1.WHCC COBT reheating in progress.
SCB:Intermittent pumping.Field prod 3.43k bopd.</v>
      </c>
    </row>
    <row r="739" spans="2:3" hidden="1">
      <c r="B739" s="446">
        <f>DPR!C149</f>
        <v>45157</v>
      </c>
      <c r="C739" s="364">
        <f>DPR!AJ149</f>
        <v>0</v>
      </c>
    </row>
    <row r="740" spans="2:3" hidden="1">
      <c r="B740" s="446">
        <f>DPR!C148</f>
        <v>45156</v>
      </c>
      <c r="C740" s="364">
        <f>DPR!AJ148</f>
        <v>0</v>
      </c>
    </row>
    <row r="741" spans="2:3" ht="120" hidden="1">
      <c r="B741" s="446">
        <f>DPR!C147</f>
        <v>45155</v>
      </c>
      <c r="C741" s="364" t="str">
        <f>DPR!AJ147</f>
        <v>Sakh-1: Updated based on weekly recvd for previous week. Prod'n curtailed in prev week to avoid tank top due to handicap in Ship to Ship transfer at South Korea Yusu port, due to unfavourable weather situation (Typhoon khanun)
GPOC:EL nar fluid partially diverted to cost. Also, All wells of Toma South and Munga were interrrupted during the day due to power trip.
BC-10:ALM3 s/d due to avoid tank top due to offloading issues. Delays due to towing vessel readiness, then tanker manifold leaking during leak test.
SPOC:PS#2 operation started at 0700 hours.
PCB:Power disruption due to adverse weather condition.</v>
      </c>
    </row>
    <row r="742" spans="2:3" ht="90" hidden="1">
      <c r="B742" s="446">
        <f>DPR!C146</f>
        <v>45154</v>
      </c>
      <c r="C742" s="364" t="str">
        <f>DPR!AJ146</f>
        <v xml:space="preserve">BC-10:Production deferment as ALM 3 shutdown to avoid tank top due to offloading issues.
SPOC: Export to PS#1 stopped since 7-Aug-23 due to high viscosity issue in SCOTS pipeline. Efforts ongoing for PS#2 system reboot.
GPOC: Production from Toma South, El nar and Unity partially diverted to FPF storage. (Crude diverted to FPF storage about 9000 bbls) 
</v>
      </c>
    </row>
    <row r="743" spans="2:3" ht="90" hidden="1">
      <c r="B743" s="446">
        <f>DPR!C145</f>
        <v>45153</v>
      </c>
      <c r="C743" s="364" t="str">
        <f>DPR!AJ145</f>
        <v>BC-10:ALM 3 ramp down to avoid Tank top due to offloading issues. More details sought from the operator.
GPOC:Transmission line problem caused downtime (of about 8 hrs) in 9 wells of El nar and 2 wells of El toor.Total deferment of 2200 bopd.
SPOC: Export to PS#1 stopped since 7-Aug-23 due to high viscosity issue in SCOTS pipeline. PETCO waiting on laptop with loaded software and technician for start up of PS-2
SCB:Intermittent pumping.Field prod 3460 bopd.</v>
      </c>
    </row>
    <row r="744" spans="2:3" hidden="1">
      <c r="B744" s="446">
        <f>DPR!C144</f>
        <v>45152</v>
      </c>
      <c r="C744" s="364">
        <f>DPR!AJ144</f>
        <v>0</v>
      </c>
    </row>
    <row r="745" spans="2:3" ht="45" hidden="1">
      <c r="B745" s="446">
        <f>DPR!C143</f>
        <v>45151</v>
      </c>
      <c r="C745" s="364" t="str">
        <f>DPR!AJ143</f>
        <v>SPOC:Export to PS#1 stopped due to back pressure. Flow from Tharjath to heglig is 7.2k bopd
LZC:Quota for the month is 346k.
SCB:Intermittent pumping. Field prod around 3.43k.</v>
      </c>
    </row>
    <row r="746" spans="2:3" hidden="1">
      <c r="B746" s="446">
        <f>DPR!C142</f>
        <v>45150</v>
      </c>
      <c r="C746" s="364">
        <f>DPR!AJ142</f>
        <v>0</v>
      </c>
    </row>
    <row r="747" spans="2:3" hidden="1">
      <c r="B747" s="446">
        <f>DPR!C141</f>
        <v>45149</v>
      </c>
      <c r="C747" s="364">
        <f>DPR!AJ141</f>
        <v>0</v>
      </c>
    </row>
    <row r="748" spans="2:3" ht="45" hidden="1">
      <c r="B748" s="446">
        <f>DPR!C140</f>
        <v>45148</v>
      </c>
      <c r="C748" s="364" t="str">
        <f>DPR!AJ140</f>
        <v>SPOC:Export to PS#1 stopped due to back pressure. Flow from Tharjath to heglig is 7.4k bopd
LZC:Quota for the month is 346k.
SCB:Intermittent pumping. Field prod around 3.4k.</v>
      </c>
    </row>
    <row r="749" spans="2:3" ht="75" hidden="1">
      <c r="B749" s="446">
        <f>DPR!C139</f>
        <v>45147</v>
      </c>
      <c r="C749" s="364" t="str">
        <f>DPR!AJ139</f>
        <v>S-1:Production curtailed to avoid tank top due handicap in Ship to Ship transfer at South Korea Yusu port, due to unfavourable weather situation (Typhoon khanun)
SPOC:Export to PS#1 stopped due to back pressure. Flow from Tharjath to heglig is 7.3k bopd
LZC:Quota for the month is 346k.
SCB:Intermittent pumping. Field prod around 3.4k.</v>
      </c>
    </row>
    <row r="750" spans="2:3" ht="75" hidden="1">
      <c r="B750" s="446">
        <f>DPR!C138</f>
        <v>45146</v>
      </c>
      <c r="C750" s="364" t="str">
        <f>DPR!AJ138</f>
        <v>SPOC:Export to PS#1 stopped due to back pressure. Flow from Tharjath to heglig is 7.8k bopd
GPOC: Deferment due to power trip at EL toor (3 times) during the day.
LZC:Production being resumed back after ADNOC gas trip.Quota for the month is 346k.
BC-10: MOBO 7 trip due to VFD transformed temperature.
SCB:Intermittent pumping. Field prod around 3.4k.</v>
      </c>
    </row>
    <row r="751" spans="2:3" ht="90" hidden="1">
      <c r="B751" s="446">
        <f>DPR!C137</f>
        <v>45145</v>
      </c>
      <c r="C751" s="364" t="str">
        <f>DPR!AJ137</f>
        <v xml:space="preserve">
B-06.1:Low demand due to rainy season
SCB:Intermittent pumping. Field prod around 3.4k.
SPOC:Export to PS#1 stopped during the day due to back pressure at PS#1. Flow from Tharjath to heglig is 7.8k bopd
LZC:Production being resumed back after ADNOC gas trip.Quota for the month is 346k.
BC-10: MOBO 7 trip due to VFD transformed temperature.</v>
      </c>
    </row>
    <row r="752" spans="2:3" ht="75" hidden="1">
      <c r="B752" s="446">
        <f>DPR!C136</f>
        <v>45144</v>
      </c>
      <c r="C752" s="364" t="str">
        <f>DPR!AJ136</f>
        <v xml:space="preserve">
LZC:Production loss due to ADNOC gas train trip.Production being resumed back gradually
SCB:Intermittent pumping. Field prod 3.4 k bopd
MECL:Vel-347 added. (Crude oil used as completion fluid currently flowing back)
B-06.1:Reasons sought from operator for low prod'n</v>
      </c>
    </row>
    <row r="753" spans="2:3" hidden="1">
      <c r="B753" s="446">
        <f>DPR!C135</f>
        <v>45143</v>
      </c>
      <c r="C753" s="364">
        <f>DPR!AJ135</f>
        <v>0</v>
      </c>
    </row>
    <row r="754" spans="2:3" hidden="1">
      <c r="B754" s="446">
        <f>DPR!C134</f>
        <v>45142</v>
      </c>
      <c r="C754" s="364">
        <f>DPR!AJ134</f>
        <v>0</v>
      </c>
    </row>
    <row r="755" spans="2:3" ht="45" hidden="1">
      <c r="B755" s="446">
        <f>DPR!C133</f>
        <v>45141</v>
      </c>
      <c r="C755" s="364" t="str">
        <f>DPR!AJ133</f>
        <v>SCB: Intermittent pumping. Field prod 3.4k bopd
MECL: Deferment due to tubing leak in one well.Well service rig mobilised. 
BC-10:MOBO 10 tripped due to VFD cell temp fault. 3 wells s/d.VFD fan replacement ongoing.</v>
      </c>
    </row>
    <row r="756" spans="2:3" ht="75" hidden="1">
      <c r="B756" s="446">
        <f>DPR!C132</f>
        <v>45140</v>
      </c>
      <c r="C756" s="364" t="str">
        <f>DPR!AJ132</f>
        <v xml:space="preserve">
BC-10: Abalone well has been opened.
SCB: Intermittent pumping. Field prod 3.4k bopd
MECL: Deferment due to tubing leak in one well.Well service rig mobilised. 
BC-10:MOBO 10 tripped in the morning due to VFD cell temp fault. 3 wells s/d.</v>
      </c>
    </row>
    <row r="757" spans="2:3" ht="45" hidden="1">
      <c r="B757" s="446">
        <f>DPR!C131</f>
        <v>45139</v>
      </c>
      <c r="C757" s="364" t="str">
        <f>DPR!AJ131</f>
        <v xml:space="preserve">
SCB:Intermittent pumping. Field prod 3.4 kbopd.One well down due to VFD failure
Vankor:Gas production normalised.</v>
      </c>
    </row>
    <row r="758" spans="2:3" ht="45" hidden="1">
      <c r="B758" s="446">
        <f>DPR!C130</f>
        <v>45138</v>
      </c>
      <c r="C758" s="364" t="str">
        <f>DPR!AJ130</f>
        <v xml:space="preserve">
SCB:Intermittent pumping. Field prod 3.4 kbopd.One well down due to VFD failure
</v>
      </c>
    </row>
    <row r="759" spans="2:3" ht="45" hidden="1">
      <c r="B759" s="446">
        <f>DPR!C129</f>
        <v>45137</v>
      </c>
      <c r="C759" s="364" t="str">
        <f>DPR!AJ129</f>
        <v>MECL:8 wells stopped due to line leakage.
SCB:Intermittent pumping. Field prod 3.4 k bopd.
Vankor:Deferment in gas prod'n due to s/d.</v>
      </c>
    </row>
    <row r="760" spans="2:3" hidden="1">
      <c r="B760" s="446">
        <f>DPR!C128</f>
        <v>45136</v>
      </c>
      <c r="C760" s="364">
        <f>DPR!AJ128</f>
        <v>0</v>
      </c>
    </row>
    <row r="761" spans="2:3" hidden="1">
      <c r="B761" s="446">
        <f>DPR!C127</f>
        <v>45135</v>
      </c>
      <c r="C761" s="364">
        <f>DPR!AJ127</f>
        <v>0</v>
      </c>
    </row>
    <row r="762" spans="2:3" ht="60" hidden="1">
      <c r="B762" s="446">
        <f>DPR!C126</f>
        <v>45134</v>
      </c>
      <c r="C762" s="364" t="str">
        <f>DPR!AJ126</f>
        <v xml:space="preserve">
Vankor: Maintenance with equipment  shutdown at high-pressure gas compressor station (3rd stage) and at the gas processing facility (2nd stage).(expected to continue for 4-5 days)
SCB:Intermittent pumping. Field prod 3.5 kbopd.</v>
      </c>
    </row>
    <row r="763" spans="2:3" ht="45" hidden="1">
      <c r="B763" s="446">
        <f>DPR!C125</f>
        <v>45133</v>
      </c>
      <c r="C763" s="364" t="str">
        <f>DPR!AJ125</f>
        <v>SCB:Intermittent pumping. Field prod 3.5 kbopd.
Vankor: Maintenance with equipment  shutdown at high-pressure gas compressor station (3rd stage) and at the gas processing facility (2nd stage).(expected to continue for 4-5 days)</v>
      </c>
    </row>
    <row r="764" spans="2:3" ht="45" hidden="1">
      <c r="B764" s="446">
        <f>DPR!C124</f>
        <v>45132</v>
      </c>
      <c r="C764" s="364" t="str">
        <f>DPR!AJ124</f>
        <v>SCB: Intermittent pumping. Field prod 3.2 kbopd. (production from 9 wells disturbed due to voltage failure)
Vankor: Maintenance with equipment  shutdown at high-pressure gas compressor station (3rd stage) and at the gas processing facility (2nd stage).(expected to continue for 4-5 days)</v>
      </c>
    </row>
    <row r="765" spans="2:3" ht="90" hidden="1">
      <c r="B765" s="446">
        <f>DPR!C123</f>
        <v>45131</v>
      </c>
      <c r="C765" s="364" t="str">
        <f>DPR!AJ123</f>
        <v xml:space="preserve">
GPOC:Production differment due to Feeder trip due to electrocution of snake at H-Pole in Unity.It caused power fluctuation in other fields also.
Vankor: Maintenance with equipment  shutdown at high-pressure gas compressor station (3rd stage) and at the gas processing facility (2nd stage).(expected to continue for 4-5 days)
SCG:Intermittent pumping. Field prod 3.5 k bopd.</v>
      </c>
    </row>
    <row r="766" spans="2:3" ht="30" hidden="1">
      <c r="B766" s="446">
        <f>DPR!C122</f>
        <v>45130</v>
      </c>
      <c r="C766" s="364" t="str">
        <f>DPR!AJ122</f>
        <v>GPOC:Power trip in El toor during the day.
SCB:Intermittent pumping. Field prod 3.5 kbopd.</v>
      </c>
    </row>
    <row r="767" spans="2:3" hidden="1">
      <c r="B767" s="446">
        <f>DPR!C121</f>
        <v>45129</v>
      </c>
      <c r="C767" s="364">
        <f>DPR!AJ121</f>
        <v>0</v>
      </c>
    </row>
    <row r="768" spans="2:3" hidden="1">
      <c r="B768" s="446">
        <f>DPR!C120</f>
        <v>45128</v>
      </c>
      <c r="C768" s="364">
        <f>DPR!AJ120</f>
        <v>0</v>
      </c>
    </row>
    <row r="769" spans="2:3" ht="30" hidden="1">
      <c r="B769" s="446">
        <f>DPR!C119</f>
        <v>45127</v>
      </c>
      <c r="C769" s="364" t="str">
        <f>DPR!AJ119</f>
        <v>SCB:Intermittent pumping. Field prod 3.5 kbopd
LZC: Quota for the month is 355k bopd</v>
      </c>
    </row>
    <row r="770" spans="2:3" ht="30" hidden="1">
      <c r="B770" s="446">
        <f>DPR!C118</f>
        <v>45126</v>
      </c>
      <c r="C770" s="364" t="str">
        <f>DPR!AJ118</f>
        <v>GPOC:Deferment due to transmission line problem in EL toor.
LZC:Quota for the month is 355k bopd.</v>
      </c>
    </row>
    <row r="771" spans="2:3" ht="30" hidden="1">
      <c r="B771" s="446">
        <f>DPR!C117</f>
        <v>45125</v>
      </c>
      <c r="C771" s="364" t="str">
        <f>DPR!AJ117</f>
        <v>SPOC:Less dispatch from WHCC due to low 2BOPCO production(Pumping from TJ CPF to WHCC :8435 BBLs )
SCB:Intermittent pumping. Field prod 3.5k bopd.</v>
      </c>
    </row>
    <row r="772" spans="2:3" ht="75" hidden="1">
      <c r="B772" s="446">
        <f>DPR!C116</f>
        <v>45124</v>
      </c>
      <c r="C772" s="364" t="str">
        <f>DPR!AJ116</f>
        <v xml:space="preserve">
S-1:Gas prod'n figure updated based on latest report for June'23. Gas prod'n low due to summers.
LZC:Quota for the month is 355k bopd.
SCB:Intermittent pumping. Field prod 3.5 kbopd
MECL:Prod'n increase due to addition of prod'n from well services activities and WOR well.</v>
      </c>
    </row>
    <row r="773" spans="2:3" ht="60" hidden="1">
      <c r="B773" s="446">
        <f>DPR!C115</f>
        <v>45123</v>
      </c>
      <c r="C773" s="364" t="str">
        <f>DPR!AJ115</f>
        <v xml:space="preserve">
S-1:Gas prod'n figure updated based on latest report for June'23. Gas prod'n low due to summers.
LZC:Quota for the month is 355k bopd.
SCB:Intermittent pumping. Field prod 3.5 kbopd</v>
      </c>
    </row>
    <row r="774" spans="2:3" hidden="1">
      <c r="B774" s="446">
        <f>DPR!C114</f>
        <v>45122</v>
      </c>
      <c r="C774" s="364">
        <f>DPR!AJ114</f>
        <v>0</v>
      </c>
    </row>
    <row r="775" spans="2:3" ht="30" hidden="1">
      <c r="B775" s="446">
        <f>DPR!C113</f>
        <v>45121</v>
      </c>
      <c r="C775" s="364" t="str">
        <f>DPR!AJ113</f>
        <v xml:space="preserve">
SCB:Intermittent pumping. Field prod 3.3 kbopd.</v>
      </c>
    </row>
    <row r="776" spans="2:3" ht="75" hidden="1">
      <c r="B776" s="446">
        <f>DPR!C112</f>
        <v>45120</v>
      </c>
      <c r="C776" s="364" t="str">
        <f>DPR!AJ112</f>
        <v xml:space="preserve">
GPOC: Production deferment due to power failure(overcurrent) in the evening in Toma south,El nar and El Toor (North fields)
SCB:Intermittent pumping. Field prod 3.2k bopd. Deferment due to power failiure.
</v>
      </c>
    </row>
    <row r="777" spans="2:3" ht="30" hidden="1">
      <c r="B777" s="446">
        <f>DPR!C111</f>
        <v>45119</v>
      </c>
      <c r="C777" s="364" t="str">
        <f>DPR!AJ111</f>
        <v>LZC:Quota for the month is 355 k bopd.
SCB:Intermittent pumping. field prod 3.6k bopd</v>
      </c>
    </row>
    <row r="778" spans="2:3" ht="30" hidden="1">
      <c r="B778" s="446">
        <f>DPR!C110</f>
        <v>45118</v>
      </c>
      <c r="C778" s="364" t="str">
        <f>DPR!AJ110</f>
        <v>Carabobo-1:Production deferment due to electrical flickering._x000D_
SCB:Intermittent pumping. Field prod 3.6k.</v>
      </c>
    </row>
    <row r="779" spans="2:3" ht="30" hidden="1">
      <c r="B779" s="446">
        <f>DPR!C109</f>
        <v>45117</v>
      </c>
      <c r="C779" s="364" t="str">
        <f>DPR!AJ109</f>
        <v>IEC:Sn#506 closed during the day for valve repair. Reopened.
SCB:Intermittent pumping. Field prod 3.6k.</v>
      </c>
    </row>
    <row r="780" spans="2:3" ht="30" hidden="1">
      <c r="B780" s="446">
        <f>DPR!C108</f>
        <v>45116</v>
      </c>
      <c r="C780" s="364" t="str">
        <f>DPR!AJ108</f>
        <v>LZC:Quota for the month is 355k. 
SCB:Intermittent pumping-field prod 3.5 kbopd</v>
      </c>
    </row>
    <row r="781" spans="2:3" hidden="1">
      <c r="B781" s="446">
        <f>DPR!C107</f>
        <v>45115</v>
      </c>
      <c r="C781" s="364">
        <f>DPR!AJ107</f>
        <v>0</v>
      </c>
    </row>
    <row r="782" spans="2:3" hidden="1">
      <c r="B782" s="446">
        <f>DPR!C106</f>
        <v>45114</v>
      </c>
      <c r="C782" s="364">
        <f>DPR!AJ106</f>
        <v>0</v>
      </c>
    </row>
    <row r="783" spans="2:3" ht="75" hidden="1">
      <c r="B783" s="446">
        <f>DPR!C105</f>
        <v>45113</v>
      </c>
      <c r="C783" s="364" t="str">
        <f>DPR!AJ105</f>
        <v xml:space="preserve">
SCB: Intermittent pumping. Field prod 2.6 kbopd. Disruption due to power failure.
IEC:Servicing of 1st stage seperator at Maiskoye and re-filling it.
CPO-5:Mariposa well closed for PBU.
LZC:Quota for the month is 355k.</v>
      </c>
    </row>
    <row r="784" spans="2:3" ht="75" hidden="1">
      <c r="B784" s="446">
        <f>DPR!C104</f>
        <v>45112</v>
      </c>
      <c r="C784" s="364" t="str">
        <f>DPR!AJ104</f>
        <v xml:space="preserve">
SCB:Intermittent pumping. Field prod 3.5k bopd
Vankor:Ramp up ongoing.
LZC:Quota for the month is 355k.
GPOC:Power disturbance in EL toor, also 3 wells closed due to bioremediation limitation</v>
      </c>
    </row>
    <row r="785" spans="2:3" ht="75" hidden="1">
      <c r="B785" s="446">
        <f>DPR!C103</f>
        <v>45111</v>
      </c>
      <c r="C785" s="364" t="str">
        <f>DPR!AJ103</f>
        <v xml:space="preserve">
Vankor:Deferment due to ongoing installation of block valve and replacement of shutoff and control valve at FWKF-South(48 hrs). Production expected to ramp up tomorrow onwards.
GPOC:Production disruption during the day in Eltoor FPF due to transimission line problem.
</v>
      </c>
    </row>
    <row r="786" spans="2:3" ht="60" hidden="1">
      <c r="B786" s="446">
        <f>DPR!C102</f>
        <v>45110</v>
      </c>
      <c r="C786" s="364" t="str">
        <f>DPR!AJ102</f>
        <v xml:space="preserve">
Vankor:Deferment due to Installation of the mainline block valve at the pump station  and replacement of shut-off &amp; control valve  ( FWKF-South facility)
SCB:Intermittent pumping.Field prod 3.6k.</v>
      </c>
    </row>
    <row r="787" spans="2:3" hidden="1">
      <c r="B787" s="446">
        <f>DPR!C101</f>
        <v>45109</v>
      </c>
      <c r="C787" s="364">
        <f>DPR!AJ101</f>
        <v>0</v>
      </c>
    </row>
    <row r="788" spans="2:3" hidden="1">
      <c r="B788" s="446">
        <f>DPR!C100</f>
        <v>45108</v>
      </c>
      <c r="C788" s="364">
        <f>DPR!AJ100</f>
        <v>0</v>
      </c>
    </row>
    <row r="789" spans="2:3" hidden="1">
      <c r="B789" s="446">
        <f>DPR!C99</f>
        <v>45107</v>
      </c>
      <c r="C789" s="364">
        <f>DPR!AJ99</f>
        <v>0</v>
      </c>
    </row>
    <row r="790" spans="2:3" hidden="1">
      <c r="B790" s="446">
        <f>DPR!C98</f>
        <v>45106</v>
      </c>
      <c r="C790" s="364">
        <f>DPR!AJ98</f>
        <v>0</v>
      </c>
    </row>
    <row r="791" spans="2:3" hidden="1">
      <c r="B791" s="446">
        <f>DPR!C97</f>
        <v>45105</v>
      </c>
      <c r="C791" s="364" t="str">
        <f>DPR!AJ97</f>
        <v>MECL:Deferment due to power failure due to electrical storm</v>
      </c>
    </row>
    <row r="792" spans="2:3" ht="75" hidden="1">
      <c r="B792" s="446">
        <f>DPR!C96</f>
        <v>45104</v>
      </c>
      <c r="C792" s="364" t="str">
        <f>DPR!AJ96</f>
        <v xml:space="preserve">
SCB:Intermittent pumping.Field prod 3.6 kbopd
S-1:Based on last weekly/monthly.Production curtailment due to COST Tank#1 cleaning at Chayvo and also due to ongoing maintenance activities at Berkut Platform
</v>
      </c>
    </row>
    <row r="793" spans="2:3" ht="60" hidden="1">
      <c r="B793" s="446">
        <f>DPR!C95</f>
        <v>45103</v>
      </c>
      <c r="C793" s="364" t="str">
        <f>DPR!AJ95</f>
        <v xml:space="preserve">
SCB:Intermittent pumping.Field prod 3.6 kbopd
S-1:Based on last weekly/monthly.Production curtailment due to COST Tank#1 cleaning at Chayvo and also due to ongoing maintenance activities at Berkut Platform</v>
      </c>
    </row>
    <row r="794" spans="2:3" ht="60" hidden="1">
      <c r="B794" s="446">
        <f>DPR!C94</f>
        <v>45102</v>
      </c>
      <c r="C794" s="364" t="str">
        <f>DPR!AJ94</f>
        <v>GPOC:Power trip in EL Nar FPF.
SCB:Intermittent pumping,field prod 3.5k.
B-06.1:Gas turbine trip(wells closed for about 1.5 hrs)
BC-10:Details sought from the operator, about reason for delay and timeline for normal production resumption.</v>
      </c>
    </row>
    <row r="795" spans="2:3" ht="30" hidden="1">
      <c r="B795" s="446">
        <f>DPR!C93</f>
        <v>45101</v>
      </c>
      <c r="C795" s="364" t="str">
        <f>DPR!AJ93</f>
        <v>Vankor:Replacement of defective sections of the infield piping at the C-1 slug catcher and shut-off and control valves at FWKF-South</v>
      </c>
    </row>
    <row r="796" spans="2:3" ht="30" hidden="1">
      <c r="B796" s="446">
        <f>DPR!C92</f>
        <v>45100</v>
      </c>
      <c r="C796" s="364" t="str">
        <f>DPR!AJ92</f>
        <v xml:space="preserve">
SCB:field prod 3.5 k bopd</v>
      </c>
    </row>
    <row r="797" spans="2:3" ht="60" hidden="1">
      <c r="B797" s="446">
        <f>DPR!C91</f>
        <v>45099</v>
      </c>
      <c r="C797" s="364" t="str">
        <f>DPR!AJ91</f>
        <v xml:space="preserve">
BC-10:ALM1(Mobo-1 and 3) rampdown due to intervention (for repair for subset hydraulic line of ALM-1).
SCB: Intermittent pumping. Field prod 3.5k bopd
LZC:Quota for the month is 350k bopd.</v>
      </c>
    </row>
    <row r="798" spans="2:3" ht="60" hidden="1">
      <c r="B798" s="446">
        <f>DPR!C90</f>
        <v>45098</v>
      </c>
      <c r="C798" s="364" t="str">
        <f>DPR!AJ90</f>
        <v>BC-10:ALM1(Mobo-1 and 3) rampdown due to intervention (for repair for subset hydraulic line of ALM-1).
B-06.1:Well LD-3P reopened during the day with 1% choke for performance testing
LZC:Quota for the month is 350k bopd.
SPOC: Provisional figure (DPR awaited)</v>
      </c>
    </row>
    <row r="799" spans="2:3" ht="60" hidden="1">
      <c r="B799" s="446">
        <f>DPR!C89</f>
        <v>45097</v>
      </c>
      <c r="C799" s="364" t="str">
        <f>DPR!AJ89</f>
        <v>BC-10:ALM1(Mobo-1 and 3) rampdown due to intervention (for repair for subset hydraulic line of ALM-1).
A1-A3: Ramp-up ongoing
B-06.1:Well LD-3P closed for pressure build up study.
LZC:Quota for the month is 350k bopd.</v>
      </c>
    </row>
    <row r="800" spans="2:3" ht="60" hidden="1">
      <c r="B800" s="446">
        <f>DPR!C88</f>
        <v>45096</v>
      </c>
      <c r="C800" s="364" t="str">
        <f>DPR!AJ88</f>
        <v>BC-10:ALM1(Mobo-1 and 3) rampdown due to intervention (for repair for subset hydraulic line of ALM-1).
A1-A3: Deferment due to leakage(china side). Pipechina completed troubleshoot in this morning, wells being restarted today.
B-06.1:Well LD-3P closed for pressure build up study.</v>
      </c>
    </row>
    <row r="801" spans="2:3" ht="60" hidden="1">
      <c r="B801" s="446">
        <f>DPR!C87</f>
        <v>45095</v>
      </c>
      <c r="C801" s="364" t="str">
        <f>DPR!AJ87</f>
        <v xml:space="preserve">
A1-A3:Reduced production due to China pipeline gas leakage and troubleshooting ongoing.
SPOC:Export stopped due to 2B-OPCO flow below threshhold limit.(restarted today morning)
BC-10:ALM1(Mobo-1 and 3) rampdown due to intervention (for repair for subset hydraulic line of ALM-1).</v>
      </c>
    </row>
    <row r="802" spans="2:3" hidden="1">
      <c r="B802" s="446">
        <f>DPR!C86</f>
        <v>45094</v>
      </c>
      <c r="C802" s="364">
        <f>DPR!AJ86</f>
        <v>0</v>
      </c>
    </row>
    <row r="803" spans="2:3" ht="30" hidden="1">
      <c r="B803" s="446">
        <f>DPR!C85</f>
        <v>45093</v>
      </c>
      <c r="C803" s="364" t="str">
        <f>DPR!AJ85</f>
        <v>_x000D_
B-06.1:Gas compressor trip during the day</v>
      </c>
    </row>
    <row r="804" spans="2:3" ht="75" hidden="1">
      <c r="B804" s="446">
        <f>DPR!C84</f>
        <v>45092</v>
      </c>
      <c r="C804" s="364" t="str">
        <f>DPR!AJ84</f>
        <v>B-06.1:Well LD-3P shut in for pressure buildup monitoring.
Sakh-1:Figure based on latest prod'n report( for last week,Prod'n was curtailed due to planned activities on LP Compressor No.2 at Berkut platform)
LZC:Quota for the month is 350k bopd.
BC-10:ALM1(Mobo-1 and 3) rampdown due to intervention (for repair for subset hydraulic line of ALM-1).</v>
      </c>
    </row>
    <row r="805" spans="2:3" ht="90" hidden="1">
      <c r="B805" s="446">
        <f>DPR!C83</f>
        <v>45091</v>
      </c>
      <c r="C805" s="364" t="str">
        <f>DPR!AJ83</f>
        <v>SPOC:Export resumed at 1145 hrs
B-06.1:Well LD-3P shut in for pressure buildup monitoring.
Sakh-1:Figure based on latest prod'n report( for last week,Prod'n was curtailed due to planned activities on LP Compressor No.2 at Berkut platform)
LZC:Quota for the month is 350k bopd.
BC-10:ALM1(Mobo-1 and 3) rampdown due to intervention (for repair for subset hydraulic line of ALM-1).</v>
      </c>
    </row>
    <row r="806" spans="2:3" ht="90" hidden="1">
      <c r="B806" s="446">
        <f>DPR!C82</f>
        <v>45090</v>
      </c>
      <c r="C806" s="364" t="str">
        <f>DPR!AJ82</f>
        <v xml:space="preserve">
SPOC:Export stopped at 1800 hrs due to 2B-OPCO flow below threshhold limit.
Sakh-1:Production curtailment due to COST Tank#1 cleaning at Chayvo.Figure based on latest prod'n report for last week.
LZC:Quota for the month is 350k bopd.
BC-10:ALM1(Mobo-1 and 3) rampdown due to intervention (for repair for subset hydraulic line of ALM-1).</v>
      </c>
    </row>
    <row r="807" spans="2:3" ht="75" hidden="1">
      <c r="B807" s="446">
        <f>DPR!C81</f>
        <v>45089</v>
      </c>
      <c r="C807" s="364" t="str">
        <f>DPR!AJ81</f>
        <v xml:space="preserve">
Sakh-1:Figure based on latest prod'n report( for last week,Prod'n was curtailed due to planned activities on LP Compressor No.2 at Berkut platform)
LZC:Quota for the month is 350k bopd.
BC-10:ALM1(Mobo-1 and 3) rampdown due to intervention (for repair for subset hydraulic line of ALM-1).</v>
      </c>
    </row>
    <row r="808" spans="2:3" ht="60" hidden="1">
      <c r="B808" s="446">
        <f>DPR!C80</f>
        <v>45088</v>
      </c>
      <c r="C808" s="364" t="str">
        <f>DPR!AJ80</f>
        <v>Sakh-1:Figure based on latest prod'n report( for last week,Prod'n was curtailed due to planned activities on LP Compressor No.2 at Berkut platform)
LZC:Quota for the month is 350k bopd._x000D_
BC-10:ALM1(Mobo-1 and 3) rampdown due to intervention plan.</v>
      </c>
    </row>
    <row r="809" spans="2:3" hidden="1">
      <c r="B809" s="446">
        <f>DPR!C79</f>
        <v>45087</v>
      </c>
      <c r="C809" s="364">
        <f>DPR!AJ79</f>
        <v>0</v>
      </c>
    </row>
    <row r="810" spans="2:3" ht="45" hidden="1">
      <c r="B810" s="446">
        <f>DPR!C78</f>
        <v>45086</v>
      </c>
      <c r="C810" s="364" t="str">
        <f>DPR!AJ78</f>
        <v xml:space="preserve">LZC:Quota for the month is 350k bopd.
SPOC: Export to PS#1 stopped at 0811 hours on MCC PETCO instruction to manage SCOTS pipeline high viscosity issue due to 2BOPCO low export </v>
      </c>
    </row>
    <row r="811" spans="2:3" ht="45" hidden="1">
      <c r="B811" s="446">
        <f>DPR!C77</f>
        <v>45085</v>
      </c>
      <c r="C811" s="364" t="str">
        <f>DPR!AJ77</f>
        <v>Sakh-1:Figure based on latest prod'n report( for last week,Prod'n was curtailed due to planned activities on LP Compressor No.2 at Berkut platform)
LZC:Quota for the month is 350k bopd.</v>
      </c>
    </row>
    <row r="812" spans="2:3" ht="90" hidden="1">
      <c r="B812" s="446">
        <f>DPR!C76</f>
        <v>45084</v>
      </c>
      <c r="C812" s="364" t="str">
        <f>DPR!AJ76</f>
        <v>Sakh-1:Figure based on latest prod'n report( for last week,Prod'n was curtailed due to planned activities on LP Compressor No.2 at Berkut platform)
IEC:Well SM#6r put back on prod'n after WOR
CPO-5:Well Mariposa closed for 5 hrs on 6-june for electrical board generation system installation.
PCB:Electrical flickering reported on 06.06.2023 affecting production.
GPOC:Out of 48kbopd, about 1.6 kbopd is from FPF stock tank.</v>
      </c>
    </row>
    <row r="813" spans="2:3" ht="60" hidden="1">
      <c r="B813" s="446">
        <f>DPR!C75</f>
        <v>45083</v>
      </c>
      <c r="C813" s="364" t="str">
        <f>DPR!AJ75</f>
        <v xml:space="preserve">
BC-10:Ramp up ongoing.
LZC:Quota for June'23 is 350k BOPD.
CPO-5:Well Mariposa closed for about 5 hrs during the day for electrical board generation system installation.</v>
      </c>
    </row>
    <row r="814" spans="2:3" ht="45" hidden="1">
      <c r="B814" s="446">
        <f>DPR!C74</f>
        <v>45082</v>
      </c>
      <c r="C814" s="364" t="str">
        <f>DPR!AJ74</f>
        <v xml:space="preserve">
BC-10:Ramp up ongoing.
LZC:Quota for June'23 is 350k BOPD.</v>
      </c>
    </row>
    <row r="815" spans="2:3" ht="60" hidden="1">
      <c r="B815" s="446">
        <f>DPR!C73</f>
        <v>45081</v>
      </c>
      <c r="C815" s="364" t="str">
        <f>DPR!AJ73</f>
        <v>BC-10:Ramp up ongoing.
LZC:Quota for June'23 is 350k BOPD.
GPOC:Pigging operation has been started in EL Toor field from 31st May 2023. Accordingly, some amount of crude is being diverted to COST at El-Toor FPF.(Crude diverted : 4.3k bbls)</v>
      </c>
    </row>
    <row r="816" spans="2:3" ht="30" hidden="1">
      <c r="B816" s="446">
        <f>DPR!C72</f>
        <v>45080</v>
      </c>
      <c r="C816" s="364" t="str">
        <f>DPR!AJ72</f>
        <v>PCB:General shutdown reported on 02.06.2023 (18:00) due to failure in the National Electrical grid affecting Process equipment and 25 wells</v>
      </c>
    </row>
    <row r="817" spans="2:3" hidden="1">
      <c r="B817" s="446">
        <f>DPR!C71</f>
        <v>45079</v>
      </c>
      <c r="C817" s="364">
        <f>DPR!AJ71</f>
        <v>0</v>
      </c>
    </row>
    <row r="818" spans="2:3" ht="30" hidden="1">
      <c r="B818" s="446">
        <f>DPR!C70</f>
        <v>45078</v>
      </c>
      <c r="C818" s="364" t="str">
        <f>DPR!AJ70</f>
        <v>S-1:Production curtailment due to planned activities on LP Compressor No.2 at Berkut platform, during which it was shut down, and the work has been completed.</v>
      </c>
    </row>
    <row r="819" spans="2:3" ht="45" hidden="1">
      <c r="B819" s="446">
        <f>DPR!C69</f>
        <v>45077</v>
      </c>
      <c r="C819" s="364" t="str">
        <f>DPR!AJ69</f>
        <v xml:space="preserve">
BC-10:Deferment due to MOBO campaign.
LZC:Curtailment  to meet May quota(350 kbopd)</v>
      </c>
    </row>
    <row r="820" spans="2:3" ht="45" hidden="1">
      <c r="B820" s="446">
        <f>DPR!C68</f>
        <v>45076</v>
      </c>
      <c r="C820" s="364" t="str">
        <f>DPR!AJ68</f>
        <v xml:space="preserve">
BC-10:Deferment due to MOBO campaign. Full ramp up expected by 01 June
LZC:Curtailment  to meet May quota(350 kbopd)</v>
      </c>
    </row>
    <row r="821" spans="2:3" ht="45" hidden="1">
      <c r="B821" s="446">
        <f>DPR!C67</f>
        <v>45075</v>
      </c>
      <c r="C821" s="364" t="str">
        <f>DPR!AJ67</f>
        <v xml:space="preserve">
BC-10:Deferment due to MOBO campaign. Full ramp up expected by 01 June
LZC:Curtailment  to meet May quota(350 kbopd)</v>
      </c>
    </row>
    <row r="822" spans="2:3" ht="45" hidden="1">
      <c r="B822" s="446">
        <f>DPR!C66</f>
        <v>45074</v>
      </c>
      <c r="C822" s="364" t="str">
        <f>DPR!AJ66</f>
        <v xml:space="preserve">
BC-10:Deferment due to MOBO campaign. Full ramp up expected by 01 June
LZC:Curtailment  to meet May quota(350 kbopd)</v>
      </c>
    </row>
    <row r="823" spans="2:3" hidden="1">
      <c r="B823" s="446">
        <f>DPR!C65</f>
        <v>45073</v>
      </c>
      <c r="C823" s="364">
        <f>DPR!AJ65</f>
        <v>0</v>
      </c>
    </row>
    <row r="824" spans="2:3" hidden="1">
      <c r="B824" s="446">
        <f>DPR!C64</f>
        <v>45072</v>
      </c>
      <c r="C824" s="364">
        <f>DPR!AJ64</f>
        <v>0</v>
      </c>
    </row>
    <row r="825" spans="2:3" ht="45" hidden="1">
      <c r="B825" s="446">
        <f>DPR!C63</f>
        <v>45071</v>
      </c>
      <c r="C825" s="364" t="str">
        <f>DPR!AJ63</f>
        <v xml:space="preserve">
BC-10:Deferment due to MOBO campaign. Full ramp up expected by 01 June
CPO-5:Production being revamped after lifting of strike.</v>
      </c>
    </row>
    <row r="826" spans="2:3" ht="75" hidden="1">
      <c r="B826" s="446">
        <f>DPR!C62</f>
        <v>45070</v>
      </c>
      <c r="C826" s="364" t="str">
        <f>DPR!AJ62</f>
        <v xml:space="preserve">
BC-10:Deferment due to MOBO campaign. Full ramp up expected by 01 June.
IEC:Well 6r (South maiskoye) closed due to ESP jam. WOR being mobilised.
CPO-5:Restricted availability of tankers due to USO workers union strike.Wells operations being managed to optimize production while managing the ullage in storage tanks.</v>
      </c>
    </row>
    <row r="827" spans="2:3" ht="60" hidden="1">
      <c r="B827" s="446">
        <f>DPR!C61</f>
        <v>45069</v>
      </c>
      <c r="C827" s="364" t="str">
        <f>DPR!AJ61</f>
        <v>BC-10:Deferment due to MOBO campaign. Full ramp expected by 01 June.
IEC:Well 6r (South maiskoye) due to ESP jam. WOR being mobilised.
CPO-5:Restricted availability of tankers due to USO workers union strike.Wells operations being managed to optimize production while managing the ullage in storage tanks.</v>
      </c>
    </row>
    <row r="828" spans="2:3" ht="60" hidden="1">
      <c r="B828" s="446">
        <f>DPR!C60</f>
        <v>45068</v>
      </c>
      <c r="C828" s="364" t="str">
        <f>DPR!AJ60</f>
        <v xml:space="preserve">
IEC:Well 6r (South maiskoye) due to ESP jam. WOR being mobilised.
CPO-5:Restricted availability of tankers due to USO workers union strike.Wells operations being managed to optimize production while managing the ullage in storage tanks.</v>
      </c>
    </row>
    <row r="829" spans="2:3" hidden="1">
      <c r="B829" s="446">
        <f>DPR!C59</f>
        <v>45067</v>
      </c>
      <c r="C829" s="364" t="str">
        <f>DPR!AJ59</f>
        <v>BC-10:deferment due to MOBO campaign</v>
      </c>
    </row>
    <row r="830" spans="2:3" hidden="1">
      <c r="B830" s="446">
        <f>DPR!C58</f>
        <v>45066</v>
      </c>
      <c r="C830" s="364">
        <f>DPR!AJ58</f>
        <v>0</v>
      </c>
    </row>
    <row r="831" spans="2:3" hidden="1">
      <c r="B831" s="446">
        <f>DPR!C57</f>
        <v>45065</v>
      </c>
      <c r="C831" s="364">
        <f>DPR!AJ57</f>
        <v>0</v>
      </c>
    </row>
    <row r="832" spans="2:3" ht="105" hidden="1">
      <c r="B832" s="446">
        <f>DPR!C56</f>
        <v>45064</v>
      </c>
      <c r="C832" s="364" t="str">
        <f>DPR!AJ56</f>
        <v>A1-A3: Reactivation started.Export started on 18-05.
BC-10: Deferment due to MOBO campaign
Sakh-1:Production curtailment due to ongoing work on GIC
Imperial: S/D of APG plant for planned maintenance.
SCB:Intermittent pumping
LZC:Quota for may is 350k bopd.
CPO-5:Flash fire incident around flare.ESP closed to control the situation.</v>
      </c>
    </row>
    <row r="833" spans="2:3" ht="90" hidden="1">
      <c r="B833" s="446">
        <f>DPR!C55</f>
        <v>45063</v>
      </c>
      <c r="C833" s="364" t="str">
        <f>DPR!AJ55</f>
        <v>A1-A3: S/d due to cyclone.FM declared.
BC-10: Deferment due to MOBO campaign
Sakh-1:Production curtailment due to ongoing work on GIC
Imperial: S/D of APG plant for planned maintenance.
SCB:Intermittent pumping
LZC:Quota for may is 350k bopd.</v>
      </c>
    </row>
    <row r="834" spans="2:3" ht="105" hidden="1">
      <c r="B834" s="446">
        <f>DPR!C54</f>
        <v>45062</v>
      </c>
      <c r="C834" s="364" t="str">
        <f>DPR!AJ54</f>
        <v xml:space="preserve">
A1-A3: S/d due to cyclone.FM declared.
BC-10: Deferment due to MOBO campaign
Sakh-1:Production curtailment due to ongoing work of exhaust header on GIC #1 turbine at Odoptu and the activity to be completed by this week
IEC: S/D of APG plant for planned maintenance.
SCB:Intermittent pumping</v>
      </c>
    </row>
    <row r="835" spans="2:3" ht="90" hidden="1">
      <c r="B835" s="446">
        <f>DPR!C53</f>
        <v>45061</v>
      </c>
      <c r="C835" s="364" t="str">
        <f>DPR!AJ53</f>
        <v xml:space="preserve">
A1-A3: S/d due to cyclone.FM declared.
BC-10: Deferment due to MOBO campaign
CPO-5:Indico-5 choke changed from 42 to 46/64.
Sakh-1:Prodcution updated based on latest weekly report.Production curtailment due to ongoing work of exhaust header on GIC #1 turbine at Odoptu and the activity to be completed by this week</v>
      </c>
    </row>
    <row r="836" spans="2:3" ht="60" hidden="1">
      <c r="B836" s="446">
        <f>DPR!C52</f>
        <v>45060</v>
      </c>
      <c r="C836" s="364" t="str">
        <f>DPR!AJ52</f>
        <v xml:space="preserve">
CPO-5:Indico-5 choke changed from 42 to 46/64.
A1-A3:s/d due to cyclone.FM declared.
BC-10:Deferment due to MOBO campaign</v>
      </c>
    </row>
    <row r="837" spans="2:3" hidden="1">
      <c r="B837" s="446">
        <f>DPR!C51</f>
        <v>45059</v>
      </c>
      <c r="C837" s="364" t="str">
        <f>DPR!AJ51</f>
        <v>CPO-5:Indico-5 choke changes from 42 to 46/64.</v>
      </c>
    </row>
    <row r="838" spans="2:3" hidden="1">
      <c r="B838" s="446">
        <f>DPR!C50</f>
        <v>45058</v>
      </c>
      <c r="C838" s="364">
        <f>DPR!AJ50</f>
        <v>0</v>
      </c>
    </row>
    <row r="839" spans="2:3" hidden="1">
      <c r="B839" s="446">
        <f>DPR!C49</f>
        <v>45057</v>
      </c>
      <c r="C839" s="364" t="str">
        <f>DPR!AJ49</f>
        <v>BC-10:deferment due to MOBO campaign</v>
      </c>
    </row>
    <row r="840" spans="2:3" hidden="1">
      <c r="B840" s="446">
        <f>DPR!C48</f>
        <v>45056</v>
      </c>
      <c r="C840" s="364" t="str">
        <f>DPR!AJ48</f>
        <v>BC-10:deferment due to MOBO campaign</v>
      </c>
    </row>
    <row r="841" spans="2:3" ht="30" hidden="1">
      <c r="B841" s="446">
        <f>DPR!C47</f>
        <v>45055</v>
      </c>
      <c r="C841" s="364" t="str">
        <f>DPR!AJ47</f>
        <v xml:space="preserve">
BC-10:deferment due to MOBO campaign</v>
      </c>
    </row>
    <row r="842" spans="2:3" hidden="1">
      <c r="B842" s="446">
        <f>DPR!C46</f>
        <v>45054</v>
      </c>
      <c r="C842" s="364" t="str">
        <f>DPR!AJ46</f>
        <v>velocity</v>
      </c>
    </row>
    <row r="843" spans="2:3" ht="30" hidden="1">
      <c r="B843" s="446">
        <f>DPR!C45</f>
        <v>45053</v>
      </c>
      <c r="C843" s="364" t="str">
        <f>DPR!AJ45</f>
        <v>ACG:WA Wells startup post CA gas outage
LZC: OPEC+ Quota for May is 350kbd</v>
      </c>
    </row>
    <row r="844" spans="2:3" hidden="1">
      <c r="B844" s="446">
        <f>DPR!C44</f>
        <v>45052</v>
      </c>
      <c r="C844" s="364">
        <f>DPR!AJ44</f>
        <v>0</v>
      </c>
    </row>
    <row r="845" spans="2:3" hidden="1">
      <c r="B845" s="446">
        <f>DPR!C43</f>
        <v>45051</v>
      </c>
      <c r="C845" s="364">
        <f>DPR!AJ43</f>
        <v>0</v>
      </c>
    </row>
    <row r="846" spans="2:3" hidden="1">
      <c r="B846" s="446">
        <f>DPR!C42</f>
        <v>45050</v>
      </c>
      <c r="C846" s="364">
        <f>DPR!AJ42</f>
        <v>0</v>
      </c>
    </row>
    <row r="847" spans="2:3" ht="45" hidden="1">
      <c r="B847" s="446">
        <f>DPR!C41</f>
        <v>45049</v>
      </c>
      <c r="C847" s="364" t="str">
        <f>DPR!AJ41</f>
        <v>ACG:In Central Azeri, Gas Injection Compressors (GIC) Train 2/3/4 are online, GIC Train 1 is under maintenance. Oil Production ramped up to 369 kbd
LZC: OPEC+ Quota for May is 350kbd</v>
      </c>
    </row>
    <row r="848" spans="2:3" ht="90" hidden="1">
      <c r="B848" s="446">
        <f>DPR!C40</f>
        <v>45048</v>
      </c>
      <c r="C848" s="364" t="str">
        <f>DPR!AJ40</f>
        <v>LZC: OPEC+ Quota for May is 350mbd
A1 &amp; A3: Shutdown activities completed &amp; resumed exporting gas
BC-10: Mobo intervention campaign ongoing
ACG: In Central Azeri, Gas Injection Compressors (GIC) Train: 2/3/4 are online, GIC Train:1 is under maintenance. Oil Production ramped up to 334 kbd
SCB: intermittent Pumping</v>
      </c>
    </row>
    <row r="849" spans="2:3" ht="90" hidden="1">
      <c r="B849" s="446">
        <f>DPR!C39</f>
        <v>45047</v>
      </c>
      <c r="C849" s="364" t="str">
        <f>DPR!AJ39</f>
        <v xml:space="preserve">
B06.1: Production curtailed owing to Low gas demand(compressor maintainence also ongoing)
LZC: OPEC+ Quota for May is 350mbd
A1 &amp; A3: Shutdown activities completed &amp; resumed exporting gas
BC-10: Mobo intervention campaign ongoing
SCB: intermittent Pumping</v>
      </c>
    </row>
    <row r="850" spans="2:3" ht="45" hidden="1">
      <c r="B850" s="446">
        <f>DPR!C38</f>
        <v>45046</v>
      </c>
      <c r="C850" s="364" t="str">
        <f>DPR!AJ38</f>
        <v>_x000D_
BC-10: Mobo intervention campaign ongoing_x000D_
ACG: CA Gas Outage(All GIC's are offline)</v>
      </c>
    </row>
    <row r="851" spans="2:3" ht="30" hidden="1">
      <c r="B851" s="446">
        <f>DPR!C37</f>
        <v>45045</v>
      </c>
      <c r="C851" s="364" t="str">
        <f>DPR!AJ37</f>
        <v>_x000D_
ACG: CA gas outage</v>
      </c>
    </row>
    <row r="852" spans="2:3" hidden="1">
      <c r="B852" s="446">
        <f>DPR!C36</f>
        <v>45044</v>
      </c>
      <c r="C852" s="364">
        <f>DPR!AJ36</f>
        <v>0</v>
      </c>
    </row>
    <row r="853" spans="2:3" ht="30" hidden="1">
      <c r="B853" s="446">
        <f>DPR!C35</f>
        <v>45043</v>
      </c>
      <c r="C853" s="364" t="str">
        <f>DPR!AJ35</f>
        <v>A1 &amp; A3: Shutdown activities completed &amp; resumed exporting gas@0200hrs
SPOC: Resumed export on 26th at 0905hrs to PS#1 after completion of pressure testing (Post leakage rectification)</v>
      </c>
    </row>
    <row r="854" spans="2:3" hidden="1">
      <c r="B854" s="446">
        <f>DPR!C34</f>
        <v>45042</v>
      </c>
      <c r="C854" s="364">
        <f>DPR!AJ34</f>
        <v>0</v>
      </c>
    </row>
    <row r="855" spans="2:3" ht="45" hidden="1">
      <c r="B855" s="446">
        <f>DPR!C33</f>
        <v>45041</v>
      </c>
      <c r="C855" s="364" t="str">
        <f>DPR!AJ33</f>
        <v xml:space="preserve">
SPOC: Leak fixed by Installing &amp; Welding clamp . Inspection and testing ongoing
A1&amp;A3: Planned shutdown ongoing</v>
      </c>
    </row>
    <row r="856" spans="2:3" ht="30" hidden="1">
      <c r="B856" s="446">
        <f>DPR!C32</f>
        <v>45040</v>
      </c>
      <c r="C856" s="364" t="str">
        <f>DPR!AJ32</f>
        <v>SPOC: Export to PS#1 stopped due to leak in SCOTS line b/w PS#4 to PS#5 area
A1&amp;A3: Planned shutdown ongoing</v>
      </c>
    </row>
    <row r="857" spans="2:3" ht="30" hidden="1">
      <c r="B857" s="446">
        <f>DPR!C31</f>
        <v>45039</v>
      </c>
      <c r="C857" s="364" t="str">
        <f>DPR!AJ31</f>
        <v>SPOC: Export to PS#1 stopped due to leak inj SCOTS line b/w PS#4 to PS#5 area
A1&amp;A3: Planned shutdown ongoing</v>
      </c>
    </row>
    <row r="858" spans="2:3" ht="30" hidden="1">
      <c r="B858" s="446">
        <f>DPR!C30</f>
        <v>45038</v>
      </c>
      <c r="C858" s="364" t="str">
        <f>DPR!AJ30</f>
        <v xml:space="preserve">
SPOC: Export to PS#1 stopped due to leak inj SCOTS line b/w PS#4 to PS#5 area</v>
      </c>
    </row>
    <row r="859" spans="2:3" hidden="1">
      <c r="B859" s="446">
        <f>DPR!C29</f>
        <v>45037</v>
      </c>
      <c r="C859" s="364">
        <f>DPR!AJ29</f>
        <v>0</v>
      </c>
    </row>
    <row r="860" spans="2:3" ht="75" hidden="1">
      <c r="B860" s="446">
        <f>DPR!C28</f>
        <v>45036</v>
      </c>
      <c r="C860" s="364" t="str">
        <f>DPR!AJ28</f>
        <v xml:space="preserve">
A1&amp;A3: Planned shutdown ongoing
GPOC: Production from 6 Munga Wells Started. Export started from Munga COST &amp; 6 wells
ACG: EA -Plant startup after shutdown_x000D_
BC-10: Production reduced as per intervention plan</v>
      </c>
    </row>
    <row r="861" spans="2:3" ht="75" hidden="1">
      <c r="B861" s="446">
        <f>DPR!C27</f>
        <v>45035</v>
      </c>
      <c r="C861" s="364" t="str">
        <f>DPR!AJ27</f>
        <v xml:space="preserve">
A1&amp;A3: Planned S/D for Ph-3 tie-in &amp; maintainence job on existing facilties
GPOC: Production from 6 Munga Wells Started. Export started from Munga COST &amp; 6 wells
ACG: EA -Plant startup after shutdown_x000D_
ACG: EA Well startup after PSD</v>
      </c>
    </row>
    <row r="862" spans="2:3" ht="60" hidden="1">
      <c r="B862" s="446">
        <f>DPR!C26</f>
        <v>45034</v>
      </c>
      <c r="C862" s="364" t="str">
        <f>DPR!AJ26</f>
        <v xml:space="preserve">
A1&amp;A3: Commenced SHP Planned shutdown @ 06:30hrs for Phase 3 brownfield work from 18th to 27th Apr 2023.
BC-10: MOBO-5 Tripped_x000D_
ACG: EA -Plant startupp after shutdown</v>
      </c>
    </row>
    <row r="863" spans="2:3" ht="30" hidden="1">
      <c r="B863" s="446">
        <f>DPR!C25</f>
        <v>45033</v>
      </c>
      <c r="C863" s="364" t="str">
        <f>DPR!AJ25</f>
        <v>_x000D_
BC-10: MOBO 5 Tripping</v>
      </c>
    </row>
    <row r="864" spans="2:3" hidden="1">
      <c r="B864" s="446">
        <f>DPR!C24</f>
        <v>45032</v>
      </c>
      <c r="C864" s="364">
        <f>DPR!AJ24</f>
        <v>0</v>
      </c>
    </row>
    <row r="865" spans="2:3" hidden="1">
      <c r="B865" s="446">
        <f>DPR!C23</f>
        <v>45031</v>
      </c>
      <c r="C865" s="364">
        <f>DPR!AJ23</f>
        <v>0</v>
      </c>
    </row>
    <row r="866" spans="2:3" hidden="1">
      <c r="B866" s="446">
        <f>DPR!C22</f>
        <v>45030</v>
      </c>
      <c r="C866" s="364">
        <f>DPR!AJ22</f>
        <v>0</v>
      </c>
    </row>
    <row r="867" spans="2:3" hidden="1">
      <c r="B867" s="446">
        <f>DPR!C21</f>
        <v>45029</v>
      </c>
      <c r="C867" s="364">
        <f>DPR!AJ21</f>
        <v>0</v>
      </c>
    </row>
    <row r="868" spans="2:3" hidden="1">
      <c r="B868" s="446">
        <f>DPR!C20</f>
        <v>45028</v>
      </c>
      <c r="C868" s="364">
        <f>DPR!AJ20</f>
        <v>0</v>
      </c>
    </row>
    <row r="869" spans="2:3" hidden="1">
      <c r="B869" s="446">
        <f>DPR!C19</f>
        <v>45027</v>
      </c>
      <c r="C869" s="364">
        <f>DPR!AJ19</f>
        <v>0</v>
      </c>
    </row>
    <row r="870" spans="2:3" hidden="1">
      <c r="B870" s="446">
        <f>DPR!C18</f>
        <v>45026</v>
      </c>
      <c r="C870" s="364">
        <f>DPR!AJ18</f>
        <v>0</v>
      </c>
    </row>
    <row r="871" spans="2:3" hidden="1">
      <c r="B871" s="446">
        <f>DPR!C17</f>
        <v>45025</v>
      </c>
      <c r="C871" s="364">
        <f>DPR!AJ17</f>
        <v>0</v>
      </c>
    </row>
    <row r="872" spans="2:3" hidden="1">
      <c r="B872" s="446">
        <f>DPR!C16</f>
        <v>45024</v>
      </c>
      <c r="C872" s="364">
        <f>DPR!AJ16</f>
        <v>0</v>
      </c>
    </row>
    <row r="873" spans="2:3" ht="30" hidden="1">
      <c r="B873" s="446">
        <f>DPR!C15</f>
        <v>45023</v>
      </c>
      <c r="C873" s="364" t="str">
        <f>DPR!AJ15</f>
        <v xml:space="preserve">_x000D_
</v>
      </c>
    </row>
    <row r="874" spans="2:3" hidden="1">
      <c r="B874" s="446">
        <f>DPR!C14</f>
        <v>45022</v>
      </c>
      <c r="C874" s="364">
        <f>DPR!AJ14</f>
        <v>0</v>
      </c>
    </row>
    <row r="875" spans="2:3" hidden="1">
      <c r="B875" s="446">
        <f>DPR!C13</f>
        <v>45021</v>
      </c>
      <c r="C875" s="364">
        <f>DPR!AJ13</f>
        <v>0</v>
      </c>
    </row>
    <row r="876" spans="2:3" hidden="1">
      <c r="B876" s="446">
        <f>DPR!C12</f>
        <v>45020</v>
      </c>
      <c r="C876" s="364">
        <f>DPR!AJ12</f>
        <v>0</v>
      </c>
    </row>
    <row r="877" spans="2:3" hidden="1">
      <c r="B877" s="446">
        <f>DPR!C11</f>
        <v>45019</v>
      </c>
      <c r="C877" s="364">
        <f>DPR!AJ11</f>
        <v>0</v>
      </c>
    </row>
    <row r="878" spans="2:3" hidden="1">
      <c r="B878" s="446">
        <f>DPR!C10</f>
        <v>45018</v>
      </c>
      <c r="C878" s="364">
        <f>DPR!AJ10</f>
        <v>0</v>
      </c>
    </row>
    <row r="879" spans="2:3" hidden="1">
      <c r="B879" s="446">
        <f>DPR!C9</f>
        <v>45017</v>
      </c>
      <c r="C879" s="364">
        <f>DPR!AJ9</f>
        <v>0</v>
      </c>
    </row>
    <row r="880" spans="2:3" ht="90">
      <c r="B880" s="446">
        <f>DPR!C880</f>
        <v>45888</v>
      </c>
      <c r="C880" s="364" t="str">
        <f>DPR!AJ880</f>
        <v>Sakhalin:Prod'n deferred due to the scheduled shutdown in August 2025 for the replacement of the gas flare tip at Chayvo and maintenance/replacement activities across all Sakhalin-1 facilities, which commenced on 1st August 2025.
GPOC:Prod'n deferred due to downhole problems.
BC-10:Prod'n deferred due to AW-1 well closed in Abalone field.
Vankor:Shudown due to optimising the operation under well works and switching over to backup control station for organising activities &amp; surface infrastructure.</v>
      </c>
    </row>
    <row r="881" spans="2:3" ht="75">
      <c r="B881" s="446">
        <f>DPR!C881</f>
        <v>45889</v>
      </c>
      <c r="C881" s="364" t="str">
        <f>DPR!AJ881</f>
        <v>Sakhalin:Prod'n deferred due to the scheduled shutdown in August 2025 for the replacement of the gas flare tip at Chayvo and maintenance/replacement activities across all Sakhalin-1 facilities, which commenced on 1st August 2025.
BC-10:Prod'n deferred due to AW-1 well closed in Abalone field.
Vankor:Shudown due to optimising the operation under well works and switching over to backup control station for organising activities &amp; surface infrastructure.</v>
      </c>
    </row>
    <row r="882" spans="2:3" ht="75">
      <c r="B882" s="446">
        <f>DPR!C882</f>
        <v>45890</v>
      </c>
      <c r="C882" s="364" t="str">
        <f>DPR!AJ882</f>
        <v>Sakhalin:Prod'n deferred due to the scheduled shutdown in August 2025 for the replacement of the gas flare tip at Chayvo and maintenance/replacement activities across all Sakhalin-1 facilities, which commenced on 1st August 2025.
BC-10:Prod'n deferred due to AW-1 well closed in Abalone field.
Vankor:Shudown due to optimising the operation under well works and switching over to backup control station for organising activities &amp; surface infrastructure.</v>
      </c>
    </row>
    <row r="883" spans="2:3" ht="90">
      <c r="B883" s="446">
        <f>DPR!C883</f>
        <v>45891</v>
      </c>
      <c r="C883" s="364" t="str">
        <f>DPR!AJ883</f>
        <v>Sakhalin:Prod'n deferred due to the scheduled shutdown in August 2025 for the replacement of the gas flare tip at Chayvo and maintenance/replacement activities across all Sakhalin-1 facilities, which commenced on 1st August 2025.
GPOC:Prod'n deferred due to downhole problems.
Vankor:Shudown due to optimising the operation under well works and switching over to backup control station for organising activities &amp; surface infrastructure.
IEC:Prod'n deferred due to workover and well deviation.</v>
      </c>
    </row>
    <row r="884" spans="2:3" ht="90">
      <c r="B884" s="446">
        <f>DPR!C884</f>
        <v>45892</v>
      </c>
      <c r="C884" s="364" t="str">
        <f>DPR!AJ884</f>
        <v>Sakhalin:Prod'n deferred due to the scheduled shutdown in August 2025 for the replacement of the gas flare tip at Chayvo and maintenance/replacement activities across all Sakhalin-1 facilities, which commenced on 1st August 2025.
GPOC:Prod'n deferred due to downhole problems.
Vankor:Shudown due to optimising the operation under well works and switching over to backup control station for organising activities &amp; surface infrastructure.
IEC:Prod'n deferred due to workover and well deviation.</v>
      </c>
    </row>
    <row r="885" spans="2:3" ht="105">
      <c r="B885" s="446">
        <f>DPR!C885</f>
        <v>45893</v>
      </c>
      <c r="C885" s="364" t="str">
        <f>DPR!AJ885</f>
        <v xml:space="preserve">Sakhalin:Prod'n deferred due to the scheduled shutdown in August 2025 for the replacement of the gas flare tip at Chayvo and maintenance/replacement activities across all Sakhalin-1 facilities, which commenced on 1st August 2025.
GPOC:Prod'n deferred due to downhole problems.
IEC:Prod'n deferred due to workover and well deviation.
Vankor:Shudown due to optimising the operation under well works and switching over to backup control station for organising activities &amp; surface infrastructure.
</v>
      </c>
    </row>
    <row r="886" spans="2:3" ht="60">
      <c r="B886" s="446">
        <f>DPR!C886</f>
        <v>45894</v>
      </c>
      <c r="C886" s="364" t="str">
        <f>DPR!AJ886</f>
        <v xml:space="preserve">Sakhalin:Prod'n deferred due to the scheduled shutdown in August 2025 for the replacement of the gas flare tip at Chayvo and maintenance/replacement activities across all Sakhalin-1 facilities, which commenced on 1st August 2025.
GPOC:Prod'n deferred due to downhole problems.
</v>
      </c>
    </row>
    <row r="887" spans="2:3" ht="60">
      <c r="B887" s="446">
        <f>DPR!C887</f>
        <v>45895</v>
      </c>
      <c r="C887" s="364" t="str">
        <f>DPR!AJ887</f>
        <v xml:space="preserve">Sakhalin:Prod'n deferred due to the scheduled shutdown in August 2025 for the replacement of the gas flare tip at Chayvo and maintenance/replacement activities across all Sakhalin-1 facilities, which commenced on 1st August 2025.
GPOC:Prod'n deferred due to downhole problems.
</v>
      </c>
    </row>
    <row r="888" spans="2:3" ht="45">
      <c r="B888" s="446">
        <f>DPR!C888</f>
        <v>45896</v>
      </c>
      <c r="C888" s="364" t="str">
        <f>DPR!AJ888</f>
        <v>Sakhalin:Prod'n deferred due to the scheduled shutdown in August 2025 for the replacement of the gas flare tip at Chayvo and maintenance/replacement activities across all Sakhalin-1 facilities, which commenced on 1st August 2025.
GPOC:Prod'n deferred due to downhole problems.</v>
      </c>
    </row>
    <row r="889" spans="2:3" ht="60">
      <c r="B889" s="446">
        <f>DPR!C889</f>
        <v>45897</v>
      </c>
      <c r="C889" s="364" t="str">
        <f>DPR!AJ889</f>
        <v>Sakhalin:Prod'n deferred due to the scheduled shutdown in August 2025 for the replacement of the gas flare tip at Chayvo and maintenance/replacement activities across all Sakhalin-1 facilities, which commenced on 1st August 2025.
Vankor:Reason awaited from the operator.
GPOC:Prod'n deferred due to downhole problems.</v>
      </c>
    </row>
    <row r="890" spans="2:3" ht="60">
      <c r="B890" s="446">
        <f>DPR!C890</f>
        <v>45898</v>
      </c>
      <c r="C890" s="364" t="str">
        <f>DPR!AJ890</f>
        <v>Sakhalin:Prod'n deferred due to the scheduled shutdown in August 2025 for the replacement of the gas flare tip at Chayvo and maintenance/replacement activities across all Sakhalin-1 facilities, which commenced on 1st August 2025.
Vankor:Reason awaited from the operator.
GPOC:Prod'n deferred due to downhole problems.</v>
      </c>
    </row>
    <row r="891" spans="2:3" ht="75">
      <c r="B891" s="446">
        <f>DPR!C891</f>
        <v>45899</v>
      </c>
      <c r="C891" s="364" t="str">
        <f>DPR!AJ891</f>
        <v xml:space="preserve">Sakhalin:Prod'n deferred due to the scheduled shutdown in August 2025 for the replacement of the gas flare tip at Chayvo and maintenance/replacement activities across all Sakhalin-1 facilities, which commenced on 1st August 2025.
Vankor:Reason awaited from the operator.
GPOC:Prod'n deferred due to downhole problems.
</v>
      </c>
    </row>
    <row r="892" spans="2:3" ht="75">
      <c r="B892" s="446">
        <f>DPR!C892</f>
        <v>45900</v>
      </c>
      <c r="C892" s="364" t="str">
        <f>DPR!AJ892</f>
        <v>Sakhalin:Prod'n deferred due to the scheduled shutdown in August 2025 for the replacement of the gas flare tip at Chayvo and maintenance/replacement activities across all Sakhalin-1 facilities, which commenced on 1st August 2025.
Vankor:Reason awaited from the operator.
GPOC:Prod'n deferred due to downhole problems.
ACG:Low prod'n in Central Azeri,Western Azeri &amp; Deepwater Gunashli PDQ platform.</v>
      </c>
    </row>
    <row r="893" spans="2:3" ht="105">
      <c r="B893" s="446">
        <f>DPR!C893</f>
        <v>45901</v>
      </c>
      <c r="C893" s="364" t="str">
        <f>DPR!AJ893</f>
        <v>Sakhalin:Prod'n deferred due to the scheduled shutdown in August 2025 for the replacement of the gas flare tip at Chayvo and maintenance/replacement activities across all Sakhalin-1 facilities, which commenced on 1st August 2025.
Vankor:Reason awaited from the operator.
LZC:Prod'n deferred due to GPF Train-1 maintenance activity.
ACG:Low prod'n in Central Azeri,Western Azeri &amp; Deepwater Gunashli PDQ platform.
GPOC:Prod'n deferred due to downhole problems.
A1-A3:Prod'n deferred due to reduced nomination of CNUOC.</v>
      </c>
    </row>
    <row r="894" spans="2:3" ht="105">
      <c r="B894" s="446">
        <f>DPR!C894</f>
        <v>45902</v>
      </c>
      <c r="C894" s="364" t="str">
        <f>DPR!AJ894</f>
        <v xml:space="preserve">Sakhalin:Prod'n deferred due to the scheduled shutdown for the replacement of the gas flare tip at Chayvo and maintenance activities.
Vankor:Reason awaited from the operator.
LZC:Prod'n deferred due to GPF Train-1 maintenance activity.
A1-A3:Prod'n deferred due to reduced nomination of CNUOC.
BC-10:Prod'n deferred due to ALM 1  train C is offline.
SPOC:Prod'n deferred due to COST (crude oil storage tank) level high. </v>
      </c>
    </row>
    <row r="895" spans="2:3" ht="75">
      <c r="B895" s="446">
        <f>DPR!C895</f>
        <v>45903</v>
      </c>
      <c r="C895" s="364" t="str">
        <f>DPR!AJ895</f>
        <v xml:space="preserve">LZC:Prod'n deferred due to GPF Train-1 maintenance activity.
A1-A3:Prod'n deferred due to reduced nomination of CNUOC.
Vankor:Reason awaited from the operator.
BC-10:Prod'n deferred due to AW-1 well closed in Abalone field.
SPOC:Prod'n deferred due to COST (crude oil storage tank) level high. </v>
      </c>
    </row>
    <row r="896" spans="2:3" ht="90">
      <c r="B896" s="446">
        <f>DPR!C896</f>
        <v>45904</v>
      </c>
      <c r="C896" s="364" t="str">
        <f>DPR!AJ896</f>
        <v xml:space="preserve">Sakhalin-1: Prod'n being ramped up.
LZC:Prod'n deferred due to GPF Train-1 maintenance activity.
A1-A3:Prod'n deferred due to reduced nomination of CNUOC.
Vankor:Reason awaited from the operator.
BC-10:Prod'n deferred due to AW-1 well closed in Abalone field.
SPOC:Prod'n deferred due to COST (crude oil storage tank) level high. </v>
      </c>
    </row>
    <row r="897" spans="2:3" ht="90">
      <c r="B897" s="446">
        <f>DPR!C897</f>
        <v>45905</v>
      </c>
      <c r="C897" s="364" t="str">
        <f>DPR!AJ897</f>
        <v xml:space="preserve">Sakhalin-1: Prod'n being ramped up.
A1-A3:Prod'n deferred due to reduced nomination of CNUOC.
Vankor:Reason awaited from the operator.
BC-10:Prod'n deferred due to AW-1 well closed in Abalone field.
GPOC:Prod'n deferred due to downhole problems.
SPOC:Prod'n deferred due to COST (crude oil storage tank) level high. </v>
      </c>
    </row>
    <row r="898" spans="2:3" ht="90">
      <c r="B898" s="446">
        <f>DPR!C898</f>
        <v>45906</v>
      </c>
      <c r="C898" s="364" t="str">
        <f>DPR!AJ898</f>
        <v xml:space="preserve">Sakhalin-1: Prod'n being ramped up.
A1-A3:Prod'n deferred due to reduced nomination of CNUOC.
Vankor:Reason awaited from the operator.
BC-10:Prod'n deferred due to AW-1 well closed in Abalone field.
GPOC:Prod'n deferred due to downhole problems.
SPOC:Prod'n deferred due to COST (crude oil storage tank) level high. </v>
      </c>
    </row>
    <row r="899" spans="2:3" ht="90">
      <c r="B899" s="446">
        <f>DPR!C899</f>
        <v>45907</v>
      </c>
      <c r="C899" s="364" t="str">
        <f>DPR!AJ899</f>
        <v xml:space="preserve">A1-A3:Prod'n deferred due to reduced nomination of CNUOC.
Sakhalin-1: Prod'n is being ramped up.
Vankor:Reason awaited from the operator.
BC-10:Prod'n deferred due to AW-1 well closed in Abalone field.
GPOC:Prod'n deferred due to downhole problems.
SPOC:Prod'n deferred due to COST (crude oil storage tank) level high. </v>
      </c>
    </row>
    <row r="900" spans="2:3" ht="75">
      <c r="B900" s="446">
        <f>DPR!C900</f>
        <v>45908</v>
      </c>
      <c r="C900" s="364" t="str">
        <f>DPR!AJ900</f>
        <v xml:space="preserve">A1-A3:Prod'n deferred due to reduced nomination of CNUOC.
Sakhalin-1: Prod'n is being ramped up.
BC-10:Prod'n deferred due to AW-1 well closed in Abalone field.
GPOC:Prod'n deferred due to downhole problems.
SPOC:Prod'n deferred due to COST (crude oil storage tank) level high. </v>
      </c>
    </row>
    <row r="901" spans="2:3" ht="45">
      <c r="B901" s="446">
        <f>DPR!C901</f>
        <v>45909</v>
      </c>
      <c r="C901" s="364" t="str">
        <f>DPR!AJ901</f>
        <v>A1-A3:Prod'n deferred due to reduced nomination of CNUOC.
BC-10:Prod'n is being ramped up.
GPOC:Prod'n deferred due to downhole problems.</v>
      </c>
    </row>
    <row r="902" spans="2:3" ht="30">
      <c r="B902" s="446">
        <f>DPR!C902</f>
        <v>45910</v>
      </c>
      <c r="C902" s="364" t="str">
        <f>DPR!AJ902</f>
        <v>A1-A3:Prod'n deferred due to reduced nomination of CNUOC.
GPOC:Prod'n deferred due to downhole problems.</v>
      </c>
    </row>
    <row r="903" spans="2:3" ht="60">
      <c r="B903" s="446">
        <f>DPR!C903</f>
        <v>45911</v>
      </c>
      <c r="C903" s="364" t="str">
        <f>DPR!AJ903</f>
        <v>A1-A3:Prod'n deferred due to reduced nomination of CNUOC.
ACG:Prod'n deferred due to low prod'n in Central Azeri &amp; East Azeri.
GPOC:Prod'n deferred due to downhole problems.
SPOC:Wells shutdown due to suspected leakage at BVS#4 on the 24", 172 Km TJ-WHCC export pipeline.</v>
      </c>
    </row>
    <row r="904" spans="2:3" ht="60">
      <c r="B904" s="446">
        <f>DPR!C904</f>
        <v>45912</v>
      </c>
      <c r="C904" s="364" t="str">
        <f>DPR!AJ904</f>
        <v>A1-A3:Prod'n deferred due to reduced nomination of CNUOC.
ACG:Prod'n deferred due to low prod'n in Central Azeri &amp; East Azeri.
GPOC:Prod'n deferred due to downhole problems.
SPOC:Wells shutdown due to suspected leakage at BVS#4 on the 24", 172 Km TJ-WHCC export pipeline.</v>
      </c>
    </row>
    <row r="905" spans="2:3" ht="60">
      <c r="B905" s="446">
        <f>DPR!C905</f>
        <v>45913</v>
      </c>
      <c r="C905" s="364" t="str">
        <f>DPR!AJ905</f>
        <v>A1-A3:Prod'n deferred due to reduced nomination of CNUOC.
ACG:Prod'n deferred due to low prod'n in Central Azeri &amp; East Azeri.
GPOC:Prod'n deferred due to downhole problems.
SPOC:Wells shutdown due to suspected leakage at BVS#4 on the 24", 172 Km TJ-WHCC export pipeline.</v>
      </c>
    </row>
    <row r="906" spans="2:3" ht="75">
      <c r="B906" s="446">
        <f>DPR!C906</f>
        <v>45914</v>
      </c>
      <c r="C906" s="364" t="str">
        <f>DPR!AJ906</f>
        <v xml:space="preserve">A1-A3:Prod'n deferred due to reduced nomination of CNUOC.
ACG:Prod'n deferred due to low prod'n in Central Azeri &amp; East Azeri.
GPOC:Prod'n deferred due to downhole problems.
SPOC:Wells shutdown due to suspected leakage at BVS#4 on the 24", 172 Km TJ-WHCC export pipeline._x000D_
</v>
      </c>
    </row>
    <row r="907" spans="2:3" ht="60">
      <c r="B907" s="446">
        <f>DPR!C907</f>
        <v>45915</v>
      </c>
      <c r="C907" s="364" t="str">
        <f>DPR!AJ907</f>
        <v>A1-A3:Prod'n deferred due to reduced nomination of CNUOC.
ACG:Prod'n deferred due to low prod'n in Central Azeri &amp; East Azeri.
GPOC:Prod'n deferred due to downhole problems.
SPOC:Wells shutdown due to suspected leakage at BVS#4 on the 24", 172 Km TJ-WHCC export pipeline.</v>
      </c>
    </row>
    <row r="908" spans="2:3" ht="45">
      <c r="B908" s="446">
        <f>DPR!C908</f>
        <v>45916</v>
      </c>
      <c r="C908" s="364" t="str">
        <f>DPR!AJ908</f>
        <v>A1-A3:Prod'n deferred due to reduced nomination of CNUOC.
GPOC:Prod'n deferred due to downhole problems.
IEC:Prod'n deferred due to scheduled maintenance shutdown of APGTP plant at Snezhnoye field.</v>
      </c>
    </row>
    <row r="909" spans="2:3" ht="45">
      <c r="B909" s="446">
        <f>DPR!C909</f>
        <v>45917</v>
      </c>
      <c r="C909" s="364" t="str">
        <f>DPR!AJ909</f>
        <v>A1-A3:Prod'n deferred due to reduced nomination of CNUOC.
GPOC:Prod'n deferred due to downhole problems.
IEC:Prod'n deferred due to scheduled maintenance shutdown of APGTP plant at Snezhnoye field.</v>
      </c>
    </row>
    <row r="910" spans="2:3" ht="60">
      <c r="B910" s="446">
        <f>DPR!C910</f>
        <v>45918</v>
      </c>
      <c r="C910" s="364" t="str">
        <f>DPR!AJ910</f>
        <v>Sakhalin-1:New prod'n data received from the operator.
A1-A3:Prod'n deferred due to reduced nomination of CNUOC.
GPOC:Prod'n deferred due to downhole problems.
IEC:Prod'n deferred due to scheduled maintenance shutdown of APGTP plant at Snezhnoye field.</v>
      </c>
    </row>
    <row r="911" spans="2:3" ht="60">
      <c r="B911" s="446">
        <f>DPR!C911</f>
        <v>45919</v>
      </c>
      <c r="C911" s="364" t="str">
        <f>DPR!AJ911</f>
        <v>A1-A3:Prod'n deferred due to reduced nomination of CNUOC.
GPOC:Prod'n deferred due to downhole problems.
IEC:Prod'n deferred due to scheduled maintenance shutdown of APGTP plant at Snezhnoye field.
SCB: Prod'n deferred due to electrical failure.</v>
      </c>
    </row>
    <row r="912" spans="2:3" ht="60">
      <c r="B912" s="446">
        <f>DPR!C912</f>
        <v>45920</v>
      </c>
      <c r="C912" s="364" t="str">
        <f>DPR!AJ912</f>
        <v xml:space="preserve">A1-A3:Prod'n deferred due to reduced nomination of CNUOC.
GPOC:Prod'n deferred due to downhole problems.
SCB: Prod'n deferred due to electrical failure.
</v>
      </c>
    </row>
    <row r="913" spans="2:3" ht="60">
      <c r="B913" s="446">
        <f>DPR!C913</f>
        <v>45921</v>
      </c>
      <c r="C913" s="364" t="str">
        <f>DPR!AJ913</f>
        <v xml:space="preserve">A1-A3:Prod'n deferred due to reduced nomination of CNUOC.
GPOC:Prod'n deferred due to downhole problems.
SCB: Prod'n deferred due to electrical failure.
</v>
      </c>
    </row>
    <row r="914" spans="2:3" ht="60">
      <c r="B914" s="446">
        <f>DPR!C914</f>
        <v>45922</v>
      </c>
      <c r="C914" s="364" t="str">
        <f>DPR!AJ914</f>
        <v xml:space="preserve">A1-A3:Prod'n deferred due to reduced nomination of CNUOC.
GPOC:Prod'n deferred due to downhole problems.
</v>
      </c>
    </row>
    <row r="915" spans="2:3" ht="60">
      <c r="B915" s="446">
        <f>DPR!C915</f>
        <v>45923</v>
      </c>
      <c r="C915" s="364" t="str">
        <f>DPR!AJ915</f>
        <v>A1-A3:Prod'n deferred due to reduced nomination of CNUOC.
GPOC:Prod'n deferred due to downhole problems.
Vankor:Prod'n deferred due to tie-in of high-pressure water lines and replacement of shut-off valves as part of Pre-FWKF-2 commissioning preparations.</v>
      </c>
    </row>
    <row r="916" spans="2:3" ht="60">
      <c r="B916" s="446">
        <f>DPR!C916</f>
        <v>45924</v>
      </c>
      <c r="C916" s="364" t="str">
        <f>DPR!AJ916</f>
        <v>A1-A3:Prod'n deferred due to reduced nomination of CNUOC.
GPOC:Prod'n deferred due to downhole problems.
Vankor:Prod'n deferred due to tie-in of high-pressure water lines and replacement of shut-off valves as part of Pre-FWKF-2 commissioning preparations.</v>
      </c>
    </row>
    <row r="917" spans="2:3" ht="75">
      <c r="B917" s="446">
        <f>DPR!C917</f>
        <v>45925</v>
      </c>
      <c r="C917" s="364" t="str">
        <f>DPR!AJ917</f>
        <v>A1-A3:Prod'n deferred due to reduced nomination of CNUOC.
GPOC:Prod'n deferred due to downhole problems.
Sakhalin-1:New prod'n data received from the operator.
Vankor:Prod'n deferred due to tie-in of high-pressure water lines and replacement of shut-off valves as part of Pre-FWKF-2 commissioning preparations.</v>
      </c>
    </row>
    <row r="918" spans="2:3" ht="60">
      <c r="B918" s="446">
        <f>DPR!C918</f>
        <v>45926</v>
      </c>
      <c r="C918" s="364" t="str">
        <f>DPR!AJ918</f>
        <v>A1-A3:Prod'n deferred due to reduced nomination of CNUOC.
GPOC:Prod'n deferred due to downhole problems.
Vankor:Prod'n deferred due to tie-in of high-pressure water lines and replacement of shut-off valves as part of Pre-FWKF-2 commissioning preparations.</v>
      </c>
    </row>
    <row r="919" spans="2:3" ht="60">
      <c r="B919" s="446">
        <f>DPR!C919</f>
        <v>45927</v>
      </c>
      <c r="C919" s="364" t="str">
        <f>DPR!AJ919</f>
        <v>A1-A3:Prod'n deferred due to reduced nomination of CNUOC.
GPOC:Prod'n deferred due to downhole problems.
Vankor:Prod'n deferred due to tie-in of high-pressure water lines and replacement of shut-off valves as part of Pre-FWKF-2 commissioning preparations.</v>
      </c>
    </row>
    <row r="920" spans="2:3" ht="60">
      <c r="B920" s="446">
        <f>DPR!C920</f>
        <v>45928</v>
      </c>
      <c r="C920" s="364" t="str">
        <f>DPR!AJ920</f>
        <v>A1-A3:Prod'n deferred due to reduced nomination of CNUOC.
GPOC:Prod'n deferred due to downhole problems.
Vankor:Prod'n deferred due to tie-in of high-pressure water lines and replacement of shut-off valves as part of Pre-FWKF-2 commissioning preparations.</v>
      </c>
    </row>
    <row r="921" spans="2:3" ht="60">
      <c r="B921" s="446">
        <f>DPR!C921</f>
        <v>45929</v>
      </c>
      <c r="C921" s="364" t="str">
        <f>DPR!AJ921</f>
        <v>A1-A3:Prod'n deferred due to reduced nomination of CNUOC.
GPOC:Prod'n deferred due to downhole problems.
Vankor:Prod'n deferred due to tie-in of high-pressure water lines and replacement of shut-off valves as part of Pre-FWKF-2 commissioning preparations.</v>
      </c>
    </row>
    <row r="922" spans="2:3" ht="75">
      <c r="B922" s="446">
        <f>DPR!C922</f>
        <v>45930</v>
      </c>
      <c r="C922" s="364" t="str">
        <f>DPR!AJ922</f>
        <v>A1-A3:Prod'n deferred due to reduced nomination of CNUOC.
Sakhalin-1:Prod'n deferred due to Gas Turbine Generator repair at Chayvo and interval flow testing in OP-17 at Odoptu.
GPOC:Prod'n deferred due to downhole problems.
IEC:Oil production from new well 204 has started from 19.09.2025.
Vankor:Prod'n deferred due to fault in pipeline led to shutdown of 29 wells.</v>
      </c>
    </row>
    <row r="923" spans="2:3" ht="60">
      <c r="B923" s="446">
        <f>DPR!C923</f>
        <v>45931</v>
      </c>
      <c r="C923" s="364" t="str">
        <f>DPR!AJ923</f>
        <v>A1-A3:Prod'n deferred due to reduced nomination of CNUOC.
Sakhalin-1:Prod'n deferred due to Gas Turbine Generator repair at Chayvo and interval flow testing in OP-17 at Odoptu.
GPOC:Prod'n deferred due to downhole problems.
Vankor:Prod'n deferred due to fault in pipeline led to shutdown of 29 wells.</v>
      </c>
    </row>
    <row r="924" spans="2:3" ht="75">
      <c r="B924" s="446">
        <f>DPR!C924</f>
        <v>45932</v>
      </c>
      <c r="C924" s="364" t="str">
        <f>DPR!AJ924</f>
        <v>A1-A3:Prod'n deferred due to reduced nomination of CNUOC.
Sakhalin-1:Prod'n deferred due to Gas Turbine Generator repair at Chayvo and interval flow testing in OP-17 at Odoptu.
GPOC:Prod'n deferred due to downhole problems.
IEC:Oil production from new well 204 has started from 19.09.2025.
Vankor:Prod'n deferred due to fault in pipeline led to shutdown of 29 wells.</v>
      </c>
    </row>
    <row r="925" spans="2:3" ht="75">
      <c r="B925" s="446">
        <f>DPR!C925</f>
        <v>45933</v>
      </c>
      <c r="C925" s="364" t="str">
        <f>DPR!AJ925</f>
        <v>A1-A3:Prod'n deferred due to reduced nomination of CNUOC.
Sakhalin-1:Prod'n deferred due to Gas Turbine Generator repair at Chayvo and interval flow testing in OP-17 at Odoptu.
GPOC:Prod'n deferred due to downhole problems.
IEC:Oil production from new well 204 has started from 19.09.2025.
Vankor:Prod'n deferred due to fault in pipeline led to shutdown of 29 wells.</v>
      </c>
    </row>
    <row r="926" spans="2:3" ht="75">
      <c r="B926" s="446">
        <f>DPR!C926</f>
        <v>45934</v>
      </c>
      <c r="C926" s="364" t="str">
        <f>DPR!AJ926</f>
        <v>A1-A3:Prod'n deferred due to reduced nomination of CNUOC.
Sakhalin-1:Prod'n deferred due to Gas Turbine Generator repair at Chayvo and interval flow testing in OP-17 at Odoptu.
GPOC:Prod'n deferred due to downhole problems.
IEC:Oil production from new well 204 has started from 19.09.2025.
Vankor:Prod'n deferred due to fault in pipeline led to shutdown of 29 wells.</v>
      </c>
    </row>
    <row r="927" spans="2:3" ht="75">
      <c r="B927" s="446">
        <f>DPR!C927</f>
        <v>45935</v>
      </c>
      <c r="C927" s="364" t="str">
        <f>DPR!AJ927</f>
        <v>A1-A3:Prod'n deferred due to reduced nomination of CNUOC.
Sakhalin-1:Prod'n deferred due to Gas Turbine Generator repair at Chayvo and interval flow testing in OP-17 at Odoptu.
GPOC:Prod'n deferred due to downhole problems.
IEC:Oil production from new well 204 has started from 19.09.2025.
Vankor:Prod'n deferred due to fault in pipeline led to shutdown of 29 wells.</v>
      </c>
    </row>
    <row r="928" spans="2:3" ht="75">
      <c r="B928" s="446">
        <f>DPR!C928</f>
        <v>45936</v>
      </c>
      <c r="C928" s="364" t="str">
        <f>DPR!AJ928</f>
        <v>A1-A3:Prod'n deferred due to reduced nomination of CNUOC.
Sakhalin-1:Prod'n deferred due to Gas Turbine Generator repair at Chayvo and interval flow testing in OP-17 at Odoptu.
GPOC:Prod'n deferred due to downhole problems.
IEC:Oil production from new well 204 has started from 19.09.2025.
Vankor:Prod'n deferred due to fault in pipeline led to shutdown of 29 wells.</v>
      </c>
    </row>
    <row r="929" spans="2:3" ht="75">
      <c r="B929" s="446">
        <f>DPR!C929</f>
        <v>45937</v>
      </c>
      <c r="C929" s="364" t="str">
        <f>DPR!AJ929</f>
        <v>A1-A3:Prod'n deferred due to reduced nomination of CNUOC.
Sakhalin-1:Prod'n deferred due to Gas Turbine Generator repair at Chayvo and interval flow testing in OP-17 at Odoptu.
GPOC:Prod'n deferred due to downhole problems.
IEC:Oil production from new well 204 has started from 19.09.2025.
Vankor:Prod'n deferred due to fault in pipeline led to shutdown of 29 wells.</v>
      </c>
    </row>
    <row r="930" spans="2:3" ht="90">
      <c r="B930" s="446">
        <f>DPR!C930</f>
        <v>45938</v>
      </c>
      <c r="C930" s="364" t="str">
        <f>DPR!AJ930</f>
        <v xml:space="preserve">A1-A3:Prod'n deferred due to reduced nomination of CNUOC.
Sakhalin-1:Prod'n deferred due to Gas Turbine Generator repair at Chayvo and interval flow testing in OP-17 at Odoptu.
GPOC:Prod'n deferred due to downhole problems.
IEC:Oil production from new well 204 has started from 19.09.2025.
Vankor:Prod'n deferred due to fault in pipeline led to shutdown of 29 wells._x000D_
</v>
      </c>
    </row>
    <row r="931" spans="2:3" ht="105">
      <c r="B931" s="446">
        <f>DPR!C931</f>
        <v>45939</v>
      </c>
      <c r="C931" s="364" t="str">
        <f>DPR!AJ931</f>
        <v xml:space="preserve">A1-A3:Prod'n deferred due to reduced nomination of CNUOC.
Sakhalin-1:Prod'n deferred due to Gas Turbine Generator repair at Chayvo and interval flow testing in OP-17 at Odoptu.
GPOC:Prod'n deferred due to downhole problems.
IEC:Oil production from new well 204 has started from 19.09.2025.
Vankor:Prod'n deferred due to fault in pipeline led to shutdown of 29 wells._x000D_
_x000D_
</v>
      </c>
    </row>
    <row r="932" spans="2:3" ht="120">
      <c r="B932" s="446">
        <f>DPR!C932</f>
        <v>45940</v>
      </c>
      <c r="C932" s="364" t="str">
        <f>DPR!AJ932</f>
        <v xml:space="preserve">A1-A3:Prod'n deferred due to reduced nomination of CNUOC.
Sakhalin-1:New prod'n data received from the operator.
Sakhalin-1:Prod'n deferred due to Gas Turbine Generator repair at Chayvo and interval flow testing in OP-17 at Odoptu.
GPOC:Prod'n deferred due to downhole problems.
IEC:Oil production from new well 204 has started from 19.09.2025.
Vankor:Prod'n deferred due to fault in pipeline led to shutdown of 29 wells._x000D_
_x000D_
</v>
      </c>
    </row>
    <row r="933" spans="2:3" ht="105">
      <c r="B933" s="446">
        <f>DPR!C933</f>
        <v>45941</v>
      </c>
      <c r="C933" s="364" t="str">
        <f>DPR!AJ933</f>
        <v xml:space="preserve">A1-A3:Prod'n deferred due to reduced nomination of CNUOC.
Sakhalin-1:Prod'n deferred due to Gas Turbine Generator repair at Chayvo and interval flow testing in OP-17 at Odoptu.
GPOC:Prod'n deferred due to downhole problems.
IEC:Oil production from new well 204 has started from 19.09.2025.
Vankor:Prod'n deferred due to fault in pipeline led to shutdown of 29 wells._x000D_
_x000D_
</v>
      </c>
    </row>
    <row r="934" spans="2:3" ht="75">
      <c r="B934" s="446">
        <f>DPR!C934</f>
        <v>45942</v>
      </c>
      <c r="C934" s="364" t="str">
        <f>DPR!AJ934</f>
        <v>A1-A3:Prod'n deferred due to reduced nomination of CNUOC.
Sakhalin-1:Prod'n deferred due to Gas Turbine Generator repair at Chayvo and interval flow testing in OP-17 at Odoptu.
GPOC:Prod'n deferred due to downhole problems.
IEC:Oil production from new well 204 has started from 19.09.2025.
Vankor:Prod'n deferred due to fault in pipeline led to shutdown of 29 wells._x000D_</v>
      </c>
    </row>
    <row r="935" spans="2:3" ht="75">
      <c r="B935" s="446">
        <f>DPR!C935</f>
        <v>45943</v>
      </c>
      <c r="C935" s="364" t="str">
        <f>DPR!AJ935</f>
        <v xml:space="preserve">A1-A3:Prod'n deferred due to shutdown and maintenance.
Sakhalin-1:Prod'n deferred due to Gas Turbine Generator repair at Chayvo and interval flow testing in OP-17 at Odoptu.
GPOC:Prod'n deferred due to downhole problems.
Vankor:Prod'n deferred due to fault in pipeline led to shutdown of 29 wells.
</v>
      </c>
    </row>
    <row r="936" spans="2:3" ht="60">
      <c r="B936" s="446">
        <f>DPR!C936</f>
        <v>45944</v>
      </c>
      <c r="C936" s="364" t="str">
        <f>DPR!AJ936</f>
        <v xml:space="preserve">A1-A3:Prod'n deferred due to planned maintenance shutdown  (13th - 16th October 2025)
Sakhalin-1:Prod'n deferred due to Gas Turbine Generator repair at Chayvo and interval flow testing in OP-17 at Odoptu.
Vankor:Prod'n deferred due to fault in pipeline led to shutdown of 29 wells.
</v>
      </c>
    </row>
    <row r="937" spans="2:3" ht="60">
      <c r="B937" s="446">
        <f>DPR!C937</f>
        <v>45945</v>
      </c>
      <c r="C937" s="364" t="str">
        <f>DPR!AJ937</f>
        <v xml:space="preserve">Sakhalin-1:New prod'n data received from the operator.
A1-A3:Prod'n deferred due to planned maintenance shutdown  (13th - 16th October 2025)
Vankor:Prod'n deferred due to maintenance of electrical equipment.
</v>
      </c>
    </row>
    <row r="938" spans="2:3" ht="45">
      <c r="B938" s="446">
        <f>DPR!C938</f>
        <v>45946</v>
      </c>
      <c r="C938" s="364" t="str">
        <f>DPR!AJ938</f>
        <v xml:space="preserve">A1-A3:Prod'n deferred due to planned maintenance shutdown  (13th - 16th October 2025)
Vankor:Prod'n deferred due to maintenance of electrical equipment.
</v>
      </c>
    </row>
    <row r="939" spans="2:3" ht="45">
      <c r="B939" s="446">
        <f>DPR!C939</f>
        <v>45947</v>
      </c>
      <c r="C939" s="364" t="str">
        <f>DPR!AJ939</f>
        <v xml:space="preserve">A1-A3:Prod'n deferred due to planned maintenance shutdown  (13th - 16th October 2025)
Vankor:Prod'n deferred due to maintenance of electrical equipment.
</v>
      </c>
    </row>
    <row r="940" spans="2:3" ht="45">
      <c r="B940" s="446">
        <f>DPR!C940</f>
        <v>45948</v>
      </c>
      <c r="C940" s="364" t="str">
        <f>DPR!AJ940</f>
        <v xml:space="preserve">A1-A3:Prod'n deferred due to planned maintenance shutdown  (13th - 16th October 2025)
Vankor:Prod'n deferred due to maintenance of electrical equipment.
</v>
      </c>
    </row>
    <row r="941" spans="2:3" ht="60">
      <c r="B941" s="446">
        <f>DPR!C941</f>
        <v>45949</v>
      </c>
      <c r="C941" s="364" t="str">
        <f>DPR!AJ941</f>
        <v xml:space="preserve">A1-A3:Prod'n deferred due to planned maintenance shutdown  (13th - 16th October 2025)
Vankor:Prod'n deferred due to maintenance of electrical equipment.
_x000D_
</v>
      </c>
    </row>
    <row r="942" spans="2:3" ht="60">
      <c r="B942" s="446">
        <f>DPR!C942</f>
        <v>45950</v>
      </c>
      <c r="C942" s="364" t="str">
        <f>DPR!AJ942</f>
        <v xml:space="preserve">Vankor:Prod'n deferred due to maintenance of electrical equipment.
SPOC:Prod'n deferred due to power tripped in TJ wells.
</v>
      </c>
    </row>
    <row r="943" spans="2:3" ht="75">
      <c r="B943" s="446">
        <f>DPR!C943</f>
        <v>45951</v>
      </c>
      <c r="C943" s="364" t="str">
        <f>DPR!AJ943</f>
        <v xml:space="preserve">CPO-5:Prod'n deferred due to well closed and ESP turned off from 23:35 for PBU test well opened 23:50 hrs ESP turned on.
SPOC:Prod'n deferred due to power tripped in TJ wells.
</v>
      </c>
    </row>
    <row r="944" spans="2:3" ht="30">
      <c r="B944" s="446">
        <f>DPR!C944</f>
        <v>45952</v>
      </c>
      <c r="C944" s="364" t="str">
        <f>DPR!AJ944</f>
        <v>Sakhalin-1:New prod'n data received from the operator.
CPO-5:Prod'n deferred due to community blocked.</v>
      </c>
    </row>
    <row r="945" spans="2:3">
      <c r="B945" s="446">
        <f>DPR!C945</f>
        <v>45953</v>
      </c>
      <c r="C945" s="364" t="str">
        <f>DPR!AJ945</f>
        <v>CPO-5:Prod'n deferred due to community blocked.</v>
      </c>
    </row>
    <row r="946" spans="2:3">
      <c r="B946" s="446">
        <f>DPR!C946</f>
        <v>45954</v>
      </c>
      <c r="C946" s="364" t="str">
        <f>DPR!AJ946</f>
        <v>CPO-5:Prod'n deferred due to community blocked.</v>
      </c>
    </row>
    <row r="947" spans="2:3">
      <c r="B947" s="446">
        <f>DPR!C947</f>
        <v>45955</v>
      </c>
      <c r="C947" s="364" t="str">
        <f>DPR!AJ947</f>
        <v>CPO-5:Prod'n deferred due to community blocked.</v>
      </c>
    </row>
    <row r="948" spans="2:3">
      <c r="B948" s="446">
        <f>DPR!C948</f>
        <v>45956</v>
      </c>
      <c r="C948" s="364" t="str">
        <f>DPR!AJ948</f>
        <v>CPO-5:Prod'n deferred due to community blocked.</v>
      </c>
    </row>
    <row r="949" spans="2:3">
      <c r="B949" s="446">
        <f>DPR!C949</f>
        <v>45957</v>
      </c>
      <c r="C949" s="364">
        <f>DPR!AJ949</f>
        <v>0</v>
      </c>
    </row>
    <row r="950" spans="2:3">
      <c r="B950" s="446">
        <f>DPR!C950</f>
        <v>45958</v>
      </c>
      <c r="C950" s="364">
        <f>DPR!AJ950</f>
        <v>0</v>
      </c>
    </row>
    <row r="951" spans="2:3">
      <c r="B951" s="446">
        <f>DPR!C951</f>
        <v>45959</v>
      </c>
      <c r="C951" s="364" t="str">
        <f>DPR!AJ951</f>
        <v>CPO-5:Prod'n deferred due to community blocked.</v>
      </c>
    </row>
    <row r="952" spans="2:3" ht="45">
      <c r="B952" s="446">
        <f>DPR!C952</f>
        <v>45960</v>
      </c>
      <c r="C952" s="364" t="str">
        <f>DPR!AJ952</f>
        <v>CPO-5:Prod'n deferred due to community blocked.
Sakhalin-1:New prod'n data received from the operator.
Sakhalin-1:Flowback from newly drilled well OP-24 in South Well site of Odoptu field has started.</v>
      </c>
    </row>
    <row r="953" spans="2:3" ht="45">
      <c r="B953" s="446">
        <f>DPR!C953</f>
        <v>45961</v>
      </c>
      <c r="C953" s="364" t="str">
        <f>DPR!AJ953</f>
        <v>CPO-5:Prod'n deferred due to community blocked.
Sakhalin-1:New prod'n data received from the operator.
Sakhalin-1:Flowback from newly drilled well OP-24 in South Well site of Odoptu field has started.</v>
      </c>
    </row>
    <row r="954" spans="2:3" ht="45">
      <c r="B954" s="446">
        <f>DPR!C954</f>
        <v>45962</v>
      </c>
      <c r="C954" s="364" t="str">
        <f>DPR!AJ954</f>
        <v>CPO-5:Prod'n down due to community blockade.
Sakhalin-1:New prod'n data received from the operator.
Sakhalin-1:Flowback from newly drilled well OP-24 in South Well site of Odoptu field has started.</v>
      </c>
    </row>
    <row r="955" spans="2:3" ht="30">
      <c r="B955" s="446">
        <f>DPR!C955</f>
        <v>45963</v>
      </c>
      <c r="C955" s="364" t="str">
        <f>DPR!AJ955</f>
        <v>CPO-5:Prod'n down due to community blockade.
Sakhalin-1:Flowback from newly drilled well OP-24 in South Well site of Odoptu field has started.</v>
      </c>
    </row>
    <row r="956" spans="2:3" ht="60">
      <c r="B956" s="446">
        <f>DPR!C956</f>
        <v>45964</v>
      </c>
      <c r="C956" s="364" t="str">
        <f>DPR!AJ956</f>
        <v>CPO-5:Prod'n down due to community blockade.
Sakhalin-1:Flowback from newly drilled well OP-24 in South Well site of Odoptu field has started.
SPOC:Prod'n deferred due to Central Power Plant blackout.
BC-10:Shutdown planned from 10th October for turnaround campaign.</v>
      </c>
    </row>
    <row r="957" spans="2:3" ht="45">
      <c r="B957" s="446">
        <f>DPR!C957</f>
        <v>45965</v>
      </c>
      <c r="C957" s="364" t="str">
        <f>DPR!AJ957</f>
        <v>CPO-5:Prod'n down due to community blockade.
Sakhalin-1:Flowback from newly drilled well OP-24 in South Well site of Odoptu field has started.
BC-10:Shutdown planned from 10th November for turnaround campaign.</v>
      </c>
    </row>
    <row r="958" spans="2:3" ht="45">
      <c r="B958" s="446">
        <f>DPR!C958</f>
        <v>45966</v>
      </c>
      <c r="C958" s="364" t="str">
        <f>DPR!AJ958</f>
        <v>CPO-5:Prod'n down due to community blockade.
Sakhalin-1:New prod'n data received from the operator.
BC-10:Shutdown planned from 10th November for turnaround campaign.</v>
      </c>
    </row>
    <row r="959" spans="2:3" ht="45">
      <c r="B959" s="446">
        <f>DPR!C959</f>
        <v>45967</v>
      </c>
      <c r="C959" s="364" t="str">
        <f>DPR!AJ959</f>
        <v>CPO-5:Prod'n down due to community blockade.
GPOC:Prod'n deferred due to downhole problems.
BC-10:Shutdown planned from 10th November for turnaround campaign.</v>
      </c>
    </row>
    <row r="960" spans="2:3" ht="45">
      <c r="B960" s="446">
        <f>DPR!C960</f>
        <v>45968</v>
      </c>
      <c r="C960" s="364" t="str">
        <f>DPR!AJ960</f>
        <v>CPO-5:Prod'n being ramped up.
GPOC:Prod'n deferred due to downhole problems.
BC-10:Shutdown planned from 10th November for turnaround campaign.</v>
      </c>
    </row>
    <row r="961" spans="2:3" ht="30">
      <c r="B961" s="446">
        <f>DPR!C961</f>
        <v>45969</v>
      </c>
      <c r="C961" s="364" t="str">
        <f>DPR!AJ961</f>
        <v>GPOC:Prod'n deferred due to downhole problems.
BC-10:Shutdown planned from 10th November for turnaround campaign.</v>
      </c>
    </row>
    <row r="962" spans="2:3" ht="45">
      <c r="B962" s="446">
        <f>DPR!C962</f>
        <v>45970</v>
      </c>
      <c r="C962" s="364" t="str">
        <f>DPR!AJ962</f>
        <v>GPOC:Prod'n deferred due to downhole problems.
BC-10:Shutdown planned from 10th November for turnaround campaign.
LZC:Prod'n reduced due to planned maintenance activity.</v>
      </c>
    </row>
    <row r="963" spans="2:3" ht="60">
      <c r="B963" s="446">
        <f>DPR!C963</f>
        <v>45971</v>
      </c>
      <c r="C963" s="364" t="str">
        <f>DPR!AJ963</f>
        <v>GPOC:Prod'n deferred due to downhole problems.
BC-10:Shutdown planned from 10th November for turnaround campaign.
Vankor:Prod'n deferred due to repair of defective sections of oil gathering pipeline.
SCB:Prod'n deferred due to high water level in storage tank, can't fiscalize volume.</v>
      </c>
    </row>
    <row r="964" spans="2:3" ht="45">
      <c r="B964" s="446">
        <f>DPR!C964</f>
        <v>45972</v>
      </c>
      <c r="C964" s="364" t="str">
        <f>DPR!AJ964</f>
        <v>GPOC:Prod'n deferred due to downhole problems.
SPOC:7,500 bbl transfer to Tharjiath COST tank level.
Vankor:Prod'n deferred due to repair of defective sections of oil gathering pipeline.</v>
      </c>
    </row>
    <row r="965" spans="2:3" ht="45">
      <c r="B965" s="446">
        <f>DPR!C965</f>
        <v>45973</v>
      </c>
      <c r="C965" s="364" t="str">
        <f>DPR!AJ965</f>
        <v>Sakhalin-1:New prod'n data received from the operator.
GPOC:Prod'n deferred due to downhole problems.
Vankor:Prod'n deferred due to repair of defective sections of oil gathering pipeline.</v>
      </c>
    </row>
    <row r="966" spans="2:3" ht="30">
      <c r="B966" s="446">
        <f>DPR!C966</f>
        <v>45974</v>
      </c>
      <c r="C966" s="364" t="str">
        <f>DPR!AJ966</f>
        <v>GPOC:Prod'n deferred due to security concerns.
Vankor:Prod'n deferred due to repair of defective sections of oil gathering pipeline.</v>
      </c>
    </row>
    <row r="967" spans="2:3" ht="30">
      <c r="B967" s="446">
        <f>DPR!C967</f>
        <v>45975</v>
      </c>
      <c r="C967" s="364" t="str">
        <f>DPR!AJ967</f>
        <v>GPOC:Prod'n deferred due to security concerns.
Vankor:Prod'n deferred due to repair of defective sections of oil gathering pipeline.</v>
      </c>
    </row>
    <row r="968" spans="2:3" ht="30">
      <c r="B968" s="446">
        <f>DPR!C968</f>
        <v>45976</v>
      </c>
      <c r="C968" s="364" t="str">
        <f>DPR!AJ968</f>
        <v>GPOC:Prod'n deferred due to security concerns.
Vankor:Prod'n deferred due to repair of defective sections of oil gathering pipeline.</v>
      </c>
    </row>
    <row r="969" spans="2:3" ht="30">
      <c r="B969" s="446">
        <f>DPR!C969</f>
        <v>45977</v>
      </c>
      <c r="C969" s="364" t="str">
        <f>DPR!AJ969</f>
        <v>GPOC:Prod'n deferred due to security concerns.
Vankor:Prod'n deferred due to repair of defective sections of oil gathering pipeline.</v>
      </c>
    </row>
    <row r="970" spans="2:3" ht="75">
      <c r="B970" s="446">
        <f>DPR!C970</f>
        <v>45978</v>
      </c>
      <c r="C970" s="364" t="str">
        <f>DPR!AJ970</f>
        <v>GPOC:Prod'n deferred due to security concerns.
BC-10:ALM-1 Train-C, AW1 Abalone, ALM-2 Train-B and ALM-3 Train-A are offline (Planned Shutdown Preparations)
SPOC:Prod'n deferred due to cable replacement pending for VSD motor connectivity.
Vankor:Prod'n deferred due to repair of defective sections of oil gathering pipeline.
LZC:Prod'n deferred due to LNG flaring (Das) &amp; ZW plant upset.</v>
      </c>
    </row>
    <row r="971" spans="2:3" ht="45">
      <c r="B971" s="446">
        <f>DPR!C971</f>
        <v>45979</v>
      </c>
      <c r="C971" s="364" t="str">
        <f>DPR!AJ971</f>
        <v>GPOC:Prod'n deferred due to security concerns.
BC-10:ALM-1 Train-C, AW1 Abalone, ALM-2 Train-B and ALM-3 Train-A are offline (Planned Shutdown Preparations)
Vankor:Prod'n deferred due to repair of defective sections of oil gathering pipeline.</v>
      </c>
    </row>
    <row r="972" spans="2:3" ht="45">
      <c r="B972" s="446">
        <f>DPR!C972</f>
        <v>45980</v>
      </c>
      <c r="C972" s="364" t="str">
        <f>DPR!AJ972</f>
        <v>GPOC:Prod'n deferred due to security concerns.
BC-10:ALM-1 Train-C, AW1 Abalone, ALM-2 Train-B and ALM-3 Train-A are offline (Planned Shutdown Preparations)
Vankor:Prod'n deferred due to repair of defective sections of oil gathering pipeline.</v>
      </c>
    </row>
    <row r="973" spans="2:3" ht="60">
      <c r="B973" s="446">
        <f>DPR!C973</f>
        <v>45981</v>
      </c>
      <c r="C973" s="364" t="str">
        <f>DPR!AJ973</f>
        <v>Sakhalin-1:New prod'n data received from the operator.
GPOC:Prod'n deferred due to security concerns.
BC-10:ALM-1 Train-C, AW1 Abalone, ALM-2 Train-B and ALM-3 Train-A are offline (Planned Shutdown Preparations)
Vankor:Prod'n deferred due to repair of defective sections of oil gathering pipeline.</v>
      </c>
    </row>
    <row r="974" spans="2:3" ht="30">
      <c r="B974" s="446">
        <f>DPR!C974</f>
        <v>45982</v>
      </c>
      <c r="C974" s="364" t="str">
        <f>DPR!AJ974</f>
        <v>BC-10:ALM-1 Train-C, AW1 Abalone, ALM-2 Train-B and ALM-3 Train-A are offline (Planned Shutdown Preparations)
Vankor:Prod'n deferred due to repair of defective sections of oil gathering pipeline.</v>
      </c>
    </row>
    <row r="975" spans="2:3" ht="30">
      <c r="B975" s="446">
        <f>DPR!C975</f>
        <v>45983</v>
      </c>
      <c r="C975" s="364" t="str">
        <f>DPR!AJ975</f>
        <v>BC-10:ALM-1 Train-C, AW1 Abalone, ALM-2 Train-B and ALM-3 Train-A are offline (Planned Shutdown Preparations)
Vankor:Prod'n deferred due to repair of defective sections of oil gathering pipeline.</v>
      </c>
    </row>
    <row r="976" spans="2:3" ht="30">
      <c r="B976" s="446">
        <f>DPR!C976</f>
        <v>45984</v>
      </c>
      <c r="C976" s="364" t="str">
        <f>DPR!AJ976</f>
        <v>BC-10:ALM-1 Train-C, AW1 Abalone, ALM-2 Train-B and ALM-3 Train-A are offline (Planned Shutdown Preparations)
Vankor:Prod'n deferred due to repair of defective sections of oil gathering pipeline.</v>
      </c>
    </row>
    <row r="977" spans="2:3" ht="75">
      <c r="B977" s="446">
        <f>DPR!C977</f>
        <v>45985</v>
      </c>
      <c r="C977" s="364" t="str">
        <f>DPR!AJ977</f>
        <v xml:space="preserve">BC-10:ALM-1 Train-C, AW1 Abalone, ALM-2 Train-B and ALM-3 Train-A are offline (Planned Shutdown Preparations)
Vankor:Prod'n deferred due to repair of defective sections of oil gathering pipeline.
A1-A3:Prod'n deferred due to reduced nomination of CNUOC.
</v>
      </c>
    </row>
    <row r="978" spans="2:3" ht="90">
      <c r="B978" s="446">
        <f>DPR!C978</f>
        <v>45986</v>
      </c>
      <c r="C978" s="364" t="str">
        <f>DPR!AJ978</f>
        <v xml:space="preserve">BC-10:Planned shutdown till 16th of December 2025.
Vankor:Prod'n deferred due to repair of defective sections of oil gathering pipeline.
GPOC:Prod'n deferred due to power tripped.
A1-A3:Prod'n deferred due to reduced nomination of CNUOC.
</v>
      </c>
    </row>
    <row r="979" spans="2:3" ht="90">
      <c r="B979" s="446">
        <f>DPR!C979</f>
        <v>45987</v>
      </c>
      <c r="C979" s="364" t="str">
        <f>DPR!AJ979</f>
        <v xml:space="preserve">BC-10:Full shutdown until 14 December. Prod'n ramp-up from 14 to 21 December 2025.
Vankor:Prod'n deferred due to repair of defective sections of oil gathering pipeline.
GPOC:Prod'n deferred due to power tripped.
A1-A3:Prod'n deferred due to reduced nomination of CNUOC.
</v>
      </c>
    </row>
    <row r="980" spans="2:3" ht="105">
      <c r="B980" s="446">
        <f>DPR!C980</f>
        <v>45988</v>
      </c>
      <c r="C980" s="364" t="str">
        <f>DPR!AJ980</f>
        <v>Sakhalin-1:New prod'n data received from the operator.
Sakhalin-1:Prod'n defferred due to ongoing maintenance activities in Gas Injection Compressor in Chayvo.
BC-10:Full shutdown until 14 December. Prod'n ramp-up from 14 to 21 December 2025.
Vankor:Prod'n deferred due to repair of defective sections of oil gathering pipeline.Repair stages include shutdown of 27 wells. 
GPOC:Prod'n deferred due to power tripped.
A1-A3:Prod'n deferred due to reduced nomination of CNUOC.</v>
      </c>
    </row>
    <row r="981" spans="2:3" ht="75">
      <c r="B981" s="446">
        <f>DPR!C981</f>
        <v>45989</v>
      </c>
      <c r="C981" s="364" t="str">
        <f>DPR!AJ981</f>
        <v>Sakhalin-1:Prod'n defferred due to ongoing maintenance activities in Gas Injection Compressor in Chayvo.
BC-10:Full shutdown until 14 December. Prod'n ramp-up from 14 to 21 December 2025.
Vankor:Prod'n deferred due to repair of defective sections of oil gathering pipeline.Repair stages include shutdown of 27 wells. 
A1-A3:Prod'n deferred due to reduced nomination of CNUOC.</v>
      </c>
    </row>
    <row r="982" spans="2:3" ht="75">
      <c r="B982" s="446">
        <f>DPR!C982</f>
        <v>45990</v>
      </c>
      <c r="C982" s="364" t="str">
        <f>DPR!AJ982</f>
        <v>Sakhalin-1:Prod'n defferred due to ongoing maintenance activities in Gas Injection Compressor in Chayvo.
BC-10:Full shutdown until 14 December. Prod'n ramp-up from 14 to 21 December 2025.
Vankor:Prod'n deferred due to repair of defective sections of oil gathering pipeline.Repair stages include shutdown of 27 wells. 
A1-A3:Prod'n deferred due to reduced nomination of CNUOC.</v>
      </c>
    </row>
    <row r="983" spans="2:3" ht="75">
      <c r="B983" s="446">
        <f>DPR!C983</f>
        <v>45991</v>
      </c>
      <c r="C983" s="364" t="str">
        <f>DPR!AJ983</f>
        <v>Sakhalin-1:Prod'n defferred due to ongoing maintenance activities in Gas Injection Compressor in Chayvo.
BC-10:Full shutdown until 14 December. Prod'n ramp-up from 14 to 21 December 2025.
Vankor:Prod'n deferred due to repair of defective sections of oil gathering pipeline.Repair stages include shutdown of 27 wells. 
A1-A3:Prod'n deferred due to reduced nomination of CNUOC.</v>
      </c>
    </row>
    <row r="984" spans="2:3" ht="75">
      <c r="B984" s="446">
        <f>DPR!C984</f>
        <v>45992</v>
      </c>
      <c r="C984" s="364" t="str">
        <f>DPR!AJ984</f>
        <v>Sakhalin-1:Prod'n defferred due to ongoing maintenance activities in Gas Injection Compressor in Chayvo.
BC-10:Full shutdown until 14 December. Prod'n ramp-up from 14 to 21 December 2025.
Vankor:Prod'n deferred due to repair of defective sections of oil gathering pipeline.Repair stages include shutdown of 27 wells. 
A1-A3:Prod'n deferred due to reduced nomination of CNUOC.</v>
      </c>
    </row>
    <row r="985" spans="2:3" ht="90">
      <c r="B985" s="446">
        <f>DPR!C985</f>
        <v>45993</v>
      </c>
      <c r="C985" s="364" t="str">
        <f>DPR!AJ985</f>
        <v>Sakhalin-1:New prod'n data received from the operator.
Sakhalin-1:Prod'n defferred due to ongoing maintenance activities in Gas Injection Compressor in Chayvo.
BC-10:Full shutdown until 14 December. Prod'n ramp-up from 14 to 21 December 2025.
Vankor:Prod'n deferred due to repair of defective sections of oil gathering pipeline.Repair stages include shutdown of 27 wells. 
A1-A3:Prod'n deferred due to reduced nomination of CNUOC.</v>
      </c>
    </row>
    <row r="986" spans="2:3" ht="105">
      <c r="B986" s="446">
        <f>DPR!C986</f>
        <v>45994</v>
      </c>
      <c r="C986" s="364" t="str">
        <f>DPR!AJ986</f>
        <v>Sakhalin-1:Prod'n defferred due to ongoing maintenance activities in Gas Injection Compressor in Chayvo.
BC-10:Full shutdown until 14 December. Prod'n ramp-up from 14 to 21 December 2025.
Vankor:Prod'n deferred due to repair of defective sections of oil gathering pipeline.Repair stages include shutdown of 27 wells. 
A1-A3:Prod'n deferred due to reduced nomination of CNUOC.
SCB:Prod'n deferred due to high water level in storage tank, can't fiscalize volume.
SPOC:Prod'n deferred due to Central Power Plant blackout.</v>
      </c>
    </row>
    <row r="987" spans="2:3" ht="90">
      <c r="B987" s="446">
        <f>DPR!C987</f>
        <v>45995</v>
      </c>
      <c r="C987" s="364" t="str">
        <f>DPR!AJ987</f>
        <v>Sakhalin-1:Prod'n defferred due to ongoing maintenance activities in Gas Injection Compressor in Chayvo.
BC-10:Full shutdown until 14 December. Prod'n ramp-up from 14 to 21 December 2025.
Vankor:Prod'n deferred due to repair of defective sections of oil gathering pipeline.Repair stages include shutdown of 27 wells. 
A1-A3:Prod'n deferred due to reduced nomination of CNUOC.
SPOC:Prod'n deferred due to Central Power Plant blackout.</v>
      </c>
    </row>
    <row r="988" spans="2:3" ht="90">
      <c r="B988" s="446">
        <f>DPR!C988</f>
        <v>45996</v>
      </c>
      <c r="C988" s="364" t="str">
        <f>DPR!AJ988</f>
        <v xml:space="preserve">Sakhalin-1:Prod'n defferred due to ongoing maintenance activities in Gas Injection Compressor in Chayvo.
BC-10:Full shutdown until 14 December. Prod'n ramp-up from 14 to 21 December 2025.
Vankor:Prod'n deferred due to repair of defective sections of oil gathering pipeline.Repair stages include shutdown of 27 wells. 
A1-A3:Prod'n deferred due to reduced nomination of CNUOC.
</v>
      </c>
    </row>
    <row r="989" spans="2:3" ht="90">
      <c r="B989" s="446">
        <f>DPR!C989</f>
        <v>45997</v>
      </c>
      <c r="C989" s="364" t="str">
        <f>DPR!AJ989</f>
        <v>Sakhalin-1:Prod'n defferred due to ongoing maintenance activities in Gas Injection Compressor in Chayvo.
BC-10:Full shutdown until 14 December. Prod'n ramp-up from 14 to 21 December 2025.
Vankor:Prod'n deferred due to repair of defective sections of oil gathering pipeline.Repair stages include shutdown of 27 wells. 
A1-A3:Prod'n deferred due to reduced nomination of CNUOC.
SPOC:Prod'n deferred due to Central Power Plant blackout.</v>
      </c>
    </row>
    <row r="990" spans="2:3" ht="90">
      <c r="B990" s="446">
        <f>DPR!C990</f>
        <v>45998</v>
      </c>
      <c r="C990" s="364" t="str">
        <f>DPR!AJ990</f>
        <v xml:space="preserve">Sakhalin-1:Prod'n defferred due to ongoing maintenance activities in Gas Injection Compressor in Chayvo.
BC-10:Full shutdown until 14 December. Prod'n ramp-up from 14 to 21 December 2025.
Vankor:Prod'n deferred due to repair of defective sections of oil gathering pipeline.Repair stages include shutdown of 27 wells. 
A1-A3:Prod'n deferred due to reduced nomination of CNUOC.
</v>
      </c>
    </row>
    <row r="991" spans="2:3" ht="90">
      <c r="B991" s="446">
        <f>DPR!C991</f>
        <v>45999</v>
      </c>
      <c r="C991" s="364" t="str">
        <f>DPR!AJ991</f>
        <v xml:space="preserve">Sakhalin-1:Prod'n defferred due to ongoing maintenance activities in Gas Injection Compressor in Chayvo.
BC-10:Full shutdown until 14 December. Prod'n ramp-up from 14 to 21 December 2025.
Vankor:Prod'n deferred due to failure of oil-gathering pipeline, repair work requires shutdown of 59 wells.
A1-A3:Prod'n deferred due to reduced nomination of CNUOC.
LZC:Prod'n reduced due to planned maintenance activity.
</v>
      </c>
    </row>
    <row r="992" spans="2:3" ht="75">
      <c r="B992" s="446">
        <f>DPR!C992</f>
        <v>46000</v>
      </c>
      <c r="C992" s="364" t="str">
        <f>DPR!AJ992</f>
        <v>Sakhalin-1:Prod'n defferred due to ongoing maintenance activities in Gas Injection Compressor in Chayvo.
BC-10:Full shutdown until 14 December. Prod'n ramp-up from 14 to 21 December 2025.
Vankor:Prod'n deferred due to failure of oil-gathering pipeline, repair work requires shutdown of 59 wells.
SPOC:Prod'n deferred due to Central Power Plant blackout.
LZC:Prod'n reduced due to planned maintenance activity.</v>
      </c>
    </row>
    <row r="993" spans="2:3" ht="105">
      <c r="B993" s="446">
        <f>DPR!C993</f>
        <v>46001</v>
      </c>
      <c r="C993" s="364" t="str">
        <f>DPR!AJ993</f>
        <v>Sakhalin-1:Prod'n defferred due to ongoing maintenance activities in Gas Injection Compressor in Chayvo.
BC-10:Full shutdown until 14 Dec. Prod'n ramp-up from 14 to 21 Dec 2025.
Vankor:Prod'n deferred due to failure of oil-gathering pipeline.
SPOC:Prod'n deferred due to Central Power Plant blackout.
LZC:Prod'n reduced due to planned maintenance activity.
GPOC:Export of crude oil was halted due to security concerns &amp; diverted to local Crude Oil Storage Tanks. Reconciled production &amp; DPR are unavailable.</v>
      </c>
    </row>
    <row r="994" spans="2:3" ht="105">
      <c r="B994" s="446">
        <f>DPR!C994</f>
        <v>46002</v>
      </c>
      <c r="C994" s="364" t="str">
        <f>DPR!AJ994</f>
        <v>Sakhalin-1:Prod'n defferred due to ongoing maintenance activities in Gas Injection Compressor in Chayvo.
BC-10:Full shutdown until 14 Dec. Prod'n ramp-up from 14 to 21 Dec 2025.
Vankor:Prod'n deferred due to failure of oil-gathering pipeline.
SPOC:Prod'n deferred due to Central Power Plant blackout.
LZC:Prod'n reduced due to planned maintenance activity.
GPOC:Export of crude oil was halted due to security concerns &amp; diverted to local Crude Oil Storage Tanks. Reconciled production &amp; DPR are unavailable.</v>
      </c>
    </row>
    <row r="995" spans="2:3" ht="90">
      <c r="B995" s="446">
        <f>DPR!C995</f>
        <v>46003</v>
      </c>
      <c r="C995" s="364" t="str">
        <f>DPR!AJ995</f>
        <v>Sakhalin-1:Prod'n defferred due to ongoing maintenance activities in Gas Injection Compressor in Chayvo.
BC-10:Full shutdown until 14 Dec. Prod'n ramp-up from 14 to 21 Dec 2025.
Vankor:Prod'n deferred due to failure of oil-gathering pipeline.
SPOC:Prod'n deferred due to force majeure.
GPOC:Export of crude oil was halted due to security concerns &amp; diverted to local Crude Oil Storage Tanks. Reconciled production &amp; DPR are unavailable.</v>
      </c>
    </row>
    <row r="996" spans="2:3" ht="90">
      <c r="B996" s="446">
        <f>DPR!C996</f>
        <v>46004</v>
      </c>
      <c r="C996" s="364" t="str">
        <f>DPR!AJ996</f>
        <v>Sakhalin-1:Prod'n defferred due to ongoing maintenance activities in Gas Injection Compressor in Chayvo.
BC-10:Full shutdown until 14 Dec. Prod'n ramp-up from 14 to 21 Dec 2025.
Vankor:Prod'n deferred due to failure of oil-gathering pipeline.
SPOC:Prod'n deferred due to force majeure.
GPOC:Export of crude oil was halted due to security concerns &amp; diverted to local Crude Oil Storage Tanks. Reconciled production &amp; DPR are unavailable.</v>
      </c>
    </row>
    <row r="997" spans="2:3" ht="90">
      <c r="B997" s="446">
        <f>DPR!C997</f>
        <v>46005</v>
      </c>
      <c r="C997" s="364" t="str">
        <f>DPR!AJ997</f>
        <v>Sakhalin-1:Prod'n defferred due to ongoing maintenance activities in Gas Injection Compressor in Chayvo.
BC-10:Full shutdown until 14 Dec. Prod'n ramp-up from 14 to 21 Dec 2025.
Vankor:Prod'n deferred due to failure of oil-gathering pipeline.
SPOC:Prod'n deferred due to force majeure.
GPOC:Export of crude oil was halted due to security concerns &amp; diverted to local Crude Oil Storage Tanks. Reconciled production &amp; DPR are unavailable.</v>
      </c>
    </row>
    <row r="998" spans="2:3" ht="90">
      <c r="B998" s="446">
        <f>DPR!C998</f>
        <v>46006</v>
      </c>
      <c r="C998" s="364" t="str">
        <f>DPR!AJ998</f>
        <v>Sakhalin-1:Prod'n defferred due to ongoing maintenance activities in Gas Injection Compressor in Chayvo.
BC-10:Full shutdown until 14 Dec. Prod'n ramp-up from 16 to 29 Dec 2025.
Vankor:Prod'n deferred due to failure of oil-gathering pipeline.
SPOC:Prod'n deferred due to force majeure.
GPOC:Export of crude oil was halted due to security concerns &amp; diverted to local Crude Oil Storage Tanks. Reconciled production &amp; DPR are unavailable.</v>
      </c>
    </row>
    <row r="999" spans="2:3" ht="105">
      <c r="B999" s="446">
        <f>DPR!C999</f>
        <v>46007</v>
      </c>
      <c r="C999" s="364" t="str">
        <f>DPR!AJ999</f>
        <v>Sakhalin-1:Prod'n defferred due to ongoing maintenance activities in Gas Injection Compressor in Chayvo.
BC-10:Full shutdown until 14 Dec. Prod'n ramp-up from 16 to 31 Dec 2025.
Vankor:Prod'n deferred due to failure of oil-gathering pipeline.
SPOC:Prod'n deferred due to force majeure.
LZC:Prod’n deferred due to closure of Das Port for berthing caused by adverse weather.
GPOC:Reconciled production figures and DPRs are currently unavailable. Production has been deferred due to force majeure.</v>
      </c>
    </row>
    <row r="1000" spans="2:3" ht="150">
      <c r="B1000" s="446">
        <f>DPR!C1000</f>
        <v>46008</v>
      </c>
      <c r="C1000" s="364" t="str">
        <f>DPR!AJ1000</f>
        <v>Sakhalin-1:New prod'n data received from the operator.
Sakhalin-1:Prod'n defferred due to ongoing maintenance activities in Gas Injection Compressor in Chayvo.
PCB:The production report is unavailable due to a cyberattack affecting the system.
SCB:The production report is unavailable due to a cyberattack affecting the system.
BC-10:Prod'n ramp-up is ongoing from 16 to 31 Dec 2025.
Vankor:Prod'n deferred due to failure of oil-gathering pipeline.
SPOC:Prod'n deferred due to force majeure.
LZC:Prod’n deferred due to closure of Das Port for berthing caused by adverse weather.
GPOC:Reconciled production figures and DPRs are currently unavailable. Production has been deferred due to force majeure.</v>
      </c>
    </row>
    <row r="1001" spans="2:3">
      <c r="B1001" s="446" t="e">
        <f>DPR!#REF!</f>
        <v>#REF!</v>
      </c>
      <c r="C1001" s="364" t="str">
        <f>DPR!AI1001</f>
        <v>Prev. day data for GPOC</v>
      </c>
    </row>
    <row r="1002" spans="2:3" ht="90">
      <c r="B1002" s="446">
        <f>DPR!C1002</f>
        <v>46010</v>
      </c>
      <c r="C1002" s="364" t="str">
        <f>DPR!AJ1002</f>
        <v>Sakhalin-1:Prod'n defferred due to ongoing maintenance activities in Gas Injection Compressor in Chayvo.
PCB &amp; SCB:DPR is unavailable due to a cyberattack affecting the system.
BC-10:Prod'n ramp-up is ongoing from 16 to 31 Dec 2025. MECL:Prod'n deferred due to efficiency issues (stabilization after service,gas interference), ongoing and waiting well services.
Vankor:Prod'n deferred due to failure of oil-gathering pipeline.
SPOC &amp; GPOC:Prod'n figures are currently unavailable due to force majeure.</v>
      </c>
    </row>
    <row r="1003" spans="2:3" ht="90">
      <c r="B1003" s="446">
        <f>DPR!C1003</f>
        <v>46011</v>
      </c>
      <c r="C1003" s="364" t="str">
        <f>DPR!AJ1003</f>
        <v>Sakhalin-1:Prod'n defferred due to ongoing maintenance activities in Gas Injection Compressor in Chayvo.
PCB &amp; SCB:DPR is unavailable due to a cyberattack affecting the system.
BC-10:Prod'n ramp-up is ongoing from 16 to 31 Dec 2025. MECL:Prod'n deferred due to efficiency issues (stabilization after service,gas interference), ongoing and waiting well services.
Vankor:Prod'n deferred due to failure of oil-gathering pipeline.
SPOC &amp; GPOC:Prod'n figures are currently unavailable due to force majeure.</v>
      </c>
    </row>
    <row r="1004" spans="2:3" ht="75">
      <c r="B1004" s="446">
        <f>DPR!C1004</f>
        <v>46012</v>
      </c>
      <c r="C1004" s="364" t="str">
        <f>DPR!AJ1004</f>
        <v>Sakhalin-1:Prod'n defferred due to ongoing maintenance activities in Gas Injection Compressor in Chayvo.
PCB &amp; SCB:DPR is unavailable due to a cyberattack affecting the system.
BC-10:Prod'n ramp-up is ongoing from 16 to 31 Dec 2025. 
SPOC &amp; GPOC:Prod'n figures are currently unavailable due to force majeure.
LZC:Reason awaited from operator.</v>
      </c>
    </row>
    <row r="1005" spans="2:3" ht="75">
      <c r="B1005" s="446">
        <f>DPR!C1005</f>
        <v>46013</v>
      </c>
      <c r="C1005" s="364" t="str">
        <f>DPR!AJ1005</f>
        <v>Sakhalin-1:Prod'n defferred due to ongoing maintenance activities in Gas Injection Compressor in Chayvo.
PCB &amp; SCB:DPR is unavailable due to a cyberattack affecting the system.
BC-10:Prod'n ramp-up is ongoing from 16 to 31 Dec 2025. 
SPOC &amp; GPOC:Prod'n figures are currently unavailable due to force majeure.
LZC:Reason awaited from operator.</v>
      </c>
    </row>
    <row r="1006" spans="2:3" ht="60">
      <c r="B1006" s="446">
        <f>DPR!C1006</f>
        <v>46014</v>
      </c>
      <c r="C1006" s="364" t="str">
        <f>DPR!AJ1006</f>
        <v>Sakhalin-1:Prod'n defferred due to ongoing maintenance activities in Gas Injection Compressor in Chayvo.
PCB &amp; SCB:DPR is unavailable due to a cyberattack affecting the system.
BC-10:Prod'n ramp-up is ongoing from 16 to 31 Dec 2025. 
SPOC &amp; GPOC:Prod'n figures are currently unavailable due to force majeure.</v>
      </c>
    </row>
    <row r="1007" spans="2:3" ht="60">
      <c r="B1007" s="446">
        <f>DPR!C1007</f>
        <v>46015</v>
      </c>
      <c r="C1007" s="364" t="str">
        <f>DPR!AJ1007</f>
        <v>Sakhalin-1:Prod'n defferred due to ongoing maintenance activities in Gas Injection Compressor in Chayvo.
PCB &amp; SCB:DPR is unavailable due to a cyberattack affecting the system.
BC-10:Prod'n ramp-up is ongoing from 16 to 31 Dec 2025. 
SPOC &amp; GPOC:Prod'n figures are currently unavailable due to force majeure.</v>
      </c>
    </row>
    <row r="1008" spans="2:3" ht="75">
      <c r="B1008" s="446">
        <f>DPR!C1008</f>
        <v>46016</v>
      </c>
      <c r="C1008" s="364" t="str">
        <f>DPR!AJ1008</f>
        <v>Sakhalin-1:New prod'n data received from the operator.
Sakhalin-1:Prod'n defferred due to ongoing maintenance activities in Gas Injection Compressor Train-2 in Odoptu.
PCB &amp; SCB:DPR is unavailable due to a cyberattack affecting the system.
BC-10:Prod'n ramp-up is ongoing from 16 to 31 Dec 2025. 
SPOC &amp; GPOC:Prod'n figures are currently unavailable due to force majeure.</v>
      </c>
    </row>
    <row r="1009" spans="2:3" ht="60">
      <c r="B1009" s="446">
        <f>DPR!C1009</f>
        <v>46017</v>
      </c>
      <c r="C1009" s="364" t="str">
        <f>DPR!AJ1009</f>
        <v>Sakhalin-1:Prod'n defferred due to ongoing maintenance activities in Gas Injection Compressor Train-2 in Odoptu.
PCB &amp; SCB:DPR is unavailable due to a cyberattack affecting the system.
BC-10:Prod'n ramp-up is ongoing from 16 to 31 Dec 2025. 
SPOC &amp; GPOC:Prod'n figures are currently unavailable due to force majeure.</v>
      </c>
    </row>
    <row r="1010" spans="2:3" ht="60">
      <c r="B1010" s="446">
        <f>DPR!C1010</f>
        <v>46018</v>
      </c>
      <c r="C1010" s="364" t="str">
        <f>DPR!AJ1010</f>
        <v>Sakhalin-1:Prod'n defferred due to ongoing maintenance activities in Gas Injection Compressor Train-2 in Odoptu.
PCB &amp; SCB:DPR is unavailable due to a cyberattack affecting the system.
BC-10:Prod'n ramp-up is ongoing from 16 to 31 Dec 2025. 
SPOC &amp; GPOC:Prod'n figures are currently unavailable due to force majeure.</v>
      </c>
    </row>
    <row r="1011" spans="2:3" ht="105">
      <c r="B1011" s="446">
        <f>DPR!C1011</f>
        <v>46019</v>
      </c>
      <c r="C1011" s="364" t="str">
        <f>DPR!AJ1011</f>
        <v>Sakhalin-1:Prod'n defferred due to ongoing maintenance activities in Gas Injection Compressor Train-2 in Odoptu.
PCB &amp; SCB:DPR is unavailable due to a cyberattack affecting the system.
BC-10:Prod'n ramp-up is ongoing from 16 to 31 Dec 2025. 
SPOC:Prod'n figures are currently unavailable due to force majeure.
GPOC:Prod'n deferred due to export shutdown at Heglig, resumed on 27 December from Toma South with 8 wells started.
A1-A3:Prod'n deferred due to maintenance activities.</v>
      </c>
    </row>
    <row r="1012" spans="2:3" ht="90">
      <c r="B1012" s="446">
        <f>DPR!C1012</f>
        <v>46020</v>
      </c>
      <c r="C1012" s="364" t="str">
        <f>DPR!AJ1012</f>
        <v>Sakhalin-1:Prod'n defferred due to ongoing maintenance activities in Gas Injection Compressor Train-2 in Odoptu.
PCB:DPR is unavailable due to a cyberattack affecting the system.
BC-10:Prod'n ramp-up is ongoing from 16 to 31 Dec 2025. 
SPOC:Prod'n figures are currently unavailable due to force majeure.
GPOC: Prod'n deferred due to the export shutdown at Heglig. After clearance, export resumed with Toma South restarted on 27 December and El Nar on 28 December.</v>
      </c>
    </row>
    <row r="1013" spans="2:3" ht="105">
      <c r="B1013" s="446">
        <f>DPR!C1013</f>
        <v>46021</v>
      </c>
      <c r="C1013" s="364" t="str">
        <f>DPR!AJ1013</f>
        <v xml:space="preserve">Sakhalin-1:Prod'n defferred due to ongoing maintenance activities in Gas Injection Compressor Train-2 in Odoptu.
BC-10: Gas and Hot Oil bypasses installed awaiting final safety approvals. New formal update expected on Monday.
GPOC: Prod'n deferred due to export shutdown from all FPFs to Heglig. After clearance, export resumed with Toma South on 27 December, El Nar on 28 December, and Unity on 29 December.
SPOC:Prod'n figures are currently unavailable due to force majeure.
PCB:DPR is unavailable due to a cyberattack affecting the system._x000D_
</v>
      </c>
    </row>
    <row r="1014" spans="2:3" ht="90">
      <c r="B1014" s="446">
        <f>DPR!C1014</f>
        <v>46022</v>
      </c>
      <c r="C1014" s="364" t="str">
        <f>DPR!AJ1014</f>
        <v>Sakhalin-1:Prod'n defferred due to ongoing maintenance activities in Gas Injection Compressor Train-2 in Odoptu.
BC-10: Gas and Hot Oil bypasses installed awaiting final safety approvals. New formal update expected on Monday.
GPOC: Prod'n deferred due to export shutdown from all FPFs to Heglig. After clearance, export resumed with Toma South on 27 Dec, El Nar on 28 Dec, Unity on 29 Dec, and Munga on 30 Dec.
SPOC:Prod'n figures are currently unavailable due to force majeure.
PCB:DPR is unavailable due to a cyberattack affecting the system.</v>
      </c>
    </row>
    <row r="1015" spans="2:3" ht="75">
      <c r="B1015" s="446">
        <f>DPR!C1015</f>
        <v>46023</v>
      </c>
      <c r="C1015" s="364" t="str">
        <f>DPR!AJ1015</f>
        <v>BC-10: Gas and Hot Oil bypasses installed awaiting final safety approvals. New formal update expected on Monday.
GPOC: Prod'n deferred due to export shutdown from all FPFs to Heglig. After clearance, export resumed with Toma South on 27 Dec, El Nar on 28 Dec, Unity on 29 Dec, and Munga on 30 Dec.
SPOC:Prod'n figures are currently unavailable due to force majeure.
PCB:Prod'n deferred due to low diluent inventories and high levels in storage tanks in P.T.O</v>
      </c>
    </row>
    <row r="1016" spans="2:3" ht="75">
      <c r="B1016" s="446">
        <f>DPR!C1016</f>
        <v>46024</v>
      </c>
      <c r="C1016" s="364" t="str">
        <f>DPR!AJ1016</f>
        <v>BC-10: Gas and Hot Oil bypasses installed awaiting final safety approvals. New formal update expected on Monday.
GPOC: Prod'n deferred due to export shutdown from all FPFs to Heglig. After clearance, export resumed with Toma South on 27 Dec, El Nar on 28 Dec, Unity on 29 Dec, and Munga on 30 Dec.
SPOC:Prod'n figures are currently unavailable due to force majeure.
PCB:Prod'n deferred due to low diluent inventories and high levels in storage tanks in P.T.O</v>
      </c>
    </row>
    <row r="1017" spans="2:3" ht="75">
      <c r="B1017" s="446">
        <f>DPR!C1017</f>
        <v>46025</v>
      </c>
      <c r="C1017" s="364" t="str">
        <f>DPR!AJ1017</f>
        <v>BC-10: Gas and Hot Oil bypasses installed awaiting final safety approvals. New formal update expected on Monday.
GPOC: Prod'n deferred due to export shutdown from all FPFs to Heglig. After clearance, export resumed with Toma South on 27 Dec, El Nar on 28 Dec, Unity on 29 Dec, and Munga on 30 Dec.
SPOC:Prod'n figures are currently unavailable due to force majeure.
PCB:Prod'n deferred due to low diluent inventories and high levels in storage tanks in P.T.O</v>
      </c>
    </row>
    <row r="1018" spans="2:3" ht="105">
      <c r="B1018" s="446">
        <f>DPR!C1018</f>
        <v>46026</v>
      </c>
      <c r="C1018" s="364" t="str">
        <f>DPR!AJ1018</f>
        <v>BC-10: Gas and Hot Oil bypasses installed awaiting final safety approvals. A formal update and further communication are awaited. ALM 2 train B,  ALM 1 train C and ALM 3 train A are offline.
MECL:Prod'n deferred due to waiting well services, BSW increases &amp; sand problem.
GPOC:Prod'n deferred due to power tripped at Toma South &amp; El Toor.
SPOC: Produ'n deferred due to wells not started because of high back pressure.
PCB:Prod'n deferred due to low diluent inventories and high levels in storage tanks in P.T.O and Jose terminal tanks.
Vankor:Prod'n deferred due to failure of oil-gathering pipeline.</v>
      </c>
    </row>
    <row r="1019" spans="2:3" ht="105">
      <c r="B1019" s="446">
        <f>DPR!C1019</f>
        <v>46027</v>
      </c>
      <c r="C1019" s="364" t="str">
        <f>DPR!AJ1019</f>
        <v>BC-10: Gas and Hot Oil bypasses installed awaiting final safety approvals. New formal update expected on 10th January.
MECL:Prod'n deferred due to waiting well services, BSW increases &amp; sand problem.
GPOC:Prod'n deferred due to power tripped at Toma South &amp; El Toor.
SPOC:Produ'n deferred due to wells not started because of high back pressure.
ACG:Prod'n deferred due to ICSS card malfunction. ACG Oil Plant shutdown 03 to 04 January 2026.
PCB:Prod'n deferred due to low diluent inventories and high levels in storage tanks in P.T.O and Jose terminal tanks.
Vankor:Prod'n deferred due to failure of oil-gathering pipeline.</v>
      </c>
    </row>
    <row r="1020" spans="2:3" ht="105">
      <c r="B1020" s="446">
        <f>DPR!C1020</f>
        <v>46028</v>
      </c>
      <c r="C1020" s="364" t="str">
        <f>DPR!AJ1020</f>
        <v>BC-10:Expected ramp up from 11 Jan, due to the  problem of gas line and hot oil system in Swivel.
MECL:Prod'n deferred due to waiting well services, BSW increases &amp; sand problem.
GPOC:Prod'n deferred due to power tripped at Toma South &amp; El Toor.
SPOC:Produ'n deferred due to wells not started because of high back pressure.
ACG:Prod'n deferred due to ICSS card malfunction &amp; oil Plant shutdown.
PCB:Prod'n deferred due to low diluent inventories and high levels in storage tanks in P.T.O and Jose terminal tanks.
Vankor:Prod'n deferred due to failure of oil-gathering pipeline.</v>
      </c>
    </row>
    <row r="1021" spans="2:3" ht="105">
      <c r="B1021" s="446">
        <f>DPR!C1021</f>
        <v>46029</v>
      </c>
      <c r="C1021" s="364" t="str">
        <f>DPR!AJ1021</f>
        <v>BC-10:Expected ramp up from 11 Jan, due to the  problem of gas line and hot oil system in Swivel.
MECL:Prod'n deferred due to waiting well services, BSW increases &amp; sand problem.
GPOC:Prod'n deferred due to power tripped at Toma South &amp; El Toor.
SPOC:Produ'n deferred due to wells not started because of high back pressure.
ACG:Prod'n deferred due to ICSS card malfunction &amp; oil Plant shutdown.
PCB:Prod'n deferred due to low diluent inventories and high levels in storage tanks in P.T.O and Jose terminal tanks.
Vankor:Prod'n deferred due to failure of oil-gathering pipeline.</v>
      </c>
    </row>
    <row r="1022" spans="2:3" ht="105">
      <c r="B1022" s="446">
        <f>DPR!C1022</f>
        <v>46030</v>
      </c>
      <c r="C1022" s="364" t="str">
        <f>DPR!AJ1022</f>
        <v>BC-10:Expected ramp up from 11 Jan, due to the  problem of gas line and hot oil system in Swivel.
MECL:Prod'n deferred due to waiting well services, BSW increases &amp; sand problem.
GPOC:Prod'n deferred due to power tripped at Toma South &amp; El Toor.
SPOC:Produ'n deferred due to wells not started because of high back pressure.
ACG:Prod'n deferred due to ICSS card malfunction &amp; oil Plant shutdown.
PCB:Prod'n deferred due to low diluent inventories and high levels in storage tanks in P.T.O and Jose terminal tanks.
Vankor:Prod'n deferred due to failure of oil-gathering pipeline.</v>
      </c>
    </row>
    <row r="1023" spans="2:3" ht="60">
      <c r="B1023" s="446">
        <f>DPR!C1023</f>
        <v>46031</v>
      </c>
      <c r="C1023" s="364" t="str">
        <f>DPR!AJ1023</f>
        <v>BC-10:Expected ramp up from 11 Jan, due to the  problem of gas line and hot oil system in Swivel.
ACG:Prod'n deferred due to ICSS card malfunction &amp; oil Plant shutdown.
PCB:Prod'n deferred due all terminal inventories are full, all wells are shutdown.
Vankor:Prod'n deferred due to failure of oil-gathering pipeline.</v>
      </c>
    </row>
    <row r="1024" spans="2:3" ht="90">
      <c r="B1024" s="446">
        <f>DPR!C1024</f>
        <v>46032</v>
      </c>
      <c r="C1024" s="364" t="str">
        <f>DPR!AJ1024</f>
        <v xml:space="preserve">BC-10:Expected ramp up from 11 Jan, due to the  problem of gas line and hot oil system in Swivel.
MECL:Prod'n deferred due to oil/water interface stabilization at Gun Barrel-10000-1 (-544 BOPD).
ACG:Prod'n deferred due to ICSS card malfunction &amp; oil Plant shutdown.
PCB:Prod'n deferred due to full storage capacity and lack of offtake, resulting in a complete shut-in of 63 wells.
Vankor:Prod'n deferred due to failure of oil-gathering pipeline.
</v>
      </c>
    </row>
    <row r="1025" spans="2:3" ht="105">
      <c r="B1025" s="446">
        <f>DPR!C1025</f>
        <v>46033</v>
      </c>
      <c r="C1025" s="364" t="str">
        <f>DPR!AJ1025</f>
        <v xml:space="preserve">BC-10:Revised ramp-up ~25 Feb 2026, as informed in the BC-10 JV Meeting.
MECL:Prod'n deferred due to oil/water interface stabilization at Gun Barrel-10000-1 (-544 BOPD).
ACG:Prod'n deferred due to ICSS card malfunction &amp; oil Plant shutdown.
SPOC:6,879 bbl transfer to Tharjiath COST tank level.
PCB:Prod'n deferred due to full storage capacity and lack of offtake, resulting in a complete shut-in of 63 wells.
Vankor:Prod'n deferred due to failure of oil-gathering pipeline.
</v>
      </c>
    </row>
    <row r="1026" spans="2:3" ht="90">
      <c r="B1026" s="446">
        <f>DPR!C1026</f>
        <v>46034</v>
      </c>
      <c r="C1026" s="364" t="str">
        <f>DPR!AJ1026</f>
        <v>BC-10:Revised ramp-up ~25 Feb 2026, as informed in the BC-10 JV Meeting.
ACG:Prod'n deferred due to ICSS card malfunction &amp; oil Plant shutdown.
SPOC:2,655 bbl transfer to Tharjiath COST tank level.
MECL:Prod'n deferred due to waiting well services, BSW increases &amp; sand problem.
Vankor:Prod'n deferred due to failure of oil-gathering pipeline.
PCB:Prod'n deferred due to low diluent inventories and high levels in storage tanks.</v>
      </c>
    </row>
    <row r="1027" spans="2:3" ht="90">
      <c r="B1027" s="446">
        <f>DPR!C1027</f>
        <v>46035</v>
      </c>
      <c r="C1027" s="364" t="str">
        <f>DPR!AJ1027</f>
        <v>BC-10:Revised ramp-up ~25 Feb 2026, as informed in the BC-10 JV Meeting.
ACG:Prod'n deferred due to ICSS card malfunction &amp; oil Plant shutdown.
SPOC:2,655 bbl transfer to Tharjiath COST tank level.
MECL:Prod'n deferred due to waiting well services, BSW increases &amp; sand problem.
Vankor:Prod'n deferred due to failure of oil-gathering pipeline.
PCB:Prod'n deferred due to low diluent inventories and high levels in storage tanks.</v>
      </c>
    </row>
    <row r="1028" spans="2:3" ht="60">
      <c r="B1028" s="446">
        <f>DPR!C1028</f>
        <v>46036</v>
      </c>
      <c r="C1028" s="364" t="str">
        <f>DPR!AJ1028</f>
        <v>BC-10:Revised ramp-up ~25 Feb 2026, as informed in the BC-10 JV Meeting.
MECL:Prod'n deferred due to waiting well services.
Vankor:Prod'n deferred due to the shutdown of 47 wells for repair of the oil-gathering pipeline.
PCB:Prod'n deferred due to low diluent inventories and high levels in storage tanks.</v>
      </c>
    </row>
    <row r="1029" spans="2:3" ht="45">
      <c r="B1029" s="446">
        <f>DPR!C1029</f>
        <v>46037</v>
      </c>
      <c r="C1029" s="364" t="str">
        <f>DPR!AJ1029</f>
        <v>BC-10:Revised ramp-up ~25 Feb 2026, as informed in the BC-10 JV Meeting.
MECL:Prod'n deferred due to waiting well services.
PCB:Prod'n deferred due to low diluent inventories and high levels in storage tanks.</v>
      </c>
    </row>
    <row r="1030" spans="2:3" ht="60">
      <c r="B1030" s="446">
        <f>DPR!C1030</f>
        <v>46038</v>
      </c>
      <c r="C1030" s="364" t="str">
        <f>DPR!AJ1030</f>
        <v>BC-10:Revised ramp-up ~25 Feb 2026, as informed in the BC-10 JV Meeting.
MECL:Prod'n deferred due to waiting well services.
PCB:Prod'n deferred due to low diluent inventories and high levels in storage tanks.
SPOC:1,008 bbl transfer to Tharjiath COST tank level.</v>
      </c>
    </row>
    <row r="1031" spans="2:3" ht="60">
      <c r="B1031" s="446">
        <f>DPR!C1031</f>
        <v>46039</v>
      </c>
      <c r="C1031" s="364" t="str">
        <f>DPR!AJ1031</f>
        <v>BC-10:Revised ramp-up ~25 Feb 2026, as informed in the BC-10 JV Meeting.
MECL:Prod'n deferred due to waiting well services.
PCB:Prod'n deferred due to low diluent inventories and high levels in storage tanks.
SPOC:2,572 bbl transfer to Tharjiath COST tank level.</v>
      </c>
    </row>
    <row r="1032" spans="2:3" ht="45">
      <c r="B1032" s="446">
        <f>DPR!C1032</f>
        <v>46040</v>
      </c>
      <c r="C1032" s="364" t="str">
        <f>DPR!AJ1032</f>
        <v>BC-10::Ramp up ongoing, ALM 1 Train C - ONLINE with MOBO 3 and MOBO 2.
MECL:Prod'n deferred due to waiting well services.
PCB:Prod'n deferred due to low diluent inventories and high levels in storage tanks.</v>
      </c>
    </row>
    <row r="1033" spans="2:3" ht="60">
      <c r="B1033" s="446">
        <f>DPR!C1033</f>
        <v>46041</v>
      </c>
      <c r="C1033" s="364" t="str">
        <f>DPR!AJ1033</f>
        <v>BC-10:ALM1 1 is online from 17.01.2026 and Hot Oil circulation has also started from 17.01.2026.
MECL:Prod'n deferred due to waiting well services.
PCB:Prod'n deferred due to low diluent inventories and high levels in storage tanks.
SCB:Prod'n deferred due to the unavailability of ullage, the dispatch of produced hydrocarbons has been affected.</v>
      </c>
    </row>
    <row r="1034" spans="2:3" ht="60">
      <c r="B1034" s="446">
        <f>DPR!C1034</f>
        <v>46042</v>
      </c>
      <c r="C1034" s="364" t="str">
        <f>DPR!AJ1034</f>
        <v>BC-10:ALM1 1 is online from 17.01.2026 and Hot Oil circulation has also started from 17.01.2026.
MECL:Prod'n deferred due to waiting well services.
PCB:Prod'n deferred due to low diluent inventories and high levels in storage tanks.
SCB:Prod'n deferred due to the unavailability of ullage, the dispatch of produced hydrocarbons has been affected.</v>
      </c>
    </row>
    <row r="1035" spans="2:3" ht="60">
      <c r="B1035" s="446">
        <f>DPR!C1035</f>
        <v>46043</v>
      </c>
      <c r="C1035" s="364" t="str">
        <f>DPR!AJ1035</f>
        <v>BC-10:ALM1 1 is online from 17.01.2026 and Hot Oil circulation has also started from 17.01.2026.
PCB:Prod'n deferred due to low diluent inventories and high levels in storage tanks.
SCB:Prod'n deferred due to the unavailability of ullage, the dispatch of produced hydrocarbons has been affected.
MECL:Prod'n deferred due to increase in BSW (Basic Sediment and Water) levels.</v>
      </c>
    </row>
    <row r="1036" spans="2:3" ht="60">
      <c r="B1036" s="446">
        <f>DPR!C1036</f>
        <v>46044</v>
      </c>
      <c r="C1036" s="364" t="str">
        <f>DPR!AJ1036</f>
        <v>BC-10:ALM1 1 is online from 17.01.2026 and Hot Oil circulation has also started from 17.01.2026.
PCB:Prod'n deferred due to low diluent inventories and high levels in storage tanks.
SCB:Prod'n deferred due to the unavailability of ullage, the dispatch of produced hydrocarbons has been affected.
MECL:Prod'n deferred due to Gun Barrel 10000-2 filling (-422 BOPD)</v>
      </c>
    </row>
    <row r="1037" spans="2:3" ht="75">
      <c r="B1037" s="446">
        <f>DPR!C1037</f>
        <v>46045</v>
      </c>
      <c r="C1037" s="364" t="str">
        <f>DPR!AJ1037</f>
        <v>PCB:Prod'n deferred due to low diluent inventories and high levels in storage tanks.
SCB:Prod'n deferred due to the unavailability of ullage, the dispatch of produced hydrocarbons has been affected.
Sakhalin-1:Prod'n deferred due to tanker fleet delays arising from adverse weather conditions.
BC-10:ALM-1 Train C online with MOBO-3 and MOBO-2, ALM-3 Train A online with MOBO-9 and MOBO-7.
MECL:Prod'n deferred due to Gun Barrel 10000-2 filling (+495 BOPD)</v>
      </c>
    </row>
    <row r="1038" spans="2:3" ht="75">
      <c r="B1038" s="446">
        <f>DPR!C1038</f>
        <v>46046</v>
      </c>
      <c r="C1038" s="364" t="str">
        <f>DPR!AJ1038</f>
        <v>PCB:Prod'n deferred due to low diluent inventories and high levels in storage tanks.
SCB:Prod'n deferred due to the unavailability of ullage, the dispatch of produced hydrocarbons has been affected.
Sakhalin-1:Prod'n deferred due to tanker fleet delays arising from adverse weather conditions.
BC-10:ALM-3 Train A online with MOBO-7.
MECL:Prod'n deferred due to Gun Barrel 10000-2 filling (+431 BOPD)</v>
      </c>
    </row>
    <row r="1039" spans="2:3" ht="60">
      <c r="B1039" s="446">
        <f>DPR!C1039</f>
        <v>46047</v>
      </c>
      <c r="C1039" s="364" t="str">
        <f>DPR!AJ1039</f>
        <v>PCB:Prod'n deferred due to low diluent inventories and high levels in storage tanks.
SCB:Prod'n deferred due to the unavailability of ullage, the dispatch of produced hydrocarbons has been affected.
Sakhalin-1:Prod'n deferred due to tanker fleet delays arising from adverse weather conditions.
BC-10:ALM 1 Train C - ONLINE with MOBO-2.</v>
      </c>
    </row>
    <row r="1040" spans="2:3" ht="45">
      <c r="B1040" s="446">
        <f>DPR!C1040</f>
        <v>46048</v>
      </c>
      <c r="C1040" s="364" t="str">
        <f>DPR!AJ1040</f>
        <v>PCB:Prod'n deferred due to low diluent inventories and high levels in storage tanks.
SCB:Prod'n deferred due to the unavailability of ullage, the dispatch of produced hydrocarbons has been affected.
BC-10:ALM 1, ALM 2 and ALM 3 are offline.</v>
      </c>
    </row>
    <row r="1041" spans="2:3" ht="45">
      <c r="B1041" s="446">
        <f>DPR!C1041</f>
        <v>46049</v>
      </c>
      <c r="C1041" s="364" t="str">
        <f>DPR!AJ1041</f>
        <v>PCB:Prod'n deferred due to low diluent inventories and high levels in storage tanks.
SCB:Prod'n deferred due to the unavailability of ullage, the dispatch of produced hydrocarbons has been affected.
BC-10:ALM 1, ALM 2 and ALM 3 are offline.</v>
      </c>
    </row>
    <row r="1042" spans="2:3" ht="60">
      <c r="B1042" s="446">
        <f>DPR!C1042</f>
        <v>46050</v>
      </c>
      <c r="C1042" s="364" t="str">
        <f>DPR!AJ1042</f>
        <v>PCB:Prod'n deferred due to low diluent inventories and high levels in storage tanks.
SCB:Prod'n deferred due to the unavailability of ullage, the dispatch of produced hydrocarbons has been affected.
BC-10:ALM-3 Train A online.
MECL:Prod'n deferred due to waiting well services.</v>
      </c>
    </row>
    <row r="1043" spans="2:3">
      <c r="B1043" s="446" t="e">
        <f>DPR!#REF!</f>
        <v>#REF!</v>
      </c>
      <c r="C1043" s="364" t="e">
        <f>DPR!#REF!</f>
        <v>#REF!</v>
      </c>
    </row>
    <row r="1044" spans="2:3">
      <c r="B1044" s="446" t="e">
        <f>DPR!#REF!</f>
        <v>#REF!</v>
      </c>
      <c r="C1044" s="364" t="e">
        <f>DPR!#REF!</f>
        <v>#REF!</v>
      </c>
    </row>
    <row r="1045" spans="2:3">
      <c r="B1045" s="446" t="e">
        <f>DPR!#REF!</f>
        <v>#REF!</v>
      </c>
      <c r="C1045" s="364" t="e">
        <f>DPR!#REF!</f>
        <v>#REF!</v>
      </c>
    </row>
    <row r="1046" spans="2:3">
      <c r="B1046" s="446" t="e">
        <f>DPR!#REF!</f>
        <v>#REF!</v>
      </c>
      <c r="C1046" s="364" t="e">
        <f>DPR!#REF!</f>
        <v>#REF!</v>
      </c>
    </row>
    <row r="1047" spans="2:3">
      <c r="B1047" s="446" t="e">
        <f>DPR!#REF!</f>
        <v>#REF!</v>
      </c>
      <c r="C1047" s="364" t="e">
        <f>DPR!#REF!</f>
        <v>#REF!</v>
      </c>
    </row>
    <row r="1048" spans="2:3">
      <c r="B1048" s="446" t="e">
        <f>DPR!#REF!</f>
        <v>#REF!</v>
      </c>
      <c r="C1048" s="364" t="e">
        <f>DPR!#REF!</f>
        <v>#REF!</v>
      </c>
    </row>
    <row r="1049" spans="2:3">
      <c r="B1049" s="446" t="e">
        <f>DPR!#REF!</f>
        <v>#REF!</v>
      </c>
      <c r="C1049" s="364" t="e">
        <f>DPR!#REF!</f>
        <v>#REF!</v>
      </c>
    </row>
    <row r="1050" spans="2:3">
      <c r="B1050" s="446" t="e">
        <f>DPR!#REF!</f>
        <v>#REF!</v>
      </c>
      <c r="C1050" s="364" t="e">
        <f>DPR!#REF!</f>
        <v>#REF!</v>
      </c>
    </row>
    <row r="1051" spans="2:3">
      <c r="B1051" s="446" t="e">
        <f>DPR!#REF!</f>
        <v>#REF!</v>
      </c>
      <c r="C1051" s="364" t="e">
        <f>DPR!#REF!</f>
        <v>#REF!</v>
      </c>
    </row>
    <row r="1052" spans="2:3" ht="75">
      <c r="B1052" s="446">
        <f>DPR!C1043</f>
        <v>46051</v>
      </c>
      <c r="C1052" s="364" t="str">
        <f>DPR!AJ1043</f>
        <v>PCB:Prod'n deferred due to low diluent inventories and high levels in storage tanks.
SCB:Prod'n deferred due to the unavailability of ullage, the dispatch of produced hydrocarbons has been affected.
BC-10:ALM-3 Train A online.
MECL:Prod'n deferred due to waiting well services.
GPOC:Prod'n deferred due to power tripped at Toma South &amp; El Toor.</v>
      </c>
    </row>
    <row r="1053" spans="2:3" ht="75">
      <c r="B1053" s="446">
        <f>DPR!C1044</f>
        <v>46052</v>
      </c>
      <c r="C1053" s="364" t="str">
        <f>DPR!AJ1044</f>
        <v>PCB:Prod'n deferred due to low diluent inventories and high levels in storage tanks.
SCB:Prod'n deferred due to the unavailability of ullage, the dispatch of produced hydrocarbons has been affected.
BC-10:ALM-3 Train A online.
MECL:Prod'n deferred due to waiting well services.
GPOC:Prod'n deferred due to power tripped at Toma South &amp; El Toor.</v>
      </c>
    </row>
    <row r="1054" spans="2:3">
      <c r="B1054" s="446" t="e">
        <f>DPR!#REF!</f>
        <v>#REF!</v>
      </c>
      <c r="C1054" s="364" t="e">
        <f>DPR!#REF!</f>
        <v>#REF!</v>
      </c>
    </row>
    <row r="1055" spans="2:3">
      <c r="B1055" s="446" t="e">
        <f>DPR!#REF!</f>
        <v>#REF!</v>
      </c>
      <c r="C1055" s="364" t="e">
        <f>DPR!#REF!</f>
        <v>#REF!</v>
      </c>
    </row>
    <row r="1056" spans="2:3">
      <c r="B1056" s="446" t="e">
        <f>DPR!#REF!</f>
        <v>#REF!</v>
      </c>
      <c r="C1056" s="364" t="e">
        <f>DPR!#REF!</f>
        <v>#REF!</v>
      </c>
    </row>
    <row r="1057" spans="2:3" ht="60">
      <c r="B1057" s="446">
        <f>DPR!C1045</f>
        <v>46053</v>
      </c>
      <c r="C1057" s="364" t="str">
        <f>DPR!AJ1045</f>
        <v>PCB:Prod'n deferred due to low diluent inventories and high levels in storage tanks.
SCB:Prod'n deferred due to the unavailability of ullage, the dispatch of produced hydrocarbons has been affected.
BC-10:ALM-3 Train A online.
MECL:Prod'n deferred due to waiting well services.</v>
      </c>
    </row>
    <row r="1058" spans="2:3" ht="60">
      <c r="B1058" s="446">
        <f>DPR!C1046</f>
        <v>46054</v>
      </c>
      <c r="C1058" s="364" t="str">
        <f>DPR!AJ1046</f>
        <v>SCB:Prod'n deferred due to the unavailability of ullage, the dispatch of produced hydrocarbons has been affected.
BC-10:ALM-1 Train C - Online with MOBO 2 &amp; 3.
MECL:Prod'n deferred due to waiting well services.
GPOC:Prod'n deferred due to power tripped at Toma South &amp; El Toor.</v>
      </c>
    </row>
    <row r="1059" spans="2:3" ht="75">
      <c r="B1059" s="446">
        <f>DPR!C1047</f>
        <v>46055</v>
      </c>
      <c r="C1059" s="364" t="str">
        <f>DPR!AJ1047</f>
        <v>SCB:Prod'n deferred due to the unavailability of ullage, the dispatch of produced hydrocarbons has been affected.
LZC:Prod'n deferred due to a gas blackout of 191 MBD at DAS Island.
BC-10:Excepted peak production from 15 Feb 2026.
MECL:Prod'n deferred due to waiting well services.
GPOC:Prod'n deferred due to power tripped at Toma South &amp; El Toor.</v>
      </c>
    </row>
    <row r="1060" spans="2:3" ht="75">
      <c r="B1060" s="446">
        <f>DPR!C1048</f>
        <v>46056</v>
      </c>
      <c r="C1060" s="364" t="str">
        <f>DPR!AJ1048</f>
        <v>SCB:Prod'n deferred due to the unavailability of ullage, the dispatch of produced hydrocarbons has been affected.
LZC:Prod'n deferred due to a gas blackout of 191 MBD at DAS Island.
BC-10:Excepted peak production from 15 Feb 2026.
MECL:Prod'n deferred due to waiting well services.
GPOC:Prod'n deferred due to power tripped at Toma South &amp; El Toor.</v>
      </c>
    </row>
    <row r="1061" spans="2:3" ht="60">
      <c r="B1061" s="446">
        <f>DPR!C1049</f>
        <v>46057</v>
      </c>
      <c r="C1061" s="364" t="str">
        <f>DPR!AJ1049</f>
        <v>SCB:Prod'n deferred due to the unavailability of ullage, the dispatch of produced hydrocarbons has been affected.
LZC:Prod'n deferred due to a gas blackout of 191 MBD at DAS Island.
BC-10:Excepted peak production from 15 Feb 2026.
MECL:Prod'n deferred due to waiting well services.</v>
      </c>
    </row>
    <row r="1062" spans="2:3" ht="45">
      <c r="B1062" s="446">
        <f>DPR!C1050</f>
        <v>46058</v>
      </c>
      <c r="C1062" s="364" t="str">
        <f>DPR!AJ1050</f>
        <v>SCB:Prod'n deferred due to the unavailability of ullage, the dispatch of produced hydrocarbons has been affected.
BC-10:Excepted peak production from 15 Feb 2026.
MECL:Prod'n deferred due to waiting well services.</v>
      </c>
    </row>
    <row r="1063" spans="2:3" ht="45">
      <c r="B1063" s="446">
        <f>DPR!C1051</f>
        <v>46059</v>
      </c>
      <c r="C1063" s="364" t="str">
        <f>DPR!AJ1051</f>
        <v>SCB:Prod'n deferred due to the unavailability of ullage, the dispatch of produced hydrocarbons has been affected.
BC-10:Excepted peak production from 15 Feb 2026.
MECL:Prod'n deferred due to waiting well services.</v>
      </c>
    </row>
    <row r="1064" spans="2:3" ht="60">
      <c r="B1064" s="446">
        <f>DPR!C1052</f>
        <v>46060</v>
      </c>
      <c r="C1064" s="364" t="str">
        <f>DPR!AJ1052</f>
        <v xml:space="preserve">SCB:Prod'n deferred due to the unavailability of ullage, the dispatch of produced hydrocarbons has been affected.
BC-10:Excepted peak production from 15 Feb 2026.
MECL:Prod'n deferred due to waiting well services.
</v>
      </c>
    </row>
    <row r="1065" spans="2:3" ht="60">
      <c r="B1065" s="446">
        <f>DPR!C1053</f>
        <v>46061</v>
      </c>
      <c r="C1065" s="364" t="str">
        <f>DPR!AJ1053</f>
        <v xml:space="preserve">SCB:Prod'n deferred due to the unavailability of ullage, the dispatch of produced hydrocarbons has been affected.
BC-10:Excepted peak production from 15 Feb 2026.
MECL:Prod'n deferred due to waiting well services.
</v>
      </c>
    </row>
    <row r="1066" spans="2:3" ht="60">
      <c r="B1066" s="446">
        <f>DPR!C1054</f>
        <v>46062</v>
      </c>
      <c r="C1066" s="364" t="str">
        <f>DPR!AJ1054</f>
        <v xml:space="preserve">SCB:Prod'n deferred due to the unavailability of ullage, the dispatch of produced hydrocarbons has been affected.
BC-10:Excepted peak production from 15 Feb 2026.
MECL:Prod'n deferred due to waiting well services.
</v>
      </c>
    </row>
    <row r="1067" spans="2:3" ht="60">
      <c r="B1067" s="446">
        <f>DPR!C1055</f>
        <v>46063</v>
      </c>
      <c r="C1067" s="364" t="str">
        <f>DPR!AJ1055</f>
        <v xml:space="preserve">SCB:Prod'n deferred due to the unavailability of ullage, the dispatch of produced hydrocarbons has been affected.
BC-10:Excepted peak production from 15 Feb 2026.
MECL:Prod'n deferred due to waiting well services.
</v>
      </c>
    </row>
    <row r="1068" spans="2:3" ht="60">
      <c r="B1068" s="446">
        <f>DPR!C1056</f>
        <v>46064</v>
      </c>
      <c r="C1068" s="364" t="str">
        <f>DPR!AJ1056</f>
        <v xml:space="preserve">SCB:Prod'n deferred due to the unavailability of ullage, the dispatch of produced hydrocarbons has been affected.
MECL:Prod'n deferred due to waiting well services.
SPOC:7,541 bbl transfer to Tharjiath COST tank level.
</v>
      </c>
    </row>
    <row r="1069" spans="2:3" ht="60">
      <c r="B1069" s="446">
        <f>DPR!C1057</f>
        <v>46065</v>
      </c>
      <c r="C1069" s="364" t="str">
        <f>DPR!AJ1057</f>
        <v xml:space="preserve">SCB:Prod'n deferred due to the unavailability of ullage, the dispatch of produced hydrocarbons has been affected.
MECL:Prod'n deferred due to waiting well services.
CPO-5:Prod'n deferred due to the shutdown of Perico-1X and Halcon-1X wells.
</v>
      </c>
    </row>
    <row r="1070" spans="2:3" ht="60">
      <c r="B1070" s="446">
        <f>DPR!C1058</f>
        <v>46066</v>
      </c>
      <c r="C1070" s="364" t="str">
        <f>DPR!AJ1058</f>
        <v xml:space="preserve">SCB:Prod'n deferred due to the unavailability of ullage, the dispatch of produced hydrocarbons has been affected.
MECL:Prod'n deferred due to waiting well services.
CPO-5:Prod'n deferred due to the shutdown of Perico-1X and Halcon-1X wells.
</v>
      </c>
    </row>
    <row r="1071" spans="2:3" ht="60">
      <c r="B1071" s="446">
        <f>DPR!C1059</f>
        <v>46067</v>
      </c>
      <c r="C1071" s="364" t="str">
        <f>DPR!AJ1059</f>
        <v xml:space="preserve">SCB:Prod'n deferred due to the unavailability of ullage, the dispatch of produced hydrocarbons has been affected.
MECL:Prod'n deferred due to waiting well services.
CPO-5:Prod'n deferred due to the shutdown of Perico-1X and Halcon-1X wells.
</v>
      </c>
    </row>
    <row r="1072" spans="2:3" ht="60">
      <c r="B1072" s="446">
        <f>DPR!C1060</f>
        <v>46068</v>
      </c>
      <c r="C1072" s="364" t="str">
        <f>DPR!AJ1060</f>
        <v xml:space="preserve">SCB:Due to the unavailability of ullage, the dispatch of produced hydrocarbons has been affected.
MECL:Prod'n deferred due to waiting well services.
CPO-5:Prod'n deferred due to the shutdown of Perico-1X and Halcon-1X wells.
</v>
      </c>
    </row>
    <row r="1073" spans="2:3" ht="60">
      <c r="B1073" s="446">
        <f>DPR!C1061</f>
        <v>46069</v>
      </c>
      <c r="C1073" s="364" t="str">
        <f>DPR!AJ1061</f>
        <v xml:space="preserve">SCB:Due to the unavailability of ullage, the dispatch of produced hydrocarbons has been affected.
MECL:Prod'n deferred due to waiting well services.
CPO-5:Prod'n deferred due to the shutdown of Perico-1X and Halcon-1X wells.
</v>
      </c>
    </row>
    <row r="1074" spans="2:3" ht="60">
      <c r="B1074" s="446">
        <f>DPR!C1062</f>
        <v>46070</v>
      </c>
      <c r="C1074" s="364" t="str">
        <f>DPR!AJ1062</f>
        <v xml:space="preserve">SCB:Due to the unavailability of ullage, the dispatch of produced hydrocarbons has been affected.
MECL:Prod'n deferred due to waiting well services.
CPO-5:Prod'n deferred due to the shutdown of Perico-1X and Halcon-1X wells.
</v>
      </c>
    </row>
    <row r="1075" spans="2:3" ht="60">
      <c r="B1075" s="446">
        <f>DPR!C1063</f>
        <v>46071</v>
      </c>
      <c r="C1075" s="364" t="str">
        <f>DPR!AJ1063</f>
        <v xml:space="preserve">SCB:Due to the unavailability of ullage, the dispatch of produced hydrocarbons has been affected.
MECL:Prod'n deferred due to waiting well services.
CPO-5:Prod'n deferred due to the shutdown of Perico-1X and Halcon-1X wells.
</v>
      </c>
    </row>
    <row r="1076" spans="2:3" ht="75">
      <c r="B1076" s="446">
        <f>DPR!C1064</f>
        <v>46072</v>
      </c>
      <c r="C1076" s="364" t="str">
        <f>DPR!AJ1064</f>
        <v xml:space="preserve">SCB:Due to the unavailability of ullage, the dispatch of produced hydrocarbons has been affected.
MECL:Prod'n deferred due to waiting well services.
CPO-5:Prod'n deferred due to the shutdown of Perico-1X and Halcon-1X wells.
CPO-5: Prod'n deferred due to blockade by local community.
</v>
      </c>
    </row>
    <row r="1077" spans="2:3" ht="60">
      <c r="B1077" s="446">
        <f>DPR!C1065</f>
        <v>46073</v>
      </c>
      <c r="C1077" s="364" t="str">
        <f>DPR!AJ1065</f>
        <v xml:space="preserve">SCB:Due to the unavailability of ullage, the dispatch of produced hydrocarbons has been affected.
MECL:Prod'n deferred due to waiting well services.
CPO-5: Prod'n deferred due to blockade by local community.
</v>
      </c>
    </row>
    <row r="1078" spans="2:3" ht="75">
      <c r="B1078" s="446">
        <f>DPR!C1066</f>
        <v>46074</v>
      </c>
      <c r="C1078" s="364" t="str">
        <f>DPR!AJ1066</f>
        <v xml:space="preserve">SCB:Due to the unavailability of ullage, the dispatch of produced hydrocarbons has been affected.
MECL:Prod'n deferred due to waiting well services.
CPO-5: Prod'n deferred due to blockade by local community.
SPOC:4,464 bbl transfer to Tharjiath COST tank level.
</v>
      </c>
    </row>
    <row r="1079" spans="2:3" ht="45">
      <c r="B1079" s="446">
        <f>DPR!C1067</f>
        <v>46075</v>
      </c>
      <c r="C1079" s="364" t="str">
        <f>DPR!AJ1067</f>
        <v>SCB:Due to the unavailability of ullage, the dispatch of produced hydrocarbons has been affected.
MECL:Prod'n deferred due to waiting well services.
CPO-5: Prod'n deferred due to blockade by local community.</v>
      </c>
    </row>
    <row r="1080" spans="2:3" ht="45">
      <c r="B1080" s="446">
        <f>DPR!C1068</f>
        <v>46076</v>
      </c>
      <c r="C1080" s="364" t="str">
        <f>DPR!AJ1068</f>
        <v>SCB:Due to the unavailability of ullage, the dispatch of produced hydrocarbons has been affected.
MECL:Prod'n deferred due to waiting well services.
CPO-5: Prod'n deferred due to blockade by local community.</v>
      </c>
    </row>
    <row r="1081" spans="2:3" ht="45">
      <c r="B1081" s="446">
        <f>DPR!C1069</f>
        <v>46077</v>
      </c>
      <c r="C1081" s="364" t="str">
        <f>DPR!AJ1069</f>
        <v>SCB:Due to the unavailability of ullage, the dispatch of produced hydrocarbons has been affected.
MECL:Prod'n deferred due to waiting well services.
CPO-5: Prod'n deferred due to blockade by local community.</v>
      </c>
    </row>
    <row r="1082" spans="2:3" ht="45">
      <c r="B1082" s="446">
        <f>DPR!C1070</f>
        <v>46078</v>
      </c>
      <c r="C1082" s="364" t="str">
        <f>DPR!AJ1070</f>
        <v>SCB:Due to the unavailability of ullage, the dispatch of produced hydrocarbons has been affected.
MECL:Prod'n deferred due to waiting well services.
CPO-5: Prod'n deferred due to blockade by local community.</v>
      </c>
    </row>
    <row r="1083" spans="2:3" ht="45">
      <c r="B1083" s="446">
        <f>DPR!C1071</f>
        <v>46079</v>
      </c>
      <c r="C1083" s="364" t="str">
        <f>DPR!AJ1071</f>
        <v>SCB:Due to the unavailability of ullage, the dispatch of produced hydrocarbons has been affected.
MECL:Prod'n deferred due to waiting well services.
CPO-5: Prod'n deferred due to blockade by local community.</v>
      </c>
    </row>
    <row r="1084" spans="2:3" ht="45">
      <c r="B1084" s="446">
        <f>DPR!C1072</f>
        <v>46080</v>
      </c>
      <c r="C1084" s="364" t="str">
        <f>DPR!AJ1072</f>
        <v xml:space="preserve">MECL:Prod'n deferred due to waiting well services.
SCB:Due to the unavailability of ullage, the dispatch of produced hydrocarbons has been affected.
</v>
      </c>
    </row>
    <row r="1085" spans="2:3" ht="60">
      <c r="B1085" s="446">
        <f>DPR!C1073</f>
        <v>46081</v>
      </c>
      <c r="C1085" s="364" t="str">
        <f>DPR!AJ1073</f>
        <v xml:space="preserve">MECL:Prod'n deferred due to waiting well services.
SCB:Due to the unavailability of ullage, the dispatch of produced hydrocarbons has been affected.
LZC:Prod'n deferred due to management directives.
</v>
      </c>
    </row>
    <row r="1086" spans="2:3" ht="60">
      <c r="B1086" s="446">
        <f>DPR!C1074</f>
        <v>46082</v>
      </c>
      <c r="C1086" s="364" t="str">
        <f>DPR!AJ1074</f>
        <v xml:space="preserve">MECL:Prod'n deferred due to waiting well services.
SCB:Due to the unavailability of ullage, the dispatch of produced hydrocarbons has been affected.
</v>
      </c>
    </row>
    <row r="1087" spans="2:3" ht="60">
      <c r="B1087" s="446">
        <f>DPR!C1075</f>
        <v>46083</v>
      </c>
      <c r="C1087" s="364" t="str">
        <f>DPR!AJ1075</f>
        <v xml:space="preserve">MECL:Prod'n deferred due to waiting well services.
SCB:Due to the unavailability of ullage, the dispatch of produced hydrocarbons has been affected.
</v>
      </c>
    </row>
    <row r="1088" spans="2:3" ht="45">
      <c r="B1088" s="446">
        <f>DPR!C1076</f>
        <v>46084</v>
      </c>
      <c r="C1088" s="364" t="str">
        <f>DPR!AJ1076</f>
        <v>MECL:Prod'n deferred due to waiting well services.
SCB:Due to the unavailability of ullage, the dispatch of produced hydrocarbons has been affected.
SPOC :1,327 bbl transfer to Tharjiath COST tank level.</v>
      </c>
    </row>
    <row r="1089" spans="2:3" ht="60">
      <c r="B1089" s="446">
        <f>DPR!C1077</f>
        <v>46085</v>
      </c>
      <c r="C1089" s="364" t="str">
        <f>DPR!AJ1077</f>
        <v xml:space="preserve">MECL:Prod'n deferred due to waiting well services.
SCB:Due to the unavailability of ullage, the dispatch of produced hydrocarbons has been affected.
Vankor:Reason awaited from the operator.
</v>
      </c>
    </row>
    <row r="1090" spans="2:3" ht="105">
      <c r="B1090" s="446">
        <f>DPR!C1078</f>
        <v>46086</v>
      </c>
      <c r="C1090" s="364" t="str">
        <f>DPR!AJ1078</f>
        <v>MECL:Prod'n deferred due to waiting well services.SCB:Due to the unavailability of ullage, the dispatch of produced hydrocarbons has been affected.
Vankor:Oil: Repair of Oil Gathering Pipeline. Repair stages include shutdown of 183 wells. Gas: Gas Injection due to preventive maintenance at gas treatment and transportation facility "
SPOC :Due to power tripped affected 14 wells.
PCB : Production impact due to an increase in the % A&amp;S at the inlet to the COP plant ( above 29%). Well CGO-0092: 100% water (potential 0.200 MBD).</v>
      </c>
    </row>
    <row r="1091" spans="2:3" ht="105">
      <c r="B1091" s="446">
        <f>DPR!C1079</f>
        <v>46087</v>
      </c>
      <c r="C1091" s="364" t="str">
        <f>DPR!AJ1079</f>
        <v>MECL:Prod'n deferred due to waiting well services.SCB:Due to the unavailability of ullage, the dispatch of produced hydrocarbons has been affected.
Vankor:Oil: Repair of Oil Gathering Pipeline. Repair stages include shutdown of 183 wells. Gas: Gas Injection due to preventive maintenance at gas treatment and transportation facility "
SPOC:Prod'n deferred due to TJH-20 well shutdown due to VSD issue.
PCB : Production impact due to an increase in the % A&amp;S at the inlet to the COP plant ( above 29%). Well CGO-0092: 100% water (potential 0.200 MBD).</v>
      </c>
    </row>
    <row r="1092" spans="2:3" ht="90">
      <c r="B1092" s="446">
        <f>DPR!C1080</f>
        <v>46088</v>
      </c>
      <c r="C1092" s="364" t="str">
        <f>DPR!AJ1080</f>
        <v>MECL:Prod'n deferred due to waiting well services.SCB:Due to the unavailability of ullage, the dispatch of produced hydrocarbons has been affected.
Vankor:Oil: Repair of Oil Gathering Pipeline. Repair stages include shutdown of 183 wells. Gas: Gas Injection due to preventive maintenance at gas treatment and transportation facility "
PCB : Production impact due to an increase in the % A&amp;S at the inlet to the COP plant ( above 29%). Well CGO-0092: 100% water (potential 0.200 MBD).</v>
      </c>
    </row>
    <row r="1093" spans="2:3" ht="90">
      <c r="B1093" s="446">
        <f>DPR!C1081</f>
        <v>46089</v>
      </c>
      <c r="C1093" s="364" t="str">
        <f>DPR!AJ1081</f>
        <v>MECL:Prod'n deferred due to waiting well services.
SCB:Due to the unavailability of ullage, the dispatch of produced hydrocarbons has been affected.
Vankor:Oil: Repair of Oil Gathering Pipeline. Gas: Gas Injection due to preventive maintenance at gas treatment and transportation facility.
LZC:Prod'n has been reduced to 36 MBD (08.03.2026) from 456 MBD (05.03.2026) due to DAS ullage constraints.
SPOC: Prod'n deferred due to well shut-in resulting from DGFF process limitations.</v>
      </c>
    </row>
    <row r="1094" spans="2:3" ht="90">
      <c r="B1094" s="446">
        <f>DPR!C1082</f>
        <v>46090</v>
      </c>
      <c r="C1094" s="364" t="str">
        <f>DPR!AJ1082</f>
        <v>MECL:Prod'n deferred due to waiting well services.
SCB:Due to the unavailability of ullage, the dispatch of produced hydrocarbons has been affected.
Vankor:Oil: Repair of Oil Gathering Pipeline. Gas: Gas Injection due to preventive maintenance at gas treatment and transportation facility.
LZC:Prod'n deferred due to DAS ullage constraints.
SPOC: Prod'n deferred due to well shut-in resulting from DGFF process limitations.</v>
      </c>
    </row>
    <row r="1095" spans="2:3" ht="105">
      <c r="B1095" s="446">
        <f>DPR!C1083</f>
        <v>46091</v>
      </c>
      <c r="C1095" s="364" t="str">
        <f>DPR!AJ1083</f>
        <v xml:space="preserve">MECL:Prod'n deferred due to waiting well services.
SCB:Due to the unavailability of ullage, the dispatch of produced hydrocarbons has been affected.
Vankor:Oil: Repair of Oil Gathering Pipeline. Gas: Gas Injection due to preventive maintenance at gas treatment and transportation facility.
LZC:Prod'n deferred due to DAS ullage constraints.
SPOC: Prod'n deferred due to well shut-in resulting from DGFF process limitations._x000D_
</v>
      </c>
    </row>
    <row r="1096" spans="2:3" ht="75">
      <c r="B1096" s="446">
        <f>DPR!C1084</f>
        <v>46092</v>
      </c>
      <c r="C1096" s="364" t="str">
        <f>DPR!AJ1084</f>
        <v>MECL:Prod'n deferred due to waiting well services.
SCB:Due to the unavailability of ullage, the dispatch of produced hydrocarbons has been affected.
Vankor:Oil: Repair of Oil Gathering Pipeline. Gas: Gas Injection due to preventive maintenance at gas treatment and transportation facility.
LZC:Prod'n deferred due to DAS ullage constraints.</v>
      </c>
    </row>
    <row r="1097" spans="2:3" ht="75">
      <c r="B1097" s="446">
        <f>DPR!C1085</f>
        <v>46093</v>
      </c>
      <c r="C1097" s="364" t="str">
        <f>DPR!AJ1085</f>
        <v>MECL:Prod'n deferred due to waiting well services.
SCB:Due to the unavailability of ullage, the dispatch of produced hydrocarbons has been affected.
Vankor:Oil: Repair of Oil Gathering Pipeline. Gas: Gas Injection due to preventive maintenance at gas treatment and transportation facility.
LZC:Prod'n deferred due to DAS ullage constraints.</v>
      </c>
    </row>
    <row r="1098" spans="2:3" ht="90">
      <c r="B1098" s="446">
        <f>DPR!C1086</f>
        <v>46094</v>
      </c>
      <c r="C1098" s="364" t="str">
        <f>DPR!AJ1086</f>
        <v>MECL:Prod'n deferred due to waiting well services.
SCB:Due to the unavailability of ullage, the dispatch of produced hydrocarbons has been affected.
Vankor:Oil: Repair of Oil Gathering Pipeline. Gas: Gas Injection due to preventive maintenance at gas treatment and transportation facility.
LZC:Prod'n deferred due to DAS ullage constraints.
SPOC:5,474 bbl transfer to Tharjiath COST tank level.</v>
      </c>
    </row>
    <row r="1099" spans="2:3" ht="90">
      <c r="B1099" s="446">
        <f>DPR!C1087</f>
        <v>46095</v>
      </c>
      <c r="C1099" s="364" t="str">
        <f>DPR!AJ1087</f>
        <v>MECL:Prod'n deferred due to waiting well services.
SCB:Due to the unavailability of ullage, the dispatch of produced hydrocarbons has been affected.
Vankor:Oil: Repair of Oil Gathering Pipeline. Gas: Gas Injection due to preventive maintenance at gas treatment and transportation facility.
LZC:Prod'n deferred due to DAS ullage constraints.
SPOC:204 bbl transfer to Tharjiath COST tank level.</v>
      </c>
    </row>
    <row r="1100" spans="2:3" ht="90">
      <c r="B1100" s="446">
        <f>DPR!C1088</f>
        <v>46096</v>
      </c>
      <c r="C1100" s="364" t="str">
        <f>DPR!AJ1088</f>
        <v>MECL:Prod'n deferred due to waiting well services.
SCB:Due to the unavailability of ullage, the dispatch of produced hydrocarbons has been affected.
Vankor:Oil: Repair of Oil Gathering Pipeline. Gas: Gas Injection due to preventive maintenance at gas treatment and transportation facility.
LZC:Prod'n deferred due to DAS ullage constraints.
SPOC:204 bbl transfer to Tharjiath COST tank level.</v>
      </c>
    </row>
    <row r="1101" spans="2:3" ht="90">
      <c r="B1101" s="446">
        <f>DPR!C1089</f>
        <v>46097</v>
      </c>
      <c r="C1101" s="364" t="str">
        <f>DPR!AJ1089</f>
        <v xml:space="preserve">MECL:Prod'n deferred due to waiting well services.
SCB:Due to the unavailability of ullage, the dispatch of produced hydrocarbons has been affected.
Vankor:Oil: Repair of Oil Gathering Pipeline. Gas: Gas Injection due to preventive maintenance at gas treatment and transportation facility.
LZC:Prod'n deferred due to DAS ullage constraints.
</v>
      </c>
    </row>
    <row r="1102" spans="2:3" ht="105">
      <c r="B1102" s="446">
        <f>DPR!C1090</f>
        <v>46098</v>
      </c>
      <c r="C1102" s="364" t="str">
        <f>DPR!AJ1090</f>
        <v xml:space="preserve">MECL:Prod'n deferred due to waiting well services.
SCB:Due to the unavailability of ullage, the dispatch of produced hydrocarbons has been affected.
Vankor:Oil: Repair of Oil Gathering Pipeline. Gas: Gas Injection due to preventive maintenance at gas treatment and transportation facility.
LZC:Prod'n deferred due to DAS ullage constraints.
SPOC: (1,892) bbl transfer to Tharjiath COST tank level.
</v>
      </c>
    </row>
    <row r="1103" spans="2:3" ht="105">
      <c r="B1103" s="446">
        <f>DPR!C1091</f>
        <v>46099</v>
      </c>
      <c r="C1103" s="364" t="str">
        <f>DPR!AJ1091</f>
        <v xml:space="preserve">MECL:Prod'n deferred due to waiting well services.
SCB:Due to the unavailability of ullage, the dispatch of produced hydrocarbons has been affected.
Vankor:Oil: Repair of Oil Gathering Pipeline. Gas: Gas Injection due to preventive maintenance at gas treatment and transportation facility.
LZC:Prod'n deferred due to DAS ullage constraints.
GPOC:Prod'n Deferred due to Power tripped at Toma South,El Nar,Unity,El Toor &amp; Munga.
</v>
      </c>
    </row>
    <row r="1104" spans="2:3" ht="105">
      <c r="B1104" s="446">
        <f>DPR!C1092</f>
        <v>46100</v>
      </c>
      <c r="C1104" s="364" t="str">
        <f>DPR!AJ1092</f>
        <v xml:space="preserve">MECL:Prod'n deferred due to waiting well services.
SCB:Due to the unavailability of ullage, the dispatch of produced hydrocarbons has been affected.
Vankor:Oil: Repair of Oil Gathering Pipeline. Gas: Gas Injection due to preventive maintenance at gas treatment and transportation facility.
LZC:Prod'n deferred due to DAS ullage constraints.
GPOC:Prod'n Deferred due to Power tripped at Toma South,El Nar,Unity,El Toor &amp; Munga.
</v>
      </c>
    </row>
    <row r="1105" spans="2:3" ht="75">
      <c r="B1105" s="446">
        <f>DPR!C1093</f>
        <v>46101</v>
      </c>
      <c r="C1105" s="364" t="str">
        <f>DPR!AJ1093</f>
        <v>MECL:Prod'n deferred due to waiting well services.
SCB:Due to the unavailability of ullage, the dispatch of produced hydrocarbons has been affected.
Vankor:Oil: Repair of Oil Gathering Pipeline. Gas: Gas Injection due to preventive maintenance at gas treatment and transportation facility.
LZC:Prod'n deferred due to DAS ullage constraints.</v>
      </c>
    </row>
    <row r="1106" spans="2:3" ht="90">
      <c r="B1106" s="446">
        <f>DPR!C1094</f>
        <v>46102</v>
      </c>
      <c r="C1106" s="364" t="str">
        <f>DPR!AJ1094</f>
        <v>MECL:Prod'n deferred due to waiting well services.
SCB:Due to the unavailability of ullage, the dispatch of produced hydrocarbons has been affected.
Vankor:Oil: Repair of Oil Gathering Pipeline. Gas: Gas Injection due to preventive maintenance at gas treatment and transportation facility.
LZC:Prod'n deferred due to DAS ullage constraints.
SPOC: (838) bbl transfer to Tharjiath COST tank level.</v>
      </c>
    </row>
    <row r="1107" spans="2:3" ht="90">
      <c r="B1107" s="446">
        <f>DPR!C1095</f>
        <v>46103</v>
      </c>
      <c r="C1107" s="364" t="str">
        <f>DPR!AJ1095</f>
        <v>MECL:Prod'n deferred due to waiting well services.
SCB:Due to the unavailability of ullage, the dispatch of produced hydrocarbons has been affected.
Vankor:Oil: Repair of Oil Gathering Pipeline. Gas: Gas Injection due to preventive maintenance at gas treatment and transportation facility.
LZC:Prod'n deferred due to DAS ullage constraints.
SPOC: 5,257 bbl transfer to Tharjiath COST tank level.</v>
      </c>
    </row>
    <row r="1108" spans="2:3" ht="90">
      <c r="B1108" s="446">
        <f>DPR!C1096</f>
        <v>46104</v>
      </c>
      <c r="C1108" s="364" t="str">
        <f>DPR!AJ1096</f>
        <v>MECL:Prod'n deferred due to waiting well services.
SCB:Due to the unavailability of ullage, the dispatch of produced hydrocarbons has been affected.
Vankor:Oil: Repair of Oil Gathering Pipeline. Gas: Gas Injection due to preventive maintenance at gas treatment and transportation facility.
LZC:Prod'n deferred due to DAS ullage constraints.
SPOC: 1,043 bbl transfer to Tharjiath COST tank level.</v>
      </c>
    </row>
    <row r="1109" spans="2:3" ht="75">
      <c r="B1109" s="446">
        <f>DPR!C1097</f>
        <v>46105</v>
      </c>
      <c r="C1109" s="364" t="str">
        <f>DPR!AJ1097</f>
        <v>MECL:Prod'n deferred due to waiting well services.
SCB:Due to the unavailability of ullage, the dispatch of produced hydrocarbons has been affected.
Vankor:Oil: Repair of Oil Gathering Pipeline. Gas: Gas Injection due to preventive maintenance at gas treatment and transportation facility.
LZC:Prod'n deferred due to DAS ullage constraints.</v>
      </c>
    </row>
    <row r="1110" spans="2:3">
      <c r="B1110" s="446" t="e">
        <f>DPR!#REF!</f>
        <v>#REF!</v>
      </c>
      <c r="C1110" s="364" t="e">
        <f>DPR!#REF!</f>
        <v>#REF!</v>
      </c>
    </row>
    <row r="1111" spans="2:3" ht="60">
      <c r="B1111" s="446">
        <f>DPR!C1098</f>
        <v>46106</v>
      </c>
      <c r="C1111" s="364" t="str">
        <f>DPR!AJ1098</f>
        <v>MECL:Prod'n deferred due to waiting well services.
SCB:Due to the unavailability of ullage, the dispatch of produced hydrocarbons has been affected.
LZC:Prod'n deferred due to DAS ullage constraints.
GPOC:Less production due to power trip in Toma South,Unity,El Nar, El Toor &amp; Munga.</v>
      </c>
    </row>
    <row r="1112" spans="2:3" ht="75">
      <c r="B1112" s="446">
        <f>DPR!C1099</f>
        <v>46107</v>
      </c>
      <c r="C1112" s="364" t="str">
        <f>DPR!AJ1099</f>
        <v>MECL:Prod'n deferred due to waiting well services.
SCB:Due to the unavailability of ullage, the dispatch of produced hydrocarbons has been affected.
LZC:Prod'n deferred due to DAS ullage constraints.
GPOC:Less production due to power trip in Toma South,Unity,El Nar, El Toor &amp; Munga.
SPOC: 5,625 bbl transfer to Tharjiath COST tank level.</v>
      </c>
    </row>
    <row r="1113" spans="2:3" ht="45">
      <c r="B1113" s="446">
        <f>DPR!C1100</f>
        <v>46108</v>
      </c>
      <c r="C1113" s="364" t="str">
        <f>DPR!AJ1100</f>
        <v>MECL:Prod'n deferred due to waiting well services.
SCB:Due to the unavailability of ullage, the dispatch of produced hydrocarbons has been affected.
LZC:Prod'n deferred due to DAS ullage constraints.</v>
      </c>
    </row>
    <row r="1114" spans="2:3" ht="45">
      <c r="B1114" s="446">
        <f>DPR!C1101</f>
        <v>46109</v>
      </c>
      <c r="C1114" s="364" t="str">
        <f>DPR!AJ1101</f>
        <v>MECL:Prod'n deferred due to waiting well services.
SCB:Due to the unavailability of ullage, the dispatch of produced hydrocarbons has been affected.
LZC:Prod'n deferred due to DAS ullage constraints.</v>
      </c>
    </row>
    <row r="1115" spans="2:3" ht="45">
      <c r="B1115" s="446">
        <f>DPR!C1102</f>
        <v>46110</v>
      </c>
      <c r="C1115" s="364" t="str">
        <f>DPR!AJ1102</f>
        <v>MECL:Prod'n deferred due to waiting well services.
SCB:Due to the unavailability of ullage, the dispatch of produced hydrocarbons has been affected.
LZC:Prod'n deferred due to DAS ullage constraints.</v>
      </c>
    </row>
    <row r="1116" spans="2:3" ht="45">
      <c r="B1116" s="446">
        <f>DPR!C1103</f>
        <v>46111</v>
      </c>
      <c r="C1116" s="364" t="str">
        <f>DPR!AJ1103</f>
        <v>MECL:Prod'n deferred due to waiting well services.
SCB:Due to the unavailability of ullage, the dispatch of produced hydrocarbons has been affected.
LZC:Prod'n deferred due to DAS ullage constraints.</v>
      </c>
    </row>
    <row r="1117" spans="2:3" ht="45">
      <c r="B1117" s="446">
        <f>DPR!C1104</f>
        <v>46112</v>
      </c>
      <c r="C1117" s="364" t="str">
        <f>DPR!AJ1104</f>
        <v>MECL:Prod'n deferred due to waiting well services.
SCB:Due to the unavailability of ullage, the dispatch of produced hydrocarbons has been affected.
LZC:Prod'n deferred due to DAS ullage constraints.</v>
      </c>
    </row>
    <row r="1118" spans="2:3" ht="75">
      <c r="B1118" s="446">
        <f>DPR!C1105</f>
        <v>46113</v>
      </c>
      <c r="C1118" s="364" t="str">
        <f>DPR!AJ1105</f>
        <v xml:space="preserve">MECL:Prod'n deferred due to waiting well services.
SCB:Due to the unavailability of ullage, the dispatch of produced hydrocarbons has been affected.
LZC:Prod'n deferred due to DAS ullage constraints.
SPOC:1,460 bbl transfer to Tharjiath COST tank level.
</v>
      </c>
    </row>
    <row r="1119" spans="2:3" ht="60">
      <c r="B1119" s="446">
        <f>DPR!C1106</f>
        <v>46114</v>
      </c>
      <c r="C1119" s="364" t="str">
        <f>DPR!AJ1106</f>
        <v xml:space="preserve">MECL:Prod'n deferred due to waiting well services.
SCB:Due to the unavailability of ullage, the dispatch of produced hydrocarbons has been affected.
LZC:Prod'n deferred due to DAS ullage constraints.
</v>
      </c>
    </row>
    <row r="1120" spans="2:3" ht="60">
      <c r="B1120" s="446">
        <f>DPR!C1107</f>
        <v>46115</v>
      </c>
      <c r="C1120" s="364" t="str">
        <f>DPR!AJ1107</f>
        <v xml:space="preserve">MECL:Prod'n deferred due to waiting well services.
SCB:Due to the unavailability of ullage, the dispatch of produced hydrocarbons has been affected.
LZC:Prod'n deferred due to DAS ullage constraints.
</v>
      </c>
    </row>
    <row r="1121" spans="2:3" ht="75">
      <c r="B1121" s="446">
        <f>DPR!C1108</f>
        <v>46116</v>
      </c>
      <c r="C1121" s="364" t="str">
        <f>DPR!AJ1108</f>
        <v xml:space="preserve">MECL:Prod'n deferred due to waiting well services.
SCB:Due to the unavailability of ullage, the dispatch of produced hydrocarbons has been affected.
LZC:Prod'n deferred due to DAS ullage constraints.
SPOC:1,460 bbl transfer to Tharjiath COST tank level.
</v>
      </c>
    </row>
    <row r="1122" spans="2:3" ht="75">
      <c r="B1122" s="446">
        <f>DPR!C1109</f>
        <v>46117</v>
      </c>
      <c r="C1122" s="364" t="str">
        <f>DPR!AJ1109</f>
        <v xml:space="preserve">MECL:Prod'n deferred due to waiting well services.
SCB:Due to the unavailability of ullage, the dispatch of produced hydrocarbons has been affected.
LZC:Prod'n deferred due to DAS ullage constraints.
SPOC:725 bbl transfer to Tharjiath COST tank level.
</v>
      </c>
    </row>
    <row r="1123" spans="2:3" hidden="1">
      <c r="B1123" s="446" t="e">
        <f>DPR!#REF!</f>
        <v>#REF!</v>
      </c>
      <c r="C1123" s="364" t="e">
        <f>DPR!#REF!</f>
        <v>#REF!</v>
      </c>
    </row>
    <row r="1124" spans="2:3" hidden="1">
      <c r="B1124" s="446" t="e">
        <f>DPR!#REF!</f>
        <v>#REF!</v>
      </c>
      <c r="C1124" s="364" t="e">
        <f>DPR!#REF!</f>
        <v>#REF!</v>
      </c>
    </row>
    <row r="1125" spans="2:3" hidden="1">
      <c r="B1125" s="446" t="e">
        <f>DPR!#REF!</f>
        <v>#REF!</v>
      </c>
      <c r="C1125" s="364" t="e">
        <f>DPR!#REF!</f>
        <v>#REF!</v>
      </c>
    </row>
    <row r="1126" spans="2:3" hidden="1">
      <c r="B1126" s="446" t="e">
        <f>DPR!#REF!</f>
        <v>#REF!</v>
      </c>
      <c r="C1126" s="364" t="e">
        <f>DPR!#REF!</f>
        <v>#REF!</v>
      </c>
    </row>
    <row r="1127" spans="2:3" hidden="1">
      <c r="B1127" s="446" t="e">
        <f>DPR!#REF!</f>
        <v>#REF!</v>
      </c>
      <c r="C1127" s="364" t="e">
        <f>DPR!#REF!</f>
        <v>#REF!</v>
      </c>
    </row>
    <row r="1128" spans="2:3" hidden="1">
      <c r="B1128" s="446" t="e">
        <f>DPR!#REF!</f>
        <v>#REF!</v>
      </c>
      <c r="C1128" s="364" t="e">
        <f>DPR!#REF!</f>
        <v>#REF!</v>
      </c>
    </row>
    <row r="1129" spans="2:3" hidden="1">
      <c r="B1129" s="446" t="e">
        <f>DPR!#REF!</f>
        <v>#REF!</v>
      </c>
      <c r="C1129" s="364" t="e">
        <f>DPR!#REF!</f>
        <v>#REF!</v>
      </c>
    </row>
    <row r="1130" spans="2:3" hidden="1">
      <c r="B1130" s="446" t="e">
        <f>DPR!#REF!</f>
        <v>#REF!</v>
      </c>
      <c r="C1130" s="364" t="e">
        <f>DPR!#REF!</f>
        <v>#REF!</v>
      </c>
    </row>
    <row r="1131" spans="2:3" hidden="1">
      <c r="B1131" s="446" t="e">
        <f>DPR!#REF!</f>
        <v>#REF!</v>
      </c>
      <c r="C1131" s="364" t="e">
        <f>DPR!#REF!</f>
        <v>#REF!</v>
      </c>
    </row>
    <row r="1132" spans="2:3" hidden="1">
      <c r="B1132" s="446" t="e">
        <f>DPR!#REF!</f>
        <v>#REF!</v>
      </c>
      <c r="C1132" s="364" t="e">
        <f>DPR!#REF!</f>
        <v>#REF!</v>
      </c>
    </row>
    <row r="1133" spans="2:3" hidden="1">
      <c r="B1133" s="446" t="e">
        <f>DPR!#REF!</f>
        <v>#REF!</v>
      </c>
      <c r="C1133" s="364" t="e">
        <f>DPR!#REF!</f>
        <v>#REF!</v>
      </c>
    </row>
    <row r="1134" spans="2:3" hidden="1">
      <c r="B1134" s="446" t="e">
        <f>DPR!#REF!</f>
        <v>#REF!</v>
      </c>
      <c r="C1134" s="364" t="e">
        <f>DPR!#REF!</f>
        <v>#REF!</v>
      </c>
    </row>
    <row r="1135" spans="2:3" hidden="1">
      <c r="B1135" s="446" t="e">
        <f>DPR!#REF!</f>
        <v>#REF!</v>
      </c>
      <c r="C1135" s="364" t="e">
        <f>DPR!#REF!</f>
        <v>#REF!</v>
      </c>
    </row>
    <row r="1136" spans="2:3" hidden="1">
      <c r="B1136" s="446" t="e">
        <f>DPR!#REF!</f>
        <v>#REF!</v>
      </c>
      <c r="C1136" s="364" t="e">
        <f>DPR!#REF!</f>
        <v>#REF!</v>
      </c>
    </row>
    <row r="1137" spans="2:3" hidden="1">
      <c r="B1137" s="446" t="e">
        <f>DPR!#REF!</f>
        <v>#REF!</v>
      </c>
      <c r="C1137" s="364" t="e">
        <f>DPR!#REF!</f>
        <v>#REF!</v>
      </c>
    </row>
    <row r="1138" spans="2:3" hidden="1">
      <c r="B1138" s="446" t="e">
        <f>DPR!#REF!</f>
        <v>#REF!</v>
      </c>
      <c r="C1138" s="364" t="e">
        <f>DPR!#REF!</f>
        <v>#REF!</v>
      </c>
    </row>
    <row r="1139" spans="2:3" hidden="1">
      <c r="B1139" s="446" t="e">
        <f>DPR!#REF!</f>
        <v>#REF!</v>
      </c>
      <c r="C1139" s="364" t="e">
        <f>DPR!#REF!</f>
        <v>#REF!</v>
      </c>
    </row>
    <row r="1140" spans="2:3" hidden="1">
      <c r="B1140" s="446" t="e">
        <f>DPR!#REF!</f>
        <v>#REF!</v>
      </c>
      <c r="C1140" s="364" t="e">
        <f>DPR!#REF!</f>
        <v>#REF!</v>
      </c>
    </row>
    <row r="1141" spans="2:3" hidden="1">
      <c r="B1141" s="446" t="e">
        <f>DPR!#REF!</f>
        <v>#REF!</v>
      </c>
      <c r="C1141" s="364" t="e">
        <f>DPR!#REF!</f>
        <v>#REF!</v>
      </c>
    </row>
    <row r="1142" spans="2:3" hidden="1">
      <c r="B1142" s="446" t="e">
        <f>DPR!#REF!</f>
        <v>#REF!</v>
      </c>
      <c r="C1142" s="364" t="e">
        <f>DPR!#REF!</f>
        <v>#REF!</v>
      </c>
    </row>
    <row r="1143" spans="2:3" hidden="1">
      <c r="B1143" s="446" t="e">
        <f>DPR!#REF!</f>
        <v>#REF!</v>
      </c>
      <c r="C1143" s="364" t="e">
        <f>DPR!#REF!</f>
        <v>#REF!</v>
      </c>
    </row>
    <row r="1144" spans="2:3" hidden="1">
      <c r="B1144" s="446" t="e">
        <f>DPR!#REF!</f>
        <v>#REF!</v>
      </c>
      <c r="C1144" s="364" t="e">
        <f>DPR!#REF!</f>
        <v>#REF!</v>
      </c>
    </row>
    <row r="1145" spans="2:3" hidden="1">
      <c r="B1145" s="446" t="e">
        <f>DPR!#REF!</f>
        <v>#REF!</v>
      </c>
      <c r="C1145" s="364" t="e">
        <f>DPR!#REF!</f>
        <v>#REF!</v>
      </c>
    </row>
    <row r="1146" spans="2:3" hidden="1">
      <c r="B1146" s="446" t="e">
        <f>DPR!#REF!</f>
        <v>#REF!</v>
      </c>
      <c r="C1146" s="364" t="e">
        <f>DPR!#REF!</f>
        <v>#REF!</v>
      </c>
    </row>
    <row r="1147" spans="2:3" hidden="1">
      <c r="B1147" s="446" t="e">
        <f>DPR!#REF!</f>
        <v>#REF!</v>
      </c>
      <c r="C1147" s="364" t="e">
        <f>DPR!#REF!</f>
        <v>#REF!</v>
      </c>
    </row>
    <row r="1148" spans="2:3" hidden="1">
      <c r="B1148" s="446" t="e">
        <f>DPR!#REF!</f>
        <v>#REF!</v>
      </c>
      <c r="C1148" s="364" t="e">
        <f>DPR!#REF!</f>
        <v>#REF!</v>
      </c>
    </row>
    <row r="1149" spans="2:3" hidden="1">
      <c r="B1149" s="446" t="e">
        <f>DPR!#REF!</f>
        <v>#REF!</v>
      </c>
      <c r="C1149" s="364" t="e">
        <f>DPR!#REF!</f>
        <v>#REF!</v>
      </c>
    </row>
    <row r="1150" spans="2:3" hidden="1">
      <c r="B1150" s="446" t="e">
        <f>DPR!#REF!</f>
        <v>#REF!</v>
      </c>
      <c r="C1150" s="364" t="e">
        <f>DPR!#REF!</f>
        <v>#REF!</v>
      </c>
    </row>
    <row r="1151" spans="2:3" hidden="1">
      <c r="B1151" s="446" t="e">
        <f>DPR!#REF!</f>
        <v>#REF!</v>
      </c>
      <c r="C1151" s="364" t="e">
        <f>DPR!#REF!</f>
        <v>#REF!</v>
      </c>
    </row>
    <row r="1152" spans="2:3" hidden="1">
      <c r="B1152" s="446" t="e">
        <f>DPR!#REF!</f>
        <v>#REF!</v>
      </c>
      <c r="C1152" s="364" t="e">
        <f>DPR!#REF!</f>
        <v>#REF!</v>
      </c>
    </row>
    <row r="1153" spans="2:3" hidden="1">
      <c r="B1153" s="446" t="e">
        <f>DPR!#REF!</f>
        <v>#REF!</v>
      </c>
      <c r="C1153" s="364" t="e">
        <f>DPR!#REF!</f>
        <v>#REF!</v>
      </c>
    </row>
    <row r="1154" spans="2:3" hidden="1">
      <c r="B1154" s="446" t="e">
        <f>DPR!#REF!</f>
        <v>#REF!</v>
      </c>
      <c r="C1154" s="364" t="e">
        <f>DPR!#REF!</f>
        <v>#REF!</v>
      </c>
    </row>
    <row r="1155" spans="2:3" hidden="1">
      <c r="B1155" s="446" t="e">
        <f>DPR!#REF!</f>
        <v>#REF!</v>
      </c>
      <c r="C1155" s="364" t="e">
        <f>DPR!#REF!</f>
        <v>#REF!</v>
      </c>
    </row>
    <row r="1156" spans="2:3" hidden="1">
      <c r="B1156" s="446" t="e">
        <f>DPR!#REF!</f>
        <v>#REF!</v>
      </c>
      <c r="C1156" s="364" t="e">
        <f>DPR!#REF!</f>
        <v>#REF!</v>
      </c>
    </row>
    <row r="1157" spans="2:3" hidden="1">
      <c r="B1157" s="446" t="e">
        <f>DPR!#REF!</f>
        <v>#REF!</v>
      </c>
      <c r="C1157" s="364" t="e">
        <f>DPR!#REF!</f>
        <v>#REF!</v>
      </c>
    </row>
    <row r="1158" spans="2:3" hidden="1">
      <c r="B1158" s="446" t="e">
        <f>DPR!#REF!</f>
        <v>#REF!</v>
      </c>
      <c r="C1158" s="364" t="e">
        <f>DPR!#REF!</f>
        <v>#REF!</v>
      </c>
    </row>
    <row r="1159" spans="2:3" hidden="1">
      <c r="B1159" s="446" t="e">
        <f>DPR!#REF!</f>
        <v>#REF!</v>
      </c>
      <c r="C1159" s="364" t="e">
        <f>DPR!#REF!</f>
        <v>#REF!</v>
      </c>
    </row>
    <row r="1160" spans="2:3" hidden="1">
      <c r="B1160" s="446" t="e">
        <f>DPR!#REF!</f>
        <v>#REF!</v>
      </c>
      <c r="C1160" s="364" t="e">
        <f>DPR!#REF!</f>
        <v>#REF!</v>
      </c>
    </row>
    <row r="1161" spans="2:3" hidden="1">
      <c r="B1161" s="446" t="e">
        <f>DPR!#REF!</f>
        <v>#REF!</v>
      </c>
      <c r="C1161" s="364" t="e">
        <f>DPR!#REF!</f>
        <v>#REF!</v>
      </c>
    </row>
    <row r="1162" spans="2:3" hidden="1">
      <c r="B1162" s="446" t="e">
        <f>DPR!#REF!</f>
        <v>#REF!</v>
      </c>
      <c r="C1162" s="364" t="e">
        <f>DPR!#REF!</f>
        <v>#REF!</v>
      </c>
    </row>
    <row r="1163" spans="2:3" hidden="1">
      <c r="B1163" s="446" t="e">
        <f>DPR!#REF!</f>
        <v>#REF!</v>
      </c>
      <c r="C1163" s="364" t="e">
        <f>DPR!#REF!</f>
        <v>#REF!</v>
      </c>
    </row>
    <row r="1164" spans="2:3" hidden="1">
      <c r="B1164" s="446" t="e">
        <f>DPR!#REF!</f>
        <v>#REF!</v>
      </c>
      <c r="C1164" s="364" t="e">
        <f>DPR!#REF!</f>
        <v>#REF!</v>
      </c>
    </row>
    <row r="1165" spans="2:3" hidden="1">
      <c r="B1165" s="446" t="e">
        <f>DPR!#REF!</f>
        <v>#REF!</v>
      </c>
      <c r="C1165" s="364" t="e">
        <f>DPR!#REF!</f>
        <v>#REF!</v>
      </c>
    </row>
    <row r="1166" spans="2:3" hidden="1">
      <c r="B1166" s="446" t="e">
        <f>DPR!#REF!</f>
        <v>#REF!</v>
      </c>
      <c r="C1166" s="364" t="e">
        <f>DPR!#REF!</f>
        <v>#REF!</v>
      </c>
    </row>
    <row r="1167" spans="2:3" hidden="1">
      <c r="B1167" s="446" t="e">
        <f>DPR!#REF!</f>
        <v>#REF!</v>
      </c>
      <c r="C1167" s="364" t="e">
        <f>DPR!#REF!</f>
        <v>#REF!</v>
      </c>
    </row>
    <row r="1168" spans="2:3" hidden="1">
      <c r="B1168" s="446" t="e">
        <f>DPR!#REF!</f>
        <v>#REF!</v>
      </c>
      <c r="C1168" s="364" t="e">
        <f>DPR!#REF!</f>
        <v>#REF!</v>
      </c>
    </row>
    <row r="1169" spans="2:3" hidden="1">
      <c r="B1169" s="446" t="e">
        <f>DPR!#REF!</f>
        <v>#REF!</v>
      </c>
      <c r="C1169" s="364" t="e">
        <f>DPR!#REF!</f>
        <v>#REF!</v>
      </c>
    </row>
    <row r="1170" spans="2:3" hidden="1">
      <c r="B1170" s="446" t="e">
        <f>DPR!#REF!</f>
        <v>#REF!</v>
      </c>
      <c r="C1170" s="364" t="e">
        <f>DPR!#REF!</f>
        <v>#REF!</v>
      </c>
    </row>
    <row r="1171" spans="2:3" hidden="1">
      <c r="B1171" s="446" t="e">
        <f>DPR!#REF!</f>
        <v>#REF!</v>
      </c>
      <c r="C1171" s="364" t="e">
        <f>DPR!#REF!</f>
        <v>#REF!</v>
      </c>
    </row>
    <row r="1172" spans="2:3" hidden="1">
      <c r="B1172" s="446" t="e">
        <f>DPR!#REF!</f>
        <v>#REF!</v>
      </c>
      <c r="C1172" s="364" t="e">
        <f>DPR!#REF!</f>
        <v>#REF!</v>
      </c>
    </row>
    <row r="1173" spans="2:3" hidden="1">
      <c r="B1173" s="446" t="e">
        <f>DPR!#REF!</f>
        <v>#REF!</v>
      </c>
      <c r="C1173" s="364" t="e">
        <f>DPR!#REF!</f>
        <v>#REF!</v>
      </c>
    </row>
    <row r="1174" spans="2:3" hidden="1">
      <c r="B1174" s="446" t="e">
        <f>DPR!#REF!</f>
        <v>#REF!</v>
      </c>
      <c r="C1174" s="364" t="e">
        <f>DPR!#REF!</f>
        <v>#REF!</v>
      </c>
    </row>
    <row r="1175" spans="2:3" hidden="1">
      <c r="B1175" s="446" t="e">
        <f>DPR!#REF!</f>
        <v>#REF!</v>
      </c>
      <c r="C1175" s="364" t="e">
        <f>DPR!#REF!</f>
        <v>#REF!</v>
      </c>
    </row>
    <row r="1176" spans="2:3" hidden="1">
      <c r="B1176" s="446" t="e">
        <f>DPR!#REF!</f>
        <v>#REF!</v>
      </c>
      <c r="C1176" s="364" t="e">
        <f>DPR!#REF!</f>
        <v>#REF!</v>
      </c>
    </row>
    <row r="1177" spans="2:3" hidden="1">
      <c r="B1177" s="446" t="e">
        <f>DPR!#REF!</f>
        <v>#REF!</v>
      </c>
      <c r="C1177" s="364" t="e">
        <f>DPR!#REF!</f>
        <v>#REF!</v>
      </c>
    </row>
    <row r="1178" spans="2:3" hidden="1">
      <c r="B1178" s="446" t="e">
        <f>DPR!#REF!</f>
        <v>#REF!</v>
      </c>
      <c r="C1178" s="364" t="e">
        <f>DPR!#REF!</f>
        <v>#REF!</v>
      </c>
    </row>
    <row r="1179" spans="2:3" hidden="1">
      <c r="B1179" s="446" t="e">
        <f>DPR!#REF!</f>
        <v>#REF!</v>
      </c>
      <c r="C1179" s="364" t="e">
        <f>DPR!#REF!</f>
        <v>#REF!</v>
      </c>
    </row>
    <row r="1180" spans="2:3" hidden="1">
      <c r="B1180" s="446" t="e">
        <f>DPR!#REF!</f>
        <v>#REF!</v>
      </c>
      <c r="C1180" s="364" t="e">
        <f>DPR!#REF!</f>
        <v>#REF!</v>
      </c>
    </row>
    <row r="1181" spans="2:3" hidden="1">
      <c r="B1181" s="446" t="e">
        <f>DPR!#REF!</f>
        <v>#REF!</v>
      </c>
      <c r="C1181" s="364" t="e">
        <f>DPR!#REF!</f>
        <v>#REF!</v>
      </c>
    </row>
    <row r="1182" spans="2:3" hidden="1">
      <c r="B1182" s="446" t="e">
        <f>DPR!#REF!</f>
        <v>#REF!</v>
      </c>
      <c r="C1182" s="364" t="e">
        <f>DPR!#REF!</f>
        <v>#REF!</v>
      </c>
    </row>
    <row r="1183" spans="2:3" hidden="1">
      <c r="B1183" s="446" t="e">
        <f>DPR!#REF!</f>
        <v>#REF!</v>
      </c>
      <c r="C1183" s="364" t="e">
        <f>DPR!#REF!</f>
        <v>#REF!</v>
      </c>
    </row>
    <row r="1184" spans="2:3" hidden="1">
      <c r="B1184" s="446" t="e">
        <f>DPR!#REF!</f>
        <v>#REF!</v>
      </c>
      <c r="C1184" s="364" t="e">
        <f>DPR!#REF!</f>
        <v>#REF!</v>
      </c>
    </row>
    <row r="1185" spans="2:3" hidden="1">
      <c r="B1185" s="446" t="e">
        <f>DPR!#REF!</f>
        <v>#REF!</v>
      </c>
      <c r="C1185" s="364" t="e">
        <f>DPR!#REF!</f>
        <v>#REF!</v>
      </c>
    </row>
    <row r="1186" spans="2:3" hidden="1">
      <c r="B1186" s="446" t="e">
        <f>DPR!#REF!</f>
        <v>#REF!</v>
      </c>
      <c r="C1186" s="364" t="e">
        <f>DPR!#REF!</f>
        <v>#REF!</v>
      </c>
    </row>
    <row r="1187" spans="2:3" hidden="1">
      <c r="B1187" s="446" t="e">
        <f>DPR!#REF!</f>
        <v>#REF!</v>
      </c>
      <c r="C1187" s="364" t="e">
        <f>DPR!#REF!</f>
        <v>#REF!</v>
      </c>
    </row>
    <row r="1188" spans="2:3" hidden="1">
      <c r="B1188" s="446" t="e">
        <f>DPR!#REF!</f>
        <v>#REF!</v>
      </c>
      <c r="C1188" s="364" t="e">
        <f>DPR!#REF!</f>
        <v>#REF!</v>
      </c>
    </row>
    <row r="1189" spans="2:3" hidden="1">
      <c r="B1189" s="446" t="e">
        <f>DPR!#REF!</f>
        <v>#REF!</v>
      </c>
      <c r="C1189" s="364" t="e">
        <f>DPR!#REF!</f>
        <v>#REF!</v>
      </c>
    </row>
    <row r="1190" spans="2:3" hidden="1">
      <c r="B1190" s="446" t="e">
        <f>DPR!#REF!</f>
        <v>#REF!</v>
      </c>
      <c r="C1190" s="364" t="e">
        <f>DPR!#REF!</f>
        <v>#REF!</v>
      </c>
    </row>
    <row r="1191" spans="2:3" hidden="1">
      <c r="B1191" s="446" t="e">
        <f>DPR!#REF!</f>
        <v>#REF!</v>
      </c>
      <c r="C1191" s="364" t="e">
        <f>DPR!#REF!</f>
        <v>#REF!</v>
      </c>
    </row>
    <row r="1192" spans="2:3" hidden="1">
      <c r="B1192" s="446" t="e">
        <f>DPR!#REF!</f>
        <v>#REF!</v>
      </c>
      <c r="C1192" s="364" t="e">
        <f>DPR!#REF!</f>
        <v>#REF!</v>
      </c>
    </row>
    <row r="1193" spans="2:3" hidden="1">
      <c r="B1193" s="446" t="e">
        <f>DPR!#REF!</f>
        <v>#REF!</v>
      </c>
      <c r="C1193" s="364" t="e">
        <f>DPR!#REF!</f>
        <v>#REF!</v>
      </c>
    </row>
    <row r="1194" spans="2:3" hidden="1">
      <c r="B1194" s="446" t="e">
        <f>DPR!#REF!</f>
        <v>#REF!</v>
      </c>
      <c r="C1194" s="364" t="e">
        <f>DPR!#REF!</f>
        <v>#REF!</v>
      </c>
    </row>
    <row r="1195" spans="2:3" hidden="1">
      <c r="B1195" s="446" t="e">
        <f>DPR!#REF!</f>
        <v>#REF!</v>
      </c>
      <c r="C1195" s="364" t="e">
        <f>DPR!#REF!</f>
        <v>#REF!</v>
      </c>
    </row>
    <row r="1196" spans="2:3" hidden="1">
      <c r="B1196" s="446" t="e">
        <f>DPR!#REF!</f>
        <v>#REF!</v>
      </c>
      <c r="C1196" s="364" t="e">
        <f>DPR!#REF!</f>
        <v>#REF!</v>
      </c>
    </row>
    <row r="1197" spans="2:3" hidden="1">
      <c r="B1197" s="446" t="e">
        <f>DPR!#REF!</f>
        <v>#REF!</v>
      </c>
      <c r="C1197" s="364" t="e">
        <f>DPR!#REF!</f>
        <v>#REF!</v>
      </c>
    </row>
    <row r="1198" spans="2:3" hidden="1">
      <c r="B1198" s="446" t="e">
        <f>DPR!#REF!</f>
        <v>#REF!</v>
      </c>
      <c r="C1198" s="364" t="e">
        <f>DPR!#REF!</f>
        <v>#REF!</v>
      </c>
    </row>
    <row r="1199" spans="2:3" hidden="1">
      <c r="B1199" s="446" t="e">
        <f>DPR!#REF!</f>
        <v>#REF!</v>
      </c>
      <c r="C1199" s="364" t="e">
        <f>DPR!#REF!</f>
        <v>#REF!</v>
      </c>
    </row>
    <row r="1200" spans="2:3" hidden="1">
      <c r="B1200" s="446" t="e">
        <f>DPR!#REF!</f>
        <v>#REF!</v>
      </c>
      <c r="C1200" s="364" t="e">
        <f>DPR!#REF!</f>
        <v>#REF!</v>
      </c>
    </row>
    <row r="1201" spans="2:3" hidden="1">
      <c r="B1201" s="446" t="e">
        <f>DPR!#REF!</f>
        <v>#REF!</v>
      </c>
      <c r="C1201" s="364" t="e">
        <f>DPR!#REF!</f>
        <v>#REF!</v>
      </c>
    </row>
    <row r="1202" spans="2:3" hidden="1">
      <c r="B1202" s="446" t="e">
        <f>DPR!#REF!</f>
        <v>#REF!</v>
      </c>
      <c r="C1202" s="364" t="e">
        <f>DPR!#REF!</f>
        <v>#REF!</v>
      </c>
    </row>
    <row r="1203" spans="2:3" hidden="1">
      <c r="B1203" s="446" t="e">
        <f>DPR!#REF!</f>
        <v>#REF!</v>
      </c>
      <c r="C1203" s="364" t="e">
        <f>DPR!#REF!</f>
        <v>#REF!</v>
      </c>
    </row>
    <row r="1204" spans="2:3" hidden="1">
      <c r="B1204" s="446" t="e">
        <f>DPR!#REF!</f>
        <v>#REF!</v>
      </c>
      <c r="C1204" s="364" t="e">
        <f>DPR!#REF!</f>
        <v>#REF!</v>
      </c>
    </row>
    <row r="1205" spans="2:3" hidden="1">
      <c r="B1205" s="446" t="e">
        <f>DPR!#REF!</f>
        <v>#REF!</v>
      </c>
      <c r="C1205" s="364" t="e">
        <f>DPR!#REF!</f>
        <v>#REF!</v>
      </c>
    </row>
    <row r="1206" spans="2:3" hidden="1">
      <c r="B1206" s="446" t="e">
        <f>DPR!#REF!</f>
        <v>#REF!</v>
      </c>
      <c r="C1206" s="364" t="e">
        <f>DPR!#REF!</f>
        <v>#REF!</v>
      </c>
    </row>
    <row r="1207" spans="2:3" hidden="1">
      <c r="B1207" s="446" t="e">
        <f>DPR!#REF!</f>
        <v>#REF!</v>
      </c>
      <c r="C1207" s="364" t="e">
        <f>DPR!#REF!</f>
        <v>#REF!</v>
      </c>
    </row>
    <row r="1208" spans="2:3" hidden="1">
      <c r="B1208" s="446" t="e">
        <f>DPR!#REF!</f>
        <v>#REF!</v>
      </c>
      <c r="C1208" s="364" t="e">
        <f>DPR!#REF!</f>
        <v>#REF!</v>
      </c>
    </row>
    <row r="1209" spans="2:3" hidden="1">
      <c r="B1209" s="446" t="e">
        <f>DPR!#REF!</f>
        <v>#REF!</v>
      </c>
      <c r="C1209" s="364" t="e">
        <f>DPR!#REF!</f>
        <v>#REF!</v>
      </c>
    </row>
    <row r="1210" spans="2:3" hidden="1">
      <c r="B1210" s="446" t="e">
        <f>DPR!#REF!</f>
        <v>#REF!</v>
      </c>
      <c r="C1210" s="364" t="e">
        <f>DPR!#REF!</f>
        <v>#REF!</v>
      </c>
    </row>
    <row r="1211" spans="2:3" hidden="1">
      <c r="B1211" s="446" t="e">
        <f>DPR!#REF!</f>
        <v>#REF!</v>
      </c>
      <c r="C1211" s="364" t="e">
        <f>DPR!#REF!</f>
        <v>#REF!</v>
      </c>
    </row>
    <row r="1212" spans="2:3" hidden="1">
      <c r="B1212" s="446" t="e">
        <f>DPR!#REF!</f>
        <v>#REF!</v>
      </c>
      <c r="C1212" s="364" t="e">
        <f>DPR!#REF!</f>
        <v>#REF!</v>
      </c>
    </row>
    <row r="1213" spans="2:3" hidden="1">
      <c r="B1213" s="446" t="e">
        <f>DPR!#REF!</f>
        <v>#REF!</v>
      </c>
      <c r="C1213" s="364" t="e">
        <f>DPR!#REF!</f>
        <v>#REF!</v>
      </c>
    </row>
    <row r="1214" spans="2:3" hidden="1">
      <c r="B1214" s="446" t="e">
        <f>DPR!#REF!</f>
        <v>#REF!</v>
      </c>
      <c r="C1214" s="364" t="e">
        <f>DPR!#REF!</f>
        <v>#REF!</v>
      </c>
    </row>
    <row r="1215" spans="2:3" hidden="1">
      <c r="B1215" s="446" t="e">
        <f>DPR!#REF!</f>
        <v>#REF!</v>
      </c>
      <c r="C1215" s="364" t="e">
        <f>DPR!#REF!</f>
        <v>#REF!</v>
      </c>
    </row>
    <row r="1216" spans="2:3" hidden="1">
      <c r="B1216" s="446" t="e">
        <f>DPR!#REF!</f>
        <v>#REF!</v>
      </c>
      <c r="C1216" s="364" t="e">
        <f>DPR!#REF!</f>
        <v>#REF!</v>
      </c>
    </row>
    <row r="1217" spans="2:3" hidden="1">
      <c r="B1217" s="446" t="e">
        <f>DPR!#REF!</f>
        <v>#REF!</v>
      </c>
      <c r="C1217" s="364" t="e">
        <f>DPR!#REF!</f>
        <v>#REF!</v>
      </c>
    </row>
    <row r="1218" spans="2:3" hidden="1">
      <c r="B1218" s="446" t="e">
        <f>DPR!#REF!</f>
        <v>#REF!</v>
      </c>
      <c r="C1218" s="364" t="e">
        <f>DPR!#REF!</f>
        <v>#REF!</v>
      </c>
    </row>
    <row r="1219" spans="2:3" hidden="1">
      <c r="B1219" s="446" t="e">
        <f>DPR!#REF!</f>
        <v>#REF!</v>
      </c>
      <c r="C1219" s="364" t="e">
        <f>DPR!#REF!</f>
        <v>#REF!</v>
      </c>
    </row>
    <row r="1220" spans="2:3" hidden="1">
      <c r="B1220" s="446" t="e">
        <f>DPR!#REF!</f>
        <v>#REF!</v>
      </c>
      <c r="C1220" s="364" t="e">
        <f>DPR!#REF!</f>
        <v>#REF!</v>
      </c>
    </row>
    <row r="1221" spans="2:3" hidden="1">
      <c r="B1221" s="446" t="e">
        <f>DPR!#REF!</f>
        <v>#REF!</v>
      </c>
      <c r="C1221" s="364" t="e">
        <f>DPR!#REF!</f>
        <v>#REF!</v>
      </c>
    </row>
    <row r="1222" spans="2:3" hidden="1">
      <c r="B1222" s="446" t="e">
        <f>DPR!#REF!</f>
        <v>#REF!</v>
      </c>
      <c r="C1222" s="364" t="e">
        <f>DPR!#REF!</f>
        <v>#REF!</v>
      </c>
    </row>
    <row r="1223" spans="2:3" hidden="1">
      <c r="B1223" s="446" t="e">
        <f>DPR!#REF!</f>
        <v>#REF!</v>
      </c>
      <c r="C1223" s="364" t="e">
        <f>DPR!#REF!</f>
        <v>#REF!</v>
      </c>
    </row>
    <row r="1224" spans="2:3" hidden="1">
      <c r="B1224" s="446" t="e">
        <f>DPR!#REF!</f>
        <v>#REF!</v>
      </c>
      <c r="C1224" s="364" t="e">
        <f>DPR!#REF!</f>
        <v>#REF!</v>
      </c>
    </row>
    <row r="1225" spans="2:3" hidden="1">
      <c r="B1225" s="446" t="e">
        <f>DPR!#REF!</f>
        <v>#REF!</v>
      </c>
      <c r="C1225" s="364" t="e">
        <f>DPR!#REF!</f>
        <v>#REF!</v>
      </c>
    </row>
    <row r="1226" spans="2:3" hidden="1">
      <c r="B1226" s="446" t="e">
        <f>DPR!#REF!</f>
        <v>#REF!</v>
      </c>
      <c r="C1226" s="364" t="e">
        <f>DPR!#REF!</f>
        <v>#REF!</v>
      </c>
    </row>
    <row r="1227" spans="2:3" hidden="1">
      <c r="B1227" s="446" t="e">
        <f>DPR!#REF!</f>
        <v>#REF!</v>
      </c>
      <c r="C1227" s="364" t="e">
        <f>DPR!#REF!</f>
        <v>#REF!</v>
      </c>
    </row>
    <row r="1228" spans="2:3" hidden="1">
      <c r="B1228" s="446" t="e">
        <f>DPR!#REF!</f>
        <v>#REF!</v>
      </c>
      <c r="C1228" s="364" t="e">
        <f>DPR!#REF!</f>
        <v>#REF!</v>
      </c>
    </row>
    <row r="1229" spans="2:3" hidden="1">
      <c r="B1229" s="446" t="e">
        <f>DPR!#REF!</f>
        <v>#REF!</v>
      </c>
      <c r="C1229" s="364" t="e">
        <f>DPR!#REF!</f>
        <v>#REF!</v>
      </c>
    </row>
    <row r="1230" spans="2:3" hidden="1">
      <c r="B1230" s="446" t="e">
        <f>DPR!#REF!</f>
        <v>#REF!</v>
      </c>
      <c r="C1230" s="364" t="e">
        <f>DPR!#REF!</f>
        <v>#REF!</v>
      </c>
    </row>
    <row r="1231" spans="2:3" hidden="1">
      <c r="B1231" s="446" t="e">
        <f>DPR!#REF!</f>
        <v>#REF!</v>
      </c>
      <c r="C1231" s="364" t="e">
        <f>DPR!#REF!</f>
        <v>#REF!</v>
      </c>
    </row>
    <row r="1232" spans="2:3" hidden="1">
      <c r="B1232" s="446" t="e">
        <f>DPR!#REF!</f>
        <v>#REF!</v>
      </c>
      <c r="C1232" s="364" t="e">
        <f>DPR!#REF!</f>
        <v>#REF!</v>
      </c>
    </row>
    <row r="1233" spans="2:3" hidden="1">
      <c r="B1233" s="446" t="e">
        <f>DPR!#REF!</f>
        <v>#REF!</v>
      </c>
      <c r="C1233" s="364" t="e">
        <f>DPR!#REF!</f>
        <v>#REF!</v>
      </c>
    </row>
    <row r="1234" spans="2:3" hidden="1">
      <c r="B1234" s="446" t="e">
        <f>DPR!#REF!</f>
        <v>#REF!</v>
      </c>
      <c r="C1234" s="364" t="e">
        <f>DPR!#REF!</f>
        <v>#REF!</v>
      </c>
    </row>
    <row r="1235" spans="2:3" hidden="1">
      <c r="B1235" s="446" t="e">
        <f>DPR!#REF!</f>
        <v>#REF!</v>
      </c>
      <c r="C1235" s="364" t="e">
        <f>DPR!#REF!</f>
        <v>#REF!</v>
      </c>
    </row>
    <row r="1236" spans="2:3" hidden="1">
      <c r="B1236" s="446" t="e">
        <f>DPR!#REF!</f>
        <v>#REF!</v>
      </c>
      <c r="C1236" s="364" t="e">
        <f>DPR!#REF!</f>
        <v>#REF!</v>
      </c>
    </row>
    <row r="1237" spans="2:3" hidden="1">
      <c r="B1237" s="446" t="e">
        <f>DPR!#REF!</f>
        <v>#REF!</v>
      </c>
      <c r="C1237" s="364" t="e">
        <f>DPR!#REF!</f>
        <v>#REF!</v>
      </c>
    </row>
    <row r="1238" spans="2:3" hidden="1">
      <c r="B1238" s="446" t="e">
        <f>DPR!#REF!</f>
        <v>#REF!</v>
      </c>
      <c r="C1238" s="364" t="e">
        <f>DPR!#REF!</f>
        <v>#REF!</v>
      </c>
    </row>
    <row r="1239" spans="2:3" hidden="1">
      <c r="B1239" s="446" t="e">
        <f>DPR!#REF!</f>
        <v>#REF!</v>
      </c>
      <c r="C1239" s="364" t="e">
        <f>DPR!#REF!</f>
        <v>#REF!</v>
      </c>
    </row>
    <row r="1240" spans="2:3" hidden="1">
      <c r="B1240" s="446" t="e">
        <f>DPR!#REF!</f>
        <v>#REF!</v>
      </c>
      <c r="C1240" s="364" t="e">
        <f>DPR!#REF!</f>
        <v>#REF!</v>
      </c>
    </row>
    <row r="1241" spans="2:3" hidden="1">
      <c r="B1241" s="446" t="e">
        <f>DPR!#REF!</f>
        <v>#REF!</v>
      </c>
      <c r="C1241" s="364" t="e">
        <f>DPR!#REF!</f>
        <v>#REF!</v>
      </c>
    </row>
    <row r="1242" spans="2:3" hidden="1">
      <c r="B1242" s="446" t="e">
        <f>DPR!#REF!</f>
        <v>#REF!</v>
      </c>
      <c r="C1242" s="364" t="e">
        <f>DPR!#REF!</f>
        <v>#REF!</v>
      </c>
    </row>
    <row r="1243" spans="2:3" hidden="1">
      <c r="B1243" s="446" t="e">
        <f>DPR!#REF!</f>
        <v>#REF!</v>
      </c>
      <c r="C1243" s="364" t="e">
        <f>DPR!#REF!</f>
        <v>#REF!</v>
      </c>
    </row>
    <row r="1244" spans="2:3" hidden="1">
      <c r="B1244" s="446" t="e">
        <f>DPR!#REF!</f>
        <v>#REF!</v>
      </c>
      <c r="C1244" s="364" t="e">
        <f>DPR!#REF!</f>
        <v>#REF!</v>
      </c>
    </row>
    <row r="1245" spans="2:3" hidden="1">
      <c r="B1245" s="446" t="e">
        <f>DPR!#REF!</f>
        <v>#REF!</v>
      </c>
      <c r="C1245" s="364" t="e">
        <f>DPR!#REF!</f>
        <v>#REF!</v>
      </c>
    </row>
    <row r="1246" spans="2:3" hidden="1">
      <c r="B1246" s="446" t="e">
        <f>DPR!#REF!</f>
        <v>#REF!</v>
      </c>
      <c r="C1246" s="364" t="e">
        <f>DPR!#REF!</f>
        <v>#REF!</v>
      </c>
    </row>
    <row r="1247" spans="2:3" hidden="1">
      <c r="B1247" s="446" t="e">
        <f>DPR!#REF!</f>
        <v>#REF!</v>
      </c>
      <c r="C1247" s="364" t="e">
        <f>DPR!#REF!</f>
        <v>#REF!</v>
      </c>
    </row>
    <row r="1248" spans="2:3" hidden="1">
      <c r="B1248" s="446" t="e">
        <f>DPR!#REF!</f>
        <v>#REF!</v>
      </c>
      <c r="C1248" s="364" t="e">
        <f>DPR!#REF!</f>
        <v>#REF!</v>
      </c>
    </row>
    <row r="1249" spans="2:3" hidden="1">
      <c r="B1249" s="446" t="e">
        <f>DPR!#REF!</f>
        <v>#REF!</v>
      </c>
      <c r="C1249" s="364" t="e">
        <f>DPR!#REF!</f>
        <v>#REF!</v>
      </c>
    </row>
    <row r="1250" spans="2:3" hidden="1">
      <c r="B1250" s="446" t="e">
        <f>DPR!#REF!</f>
        <v>#REF!</v>
      </c>
      <c r="C1250" s="364" t="e">
        <f>DPR!#REF!</f>
        <v>#REF!</v>
      </c>
    </row>
    <row r="1251" spans="2:3" hidden="1">
      <c r="B1251" s="446" t="e">
        <f>DPR!#REF!</f>
        <v>#REF!</v>
      </c>
      <c r="C1251" s="364" t="e">
        <f>DPR!#REF!</f>
        <v>#REF!</v>
      </c>
    </row>
    <row r="1252" spans="2:3" hidden="1">
      <c r="B1252" s="446" t="e">
        <f>DPR!#REF!</f>
        <v>#REF!</v>
      </c>
      <c r="C1252" s="364" t="e">
        <f>DPR!#REF!</f>
        <v>#REF!</v>
      </c>
    </row>
    <row r="1253" spans="2:3" hidden="1">
      <c r="B1253" s="446" t="e">
        <f>DPR!#REF!</f>
        <v>#REF!</v>
      </c>
      <c r="C1253" s="364" t="e">
        <f>DPR!#REF!</f>
        <v>#REF!</v>
      </c>
    </row>
    <row r="1254" spans="2:3" hidden="1">
      <c r="B1254" s="446" t="e">
        <f>DPR!#REF!</f>
        <v>#REF!</v>
      </c>
      <c r="C1254" s="364" t="e">
        <f>DPR!#REF!</f>
        <v>#REF!</v>
      </c>
    </row>
    <row r="1255" spans="2:3" hidden="1">
      <c r="B1255" s="446" t="e">
        <f>DPR!#REF!</f>
        <v>#REF!</v>
      </c>
      <c r="C1255" s="364" t="e">
        <f>DPR!#REF!</f>
        <v>#REF!</v>
      </c>
    </row>
    <row r="1256" spans="2:3" hidden="1">
      <c r="B1256" s="446" t="e">
        <f>DPR!#REF!</f>
        <v>#REF!</v>
      </c>
      <c r="C1256" s="364" t="e">
        <f>DPR!#REF!</f>
        <v>#REF!</v>
      </c>
    </row>
    <row r="1257" spans="2:3" hidden="1">
      <c r="B1257" s="446" t="e">
        <f>DPR!#REF!</f>
        <v>#REF!</v>
      </c>
      <c r="C1257" s="364" t="e">
        <f>DPR!#REF!</f>
        <v>#REF!</v>
      </c>
    </row>
    <row r="1258" spans="2:3" hidden="1">
      <c r="B1258" s="446" t="e">
        <f>DPR!#REF!</f>
        <v>#REF!</v>
      </c>
      <c r="C1258" s="364" t="e">
        <f>DPR!#REF!</f>
        <v>#REF!</v>
      </c>
    </row>
    <row r="1259" spans="2:3" hidden="1">
      <c r="B1259" s="446" t="e">
        <f>DPR!#REF!</f>
        <v>#REF!</v>
      </c>
      <c r="C1259" s="364" t="e">
        <f>DPR!#REF!</f>
        <v>#REF!</v>
      </c>
    </row>
    <row r="1260" spans="2:3" hidden="1">
      <c r="B1260" s="446" t="e">
        <f>DPR!#REF!</f>
        <v>#REF!</v>
      </c>
      <c r="C1260" s="364" t="e">
        <f>DPR!#REF!</f>
        <v>#REF!</v>
      </c>
    </row>
    <row r="1261" spans="2:3" hidden="1">
      <c r="B1261" s="446" t="e">
        <f>DPR!#REF!</f>
        <v>#REF!</v>
      </c>
      <c r="C1261" s="364" t="e">
        <f>DPR!#REF!</f>
        <v>#REF!</v>
      </c>
    </row>
    <row r="1262" spans="2:3" hidden="1">
      <c r="B1262" s="446" t="e">
        <f>DPR!#REF!</f>
        <v>#REF!</v>
      </c>
      <c r="C1262" s="364" t="e">
        <f>DPR!#REF!</f>
        <v>#REF!</v>
      </c>
    </row>
    <row r="1263" spans="2:3" hidden="1">
      <c r="B1263" s="446" t="e">
        <f>DPR!#REF!</f>
        <v>#REF!</v>
      </c>
      <c r="C1263" s="364" t="e">
        <f>DPR!#REF!</f>
        <v>#REF!</v>
      </c>
    </row>
    <row r="1264" spans="2:3" hidden="1">
      <c r="B1264" s="446" t="e">
        <f>DPR!#REF!</f>
        <v>#REF!</v>
      </c>
      <c r="C1264" s="364" t="e">
        <f>DPR!#REF!</f>
        <v>#REF!</v>
      </c>
    </row>
    <row r="1265" spans="2:3" hidden="1">
      <c r="B1265" s="446" t="e">
        <f>DPR!#REF!</f>
        <v>#REF!</v>
      </c>
      <c r="C1265" s="364" t="e">
        <f>DPR!#REF!</f>
        <v>#REF!</v>
      </c>
    </row>
    <row r="1266" spans="2:3" hidden="1">
      <c r="B1266" s="446" t="e">
        <f>DPR!#REF!</f>
        <v>#REF!</v>
      </c>
      <c r="C1266" s="364" t="e">
        <f>DPR!#REF!</f>
        <v>#REF!</v>
      </c>
    </row>
    <row r="1267" spans="2:3" hidden="1">
      <c r="B1267" s="446" t="e">
        <f>DPR!#REF!</f>
        <v>#REF!</v>
      </c>
      <c r="C1267" s="364" t="e">
        <f>DPR!#REF!</f>
        <v>#REF!</v>
      </c>
    </row>
    <row r="1268" spans="2:3" hidden="1">
      <c r="B1268" s="446" t="e">
        <f>DPR!#REF!</f>
        <v>#REF!</v>
      </c>
      <c r="C1268" s="364" t="e">
        <f>DPR!#REF!</f>
        <v>#REF!</v>
      </c>
    </row>
    <row r="1269" spans="2:3" hidden="1">
      <c r="B1269" s="446" t="e">
        <f>DPR!#REF!</f>
        <v>#REF!</v>
      </c>
      <c r="C1269" s="364" t="e">
        <f>DPR!#REF!</f>
        <v>#REF!</v>
      </c>
    </row>
    <row r="1270" spans="2:3" hidden="1">
      <c r="B1270" s="446" t="e">
        <f>DPR!#REF!</f>
        <v>#REF!</v>
      </c>
      <c r="C1270" s="364" t="e">
        <f>DPR!#REF!</f>
        <v>#REF!</v>
      </c>
    </row>
    <row r="1271" spans="2:3" hidden="1">
      <c r="B1271" s="446" t="e">
        <f>DPR!#REF!</f>
        <v>#REF!</v>
      </c>
      <c r="C1271" s="364" t="e">
        <f>DPR!#REF!</f>
        <v>#REF!</v>
      </c>
    </row>
    <row r="1272" spans="2:3" hidden="1">
      <c r="B1272" s="446" t="e">
        <f>DPR!#REF!</f>
        <v>#REF!</v>
      </c>
      <c r="C1272" s="364" t="e">
        <f>DPR!#REF!</f>
        <v>#REF!</v>
      </c>
    </row>
    <row r="1273" spans="2:3" hidden="1">
      <c r="B1273" s="446" t="e">
        <f>DPR!#REF!</f>
        <v>#REF!</v>
      </c>
      <c r="C1273" s="364" t="e">
        <f>DPR!#REF!</f>
        <v>#REF!</v>
      </c>
    </row>
    <row r="1274" spans="2:3" hidden="1">
      <c r="B1274" s="446" t="e">
        <f>DPR!#REF!</f>
        <v>#REF!</v>
      </c>
      <c r="C1274" s="364" t="e">
        <f>DPR!#REF!</f>
        <v>#REF!</v>
      </c>
    </row>
    <row r="1275" spans="2:3" hidden="1">
      <c r="B1275" s="446" t="e">
        <f>DPR!#REF!</f>
        <v>#REF!</v>
      </c>
      <c r="C1275" s="364" t="e">
        <f>DPR!#REF!</f>
        <v>#REF!</v>
      </c>
    </row>
    <row r="1276" spans="2:3" hidden="1">
      <c r="B1276" s="446" t="e">
        <f>DPR!#REF!</f>
        <v>#REF!</v>
      </c>
      <c r="C1276" s="364" t="e">
        <f>DPR!#REF!</f>
        <v>#REF!</v>
      </c>
    </row>
    <row r="1277" spans="2:3" hidden="1">
      <c r="B1277" s="446" t="e">
        <f>DPR!#REF!</f>
        <v>#REF!</v>
      </c>
      <c r="C1277" s="364" t="e">
        <f>DPR!#REF!</f>
        <v>#REF!</v>
      </c>
    </row>
    <row r="1278" spans="2:3" hidden="1">
      <c r="B1278" s="446" t="e">
        <f>DPR!#REF!</f>
        <v>#REF!</v>
      </c>
      <c r="C1278" s="364" t="e">
        <f>DPR!#REF!</f>
        <v>#REF!</v>
      </c>
    </row>
    <row r="1279" spans="2:3" hidden="1">
      <c r="B1279" s="446" t="e">
        <f>DPR!#REF!</f>
        <v>#REF!</v>
      </c>
      <c r="C1279" s="364" t="e">
        <f>DPR!#REF!</f>
        <v>#REF!</v>
      </c>
    </row>
    <row r="1280" spans="2:3" hidden="1">
      <c r="B1280" s="446" t="e">
        <f>DPR!#REF!</f>
        <v>#REF!</v>
      </c>
      <c r="C1280" s="364" t="e">
        <f>DPR!#REF!</f>
        <v>#REF!</v>
      </c>
    </row>
    <row r="1281" spans="2:3" hidden="1">
      <c r="B1281" s="446" t="e">
        <f>DPR!#REF!</f>
        <v>#REF!</v>
      </c>
      <c r="C1281" s="364" t="e">
        <f>DPR!#REF!</f>
        <v>#REF!</v>
      </c>
    </row>
    <row r="1282" spans="2:3" hidden="1">
      <c r="B1282" s="446" t="e">
        <f>DPR!#REF!</f>
        <v>#REF!</v>
      </c>
      <c r="C1282" s="364" t="e">
        <f>DPR!#REF!</f>
        <v>#REF!</v>
      </c>
    </row>
    <row r="1283" spans="2:3" hidden="1">
      <c r="B1283" s="446" t="e">
        <f>DPR!#REF!</f>
        <v>#REF!</v>
      </c>
      <c r="C1283" s="364" t="e">
        <f>DPR!#REF!</f>
        <v>#REF!</v>
      </c>
    </row>
    <row r="1284" spans="2:3" hidden="1">
      <c r="B1284" s="446" t="e">
        <f>DPR!#REF!</f>
        <v>#REF!</v>
      </c>
      <c r="C1284" s="364" t="e">
        <f>DPR!#REF!</f>
        <v>#REF!</v>
      </c>
    </row>
    <row r="1285" spans="2:3" hidden="1">
      <c r="B1285" s="446" t="e">
        <f>DPR!#REF!</f>
        <v>#REF!</v>
      </c>
      <c r="C1285" s="364" t="e">
        <f>DPR!#REF!</f>
        <v>#REF!</v>
      </c>
    </row>
    <row r="1286" spans="2:3" hidden="1">
      <c r="B1286" s="446" t="e">
        <f>DPR!#REF!</f>
        <v>#REF!</v>
      </c>
      <c r="C1286" s="364" t="e">
        <f>DPR!#REF!</f>
        <v>#REF!</v>
      </c>
    </row>
    <row r="1287" spans="2:3" hidden="1">
      <c r="B1287" s="446" t="e">
        <f>DPR!#REF!</f>
        <v>#REF!</v>
      </c>
      <c r="C1287" s="364" t="e">
        <f>DPR!#REF!</f>
        <v>#REF!</v>
      </c>
    </row>
    <row r="1288" spans="2:3" hidden="1">
      <c r="B1288" s="446" t="e">
        <f>DPR!#REF!</f>
        <v>#REF!</v>
      </c>
      <c r="C1288" s="364" t="e">
        <f>DPR!#REF!</f>
        <v>#REF!</v>
      </c>
    </row>
    <row r="1289" spans="2:3" hidden="1">
      <c r="B1289" s="446" t="e">
        <f>DPR!#REF!</f>
        <v>#REF!</v>
      </c>
      <c r="C1289" s="364" t="e">
        <f>DPR!#REF!</f>
        <v>#REF!</v>
      </c>
    </row>
    <row r="1290" spans="2:3" hidden="1">
      <c r="B1290" s="446" t="e">
        <f>DPR!#REF!</f>
        <v>#REF!</v>
      </c>
      <c r="C1290" s="364" t="e">
        <f>DPR!#REF!</f>
        <v>#REF!</v>
      </c>
    </row>
    <row r="1291" spans="2:3" hidden="1">
      <c r="B1291" s="446" t="e">
        <f>DPR!#REF!</f>
        <v>#REF!</v>
      </c>
      <c r="C1291" s="364" t="e">
        <f>DPR!#REF!</f>
        <v>#REF!</v>
      </c>
    </row>
    <row r="1292" spans="2:3" hidden="1">
      <c r="B1292" s="446" t="e">
        <f>DPR!#REF!</f>
        <v>#REF!</v>
      </c>
      <c r="C1292" s="364" t="e">
        <f>DPR!#REF!</f>
        <v>#REF!</v>
      </c>
    </row>
    <row r="1293" spans="2:3" hidden="1">
      <c r="B1293" s="446" t="e">
        <f>DPR!#REF!</f>
        <v>#REF!</v>
      </c>
      <c r="C1293" s="364" t="e">
        <f>DPR!#REF!</f>
        <v>#REF!</v>
      </c>
    </row>
    <row r="1294" spans="2:3" hidden="1">
      <c r="B1294" s="446" t="e">
        <f>DPR!#REF!</f>
        <v>#REF!</v>
      </c>
      <c r="C1294" s="364" t="e">
        <f>DPR!#REF!</f>
        <v>#REF!</v>
      </c>
    </row>
    <row r="1295" spans="2:3" hidden="1">
      <c r="B1295" s="446" t="e">
        <f>DPR!#REF!</f>
        <v>#REF!</v>
      </c>
      <c r="C1295" s="364" t="e">
        <f>DPR!#REF!</f>
        <v>#REF!</v>
      </c>
    </row>
    <row r="1296" spans="2:3" hidden="1">
      <c r="B1296" s="446" t="e">
        <f>DPR!#REF!</f>
        <v>#REF!</v>
      </c>
      <c r="C1296" s="364" t="e">
        <f>DPR!#REF!</f>
        <v>#REF!</v>
      </c>
    </row>
    <row r="1297" spans="2:3" hidden="1">
      <c r="B1297" s="446" t="e">
        <f>DPR!#REF!</f>
        <v>#REF!</v>
      </c>
      <c r="C1297" s="364" t="e">
        <f>DPR!#REF!</f>
        <v>#REF!</v>
      </c>
    </row>
    <row r="1298" spans="2:3" hidden="1">
      <c r="B1298" s="446" t="e">
        <f>DPR!#REF!</f>
        <v>#REF!</v>
      </c>
      <c r="C1298" s="364" t="e">
        <f>DPR!#REF!</f>
        <v>#REF!</v>
      </c>
    </row>
    <row r="1299" spans="2:3" hidden="1">
      <c r="B1299" s="446" t="e">
        <f>DPR!#REF!</f>
        <v>#REF!</v>
      </c>
      <c r="C1299" s="364" t="e">
        <f>DPR!#REF!</f>
        <v>#REF!</v>
      </c>
    </row>
    <row r="1300" spans="2:3" hidden="1">
      <c r="B1300" s="446" t="e">
        <f>DPR!#REF!</f>
        <v>#REF!</v>
      </c>
      <c r="C1300" s="364" t="e">
        <f>DPR!#REF!</f>
        <v>#REF!</v>
      </c>
    </row>
    <row r="1301" spans="2:3" hidden="1">
      <c r="B1301" s="446" t="e">
        <f>DPR!#REF!</f>
        <v>#REF!</v>
      </c>
      <c r="C1301" s="364" t="e">
        <f>DPR!#REF!</f>
        <v>#REF!</v>
      </c>
    </row>
    <row r="1302" spans="2:3" hidden="1">
      <c r="B1302" s="446" t="e">
        <f>DPR!#REF!</f>
        <v>#REF!</v>
      </c>
      <c r="C1302" s="364" t="e">
        <f>DPR!#REF!</f>
        <v>#REF!</v>
      </c>
    </row>
    <row r="1303" spans="2:3" hidden="1">
      <c r="B1303" s="446" t="e">
        <f>DPR!#REF!</f>
        <v>#REF!</v>
      </c>
      <c r="C1303" s="364" t="e">
        <f>DPR!#REF!</f>
        <v>#REF!</v>
      </c>
    </row>
    <row r="1304" spans="2:3" hidden="1">
      <c r="B1304" s="446" t="e">
        <f>DPR!#REF!</f>
        <v>#REF!</v>
      </c>
      <c r="C1304" s="364" t="e">
        <f>DPR!#REF!</f>
        <v>#REF!</v>
      </c>
    </row>
    <row r="1305" spans="2:3" hidden="1">
      <c r="B1305" s="446" t="e">
        <f>DPR!#REF!</f>
        <v>#REF!</v>
      </c>
      <c r="C1305" s="364" t="e">
        <f>DPR!#REF!</f>
        <v>#REF!</v>
      </c>
    </row>
    <row r="1306" spans="2:3" hidden="1">
      <c r="B1306" s="446" t="e">
        <f>DPR!#REF!</f>
        <v>#REF!</v>
      </c>
      <c r="C1306" s="364" t="e">
        <f>DPR!#REF!</f>
        <v>#REF!</v>
      </c>
    </row>
    <row r="1307" spans="2:3" hidden="1">
      <c r="B1307" s="446" t="e">
        <f>DPR!#REF!</f>
        <v>#REF!</v>
      </c>
      <c r="C1307" s="364" t="e">
        <f>DPR!#REF!</f>
        <v>#REF!</v>
      </c>
    </row>
    <row r="1308" spans="2:3" hidden="1">
      <c r="B1308" s="446" t="e">
        <f>DPR!#REF!</f>
        <v>#REF!</v>
      </c>
      <c r="C1308" s="364" t="e">
        <f>DPR!#REF!</f>
        <v>#REF!</v>
      </c>
    </row>
    <row r="1309" spans="2:3" hidden="1">
      <c r="B1309" s="446" t="e">
        <f>DPR!#REF!</f>
        <v>#REF!</v>
      </c>
      <c r="C1309" s="364" t="e">
        <f>DPR!#REF!</f>
        <v>#REF!</v>
      </c>
    </row>
    <row r="1310" spans="2:3" hidden="1">
      <c r="B1310" s="446" t="e">
        <f>DPR!#REF!</f>
        <v>#REF!</v>
      </c>
      <c r="C1310" s="364" t="e">
        <f>DPR!#REF!</f>
        <v>#REF!</v>
      </c>
    </row>
    <row r="1311" spans="2:3" hidden="1">
      <c r="B1311" s="446" t="e">
        <f>DPR!#REF!</f>
        <v>#REF!</v>
      </c>
      <c r="C1311" s="364" t="e">
        <f>DPR!#REF!</f>
        <v>#REF!</v>
      </c>
    </row>
    <row r="1312" spans="2:3" hidden="1">
      <c r="B1312" s="446" t="e">
        <f>DPR!#REF!</f>
        <v>#REF!</v>
      </c>
      <c r="C1312" s="364" t="e">
        <f>DPR!#REF!</f>
        <v>#REF!</v>
      </c>
    </row>
    <row r="1313" spans="2:3" hidden="1">
      <c r="B1313" s="446" t="e">
        <f>DPR!#REF!</f>
        <v>#REF!</v>
      </c>
      <c r="C1313" s="364" t="e">
        <f>DPR!#REF!</f>
        <v>#REF!</v>
      </c>
    </row>
    <row r="1314" spans="2:3" hidden="1">
      <c r="B1314" s="446" t="e">
        <f>DPR!#REF!</f>
        <v>#REF!</v>
      </c>
      <c r="C1314" s="364" t="e">
        <f>DPR!#REF!</f>
        <v>#REF!</v>
      </c>
    </row>
    <row r="1315" spans="2:3" hidden="1">
      <c r="B1315" s="446" t="e">
        <f>DPR!#REF!</f>
        <v>#REF!</v>
      </c>
      <c r="C1315" s="364" t="e">
        <f>DPR!#REF!</f>
        <v>#REF!</v>
      </c>
    </row>
    <row r="1316" spans="2:3" hidden="1">
      <c r="B1316" s="446" t="e">
        <f>DPR!#REF!</f>
        <v>#REF!</v>
      </c>
      <c r="C1316" s="364" t="e">
        <f>DPR!#REF!</f>
        <v>#REF!</v>
      </c>
    </row>
    <row r="1317" spans="2:3" hidden="1">
      <c r="B1317" s="446" t="e">
        <f>DPR!#REF!</f>
        <v>#REF!</v>
      </c>
      <c r="C1317" s="364" t="e">
        <f>DPR!#REF!</f>
        <v>#REF!</v>
      </c>
    </row>
    <row r="1318" spans="2:3" hidden="1">
      <c r="B1318" s="446" t="e">
        <f>DPR!#REF!</f>
        <v>#REF!</v>
      </c>
      <c r="C1318" s="364" t="e">
        <f>DPR!#REF!</f>
        <v>#REF!</v>
      </c>
    </row>
    <row r="1319" spans="2:3" hidden="1">
      <c r="B1319" s="446" t="e">
        <f>DPR!#REF!</f>
        <v>#REF!</v>
      </c>
      <c r="C1319" s="364" t="e">
        <f>DPR!#REF!</f>
        <v>#REF!</v>
      </c>
    </row>
    <row r="1320" spans="2:3" hidden="1">
      <c r="B1320" s="446" t="e">
        <f>DPR!#REF!</f>
        <v>#REF!</v>
      </c>
      <c r="C1320" s="364" t="e">
        <f>DPR!#REF!</f>
        <v>#REF!</v>
      </c>
    </row>
    <row r="1321" spans="2:3" hidden="1">
      <c r="B1321" s="446" t="e">
        <f>DPR!#REF!</f>
        <v>#REF!</v>
      </c>
      <c r="C1321" s="364" t="e">
        <f>DPR!#REF!</f>
        <v>#REF!</v>
      </c>
    </row>
    <row r="1322" spans="2:3" hidden="1">
      <c r="B1322" s="446" t="e">
        <f>DPR!#REF!</f>
        <v>#REF!</v>
      </c>
      <c r="C1322" s="364" t="e">
        <f>DPR!#REF!</f>
        <v>#REF!</v>
      </c>
    </row>
    <row r="1323" spans="2:3" hidden="1">
      <c r="B1323" s="446" t="e">
        <f>DPR!#REF!</f>
        <v>#REF!</v>
      </c>
      <c r="C1323" s="364" t="e">
        <f>DPR!#REF!</f>
        <v>#REF!</v>
      </c>
    </row>
    <row r="1324" spans="2:3" hidden="1">
      <c r="B1324" s="446" t="e">
        <f>DPR!#REF!</f>
        <v>#REF!</v>
      </c>
      <c r="C1324" s="364" t="e">
        <f>DPR!#REF!</f>
        <v>#REF!</v>
      </c>
    </row>
    <row r="1325" spans="2:3" hidden="1">
      <c r="B1325" s="446" t="e">
        <f>DPR!#REF!</f>
        <v>#REF!</v>
      </c>
      <c r="C1325" s="364" t="e">
        <f>DPR!#REF!</f>
        <v>#REF!</v>
      </c>
    </row>
    <row r="1326" spans="2:3" hidden="1">
      <c r="B1326" s="446" t="e">
        <f>DPR!#REF!</f>
        <v>#REF!</v>
      </c>
      <c r="C1326" s="364" t="e">
        <f>DPR!#REF!</f>
        <v>#REF!</v>
      </c>
    </row>
    <row r="1327" spans="2:3" hidden="1">
      <c r="B1327" s="446" t="e">
        <f>DPR!#REF!</f>
        <v>#REF!</v>
      </c>
      <c r="C1327" s="364" t="e">
        <f>DPR!#REF!</f>
        <v>#REF!</v>
      </c>
    </row>
    <row r="1328" spans="2:3" hidden="1">
      <c r="B1328" s="446" t="e">
        <f>DPR!#REF!</f>
        <v>#REF!</v>
      </c>
      <c r="C1328" s="364" t="e">
        <f>DPR!#REF!</f>
        <v>#REF!</v>
      </c>
    </row>
    <row r="1329" spans="2:3" hidden="1">
      <c r="B1329" s="446" t="e">
        <f>DPR!#REF!</f>
        <v>#REF!</v>
      </c>
      <c r="C1329" s="364" t="e">
        <f>DPR!#REF!</f>
        <v>#REF!</v>
      </c>
    </row>
    <row r="1330" spans="2:3" hidden="1">
      <c r="B1330" s="446" t="e">
        <f>DPR!#REF!</f>
        <v>#REF!</v>
      </c>
      <c r="C1330" s="364" t="e">
        <f>DPR!#REF!</f>
        <v>#REF!</v>
      </c>
    </row>
    <row r="1331" spans="2:3" hidden="1">
      <c r="B1331" s="446" t="e">
        <f>DPR!#REF!</f>
        <v>#REF!</v>
      </c>
      <c r="C1331" s="364" t="e">
        <f>DPR!#REF!</f>
        <v>#REF!</v>
      </c>
    </row>
    <row r="1332" spans="2:3" hidden="1">
      <c r="B1332" s="446" t="e">
        <f>DPR!#REF!</f>
        <v>#REF!</v>
      </c>
      <c r="C1332" s="364" t="e">
        <f>DPR!#REF!</f>
        <v>#REF!</v>
      </c>
    </row>
    <row r="1333" spans="2:3" hidden="1">
      <c r="B1333" s="446" t="e">
        <f>DPR!#REF!</f>
        <v>#REF!</v>
      </c>
      <c r="C1333" s="364" t="e">
        <f>DPR!#REF!</f>
        <v>#REF!</v>
      </c>
    </row>
    <row r="1334" spans="2:3" hidden="1">
      <c r="B1334" s="446" t="e">
        <f>DPR!#REF!</f>
        <v>#REF!</v>
      </c>
      <c r="C1334" s="364" t="e">
        <f>DPR!#REF!</f>
        <v>#REF!</v>
      </c>
    </row>
    <row r="1335" spans="2:3" hidden="1">
      <c r="B1335" s="446" t="e">
        <f>DPR!#REF!</f>
        <v>#REF!</v>
      </c>
      <c r="C1335" s="364" t="e">
        <f>DPR!#REF!</f>
        <v>#REF!</v>
      </c>
    </row>
    <row r="1336" spans="2:3" hidden="1">
      <c r="B1336" s="446" t="e">
        <f>DPR!#REF!</f>
        <v>#REF!</v>
      </c>
      <c r="C1336" s="364" t="e">
        <f>DPR!#REF!</f>
        <v>#REF!</v>
      </c>
    </row>
    <row r="1337" spans="2:3" hidden="1">
      <c r="B1337" s="446" t="e">
        <f>DPR!#REF!</f>
        <v>#REF!</v>
      </c>
      <c r="C1337" s="364" t="e">
        <f>DPR!#REF!</f>
        <v>#REF!</v>
      </c>
    </row>
    <row r="1338" spans="2:3" hidden="1">
      <c r="B1338" s="446" t="e">
        <f>DPR!#REF!</f>
        <v>#REF!</v>
      </c>
      <c r="C1338" s="364" t="e">
        <f>DPR!#REF!</f>
        <v>#REF!</v>
      </c>
    </row>
    <row r="1339" spans="2:3" hidden="1">
      <c r="B1339" s="446" t="e">
        <f>DPR!#REF!</f>
        <v>#REF!</v>
      </c>
      <c r="C1339" s="364" t="e">
        <f>DPR!#REF!</f>
        <v>#REF!</v>
      </c>
    </row>
    <row r="1340" spans="2:3" hidden="1">
      <c r="B1340" s="446" t="e">
        <f>DPR!#REF!</f>
        <v>#REF!</v>
      </c>
      <c r="C1340" s="364" t="e">
        <f>DPR!#REF!</f>
        <v>#REF!</v>
      </c>
    </row>
    <row r="1341" spans="2:3" hidden="1">
      <c r="B1341" s="446" t="e">
        <f>DPR!#REF!</f>
        <v>#REF!</v>
      </c>
      <c r="C1341" s="364" t="e">
        <f>DPR!#REF!</f>
        <v>#REF!</v>
      </c>
    </row>
    <row r="1342" spans="2:3" hidden="1">
      <c r="B1342" s="446" t="e">
        <f>DPR!#REF!</f>
        <v>#REF!</v>
      </c>
      <c r="C1342" s="364" t="e">
        <f>DPR!#REF!</f>
        <v>#REF!</v>
      </c>
    </row>
    <row r="1343" spans="2:3" hidden="1">
      <c r="B1343" s="446" t="e">
        <f>DPR!#REF!</f>
        <v>#REF!</v>
      </c>
      <c r="C1343" s="364" t="e">
        <f>DPR!#REF!</f>
        <v>#REF!</v>
      </c>
    </row>
    <row r="1344" spans="2:3" hidden="1">
      <c r="B1344" s="446" t="e">
        <f>DPR!#REF!</f>
        <v>#REF!</v>
      </c>
      <c r="C1344" s="364" t="e">
        <f>DPR!#REF!</f>
        <v>#REF!</v>
      </c>
    </row>
    <row r="1345" spans="2:3" hidden="1">
      <c r="B1345" s="446" t="e">
        <f>DPR!#REF!</f>
        <v>#REF!</v>
      </c>
      <c r="C1345" s="364" t="e">
        <f>DPR!#REF!</f>
        <v>#REF!</v>
      </c>
    </row>
    <row r="1346" spans="2:3" hidden="1">
      <c r="B1346" s="446" t="e">
        <f>DPR!#REF!</f>
        <v>#REF!</v>
      </c>
      <c r="C1346" s="364" t="e">
        <f>DPR!#REF!</f>
        <v>#REF!</v>
      </c>
    </row>
    <row r="1347" spans="2:3" hidden="1">
      <c r="B1347" s="446" t="e">
        <f>DPR!#REF!</f>
        <v>#REF!</v>
      </c>
      <c r="C1347" s="364" t="e">
        <f>DPR!#REF!</f>
        <v>#REF!</v>
      </c>
    </row>
    <row r="1348" spans="2:3" hidden="1">
      <c r="B1348" s="446" t="e">
        <f>DPR!#REF!</f>
        <v>#REF!</v>
      </c>
      <c r="C1348" s="364" t="e">
        <f>DPR!#REF!</f>
        <v>#REF!</v>
      </c>
    </row>
    <row r="1349" spans="2:3" hidden="1">
      <c r="B1349" s="446" t="e">
        <f>DPR!#REF!</f>
        <v>#REF!</v>
      </c>
      <c r="C1349" s="364" t="e">
        <f>DPR!#REF!</f>
        <v>#REF!</v>
      </c>
    </row>
    <row r="1350" spans="2:3" hidden="1">
      <c r="B1350" s="446" t="e">
        <f>DPR!#REF!</f>
        <v>#REF!</v>
      </c>
      <c r="C1350" s="364" t="e">
        <f>DPR!#REF!</f>
        <v>#REF!</v>
      </c>
    </row>
    <row r="1351" spans="2:3" hidden="1">
      <c r="B1351" s="446" t="e">
        <f>DPR!#REF!</f>
        <v>#REF!</v>
      </c>
      <c r="C1351" s="364" t="e">
        <f>DPR!#REF!</f>
        <v>#REF!</v>
      </c>
    </row>
    <row r="1352" spans="2:3" hidden="1">
      <c r="B1352" s="446" t="e">
        <f>DPR!#REF!</f>
        <v>#REF!</v>
      </c>
      <c r="C1352" s="364" t="e">
        <f>DPR!#REF!</f>
        <v>#REF!</v>
      </c>
    </row>
    <row r="1353" spans="2:3" hidden="1">
      <c r="B1353" s="446" t="e">
        <f>DPR!#REF!</f>
        <v>#REF!</v>
      </c>
      <c r="C1353" s="364" t="e">
        <f>DPR!#REF!</f>
        <v>#REF!</v>
      </c>
    </row>
    <row r="1354" spans="2:3" hidden="1">
      <c r="B1354" s="446" t="e">
        <f>DPR!#REF!</f>
        <v>#REF!</v>
      </c>
      <c r="C1354" s="364" t="e">
        <f>DPR!#REF!</f>
        <v>#REF!</v>
      </c>
    </row>
    <row r="1355" spans="2:3" hidden="1">
      <c r="B1355" s="446" t="e">
        <f>DPR!#REF!</f>
        <v>#REF!</v>
      </c>
      <c r="C1355" s="364" t="e">
        <f>DPR!#REF!</f>
        <v>#REF!</v>
      </c>
    </row>
    <row r="1356" spans="2:3" hidden="1">
      <c r="B1356" s="446" t="e">
        <f>DPR!#REF!</f>
        <v>#REF!</v>
      </c>
      <c r="C1356" s="364" t="e">
        <f>DPR!#REF!</f>
        <v>#REF!</v>
      </c>
    </row>
    <row r="1357" spans="2:3" hidden="1">
      <c r="B1357" s="446" t="e">
        <f>DPR!#REF!</f>
        <v>#REF!</v>
      </c>
      <c r="C1357" s="364" t="e">
        <f>DPR!#REF!</f>
        <v>#REF!</v>
      </c>
    </row>
    <row r="1358" spans="2:3" hidden="1">
      <c r="B1358" s="446" t="e">
        <f>DPR!#REF!</f>
        <v>#REF!</v>
      </c>
      <c r="C1358" s="364" t="e">
        <f>DPR!#REF!</f>
        <v>#REF!</v>
      </c>
    </row>
    <row r="1359" spans="2:3" hidden="1">
      <c r="B1359" s="446" t="e">
        <f>DPR!#REF!</f>
        <v>#REF!</v>
      </c>
      <c r="C1359" s="364" t="e">
        <f>DPR!#REF!</f>
        <v>#REF!</v>
      </c>
    </row>
    <row r="1360" spans="2:3" hidden="1">
      <c r="B1360" s="446" t="e">
        <f>DPR!#REF!</f>
        <v>#REF!</v>
      </c>
      <c r="C1360" s="364" t="e">
        <f>DPR!#REF!</f>
        <v>#REF!</v>
      </c>
    </row>
    <row r="1361" spans="2:3" hidden="1">
      <c r="B1361" s="446" t="e">
        <f>DPR!#REF!</f>
        <v>#REF!</v>
      </c>
      <c r="C1361" s="364" t="e">
        <f>DPR!#REF!</f>
        <v>#REF!</v>
      </c>
    </row>
    <row r="1362" spans="2:3" hidden="1">
      <c r="B1362" s="446" t="e">
        <f>DPR!#REF!</f>
        <v>#REF!</v>
      </c>
      <c r="C1362" s="364" t="e">
        <f>DPR!#REF!</f>
        <v>#REF!</v>
      </c>
    </row>
    <row r="1363" spans="2:3" hidden="1">
      <c r="B1363" s="446" t="e">
        <f>DPR!#REF!</f>
        <v>#REF!</v>
      </c>
      <c r="C1363" s="364" t="e">
        <f>DPR!#REF!</f>
        <v>#REF!</v>
      </c>
    </row>
    <row r="1364" spans="2:3" hidden="1">
      <c r="B1364" s="446" t="e">
        <f>DPR!#REF!</f>
        <v>#REF!</v>
      </c>
      <c r="C1364" s="364" t="e">
        <f>DPR!#REF!</f>
        <v>#REF!</v>
      </c>
    </row>
    <row r="1365" spans="2:3" hidden="1">
      <c r="B1365" s="446" t="e">
        <f>DPR!#REF!</f>
        <v>#REF!</v>
      </c>
      <c r="C1365" s="364" t="e">
        <f>DPR!#REF!</f>
        <v>#REF!</v>
      </c>
    </row>
    <row r="1366" spans="2:3" hidden="1">
      <c r="B1366" s="446" t="e">
        <f>DPR!#REF!</f>
        <v>#REF!</v>
      </c>
      <c r="C1366" s="364" t="e">
        <f>DPR!#REF!</f>
        <v>#REF!</v>
      </c>
    </row>
    <row r="1367" spans="2:3" hidden="1">
      <c r="B1367" s="446" t="e">
        <f>DPR!#REF!</f>
        <v>#REF!</v>
      </c>
      <c r="C1367" s="364" t="e">
        <f>DPR!#REF!</f>
        <v>#REF!</v>
      </c>
    </row>
    <row r="1368" spans="2:3" hidden="1">
      <c r="B1368" s="446" t="e">
        <f>DPR!#REF!</f>
        <v>#REF!</v>
      </c>
      <c r="C1368" s="364" t="e">
        <f>DPR!#REF!</f>
        <v>#REF!</v>
      </c>
    </row>
    <row r="1369" spans="2:3" hidden="1">
      <c r="B1369" s="446" t="e">
        <f>DPR!#REF!</f>
        <v>#REF!</v>
      </c>
      <c r="C1369" s="364" t="e">
        <f>DPR!#REF!</f>
        <v>#REF!</v>
      </c>
    </row>
    <row r="1370" spans="2:3" hidden="1">
      <c r="B1370" s="446" t="e">
        <f>DPR!#REF!</f>
        <v>#REF!</v>
      </c>
      <c r="C1370" s="364" t="e">
        <f>DPR!#REF!</f>
        <v>#REF!</v>
      </c>
    </row>
    <row r="1371" spans="2:3" hidden="1">
      <c r="B1371" s="446" t="e">
        <f>DPR!#REF!</f>
        <v>#REF!</v>
      </c>
      <c r="C1371" s="364" t="e">
        <f>DPR!#REF!</f>
        <v>#REF!</v>
      </c>
    </row>
    <row r="1372" spans="2:3" hidden="1">
      <c r="B1372" s="446" t="e">
        <f>DPR!#REF!</f>
        <v>#REF!</v>
      </c>
      <c r="C1372" s="364" t="e">
        <f>DPR!#REF!</f>
        <v>#REF!</v>
      </c>
    </row>
    <row r="1373" spans="2:3" hidden="1">
      <c r="B1373" s="446" t="e">
        <f>DPR!#REF!</f>
        <v>#REF!</v>
      </c>
      <c r="C1373" s="364" t="e">
        <f>DPR!#REF!</f>
        <v>#REF!</v>
      </c>
    </row>
    <row r="1374" spans="2:3" hidden="1">
      <c r="B1374" s="446" t="e">
        <f>DPR!#REF!</f>
        <v>#REF!</v>
      </c>
      <c r="C1374" s="364" t="e">
        <f>DPR!#REF!</f>
        <v>#REF!</v>
      </c>
    </row>
    <row r="1375" spans="2:3" hidden="1">
      <c r="B1375" s="446" t="e">
        <f>DPR!#REF!</f>
        <v>#REF!</v>
      </c>
      <c r="C1375" s="364" t="e">
        <f>DPR!#REF!</f>
        <v>#REF!</v>
      </c>
    </row>
    <row r="1376" spans="2:3" hidden="1">
      <c r="B1376" s="446" t="e">
        <f>DPR!#REF!</f>
        <v>#REF!</v>
      </c>
      <c r="C1376" s="364" t="e">
        <f>DPR!#REF!</f>
        <v>#REF!</v>
      </c>
    </row>
    <row r="1377" spans="2:3" hidden="1">
      <c r="B1377" s="446" t="e">
        <f>DPR!#REF!</f>
        <v>#REF!</v>
      </c>
      <c r="C1377" s="364" t="e">
        <f>DPR!#REF!</f>
        <v>#REF!</v>
      </c>
    </row>
    <row r="1378" spans="2:3" hidden="1">
      <c r="B1378" s="446" t="e">
        <f>DPR!#REF!</f>
        <v>#REF!</v>
      </c>
      <c r="C1378" s="364" t="e">
        <f>DPR!#REF!</f>
        <v>#REF!</v>
      </c>
    </row>
    <row r="1379" spans="2:3" hidden="1">
      <c r="B1379" s="446" t="e">
        <f>DPR!#REF!</f>
        <v>#REF!</v>
      </c>
      <c r="C1379" s="364" t="e">
        <f>DPR!#REF!</f>
        <v>#REF!</v>
      </c>
    </row>
    <row r="1380" spans="2:3" hidden="1">
      <c r="B1380" s="446" t="e">
        <f>DPR!#REF!</f>
        <v>#REF!</v>
      </c>
      <c r="C1380" s="364" t="e">
        <f>DPR!#REF!</f>
        <v>#REF!</v>
      </c>
    </row>
    <row r="1381" spans="2:3" hidden="1">
      <c r="B1381" s="446" t="e">
        <f>DPR!#REF!</f>
        <v>#REF!</v>
      </c>
      <c r="C1381" s="364" t="e">
        <f>DPR!#REF!</f>
        <v>#REF!</v>
      </c>
    </row>
    <row r="1382" spans="2:3" hidden="1">
      <c r="B1382" s="446" t="e">
        <f>DPR!#REF!</f>
        <v>#REF!</v>
      </c>
      <c r="C1382" s="364" t="e">
        <f>DPR!#REF!</f>
        <v>#REF!</v>
      </c>
    </row>
    <row r="1383" spans="2:3" hidden="1">
      <c r="B1383" s="446" t="e">
        <f>DPR!#REF!</f>
        <v>#REF!</v>
      </c>
      <c r="C1383" s="364" t="e">
        <f>DPR!#REF!</f>
        <v>#REF!</v>
      </c>
    </row>
    <row r="1384" spans="2:3" hidden="1">
      <c r="B1384" s="446" t="e">
        <f>DPR!#REF!</f>
        <v>#REF!</v>
      </c>
      <c r="C1384" s="364" t="e">
        <f>DPR!#REF!</f>
        <v>#REF!</v>
      </c>
    </row>
    <row r="1385" spans="2:3" hidden="1">
      <c r="B1385" s="446" t="e">
        <f>DPR!#REF!</f>
        <v>#REF!</v>
      </c>
      <c r="C1385" s="364" t="e">
        <f>DPR!#REF!</f>
        <v>#REF!</v>
      </c>
    </row>
    <row r="1386" spans="2:3" hidden="1">
      <c r="B1386" s="446" t="e">
        <f>DPR!#REF!</f>
        <v>#REF!</v>
      </c>
      <c r="C1386" s="364" t="e">
        <f>DPR!#REF!</f>
        <v>#REF!</v>
      </c>
    </row>
    <row r="1387" spans="2:3" hidden="1">
      <c r="B1387" s="446" t="e">
        <f>DPR!#REF!</f>
        <v>#REF!</v>
      </c>
      <c r="C1387" s="364" t="e">
        <f>DPR!#REF!</f>
        <v>#REF!</v>
      </c>
    </row>
    <row r="1388" spans="2:3" hidden="1">
      <c r="B1388" s="446" t="e">
        <f>DPR!#REF!</f>
        <v>#REF!</v>
      </c>
      <c r="C1388" s="364" t="e">
        <f>DPR!#REF!</f>
        <v>#REF!</v>
      </c>
    </row>
    <row r="1389" spans="2:3" hidden="1">
      <c r="B1389" s="446" t="e">
        <f>DPR!#REF!</f>
        <v>#REF!</v>
      </c>
      <c r="C1389" s="364" t="e">
        <f>DPR!#REF!</f>
        <v>#REF!</v>
      </c>
    </row>
    <row r="1390" spans="2:3" hidden="1">
      <c r="B1390" s="446" t="e">
        <f>DPR!#REF!</f>
        <v>#REF!</v>
      </c>
      <c r="C1390" s="364" t="e">
        <f>DPR!#REF!</f>
        <v>#REF!</v>
      </c>
    </row>
    <row r="1391" spans="2:3" hidden="1">
      <c r="B1391" s="446" t="e">
        <f>DPR!#REF!</f>
        <v>#REF!</v>
      </c>
      <c r="C1391" s="364" t="e">
        <f>DPR!#REF!</f>
        <v>#REF!</v>
      </c>
    </row>
    <row r="1392" spans="2:3" hidden="1">
      <c r="B1392" s="446" t="e">
        <f>DPR!#REF!</f>
        <v>#REF!</v>
      </c>
      <c r="C1392" s="364" t="e">
        <f>DPR!#REF!</f>
        <v>#REF!</v>
      </c>
    </row>
    <row r="1393" spans="2:3" hidden="1">
      <c r="B1393" s="446" t="e">
        <f>DPR!#REF!</f>
        <v>#REF!</v>
      </c>
      <c r="C1393" s="364" t="e">
        <f>DPR!#REF!</f>
        <v>#REF!</v>
      </c>
    </row>
    <row r="1394" spans="2:3" hidden="1">
      <c r="B1394" s="446" t="e">
        <f>DPR!#REF!</f>
        <v>#REF!</v>
      </c>
      <c r="C1394" s="364" t="e">
        <f>DPR!#REF!</f>
        <v>#REF!</v>
      </c>
    </row>
    <row r="1395" spans="2:3" hidden="1">
      <c r="B1395" s="446" t="e">
        <f>DPR!#REF!</f>
        <v>#REF!</v>
      </c>
      <c r="C1395" s="364" t="e">
        <f>DPR!#REF!</f>
        <v>#REF!</v>
      </c>
    </row>
    <row r="1396" spans="2:3" hidden="1">
      <c r="B1396" s="446" t="e">
        <f>DPR!#REF!</f>
        <v>#REF!</v>
      </c>
      <c r="C1396" s="364" t="e">
        <f>DPR!#REF!</f>
        <v>#REF!</v>
      </c>
    </row>
    <row r="1397" spans="2:3" hidden="1">
      <c r="B1397" s="446" t="e">
        <f>DPR!#REF!</f>
        <v>#REF!</v>
      </c>
      <c r="C1397" s="364" t="e">
        <f>DPR!#REF!</f>
        <v>#REF!</v>
      </c>
    </row>
    <row r="1398" spans="2:3" hidden="1">
      <c r="B1398" s="446" t="e">
        <f>DPR!#REF!</f>
        <v>#REF!</v>
      </c>
      <c r="C1398" s="364" t="e">
        <f>DPR!#REF!</f>
        <v>#REF!</v>
      </c>
    </row>
    <row r="1399" spans="2:3" hidden="1">
      <c r="B1399" s="446" t="e">
        <f>DPR!#REF!</f>
        <v>#REF!</v>
      </c>
      <c r="C1399" s="364" t="e">
        <f>DPR!#REF!</f>
        <v>#REF!</v>
      </c>
    </row>
    <row r="1400" spans="2:3" hidden="1">
      <c r="B1400" s="446" t="e">
        <f>DPR!#REF!</f>
        <v>#REF!</v>
      </c>
      <c r="C1400" s="364" t="e">
        <f>DPR!#REF!</f>
        <v>#REF!</v>
      </c>
    </row>
    <row r="1401" spans="2:3" hidden="1">
      <c r="B1401" s="446" t="e">
        <f>DPR!#REF!</f>
        <v>#REF!</v>
      </c>
      <c r="C1401" s="364" t="e">
        <f>DPR!#REF!</f>
        <v>#REF!</v>
      </c>
    </row>
    <row r="1402" spans="2:3" hidden="1">
      <c r="B1402" s="446" t="e">
        <f>DPR!#REF!</f>
        <v>#REF!</v>
      </c>
      <c r="C1402" s="364" t="e">
        <f>DPR!#REF!</f>
        <v>#REF!</v>
      </c>
    </row>
    <row r="1403" spans="2:3" hidden="1">
      <c r="B1403" s="446" t="e">
        <f>DPR!#REF!</f>
        <v>#REF!</v>
      </c>
      <c r="C1403" s="364" t="e">
        <f>DPR!#REF!</f>
        <v>#REF!</v>
      </c>
    </row>
    <row r="1404" spans="2:3" hidden="1">
      <c r="B1404" s="446" t="e">
        <f>DPR!#REF!</f>
        <v>#REF!</v>
      </c>
      <c r="C1404" s="364" t="e">
        <f>DPR!#REF!</f>
        <v>#REF!</v>
      </c>
    </row>
    <row r="1405" spans="2:3" hidden="1">
      <c r="B1405" s="446" t="e">
        <f>DPR!#REF!</f>
        <v>#REF!</v>
      </c>
      <c r="C1405" s="364" t="e">
        <f>DPR!#REF!</f>
        <v>#REF!</v>
      </c>
    </row>
    <row r="1406" spans="2:3" hidden="1">
      <c r="B1406" s="446" t="e">
        <f>DPR!#REF!</f>
        <v>#REF!</v>
      </c>
      <c r="C1406" s="364" t="e">
        <f>DPR!#REF!</f>
        <v>#REF!</v>
      </c>
    </row>
    <row r="1407" spans="2:3" hidden="1">
      <c r="B1407" s="446" t="e">
        <f>DPR!#REF!</f>
        <v>#REF!</v>
      </c>
      <c r="C1407" s="364" t="e">
        <f>DPR!#REF!</f>
        <v>#REF!</v>
      </c>
    </row>
    <row r="1408" spans="2:3" hidden="1">
      <c r="B1408" s="446" t="e">
        <f>DPR!#REF!</f>
        <v>#REF!</v>
      </c>
      <c r="C1408" s="364" t="e">
        <f>DPR!#REF!</f>
        <v>#REF!</v>
      </c>
    </row>
    <row r="1409" spans="2:3" hidden="1">
      <c r="B1409" s="446" t="e">
        <f>DPR!#REF!</f>
        <v>#REF!</v>
      </c>
      <c r="C1409" s="364" t="e">
        <f>DPR!#REF!</f>
        <v>#REF!</v>
      </c>
    </row>
    <row r="1410" spans="2:3" hidden="1">
      <c r="B1410" s="446" t="e">
        <f>DPR!#REF!</f>
        <v>#REF!</v>
      </c>
      <c r="C1410" s="364" t="e">
        <f>DPR!#REF!</f>
        <v>#REF!</v>
      </c>
    </row>
    <row r="1411" spans="2:3" hidden="1">
      <c r="B1411" s="446" t="e">
        <f>DPR!#REF!</f>
        <v>#REF!</v>
      </c>
      <c r="C1411" s="364" t="e">
        <f>DPR!#REF!</f>
        <v>#REF!</v>
      </c>
    </row>
    <row r="1412" spans="2:3" hidden="1">
      <c r="B1412" s="446" t="e">
        <f>DPR!#REF!</f>
        <v>#REF!</v>
      </c>
      <c r="C1412" s="364" t="e">
        <f>DPR!#REF!</f>
        <v>#REF!</v>
      </c>
    </row>
    <row r="1413" spans="2:3" hidden="1">
      <c r="B1413" s="446" t="e">
        <f>DPR!#REF!</f>
        <v>#REF!</v>
      </c>
      <c r="C1413" s="364" t="e">
        <f>DPR!#REF!</f>
        <v>#REF!</v>
      </c>
    </row>
    <row r="1414" spans="2:3" hidden="1">
      <c r="B1414" s="446" t="e">
        <f>DPR!#REF!</f>
        <v>#REF!</v>
      </c>
      <c r="C1414" s="364" t="e">
        <f>DPR!#REF!</f>
        <v>#REF!</v>
      </c>
    </row>
    <row r="1415" spans="2:3" hidden="1">
      <c r="B1415" s="446" t="e">
        <f>DPR!#REF!</f>
        <v>#REF!</v>
      </c>
      <c r="C1415" s="364" t="e">
        <f>DPR!#REF!</f>
        <v>#REF!</v>
      </c>
    </row>
    <row r="1416" spans="2:3" hidden="1">
      <c r="B1416" s="446" t="e">
        <f>DPR!#REF!</f>
        <v>#REF!</v>
      </c>
      <c r="C1416" s="364" t="e">
        <f>DPR!#REF!</f>
        <v>#REF!</v>
      </c>
    </row>
    <row r="1417" spans="2:3" hidden="1">
      <c r="B1417" s="446" t="e">
        <f>DPR!#REF!</f>
        <v>#REF!</v>
      </c>
      <c r="C1417" s="364" t="e">
        <f>DPR!#REF!</f>
        <v>#REF!</v>
      </c>
    </row>
    <row r="1418" spans="2:3" hidden="1">
      <c r="B1418" s="446" t="e">
        <f>DPR!#REF!</f>
        <v>#REF!</v>
      </c>
      <c r="C1418" s="364" t="e">
        <f>DPR!#REF!</f>
        <v>#REF!</v>
      </c>
    </row>
    <row r="1419" spans="2:3" hidden="1">
      <c r="B1419" s="446" t="e">
        <f>DPR!#REF!</f>
        <v>#REF!</v>
      </c>
      <c r="C1419" s="364" t="e">
        <f>DPR!#REF!</f>
        <v>#REF!</v>
      </c>
    </row>
    <row r="1420" spans="2:3" hidden="1">
      <c r="B1420" s="446" t="e">
        <f>DPR!#REF!</f>
        <v>#REF!</v>
      </c>
      <c r="C1420" s="364" t="e">
        <f>DPR!#REF!</f>
        <v>#REF!</v>
      </c>
    </row>
    <row r="1421" spans="2:3" hidden="1">
      <c r="B1421" s="446" t="e">
        <f>DPR!#REF!</f>
        <v>#REF!</v>
      </c>
      <c r="C1421" s="364" t="e">
        <f>DPR!#REF!</f>
        <v>#REF!</v>
      </c>
    </row>
    <row r="1422" spans="2:3" hidden="1">
      <c r="B1422" s="446" t="e">
        <f>DPR!#REF!</f>
        <v>#REF!</v>
      </c>
      <c r="C1422" s="364" t="e">
        <f>DPR!#REF!</f>
        <v>#REF!</v>
      </c>
    </row>
    <row r="1423" spans="2:3" hidden="1">
      <c r="B1423" s="446" t="e">
        <f>DPR!#REF!</f>
        <v>#REF!</v>
      </c>
      <c r="C1423" s="364" t="e">
        <f>DPR!#REF!</f>
        <v>#REF!</v>
      </c>
    </row>
    <row r="1424" spans="2:3" hidden="1">
      <c r="B1424" s="446" t="e">
        <f>DPR!#REF!</f>
        <v>#REF!</v>
      </c>
      <c r="C1424" s="364" t="e">
        <f>DPR!#REF!</f>
        <v>#REF!</v>
      </c>
    </row>
    <row r="1425" spans="2:3" hidden="1">
      <c r="B1425" s="446" t="e">
        <f>DPR!#REF!</f>
        <v>#REF!</v>
      </c>
      <c r="C1425" s="364" t="e">
        <f>DPR!#REF!</f>
        <v>#REF!</v>
      </c>
    </row>
    <row r="1426" spans="2:3" hidden="1">
      <c r="B1426" s="446" t="e">
        <f>DPR!#REF!</f>
        <v>#REF!</v>
      </c>
      <c r="C1426" s="364" t="e">
        <f>DPR!#REF!</f>
        <v>#REF!</v>
      </c>
    </row>
    <row r="1427" spans="2:3" hidden="1">
      <c r="B1427" s="446" t="e">
        <f>DPR!#REF!</f>
        <v>#REF!</v>
      </c>
      <c r="C1427" s="364" t="e">
        <f>DPR!#REF!</f>
        <v>#REF!</v>
      </c>
    </row>
    <row r="1428" spans="2:3" hidden="1">
      <c r="B1428" s="446" t="e">
        <f>DPR!#REF!</f>
        <v>#REF!</v>
      </c>
      <c r="C1428" s="364" t="e">
        <f>DPR!#REF!</f>
        <v>#REF!</v>
      </c>
    </row>
    <row r="1429" spans="2:3" hidden="1">
      <c r="B1429" s="446" t="e">
        <f>DPR!#REF!</f>
        <v>#REF!</v>
      </c>
      <c r="C1429" s="364" t="e">
        <f>DPR!#REF!</f>
        <v>#REF!</v>
      </c>
    </row>
    <row r="1430" spans="2:3" hidden="1">
      <c r="B1430" s="446" t="e">
        <f>DPR!#REF!</f>
        <v>#REF!</v>
      </c>
      <c r="C1430" s="364" t="e">
        <f>DPR!#REF!</f>
        <v>#REF!</v>
      </c>
    </row>
    <row r="1431" spans="2:3" hidden="1">
      <c r="B1431" s="446" t="e">
        <f>DPR!#REF!</f>
        <v>#REF!</v>
      </c>
      <c r="C1431" s="364" t="e">
        <f>DPR!#REF!</f>
        <v>#REF!</v>
      </c>
    </row>
    <row r="1432" spans="2:3" hidden="1">
      <c r="B1432" s="446" t="e">
        <f>DPR!#REF!</f>
        <v>#REF!</v>
      </c>
      <c r="C1432" s="364" t="e">
        <f>DPR!#REF!</f>
        <v>#REF!</v>
      </c>
    </row>
    <row r="1433" spans="2:3" hidden="1">
      <c r="B1433" s="446" t="e">
        <f>DPR!#REF!</f>
        <v>#REF!</v>
      </c>
      <c r="C1433" s="364" t="e">
        <f>DPR!#REF!</f>
        <v>#REF!</v>
      </c>
    </row>
    <row r="1434" spans="2:3" hidden="1">
      <c r="B1434" s="446" t="e">
        <f>DPR!#REF!</f>
        <v>#REF!</v>
      </c>
      <c r="C1434" s="364" t="e">
        <f>DPR!#REF!</f>
        <v>#REF!</v>
      </c>
    </row>
    <row r="1435" spans="2:3" hidden="1">
      <c r="B1435" s="446" t="e">
        <f>DPR!#REF!</f>
        <v>#REF!</v>
      </c>
      <c r="C1435" s="364" t="e">
        <f>DPR!#REF!</f>
        <v>#REF!</v>
      </c>
    </row>
    <row r="1436" spans="2:3" hidden="1">
      <c r="B1436" s="446" t="e">
        <f>DPR!#REF!</f>
        <v>#REF!</v>
      </c>
      <c r="C1436" s="364" t="e">
        <f>DPR!#REF!</f>
        <v>#REF!</v>
      </c>
    </row>
    <row r="1437" spans="2:3" hidden="1">
      <c r="B1437" s="446" t="e">
        <f>DPR!#REF!</f>
        <v>#REF!</v>
      </c>
      <c r="C1437" s="364" t="e">
        <f>DPR!#REF!</f>
        <v>#REF!</v>
      </c>
    </row>
    <row r="1438" spans="2:3" hidden="1">
      <c r="B1438" s="446" t="e">
        <f>DPR!#REF!</f>
        <v>#REF!</v>
      </c>
      <c r="C1438" s="364" t="e">
        <f>DPR!#REF!</f>
        <v>#REF!</v>
      </c>
    </row>
    <row r="1439" spans="2:3" hidden="1">
      <c r="B1439" s="446" t="e">
        <f>DPR!#REF!</f>
        <v>#REF!</v>
      </c>
      <c r="C1439" s="364" t="e">
        <f>DPR!#REF!</f>
        <v>#REF!</v>
      </c>
    </row>
    <row r="1440" spans="2:3" hidden="1">
      <c r="B1440" s="446" t="e">
        <f>DPR!#REF!</f>
        <v>#REF!</v>
      </c>
      <c r="C1440" s="364" t="e">
        <f>DPR!#REF!</f>
        <v>#REF!</v>
      </c>
    </row>
    <row r="1441" spans="2:3" hidden="1">
      <c r="B1441" s="446" t="e">
        <f>DPR!#REF!</f>
        <v>#REF!</v>
      </c>
      <c r="C1441" s="364" t="e">
        <f>DPR!#REF!</f>
        <v>#REF!</v>
      </c>
    </row>
    <row r="1442" spans="2:3" hidden="1">
      <c r="B1442" s="446" t="e">
        <f>DPR!#REF!</f>
        <v>#REF!</v>
      </c>
      <c r="C1442" s="364" t="e">
        <f>DPR!#REF!</f>
        <v>#REF!</v>
      </c>
    </row>
    <row r="1443" spans="2:3" hidden="1">
      <c r="B1443" s="446" t="e">
        <f>DPR!#REF!</f>
        <v>#REF!</v>
      </c>
      <c r="C1443" s="364" t="e">
        <f>DPR!#REF!</f>
        <v>#REF!</v>
      </c>
    </row>
    <row r="1444" spans="2:3" hidden="1">
      <c r="B1444" s="446" t="e">
        <f>DPR!#REF!</f>
        <v>#REF!</v>
      </c>
      <c r="C1444" s="364" t="e">
        <f>DPR!#REF!</f>
        <v>#REF!</v>
      </c>
    </row>
    <row r="1445" spans="2:3" hidden="1">
      <c r="B1445" s="446" t="e">
        <f>DPR!#REF!</f>
        <v>#REF!</v>
      </c>
      <c r="C1445" s="364" t="e">
        <f>DPR!#REF!</f>
        <v>#REF!</v>
      </c>
    </row>
    <row r="1446" spans="2:3" hidden="1">
      <c r="B1446" s="446" t="e">
        <f>DPR!#REF!</f>
        <v>#REF!</v>
      </c>
      <c r="C1446" s="364" t="e">
        <f>DPR!#REF!</f>
        <v>#REF!</v>
      </c>
    </row>
    <row r="1447" spans="2:3" hidden="1">
      <c r="B1447" s="446" t="e">
        <f>DPR!#REF!</f>
        <v>#REF!</v>
      </c>
      <c r="C1447" s="364" t="e">
        <f>DPR!#REF!</f>
        <v>#REF!</v>
      </c>
    </row>
    <row r="1448" spans="2:3" hidden="1">
      <c r="B1448" s="446" t="e">
        <f>DPR!#REF!</f>
        <v>#REF!</v>
      </c>
      <c r="C1448" s="364" t="e">
        <f>DPR!#REF!</f>
        <v>#REF!</v>
      </c>
    </row>
    <row r="1449" spans="2:3" hidden="1">
      <c r="B1449" s="446" t="e">
        <f>DPR!#REF!</f>
        <v>#REF!</v>
      </c>
      <c r="C1449" s="364" t="e">
        <f>DPR!#REF!</f>
        <v>#REF!</v>
      </c>
    </row>
    <row r="1450" spans="2:3" hidden="1">
      <c r="B1450" s="446" t="e">
        <f>DPR!#REF!</f>
        <v>#REF!</v>
      </c>
      <c r="C1450" s="364" t="e">
        <f>DPR!#REF!</f>
        <v>#REF!</v>
      </c>
    </row>
    <row r="1451" spans="2:3" hidden="1">
      <c r="B1451" s="446" t="e">
        <f>DPR!#REF!</f>
        <v>#REF!</v>
      </c>
      <c r="C1451" s="364" t="e">
        <f>DPR!#REF!</f>
        <v>#REF!</v>
      </c>
    </row>
    <row r="1452" spans="2:3" hidden="1">
      <c r="B1452" s="446" t="e">
        <f>DPR!#REF!</f>
        <v>#REF!</v>
      </c>
      <c r="C1452" s="364" t="e">
        <f>DPR!#REF!</f>
        <v>#REF!</v>
      </c>
    </row>
    <row r="1453" spans="2:3" hidden="1">
      <c r="B1453" s="446" t="e">
        <f>DPR!#REF!</f>
        <v>#REF!</v>
      </c>
      <c r="C1453" s="364" t="e">
        <f>DPR!#REF!</f>
        <v>#REF!</v>
      </c>
    </row>
    <row r="1454" spans="2:3" hidden="1">
      <c r="B1454" s="446" t="e">
        <f>DPR!#REF!</f>
        <v>#REF!</v>
      </c>
      <c r="C1454" s="364" t="e">
        <f>DPR!#REF!</f>
        <v>#REF!</v>
      </c>
    </row>
    <row r="1455" spans="2:3" hidden="1">
      <c r="B1455" s="446" t="e">
        <f>DPR!#REF!</f>
        <v>#REF!</v>
      </c>
      <c r="C1455" s="364" t="e">
        <f>DPR!#REF!</f>
        <v>#REF!</v>
      </c>
    </row>
    <row r="1456" spans="2:3" hidden="1">
      <c r="B1456" s="446" t="e">
        <f>DPR!#REF!</f>
        <v>#REF!</v>
      </c>
      <c r="C1456" s="364" t="e">
        <f>DPR!#REF!</f>
        <v>#REF!</v>
      </c>
    </row>
    <row r="1457" spans="2:3" hidden="1">
      <c r="B1457" s="446" t="e">
        <f>DPR!#REF!</f>
        <v>#REF!</v>
      </c>
      <c r="C1457" s="364" t="e">
        <f>DPR!#REF!</f>
        <v>#REF!</v>
      </c>
    </row>
    <row r="1458" spans="2:3" hidden="1">
      <c r="B1458" s="446" t="e">
        <f>DPR!#REF!</f>
        <v>#REF!</v>
      </c>
      <c r="C1458" s="364" t="e">
        <f>DPR!#REF!</f>
        <v>#REF!</v>
      </c>
    </row>
    <row r="1459" spans="2:3" hidden="1">
      <c r="B1459" s="446" t="e">
        <f>DPR!#REF!</f>
        <v>#REF!</v>
      </c>
      <c r="C1459" s="364" t="e">
        <f>DPR!#REF!</f>
        <v>#REF!</v>
      </c>
    </row>
    <row r="1460" spans="2:3" hidden="1">
      <c r="B1460" s="446" t="e">
        <f>DPR!#REF!</f>
        <v>#REF!</v>
      </c>
      <c r="C1460" s="364" t="e">
        <f>DPR!#REF!</f>
        <v>#REF!</v>
      </c>
    </row>
    <row r="1461" spans="2:3" hidden="1">
      <c r="B1461" s="446" t="e">
        <f>DPR!#REF!</f>
        <v>#REF!</v>
      </c>
      <c r="C1461" s="364" t="e">
        <f>DPR!#REF!</f>
        <v>#REF!</v>
      </c>
    </row>
    <row r="1462" spans="2:3" hidden="1">
      <c r="B1462" s="446" t="e">
        <f>DPR!#REF!</f>
        <v>#REF!</v>
      </c>
      <c r="C1462" s="364" t="e">
        <f>DPR!#REF!</f>
        <v>#REF!</v>
      </c>
    </row>
    <row r="1463" spans="2:3" hidden="1">
      <c r="B1463" s="446" t="e">
        <f>DPR!#REF!</f>
        <v>#REF!</v>
      </c>
      <c r="C1463" s="364" t="e">
        <f>DPR!#REF!</f>
        <v>#REF!</v>
      </c>
    </row>
    <row r="1464" spans="2:3" hidden="1">
      <c r="B1464" s="446" t="e">
        <f>DPR!#REF!</f>
        <v>#REF!</v>
      </c>
      <c r="C1464" s="364" t="e">
        <f>DPR!#REF!</f>
        <v>#REF!</v>
      </c>
    </row>
    <row r="1465" spans="2:3" hidden="1">
      <c r="B1465" s="446" t="e">
        <f>DPR!#REF!</f>
        <v>#REF!</v>
      </c>
      <c r="C1465" s="364" t="e">
        <f>DPR!#REF!</f>
        <v>#REF!</v>
      </c>
    </row>
    <row r="1466" spans="2:3" hidden="1">
      <c r="B1466" s="446" t="e">
        <f>DPR!#REF!</f>
        <v>#REF!</v>
      </c>
      <c r="C1466" s="364" t="e">
        <f>DPR!#REF!</f>
        <v>#REF!</v>
      </c>
    </row>
    <row r="1467" spans="2:3" hidden="1">
      <c r="B1467" s="446" t="e">
        <f>DPR!#REF!</f>
        <v>#REF!</v>
      </c>
      <c r="C1467" s="364" t="e">
        <f>DPR!#REF!</f>
        <v>#REF!</v>
      </c>
    </row>
    <row r="1468" spans="2:3" hidden="1">
      <c r="B1468" s="446" t="e">
        <f>DPR!#REF!</f>
        <v>#REF!</v>
      </c>
      <c r="C1468" s="364" t="e">
        <f>DPR!#REF!</f>
        <v>#REF!</v>
      </c>
    </row>
    <row r="1469" spans="2:3" hidden="1">
      <c r="B1469" s="446" t="e">
        <f>DPR!#REF!</f>
        <v>#REF!</v>
      </c>
      <c r="C1469" s="364" t="e">
        <f>DPR!#REF!</f>
        <v>#REF!</v>
      </c>
    </row>
  </sheetData>
  <sheetProtection formatColumns="0" formatRows="0"/>
  <autoFilter ref="B8:C1469">
    <filterColumn colId="0">
      <filters>
        <dateGroupItem year="2024" month="8" dateTimeGrouping="month"/>
        <dateGroupItem year="2024" month="9" dateTimeGrouping="month"/>
        <dateGroupItem year="2024" month="10" dateTimeGrouping="month"/>
      </filters>
    </filterColumn>
    <filterColumn colId="1">
      <customFilters>
        <customFilter operator="notEqual" val="0"/>
      </customFilters>
    </filterColumn>
    <sortState ref="B9:C879">
      <sortCondition descending="1" ref="B8:B1469"/>
    </sortState>
  </autoFilter>
  <mergeCells count="2">
    <mergeCell ref="B2:C2"/>
    <mergeCell ref="B3:C3"/>
  </mergeCells>
  <pageMargins left="0.7" right="0.7" top="0.75" bottom="0.75" header="0.3" footer="0.3"/>
  <pageSetup scale="67"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1009" r:id="rId4" name="Button 1">
              <controlPr defaultSize="0" print="0" autoFill="0" autoPict="0" macro="[0]!all_remarks_Button1_Click">
                <anchor moveWithCells="1" sizeWithCells="1">
                  <from>
                    <xdr:col>4</xdr:col>
                    <xdr:colOff>85725</xdr:colOff>
                    <xdr:row>0</xdr:row>
                    <xdr:rowOff>142875</xdr:rowOff>
                  </from>
                  <to>
                    <xdr:col>6</xdr:col>
                    <xdr:colOff>466725</xdr:colOff>
                    <xdr:row>5</xdr:row>
                    <xdr:rowOff>104775</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tabColor rgb="FF92D050"/>
  </sheetPr>
  <dimension ref="E1:T365"/>
  <sheetViews>
    <sheetView topLeftCell="A244" workbookViewId="0"/>
  </sheetViews>
  <sheetFormatPr defaultColWidth="8.85546875" defaultRowHeight="15"/>
  <sheetData>
    <row r="1" spans="5:18" ht="48.75" customHeight="1">
      <c r="E1" s="1314" t="s">
        <v>1018</v>
      </c>
      <c r="F1" s="1314"/>
      <c r="G1" s="1314"/>
      <c r="H1" s="560" t="str">
        <f>Dashboard!J3</f>
        <v>BE</v>
      </c>
      <c r="I1" s="1314" t="str">
        <f>interFY_transition!D20</f>
        <v>2026-27</v>
      </c>
      <c r="J1" s="1314"/>
      <c r="K1" s="1315" t="str">
        <f>Dropdowns!B383</f>
        <v/>
      </c>
      <c r="L1" s="1315"/>
      <c r="M1" s="1315"/>
      <c r="N1" s="1315"/>
      <c r="O1" s="1315"/>
      <c r="P1" s="1315"/>
      <c r="Q1" s="1315"/>
      <c r="R1" s="1315"/>
    </row>
    <row r="270" spans="20:20">
      <c r="T270" s="402"/>
    </row>
    <row r="294" spans="20:20">
      <c r="T294" s="402"/>
    </row>
    <row r="313" spans="20:20">
      <c r="T313" s="402"/>
    </row>
    <row r="341" spans="20:20">
      <c r="T341" s="402"/>
    </row>
    <row r="365" spans="20:20">
      <c r="T365" s="402"/>
    </row>
  </sheetData>
  <mergeCells count="3">
    <mergeCell ref="E1:G1"/>
    <mergeCell ref="I1:J1"/>
    <mergeCell ref="K1:R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01" r:id="rId4" name="Button 1">
              <controlPr defaultSize="0" print="0" autoFill="0" autoPict="0" macro="[0]!Graphs_full_Button1_Click">
                <anchor moveWithCells="1" sizeWithCells="1">
                  <from>
                    <xdr:col>20</xdr:col>
                    <xdr:colOff>123825</xdr:colOff>
                    <xdr:row>1</xdr:row>
                    <xdr:rowOff>161925</xdr:rowOff>
                  </from>
                  <to>
                    <xdr:col>22</xdr:col>
                    <xdr:colOff>161925</xdr:colOff>
                    <xdr:row>19</xdr:row>
                    <xdr:rowOff>66675</xdr:rowOff>
                  </to>
                </anchor>
              </controlPr>
            </control>
          </mc:Choice>
        </mc:AlternateContent>
        <mc:AlternateContent xmlns:mc="http://schemas.openxmlformats.org/markup-compatibility/2006">
          <mc:Choice Requires="x14">
            <control shapeId="153602" r:id="rId5" name="Button 2">
              <controlPr defaultSize="0" print="0" autoFill="0" autoPict="0" macro="[0]!Graphs_full_Button1_Click">
                <anchor moveWithCells="1" sizeWithCells="1">
                  <from>
                    <xdr:col>20</xdr:col>
                    <xdr:colOff>180975</xdr:colOff>
                    <xdr:row>30</xdr:row>
                    <xdr:rowOff>152400</xdr:rowOff>
                  </from>
                  <to>
                    <xdr:col>22</xdr:col>
                    <xdr:colOff>219075</xdr:colOff>
                    <xdr:row>48</xdr:row>
                    <xdr:rowOff>66675</xdr:rowOff>
                  </to>
                </anchor>
              </controlPr>
            </control>
          </mc:Choice>
        </mc:AlternateContent>
        <mc:AlternateContent xmlns:mc="http://schemas.openxmlformats.org/markup-compatibility/2006">
          <mc:Choice Requires="x14">
            <control shapeId="153603" r:id="rId6" name="Button 3">
              <controlPr defaultSize="0" print="0" autoFill="0" autoPict="0" macro="[0]!Graphs_full_Button1_Click">
                <anchor moveWithCells="1" sizeWithCells="1">
                  <from>
                    <xdr:col>20</xdr:col>
                    <xdr:colOff>180975</xdr:colOff>
                    <xdr:row>83</xdr:row>
                    <xdr:rowOff>85725</xdr:rowOff>
                  </from>
                  <to>
                    <xdr:col>22</xdr:col>
                    <xdr:colOff>219075</xdr:colOff>
                    <xdr:row>100</xdr:row>
                    <xdr:rowOff>180975</xdr:rowOff>
                  </to>
                </anchor>
              </controlPr>
            </control>
          </mc:Choice>
        </mc:AlternateContent>
        <mc:AlternateContent xmlns:mc="http://schemas.openxmlformats.org/markup-compatibility/2006">
          <mc:Choice Requires="x14">
            <control shapeId="153604" r:id="rId7" name="Button 4">
              <controlPr defaultSize="0" print="0" autoFill="0" autoPict="0" macro="[0]!Graphs_full_Button1_Click">
                <anchor moveWithCells="1" sizeWithCells="1">
                  <from>
                    <xdr:col>20</xdr:col>
                    <xdr:colOff>104775</xdr:colOff>
                    <xdr:row>133</xdr:row>
                    <xdr:rowOff>142875</xdr:rowOff>
                  </from>
                  <to>
                    <xdr:col>22</xdr:col>
                    <xdr:colOff>142875</xdr:colOff>
                    <xdr:row>151</xdr:row>
                    <xdr:rowOff>38100</xdr:rowOff>
                  </to>
                </anchor>
              </controlPr>
            </control>
          </mc:Choice>
        </mc:AlternateContent>
        <mc:AlternateContent xmlns:mc="http://schemas.openxmlformats.org/markup-compatibility/2006">
          <mc:Choice Requires="x14">
            <control shapeId="153605" r:id="rId8" name="Button 5">
              <controlPr defaultSize="0" print="0" autoFill="0" autoPict="0" macro="[0]!Graphs_full_Button1_Click">
                <anchor moveWithCells="1" sizeWithCells="1">
                  <from>
                    <xdr:col>20</xdr:col>
                    <xdr:colOff>180975</xdr:colOff>
                    <xdr:row>183</xdr:row>
                    <xdr:rowOff>104775</xdr:rowOff>
                  </from>
                  <to>
                    <xdr:col>22</xdr:col>
                    <xdr:colOff>219075</xdr:colOff>
                    <xdr:row>201</xdr:row>
                    <xdr:rowOff>0</xdr:rowOff>
                  </to>
                </anchor>
              </controlPr>
            </control>
          </mc:Choice>
        </mc:AlternateContent>
        <mc:AlternateContent xmlns:mc="http://schemas.openxmlformats.org/markup-compatibility/2006">
          <mc:Choice Requires="x14">
            <control shapeId="153606" r:id="rId9" name="Button 6">
              <controlPr defaultSize="0" print="0" autoFill="0" autoPict="0" macro="[0]!Graphs_full_Button1_Click">
                <anchor moveWithCells="1" sizeWithCells="1">
                  <from>
                    <xdr:col>20</xdr:col>
                    <xdr:colOff>180975</xdr:colOff>
                    <xdr:row>59</xdr:row>
                    <xdr:rowOff>152400</xdr:rowOff>
                  </from>
                  <to>
                    <xdr:col>22</xdr:col>
                    <xdr:colOff>219075</xdr:colOff>
                    <xdr:row>77</xdr:row>
                    <xdr:rowOff>66675</xdr:rowOff>
                  </to>
                </anchor>
              </controlPr>
            </control>
          </mc:Choice>
        </mc:AlternateContent>
        <mc:AlternateContent xmlns:mc="http://schemas.openxmlformats.org/markup-compatibility/2006">
          <mc:Choice Requires="x14">
            <control shapeId="153607" r:id="rId10" name="Button 7">
              <controlPr defaultSize="0" print="0" autoFill="0" autoPict="0" macro="[0]!Graphs_full_Button1_Click">
                <anchor moveWithCells="1" sizeWithCells="1">
                  <from>
                    <xdr:col>20</xdr:col>
                    <xdr:colOff>66675</xdr:colOff>
                    <xdr:row>109</xdr:row>
                    <xdr:rowOff>152400</xdr:rowOff>
                  </from>
                  <to>
                    <xdr:col>22</xdr:col>
                    <xdr:colOff>104775</xdr:colOff>
                    <xdr:row>127</xdr:row>
                    <xdr:rowOff>66675</xdr:rowOff>
                  </to>
                </anchor>
              </controlPr>
            </control>
          </mc:Choice>
        </mc:AlternateContent>
        <mc:AlternateContent xmlns:mc="http://schemas.openxmlformats.org/markup-compatibility/2006">
          <mc:Choice Requires="x14">
            <control shapeId="153608" r:id="rId11" name="Button 8">
              <controlPr defaultSize="0" print="0" autoFill="0" autoPict="0" macro="[0]!Graphs_full_Button1_Click">
                <anchor moveWithCells="1" sizeWithCells="1">
                  <from>
                    <xdr:col>20</xdr:col>
                    <xdr:colOff>152400</xdr:colOff>
                    <xdr:row>157</xdr:row>
                    <xdr:rowOff>28575</xdr:rowOff>
                  </from>
                  <to>
                    <xdr:col>22</xdr:col>
                    <xdr:colOff>190500</xdr:colOff>
                    <xdr:row>174</xdr:row>
                    <xdr:rowOff>114300</xdr:rowOff>
                  </to>
                </anchor>
              </controlPr>
            </control>
          </mc:Choice>
        </mc:AlternateContent>
        <mc:AlternateContent xmlns:mc="http://schemas.openxmlformats.org/markup-compatibility/2006">
          <mc:Choice Requires="x14">
            <control shapeId="153609" r:id="rId12" name="Button 9">
              <controlPr defaultSize="0" print="0" autoFill="0" autoPict="0" macro="[0]!Graphs_full_Button1_Click">
                <anchor moveWithCells="1" sizeWithCells="1">
                  <from>
                    <xdr:col>20</xdr:col>
                    <xdr:colOff>161925</xdr:colOff>
                    <xdr:row>209</xdr:row>
                    <xdr:rowOff>9525</xdr:rowOff>
                  </from>
                  <to>
                    <xdr:col>22</xdr:col>
                    <xdr:colOff>200025</xdr:colOff>
                    <xdr:row>226</xdr:row>
                    <xdr:rowOff>104775</xdr:rowOff>
                  </to>
                </anchor>
              </controlPr>
            </control>
          </mc:Choice>
        </mc:AlternateContent>
        <mc:AlternateContent xmlns:mc="http://schemas.openxmlformats.org/markup-compatibility/2006">
          <mc:Choice Requires="x14">
            <control shapeId="153610" r:id="rId13" name="Button 10">
              <controlPr defaultSize="0" print="0" autoFill="0" autoPict="0" macro="[0]!Graphs_full_Button1_Click">
                <anchor moveWithCells="1" sizeWithCells="1">
                  <from>
                    <xdr:col>20</xdr:col>
                    <xdr:colOff>180975</xdr:colOff>
                    <xdr:row>238</xdr:row>
                    <xdr:rowOff>123825</xdr:rowOff>
                  </from>
                  <to>
                    <xdr:col>22</xdr:col>
                    <xdr:colOff>219075</xdr:colOff>
                    <xdr:row>256</xdr:row>
                    <xdr:rowOff>28575</xdr:rowOff>
                  </to>
                </anchor>
              </controlPr>
            </control>
          </mc:Choice>
        </mc:AlternateContent>
        <mc:AlternateContent xmlns:mc="http://schemas.openxmlformats.org/markup-compatibility/2006">
          <mc:Choice Requires="x14">
            <control shapeId="153611" r:id="rId14" name="Button 11">
              <controlPr defaultSize="0" print="0" autoFill="0" autoPict="0" macro="[0]!Graphs_full_Button1_Click">
                <anchor moveWithCells="1" sizeWithCells="1">
                  <from>
                    <xdr:col>20</xdr:col>
                    <xdr:colOff>200025</xdr:colOff>
                    <xdr:row>261</xdr:row>
                    <xdr:rowOff>142875</xdr:rowOff>
                  </from>
                  <to>
                    <xdr:col>22</xdr:col>
                    <xdr:colOff>238125</xdr:colOff>
                    <xdr:row>279</xdr:row>
                    <xdr:rowOff>47625</xdr:rowOff>
                  </to>
                </anchor>
              </controlPr>
            </control>
          </mc:Choice>
        </mc:AlternateContent>
        <mc:AlternateContent xmlns:mc="http://schemas.openxmlformats.org/markup-compatibility/2006">
          <mc:Choice Requires="x14">
            <control shapeId="153612" r:id="rId15" name="Button 12">
              <controlPr defaultSize="0" print="0" autoFill="0" autoPict="0" macro="[0]!Graphs_full_Button1_Click">
                <anchor moveWithCells="1" sizeWithCells="1">
                  <from>
                    <xdr:col>20</xdr:col>
                    <xdr:colOff>219075</xdr:colOff>
                    <xdr:row>286</xdr:row>
                    <xdr:rowOff>76200</xdr:rowOff>
                  </from>
                  <to>
                    <xdr:col>22</xdr:col>
                    <xdr:colOff>257175</xdr:colOff>
                    <xdr:row>303</xdr:row>
                    <xdr:rowOff>180975</xdr:rowOff>
                  </to>
                </anchor>
              </controlPr>
            </control>
          </mc:Choice>
        </mc:AlternateContent>
        <mc:AlternateContent xmlns:mc="http://schemas.openxmlformats.org/markup-compatibility/2006">
          <mc:Choice Requires="x14">
            <control shapeId="153613" r:id="rId16" name="Button 13">
              <controlPr defaultSize="0" print="0" autoFill="0" autoPict="0" macro="[0]!Graphs_full_Button1_Click">
                <anchor moveWithCells="1" sizeWithCells="1">
                  <from>
                    <xdr:col>20</xdr:col>
                    <xdr:colOff>238125</xdr:colOff>
                    <xdr:row>308</xdr:row>
                    <xdr:rowOff>85725</xdr:rowOff>
                  </from>
                  <to>
                    <xdr:col>22</xdr:col>
                    <xdr:colOff>276225</xdr:colOff>
                    <xdr:row>325</xdr:row>
                    <xdr:rowOff>180975</xdr:rowOff>
                  </to>
                </anchor>
              </controlPr>
            </control>
          </mc:Choice>
        </mc:AlternateContent>
        <mc:AlternateContent xmlns:mc="http://schemas.openxmlformats.org/markup-compatibility/2006">
          <mc:Choice Requires="x14">
            <control shapeId="153614" r:id="rId17" name="Button 14">
              <controlPr defaultSize="0" print="0" autoFill="0" autoPict="0" macro="[0]!Graphs_full_Button1_Click">
                <anchor moveWithCells="1" sizeWithCells="1">
                  <from>
                    <xdr:col>20</xdr:col>
                    <xdr:colOff>304800</xdr:colOff>
                    <xdr:row>333</xdr:row>
                    <xdr:rowOff>85725</xdr:rowOff>
                  </from>
                  <to>
                    <xdr:col>22</xdr:col>
                    <xdr:colOff>342900</xdr:colOff>
                    <xdr:row>351</xdr:row>
                    <xdr:rowOff>0</xdr:rowOff>
                  </to>
                </anchor>
              </controlPr>
            </control>
          </mc:Choice>
        </mc:AlternateContent>
        <mc:AlternateContent xmlns:mc="http://schemas.openxmlformats.org/markup-compatibility/2006">
          <mc:Choice Requires="x14">
            <control shapeId="153615" r:id="rId18" name="Button 15">
              <controlPr defaultSize="0" print="0" autoFill="0" autoPict="0" macro="[0]!Graphs_full_Button1_Click">
                <anchor moveWithCells="1" sizeWithCells="1">
                  <from>
                    <xdr:col>20</xdr:col>
                    <xdr:colOff>381000</xdr:colOff>
                    <xdr:row>362</xdr:row>
                    <xdr:rowOff>142875</xdr:rowOff>
                  </from>
                  <to>
                    <xdr:col>22</xdr:col>
                    <xdr:colOff>419100</xdr:colOff>
                    <xdr:row>380</xdr:row>
                    <xdr:rowOff>66675</xdr:rowOff>
                  </to>
                </anchor>
              </controlPr>
            </control>
          </mc:Choice>
        </mc:AlternateContent>
        <mc:AlternateContent xmlns:mc="http://schemas.openxmlformats.org/markup-compatibility/2006">
          <mc:Choice Requires="x14">
            <control shapeId="153616" r:id="rId19" name="Button 16">
              <controlPr defaultSize="0" print="0" autoFill="0" autoPict="0" macro="[0]!Graphs_full_Button1_Click">
                <anchor moveWithCells="1" sizeWithCells="1">
                  <from>
                    <xdr:col>20</xdr:col>
                    <xdr:colOff>409575</xdr:colOff>
                    <xdr:row>387</xdr:row>
                    <xdr:rowOff>66675</xdr:rowOff>
                  </from>
                  <to>
                    <xdr:col>22</xdr:col>
                    <xdr:colOff>447675</xdr:colOff>
                    <xdr:row>404</xdr:row>
                    <xdr:rowOff>161925</xdr:rowOff>
                  </to>
                </anchor>
              </controlPr>
            </control>
          </mc:Choice>
        </mc:AlternateContent>
        <mc:AlternateContent xmlns:mc="http://schemas.openxmlformats.org/markup-compatibility/2006">
          <mc:Choice Requires="x14">
            <control shapeId="153617" r:id="rId20" name="Button 17">
              <controlPr defaultSize="0" print="0" autoFill="0" autoPict="0" macro="[0]!refresh_all_graphs">
                <anchor moveWithCells="1" sizeWithCells="1">
                  <from>
                    <xdr:col>24</xdr:col>
                    <xdr:colOff>495300</xdr:colOff>
                    <xdr:row>0</xdr:row>
                    <xdr:rowOff>123825</xdr:rowOff>
                  </from>
                  <to>
                    <xdr:col>27</xdr:col>
                    <xdr:colOff>104775</xdr:colOff>
                    <xdr:row>0</xdr:row>
                    <xdr:rowOff>542925</xdr:rowOff>
                  </to>
                </anchor>
              </controlPr>
            </control>
          </mc:Choice>
        </mc:AlternateContent>
      </controls>
    </mc:Choice>
  </mc:AlternateConten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rgb="FF92D050"/>
  </sheetPr>
  <dimension ref="C2:O39"/>
  <sheetViews>
    <sheetView topLeftCell="A3" workbookViewId="0">
      <selection activeCell="R41" sqref="R41"/>
    </sheetView>
  </sheetViews>
  <sheetFormatPr defaultColWidth="8.85546875" defaultRowHeight="15"/>
  <cols>
    <col min="3" max="3" width="12.28515625" bestFit="1" customWidth="1"/>
    <col min="4" max="4" width="15.28515625" customWidth="1"/>
    <col min="5" max="5" width="12.28515625" bestFit="1" customWidth="1"/>
    <col min="6" max="6" width="13.42578125" customWidth="1"/>
    <col min="7" max="7" width="16.85546875" customWidth="1"/>
    <col min="11" max="11" width="15.140625" bestFit="1" customWidth="1"/>
    <col min="12" max="12" width="12.28515625" bestFit="1" customWidth="1"/>
    <col min="13" max="13" width="12.42578125" bestFit="1" customWidth="1"/>
    <col min="14" max="14" width="15.140625" bestFit="1" customWidth="1"/>
  </cols>
  <sheetData>
    <row r="2" spans="3:15">
      <c r="G2" s="277" t="s">
        <v>116</v>
      </c>
    </row>
    <row r="3" spans="3:15" ht="23.25">
      <c r="C3" s="231" t="str">
        <f>Dropdowns!C135</f>
        <v>YTD achievements(W.r.t. BE targets)</v>
      </c>
      <c r="D3" s="231"/>
      <c r="F3" s="512" t="str">
        <f>interFY_transition!D20</f>
        <v>2026-27</v>
      </c>
      <c r="G3" s="278">
        <f>Dashboard!$D$3</f>
        <v>46265</v>
      </c>
      <c r="L3" s="285"/>
      <c r="M3" s="654" t="s">
        <v>153</v>
      </c>
      <c r="N3" s="654" t="str">
        <f>DPR!AN5</f>
        <v>July'26</v>
      </c>
      <c r="O3" s="285"/>
    </row>
    <row r="4" spans="3:15">
      <c r="N4" s="654" t="str">
        <f>Dropdowns!D406</f>
        <v>(rounded)</v>
      </c>
    </row>
    <row r="5" spans="3:15" ht="15.75">
      <c r="C5" s="1316" t="s">
        <v>275</v>
      </c>
      <c r="D5" s="1316"/>
      <c r="E5" s="1316"/>
      <c r="F5" s="1316"/>
      <c r="G5" s="1316"/>
    </row>
    <row r="6" spans="3:15" ht="15.75">
      <c r="C6" s="254"/>
      <c r="D6" s="147" t="s">
        <v>272</v>
      </c>
      <c r="E6" s="147" t="s">
        <v>176</v>
      </c>
      <c r="F6" s="147" t="s">
        <v>273</v>
      </c>
      <c r="G6" s="274" t="s">
        <v>274</v>
      </c>
    </row>
    <row r="7" spans="3:15" ht="15.75">
      <c r="C7" s="254" t="s">
        <v>60</v>
      </c>
      <c r="D7" s="147">
        <f>YTDtarget!AC8</f>
        <v>1.369</v>
      </c>
      <c r="E7" s="147">
        <f>YTDtarget!AB8</f>
        <v>0.58199999999999996</v>
      </c>
      <c r="F7" s="147">
        <f>prod_compiled!AA41</f>
        <v>0.75796189729712826</v>
      </c>
      <c r="G7" s="274">
        <f>IFERROR(F7/E7,"-")</f>
        <v>1.3023400297201517</v>
      </c>
    </row>
    <row r="8" spans="3:15" ht="15.75">
      <c r="C8" s="254" t="s">
        <v>61</v>
      </c>
      <c r="D8" s="147">
        <f>YTDtarget!AC9</f>
        <v>2.2269999999999999</v>
      </c>
      <c r="E8" s="147">
        <f>YTDtarget!AB9</f>
        <v>0.93400000000000016</v>
      </c>
      <c r="F8" s="147">
        <f>prod_compiled!AA42</f>
        <v>0.83362658602794104</v>
      </c>
      <c r="G8" s="274">
        <f t="shared" ref="G8:G20" si="0">IFERROR(F8/E8,"-")</f>
        <v>0.89253381801706733</v>
      </c>
    </row>
    <row r="9" spans="3:15" ht="15.75">
      <c r="C9" s="254" t="s">
        <v>62</v>
      </c>
      <c r="D9" s="147">
        <f>YTDtarget!AC10</f>
        <v>0.10100000000000001</v>
      </c>
      <c r="E9" s="147">
        <f>YTDtarget!AB10</f>
        <v>4.2000000000000003E-2</v>
      </c>
      <c r="F9" s="147">
        <f>prod_compiled!AA43</f>
        <v>3.845796062048798E-2</v>
      </c>
      <c r="G9" s="274">
        <f t="shared" si="0"/>
        <v>0.9156657290592376</v>
      </c>
    </row>
    <row r="10" spans="3:15" ht="15.75">
      <c r="C10" s="254" t="s">
        <v>57</v>
      </c>
      <c r="D10" s="147">
        <f>YTDtarget!AC11</f>
        <v>0.47099999999999997</v>
      </c>
      <c r="E10" s="147">
        <f>YTDtarget!AB11</f>
        <v>0.19800000000000001</v>
      </c>
      <c r="F10" s="147">
        <f>prod_compiled!AA44</f>
        <v>0.19188916164803921</v>
      </c>
      <c r="G10" s="274">
        <f t="shared" si="0"/>
        <v>0.96913718004060201</v>
      </c>
    </row>
    <row r="11" spans="3:15" ht="15.75">
      <c r="C11" s="254" t="s">
        <v>58</v>
      </c>
      <c r="D11" s="147">
        <f>YTDtarget!AC12</f>
        <v>0.35</v>
      </c>
      <c r="E11" s="147">
        <f>YTDtarget!AB12</f>
        <v>0.14600000000000002</v>
      </c>
      <c r="F11" s="147">
        <f>prod_compiled!AA45</f>
        <v>0.1975245219248013</v>
      </c>
      <c r="G11" s="274">
        <f t="shared" si="0"/>
        <v>1.3529076844164472</v>
      </c>
    </row>
    <row r="12" spans="3:15" ht="15.75">
      <c r="C12" s="254" t="s">
        <v>59</v>
      </c>
      <c r="D12" s="147">
        <f>YTDtarget!AC13</f>
        <v>0.14700000000000002</v>
      </c>
      <c r="E12" s="147">
        <f>YTDtarget!AB13</f>
        <v>6.2E-2</v>
      </c>
      <c r="F12" s="147">
        <f>prod_compiled!AA46</f>
        <v>5.3377565889520216E-2</v>
      </c>
      <c r="G12" s="274">
        <f t="shared" si="0"/>
        <v>0.86092848208903572</v>
      </c>
      <c r="J12" s="1318" t="s">
        <v>277</v>
      </c>
      <c r="K12" s="1318"/>
      <c r="L12" s="1318"/>
      <c r="M12" s="1318"/>
      <c r="N12" s="1318"/>
    </row>
    <row r="13" spans="3:15" ht="15.75">
      <c r="C13" s="254" t="s">
        <v>63</v>
      </c>
      <c r="D13" s="147">
        <f>YTDtarget!AC14</f>
        <v>0.77</v>
      </c>
      <c r="E13" s="147">
        <f>YTDtarget!AB14</f>
        <v>0.32200000000000001</v>
      </c>
      <c r="F13" s="147">
        <f>prod_compiled!AA47</f>
        <v>0.29918140266083793</v>
      </c>
      <c r="G13" s="274">
        <f t="shared" si="0"/>
        <v>0.92913479087216744</v>
      </c>
      <c r="J13" s="254"/>
      <c r="K13" s="147" t="s">
        <v>272</v>
      </c>
      <c r="L13" s="147" t="s">
        <v>176</v>
      </c>
      <c r="M13" s="147" t="s">
        <v>273</v>
      </c>
      <c r="N13" s="274" t="s">
        <v>274</v>
      </c>
    </row>
    <row r="14" spans="3:15" ht="15.75">
      <c r="C14" s="254" t="s">
        <v>64</v>
      </c>
      <c r="D14" s="147">
        <f>YTDtarget!AC15</f>
        <v>0.05</v>
      </c>
      <c r="E14" s="147">
        <f>YTDtarget!AB15</f>
        <v>2.2000000000000002E-2</v>
      </c>
      <c r="F14" s="147">
        <f>prod_compiled!AA48</f>
        <v>1.8778006343221812E-2</v>
      </c>
      <c r="G14" s="274">
        <f t="shared" si="0"/>
        <v>0.85354574287371865</v>
      </c>
      <c r="J14" s="254" t="s">
        <v>60</v>
      </c>
      <c r="K14" s="147">
        <f t="shared" ref="K14:K27" si="1">D7+D25</f>
        <v>1.988</v>
      </c>
      <c r="L14" s="147">
        <f t="shared" ref="L14:L27" si="2">E7+E25</f>
        <v>0.83</v>
      </c>
      <c r="M14" s="147">
        <f t="shared" ref="M14:M27" si="3">F7+F25</f>
        <v>1.0028902691519084</v>
      </c>
      <c r="N14" s="274">
        <f>IFERROR(M14/L14,"-")</f>
        <v>1.2083015290986849</v>
      </c>
    </row>
    <row r="15" spans="3:15" ht="15.75">
      <c r="C15" s="254" t="s">
        <v>65</v>
      </c>
      <c r="D15" s="147">
        <f>YTDtarget!AC16</f>
        <v>0.11599999999999999</v>
      </c>
      <c r="E15" s="147">
        <f>YTDtarget!AB16</f>
        <v>4.9000000000000002E-2</v>
      </c>
      <c r="F15" s="147">
        <f>prod_compiled!AA49</f>
        <v>4.9772601919589168E-2</v>
      </c>
      <c r="G15" s="274">
        <f t="shared" si="0"/>
        <v>1.0157673861140646</v>
      </c>
      <c r="J15" s="254" t="s">
        <v>61</v>
      </c>
      <c r="K15" s="147">
        <f t="shared" si="1"/>
        <v>3.0269452054794517</v>
      </c>
      <c r="L15" s="147">
        <f t="shared" si="2"/>
        <v>1.2700000000000002</v>
      </c>
      <c r="M15" s="147">
        <f t="shared" si="3"/>
        <v>1.220260758387941</v>
      </c>
      <c r="N15" s="274">
        <f t="shared" ref="N15:N27" si="4">IFERROR(M15/L15,"-")</f>
        <v>0.9608352428251502</v>
      </c>
    </row>
    <row r="16" spans="3:15" ht="15.75">
      <c r="C16" s="254" t="s">
        <v>66</v>
      </c>
      <c r="D16" s="147">
        <f>YTDtarget!AC17</f>
        <v>0.82600000000000007</v>
      </c>
      <c r="E16" s="147">
        <f>YTDtarget!AB17</f>
        <v>0.34600000000000003</v>
      </c>
      <c r="F16" s="147">
        <f>prod_compiled!AA50</f>
        <v>0.27316170604839674</v>
      </c>
      <c r="G16" s="274">
        <f t="shared" si="0"/>
        <v>0.7894846995618402</v>
      </c>
      <c r="J16" s="254" t="s">
        <v>62</v>
      </c>
      <c r="K16" s="147">
        <f t="shared" si="1"/>
        <v>0.19498356164383562</v>
      </c>
      <c r="L16" s="147">
        <f t="shared" si="2"/>
        <v>8.2000000000000003E-2</v>
      </c>
      <c r="M16" s="147">
        <f t="shared" si="3"/>
        <v>7.7107928620487987E-2</v>
      </c>
      <c r="N16" s="274">
        <f t="shared" si="4"/>
        <v>0.94034059293278027</v>
      </c>
    </row>
    <row r="17" spans="3:14" ht="15.75">
      <c r="C17" s="254" t="s">
        <v>67</v>
      </c>
      <c r="D17" s="147">
        <f>YTDtarget!AC18</f>
        <v>0.65500000000000003</v>
      </c>
      <c r="E17" s="147">
        <f>YTDtarget!AB18</f>
        <v>0.27500000000000002</v>
      </c>
      <c r="F17" s="147">
        <f>prod_compiled!AA51</f>
        <v>0.28041999622492919</v>
      </c>
      <c r="G17" s="274">
        <f t="shared" si="0"/>
        <v>1.0197090771815607</v>
      </c>
      <c r="J17" s="254" t="s">
        <v>57</v>
      </c>
      <c r="K17" s="147">
        <f t="shared" si="1"/>
        <v>0.58685205479452052</v>
      </c>
      <c r="L17" s="147">
        <f t="shared" si="2"/>
        <v>0.248</v>
      </c>
      <c r="M17" s="147">
        <f t="shared" si="3"/>
        <v>0.24313287821649371</v>
      </c>
      <c r="N17" s="274">
        <f t="shared" si="4"/>
        <v>0.98037450893747469</v>
      </c>
    </row>
    <row r="18" spans="3:14" ht="15.75">
      <c r="C18" s="254" t="s">
        <v>68</v>
      </c>
      <c r="D18" s="147">
        <f>YTDtarget!AC19</f>
        <v>0.17</v>
      </c>
      <c r="E18" s="147">
        <f>YTDtarget!AB19</f>
        <v>7.1000000000000008E-2</v>
      </c>
      <c r="F18" s="147">
        <f>prod_compiled!AA52</f>
        <v>6.7550622111245281E-2</v>
      </c>
      <c r="G18" s="274">
        <f t="shared" si="0"/>
        <v>0.95141721283444047</v>
      </c>
      <c r="J18" s="254" t="s">
        <v>58</v>
      </c>
      <c r="K18" s="147">
        <f t="shared" si="1"/>
        <v>0.37512328767123287</v>
      </c>
      <c r="L18" s="147">
        <f t="shared" si="2"/>
        <v>0.15600000000000003</v>
      </c>
      <c r="M18" s="147">
        <f t="shared" si="3"/>
        <v>0.2148338366748013</v>
      </c>
      <c r="N18" s="274">
        <f t="shared" si="4"/>
        <v>1.3771399786846235</v>
      </c>
    </row>
    <row r="19" spans="3:14" ht="15.75">
      <c r="C19" s="254" t="s">
        <v>69</v>
      </c>
      <c r="D19" s="147">
        <f>YTDtarget!AC20</f>
        <v>0</v>
      </c>
      <c r="E19" s="147">
        <f>YTDtarget!AB20</f>
        <v>0</v>
      </c>
      <c r="F19" s="147">
        <f>prod_compiled!AA53</f>
        <v>0</v>
      </c>
      <c r="G19" s="274" t="str">
        <f t="shared" si="0"/>
        <v>-</v>
      </c>
      <c r="J19" s="254" t="s">
        <v>59</v>
      </c>
      <c r="K19" s="147">
        <f t="shared" si="1"/>
        <v>0.15100000000000002</v>
      </c>
      <c r="L19" s="147">
        <f t="shared" si="2"/>
        <v>6.3E-2</v>
      </c>
      <c r="M19" s="147">
        <f t="shared" si="3"/>
        <v>5.4762565889520214E-2</v>
      </c>
      <c r="N19" s="274">
        <f t="shared" si="4"/>
        <v>0.86924707761143194</v>
      </c>
    </row>
    <row r="20" spans="3:14" ht="15.75">
      <c r="C20" s="254" t="s">
        <v>70</v>
      </c>
      <c r="D20" s="147">
        <f>YTDtarget!AC21</f>
        <v>0</v>
      </c>
      <c r="E20" s="147">
        <f>YTDtarget!AB21</f>
        <v>0</v>
      </c>
      <c r="F20" s="147">
        <f>prod_compiled!AA54</f>
        <v>0</v>
      </c>
      <c r="G20" s="274" t="str">
        <f t="shared" si="0"/>
        <v>-</v>
      </c>
      <c r="J20" s="254" t="s">
        <v>63</v>
      </c>
      <c r="K20" s="147">
        <f t="shared" si="1"/>
        <v>0.77100000000000002</v>
      </c>
      <c r="L20" s="147">
        <f t="shared" si="2"/>
        <v>0.32200000000000001</v>
      </c>
      <c r="M20" s="147">
        <f t="shared" si="3"/>
        <v>0.30727400800648719</v>
      </c>
      <c r="N20" s="274">
        <f t="shared" si="4"/>
        <v>0.95426710561020867</v>
      </c>
    </row>
    <row r="21" spans="3:14" ht="15.75">
      <c r="C21" s="275" t="s">
        <v>92</v>
      </c>
      <c r="D21" s="158">
        <f>SUM(D7:D20)</f>
        <v>7.2519999999999998</v>
      </c>
      <c r="E21" s="158">
        <f>SUM(E7:E20)</f>
        <v>3.0489999999999999</v>
      </c>
      <c r="F21" s="158">
        <f>SUM(F7:F20)</f>
        <v>3.0617020287161378</v>
      </c>
      <c r="G21" s="276">
        <f>IFERROR(F21/E21,0)</f>
        <v>1.0041659654693795</v>
      </c>
      <c r="J21" s="254" t="s">
        <v>64</v>
      </c>
      <c r="K21" s="147">
        <f t="shared" si="1"/>
        <v>5.8764383561643839E-2</v>
      </c>
      <c r="L21" s="147">
        <f t="shared" si="2"/>
        <v>2.6000000000000002E-2</v>
      </c>
      <c r="M21" s="147">
        <f t="shared" si="3"/>
        <v>2.3438946405009112E-2</v>
      </c>
      <c r="N21" s="274">
        <f t="shared" si="4"/>
        <v>0.90149793865419647</v>
      </c>
    </row>
    <row r="22" spans="3:14" ht="15.75">
      <c r="J22" s="254" t="s">
        <v>65</v>
      </c>
      <c r="K22" s="147">
        <f t="shared" si="1"/>
        <v>0.14771780821917807</v>
      </c>
      <c r="L22" s="147">
        <f t="shared" si="2"/>
        <v>6.3E-2</v>
      </c>
      <c r="M22" s="147">
        <f t="shared" si="3"/>
        <v>5.583560401220216E-2</v>
      </c>
      <c r="N22" s="274">
        <f t="shared" si="4"/>
        <v>0.88627942876511367</v>
      </c>
    </row>
    <row r="23" spans="3:14" ht="15.75">
      <c r="C23" s="1317" t="s">
        <v>278</v>
      </c>
      <c r="D23" s="1317" t="s">
        <v>276</v>
      </c>
      <c r="E23" s="1317"/>
      <c r="F23" s="1317"/>
      <c r="G23" s="1317"/>
      <c r="J23" s="254" t="s">
        <v>66</v>
      </c>
      <c r="K23" s="147">
        <f t="shared" si="1"/>
        <v>0.82600000000000007</v>
      </c>
      <c r="L23" s="147">
        <f t="shared" si="2"/>
        <v>0.34600000000000003</v>
      </c>
      <c r="M23" s="147">
        <f t="shared" si="3"/>
        <v>0.27316170604839674</v>
      </c>
      <c r="N23" s="274">
        <f t="shared" si="4"/>
        <v>0.7894846995618402</v>
      </c>
    </row>
    <row r="24" spans="3:14" ht="15.75">
      <c r="C24" s="254"/>
      <c r="D24" s="147" t="s">
        <v>272</v>
      </c>
      <c r="E24" s="147" t="s">
        <v>176</v>
      </c>
      <c r="F24" s="147" t="s">
        <v>273</v>
      </c>
      <c r="G24" s="274" t="s">
        <v>274</v>
      </c>
      <c r="J24" s="254" t="s">
        <v>67</v>
      </c>
      <c r="K24" s="147">
        <f t="shared" si="1"/>
        <v>0.65500000000000003</v>
      </c>
      <c r="L24" s="147">
        <f t="shared" si="2"/>
        <v>0.27500000000000002</v>
      </c>
      <c r="M24" s="147">
        <f t="shared" si="3"/>
        <v>0.28041999622492919</v>
      </c>
      <c r="N24" s="274">
        <f t="shared" si="4"/>
        <v>1.0197090771815607</v>
      </c>
    </row>
    <row r="25" spans="3:14" ht="15.75">
      <c r="C25" s="254" t="s">
        <v>60</v>
      </c>
      <c r="D25" s="147">
        <f>YTDtarget!AC28</f>
        <v>0.61900000000000011</v>
      </c>
      <c r="E25" s="147">
        <f>YTDtarget!AB28</f>
        <v>0.248</v>
      </c>
      <c r="F25" s="147">
        <f>prod_compiled!AA58</f>
        <v>0.24492837185478003</v>
      </c>
      <c r="G25" s="274">
        <f>IFERROR(F25/E25,"-")</f>
        <v>0.98761440264024203</v>
      </c>
      <c r="J25" s="254" t="s">
        <v>68</v>
      </c>
      <c r="K25" s="147">
        <f t="shared" si="1"/>
        <v>0.17</v>
      </c>
      <c r="L25" s="147">
        <f t="shared" si="2"/>
        <v>7.1000000000000008E-2</v>
      </c>
      <c r="M25" s="147">
        <f t="shared" si="3"/>
        <v>6.7550622111245281E-2</v>
      </c>
      <c r="N25" s="274">
        <f t="shared" si="4"/>
        <v>0.95141721283444047</v>
      </c>
    </row>
    <row r="26" spans="3:14" ht="15.75">
      <c r="C26" s="254" t="s">
        <v>61</v>
      </c>
      <c r="D26" s="147">
        <f>YTDtarget!AC29</f>
        <v>0.79994520547945203</v>
      </c>
      <c r="E26" s="147">
        <f>YTDtarget!AB29</f>
        <v>0.33600000000000002</v>
      </c>
      <c r="F26" s="147">
        <f>prod_compiled!AA59</f>
        <v>0.38663417235999997</v>
      </c>
      <c r="G26" s="274">
        <f t="shared" ref="G26:G38" si="5">IFERROR(F26/E26,"-")</f>
        <v>1.1506969415476189</v>
      </c>
      <c r="J26" s="254" t="s">
        <v>69</v>
      </c>
      <c r="K26" s="147">
        <f t="shared" si="1"/>
        <v>0</v>
      </c>
      <c r="L26" s="147">
        <f t="shared" si="2"/>
        <v>0</v>
      </c>
      <c r="M26" s="147">
        <f t="shared" si="3"/>
        <v>0</v>
      </c>
      <c r="N26" s="274" t="str">
        <f t="shared" si="4"/>
        <v>-</v>
      </c>
    </row>
    <row r="27" spans="3:14" ht="15.75">
      <c r="C27" s="254" t="s">
        <v>62</v>
      </c>
      <c r="D27" s="147">
        <f>YTDtarget!AC30</f>
        <v>9.3983561643835617E-2</v>
      </c>
      <c r="E27" s="147">
        <f>YTDtarget!AB30</f>
        <v>0.04</v>
      </c>
      <c r="F27" s="147">
        <f>prod_compiled!AA60</f>
        <v>3.8649968E-2</v>
      </c>
      <c r="G27" s="274">
        <f t="shared" si="5"/>
        <v>0.96624920000000003</v>
      </c>
      <c r="J27" s="254" t="s">
        <v>70</v>
      </c>
      <c r="K27" s="147">
        <f t="shared" si="1"/>
        <v>0.87423013698630125</v>
      </c>
      <c r="L27" s="147">
        <f t="shared" si="2"/>
        <v>0.36599999999999999</v>
      </c>
      <c r="M27" s="147">
        <f t="shared" si="3"/>
        <v>0.36315959784452373</v>
      </c>
      <c r="N27" s="274">
        <f t="shared" si="4"/>
        <v>0.9922393383730157</v>
      </c>
    </row>
    <row r="28" spans="3:14" ht="15.75">
      <c r="C28" s="254" t="s">
        <v>57</v>
      </c>
      <c r="D28" s="147">
        <f>YTDtarget!AC31</f>
        <v>0.11585205479452054</v>
      </c>
      <c r="E28" s="147">
        <f>YTDtarget!AB31</f>
        <v>0.05</v>
      </c>
      <c r="F28" s="147">
        <f>prod_compiled!AA61</f>
        <v>5.1243716568454493E-2</v>
      </c>
      <c r="G28" s="274">
        <f t="shared" si="5"/>
        <v>1.0248743313690898</v>
      </c>
      <c r="J28" s="275" t="s">
        <v>92</v>
      </c>
      <c r="K28" s="158">
        <f>SUM(K14:K27)</f>
        <v>9.8256164383561639</v>
      </c>
      <c r="L28" s="158">
        <f>SUM(L14:L27)</f>
        <v>4.1180000000000003</v>
      </c>
      <c r="M28" s="158">
        <f>SUM(M14:M27)</f>
        <v>4.1838287175939461</v>
      </c>
      <c r="N28" s="276">
        <f>IFERROR(M28/L28,0)</f>
        <v>1.0159856040781801</v>
      </c>
    </row>
    <row r="29" spans="3:14" ht="15.75">
      <c r="C29" s="254" t="s">
        <v>58</v>
      </c>
      <c r="D29" s="147">
        <f>YTDtarget!AC32</f>
        <v>2.5123287671232876E-2</v>
      </c>
      <c r="E29" s="147">
        <f>YTDtarget!AB32</f>
        <v>0.01</v>
      </c>
      <c r="F29" s="147">
        <f>prod_compiled!AA62</f>
        <v>1.7309314750000002E-2</v>
      </c>
      <c r="G29" s="274">
        <f t="shared" si="5"/>
        <v>1.7309314750000002</v>
      </c>
    </row>
    <row r="30" spans="3:14" ht="15.75">
      <c r="C30" s="254" t="s">
        <v>59</v>
      </c>
      <c r="D30" s="147">
        <f>YTDtarget!AC33</f>
        <v>4.0000000000000001E-3</v>
      </c>
      <c r="E30" s="147">
        <f>YTDtarget!AB33</f>
        <v>1E-3</v>
      </c>
      <c r="F30" s="147">
        <f>prod_compiled!AA63</f>
        <v>1.3850000000000004E-3</v>
      </c>
      <c r="G30" s="274">
        <f t="shared" si="5"/>
        <v>1.3850000000000005</v>
      </c>
    </row>
    <row r="31" spans="3:14" ht="15.75">
      <c r="C31" s="254" t="s">
        <v>63</v>
      </c>
      <c r="D31" s="147">
        <f>YTDtarget!AC34</f>
        <v>1E-3</v>
      </c>
      <c r="E31" s="147">
        <f>YTDtarget!AB34</f>
        <v>0</v>
      </c>
      <c r="F31" s="147">
        <f>prod_compiled!AA64</f>
        <v>8.0926053456492619E-3</v>
      </c>
      <c r="G31" s="274" t="str">
        <f t="shared" si="5"/>
        <v>-</v>
      </c>
    </row>
    <row r="32" spans="3:14" ht="15.75">
      <c r="C32" s="254" t="s">
        <v>64</v>
      </c>
      <c r="D32" s="147">
        <f>YTDtarget!AC35</f>
        <v>8.7643835616438362E-3</v>
      </c>
      <c r="E32" s="147">
        <f>YTDtarget!AB35</f>
        <v>4.0000000000000001E-3</v>
      </c>
      <c r="F32" s="147">
        <f>prod_compiled!AA65</f>
        <v>4.6609400617873015E-3</v>
      </c>
      <c r="G32" s="274">
        <f t="shared" si="5"/>
        <v>1.1652350154468254</v>
      </c>
    </row>
    <row r="33" spans="3:7" ht="15.75">
      <c r="C33" s="254" t="s">
        <v>65</v>
      </c>
      <c r="D33" s="147">
        <f>YTDtarget!AC36</f>
        <v>3.1717808219178086E-2</v>
      </c>
      <c r="E33" s="147">
        <f>YTDtarget!AB36</f>
        <v>1.3999999999999999E-2</v>
      </c>
      <c r="F33" s="147">
        <f>prod_compiled!AA66</f>
        <v>6.0630020926129916E-3</v>
      </c>
      <c r="G33" s="274">
        <f t="shared" si="5"/>
        <v>0.43307157804378515</v>
      </c>
    </row>
    <row r="34" spans="3:7" ht="15.75">
      <c r="C34" s="254" t="s">
        <v>66</v>
      </c>
      <c r="D34" s="147">
        <f>YTDtarget!AC37</f>
        <v>0</v>
      </c>
      <c r="E34" s="147">
        <f>YTDtarget!AB37</f>
        <v>0</v>
      </c>
      <c r="F34" s="147">
        <f>prod_compiled!AA67</f>
        <v>0</v>
      </c>
      <c r="G34" s="274" t="str">
        <f t="shared" si="5"/>
        <v>-</v>
      </c>
    </row>
    <row r="35" spans="3:7" ht="15.75">
      <c r="C35" s="254" t="s">
        <v>67</v>
      </c>
      <c r="D35" s="147">
        <f>YTDtarget!AC38</f>
        <v>0</v>
      </c>
      <c r="E35" s="147">
        <f>YTDtarget!AB38</f>
        <v>0</v>
      </c>
      <c r="F35" s="147">
        <f>prod_compiled!AA68</f>
        <v>0</v>
      </c>
      <c r="G35" s="274" t="str">
        <f t="shared" si="5"/>
        <v>-</v>
      </c>
    </row>
    <row r="36" spans="3:7" ht="15.75">
      <c r="C36" s="254" t="s">
        <v>68</v>
      </c>
      <c r="D36" s="147">
        <f>YTDtarget!AC39</f>
        <v>0</v>
      </c>
      <c r="E36" s="147">
        <f>YTDtarget!AB39</f>
        <v>0</v>
      </c>
      <c r="F36" s="147">
        <f>prod_compiled!AA69</f>
        <v>0</v>
      </c>
      <c r="G36" s="274" t="str">
        <f t="shared" si="5"/>
        <v>-</v>
      </c>
    </row>
    <row r="37" spans="3:7" ht="15.75">
      <c r="C37" s="254" t="s">
        <v>69</v>
      </c>
      <c r="D37" s="147">
        <f>YTDtarget!AC40</f>
        <v>0</v>
      </c>
      <c r="E37" s="147">
        <f>YTDtarget!AB40</f>
        <v>0</v>
      </c>
      <c r="F37" s="147">
        <f>prod_compiled!AA70</f>
        <v>0</v>
      </c>
      <c r="G37" s="274" t="str">
        <f t="shared" si="5"/>
        <v>-</v>
      </c>
    </row>
    <row r="38" spans="3:7" ht="15.75">
      <c r="C38" s="254" t="s">
        <v>70</v>
      </c>
      <c r="D38" s="147">
        <f>YTDtarget!AC41</f>
        <v>0.87423013698630125</v>
      </c>
      <c r="E38" s="147">
        <f>YTDtarget!AB41</f>
        <v>0.36599999999999999</v>
      </c>
      <c r="F38" s="147">
        <f>prod_compiled!AA71</f>
        <v>0.36315959784452373</v>
      </c>
      <c r="G38" s="274">
        <f t="shared" si="5"/>
        <v>0.9922393383730157</v>
      </c>
    </row>
    <row r="39" spans="3:7" ht="15.75">
      <c r="C39" s="275" t="s">
        <v>92</v>
      </c>
      <c r="D39" s="158">
        <f>SUM(D25:D38)</f>
        <v>2.5736164383561642</v>
      </c>
      <c r="E39" s="158">
        <f>SUM(E25:E38)</f>
        <v>1.0690000000000002</v>
      </c>
      <c r="F39" s="158">
        <f>SUM(F25:F38)</f>
        <v>1.1221266888778076</v>
      </c>
      <c r="G39" s="276">
        <f>IFERROR(F39/E39,0)</f>
        <v>1.0496975574160967</v>
      </c>
    </row>
  </sheetData>
  <sheetProtection algorithmName="SHA-512" hashValue="CwfKr3TlOapgN08Q4KF4wLpN1493yribbut1ZoNtKPYT8Upvw1H4ntxcThdQTeKbTb6g7Y8w9fa3IigBD5G1VQ==" saltValue="9BaqwPir34O7sGoeQFXR2w==" spinCount="100000" sheet="1" objects="1" scenarios="1"/>
  <mergeCells count="3">
    <mergeCell ref="C5:G5"/>
    <mergeCell ref="C23:G23"/>
    <mergeCell ref="J12:N12"/>
  </mergeCells>
  <conditionalFormatting sqref="G7:G21">
    <cfRule type="cellIs" dxfId="74" priority="5" operator="lessThan">
      <formula>1</formula>
    </cfRule>
    <cfRule type="cellIs" dxfId="73" priority="6" operator="greaterThan">
      <formula>1</formula>
    </cfRule>
  </conditionalFormatting>
  <conditionalFormatting sqref="G25:G39">
    <cfRule type="cellIs" dxfId="72" priority="3" operator="lessThan">
      <formula>1</formula>
    </cfRule>
    <cfRule type="cellIs" dxfId="71" priority="4" operator="greaterThan">
      <formula>1</formula>
    </cfRule>
  </conditionalFormatting>
  <conditionalFormatting sqref="N14:N28">
    <cfRule type="cellIs" dxfId="70" priority="1" operator="lessThan">
      <formula>1</formula>
    </cfRule>
    <cfRule type="cellIs" dxfId="69" priority="2" operator="greaterThan">
      <formula>1</formula>
    </cfRule>
  </conditionalFormatting>
  <pageMargins left="0.7" right="0.7" top="0.75" bottom="0.75" header="0.3" footer="0.3"/>
  <pageSetup scale="52"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prntcmnd">
                <anchor moveWithCells="1" sizeWithCells="1">
                  <from>
                    <xdr:col>8</xdr:col>
                    <xdr:colOff>9525</xdr:colOff>
                    <xdr:row>1</xdr:row>
                    <xdr:rowOff>161925</xdr:rowOff>
                  </from>
                  <to>
                    <xdr:col>10</xdr:col>
                    <xdr:colOff>428625</xdr:colOff>
                    <xdr:row>4</xdr:row>
                    <xdr:rowOff>9525</xdr:rowOff>
                  </to>
                </anchor>
              </controlPr>
            </control>
          </mc:Choice>
        </mc:AlternateContent>
        <mc:AlternateContent xmlns:mc="http://schemas.openxmlformats.org/markup-compatibility/2006">
          <mc:Choice Requires="x14">
            <control shapeId="8195" r:id="rId5" name="Button 3">
              <controlPr defaultSize="0" print="0" autoFill="0" autoPict="0" macro="[0]!YTD_ach_Button3_Click">
                <anchor moveWithCells="1" sizeWithCells="1">
                  <from>
                    <xdr:col>8</xdr:col>
                    <xdr:colOff>9525</xdr:colOff>
                    <xdr:row>4</xdr:row>
                    <xdr:rowOff>28575</xdr:rowOff>
                  </from>
                  <to>
                    <xdr:col>10</xdr:col>
                    <xdr:colOff>419100</xdr:colOff>
                    <xdr:row>6</xdr:row>
                    <xdr:rowOff>180975</xdr:rowOff>
                  </to>
                </anchor>
              </controlPr>
            </control>
          </mc:Choice>
        </mc:AlternateContent>
      </controls>
    </mc:Choice>
  </mc:AlternateContent>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3">
    <tabColor rgb="FF92D050"/>
  </sheetPr>
  <dimension ref="A1:W172"/>
  <sheetViews>
    <sheetView workbookViewId="0"/>
  </sheetViews>
  <sheetFormatPr defaultColWidth="9.28515625" defaultRowHeight="15"/>
  <cols>
    <col min="1" max="1" width="7.140625" bestFit="1" customWidth="1"/>
    <col min="2" max="2" width="9.140625" bestFit="1" customWidth="1"/>
    <col min="3" max="3" width="11.7109375" bestFit="1" customWidth="1"/>
    <col min="4" max="4" width="12.42578125" customWidth="1"/>
    <col min="5" max="5" width="11.85546875" customWidth="1"/>
    <col min="6" max="6" width="13.85546875" bestFit="1" customWidth="1"/>
    <col min="7" max="7" width="12.42578125" customWidth="1"/>
    <col min="8" max="8" width="12.85546875" customWidth="1"/>
    <col min="9" max="9" width="12.42578125" customWidth="1"/>
    <col min="10" max="10" width="13.7109375" bestFit="1" customWidth="1"/>
    <col min="11" max="11" width="12.140625" customWidth="1"/>
    <col min="12" max="12" width="12.85546875" customWidth="1"/>
    <col min="13" max="13" width="14" customWidth="1"/>
    <col min="14" max="15" width="12.42578125" customWidth="1"/>
    <col min="16" max="16" width="13.28515625" customWidth="1"/>
    <col min="17" max="17" width="12.42578125" customWidth="1"/>
    <col min="18" max="18" width="12.140625" customWidth="1"/>
    <col min="19" max="19" width="12" customWidth="1"/>
    <col min="20" max="20" width="11.42578125" customWidth="1"/>
    <col min="21" max="21" width="11.140625" customWidth="1"/>
    <col min="22" max="22" width="12.140625" customWidth="1"/>
    <col min="23" max="23" width="15.140625" customWidth="1"/>
  </cols>
  <sheetData>
    <row r="1" spans="1:22">
      <c r="L1" t="s">
        <v>1435</v>
      </c>
    </row>
    <row r="2" spans="1:22" ht="18.75">
      <c r="F2" s="231" t="s">
        <v>883</v>
      </c>
      <c r="G2" s="514" t="s">
        <v>658</v>
      </c>
      <c r="H2" s="513" t="s">
        <v>720</v>
      </c>
      <c r="I2" t="s">
        <v>862</v>
      </c>
      <c r="J2" t="s">
        <v>153</v>
      </c>
      <c r="L2" t="s">
        <v>750</v>
      </c>
      <c r="M2" t="s">
        <v>156</v>
      </c>
      <c r="N2" s="246">
        <v>45747</v>
      </c>
    </row>
    <row r="4" spans="1:22">
      <c r="C4" s="1322" t="s">
        <v>88</v>
      </c>
      <c r="D4" s="1323"/>
      <c r="E4" s="1323"/>
      <c r="F4" s="1323"/>
      <c r="G4" s="1323"/>
      <c r="H4" s="1323"/>
      <c r="I4" s="1323"/>
      <c r="J4" s="1323"/>
      <c r="K4" s="1323"/>
      <c r="L4" s="1323"/>
      <c r="M4" s="1323"/>
      <c r="N4" s="1323"/>
      <c r="O4" s="1323"/>
      <c r="P4" s="1323"/>
      <c r="Q4" s="1323"/>
      <c r="R4" s="1323"/>
      <c r="S4" s="1323"/>
      <c r="T4" s="1323"/>
      <c r="U4" s="1323"/>
      <c r="V4" s="1324"/>
    </row>
    <row r="5" spans="1:22">
      <c r="C5" s="144"/>
      <c r="D5" s="144" t="s">
        <v>30</v>
      </c>
      <c r="E5" s="144" t="s">
        <v>71</v>
      </c>
      <c r="F5" s="144" t="s">
        <v>72</v>
      </c>
      <c r="G5" s="142" t="s">
        <v>82</v>
      </c>
      <c r="H5" s="144" t="s">
        <v>73</v>
      </c>
      <c r="I5" s="144" t="s">
        <v>74</v>
      </c>
      <c r="J5" s="144" t="s">
        <v>75</v>
      </c>
      <c r="K5" s="142" t="s">
        <v>83</v>
      </c>
      <c r="L5" s="166" t="s">
        <v>39</v>
      </c>
      <c r="M5" s="144" t="s">
        <v>76</v>
      </c>
      <c r="N5" s="144" t="s">
        <v>77</v>
      </c>
      <c r="O5" s="144" t="s">
        <v>78</v>
      </c>
      <c r="P5" s="142" t="s">
        <v>84</v>
      </c>
      <c r="Q5" s="166" t="s">
        <v>85</v>
      </c>
      <c r="R5" s="144" t="s">
        <v>79</v>
      </c>
      <c r="S5" s="144" t="s">
        <v>80</v>
      </c>
      <c r="T5" s="144" t="s">
        <v>81</v>
      </c>
      <c r="U5" s="142" t="s">
        <v>86</v>
      </c>
      <c r="V5" s="168" t="s">
        <v>87</v>
      </c>
    </row>
    <row r="6" spans="1:22" ht="15.75">
      <c r="B6" s="318">
        <v>0.2</v>
      </c>
      <c r="C6" s="144" t="s">
        <v>60</v>
      </c>
      <c r="D6" s="141">
        <v>163723.5</v>
      </c>
      <c r="E6" s="141">
        <v>152903</v>
      </c>
      <c r="F6" s="141">
        <v>152695.36666666667</v>
      </c>
      <c r="G6" s="143">
        <v>156401.74725274724</v>
      </c>
      <c r="H6" s="141">
        <v>146714.64516129033</v>
      </c>
      <c r="I6" s="141">
        <v>131761.16129032258</v>
      </c>
      <c r="J6" s="141">
        <v>147180</v>
      </c>
      <c r="K6" s="143">
        <v>141827.71739130435</v>
      </c>
      <c r="L6" s="167">
        <v>149074.912568306</v>
      </c>
      <c r="M6" s="141">
        <v>139168.19354838709</v>
      </c>
      <c r="N6" s="141">
        <v>148376.36666666667</v>
      </c>
      <c r="O6" s="141">
        <v>151200</v>
      </c>
      <c r="P6" s="143">
        <v>146225.05434782608</v>
      </c>
      <c r="Q6" s="167">
        <v>148121.50545454546</v>
      </c>
      <c r="R6" s="141">
        <v>165217.51612806451</v>
      </c>
      <c r="S6" s="141">
        <v>157694.28571500001</v>
      </c>
      <c r="T6" s="141">
        <v>150695.80645161291</v>
      </c>
      <c r="U6" s="143">
        <v>157875.03333322224</v>
      </c>
      <c r="V6" s="169">
        <v>150526.48493147947</v>
      </c>
    </row>
    <row r="7" spans="1:22" ht="15.75">
      <c r="B7" s="318">
        <v>0.26</v>
      </c>
      <c r="C7" s="144" t="s">
        <v>61</v>
      </c>
      <c r="D7" s="141">
        <v>172395.9</v>
      </c>
      <c r="E7" s="141">
        <v>170992.35483870967</v>
      </c>
      <c r="F7" s="141">
        <v>173523.26666666666</v>
      </c>
      <c r="G7" s="143">
        <v>172289.42857142858</v>
      </c>
      <c r="H7" s="141">
        <v>176151.06451612903</v>
      </c>
      <c r="I7" s="141">
        <v>171974.03225806452</v>
      </c>
      <c r="J7" s="141">
        <v>172260.86666666667</v>
      </c>
      <c r="K7" s="143">
        <v>173475.04347826086</v>
      </c>
      <c r="L7" s="167">
        <v>172885.47540983607</v>
      </c>
      <c r="M7" s="141">
        <v>173987.70967741936</v>
      </c>
      <c r="N7" s="141">
        <v>173310.2</v>
      </c>
      <c r="O7" s="141">
        <v>174654.70967741936</v>
      </c>
      <c r="P7" s="143">
        <v>173991.53260869565</v>
      </c>
      <c r="Q7" s="167">
        <v>173255.50181818183</v>
      </c>
      <c r="R7" s="141">
        <v>172980.5306448387</v>
      </c>
      <c r="S7" s="141">
        <v>171329.23617857142</v>
      </c>
      <c r="T7" s="141">
        <v>169411.71887096774</v>
      </c>
      <c r="U7" s="143">
        <v>171237.53719988887</v>
      </c>
      <c r="V7" s="169">
        <v>172757.92150134247</v>
      </c>
    </row>
    <row r="8" spans="1:22" ht="15.75">
      <c r="B8" s="318">
        <v>1</v>
      </c>
      <c r="C8" s="144" t="s">
        <v>62</v>
      </c>
      <c r="D8" s="141">
        <v>2505.5</v>
      </c>
      <c r="E8" s="141">
        <v>2272.483870967742</v>
      </c>
      <c r="F8" s="141">
        <v>1859.0333333333333</v>
      </c>
      <c r="G8" s="143">
        <v>2213</v>
      </c>
      <c r="H8" s="141">
        <v>2354.0967741935483</v>
      </c>
      <c r="I8" s="141">
        <v>2320.8387096774195</v>
      </c>
      <c r="J8" s="141">
        <v>2072.4333333333334</v>
      </c>
      <c r="K8" s="143">
        <v>2251.0434782608695</v>
      </c>
      <c r="L8" s="167">
        <v>2232.1256830601092</v>
      </c>
      <c r="M8" s="141">
        <v>2258.1935483870966</v>
      </c>
      <c r="N8" s="141">
        <v>2217.0333333333333</v>
      </c>
      <c r="O8" s="141">
        <v>2293.2258064516127</v>
      </c>
      <c r="P8" s="143">
        <v>2256.5760869565215</v>
      </c>
      <c r="Q8" s="167">
        <v>2240.3054545454547</v>
      </c>
      <c r="R8" s="141">
        <v>2212.9032235483874</v>
      </c>
      <c r="S8" s="141">
        <v>2238.3317857142856</v>
      </c>
      <c r="T8" s="141">
        <v>2057.7096129032257</v>
      </c>
      <c r="U8" s="143">
        <v>2167.3587547777779</v>
      </c>
      <c r="V8" s="169">
        <v>2222.3185970684931</v>
      </c>
    </row>
    <row r="9" spans="1:22" ht="15.75">
      <c r="A9" s="768">
        <v>2.9250000000000002E-2</v>
      </c>
      <c r="B9" s="318">
        <v>2.3099999999999999E-2</v>
      </c>
      <c r="C9" s="144" t="s">
        <v>57</v>
      </c>
      <c r="D9" s="141">
        <v>336813.43333333335</v>
      </c>
      <c r="E9" s="141">
        <v>318491.38709677418</v>
      </c>
      <c r="F9" s="141">
        <v>345536.86666666664</v>
      </c>
      <c r="G9" s="143">
        <v>333447.71428571426</v>
      </c>
      <c r="H9" s="141">
        <v>345628.54838709679</v>
      </c>
      <c r="I9" s="141">
        <v>339664.74193548388</v>
      </c>
      <c r="J9" s="141">
        <v>343885.5</v>
      </c>
      <c r="K9" s="143">
        <v>343050.61956521741</v>
      </c>
      <c r="L9" s="167">
        <v>338275.40437158471</v>
      </c>
      <c r="M9" s="141">
        <v>349014.25806451612</v>
      </c>
      <c r="N9" s="141">
        <v>349987</v>
      </c>
      <c r="O9" s="141">
        <v>351887.6451612903</v>
      </c>
      <c r="P9" s="143">
        <v>350299.66304347827</v>
      </c>
      <c r="Q9" s="167">
        <v>342298.06545454543</v>
      </c>
      <c r="R9" s="141">
        <v>321749.51613129035</v>
      </c>
      <c r="S9" s="141">
        <v>337706.1785739286</v>
      </c>
      <c r="T9" s="141">
        <v>332461.06451612903</v>
      </c>
      <c r="U9" s="143">
        <v>330403.344446</v>
      </c>
      <c r="V9" s="169">
        <v>339365.12054832873</v>
      </c>
    </row>
    <row r="10" spans="1:22" ht="15.75">
      <c r="B10" s="318">
        <v>0.27</v>
      </c>
      <c r="C10" s="144" t="s">
        <v>58</v>
      </c>
      <c r="D10" s="141">
        <v>17029.533333333333</v>
      </c>
      <c r="E10" s="141">
        <v>26341.741935483871</v>
      </c>
      <c r="F10" s="141">
        <v>22427.933333333334</v>
      </c>
      <c r="G10" s="143">
        <v>21981.516483516483</v>
      </c>
      <c r="H10" s="141">
        <v>23324.774193548386</v>
      </c>
      <c r="I10" s="141">
        <v>29859.741935483871</v>
      </c>
      <c r="J10" s="141">
        <v>25243.733333333334</v>
      </c>
      <c r="K10" s="143">
        <v>26152.521739130436</v>
      </c>
      <c r="L10" s="167">
        <v>24078.415300546447</v>
      </c>
      <c r="M10" s="141">
        <v>22157.193548387098</v>
      </c>
      <c r="N10" s="141">
        <v>23016.7</v>
      </c>
      <c r="O10" s="141">
        <v>32015.741935483871</v>
      </c>
      <c r="P10" s="143">
        <v>25759.369565217392</v>
      </c>
      <c r="Q10" s="167">
        <v>24640.770909090908</v>
      </c>
      <c r="R10" s="141">
        <v>28334.83870967742</v>
      </c>
      <c r="S10" s="141">
        <v>22560.142857142859</v>
      </c>
      <c r="T10" s="141">
        <v>25733.258064516129</v>
      </c>
      <c r="U10" s="143">
        <v>25642.166666666668</v>
      </c>
      <c r="V10" s="169">
        <v>24887.690410958905</v>
      </c>
    </row>
    <row r="11" spans="1:22" ht="15.75">
      <c r="B11" s="319">
        <v>0.5</v>
      </c>
      <c r="C11" s="144" t="s">
        <v>59</v>
      </c>
      <c r="D11" s="141">
        <v>3929.2</v>
      </c>
      <c r="E11" s="141">
        <v>4132.3548387096771</v>
      </c>
      <c r="F11" s="141">
        <v>4212.0333333333338</v>
      </c>
      <c r="G11" s="143">
        <v>4091.6483516483518</v>
      </c>
      <c r="H11" s="141">
        <v>4236.1612903225805</v>
      </c>
      <c r="I11" s="141">
        <v>4115.9677419354839</v>
      </c>
      <c r="J11" s="141">
        <v>4030.6333333333332</v>
      </c>
      <c r="K11" s="143">
        <v>4128.641304347826</v>
      </c>
      <c r="L11" s="167">
        <v>4110.2459016393441</v>
      </c>
      <c r="M11" s="141">
        <v>4044.0322580645161</v>
      </c>
      <c r="N11" s="141">
        <v>3957.1</v>
      </c>
      <c r="O11" s="141">
        <v>4238.677419354839</v>
      </c>
      <c r="P11" s="143">
        <v>4081.271739130435</v>
      </c>
      <c r="Q11" s="167">
        <v>4100.5527272727277</v>
      </c>
      <c r="R11" s="141">
        <v>4364.1935483870966</v>
      </c>
      <c r="S11" s="141">
        <v>4100.8571428571431</v>
      </c>
      <c r="T11" s="141">
        <v>4400.4838703225805</v>
      </c>
      <c r="U11" s="143">
        <v>4294.7666664444441</v>
      </c>
      <c r="V11" s="169">
        <v>4148.4410958356157</v>
      </c>
    </row>
    <row r="12" spans="1:22" ht="15.75">
      <c r="B12" s="318">
        <v>0.7</v>
      </c>
      <c r="C12" s="144" t="s">
        <v>63</v>
      </c>
      <c r="D12" s="141">
        <v>27869.233333333334</v>
      </c>
      <c r="E12" s="141">
        <v>24196.516129032258</v>
      </c>
      <c r="F12" s="141">
        <v>27217.533333333333</v>
      </c>
      <c r="G12" s="143">
        <v>26403.241758241758</v>
      </c>
      <c r="H12" s="141">
        <v>26243.258064516129</v>
      </c>
      <c r="I12" s="141">
        <v>25168.451612903227</v>
      </c>
      <c r="J12" s="141">
        <v>25804.7</v>
      </c>
      <c r="K12" s="143">
        <v>25738.08695652174</v>
      </c>
      <c r="L12" s="167">
        <v>26068.846994535521</v>
      </c>
      <c r="M12" s="141">
        <v>23190.548387096773</v>
      </c>
      <c r="N12" s="141">
        <v>22078.966666666667</v>
      </c>
      <c r="O12" s="141">
        <v>18778.83870967742</v>
      </c>
      <c r="P12" s="143">
        <v>21341.521739130436</v>
      </c>
      <c r="Q12" s="167">
        <v>24487.34181818182</v>
      </c>
      <c r="R12" s="141">
        <v>23732.580645161292</v>
      </c>
      <c r="S12" s="141">
        <v>21634.678570714284</v>
      </c>
      <c r="T12" s="141">
        <v>20681.258064193549</v>
      </c>
      <c r="U12" s="143">
        <v>22028.888888555553</v>
      </c>
      <c r="V12" s="169">
        <v>23881.147945123288</v>
      </c>
    </row>
    <row r="13" spans="1:22" ht="15.75">
      <c r="B13" s="318">
        <v>0.11</v>
      </c>
      <c r="C13" s="144" t="s">
        <v>64</v>
      </c>
      <c r="D13" s="141">
        <v>8298.0666666666675</v>
      </c>
      <c r="E13" s="141">
        <v>7788.5161290322585</v>
      </c>
      <c r="F13" s="141">
        <v>7743.7666666666664</v>
      </c>
      <c r="G13" s="143">
        <v>7941.7472527472528</v>
      </c>
      <c r="H13" s="141">
        <v>7863.2580645161288</v>
      </c>
      <c r="I13" s="141">
        <v>7363.7096774193551</v>
      </c>
      <c r="J13" s="141">
        <v>7738.7</v>
      </c>
      <c r="K13" s="143">
        <v>7654.315217391304</v>
      </c>
      <c r="L13" s="167">
        <v>7797.2459016393441</v>
      </c>
      <c r="M13" s="141">
        <v>7305.3870967741932</v>
      </c>
      <c r="N13" s="141">
        <v>6972.3666666666668</v>
      </c>
      <c r="O13" s="141">
        <v>7086.1612903225805</v>
      </c>
      <c r="P13" s="143">
        <v>7122.923913043478</v>
      </c>
      <c r="Q13" s="167">
        <v>7571.6545454545458</v>
      </c>
      <c r="R13" s="141">
        <v>7242.7096774193551</v>
      </c>
      <c r="S13" s="141">
        <v>7309.2857142857147</v>
      </c>
      <c r="T13" s="141">
        <v>7174.3870967741932</v>
      </c>
      <c r="U13" s="143">
        <v>7239.8888888888887</v>
      </c>
      <c r="V13" s="169">
        <v>7489.8493150684935</v>
      </c>
    </row>
    <row r="14" spans="1:22" ht="15.75">
      <c r="B14" s="318">
        <v>0.4</v>
      </c>
      <c r="C14" s="144" t="s">
        <v>65</v>
      </c>
      <c r="D14" s="141">
        <v>3733.0333333333333</v>
      </c>
      <c r="E14" s="141">
        <v>4063.1935483870966</v>
      </c>
      <c r="F14" s="141">
        <v>4044.1333333333332</v>
      </c>
      <c r="G14" s="143">
        <v>3948.065934065934</v>
      </c>
      <c r="H14" s="141">
        <v>4159.3870967741932</v>
      </c>
      <c r="I14" s="141">
        <v>4062.6774193548385</v>
      </c>
      <c r="J14" s="141">
        <v>4113.9666666666662</v>
      </c>
      <c r="K14" s="143">
        <v>4111.989130434783</v>
      </c>
      <c r="L14" s="167">
        <v>4030.4754098360654</v>
      </c>
      <c r="M14" s="141">
        <v>4384.7741935483873</v>
      </c>
      <c r="N14" s="141">
        <v>4463.5</v>
      </c>
      <c r="O14" s="141">
        <v>4396.8387096774195</v>
      </c>
      <c r="P14" s="143">
        <v>4414.510869565217</v>
      </c>
      <c r="Q14" s="167">
        <v>4158.9527272727273</v>
      </c>
      <c r="R14" s="141">
        <v>4124.1935487096771</v>
      </c>
      <c r="S14" s="141">
        <v>4363.6428571428569</v>
      </c>
      <c r="T14" s="141">
        <v>4177</v>
      </c>
      <c r="U14" s="143">
        <v>4216.8777778888889</v>
      </c>
      <c r="V14" s="169">
        <v>4173.235616465754</v>
      </c>
    </row>
    <row r="15" spans="1:22" ht="15.75">
      <c r="B15" s="318">
        <v>0.04</v>
      </c>
      <c r="C15" s="144" t="s">
        <v>66</v>
      </c>
      <c r="D15" s="141">
        <v>403273.3</v>
      </c>
      <c r="E15" s="141">
        <v>223180.12903225806</v>
      </c>
      <c r="F15" s="141">
        <v>409483.73333333334</v>
      </c>
      <c r="G15" s="143">
        <v>343970.27472527471</v>
      </c>
      <c r="H15" s="141">
        <v>414957.48387096776</v>
      </c>
      <c r="I15" s="141">
        <v>422514.48387096776</v>
      </c>
      <c r="J15" s="141">
        <v>421687.86666666664</v>
      </c>
      <c r="K15" s="143">
        <v>419698.55434782611</v>
      </c>
      <c r="L15" s="167">
        <v>382041.32240437157</v>
      </c>
      <c r="M15" s="141">
        <v>411309.70967741933</v>
      </c>
      <c r="N15" s="141">
        <v>415602.4</v>
      </c>
      <c r="O15" s="141">
        <v>429875.61290322582</v>
      </c>
      <c r="P15" s="143">
        <v>418965.40217391303</v>
      </c>
      <c r="Q15" s="167">
        <v>394394.10545454547</v>
      </c>
      <c r="R15" s="141">
        <v>410199.54838709679</v>
      </c>
      <c r="S15" s="141">
        <v>412406.17857142858</v>
      </c>
      <c r="T15" s="141">
        <v>388999.99999967741</v>
      </c>
      <c r="U15" s="143">
        <v>403583.98888877779</v>
      </c>
      <c r="V15" s="169">
        <v>396660.10410956159</v>
      </c>
    </row>
    <row r="16" spans="1:22" ht="15.75">
      <c r="B16" s="318">
        <v>0.25</v>
      </c>
      <c r="C16" s="144" t="s">
        <v>67</v>
      </c>
      <c r="D16" s="141">
        <v>51521.4</v>
      </c>
      <c r="E16" s="141">
        <v>53455.774193548386</v>
      </c>
      <c r="F16" s="141">
        <v>49944.966666666667</v>
      </c>
      <c r="G16" s="143">
        <v>51660.659340659338</v>
      </c>
      <c r="H16" s="141">
        <v>51318.645161290326</v>
      </c>
      <c r="I16" s="141">
        <v>49674.612903225803</v>
      </c>
      <c r="J16" s="141">
        <v>48443.1</v>
      </c>
      <c r="K16" s="143">
        <v>49827</v>
      </c>
      <c r="L16" s="167">
        <v>50738.819672131147</v>
      </c>
      <c r="M16" s="141">
        <v>48265.096774193546</v>
      </c>
      <c r="N16" s="141">
        <v>49693.5</v>
      </c>
      <c r="O16" s="141">
        <v>50585.709677419356</v>
      </c>
      <c r="P16" s="143">
        <v>49512.82608695652</v>
      </c>
      <c r="Q16" s="167">
        <v>50328.66909090909</v>
      </c>
      <c r="R16" s="141">
        <v>51782.000000645159</v>
      </c>
      <c r="S16" s="141">
        <v>49543.357142857145</v>
      </c>
      <c r="T16" s="141">
        <v>50471.290321612905</v>
      </c>
      <c r="U16" s="143">
        <v>50634.066666555562</v>
      </c>
      <c r="V16" s="169">
        <v>50403.972602712332</v>
      </c>
    </row>
    <row r="17" spans="1:22" ht="15.75">
      <c r="B17" s="318">
        <v>0.24124999999999999</v>
      </c>
      <c r="C17" s="144" t="s">
        <v>68</v>
      </c>
      <c r="D17" s="141">
        <v>12329.933333333332</v>
      </c>
      <c r="E17" s="141">
        <v>15005.483870967742</v>
      </c>
      <c r="F17" s="141">
        <v>13587.633333333333</v>
      </c>
      <c r="G17" s="143">
        <v>13656.010989010989</v>
      </c>
      <c r="H17" s="141">
        <v>13138.709677419354</v>
      </c>
      <c r="I17" s="141">
        <v>11917.709677419354</v>
      </c>
      <c r="J17" s="141">
        <v>8401.1333333333332</v>
      </c>
      <c r="K17" s="143">
        <v>11182.423913043478</v>
      </c>
      <c r="L17" s="167">
        <v>12412.459016393443</v>
      </c>
      <c r="M17" s="141">
        <v>10516.096774193549</v>
      </c>
      <c r="N17" s="141">
        <v>11604.533333333333</v>
      </c>
      <c r="O17" s="141">
        <v>10923.741935483871</v>
      </c>
      <c r="P17" s="143">
        <v>11008.380434782608</v>
      </c>
      <c r="Q17" s="167">
        <v>11942.730909090909</v>
      </c>
      <c r="R17" s="141">
        <v>10356.000000322581</v>
      </c>
      <c r="S17" s="141">
        <v>9653.75</v>
      </c>
      <c r="T17" s="141">
        <v>8341.8064525806458</v>
      </c>
      <c r="U17" s="143">
        <v>9443.7444448888891</v>
      </c>
      <c r="V17" s="169">
        <v>11326.542465863015</v>
      </c>
    </row>
    <row r="18" spans="1:22" ht="15.75">
      <c r="B18" s="318">
        <v>0.45</v>
      </c>
      <c r="C18" s="144" t="s">
        <v>69</v>
      </c>
      <c r="D18" s="141">
        <v>134.46666666666667</v>
      </c>
      <c r="E18" s="141">
        <v>135.16129032258064</v>
      </c>
      <c r="F18" s="141">
        <v>127.23333333333333</v>
      </c>
      <c r="G18" s="143">
        <v>132.31868131868131</v>
      </c>
      <c r="H18" s="141">
        <v>105.3225806451613</v>
      </c>
      <c r="I18" s="141">
        <v>75.677419354838705</v>
      </c>
      <c r="J18" s="141">
        <v>73.7</v>
      </c>
      <c r="K18" s="143">
        <v>85.021739130434781</v>
      </c>
      <c r="L18" s="167">
        <v>108.54098360655738</v>
      </c>
      <c r="M18" s="141">
        <v>76.612903225806448</v>
      </c>
      <c r="N18" s="141">
        <v>72.2</v>
      </c>
      <c r="O18" s="141">
        <v>88.225806451612897</v>
      </c>
      <c r="P18" s="143">
        <v>79.086956521739125</v>
      </c>
      <c r="Q18" s="167">
        <v>98.687272727272727</v>
      </c>
      <c r="R18" s="141">
        <v>96.312903225806451</v>
      </c>
      <c r="S18" s="141">
        <v>95.517857142857139</v>
      </c>
      <c r="T18" s="141">
        <v>127.32258161290324</v>
      </c>
      <c r="U18" s="143">
        <v>106.746667</v>
      </c>
      <c r="V18" s="169">
        <v>100.67452063013698</v>
      </c>
    </row>
    <row r="19" spans="1:22" ht="15.75">
      <c r="B19" s="318">
        <v>0.17</v>
      </c>
      <c r="C19" s="144" t="s">
        <v>70</v>
      </c>
      <c r="D19" s="141">
        <v>0</v>
      </c>
      <c r="E19" s="141">
        <v>0</v>
      </c>
      <c r="F19" s="141">
        <v>0</v>
      </c>
      <c r="G19" s="143">
        <v>0</v>
      </c>
      <c r="H19" s="141">
        <v>0</v>
      </c>
      <c r="I19" s="141">
        <v>0</v>
      </c>
      <c r="J19" s="141">
        <v>0</v>
      </c>
      <c r="K19" s="143">
        <v>0</v>
      </c>
      <c r="L19" s="167">
        <v>0</v>
      </c>
      <c r="M19" s="141">
        <v>0</v>
      </c>
      <c r="N19" s="141">
        <v>0</v>
      </c>
      <c r="O19" s="141">
        <v>0</v>
      </c>
      <c r="P19" s="143">
        <v>0</v>
      </c>
      <c r="Q19" s="167">
        <v>0</v>
      </c>
      <c r="R19" s="141">
        <v>0</v>
      </c>
      <c r="S19" s="141">
        <v>0</v>
      </c>
      <c r="T19" s="141">
        <v>0</v>
      </c>
      <c r="U19" s="143">
        <v>0</v>
      </c>
      <c r="V19" s="169">
        <v>0</v>
      </c>
    </row>
    <row r="20" spans="1:22" ht="15.75">
      <c r="C20" s="145" t="s">
        <v>358</v>
      </c>
      <c r="D20" s="188">
        <v>148376.95072666669</v>
      </c>
      <c r="E20" s="188">
        <v>139238.31467096775</v>
      </c>
      <c r="F20" s="188">
        <v>147380.21982833336</v>
      </c>
      <c r="G20" s="189">
        <v>144935.19638956044</v>
      </c>
      <c r="H20" s="188">
        <v>147440.15511290322</v>
      </c>
      <c r="I20" s="188">
        <v>143634.11912741937</v>
      </c>
      <c r="J20" s="188">
        <v>144669.50013333335</v>
      </c>
      <c r="K20" s="189">
        <v>145254.21201576089</v>
      </c>
      <c r="L20" s="169">
        <v>145095.57583005464</v>
      </c>
      <c r="M20" s="188">
        <v>141276.35738548386</v>
      </c>
      <c r="N20" s="188">
        <v>145270.32908333332</v>
      </c>
      <c r="O20" s="188">
        <v>147199.65958870968</v>
      </c>
      <c r="P20" s="189">
        <v>145297.89094565218</v>
      </c>
      <c r="Q20" s="169">
        <v>146547.66690090907</v>
      </c>
      <c r="R20" s="188">
        <v>150429.41066725354</v>
      </c>
      <c r="S20" s="188">
        <v>145290.15342400171</v>
      </c>
      <c r="T20" s="188">
        <v>142301.06733373672</v>
      </c>
      <c r="U20" s="189">
        <v>146030.7679322527</v>
      </c>
      <c r="V20" s="169">
        <v>146420.21236069244</v>
      </c>
    </row>
    <row r="22" spans="1:22">
      <c r="C22" s="1319" t="s">
        <v>89</v>
      </c>
      <c r="D22" s="1320"/>
      <c r="E22" s="1320"/>
      <c r="F22" s="1320"/>
      <c r="G22" s="1320"/>
      <c r="H22" s="1320"/>
      <c r="I22" s="1320"/>
      <c r="J22" s="1320"/>
      <c r="K22" s="1320"/>
      <c r="L22" s="1320"/>
      <c r="M22" s="1320"/>
      <c r="N22" s="1320"/>
      <c r="O22" s="1320"/>
      <c r="P22" s="1320"/>
      <c r="Q22" s="1320"/>
      <c r="R22" s="1320"/>
      <c r="S22" s="1320"/>
      <c r="T22" s="1320"/>
      <c r="U22" s="1320"/>
      <c r="V22" s="1321"/>
    </row>
    <row r="23" spans="1:22">
      <c r="C23" s="144"/>
      <c r="D23" s="144" t="s">
        <v>30</v>
      </c>
      <c r="E23" s="144" t="s">
        <v>71</v>
      </c>
      <c r="F23" s="144" t="s">
        <v>72</v>
      </c>
      <c r="G23" s="148" t="s">
        <v>82</v>
      </c>
      <c r="H23" s="144" t="s">
        <v>73</v>
      </c>
      <c r="I23" s="144" t="s">
        <v>74</v>
      </c>
      <c r="J23" s="144" t="s">
        <v>75</v>
      </c>
      <c r="K23" s="148" t="s">
        <v>83</v>
      </c>
      <c r="L23" s="170" t="s">
        <v>39</v>
      </c>
      <c r="M23" s="144" t="s">
        <v>76</v>
      </c>
      <c r="N23" s="144" t="s">
        <v>77</v>
      </c>
      <c r="O23" s="144" t="s">
        <v>78</v>
      </c>
      <c r="P23" s="148" t="s">
        <v>84</v>
      </c>
      <c r="Q23" s="170" t="s">
        <v>85</v>
      </c>
      <c r="R23" s="144" t="s">
        <v>79</v>
      </c>
      <c r="S23" s="144" t="s">
        <v>80</v>
      </c>
      <c r="T23" s="144" t="s">
        <v>81</v>
      </c>
      <c r="U23" s="148" t="s">
        <v>86</v>
      </c>
      <c r="V23" s="320" t="s">
        <v>87</v>
      </c>
    </row>
    <row r="24" spans="1:22" ht="15.75">
      <c r="B24" s="318">
        <v>0.2</v>
      </c>
      <c r="C24" s="144" t="s">
        <v>60</v>
      </c>
      <c r="D24" s="146">
        <v>9.956666666666667</v>
      </c>
      <c r="E24" s="146">
        <v>7.5903225806451617</v>
      </c>
      <c r="F24" s="146">
        <v>6.77</v>
      </c>
      <c r="G24" s="149">
        <v>8.1</v>
      </c>
      <c r="H24" s="146">
        <v>6.9709677419354836</v>
      </c>
      <c r="I24" s="146">
        <v>6.2483870967741932</v>
      </c>
      <c r="J24" s="146">
        <v>7.4123333333333337</v>
      </c>
      <c r="K24" s="149">
        <v>6.8714130434782605</v>
      </c>
      <c r="L24" s="172">
        <v>7.482349726775956</v>
      </c>
      <c r="M24" s="146">
        <v>10.610645161290323</v>
      </c>
      <c r="N24" s="146">
        <v>11.148</v>
      </c>
      <c r="O24" s="146">
        <v>13.070967741935483</v>
      </c>
      <c r="P24" s="149">
        <v>11.614891304347825</v>
      </c>
      <c r="Q24" s="172">
        <v>8.8648727272727275</v>
      </c>
      <c r="R24" s="146">
        <v>11.661290000000001</v>
      </c>
      <c r="S24" s="146">
        <v>12.37857</v>
      </c>
      <c r="T24" s="146">
        <v>11.909677419354839</v>
      </c>
      <c r="U24" s="149">
        <v>11.969999444444445</v>
      </c>
      <c r="V24" s="173">
        <v>9.6305204109589049</v>
      </c>
    </row>
    <row r="25" spans="1:22" ht="15.75">
      <c r="B25" s="318">
        <v>0.26</v>
      </c>
      <c r="C25" s="144" t="s">
        <v>61</v>
      </c>
      <c r="D25" s="146">
        <v>10.327966666666667</v>
      </c>
      <c r="E25" s="146">
        <v>10.430935483870966</v>
      </c>
      <c r="F25" s="146">
        <v>10.627333333333333</v>
      </c>
      <c r="G25" s="149">
        <v>10.461736263736263</v>
      </c>
      <c r="H25" s="146">
        <v>9.0476129032258061</v>
      </c>
      <c r="I25" s="146">
        <v>10.943612903225807</v>
      </c>
      <c r="J25" s="146">
        <v>11.256599999999999</v>
      </c>
      <c r="K25" s="149">
        <v>10.406804347826087</v>
      </c>
      <c r="L25" s="172">
        <v>10.434120218579235</v>
      </c>
      <c r="M25" s="146">
        <v>11.14516129032258</v>
      </c>
      <c r="N25" s="146">
        <v>11.201533333333334</v>
      </c>
      <c r="O25" s="146">
        <v>11.742000000000001</v>
      </c>
      <c r="P25" s="149">
        <v>11.364652173913043</v>
      </c>
      <c r="Q25" s="172">
        <v>10.745425454545455</v>
      </c>
      <c r="R25" s="146">
        <v>11.205782258064517</v>
      </c>
      <c r="S25" s="146">
        <v>11.413071428571428</v>
      </c>
      <c r="T25" s="146">
        <v>11.202774193548388</v>
      </c>
      <c r="U25" s="149">
        <v>11.269236111111111</v>
      </c>
      <c r="V25" s="173">
        <v>10.874584246575342</v>
      </c>
    </row>
    <row r="26" spans="1:22" ht="15.75">
      <c r="B26" s="318">
        <v>1</v>
      </c>
      <c r="C26" s="144" t="s">
        <v>62</v>
      </c>
      <c r="D26" s="146">
        <v>0.30636666666666668</v>
      </c>
      <c r="E26" s="146">
        <v>0.22177419354838709</v>
      </c>
      <c r="F26" s="146">
        <v>8.0166666666666664E-2</v>
      </c>
      <c r="G26" s="149">
        <v>0.20297802197802201</v>
      </c>
      <c r="H26" s="146">
        <v>0.28200000000000003</v>
      </c>
      <c r="I26" s="146">
        <v>0.2860967741935484</v>
      </c>
      <c r="J26" s="146">
        <v>0.22140000000000001</v>
      </c>
      <c r="K26" s="149">
        <v>0.26361956521739133</v>
      </c>
      <c r="L26" s="172">
        <v>0.23346448087431695</v>
      </c>
      <c r="M26" s="146">
        <v>0.2734838709677419</v>
      </c>
      <c r="N26" s="146">
        <v>0.27033333333333331</v>
      </c>
      <c r="O26" s="146">
        <v>0.28064516129032258</v>
      </c>
      <c r="P26" s="149">
        <v>0.27486956521739131</v>
      </c>
      <c r="Q26" s="172">
        <v>0.24731636363636364</v>
      </c>
      <c r="R26" s="146">
        <v>0.28961032258064512</v>
      </c>
      <c r="S26" s="146">
        <v>0.28646428571428573</v>
      </c>
      <c r="T26" s="146">
        <v>0.25277419354838709</v>
      </c>
      <c r="U26" s="149">
        <v>0.2759435555555555</v>
      </c>
      <c r="V26" s="173">
        <v>0.25437512328767126</v>
      </c>
    </row>
    <row r="27" spans="1:22" ht="15.75">
      <c r="A27" s="768">
        <v>2.9250000000000002E-2</v>
      </c>
      <c r="B27" s="318">
        <v>2.3099999999999999E-2</v>
      </c>
      <c r="C27" s="144" t="s">
        <v>57</v>
      </c>
      <c r="D27" s="146">
        <v>8.0643999999999991</v>
      </c>
      <c r="E27" s="146">
        <v>8.088451612903226</v>
      </c>
      <c r="F27" s="146">
        <v>8.8848666666666656</v>
      </c>
      <c r="G27" s="149">
        <v>8.3430769230769233</v>
      </c>
      <c r="H27" s="146">
        <v>10.158903225806451</v>
      </c>
      <c r="I27" s="146">
        <v>10.516</v>
      </c>
      <c r="J27" s="146">
        <v>9.9326333333333334</v>
      </c>
      <c r="K27" s="149">
        <v>10.205445652173914</v>
      </c>
      <c r="L27" s="172">
        <v>9.2793497267759566</v>
      </c>
      <c r="M27" s="146">
        <v>8.9802580645161285</v>
      </c>
      <c r="N27" s="146">
        <v>11.858796766666668</v>
      </c>
      <c r="O27" s="146">
        <v>13.43858064516129</v>
      </c>
      <c r="P27" s="149">
        <v>11.421172858695652</v>
      </c>
      <c r="Q27" s="172">
        <v>9.9958869200000002</v>
      </c>
      <c r="R27" s="146">
        <v>13.360032903225807</v>
      </c>
      <c r="S27" s="146">
        <v>14.603036428571428</v>
      </c>
      <c r="T27" s="146">
        <v>12.59</v>
      </c>
      <c r="U27" s="149">
        <v>13.481511555555555</v>
      </c>
      <c r="V27" s="173">
        <v>10.855356008219177</v>
      </c>
    </row>
    <row r="28" spans="1:22" ht="15.75">
      <c r="B28" s="318">
        <v>0.27</v>
      </c>
      <c r="C28" s="144" t="s">
        <v>58</v>
      </c>
      <c r="D28" s="146">
        <v>0.16299999999999998</v>
      </c>
      <c r="E28" s="146">
        <v>0.2783870967741936</v>
      </c>
      <c r="F28" s="146">
        <v>0.21423333333333333</v>
      </c>
      <c r="G28" s="149">
        <v>0.21919780219780219</v>
      </c>
      <c r="H28" s="146">
        <v>0.33403225806451614</v>
      </c>
      <c r="I28" s="146">
        <v>0.39238709677419353</v>
      </c>
      <c r="J28" s="146">
        <v>0.25989999999999996</v>
      </c>
      <c r="K28" s="149">
        <v>0.32952173913043475</v>
      </c>
      <c r="L28" s="172">
        <v>0.27466120218579232</v>
      </c>
      <c r="M28" s="146">
        <v>0.23964516129032259</v>
      </c>
      <c r="N28" s="146">
        <v>0.24603333333333335</v>
      </c>
      <c r="O28" s="146">
        <v>0.32580645161290323</v>
      </c>
      <c r="P28" s="149">
        <v>0.27076086956521739</v>
      </c>
      <c r="Q28" s="172">
        <v>0.27335636363636356</v>
      </c>
      <c r="R28" s="146">
        <v>0.30442032258064516</v>
      </c>
      <c r="S28" s="146">
        <v>0.23550000000000001</v>
      </c>
      <c r="T28" s="146">
        <v>0.29503225806451616</v>
      </c>
      <c r="U28" s="149">
        <v>0.27974477777777779</v>
      </c>
      <c r="V28" s="173">
        <v>0.27493158904109588</v>
      </c>
    </row>
    <row r="29" spans="1:22" ht="15.75">
      <c r="B29" s="319">
        <v>0.5</v>
      </c>
      <c r="C29" s="144" t="s">
        <v>59</v>
      </c>
      <c r="D29" s="146">
        <v>1.9566666666666666E-2</v>
      </c>
      <c r="E29" s="146">
        <v>2.2580645161290321E-2</v>
      </c>
      <c r="F29" s="146">
        <v>2.3133333333333332E-2</v>
      </c>
      <c r="G29" s="149">
        <v>2.1769230769230766E-2</v>
      </c>
      <c r="H29" s="146">
        <v>2.2193548387096772E-2</v>
      </c>
      <c r="I29" s="146">
        <v>2.7096774193548386E-2</v>
      </c>
      <c r="J29" s="146">
        <v>2.8633333333333334E-2</v>
      </c>
      <c r="K29" s="149">
        <v>2.5945652173913043E-2</v>
      </c>
      <c r="L29" s="172">
        <v>2.386885245901639E-2</v>
      </c>
      <c r="M29" s="146">
        <v>2.3E-2</v>
      </c>
      <c r="N29" s="146">
        <v>2.3199999999999998E-2</v>
      </c>
      <c r="O29" s="146">
        <v>2.4612903225806452E-2</v>
      </c>
      <c r="P29" s="149">
        <v>2.3608695652173911E-2</v>
      </c>
      <c r="Q29" s="172">
        <v>2.3781818181818178E-2</v>
      </c>
      <c r="R29" s="146">
        <v>2.2593870967741934E-2</v>
      </c>
      <c r="S29" s="146">
        <v>2.3790000000000002E-2</v>
      </c>
      <c r="T29" s="146">
        <v>2.2939999999999999E-2</v>
      </c>
      <c r="U29" s="149">
        <v>2.3085222222222222E-2</v>
      </c>
      <c r="V29" s="173">
        <v>2.3610054794520548E-2</v>
      </c>
    </row>
    <row r="30" spans="1:22" ht="15.75">
      <c r="B30" s="318">
        <v>0.7</v>
      </c>
      <c r="C30" s="144" t="s">
        <v>63</v>
      </c>
      <c r="D30" s="146">
        <v>4.0000000000000001E-3</v>
      </c>
      <c r="E30" s="146">
        <v>3.7741935483870969E-3</v>
      </c>
      <c r="F30" s="146">
        <v>4.7333333333333333E-3</v>
      </c>
      <c r="G30" s="149">
        <v>4.164835164835165E-3</v>
      </c>
      <c r="H30" s="146">
        <v>4.8387096774193551E-3</v>
      </c>
      <c r="I30" s="146">
        <v>4.9032258064516127E-3</v>
      </c>
      <c r="J30" s="146">
        <v>5.1999999999999998E-3</v>
      </c>
      <c r="K30" s="149">
        <v>4.9782608695652167E-3</v>
      </c>
      <c r="L30" s="172">
        <v>4.5737704918032782E-3</v>
      </c>
      <c r="M30" s="146">
        <v>3.6451612903225807E-3</v>
      </c>
      <c r="N30" s="146">
        <v>2.9333333333333334E-3</v>
      </c>
      <c r="O30" s="146">
        <v>2.3870967741935483E-3</v>
      </c>
      <c r="P30" s="149">
        <v>2.9891304347826088E-3</v>
      </c>
      <c r="Q30" s="172">
        <v>4.0436363636363638E-3</v>
      </c>
      <c r="R30" s="146">
        <v>3.3058064516129034E-3</v>
      </c>
      <c r="S30" s="146">
        <v>3.8217857142857142E-3</v>
      </c>
      <c r="T30" s="146">
        <v>3.9361290322580643E-3</v>
      </c>
      <c r="U30" s="149">
        <v>3.683444444444444E-3</v>
      </c>
      <c r="V30" s="173">
        <v>3.954821917808219E-3</v>
      </c>
    </row>
    <row r="31" spans="1:22" ht="15.75">
      <c r="B31" s="318">
        <v>0.11</v>
      </c>
      <c r="C31" s="144" t="s">
        <v>64</v>
      </c>
      <c r="D31" s="146">
        <v>0.23236666666666667</v>
      </c>
      <c r="E31" s="146">
        <v>0.22287096774193549</v>
      </c>
      <c r="F31" s="146">
        <v>0.21476666666666666</v>
      </c>
      <c r="G31" s="149">
        <v>0.22332967032967033</v>
      </c>
      <c r="H31" s="146">
        <v>0.21306451612903227</v>
      </c>
      <c r="I31" s="146">
        <v>0.2017741935483871</v>
      </c>
      <c r="J31" s="146">
        <v>0.21493333333333334</v>
      </c>
      <c r="K31" s="149">
        <v>0.20986956521739131</v>
      </c>
      <c r="L31" s="172">
        <v>0.21656284153005464</v>
      </c>
      <c r="M31" s="146">
        <v>0.20732258064516126</v>
      </c>
      <c r="N31" s="146">
        <v>0.22626666666666667</v>
      </c>
      <c r="O31" s="146">
        <v>0.23483870967741935</v>
      </c>
      <c r="P31" s="149">
        <v>0.2227717391304348</v>
      </c>
      <c r="Q31" s="172">
        <v>0.21864000000000003</v>
      </c>
      <c r="R31" s="146">
        <v>0.24795838709677417</v>
      </c>
      <c r="S31" s="146">
        <v>0.21811892857142859</v>
      </c>
      <c r="T31" s="146">
        <v>0.20601369206616924</v>
      </c>
      <c r="U31" s="149">
        <v>0.22422738282279164</v>
      </c>
      <c r="V31" s="173">
        <v>0.22001771083301713</v>
      </c>
    </row>
    <row r="32" spans="1:22" ht="15.75">
      <c r="B32" s="318">
        <v>0.4</v>
      </c>
      <c r="C32" s="144" t="s">
        <v>65</v>
      </c>
      <c r="D32" s="146">
        <v>0.10769999999999999</v>
      </c>
      <c r="E32" s="146">
        <v>0.1137741935483871</v>
      </c>
      <c r="F32" s="146">
        <v>6.646666666666666E-2</v>
      </c>
      <c r="G32" s="149">
        <v>9.6175824175824168E-2</v>
      </c>
      <c r="H32" s="146">
        <v>0.1156774193548387</v>
      </c>
      <c r="I32" s="146">
        <v>0.12000000000000001</v>
      </c>
      <c r="J32" s="146">
        <v>0.11313333333333334</v>
      </c>
      <c r="K32" s="149">
        <v>0.11630434782608695</v>
      </c>
      <c r="L32" s="172">
        <v>0.1062950819672131</v>
      </c>
      <c r="M32" s="146">
        <v>0.1606774193548387</v>
      </c>
      <c r="N32" s="146">
        <v>0.11893333333333334</v>
      </c>
      <c r="O32" s="146">
        <v>0.11687096774193549</v>
      </c>
      <c r="P32" s="149">
        <v>0.13230434782608697</v>
      </c>
      <c r="Q32" s="172">
        <v>0.11499636363636363</v>
      </c>
      <c r="R32" s="146">
        <v>0.13947903225806452</v>
      </c>
      <c r="S32" s="146">
        <v>0.11323964285714286</v>
      </c>
      <c r="T32" s="146">
        <v>8.1906287535601002E-2</v>
      </c>
      <c r="U32" s="149">
        <v>0.11148505459559589</v>
      </c>
      <c r="V32" s="173">
        <v>0.11413056140713324</v>
      </c>
    </row>
    <row r="33" spans="2:22" ht="15.75">
      <c r="B33" s="318">
        <v>0.04</v>
      </c>
      <c r="C33" s="144" t="s">
        <v>66</v>
      </c>
      <c r="D33" s="146">
        <v>0</v>
      </c>
      <c r="E33" s="146">
        <v>0</v>
      </c>
      <c r="F33" s="146">
        <v>0</v>
      </c>
      <c r="G33" s="149">
        <v>0</v>
      </c>
      <c r="H33" s="146">
        <v>0</v>
      </c>
      <c r="I33" s="146">
        <v>0</v>
      </c>
      <c r="J33" s="146">
        <v>0</v>
      </c>
      <c r="K33" s="149">
        <v>0</v>
      </c>
      <c r="L33" s="172">
        <v>0</v>
      </c>
      <c r="M33" s="146">
        <v>0</v>
      </c>
      <c r="N33" s="146">
        <v>0</v>
      </c>
      <c r="O33" s="146">
        <v>0</v>
      </c>
      <c r="P33" s="149">
        <v>0</v>
      </c>
      <c r="Q33" s="172">
        <v>0</v>
      </c>
      <c r="R33" s="146">
        <v>0</v>
      </c>
      <c r="S33" s="146">
        <v>0</v>
      </c>
      <c r="T33" s="146">
        <v>0</v>
      </c>
      <c r="U33" s="149">
        <v>0</v>
      </c>
      <c r="V33" s="173">
        <v>0</v>
      </c>
    </row>
    <row r="34" spans="2:22" ht="15.75">
      <c r="B34" s="318">
        <v>0.25</v>
      </c>
      <c r="C34" s="144" t="s">
        <v>67</v>
      </c>
      <c r="D34" s="146">
        <v>0</v>
      </c>
      <c r="E34" s="146">
        <v>0</v>
      </c>
      <c r="F34" s="146">
        <v>0</v>
      </c>
      <c r="G34" s="149">
        <v>0</v>
      </c>
      <c r="H34" s="146">
        <v>0</v>
      </c>
      <c r="I34" s="146">
        <v>0</v>
      </c>
      <c r="J34" s="146">
        <v>0</v>
      </c>
      <c r="K34" s="149">
        <v>0</v>
      </c>
      <c r="L34" s="172">
        <v>0</v>
      </c>
      <c r="M34" s="146">
        <v>0</v>
      </c>
      <c r="N34" s="146">
        <v>0</v>
      </c>
      <c r="O34" s="146">
        <v>0</v>
      </c>
      <c r="P34" s="149">
        <v>0</v>
      </c>
      <c r="Q34" s="172">
        <v>0</v>
      </c>
      <c r="R34" s="146">
        <v>0</v>
      </c>
      <c r="S34" s="146">
        <v>0</v>
      </c>
      <c r="T34" s="146">
        <v>0</v>
      </c>
      <c r="U34" s="149">
        <v>0</v>
      </c>
      <c r="V34" s="173">
        <v>0</v>
      </c>
    </row>
    <row r="35" spans="2:22" ht="15.75">
      <c r="B35" s="318">
        <v>0.24124999999999999</v>
      </c>
      <c r="C35" s="144" t="s">
        <v>68</v>
      </c>
      <c r="D35" s="146">
        <v>0</v>
      </c>
      <c r="E35" s="146">
        <v>0</v>
      </c>
      <c r="F35" s="146">
        <v>0</v>
      </c>
      <c r="G35" s="149">
        <v>0</v>
      </c>
      <c r="H35" s="146">
        <v>0</v>
      </c>
      <c r="I35" s="146">
        <v>0</v>
      </c>
      <c r="J35" s="146">
        <v>0</v>
      </c>
      <c r="K35" s="149">
        <v>0</v>
      </c>
      <c r="L35" s="172">
        <v>0</v>
      </c>
      <c r="M35" s="146">
        <v>0</v>
      </c>
      <c r="N35" s="146">
        <v>0</v>
      </c>
      <c r="O35" s="146">
        <v>0</v>
      </c>
      <c r="P35" s="149">
        <v>0</v>
      </c>
      <c r="Q35" s="172">
        <v>0</v>
      </c>
      <c r="R35" s="146">
        <v>0</v>
      </c>
      <c r="S35" s="146">
        <v>0</v>
      </c>
      <c r="T35" s="146">
        <v>0</v>
      </c>
      <c r="U35" s="149">
        <v>0</v>
      </c>
      <c r="V35" s="173">
        <v>0</v>
      </c>
    </row>
    <row r="36" spans="2:22" ht="15.75">
      <c r="B36" s="318">
        <v>0.45</v>
      </c>
      <c r="C36" s="144" t="s">
        <v>69</v>
      </c>
      <c r="D36" s="146">
        <v>2.0478333333333336</v>
      </c>
      <c r="E36" s="146">
        <v>1.931709677419355</v>
      </c>
      <c r="F36" s="146">
        <v>1.6877333333333333</v>
      </c>
      <c r="G36" s="149">
        <v>1.8895604395604397</v>
      </c>
      <c r="H36" s="146">
        <v>1.5549354838709679</v>
      </c>
      <c r="I36" s="146">
        <v>1.052483870967742</v>
      </c>
      <c r="J36" s="146">
        <v>0.73263333333333336</v>
      </c>
      <c r="K36" s="149">
        <v>1.1174891304347827</v>
      </c>
      <c r="L36" s="172">
        <v>1.5014153005464481</v>
      </c>
      <c r="M36" s="146">
        <v>0.5610645161290323</v>
      </c>
      <c r="N36" s="146">
        <v>0.40906666666666669</v>
      </c>
      <c r="O36" s="146">
        <v>0.46470967741935487</v>
      </c>
      <c r="P36" s="149">
        <v>0.47903260869565217</v>
      </c>
      <c r="Q36" s="172">
        <v>1.1593818181818183</v>
      </c>
      <c r="R36" s="146">
        <v>0.45890322580645165</v>
      </c>
      <c r="S36" s="146">
        <v>0.41757178571428571</v>
      </c>
      <c r="T36" s="146">
        <v>0.28377419354838712</v>
      </c>
      <c r="U36" s="149">
        <v>0.38572233333333339</v>
      </c>
      <c r="V36" s="173">
        <v>0.96861646575342475</v>
      </c>
    </row>
    <row r="37" spans="2:22" ht="15.75">
      <c r="B37" s="318">
        <v>0.17</v>
      </c>
      <c r="C37" s="144" t="s">
        <v>70</v>
      </c>
      <c r="D37" s="146">
        <v>13.777533333333334</v>
      </c>
      <c r="E37" s="146">
        <v>13.800935483870967</v>
      </c>
      <c r="F37" s="146">
        <v>12.741233333333334</v>
      </c>
      <c r="G37" s="149">
        <v>13.443868131868133</v>
      </c>
      <c r="H37" s="146">
        <v>14.665387096774193</v>
      </c>
      <c r="I37" s="146">
        <v>13.986677419354839</v>
      </c>
      <c r="J37" s="146">
        <v>12.514233333333333</v>
      </c>
      <c r="K37" s="149">
        <v>13.735228260869565</v>
      </c>
      <c r="L37" s="172">
        <v>13.590344262295083</v>
      </c>
      <c r="M37" s="146">
        <v>12.613387096774193</v>
      </c>
      <c r="N37" s="146">
        <v>12.343866666666665</v>
      </c>
      <c r="O37" s="146">
        <v>13.453225806451613</v>
      </c>
      <c r="P37" s="149">
        <v>12.808489130434781</v>
      </c>
      <c r="Q37" s="172">
        <v>13.328778181818183</v>
      </c>
      <c r="R37" s="146">
        <v>15.773735483870967</v>
      </c>
      <c r="S37" s="146">
        <v>15.874039999999999</v>
      </c>
      <c r="T37" s="146">
        <v>13.374457419354838</v>
      </c>
      <c r="U37" s="149">
        <v>14.978523333333333</v>
      </c>
      <c r="V37" s="173">
        <v>13.735564657534246</v>
      </c>
    </row>
    <row r="38" spans="2:22" ht="15.75">
      <c r="C38" s="145" t="s">
        <v>358</v>
      </c>
      <c r="D38" s="152">
        <v>8.5581983066666663</v>
      </c>
      <c r="E38" s="152">
        <v>8.0132758129032275</v>
      </c>
      <c r="F38" s="152">
        <v>7.4509374200000007</v>
      </c>
      <c r="G38" s="153">
        <v>8.0075343076923069</v>
      </c>
      <c r="H38" s="152">
        <v>7.6304609870967735</v>
      </c>
      <c r="I38" s="152">
        <v>7.668506374193548</v>
      </c>
      <c r="J38" s="152">
        <v>7.4741568299999983</v>
      </c>
      <c r="K38" s="153">
        <v>7.5923118815217396</v>
      </c>
      <c r="L38" s="173">
        <v>7.798788607103825</v>
      </c>
      <c r="M38" s="152">
        <v>8.0633858967741929</v>
      </c>
      <c r="N38" s="152">
        <v>8.1942841387583343</v>
      </c>
      <c r="O38" s="152">
        <v>9.0115307419354824</v>
      </c>
      <c r="P38" s="153">
        <v>8.4441633278559785</v>
      </c>
      <c r="Q38" s="173">
        <v>8.0526719469554564</v>
      </c>
      <c r="R38" s="152">
        <v>8.9930656785483887</v>
      </c>
      <c r="S38" s="152">
        <v>9.1906539655357129</v>
      </c>
      <c r="T38" s="152">
        <v>8.4663526372705515</v>
      </c>
      <c r="U38" s="153">
        <v>8.8731142091709678</v>
      </c>
      <c r="V38" s="173">
        <v>8.2549727787346221</v>
      </c>
    </row>
    <row r="42" spans="2:22">
      <c r="C42" s="1322" t="s">
        <v>90</v>
      </c>
      <c r="D42" s="1323"/>
      <c r="E42" s="1323"/>
      <c r="F42" s="1323"/>
      <c r="G42" s="1323"/>
      <c r="H42" s="1323"/>
      <c r="I42" s="1323"/>
      <c r="J42" s="1323"/>
      <c r="K42" s="1323"/>
      <c r="L42" s="1323"/>
      <c r="M42" s="1323"/>
      <c r="N42" s="1323"/>
      <c r="O42" s="1323"/>
      <c r="P42" s="1323"/>
      <c r="Q42" s="1323"/>
      <c r="R42" s="1323"/>
      <c r="S42" s="1323"/>
      <c r="T42" s="1323"/>
      <c r="U42" s="1323"/>
      <c r="V42" s="1324"/>
    </row>
    <row r="43" spans="2:22">
      <c r="C43" s="144"/>
      <c r="D43" s="144" t="s">
        <v>30</v>
      </c>
      <c r="E43" s="144" t="s">
        <v>71</v>
      </c>
      <c r="F43" s="144" t="s">
        <v>72</v>
      </c>
      <c r="G43" s="142" t="s">
        <v>82</v>
      </c>
      <c r="H43" s="144" t="s">
        <v>73</v>
      </c>
      <c r="I43" s="144" t="s">
        <v>74</v>
      </c>
      <c r="J43" s="144" t="s">
        <v>75</v>
      </c>
      <c r="K43" s="142" t="s">
        <v>83</v>
      </c>
      <c r="L43" s="166" t="s">
        <v>39</v>
      </c>
      <c r="M43" s="144" t="s">
        <v>76</v>
      </c>
      <c r="N43" s="144" t="s">
        <v>77</v>
      </c>
      <c r="O43" s="144" t="s">
        <v>78</v>
      </c>
      <c r="P43" s="142" t="s">
        <v>84</v>
      </c>
      <c r="Q43" s="166" t="s">
        <v>85</v>
      </c>
      <c r="R43" s="144" t="s">
        <v>79</v>
      </c>
      <c r="S43" s="144" t="s">
        <v>80</v>
      </c>
      <c r="T43" s="144" t="s">
        <v>81</v>
      </c>
      <c r="U43" s="142" t="s">
        <v>86</v>
      </c>
      <c r="V43" s="168" t="s">
        <v>87</v>
      </c>
    </row>
    <row r="44" spans="2:22" ht="15.75">
      <c r="C44" s="144" t="s">
        <v>60</v>
      </c>
      <c r="D44" s="147">
        <v>0.13200000000000001</v>
      </c>
      <c r="E44" s="147">
        <v>0.128</v>
      </c>
      <c r="F44" s="147">
        <v>0.123</v>
      </c>
      <c r="G44" s="150">
        <v>0.38300000000000001</v>
      </c>
      <c r="H44" s="147">
        <v>0.123</v>
      </c>
      <c r="I44" s="147">
        <v>0.111</v>
      </c>
      <c r="J44" s="147">
        <v>0.11899999999999999</v>
      </c>
      <c r="K44" s="150">
        <v>0.35299999999999998</v>
      </c>
      <c r="L44" s="171">
        <v>0.73599999999999999</v>
      </c>
      <c r="M44" s="147">
        <v>0.11700000000000001</v>
      </c>
      <c r="N44" s="147">
        <v>0.12</v>
      </c>
      <c r="O44" s="147">
        <v>0.127</v>
      </c>
      <c r="P44" s="150">
        <v>0.36399999999999999</v>
      </c>
      <c r="Q44" s="171">
        <v>1.1000000000000001</v>
      </c>
      <c r="R44" s="147">
        <v>0.13900000000000001</v>
      </c>
      <c r="S44" s="147">
        <v>0.11799999999999999</v>
      </c>
      <c r="T44" s="147">
        <v>0.126</v>
      </c>
      <c r="U44" s="150">
        <v>0.38300000000000001</v>
      </c>
      <c r="V44" s="186">
        <v>1.4830000000000001</v>
      </c>
    </row>
    <row r="45" spans="2:22" ht="15.75">
      <c r="C45" s="144" t="s">
        <v>61</v>
      </c>
      <c r="D45" s="147">
        <v>0.18099999999999999</v>
      </c>
      <c r="E45" s="147">
        <v>0.185</v>
      </c>
      <c r="F45" s="147">
        <v>0.182</v>
      </c>
      <c r="G45" s="150">
        <v>0.54800000000000004</v>
      </c>
      <c r="H45" s="147">
        <v>0.191</v>
      </c>
      <c r="I45" s="147">
        <v>0.186</v>
      </c>
      <c r="J45" s="147">
        <v>0.18099999999999999</v>
      </c>
      <c r="K45" s="150">
        <v>0.55800000000000005</v>
      </c>
      <c r="L45" s="171">
        <v>1.1060000000000001</v>
      </c>
      <c r="M45" s="147">
        <v>0.188</v>
      </c>
      <c r="N45" s="147">
        <v>0.182</v>
      </c>
      <c r="O45" s="147">
        <v>0.189</v>
      </c>
      <c r="P45" s="150">
        <v>0.55899999999999994</v>
      </c>
      <c r="Q45" s="171">
        <v>1.665</v>
      </c>
      <c r="R45" s="147">
        <v>0.187</v>
      </c>
      <c r="S45" s="147">
        <v>0.16800000000000001</v>
      </c>
      <c r="T45" s="147">
        <v>0.184</v>
      </c>
      <c r="U45" s="150">
        <v>0.53899999999999992</v>
      </c>
      <c r="V45" s="186">
        <v>2.2039999999999997</v>
      </c>
    </row>
    <row r="46" spans="2:22" ht="15.75">
      <c r="C46" s="144" t="s">
        <v>62</v>
      </c>
      <c r="D46" s="147">
        <v>0.01</v>
      </c>
      <c r="E46" s="147">
        <v>8.9999999999999993E-3</v>
      </c>
      <c r="F46" s="147">
        <v>7.0000000000000001E-3</v>
      </c>
      <c r="G46" s="150">
        <v>2.5999999999999999E-2</v>
      </c>
      <c r="H46" s="147">
        <v>0.01</v>
      </c>
      <c r="I46" s="147">
        <v>8.9999999999999993E-3</v>
      </c>
      <c r="J46" s="147">
        <v>8.0000000000000002E-3</v>
      </c>
      <c r="K46" s="150">
        <v>2.7E-2</v>
      </c>
      <c r="L46" s="171">
        <v>5.2999999999999999E-2</v>
      </c>
      <c r="M46" s="147">
        <v>8.9999999999999993E-3</v>
      </c>
      <c r="N46" s="147">
        <v>8.9999999999999993E-3</v>
      </c>
      <c r="O46" s="147">
        <v>8.9999999999999993E-3</v>
      </c>
      <c r="P46" s="150">
        <v>2.6999999999999996E-2</v>
      </c>
      <c r="Q46" s="171">
        <v>7.9999999999999988E-2</v>
      </c>
      <c r="R46" s="147">
        <v>8.9999999999999993E-3</v>
      </c>
      <c r="S46" s="147">
        <v>8.0000000000000002E-3</v>
      </c>
      <c r="T46" s="147">
        <v>8.0000000000000002E-3</v>
      </c>
      <c r="U46" s="150">
        <v>2.5000000000000001E-2</v>
      </c>
      <c r="V46" s="186">
        <v>0.105</v>
      </c>
    </row>
    <row r="47" spans="2:22" ht="15.75">
      <c r="C47" s="144" t="s">
        <v>57</v>
      </c>
      <c r="D47" s="147">
        <v>3.1E-2</v>
      </c>
      <c r="E47" s="147">
        <v>3.1E-2</v>
      </c>
      <c r="F47" s="147">
        <v>3.2000000000000001E-2</v>
      </c>
      <c r="G47" s="150">
        <v>9.4E-2</v>
      </c>
      <c r="H47" s="147">
        <v>3.3000000000000002E-2</v>
      </c>
      <c r="I47" s="147">
        <v>3.3000000000000002E-2</v>
      </c>
      <c r="J47" s="147">
        <v>3.2000000000000001E-2</v>
      </c>
      <c r="K47" s="150">
        <v>9.8000000000000004E-2</v>
      </c>
      <c r="L47" s="171">
        <v>0.192</v>
      </c>
      <c r="M47" s="147">
        <v>3.4000000000000002E-2</v>
      </c>
      <c r="N47" s="147">
        <v>0.10100000000000001</v>
      </c>
      <c r="O47" s="147">
        <v>4.2999999999999997E-2</v>
      </c>
      <c r="P47" s="150">
        <v>0.17799999999999999</v>
      </c>
      <c r="Q47" s="171">
        <v>0.37</v>
      </c>
      <c r="R47" s="147">
        <v>3.9E-2</v>
      </c>
      <c r="S47" s="147">
        <v>3.7999999999999999E-2</v>
      </c>
      <c r="T47" s="147">
        <v>0.04</v>
      </c>
      <c r="U47" s="150">
        <v>0.11699999999999999</v>
      </c>
      <c r="V47" s="186">
        <v>0.48699999999999999</v>
      </c>
    </row>
    <row r="48" spans="2:22" ht="15.75">
      <c r="C48" s="144" t="s">
        <v>58</v>
      </c>
      <c r="D48" s="147">
        <v>2.1000000000000001E-2</v>
      </c>
      <c r="E48" s="147">
        <v>3.3000000000000002E-2</v>
      </c>
      <c r="F48" s="147">
        <v>2.7E-2</v>
      </c>
      <c r="G48" s="150">
        <v>8.1000000000000003E-2</v>
      </c>
      <c r="H48" s="147">
        <v>0.03</v>
      </c>
      <c r="I48" s="147">
        <v>3.7999999999999999E-2</v>
      </c>
      <c r="J48" s="147">
        <v>3.1E-2</v>
      </c>
      <c r="K48" s="150">
        <v>9.9000000000000005E-2</v>
      </c>
      <c r="L48" s="171">
        <v>0.18</v>
      </c>
      <c r="M48" s="147">
        <v>2.8000000000000001E-2</v>
      </c>
      <c r="N48" s="147">
        <v>2.8000000000000001E-2</v>
      </c>
      <c r="O48" s="147">
        <v>3.9E-2</v>
      </c>
      <c r="P48" s="150">
        <v>9.5000000000000001E-2</v>
      </c>
      <c r="Q48" s="171">
        <v>0.27500000000000002</v>
      </c>
      <c r="R48" s="147">
        <v>3.4000000000000002E-2</v>
      </c>
      <c r="S48" s="147">
        <v>2.5000000000000001E-2</v>
      </c>
      <c r="T48" s="147">
        <v>3.2000000000000001E-2</v>
      </c>
      <c r="U48" s="150">
        <v>9.0999999999999998E-2</v>
      </c>
      <c r="V48" s="186">
        <v>0.36599999999999999</v>
      </c>
    </row>
    <row r="49" spans="3:22" ht="15.75">
      <c r="C49" s="144" t="s">
        <v>59</v>
      </c>
      <c r="D49" s="147">
        <v>8.9999999999999993E-3</v>
      </c>
      <c r="E49" s="147">
        <v>8.9999999999999993E-3</v>
      </c>
      <c r="F49" s="147">
        <v>0.01</v>
      </c>
      <c r="G49" s="150">
        <v>2.7999999999999997E-2</v>
      </c>
      <c r="H49" s="147">
        <v>8.9999999999999993E-3</v>
      </c>
      <c r="I49" s="147">
        <v>0.01</v>
      </c>
      <c r="J49" s="147">
        <v>8.0000000000000002E-3</v>
      </c>
      <c r="K49" s="150">
        <v>2.7E-2</v>
      </c>
      <c r="L49" s="171">
        <v>5.4999999999999993E-2</v>
      </c>
      <c r="M49" s="147">
        <v>0.01</v>
      </c>
      <c r="N49" s="147">
        <v>8.9999999999999993E-3</v>
      </c>
      <c r="O49" s="147">
        <v>8.9999999999999993E-3</v>
      </c>
      <c r="P49" s="150">
        <v>2.7999999999999997E-2</v>
      </c>
      <c r="Q49" s="171">
        <v>8.299999999999999E-2</v>
      </c>
      <c r="R49" s="147">
        <v>0.01</v>
      </c>
      <c r="S49" s="147">
        <v>8.9999999999999993E-3</v>
      </c>
      <c r="T49" s="147">
        <v>0.01</v>
      </c>
      <c r="U49" s="150">
        <v>2.8999999999999998E-2</v>
      </c>
      <c r="V49" s="186">
        <v>0.11199999999999999</v>
      </c>
    </row>
    <row r="50" spans="3:22" ht="15.75">
      <c r="C50" s="144" t="s">
        <v>63</v>
      </c>
      <c r="D50" s="147">
        <v>7.9000000000000001E-2</v>
      </c>
      <c r="E50" s="147">
        <v>7.0999999999999994E-2</v>
      </c>
      <c r="F50" s="147">
        <v>7.8E-2</v>
      </c>
      <c r="G50" s="150">
        <v>0.22799999999999998</v>
      </c>
      <c r="H50" s="147">
        <v>7.6999999999999999E-2</v>
      </c>
      <c r="I50" s="147">
        <v>7.3999999999999996E-2</v>
      </c>
      <c r="J50" s="147">
        <v>7.3999999999999996E-2</v>
      </c>
      <c r="K50" s="150">
        <v>0.22499999999999998</v>
      </c>
      <c r="L50" s="171">
        <v>0.45299999999999996</v>
      </c>
      <c r="M50" s="147">
        <v>6.8000000000000005E-2</v>
      </c>
      <c r="N50" s="147">
        <v>6.3E-2</v>
      </c>
      <c r="O50" s="147">
        <v>5.6000000000000001E-2</v>
      </c>
      <c r="P50" s="150">
        <v>0.187</v>
      </c>
      <c r="Q50" s="171">
        <v>0.6399999999999999</v>
      </c>
      <c r="R50" s="147">
        <v>7.0000000000000007E-2</v>
      </c>
      <c r="S50" s="147">
        <v>5.7000000000000002E-2</v>
      </c>
      <c r="T50" s="147">
        <v>6.0999999999999999E-2</v>
      </c>
      <c r="U50" s="150">
        <v>0.188</v>
      </c>
      <c r="V50" s="186">
        <v>0.82799999999999996</v>
      </c>
    </row>
    <row r="51" spans="3:22" ht="15.75">
      <c r="C51" s="144" t="s">
        <v>64</v>
      </c>
      <c r="D51" s="147">
        <v>4.0000000000000001E-3</v>
      </c>
      <c r="E51" s="147">
        <v>4.0000000000000001E-3</v>
      </c>
      <c r="F51" s="147">
        <v>5.0000000000000001E-3</v>
      </c>
      <c r="G51" s="150">
        <v>1.3000000000000001E-2</v>
      </c>
      <c r="H51" s="147">
        <v>4.0000000000000001E-3</v>
      </c>
      <c r="I51" s="147">
        <v>4.0000000000000001E-3</v>
      </c>
      <c r="J51" s="147">
        <v>4.0000000000000001E-3</v>
      </c>
      <c r="K51" s="150">
        <v>1.2E-2</v>
      </c>
      <c r="L51" s="171">
        <v>2.5000000000000001E-2</v>
      </c>
      <c r="M51" s="147">
        <v>4.0000000000000001E-3</v>
      </c>
      <c r="N51" s="147">
        <v>4.0000000000000001E-3</v>
      </c>
      <c r="O51" s="147">
        <v>4.0000000000000001E-3</v>
      </c>
      <c r="P51" s="150">
        <v>1.2E-2</v>
      </c>
      <c r="Q51" s="171">
        <v>3.7000000000000005E-2</v>
      </c>
      <c r="R51" s="147">
        <v>4.0000000000000001E-3</v>
      </c>
      <c r="S51" s="147">
        <v>3.0000000000000001E-3</v>
      </c>
      <c r="T51" s="147">
        <v>4.0000000000000001E-3</v>
      </c>
      <c r="U51" s="150">
        <v>1.0999999999999999E-2</v>
      </c>
      <c r="V51" s="186">
        <v>4.8000000000000001E-2</v>
      </c>
    </row>
    <row r="52" spans="3:22" ht="15.75">
      <c r="C52" s="144" t="s">
        <v>65</v>
      </c>
      <c r="D52" s="147">
        <v>7.0000000000000001E-3</v>
      </c>
      <c r="E52" s="147">
        <v>8.0000000000000002E-3</v>
      </c>
      <c r="F52" s="147">
        <v>7.0000000000000001E-3</v>
      </c>
      <c r="G52" s="150">
        <v>2.1999999999999999E-2</v>
      </c>
      <c r="H52" s="147">
        <v>8.0000000000000002E-3</v>
      </c>
      <c r="I52" s="147">
        <v>7.0000000000000001E-3</v>
      </c>
      <c r="J52" s="147">
        <v>8.0000000000000002E-3</v>
      </c>
      <c r="K52" s="150">
        <v>2.3E-2</v>
      </c>
      <c r="L52" s="171">
        <v>4.4999999999999998E-2</v>
      </c>
      <c r="M52" s="147">
        <v>8.0000000000000002E-3</v>
      </c>
      <c r="N52" s="147">
        <v>8.0000000000000002E-3</v>
      </c>
      <c r="O52" s="147">
        <v>8.0000000000000002E-3</v>
      </c>
      <c r="P52" s="150">
        <v>2.4E-2</v>
      </c>
      <c r="Q52" s="171">
        <v>6.9000000000000006E-2</v>
      </c>
      <c r="R52" s="147">
        <v>8.0000000000000002E-3</v>
      </c>
      <c r="S52" s="147">
        <v>7.0000000000000001E-3</v>
      </c>
      <c r="T52" s="147">
        <v>8.9999999999999993E-3</v>
      </c>
      <c r="U52" s="150">
        <v>2.4E-2</v>
      </c>
      <c r="V52" s="186">
        <v>9.2999999999999999E-2</v>
      </c>
    </row>
    <row r="53" spans="3:22" ht="15.75">
      <c r="C53" s="144" t="s">
        <v>66</v>
      </c>
      <c r="D53" s="147">
        <v>6.4000000000000001E-2</v>
      </c>
      <c r="E53" s="147">
        <v>3.5999999999999997E-2</v>
      </c>
      <c r="F53" s="147">
        <v>6.4000000000000001E-2</v>
      </c>
      <c r="G53" s="150">
        <v>0.16400000000000001</v>
      </c>
      <c r="H53" s="147">
        <v>6.8000000000000005E-2</v>
      </c>
      <c r="I53" s="147">
        <v>6.9000000000000006E-2</v>
      </c>
      <c r="J53" s="147">
        <v>6.6000000000000003E-2</v>
      </c>
      <c r="K53" s="150">
        <v>0.20300000000000001</v>
      </c>
      <c r="L53" s="171">
        <v>0.36699999999999999</v>
      </c>
      <c r="M53" s="147">
        <v>6.7000000000000004E-2</v>
      </c>
      <c r="N53" s="147">
        <v>6.5000000000000002E-2</v>
      </c>
      <c r="O53" s="147">
        <v>7.0000000000000007E-2</v>
      </c>
      <c r="P53" s="150">
        <v>0.20200000000000001</v>
      </c>
      <c r="Q53" s="171">
        <v>0.56899999999999995</v>
      </c>
      <c r="R53" s="147">
        <v>6.7000000000000004E-2</v>
      </c>
      <c r="S53" s="147">
        <v>6.0999999999999999E-2</v>
      </c>
      <c r="T53" s="147">
        <v>6.3E-2</v>
      </c>
      <c r="U53" s="150">
        <v>0.191</v>
      </c>
      <c r="V53" s="186">
        <v>0.76</v>
      </c>
    </row>
    <row r="54" spans="3:22" ht="15.75">
      <c r="C54" s="144" t="s">
        <v>67</v>
      </c>
      <c r="D54" s="147">
        <v>5.2999999999999999E-2</v>
      </c>
      <c r="E54" s="147">
        <v>5.7000000000000002E-2</v>
      </c>
      <c r="F54" s="147">
        <v>5.0999999999999997E-2</v>
      </c>
      <c r="G54" s="150">
        <v>0.161</v>
      </c>
      <c r="H54" s="147">
        <v>5.3999999999999999E-2</v>
      </c>
      <c r="I54" s="147">
        <v>5.2999999999999999E-2</v>
      </c>
      <c r="J54" s="147">
        <v>0.05</v>
      </c>
      <c r="K54" s="150">
        <v>0.157</v>
      </c>
      <c r="L54" s="171">
        <v>0.318</v>
      </c>
      <c r="M54" s="147">
        <v>5.0999999999999997E-2</v>
      </c>
      <c r="N54" s="147">
        <v>5.0999999999999997E-2</v>
      </c>
      <c r="O54" s="147">
        <v>5.3999999999999999E-2</v>
      </c>
      <c r="P54" s="150">
        <v>0.156</v>
      </c>
      <c r="Q54" s="171">
        <v>0.47399999999999998</v>
      </c>
      <c r="R54" s="147">
        <v>5.5E-2</v>
      </c>
      <c r="S54" s="147">
        <v>4.7E-2</v>
      </c>
      <c r="T54" s="147">
        <v>5.3999999999999999E-2</v>
      </c>
      <c r="U54" s="150">
        <v>0.156</v>
      </c>
      <c r="V54" s="186">
        <v>0.63</v>
      </c>
    </row>
    <row r="55" spans="3:22" ht="15.75">
      <c r="C55" s="144" t="s">
        <v>68</v>
      </c>
      <c r="D55" s="147">
        <v>1.2999999999999999E-2</v>
      </c>
      <c r="E55" s="147">
        <v>1.7000000000000001E-2</v>
      </c>
      <c r="F55" s="147">
        <v>1.4E-2</v>
      </c>
      <c r="G55" s="150">
        <v>4.3999999999999997E-2</v>
      </c>
      <c r="H55" s="147">
        <v>1.4999999999999999E-2</v>
      </c>
      <c r="I55" s="147">
        <v>1.2999999999999999E-2</v>
      </c>
      <c r="J55" s="147">
        <v>8.9999999999999993E-3</v>
      </c>
      <c r="K55" s="150">
        <v>3.6999999999999998E-2</v>
      </c>
      <c r="L55" s="171">
        <v>8.0999999999999989E-2</v>
      </c>
      <c r="M55" s="147">
        <v>1.0999999999999999E-2</v>
      </c>
      <c r="N55" s="147">
        <v>1.2E-2</v>
      </c>
      <c r="O55" s="147">
        <v>1.2E-2</v>
      </c>
      <c r="P55" s="150">
        <v>3.5000000000000003E-2</v>
      </c>
      <c r="Q55" s="171">
        <v>0.11599999999999999</v>
      </c>
      <c r="R55" s="147">
        <v>1.0999999999999999E-2</v>
      </c>
      <c r="S55" s="147">
        <v>0.01</v>
      </c>
      <c r="T55" s="147">
        <v>0.01</v>
      </c>
      <c r="U55" s="150">
        <v>3.1E-2</v>
      </c>
      <c r="V55" s="186">
        <v>0.14699999999999999</v>
      </c>
    </row>
    <row r="56" spans="3:22" ht="15.75">
      <c r="C56" s="144" t="s">
        <v>69</v>
      </c>
      <c r="D56" s="147">
        <v>0</v>
      </c>
      <c r="E56" s="147">
        <v>0</v>
      </c>
      <c r="F56" s="147">
        <v>1E-3</v>
      </c>
      <c r="G56" s="150">
        <v>1E-3</v>
      </c>
      <c r="H56" s="147">
        <v>0</v>
      </c>
      <c r="I56" s="147">
        <v>0</v>
      </c>
      <c r="J56" s="147">
        <v>0</v>
      </c>
      <c r="K56" s="150">
        <v>0</v>
      </c>
      <c r="L56" s="171">
        <v>1E-3</v>
      </c>
      <c r="M56" s="147">
        <v>0</v>
      </c>
      <c r="N56" s="147">
        <v>0</v>
      </c>
      <c r="O56" s="147">
        <v>0</v>
      </c>
      <c r="P56" s="150">
        <v>0</v>
      </c>
      <c r="Q56" s="171">
        <v>1E-3</v>
      </c>
      <c r="R56" s="147">
        <v>0</v>
      </c>
      <c r="S56" s="147">
        <v>1E-3</v>
      </c>
      <c r="T56" s="147">
        <v>0</v>
      </c>
      <c r="U56" s="150">
        <v>1E-3</v>
      </c>
      <c r="V56" s="186">
        <v>2E-3</v>
      </c>
    </row>
    <row r="57" spans="3:22" ht="15.75">
      <c r="C57" s="144" t="s">
        <v>70</v>
      </c>
      <c r="D57" s="147">
        <v>0</v>
      </c>
      <c r="E57" s="147">
        <v>0</v>
      </c>
      <c r="F57" s="147">
        <v>0</v>
      </c>
      <c r="G57" s="150">
        <v>0</v>
      </c>
      <c r="H57" s="147">
        <v>0</v>
      </c>
      <c r="I57" s="147">
        <v>0</v>
      </c>
      <c r="J57" s="147">
        <v>0</v>
      </c>
      <c r="K57" s="150">
        <v>0</v>
      </c>
      <c r="L57" s="171">
        <v>0</v>
      </c>
      <c r="M57" s="147">
        <v>0</v>
      </c>
      <c r="N57" s="147">
        <v>0</v>
      </c>
      <c r="O57" s="147">
        <v>0</v>
      </c>
      <c r="P57" s="150">
        <v>0</v>
      </c>
      <c r="Q57" s="171">
        <v>0</v>
      </c>
      <c r="R57" s="147">
        <v>0</v>
      </c>
      <c r="S57" s="147">
        <v>0</v>
      </c>
      <c r="T57" s="147">
        <v>0</v>
      </c>
      <c r="U57" s="150">
        <v>0</v>
      </c>
      <c r="V57" s="186">
        <v>0</v>
      </c>
    </row>
    <row r="58" spans="3:22" ht="15.75">
      <c r="C58" s="145" t="s">
        <v>92</v>
      </c>
      <c r="D58" s="158">
        <v>0.60400000000000009</v>
      </c>
      <c r="E58" s="158">
        <v>0.58800000000000008</v>
      </c>
      <c r="F58" s="158">
        <v>0.60100000000000009</v>
      </c>
      <c r="G58" s="185">
        <v>1.7929999999999999</v>
      </c>
      <c r="H58" s="158">
        <v>0.62200000000000011</v>
      </c>
      <c r="I58" s="158">
        <v>0.60699999999999998</v>
      </c>
      <c r="J58" s="158">
        <v>0.59000000000000008</v>
      </c>
      <c r="K58" s="185">
        <v>1.819</v>
      </c>
      <c r="L58" s="186">
        <v>3.6120000000000001</v>
      </c>
      <c r="M58" s="158">
        <v>0.59500000000000008</v>
      </c>
      <c r="N58" s="158">
        <v>0.65200000000000002</v>
      </c>
      <c r="O58" s="158">
        <v>0.62000000000000011</v>
      </c>
      <c r="P58" s="185">
        <v>1.8669999999999998</v>
      </c>
      <c r="Q58" s="186">
        <v>5.4790000000000001</v>
      </c>
      <c r="R58" s="158">
        <v>0.63300000000000001</v>
      </c>
      <c r="S58" s="158">
        <v>0.55200000000000005</v>
      </c>
      <c r="T58" s="158">
        <v>0.60100000000000009</v>
      </c>
      <c r="U58" s="185">
        <v>1.7859999999999996</v>
      </c>
      <c r="V58" s="186">
        <v>7.2649999999999997</v>
      </c>
    </row>
    <row r="61" spans="3:22">
      <c r="C61" s="1319" t="s">
        <v>91</v>
      </c>
      <c r="D61" s="1320" t="s">
        <v>91</v>
      </c>
      <c r="E61" s="1320"/>
      <c r="F61" s="1320"/>
      <c r="G61" s="1320"/>
      <c r="H61" s="1320"/>
      <c r="I61" s="1320"/>
      <c r="J61" s="1320"/>
      <c r="K61" s="1320"/>
      <c r="L61" s="1320"/>
      <c r="M61" s="1320"/>
      <c r="N61" s="1320"/>
      <c r="O61" s="1320"/>
      <c r="P61" s="1320"/>
      <c r="Q61" s="1320"/>
      <c r="R61" s="1320"/>
      <c r="S61" s="1320"/>
      <c r="T61" s="1320"/>
      <c r="U61" s="1320"/>
      <c r="V61" s="1321"/>
    </row>
    <row r="62" spans="3:22">
      <c r="C62" s="144"/>
      <c r="D62" s="144" t="s">
        <v>30</v>
      </c>
      <c r="E62" s="144" t="s">
        <v>71</v>
      </c>
      <c r="F62" s="144" t="s">
        <v>72</v>
      </c>
      <c r="G62" s="148" t="s">
        <v>82</v>
      </c>
      <c r="H62" s="144" t="s">
        <v>73</v>
      </c>
      <c r="I62" s="144" t="s">
        <v>74</v>
      </c>
      <c r="J62" s="144" t="s">
        <v>75</v>
      </c>
      <c r="K62" s="148" t="s">
        <v>83</v>
      </c>
      <c r="L62" s="170" t="s">
        <v>39</v>
      </c>
      <c r="M62" s="144" t="s">
        <v>76</v>
      </c>
      <c r="N62" s="144" t="s">
        <v>77</v>
      </c>
      <c r="O62" s="144" t="s">
        <v>78</v>
      </c>
      <c r="P62" s="148" t="s">
        <v>84</v>
      </c>
      <c r="Q62" s="170" t="s">
        <v>85</v>
      </c>
      <c r="R62" s="144" t="s">
        <v>79</v>
      </c>
      <c r="S62" s="144" t="s">
        <v>80</v>
      </c>
      <c r="T62" s="144" t="s">
        <v>81</v>
      </c>
      <c r="U62" s="148" t="s">
        <v>86</v>
      </c>
      <c r="V62" s="320" t="s">
        <v>87</v>
      </c>
    </row>
    <row r="63" spans="3:22" ht="15.75">
      <c r="C63" s="144" t="s">
        <v>60</v>
      </c>
      <c r="D63" s="923">
        <v>0.06</v>
      </c>
      <c r="E63" s="923">
        <v>4.7E-2</v>
      </c>
      <c r="F63" s="923">
        <v>4.1000000000000002E-2</v>
      </c>
      <c r="G63" s="924">
        <v>0.14799999999999999</v>
      </c>
      <c r="H63" s="923">
        <v>4.2999999999999997E-2</v>
      </c>
      <c r="I63" s="923">
        <v>3.9E-2</v>
      </c>
      <c r="J63" s="923">
        <v>4.3999999999999997E-2</v>
      </c>
      <c r="K63" s="924">
        <v>0.126</v>
      </c>
      <c r="L63" s="925">
        <v>0.27400000000000002</v>
      </c>
      <c r="M63" s="923">
        <v>6.6000000000000003E-2</v>
      </c>
      <c r="N63" s="923">
        <v>6.7000000000000004E-2</v>
      </c>
      <c r="O63" s="923">
        <v>8.1000000000000003E-2</v>
      </c>
      <c r="P63" s="924">
        <v>0.21400000000000002</v>
      </c>
      <c r="Q63" s="925">
        <v>0.48800000000000004</v>
      </c>
      <c r="R63" s="923">
        <v>7.1999999999999995E-2</v>
      </c>
      <c r="S63" s="923">
        <v>6.9000000000000006E-2</v>
      </c>
      <c r="T63" s="923">
        <v>7.3999999999999996E-2</v>
      </c>
      <c r="U63" s="924">
        <v>0.21500000000000002</v>
      </c>
      <c r="V63" s="926">
        <v>0.70300000000000007</v>
      </c>
    </row>
    <row r="64" spans="3:22" ht="15.75">
      <c r="C64" s="144" t="s">
        <v>61</v>
      </c>
      <c r="D64" s="923">
        <v>8.1000000000000003E-2</v>
      </c>
      <c r="E64" s="923">
        <v>8.4000000000000005E-2</v>
      </c>
      <c r="F64" s="923">
        <v>8.3000000000000004E-2</v>
      </c>
      <c r="G64" s="924">
        <v>0.248</v>
      </c>
      <c r="H64" s="923">
        <v>7.2999999999999995E-2</v>
      </c>
      <c r="I64" s="923">
        <v>8.7999999999999995E-2</v>
      </c>
      <c r="J64" s="923">
        <v>8.7999999999999995E-2</v>
      </c>
      <c r="K64" s="924">
        <v>0.24899999999999997</v>
      </c>
      <c r="L64" s="925">
        <v>0.497</v>
      </c>
      <c r="M64" s="923">
        <v>0.09</v>
      </c>
      <c r="N64" s="923">
        <v>8.6999999999999994E-2</v>
      </c>
      <c r="O64" s="923">
        <v>9.4E-2</v>
      </c>
      <c r="P64" s="924">
        <v>0.27100000000000002</v>
      </c>
      <c r="Q64" s="925">
        <v>0.76800000000000002</v>
      </c>
      <c r="R64" s="923">
        <v>0.09</v>
      </c>
      <c r="S64" s="923">
        <v>8.3000000000000004E-2</v>
      </c>
      <c r="T64" s="923">
        <v>9.0999999999999998E-2</v>
      </c>
      <c r="U64" s="924">
        <v>0.26400000000000001</v>
      </c>
      <c r="V64" s="926">
        <v>1.032</v>
      </c>
    </row>
    <row r="65" spans="3:22" ht="15.75">
      <c r="C65" s="144" t="s">
        <v>62</v>
      </c>
      <c r="D65" s="923">
        <v>8.9999999999999993E-3</v>
      </c>
      <c r="E65" s="923">
        <v>7.0000000000000001E-3</v>
      </c>
      <c r="F65" s="923">
        <v>2E-3</v>
      </c>
      <c r="G65" s="924">
        <v>1.8000000000000002E-2</v>
      </c>
      <c r="H65" s="923">
        <v>8.9999999999999993E-3</v>
      </c>
      <c r="I65" s="923">
        <v>8.9999999999999993E-3</v>
      </c>
      <c r="J65" s="923">
        <v>7.0000000000000001E-3</v>
      </c>
      <c r="K65" s="924">
        <v>2.4999999999999998E-2</v>
      </c>
      <c r="L65" s="925">
        <v>4.2999999999999997E-2</v>
      </c>
      <c r="M65" s="923">
        <v>8.0000000000000002E-3</v>
      </c>
      <c r="N65" s="923">
        <v>8.0000000000000002E-3</v>
      </c>
      <c r="O65" s="923">
        <v>8.9999999999999993E-3</v>
      </c>
      <c r="P65" s="924">
        <v>2.5000000000000001E-2</v>
      </c>
      <c r="Q65" s="925">
        <v>6.8000000000000005E-2</v>
      </c>
      <c r="R65" s="923">
        <v>8.9999999999999993E-3</v>
      </c>
      <c r="S65" s="923">
        <v>8.0000000000000002E-3</v>
      </c>
      <c r="T65" s="923">
        <v>8.0000000000000002E-3</v>
      </c>
      <c r="U65" s="924">
        <v>2.5000000000000001E-2</v>
      </c>
      <c r="V65" s="926">
        <v>9.2999999999999999E-2</v>
      </c>
    </row>
    <row r="66" spans="3:22" ht="15.75">
      <c r="C66" s="144" t="s">
        <v>57</v>
      </c>
      <c r="D66" s="923">
        <v>6.0000000000000001E-3</v>
      </c>
      <c r="E66" s="923">
        <v>6.0000000000000001E-3</v>
      </c>
      <c r="F66" s="923">
        <v>6.0000000000000001E-3</v>
      </c>
      <c r="G66" s="924">
        <v>1.8000000000000002E-2</v>
      </c>
      <c r="H66" s="923">
        <v>7.0000000000000001E-3</v>
      </c>
      <c r="I66" s="923">
        <v>7.0000000000000001E-3</v>
      </c>
      <c r="J66" s="923">
        <v>7.0000000000000001E-3</v>
      </c>
      <c r="K66" s="924">
        <v>2.1000000000000001E-2</v>
      </c>
      <c r="L66" s="925">
        <v>3.9000000000000007E-2</v>
      </c>
      <c r="M66" s="923">
        <v>7.0000000000000001E-3</v>
      </c>
      <c r="N66" s="923">
        <v>2.1999999999999999E-2</v>
      </c>
      <c r="O66" s="923">
        <v>1.2E-2</v>
      </c>
      <c r="P66" s="924">
        <v>4.0999999999999995E-2</v>
      </c>
      <c r="Q66" s="925">
        <v>0.08</v>
      </c>
      <c r="R66" s="923">
        <v>1.2999999999999999E-2</v>
      </c>
      <c r="S66" s="923">
        <v>1.0999999999999999E-2</v>
      </c>
      <c r="T66" s="923">
        <v>1.2E-2</v>
      </c>
      <c r="U66" s="924">
        <v>3.6000000000000004E-2</v>
      </c>
      <c r="V66" s="926">
        <v>0.11600000000000001</v>
      </c>
    </row>
    <row r="67" spans="3:22" ht="15.75">
      <c r="C67" s="144" t="s">
        <v>58</v>
      </c>
      <c r="D67" s="923">
        <v>1E-3</v>
      </c>
      <c r="E67" s="923">
        <v>2E-3</v>
      </c>
      <c r="F67" s="923">
        <v>2E-3</v>
      </c>
      <c r="G67" s="924">
        <v>5.0000000000000001E-3</v>
      </c>
      <c r="H67" s="923">
        <v>3.0000000000000001E-3</v>
      </c>
      <c r="I67" s="923">
        <v>3.0000000000000001E-3</v>
      </c>
      <c r="J67" s="923">
        <v>2E-3</v>
      </c>
      <c r="K67" s="924">
        <v>8.0000000000000002E-3</v>
      </c>
      <c r="L67" s="925">
        <v>1.3000000000000001E-2</v>
      </c>
      <c r="M67" s="923">
        <v>2E-3</v>
      </c>
      <c r="N67" s="923">
        <v>2E-3</v>
      </c>
      <c r="O67" s="923">
        <v>3.0000000000000001E-3</v>
      </c>
      <c r="P67" s="924">
        <v>7.0000000000000001E-3</v>
      </c>
      <c r="Q67" s="925">
        <v>0.02</v>
      </c>
      <c r="R67" s="923">
        <v>3.0000000000000001E-3</v>
      </c>
      <c r="S67" s="923">
        <v>2E-3</v>
      </c>
      <c r="T67" s="923">
        <v>2E-3</v>
      </c>
      <c r="U67" s="924">
        <v>7.0000000000000001E-3</v>
      </c>
      <c r="V67" s="926">
        <v>2.7E-2</v>
      </c>
    </row>
    <row r="68" spans="3:22" ht="15.75">
      <c r="C68" s="144" t="s">
        <v>59</v>
      </c>
      <c r="D68" s="923">
        <v>0</v>
      </c>
      <c r="E68" s="923">
        <v>0</v>
      </c>
      <c r="F68" s="923">
        <v>1E-3</v>
      </c>
      <c r="G68" s="924">
        <v>1E-3</v>
      </c>
      <c r="H68" s="923">
        <v>0</v>
      </c>
      <c r="I68" s="923">
        <v>0</v>
      </c>
      <c r="J68" s="923">
        <v>1E-3</v>
      </c>
      <c r="K68" s="924">
        <v>1E-3</v>
      </c>
      <c r="L68" s="925">
        <v>2E-3</v>
      </c>
      <c r="M68" s="923">
        <v>0</v>
      </c>
      <c r="N68" s="923">
        <v>1E-3</v>
      </c>
      <c r="O68" s="923">
        <v>0</v>
      </c>
      <c r="P68" s="924">
        <v>1E-3</v>
      </c>
      <c r="Q68" s="925">
        <v>3.0000000000000001E-3</v>
      </c>
      <c r="R68" s="923">
        <v>1E-3</v>
      </c>
      <c r="S68" s="923">
        <v>0</v>
      </c>
      <c r="T68" s="923">
        <v>0</v>
      </c>
      <c r="U68" s="924">
        <v>1E-3</v>
      </c>
      <c r="V68" s="926">
        <v>4.0000000000000001E-3</v>
      </c>
    </row>
    <row r="69" spans="3:22" ht="15.75">
      <c r="C69" s="144" t="s">
        <v>63</v>
      </c>
      <c r="D69" s="923">
        <v>0</v>
      </c>
      <c r="E69" s="923">
        <v>0</v>
      </c>
      <c r="F69" s="923">
        <v>0</v>
      </c>
      <c r="G69" s="924">
        <v>0</v>
      </c>
      <c r="H69" s="923">
        <v>0</v>
      </c>
      <c r="I69" s="923">
        <v>0</v>
      </c>
      <c r="J69" s="923">
        <v>0</v>
      </c>
      <c r="K69" s="924">
        <v>0</v>
      </c>
      <c r="L69" s="925">
        <v>0</v>
      </c>
      <c r="M69" s="923">
        <v>0</v>
      </c>
      <c r="N69" s="923">
        <v>1E-3</v>
      </c>
      <c r="O69" s="923">
        <v>0</v>
      </c>
      <c r="P69" s="924">
        <v>1E-3</v>
      </c>
      <c r="Q69" s="925">
        <v>1E-3</v>
      </c>
      <c r="R69" s="923">
        <v>0</v>
      </c>
      <c r="S69" s="923">
        <v>0</v>
      </c>
      <c r="T69" s="923">
        <v>0</v>
      </c>
      <c r="U69" s="924">
        <v>0</v>
      </c>
      <c r="V69" s="926">
        <v>1E-3</v>
      </c>
    </row>
    <row r="70" spans="3:22" ht="15.75">
      <c r="C70" s="144" t="s">
        <v>64</v>
      </c>
      <c r="D70" s="923">
        <v>1E-3</v>
      </c>
      <c r="E70" s="923">
        <v>1E-3</v>
      </c>
      <c r="F70" s="923">
        <v>1E-3</v>
      </c>
      <c r="G70" s="924">
        <v>3.0000000000000001E-3</v>
      </c>
      <c r="H70" s="923">
        <v>1E-3</v>
      </c>
      <c r="I70" s="923">
        <v>1E-3</v>
      </c>
      <c r="J70" s="923">
        <v>0</v>
      </c>
      <c r="K70" s="924">
        <v>2E-3</v>
      </c>
      <c r="L70" s="925">
        <v>5.0000000000000001E-3</v>
      </c>
      <c r="M70" s="923">
        <v>1E-3</v>
      </c>
      <c r="N70" s="923">
        <v>1E-3</v>
      </c>
      <c r="O70" s="923">
        <v>1E-3</v>
      </c>
      <c r="P70" s="924">
        <v>3.0000000000000001E-3</v>
      </c>
      <c r="Q70" s="925">
        <v>8.0000000000000002E-3</v>
      </c>
      <c r="R70" s="923">
        <v>0</v>
      </c>
      <c r="S70" s="923">
        <v>1E-3</v>
      </c>
      <c r="T70" s="923">
        <v>0</v>
      </c>
      <c r="U70" s="924">
        <v>1E-3</v>
      </c>
      <c r="V70" s="926">
        <v>9.0000000000000011E-3</v>
      </c>
    </row>
    <row r="71" spans="3:22" ht="15.75">
      <c r="C71" s="144" t="s">
        <v>65</v>
      </c>
      <c r="D71" s="923">
        <v>1E-3</v>
      </c>
      <c r="E71" s="923">
        <v>1E-3</v>
      </c>
      <c r="F71" s="923">
        <v>1E-3</v>
      </c>
      <c r="G71" s="924">
        <v>3.0000000000000001E-3</v>
      </c>
      <c r="H71" s="923">
        <v>2E-3</v>
      </c>
      <c r="I71" s="923">
        <v>1E-3</v>
      </c>
      <c r="J71" s="923">
        <v>1E-3</v>
      </c>
      <c r="K71" s="924">
        <v>4.0000000000000001E-3</v>
      </c>
      <c r="L71" s="925">
        <v>7.0000000000000001E-3</v>
      </c>
      <c r="M71" s="923">
        <v>2E-3</v>
      </c>
      <c r="N71" s="923">
        <v>1E-3</v>
      </c>
      <c r="O71" s="923">
        <v>2E-3</v>
      </c>
      <c r="P71" s="924">
        <v>5.0000000000000001E-3</v>
      </c>
      <c r="Q71" s="925">
        <v>1.2E-2</v>
      </c>
      <c r="R71" s="923">
        <v>2E-3</v>
      </c>
      <c r="S71" s="923">
        <v>1E-3</v>
      </c>
      <c r="T71" s="923">
        <v>2E-3</v>
      </c>
      <c r="U71" s="924">
        <v>5.0000000000000001E-3</v>
      </c>
      <c r="V71" s="926">
        <v>1.7000000000000001E-2</v>
      </c>
    </row>
    <row r="72" spans="3:22" ht="15.75">
      <c r="C72" s="144" t="s">
        <v>66</v>
      </c>
      <c r="D72" s="923">
        <v>0</v>
      </c>
      <c r="E72" s="923">
        <v>0</v>
      </c>
      <c r="F72" s="923">
        <v>0</v>
      </c>
      <c r="G72" s="924">
        <v>0</v>
      </c>
      <c r="H72" s="923">
        <v>0</v>
      </c>
      <c r="I72" s="923">
        <v>0</v>
      </c>
      <c r="J72" s="923">
        <v>0</v>
      </c>
      <c r="K72" s="924">
        <v>0</v>
      </c>
      <c r="L72" s="925">
        <v>0</v>
      </c>
      <c r="M72" s="923">
        <v>0</v>
      </c>
      <c r="N72" s="923">
        <v>0</v>
      </c>
      <c r="O72" s="923">
        <v>0</v>
      </c>
      <c r="P72" s="924">
        <v>0</v>
      </c>
      <c r="Q72" s="925">
        <v>0</v>
      </c>
      <c r="R72" s="923">
        <v>0</v>
      </c>
      <c r="S72" s="923">
        <v>0</v>
      </c>
      <c r="T72" s="923">
        <v>0</v>
      </c>
      <c r="U72" s="924">
        <v>0</v>
      </c>
      <c r="V72" s="926">
        <v>0</v>
      </c>
    </row>
    <row r="73" spans="3:22" ht="15.75">
      <c r="C73" s="144" t="s">
        <v>67</v>
      </c>
      <c r="D73" s="923">
        <v>0</v>
      </c>
      <c r="E73" s="923">
        <v>0</v>
      </c>
      <c r="F73" s="923">
        <v>0</v>
      </c>
      <c r="G73" s="924">
        <v>0</v>
      </c>
      <c r="H73" s="923">
        <v>0</v>
      </c>
      <c r="I73" s="923">
        <v>0</v>
      </c>
      <c r="J73" s="923">
        <v>0</v>
      </c>
      <c r="K73" s="924">
        <v>0</v>
      </c>
      <c r="L73" s="925">
        <v>0</v>
      </c>
      <c r="M73" s="923">
        <v>0</v>
      </c>
      <c r="N73" s="923">
        <v>0</v>
      </c>
      <c r="O73" s="923">
        <v>0</v>
      </c>
      <c r="P73" s="924">
        <v>0</v>
      </c>
      <c r="Q73" s="925">
        <v>0</v>
      </c>
      <c r="R73" s="923">
        <v>0</v>
      </c>
      <c r="S73" s="923">
        <v>0</v>
      </c>
      <c r="T73" s="923">
        <v>0</v>
      </c>
      <c r="U73" s="924">
        <v>0</v>
      </c>
      <c r="V73" s="926">
        <v>0</v>
      </c>
    </row>
    <row r="74" spans="3:22" ht="15.75">
      <c r="C74" s="144" t="s">
        <v>68</v>
      </c>
      <c r="D74" s="923">
        <v>0</v>
      </c>
      <c r="E74" s="923">
        <v>0</v>
      </c>
      <c r="F74" s="923">
        <v>0</v>
      </c>
      <c r="G74" s="924">
        <v>0</v>
      </c>
      <c r="H74" s="923">
        <v>0</v>
      </c>
      <c r="I74" s="923">
        <v>0</v>
      </c>
      <c r="J74" s="923">
        <v>0</v>
      </c>
      <c r="K74" s="924">
        <v>0</v>
      </c>
      <c r="L74" s="925">
        <v>0</v>
      </c>
      <c r="M74" s="923">
        <v>0</v>
      </c>
      <c r="N74" s="923">
        <v>0</v>
      </c>
      <c r="O74" s="923">
        <v>0</v>
      </c>
      <c r="P74" s="924">
        <v>0</v>
      </c>
      <c r="Q74" s="925">
        <v>0</v>
      </c>
      <c r="R74" s="923">
        <v>0</v>
      </c>
      <c r="S74" s="923">
        <v>0</v>
      </c>
      <c r="T74" s="923">
        <v>0</v>
      </c>
      <c r="U74" s="924">
        <v>0</v>
      </c>
      <c r="V74" s="926">
        <v>0</v>
      </c>
    </row>
    <row r="75" spans="3:22" ht="15.75">
      <c r="C75" s="144" t="s">
        <v>69</v>
      </c>
      <c r="D75" s="923">
        <v>2.8000000000000001E-2</v>
      </c>
      <c r="E75" s="923">
        <v>2.7E-2</v>
      </c>
      <c r="F75" s="923">
        <v>2.1999999999999999E-2</v>
      </c>
      <c r="G75" s="924">
        <v>7.6999999999999999E-2</v>
      </c>
      <c r="H75" s="923">
        <v>2.1999999999999999E-2</v>
      </c>
      <c r="I75" s="923">
        <v>1.4999999999999999E-2</v>
      </c>
      <c r="J75" s="923">
        <v>0.01</v>
      </c>
      <c r="K75" s="924">
        <v>4.7E-2</v>
      </c>
      <c r="L75" s="925">
        <v>0.124</v>
      </c>
      <c r="M75" s="923">
        <v>8.0000000000000002E-3</v>
      </c>
      <c r="N75" s="923">
        <v>5.0000000000000001E-3</v>
      </c>
      <c r="O75" s="923">
        <v>6.0000000000000001E-3</v>
      </c>
      <c r="P75" s="924">
        <v>1.9000000000000003E-2</v>
      </c>
      <c r="Q75" s="925">
        <v>0.14300000000000002</v>
      </c>
      <c r="R75" s="923">
        <v>6.0000000000000001E-3</v>
      </c>
      <c r="S75" s="923">
        <v>6.0000000000000001E-3</v>
      </c>
      <c r="T75" s="923">
        <v>4.0000000000000001E-3</v>
      </c>
      <c r="U75" s="924">
        <v>1.6E-2</v>
      </c>
      <c r="V75" s="926">
        <v>0.15900000000000003</v>
      </c>
    </row>
    <row r="76" spans="3:22" ht="15.75">
      <c r="C76" s="144" t="s">
        <v>70</v>
      </c>
      <c r="D76" s="923">
        <v>7.0000000000000007E-2</v>
      </c>
      <c r="E76" s="923">
        <v>7.2999999999999995E-2</v>
      </c>
      <c r="F76" s="923">
        <v>6.5000000000000002E-2</v>
      </c>
      <c r="G76" s="924">
        <v>0.20800000000000002</v>
      </c>
      <c r="H76" s="923">
        <v>7.6999999999999999E-2</v>
      </c>
      <c r="I76" s="923">
        <v>7.3999999999999996E-2</v>
      </c>
      <c r="J76" s="923">
        <v>6.4000000000000001E-2</v>
      </c>
      <c r="K76" s="924">
        <v>0.215</v>
      </c>
      <c r="L76" s="925">
        <v>0.42300000000000004</v>
      </c>
      <c r="M76" s="923">
        <v>6.6000000000000003E-2</v>
      </c>
      <c r="N76" s="923">
        <v>6.3E-2</v>
      </c>
      <c r="O76" s="923">
        <v>7.0999999999999994E-2</v>
      </c>
      <c r="P76" s="924">
        <v>0.2</v>
      </c>
      <c r="Q76" s="925">
        <v>0.623</v>
      </c>
      <c r="R76" s="923">
        <v>8.3000000000000004E-2</v>
      </c>
      <c r="S76" s="923">
        <v>7.5999999999999998E-2</v>
      </c>
      <c r="T76" s="923">
        <v>7.0000000000000007E-2</v>
      </c>
      <c r="U76" s="924">
        <v>0.22900000000000001</v>
      </c>
      <c r="V76" s="926">
        <v>0.85199999999999998</v>
      </c>
    </row>
    <row r="77" spans="3:22" ht="15.75">
      <c r="C77" s="145" t="s">
        <v>92</v>
      </c>
      <c r="D77" s="927">
        <v>0.25700000000000001</v>
      </c>
      <c r="E77" s="927">
        <v>0.248</v>
      </c>
      <c r="F77" s="927">
        <v>0.224</v>
      </c>
      <c r="G77" s="928">
        <v>0.72900000000000009</v>
      </c>
      <c r="H77" s="927">
        <v>0.23699999999999999</v>
      </c>
      <c r="I77" s="927">
        <v>0.23700000000000004</v>
      </c>
      <c r="J77" s="927">
        <v>0.22400000000000003</v>
      </c>
      <c r="K77" s="928">
        <v>0.69800000000000006</v>
      </c>
      <c r="L77" s="926">
        <v>1.427</v>
      </c>
      <c r="M77" s="927">
        <v>0.25</v>
      </c>
      <c r="N77" s="927">
        <v>0.25800000000000001</v>
      </c>
      <c r="O77" s="927">
        <v>0.27900000000000003</v>
      </c>
      <c r="P77" s="928">
        <v>0.78700000000000014</v>
      </c>
      <c r="Q77" s="926">
        <v>2.214</v>
      </c>
      <c r="R77" s="927">
        <v>0.27900000000000003</v>
      </c>
      <c r="S77" s="927">
        <v>0.25700000000000006</v>
      </c>
      <c r="T77" s="927">
        <v>0.26300000000000001</v>
      </c>
      <c r="U77" s="928">
        <v>0.79900000000000004</v>
      </c>
      <c r="V77" s="926">
        <v>3.0129999999999995</v>
      </c>
    </row>
    <row r="82" spans="3:23">
      <c r="C82" s="1325" t="s">
        <v>3</v>
      </c>
      <c r="D82" s="1326"/>
      <c r="E82" s="1326"/>
      <c r="F82" s="1326"/>
      <c r="G82" s="1326"/>
      <c r="H82" s="1326"/>
      <c r="I82" s="1326"/>
      <c r="J82" s="1326"/>
      <c r="K82" s="1326"/>
      <c r="L82" s="1326"/>
      <c r="M82" s="1326"/>
      <c r="N82" s="1326"/>
      <c r="O82" s="1326"/>
      <c r="P82" s="1326"/>
      <c r="Q82" s="1326"/>
      <c r="R82" s="1326"/>
      <c r="S82" s="1326"/>
      <c r="T82" s="1326"/>
      <c r="U82" s="1326"/>
      <c r="V82" s="1327"/>
    </row>
    <row r="83" spans="3:23">
      <c r="C83" s="144"/>
      <c r="D83" s="144" t="s">
        <v>30</v>
      </c>
      <c r="E83" s="144" t="s">
        <v>71</v>
      </c>
      <c r="F83" s="144" t="s">
        <v>72</v>
      </c>
      <c r="G83" s="154" t="s">
        <v>82</v>
      </c>
      <c r="H83" s="144" t="s">
        <v>73</v>
      </c>
      <c r="I83" s="144" t="s">
        <v>74</v>
      </c>
      <c r="J83" s="144" t="s">
        <v>75</v>
      </c>
      <c r="K83" s="154" t="s">
        <v>83</v>
      </c>
      <c r="L83" s="156" t="s">
        <v>39</v>
      </c>
      <c r="M83" s="144" t="s">
        <v>76</v>
      </c>
      <c r="N83" s="144" t="s">
        <v>77</v>
      </c>
      <c r="O83" s="144" t="s">
        <v>78</v>
      </c>
      <c r="P83" s="154" t="s">
        <v>84</v>
      </c>
      <c r="Q83" s="156" t="s">
        <v>85</v>
      </c>
      <c r="R83" s="144" t="s">
        <v>79</v>
      </c>
      <c r="S83" s="144" t="s">
        <v>80</v>
      </c>
      <c r="T83" s="144" t="s">
        <v>81</v>
      </c>
      <c r="U83" s="154" t="s">
        <v>86</v>
      </c>
      <c r="V83" s="156" t="s">
        <v>87</v>
      </c>
    </row>
    <row r="84" spans="3:23" ht="15.75">
      <c r="C84" s="144" t="s">
        <v>60</v>
      </c>
      <c r="D84" s="147">
        <f t="shared" ref="D84:D97" si="0">SUM(D44,D63)</f>
        <v>0.192</v>
      </c>
      <c r="E84" s="147">
        <f t="shared" ref="E84:V97" si="1">SUM(E44,E63)</f>
        <v>0.17499999999999999</v>
      </c>
      <c r="F84" s="147">
        <f t="shared" si="1"/>
        <v>0.16400000000000001</v>
      </c>
      <c r="G84" s="155">
        <f t="shared" si="1"/>
        <v>0.53100000000000003</v>
      </c>
      <c r="H84" s="147">
        <f t="shared" si="1"/>
        <v>0.16599999999999998</v>
      </c>
      <c r="I84" s="147">
        <f t="shared" si="1"/>
        <v>0.15</v>
      </c>
      <c r="J84" s="147">
        <f t="shared" si="1"/>
        <v>0.16299999999999998</v>
      </c>
      <c r="K84" s="155">
        <f t="shared" si="1"/>
        <v>0.47899999999999998</v>
      </c>
      <c r="L84" s="157">
        <f t="shared" si="1"/>
        <v>1.01</v>
      </c>
      <c r="M84" s="147">
        <f t="shared" si="1"/>
        <v>0.183</v>
      </c>
      <c r="N84" s="147">
        <f t="shared" si="1"/>
        <v>0.187</v>
      </c>
      <c r="O84" s="147">
        <f t="shared" si="1"/>
        <v>0.20800000000000002</v>
      </c>
      <c r="P84" s="155">
        <f t="shared" si="1"/>
        <v>0.57800000000000007</v>
      </c>
      <c r="Q84" s="157">
        <f t="shared" si="1"/>
        <v>1.5880000000000001</v>
      </c>
      <c r="R84" s="147">
        <f t="shared" si="1"/>
        <v>0.21100000000000002</v>
      </c>
      <c r="S84" s="147">
        <f t="shared" si="1"/>
        <v>0.187</v>
      </c>
      <c r="T84" s="147">
        <f t="shared" si="1"/>
        <v>0.2</v>
      </c>
      <c r="U84" s="155">
        <f t="shared" si="1"/>
        <v>0.59800000000000009</v>
      </c>
      <c r="V84" s="160">
        <f t="shared" si="1"/>
        <v>2.1859999999999999</v>
      </c>
    </row>
    <row r="85" spans="3:23" ht="15.75">
      <c r="C85" s="144" t="s">
        <v>61</v>
      </c>
      <c r="D85" s="147">
        <f t="shared" si="0"/>
        <v>0.26200000000000001</v>
      </c>
      <c r="E85" s="147">
        <f t="shared" ref="E85:S85" si="2">SUM(E45,E64)</f>
        <v>0.26900000000000002</v>
      </c>
      <c r="F85" s="147">
        <f t="shared" si="2"/>
        <v>0.26500000000000001</v>
      </c>
      <c r="G85" s="155">
        <f t="shared" si="2"/>
        <v>0.79600000000000004</v>
      </c>
      <c r="H85" s="147">
        <f t="shared" si="2"/>
        <v>0.26400000000000001</v>
      </c>
      <c r="I85" s="147">
        <f t="shared" si="2"/>
        <v>0.27400000000000002</v>
      </c>
      <c r="J85" s="147">
        <f t="shared" si="2"/>
        <v>0.26900000000000002</v>
      </c>
      <c r="K85" s="155">
        <f t="shared" si="2"/>
        <v>0.80700000000000005</v>
      </c>
      <c r="L85" s="157">
        <f t="shared" si="2"/>
        <v>1.6030000000000002</v>
      </c>
      <c r="M85" s="147">
        <f t="shared" si="2"/>
        <v>0.27800000000000002</v>
      </c>
      <c r="N85" s="147">
        <f t="shared" si="2"/>
        <v>0.26900000000000002</v>
      </c>
      <c r="O85" s="147">
        <f t="shared" si="2"/>
        <v>0.28300000000000003</v>
      </c>
      <c r="P85" s="155">
        <f t="shared" si="2"/>
        <v>0.83</v>
      </c>
      <c r="Q85" s="157">
        <f t="shared" si="2"/>
        <v>2.4329999999999998</v>
      </c>
      <c r="R85" s="147">
        <f t="shared" si="2"/>
        <v>0.27700000000000002</v>
      </c>
      <c r="S85" s="147">
        <f t="shared" si="2"/>
        <v>0.251</v>
      </c>
      <c r="T85" s="147">
        <f t="shared" si="1"/>
        <v>0.27500000000000002</v>
      </c>
      <c r="U85" s="155">
        <f t="shared" si="1"/>
        <v>0.80299999999999994</v>
      </c>
      <c r="V85" s="160">
        <f t="shared" si="1"/>
        <v>3.2359999999999998</v>
      </c>
    </row>
    <row r="86" spans="3:23" ht="15.75">
      <c r="C86" s="144" t="s">
        <v>62</v>
      </c>
      <c r="D86" s="147">
        <f t="shared" si="0"/>
        <v>1.9E-2</v>
      </c>
      <c r="E86" s="147">
        <f t="shared" si="1"/>
        <v>1.6E-2</v>
      </c>
      <c r="F86" s="147">
        <f t="shared" si="1"/>
        <v>9.0000000000000011E-3</v>
      </c>
      <c r="G86" s="155">
        <f t="shared" si="1"/>
        <v>4.3999999999999997E-2</v>
      </c>
      <c r="H86" s="147">
        <f t="shared" si="1"/>
        <v>1.9E-2</v>
      </c>
      <c r="I86" s="147">
        <f t="shared" si="1"/>
        <v>1.7999999999999999E-2</v>
      </c>
      <c r="J86" s="147">
        <f t="shared" si="1"/>
        <v>1.4999999999999999E-2</v>
      </c>
      <c r="K86" s="155">
        <f t="shared" si="1"/>
        <v>5.1999999999999998E-2</v>
      </c>
      <c r="L86" s="157">
        <f t="shared" si="1"/>
        <v>9.6000000000000002E-2</v>
      </c>
      <c r="M86" s="147">
        <f t="shared" si="1"/>
        <v>1.7000000000000001E-2</v>
      </c>
      <c r="N86" s="147">
        <f t="shared" si="1"/>
        <v>1.7000000000000001E-2</v>
      </c>
      <c r="O86" s="147">
        <f t="shared" si="1"/>
        <v>1.7999999999999999E-2</v>
      </c>
      <c r="P86" s="155">
        <f t="shared" si="1"/>
        <v>5.1999999999999998E-2</v>
      </c>
      <c r="Q86" s="157">
        <f t="shared" si="1"/>
        <v>0.14799999999999999</v>
      </c>
      <c r="R86" s="147">
        <f t="shared" si="1"/>
        <v>1.7999999999999999E-2</v>
      </c>
      <c r="S86" s="147">
        <f t="shared" si="1"/>
        <v>1.6E-2</v>
      </c>
      <c r="T86" s="147">
        <f t="shared" si="1"/>
        <v>1.6E-2</v>
      </c>
      <c r="U86" s="155">
        <f t="shared" si="1"/>
        <v>0.05</v>
      </c>
      <c r="V86" s="160">
        <f t="shared" si="1"/>
        <v>0.19800000000000001</v>
      </c>
    </row>
    <row r="87" spans="3:23" ht="15.75">
      <c r="C87" s="144" t="s">
        <v>57</v>
      </c>
      <c r="D87" s="147">
        <f t="shared" si="0"/>
        <v>3.6999999999999998E-2</v>
      </c>
      <c r="E87" s="147">
        <f t="shared" si="1"/>
        <v>3.6999999999999998E-2</v>
      </c>
      <c r="F87" s="147">
        <f t="shared" si="1"/>
        <v>3.7999999999999999E-2</v>
      </c>
      <c r="G87" s="155">
        <f t="shared" si="1"/>
        <v>0.112</v>
      </c>
      <c r="H87" s="147">
        <f t="shared" si="1"/>
        <v>0.04</v>
      </c>
      <c r="I87" s="147">
        <f t="shared" si="1"/>
        <v>0.04</v>
      </c>
      <c r="J87" s="147">
        <f t="shared" si="1"/>
        <v>3.9E-2</v>
      </c>
      <c r="K87" s="155">
        <f t="shared" si="1"/>
        <v>0.11900000000000001</v>
      </c>
      <c r="L87" s="157">
        <f t="shared" si="1"/>
        <v>0.23100000000000001</v>
      </c>
      <c r="M87" s="147">
        <f t="shared" si="1"/>
        <v>4.1000000000000002E-2</v>
      </c>
      <c r="N87" s="147">
        <f t="shared" si="1"/>
        <v>0.123</v>
      </c>
      <c r="O87" s="147">
        <f t="shared" si="1"/>
        <v>5.4999999999999993E-2</v>
      </c>
      <c r="P87" s="155">
        <f t="shared" si="1"/>
        <v>0.21899999999999997</v>
      </c>
      <c r="Q87" s="157">
        <f t="shared" si="1"/>
        <v>0.45</v>
      </c>
      <c r="R87" s="147">
        <f t="shared" si="1"/>
        <v>5.1999999999999998E-2</v>
      </c>
      <c r="S87" s="147">
        <f t="shared" si="1"/>
        <v>4.9000000000000002E-2</v>
      </c>
      <c r="T87" s="147">
        <f t="shared" si="1"/>
        <v>5.2000000000000005E-2</v>
      </c>
      <c r="U87" s="155">
        <f t="shared" si="1"/>
        <v>0.153</v>
      </c>
      <c r="V87" s="160">
        <f t="shared" si="1"/>
        <v>0.60299999999999998</v>
      </c>
      <c r="W87" s="847"/>
    </row>
    <row r="88" spans="3:23" ht="15.75">
      <c r="C88" s="144" t="s">
        <v>58</v>
      </c>
      <c r="D88" s="147">
        <f t="shared" si="0"/>
        <v>2.2000000000000002E-2</v>
      </c>
      <c r="E88" s="147">
        <f t="shared" si="1"/>
        <v>3.5000000000000003E-2</v>
      </c>
      <c r="F88" s="147">
        <f t="shared" si="1"/>
        <v>2.8999999999999998E-2</v>
      </c>
      <c r="G88" s="155">
        <f t="shared" si="1"/>
        <v>8.6000000000000007E-2</v>
      </c>
      <c r="H88" s="147">
        <f t="shared" si="1"/>
        <v>3.3000000000000002E-2</v>
      </c>
      <c r="I88" s="147">
        <f t="shared" si="1"/>
        <v>4.1000000000000002E-2</v>
      </c>
      <c r="J88" s="147">
        <f t="shared" si="1"/>
        <v>3.3000000000000002E-2</v>
      </c>
      <c r="K88" s="155">
        <f t="shared" si="1"/>
        <v>0.10700000000000001</v>
      </c>
      <c r="L88" s="157">
        <f t="shared" si="1"/>
        <v>0.193</v>
      </c>
      <c r="M88" s="147">
        <f t="shared" si="1"/>
        <v>0.03</v>
      </c>
      <c r="N88" s="147">
        <f t="shared" si="1"/>
        <v>0.03</v>
      </c>
      <c r="O88" s="147">
        <f t="shared" si="1"/>
        <v>4.2000000000000003E-2</v>
      </c>
      <c r="P88" s="155">
        <f t="shared" si="1"/>
        <v>0.10200000000000001</v>
      </c>
      <c r="Q88" s="157">
        <f t="shared" si="1"/>
        <v>0.29500000000000004</v>
      </c>
      <c r="R88" s="147">
        <f t="shared" si="1"/>
        <v>3.7000000000000005E-2</v>
      </c>
      <c r="S88" s="147">
        <f t="shared" si="1"/>
        <v>2.7000000000000003E-2</v>
      </c>
      <c r="T88" s="147">
        <f t="shared" si="1"/>
        <v>3.4000000000000002E-2</v>
      </c>
      <c r="U88" s="155">
        <f t="shared" si="1"/>
        <v>9.8000000000000004E-2</v>
      </c>
      <c r="V88" s="160">
        <f t="shared" si="1"/>
        <v>0.39300000000000002</v>
      </c>
    </row>
    <row r="89" spans="3:23" ht="15.75">
      <c r="C89" s="144" t="s">
        <v>59</v>
      </c>
      <c r="D89" s="147">
        <f t="shared" si="0"/>
        <v>8.9999999999999993E-3</v>
      </c>
      <c r="E89" s="147">
        <f t="shared" si="1"/>
        <v>8.9999999999999993E-3</v>
      </c>
      <c r="F89" s="147">
        <f t="shared" si="1"/>
        <v>1.0999999999999999E-2</v>
      </c>
      <c r="G89" s="155">
        <f t="shared" si="1"/>
        <v>2.8999999999999998E-2</v>
      </c>
      <c r="H89" s="147">
        <f t="shared" si="1"/>
        <v>8.9999999999999993E-3</v>
      </c>
      <c r="I89" s="147">
        <f t="shared" si="1"/>
        <v>0.01</v>
      </c>
      <c r="J89" s="147">
        <f t="shared" si="1"/>
        <v>9.0000000000000011E-3</v>
      </c>
      <c r="K89" s="155">
        <f t="shared" si="1"/>
        <v>2.8000000000000001E-2</v>
      </c>
      <c r="L89" s="157">
        <f t="shared" si="1"/>
        <v>5.6999999999999995E-2</v>
      </c>
      <c r="M89" s="147">
        <f t="shared" si="1"/>
        <v>0.01</v>
      </c>
      <c r="N89" s="147">
        <f t="shared" si="1"/>
        <v>9.9999999999999985E-3</v>
      </c>
      <c r="O89" s="147">
        <f t="shared" si="1"/>
        <v>8.9999999999999993E-3</v>
      </c>
      <c r="P89" s="155">
        <f t="shared" si="1"/>
        <v>2.8999999999999998E-2</v>
      </c>
      <c r="Q89" s="157">
        <f t="shared" si="1"/>
        <v>8.5999999999999993E-2</v>
      </c>
      <c r="R89" s="147">
        <f t="shared" si="1"/>
        <v>1.0999999999999999E-2</v>
      </c>
      <c r="S89" s="147">
        <f t="shared" si="1"/>
        <v>8.9999999999999993E-3</v>
      </c>
      <c r="T89" s="147">
        <f t="shared" si="1"/>
        <v>0.01</v>
      </c>
      <c r="U89" s="155">
        <f t="shared" si="1"/>
        <v>0.03</v>
      </c>
      <c r="V89" s="160">
        <f t="shared" si="1"/>
        <v>0.11599999999999999</v>
      </c>
    </row>
    <row r="90" spans="3:23" ht="15.75">
      <c r="C90" s="144" t="s">
        <v>63</v>
      </c>
      <c r="D90" s="147">
        <f t="shared" si="0"/>
        <v>7.9000000000000001E-2</v>
      </c>
      <c r="E90" s="147">
        <f t="shared" si="1"/>
        <v>7.0999999999999994E-2</v>
      </c>
      <c r="F90" s="147">
        <f t="shared" si="1"/>
        <v>7.8E-2</v>
      </c>
      <c r="G90" s="155">
        <f t="shared" si="1"/>
        <v>0.22799999999999998</v>
      </c>
      <c r="H90" s="147">
        <f t="shared" si="1"/>
        <v>7.6999999999999999E-2</v>
      </c>
      <c r="I90" s="147">
        <f t="shared" si="1"/>
        <v>7.3999999999999996E-2</v>
      </c>
      <c r="J90" s="147">
        <f t="shared" si="1"/>
        <v>7.3999999999999996E-2</v>
      </c>
      <c r="K90" s="155">
        <f t="shared" si="1"/>
        <v>0.22499999999999998</v>
      </c>
      <c r="L90" s="157">
        <f t="shared" si="1"/>
        <v>0.45299999999999996</v>
      </c>
      <c r="M90" s="147">
        <f t="shared" si="1"/>
        <v>6.8000000000000005E-2</v>
      </c>
      <c r="N90" s="147">
        <f t="shared" si="1"/>
        <v>6.4000000000000001E-2</v>
      </c>
      <c r="O90" s="147">
        <f t="shared" si="1"/>
        <v>5.6000000000000001E-2</v>
      </c>
      <c r="P90" s="155">
        <f t="shared" si="1"/>
        <v>0.188</v>
      </c>
      <c r="Q90" s="157">
        <f t="shared" si="1"/>
        <v>0.6409999999999999</v>
      </c>
      <c r="R90" s="147">
        <f t="shared" si="1"/>
        <v>7.0000000000000007E-2</v>
      </c>
      <c r="S90" s="147">
        <f t="shared" si="1"/>
        <v>5.7000000000000002E-2</v>
      </c>
      <c r="T90" s="147">
        <f t="shared" si="1"/>
        <v>6.0999999999999999E-2</v>
      </c>
      <c r="U90" s="155">
        <f t="shared" si="1"/>
        <v>0.188</v>
      </c>
      <c r="V90" s="160">
        <f t="shared" si="1"/>
        <v>0.82899999999999996</v>
      </c>
    </row>
    <row r="91" spans="3:23" ht="15.75">
      <c r="C91" s="144" t="s">
        <v>64</v>
      </c>
      <c r="D91" s="147">
        <f t="shared" si="0"/>
        <v>5.0000000000000001E-3</v>
      </c>
      <c r="E91" s="147">
        <f t="shared" si="1"/>
        <v>5.0000000000000001E-3</v>
      </c>
      <c r="F91" s="147">
        <f t="shared" si="1"/>
        <v>6.0000000000000001E-3</v>
      </c>
      <c r="G91" s="155">
        <f t="shared" si="1"/>
        <v>1.6E-2</v>
      </c>
      <c r="H91" s="147">
        <f t="shared" si="1"/>
        <v>5.0000000000000001E-3</v>
      </c>
      <c r="I91" s="147">
        <f t="shared" si="1"/>
        <v>5.0000000000000001E-3</v>
      </c>
      <c r="J91" s="147">
        <f t="shared" si="1"/>
        <v>4.0000000000000001E-3</v>
      </c>
      <c r="K91" s="155">
        <f t="shared" si="1"/>
        <v>1.4E-2</v>
      </c>
      <c r="L91" s="157">
        <f t="shared" si="1"/>
        <v>3.0000000000000002E-2</v>
      </c>
      <c r="M91" s="147">
        <f t="shared" si="1"/>
        <v>5.0000000000000001E-3</v>
      </c>
      <c r="N91" s="147">
        <f t="shared" si="1"/>
        <v>5.0000000000000001E-3</v>
      </c>
      <c r="O91" s="147">
        <f t="shared" si="1"/>
        <v>5.0000000000000001E-3</v>
      </c>
      <c r="P91" s="155">
        <f t="shared" si="1"/>
        <v>1.4999999999999999E-2</v>
      </c>
      <c r="Q91" s="157">
        <f t="shared" si="1"/>
        <v>4.5000000000000005E-2</v>
      </c>
      <c r="R91" s="147">
        <f t="shared" si="1"/>
        <v>4.0000000000000001E-3</v>
      </c>
      <c r="S91" s="147">
        <f t="shared" si="1"/>
        <v>4.0000000000000001E-3</v>
      </c>
      <c r="T91" s="147">
        <f t="shared" si="1"/>
        <v>4.0000000000000001E-3</v>
      </c>
      <c r="U91" s="155">
        <f t="shared" si="1"/>
        <v>1.2E-2</v>
      </c>
      <c r="V91" s="160">
        <f t="shared" si="1"/>
        <v>5.7000000000000002E-2</v>
      </c>
    </row>
    <row r="92" spans="3:23" ht="15.75">
      <c r="C92" s="144" t="s">
        <v>65</v>
      </c>
      <c r="D92" s="147">
        <f t="shared" si="0"/>
        <v>8.0000000000000002E-3</v>
      </c>
      <c r="E92" s="147">
        <f t="shared" si="1"/>
        <v>9.0000000000000011E-3</v>
      </c>
      <c r="F92" s="147">
        <f t="shared" si="1"/>
        <v>8.0000000000000002E-3</v>
      </c>
      <c r="G92" s="155">
        <f t="shared" si="1"/>
        <v>2.4999999999999998E-2</v>
      </c>
      <c r="H92" s="147">
        <f t="shared" si="1"/>
        <v>0.01</v>
      </c>
      <c r="I92" s="147">
        <f t="shared" si="1"/>
        <v>8.0000000000000002E-3</v>
      </c>
      <c r="J92" s="147">
        <f t="shared" si="1"/>
        <v>9.0000000000000011E-3</v>
      </c>
      <c r="K92" s="155">
        <f t="shared" si="1"/>
        <v>2.7E-2</v>
      </c>
      <c r="L92" s="157">
        <f t="shared" si="1"/>
        <v>5.1999999999999998E-2</v>
      </c>
      <c r="M92" s="147">
        <f t="shared" si="1"/>
        <v>0.01</v>
      </c>
      <c r="N92" s="147">
        <f t="shared" si="1"/>
        <v>9.0000000000000011E-3</v>
      </c>
      <c r="O92" s="147">
        <f t="shared" si="1"/>
        <v>0.01</v>
      </c>
      <c r="P92" s="155">
        <f t="shared" si="1"/>
        <v>2.9000000000000001E-2</v>
      </c>
      <c r="Q92" s="157">
        <f t="shared" si="1"/>
        <v>8.1000000000000003E-2</v>
      </c>
      <c r="R92" s="147">
        <f t="shared" si="1"/>
        <v>0.01</v>
      </c>
      <c r="S92" s="147">
        <f t="shared" si="1"/>
        <v>8.0000000000000002E-3</v>
      </c>
      <c r="T92" s="147">
        <f t="shared" si="1"/>
        <v>1.0999999999999999E-2</v>
      </c>
      <c r="U92" s="155">
        <f t="shared" si="1"/>
        <v>2.9000000000000001E-2</v>
      </c>
      <c r="V92" s="160">
        <f t="shared" si="1"/>
        <v>0.11</v>
      </c>
    </row>
    <row r="93" spans="3:23" ht="15.75">
      <c r="C93" s="144" t="s">
        <v>66</v>
      </c>
      <c r="D93" s="147">
        <f t="shared" si="0"/>
        <v>6.4000000000000001E-2</v>
      </c>
      <c r="E93" s="147">
        <f t="shared" si="1"/>
        <v>3.5999999999999997E-2</v>
      </c>
      <c r="F93" s="147">
        <f t="shared" si="1"/>
        <v>6.4000000000000001E-2</v>
      </c>
      <c r="G93" s="155">
        <f t="shared" si="1"/>
        <v>0.16400000000000001</v>
      </c>
      <c r="H93" s="147">
        <f t="shared" si="1"/>
        <v>6.8000000000000005E-2</v>
      </c>
      <c r="I93" s="147">
        <f t="shared" si="1"/>
        <v>6.9000000000000006E-2</v>
      </c>
      <c r="J93" s="147">
        <f t="shared" si="1"/>
        <v>6.6000000000000003E-2</v>
      </c>
      <c r="K93" s="155">
        <f t="shared" si="1"/>
        <v>0.20300000000000001</v>
      </c>
      <c r="L93" s="157">
        <f t="shared" si="1"/>
        <v>0.36699999999999999</v>
      </c>
      <c r="M93" s="147">
        <f t="shared" si="1"/>
        <v>6.7000000000000004E-2</v>
      </c>
      <c r="N93" s="147">
        <f t="shared" si="1"/>
        <v>6.5000000000000002E-2</v>
      </c>
      <c r="O93" s="147">
        <f t="shared" si="1"/>
        <v>7.0000000000000007E-2</v>
      </c>
      <c r="P93" s="155">
        <f t="shared" si="1"/>
        <v>0.20200000000000001</v>
      </c>
      <c r="Q93" s="157">
        <f t="shared" si="1"/>
        <v>0.56899999999999995</v>
      </c>
      <c r="R93" s="147">
        <f t="shared" si="1"/>
        <v>6.7000000000000004E-2</v>
      </c>
      <c r="S93" s="147">
        <f t="shared" si="1"/>
        <v>6.0999999999999999E-2</v>
      </c>
      <c r="T93" s="147">
        <f t="shared" si="1"/>
        <v>6.3E-2</v>
      </c>
      <c r="U93" s="155">
        <f t="shared" si="1"/>
        <v>0.191</v>
      </c>
      <c r="V93" s="160">
        <f t="shared" si="1"/>
        <v>0.76</v>
      </c>
    </row>
    <row r="94" spans="3:23" ht="15.75">
      <c r="C94" s="144" t="s">
        <v>67</v>
      </c>
      <c r="D94" s="147">
        <f t="shared" si="0"/>
        <v>5.2999999999999999E-2</v>
      </c>
      <c r="E94" s="147">
        <f t="shared" si="1"/>
        <v>5.7000000000000002E-2</v>
      </c>
      <c r="F94" s="147">
        <f t="shared" si="1"/>
        <v>5.0999999999999997E-2</v>
      </c>
      <c r="G94" s="155">
        <f t="shared" si="1"/>
        <v>0.161</v>
      </c>
      <c r="H94" s="147">
        <f t="shared" si="1"/>
        <v>5.3999999999999999E-2</v>
      </c>
      <c r="I94" s="147">
        <f t="shared" si="1"/>
        <v>5.2999999999999999E-2</v>
      </c>
      <c r="J94" s="147">
        <f t="shared" si="1"/>
        <v>0.05</v>
      </c>
      <c r="K94" s="155">
        <f t="shared" si="1"/>
        <v>0.157</v>
      </c>
      <c r="L94" s="157">
        <f t="shared" si="1"/>
        <v>0.318</v>
      </c>
      <c r="M94" s="147">
        <f t="shared" si="1"/>
        <v>5.0999999999999997E-2</v>
      </c>
      <c r="N94" s="147">
        <f t="shared" si="1"/>
        <v>5.0999999999999997E-2</v>
      </c>
      <c r="O94" s="147">
        <f t="shared" si="1"/>
        <v>5.3999999999999999E-2</v>
      </c>
      <c r="P94" s="155">
        <f t="shared" si="1"/>
        <v>0.156</v>
      </c>
      <c r="Q94" s="157">
        <f t="shared" si="1"/>
        <v>0.47399999999999998</v>
      </c>
      <c r="R94" s="147">
        <f t="shared" si="1"/>
        <v>5.5E-2</v>
      </c>
      <c r="S94" s="147">
        <f t="shared" si="1"/>
        <v>4.7E-2</v>
      </c>
      <c r="T94" s="147">
        <f t="shared" si="1"/>
        <v>5.3999999999999999E-2</v>
      </c>
      <c r="U94" s="155">
        <f t="shared" si="1"/>
        <v>0.156</v>
      </c>
      <c r="V94" s="160">
        <f t="shared" si="1"/>
        <v>0.63</v>
      </c>
    </row>
    <row r="95" spans="3:23" ht="15.75">
      <c r="C95" s="144" t="s">
        <v>68</v>
      </c>
      <c r="D95" s="147">
        <f t="shared" si="0"/>
        <v>1.2999999999999999E-2</v>
      </c>
      <c r="E95" s="147">
        <f t="shared" si="1"/>
        <v>1.7000000000000001E-2</v>
      </c>
      <c r="F95" s="147">
        <f t="shared" si="1"/>
        <v>1.4E-2</v>
      </c>
      <c r="G95" s="155">
        <f t="shared" si="1"/>
        <v>4.3999999999999997E-2</v>
      </c>
      <c r="H95" s="147">
        <f t="shared" si="1"/>
        <v>1.4999999999999999E-2</v>
      </c>
      <c r="I95" s="147">
        <f t="shared" si="1"/>
        <v>1.2999999999999999E-2</v>
      </c>
      <c r="J95" s="147">
        <f t="shared" si="1"/>
        <v>8.9999999999999993E-3</v>
      </c>
      <c r="K95" s="155">
        <f t="shared" si="1"/>
        <v>3.6999999999999998E-2</v>
      </c>
      <c r="L95" s="157">
        <f t="shared" si="1"/>
        <v>8.0999999999999989E-2</v>
      </c>
      <c r="M95" s="147">
        <f t="shared" si="1"/>
        <v>1.0999999999999999E-2</v>
      </c>
      <c r="N95" s="147">
        <f t="shared" si="1"/>
        <v>1.2E-2</v>
      </c>
      <c r="O95" s="147">
        <f t="shared" si="1"/>
        <v>1.2E-2</v>
      </c>
      <c r="P95" s="155">
        <f t="shared" si="1"/>
        <v>3.5000000000000003E-2</v>
      </c>
      <c r="Q95" s="157">
        <f t="shared" si="1"/>
        <v>0.11599999999999999</v>
      </c>
      <c r="R95" s="147">
        <f t="shared" si="1"/>
        <v>1.0999999999999999E-2</v>
      </c>
      <c r="S95" s="147">
        <f t="shared" si="1"/>
        <v>0.01</v>
      </c>
      <c r="T95" s="147">
        <f t="shared" si="1"/>
        <v>0.01</v>
      </c>
      <c r="U95" s="155">
        <f t="shared" si="1"/>
        <v>3.1E-2</v>
      </c>
      <c r="V95" s="160">
        <f t="shared" si="1"/>
        <v>0.14699999999999999</v>
      </c>
    </row>
    <row r="96" spans="3:23" ht="15.75">
      <c r="C96" s="144" t="s">
        <v>69</v>
      </c>
      <c r="D96" s="147">
        <f t="shared" si="0"/>
        <v>2.8000000000000001E-2</v>
      </c>
      <c r="E96" s="147">
        <f t="shared" si="1"/>
        <v>2.7E-2</v>
      </c>
      <c r="F96" s="147">
        <f t="shared" si="1"/>
        <v>2.3E-2</v>
      </c>
      <c r="G96" s="155">
        <f t="shared" si="1"/>
        <v>7.8E-2</v>
      </c>
      <c r="H96" s="147">
        <f t="shared" si="1"/>
        <v>2.1999999999999999E-2</v>
      </c>
      <c r="I96" s="147">
        <f t="shared" si="1"/>
        <v>1.4999999999999999E-2</v>
      </c>
      <c r="J96" s="147">
        <f t="shared" si="1"/>
        <v>0.01</v>
      </c>
      <c r="K96" s="155">
        <f t="shared" si="1"/>
        <v>4.7E-2</v>
      </c>
      <c r="L96" s="157">
        <f t="shared" si="1"/>
        <v>0.125</v>
      </c>
      <c r="M96" s="147">
        <f t="shared" si="1"/>
        <v>8.0000000000000002E-3</v>
      </c>
      <c r="N96" s="147">
        <f t="shared" si="1"/>
        <v>5.0000000000000001E-3</v>
      </c>
      <c r="O96" s="147">
        <f t="shared" si="1"/>
        <v>6.0000000000000001E-3</v>
      </c>
      <c r="P96" s="155">
        <f t="shared" si="1"/>
        <v>1.9000000000000003E-2</v>
      </c>
      <c r="Q96" s="157">
        <f t="shared" si="1"/>
        <v>0.14400000000000002</v>
      </c>
      <c r="R96" s="147">
        <f t="shared" si="1"/>
        <v>6.0000000000000001E-3</v>
      </c>
      <c r="S96" s="147">
        <f t="shared" si="1"/>
        <v>7.0000000000000001E-3</v>
      </c>
      <c r="T96" s="147">
        <f t="shared" si="1"/>
        <v>4.0000000000000001E-3</v>
      </c>
      <c r="U96" s="155">
        <f t="shared" si="1"/>
        <v>1.7000000000000001E-2</v>
      </c>
      <c r="V96" s="160">
        <f t="shared" si="1"/>
        <v>0.16100000000000003</v>
      </c>
    </row>
    <row r="97" spans="1:22" ht="15.75">
      <c r="C97" s="144" t="s">
        <v>70</v>
      </c>
      <c r="D97" s="147">
        <f t="shared" si="0"/>
        <v>7.0000000000000007E-2</v>
      </c>
      <c r="E97" s="147">
        <f t="shared" si="1"/>
        <v>7.2999999999999995E-2</v>
      </c>
      <c r="F97" s="147">
        <f t="shared" si="1"/>
        <v>6.5000000000000002E-2</v>
      </c>
      <c r="G97" s="155">
        <f t="shared" si="1"/>
        <v>0.20800000000000002</v>
      </c>
      <c r="H97" s="147">
        <f t="shared" si="1"/>
        <v>7.6999999999999999E-2</v>
      </c>
      <c r="I97" s="147">
        <f t="shared" si="1"/>
        <v>7.3999999999999996E-2</v>
      </c>
      <c r="J97" s="147">
        <f t="shared" si="1"/>
        <v>6.4000000000000001E-2</v>
      </c>
      <c r="K97" s="155">
        <f t="shared" si="1"/>
        <v>0.215</v>
      </c>
      <c r="L97" s="157">
        <f t="shared" si="1"/>
        <v>0.42300000000000004</v>
      </c>
      <c r="M97" s="147">
        <f t="shared" si="1"/>
        <v>6.6000000000000003E-2</v>
      </c>
      <c r="N97" s="147">
        <f t="shared" si="1"/>
        <v>6.3E-2</v>
      </c>
      <c r="O97" s="147">
        <f t="shared" si="1"/>
        <v>7.0999999999999994E-2</v>
      </c>
      <c r="P97" s="155">
        <f t="shared" si="1"/>
        <v>0.2</v>
      </c>
      <c r="Q97" s="157">
        <f t="shared" si="1"/>
        <v>0.623</v>
      </c>
      <c r="R97" s="147">
        <f t="shared" si="1"/>
        <v>8.3000000000000004E-2</v>
      </c>
      <c r="S97" s="147">
        <f t="shared" si="1"/>
        <v>7.5999999999999998E-2</v>
      </c>
      <c r="T97" s="147">
        <f t="shared" si="1"/>
        <v>7.0000000000000007E-2</v>
      </c>
      <c r="U97" s="155">
        <f t="shared" si="1"/>
        <v>0.22900000000000001</v>
      </c>
      <c r="V97" s="160">
        <f t="shared" si="1"/>
        <v>0.85199999999999998</v>
      </c>
    </row>
    <row r="98" spans="1:22" ht="15.75">
      <c r="C98" s="145" t="s">
        <v>92</v>
      </c>
      <c r="D98" s="158">
        <f>SUM(D84:D97)</f>
        <v>0.86100000000000021</v>
      </c>
      <c r="E98" s="158">
        <f t="shared" ref="E98:V98" si="3">SUM(E84:E97)</f>
        <v>0.83600000000000008</v>
      </c>
      <c r="F98" s="158">
        <f t="shared" si="3"/>
        <v>0.82499999999999996</v>
      </c>
      <c r="G98" s="159">
        <f t="shared" si="3"/>
        <v>2.5220000000000002</v>
      </c>
      <c r="H98" s="158">
        <f t="shared" si="3"/>
        <v>0.8590000000000001</v>
      </c>
      <c r="I98" s="158">
        <f t="shared" si="3"/>
        <v>0.84400000000000008</v>
      </c>
      <c r="J98" s="158">
        <f t="shared" si="3"/>
        <v>0.81400000000000006</v>
      </c>
      <c r="K98" s="159">
        <f t="shared" si="3"/>
        <v>2.5169999999999999</v>
      </c>
      <c r="L98" s="160">
        <f t="shared" si="3"/>
        <v>5.0390000000000006</v>
      </c>
      <c r="M98" s="158">
        <f t="shared" si="3"/>
        <v>0.8450000000000002</v>
      </c>
      <c r="N98" s="158">
        <f t="shared" si="3"/>
        <v>0.91000000000000014</v>
      </c>
      <c r="O98" s="158">
        <f t="shared" si="3"/>
        <v>0.89900000000000024</v>
      </c>
      <c r="P98" s="159">
        <f t="shared" si="3"/>
        <v>2.6540000000000004</v>
      </c>
      <c r="Q98" s="160">
        <f t="shared" si="3"/>
        <v>7.6930000000000005</v>
      </c>
      <c r="R98" s="158">
        <f t="shared" si="3"/>
        <v>0.91200000000000014</v>
      </c>
      <c r="S98" s="158">
        <f t="shared" si="3"/>
        <v>0.80900000000000005</v>
      </c>
      <c r="T98" s="158">
        <f t="shared" si="3"/>
        <v>0.86400000000000032</v>
      </c>
      <c r="U98" s="159">
        <f t="shared" si="3"/>
        <v>2.5850000000000004</v>
      </c>
      <c r="V98" s="160">
        <f t="shared" si="3"/>
        <v>10.278</v>
      </c>
    </row>
    <row r="101" spans="1:22">
      <c r="C101" s="1322" t="s">
        <v>1948</v>
      </c>
      <c r="D101" s="1323"/>
      <c r="E101" s="1323"/>
      <c r="F101" s="1323"/>
      <c r="G101" s="1323"/>
      <c r="H101" s="1323"/>
      <c r="I101" s="1323"/>
      <c r="J101" s="1323"/>
      <c r="K101" s="1323"/>
      <c r="L101" s="1323"/>
      <c r="M101" s="1323"/>
      <c r="N101" s="1323"/>
      <c r="O101" s="1323"/>
      <c r="P101" s="1323"/>
      <c r="Q101" s="1323"/>
      <c r="R101" s="1323"/>
      <c r="S101" s="1323"/>
      <c r="T101" s="1323"/>
      <c r="U101" s="1323"/>
      <c r="V101" s="1324"/>
    </row>
    <row r="102" spans="1:22">
      <c r="C102" s="144"/>
      <c r="D102" s="144" t="s">
        <v>30</v>
      </c>
      <c r="E102" s="144" t="s">
        <v>71</v>
      </c>
      <c r="F102" s="144" t="s">
        <v>72</v>
      </c>
      <c r="G102" s="142" t="s">
        <v>82</v>
      </c>
      <c r="H102" s="144" t="s">
        <v>73</v>
      </c>
      <c r="I102" s="144" t="s">
        <v>74</v>
      </c>
      <c r="J102" s="144" t="s">
        <v>75</v>
      </c>
      <c r="K102" s="142" t="s">
        <v>83</v>
      </c>
      <c r="L102" s="166" t="s">
        <v>39</v>
      </c>
      <c r="M102" s="144" t="s">
        <v>76</v>
      </c>
      <c r="N102" s="144" t="s">
        <v>77</v>
      </c>
      <c r="O102" s="144" t="s">
        <v>78</v>
      </c>
      <c r="P102" s="142" t="s">
        <v>84</v>
      </c>
      <c r="Q102" s="166" t="s">
        <v>85</v>
      </c>
      <c r="R102" s="144" t="s">
        <v>79</v>
      </c>
      <c r="S102" s="144" t="s">
        <v>80</v>
      </c>
      <c r="T102" s="144" t="s">
        <v>81</v>
      </c>
      <c r="U102" s="142" t="s">
        <v>86</v>
      </c>
      <c r="V102" s="168" t="s">
        <v>87</v>
      </c>
    </row>
    <row r="103" spans="1:22" ht="15.75">
      <c r="B103" s="318">
        <v>0.2</v>
      </c>
      <c r="C103" s="144" t="s">
        <v>60</v>
      </c>
      <c r="D103" s="141">
        <f>D6*$B6</f>
        <v>32744.7</v>
      </c>
      <c r="E103" s="141">
        <f t="shared" ref="E103:V103" si="4">E6*$B6</f>
        <v>30580.600000000002</v>
      </c>
      <c r="F103" s="141">
        <f t="shared" si="4"/>
        <v>30539.073333333334</v>
      </c>
      <c r="G103" s="143">
        <f t="shared" si="4"/>
        <v>31280.349450549449</v>
      </c>
      <c r="H103" s="141">
        <f t="shared" si="4"/>
        <v>29342.929032258067</v>
      </c>
      <c r="I103" s="141">
        <f t="shared" si="4"/>
        <v>26352.232258064516</v>
      </c>
      <c r="J103" s="141">
        <f t="shared" si="4"/>
        <v>29436</v>
      </c>
      <c r="K103" s="143">
        <f t="shared" si="4"/>
        <v>28365.543478260872</v>
      </c>
      <c r="L103" s="167">
        <f t="shared" si="4"/>
        <v>29814.982513661202</v>
      </c>
      <c r="M103" s="141">
        <f t="shared" si="4"/>
        <v>27833.63870967742</v>
      </c>
      <c r="N103" s="141">
        <f t="shared" si="4"/>
        <v>29675.273333333334</v>
      </c>
      <c r="O103" s="141">
        <f t="shared" si="4"/>
        <v>30240</v>
      </c>
      <c r="P103" s="143">
        <f t="shared" si="4"/>
        <v>29245.010869565216</v>
      </c>
      <c r="Q103" s="167">
        <f t="shared" si="4"/>
        <v>29624.301090909095</v>
      </c>
      <c r="R103" s="141">
        <f t="shared" si="4"/>
        <v>33043.503225612905</v>
      </c>
      <c r="S103" s="141">
        <f t="shared" si="4"/>
        <v>31538.857143000001</v>
      </c>
      <c r="T103" s="141">
        <f t="shared" si="4"/>
        <v>30139.161290322583</v>
      </c>
      <c r="U103" s="143">
        <f t="shared" si="4"/>
        <v>31575.006666644447</v>
      </c>
      <c r="V103" s="169">
        <f t="shared" si="4"/>
        <v>30105.296986295896</v>
      </c>
    </row>
    <row r="104" spans="1:22" ht="15.75">
      <c r="B104" s="318">
        <v>0.26</v>
      </c>
      <c r="C104" s="144" t="s">
        <v>61</v>
      </c>
      <c r="D104" s="141">
        <f t="shared" ref="D104:D116" si="5">D7*$B7</f>
        <v>44822.934000000001</v>
      </c>
      <c r="E104" s="141">
        <f t="shared" ref="E104:V104" si="6">E7*$B7</f>
        <v>44458.012258064518</v>
      </c>
      <c r="F104" s="141">
        <f t="shared" si="6"/>
        <v>45116.049333333336</v>
      </c>
      <c r="G104" s="143">
        <f t="shared" si="6"/>
        <v>44795.251428571435</v>
      </c>
      <c r="H104" s="141">
        <f t="shared" si="6"/>
        <v>45799.276774193546</v>
      </c>
      <c r="I104" s="141">
        <f t="shared" si="6"/>
        <v>44713.248387096777</v>
      </c>
      <c r="J104" s="141">
        <f t="shared" si="6"/>
        <v>44787.825333333334</v>
      </c>
      <c r="K104" s="143">
        <f t="shared" si="6"/>
        <v>45103.511304347827</v>
      </c>
      <c r="L104" s="167">
        <f t="shared" si="6"/>
        <v>44950.223606557382</v>
      </c>
      <c r="M104" s="141">
        <f t="shared" si="6"/>
        <v>45236.804516129036</v>
      </c>
      <c r="N104" s="141">
        <f t="shared" si="6"/>
        <v>45060.652000000002</v>
      </c>
      <c r="O104" s="141">
        <f t="shared" si="6"/>
        <v>45410.224516129034</v>
      </c>
      <c r="P104" s="143">
        <f t="shared" si="6"/>
        <v>45237.798478260869</v>
      </c>
      <c r="Q104" s="167">
        <f t="shared" si="6"/>
        <v>45046.430472727276</v>
      </c>
      <c r="R104" s="141">
        <f t="shared" si="6"/>
        <v>44974.937967658065</v>
      </c>
      <c r="S104" s="141">
        <f t="shared" si="6"/>
        <v>44545.60140642857</v>
      </c>
      <c r="T104" s="141">
        <f t="shared" si="6"/>
        <v>44047.046906451615</v>
      </c>
      <c r="U104" s="143">
        <f t="shared" si="6"/>
        <v>44521.759671971107</v>
      </c>
      <c r="V104" s="169">
        <f t="shared" si="6"/>
        <v>44917.059590349047</v>
      </c>
    </row>
    <row r="105" spans="1:22" ht="15.75">
      <c r="B105" s="318">
        <v>1</v>
      </c>
      <c r="C105" s="144" t="s">
        <v>62</v>
      </c>
      <c r="D105" s="141">
        <f t="shared" si="5"/>
        <v>2505.5</v>
      </c>
      <c r="E105" s="141">
        <f t="shared" ref="E105:V105" si="7">E8*$B8</f>
        <v>2272.483870967742</v>
      </c>
      <c r="F105" s="141">
        <f t="shared" si="7"/>
        <v>1859.0333333333333</v>
      </c>
      <c r="G105" s="143">
        <f t="shared" si="7"/>
        <v>2213</v>
      </c>
      <c r="H105" s="141">
        <f t="shared" si="7"/>
        <v>2354.0967741935483</v>
      </c>
      <c r="I105" s="141">
        <f t="shared" si="7"/>
        <v>2320.8387096774195</v>
      </c>
      <c r="J105" s="141">
        <f t="shared" si="7"/>
        <v>2072.4333333333334</v>
      </c>
      <c r="K105" s="143">
        <f t="shared" si="7"/>
        <v>2251.0434782608695</v>
      </c>
      <c r="L105" s="167">
        <f t="shared" si="7"/>
        <v>2232.1256830601092</v>
      </c>
      <c r="M105" s="141">
        <f t="shared" si="7"/>
        <v>2258.1935483870966</v>
      </c>
      <c r="N105" s="141">
        <f t="shared" si="7"/>
        <v>2217.0333333333333</v>
      </c>
      <c r="O105" s="141">
        <f t="shared" si="7"/>
        <v>2293.2258064516127</v>
      </c>
      <c r="P105" s="143">
        <f t="shared" si="7"/>
        <v>2256.5760869565215</v>
      </c>
      <c r="Q105" s="167">
        <f t="shared" si="7"/>
        <v>2240.3054545454547</v>
      </c>
      <c r="R105" s="141">
        <f t="shared" si="7"/>
        <v>2212.9032235483874</v>
      </c>
      <c r="S105" s="141">
        <f t="shared" si="7"/>
        <v>2238.3317857142856</v>
      </c>
      <c r="T105" s="141">
        <f t="shared" si="7"/>
        <v>2057.7096129032257</v>
      </c>
      <c r="U105" s="143">
        <f t="shared" si="7"/>
        <v>2167.3587547777779</v>
      </c>
      <c r="V105" s="169">
        <f t="shared" si="7"/>
        <v>2222.3185970684931</v>
      </c>
    </row>
    <row r="106" spans="1:22" ht="15.75">
      <c r="A106" s="768">
        <v>2.9250000000000002E-2</v>
      </c>
      <c r="B106" s="318">
        <v>2.3099999999999999E-2</v>
      </c>
      <c r="C106" s="144" t="s">
        <v>57</v>
      </c>
      <c r="D106" s="141">
        <f t="shared" si="5"/>
        <v>7780.3903099999998</v>
      </c>
      <c r="E106" s="141">
        <f t="shared" ref="E106:V106" si="8">E9*$B9</f>
        <v>7357.1510419354836</v>
      </c>
      <c r="F106" s="141">
        <f t="shared" si="8"/>
        <v>7981.9016199999987</v>
      </c>
      <c r="G106" s="143">
        <f t="shared" si="8"/>
        <v>7702.6421999999993</v>
      </c>
      <c r="H106" s="141">
        <f t="shared" si="8"/>
        <v>7984.0194677419358</v>
      </c>
      <c r="I106" s="141">
        <f t="shared" si="8"/>
        <v>7846.2555387096772</v>
      </c>
      <c r="J106" s="141">
        <f t="shared" si="8"/>
        <v>7943.7550499999998</v>
      </c>
      <c r="K106" s="143">
        <f t="shared" si="8"/>
        <v>7924.4693119565218</v>
      </c>
      <c r="L106" s="167">
        <f t="shared" si="8"/>
        <v>7814.1618409836065</v>
      </c>
      <c r="M106" s="141">
        <f t="shared" si="8"/>
        <v>8062.2293612903222</v>
      </c>
      <c r="N106" s="141">
        <f t="shared" si="8"/>
        <v>8084.6996999999992</v>
      </c>
      <c r="O106" s="141">
        <f t="shared" si="8"/>
        <v>8128.6046032258055</v>
      </c>
      <c r="P106" s="143">
        <f t="shared" si="8"/>
        <v>8091.9222163043478</v>
      </c>
      <c r="Q106" s="167">
        <f t="shared" si="8"/>
        <v>7907.0853119999992</v>
      </c>
      <c r="R106" s="141">
        <f t="shared" si="8"/>
        <v>7432.4138226328068</v>
      </c>
      <c r="S106" s="141">
        <f t="shared" si="8"/>
        <v>7801.0127250577507</v>
      </c>
      <c r="T106" s="141">
        <f t="shared" si="8"/>
        <v>7679.8505903225805</v>
      </c>
      <c r="U106" s="143">
        <f t="shared" si="8"/>
        <v>7632.3172567025995</v>
      </c>
      <c r="V106" s="169">
        <f t="shared" si="8"/>
        <v>7839.3342846663936</v>
      </c>
    </row>
    <row r="107" spans="1:22" ht="15.75">
      <c r="B107" s="318">
        <v>0.27</v>
      </c>
      <c r="C107" s="144" t="s">
        <v>58</v>
      </c>
      <c r="D107" s="141">
        <f t="shared" si="5"/>
        <v>4597.9740000000002</v>
      </c>
      <c r="E107" s="141">
        <f t="shared" ref="E107:V107" si="9">E10*$B10</f>
        <v>7112.2703225806454</v>
      </c>
      <c r="F107" s="141">
        <f t="shared" si="9"/>
        <v>6055.5420000000004</v>
      </c>
      <c r="G107" s="143">
        <f t="shared" si="9"/>
        <v>5935.0094505494508</v>
      </c>
      <c r="H107" s="141">
        <f t="shared" si="9"/>
        <v>6297.6890322580648</v>
      </c>
      <c r="I107" s="141">
        <f t="shared" si="9"/>
        <v>8062.130322580646</v>
      </c>
      <c r="J107" s="141">
        <f t="shared" si="9"/>
        <v>6815.8080000000009</v>
      </c>
      <c r="K107" s="143">
        <f t="shared" si="9"/>
        <v>7061.180869565218</v>
      </c>
      <c r="L107" s="167">
        <f t="shared" si="9"/>
        <v>6501.1721311475412</v>
      </c>
      <c r="M107" s="141">
        <f t="shared" si="9"/>
        <v>5982.4422580645169</v>
      </c>
      <c r="N107" s="141">
        <f t="shared" si="9"/>
        <v>6214.5090000000009</v>
      </c>
      <c r="O107" s="141">
        <f t="shared" si="9"/>
        <v>8644.2503225806449</v>
      </c>
      <c r="P107" s="143">
        <f t="shared" si="9"/>
        <v>6955.0297826086962</v>
      </c>
      <c r="Q107" s="167">
        <f t="shared" si="9"/>
        <v>6653.0081454545461</v>
      </c>
      <c r="R107" s="141">
        <f t="shared" si="9"/>
        <v>7650.4064516129038</v>
      </c>
      <c r="S107" s="141">
        <f t="shared" si="9"/>
        <v>6091.238571428572</v>
      </c>
      <c r="T107" s="141">
        <f t="shared" si="9"/>
        <v>6947.9796774193555</v>
      </c>
      <c r="U107" s="143">
        <f t="shared" si="9"/>
        <v>6923.3850000000011</v>
      </c>
      <c r="V107" s="169">
        <f t="shared" si="9"/>
        <v>6719.6764109589049</v>
      </c>
    </row>
    <row r="108" spans="1:22" ht="15.75">
      <c r="B108" s="319">
        <v>0.5</v>
      </c>
      <c r="C108" s="144" t="s">
        <v>59</v>
      </c>
      <c r="D108" s="141">
        <f t="shared" si="5"/>
        <v>1964.6</v>
      </c>
      <c r="E108" s="141">
        <f t="shared" ref="E108:V108" si="10">E11*$B11</f>
        <v>2066.1774193548385</v>
      </c>
      <c r="F108" s="141">
        <f t="shared" si="10"/>
        <v>2106.0166666666669</v>
      </c>
      <c r="G108" s="143">
        <f t="shared" si="10"/>
        <v>2045.8241758241759</v>
      </c>
      <c r="H108" s="141">
        <f t="shared" si="10"/>
        <v>2118.0806451612902</v>
      </c>
      <c r="I108" s="141">
        <f t="shared" si="10"/>
        <v>2057.983870967742</v>
      </c>
      <c r="J108" s="141">
        <f t="shared" si="10"/>
        <v>2015.3166666666666</v>
      </c>
      <c r="K108" s="143">
        <f t="shared" si="10"/>
        <v>2064.320652173913</v>
      </c>
      <c r="L108" s="167">
        <f t="shared" si="10"/>
        <v>2055.122950819672</v>
      </c>
      <c r="M108" s="141">
        <f t="shared" si="10"/>
        <v>2022.016129032258</v>
      </c>
      <c r="N108" s="141">
        <f t="shared" si="10"/>
        <v>1978.55</v>
      </c>
      <c r="O108" s="141">
        <f t="shared" si="10"/>
        <v>2119.3387096774195</v>
      </c>
      <c r="P108" s="143">
        <f t="shared" si="10"/>
        <v>2040.6358695652175</v>
      </c>
      <c r="Q108" s="167">
        <f t="shared" si="10"/>
        <v>2050.2763636363638</v>
      </c>
      <c r="R108" s="141">
        <f t="shared" si="10"/>
        <v>2182.0967741935483</v>
      </c>
      <c r="S108" s="141">
        <f t="shared" si="10"/>
        <v>2050.4285714285716</v>
      </c>
      <c r="T108" s="141">
        <f t="shared" si="10"/>
        <v>2200.2419351612903</v>
      </c>
      <c r="U108" s="143">
        <f t="shared" si="10"/>
        <v>2147.3833332222221</v>
      </c>
      <c r="V108" s="169">
        <f t="shared" si="10"/>
        <v>2074.2205479178078</v>
      </c>
    </row>
    <row r="109" spans="1:22" ht="15.75">
      <c r="B109" s="318">
        <v>0.7</v>
      </c>
      <c r="C109" s="144" t="s">
        <v>63</v>
      </c>
      <c r="D109" s="141">
        <f t="shared" si="5"/>
        <v>19508.463333333333</v>
      </c>
      <c r="E109" s="141">
        <f t="shared" ref="E109:V109" si="11">E12*$B12</f>
        <v>16937.561290322581</v>
      </c>
      <c r="F109" s="141">
        <f t="shared" si="11"/>
        <v>19052.273333333331</v>
      </c>
      <c r="G109" s="143">
        <f t="shared" si="11"/>
        <v>18482.26923076923</v>
      </c>
      <c r="H109" s="141">
        <f t="shared" si="11"/>
        <v>18370.280645161289</v>
      </c>
      <c r="I109" s="141">
        <f t="shared" si="11"/>
        <v>17617.916129032259</v>
      </c>
      <c r="J109" s="141">
        <f t="shared" si="11"/>
        <v>18063.29</v>
      </c>
      <c r="K109" s="143">
        <f t="shared" si="11"/>
        <v>18016.660869565218</v>
      </c>
      <c r="L109" s="167">
        <f t="shared" si="11"/>
        <v>18248.192896174864</v>
      </c>
      <c r="M109" s="141">
        <f t="shared" si="11"/>
        <v>16233.38387096774</v>
      </c>
      <c r="N109" s="141">
        <f t="shared" si="11"/>
        <v>15455.276666666667</v>
      </c>
      <c r="O109" s="141">
        <f t="shared" si="11"/>
        <v>13145.187096774194</v>
      </c>
      <c r="P109" s="143">
        <f t="shared" si="11"/>
        <v>14939.065217391304</v>
      </c>
      <c r="Q109" s="167">
        <f t="shared" si="11"/>
        <v>17141.139272727272</v>
      </c>
      <c r="R109" s="141">
        <f t="shared" si="11"/>
        <v>16612.806451612902</v>
      </c>
      <c r="S109" s="141">
        <f t="shared" si="11"/>
        <v>15144.274999499998</v>
      </c>
      <c r="T109" s="141">
        <f t="shared" si="11"/>
        <v>14476.880644935483</v>
      </c>
      <c r="U109" s="143">
        <f t="shared" si="11"/>
        <v>15420.222221988886</v>
      </c>
      <c r="V109" s="169">
        <f t="shared" si="11"/>
        <v>16716.803561586301</v>
      </c>
    </row>
    <row r="110" spans="1:22" ht="15.75">
      <c r="B110" s="318">
        <v>0.11</v>
      </c>
      <c r="C110" s="144" t="s">
        <v>64</v>
      </c>
      <c r="D110" s="141">
        <f t="shared" si="5"/>
        <v>912.78733333333344</v>
      </c>
      <c r="E110" s="141">
        <f t="shared" ref="E110:V110" si="12">E13*$B13</f>
        <v>856.7367741935484</v>
      </c>
      <c r="F110" s="141">
        <f t="shared" si="12"/>
        <v>851.81433333333337</v>
      </c>
      <c r="G110" s="143">
        <f t="shared" si="12"/>
        <v>873.5921978021978</v>
      </c>
      <c r="H110" s="141">
        <f t="shared" si="12"/>
        <v>864.95838709677412</v>
      </c>
      <c r="I110" s="141">
        <f t="shared" si="12"/>
        <v>810.00806451612902</v>
      </c>
      <c r="J110" s="141">
        <f t="shared" si="12"/>
        <v>851.25699999999995</v>
      </c>
      <c r="K110" s="143">
        <f t="shared" si="12"/>
        <v>841.97467391304349</v>
      </c>
      <c r="L110" s="167">
        <f t="shared" si="12"/>
        <v>857.69704918032789</v>
      </c>
      <c r="M110" s="141">
        <f t="shared" si="12"/>
        <v>803.59258064516121</v>
      </c>
      <c r="N110" s="141">
        <f t="shared" si="12"/>
        <v>766.96033333333332</v>
      </c>
      <c r="O110" s="141">
        <f t="shared" si="12"/>
        <v>779.47774193548389</v>
      </c>
      <c r="P110" s="143">
        <f t="shared" si="12"/>
        <v>783.52163043478254</v>
      </c>
      <c r="Q110" s="167">
        <f t="shared" si="12"/>
        <v>832.88200000000006</v>
      </c>
      <c r="R110" s="141">
        <f t="shared" si="12"/>
        <v>796.69806451612908</v>
      </c>
      <c r="S110" s="141">
        <f t="shared" si="12"/>
        <v>804.0214285714286</v>
      </c>
      <c r="T110" s="141">
        <f t="shared" si="12"/>
        <v>789.18258064516124</v>
      </c>
      <c r="U110" s="143">
        <f t="shared" si="12"/>
        <v>796.38777777777773</v>
      </c>
      <c r="V110" s="169">
        <f t="shared" si="12"/>
        <v>823.88342465753431</v>
      </c>
    </row>
    <row r="111" spans="1:22" ht="15.75">
      <c r="B111" s="318">
        <v>0.4</v>
      </c>
      <c r="C111" s="144" t="s">
        <v>65</v>
      </c>
      <c r="D111" s="141">
        <f t="shared" si="5"/>
        <v>1493.2133333333334</v>
      </c>
      <c r="E111" s="141">
        <f t="shared" ref="E111:V111" si="13">E14*$B14</f>
        <v>1625.2774193548387</v>
      </c>
      <c r="F111" s="141">
        <f t="shared" si="13"/>
        <v>1617.6533333333334</v>
      </c>
      <c r="G111" s="143">
        <f t="shared" si="13"/>
        <v>1579.2263736263737</v>
      </c>
      <c r="H111" s="141">
        <f t="shared" si="13"/>
        <v>1663.7548387096774</v>
      </c>
      <c r="I111" s="141">
        <f t="shared" si="13"/>
        <v>1625.0709677419354</v>
      </c>
      <c r="J111" s="141">
        <f t="shared" si="13"/>
        <v>1645.5866666666666</v>
      </c>
      <c r="K111" s="143">
        <f t="shared" si="13"/>
        <v>1644.7956521739134</v>
      </c>
      <c r="L111" s="167">
        <f t="shared" si="13"/>
        <v>1612.1901639344262</v>
      </c>
      <c r="M111" s="141">
        <f t="shared" si="13"/>
        <v>1753.9096774193549</v>
      </c>
      <c r="N111" s="141">
        <f t="shared" si="13"/>
        <v>1785.4</v>
      </c>
      <c r="O111" s="141">
        <f t="shared" si="13"/>
        <v>1758.735483870968</v>
      </c>
      <c r="P111" s="143">
        <f t="shared" si="13"/>
        <v>1765.804347826087</v>
      </c>
      <c r="Q111" s="167">
        <f t="shared" si="13"/>
        <v>1663.581090909091</v>
      </c>
      <c r="R111" s="141">
        <f t="shared" si="13"/>
        <v>1649.6774194838708</v>
      </c>
      <c r="S111" s="141">
        <f t="shared" si="13"/>
        <v>1745.4571428571428</v>
      </c>
      <c r="T111" s="141">
        <f t="shared" si="13"/>
        <v>1670.8000000000002</v>
      </c>
      <c r="U111" s="143">
        <f t="shared" si="13"/>
        <v>1686.7511111555557</v>
      </c>
      <c r="V111" s="169">
        <f t="shared" si="13"/>
        <v>1669.2942465863016</v>
      </c>
    </row>
    <row r="112" spans="1:22" ht="15.75">
      <c r="B112" s="318">
        <v>0.04</v>
      </c>
      <c r="C112" s="144" t="s">
        <v>66</v>
      </c>
      <c r="D112" s="141">
        <f t="shared" si="5"/>
        <v>16130.932000000001</v>
      </c>
      <c r="E112" s="141">
        <f t="shared" ref="E112:V112" si="14">E15*$B15</f>
        <v>8927.2051612903233</v>
      </c>
      <c r="F112" s="141">
        <f t="shared" si="14"/>
        <v>16379.349333333334</v>
      </c>
      <c r="G112" s="143">
        <f t="shared" si="14"/>
        <v>13758.810989010988</v>
      </c>
      <c r="H112" s="141">
        <f t="shared" si="14"/>
        <v>16598.299354838709</v>
      </c>
      <c r="I112" s="141">
        <f t="shared" si="14"/>
        <v>16900.579354838712</v>
      </c>
      <c r="J112" s="141">
        <f t="shared" si="14"/>
        <v>16867.514666666666</v>
      </c>
      <c r="K112" s="143">
        <f t="shared" si="14"/>
        <v>16787.942173913045</v>
      </c>
      <c r="L112" s="167">
        <f t="shared" si="14"/>
        <v>15281.652896174863</v>
      </c>
      <c r="M112" s="141">
        <f t="shared" si="14"/>
        <v>16452.388387096773</v>
      </c>
      <c r="N112" s="141">
        <f t="shared" si="14"/>
        <v>16624.096000000001</v>
      </c>
      <c r="O112" s="141">
        <f t="shared" si="14"/>
        <v>17195.024516129033</v>
      </c>
      <c r="P112" s="143">
        <f t="shared" si="14"/>
        <v>16758.616086956521</v>
      </c>
      <c r="Q112" s="167">
        <f t="shared" si="14"/>
        <v>15775.764218181819</v>
      </c>
      <c r="R112" s="141">
        <f t="shared" si="14"/>
        <v>16407.981935483873</v>
      </c>
      <c r="S112" s="141">
        <f t="shared" si="14"/>
        <v>16496.247142857144</v>
      </c>
      <c r="T112" s="141">
        <f t="shared" si="14"/>
        <v>15559.999999987096</v>
      </c>
      <c r="U112" s="143">
        <f t="shared" si="14"/>
        <v>16143.359555551113</v>
      </c>
      <c r="V112" s="169">
        <f t="shared" si="14"/>
        <v>15866.404164382464</v>
      </c>
    </row>
    <row r="113" spans="1:22" ht="15.75">
      <c r="B113" s="318">
        <v>0.25</v>
      </c>
      <c r="C113" s="144" t="s">
        <v>67</v>
      </c>
      <c r="D113" s="141">
        <f t="shared" si="5"/>
        <v>12880.35</v>
      </c>
      <c r="E113" s="141">
        <f t="shared" ref="E113:V113" si="15">E16*$B16</f>
        <v>13363.943548387097</v>
      </c>
      <c r="F113" s="141">
        <f t="shared" si="15"/>
        <v>12486.241666666667</v>
      </c>
      <c r="G113" s="143">
        <f t="shared" si="15"/>
        <v>12915.164835164835</v>
      </c>
      <c r="H113" s="141">
        <f t="shared" si="15"/>
        <v>12829.661290322581</v>
      </c>
      <c r="I113" s="141">
        <f t="shared" si="15"/>
        <v>12418.653225806451</v>
      </c>
      <c r="J113" s="141">
        <f t="shared" si="15"/>
        <v>12110.775</v>
      </c>
      <c r="K113" s="143">
        <f t="shared" si="15"/>
        <v>12456.75</v>
      </c>
      <c r="L113" s="167">
        <f t="shared" si="15"/>
        <v>12684.704918032787</v>
      </c>
      <c r="M113" s="141">
        <f t="shared" si="15"/>
        <v>12066.274193548386</v>
      </c>
      <c r="N113" s="141">
        <f t="shared" si="15"/>
        <v>12423.375</v>
      </c>
      <c r="O113" s="141">
        <f t="shared" si="15"/>
        <v>12646.427419354839</v>
      </c>
      <c r="P113" s="143">
        <f t="shared" si="15"/>
        <v>12378.20652173913</v>
      </c>
      <c r="Q113" s="167">
        <f t="shared" si="15"/>
        <v>12582.167272727273</v>
      </c>
      <c r="R113" s="141">
        <f t="shared" si="15"/>
        <v>12945.50000016129</v>
      </c>
      <c r="S113" s="141">
        <f t="shared" si="15"/>
        <v>12385.839285714286</v>
      </c>
      <c r="T113" s="141">
        <f t="shared" si="15"/>
        <v>12617.822580403226</v>
      </c>
      <c r="U113" s="143">
        <f t="shared" si="15"/>
        <v>12658.51666663889</v>
      </c>
      <c r="V113" s="169">
        <f t="shared" si="15"/>
        <v>12600.993150678083</v>
      </c>
    </row>
    <row r="114" spans="1:22" ht="15.75">
      <c r="B114" s="318">
        <v>0.24124999999999999</v>
      </c>
      <c r="C114" s="144" t="s">
        <v>68</v>
      </c>
      <c r="D114" s="141">
        <f t="shared" si="5"/>
        <v>2974.5964166666663</v>
      </c>
      <c r="E114" s="141">
        <f t="shared" ref="E114:V114" si="16">E17*$B17</f>
        <v>3620.0729838709676</v>
      </c>
      <c r="F114" s="141">
        <f t="shared" si="16"/>
        <v>3278.0165416666664</v>
      </c>
      <c r="G114" s="143">
        <f t="shared" si="16"/>
        <v>3294.5126510989007</v>
      </c>
      <c r="H114" s="141">
        <f t="shared" si="16"/>
        <v>3169.713709677419</v>
      </c>
      <c r="I114" s="141">
        <f t="shared" si="16"/>
        <v>2875.1474596774192</v>
      </c>
      <c r="J114" s="141">
        <f t="shared" si="16"/>
        <v>2026.7734166666667</v>
      </c>
      <c r="K114" s="143">
        <f t="shared" si="16"/>
        <v>2697.759769021739</v>
      </c>
      <c r="L114" s="167">
        <f t="shared" si="16"/>
        <v>2994.5057377049179</v>
      </c>
      <c r="M114" s="141">
        <f t="shared" si="16"/>
        <v>2537.0083467741938</v>
      </c>
      <c r="N114" s="141">
        <f t="shared" si="16"/>
        <v>2799.5936666666666</v>
      </c>
      <c r="O114" s="141">
        <f t="shared" si="16"/>
        <v>2635.3527419354837</v>
      </c>
      <c r="P114" s="143">
        <f t="shared" si="16"/>
        <v>2655.771779891304</v>
      </c>
      <c r="Q114" s="167">
        <f t="shared" si="16"/>
        <v>2881.1838318181817</v>
      </c>
      <c r="R114" s="141">
        <f t="shared" si="16"/>
        <v>2498.3850000778225</v>
      </c>
      <c r="S114" s="141">
        <f t="shared" si="16"/>
        <v>2328.9671874999999</v>
      </c>
      <c r="T114" s="141">
        <f t="shared" si="16"/>
        <v>2012.4608066850808</v>
      </c>
      <c r="U114" s="143">
        <f t="shared" si="16"/>
        <v>2278.3033473294445</v>
      </c>
      <c r="V114" s="169">
        <f t="shared" si="16"/>
        <v>2732.5283698894523</v>
      </c>
    </row>
    <row r="115" spans="1:22" ht="15.75">
      <c r="B115" s="318">
        <v>0.45</v>
      </c>
      <c r="C115" s="144" t="s">
        <v>69</v>
      </c>
      <c r="D115" s="141">
        <f t="shared" si="5"/>
        <v>60.510000000000005</v>
      </c>
      <c r="E115" s="141">
        <f t="shared" ref="E115:V115" si="17">E18*$B18</f>
        <v>60.822580645161288</v>
      </c>
      <c r="F115" s="141">
        <f t="shared" si="17"/>
        <v>57.255000000000003</v>
      </c>
      <c r="G115" s="143">
        <f t="shared" si="17"/>
        <v>59.543406593406594</v>
      </c>
      <c r="H115" s="141">
        <f t="shared" si="17"/>
        <v>47.395161290322584</v>
      </c>
      <c r="I115" s="141">
        <f t="shared" si="17"/>
        <v>34.054838709677419</v>
      </c>
      <c r="J115" s="141">
        <f t="shared" si="17"/>
        <v>33.164999999999999</v>
      </c>
      <c r="K115" s="143">
        <f t="shared" si="17"/>
        <v>38.259782608695652</v>
      </c>
      <c r="L115" s="167">
        <f t="shared" si="17"/>
        <v>48.843442622950818</v>
      </c>
      <c r="M115" s="141">
        <f t="shared" si="17"/>
        <v>34.475806451612904</v>
      </c>
      <c r="N115" s="141">
        <f t="shared" si="17"/>
        <v>32.49</v>
      </c>
      <c r="O115" s="141">
        <f t="shared" si="17"/>
        <v>39.701612903225808</v>
      </c>
      <c r="P115" s="143">
        <f t="shared" si="17"/>
        <v>35.589130434782611</v>
      </c>
      <c r="Q115" s="167">
        <f t="shared" si="17"/>
        <v>44.409272727272729</v>
      </c>
      <c r="R115" s="141">
        <f t="shared" si="17"/>
        <v>43.340806451612906</v>
      </c>
      <c r="S115" s="141">
        <f t="shared" si="17"/>
        <v>42.983035714285712</v>
      </c>
      <c r="T115" s="141">
        <f t="shared" si="17"/>
        <v>57.295161725806459</v>
      </c>
      <c r="U115" s="143">
        <f t="shared" si="17"/>
        <v>48.03600015</v>
      </c>
      <c r="V115" s="169">
        <f t="shared" si="17"/>
        <v>45.303534283561646</v>
      </c>
    </row>
    <row r="116" spans="1:22" ht="15.75">
      <c r="B116" s="318">
        <v>0.17</v>
      </c>
      <c r="C116" s="144" t="s">
        <v>70</v>
      </c>
      <c r="D116" s="141">
        <f t="shared" si="5"/>
        <v>0</v>
      </c>
      <c r="E116" s="141">
        <f t="shared" ref="E116:V116" si="18">E19*$B19</f>
        <v>0</v>
      </c>
      <c r="F116" s="141">
        <f t="shared" si="18"/>
        <v>0</v>
      </c>
      <c r="G116" s="143">
        <f t="shared" si="18"/>
        <v>0</v>
      </c>
      <c r="H116" s="141">
        <f t="shared" si="18"/>
        <v>0</v>
      </c>
      <c r="I116" s="141">
        <f t="shared" si="18"/>
        <v>0</v>
      </c>
      <c r="J116" s="141">
        <f t="shared" si="18"/>
        <v>0</v>
      </c>
      <c r="K116" s="143">
        <f t="shared" si="18"/>
        <v>0</v>
      </c>
      <c r="L116" s="167">
        <f t="shared" si="18"/>
        <v>0</v>
      </c>
      <c r="M116" s="141">
        <f t="shared" si="18"/>
        <v>0</v>
      </c>
      <c r="N116" s="141">
        <f t="shared" si="18"/>
        <v>0</v>
      </c>
      <c r="O116" s="141">
        <f t="shared" si="18"/>
        <v>0</v>
      </c>
      <c r="P116" s="143">
        <f t="shared" si="18"/>
        <v>0</v>
      </c>
      <c r="Q116" s="167">
        <f t="shared" si="18"/>
        <v>0</v>
      </c>
      <c r="R116" s="141">
        <f t="shared" si="18"/>
        <v>0</v>
      </c>
      <c r="S116" s="141">
        <f t="shared" si="18"/>
        <v>0</v>
      </c>
      <c r="T116" s="141">
        <f t="shared" si="18"/>
        <v>0</v>
      </c>
      <c r="U116" s="143">
        <f t="shared" si="18"/>
        <v>0</v>
      </c>
      <c r="V116" s="169">
        <f t="shared" si="18"/>
        <v>0</v>
      </c>
    </row>
    <row r="117" spans="1:22" ht="15.75">
      <c r="C117" s="145" t="s">
        <v>92</v>
      </c>
      <c r="D117" s="188">
        <f>SUM(D103:D116)</f>
        <v>148376.95072666669</v>
      </c>
      <c r="E117" s="188">
        <f t="shared" ref="E117:V117" si="19">SUM(E103:E116)</f>
        <v>139238.31467096775</v>
      </c>
      <c r="F117" s="188">
        <f t="shared" si="19"/>
        <v>147380.21982833336</v>
      </c>
      <c r="G117" s="189">
        <f t="shared" si="19"/>
        <v>144935.19638956044</v>
      </c>
      <c r="H117" s="188">
        <f t="shared" si="19"/>
        <v>147440.15511290322</v>
      </c>
      <c r="I117" s="188">
        <f t="shared" si="19"/>
        <v>143634.11912741937</v>
      </c>
      <c r="J117" s="188">
        <f t="shared" si="19"/>
        <v>144669.50013333335</v>
      </c>
      <c r="K117" s="189">
        <f t="shared" si="19"/>
        <v>145254.21201576089</v>
      </c>
      <c r="L117" s="169">
        <f t="shared" si="19"/>
        <v>145095.57583005464</v>
      </c>
      <c r="M117" s="188">
        <f t="shared" si="19"/>
        <v>141276.35738548386</v>
      </c>
      <c r="N117" s="188">
        <f t="shared" si="19"/>
        <v>143117.90903333333</v>
      </c>
      <c r="O117" s="188">
        <f t="shared" si="19"/>
        <v>145035.55057096775</v>
      </c>
      <c r="P117" s="189">
        <f t="shared" si="19"/>
        <v>143143.54801793478</v>
      </c>
      <c r="Q117" s="169">
        <f t="shared" si="19"/>
        <v>144442.53379836361</v>
      </c>
      <c r="R117" s="188">
        <f t="shared" si="19"/>
        <v>148450.65114304613</v>
      </c>
      <c r="S117" s="188">
        <f t="shared" si="19"/>
        <v>143213.26042577202</v>
      </c>
      <c r="T117" s="188">
        <f t="shared" si="19"/>
        <v>140256.43178696252</v>
      </c>
      <c r="U117" s="189">
        <f t="shared" si="19"/>
        <v>143998.7873639098</v>
      </c>
      <c r="V117" s="169">
        <f t="shared" si="19"/>
        <v>144333.11686932022</v>
      </c>
    </row>
    <row r="119" spans="1:22">
      <c r="C119" s="1319" t="s">
        <v>1949</v>
      </c>
      <c r="D119" s="1320"/>
      <c r="E119" s="1320"/>
      <c r="F119" s="1320"/>
      <c r="G119" s="1320"/>
      <c r="H119" s="1320"/>
      <c r="I119" s="1320"/>
      <c r="J119" s="1320"/>
      <c r="K119" s="1320"/>
      <c r="L119" s="1320"/>
      <c r="M119" s="1320"/>
      <c r="N119" s="1320"/>
      <c r="O119" s="1320"/>
      <c r="P119" s="1320"/>
      <c r="Q119" s="1320"/>
      <c r="R119" s="1320"/>
      <c r="S119" s="1320"/>
      <c r="T119" s="1320"/>
      <c r="U119" s="1320"/>
      <c r="V119" s="1321"/>
    </row>
    <row r="120" spans="1:22">
      <c r="C120" s="144"/>
      <c r="D120" s="144" t="s">
        <v>30</v>
      </c>
      <c r="E120" s="144" t="s">
        <v>71</v>
      </c>
      <c r="F120" s="144" t="s">
        <v>72</v>
      </c>
      <c r="G120" s="148" t="s">
        <v>82</v>
      </c>
      <c r="H120" s="144" t="s">
        <v>73</v>
      </c>
      <c r="I120" s="144" t="s">
        <v>74</v>
      </c>
      <c r="J120" s="144" t="s">
        <v>75</v>
      </c>
      <c r="K120" s="148" t="s">
        <v>83</v>
      </c>
      <c r="L120" s="170" t="s">
        <v>39</v>
      </c>
      <c r="M120" s="144" t="s">
        <v>76</v>
      </c>
      <c r="N120" s="144" t="s">
        <v>77</v>
      </c>
      <c r="O120" s="144" t="s">
        <v>78</v>
      </c>
      <c r="P120" s="148" t="s">
        <v>84</v>
      </c>
      <c r="Q120" s="170" t="s">
        <v>85</v>
      </c>
      <c r="R120" s="144" t="s">
        <v>79</v>
      </c>
      <c r="S120" s="144" t="s">
        <v>80</v>
      </c>
      <c r="T120" s="144" t="s">
        <v>81</v>
      </c>
      <c r="U120" s="148" t="s">
        <v>86</v>
      </c>
      <c r="V120" s="320" t="s">
        <v>87</v>
      </c>
    </row>
    <row r="121" spans="1:22" ht="15.75">
      <c r="B121" s="318">
        <v>0.2</v>
      </c>
      <c r="C121" s="144" t="s">
        <v>60</v>
      </c>
      <c r="D121" s="146">
        <f t="shared" ref="D121:D134" si="20">D24*$B24</f>
        <v>1.9913333333333334</v>
      </c>
      <c r="E121" s="146">
        <f t="shared" ref="E121:V134" si="21">E24*$B24</f>
        <v>1.5180645161290325</v>
      </c>
      <c r="F121" s="146">
        <f t="shared" si="21"/>
        <v>1.3540000000000001</v>
      </c>
      <c r="G121" s="149">
        <f t="shared" si="21"/>
        <v>1.62</v>
      </c>
      <c r="H121" s="146">
        <f t="shared" si="21"/>
        <v>1.3941935483870969</v>
      </c>
      <c r="I121" s="146">
        <f t="shared" si="21"/>
        <v>1.2496774193548388</v>
      </c>
      <c r="J121" s="146">
        <f t="shared" si="21"/>
        <v>1.4824666666666668</v>
      </c>
      <c r="K121" s="149">
        <f t="shared" si="21"/>
        <v>1.3742826086956521</v>
      </c>
      <c r="L121" s="172">
        <f t="shared" si="21"/>
        <v>1.4964699453551913</v>
      </c>
      <c r="M121" s="146">
        <f t="shared" si="21"/>
        <v>2.1221290322580648</v>
      </c>
      <c r="N121" s="146">
        <f t="shared" si="21"/>
        <v>2.2296</v>
      </c>
      <c r="O121" s="146">
        <f t="shared" si="21"/>
        <v>2.6141935483870968</v>
      </c>
      <c r="P121" s="149">
        <f t="shared" si="21"/>
        <v>2.322978260869565</v>
      </c>
      <c r="Q121" s="172">
        <f t="shared" si="21"/>
        <v>1.7729745454545456</v>
      </c>
      <c r="R121" s="146">
        <f t="shared" si="21"/>
        <v>2.3322580000000004</v>
      </c>
      <c r="S121" s="146">
        <f t="shared" si="21"/>
        <v>2.475714</v>
      </c>
      <c r="T121" s="146">
        <f t="shared" si="21"/>
        <v>2.3819354838709681</v>
      </c>
      <c r="U121" s="149">
        <f t="shared" si="21"/>
        <v>2.3939998888888891</v>
      </c>
      <c r="V121" s="173">
        <f t="shared" si="21"/>
        <v>1.926104082191781</v>
      </c>
    </row>
    <row r="122" spans="1:22" ht="15.75">
      <c r="B122" s="318">
        <v>0.26</v>
      </c>
      <c r="C122" s="144" t="s">
        <v>61</v>
      </c>
      <c r="D122" s="146">
        <f t="shared" si="20"/>
        <v>2.6852713333333336</v>
      </c>
      <c r="E122" s="146">
        <f t="shared" ref="E122:S122" si="22">E25*$B25</f>
        <v>2.7120432258064513</v>
      </c>
      <c r="F122" s="146">
        <f t="shared" si="22"/>
        <v>2.7631066666666664</v>
      </c>
      <c r="G122" s="149">
        <f t="shared" si="22"/>
        <v>2.7200514285714283</v>
      </c>
      <c r="H122" s="146">
        <f t="shared" si="22"/>
        <v>2.3523793548387095</v>
      </c>
      <c r="I122" s="146">
        <f t="shared" si="22"/>
        <v>2.84533935483871</v>
      </c>
      <c r="J122" s="146">
        <f t="shared" si="22"/>
        <v>2.9267159999999999</v>
      </c>
      <c r="K122" s="149">
        <f t="shared" si="22"/>
        <v>2.7057691304347826</v>
      </c>
      <c r="L122" s="172">
        <f t="shared" si="22"/>
        <v>2.712871256830601</v>
      </c>
      <c r="M122" s="146">
        <f t="shared" si="22"/>
        <v>2.8977419354838707</v>
      </c>
      <c r="N122" s="146">
        <f t="shared" si="22"/>
        <v>2.9123986666666668</v>
      </c>
      <c r="O122" s="146">
        <f t="shared" si="22"/>
        <v>3.0529200000000003</v>
      </c>
      <c r="P122" s="149">
        <f t="shared" si="22"/>
        <v>2.9548095652173916</v>
      </c>
      <c r="Q122" s="172">
        <f t="shared" si="22"/>
        <v>2.7938106181818183</v>
      </c>
      <c r="R122" s="146">
        <f t="shared" si="22"/>
        <v>2.9135033870967746</v>
      </c>
      <c r="S122" s="146">
        <f t="shared" si="22"/>
        <v>2.9673985714285713</v>
      </c>
      <c r="T122" s="146">
        <f t="shared" si="21"/>
        <v>2.912721290322581</v>
      </c>
      <c r="U122" s="149">
        <f t="shared" si="21"/>
        <v>2.9300013888888889</v>
      </c>
      <c r="V122" s="173">
        <f t="shared" si="21"/>
        <v>2.827391904109589</v>
      </c>
    </row>
    <row r="123" spans="1:22" ht="15.75">
      <c r="B123" s="318">
        <v>1</v>
      </c>
      <c r="C123" s="144" t="s">
        <v>62</v>
      </c>
      <c r="D123" s="146">
        <f t="shared" si="20"/>
        <v>0.30636666666666668</v>
      </c>
      <c r="E123" s="146">
        <f t="shared" si="21"/>
        <v>0.22177419354838709</v>
      </c>
      <c r="F123" s="146">
        <f t="shared" si="21"/>
        <v>8.0166666666666664E-2</v>
      </c>
      <c r="G123" s="149">
        <f t="shared" si="21"/>
        <v>0.20297802197802201</v>
      </c>
      <c r="H123" s="146">
        <f t="shared" si="21"/>
        <v>0.28200000000000003</v>
      </c>
      <c r="I123" s="146">
        <f t="shared" si="21"/>
        <v>0.2860967741935484</v>
      </c>
      <c r="J123" s="146">
        <f t="shared" si="21"/>
        <v>0.22140000000000001</v>
      </c>
      <c r="K123" s="149">
        <f t="shared" si="21"/>
        <v>0.26361956521739133</v>
      </c>
      <c r="L123" s="172">
        <f t="shared" si="21"/>
        <v>0.23346448087431695</v>
      </c>
      <c r="M123" s="146">
        <f t="shared" si="21"/>
        <v>0.2734838709677419</v>
      </c>
      <c r="N123" s="146">
        <f t="shared" si="21"/>
        <v>0.27033333333333331</v>
      </c>
      <c r="O123" s="146">
        <f t="shared" si="21"/>
        <v>0.28064516129032258</v>
      </c>
      <c r="P123" s="149">
        <f t="shared" si="21"/>
        <v>0.27486956521739131</v>
      </c>
      <c r="Q123" s="172">
        <f t="shared" si="21"/>
        <v>0.24731636363636364</v>
      </c>
      <c r="R123" s="146">
        <f t="shared" si="21"/>
        <v>0.28961032258064512</v>
      </c>
      <c r="S123" s="146">
        <f t="shared" si="21"/>
        <v>0.28646428571428573</v>
      </c>
      <c r="T123" s="146">
        <f t="shared" si="21"/>
        <v>0.25277419354838709</v>
      </c>
      <c r="U123" s="149">
        <f t="shared" si="21"/>
        <v>0.2759435555555555</v>
      </c>
      <c r="V123" s="173">
        <f t="shared" si="21"/>
        <v>0.25437512328767126</v>
      </c>
    </row>
    <row r="124" spans="1:22" ht="15.75">
      <c r="A124" s="768">
        <v>2.9250000000000002E-2</v>
      </c>
      <c r="B124" s="318">
        <v>2.3099999999999999E-2</v>
      </c>
      <c r="C124" s="144" t="s">
        <v>57</v>
      </c>
      <c r="D124" s="146">
        <f t="shared" si="20"/>
        <v>0.18628763999999998</v>
      </c>
      <c r="E124" s="146">
        <f t="shared" si="21"/>
        <v>0.18684323225806451</v>
      </c>
      <c r="F124" s="146">
        <f t="shared" si="21"/>
        <v>0.20524041999999998</v>
      </c>
      <c r="G124" s="149">
        <f t="shared" si="21"/>
        <v>0.19272507692307692</v>
      </c>
      <c r="H124" s="146">
        <f t="shared" si="21"/>
        <v>0.23467066451612903</v>
      </c>
      <c r="I124" s="146">
        <f t="shared" si="21"/>
        <v>0.24291959999999999</v>
      </c>
      <c r="J124" s="146">
        <f t="shared" si="21"/>
        <v>0.22944382999999999</v>
      </c>
      <c r="K124" s="149">
        <f t="shared" si="21"/>
        <v>0.23574579456521741</v>
      </c>
      <c r="L124" s="172">
        <f t="shared" si="21"/>
        <v>0.2143529786885246</v>
      </c>
      <c r="M124" s="146">
        <f t="shared" si="21"/>
        <v>0.20744396129032255</v>
      </c>
      <c r="N124" s="146">
        <f t="shared" si="21"/>
        <v>0.27393820531000002</v>
      </c>
      <c r="O124" s="146">
        <f t="shared" si="21"/>
        <v>0.31043121290322578</v>
      </c>
      <c r="P124" s="149">
        <f t="shared" si="21"/>
        <v>0.26382909303586954</v>
      </c>
      <c r="Q124" s="172">
        <f t="shared" si="21"/>
        <v>0.230904987852</v>
      </c>
      <c r="R124" s="146">
        <f t="shared" si="21"/>
        <v>0.30861676006451616</v>
      </c>
      <c r="S124" s="146">
        <f t="shared" si="21"/>
        <v>0.33733014149999996</v>
      </c>
      <c r="T124" s="146">
        <f t="shared" si="21"/>
        <v>0.290829</v>
      </c>
      <c r="U124" s="149">
        <f t="shared" si="21"/>
        <v>0.31142291693333329</v>
      </c>
      <c r="V124" s="173">
        <f t="shared" si="21"/>
        <v>0.25075872378986297</v>
      </c>
    </row>
    <row r="125" spans="1:22" ht="15.75">
      <c r="B125" s="318">
        <v>0.27</v>
      </c>
      <c r="C125" s="144" t="s">
        <v>58</v>
      </c>
      <c r="D125" s="146">
        <f t="shared" si="20"/>
        <v>4.4009999999999994E-2</v>
      </c>
      <c r="E125" s="146">
        <f t="shared" si="21"/>
        <v>7.5164516129032272E-2</v>
      </c>
      <c r="F125" s="146">
        <f t="shared" si="21"/>
        <v>5.7843000000000006E-2</v>
      </c>
      <c r="G125" s="149">
        <f t="shared" si="21"/>
        <v>5.9183406593406596E-2</v>
      </c>
      <c r="H125" s="146">
        <f t="shared" si="21"/>
        <v>9.0188709677419363E-2</v>
      </c>
      <c r="I125" s="146">
        <f t="shared" si="21"/>
        <v>0.10594451612903226</v>
      </c>
      <c r="J125" s="146">
        <f t="shared" si="21"/>
        <v>7.0172999999999999E-2</v>
      </c>
      <c r="K125" s="149">
        <f t="shared" si="21"/>
        <v>8.8970869565217395E-2</v>
      </c>
      <c r="L125" s="172">
        <f t="shared" si="21"/>
        <v>7.4158524590163935E-2</v>
      </c>
      <c r="M125" s="146">
        <f t="shared" si="21"/>
        <v>6.4704193548387107E-2</v>
      </c>
      <c r="N125" s="146">
        <f t="shared" si="21"/>
        <v>6.6429000000000016E-2</v>
      </c>
      <c r="O125" s="146">
        <f t="shared" si="21"/>
        <v>8.7967741935483873E-2</v>
      </c>
      <c r="P125" s="149">
        <f t="shared" si="21"/>
        <v>7.3105434782608697E-2</v>
      </c>
      <c r="Q125" s="172">
        <f t="shared" si="21"/>
        <v>7.3806218181818165E-2</v>
      </c>
      <c r="R125" s="146">
        <f t="shared" si="21"/>
        <v>8.2193487096774195E-2</v>
      </c>
      <c r="S125" s="146">
        <f t="shared" si="21"/>
        <v>6.3585000000000003E-2</v>
      </c>
      <c r="T125" s="146">
        <f t="shared" si="21"/>
        <v>7.9658709677419365E-2</v>
      </c>
      <c r="U125" s="149">
        <f t="shared" si="21"/>
        <v>7.5531090000000009E-2</v>
      </c>
      <c r="V125" s="173">
        <f t="shared" si="21"/>
        <v>7.4231529041095895E-2</v>
      </c>
    </row>
    <row r="126" spans="1:22" ht="15.75">
      <c r="B126" s="319">
        <v>0.5</v>
      </c>
      <c r="C126" s="144" t="s">
        <v>59</v>
      </c>
      <c r="D126" s="146">
        <f t="shared" si="20"/>
        <v>9.7833333333333331E-3</v>
      </c>
      <c r="E126" s="146">
        <f t="shared" si="21"/>
        <v>1.1290322580645161E-2</v>
      </c>
      <c r="F126" s="146">
        <f t="shared" si="21"/>
        <v>1.1566666666666666E-2</v>
      </c>
      <c r="G126" s="149">
        <f t="shared" si="21"/>
        <v>1.0884615384615383E-2</v>
      </c>
      <c r="H126" s="146">
        <f t="shared" si="21"/>
        <v>1.1096774193548386E-2</v>
      </c>
      <c r="I126" s="146">
        <f t="shared" si="21"/>
        <v>1.3548387096774193E-2</v>
      </c>
      <c r="J126" s="146">
        <f t="shared" si="21"/>
        <v>1.4316666666666667E-2</v>
      </c>
      <c r="K126" s="149">
        <f t="shared" si="21"/>
        <v>1.2972826086956522E-2</v>
      </c>
      <c r="L126" s="172">
        <f t="shared" si="21"/>
        <v>1.1934426229508195E-2</v>
      </c>
      <c r="M126" s="146">
        <f t="shared" si="21"/>
        <v>1.15E-2</v>
      </c>
      <c r="N126" s="146">
        <f t="shared" si="21"/>
        <v>1.1599999999999999E-2</v>
      </c>
      <c r="O126" s="146">
        <f t="shared" si="21"/>
        <v>1.2306451612903226E-2</v>
      </c>
      <c r="P126" s="149">
        <f t="shared" si="21"/>
        <v>1.1804347826086956E-2</v>
      </c>
      <c r="Q126" s="172">
        <f t="shared" si="21"/>
        <v>1.1890909090909089E-2</v>
      </c>
      <c r="R126" s="146">
        <f t="shared" si="21"/>
        <v>1.1296935483870967E-2</v>
      </c>
      <c r="S126" s="146">
        <f t="shared" si="21"/>
        <v>1.1895000000000001E-2</v>
      </c>
      <c r="T126" s="146">
        <f t="shared" si="21"/>
        <v>1.1469999999999999E-2</v>
      </c>
      <c r="U126" s="149">
        <f t="shared" si="21"/>
        <v>1.1542611111111111E-2</v>
      </c>
      <c r="V126" s="173">
        <f t="shared" si="21"/>
        <v>1.1805027397260274E-2</v>
      </c>
    </row>
    <row r="127" spans="1:22" ht="15.75">
      <c r="B127" s="318">
        <v>0.7</v>
      </c>
      <c r="C127" s="144" t="s">
        <v>63</v>
      </c>
      <c r="D127" s="146">
        <f t="shared" si="20"/>
        <v>2.8E-3</v>
      </c>
      <c r="E127" s="146">
        <f t="shared" si="21"/>
        <v>2.6419354838709678E-3</v>
      </c>
      <c r="F127" s="146">
        <f t="shared" si="21"/>
        <v>3.3133333333333331E-3</v>
      </c>
      <c r="G127" s="149">
        <f t="shared" si="21"/>
        <v>2.9153846153846153E-3</v>
      </c>
      <c r="H127" s="146">
        <f t="shared" si="21"/>
        <v>3.3870967741935483E-3</v>
      </c>
      <c r="I127" s="146">
        <f t="shared" si="21"/>
        <v>3.4322580645161286E-3</v>
      </c>
      <c r="J127" s="146">
        <f t="shared" si="21"/>
        <v>3.6399999999999996E-3</v>
      </c>
      <c r="K127" s="149">
        <f t="shared" si="21"/>
        <v>3.4847826086956512E-3</v>
      </c>
      <c r="L127" s="172">
        <f t="shared" si="21"/>
        <v>3.2016393442622945E-3</v>
      </c>
      <c r="M127" s="146">
        <f t="shared" si="21"/>
        <v>2.5516129032258062E-3</v>
      </c>
      <c r="N127" s="146">
        <f t="shared" si="21"/>
        <v>2.0533333333333332E-3</v>
      </c>
      <c r="O127" s="146">
        <f t="shared" si="21"/>
        <v>1.6709677419354837E-3</v>
      </c>
      <c r="P127" s="149">
        <f t="shared" si="21"/>
        <v>2.0923913043478259E-3</v>
      </c>
      <c r="Q127" s="172">
        <f t="shared" si="21"/>
        <v>2.8305454545454545E-3</v>
      </c>
      <c r="R127" s="146">
        <f t="shared" si="21"/>
        <v>2.3140645161290321E-3</v>
      </c>
      <c r="S127" s="146">
        <f t="shared" si="21"/>
        <v>2.6752499999999997E-3</v>
      </c>
      <c r="T127" s="146">
        <f t="shared" si="21"/>
        <v>2.755290322580645E-3</v>
      </c>
      <c r="U127" s="149">
        <f t="shared" si="21"/>
        <v>2.5784111111111108E-3</v>
      </c>
      <c r="V127" s="173">
        <f t="shared" si="21"/>
        <v>2.7683753424657532E-3</v>
      </c>
    </row>
    <row r="128" spans="1:22" ht="15.75">
      <c r="B128" s="318">
        <v>0.11</v>
      </c>
      <c r="C128" s="144" t="s">
        <v>64</v>
      </c>
      <c r="D128" s="146">
        <f t="shared" si="20"/>
        <v>2.5560333333333334E-2</v>
      </c>
      <c r="E128" s="146">
        <f t="shared" si="21"/>
        <v>2.4515806451612904E-2</v>
      </c>
      <c r="F128" s="146">
        <f t="shared" si="21"/>
        <v>2.3624333333333334E-2</v>
      </c>
      <c r="G128" s="149">
        <f t="shared" si="21"/>
        <v>2.4566263736263735E-2</v>
      </c>
      <c r="H128" s="146">
        <f t="shared" si="21"/>
        <v>2.3437096774193551E-2</v>
      </c>
      <c r="I128" s="146">
        <f t="shared" si="21"/>
        <v>2.219516129032258E-2</v>
      </c>
      <c r="J128" s="146">
        <f t="shared" si="21"/>
        <v>2.3642666666666666E-2</v>
      </c>
      <c r="K128" s="149">
        <f t="shared" si="21"/>
        <v>2.3085652173913045E-2</v>
      </c>
      <c r="L128" s="172">
        <f t="shared" si="21"/>
        <v>2.3821912568306011E-2</v>
      </c>
      <c r="M128" s="146">
        <f t="shared" si="21"/>
        <v>2.280548387096774E-2</v>
      </c>
      <c r="N128" s="146">
        <f t="shared" si="21"/>
        <v>2.4889333333333333E-2</v>
      </c>
      <c r="O128" s="146">
        <f t="shared" si="21"/>
        <v>2.5832258064516129E-2</v>
      </c>
      <c r="P128" s="149">
        <f t="shared" si="21"/>
        <v>2.4504891304347829E-2</v>
      </c>
      <c r="Q128" s="172">
        <f t="shared" si="21"/>
        <v>2.4050400000000003E-2</v>
      </c>
      <c r="R128" s="146">
        <f t="shared" si="21"/>
        <v>2.7275422580645161E-2</v>
      </c>
      <c r="S128" s="146">
        <f t="shared" si="21"/>
        <v>2.3993082142857145E-2</v>
      </c>
      <c r="T128" s="146">
        <f t="shared" si="21"/>
        <v>2.2661506127278616E-2</v>
      </c>
      <c r="U128" s="149">
        <f t="shared" si="21"/>
        <v>2.4665012110507079E-2</v>
      </c>
      <c r="V128" s="173">
        <f t="shared" si="21"/>
        <v>2.4201948191631885E-2</v>
      </c>
    </row>
    <row r="129" spans="1:22" ht="15.75">
      <c r="B129" s="318">
        <v>0.4</v>
      </c>
      <c r="C129" s="144" t="s">
        <v>65</v>
      </c>
      <c r="D129" s="146">
        <f t="shared" si="20"/>
        <v>4.308E-2</v>
      </c>
      <c r="E129" s="146">
        <f t="shared" si="21"/>
        <v>4.5509677419354841E-2</v>
      </c>
      <c r="F129" s="146">
        <f t="shared" si="21"/>
        <v>2.6586666666666665E-2</v>
      </c>
      <c r="G129" s="149">
        <f t="shared" si="21"/>
        <v>3.8470329670329671E-2</v>
      </c>
      <c r="H129" s="146">
        <f t="shared" si="21"/>
        <v>4.6270967741935481E-2</v>
      </c>
      <c r="I129" s="146">
        <f t="shared" si="21"/>
        <v>4.8000000000000008E-2</v>
      </c>
      <c r="J129" s="146">
        <f t="shared" si="21"/>
        <v>4.525333333333334E-2</v>
      </c>
      <c r="K129" s="149">
        <f t="shared" si="21"/>
        <v>4.652173913043478E-2</v>
      </c>
      <c r="L129" s="172">
        <f t="shared" si="21"/>
        <v>4.2518032786885242E-2</v>
      </c>
      <c r="M129" s="146">
        <f t="shared" si="21"/>
        <v>6.4270967741935484E-2</v>
      </c>
      <c r="N129" s="146">
        <f t="shared" si="21"/>
        <v>4.7573333333333336E-2</v>
      </c>
      <c r="O129" s="146">
        <f t="shared" si="21"/>
        <v>4.6748387096774202E-2</v>
      </c>
      <c r="P129" s="149">
        <f t="shared" si="21"/>
        <v>5.292173913043479E-2</v>
      </c>
      <c r="Q129" s="172">
        <f t="shared" si="21"/>
        <v>4.5998545454545459E-2</v>
      </c>
      <c r="R129" s="146">
        <f t="shared" si="21"/>
        <v>5.5791612903225811E-2</v>
      </c>
      <c r="S129" s="146">
        <f t="shared" si="21"/>
        <v>4.5295857142857145E-2</v>
      </c>
      <c r="T129" s="146">
        <f t="shared" si="21"/>
        <v>3.27625150142404E-2</v>
      </c>
      <c r="U129" s="149">
        <f t="shared" si="21"/>
        <v>4.4594021838238358E-2</v>
      </c>
      <c r="V129" s="173">
        <f t="shared" si="21"/>
        <v>4.5652224562853297E-2</v>
      </c>
    </row>
    <row r="130" spans="1:22" ht="15.75">
      <c r="B130" s="318">
        <v>0.04</v>
      </c>
      <c r="C130" s="144" t="s">
        <v>66</v>
      </c>
      <c r="D130" s="146">
        <f t="shared" si="20"/>
        <v>0</v>
      </c>
      <c r="E130" s="146">
        <f t="shared" si="21"/>
        <v>0</v>
      </c>
      <c r="F130" s="146">
        <f t="shared" si="21"/>
        <v>0</v>
      </c>
      <c r="G130" s="149">
        <f t="shared" si="21"/>
        <v>0</v>
      </c>
      <c r="H130" s="146">
        <f t="shared" si="21"/>
        <v>0</v>
      </c>
      <c r="I130" s="146">
        <f t="shared" si="21"/>
        <v>0</v>
      </c>
      <c r="J130" s="146">
        <f t="shared" si="21"/>
        <v>0</v>
      </c>
      <c r="K130" s="149">
        <f t="shared" si="21"/>
        <v>0</v>
      </c>
      <c r="L130" s="172">
        <f t="shared" si="21"/>
        <v>0</v>
      </c>
      <c r="M130" s="146">
        <f t="shared" si="21"/>
        <v>0</v>
      </c>
      <c r="N130" s="146">
        <f t="shared" si="21"/>
        <v>0</v>
      </c>
      <c r="O130" s="146">
        <f t="shared" si="21"/>
        <v>0</v>
      </c>
      <c r="P130" s="149">
        <f t="shared" si="21"/>
        <v>0</v>
      </c>
      <c r="Q130" s="172">
        <f t="shared" si="21"/>
        <v>0</v>
      </c>
      <c r="R130" s="146">
        <f t="shared" si="21"/>
        <v>0</v>
      </c>
      <c r="S130" s="146">
        <f t="shared" si="21"/>
        <v>0</v>
      </c>
      <c r="T130" s="146">
        <f t="shared" si="21"/>
        <v>0</v>
      </c>
      <c r="U130" s="149">
        <f t="shared" si="21"/>
        <v>0</v>
      </c>
      <c r="V130" s="173">
        <f t="shared" si="21"/>
        <v>0</v>
      </c>
    </row>
    <row r="131" spans="1:22" ht="15.75">
      <c r="B131" s="318">
        <v>0.25</v>
      </c>
      <c r="C131" s="144" t="s">
        <v>67</v>
      </c>
      <c r="D131" s="146">
        <f t="shared" si="20"/>
        <v>0</v>
      </c>
      <c r="E131" s="146">
        <f t="shared" si="21"/>
        <v>0</v>
      </c>
      <c r="F131" s="146">
        <f t="shared" si="21"/>
        <v>0</v>
      </c>
      <c r="G131" s="149">
        <f t="shared" si="21"/>
        <v>0</v>
      </c>
      <c r="H131" s="146">
        <f t="shared" si="21"/>
        <v>0</v>
      </c>
      <c r="I131" s="146">
        <f t="shared" si="21"/>
        <v>0</v>
      </c>
      <c r="J131" s="146">
        <f t="shared" si="21"/>
        <v>0</v>
      </c>
      <c r="K131" s="149">
        <f t="shared" si="21"/>
        <v>0</v>
      </c>
      <c r="L131" s="172">
        <f t="shared" si="21"/>
        <v>0</v>
      </c>
      <c r="M131" s="146">
        <f t="shared" si="21"/>
        <v>0</v>
      </c>
      <c r="N131" s="146">
        <f t="shared" si="21"/>
        <v>0</v>
      </c>
      <c r="O131" s="146">
        <f t="shared" si="21"/>
        <v>0</v>
      </c>
      <c r="P131" s="149">
        <f t="shared" si="21"/>
        <v>0</v>
      </c>
      <c r="Q131" s="172">
        <f t="shared" si="21"/>
        <v>0</v>
      </c>
      <c r="R131" s="146">
        <f t="shared" si="21"/>
        <v>0</v>
      </c>
      <c r="S131" s="146">
        <f t="shared" si="21"/>
        <v>0</v>
      </c>
      <c r="T131" s="146">
        <f t="shared" si="21"/>
        <v>0</v>
      </c>
      <c r="U131" s="149">
        <f t="shared" si="21"/>
        <v>0</v>
      </c>
      <c r="V131" s="173">
        <f t="shared" si="21"/>
        <v>0</v>
      </c>
    </row>
    <row r="132" spans="1:22" ht="15.75">
      <c r="B132" s="318">
        <v>0.24124999999999999</v>
      </c>
      <c r="C132" s="144" t="s">
        <v>68</v>
      </c>
      <c r="D132" s="146">
        <f t="shared" si="20"/>
        <v>0</v>
      </c>
      <c r="E132" s="146">
        <f t="shared" si="21"/>
        <v>0</v>
      </c>
      <c r="F132" s="146">
        <f t="shared" si="21"/>
        <v>0</v>
      </c>
      <c r="G132" s="149">
        <f t="shared" si="21"/>
        <v>0</v>
      </c>
      <c r="H132" s="146">
        <f t="shared" si="21"/>
        <v>0</v>
      </c>
      <c r="I132" s="146">
        <f t="shared" si="21"/>
        <v>0</v>
      </c>
      <c r="J132" s="146">
        <f t="shared" si="21"/>
        <v>0</v>
      </c>
      <c r="K132" s="149">
        <f t="shared" si="21"/>
        <v>0</v>
      </c>
      <c r="L132" s="172">
        <f t="shared" si="21"/>
        <v>0</v>
      </c>
      <c r="M132" s="146">
        <f t="shared" si="21"/>
        <v>0</v>
      </c>
      <c r="N132" s="146">
        <f t="shared" si="21"/>
        <v>0</v>
      </c>
      <c r="O132" s="146">
        <f t="shared" si="21"/>
        <v>0</v>
      </c>
      <c r="P132" s="149">
        <f t="shared" si="21"/>
        <v>0</v>
      </c>
      <c r="Q132" s="172">
        <f t="shared" si="21"/>
        <v>0</v>
      </c>
      <c r="R132" s="146">
        <f t="shared" si="21"/>
        <v>0</v>
      </c>
      <c r="S132" s="146">
        <f t="shared" si="21"/>
        <v>0</v>
      </c>
      <c r="T132" s="146">
        <f t="shared" si="21"/>
        <v>0</v>
      </c>
      <c r="U132" s="149">
        <f t="shared" si="21"/>
        <v>0</v>
      </c>
      <c r="V132" s="173">
        <f t="shared" si="21"/>
        <v>0</v>
      </c>
    </row>
    <row r="133" spans="1:22" ht="15.75">
      <c r="B133" s="318">
        <v>0.45</v>
      </c>
      <c r="C133" s="144" t="s">
        <v>69</v>
      </c>
      <c r="D133" s="146">
        <f t="shared" si="20"/>
        <v>0.92152500000000015</v>
      </c>
      <c r="E133" s="146">
        <f t="shared" si="21"/>
        <v>0.86926935483870971</v>
      </c>
      <c r="F133" s="146">
        <f t="shared" si="21"/>
        <v>0.75948000000000004</v>
      </c>
      <c r="G133" s="149">
        <f t="shared" si="21"/>
        <v>0.85030219780219785</v>
      </c>
      <c r="H133" s="146">
        <f t="shared" si="21"/>
        <v>0.6997209677419356</v>
      </c>
      <c r="I133" s="146">
        <f t="shared" si="21"/>
        <v>0.47361774193548389</v>
      </c>
      <c r="J133" s="146">
        <f t="shared" si="21"/>
        <v>0.32968500000000001</v>
      </c>
      <c r="K133" s="149">
        <f t="shared" si="21"/>
        <v>0.50287010869565218</v>
      </c>
      <c r="L133" s="172">
        <f t="shared" si="21"/>
        <v>0.67563688524590171</v>
      </c>
      <c r="M133" s="146">
        <f t="shared" si="21"/>
        <v>0.25247903225806456</v>
      </c>
      <c r="N133" s="146">
        <f t="shared" si="21"/>
        <v>0.18408000000000002</v>
      </c>
      <c r="O133" s="146">
        <f t="shared" si="21"/>
        <v>0.20911935483870969</v>
      </c>
      <c r="P133" s="149">
        <f t="shared" si="21"/>
        <v>0.21556467391304349</v>
      </c>
      <c r="Q133" s="172">
        <f t="shared" si="21"/>
        <v>0.52172181818181829</v>
      </c>
      <c r="R133" s="146">
        <f t="shared" si="21"/>
        <v>0.20650645161290324</v>
      </c>
      <c r="S133" s="146">
        <f t="shared" si="21"/>
        <v>0.18790730357142857</v>
      </c>
      <c r="T133" s="146">
        <f t="shared" si="21"/>
        <v>0.1276983870967742</v>
      </c>
      <c r="U133" s="149">
        <f t="shared" si="21"/>
        <v>0.17357505000000004</v>
      </c>
      <c r="V133" s="173">
        <f t="shared" si="21"/>
        <v>0.43587740958904114</v>
      </c>
    </row>
    <row r="134" spans="1:22" ht="15.75">
      <c r="B134" s="318">
        <v>0.17</v>
      </c>
      <c r="C134" s="144" t="s">
        <v>70</v>
      </c>
      <c r="D134" s="146">
        <f t="shared" si="20"/>
        <v>2.3421806666666671</v>
      </c>
      <c r="E134" s="146">
        <f t="shared" si="21"/>
        <v>2.3461590322580648</v>
      </c>
      <c r="F134" s="146">
        <f t="shared" si="21"/>
        <v>2.1660096666666671</v>
      </c>
      <c r="G134" s="149">
        <f t="shared" si="21"/>
        <v>2.2854575824175827</v>
      </c>
      <c r="H134" s="146">
        <f t="shared" si="21"/>
        <v>2.493115806451613</v>
      </c>
      <c r="I134" s="146">
        <f t="shared" si="21"/>
        <v>2.3777351612903228</v>
      </c>
      <c r="J134" s="146">
        <f t="shared" si="21"/>
        <v>2.1274196666666669</v>
      </c>
      <c r="K134" s="149">
        <f t="shared" si="21"/>
        <v>2.3349888043478262</v>
      </c>
      <c r="L134" s="172">
        <f t="shared" si="21"/>
        <v>2.3103585245901646</v>
      </c>
      <c r="M134" s="146">
        <f t="shared" si="21"/>
        <v>2.144275806451613</v>
      </c>
      <c r="N134" s="146">
        <f t="shared" si="21"/>
        <v>2.0984573333333332</v>
      </c>
      <c r="O134" s="146">
        <f t="shared" si="21"/>
        <v>2.2870483870967742</v>
      </c>
      <c r="P134" s="149">
        <f t="shared" si="21"/>
        <v>2.1774431521739128</v>
      </c>
      <c r="Q134" s="172">
        <f t="shared" si="21"/>
        <v>2.2658922909090915</v>
      </c>
      <c r="R134" s="146">
        <f t="shared" si="21"/>
        <v>2.6815350322580644</v>
      </c>
      <c r="S134" s="146">
        <f t="shared" si="21"/>
        <v>2.6985868000000002</v>
      </c>
      <c r="T134" s="146">
        <f t="shared" si="21"/>
        <v>2.2736577612903228</v>
      </c>
      <c r="U134" s="149">
        <f t="shared" si="21"/>
        <v>2.5463489666666668</v>
      </c>
      <c r="V134" s="173">
        <f t="shared" si="21"/>
        <v>2.335045991780822</v>
      </c>
    </row>
    <row r="135" spans="1:22" ht="15.75">
      <c r="C135" s="145" t="s">
        <v>92</v>
      </c>
      <c r="D135" s="152">
        <f>SUM(D121:D134)</f>
        <v>8.5581983066666663</v>
      </c>
      <c r="E135" s="152">
        <f t="shared" ref="E135:V135" si="23">SUM(E121:E134)</f>
        <v>8.0132758129032275</v>
      </c>
      <c r="F135" s="152">
        <f t="shared" si="23"/>
        <v>7.4509374200000007</v>
      </c>
      <c r="G135" s="153">
        <f t="shared" si="23"/>
        <v>8.0075343076923069</v>
      </c>
      <c r="H135" s="152">
        <f t="shared" si="23"/>
        <v>7.6304609870967735</v>
      </c>
      <c r="I135" s="152">
        <f t="shared" si="23"/>
        <v>7.668506374193548</v>
      </c>
      <c r="J135" s="152">
        <f t="shared" si="23"/>
        <v>7.4741568299999983</v>
      </c>
      <c r="K135" s="153">
        <f t="shared" si="23"/>
        <v>7.5923118815217396</v>
      </c>
      <c r="L135" s="173">
        <f t="shared" si="23"/>
        <v>7.798788607103825</v>
      </c>
      <c r="M135" s="152">
        <f t="shared" si="23"/>
        <v>8.0633858967741929</v>
      </c>
      <c r="N135" s="152">
        <f t="shared" si="23"/>
        <v>8.1213525386433325</v>
      </c>
      <c r="O135" s="152">
        <f t="shared" si="23"/>
        <v>8.928883470967742</v>
      </c>
      <c r="P135" s="153">
        <f t="shared" si="23"/>
        <v>8.3739231147749997</v>
      </c>
      <c r="Q135" s="173">
        <f t="shared" si="23"/>
        <v>7.9911972423974564</v>
      </c>
      <c r="R135" s="152">
        <f t="shared" si="23"/>
        <v>8.9109014761935494</v>
      </c>
      <c r="S135" s="152">
        <f t="shared" si="23"/>
        <v>9.1008452915000007</v>
      </c>
      <c r="T135" s="152">
        <f t="shared" si="23"/>
        <v>8.3889241372705516</v>
      </c>
      <c r="U135" s="153">
        <f t="shared" si="23"/>
        <v>8.7902029131043022</v>
      </c>
      <c r="V135" s="173">
        <f t="shared" si="23"/>
        <v>8.1882123392840747</v>
      </c>
    </row>
    <row r="138" spans="1:22">
      <c r="C138" s="1322" t="s">
        <v>1946</v>
      </c>
      <c r="D138" s="1323"/>
      <c r="E138" s="1323"/>
      <c r="F138" s="1323"/>
      <c r="G138" s="1323"/>
      <c r="H138" s="1323"/>
      <c r="I138" s="1323"/>
      <c r="J138" s="1323"/>
      <c r="K138" s="1323"/>
      <c r="L138" s="1323"/>
      <c r="M138" s="1323"/>
      <c r="N138" s="1323"/>
      <c r="O138" s="1323"/>
      <c r="P138" s="1323"/>
      <c r="Q138" s="1323"/>
      <c r="R138" s="1323"/>
      <c r="S138" s="1323"/>
      <c r="T138" s="1323"/>
      <c r="U138" s="1323"/>
      <c r="V138" s="1324"/>
    </row>
    <row r="139" spans="1:22">
      <c r="C139" s="144"/>
      <c r="D139" s="144" t="s">
        <v>30</v>
      </c>
      <c r="E139" s="144" t="s">
        <v>71</v>
      </c>
      <c r="F139" s="144" t="s">
        <v>72</v>
      </c>
      <c r="G139" s="142" t="s">
        <v>82</v>
      </c>
      <c r="H139" s="144" t="s">
        <v>73</v>
      </c>
      <c r="I139" s="144" t="s">
        <v>74</v>
      </c>
      <c r="J139" s="144" t="s">
        <v>75</v>
      </c>
      <c r="K139" s="142" t="s">
        <v>83</v>
      </c>
      <c r="L139" s="166" t="s">
        <v>39</v>
      </c>
      <c r="M139" s="144" t="s">
        <v>76</v>
      </c>
      <c r="N139" s="144" t="s">
        <v>77</v>
      </c>
      <c r="O139" s="144" t="s">
        <v>78</v>
      </c>
      <c r="P139" s="142" t="s">
        <v>84</v>
      </c>
      <c r="Q139" s="166" t="s">
        <v>85</v>
      </c>
      <c r="R139" s="144" t="s">
        <v>79</v>
      </c>
      <c r="S139" s="144" t="s">
        <v>80</v>
      </c>
      <c r="T139" s="144" t="s">
        <v>81</v>
      </c>
      <c r="U139" s="142" t="s">
        <v>86</v>
      </c>
      <c r="V139" s="168" t="s">
        <v>87</v>
      </c>
    </row>
    <row r="140" spans="1:22" ht="15.75">
      <c r="B140" s="318">
        <v>0.2</v>
      </c>
      <c r="C140" s="144" t="s">
        <v>60</v>
      </c>
      <c r="D140" s="141">
        <f>D6*$B6</f>
        <v>32744.7</v>
      </c>
      <c r="E140" s="141">
        <f t="shared" ref="E140:V153" si="24">E6*$B6</f>
        <v>30580.600000000002</v>
      </c>
      <c r="F140" s="141">
        <f t="shared" si="24"/>
        <v>30539.073333333334</v>
      </c>
      <c r="G140" s="143">
        <f t="shared" si="24"/>
        <v>31280.349450549449</v>
      </c>
      <c r="H140" s="141">
        <f t="shared" si="24"/>
        <v>29342.929032258067</v>
      </c>
      <c r="I140" s="141">
        <f t="shared" si="24"/>
        <v>26352.232258064516</v>
      </c>
      <c r="J140" s="141">
        <f t="shared" si="24"/>
        <v>29436</v>
      </c>
      <c r="K140" s="143">
        <f t="shared" si="24"/>
        <v>28365.543478260872</v>
      </c>
      <c r="L140" s="167">
        <f t="shared" si="24"/>
        <v>29814.982513661202</v>
      </c>
      <c r="M140" s="141">
        <f t="shared" si="24"/>
        <v>27833.63870967742</v>
      </c>
      <c r="N140" s="141">
        <f t="shared" si="24"/>
        <v>29675.273333333334</v>
      </c>
      <c r="O140" s="141">
        <f t="shared" si="24"/>
        <v>30240</v>
      </c>
      <c r="P140" s="143">
        <f t="shared" si="24"/>
        <v>29245.010869565216</v>
      </c>
      <c r="Q140" s="167">
        <f t="shared" si="24"/>
        <v>29624.301090909095</v>
      </c>
      <c r="R140" s="141">
        <f t="shared" si="24"/>
        <v>33043.503225612905</v>
      </c>
      <c r="S140" s="141">
        <f t="shared" si="24"/>
        <v>31538.857143000001</v>
      </c>
      <c r="T140" s="141">
        <f t="shared" si="24"/>
        <v>30139.161290322583</v>
      </c>
      <c r="U140" s="143">
        <f t="shared" si="24"/>
        <v>31575.006666644447</v>
      </c>
      <c r="V140" s="169">
        <f t="shared" si="24"/>
        <v>30105.296986295896</v>
      </c>
    </row>
    <row r="141" spans="1:22" ht="15.75">
      <c r="B141" s="318">
        <v>0.26</v>
      </c>
      <c r="C141" s="144" t="s">
        <v>61</v>
      </c>
      <c r="D141" s="141">
        <f>D7*$B7</f>
        <v>44822.934000000001</v>
      </c>
      <c r="E141" s="141">
        <f t="shared" ref="E141:S141" si="25">E7*$B7</f>
        <v>44458.012258064518</v>
      </c>
      <c r="F141" s="141">
        <f t="shared" si="25"/>
        <v>45116.049333333336</v>
      </c>
      <c r="G141" s="143">
        <f t="shared" si="25"/>
        <v>44795.251428571435</v>
      </c>
      <c r="H141" s="141">
        <f t="shared" si="25"/>
        <v>45799.276774193546</v>
      </c>
      <c r="I141" s="141">
        <f t="shared" si="25"/>
        <v>44713.248387096777</v>
      </c>
      <c r="J141" s="141">
        <f t="shared" si="25"/>
        <v>44787.825333333334</v>
      </c>
      <c r="K141" s="143">
        <f t="shared" si="25"/>
        <v>45103.511304347827</v>
      </c>
      <c r="L141" s="167">
        <f t="shared" si="25"/>
        <v>44950.223606557382</v>
      </c>
      <c r="M141" s="141">
        <f t="shared" si="25"/>
        <v>45236.804516129036</v>
      </c>
      <c r="N141" s="141">
        <f t="shared" si="25"/>
        <v>45060.652000000002</v>
      </c>
      <c r="O141" s="141">
        <f t="shared" si="25"/>
        <v>45410.224516129034</v>
      </c>
      <c r="P141" s="143">
        <f t="shared" si="25"/>
        <v>45237.798478260869</v>
      </c>
      <c r="Q141" s="167">
        <f t="shared" si="25"/>
        <v>45046.430472727276</v>
      </c>
      <c r="R141" s="141">
        <f t="shared" si="25"/>
        <v>44974.937967658065</v>
      </c>
      <c r="S141" s="141">
        <f t="shared" si="25"/>
        <v>44545.60140642857</v>
      </c>
      <c r="T141" s="141">
        <f t="shared" si="24"/>
        <v>44047.046906451615</v>
      </c>
      <c r="U141" s="143">
        <f t="shared" si="24"/>
        <v>44521.759671971107</v>
      </c>
      <c r="V141" s="169">
        <f t="shared" si="24"/>
        <v>44917.059590349047</v>
      </c>
    </row>
    <row r="142" spans="1:22" ht="15.75">
      <c r="B142" s="318">
        <v>1</v>
      </c>
      <c r="C142" s="144" t="s">
        <v>62</v>
      </c>
      <c r="D142" s="141">
        <f>D8*$B8</f>
        <v>2505.5</v>
      </c>
      <c r="E142" s="141">
        <f t="shared" si="24"/>
        <v>2272.483870967742</v>
      </c>
      <c r="F142" s="141">
        <f t="shared" si="24"/>
        <v>1859.0333333333333</v>
      </c>
      <c r="G142" s="143">
        <f t="shared" si="24"/>
        <v>2213</v>
      </c>
      <c r="H142" s="141">
        <f t="shared" si="24"/>
        <v>2354.0967741935483</v>
      </c>
      <c r="I142" s="141">
        <f t="shared" si="24"/>
        <v>2320.8387096774195</v>
      </c>
      <c r="J142" s="141">
        <f t="shared" si="24"/>
        <v>2072.4333333333334</v>
      </c>
      <c r="K142" s="143">
        <f t="shared" si="24"/>
        <v>2251.0434782608695</v>
      </c>
      <c r="L142" s="167">
        <f t="shared" si="24"/>
        <v>2232.1256830601092</v>
      </c>
      <c r="M142" s="141">
        <f t="shared" si="24"/>
        <v>2258.1935483870966</v>
      </c>
      <c r="N142" s="141">
        <f t="shared" si="24"/>
        <v>2217.0333333333333</v>
      </c>
      <c r="O142" s="141">
        <f t="shared" si="24"/>
        <v>2293.2258064516127</v>
      </c>
      <c r="P142" s="143">
        <f t="shared" si="24"/>
        <v>2256.5760869565215</v>
      </c>
      <c r="Q142" s="167">
        <f t="shared" si="24"/>
        <v>2240.3054545454547</v>
      </c>
      <c r="R142" s="141">
        <f t="shared" si="24"/>
        <v>2212.9032235483874</v>
      </c>
      <c r="S142" s="141">
        <f t="shared" si="24"/>
        <v>2238.3317857142856</v>
      </c>
      <c r="T142" s="141">
        <f t="shared" si="24"/>
        <v>2057.7096129032257</v>
      </c>
      <c r="U142" s="143">
        <f t="shared" si="24"/>
        <v>2167.3587547777779</v>
      </c>
      <c r="V142" s="169">
        <f t="shared" si="24"/>
        <v>2222.3185970684931</v>
      </c>
    </row>
    <row r="143" spans="1:22" ht="15.75">
      <c r="A143" s="768">
        <v>2.9250000000000002E-2</v>
      </c>
      <c r="B143" s="318">
        <v>2.3099999999999999E-2</v>
      </c>
      <c r="C143" s="144" t="s">
        <v>57</v>
      </c>
      <c r="D143" s="141">
        <f>D9*$A9</f>
        <v>9851.7929250000016</v>
      </c>
      <c r="E143" s="141">
        <f t="shared" ref="E143:V143" si="26">E9*$A9</f>
        <v>9315.8730725806454</v>
      </c>
      <c r="F143" s="141">
        <f t="shared" si="26"/>
        <v>10106.95335</v>
      </c>
      <c r="G143" s="143">
        <f t="shared" si="26"/>
        <v>9753.3456428571426</v>
      </c>
      <c r="H143" s="141">
        <f t="shared" si="26"/>
        <v>10109.635040322582</v>
      </c>
      <c r="I143" s="141">
        <f t="shared" si="26"/>
        <v>9935.1937016129032</v>
      </c>
      <c r="J143" s="141">
        <f t="shared" si="26"/>
        <v>10058.650875000001</v>
      </c>
      <c r="K143" s="143">
        <f t="shared" si="26"/>
        <v>10034.23062228261</v>
      </c>
      <c r="L143" s="167">
        <f t="shared" si="26"/>
        <v>9894.555577868854</v>
      </c>
      <c r="M143" s="141">
        <f t="shared" si="26"/>
        <v>10208.667048387097</v>
      </c>
      <c r="N143" s="141">
        <f t="shared" si="26"/>
        <v>10237.11975</v>
      </c>
      <c r="O143" s="141">
        <f t="shared" si="26"/>
        <v>10292.713620967743</v>
      </c>
      <c r="P143" s="143">
        <f t="shared" si="26"/>
        <v>10246.26514402174</v>
      </c>
      <c r="Q143" s="167">
        <f t="shared" si="26"/>
        <v>10012.218414545454</v>
      </c>
      <c r="R143" s="141">
        <f t="shared" si="26"/>
        <v>9411.1733468402435</v>
      </c>
      <c r="S143" s="141">
        <f t="shared" si="26"/>
        <v>9877.9057232874129</v>
      </c>
      <c r="T143" s="141">
        <f t="shared" si="26"/>
        <v>9724.4861370967756</v>
      </c>
      <c r="U143" s="143">
        <f t="shared" si="26"/>
        <v>9664.2978250454998</v>
      </c>
      <c r="V143" s="169">
        <f t="shared" si="26"/>
        <v>9926.4297760386162</v>
      </c>
    </row>
    <row r="144" spans="1:22" ht="15.75">
      <c r="B144" s="318">
        <v>0.27</v>
      </c>
      <c r="C144" s="144" t="s">
        <v>58</v>
      </c>
      <c r="D144" s="141">
        <f t="shared" ref="D144:D153" si="27">D10*$B10</f>
        <v>4597.9740000000002</v>
      </c>
      <c r="E144" s="141">
        <f t="shared" si="24"/>
        <v>7112.2703225806454</v>
      </c>
      <c r="F144" s="141">
        <f t="shared" si="24"/>
        <v>6055.5420000000004</v>
      </c>
      <c r="G144" s="143">
        <f t="shared" si="24"/>
        <v>5935.0094505494508</v>
      </c>
      <c r="H144" s="141">
        <f t="shared" si="24"/>
        <v>6297.6890322580648</v>
      </c>
      <c r="I144" s="141">
        <f t="shared" si="24"/>
        <v>8062.130322580646</v>
      </c>
      <c r="J144" s="141">
        <f t="shared" si="24"/>
        <v>6815.8080000000009</v>
      </c>
      <c r="K144" s="143">
        <f t="shared" si="24"/>
        <v>7061.180869565218</v>
      </c>
      <c r="L144" s="167">
        <f t="shared" si="24"/>
        <v>6501.1721311475412</v>
      </c>
      <c r="M144" s="141">
        <f t="shared" si="24"/>
        <v>5982.4422580645169</v>
      </c>
      <c r="N144" s="141">
        <f t="shared" si="24"/>
        <v>6214.5090000000009</v>
      </c>
      <c r="O144" s="141">
        <f t="shared" si="24"/>
        <v>8644.2503225806449</v>
      </c>
      <c r="P144" s="143">
        <f t="shared" si="24"/>
        <v>6955.0297826086962</v>
      </c>
      <c r="Q144" s="167">
        <f t="shared" si="24"/>
        <v>6653.0081454545461</v>
      </c>
      <c r="R144" s="141">
        <f t="shared" si="24"/>
        <v>7650.4064516129038</v>
      </c>
      <c r="S144" s="141">
        <f t="shared" si="24"/>
        <v>6091.238571428572</v>
      </c>
      <c r="T144" s="141">
        <f t="shared" si="24"/>
        <v>6947.9796774193555</v>
      </c>
      <c r="U144" s="143">
        <f t="shared" si="24"/>
        <v>6923.3850000000011</v>
      </c>
      <c r="V144" s="169">
        <f t="shared" si="24"/>
        <v>6719.6764109589049</v>
      </c>
    </row>
    <row r="145" spans="2:22" ht="15.75">
      <c r="B145" s="319">
        <v>0.5</v>
      </c>
      <c r="C145" s="144" t="s">
        <v>59</v>
      </c>
      <c r="D145" s="141">
        <f t="shared" si="27"/>
        <v>1964.6</v>
      </c>
      <c r="E145" s="141">
        <f t="shared" si="24"/>
        <v>2066.1774193548385</v>
      </c>
      <c r="F145" s="141">
        <f t="shared" si="24"/>
        <v>2106.0166666666669</v>
      </c>
      <c r="G145" s="143">
        <f t="shared" si="24"/>
        <v>2045.8241758241759</v>
      </c>
      <c r="H145" s="141">
        <f t="shared" si="24"/>
        <v>2118.0806451612902</v>
      </c>
      <c r="I145" s="141">
        <f t="shared" si="24"/>
        <v>2057.983870967742</v>
      </c>
      <c r="J145" s="141">
        <f t="shared" si="24"/>
        <v>2015.3166666666666</v>
      </c>
      <c r="K145" s="143">
        <f t="shared" si="24"/>
        <v>2064.320652173913</v>
      </c>
      <c r="L145" s="167">
        <f t="shared" si="24"/>
        <v>2055.122950819672</v>
      </c>
      <c r="M145" s="141">
        <f t="shared" si="24"/>
        <v>2022.016129032258</v>
      </c>
      <c r="N145" s="141">
        <f t="shared" si="24"/>
        <v>1978.55</v>
      </c>
      <c r="O145" s="141">
        <f t="shared" si="24"/>
        <v>2119.3387096774195</v>
      </c>
      <c r="P145" s="143">
        <f t="shared" si="24"/>
        <v>2040.6358695652175</v>
      </c>
      <c r="Q145" s="167">
        <f t="shared" si="24"/>
        <v>2050.2763636363638</v>
      </c>
      <c r="R145" s="141">
        <f t="shared" si="24"/>
        <v>2182.0967741935483</v>
      </c>
      <c r="S145" s="141">
        <f t="shared" si="24"/>
        <v>2050.4285714285716</v>
      </c>
      <c r="T145" s="141">
        <f t="shared" si="24"/>
        <v>2200.2419351612903</v>
      </c>
      <c r="U145" s="143">
        <f t="shared" si="24"/>
        <v>2147.3833332222221</v>
      </c>
      <c r="V145" s="169">
        <f t="shared" si="24"/>
        <v>2074.2205479178078</v>
      </c>
    </row>
    <row r="146" spans="2:22" ht="15.75">
      <c r="B146" s="318">
        <v>0.7</v>
      </c>
      <c r="C146" s="144" t="s">
        <v>63</v>
      </c>
      <c r="D146" s="141">
        <f t="shared" si="27"/>
        <v>19508.463333333333</v>
      </c>
      <c r="E146" s="141">
        <f t="shared" si="24"/>
        <v>16937.561290322581</v>
      </c>
      <c r="F146" s="141">
        <f t="shared" si="24"/>
        <v>19052.273333333331</v>
      </c>
      <c r="G146" s="143">
        <f t="shared" si="24"/>
        <v>18482.26923076923</v>
      </c>
      <c r="H146" s="141">
        <f t="shared" si="24"/>
        <v>18370.280645161289</v>
      </c>
      <c r="I146" s="141">
        <f t="shared" si="24"/>
        <v>17617.916129032259</v>
      </c>
      <c r="J146" s="141">
        <f t="shared" si="24"/>
        <v>18063.29</v>
      </c>
      <c r="K146" s="143">
        <f t="shared" si="24"/>
        <v>18016.660869565218</v>
      </c>
      <c r="L146" s="167">
        <f t="shared" si="24"/>
        <v>18248.192896174864</v>
      </c>
      <c r="M146" s="141">
        <f t="shared" si="24"/>
        <v>16233.38387096774</v>
      </c>
      <c r="N146" s="141">
        <f t="shared" si="24"/>
        <v>15455.276666666667</v>
      </c>
      <c r="O146" s="141">
        <f t="shared" si="24"/>
        <v>13145.187096774194</v>
      </c>
      <c r="P146" s="143">
        <f t="shared" si="24"/>
        <v>14939.065217391304</v>
      </c>
      <c r="Q146" s="167">
        <f t="shared" si="24"/>
        <v>17141.139272727272</v>
      </c>
      <c r="R146" s="141">
        <f t="shared" si="24"/>
        <v>16612.806451612902</v>
      </c>
      <c r="S146" s="141">
        <f t="shared" si="24"/>
        <v>15144.274999499998</v>
      </c>
      <c r="T146" s="141">
        <f t="shared" si="24"/>
        <v>14476.880644935483</v>
      </c>
      <c r="U146" s="143">
        <f t="shared" si="24"/>
        <v>15420.222221988886</v>
      </c>
      <c r="V146" s="169">
        <f t="shared" si="24"/>
        <v>16716.803561586301</v>
      </c>
    </row>
    <row r="147" spans="2:22" ht="15.75">
      <c r="B147" s="318">
        <v>0.11</v>
      </c>
      <c r="C147" s="144" t="s">
        <v>64</v>
      </c>
      <c r="D147" s="141">
        <f t="shared" si="27"/>
        <v>912.78733333333344</v>
      </c>
      <c r="E147" s="141">
        <f t="shared" si="24"/>
        <v>856.7367741935484</v>
      </c>
      <c r="F147" s="141">
        <f t="shared" si="24"/>
        <v>851.81433333333337</v>
      </c>
      <c r="G147" s="143">
        <f t="shared" si="24"/>
        <v>873.5921978021978</v>
      </c>
      <c r="H147" s="141">
        <f t="shared" si="24"/>
        <v>864.95838709677412</v>
      </c>
      <c r="I147" s="141">
        <f t="shared" si="24"/>
        <v>810.00806451612902</v>
      </c>
      <c r="J147" s="141">
        <f t="shared" si="24"/>
        <v>851.25699999999995</v>
      </c>
      <c r="K147" s="143">
        <f t="shared" si="24"/>
        <v>841.97467391304349</v>
      </c>
      <c r="L147" s="167">
        <f t="shared" si="24"/>
        <v>857.69704918032789</v>
      </c>
      <c r="M147" s="141">
        <f t="shared" si="24"/>
        <v>803.59258064516121</v>
      </c>
      <c r="N147" s="141">
        <f t="shared" si="24"/>
        <v>766.96033333333332</v>
      </c>
      <c r="O147" s="141">
        <f t="shared" si="24"/>
        <v>779.47774193548389</v>
      </c>
      <c r="P147" s="143">
        <f t="shared" si="24"/>
        <v>783.52163043478254</v>
      </c>
      <c r="Q147" s="167">
        <f t="shared" si="24"/>
        <v>832.88200000000006</v>
      </c>
      <c r="R147" s="141">
        <f t="shared" si="24"/>
        <v>796.69806451612908</v>
      </c>
      <c r="S147" s="141">
        <f t="shared" si="24"/>
        <v>804.0214285714286</v>
      </c>
      <c r="T147" s="141">
        <f t="shared" si="24"/>
        <v>789.18258064516124</v>
      </c>
      <c r="U147" s="143">
        <f t="shared" si="24"/>
        <v>796.38777777777773</v>
      </c>
      <c r="V147" s="169">
        <f t="shared" si="24"/>
        <v>823.88342465753431</v>
      </c>
    </row>
    <row r="148" spans="2:22" ht="15.75">
      <c r="B148" s="318">
        <v>0.4</v>
      </c>
      <c r="C148" s="144" t="s">
        <v>65</v>
      </c>
      <c r="D148" s="141">
        <f t="shared" si="27"/>
        <v>1493.2133333333334</v>
      </c>
      <c r="E148" s="141">
        <f t="shared" si="24"/>
        <v>1625.2774193548387</v>
      </c>
      <c r="F148" s="141">
        <f t="shared" si="24"/>
        <v>1617.6533333333334</v>
      </c>
      <c r="G148" s="143">
        <f t="shared" si="24"/>
        <v>1579.2263736263737</v>
      </c>
      <c r="H148" s="141">
        <f t="shared" si="24"/>
        <v>1663.7548387096774</v>
      </c>
      <c r="I148" s="141">
        <f t="shared" si="24"/>
        <v>1625.0709677419354</v>
      </c>
      <c r="J148" s="141">
        <f t="shared" si="24"/>
        <v>1645.5866666666666</v>
      </c>
      <c r="K148" s="143">
        <f t="shared" si="24"/>
        <v>1644.7956521739134</v>
      </c>
      <c r="L148" s="167">
        <f t="shared" si="24"/>
        <v>1612.1901639344262</v>
      </c>
      <c r="M148" s="141">
        <f t="shared" si="24"/>
        <v>1753.9096774193549</v>
      </c>
      <c r="N148" s="141">
        <f t="shared" si="24"/>
        <v>1785.4</v>
      </c>
      <c r="O148" s="141">
        <f t="shared" si="24"/>
        <v>1758.735483870968</v>
      </c>
      <c r="P148" s="143">
        <f t="shared" si="24"/>
        <v>1765.804347826087</v>
      </c>
      <c r="Q148" s="167">
        <f t="shared" si="24"/>
        <v>1663.581090909091</v>
      </c>
      <c r="R148" s="141">
        <f t="shared" si="24"/>
        <v>1649.6774194838708</v>
      </c>
      <c r="S148" s="141">
        <f t="shared" si="24"/>
        <v>1745.4571428571428</v>
      </c>
      <c r="T148" s="141">
        <f t="shared" si="24"/>
        <v>1670.8000000000002</v>
      </c>
      <c r="U148" s="143">
        <f t="shared" si="24"/>
        <v>1686.7511111555557</v>
      </c>
      <c r="V148" s="169">
        <f t="shared" si="24"/>
        <v>1669.2942465863016</v>
      </c>
    </row>
    <row r="149" spans="2:22" ht="15.75">
      <c r="B149" s="318">
        <v>0.04</v>
      </c>
      <c r="C149" s="144" t="s">
        <v>66</v>
      </c>
      <c r="D149" s="141">
        <f t="shared" si="27"/>
        <v>16130.932000000001</v>
      </c>
      <c r="E149" s="141">
        <f t="shared" si="24"/>
        <v>8927.2051612903233</v>
      </c>
      <c r="F149" s="141">
        <f t="shared" si="24"/>
        <v>16379.349333333334</v>
      </c>
      <c r="G149" s="143">
        <f t="shared" si="24"/>
        <v>13758.810989010988</v>
      </c>
      <c r="H149" s="141">
        <f t="shared" si="24"/>
        <v>16598.299354838709</v>
      </c>
      <c r="I149" s="141">
        <f t="shared" si="24"/>
        <v>16900.579354838712</v>
      </c>
      <c r="J149" s="141">
        <f t="shared" si="24"/>
        <v>16867.514666666666</v>
      </c>
      <c r="K149" s="143">
        <f t="shared" si="24"/>
        <v>16787.942173913045</v>
      </c>
      <c r="L149" s="167">
        <f t="shared" si="24"/>
        <v>15281.652896174863</v>
      </c>
      <c r="M149" s="141">
        <f t="shared" si="24"/>
        <v>16452.388387096773</v>
      </c>
      <c r="N149" s="141">
        <f t="shared" si="24"/>
        <v>16624.096000000001</v>
      </c>
      <c r="O149" s="141">
        <f t="shared" si="24"/>
        <v>17195.024516129033</v>
      </c>
      <c r="P149" s="143">
        <f t="shared" si="24"/>
        <v>16758.616086956521</v>
      </c>
      <c r="Q149" s="167">
        <f t="shared" si="24"/>
        <v>15775.764218181819</v>
      </c>
      <c r="R149" s="141">
        <f t="shared" si="24"/>
        <v>16407.981935483873</v>
      </c>
      <c r="S149" s="141">
        <f t="shared" si="24"/>
        <v>16496.247142857144</v>
      </c>
      <c r="T149" s="141">
        <f t="shared" si="24"/>
        <v>15559.999999987096</v>
      </c>
      <c r="U149" s="143">
        <f t="shared" si="24"/>
        <v>16143.359555551113</v>
      </c>
      <c r="V149" s="169">
        <f t="shared" si="24"/>
        <v>15866.404164382464</v>
      </c>
    </row>
    <row r="150" spans="2:22" ht="15.75">
      <c r="B150" s="318">
        <v>0.25</v>
      </c>
      <c r="C150" s="144" t="s">
        <v>67</v>
      </c>
      <c r="D150" s="141">
        <f t="shared" si="27"/>
        <v>12880.35</v>
      </c>
      <c r="E150" s="141">
        <f t="shared" si="24"/>
        <v>13363.943548387097</v>
      </c>
      <c r="F150" s="141">
        <f t="shared" si="24"/>
        <v>12486.241666666667</v>
      </c>
      <c r="G150" s="143">
        <f t="shared" si="24"/>
        <v>12915.164835164835</v>
      </c>
      <c r="H150" s="141">
        <f t="shared" si="24"/>
        <v>12829.661290322581</v>
      </c>
      <c r="I150" s="141">
        <f t="shared" si="24"/>
        <v>12418.653225806451</v>
      </c>
      <c r="J150" s="141">
        <f t="shared" si="24"/>
        <v>12110.775</v>
      </c>
      <c r="K150" s="143">
        <f t="shared" si="24"/>
        <v>12456.75</v>
      </c>
      <c r="L150" s="167">
        <f t="shared" si="24"/>
        <v>12684.704918032787</v>
      </c>
      <c r="M150" s="141">
        <f t="shared" si="24"/>
        <v>12066.274193548386</v>
      </c>
      <c r="N150" s="141">
        <f t="shared" si="24"/>
        <v>12423.375</v>
      </c>
      <c r="O150" s="141">
        <f t="shared" si="24"/>
        <v>12646.427419354839</v>
      </c>
      <c r="P150" s="143">
        <f t="shared" si="24"/>
        <v>12378.20652173913</v>
      </c>
      <c r="Q150" s="167">
        <f t="shared" si="24"/>
        <v>12582.167272727273</v>
      </c>
      <c r="R150" s="141">
        <f t="shared" si="24"/>
        <v>12945.50000016129</v>
      </c>
      <c r="S150" s="141">
        <f t="shared" si="24"/>
        <v>12385.839285714286</v>
      </c>
      <c r="T150" s="141">
        <f t="shared" si="24"/>
        <v>12617.822580403226</v>
      </c>
      <c r="U150" s="143">
        <f t="shared" si="24"/>
        <v>12658.51666663889</v>
      </c>
      <c r="V150" s="169">
        <f t="shared" si="24"/>
        <v>12600.993150678083</v>
      </c>
    </row>
    <row r="151" spans="2:22" ht="15.75">
      <c r="B151" s="318">
        <v>0.24124999999999999</v>
      </c>
      <c r="C151" s="144" t="s">
        <v>68</v>
      </c>
      <c r="D151" s="141">
        <f t="shared" si="27"/>
        <v>2974.5964166666663</v>
      </c>
      <c r="E151" s="141">
        <f t="shared" si="24"/>
        <v>3620.0729838709676</v>
      </c>
      <c r="F151" s="141">
        <f t="shared" si="24"/>
        <v>3278.0165416666664</v>
      </c>
      <c r="G151" s="143">
        <f t="shared" si="24"/>
        <v>3294.5126510989007</v>
      </c>
      <c r="H151" s="141">
        <f t="shared" si="24"/>
        <v>3169.713709677419</v>
      </c>
      <c r="I151" s="141">
        <f t="shared" si="24"/>
        <v>2875.1474596774192</v>
      </c>
      <c r="J151" s="141">
        <f t="shared" si="24"/>
        <v>2026.7734166666667</v>
      </c>
      <c r="K151" s="143">
        <f t="shared" si="24"/>
        <v>2697.759769021739</v>
      </c>
      <c r="L151" s="167">
        <f t="shared" si="24"/>
        <v>2994.5057377049179</v>
      </c>
      <c r="M151" s="141">
        <f t="shared" si="24"/>
        <v>2537.0083467741938</v>
      </c>
      <c r="N151" s="141">
        <f t="shared" si="24"/>
        <v>2799.5936666666666</v>
      </c>
      <c r="O151" s="141">
        <f t="shared" si="24"/>
        <v>2635.3527419354837</v>
      </c>
      <c r="P151" s="143">
        <f t="shared" si="24"/>
        <v>2655.771779891304</v>
      </c>
      <c r="Q151" s="167">
        <f t="shared" si="24"/>
        <v>2881.1838318181817</v>
      </c>
      <c r="R151" s="141">
        <f t="shared" si="24"/>
        <v>2498.3850000778225</v>
      </c>
      <c r="S151" s="141">
        <f t="shared" si="24"/>
        <v>2328.9671874999999</v>
      </c>
      <c r="T151" s="141">
        <f t="shared" si="24"/>
        <v>2012.4608066850808</v>
      </c>
      <c r="U151" s="143">
        <f t="shared" si="24"/>
        <v>2278.3033473294445</v>
      </c>
      <c r="V151" s="169">
        <f t="shared" si="24"/>
        <v>2732.5283698894523</v>
      </c>
    </row>
    <row r="152" spans="2:22" ht="15.75">
      <c r="B152" s="318">
        <v>0.45</v>
      </c>
      <c r="C152" s="144" t="s">
        <v>69</v>
      </c>
      <c r="D152" s="141">
        <f t="shared" si="27"/>
        <v>60.510000000000005</v>
      </c>
      <c r="E152" s="141">
        <f t="shared" si="24"/>
        <v>60.822580645161288</v>
      </c>
      <c r="F152" s="141">
        <f t="shared" si="24"/>
        <v>57.255000000000003</v>
      </c>
      <c r="G152" s="143">
        <f t="shared" si="24"/>
        <v>59.543406593406594</v>
      </c>
      <c r="H152" s="141">
        <f t="shared" si="24"/>
        <v>47.395161290322584</v>
      </c>
      <c r="I152" s="141">
        <f t="shared" si="24"/>
        <v>34.054838709677419</v>
      </c>
      <c r="J152" s="141">
        <f t="shared" si="24"/>
        <v>33.164999999999999</v>
      </c>
      <c r="K152" s="143">
        <f t="shared" si="24"/>
        <v>38.259782608695652</v>
      </c>
      <c r="L152" s="167">
        <f t="shared" si="24"/>
        <v>48.843442622950818</v>
      </c>
      <c r="M152" s="141">
        <f t="shared" si="24"/>
        <v>34.475806451612904</v>
      </c>
      <c r="N152" s="141">
        <f t="shared" si="24"/>
        <v>32.49</v>
      </c>
      <c r="O152" s="141">
        <f t="shared" si="24"/>
        <v>39.701612903225808</v>
      </c>
      <c r="P152" s="143">
        <f t="shared" si="24"/>
        <v>35.589130434782611</v>
      </c>
      <c r="Q152" s="167">
        <f t="shared" si="24"/>
        <v>44.409272727272729</v>
      </c>
      <c r="R152" s="141">
        <f t="shared" si="24"/>
        <v>43.340806451612906</v>
      </c>
      <c r="S152" s="141">
        <f t="shared" si="24"/>
        <v>42.983035714285712</v>
      </c>
      <c r="T152" s="141">
        <f t="shared" si="24"/>
        <v>57.295161725806459</v>
      </c>
      <c r="U152" s="143">
        <f t="shared" si="24"/>
        <v>48.03600015</v>
      </c>
      <c r="V152" s="169">
        <f t="shared" si="24"/>
        <v>45.303534283561646</v>
      </c>
    </row>
    <row r="153" spans="2:22" ht="15.75">
      <c r="B153" s="318">
        <v>0.17</v>
      </c>
      <c r="C153" s="144" t="s">
        <v>70</v>
      </c>
      <c r="D153" s="141">
        <f t="shared" si="27"/>
        <v>0</v>
      </c>
      <c r="E153" s="141">
        <f t="shared" si="24"/>
        <v>0</v>
      </c>
      <c r="F153" s="141">
        <f t="shared" si="24"/>
        <v>0</v>
      </c>
      <c r="G153" s="143">
        <f t="shared" si="24"/>
        <v>0</v>
      </c>
      <c r="H153" s="141">
        <f t="shared" si="24"/>
        <v>0</v>
      </c>
      <c r="I153" s="141">
        <f t="shared" si="24"/>
        <v>0</v>
      </c>
      <c r="J153" s="141">
        <f t="shared" si="24"/>
        <v>0</v>
      </c>
      <c r="K153" s="143">
        <f t="shared" si="24"/>
        <v>0</v>
      </c>
      <c r="L153" s="167">
        <f t="shared" si="24"/>
        <v>0</v>
      </c>
      <c r="M153" s="141">
        <f t="shared" si="24"/>
        <v>0</v>
      </c>
      <c r="N153" s="141">
        <f t="shared" si="24"/>
        <v>0</v>
      </c>
      <c r="O153" s="141">
        <f t="shared" si="24"/>
        <v>0</v>
      </c>
      <c r="P153" s="143">
        <f t="shared" si="24"/>
        <v>0</v>
      </c>
      <c r="Q153" s="167">
        <f t="shared" si="24"/>
        <v>0</v>
      </c>
      <c r="R153" s="141">
        <f t="shared" si="24"/>
        <v>0</v>
      </c>
      <c r="S153" s="141">
        <f t="shared" si="24"/>
        <v>0</v>
      </c>
      <c r="T153" s="141">
        <f t="shared" si="24"/>
        <v>0</v>
      </c>
      <c r="U153" s="143">
        <f t="shared" si="24"/>
        <v>0</v>
      </c>
      <c r="V153" s="169">
        <f t="shared" si="24"/>
        <v>0</v>
      </c>
    </row>
    <row r="154" spans="2:22" ht="15.75">
      <c r="C154" s="145" t="s">
        <v>92</v>
      </c>
      <c r="D154" s="188">
        <f>SUM(D140:D153)</f>
        <v>150448.35334166669</v>
      </c>
      <c r="E154" s="188">
        <f t="shared" ref="E154:V154" si="28">SUM(E140:E153)</f>
        <v>141197.0367016129</v>
      </c>
      <c r="F154" s="188">
        <f t="shared" si="28"/>
        <v>149505.27155833333</v>
      </c>
      <c r="G154" s="189">
        <f t="shared" si="28"/>
        <v>146985.89983241758</v>
      </c>
      <c r="H154" s="188">
        <f t="shared" si="28"/>
        <v>149565.77068548388</v>
      </c>
      <c r="I154" s="188">
        <f t="shared" si="28"/>
        <v>145723.05729032261</v>
      </c>
      <c r="J154" s="188">
        <f t="shared" si="28"/>
        <v>146784.39595833336</v>
      </c>
      <c r="K154" s="189">
        <f t="shared" si="28"/>
        <v>147363.97332608694</v>
      </c>
      <c r="L154" s="169">
        <f t="shared" si="28"/>
        <v>147175.96956693989</v>
      </c>
      <c r="M154" s="188">
        <f t="shared" si="28"/>
        <v>143422.79507258066</v>
      </c>
      <c r="N154" s="188">
        <f t="shared" si="28"/>
        <v>145270.32908333332</v>
      </c>
      <c r="O154" s="188">
        <f t="shared" si="28"/>
        <v>147199.65958870968</v>
      </c>
      <c r="P154" s="189">
        <f t="shared" si="28"/>
        <v>145297.89094565218</v>
      </c>
      <c r="Q154" s="169">
        <f t="shared" si="28"/>
        <v>146547.66690090907</v>
      </c>
      <c r="R154" s="188">
        <f t="shared" si="28"/>
        <v>150429.41066725354</v>
      </c>
      <c r="S154" s="188">
        <f t="shared" si="28"/>
        <v>145290.15342400171</v>
      </c>
      <c r="T154" s="188">
        <f t="shared" si="28"/>
        <v>142301.06733373672</v>
      </c>
      <c r="U154" s="189">
        <f t="shared" si="28"/>
        <v>146030.7679322527</v>
      </c>
      <c r="V154" s="169">
        <f t="shared" si="28"/>
        <v>146420.21236069244</v>
      </c>
    </row>
    <row r="156" spans="2:22">
      <c r="C156" s="1319" t="s">
        <v>1947</v>
      </c>
      <c r="D156" s="1320"/>
      <c r="E156" s="1320"/>
      <c r="F156" s="1320"/>
      <c r="G156" s="1320"/>
      <c r="H156" s="1320"/>
      <c r="I156" s="1320"/>
      <c r="J156" s="1320"/>
      <c r="K156" s="1320"/>
      <c r="L156" s="1320"/>
      <c r="M156" s="1320"/>
      <c r="N156" s="1320"/>
      <c r="O156" s="1320"/>
      <c r="P156" s="1320"/>
      <c r="Q156" s="1320"/>
      <c r="R156" s="1320"/>
      <c r="S156" s="1320"/>
      <c r="T156" s="1320"/>
      <c r="U156" s="1320"/>
      <c r="V156" s="1321"/>
    </row>
    <row r="157" spans="2:22">
      <c r="C157" s="144"/>
      <c r="D157" s="144" t="s">
        <v>30</v>
      </c>
      <c r="E157" s="144" t="s">
        <v>71</v>
      </c>
      <c r="F157" s="144" t="s">
        <v>72</v>
      </c>
      <c r="G157" s="148" t="s">
        <v>82</v>
      </c>
      <c r="H157" s="144" t="s">
        <v>73</v>
      </c>
      <c r="I157" s="144" t="s">
        <v>74</v>
      </c>
      <c r="J157" s="144" t="s">
        <v>75</v>
      </c>
      <c r="K157" s="148" t="s">
        <v>83</v>
      </c>
      <c r="L157" s="170" t="s">
        <v>39</v>
      </c>
      <c r="M157" s="144" t="s">
        <v>76</v>
      </c>
      <c r="N157" s="144" t="s">
        <v>77</v>
      </c>
      <c r="O157" s="144" t="s">
        <v>78</v>
      </c>
      <c r="P157" s="148" t="s">
        <v>84</v>
      </c>
      <c r="Q157" s="170" t="s">
        <v>85</v>
      </c>
      <c r="R157" s="144" t="s">
        <v>79</v>
      </c>
      <c r="S157" s="144" t="s">
        <v>80</v>
      </c>
      <c r="T157" s="144" t="s">
        <v>81</v>
      </c>
      <c r="U157" s="148" t="s">
        <v>86</v>
      </c>
      <c r="V157" s="320" t="s">
        <v>87</v>
      </c>
    </row>
    <row r="158" spans="2:22" ht="15.75">
      <c r="B158" s="318">
        <v>0.2</v>
      </c>
      <c r="C158" s="144" t="s">
        <v>60</v>
      </c>
      <c r="D158" s="146">
        <f>D24*$B24</f>
        <v>1.9913333333333334</v>
      </c>
      <c r="E158" s="146">
        <f t="shared" ref="E158:V171" si="29">E24*$B24</f>
        <v>1.5180645161290325</v>
      </c>
      <c r="F158" s="146">
        <f t="shared" si="29"/>
        <v>1.3540000000000001</v>
      </c>
      <c r="G158" s="149">
        <f t="shared" si="29"/>
        <v>1.62</v>
      </c>
      <c r="H158" s="146">
        <f t="shared" si="29"/>
        <v>1.3941935483870969</v>
      </c>
      <c r="I158" s="146">
        <f t="shared" si="29"/>
        <v>1.2496774193548388</v>
      </c>
      <c r="J158" s="146">
        <f t="shared" si="29"/>
        <v>1.4824666666666668</v>
      </c>
      <c r="K158" s="149">
        <f t="shared" si="29"/>
        <v>1.3742826086956521</v>
      </c>
      <c r="L158" s="172">
        <f t="shared" si="29"/>
        <v>1.4964699453551913</v>
      </c>
      <c r="M158" s="146">
        <f t="shared" si="29"/>
        <v>2.1221290322580648</v>
      </c>
      <c r="N158" s="146">
        <f t="shared" si="29"/>
        <v>2.2296</v>
      </c>
      <c r="O158" s="146">
        <f t="shared" si="29"/>
        <v>2.6141935483870968</v>
      </c>
      <c r="P158" s="149">
        <f t="shared" si="29"/>
        <v>2.322978260869565</v>
      </c>
      <c r="Q158" s="172">
        <f t="shared" si="29"/>
        <v>1.7729745454545456</v>
      </c>
      <c r="R158" s="146">
        <f t="shared" si="29"/>
        <v>2.3322580000000004</v>
      </c>
      <c r="S158" s="146">
        <f t="shared" si="29"/>
        <v>2.475714</v>
      </c>
      <c r="T158" s="146">
        <f t="shared" si="29"/>
        <v>2.3819354838709681</v>
      </c>
      <c r="U158" s="149">
        <f t="shared" si="29"/>
        <v>2.3939998888888891</v>
      </c>
      <c r="V158" s="173">
        <f t="shared" si="29"/>
        <v>1.926104082191781</v>
      </c>
    </row>
    <row r="159" spans="2:22" ht="15.75">
      <c r="B159" s="318">
        <v>0.26</v>
      </c>
      <c r="C159" s="144" t="s">
        <v>61</v>
      </c>
      <c r="D159" s="146">
        <f>D25*$B25</f>
        <v>2.6852713333333336</v>
      </c>
      <c r="E159" s="146">
        <f t="shared" ref="E159:S159" si="30">E25*$B25</f>
        <v>2.7120432258064513</v>
      </c>
      <c r="F159" s="146">
        <f t="shared" si="30"/>
        <v>2.7631066666666664</v>
      </c>
      <c r="G159" s="149">
        <f t="shared" si="30"/>
        <v>2.7200514285714283</v>
      </c>
      <c r="H159" s="146">
        <f t="shared" si="30"/>
        <v>2.3523793548387095</v>
      </c>
      <c r="I159" s="146">
        <f t="shared" si="30"/>
        <v>2.84533935483871</v>
      </c>
      <c r="J159" s="146">
        <f t="shared" si="30"/>
        <v>2.9267159999999999</v>
      </c>
      <c r="K159" s="149">
        <f t="shared" si="30"/>
        <v>2.7057691304347826</v>
      </c>
      <c r="L159" s="172">
        <f t="shared" si="30"/>
        <v>2.712871256830601</v>
      </c>
      <c r="M159" s="146">
        <f t="shared" si="30"/>
        <v>2.8977419354838707</v>
      </c>
      <c r="N159" s="146">
        <f t="shared" si="30"/>
        <v>2.9123986666666668</v>
      </c>
      <c r="O159" s="146">
        <f t="shared" si="30"/>
        <v>3.0529200000000003</v>
      </c>
      <c r="P159" s="149">
        <f t="shared" si="30"/>
        <v>2.9548095652173916</v>
      </c>
      <c r="Q159" s="172">
        <f t="shared" si="30"/>
        <v>2.7938106181818183</v>
      </c>
      <c r="R159" s="146">
        <f t="shared" si="30"/>
        <v>2.9135033870967746</v>
      </c>
      <c r="S159" s="146">
        <f t="shared" si="30"/>
        <v>2.9673985714285713</v>
      </c>
      <c r="T159" s="146">
        <f t="shared" si="29"/>
        <v>2.912721290322581</v>
      </c>
      <c r="U159" s="149">
        <f t="shared" si="29"/>
        <v>2.9300013888888889</v>
      </c>
      <c r="V159" s="173">
        <f t="shared" si="29"/>
        <v>2.827391904109589</v>
      </c>
    </row>
    <row r="160" spans="2:22" ht="15.75">
      <c r="B160" s="318">
        <v>1</v>
      </c>
      <c r="C160" s="144" t="s">
        <v>62</v>
      </c>
      <c r="D160" s="146">
        <f>D26*$B26</f>
        <v>0.30636666666666668</v>
      </c>
      <c r="E160" s="146">
        <f t="shared" si="29"/>
        <v>0.22177419354838709</v>
      </c>
      <c r="F160" s="146">
        <f t="shared" si="29"/>
        <v>8.0166666666666664E-2</v>
      </c>
      <c r="G160" s="149">
        <f t="shared" si="29"/>
        <v>0.20297802197802201</v>
      </c>
      <c r="H160" s="146">
        <f t="shared" si="29"/>
        <v>0.28200000000000003</v>
      </c>
      <c r="I160" s="146">
        <f t="shared" si="29"/>
        <v>0.2860967741935484</v>
      </c>
      <c r="J160" s="146">
        <f t="shared" si="29"/>
        <v>0.22140000000000001</v>
      </c>
      <c r="K160" s="149">
        <f t="shared" si="29"/>
        <v>0.26361956521739133</v>
      </c>
      <c r="L160" s="172">
        <f t="shared" si="29"/>
        <v>0.23346448087431695</v>
      </c>
      <c r="M160" s="146">
        <f t="shared" si="29"/>
        <v>0.2734838709677419</v>
      </c>
      <c r="N160" s="146">
        <f t="shared" si="29"/>
        <v>0.27033333333333331</v>
      </c>
      <c r="O160" s="146">
        <f t="shared" si="29"/>
        <v>0.28064516129032258</v>
      </c>
      <c r="P160" s="149">
        <f t="shared" si="29"/>
        <v>0.27486956521739131</v>
      </c>
      <c r="Q160" s="172">
        <f t="shared" si="29"/>
        <v>0.24731636363636364</v>
      </c>
      <c r="R160" s="146">
        <f t="shared" si="29"/>
        <v>0.28961032258064512</v>
      </c>
      <c r="S160" s="146">
        <f t="shared" si="29"/>
        <v>0.28646428571428573</v>
      </c>
      <c r="T160" s="146">
        <f t="shared" si="29"/>
        <v>0.25277419354838709</v>
      </c>
      <c r="U160" s="149">
        <f t="shared" si="29"/>
        <v>0.2759435555555555</v>
      </c>
      <c r="V160" s="173">
        <f t="shared" si="29"/>
        <v>0.25437512328767126</v>
      </c>
    </row>
    <row r="161" spans="1:22" ht="15.75">
      <c r="A161" s="768">
        <v>2.9250000000000002E-2</v>
      </c>
      <c r="B161" s="318">
        <v>2.3099999999999999E-2</v>
      </c>
      <c r="C161" s="144" t="s">
        <v>57</v>
      </c>
      <c r="D161" s="146">
        <f>D27*$A27</f>
        <v>0.2358837</v>
      </c>
      <c r="E161" s="146">
        <f t="shared" ref="E161:V161" si="31">E27*$A27</f>
        <v>0.23658720967741936</v>
      </c>
      <c r="F161" s="146">
        <f t="shared" si="31"/>
        <v>0.25988234999999998</v>
      </c>
      <c r="G161" s="149">
        <f t="shared" si="31"/>
        <v>0.24403500000000003</v>
      </c>
      <c r="H161" s="146">
        <f t="shared" si="31"/>
        <v>0.2971479193548387</v>
      </c>
      <c r="I161" s="146">
        <f t="shared" si="31"/>
        <v>0.30759300000000001</v>
      </c>
      <c r="J161" s="146">
        <f t="shared" si="31"/>
        <v>0.29052952500000001</v>
      </c>
      <c r="K161" s="149">
        <f t="shared" si="31"/>
        <v>0.298509285326087</v>
      </c>
      <c r="L161" s="172">
        <f t="shared" si="31"/>
        <v>0.27142097950819677</v>
      </c>
      <c r="M161" s="146">
        <f t="shared" si="31"/>
        <v>0.26267254838709675</v>
      </c>
      <c r="N161" s="146">
        <f t="shared" si="31"/>
        <v>0.34686980542500007</v>
      </c>
      <c r="O161" s="146">
        <f t="shared" si="31"/>
        <v>0.39307848387096772</v>
      </c>
      <c r="P161" s="149">
        <f t="shared" si="31"/>
        <v>0.33406930611684782</v>
      </c>
      <c r="Q161" s="172">
        <f t="shared" si="31"/>
        <v>0.29237969241</v>
      </c>
      <c r="R161" s="146">
        <f t="shared" si="31"/>
        <v>0.39078096241935489</v>
      </c>
      <c r="S161" s="146">
        <f t="shared" si="31"/>
        <v>0.42713881553571431</v>
      </c>
      <c r="T161" s="146">
        <f t="shared" si="31"/>
        <v>0.36825750000000002</v>
      </c>
      <c r="U161" s="149">
        <f t="shared" si="31"/>
        <v>0.39433421299999999</v>
      </c>
      <c r="V161" s="173">
        <f t="shared" si="31"/>
        <v>0.31751916324041096</v>
      </c>
    </row>
    <row r="162" spans="1:22" ht="15.75">
      <c r="B162" s="318">
        <v>0.27</v>
      </c>
      <c r="C162" s="144" t="s">
        <v>58</v>
      </c>
      <c r="D162" s="146">
        <f t="shared" ref="D162:D171" si="32">D28*$B28</f>
        <v>4.4009999999999994E-2</v>
      </c>
      <c r="E162" s="146">
        <f t="shared" si="29"/>
        <v>7.5164516129032272E-2</v>
      </c>
      <c r="F162" s="146">
        <f t="shared" si="29"/>
        <v>5.7843000000000006E-2</v>
      </c>
      <c r="G162" s="149">
        <f t="shared" si="29"/>
        <v>5.9183406593406596E-2</v>
      </c>
      <c r="H162" s="146">
        <f t="shared" si="29"/>
        <v>9.0188709677419363E-2</v>
      </c>
      <c r="I162" s="146">
        <f t="shared" si="29"/>
        <v>0.10594451612903226</v>
      </c>
      <c r="J162" s="146">
        <f t="shared" si="29"/>
        <v>7.0172999999999999E-2</v>
      </c>
      <c r="K162" s="149">
        <f t="shared" si="29"/>
        <v>8.8970869565217395E-2</v>
      </c>
      <c r="L162" s="172">
        <f t="shared" si="29"/>
        <v>7.4158524590163935E-2</v>
      </c>
      <c r="M162" s="146">
        <f t="shared" si="29"/>
        <v>6.4704193548387107E-2</v>
      </c>
      <c r="N162" s="146">
        <f t="shared" si="29"/>
        <v>6.6429000000000016E-2</v>
      </c>
      <c r="O162" s="146">
        <f t="shared" si="29"/>
        <v>8.7967741935483873E-2</v>
      </c>
      <c r="P162" s="149">
        <f t="shared" si="29"/>
        <v>7.3105434782608697E-2</v>
      </c>
      <c r="Q162" s="172">
        <f t="shared" si="29"/>
        <v>7.3806218181818165E-2</v>
      </c>
      <c r="R162" s="146">
        <f t="shared" si="29"/>
        <v>8.2193487096774195E-2</v>
      </c>
      <c r="S162" s="146">
        <f t="shared" si="29"/>
        <v>6.3585000000000003E-2</v>
      </c>
      <c r="T162" s="146">
        <f t="shared" si="29"/>
        <v>7.9658709677419365E-2</v>
      </c>
      <c r="U162" s="149">
        <f t="shared" si="29"/>
        <v>7.5531090000000009E-2</v>
      </c>
      <c r="V162" s="173">
        <f t="shared" si="29"/>
        <v>7.4231529041095895E-2</v>
      </c>
    </row>
    <row r="163" spans="1:22" ht="15.75">
      <c r="B163" s="319">
        <v>0.5</v>
      </c>
      <c r="C163" s="144" t="s">
        <v>59</v>
      </c>
      <c r="D163" s="146">
        <f t="shared" si="32"/>
        <v>9.7833333333333331E-3</v>
      </c>
      <c r="E163" s="146">
        <f t="shared" si="29"/>
        <v>1.1290322580645161E-2</v>
      </c>
      <c r="F163" s="146">
        <f t="shared" si="29"/>
        <v>1.1566666666666666E-2</v>
      </c>
      <c r="G163" s="149">
        <f t="shared" si="29"/>
        <v>1.0884615384615383E-2</v>
      </c>
      <c r="H163" s="146">
        <f t="shared" si="29"/>
        <v>1.1096774193548386E-2</v>
      </c>
      <c r="I163" s="146">
        <f t="shared" si="29"/>
        <v>1.3548387096774193E-2</v>
      </c>
      <c r="J163" s="146">
        <f t="shared" si="29"/>
        <v>1.4316666666666667E-2</v>
      </c>
      <c r="K163" s="149">
        <f t="shared" si="29"/>
        <v>1.2972826086956522E-2</v>
      </c>
      <c r="L163" s="172">
        <f t="shared" si="29"/>
        <v>1.1934426229508195E-2</v>
      </c>
      <c r="M163" s="146">
        <f t="shared" si="29"/>
        <v>1.15E-2</v>
      </c>
      <c r="N163" s="146">
        <f t="shared" si="29"/>
        <v>1.1599999999999999E-2</v>
      </c>
      <c r="O163" s="146">
        <f t="shared" si="29"/>
        <v>1.2306451612903226E-2</v>
      </c>
      <c r="P163" s="149">
        <f t="shared" si="29"/>
        <v>1.1804347826086956E-2</v>
      </c>
      <c r="Q163" s="172">
        <f t="shared" si="29"/>
        <v>1.1890909090909089E-2</v>
      </c>
      <c r="R163" s="146">
        <f t="shared" si="29"/>
        <v>1.1296935483870967E-2</v>
      </c>
      <c r="S163" s="146">
        <f t="shared" si="29"/>
        <v>1.1895000000000001E-2</v>
      </c>
      <c r="T163" s="146">
        <f t="shared" si="29"/>
        <v>1.1469999999999999E-2</v>
      </c>
      <c r="U163" s="149">
        <f t="shared" si="29"/>
        <v>1.1542611111111111E-2</v>
      </c>
      <c r="V163" s="173">
        <f t="shared" si="29"/>
        <v>1.1805027397260274E-2</v>
      </c>
    </row>
    <row r="164" spans="1:22" ht="15.75">
      <c r="B164" s="318">
        <v>0.7</v>
      </c>
      <c r="C164" s="144" t="s">
        <v>63</v>
      </c>
      <c r="D164" s="146">
        <f t="shared" si="32"/>
        <v>2.8E-3</v>
      </c>
      <c r="E164" s="146">
        <f t="shared" si="29"/>
        <v>2.6419354838709678E-3</v>
      </c>
      <c r="F164" s="146">
        <f t="shared" si="29"/>
        <v>3.3133333333333331E-3</v>
      </c>
      <c r="G164" s="149">
        <f t="shared" si="29"/>
        <v>2.9153846153846153E-3</v>
      </c>
      <c r="H164" s="146">
        <f t="shared" si="29"/>
        <v>3.3870967741935483E-3</v>
      </c>
      <c r="I164" s="146">
        <f t="shared" si="29"/>
        <v>3.4322580645161286E-3</v>
      </c>
      <c r="J164" s="146">
        <f t="shared" si="29"/>
        <v>3.6399999999999996E-3</v>
      </c>
      <c r="K164" s="149">
        <f t="shared" si="29"/>
        <v>3.4847826086956512E-3</v>
      </c>
      <c r="L164" s="172">
        <f t="shared" si="29"/>
        <v>3.2016393442622945E-3</v>
      </c>
      <c r="M164" s="146">
        <f t="shared" si="29"/>
        <v>2.5516129032258062E-3</v>
      </c>
      <c r="N164" s="146">
        <f t="shared" si="29"/>
        <v>2.0533333333333332E-3</v>
      </c>
      <c r="O164" s="146">
        <f t="shared" si="29"/>
        <v>1.6709677419354837E-3</v>
      </c>
      <c r="P164" s="149">
        <f t="shared" si="29"/>
        <v>2.0923913043478259E-3</v>
      </c>
      <c r="Q164" s="172">
        <f t="shared" si="29"/>
        <v>2.8305454545454545E-3</v>
      </c>
      <c r="R164" s="146">
        <f t="shared" si="29"/>
        <v>2.3140645161290321E-3</v>
      </c>
      <c r="S164" s="146">
        <f t="shared" si="29"/>
        <v>2.6752499999999997E-3</v>
      </c>
      <c r="T164" s="146">
        <f t="shared" si="29"/>
        <v>2.755290322580645E-3</v>
      </c>
      <c r="U164" s="149">
        <f t="shared" si="29"/>
        <v>2.5784111111111108E-3</v>
      </c>
      <c r="V164" s="173">
        <f t="shared" si="29"/>
        <v>2.7683753424657532E-3</v>
      </c>
    </row>
    <row r="165" spans="1:22" ht="15.75">
      <c r="B165" s="318">
        <v>0.11</v>
      </c>
      <c r="C165" s="144" t="s">
        <v>64</v>
      </c>
      <c r="D165" s="146">
        <f t="shared" si="32"/>
        <v>2.5560333333333334E-2</v>
      </c>
      <c r="E165" s="146">
        <f t="shared" si="29"/>
        <v>2.4515806451612904E-2</v>
      </c>
      <c r="F165" s="146">
        <f t="shared" si="29"/>
        <v>2.3624333333333334E-2</v>
      </c>
      <c r="G165" s="149">
        <f t="shared" si="29"/>
        <v>2.4566263736263735E-2</v>
      </c>
      <c r="H165" s="146">
        <f t="shared" si="29"/>
        <v>2.3437096774193551E-2</v>
      </c>
      <c r="I165" s="146">
        <f t="shared" si="29"/>
        <v>2.219516129032258E-2</v>
      </c>
      <c r="J165" s="146">
        <f t="shared" si="29"/>
        <v>2.3642666666666666E-2</v>
      </c>
      <c r="K165" s="149">
        <f t="shared" si="29"/>
        <v>2.3085652173913045E-2</v>
      </c>
      <c r="L165" s="172">
        <f t="shared" si="29"/>
        <v>2.3821912568306011E-2</v>
      </c>
      <c r="M165" s="146">
        <f t="shared" si="29"/>
        <v>2.280548387096774E-2</v>
      </c>
      <c r="N165" s="146">
        <f t="shared" si="29"/>
        <v>2.4889333333333333E-2</v>
      </c>
      <c r="O165" s="146">
        <f t="shared" si="29"/>
        <v>2.5832258064516129E-2</v>
      </c>
      <c r="P165" s="149">
        <f t="shared" si="29"/>
        <v>2.4504891304347829E-2</v>
      </c>
      <c r="Q165" s="172">
        <f t="shared" si="29"/>
        <v>2.4050400000000003E-2</v>
      </c>
      <c r="R165" s="146">
        <f t="shared" si="29"/>
        <v>2.7275422580645161E-2</v>
      </c>
      <c r="S165" s="146">
        <f t="shared" si="29"/>
        <v>2.3993082142857145E-2</v>
      </c>
      <c r="T165" s="146">
        <f t="shared" si="29"/>
        <v>2.2661506127278616E-2</v>
      </c>
      <c r="U165" s="149">
        <f t="shared" si="29"/>
        <v>2.4665012110507079E-2</v>
      </c>
      <c r="V165" s="173">
        <f t="shared" si="29"/>
        <v>2.4201948191631885E-2</v>
      </c>
    </row>
    <row r="166" spans="1:22" ht="15.75">
      <c r="B166" s="318">
        <v>0.4</v>
      </c>
      <c r="C166" s="144" t="s">
        <v>65</v>
      </c>
      <c r="D166" s="146">
        <f t="shared" si="32"/>
        <v>4.308E-2</v>
      </c>
      <c r="E166" s="146">
        <f t="shared" si="29"/>
        <v>4.5509677419354841E-2</v>
      </c>
      <c r="F166" s="146">
        <f t="shared" si="29"/>
        <v>2.6586666666666665E-2</v>
      </c>
      <c r="G166" s="149">
        <f t="shared" si="29"/>
        <v>3.8470329670329671E-2</v>
      </c>
      <c r="H166" s="146">
        <f t="shared" si="29"/>
        <v>4.6270967741935481E-2</v>
      </c>
      <c r="I166" s="146">
        <f t="shared" si="29"/>
        <v>4.8000000000000008E-2</v>
      </c>
      <c r="J166" s="146">
        <f t="shared" si="29"/>
        <v>4.525333333333334E-2</v>
      </c>
      <c r="K166" s="149">
        <f t="shared" si="29"/>
        <v>4.652173913043478E-2</v>
      </c>
      <c r="L166" s="172">
        <f t="shared" si="29"/>
        <v>4.2518032786885242E-2</v>
      </c>
      <c r="M166" s="146">
        <f t="shared" si="29"/>
        <v>6.4270967741935484E-2</v>
      </c>
      <c r="N166" s="146">
        <f t="shared" si="29"/>
        <v>4.7573333333333336E-2</v>
      </c>
      <c r="O166" s="146">
        <f t="shared" si="29"/>
        <v>4.6748387096774202E-2</v>
      </c>
      <c r="P166" s="149">
        <f t="shared" si="29"/>
        <v>5.292173913043479E-2</v>
      </c>
      <c r="Q166" s="172">
        <f t="shared" si="29"/>
        <v>4.5998545454545459E-2</v>
      </c>
      <c r="R166" s="146">
        <f t="shared" si="29"/>
        <v>5.5791612903225811E-2</v>
      </c>
      <c r="S166" s="146">
        <f t="shared" si="29"/>
        <v>4.5295857142857145E-2</v>
      </c>
      <c r="T166" s="146">
        <f t="shared" si="29"/>
        <v>3.27625150142404E-2</v>
      </c>
      <c r="U166" s="149">
        <f t="shared" si="29"/>
        <v>4.4594021838238358E-2</v>
      </c>
      <c r="V166" s="173">
        <f t="shared" si="29"/>
        <v>4.5652224562853297E-2</v>
      </c>
    </row>
    <row r="167" spans="1:22" ht="15.75">
      <c r="B167" s="318">
        <v>0.04</v>
      </c>
      <c r="C167" s="144" t="s">
        <v>66</v>
      </c>
      <c r="D167" s="146">
        <f t="shared" si="32"/>
        <v>0</v>
      </c>
      <c r="E167" s="146">
        <f t="shared" si="29"/>
        <v>0</v>
      </c>
      <c r="F167" s="146">
        <f t="shared" si="29"/>
        <v>0</v>
      </c>
      <c r="G167" s="149">
        <f t="shared" si="29"/>
        <v>0</v>
      </c>
      <c r="H167" s="146">
        <f t="shared" si="29"/>
        <v>0</v>
      </c>
      <c r="I167" s="146">
        <f t="shared" si="29"/>
        <v>0</v>
      </c>
      <c r="J167" s="146">
        <f t="shared" si="29"/>
        <v>0</v>
      </c>
      <c r="K167" s="149">
        <f t="shared" si="29"/>
        <v>0</v>
      </c>
      <c r="L167" s="172">
        <f t="shared" si="29"/>
        <v>0</v>
      </c>
      <c r="M167" s="146">
        <f t="shared" si="29"/>
        <v>0</v>
      </c>
      <c r="N167" s="146">
        <f t="shared" si="29"/>
        <v>0</v>
      </c>
      <c r="O167" s="146">
        <f t="shared" si="29"/>
        <v>0</v>
      </c>
      <c r="P167" s="149">
        <f t="shared" si="29"/>
        <v>0</v>
      </c>
      <c r="Q167" s="172">
        <f t="shared" si="29"/>
        <v>0</v>
      </c>
      <c r="R167" s="146">
        <f t="shared" si="29"/>
        <v>0</v>
      </c>
      <c r="S167" s="146">
        <f t="shared" si="29"/>
        <v>0</v>
      </c>
      <c r="T167" s="146">
        <f t="shared" si="29"/>
        <v>0</v>
      </c>
      <c r="U167" s="149">
        <f t="shared" si="29"/>
        <v>0</v>
      </c>
      <c r="V167" s="173">
        <f t="shared" si="29"/>
        <v>0</v>
      </c>
    </row>
    <row r="168" spans="1:22" ht="15.75">
      <c r="B168" s="318">
        <v>0.25</v>
      </c>
      <c r="C168" s="144" t="s">
        <v>67</v>
      </c>
      <c r="D168" s="146">
        <f t="shared" si="32"/>
        <v>0</v>
      </c>
      <c r="E168" s="146">
        <f t="shared" si="29"/>
        <v>0</v>
      </c>
      <c r="F168" s="146">
        <f t="shared" si="29"/>
        <v>0</v>
      </c>
      <c r="G168" s="149">
        <f t="shared" si="29"/>
        <v>0</v>
      </c>
      <c r="H168" s="146">
        <f t="shared" si="29"/>
        <v>0</v>
      </c>
      <c r="I168" s="146">
        <f t="shared" si="29"/>
        <v>0</v>
      </c>
      <c r="J168" s="146">
        <f t="shared" si="29"/>
        <v>0</v>
      </c>
      <c r="K168" s="149">
        <f t="shared" si="29"/>
        <v>0</v>
      </c>
      <c r="L168" s="172">
        <f t="shared" si="29"/>
        <v>0</v>
      </c>
      <c r="M168" s="146">
        <f t="shared" si="29"/>
        <v>0</v>
      </c>
      <c r="N168" s="146">
        <f t="shared" si="29"/>
        <v>0</v>
      </c>
      <c r="O168" s="146">
        <f t="shared" si="29"/>
        <v>0</v>
      </c>
      <c r="P168" s="149">
        <f t="shared" si="29"/>
        <v>0</v>
      </c>
      <c r="Q168" s="172">
        <f t="shared" si="29"/>
        <v>0</v>
      </c>
      <c r="R168" s="146">
        <f t="shared" si="29"/>
        <v>0</v>
      </c>
      <c r="S168" s="146">
        <f t="shared" si="29"/>
        <v>0</v>
      </c>
      <c r="T168" s="146">
        <f t="shared" si="29"/>
        <v>0</v>
      </c>
      <c r="U168" s="149">
        <f t="shared" si="29"/>
        <v>0</v>
      </c>
      <c r="V168" s="173">
        <f t="shared" si="29"/>
        <v>0</v>
      </c>
    </row>
    <row r="169" spans="1:22" ht="15.75">
      <c r="B169" s="318">
        <v>0.24124999999999999</v>
      </c>
      <c r="C169" s="144" t="s">
        <v>68</v>
      </c>
      <c r="D169" s="146">
        <f t="shared" si="32"/>
        <v>0</v>
      </c>
      <c r="E169" s="146">
        <f t="shared" si="29"/>
        <v>0</v>
      </c>
      <c r="F169" s="146">
        <f t="shared" si="29"/>
        <v>0</v>
      </c>
      <c r="G169" s="149">
        <f t="shared" si="29"/>
        <v>0</v>
      </c>
      <c r="H169" s="146">
        <f t="shared" si="29"/>
        <v>0</v>
      </c>
      <c r="I169" s="146">
        <f t="shared" si="29"/>
        <v>0</v>
      </c>
      <c r="J169" s="146">
        <f t="shared" si="29"/>
        <v>0</v>
      </c>
      <c r="K169" s="149">
        <f t="shared" si="29"/>
        <v>0</v>
      </c>
      <c r="L169" s="172">
        <f t="shared" si="29"/>
        <v>0</v>
      </c>
      <c r="M169" s="146">
        <f t="shared" si="29"/>
        <v>0</v>
      </c>
      <c r="N169" s="146">
        <f t="shared" si="29"/>
        <v>0</v>
      </c>
      <c r="O169" s="146">
        <f t="shared" si="29"/>
        <v>0</v>
      </c>
      <c r="P169" s="149">
        <f t="shared" si="29"/>
        <v>0</v>
      </c>
      <c r="Q169" s="172">
        <f t="shared" si="29"/>
        <v>0</v>
      </c>
      <c r="R169" s="146">
        <f t="shared" si="29"/>
        <v>0</v>
      </c>
      <c r="S169" s="146">
        <f t="shared" si="29"/>
        <v>0</v>
      </c>
      <c r="T169" s="146">
        <f t="shared" si="29"/>
        <v>0</v>
      </c>
      <c r="U169" s="149">
        <f t="shared" si="29"/>
        <v>0</v>
      </c>
      <c r="V169" s="173">
        <f t="shared" si="29"/>
        <v>0</v>
      </c>
    </row>
    <row r="170" spans="1:22" ht="15.75">
      <c r="B170" s="318">
        <v>0.45</v>
      </c>
      <c r="C170" s="144" t="s">
        <v>69</v>
      </c>
      <c r="D170" s="146">
        <f t="shared" si="32"/>
        <v>0.92152500000000015</v>
      </c>
      <c r="E170" s="146">
        <f t="shared" si="29"/>
        <v>0.86926935483870971</v>
      </c>
      <c r="F170" s="146">
        <f t="shared" si="29"/>
        <v>0.75948000000000004</v>
      </c>
      <c r="G170" s="149">
        <f t="shared" si="29"/>
        <v>0.85030219780219785</v>
      </c>
      <c r="H170" s="146">
        <f t="shared" si="29"/>
        <v>0.6997209677419356</v>
      </c>
      <c r="I170" s="146">
        <f t="shared" si="29"/>
        <v>0.47361774193548389</v>
      </c>
      <c r="J170" s="146">
        <f t="shared" si="29"/>
        <v>0.32968500000000001</v>
      </c>
      <c r="K170" s="149">
        <f t="shared" si="29"/>
        <v>0.50287010869565218</v>
      </c>
      <c r="L170" s="172">
        <f t="shared" si="29"/>
        <v>0.67563688524590171</v>
      </c>
      <c r="M170" s="146">
        <f t="shared" si="29"/>
        <v>0.25247903225806456</v>
      </c>
      <c r="N170" s="146">
        <f t="shared" si="29"/>
        <v>0.18408000000000002</v>
      </c>
      <c r="O170" s="146">
        <f t="shared" si="29"/>
        <v>0.20911935483870969</v>
      </c>
      <c r="P170" s="149">
        <f t="shared" si="29"/>
        <v>0.21556467391304349</v>
      </c>
      <c r="Q170" s="172">
        <f t="shared" si="29"/>
        <v>0.52172181818181829</v>
      </c>
      <c r="R170" s="146">
        <f t="shared" si="29"/>
        <v>0.20650645161290324</v>
      </c>
      <c r="S170" s="146">
        <f t="shared" si="29"/>
        <v>0.18790730357142857</v>
      </c>
      <c r="T170" s="146">
        <f t="shared" si="29"/>
        <v>0.1276983870967742</v>
      </c>
      <c r="U170" s="149">
        <f t="shared" si="29"/>
        <v>0.17357505000000004</v>
      </c>
      <c r="V170" s="173">
        <f t="shared" si="29"/>
        <v>0.43587740958904114</v>
      </c>
    </row>
    <row r="171" spans="1:22" ht="15.75">
      <c r="B171" s="318">
        <v>0.17</v>
      </c>
      <c r="C171" s="144" t="s">
        <v>70</v>
      </c>
      <c r="D171" s="146">
        <f t="shared" si="32"/>
        <v>2.3421806666666671</v>
      </c>
      <c r="E171" s="146">
        <f t="shared" si="29"/>
        <v>2.3461590322580648</v>
      </c>
      <c r="F171" s="146">
        <f t="shared" si="29"/>
        <v>2.1660096666666671</v>
      </c>
      <c r="G171" s="149">
        <f t="shared" si="29"/>
        <v>2.2854575824175827</v>
      </c>
      <c r="H171" s="146">
        <f t="shared" si="29"/>
        <v>2.493115806451613</v>
      </c>
      <c r="I171" s="146">
        <f t="shared" si="29"/>
        <v>2.3777351612903228</v>
      </c>
      <c r="J171" s="146">
        <f t="shared" si="29"/>
        <v>2.1274196666666669</v>
      </c>
      <c r="K171" s="149">
        <f t="shared" si="29"/>
        <v>2.3349888043478262</v>
      </c>
      <c r="L171" s="172">
        <f t="shared" si="29"/>
        <v>2.3103585245901646</v>
      </c>
      <c r="M171" s="146">
        <f t="shared" si="29"/>
        <v>2.144275806451613</v>
      </c>
      <c r="N171" s="146">
        <f t="shared" si="29"/>
        <v>2.0984573333333332</v>
      </c>
      <c r="O171" s="146">
        <f t="shared" si="29"/>
        <v>2.2870483870967742</v>
      </c>
      <c r="P171" s="149">
        <f t="shared" si="29"/>
        <v>2.1774431521739128</v>
      </c>
      <c r="Q171" s="172">
        <f t="shared" si="29"/>
        <v>2.2658922909090915</v>
      </c>
      <c r="R171" s="146">
        <f t="shared" si="29"/>
        <v>2.6815350322580644</v>
      </c>
      <c r="S171" s="146">
        <f t="shared" si="29"/>
        <v>2.6985868000000002</v>
      </c>
      <c r="T171" s="146">
        <f t="shared" si="29"/>
        <v>2.2736577612903228</v>
      </c>
      <c r="U171" s="149">
        <f t="shared" si="29"/>
        <v>2.5463489666666668</v>
      </c>
      <c r="V171" s="173">
        <f t="shared" si="29"/>
        <v>2.335045991780822</v>
      </c>
    </row>
    <row r="172" spans="1:22" ht="15.75">
      <c r="C172" s="145" t="s">
        <v>92</v>
      </c>
      <c r="D172" s="152">
        <f>SUM(D158:D171)</f>
        <v>8.6077943666666652</v>
      </c>
      <c r="E172" s="152">
        <f t="shared" ref="E172:V172" si="33">SUM(E158:E171)</f>
        <v>8.0630197903225813</v>
      </c>
      <c r="F172" s="152">
        <f t="shared" si="33"/>
        <v>7.5055793500000014</v>
      </c>
      <c r="G172" s="153">
        <f t="shared" si="33"/>
        <v>8.0588442307692318</v>
      </c>
      <c r="H172" s="152">
        <f t="shared" si="33"/>
        <v>7.692938241935483</v>
      </c>
      <c r="I172" s="152">
        <f t="shared" si="33"/>
        <v>7.7331797741935482</v>
      </c>
      <c r="J172" s="152">
        <f t="shared" si="33"/>
        <v>7.5352425249999992</v>
      </c>
      <c r="K172" s="153">
        <f t="shared" si="33"/>
        <v>7.6550753722826084</v>
      </c>
      <c r="L172" s="173">
        <f t="shared" si="33"/>
        <v>7.8558566079234975</v>
      </c>
      <c r="M172" s="152">
        <f t="shared" si="33"/>
        <v>8.1186144838709673</v>
      </c>
      <c r="N172" s="152">
        <f t="shared" si="33"/>
        <v>8.1942841387583343</v>
      </c>
      <c r="O172" s="152">
        <f t="shared" si="33"/>
        <v>9.0115307419354824</v>
      </c>
      <c r="P172" s="153">
        <f t="shared" si="33"/>
        <v>8.4441633278559785</v>
      </c>
      <c r="Q172" s="173">
        <f t="shared" si="33"/>
        <v>8.0526719469554564</v>
      </c>
      <c r="R172" s="152">
        <f t="shared" si="33"/>
        <v>8.9930656785483887</v>
      </c>
      <c r="S172" s="152">
        <f t="shared" si="33"/>
        <v>9.1906539655357129</v>
      </c>
      <c r="T172" s="152">
        <f t="shared" si="33"/>
        <v>8.4663526372705515</v>
      </c>
      <c r="U172" s="153">
        <f t="shared" si="33"/>
        <v>8.8731142091709678</v>
      </c>
      <c r="V172" s="173">
        <f t="shared" si="33"/>
        <v>8.2549727787346221</v>
      </c>
    </row>
  </sheetData>
  <mergeCells count="9">
    <mergeCell ref="C119:V119"/>
    <mergeCell ref="C138:V138"/>
    <mergeCell ref="C156:V156"/>
    <mergeCell ref="C4:V4"/>
    <mergeCell ref="C22:V22"/>
    <mergeCell ref="C42:V42"/>
    <mergeCell ref="C61:V61"/>
    <mergeCell ref="C82:V82"/>
    <mergeCell ref="C101:V10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4241" r:id="rId4" name="Button 1">
              <controlPr defaultSize="0" print="0" autoFill="0" autoPict="0" macro="[0]!Back_to_Dashboard">
                <anchor moveWithCells="1" sizeWithCells="1">
                  <from>
                    <xdr:col>23</xdr:col>
                    <xdr:colOff>371475</xdr:colOff>
                    <xdr:row>16</xdr:row>
                    <xdr:rowOff>66675</xdr:rowOff>
                  </from>
                  <to>
                    <xdr:col>25</xdr:col>
                    <xdr:colOff>238125</xdr:colOff>
                    <xdr:row>19</xdr:row>
                    <xdr:rowOff>180975</xdr:rowOff>
                  </to>
                </anchor>
              </controlPr>
            </control>
          </mc:Choice>
        </mc:AlternateContent>
        <mc:AlternateContent xmlns:mc="http://schemas.openxmlformats.org/markup-compatibility/2006">
          <mc:Choice Requires="x14">
            <control shapeId="394242" r:id="rId5" name="Button 2">
              <controlPr defaultSize="0" print="0" autoFill="0" autoPict="0" macro="[0]!EXPORT_ACTIVE_SHEET">
                <anchor moveWithCells="1" sizeWithCells="1">
                  <from>
                    <xdr:col>23</xdr:col>
                    <xdr:colOff>371475</xdr:colOff>
                    <xdr:row>11</xdr:row>
                    <xdr:rowOff>123825</xdr:rowOff>
                  </from>
                  <to>
                    <xdr:col>25</xdr:col>
                    <xdr:colOff>200025</xdr:colOff>
                    <xdr:row>15</xdr:row>
                    <xdr:rowOff>104775</xdr:rowOff>
                  </to>
                </anchor>
              </controlPr>
            </control>
          </mc:Choice>
        </mc:AlternateContent>
      </controls>
    </mc:Choice>
  </mc:AlternateContent>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rgb="FF92D050"/>
    <pageSetUpPr fitToPage="1"/>
  </sheetPr>
  <dimension ref="A1:W102"/>
  <sheetViews>
    <sheetView workbookViewId="0"/>
  </sheetViews>
  <sheetFormatPr defaultColWidth="8.85546875" defaultRowHeight="15"/>
  <cols>
    <col min="3" max="3" width="13" customWidth="1"/>
    <col min="4" max="4" width="13.42578125" customWidth="1"/>
    <col min="5" max="6" width="13.28515625" customWidth="1"/>
    <col min="7" max="7" width="13" customWidth="1"/>
    <col min="8" max="8" width="12" customWidth="1"/>
    <col min="9" max="9" width="12.7109375" customWidth="1"/>
    <col min="10" max="10" width="13.140625" customWidth="1"/>
    <col min="11" max="11" width="14" customWidth="1"/>
    <col min="12" max="12" width="13.28515625" customWidth="1"/>
    <col min="13" max="13" width="12.7109375" customWidth="1"/>
    <col min="14" max="14" width="13.42578125" customWidth="1"/>
    <col min="15" max="15" width="13.7109375" customWidth="1"/>
    <col min="16" max="16" width="14.140625" customWidth="1"/>
    <col min="17" max="19" width="12.42578125" customWidth="1"/>
    <col min="20" max="20" width="13.42578125" customWidth="1"/>
    <col min="21" max="21" width="12.7109375" customWidth="1"/>
    <col min="22" max="22" width="13.140625" customWidth="1"/>
  </cols>
  <sheetData>
    <row r="1" spans="1:22">
      <c r="L1" t="str">
        <f>Dropdowns!D406</f>
        <v>(rounded)</v>
      </c>
    </row>
    <row r="2" spans="1:22" ht="18.75">
      <c r="F2" s="231" t="s">
        <v>883</v>
      </c>
      <c r="G2" s="514" t="s">
        <v>658</v>
      </c>
      <c r="H2" s="513" t="str">
        <f>interFY_transition!D20</f>
        <v>2026-27</v>
      </c>
      <c r="I2" t="s">
        <v>862</v>
      </c>
      <c r="J2" t="s">
        <v>153</v>
      </c>
      <c r="L2" t="str">
        <f>DPRavg!F2</f>
        <v>July'26</v>
      </c>
      <c r="M2" t="s">
        <v>156</v>
      </c>
      <c r="N2" s="246">
        <f>prod_compiled!M3</f>
        <v>46265</v>
      </c>
    </row>
    <row r="4" spans="1:22">
      <c r="C4" s="1322" t="s">
        <v>88</v>
      </c>
      <c r="D4" s="1323"/>
      <c r="E4" s="1323"/>
      <c r="F4" s="1323"/>
      <c r="G4" s="1323"/>
      <c r="H4" s="1323"/>
      <c r="I4" s="1323"/>
      <c r="J4" s="1323"/>
      <c r="K4" s="1323"/>
      <c r="L4" s="1323"/>
      <c r="M4" s="1323"/>
      <c r="N4" s="1323"/>
      <c r="O4" s="1323"/>
      <c r="P4" s="1323"/>
      <c r="Q4" s="1323"/>
      <c r="R4" s="1323"/>
      <c r="S4" s="1323"/>
      <c r="T4" s="1323"/>
      <c r="U4" s="1323"/>
      <c r="V4" s="1324"/>
    </row>
    <row r="5" spans="1:22">
      <c r="C5" s="144"/>
      <c r="D5" s="144" t="s">
        <v>30</v>
      </c>
      <c r="E5" s="144" t="s">
        <v>71</v>
      </c>
      <c r="F5" s="144" t="s">
        <v>72</v>
      </c>
      <c r="G5" s="142" t="s">
        <v>82</v>
      </c>
      <c r="H5" s="144" t="s">
        <v>73</v>
      </c>
      <c r="I5" s="144" t="s">
        <v>74</v>
      </c>
      <c r="J5" s="144" t="s">
        <v>75</v>
      </c>
      <c r="K5" s="142" t="s">
        <v>83</v>
      </c>
      <c r="L5" s="166" t="s">
        <v>39</v>
      </c>
      <c r="M5" s="144" t="s">
        <v>76</v>
      </c>
      <c r="N5" s="144" t="s">
        <v>77</v>
      </c>
      <c r="O5" s="144" t="s">
        <v>78</v>
      </c>
      <c r="P5" s="142" t="s">
        <v>84</v>
      </c>
      <c r="Q5" s="166" t="s">
        <v>85</v>
      </c>
      <c r="R5" s="144" t="s">
        <v>79</v>
      </c>
      <c r="S5" s="144" t="s">
        <v>80</v>
      </c>
      <c r="T5" s="144" t="s">
        <v>81</v>
      </c>
      <c r="U5" s="142" t="s">
        <v>86</v>
      </c>
      <c r="V5" s="168" t="s">
        <v>87</v>
      </c>
    </row>
    <row r="6" spans="1:22" ht="15.75">
      <c r="B6" s="318">
        <v>0.2</v>
      </c>
      <c r="C6" s="144" t="s">
        <v>60</v>
      </c>
      <c r="D6" s="141">
        <f>prod_compiled!D6</f>
        <v>189203.96666666667</v>
      </c>
      <c r="E6" s="141">
        <f>prod_compiled!E6</f>
        <v>184262.29032290322</v>
      </c>
      <c r="F6" s="141">
        <f>prod_compiled!F6</f>
        <v>169196.10000066666</v>
      </c>
      <c r="G6" s="143">
        <f>prod_compiled!R6</f>
        <v>180924.53846186813</v>
      </c>
      <c r="H6" s="141">
        <f>prod_compiled!G6</f>
        <v>187261.55464516129</v>
      </c>
      <c r="I6" s="141">
        <f>prod_compiled!H6</f>
        <v>183341.16129032258</v>
      </c>
      <c r="J6" s="141">
        <f>prod_compiled!I6</f>
        <v>0</v>
      </c>
      <c r="K6" s="143">
        <f ca="1">prod_compiled!S6</f>
        <v>0</v>
      </c>
      <c r="L6" s="167">
        <f ca="1">prod_compiled!V6</f>
        <v>0</v>
      </c>
      <c r="M6" s="141">
        <f>prod_compiled!J6</f>
        <v>0</v>
      </c>
      <c r="N6" s="141">
        <f>prod_compiled!K6</f>
        <v>0</v>
      </c>
      <c r="O6" s="141">
        <f>prod_compiled!L6</f>
        <v>0</v>
      </c>
      <c r="P6" s="143">
        <f>prod_compiled!T6</f>
        <v>0</v>
      </c>
      <c r="Q6" s="167">
        <f ca="1">prod_compiled!X6</f>
        <v>0</v>
      </c>
      <c r="R6" s="141">
        <f>prod_compiled!M6</f>
        <v>0</v>
      </c>
      <c r="S6" s="141">
        <f>prod_compiled!N6</f>
        <v>0</v>
      </c>
      <c r="T6" s="141">
        <f>prod_compiled!O6</f>
        <v>0</v>
      </c>
      <c r="U6" s="143">
        <f>prod_compiled!U6</f>
        <v>0</v>
      </c>
      <c r="V6" s="169">
        <f ca="1">prod_compiled!Y6</f>
        <v>0</v>
      </c>
    </row>
    <row r="7" spans="1:22" ht="15.75">
      <c r="B7" s="318">
        <v>0.26</v>
      </c>
      <c r="C7" s="144" t="s">
        <v>61</v>
      </c>
      <c r="D7" s="141">
        <f>prod_compiled!D7</f>
        <v>155673.12433366667</v>
      </c>
      <c r="E7" s="141">
        <f>prod_compiled!E7</f>
        <v>155546.70022645159</v>
      </c>
      <c r="F7" s="141">
        <f>prod_compiled!F7</f>
        <v>155214.86819966664</v>
      </c>
      <c r="G7" s="143">
        <f>prod_compiled!R7</f>
        <v>155478.98332989009</v>
      </c>
      <c r="H7" s="141">
        <f>prod_compiled!G7</f>
        <v>156314.0740648387</v>
      </c>
      <c r="I7" s="141">
        <f>prod_compiled!H7</f>
        <v>156578.38709677418</v>
      </c>
      <c r="J7" s="141">
        <f>prod_compiled!I7</f>
        <v>0</v>
      </c>
      <c r="K7" s="143">
        <f ca="1">prod_compiled!S7</f>
        <v>0</v>
      </c>
      <c r="L7" s="167">
        <f ca="1">prod_compiled!V7</f>
        <v>0</v>
      </c>
      <c r="M7" s="141">
        <f>prod_compiled!J7</f>
        <v>0</v>
      </c>
      <c r="N7" s="141">
        <f>prod_compiled!K7</f>
        <v>0</v>
      </c>
      <c r="O7" s="141">
        <f>prod_compiled!L7</f>
        <v>0</v>
      </c>
      <c r="P7" s="143">
        <f>prod_compiled!T7</f>
        <v>0</v>
      </c>
      <c r="Q7" s="167">
        <f ca="1">prod_compiled!X7</f>
        <v>0</v>
      </c>
      <c r="R7" s="141">
        <f>prod_compiled!M7</f>
        <v>0</v>
      </c>
      <c r="S7" s="141">
        <f>prod_compiled!N7</f>
        <v>0</v>
      </c>
      <c r="T7" s="141">
        <f>prod_compiled!O7</f>
        <v>0</v>
      </c>
      <c r="U7" s="143">
        <f>prod_compiled!U7</f>
        <v>0</v>
      </c>
      <c r="V7" s="169">
        <f ca="1">prod_compiled!Y7</f>
        <v>0</v>
      </c>
    </row>
    <row r="8" spans="1:22" ht="15.75">
      <c r="B8" s="318">
        <v>1</v>
      </c>
      <c r="C8" s="144" t="s">
        <v>62</v>
      </c>
      <c r="D8" s="141">
        <f>prod_compiled!D8</f>
        <v>1967.1666666666667</v>
      </c>
      <c r="E8" s="141">
        <f>prod_compiled!E8</f>
        <v>1868.8709658064517</v>
      </c>
      <c r="F8" s="141">
        <f>prod_compiled!F8</f>
        <v>1976.7666666666667</v>
      </c>
      <c r="G8" s="143">
        <f>prod_compiled!R8</f>
        <v>1936.8461531868134</v>
      </c>
      <c r="H8" s="141">
        <f>prod_compiled!G8</f>
        <v>1912.9999990322581</v>
      </c>
      <c r="I8" s="141">
        <f>prod_compiled!H8</f>
        <v>1856.483870967742</v>
      </c>
      <c r="J8" s="141">
        <f>prod_compiled!I8</f>
        <v>0</v>
      </c>
      <c r="K8" s="143">
        <f ca="1">prod_compiled!S8</f>
        <v>0</v>
      </c>
      <c r="L8" s="167">
        <f ca="1">prod_compiled!V8</f>
        <v>0</v>
      </c>
      <c r="M8" s="141">
        <f>prod_compiled!J8</f>
        <v>0</v>
      </c>
      <c r="N8" s="141">
        <f>prod_compiled!K8</f>
        <v>0</v>
      </c>
      <c r="O8" s="141">
        <f>prod_compiled!L8</f>
        <v>0</v>
      </c>
      <c r="P8" s="143">
        <f>prod_compiled!T8</f>
        <v>0</v>
      </c>
      <c r="Q8" s="167">
        <f ca="1">prod_compiled!X8</f>
        <v>0</v>
      </c>
      <c r="R8" s="141">
        <f>prod_compiled!M8</f>
        <v>0</v>
      </c>
      <c r="S8" s="141">
        <f>prod_compiled!N8</f>
        <v>0</v>
      </c>
      <c r="T8" s="141">
        <f>prod_compiled!O8</f>
        <v>0</v>
      </c>
      <c r="U8" s="143">
        <f>prod_compiled!U8</f>
        <v>0</v>
      </c>
      <c r="V8" s="169">
        <f ca="1">prod_compiled!Y8</f>
        <v>0</v>
      </c>
    </row>
    <row r="9" spans="1:22" ht="15.75">
      <c r="A9" s="768">
        <v>2.9250000000000002E-2</v>
      </c>
      <c r="B9" s="318">
        <v>2.3099999999999999E-2</v>
      </c>
      <c r="C9" s="144" t="s">
        <v>57</v>
      </c>
      <c r="D9" s="141">
        <f>prod_compiled!D9</f>
        <v>321916.63333333336</v>
      </c>
      <c r="E9" s="141">
        <f>prod_compiled!E9</f>
        <v>318392.1935480645</v>
      </c>
      <c r="F9" s="141">
        <f>prod_compiled!F9</f>
        <v>322595.96666833333</v>
      </c>
      <c r="G9" s="143">
        <f>prod_compiled!R9</f>
        <v>320939.95604439563</v>
      </c>
      <c r="H9" s="141">
        <f>prod_compiled!G9</f>
        <v>323387.48387387092</v>
      </c>
      <c r="I9" s="141">
        <f>prod_compiled!H9</f>
        <v>301866.41935483873</v>
      </c>
      <c r="J9" s="141">
        <f>prod_compiled!I9</f>
        <v>0</v>
      </c>
      <c r="K9" s="143">
        <f ca="1">prod_compiled!S9</f>
        <v>0</v>
      </c>
      <c r="L9" s="167">
        <f ca="1">prod_compiled!V9</f>
        <v>0</v>
      </c>
      <c r="M9" s="141">
        <f>prod_compiled!J9</f>
        <v>0</v>
      </c>
      <c r="N9" s="141">
        <f>prod_compiled!K9</f>
        <v>0</v>
      </c>
      <c r="O9" s="141">
        <f>prod_compiled!L9</f>
        <v>0</v>
      </c>
      <c r="P9" s="143">
        <f>prod_compiled!T9</f>
        <v>0</v>
      </c>
      <c r="Q9" s="167">
        <f ca="1">prod_compiled!X9</f>
        <v>0</v>
      </c>
      <c r="R9" s="141">
        <f>prod_compiled!M9</f>
        <v>0</v>
      </c>
      <c r="S9" s="141">
        <f>prod_compiled!N9</f>
        <v>0</v>
      </c>
      <c r="T9" s="141">
        <f>prod_compiled!O9</f>
        <v>0</v>
      </c>
      <c r="U9" s="143">
        <f>prod_compiled!U9</f>
        <v>0</v>
      </c>
      <c r="V9" s="169">
        <f ca="1">prod_compiled!Y9</f>
        <v>0</v>
      </c>
    </row>
    <row r="10" spans="1:22" ht="15.75">
      <c r="B10" s="318">
        <v>0.27</v>
      </c>
      <c r="C10" s="144" t="s">
        <v>58</v>
      </c>
      <c r="D10" s="141">
        <f>prod_compiled!D10</f>
        <v>35545.783334333333</v>
      </c>
      <c r="E10" s="141">
        <f>prod_compiled!E10</f>
        <v>28023.939678064518</v>
      </c>
      <c r="F10" s="141">
        <f>prod_compiled!F10</f>
        <v>32279.925667666666</v>
      </c>
      <c r="G10" s="143">
        <f>prod_compiled!R10</f>
        <v>31906.740660219781</v>
      </c>
      <c r="H10" s="141">
        <f>prod_compiled!G10</f>
        <v>26900.451613225807</v>
      </c>
      <c r="I10" s="141">
        <f>prod_compiled!H10</f>
        <v>35350.548387096773</v>
      </c>
      <c r="J10" s="141">
        <f>prod_compiled!I10</f>
        <v>0</v>
      </c>
      <c r="K10" s="143">
        <f ca="1">prod_compiled!S10</f>
        <v>0</v>
      </c>
      <c r="L10" s="167">
        <f ca="1">prod_compiled!V10</f>
        <v>0</v>
      </c>
      <c r="M10" s="141">
        <f>prod_compiled!J10</f>
        <v>0</v>
      </c>
      <c r="N10" s="141">
        <f>prod_compiled!K10</f>
        <v>0</v>
      </c>
      <c r="O10" s="141">
        <f>prod_compiled!L10</f>
        <v>0</v>
      </c>
      <c r="P10" s="143">
        <f>prod_compiled!T10</f>
        <v>0</v>
      </c>
      <c r="Q10" s="167">
        <f ca="1">prod_compiled!X10</f>
        <v>0</v>
      </c>
      <c r="R10" s="141">
        <f>prod_compiled!M10</f>
        <v>0</v>
      </c>
      <c r="S10" s="141">
        <f>prod_compiled!N10</f>
        <v>0</v>
      </c>
      <c r="T10" s="141">
        <f>prod_compiled!O10</f>
        <v>0</v>
      </c>
      <c r="U10" s="143">
        <f>prod_compiled!U10</f>
        <v>0</v>
      </c>
      <c r="V10" s="169">
        <f ca="1">prod_compiled!Y10</f>
        <v>0</v>
      </c>
    </row>
    <row r="11" spans="1:22" ht="15.75">
      <c r="B11" s="319">
        <v>0.5</v>
      </c>
      <c r="C11" s="144" t="s">
        <v>59</v>
      </c>
      <c r="D11" s="141">
        <f>prod_compiled!D11</f>
        <v>4482.5666663333341</v>
      </c>
      <c r="E11" s="141">
        <f>prod_compiled!E11</f>
        <v>4449.7741938709678</v>
      </c>
      <c r="F11" s="141">
        <f>prod_compiled!F11</f>
        <v>4795.3</v>
      </c>
      <c r="G11" s="143">
        <f>prod_compiled!R11</f>
        <v>4574.4945054945056</v>
      </c>
      <c r="H11" s="141">
        <f>prod_compiled!G11</f>
        <v>4872.4838709677415</v>
      </c>
      <c r="I11" s="141">
        <f>prod_compiled!H11</f>
        <v>4976.8387096774195</v>
      </c>
      <c r="J11" s="141">
        <f>prod_compiled!I11</f>
        <v>0</v>
      </c>
      <c r="K11" s="143">
        <f ca="1">prod_compiled!S11</f>
        <v>0</v>
      </c>
      <c r="L11" s="167">
        <f ca="1">prod_compiled!V11</f>
        <v>0</v>
      </c>
      <c r="M11" s="141">
        <f>prod_compiled!J11</f>
        <v>0</v>
      </c>
      <c r="N11" s="141">
        <f>prod_compiled!K11</f>
        <v>0</v>
      </c>
      <c r="O11" s="141">
        <f>prod_compiled!L11</f>
        <v>0</v>
      </c>
      <c r="P11" s="143">
        <f>prod_compiled!T11</f>
        <v>0</v>
      </c>
      <c r="Q11" s="167">
        <f ca="1">prod_compiled!X11</f>
        <v>0</v>
      </c>
      <c r="R11" s="141">
        <f>prod_compiled!M11</f>
        <v>0</v>
      </c>
      <c r="S11" s="141">
        <f>prod_compiled!N11</f>
        <v>0</v>
      </c>
      <c r="T11" s="141">
        <f>prod_compiled!O11</f>
        <v>0</v>
      </c>
      <c r="U11" s="143">
        <f>prod_compiled!U11</f>
        <v>0</v>
      </c>
      <c r="V11" s="169">
        <f ca="1">prod_compiled!Y11</f>
        <v>0</v>
      </c>
    </row>
    <row r="12" spans="1:22" ht="15.75">
      <c r="B12" s="318">
        <v>0.7</v>
      </c>
      <c r="C12" s="144" t="s">
        <v>63</v>
      </c>
      <c r="D12" s="141">
        <f>prod_compiled!D12</f>
        <v>18270.500001</v>
      </c>
      <c r="E12" s="141">
        <f>prod_compiled!E12</f>
        <v>21726.806451612902</v>
      </c>
      <c r="F12" s="141">
        <f>prod_compiled!F12</f>
        <v>21278.499999</v>
      </c>
      <c r="G12" s="143">
        <f>prod_compiled!R12</f>
        <v>20439.571428571428</v>
      </c>
      <c r="H12" s="141">
        <f>prod_compiled!G12</f>
        <v>20944.51612967742</v>
      </c>
      <c r="I12" s="141">
        <f>prod_compiled!H12</f>
        <v>21588.691290322582</v>
      </c>
      <c r="J12" s="141">
        <f>prod_compiled!I12</f>
        <v>0</v>
      </c>
      <c r="K12" s="143">
        <f ca="1">prod_compiled!S12</f>
        <v>0</v>
      </c>
      <c r="L12" s="167">
        <f ca="1">prod_compiled!V12</f>
        <v>0</v>
      </c>
      <c r="M12" s="141">
        <f>prod_compiled!J12</f>
        <v>0</v>
      </c>
      <c r="N12" s="141">
        <f>prod_compiled!K12</f>
        <v>0</v>
      </c>
      <c r="O12" s="141">
        <f>prod_compiled!L12</f>
        <v>0</v>
      </c>
      <c r="P12" s="143">
        <f>prod_compiled!T12</f>
        <v>0</v>
      </c>
      <c r="Q12" s="167">
        <f ca="1">prod_compiled!X12</f>
        <v>0</v>
      </c>
      <c r="R12" s="141">
        <f>prod_compiled!M12</f>
        <v>0</v>
      </c>
      <c r="S12" s="141">
        <f>prod_compiled!N12</f>
        <v>0</v>
      </c>
      <c r="T12" s="141">
        <f>prod_compiled!O12</f>
        <v>0</v>
      </c>
      <c r="U12" s="143">
        <f>prod_compiled!U12</f>
        <v>0</v>
      </c>
      <c r="V12" s="169">
        <f ca="1">prod_compiled!Y12</f>
        <v>0</v>
      </c>
    </row>
    <row r="13" spans="1:22" ht="15.75">
      <c r="B13" s="318">
        <v>0.11</v>
      </c>
      <c r="C13" s="144" t="s">
        <v>64</v>
      </c>
      <c r="D13" s="141">
        <f>prod_compiled!D13</f>
        <v>7023.0999993333335</v>
      </c>
      <c r="E13" s="141">
        <f>prod_compiled!E13</f>
        <v>6952.0645158064517</v>
      </c>
      <c r="F13" s="141">
        <f>prod_compiled!F13</f>
        <v>6969.2999993333333</v>
      </c>
      <c r="G13" s="143">
        <f>prod_compiled!R13</f>
        <v>6981.1648346153843</v>
      </c>
      <c r="H13" s="141">
        <f>prod_compiled!G13</f>
        <v>6954.8064516129034</v>
      </c>
      <c r="I13" s="141">
        <f>prod_compiled!H13</f>
        <v>6913.4193548387093</v>
      </c>
      <c r="J13" s="141">
        <f>prod_compiled!I13</f>
        <v>0</v>
      </c>
      <c r="K13" s="143">
        <f ca="1">prod_compiled!S13</f>
        <v>0</v>
      </c>
      <c r="L13" s="167">
        <f ca="1">prod_compiled!V13</f>
        <v>0</v>
      </c>
      <c r="M13" s="141">
        <f>prod_compiled!J13</f>
        <v>0</v>
      </c>
      <c r="N13" s="141">
        <f>prod_compiled!K13</f>
        <v>0</v>
      </c>
      <c r="O13" s="141">
        <f>prod_compiled!L13</f>
        <v>0</v>
      </c>
      <c r="P13" s="143">
        <f>prod_compiled!T13</f>
        <v>0</v>
      </c>
      <c r="Q13" s="167">
        <f ca="1">prod_compiled!X13</f>
        <v>0</v>
      </c>
      <c r="R13" s="141">
        <f>prod_compiled!M13</f>
        <v>0</v>
      </c>
      <c r="S13" s="141">
        <f>prod_compiled!N13</f>
        <v>0</v>
      </c>
      <c r="T13" s="141">
        <f>prod_compiled!O13</f>
        <v>0</v>
      </c>
      <c r="U13" s="143">
        <f>prod_compiled!U13</f>
        <v>0</v>
      </c>
      <c r="V13" s="169">
        <f ca="1">prod_compiled!Y13</f>
        <v>0</v>
      </c>
    </row>
    <row r="14" spans="1:22" ht="15.75">
      <c r="B14" s="318">
        <v>0.4</v>
      </c>
      <c r="C14" s="144" t="s">
        <v>65</v>
      </c>
      <c r="D14" s="141">
        <f>prod_compiled!D14</f>
        <v>4330.0000003333334</v>
      </c>
      <c r="E14" s="141">
        <f>prod_compiled!E14</f>
        <v>5385.1612909677424</v>
      </c>
      <c r="F14" s="141">
        <f>prod_compiled!F14</f>
        <v>5641.1333330000007</v>
      </c>
      <c r="G14" s="143">
        <f>prod_compiled!R14</f>
        <v>5121.6923079120879</v>
      </c>
      <c r="H14" s="141">
        <f>prod_compiled!G14</f>
        <v>5701.3870974193551</v>
      </c>
      <c r="I14" s="141">
        <f>prod_compiled!H14</f>
        <v>5707.7419354838712</v>
      </c>
      <c r="J14" s="141">
        <f>prod_compiled!I14</f>
        <v>0</v>
      </c>
      <c r="K14" s="143">
        <f ca="1">prod_compiled!S14</f>
        <v>0</v>
      </c>
      <c r="L14" s="167">
        <f ca="1">prod_compiled!V14</f>
        <v>0</v>
      </c>
      <c r="M14" s="141">
        <f>prod_compiled!J14</f>
        <v>0</v>
      </c>
      <c r="N14" s="141">
        <f>prod_compiled!K14</f>
        <v>0</v>
      </c>
      <c r="O14" s="141">
        <f>prod_compiled!L14</f>
        <v>0</v>
      </c>
      <c r="P14" s="143">
        <f>prod_compiled!T14</f>
        <v>0</v>
      </c>
      <c r="Q14" s="167">
        <f ca="1">prod_compiled!X14</f>
        <v>0</v>
      </c>
      <c r="R14" s="141">
        <f>prod_compiled!M14</f>
        <v>0</v>
      </c>
      <c r="S14" s="141">
        <f>prod_compiled!N14</f>
        <v>0</v>
      </c>
      <c r="T14" s="141">
        <f>prod_compiled!O14</f>
        <v>0</v>
      </c>
      <c r="U14" s="143">
        <f>prod_compiled!U14</f>
        <v>0</v>
      </c>
      <c r="V14" s="169">
        <f ca="1">prod_compiled!Y14</f>
        <v>0</v>
      </c>
    </row>
    <row r="15" spans="1:22" ht="15.75">
      <c r="B15" s="318">
        <v>0.04</v>
      </c>
      <c r="C15" s="144" t="s">
        <v>66</v>
      </c>
      <c r="D15" s="141">
        <f>prod_compiled!D15</f>
        <v>240539.03333333333</v>
      </c>
      <c r="E15" s="141">
        <f>prod_compiled!E15</f>
        <v>270012.38709645165</v>
      </c>
      <c r="F15" s="141">
        <f>prod_compiled!F15</f>
        <v>426928.96666666667</v>
      </c>
      <c r="G15" s="143">
        <f>prod_compiled!R15</f>
        <v>312026.63736252749</v>
      </c>
      <c r="H15" s="141">
        <f>prod_compiled!G15</f>
        <v>330226.16128967743</v>
      </c>
      <c r="I15" s="141">
        <f>prod_compiled!H15</f>
        <v>431155</v>
      </c>
      <c r="J15" s="141">
        <f>prod_compiled!I15</f>
        <v>0</v>
      </c>
      <c r="K15" s="143">
        <f ca="1">prod_compiled!S15</f>
        <v>0</v>
      </c>
      <c r="L15" s="167">
        <f ca="1">prod_compiled!V15</f>
        <v>0</v>
      </c>
      <c r="M15" s="141">
        <f>prod_compiled!J15</f>
        <v>0</v>
      </c>
      <c r="N15" s="141">
        <f>prod_compiled!K15</f>
        <v>0</v>
      </c>
      <c r="O15" s="141">
        <f>prod_compiled!L15</f>
        <v>0</v>
      </c>
      <c r="P15" s="143">
        <f>prod_compiled!T15</f>
        <v>0</v>
      </c>
      <c r="Q15" s="167">
        <f ca="1">prod_compiled!X15</f>
        <v>0</v>
      </c>
      <c r="R15" s="141">
        <f>prod_compiled!M15</f>
        <v>0</v>
      </c>
      <c r="S15" s="141">
        <f>prod_compiled!N15</f>
        <v>0</v>
      </c>
      <c r="T15" s="141">
        <f>prod_compiled!O15</f>
        <v>0</v>
      </c>
      <c r="U15" s="143">
        <f>prod_compiled!U15</f>
        <v>0</v>
      </c>
      <c r="V15" s="169">
        <f ca="1">prod_compiled!Y15</f>
        <v>0</v>
      </c>
    </row>
    <row r="16" spans="1:22" ht="15.75">
      <c r="B16" s="318">
        <v>0.25</v>
      </c>
      <c r="C16" s="144" t="s">
        <v>67</v>
      </c>
      <c r="D16" s="141">
        <f>prod_compiled!D16</f>
        <v>53730.633332999998</v>
      </c>
      <c r="E16" s="141">
        <f>prod_compiled!E16</f>
        <v>53451.677419032254</v>
      </c>
      <c r="F16" s="141">
        <f>prod_compiled!F16</f>
        <v>50960.200000999997</v>
      </c>
      <c r="G16" s="143">
        <f>prod_compiled!R16</f>
        <v>52722.27472538461</v>
      </c>
      <c r="H16" s="141">
        <f>prod_compiled!G16</f>
        <v>55934.419356129038</v>
      </c>
      <c r="I16" s="141">
        <f>prod_compiled!H16</f>
        <v>54085.931935483874</v>
      </c>
      <c r="J16" s="141">
        <f>prod_compiled!I16</f>
        <v>0</v>
      </c>
      <c r="K16" s="143">
        <f ca="1">prod_compiled!S16</f>
        <v>0</v>
      </c>
      <c r="L16" s="167">
        <f ca="1">prod_compiled!V16</f>
        <v>0</v>
      </c>
      <c r="M16" s="141">
        <f>prod_compiled!J16</f>
        <v>0</v>
      </c>
      <c r="N16" s="141">
        <f>prod_compiled!K16</f>
        <v>0</v>
      </c>
      <c r="O16" s="141">
        <f>prod_compiled!L16</f>
        <v>0</v>
      </c>
      <c r="P16" s="143">
        <f>prod_compiled!T16</f>
        <v>0</v>
      </c>
      <c r="Q16" s="167">
        <f ca="1">prod_compiled!X16</f>
        <v>0</v>
      </c>
      <c r="R16" s="141">
        <f>prod_compiled!M16</f>
        <v>0</v>
      </c>
      <c r="S16" s="141">
        <f>prod_compiled!N16</f>
        <v>0</v>
      </c>
      <c r="T16" s="141">
        <f>prod_compiled!O16</f>
        <v>0</v>
      </c>
      <c r="U16" s="143">
        <f>prod_compiled!U16</f>
        <v>0</v>
      </c>
      <c r="V16" s="169">
        <f ca="1">prod_compiled!Y16</f>
        <v>0</v>
      </c>
    </row>
    <row r="17" spans="1:22" ht="15.75">
      <c r="B17" s="318">
        <v>0.24124999999999999</v>
      </c>
      <c r="C17" s="144" t="s">
        <v>68</v>
      </c>
      <c r="D17" s="141">
        <f>prod_compiled!D17</f>
        <v>13140.733333</v>
      </c>
      <c r="E17" s="141">
        <f>prod_compiled!E17</f>
        <v>12289.032258387097</v>
      </c>
      <c r="F17" s="141">
        <f>prod_compiled!F17</f>
        <v>12269.733333999999</v>
      </c>
      <c r="G17" s="143">
        <f>prod_compiled!R17</f>
        <v>12563.45054967033</v>
      </c>
      <c r="H17" s="141">
        <f>prod_compiled!G17</f>
        <v>11924.967742580644</v>
      </c>
      <c r="I17" s="141">
        <f>prod_compiled!H17</f>
        <v>12320.806451612903</v>
      </c>
      <c r="J17" s="141">
        <f>prod_compiled!I17</f>
        <v>0</v>
      </c>
      <c r="K17" s="143">
        <f ca="1">prod_compiled!S17</f>
        <v>0</v>
      </c>
      <c r="L17" s="167">
        <f ca="1">prod_compiled!V17</f>
        <v>0</v>
      </c>
      <c r="M17" s="141">
        <f>prod_compiled!J17</f>
        <v>0</v>
      </c>
      <c r="N17" s="141">
        <f>prod_compiled!K17</f>
        <v>0</v>
      </c>
      <c r="O17" s="141">
        <f>prod_compiled!L17</f>
        <v>0</v>
      </c>
      <c r="P17" s="143">
        <f>prod_compiled!T17</f>
        <v>0</v>
      </c>
      <c r="Q17" s="167">
        <f ca="1">prod_compiled!X17</f>
        <v>0</v>
      </c>
      <c r="R17" s="141">
        <f>prod_compiled!M17</f>
        <v>0</v>
      </c>
      <c r="S17" s="141">
        <f>prod_compiled!N17</f>
        <v>0</v>
      </c>
      <c r="T17" s="141">
        <f>prod_compiled!O17</f>
        <v>0</v>
      </c>
      <c r="U17" s="143">
        <f>prod_compiled!U17</f>
        <v>0</v>
      </c>
      <c r="V17" s="169">
        <f ca="1">prod_compiled!Y17</f>
        <v>0</v>
      </c>
    </row>
    <row r="18" spans="1:22" ht="15.75">
      <c r="B18" s="318">
        <v>0.45</v>
      </c>
      <c r="C18" s="144" t="s">
        <v>69</v>
      </c>
      <c r="D18" s="141">
        <f>prod_compiled!D18</f>
        <v>0</v>
      </c>
      <c r="E18" s="141">
        <f>prod_compiled!E18</f>
        <v>0</v>
      </c>
      <c r="F18" s="141">
        <f>prod_compiled!F18</f>
        <v>0</v>
      </c>
      <c r="G18" s="143">
        <f>prod_compiled!R18</f>
        <v>0</v>
      </c>
      <c r="H18" s="141">
        <f>prod_compiled!G18</f>
        <v>0</v>
      </c>
      <c r="I18" s="141">
        <f>prod_compiled!H18</f>
        <v>0</v>
      </c>
      <c r="J18" s="141">
        <f>prod_compiled!I18</f>
        <v>0</v>
      </c>
      <c r="K18" s="143">
        <f ca="1">prod_compiled!S18</f>
        <v>0</v>
      </c>
      <c r="L18" s="167">
        <f ca="1">prod_compiled!V18</f>
        <v>0</v>
      </c>
      <c r="M18" s="141">
        <f>prod_compiled!J18</f>
        <v>0</v>
      </c>
      <c r="N18" s="141">
        <f>prod_compiled!K18</f>
        <v>0</v>
      </c>
      <c r="O18" s="141">
        <f>prod_compiled!L18</f>
        <v>0</v>
      </c>
      <c r="P18" s="143">
        <f>prod_compiled!T18</f>
        <v>0</v>
      </c>
      <c r="Q18" s="167">
        <f ca="1">prod_compiled!X18</f>
        <v>0</v>
      </c>
      <c r="R18" s="141">
        <f>prod_compiled!M18</f>
        <v>0</v>
      </c>
      <c r="S18" s="141">
        <f>prod_compiled!N18</f>
        <v>0</v>
      </c>
      <c r="T18" s="141">
        <f>prod_compiled!O18</f>
        <v>0</v>
      </c>
      <c r="U18" s="143">
        <f>prod_compiled!U18</f>
        <v>0</v>
      </c>
      <c r="V18" s="169">
        <f ca="1">prod_compiled!Y18</f>
        <v>0</v>
      </c>
    </row>
    <row r="19" spans="1:22" ht="15.75">
      <c r="B19" s="318">
        <v>0.17</v>
      </c>
      <c r="C19" s="144" t="s">
        <v>70</v>
      </c>
      <c r="D19" s="141">
        <f>prod_compiled!D19</f>
        <v>0</v>
      </c>
      <c r="E19" s="141">
        <f>prod_compiled!E19</f>
        <v>0</v>
      </c>
      <c r="F19" s="141">
        <f>prod_compiled!F19</f>
        <v>0</v>
      </c>
      <c r="G19" s="143">
        <f>prod_compiled!R19</f>
        <v>0</v>
      </c>
      <c r="H19" s="141">
        <f>prod_compiled!G19</f>
        <v>0</v>
      </c>
      <c r="I19" s="141">
        <f>prod_compiled!H19</f>
        <v>0</v>
      </c>
      <c r="J19" s="141">
        <f>prod_compiled!I19</f>
        <v>0</v>
      </c>
      <c r="K19" s="143">
        <f ca="1">prod_compiled!S19</f>
        <v>0</v>
      </c>
      <c r="L19" s="167">
        <f ca="1">prod_compiled!V19</f>
        <v>0</v>
      </c>
      <c r="M19" s="141">
        <f>prod_compiled!J19</f>
        <v>0</v>
      </c>
      <c r="N19" s="141">
        <f>prod_compiled!K19</f>
        <v>0</v>
      </c>
      <c r="O19" s="141">
        <f>prod_compiled!L19</f>
        <v>0</v>
      </c>
      <c r="P19" s="143">
        <f>prod_compiled!T19</f>
        <v>0</v>
      </c>
      <c r="Q19" s="167">
        <f ca="1">prod_compiled!X19</f>
        <v>0</v>
      </c>
      <c r="R19" s="141">
        <f>prod_compiled!M19</f>
        <v>0</v>
      </c>
      <c r="S19" s="141">
        <f>prod_compiled!N19</f>
        <v>0</v>
      </c>
      <c r="T19" s="141">
        <f>prod_compiled!O19</f>
        <v>0</v>
      </c>
      <c r="U19" s="143">
        <f>prod_compiled!U19</f>
        <v>0</v>
      </c>
      <c r="V19" s="169">
        <f ca="1">prod_compiled!Y19</f>
        <v>0</v>
      </c>
    </row>
    <row r="20" spans="1:22" ht="15.75">
      <c r="C20" s="145" t="s">
        <v>358</v>
      </c>
      <c r="D20" s="188">
        <f>D6*$B6+D7*$B7+D8*$B8+IF(D$101=0,D9*$B$9,D9*$A$9)+D10*$B10+D11*$B11+D12*$B12+D13*$B13+D14*$B14+D15*$B15+D16*$B16+D17*$B17+D18*$B18+D19*$B19</f>
        <v>143055.99126911958</v>
      </c>
      <c r="E20" s="188">
        <f t="shared" ref="E20:M20" si="0">E6*$B6+E7*$B7+E8*$B8+IF(E$101=0,E9*$B$9,E9*$A$9)+E10*$B10+E11*$B11+E12*$B12+E13*$B13+E14*$B14+E15*$B15+E16*$B16+E17*$B17+E18*$B18+E19*$B19</f>
        <v>143523.49356076514</v>
      </c>
      <c r="F20" s="188">
        <f>F6*$B6+F7*$B7+F8*$B8+IF(F$101=0,F9*$B$9,F9*$A$9)+F10*$B10+F11*$B11+F12*$B12+F13*$B13+F14*$B14+F15*$B15+F16*$B16+F17*$B17+F18*$B18+F19*$B19</f>
        <v>147416.32252020287</v>
      </c>
      <c r="G20" s="189">
        <f t="shared" si="0"/>
        <v>144652.72213256478</v>
      </c>
      <c r="H20" s="188">
        <f t="shared" si="0"/>
        <v>146941.71255722444</v>
      </c>
      <c r="I20" s="188">
        <f t="shared" si="0"/>
        <v>151993.49130645164</v>
      </c>
      <c r="J20" s="188">
        <f t="shared" si="0"/>
        <v>0</v>
      </c>
      <c r="K20" s="189">
        <f t="shared" ca="1" si="0"/>
        <v>0</v>
      </c>
      <c r="L20" s="169">
        <f t="shared" ca="1" si="0"/>
        <v>0</v>
      </c>
      <c r="M20" s="188">
        <f t="shared" si="0"/>
        <v>0</v>
      </c>
      <c r="N20" s="188">
        <f t="shared" ref="N20:V20" si="1">N6*$B6+N7*$B7+N8*$B8+IF(N$101=1,N9*$A$9,N9*$B$9)+N10*$B10+N11*$B11+N12*$B12+N13*$B13+N14*$B14+N15*$B15+N16*$B16+N17*$B17+N18*$B18+N19*$B19</f>
        <v>0</v>
      </c>
      <c r="O20" s="188">
        <f t="shared" si="1"/>
        <v>0</v>
      </c>
      <c r="P20" s="189">
        <f t="shared" si="1"/>
        <v>0</v>
      </c>
      <c r="Q20" s="169">
        <f t="shared" ca="1" si="1"/>
        <v>0</v>
      </c>
      <c r="R20" s="188">
        <f t="shared" si="1"/>
        <v>0</v>
      </c>
      <c r="S20" s="188">
        <f t="shared" si="1"/>
        <v>0</v>
      </c>
      <c r="T20" s="188">
        <f t="shared" si="1"/>
        <v>0</v>
      </c>
      <c r="U20" s="189">
        <f t="shared" si="1"/>
        <v>0</v>
      </c>
      <c r="V20" s="169">
        <f t="shared" ca="1" si="1"/>
        <v>0</v>
      </c>
    </row>
    <row r="22" spans="1:22">
      <c r="C22" s="1319" t="s">
        <v>89</v>
      </c>
      <c r="D22" s="1320"/>
      <c r="E22" s="1320"/>
      <c r="F22" s="1320"/>
      <c r="G22" s="1320"/>
      <c r="H22" s="1320"/>
      <c r="I22" s="1320"/>
      <c r="J22" s="1320"/>
      <c r="K22" s="1320"/>
      <c r="L22" s="1320"/>
      <c r="M22" s="1320"/>
      <c r="N22" s="1320"/>
      <c r="O22" s="1320"/>
      <c r="P22" s="1320"/>
      <c r="Q22" s="1320"/>
      <c r="R22" s="1320"/>
      <c r="S22" s="1320"/>
      <c r="T22" s="1320"/>
      <c r="U22" s="1320"/>
      <c r="V22" s="1321"/>
    </row>
    <row r="23" spans="1:22">
      <c r="C23" s="144"/>
      <c r="D23" s="144" t="s">
        <v>30</v>
      </c>
      <c r="E23" s="144" t="s">
        <v>71</v>
      </c>
      <c r="F23" s="144" t="s">
        <v>72</v>
      </c>
      <c r="G23" s="148" t="s">
        <v>82</v>
      </c>
      <c r="H23" s="144" t="s">
        <v>73</v>
      </c>
      <c r="I23" s="144" t="s">
        <v>74</v>
      </c>
      <c r="J23" s="144" t="s">
        <v>75</v>
      </c>
      <c r="K23" s="148" t="s">
        <v>83</v>
      </c>
      <c r="L23" s="170" t="s">
        <v>39</v>
      </c>
      <c r="M23" s="144" t="s">
        <v>76</v>
      </c>
      <c r="N23" s="144" t="s">
        <v>77</v>
      </c>
      <c r="O23" s="144" t="s">
        <v>78</v>
      </c>
      <c r="P23" s="148" t="s">
        <v>84</v>
      </c>
      <c r="Q23" s="170" t="s">
        <v>85</v>
      </c>
      <c r="R23" s="144" t="s">
        <v>79</v>
      </c>
      <c r="S23" s="144" t="s">
        <v>80</v>
      </c>
      <c r="T23" s="144" t="s">
        <v>81</v>
      </c>
      <c r="U23" s="148" t="s">
        <v>86</v>
      </c>
      <c r="V23" s="320" t="s">
        <v>87</v>
      </c>
    </row>
    <row r="24" spans="1:22" ht="15.75">
      <c r="B24" s="318">
        <v>0.2</v>
      </c>
      <c r="C24" s="144" t="s">
        <v>60</v>
      </c>
      <c r="D24" s="146">
        <f>prod_compiled!D23</f>
        <v>9.7017673333333327</v>
      </c>
      <c r="E24" s="146">
        <f>prod_compiled!E23</f>
        <v>8.3419374193548386</v>
      </c>
      <c r="F24" s="146">
        <f>prod_compiled!F23</f>
        <v>7.6709000000000005</v>
      </c>
      <c r="G24" s="149">
        <f>prod_compiled!R23</f>
        <v>8.5690118681318683</v>
      </c>
      <c r="H24" s="146">
        <f>prod_compiled!G23</f>
        <v>7.3924512903225805</v>
      </c>
      <c r="I24" s="146">
        <f>prod_compiled!H23</f>
        <v>6.9239309443193591</v>
      </c>
      <c r="J24" s="146">
        <f>prod_compiled!I23</f>
        <v>0</v>
      </c>
      <c r="K24" s="149">
        <f ca="1">prod_compiled!S23</f>
        <v>0</v>
      </c>
      <c r="L24" s="172">
        <f ca="1">prod_compiled!V23</f>
        <v>0</v>
      </c>
      <c r="M24" s="146">
        <f>prod_compiled!J23</f>
        <v>0</v>
      </c>
      <c r="N24" s="146">
        <f>prod_compiled!K23</f>
        <v>0</v>
      </c>
      <c r="O24" s="146">
        <f>prod_compiled!L23</f>
        <v>0</v>
      </c>
      <c r="P24" s="149">
        <f>prod_compiled!T23</f>
        <v>0</v>
      </c>
      <c r="Q24" s="172">
        <f ca="1">prod_compiled!X23</f>
        <v>0</v>
      </c>
      <c r="R24" s="146">
        <f>prod_compiled!M23</f>
        <v>0</v>
      </c>
      <c r="S24" s="146">
        <f>prod_compiled!N23</f>
        <v>0</v>
      </c>
      <c r="T24" s="146">
        <f>prod_compiled!O23</f>
        <v>0</v>
      </c>
      <c r="U24" s="149">
        <f>prod_compiled!U23</f>
        <v>0</v>
      </c>
      <c r="V24" s="173">
        <f ca="1">prod_compiled!Y23</f>
        <v>0</v>
      </c>
    </row>
    <row r="25" spans="1:22" ht="15.75">
      <c r="B25" s="318">
        <v>0.26</v>
      </c>
      <c r="C25" s="144" t="s">
        <v>61</v>
      </c>
      <c r="D25" s="146">
        <f>prod_compiled!D24</f>
        <v>9.9731976666666657</v>
      </c>
      <c r="E25" s="146">
        <f>prod_compiled!E24</f>
        <v>9.9403735483870967</v>
      </c>
      <c r="F25" s="146">
        <f>prod_compiled!F24</f>
        <v>9.7900666666666663</v>
      </c>
      <c r="G25" s="149">
        <f>prod_compiled!R24</f>
        <v>9.9016429670329682</v>
      </c>
      <c r="H25" s="146">
        <f>prod_compiled!G24</f>
        <v>8.8381954838709671</v>
      </c>
      <c r="I25" s="146">
        <f>prod_compiled!H24</f>
        <v>10.128309225806449</v>
      </c>
      <c r="J25" s="146">
        <f>prod_compiled!I24</f>
        <v>0</v>
      </c>
      <c r="K25" s="149">
        <f ca="1">prod_compiled!S24</f>
        <v>0</v>
      </c>
      <c r="L25" s="172">
        <f ca="1">prod_compiled!V24</f>
        <v>0</v>
      </c>
      <c r="M25" s="146">
        <f>prod_compiled!J24</f>
        <v>0</v>
      </c>
      <c r="N25" s="146">
        <f>prod_compiled!K24</f>
        <v>0</v>
      </c>
      <c r="O25" s="146">
        <f>prod_compiled!L24</f>
        <v>0</v>
      </c>
      <c r="P25" s="149">
        <f>prod_compiled!T24</f>
        <v>0</v>
      </c>
      <c r="Q25" s="172">
        <f ca="1">prod_compiled!X24</f>
        <v>0</v>
      </c>
      <c r="R25" s="146">
        <f>prod_compiled!M24</f>
        <v>0</v>
      </c>
      <c r="S25" s="146">
        <f>prod_compiled!N24</f>
        <v>0</v>
      </c>
      <c r="T25" s="146">
        <f>prod_compiled!O24</f>
        <v>0</v>
      </c>
      <c r="U25" s="149">
        <f>prod_compiled!U24</f>
        <v>0</v>
      </c>
      <c r="V25" s="173">
        <f ca="1">prod_compiled!Y24</f>
        <v>0</v>
      </c>
    </row>
    <row r="26" spans="1:22" ht="15.75">
      <c r="B26" s="318">
        <v>1</v>
      </c>
      <c r="C26" s="144" t="s">
        <v>62</v>
      </c>
      <c r="D26" s="146">
        <f>prod_compiled!D25</f>
        <v>0.27867500000000001</v>
      </c>
      <c r="E26" s="146">
        <f>prod_compiled!E25</f>
        <v>0.24100064516129033</v>
      </c>
      <c r="F26" s="146">
        <f>prod_compiled!F25</f>
        <v>0.261299</v>
      </c>
      <c r="G26" s="149">
        <f>prod_compiled!R25</f>
        <v>0.26011252747252744</v>
      </c>
      <c r="H26" s="146">
        <f>prod_compiled!G25</f>
        <v>0.24090483870967741</v>
      </c>
      <c r="I26" s="146">
        <f>prod_compiled!H25</f>
        <v>0.24677316129032253</v>
      </c>
      <c r="J26" s="146">
        <f>prod_compiled!I25</f>
        <v>0</v>
      </c>
      <c r="K26" s="149">
        <f ca="1">prod_compiled!S25</f>
        <v>0</v>
      </c>
      <c r="L26" s="172">
        <f ca="1">prod_compiled!V25</f>
        <v>0</v>
      </c>
      <c r="M26" s="146">
        <f>prod_compiled!J25</f>
        <v>0</v>
      </c>
      <c r="N26" s="146">
        <f>prod_compiled!K25</f>
        <v>0</v>
      </c>
      <c r="O26" s="146">
        <f>prod_compiled!L25</f>
        <v>0</v>
      </c>
      <c r="P26" s="149">
        <f>prod_compiled!T25</f>
        <v>0</v>
      </c>
      <c r="Q26" s="172">
        <f ca="1">prod_compiled!X25</f>
        <v>0</v>
      </c>
      <c r="R26" s="146">
        <f>prod_compiled!M25</f>
        <v>0</v>
      </c>
      <c r="S26" s="146">
        <f>prod_compiled!N25</f>
        <v>0</v>
      </c>
      <c r="T26" s="146">
        <f>prod_compiled!O25</f>
        <v>0</v>
      </c>
      <c r="U26" s="149">
        <f>prod_compiled!U25</f>
        <v>0</v>
      </c>
      <c r="V26" s="173">
        <f ca="1">prod_compiled!Y25</f>
        <v>0</v>
      </c>
    </row>
    <row r="27" spans="1:22" ht="15.75">
      <c r="A27" s="768">
        <v>2.9250000000000002E-2</v>
      </c>
      <c r="B27" s="318">
        <v>2.3099999999999999E-2</v>
      </c>
      <c r="C27" s="144" t="s">
        <v>57</v>
      </c>
      <c r="D27" s="146">
        <f>prod_compiled!D26</f>
        <v>14.437598333333334</v>
      </c>
      <c r="E27" s="146">
        <f>prod_compiled!E26</f>
        <v>13.815902258064517</v>
      </c>
      <c r="F27" s="146">
        <f>prod_compiled!F26</f>
        <v>12.623732333333333</v>
      </c>
      <c r="G27" s="149">
        <f>prod_compiled!R26</f>
        <v>13.627833956043958</v>
      </c>
      <c r="H27" s="146">
        <f>prod_compiled!G26</f>
        <v>8.2639664516129034</v>
      </c>
      <c r="I27" s="146">
        <f>prod_compiled!H26</f>
        <v>7.9886590222823228</v>
      </c>
      <c r="J27" s="146">
        <f>prod_compiled!I26</f>
        <v>0</v>
      </c>
      <c r="K27" s="149">
        <f ca="1">prod_compiled!S26</f>
        <v>0</v>
      </c>
      <c r="L27" s="172">
        <f ca="1">prod_compiled!V26</f>
        <v>0</v>
      </c>
      <c r="M27" s="146">
        <f>prod_compiled!J26</f>
        <v>0</v>
      </c>
      <c r="N27" s="146">
        <f>prod_compiled!K26</f>
        <v>0</v>
      </c>
      <c r="O27" s="146">
        <f>prod_compiled!L26</f>
        <v>0</v>
      </c>
      <c r="P27" s="149">
        <f>prod_compiled!T26</f>
        <v>0</v>
      </c>
      <c r="Q27" s="172">
        <f ca="1">prod_compiled!X26</f>
        <v>0</v>
      </c>
      <c r="R27" s="146">
        <f>prod_compiled!M26</f>
        <v>0</v>
      </c>
      <c r="S27" s="146">
        <f>prod_compiled!N26</f>
        <v>0</v>
      </c>
      <c r="T27" s="146">
        <f>prod_compiled!O26</f>
        <v>0</v>
      </c>
      <c r="U27" s="149">
        <f>prod_compiled!U26</f>
        <v>0</v>
      </c>
      <c r="V27" s="173">
        <f ca="1">prod_compiled!Y26</f>
        <v>0</v>
      </c>
    </row>
    <row r="28" spans="1:22" ht="15.75">
      <c r="B28" s="318">
        <v>0.27</v>
      </c>
      <c r="C28" s="144" t="s">
        <v>58</v>
      </c>
      <c r="D28" s="146">
        <f>prod_compiled!D27</f>
        <v>0.45333333333333331</v>
      </c>
      <c r="E28" s="146">
        <f>prod_compiled!E27</f>
        <v>0.2992258064516129</v>
      </c>
      <c r="F28" s="146">
        <f>prod_compiled!F27</f>
        <v>0.465667</v>
      </c>
      <c r="G28" s="149">
        <f>prod_compiled!R27</f>
        <v>0.40490120879120878</v>
      </c>
      <c r="H28" s="146">
        <f>prod_compiled!G27</f>
        <v>0.35741999999999996</v>
      </c>
      <c r="I28" s="146">
        <f>prod_compiled!H27</f>
        <v>0.51485241935483883</v>
      </c>
      <c r="J28" s="146">
        <f>prod_compiled!I27</f>
        <v>0</v>
      </c>
      <c r="K28" s="149">
        <f ca="1">prod_compiled!S27</f>
        <v>0</v>
      </c>
      <c r="L28" s="172">
        <f ca="1">prod_compiled!V27</f>
        <v>0</v>
      </c>
      <c r="M28" s="146">
        <f>prod_compiled!J27</f>
        <v>0</v>
      </c>
      <c r="N28" s="146">
        <f>prod_compiled!K27</f>
        <v>0</v>
      </c>
      <c r="O28" s="146">
        <f>prod_compiled!L27</f>
        <v>0</v>
      </c>
      <c r="P28" s="149">
        <f>prod_compiled!T27</f>
        <v>0</v>
      </c>
      <c r="Q28" s="172">
        <f ca="1">prod_compiled!X27</f>
        <v>0</v>
      </c>
      <c r="R28" s="146">
        <f>prod_compiled!M27</f>
        <v>0</v>
      </c>
      <c r="S28" s="146">
        <f>prod_compiled!N27</f>
        <v>0</v>
      </c>
      <c r="T28" s="146">
        <f>prod_compiled!O27</f>
        <v>0</v>
      </c>
      <c r="U28" s="149">
        <f>prod_compiled!U27</f>
        <v>0</v>
      </c>
      <c r="V28" s="173">
        <f ca="1">prod_compiled!Y27</f>
        <v>0</v>
      </c>
    </row>
    <row r="29" spans="1:22" ht="15.75">
      <c r="B29" s="319">
        <v>0.5</v>
      </c>
      <c r="C29" s="144" t="s">
        <v>59</v>
      </c>
      <c r="D29" s="146">
        <f>prod_compiled!D28</f>
        <v>2.8069999999999998E-2</v>
      </c>
      <c r="E29" s="146">
        <f>prod_compiled!E28</f>
        <v>2.2259999999999999E-2</v>
      </c>
      <c r="F29" s="146">
        <f>prod_compiled!F28</f>
        <v>2.563E-2</v>
      </c>
      <c r="G29" s="149">
        <f>prod_compiled!R28</f>
        <v>2.5286373626373627E-2</v>
      </c>
      <c r="H29" s="146">
        <f>prod_compiled!G28</f>
        <v>2.5769999999999998E-2</v>
      </c>
      <c r="I29" s="146">
        <f>prod_compiled!H28</f>
        <v>2.4838709677419371E-2</v>
      </c>
      <c r="J29" s="146">
        <f>prod_compiled!I28</f>
        <v>0</v>
      </c>
      <c r="K29" s="149">
        <f ca="1">prod_compiled!S28</f>
        <v>0</v>
      </c>
      <c r="L29" s="172">
        <f ca="1">prod_compiled!V28</f>
        <v>0</v>
      </c>
      <c r="M29" s="146">
        <f>prod_compiled!J28</f>
        <v>0</v>
      </c>
      <c r="N29" s="146">
        <f>prod_compiled!K28</f>
        <v>0</v>
      </c>
      <c r="O29" s="146">
        <f>prod_compiled!L28</f>
        <v>0</v>
      </c>
      <c r="P29" s="149">
        <f>prod_compiled!T28</f>
        <v>0</v>
      </c>
      <c r="Q29" s="172">
        <f ca="1">prod_compiled!X28</f>
        <v>0</v>
      </c>
      <c r="R29" s="146">
        <f>prod_compiled!M28</f>
        <v>0</v>
      </c>
      <c r="S29" s="146">
        <f>prod_compiled!N28</f>
        <v>0</v>
      </c>
      <c r="T29" s="146">
        <f>prod_compiled!O28</f>
        <v>0</v>
      </c>
      <c r="U29" s="149">
        <f>prod_compiled!U28</f>
        <v>0</v>
      </c>
      <c r="V29" s="173">
        <f ca="1">prod_compiled!Y28</f>
        <v>0</v>
      </c>
    </row>
    <row r="30" spans="1:22" ht="15.75">
      <c r="B30" s="318">
        <v>0.7</v>
      </c>
      <c r="C30" s="144" t="s">
        <v>63</v>
      </c>
      <c r="D30" s="146">
        <f>prod_compiled!D29</f>
        <v>2.9666666666666665E-3</v>
      </c>
      <c r="E30" s="146">
        <f>prod_compiled!E29</f>
        <v>3.3861290322580642E-3</v>
      </c>
      <c r="F30" s="146">
        <f>prod_compiled!F29</f>
        <v>3.4336666666666669E-3</v>
      </c>
      <c r="G30" s="149">
        <f>prod_compiled!R29</f>
        <v>3.2635164835164831E-3</v>
      </c>
      <c r="H30" s="146">
        <f>prod_compiled!G29</f>
        <v>3.4519354838709678E-3</v>
      </c>
      <c r="I30" s="146">
        <f>prod_compiled!H29</f>
        <v>4.2675274492747555E-3</v>
      </c>
      <c r="J30" s="146">
        <f>prod_compiled!I29</f>
        <v>0</v>
      </c>
      <c r="K30" s="149">
        <f ca="1">prod_compiled!S29</f>
        <v>0</v>
      </c>
      <c r="L30" s="172">
        <f ca="1">prod_compiled!V29</f>
        <v>0</v>
      </c>
      <c r="M30" s="146">
        <f>prod_compiled!J29</f>
        <v>0</v>
      </c>
      <c r="N30" s="146">
        <f>prod_compiled!K29</f>
        <v>0</v>
      </c>
      <c r="O30" s="146">
        <f>prod_compiled!L29</f>
        <v>0</v>
      </c>
      <c r="P30" s="149">
        <f>prod_compiled!T29</f>
        <v>0</v>
      </c>
      <c r="Q30" s="172">
        <f ca="1">prod_compiled!X29</f>
        <v>0</v>
      </c>
      <c r="R30" s="146">
        <f>prod_compiled!M29</f>
        <v>0</v>
      </c>
      <c r="S30" s="146">
        <f>prod_compiled!N29</f>
        <v>0</v>
      </c>
      <c r="T30" s="146">
        <f>prod_compiled!O29</f>
        <v>0</v>
      </c>
      <c r="U30" s="149">
        <f>prod_compiled!U29</f>
        <v>0</v>
      </c>
      <c r="V30" s="173">
        <f ca="1">prod_compiled!Y29</f>
        <v>0</v>
      </c>
    </row>
    <row r="31" spans="1:22" ht="15.75">
      <c r="B31" s="318">
        <v>0.11</v>
      </c>
      <c r="C31" s="144" t="s">
        <v>64</v>
      </c>
      <c r="D31" s="146">
        <f>prod_compiled!D30</f>
        <v>0.20245600000000002</v>
      </c>
      <c r="E31" s="146">
        <f>prod_compiled!E30</f>
        <v>0.19437000000000001</v>
      </c>
      <c r="F31" s="146">
        <f>prod_compiled!F30</f>
        <v>0.19165266666666667</v>
      </c>
      <c r="G31" s="149">
        <f>prod_compiled!R30</f>
        <v>0.19613989010989014</v>
      </c>
      <c r="H31" s="146">
        <f>prod_compiled!G30</f>
        <v>0.19517483870967742</v>
      </c>
      <c r="I31" s="146">
        <f>prod_compiled!H30</f>
        <v>0.19382406504026423</v>
      </c>
      <c r="J31" s="146">
        <f>prod_compiled!I30</f>
        <v>0</v>
      </c>
      <c r="K31" s="149">
        <f ca="1">prod_compiled!S30</f>
        <v>0</v>
      </c>
      <c r="L31" s="172">
        <f ca="1">prod_compiled!V30</f>
        <v>0</v>
      </c>
      <c r="M31" s="146">
        <f>prod_compiled!J30</f>
        <v>0</v>
      </c>
      <c r="N31" s="146">
        <f>prod_compiled!K30</f>
        <v>0</v>
      </c>
      <c r="O31" s="146">
        <f>prod_compiled!L30</f>
        <v>0</v>
      </c>
      <c r="P31" s="149">
        <f>prod_compiled!T30</f>
        <v>0</v>
      </c>
      <c r="Q31" s="172">
        <f ca="1">prod_compiled!X30</f>
        <v>0</v>
      </c>
      <c r="R31" s="146">
        <f>prod_compiled!M30</f>
        <v>0</v>
      </c>
      <c r="S31" s="146">
        <f>prod_compiled!N30</f>
        <v>0</v>
      </c>
      <c r="T31" s="146">
        <f>prod_compiled!O30</f>
        <v>0</v>
      </c>
      <c r="U31" s="149">
        <f>prod_compiled!U30</f>
        <v>0</v>
      </c>
      <c r="V31" s="173">
        <f ca="1">prod_compiled!Y30</f>
        <v>0</v>
      </c>
    </row>
    <row r="32" spans="1:22" ht="15.75">
      <c r="B32" s="318">
        <v>0.4</v>
      </c>
      <c r="C32" s="144" t="s">
        <v>65</v>
      </c>
      <c r="D32" s="146">
        <f>prod_compiled!D31</f>
        <v>9.3833E-2</v>
      </c>
      <c r="E32" s="146">
        <f>prod_compiled!E31</f>
        <v>9.2815806451612901E-2</v>
      </c>
      <c r="F32" s="146">
        <f>prod_compiled!F31</f>
        <v>8.6883666666666665E-2</v>
      </c>
      <c r="G32" s="149">
        <f>prod_compiled!R31</f>
        <v>9.1195494505494509E-2</v>
      </c>
      <c r="H32" s="146">
        <f>prod_compiled!G31</f>
        <v>9.5066774193548392E-2</v>
      </c>
      <c r="I32" s="146">
        <f>prod_compiled!H31</f>
        <v>8.5725975210725086E-2</v>
      </c>
      <c r="J32" s="146">
        <f>prod_compiled!I31</f>
        <v>0</v>
      </c>
      <c r="K32" s="149">
        <f ca="1">prod_compiled!S31</f>
        <v>0</v>
      </c>
      <c r="L32" s="172">
        <f ca="1">prod_compiled!V31</f>
        <v>0</v>
      </c>
      <c r="M32" s="146">
        <f>prod_compiled!J31</f>
        <v>0</v>
      </c>
      <c r="N32" s="146">
        <f>prod_compiled!K31</f>
        <v>0</v>
      </c>
      <c r="O32" s="146">
        <f>prod_compiled!L31</f>
        <v>0</v>
      </c>
      <c r="P32" s="149">
        <f>prod_compiled!T31</f>
        <v>0</v>
      </c>
      <c r="Q32" s="172">
        <f ca="1">prod_compiled!X31</f>
        <v>0</v>
      </c>
      <c r="R32" s="146">
        <f>prod_compiled!M31</f>
        <v>0</v>
      </c>
      <c r="S32" s="146">
        <f>prod_compiled!N31</f>
        <v>0</v>
      </c>
      <c r="T32" s="146">
        <f>prod_compiled!O31</f>
        <v>0</v>
      </c>
      <c r="U32" s="149">
        <f>prod_compiled!U31</f>
        <v>0</v>
      </c>
      <c r="V32" s="173">
        <f ca="1">prod_compiled!Y31</f>
        <v>0</v>
      </c>
    </row>
    <row r="33" spans="2:23" ht="15.75">
      <c r="B33" s="318">
        <v>0.04</v>
      </c>
      <c r="C33" s="144" t="s">
        <v>66</v>
      </c>
      <c r="D33" s="146">
        <f>prod_compiled!D32</f>
        <v>0</v>
      </c>
      <c r="E33" s="146">
        <f>prod_compiled!E32</f>
        <v>0</v>
      </c>
      <c r="F33" s="146">
        <f>prod_compiled!F32</f>
        <v>0</v>
      </c>
      <c r="G33" s="149">
        <f>prod_compiled!R32</f>
        <v>0</v>
      </c>
      <c r="H33" s="146">
        <f>prod_compiled!G32</f>
        <v>0</v>
      </c>
      <c r="I33" s="146">
        <f>prod_compiled!H32</f>
        <v>0</v>
      </c>
      <c r="J33" s="146">
        <f>prod_compiled!I32</f>
        <v>0</v>
      </c>
      <c r="K33" s="149">
        <f ca="1">prod_compiled!S32</f>
        <v>0</v>
      </c>
      <c r="L33" s="172">
        <f ca="1">prod_compiled!V32</f>
        <v>0</v>
      </c>
      <c r="M33" s="146">
        <f>prod_compiled!J32</f>
        <v>0</v>
      </c>
      <c r="N33" s="146">
        <f>prod_compiled!K32</f>
        <v>0</v>
      </c>
      <c r="O33" s="146">
        <f>prod_compiled!L32</f>
        <v>0</v>
      </c>
      <c r="P33" s="149">
        <f>prod_compiled!T32</f>
        <v>0</v>
      </c>
      <c r="Q33" s="172">
        <f ca="1">prod_compiled!X32</f>
        <v>0</v>
      </c>
      <c r="R33" s="146">
        <f>prod_compiled!M32</f>
        <v>0</v>
      </c>
      <c r="S33" s="146">
        <f>prod_compiled!N32</f>
        <v>0</v>
      </c>
      <c r="T33" s="146">
        <f>prod_compiled!O32</f>
        <v>0</v>
      </c>
      <c r="U33" s="149">
        <f>prod_compiled!U32</f>
        <v>0</v>
      </c>
      <c r="V33" s="173">
        <f ca="1">prod_compiled!Y32</f>
        <v>0</v>
      </c>
    </row>
    <row r="34" spans="2:23" ht="15.75">
      <c r="B34" s="318">
        <v>0.25</v>
      </c>
      <c r="C34" s="144" t="s">
        <v>67</v>
      </c>
      <c r="D34" s="146">
        <f>prod_compiled!D33</f>
        <v>0</v>
      </c>
      <c r="E34" s="146">
        <f>prod_compiled!E33</f>
        <v>0</v>
      </c>
      <c r="F34" s="146">
        <f>prod_compiled!F33</f>
        <v>0</v>
      </c>
      <c r="G34" s="149">
        <f>prod_compiled!R33</f>
        <v>0</v>
      </c>
      <c r="H34" s="146">
        <f>prod_compiled!G33</f>
        <v>0</v>
      </c>
      <c r="I34" s="146">
        <f>prod_compiled!H33</f>
        <v>0</v>
      </c>
      <c r="J34" s="146">
        <f>prod_compiled!I33</f>
        <v>0</v>
      </c>
      <c r="K34" s="149">
        <f ca="1">prod_compiled!S33</f>
        <v>0</v>
      </c>
      <c r="L34" s="172">
        <f ca="1">prod_compiled!V33</f>
        <v>0</v>
      </c>
      <c r="M34" s="146">
        <f>prod_compiled!J33</f>
        <v>0</v>
      </c>
      <c r="N34" s="146">
        <f>prod_compiled!K33</f>
        <v>0</v>
      </c>
      <c r="O34" s="146">
        <f>prod_compiled!L33</f>
        <v>0</v>
      </c>
      <c r="P34" s="149">
        <f>prod_compiled!T33</f>
        <v>0</v>
      </c>
      <c r="Q34" s="172">
        <f ca="1">prod_compiled!X33</f>
        <v>0</v>
      </c>
      <c r="R34" s="146">
        <f>prod_compiled!M33</f>
        <v>0</v>
      </c>
      <c r="S34" s="146">
        <f>prod_compiled!N33</f>
        <v>0</v>
      </c>
      <c r="T34" s="146">
        <f>prod_compiled!O33</f>
        <v>0</v>
      </c>
      <c r="U34" s="149">
        <f>prod_compiled!U33</f>
        <v>0</v>
      </c>
      <c r="V34" s="173">
        <f ca="1">prod_compiled!Y33</f>
        <v>0</v>
      </c>
    </row>
    <row r="35" spans="2:23" ht="15.75">
      <c r="B35" s="318">
        <v>0.24124999999999999</v>
      </c>
      <c r="C35" s="144" t="s">
        <v>68</v>
      </c>
      <c r="D35" s="146">
        <f>prod_compiled!D34</f>
        <v>0</v>
      </c>
      <c r="E35" s="146">
        <f>prod_compiled!E34</f>
        <v>0</v>
      </c>
      <c r="F35" s="146">
        <f>prod_compiled!F34</f>
        <v>0</v>
      </c>
      <c r="G35" s="149">
        <f>prod_compiled!R34</f>
        <v>0</v>
      </c>
      <c r="H35" s="146">
        <f>prod_compiled!G34</f>
        <v>0</v>
      </c>
      <c r="I35" s="146">
        <f>prod_compiled!H34</f>
        <v>0</v>
      </c>
      <c r="J35" s="146">
        <f>prod_compiled!I34</f>
        <v>0</v>
      </c>
      <c r="K35" s="149">
        <f ca="1">prod_compiled!S34</f>
        <v>0</v>
      </c>
      <c r="L35" s="172">
        <f ca="1">prod_compiled!V34</f>
        <v>0</v>
      </c>
      <c r="M35" s="146">
        <f>prod_compiled!J34</f>
        <v>0</v>
      </c>
      <c r="N35" s="146">
        <f>prod_compiled!K34</f>
        <v>0</v>
      </c>
      <c r="O35" s="146">
        <f>prod_compiled!L34</f>
        <v>0</v>
      </c>
      <c r="P35" s="149">
        <f>prod_compiled!T34</f>
        <v>0</v>
      </c>
      <c r="Q35" s="172">
        <f ca="1">prod_compiled!X34</f>
        <v>0</v>
      </c>
      <c r="R35" s="146">
        <f>prod_compiled!M34</f>
        <v>0</v>
      </c>
      <c r="S35" s="146">
        <f>prod_compiled!N34</f>
        <v>0</v>
      </c>
      <c r="T35" s="146">
        <f>prod_compiled!O34</f>
        <v>0</v>
      </c>
      <c r="U35" s="149">
        <f>prod_compiled!U34</f>
        <v>0</v>
      </c>
      <c r="V35" s="173">
        <f ca="1">prod_compiled!Y34</f>
        <v>0</v>
      </c>
    </row>
    <row r="36" spans="2:23" ht="15.75">
      <c r="B36" s="318">
        <v>0.45</v>
      </c>
      <c r="C36" s="144" t="s">
        <v>69</v>
      </c>
      <c r="D36" s="146">
        <f>prod_compiled!D35</f>
        <v>0</v>
      </c>
      <c r="E36" s="146">
        <f>prod_compiled!E35</f>
        <v>0</v>
      </c>
      <c r="F36" s="146">
        <f>prod_compiled!F35</f>
        <v>0</v>
      </c>
      <c r="G36" s="149">
        <f>prod_compiled!R35</f>
        <v>0</v>
      </c>
      <c r="H36" s="146">
        <f>prod_compiled!G35</f>
        <v>0</v>
      </c>
      <c r="I36" s="146">
        <f>prod_compiled!H35</f>
        <v>0</v>
      </c>
      <c r="J36" s="146">
        <f>prod_compiled!I35</f>
        <v>0</v>
      </c>
      <c r="K36" s="149">
        <f ca="1">prod_compiled!S35</f>
        <v>0</v>
      </c>
      <c r="L36" s="172">
        <f ca="1">prod_compiled!V35</f>
        <v>0</v>
      </c>
      <c r="M36" s="146">
        <f>prod_compiled!J35</f>
        <v>0</v>
      </c>
      <c r="N36" s="146">
        <f>prod_compiled!K35</f>
        <v>0</v>
      </c>
      <c r="O36" s="146">
        <f>prod_compiled!L35</f>
        <v>0</v>
      </c>
      <c r="P36" s="149">
        <f>prod_compiled!T35</f>
        <v>0</v>
      </c>
      <c r="Q36" s="172">
        <f ca="1">prod_compiled!X35</f>
        <v>0</v>
      </c>
      <c r="R36" s="146">
        <f>prod_compiled!M35</f>
        <v>0</v>
      </c>
      <c r="S36" s="146">
        <f>prod_compiled!N35</f>
        <v>0</v>
      </c>
      <c r="T36" s="146">
        <f>prod_compiled!O35</f>
        <v>0</v>
      </c>
      <c r="U36" s="149">
        <f>prod_compiled!U35</f>
        <v>0</v>
      </c>
      <c r="V36" s="173">
        <f ca="1">prod_compiled!Y35</f>
        <v>0</v>
      </c>
    </row>
    <row r="37" spans="2:23" ht="15.75">
      <c r="B37" s="318">
        <v>0.17</v>
      </c>
      <c r="C37" s="144" t="s">
        <v>70</v>
      </c>
      <c r="D37" s="146">
        <f>prod_compiled!D36</f>
        <v>13.193331000000001</v>
      </c>
      <c r="E37" s="146">
        <f>prod_compiled!E36</f>
        <v>13.75741935483871</v>
      </c>
      <c r="F37" s="146">
        <f>prod_compiled!F36</f>
        <v>14.452372</v>
      </c>
      <c r="G37" s="149">
        <f>prod_compiled!R36</f>
        <v>13.800561428571429</v>
      </c>
      <c r="H37" s="146">
        <f>prod_compiled!G36</f>
        <v>14.21812129032258</v>
      </c>
      <c r="I37" s="146">
        <f>prod_compiled!H36</f>
        <v>14.07202995152252</v>
      </c>
      <c r="J37" s="146">
        <f>prod_compiled!I36</f>
        <v>0</v>
      </c>
      <c r="K37" s="149">
        <f ca="1">prod_compiled!S36</f>
        <v>0</v>
      </c>
      <c r="L37" s="172">
        <f ca="1">prod_compiled!V36</f>
        <v>0</v>
      </c>
      <c r="M37" s="146">
        <f>prod_compiled!J36</f>
        <v>0</v>
      </c>
      <c r="N37" s="146">
        <f>prod_compiled!K36</f>
        <v>0</v>
      </c>
      <c r="O37" s="146">
        <f>prod_compiled!L36</f>
        <v>0</v>
      </c>
      <c r="P37" s="149">
        <f>prod_compiled!T36</f>
        <v>0</v>
      </c>
      <c r="Q37" s="172">
        <f ca="1">prod_compiled!X36</f>
        <v>0</v>
      </c>
      <c r="R37" s="146">
        <f>prod_compiled!M36</f>
        <v>0</v>
      </c>
      <c r="S37" s="146">
        <f>prod_compiled!N36</f>
        <v>0</v>
      </c>
      <c r="T37" s="146">
        <f>prod_compiled!O36</f>
        <v>0</v>
      </c>
      <c r="U37" s="149">
        <f>prod_compiled!U36</f>
        <v>0</v>
      </c>
      <c r="V37" s="173">
        <f ca="1">prod_compiled!Y36</f>
        <v>0</v>
      </c>
    </row>
    <row r="38" spans="2:23" ht="15.75">
      <c r="C38" s="145" t="s">
        <v>358</v>
      </c>
      <c r="D38" s="152">
        <f t="shared" ref="D38:M38" si="2">D24*$B24+D25*$B25+D26*$B26+IF(D$101=0,D27*$B$27,D27*$A$27)+D28*$B28+D29*$B29+D30*$B30+D31*$B31+D32*$B32+D33*$B33+D34*$B34+D35*$B35+D36*$B36+D37*$B37</f>
        <v>7.6755409079166661</v>
      </c>
      <c r="E38" s="152">
        <f t="shared" si="2"/>
        <v>7.3895599636290337</v>
      </c>
      <c r="F38" s="152">
        <f t="shared" si="2"/>
        <v>7.3638276607500011</v>
      </c>
      <c r="G38" s="153">
        <f t="shared" si="2"/>
        <v>7.4753562190384617</v>
      </c>
      <c r="H38" s="152">
        <f t="shared" si="2"/>
        <v>6.8474282574193541</v>
      </c>
      <c r="I38" s="152">
        <f t="shared" si="2"/>
        <v>7.1008609315421847</v>
      </c>
      <c r="J38" s="152">
        <f t="shared" si="2"/>
        <v>0</v>
      </c>
      <c r="K38" s="153">
        <f t="shared" ca="1" si="2"/>
        <v>0</v>
      </c>
      <c r="L38" s="173">
        <f t="shared" ca="1" si="2"/>
        <v>0</v>
      </c>
      <c r="M38" s="152">
        <f t="shared" si="2"/>
        <v>0</v>
      </c>
      <c r="N38" s="152">
        <f>N24*$B24+N25*$B25+N26*$B26+IF(N$101=1,N27*$A$27,N27*$B$27)+N28*$B28+N29*$B29+N30*$B30+N31*$B31+N32*$B32+N33*$B33+N34*$B34+N35*$B35+N36*$B36+N37*$B37</f>
        <v>0</v>
      </c>
      <c r="O38" s="152">
        <f>O24*$B24+O25*$B25+O26*$B26+IF(O$101=1,O27*$A$27,O27*$B$27)+O28*$B28+O29*$B29+O30*$B30+O31*$B31+O32*$B32+O33*$B33+O34*$B34+O35*$B35+O36*$B36+O37*$B37</f>
        <v>0</v>
      </c>
      <c r="P38" s="153">
        <f t="shared" ref="P38:V38" si="3">P24*$B24+P25*$B25+P26*$B26+IF(P$101=1,P27*$A$27,P27*$B$27)+P28*$B28+P29*$B29+P30*$B30+P31*$B31+P32*$B32+P33*$B33+P34*$B34+P35*$B35+P36*$B36+P37*$B37</f>
        <v>0</v>
      </c>
      <c r="Q38" s="173">
        <f t="shared" ca="1" si="3"/>
        <v>0</v>
      </c>
      <c r="R38" s="152">
        <f t="shared" si="3"/>
        <v>0</v>
      </c>
      <c r="S38" s="152">
        <f t="shared" si="3"/>
        <v>0</v>
      </c>
      <c r="T38" s="152">
        <f t="shared" si="3"/>
        <v>0</v>
      </c>
      <c r="U38" s="153">
        <f t="shared" si="3"/>
        <v>0</v>
      </c>
      <c r="V38" s="173">
        <f t="shared" ca="1" si="3"/>
        <v>0</v>
      </c>
    </row>
    <row r="42" spans="2:23">
      <c r="C42" s="1322" t="s">
        <v>90</v>
      </c>
      <c r="D42" s="1323"/>
      <c r="E42" s="1323"/>
      <c r="F42" s="1323"/>
      <c r="G42" s="1323"/>
      <c r="H42" s="1323"/>
      <c r="I42" s="1323"/>
      <c r="J42" s="1323"/>
      <c r="K42" s="1323"/>
      <c r="L42" s="1323"/>
      <c r="M42" s="1323"/>
      <c r="N42" s="1323"/>
      <c r="O42" s="1323"/>
      <c r="P42" s="1323"/>
      <c r="Q42" s="1323"/>
      <c r="R42" s="1323"/>
      <c r="S42" s="1323"/>
      <c r="T42" s="1323"/>
      <c r="U42" s="1323"/>
      <c r="V42" s="1324"/>
    </row>
    <row r="43" spans="2:23">
      <c r="C43" s="144"/>
      <c r="D43" s="144" t="s">
        <v>30</v>
      </c>
      <c r="E43" s="144" t="s">
        <v>71</v>
      </c>
      <c r="F43" s="144" t="s">
        <v>72</v>
      </c>
      <c r="G43" s="142" t="s">
        <v>82</v>
      </c>
      <c r="H43" s="144" t="s">
        <v>73</v>
      </c>
      <c r="I43" s="144" t="s">
        <v>74</v>
      </c>
      <c r="J43" s="144" t="s">
        <v>75</v>
      </c>
      <c r="K43" s="142" t="s">
        <v>83</v>
      </c>
      <c r="L43" s="166" t="s">
        <v>39</v>
      </c>
      <c r="M43" s="144" t="s">
        <v>76</v>
      </c>
      <c r="N43" s="144" t="s">
        <v>77</v>
      </c>
      <c r="O43" s="144" t="s">
        <v>78</v>
      </c>
      <c r="P43" s="142" t="s">
        <v>84</v>
      </c>
      <c r="Q43" s="166" t="s">
        <v>85</v>
      </c>
      <c r="R43" s="144" t="s">
        <v>79</v>
      </c>
      <c r="S43" s="144" t="s">
        <v>80</v>
      </c>
      <c r="T43" s="144" t="s">
        <v>81</v>
      </c>
      <c r="U43" s="142" t="s">
        <v>86</v>
      </c>
      <c r="V43" s="168" t="s">
        <v>87</v>
      </c>
    </row>
    <row r="44" spans="2:23" ht="15.75">
      <c r="C44" s="144" t="s">
        <v>60</v>
      </c>
      <c r="D44" s="147">
        <f>prod_compiled!D41</f>
        <v>0.155</v>
      </c>
      <c r="E44" s="147">
        <f>prod_compiled!E41</f>
        <v>0.156</v>
      </c>
      <c r="F44" s="147">
        <f>prod_compiled!F41</f>
        <v>0.13400000000000001</v>
      </c>
      <c r="G44" s="150">
        <f>prod_compiled!R41</f>
        <v>0.44500000000000001</v>
      </c>
      <c r="H44" s="147">
        <f>prod_compiled!G41</f>
        <v>0.158</v>
      </c>
      <c r="I44" s="147">
        <f>prod_compiled!H41</f>
        <v>0.15496189729712831</v>
      </c>
      <c r="J44" s="147">
        <f>prod_compiled!I41</f>
        <v>0</v>
      </c>
      <c r="K44" s="150">
        <f>prod_compiled!S41</f>
        <v>0.31296189729712831</v>
      </c>
      <c r="L44" s="171">
        <f>prod_compiled!V41</f>
        <v>0.75796189729712826</v>
      </c>
      <c r="M44" s="147">
        <f>prod_compiled!J41</f>
        <v>0</v>
      </c>
      <c r="N44" s="147">
        <f>prod_compiled!K41</f>
        <v>0</v>
      </c>
      <c r="O44" s="147">
        <f>prod_compiled!L41</f>
        <v>0</v>
      </c>
      <c r="P44" s="150">
        <f>prod_compiled!T41</f>
        <v>0</v>
      </c>
      <c r="Q44" s="171">
        <f>prod_compiled!X41</f>
        <v>0.75796189729712826</v>
      </c>
      <c r="R44" s="147">
        <f>prod_compiled!M41</f>
        <v>0</v>
      </c>
      <c r="S44" s="147">
        <f>prod_compiled!N41</f>
        <v>0</v>
      </c>
      <c r="T44" s="147">
        <f>prod_compiled!O41</f>
        <v>0</v>
      </c>
      <c r="U44" s="150">
        <f>prod_compiled!U41</f>
        <v>0</v>
      </c>
      <c r="V44" s="186">
        <f>prod_compiled!Y41</f>
        <v>0.75796189729712826</v>
      </c>
    </row>
    <row r="45" spans="2:23" ht="15.75">
      <c r="C45" s="144" t="s">
        <v>61</v>
      </c>
      <c r="D45" s="147">
        <f>prod_compiled!D42</f>
        <v>0.16300000000000001</v>
      </c>
      <c r="E45" s="147">
        <f>prod_compiled!E42</f>
        <v>0.16900000000000001</v>
      </c>
      <c r="F45" s="147">
        <f>prod_compiled!F42</f>
        <v>0.16300000000000001</v>
      </c>
      <c r="G45" s="150">
        <f>prod_compiled!R42</f>
        <v>0.495</v>
      </c>
      <c r="H45" s="147">
        <f>prod_compiled!G42</f>
        <v>0.16900000000000001</v>
      </c>
      <c r="I45" s="147">
        <f>prod_compiled!H42</f>
        <v>0.16962658602794101</v>
      </c>
      <c r="J45" s="147">
        <f>prod_compiled!I42</f>
        <v>0</v>
      </c>
      <c r="K45" s="150">
        <f>prod_compiled!S42</f>
        <v>0.33862658602794105</v>
      </c>
      <c r="L45" s="171">
        <f>prod_compiled!V42</f>
        <v>0.83362658602794104</v>
      </c>
      <c r="M45" s="147">
        <f>prod_compiled!J42</f>
        <v>0</v>
      </c>
      <c r="N45" s="147">
        <f>prod_compiled!K42</f>
        <v>0</v>
      </c>
      <c r="O45" s="147">
        <f>prod_compiled!L42</f>
        <v>0</v>
      </c>
      <c r="P45" s="150">
        <f>prod_compiled!T42</f>
        <v>0</v>
      </c>
      <c r="Q45" s="171">
        <f>prod_compiled!X42</f>
        <v>0.83362658602794104</v>
      </c>
      <c r="R45" s="147">
        <f>prod_compiled!M42</f>
        <v>0</v>
      </c>
      <c r="S45" s="147">
        <f>prod_compiled!N42</f>
        <v>0</v>
      </c>
      <c r="T45" s="147">
        <f>prod_compiled!O42</f>
        <v>0</v>
      </c>
      <c r="U45" s="150">
        <f>prod_compiled!U42</f>
        <v>0</v>
      </c>
      <c r="V45" s="186">
        <f>prod_compiled!Y42</f>
        <v>0.83362658602794104</v>
      </c>
    </row>
    <row r="46" spans="2:23" ht="15.75">
      <c r="C46" s="144" t="s">
        <v>62</v>
      </c>
      <c r="D46" s="147">
        <f>prod_compiled!D43</f>
        <v>8.0000000000000002E-3</v>
      </c>
      <c r="E46" s="147">
        <f>prod_compiled!E43</f>
        <v>7.0000000000000001E-3</v>
      </c>
      <c r="F46" s="147">
        <f>prod_compiled!F43</f>
        <v>8.0000000000000002E-3</v>
      </c>
      <c r="G46" s="150">
        <f>prod_compiled!R43</f>
        <v>2.3E-2</v>
      </c>
      <c r="H46" s="147">
        <f>prod_compiled!G43</f>
        <v>8.0000000000000002E-3</v>
      </c>
      <c r="I46" s="147">
        <f>prod_compiled!H43</f>
        <v>7.4579606204879826E-3</v>
      </c>
      <c r="J46" s="147">
        <f>prod_compiled!I43</f>
        <v>0</v>
      </c>
      <c r="K46" s="150">
        <f>prod_compiled!S43</f>
        <v>1.5457960620487984E-2</v>
      </c>
      <c r="L46" s="171">
        <f>prod_compiled!V43</f>
        <v>3.845796062048798E-2</v>
      </c>
      <c r="M46" s="147">
        <f>prod_compiled!J43</f>
        <v>0</v>
      </c>
      <c r="N46" s="147">
        <f>prod_compiled!K43</f>
        <v>0</v>
      </c>
      <c r="O46" s="147">
        <f>prod_compiled!L43</f>
        <v>0</v>
      </c>
      <c r="P46" s="150">
        <f>prod_compiled!T43</f>
        <v>0</v>
      </c>
      <c r="Q46" s="171">
        <f>prod_compiled!X43</f>
        <v>3.845796062048798E-2</v>
      </c>
      <c r="R46" s="147">
        <f>prod_compiled!M43</f>
        <v>0</v>
      </c>
      <c r="S46" s="147">
        <f>prod_compiled!N43</f>
        <v>0</v>
      </c>
      <c r="T46" s="147">
        <f>prod_compiled!O43</f>
        <v>0</v>
      </c>
      <c r="U46" s="150">
        <f>prod_compiled!U43</f>
        <v>0</v>
      </c>
      <c r="V46" s="186">
        <f>prod_compiled!Y43</f>
        <v>3.845796062048798E-2</v>
      </c>
    </row>
    <row r="47" spans="2:23" ht="15.75">
      <c r="C47" s="144" t="s">
        <v>57</v>
      </c>
      <c r="D47" s="147">
        <f>prod_compiled!D44</f>
        <v>3.7999999999999999E-2</v>
      </c>
      <c r="E47" s="147">
        <f>prod_compiled!E44</f>
        <v>3.9E-2</v>
      </c>
      <c r="F47" s="147">
        <f>prod_compiled!F44</f>
        <v>3.7999999999999999E-2</v>
      </c>
      <c r="G47" s="150">
        <f>prod_compiled!R44</f>
        <v>0.11499999999999999</v>
      </c>
      <c r="H47" s="147">
        <f>prod_compiled!G44</f>
        <v>0.04</v>
      </c>
      <c r="I47" s="147">
        <f>prod_compiled!H44</f>
        <v>3.6889161648039209E-2</v>
      </c>
      <c r="J47" s="147">
        <f>prod_compiled!I44</f>
        <v>0</v>
      </c>
      <c r="K47" s="150">
        <f>prod_compiled!S44</f>
        <v>7.6889161648039217E-2</v>
      </c>
      <c r="L47" s="171">
        <f>prod_compiled!V44</f>
        <v>0.19188916164803921</v>
      </c>
      <c r="M47" s="147">
        <f>prod_compiled!J44</f>
        <v>0</v>
      </c>
      <c r="N47" s="147">
        <f>prod_compiled!K44</f>
        <v>0</v>
      </c>
      <c r="O47" s="147">
        <f>prod_compiled!L44</f>
        <v>0</v>
      </c>
      <c r="P47" s="150">
        <f>prod_compiled!T44</f>
        <v>0</v>
      </c>
      <c r="Q47" s="171">
        <f>prod_compiled!X44</f>
        <v>0.19188916164803921</v>
      </c>
      <c r="R47" s="147">
        <f>prod_compiled!M44</f>
        <v>0</v>
      </c>
      <c r="S47" s="147">
        <f>prod_compiled!N44</f>
        <v>0</v>
      </c>
      <c r="T47" s="147">
        <f>prod_compiled!O44</f>
        <v>0</v>
      </c>
      <c r="U47" s="150">
        <f>prod_compiled!U44</f>
        <v>0</v>
      </c>
      <c r="V47" s="186">
        <f>prod_compiled!Y44</f>
        <v>0.19188916164803921</v>
      </c>
      <c r="W47" t="s">
        <v>1827</v>
      </c>
    </row>
    <row r="48" spans="2:23" ht="15.75">
      <c r="C48" s="144" t="s">
        <v>58</v>
      </c>
      <c r="D48" s="147">
        <f>prod_compiled!D45</f>
        <v>4.2999999999999997E-2</v>
      </c>
      <c r="E48" s="147">
        <f>prod_compiled!E45</f>
        <v>3.6999999999999998E-2</v>
      </c>
      <c r="F48" s="147">
        <f>prod_compiled!F45</f>
        <v>3.9E-2</v>
      </c>
      <c r="G48" s="150">
        <f>prod_compiled!R45</f>
        <v>0.11899999999999999</v>
      </c>
      <c r="H48" s="147">
        <f>prod_compiled!G45</f>
        <v>3.4000000000000002E-2</v>
      </c>
      <c r="I48" s="147">
        <f>prod_compiled!H45</f>
        <v>4.4524521924801316E-2</v>
      </c>
      <c r="J48" s="147">
        <f>prod_compiled!I45</f>
        <v>0</v>
      </c>
      <c r="K48" s="150">
        <f>prod_compiled!S45</f>
        <v>7.8524521924801319E-2</v>
      </c>
      <c r="L48" s="171">
        <f>prod_compiled!V45</f>
        <v>0.1975245219248013</v>
      </c>
      <c r="M48" s="147">
        <f>prod_compiled!J45</f>
        <v>0</v>
      </c>
      <c r="N48" s="147">
        <f>prod_compiled!K45</f>
        <v>0</v>
      </c>
      <c r="O48" s="147">
        <f>prod_compiled!L45</f>
        <v>0</v>
      </c>
      <c r="P48" s="150">
        <f>prod_compiled!T45</f>
        <v>0</v>
      </c>
      <c r="Q48" s="171">
        <f>prod_compiled!X45</f>
        <v>0.1975245219248013</v>
      </c>
      <c r="R48" s="147">
        <f>prod_compiled!M45</f>
        <v>0</v>
      </c>
      <c r="S48" s="147">
        <f>prod_compiled!N45</f>
        <v>0</v>
      </c>
      <c r="T48" s="147">
        <f>prod_compiled!O45</f>
        <v>0</v>
      </c>
      <c r="U48" s="150">
        <f>prod_compiled!U45</f>
        <v>0</v>
      </c>
      <c r="V48" s="186">
        <f>prod_compiled!Y45</f>
        <v>0.1975245219248013</v>
      </c>
    </row>
    <row r="49" spans="3:22" ht="15.75">
      <c r="C49" s="144" t="s">
        <v>59</v>
      </c>
      <c r="D49" s="147">
        <f>prod_compiled!D46</f>
        <v>0.01</v>
      </c>
      <c r="E49" s="147">
        <f>prod_compiled!E46</f>
        <v>0.01</v>
      </c>
      <c r="F49" s="147">
        <f>prod_compiled!F46</f>
        <v>1.0999999999999999E-2</v>
      </c>
      <c r="G49" s="150">
        <f>prod_compiled!R46</f>
        <v>3.1E-2</v>
      </c>
      <c r="H49" s="147">
        <f>prod_compiled!G46</f>
        <v>1.0999999999999999E-2</v>
      </c>
      <c r="I49" s="147">
        <f>prod_compiled!H46</f>
        <v>1.1377565889520215E-2</v>
      </c>
      <c r="J49" s="147">
        <f>prod_compiled!I46</f>
        <v>0</v>
      </c>
      <c r="K49" s="150">
        <f>prod_compiled!S46</f>
        <v>2.2377565889520216E-2</v>
      </c>
      <c r="L49" s="171">
        <f>prod_compiled!V46</f>
        <v>5.3377565889520216E-2</v>
      </c>
      <c r="M49" s="147">
        <f>prod_compiled!J46</f>
        <v>0</v>
      </c>
      <c r="N49" s="147">
        <f>prod_compiled!K46</f>
        <v>0</v>
      </c>
      <c r="O49" s="147">
        <f>prod_compiled!L46</f>
        <v>0</v>
      </c>
      <c r="P49" s="150">
        <f>prod_compiled!T46</f>
        <v>0</v>
      </c>
      <c r="Q49" s="171">
        <f>prod_compiled!X46</f>
        <v>5.3377565889520216E-2</v>
      </c>
      <c r="R49" s="147">
        <f>prod_compiled!M46</f>
        <v>0</v>
      </c>
      <c r="S49" s="147">
        <f>prod_compiled!N46</f>
        <v>0</v>
      </c>
      <c r="T49" s="147">
        <f>prod_compiled!O46</f>
        <v>0</v>
      </c>
      <c r="U49" s="150">
        <f>prod_compiled!U46</f>
        <v>0</v>
      </c>
      <c r="V49" s="186">
        <f>prod_compiled!Y46</f>
        <v>5.3377565889520216E-2</v>
      </c>
    </row>
    <row r="50" spans="3:22" ht="15.75">
      <c r="C50" s="144" t="s">
        <v>63</v>
      </c>
      <c r="D50" s="147">
        <f>prod_compiled!D47</f>
        <v>5.1999999999999998E-2</v>
      </c>
      <c r="E50" s="147">
        <f>prod_compiled!E47</f>
        <v>6.4000000000000001E-2</v>
      </c>
      <c r="F50" s="147">
        <f>prod_compiled!F47</f>
        <v>6.0999999999999999E-2</v>
      </c>
      <c r="G50" s="150">
        <f>prod_compiled!R47</f>
        <v>0.17699999999999999</v>
      </c>
      <c r="H50" s="147">
        <f>prod_compiled!G47</f>
        <v>0.06</v>
      </c>
      <c r="I50" s="147">
        <f>prod_compiled!H47</f>
        <v>6.2181402660837964E-2</v>
      </c>
      <c r="J50" s="147">
        <f>prod_compiled!I47</f>
        <v>0</v>
      </c>
      <c r="K50" s="150">
        <f>prod_compiled!S47</f>
        <v>0.12218140266083796</v>
      </c>
      <c r="L50" s="171">
        <f>prod_compiled!V47</f>
        <v>0.29918140266083793</v>
      </c>
      <c r="M50" s="147">
        <f>prod_compiled!J47</f>
        <v>0</v>
      </c>
      <c r="N50" s="147">
        <f>prod_compiled!K47</f>
        <v>0</v>
      </c>
      <c r="O50" s="147">
        <f>prod_compiled!L47</f>
        <v>0</v>
      </c>
      <c r="P50" s="150">
        <f>prod_compiled!T47</f>
        <v>0</v>
      </c>
      <c r="Q50" s="171">
        <f>prod_compiled!X47</f>
        <v>0.29918140266083793</v>
      </c>
      <c r="R50" s="147">
        <f>prod_compiled!M47</f>
        <v>0</v>
      </c>
      <c r="S50" s="147">
        <f>prod_compiled!N47</f>
        <v>0</v>
      </c>
      <c r="T50" s="147">
        <f>prod_compiled!O47</f>
        <v>0</v>
      </c>
      <c r="U50" s="150">
        <f>prod_compiled!U47</f>
        <v>0</v>
      </c>
      <c r="V50" s="186">
        <f>prod_compiled!Y47</f>
        <v>0.29918140266083793</v>
      </c>
    </row>
    <row r="51" spans="3:22" ht="15.75">
      <c r="C51" s="144" t="s">
        <v>64</v>
      </c>
      <c r="D51" s="147">
        <f>prod_compiled!D48</f>
        <v>4.0000000000000001E-3</v>
      </c>
      <c r="E51" s="147">
        <f>prod_compiled!E48</f>
        <v>4.0000000000000001E-3</v>
      </c>
      <c r="F51" s="147">
        <f>prod_compiled!F48</f>
        <v>3.0000000000000001E-3</v>
      </c>
      <c r="G51" s="150">
        <f>prod_compiled!R48</f>
        <v>1.0999999999999999E-2</v>
      </c>
      <c r="H51" s="147">
        <f>prod_compiled!G48</f>
        <v>4.0000000000000001E-3</v>
      </c>
      <c r="I51" s="147">
        <f>prod_compiled!H48</f>
        <v>3.7780063432218142E-3</v>
      </c>
      <c r="J51" s="147">
        <f>prod_compiled!I48</f>
        <v>0</v>
      </c>
      <c r="K51" s="150">
        <f>prod_compiled!S48</f>
        <v>7.7780063432218143E-3</v>
      </c>
      <c r="L51" s="171">
        <f>prod_compiled!V48</f>
        <v>1.8778006343221812E-2</v>
      </c>
      <c r="M51" s="147">
        <f>prod_compiled!J48</f>
        <v>0</v>
      </c>
      <c r="N51" s="147">
        <f>prod_compiled!K48</f>
        <v>0</v>
      </c>
      <c r="O51" s="147">
        <f>prod_compiled!L48</f>
        <v>0</v>
      </c>
      <c r="P51" s="150">
        <f>prod_compiled!T48</f>
        <v>0</v>
      </c>
      <c r="Q51" s="171">
        <f>prod_compiled!X48</f>
        <v>1.8778006343221812E-2</v>
      </c>
      <c r="R51" s="147">
        <f>prod_compiled!M48</f>
        <v>0</v>
      </c>
      <c r="S51" s="147">
        <f>prod_compiled!N48</f>
        <v>0</v>
      </c>
      <c r="T51" s="147">
        <f>prod_compiled!O48</f>
        <v>0</v>
      </c>
      <c r="U51" s="150">
        <f>prod_compiled!U48</f>
        <v>0</v>
      </c>
      <c r="V51" s="186">
        <f>prod_compiled!Y48</f>
        <v>1.8778006343221812E-2</v>
      </c>
    </row>
    <row r="52" spans="3:22" ht="15.75">
      <c r="C52" s="144" t="s">
        <v>65</v>
      </c>
      <c r="D52" s="147">
        <f>prod_compiled!D49</f>
        <v>8.0000000000000002E-3</v>
      </c>
      <c r="E52" s="147">
        <f>prod_compiled!E49</f>
        <v>0.01</v>
      </c>
      <c r="F52" s="147">
        <f>prod_compiled!F49</f>
        <v>0.01</v>
      </c>
      <c r="G52" s="150">
        <f>prod_compiled!R49</f>
        <v>2.8000000000000004E-2</v>
      </c>
      <c r="H52" s="147">
        <f>prod_compiled!G49</f>
        <v>1.0999999999999999E-2</v>
      </c>
      <c r="I52" s="147">
        <f>prod_compiled!H49</f>
        <v>1.0772601919589167E-2</v>
      </c>
      <c r="J52" s="147">
        <f>prod_compiled!I49</f>
        <v>0</v>
      </c>
      <c r="K52" s="150">
        <f>prod_compiled!S49</f>
        <v>2.1772601919589164E-2</v>
      </c>
      <c r="L52" s="171">
        <f>prod_compiled!V49</f>
        <v>4.9772601919589168E-2</v>
      </c>
      <c r="M52" s="147">
        <f>prod_compiled!J49</f>
        <v>0</v>
      </c>
      <c r="N52" s="147">
        <f>prod_compiled!K49</f>
        <v>0</v>
      </c>
      <c r="O52" s="147">
        <f>prod_compiled!L49</f>
        <v>0</v>
      </c>
      <c r="P52" s="150">
        <f>prod_compiled!T49</f>
        <v>0</v>
      </c>
      <c r="Q52" s="171">
        <f>prod_compiled!X49</f>
        <v>4.9772601919589168E-2</v>
      </c>
      <c r="R52" s="147">
        <f>prod_compiled!M49</f>
        <v>0</v>
      </c>
      <c r="S52" s="147">
        <f>prod_compiled!N49</f>
        <v>0</v>
      </c>
      <c r="T52" s="147">
        <f>prod_compiled!O49</f>
        <v>0</v>
      </c>
      <c r="U52" s="150">
        <f>prod_compiled!U49</f>
        <v>0</v>
      </c>
      <c r="V52" s="186">
        <f>prod_compiled!Y49</f>
        <v>4.9772601919589168E-2</v>
      </c>
    </row>
    <row r="53" spans="3:22" ht="15.75">
      <c r="C53" s="144" t="s">
        <v>66</v>
      </c>
      <c r="D53" s="147">
        <f>prod_compiled!D50</f>
        <v>3.7999999999999999E-2</v>
      </c>
      <c r="E53" s="147">
        <f>prod_compiled!E50</f>
        <v>4.3999999999999997E-2</v>
      </c>
      <c r="F53" s="147">
        <f>prod_compiled!F50</f>
        <v>6.7000000000000004E-2</v>
      </c>
      <c r="G53" s="150">
        <f>prod_compiled!R50</f>
        <v>0.14899999999999999</v>
      </c>
      <c r="H53" s="147">
        <f>prod_compiled!G50</f>
        <v>5.3999999999999999E-2</v>
      </c>
      <c r="I53" s="147">
        <f>prod_compiled!H50</f>
        <v>7.0161706048396735E-2</v>
      </c>
      <c r="J53" s="147">
        <f>prod_compiled!I50</f>
        <v>0</v>
      </c>
      <c r="K53" s="150">
        <f>prod_compiled!S50</f>
        <v>0.12416170604839674</v>
      </c>
      <c r="L53" s="171">
        <f>prod_compiled!V50</f>
        <v>0.27316170604839674</v>
      </c>
      <c r="M53" s="147">
        <f>prod_compiled!J50</f>
        <v>0</v>
      </c>
      <c r="N53" s="147">
        <f>prod_compiled!K50</f>
        <v>0</v>
      </c>
      <c r="O53" s="147">
        <f>prod_compiled!L50</f>
        <v>0</v>
      </c>
      <c r="P53" s="150">
        <f>prod_compiled!T50</f>
        <v>0</v>
      </c>
      <c r="Q53" s="171">
        <f>prod_compiled!X50</f>
        <v>0.27316170604839674</v>
      </c>
      <c r="R53" s="147">
        <f>prod_compiled!M50</f>
        <v>0</v>
      </c>
      <c r="S53" s="147">
        <f>prod_compiled!N50</f>
        <v>0</v>
      </c>
      <c r="T53" s="147">
        <f>prod_compiled!O50</f>
        <v>0</v>
      </c>
      <c r="U53" s="150">
        <f>prod_compiled!U50</f>
        <v>0</v>
      </c>
      <c r="V53" s="186">
        <f>prod_compiled!Y50</f>
        <v>0.27316170604839674</v>
      </c>
    </row>
    <row r="54" spans="3:22" ht="15.75">
      <c r="C54" s="144" t="s">
        <v>67</v>
      </c>
      <c r="D54" s="147">
        <f>prod_compiled!D51</f>
        <v>5.5E-2</v>
      </c>
      <c r="E54" s="147">
        <f>prod_compiled!E51</f>
        <v>5.7000000000000002E-2</v>
      </c>
      <c r="F54" s="147">
        <f>prod_compiled!F51</f>
        <v>5.1999999999999998E-2</v>
      </c>
      <c r="G54" s="150">
        <f>prod_compiled!R51</f>
        <v>0.16400000000000001</v>
      </c>
      <c r="H54" s="147">
        <f>prod_compiled!G51</f>
        <v>5.8999999999999997E-2</v>
      </c>
      <c r="I54" s="147">
        <f>prod_compiled!H51</f>
        <v>5.741999622492916E-2</v>
      </c>
      <c r="J54" s="147">
        <f>prod_compiled!I51</f>
        <v>0</v>
      </c>
      <c r="K54" s="150">
        <f>prod_compiled!S51</f>
        <v>0.11641999622492916</v>
      </c>
      <c r="L54" s="171">
        <f>prod_compiled!V51</f>
        <v>0.28041999622492919</v>
      </c>
      <c r="M54" s="147">
        <f>prod_compiled!J51</f>
        <v>0</v>
      </c>
      <c r="N54" s="147">
        <f>prod_compiled!K51</f>
        <v>0</v>
      </c>
      <c r="O54" s="147">
        <f>prod_compiled!L51</f>
        <v>0</v>
      </c>
      <c r="P54" s="150">
        <f>prod_compiled!T51</f>
        <v>0</v>
      </c>
      <c r="Q54" s="171">
        <f>prod_compiled!X51</f>
        <v>0.28041999622492919</v>
      </c>
      <c r="R54" s="147">
        <f>prod_compiled!M51</f>
        <v>0</v>
      </c>
      <c r="S54" s="147">
        <f>prod_compiled!N51</f>
        <v>0</v>
      </c>
      <c r="T54" s="147">
        <f>prod_compiled!O51</f>
        <v>0</v>
      </c>
      <c r="U54" s="150">
        <f>prod_compiled!U51</f>
        <v>0</v>
      </c>
      <c r="V54" s="186">
        <f>prod_compiled!Y51</f>
        <v>0.28041999622492919</v>
      </c>
    </row>
    <row r="55" spans="3:22" ht="15.75">
      <c r="C55" s="144" t="s">
        <v>68</v>
      </c>
      <c r="D55" s="147">
        <f>prod_compiled!D52</f>
        <v>1.4E-2</v>
      </c>
      <c r="E55" s="147">
        <f>prod_compiled!E52</f>
        <v>1.4E-2</v>
      </c>
      <c r="F55" s="147">
        <f>prod_compiled!F52</f>
        <v>1.2999999999999999E-2</v>
      </c>
      <c r="G55" s="150">
        <f>prod_compiled!R52</f>
        <v>4.1000000000000002E-2</v>
      </c>
      <c r="H55" s="147">
        <f>prod_compiled!G52</f>
        <v>1.2999999999999999E-2</v>
      </c>
      <c r="I55" s="147">
        <f>prod_compiled!H52</f>
        <v>1.3550622111245282E-2</v>
      </c>
      <c r="J55" s="147">
        <f>prod_compiled!I52</f>
        <v>0</v>
      </c>
      <c r="K55" s="150">
        <f>prod_compiled!S52</f>
        <v>2.655062211124528E-2</v>
      </c>
      <c r="L55" s="171">
        <f>prod_compiled!V52</f>
        <v>6.7550622111245281E-2</v>
      </c>
      <c r="M55" s="147">
        <f>prod_compiled!J52</f>
        <v>0</v>
      </c>
      <c r="N55" s="147">
        <f>prod_compiled!K52</f>
        <v>0</v>
      </c>
      <c r="O55" s="147">
        <f>prod_compiled!L52</f>
        <v>0</v>
      </c>
      <c r="P55" s="150">
        <f>prod_compiled!T52</f>
        <v>0</v>
      </c>
      <c r="Q55" s="171">
        <f>prod_compiled!X52</f>
        <v>6.7550622111245281E-2</v>
      </c>
      <c r="R55" s="147">
        <f>prod_compiled!M52</f>
        <v>0</v>
      </c>
      <c r="S55" s="147">
        <f>prod_compiled!N52</f>
        <v>0</v>
      </c>
      <c r="T55" s="147">
        <f>prod_compiled!O52</f>
        <v>0</v>
      </c>
      <c r="U55" s="150">
        <f>prod_compiled!U52</f>
        <v>0</v>
      </c>
      <c r="V55" s="186">
        <f>prod_compiled!Y52</f>
        <v>6.7550622111245281E-2</v>
      </c>
    </row>
    <row r="56" spans="3:22" ht="15.75">
      <c r="C56" s="144" t="s">
        <v>69</v>
      </c>
      <c r="D56" s="147">
        <f>prod_compiled!D53</f>
        <v>0</v>
      </c>
      <c r="E56" s="147">
        <f>prod_compiled!E53</f>
        <v>0</v>
      </c>
      <c r="F56" s="147">
        <f>prod_compiled!F53</f>
        <v>0</v>
      </c>
      <c r="G56" s="150">
        <f>prod_compiled!R53</f>
        <v>0</v>
      </c>
      <c r="H56" s="147">
        <f>prod_compiled!G53</f>
        <v>0</v>
      </c>
      <c r="I56" s="147">
        <f>prod_compiled!H53</f>
        <v>0</v>
      </c>
      <c r="J56" s="147">
        <f>prod_compiled!I53</f>
        <v>0</v>
      </c>
      <c r="K56" s="150">
        <f>prod_compiled!S53</f>
        <v>0</v>
      </c>
      <c r="L56" s="171">
        <f>prod_compiled!V53</f>
        <v>0</v>
      </c>
      <c r="M56" s="147">
        <f>prod_compiled!J53</f>
        <v>0</v>
      </c>
      <c r="N56" s="147">
        <f>prod_compiled!K53</f>
        <v>0</v>
      </c>
      <c r="O56" s="147">
        <f>prod_compiled!L53</f>
        <v>0</v>
      </c>
      <c r="P56" s="150">
        <f>prod_compiled!T53</f>
        <v>0</v>
      </c>
      <c r="Q56" s="171">
        <f>prod_compiled!X53</f>
        <v>0</v>
      </c>
      <c r="R56" s="147">
        <f>prod_compiled!M53</f>
        <v>0</v>
      </c>
      <c r="S56" s="147">
        <f>prod_compiled!N53</f>
        <v>0</v>
      </c>
      <c r="T56" s="147">
        <f>prod_compiled!O53</f>
        <v>0</v>
      </c>
      <c r="U56" s="150">
        <f>prod_compiled!U53</f>
        <v>0</v>
      </c>
      <c r="V56" s="186">
        <f>prod_compiled!Y53</f>
        <v>0</v>
      </c>
    </row>
    <row r="57" spans="3:22" ht="15.75">
      <c r="C57" s="144" t="s">
        <v>70</v>
      </c>
      <c r="D57" s="147">
        <f>prod_compiled!D54</f>
        <v>0</v>
      </c>
      <c r="E57" s="147">
        <f>prod_compiled!E54</f>
        <v>0</v>
      </c>
      <c r="F57" s="147">
        <f>prod_compiled!F54</f>
        <v>0</v>
      </c>
      <c r="G57" s="150">
        <f>prod_compiled!R54</f>
        <v>0</v>
      </c>
      <c r="H57" s="147">
        <f>prod_compiled!G54</f>
        <v>0</v>
      </c>
      <c r="I57" s="147">
        <f>prod_compiled!H54</f>
        <v>0</v>
      </c>
      <c r="J57" s="147">
        <f>prod_compiled!I54</f>
        <v>0</v>
      </c>
      <c r="K57" s="150">
        <f>prod_compiled!S54</f>
        <v>0</v>
      </c>
      <c r="L57" s="171">
        <f>prod_compiled!V54</f>
        <v>0</v>
      </c>
      <c r="M57" s="147">
        <f>prod_compiled!J54</f>
        <v>0</v>
      </c>
      <c r="N57" s="147">
        <f>prod_compiled!K54</f>
        <v>0</v>
      </c>
      <c r="O57" s="147">
        <f>prod_compiled!L54</f>
        <v>0</v>
      </c>
      <c r="P57" s="150">
        <f>prod_compiled!T54</f>
        <v>0</v>
      </c>
      <c r="Q57" s="171">
        <f>prod_compiled!X54</f>
        <v>0</v>
      </c>
      <c r="R57" s="147">
        <f>prod_compiled!M54</f>
        <v>0</v>
      </c>
      <c r="S57" s="147">
        <f>prod_compiled!N54</f>
        <v>0</v>
      </c>
      <c r="T57" s="147">
        <f>prod_compiled!O54</f>
        <v>0</v>
      </c>
      <c r="U57" s="150">
        <f>prod_compiled!U54</f>
        <v>0</v>
      </c>
      <c r="V57" s="186">
        <f>prod_compiled!Y54</f>
        <v>0</v>
      </c>
    </row>
    <row r="58" spans="3:22" ht="15.75">
      <c r="C58" s="145" t="s">
        <v>92</v>
      </c>
      <c r="D58" s="158">
        <f>SUM(D44:D57)</f>
        <v>0.58800000000000008</v>
      </c>
      <c r="E58" s="158">
        <f t="shared" ref="E58:U58" si="4">SUM(E44:E57)</f>
        <v>0.6110000000000001</v>
      </c>
      <c r="F58" s="158">
        <f t="shared" si="4"/>
        <v>0.59900000000000009</v>
      </c>
      <c r="G58" s="185">
        <f t="shared" si="4"/>
        <v>1.7979999999999996</v>
      </c>
      <c r="H58" s="158">
        <f t="shared" si="4"/>
        <v>0.62100000000000011</v>
      </c>
      <c r="I58" s="158">
        <f t="shared" si="4"/>
        <v>0.64270202871613813</v>
      </c>
      <c r="J58" s="158">
        <f t="shared" si="4"/>
        <v>0</v>
      </c>
      <c r="K58" s="185">
        <f t="shared" si="4"/>
        <v>1.2637020287161385</v>
      </c>
      <c r="L58" s="186">
        <f t="shared" si="4"/>
        <v>3.0617020287161378</v>
      </c>
      <c r="M58" s="158">
        <f t="shared" si="4"/>
        <v>0</v>
      </c>
      <c r="N58" s="158">
        <f t="shared" si="4"/>
        <v>0</v>
      </c>
      <c r="O58" s="158">
        <f t="shared" si="4"/>
        <v>0</v>
      </c>
      <c r="P58" s="185">
        <f t="shared" si="4"/>
        <v>0</v>
      </c>
      <c r="Q58" s="186">
        <f t="shared" si="4"/>
        <v>3.0617020287161378</v>
      </c>
      <c r="R58" s="158">
        <f t="shared" si="4"/>
        <v>0</v>
      </c>
      <c r="S58" s="158">
        <f t="shared" si="4"/>
        <v>0</v>
      </c>
      <c r="T58" s="158">
        <f t="shared" si="4"/>
        <v>0</v>
      </c>
      <c r="U58" s="185">
        <f t="shared" si="4"/>
        <v>0</v>
      </c>
      <c r="V58" s="186">
        <f>SUM(V44:V57)</f>
        <v>3.0617020287161378</v>
      </c>
    </row>
    <row r="61" spans="3:22">
      <c r="C61" s="1319" t="s">
        <v>91</v>
      </c>
      <c r="D61" s="1320" t="s">
        <v>91</v>
      </c>
      <c r="E61" s="1320"/>
      <c r="F61" s="1320"/>
      <c r="G61" s="1320"/>
      <c r="H61" s="1320"/>
      <c r="I61" s="1320"/>
      <c r="J61" s="1320"/>
      <c r="K61" s="1320"/>
      <c r="L61" s="1320"/>
      <c r="M61" s="1320"/>
      <c r="N61" s="1320"/>
      <c r="O61" s="1320"/>
      <c r="P61" s="1320"/>
      <c r="Q61" s="1320"/>
      <c r="R61" s="1320"/>
      <c r="S61" s="1320"/>
      <c r="T61" s="1320"/>
      <c r="U61" s="1320"/>
      <c r="V61" s="1321"/>
    </row>
    <row r="62" spans="3:22">
      <c r="C62" s="144"/>
      <c r="D62" s="144" t="s">
        <v>30</v>
      </c>
      <c r="E62" s="144" t="s">
        <v>71</v>
      </c>
      <c r="F62" s="144" t="s">
        <v>72</v>
      </c>
      <c r="G62" s="148" t="s">
        <v>82</v>
      </c>
      <c r="H62" s="144" t="s">
        <v>73</v>
      </c>
      <c r="I62" s="144" t="s">
        <v>74</v>
      </c>
      <c r="J62" s="144" t="s">
        <v>75</v>
      </c>
      <c r="K62" s="148" t="s">
        <v>83</v>
      </c>
      <c r="L62" s="170" t="s">
        <v>39</v>
      </c>
      <c r="M62" s="144" t="s">
        <v>76</v>
      </c>
      <c r="N62" s="144" t="s">
        <v>77</v>
      </c>
      <c r="O62" s="144" t="s">
        <v>78</v>
      </c>
      <c r="P62" s="148" t="s">
        <v>84</v>
      </c>
      <c r="Q62" s="170" t="s">
        <v>85</v>
      </c>
      <c r="R62" s="144" t="s">
        <v>79</v>
      </c>
      <c r="S62" s="144" t="s">
        <v>80</v>
      </c>
      <c r="T62" s="144" t="s">
        <v>81</v>
      </c>
      <c r="U62" s="148" t="s">
        <v>86</v>
      </c>
      <c r="V62" s="320" t="s">
        <v>87</v>
      </c>
    </row>
    <row r="63" spans="3:22" ht="15.75">
      <c r="C63" s="144" t="s">
        <v>60</v>
      </c>
      <c r="D63" s="146">
        <f>prod_compiled!D58</f>
        <v>5.8000000000000003E-2</v>
      </c>
      <c r="E63" s="146">
        <f>prod_compiled!E58</f>
        <v>5.1999999999999998E-2</v>
      </c>
      <c r="F63" s="146">
        <f>prod_compiled!F58</f>
        <v>4.5999999999999999E-2</v>
      </c>
      <c r="G63" s="149">
        <f>prod_compiled!R58</f>
        <v>0.156</v>
      </c>
      <c r="H63" s="146">
        <f>prod_compiled!G58</f>
        <v>4.5999999999999999E-2</v>
      </c>
      <c r="I63" s="146">
        <f>prod_compiled!H58</f>
        <v>4.2928371854780031E-2</v>
      </c>
      <c r="J63" s="146">
        <f>prod_compiled!I58</f>
        <v>0</v>
      </c>
      <c r="K63" s="149">
        <f>prod_compiled!S58</f>
        <v>8.8928371854780031E-2</v>
      </c>
      <c r="L63" s="172">
        <f>prod_compiled!V58</f>
        <v>0.24492837185478003</v>
      </c>
      <c r="M63" s="146">
        <f>prod_compiled!J58</f>
        <v>0</v>
      </c>
      <c r="N63" s="146">
        <f>prod_compiled!K58</f>
        <v>0</v>
      </c>
      <c r="O63" s="146">
        <f>prod_compiled!L58</f>
        <v>0</v>
      </c>
      <c r="P63" s="149">
        <f>prod_compiled!T58</f>
        <v>0</v>
      </c>
      <c r="Q63" s="172">
        <f>prod_compiled!X58</f>
        <v>0.24492837185478003</v>
      </c>
      <c r="R63" s="146">
        <f>prod_compiled!M58</f>
        <v>0</v>
      </c>
      <c r="S63" s="146">
        <f>prod_compiled!N58</f>
        <v>0</v>
      </c>
      <c r="T63" s="146">
        <f>prod_compiled!O58</f>
        <v>0</v>
      </c>
      <c r="U63" s="149">
        <f>prod_compiled!U58</f>
        <v>0</v>
      </c>
      <c r="V63" s="173">
        <f>prod_compiled!Y58</f>
        <v>0.24492837185478003</v>
      </c>
    </row>
    <row r="64" spans="3:22" ht="15.75">
      <c r="C64" s="144" t="s">
        <v>61</v>
      </c>
      <c r="D64" s="146">
        <f>prod_compiled!D59</f>
        <v>7.8E-2</v>
      </c>
      <c r="E64" s="146">
        <f>prod_compiled!E59</f>
        <v>0.08</v>
      </c>
      <c r="F64" s="146">
        <f>prod_compiled!F59</f>
        <v>7.5999999999999998E-2</v>
      </c>
      <c r="G64" s="149">
        <f>prod_compiled!R59</f>
        <v>0.23399999999999999</v>
      </c>
      <c r="H64" s="146">
        <f>prod_compiled!G59</f>
        <v>7.0999999999999994E-2</v>
      </c>
      <c r="I64" s="146">
        <f>prod_compiled!H59</f>
        <v>8.1634172359999979E-2</v>
      </c>
      <c r="J64" s="146">
        <f>prod_compiled!I59</f>
        <v>0</v>
      </c>
      <c r="K64" s="149">
        <f>prod_compiled!S59</f>
        <v>0.15263417235999999</v>
      </c>
      <c r="L64" s="172">
        <f>prod_compiled!V59</f>
        <v>0.38663417235999997</v>
      </c>
      <c r="M64" s="146">
        <f>prod_compiled!J59</f>
        <v>0</v>
      </c>
      <c r="N64" s="146">
        <f>prod_compiled!K59</f>
        <v>0</v>
      </c>
      <c r="O64" s="146">
        <f>prod_compiled!L59</f>
        <v>0</v>
      </c>
      <c r="P64" s="149">
        <f>prod_compiled!T59</f>
        <v>0</v>
      </c>
      <c r="Q64" s="172">
        <f>prod_compiled!X59</f>
        <v>0.38663417235999997</v>
      </c>
      <c r="R64" s="146">
        <f>prod_compiled!M59</f>
        <v>0</v>
      </c>
      <c r="S64" s="146">
        <f>prod_compiled!N59</f>
        <v>0</v>
      </c>
      <c r="T64" s="146">
        <f>prod_compiled!O59</f>
        <v>0</v>
      </c>
      <c r="U64" s="149">
        <f>prod_compiled!U59</f>
        <v>0</v>
      </c>
      <c r="V64" s="173">
        <f>prod_compiled!Y59</f>
        <v>0.38663417235999997</v>
      </c>
    </row>
    <row r="65" spans="3:23" ht="15.75">
      <c r="C65" s="144" t="s">
        <v>62</v>
      </c>
      <c r="D65" s="146">
        <f>prod_compiled!D60</f>
        <v>8.0000000000000002E-3</v>
      </c>
      <c r="E65" s="146">
        <f>prod_compiled!E60</f>
        <v>7.0000000000000001E-3</v>
      </c>
      <c r="F65" s="146">
        <f>prod_compiled!F60</f>
        <v>8.9999999999999993E-3</v>
      </c>
      <c r="G65" s="149">
        <f>prod_compiled!R60</f>
        <v>2.4E-2</v>
      </c>
      <c r="H65" s="146">
        <f>prod_compiled!G60</f>
        <v>7.0000000000000001E-3</v>
      </c>
      <c r="I65" s="146">
        <f>prod_compiled!H60</f>
        <v>7.6499679999999983E-3</v>
      </c>
      <c r="J65" s="146">
        <f>prod_compiled!I60</f>
        <v>0</v>
      </c>
      <c r="K65" s="149">
        <f>prod_compiled!S60</f>
        <v>1.4649967999999999E-2</v>
      </c>
      <c r="L65" s="172">
        <f>prod_compiled!V60</f>
        <v>3.8649968E-2</v>
      </c>
      <c r="M65" s="146">
        <f>prod_compiled!J60</f>
        <v>0</v>
      </c>
      <c r="N65" s="146">
        <f>prod_compiled!K60</f>
        <v>0</v>
      </c>
      <c r="O65" s="146">
        <f>prod_compiled!L60</f>
        <v>0</v>
      </c>
      <c r="P65" s="149">
        <f>prod_compiled!T60</f>
        <v>0</v>
      </c>
      <c r="Q65" s="172">
        <f>prod_compiled!X60</f>
        <v>3.8649968E-2</v>
      </c>
      <c r="R65" s="146">
        <f>prod_compiled!M60</f>
        <v>0</v>
      </c>
      <c r="S65" s="146">
        <f>prod_compiled!N60</f>
        <v>0</v>
      </c>
      <c r="T65" s="146">
        <f>prod_compiled!O60</f>
        <v>0</v>
      </c>
      <c r="U65" s="149">
        <f>prod_compiled!U60</f>
        <v>0</v>
      </c>
      <c r="V65" s="173">
        <f>prod_compiled!Y60</f>
        <v>3.8649968E-2</v>
      </c>
    </row>
    <row r="66" spans="3:23" ht="15.75">
      <c r="C66" s="144" t="s">
        <v>57</v>
      </c>
      <c r="D66" s="146">
        <f>prod_compiled!D61</f>
        <v>1.2999999999999999E-2</v>
      </c>
      <c r="E66" s="146">
        <f>prod_compiled!E61</f>
        <v>1.2999999999999999E-2</v>
      </c>
      <c r="F66" s="146">
        <f>prod_compiled!F61</f>
        <v>0.01</v>
      </c>
      <c r="G66" s="149">
        <f>prod_compiled!R61</f>
        <v>3.5999999999999997E-2</v>
      </c>
      <c r="H66" s="146">
        <f>prod_compiled!G61</f>
        <v>8.0000000000000002E-3</v>
      </c>
      <c r="I66" s="146">
        <f>prod_compiled!H61</f>
        <v>7.2437165684544969E-3</v>
      </c>
      <c r="J66" s="146">
        <f>prod_compiled!I61</f>
        <v>0</v>
      </c>
      <c r="K66" s="149">
        <f>prod_compiled!S61</f>
        <v>1.5243716568454496E-2</v>
      </c>
      <c r="L66" s="172">
        <f>prod_compiled!V61</f>
        <v>5.1243716568454493E-2</v>
      </c>
      <c r="M66" s="146">
        <f>prod_compiled!J61</f>
        <v>0</v>
      </c>
      <c r="N66" s="146">
        <f>prod_compiled!K61</f>
        <v>0</v>
      </c>
      <c r="O66" s="146">
        <f>prod_compiled!L61</f>
        <v>0</v>
      </c>
      <c r="P66" s="149">
        <f>prod_compiled!T61</f>
        <v>0</v>
      </c>
      <c r="Q66" s="172">
        <f>prod_compiled!X61</f>
        <v>5.1243716568454493E-2</v>
      </c>
      <c r="R66" s="146">
        <f>prod_compiled!M61</f>
        <v>0</v>
      </c>
      <c r="S66" s="146">
        <f>prod_compiled!N61</f>
        <v>0</v>
      </c>
      <c r="T66" s="146">
        <f>prod_compiled!O61</f>
        <v>0</v>
      </c>
      <c r="U66" s="149">
        <f>prod_compiled!U61</f>
        <v>0</v>
      </c>
      <c r="V66" s="173">
        <f>prod_compiled!Y61</f>
        <v>5.1243716568454493E-2</v>
      </c>
      <c r="W66" t="s">
        <v>1828</v>
      </c>
    </row>
    <row r="67" spans="3:23" ht="15.75">
      <c r="C67" s="144" t="s">
        <v>58</v>
      </c>
      <c r="D67" s="146">
        <f>prod_compiled!D62</f>
        <v>4.0000000000000001E-3</v>
      </c>
      <c r="E67" s="146">
        <f>prod_compiled!E62</f>
        <v>2E-3</v>
      </c>
      <c r="F67" s="146">
        <f>prod_compiled!F62</f>
        <v>4.0000000000000001E-3</v>
      </c>
      <c r="G67" s="149">
        <f>prod_compiled!R62</f>
        <v>0.01</v>
      </c>
      <c r="H67" s="146">
        <f>prod_compiled!G62</f>
        <v>3.0000000000000001E-3</v>
      </c>
      <c r="I67" s="146">
        <f>prod_compiled!H62</f>
        <v>4.3093147500000012E-3</v>
      </c>
      <c r="J67" s="146">
        <f>prod_compiled!I62</f>
        <v>0</v>
      </c>
      <c r="K67" s="149">
        <f>prod_compiled!S62</f>
        <v>7.3093147500000013E-3</v>
      </c>
      <c r="L67" s="172">
        <f>prod_compiled!V62</f>
        <v>1.7309314750000002E-2</v>
      </c>
      <c r="M67" s="146">
        <f>prod_compiled!J62</f>
        <v>0</v>
      </c>
      <c r="N67" s="146">
        <f>prod_compiled!K62</f>
        <v>0</v>
      </c>
      <c r="O67" s="146">
        <f>prod_compiled!L62</f>
        <v>0</v>
      </c>
      <c r="P67" s="149">
        <f>prod_compiled!T62</f>
        <v>0</v>
      </c>
      <c r="Q67" s="172">
        <f>prod_compiled!X62</f>
        <v>1.7309314750000002E-2</v>
      </c>
      <c r="R67" s="146">
        <f>prod_compiled!M62</f>
        <v>0</v>
      </c>
      <c r="S67" s="146">
        <f>prod_compiled!N62</f>
        <v>0</v>
      </c>
      <c r="T67" s="146">
        <f>prod_compiled!O62</f>
        <v>0</v>
      </c>
      <c r="U67" s="149">
        <f>prod_compiled!U62</f>
        <v>0</v>
      </c>
      <c r="V67" s="173">
        <f>prod_compiled!Y62</f>
        <v>1.7309314750000002E-2</v>
      </c>
    </row>
    <row r="68" spans="3:23" ht="15.75">
      <c r="C68" s="144" t="s">
        <v>59</v>
      </c>
      <c r="D68" s="146">
        <f>prod_compiled!D63</f>
        <v>0</v>
      </c>
      <c r="E68" s="146">
        <f>prod_compiled!E63</f>
        <v>0</v>
      </c>
      <c r="F68" s="146">
        <f>prod_compiled!F63</f>
        <v>1E-3</v>
      </c>
      <c r="G68" s="149">
        <f>prod_compiled!R63</f>
        <v>1E-3</v>
      </c>
      <c r="H68" s="146">
        <f>prod_compiled!G63</f>
        <v>0</v>
      </c>
      <c r="I68" s="146">
        <f>prod_compiled!H63</f>
        <v>3.8500000000000025E-4</v>
      </c>
      <c r="J68" s="146">
        <f>prod_compiled!I63</f>
        <v>0</v>
      </c>
      <c r="K68" s="149">
        <f>prod_compiled!S63</f>
        <v>3.8500000000000025E-4</v>
      </c>
      <c r="L68" s="172">
        <f>prod_compiled!V63</f>
        <v>1.3850000000000004E-3</v>
      </c>
      <c r="M68" s="146">
        <f>prod_compiled!J63</f>
        <v>0</v>
      </c>
      <c r="N68" s="146">
        <f>prod_compiled!K63</f>
        <v>0</v>
      </c>
      <c r="O68" s="146">
        <f>prod_compiled!L63</f>
        <v>0</v>
      </c>
      <c r="P68" s="149">
        <f>prod_compiled!T63</f>
        <v>0</v>
      </c>
      <c r="Q68" s="172">
        <f>prod_compiled!X63</f>
        <v>1.3850000000000004E-3</v>
      </c>
      <c r="R68" s="146">
        <f>prod_compiled!M63</f>
        <v>0</v>
      </c>
      <c r="S68" s="146">
        <f>prod_compiled!N63</f>
        <v>0</v>
      </c>
      <c r="T68" s="146">
        <f>prod_compiled!O63</f>
        <v>0</v>
      </c>
      <c r="U68" s="149">
        <f>prod_compiled!U63</f>
        <v>0</v>
      </c>
      <c r="V68" s="173">
        <f>prod_compiled!Y63</f>
        <v>1.3850000000000004E-3</v>
      </c>
    </row>
    <row r="69" spans="3:23" ht="15.75">
      <c r="C69" s="144" t="s">
        <v>63</v>
      </c>
      <c r="D69" s="146">
        <f>prod_compiled!D64</f>
        <v>0</v>
      </c>
      <c r="E69" s="146">
        <f>prod_compiled!E64</f>
        <v>0</v>
      </c>
      <c r="F69" s="146">
        <f>prod_compiled!F64</f>
        <v>0</v>
      </c>
      <c r="G69" s="149">
        <f>prod_compiled!R64</f>
        <v>0</v>
      </c>
      <c r="H69" s="146">
        <f>prod_compiled!G64</f>
        <v>8.0000000000000002E-3</v>
      </c>
      <c r="I69" s="146">
        <f>prod_compiled!H64</f>
        <v>9.2605345649262195E-5</v>
      </c>
      <c r="J69" s="146">
        <f>prod_compiled!I64</f>
        <v>0</v>
      </c>
      <c r="K69" s="149">
        <f>prod_compiled!S64</f>
        <v>8.0926053456492619E-3</v>
      </c>
      <c r="L69" s="172">
        <f>prod_compiled!V64</f>
        <v>8.0926053456492619E-3</v>
      </c>
      <c r="M69" s="146">
        <f>prod_compiled!J64</f>
        <v>0</v>
      </c>
      <c r="N69" s="146">
        <f>prod_compiled!K64</f>
        <v>0</v>
      </c>
      <c r="O69" s="146">
        <f>prod_compiled!L64</f>
        <v>0</v>
      </c>
      <c r="P69" s="149">
        <f>prod_compiled!T64</f>
        <v>0</v>
      </c>
      <c r="Q69" s="172">
        <f>prod_compiled!X64</f>
        <v>8.0926053456492619E-3</v>
      </c>
      <c r="R69" s="146">
        <f>prod_compiled!M64</f>
        <v>0</v>
      </c>
      <c r="S69" s="146">
        <f>prod_compiled!N64</f>
        <v>0</v>
      </c>
      <c r="T69" s="146">
        <f>prod_compiled!O64</f>
        <v>0</v>
      </c>
      <c r="U69" s="149">
        <f>prod_compiled!U64</f>
        <v>0</v>
      </c>
      <c r="V69" s="173">
        <f>prod_compiled!Y64</f>
        <v>8.0926053456492619E-3</v>
      </c>
    </row>
    <row r="70" spans="3:23" ht="15.75">
      <c r="C70" s="144" t="s">
        <v>64</v>
      </c>
      <c r="D70" s="146">
        <f>prod_compiled!D65</f>
        <v>1E-3</v>
      </c>
      <c r="E70" s="146">
        <f>prod_compiled!E65</f>
        <v>1E-3</v>
      </c>
      <c r="F70" s="146">
        <f>prod_compiled!F65</f>
        <v>1E-3</v>
      </c>
      <c r="G70" s="149">
        <f>prod_compiled!R65</f>
        <v>3.0000000000000001E-3</v>
      </c>
      <c r="H70" s="146">
        <f>prod_compiled!G65</f>
        <v>1E-3</v>
      </c>
      <c r="I70" s="146">
        <f>prod_compiled!H65</f>
        <v>6.6094006178730102E-4</v>
      </c>
      <c r="J70" s="146">
        <f>prod_compiled!I65</f>
        <v>0</v>
      </c>
      <c r="K70" s="149">
        <f>prod_compiled!S65</f>
        <v>1.660940061787301E-3</v>
      </c>
      <c r="L70" s="172">
        <f>prod_compiled!V65</f>
        <v>4.6609400617873015E-3</v>
      </c>
      <c r="M70" s="146">
        <f>prod_compiled!J65</f>
        <v>0</v>
      </c>
      <c r="N70" s="146">
        <f>prod_compiled!K65</f>
        <v>0</v>
      </c>
      <c r="O70" s="146">
        <f>prod_compiled!L65</f>
        <v>0</v>
      </c>
      <c r="P70" s="149">
        <f>prod_compiled!T65</f>
        <v>0</v>
      </c>
      <c r="Q70" s="172">
        <f>prod_compiled!X65</f>
        <v>4.6609400617873015E-3</v>
      </c>
      <c r="R70" s="146">
        <f>prod_compiled!M65</f>
        <v>0</v>
      </c>
      <c r="S70" s="146">
        <f>prod_compiled!N65</f>
        <v>0</v>
      </c>
      <c r="T70" s="146">
        <f>prod_compiled!O65</f>
        <v>0</v>
      </c>
      <c r="U70" s="149">
        <f>prod_compiled!U65</f>
        <v>0</v>
      </c>
      <c r="V70" s="173">
        <f>prod_compiled!Y65</f>
        <v>4.6609400617873015E-3</v>
      </c>
    </row>
    <row r="71" spans="3:23" ht="15.75">
      <c r="C71" s="144" t="s">
        <v>65</v>
      </c>
      <c r="D71" s="146">
        <f>prod_compiled!D66</f>
        <v>1E-3</v>
      </c>
      <c r="E71" s="146">
        <f>prod_compiled!E66</f>
        <v>1E-3</v>
      </c>
      <c r="F71" s="146">
        <f>prod_compiled!F66</f>
        <v>1E-3</v>
      </c>
      <c r="G71" s="149">
        <f>prod_compiled!R66</f>
        <v>3.0000000000000001E-3</v>
      </c>
      <c r="H71" s="146">
        <f>prod_compiled!G66</f>
        <v>2E-3</v>
      </c>
      <c r="I71" s="146">
        <f>prod_compiled!H66</f>
        <v>1.063002092612991E-3</v>
      </c>
      <c r="J71" s="146">
        <f>prod_compiled!I66</f>
        <v>0</v>
      </c>
      <c r="K71" s="149">
        <f>prod_compiled!S66</f>
        <v>3.0630020926129911E-3</v>
      </c>
      <c r="L71" s="172">
        <f>prod_compiled!V66</f>
        <v>6.0630020926129916E-3</v>
      </c>
      <c r="M71" s="146">
        <f>prod_compiled!J66</f>
        <v>0</v>
      </c>
      <c r="N71" s="146">
        <f>prod_compiled!K66</f>
        <v>0</v>
      </c>
      <c r="O71" s="146">
        <f>prod_compiled!L66</f>
        <v>0</v>
      </c>
      <c r="P71" s="149">
        <f>prod_compiled!T66</f>
        <v>0</v>
      </c>
      <c r="Q71" s="172">
        <f>prod_compiled!X66</f>
        <v>6.0630020926129916E-3</v>
      </c>
      <c r="R71" s="146">
        <f>prod_compiled!M66</f>
        <v>0</v>
      </c>
      <c r="S71" s="146">
        <f>prod_compiled!N66</f>
        <v>0</v>
      </c>
      <c r="T71" s="146">
        <f>prod_compiled!O66</f>
        <v>0</v>
      </c>
      <c r="U71" s="149">
        <f>prod_compiled!U66</f>
        <v>0</v>
      </c>
      <c r="V71" s="173">
        <f>prod_compiled!Y66</f>
        <v>6.0630020926129916E-3</v>
      </c>
    </row>
    <row r="72" spans="3:23" ht="15.75">
      <c r="C72" s="144" t="s">
        <v>66</v>
      </c>
      <c r="D72" s="146">
        <f>prod_compiled!D67</f>
        <v>0</v>
      </c>
      <c r="E72" s="146">
        <f>prod_compiled!E67</f>
        <v>0</v>
      </c>
      <c r="F72" s="146">
        <f>prod_compiled!F67</f>
        <v>0</v>
      </c>
      <c r="G72" s="149">
        <f>prod_compiled!R67</f>
        <v>0</v>
      </c>
      <c r="H72" s="146">
        <f>prod_compiled!G67</f>
        <v>0</v>
      </c>
      <c r="I72" s="146">
        <f>prod_compiled!H67</f>
        <v>0</v>
      </c>
      <c r="J72" s="146">
        <f>prod_compiled!I67</f>
        <v>0</v>
      </c>
      <c r="K72" s="149">
        <f>prod_compiled!S67</f>
        <v>0</v>
      </c>
      <c r="L72" s="172">
        <f>prod_compiled!V67</f>
        <v>0</v>
      </c>
      <c r="M72" s="146">
        <f>prod_compiled!J67</f>
        <v>0</v>
      </c>
      <c r="N72" s="146">
        <f>prod_compiled!K67</f>
        <v>0</v>
      </c>
      <c r="O72" s="146">
        <f>prod_compiled!L67</f>
        <v>0</v>
      </c>
      <c r="P72" s="149">
        <f>prod_compiled!T67</f>
        <v>0</v>
      </c>
      <c r="Q72" s="172">
        <f>prod_compiled!X67</f>
        <v>0</v>
      </c>
      <c r="R72" s="146">
        <f>prod_compiled!M67</f>
        <v>0</v>
      </c>
      <c r="S72" s="146">
        <f>prod_compiled!N67</f>
        <v>0</v>
      </c>
      <c r="T72" s="146">
        <f>prod_compiled!O67</f>
        <v>0</v>
      </c>
      <c r="U72" s="149">
        <f>prod_compiled!U67</f>
        <v>0</v>
      </c>
      <c r="V72" s="173">
        <f>prod_compiled!Y67</f>
        <v>0</v>
      </c>
    </row>
    <row r="73" spans="3:23" ht="15.75">
      <c r="C73" s="144" t="s">
        <v>67</v>
      </c>
      <c r="D73" s="146">
        <f>prod_compiled!D68</f>
        <v>0</v>
      </c>
      <c r="E73" s="146">
        <f>prod_compiled!E68</f>
        <v>0</v>
      </c>
      <c r="F73" s="146">
        <f>prod_compiled!F68</f>
        <v>0</v>
      </c>
      <c r="G73" s="149">
        <f>prod_compiled!R68</f>
        <v>0</v>
      </c>
      <c r="H73" s="146">
        <f>prod_compiled!G68</f>
        <v>0</v>
      </c>
      <c r="I73" s="146">
        <f>prod_compiled!H68</f>
        <v>0</v>
      </c>
      <c r="J73" s="146">
        <f>prod_compiled!I68</f>
        <v>0</v>
      </c>
      <c r="K73" s="149">
        <f>prod_compiled!S68</f>
        <v>0</v>
      </c>
      <c r="L73" s="172">
        <f>prod_compiled!V68</f>
        <v>0</v>
      </c>
      <c r="M73" s="146">
        <f>prod_compiled!J68</f>
        <v>0</v>
      </c>
      <c r="N73" s="146">
        <f>prod_compiled!K68</f>
        <v>0</v>
      </c>
      <c r="O73" s="146">
        <f>prod_compiled!L68</f>
        <v>0</v>
      </c>
      <c r="P73" s="149">
        <f>prod_compiled!T68</f>
        <v>0</v>
      </c>
      <c r="Q73" s="172">
        <f>prod_compiled!X68</f>
        <v>0</v>
      </c>
      <c r="R73" s="146">
        <f>prod_compiled!M68</f>
        <v>0</v>
      </c>
      <c r="S73" s="146">
        <f>prod_compiled!N68</f>
        <v>0</v>
      </c>
      <c r="T73" s="146">
        <f>prod_compiled!O68</f>
        <v>0</v>
      </c>
      <c r="U73" s="149">
        <f>prod_compiled!U68</f>
        <v>0</v>
      </c>
      <c r="V73" s="173">
        <f>prod_compiled!Y68</f>
        <v>0</v>
      </c>
    </row>
    <row r="74" spans="3:23" ht="15.75">
      <c r="C74" s="144" t="s">
        <v>68</v>
      </c>
      <c r="D74" s="146">
        <f>prod_compiled!D69</f>
        <v>0</v>
      </c>
      <c r="E74" s="146">
        <f>prod_compiled!E69</f>
        <v>0</v>
      </c>
      <c r="F74" s="146">
        <f>prod_compiled!F69</f>
        <v>0</v>
      </c>
      <c r="G74" s="149">
        <f>prod_compiled!R69</f>
        <v>0</v>
      </c>
      <c r="H74" s="146">
        <f>prod_compiled!G69</f>
        <v>0</v>
      </c>
      <c r="I74" s="146">
        <f>prod_compiled!H69</f>
        <v>0</v>
      </c>
      <c r="J74" s="146">
        <f>prod_compiled!I69</f>
        <v>0</v>
      </c>
      <c r="K74" s="149">
        <f>prod_compiled!S69</f>
        <v>0</v>
      </c>
      <c r="L74" s="172">
        <f>prod_compiled!V69</f>
        <v>0</v>
      </c>
      <c r="M74" s="146">
        <f>prod_compiled!J69</f>
        <v>0</v>
      </c>
      <c r="N74" s="146">
        <f>prod_compiled!K69</f>
        <v>0</v>
      </c>
      <c r="O74" s="146">
        <f>prod_compiled!L69</f>
        <v>0</v>
      </c>
      <c r="P74" s="149">
        <f>prod_compiled!T69</f>
        <v>0</v>
      </c>
      <c r="Q74" s="172">
        <f>prod_compiled!X69</f>
        <v>0</v>
      </c>
      <c r="R74" s="146">
        <f>prod_compiled!M69</f>
        <v>0</v>
      </c>
      <c r="S74" s="146">
        <f>prod_compiled!N69</f>
        <v>0</v>
      </c>
      <c r="T74" s="146">
        <f>prod_compiled!O69</f>
        <v>0</v>
      </c>
      <c r="U74" s="149">
        <f>prod_compiled!U69</f>
        <v>0</v>
      </c>
      <c r="V74" s="173">
        <f>prod_compiled!Y69</f>
        <v>0</v>
      </c>
    </row>
    <row r="75" spans="3:23" ht="15.75">
      <c r="C75" s="144" t="s">
        <v>69</v>
      </c>
      <c r="D75" s="146">
        <f>prod_compiled!D70</f>
        <v>0</v>
      </c>
      <c r="E75" s="146">
        <f>prod_compiled!E70</f>
        <v>0</v>
      </c>
      <c r="F75" s="146">
        <f>prod_compiled!F70</f>
        <v>0</v>
      </c>
      <c r="G75" s="149">
        <f>prod_compiled!R70</f>
        <v>0</v>
      </c>
      <c r="H75" s="146">
        <f>prod_compiled!G70</f>
        <v>0</v>
      </c>
      <c r="I75" s="146">
        <f>prod_compiled!H70</f>
        <v>0</v>
      </c>
      <c r="J75" s="146">
        <f>prod_compiled!I70</f>
        <v>0</v>
      </c>
      <c r="K75" s="149">
        <f>prod_compiled!S70</f>
        <v>0</v>
      </c>
      <c r="L75" s="172">
        <f>prod_compiled!V70</f>
        <v>0</v>
      </c>
      <c r="M75" s="146">
        <f>prod_compiled!J70</f>
        <v>0</v>
      </c>
      <c r="N75" s="146">
        <f>prod_compiled!K70</f>
        <v>0</v>
      </c>
      <c r="O75" s="146">
        <f>prod_compiled!L70</f>
        <v>0</v>
      </c>
      <c r="P75" s="149">
        <f>prod_compiled!T70</f>
        <v>0</v>
      </c>
      <c r="Q75" s="172">
        <f>prod_compiled!X70</f>
        <v>0</v>
      </c>
      <c r="R75" s="146">
        <f>prod_compiled!M70</f>
        <v>0</v>
      </c>
      <c r="S75" s="146">
        <f>prod_compiled!N70</f>
        <v>0</v>
      </c>
      <c r="T75" s="146">
        <f>prod_compiled!O70</f>
        <v>0</v>
      </c>
      <c r="U75" s="149">
        <f>prod_compiled!U70</f>
        <v>0</v>
      </c>
      <c r="V75" s="173">
        <f>prod_compiled!Y70</f>
        <v>0</v>
      </c>
    </row>
    <row r="76" spans="3:23" ht="15.75">
      <c r="C76" s="144" t="s">
        <v>70</v>
      </c>
      <c r="D76" s="146">
        <f>prod_compiled!D71</f>
        <v>6.7000000000000004E-2</v>
      </c>
      <c r="E76" s="146">
        <f>prod_compiled!E71</f>
        <v>7.2999999999999995E-2</v>
      </c>
      <c r="F76" s="146">
        <f>prod_compiled!F71</f>
        <v>7.3999999999999996E-2</v>
      </c>
      <c r="G76" s="149">
        <f>prod_compiled!R71</f>
        <v>0.21400000000000002</v>
      </c>
      <c r="H76" s="146">
        <f>prod_compiled!G71</f>
        <v>7.4999999999999997E-2</v>
      </c>
      <c r="I76" s="146">
        <f>prod_compiled!H71</f>
        <v>7.4159597844523695E-2</v>
      </c>
      <c r="J76" s="146">
        <f>prod_compiled!I71</f>
        <v>0</v>
      </c>
      <c r="K76" s="149">
        <f>prod_compiled!S71</f>
        <v>0.14915959784452371</v>
      </c>
      <c r="L76" s="172">
        <f>prod_compiled!V71</f>
        <v>0.36315959784452373</v>
      </c>
      <c r="M76" s="146">
        <f>prod_compiled!J71</f>
        <v>0</v>
      </c>
      <c r="N76" s="146">
        <f>prod_compiled!K71</f>
        <v>0</v>
      </c>
      <c r="O76" s="146">
        <f>prod_compiled!L71</f>
        <v>0</v>
      </c>
      <c r="P76" s="149">
        <f>prod_compiled!T71</f>
        <v>0</v>
      </c>
      <c r="Q76" s="172">
        <f>prod_compiled!X71</f>
        <v>0.36315959784452373</v>
      </c>
      <c r="R76" s="146">
        <f>prod_compiled!M71</f>
        <v>0</v>
      </c>
      <c r="S76" s="146">
        <f>prod_compiled!N71</f>
        <v>0</v>
      </c>
      <c r="T76" s="146">
        <f>prod_compiled!O71</f>
        <v>0</v>
      </c>
      <c r="U76" s="149">
        <f>prod_compiled!U71</f>
        <v>0</v>
      </c>
      <c r="V76" s="173">
        <f>prod_compiled!Y71</f>
        <v>0.36315959784452373</v>
      </c>
    </row>
    <row r="77" spans="3:23" ht="15.75">
      <c r="C77" s="145" t="s">
        <v>92</v>
      </c>
      <c r="D77" s="152">
        <f>SUM(D63:D76)</f>
        <v>0.23000000000000004</v>
      </c>
      <c r="E77" s="152">
        <f t="shared" ref="E77:V77" si="5">SUM(E63:E76)</f>
        <v>0.22900000000000004</v>
      </c>
      <c r="F77" s="152">
        <f>SUM(F63:F76)</f>
        <v>0.22200000000000003</v>
      </c>
      <c r="G77" s="153">
        <f t="shared" si="5"/>
        <v>0.68100000000000005</v>
      </c>
      <c r="H77" s="152">
        <f t="shared" si="5"/>
        <v>0.22100000000000003</v>
      </c>
      <c r="I77" s="152">
        <f t="shared" si="5"/>
        <v>0.22012668887780773</v>
      </c>
      <c r="J77" s="152">
        <f t="shared" si="5"/>
        <v>0</v>
      </c>
      <c r="K77" s="153">
        <f t="shared" si="5"/>
        <v>0.44112668887780782</v>
      </c>
      <c r="L77" s="173">
        <f t="shared" si="5"/>
        <v>1.1221266888778076</v>
      </c>
      <c r="M77" s="152">
        <f t="shared" si="5"/>
        <v>0</v>
      </c>
      <c r="N77" s="152">
        <f t="shared" si="5"/>
        <v>0</v>
      </c>
      <c r="O77" s="152">
        <f t="shared" si="5"/>
        <v>0</v>
      </c>
      <c r="P77" s="153">
        <f t="shared" si="5"/>
        <v>0</v>
      </c>
      <c r="Q77" s="173">
        <f t="shared" si="5"/>
        <v>1.1221266888778076</v>
      </c>
      <c r="R77" s="152">
        <f t="shared" si="5"/>
        <v>0</v>
      </c>
      <c r="S77" s="152">
        <f t="shared" si="5"/>
        <v>0</v>
      </c>
      <c r="T77" s="152">
        <f t="shared" si="5"/>
        <v>0</v>
      </c>
      <c r="U77" s="153">
        <f t="shared" si="5"/>
        <v>0</v>
      </c>
      <c r="V77" s="173">
        <f t="shared" si="5"/>
        <v>1.1221266888778076</v>
      </c>
    </row>
    <row r="82" spans="3:23">
      <c r="C82" s="1325" t="s">
        <v>3</v>
      </c>
      <c r="D82" s="1326"/>
      <c r="E82" s="1326"/>
      <c r="F82" s="1326"/>
      <c r="G82" s="1326"/>
      <c r="H82" s="1326"/>
      <c r="I82" s="1326"/>
      <c r="J82" s="1326"/>
      <c r="K82" s="1326"/>
      <c r="L82" s="1326"/>
      <c r="M82" s="1326"/>
      <c r="N82" s="1326"/>
      <c r="O82" s="1326"/>
      <c r="P82" s="1326"/>
      <c r="Q82" s="1326"/>
      <c r="R82" s="1326"/>
      <c r="S82" s="1326"/>
      <c r="T82" s="1326"/>
      <c r="U82" s="1326"/>
      <c r="V82" s="1327"/>
    </row>
    <row r="83" spans="3:23">
      <c r="C83" s="144"/>
      <c r="D83" s="144" t="s">
        <v>30</v>
      </c>
      <c r="E83" s="144" t="s">
        <v>71</v>
      </c>
      <c r="F83" s="144" t="s">
        <v>72</v>
      </c>
      <c r="G83" s="154" t="s">
        <v>82</v>
      </c>
      <c r="H83" s="144" t="s">
        <v>73</v>
      </c>
      <c r="I83" s="144" t="s">
        <v>74</v>
      </c>
      <c r="J83" s="144" t="s">
        <v>75</v>
      </c>
      <c r="K83" s="154" t="s">
        <v>83</v>
      </c>
      <c r="L83" s="156" t="s">
        <v>39</v>
      </c>
      <c r="M83" s="144" t="s">
        <v>76</v>
      </c>
      <c r="N83" s="144" t="s">
        <v>77</v>
      </c>
      <c r="O83" s="144" t="s">
        <v>78</v>
      </c>
      <c r="P83" s="154" t="s">
        <v>84</v>
      </c>
      <c r="Q83" s="156" t="s">
        <v>85</v>
      </c>
      <c r="R83" s="144" t="s">
        <v>79</v>
      </c>
      <c r="S83" s="144" t="s">
        <v>80</v>
      </c>
      <c r="T83" s="144" t="s">
        <v>81</v>
      </c>
      <c r="U83" s="154" t="s">
        <v>86</v>
      </c>
      <c r="V83" s="156" t="s">
        <v>87</v>
      </c>
    </row>
    <row r="84" spans="3:23" ht="15.75">
      <c r="C84" s="144" t="s">
        <v>60</v>
      </c>
      <c r="D84" s="147">
        <f>D44+D63</f>
        <v>0.21299999999999999</v>
      </c>
      <c r="E84" s="147">
        <f t="shared" ref="E84:L84" si="6">E44+E63</f>
        <v>0.20799999999999999</v>
      </c>
      <c r="F84" s="147">
        <f t="shared" si="6"/>
        <v>0.18</v>
      </c>
      <c r="G84" s="155">
        <f t="shared" si="6"/>
        <v>0.60099999999999998</v>
      </c>
      <c r="H84" s="147">
        <f>H44+H63</f>
        <v>0.20400000000000001</v>
      </c>
      <c r="I84" s="147">
        <f t="shared" si="6"/>
        <v>0.19789026915190833</v>
      </c>
      <c r="J84" s="147">
        <f t="shared" si="6"/>
        <v>0</v>
      </c>
      <c r="K84" s="155">
        <f t="shared" si="6"/>
        <v>0.40189026915190834</v>
      </c>
      <c r="L84" s="157">
        <f t="shared" si="6"/>
        <v>1.0028902691519084</v>
      </c>
      <c r="M84" s="147">
        <f t="shared" ref="M84:V84" si="7">M44+M63</f>
        <v>0</v>
      </c>
      <c r="N84" s="147">
        <f t="shared" si="7"/>
        <v>0</v>
      </c>
      <c r="O84" s="147">
        <f t="shared" si="7"/>
        <v>0</v>
      </c>
      <c r="P84" s="155">
        <f t="shared" si="7"/>
        <v>0</v>
      </c>
      <c r="Q84" s="157">
        <f t="shared" si="7"/>
        <v>1.0028902691519084</v>
      </c>
      <c r="R84" s="147">
        <f t="shared" si="7"/>
        <v>0</v>
      </c>
      <c r="S84" s="147">
        <f t="shared" si="7"/>
        <v>0</v>
      </c>
      <c r="T84" s="147">
        <f t="shared" si="7"/>
        <v>0</v>
      </c>
      <c r="U84" s="155">
        <f t="shared" si="7"/>
        <v>0</v>
      </c>
      <c r="V84" s="160">
        <f t="shared" si="7"/>
        <v>1.0028902691519084</v>
      </c>
    </row>
    <row r="85" spans="3:23" ht="15.75">
      <c r="C85" s="144" t="s">
        <v>61</v>
      </c>
      <c r="D85" s="147">
        <f t="shared" ref="D85:L85" si="8">D45+D64</f>
        <v>0.24099999999999999</v>
      </c>
      <c r="E85" s="147">
        <f t="shared" si="8"/>
        <v>0.249</v>
      </c>
      <c r="F85" s="147">
        <f t="shared" si="8"/>
        <v>0.23899999999999999</v>
      </c>
      <c r="G85" s="155">
        <f t="shared" si="8"/>
        <v>0.72899999999999998</v>
      </c>
      <c r="H85" s="147">
        <f t="shared" si="8"/>
        <v>0.24</v>
      </c>
      <c r="I85" s="147">
        <f t="shared" si="8"/>
        <v>0.25126075838794099</v>
      </c>
      <c r="J85" s="147">
        <f t="shared" si="8"/>
        <v>0</v>
      </c>
      <c r="K85" s="155">
        <f t="shared" si="8"/>
        <v>0.49126075838794103</v>
      </c>
      <c r="L85" s="157">
        <f t="shared" si="8"/>
        <v>1.220260758387941</v>
      </c>
      <c r="M85" s="147">
        <f t="shared" ref="M85:V85" si="9">M45+M64</f>
        <v>0</v>
      </c>
      <c r="N85" s="147">
        <f t="shared" si="9"/>
        <v>0</v>
      </c>
      <c r="O85" s="147">
        <f t="shared" si="9"/>
        <v>0</v>
      </c>
      <c r="P85" s="155">
        <f t="shared" si="9"/>
        <v>0</v>
      </c>
      <c r="Q85" s="157">
        <f t="shared" si="9"/>
        <v>1.220260758387941</v>
      </c>
      <c r="R85" s="147">
        <f t="shared" si="9"/>
        <v>0</v>
      </c>
      <c r="S85" s="147">
        <f t="shared" si="9"/>
        <v>0</v>
      </c>
      <c r="T85" s="147">
        <f t="shared" si="9"/>
        <v>0</v>
      </c>
      <c r="U85" s="155">
        <f t="shared" si="9"/>
        <v>0</v>
      </c>
      <c r="V85" s="160">
        <f t="shared" si="9"/>
        <v>1.220260758387941</v>
      </c>
    </row>
    <row r="86" spans="3:23" ht="15.75">
      <c r="C86" s="144" t="s">
        <v>62</v>
      </c>
      <c r="D86" s="147">
        <f t="shared" ref="D86:L86" si="10">D46+D65</f>
        <v>1.6E-2</v>
      </c>
      <c r="E86" s="147">
        <f t="shared" si="10"/>
        <v>1.4E-2</v>
      </c>
      <c r="F86" s="147">
        <f t="shared" si="10"/>
        <v>1.7000000000000001E-2</v>
      </c>
      <c r="G86" s="155">
        <f t="shared" si="10"/>
        <v>4.7E-2</v>
      </c>
      <c r="H86" s="147">
        <f t="shared" si="10"/>
        <v>1.4999999999999999E-2</v>
      </c>
      <c r="I86" s="147">
        <f t="shared" si="10"/>
        <v>1.510792862048798E-2</v>
      </c>
      <c r="J86" s="147">
        <f t="shared" si="10"/>
        <v>0</v>
      </c>
      <c r="K86" s="155">
        <f t="shared" si="10"/>
        <v>3.0107928620487983E-2</v>
      </c>
      <c r="L86" s="157">
        <f t="shared" si="10"/>
        <v>7.7107928620487987E-2</v>
      </c>
      <c r="M86" s="147">
        <f t="shared" ref="M86:V86" si="11">M46+M65</f>
        <v>0</v>
      </c>
      <c r="N86" s="147">
        <f t="shared" si="11"/>
        <v>0</v>
      </c>
      <c r="O86" s="147">
        <f t="shared" si="11"/>
        <v>0</v>
      </c>
      <c r="P86" s="155">
        <f t="shared" si="11"/>
        <v>0</v>
      </c>
      <c r="Q86" s="157">
        <f t="shared" si="11"/>
        <v>7.7107928620487987E-2</v>
      </c>
      <c r="R86" s="147">
        <f t="shared" si="11"/>
        <v>0</v>
      </c>
      <c r="S86" s="147">
        <f t="shared" si="11"/>
        <v>0</v>
      </c>
      <c r="T86" s="147">
        <f t="shared" si="11"/>
        <v>0</v>
      </c>
      <c r="U86" s="155">
        <f t="shared" si="11"/>
        <v>0</v>
      </c>
      <c r="V86" s="160">
        <f t="shared" si="11"/>
        <v>7.7107928620487987E-2</v>
      </c>
    </row>
    <row r="87" spans="3:23" ht="15.75">
      <c r="C87" s="144" t="s">
        <v>57</v>
      </c>
      <c r="D87" s="147">
        <f t="shared" ref="D87:L87" si="12">D47+D66</f>
        <v>5.0999999999999997E-2</v>
      </c>
      <c r="E87" s="147">
        <f t="shared" si="12"/>
        <v>5.1999999999999998E-2</v>
      </c>
      <c r="F87" s="147">
        <f t="shared" si="12"/>
        <v>4.8000000000000001E-2</v>
      </c>
      <c r="G87" s="155">
        <f t="shared" si="12"/>
        <v>0.151</v>
      </c>
      <c r="H87" s="147">
        <f t="shared" si="12"/>
        <v>4.8000000000000001E-2</v>
      </c>
      <c r="I87" s="147">
        <f t="shared" si="12"/>
        <v>4.4132878216493705E-2</v>
      </c>
      <c r="J87" s="147">
        <f t="shared" si="12"/>
        <v>0</v>
      </c>
      <c r="K87" s="155">
        <f t="shared" si="12"/>
        <v>9.2132878216493713E-2</v>
      </c>
      <c r="L87" s="157">
        <f t="shared" si="12"/>
        <v>0.24313287821649371</v>
      </c>
      <c r="M87" s="147">
        <f t="shared" ref="M87:V87" si="13">M47+M66</f>
        <v>0</v>
      </c>
      <c r="N87" s="147">
        <f t="shared" si="13"/>
        <v>0</v>
      </c>
      <c r="O87" s="147">
        <f>O47+O66</f>
        <v>0</v>
      </c>
      <c r="P87" s="155">
        <f t="shared" si="13"/>
        <v>0</v>
      </c>
      <c r="Q87" s="157">
        <f t="shared" si="13"/>
        <v>0.24313287821649371</v>
      </c>
      <c r="R87" s="147">
        <f t="shared" si="13"/>
        <v>0</v>
      </c>
      <c r="S87" s="147">
        <f t="shared" si="13"/>
        <v>0</v>
      </c>
      <c r="T87" s="147">
        <f t="shared" si="13"/>
        <v>0</v>
      </c>
      <c r="U87" s="155">
        <f t="shared" si="13"/>
        <v>0</v>
      </c>
      <c r="V87" s="160">
        <f t="shared" si="13"/>
        <v>0.24313287821649371</v>
      </c>
      <c r="W87" s="823"/>
    </row>
    <row r="88" spans="3:23" ht="15.75">
      <c r="C88" s="144" t="s">
        <v>58</v>
      </c>
      <c r="D88" s="147">
        <f t="shared" ref="D88:L88" si="14">D48+D67</f>
        <v>4.7E-2</v>
      </c>
      <c r="E88" s="147">
        <f t="shared" si="14"/>
        <v>3.9E-2</v>
      </c>
      <c r="F88" s="147">
        <f t="shared" si="14"/>
        <v>4.2999999999999997E-2</v>
      </c>
      <c r="G88" s="155">
        <f t="shared" si="14"/>
        <v>0.129</v>
      </c>
      <c r="H88" s="147">
        <f t="shared" si="14"/>
        <v>3.7000000000000005E-2</v>
      </c>
      <c r="I88" s="147">
        <f t="shared" si="14"/>
        <v>4.8833836674801318E-2</v>
      </c>
      <c r="J88" s="147">
        <f t="shared" si="14"/>
        <v>0</v>
      </c>
      <c r="K88" s="155">
        <f t="shared" si="14"/>
        <v>8.5833836674801323E-2</v>
      </c>
      <c r="L88" s="157">
        <f t="shared" si="14"/>
        <v>0.2148338366748013</v>
      </c>
      <c r="M88" s="147">
        <f t="shared" ref="M88:V88" si="15">M48+M67</f>
        <v>0</v>
      </c>
      <c r="N88" s="147">
        <f t="shared" si="15"/>
        <v>0</v>
      </c>
      <c r="O88" s="147">
        <f>O48+O67</f>
        <v>0</v>
      </c>
      <c r="P88" s="155">
        <f t="shared" si="15"/>
        <v>0</v>
      </c>
      <c r="Q88" s="157">
        <f t="shared" si="15"/>
        <v>0.2148338366748013</v>
      </c>
      <c r="R88" s="147">
        <f t="shared" si="15"/>
        <v>0</v>
      </c>
      <c r="S88" s="147">
        <f t="shared" si="15"/>
        <v>0</v>
      </c>
      <c r="T88" s="147">
        <f t="shared" si="15"/>
        <v>0</v>
      </c>
      <c r="U88" s="155">
        <f t="shared" si="15"/>
        <v>0</v>
      </c>
      <c r="V88" s="160">
        <f t="shared" si="15"/>
        <v>0.2148338366748013</v>
      </c>
    </row>
    <row r="89" spans="3:23" ht="15.75">
      <c r="C89" s="144" t="s">
        <v>59</v>
      </c>
      <c r="D89" s="147">
        <f t="shared" ref="D89:L89" si="16">D49+D68</f>
        <v>0.01</v>
      </c>
      <c r="E89" s="147">
        <f t="shared" si="16"/>
        <v>0.01</v>
      </c>
      <c r="F89" s="147">
        <f t="shared" si="16"/>
        <v>1.2E-2</v>
      </c>
      <c r="G89" s="155">
        <f t="shared" si="16"/>
        <v>3.2000000000000001E-2</v>
      </c>
      <c r="H89" s="147">
        <f t="shared" si="16"/>
        <v>1.0999999999999999E-2</v>
      </c>
      <c r="I89" s="147">
        <f t="shared" si="16"/>
        <v>1.1762565889520215E-2</v>
      </c>
      <c r="J89" s="147">
        <f t="shared" si="16"/>
        <v>0</v>
      </c>
      <c r="K89" s="155">
        <f t="shared" si="16"/>
        <v>2.2762565889520216E-2</v>
      </c>
      <c r="L89" s="157">
        <f t="shared" si="16"/>
        <v>5.4762565889520214E-2</v>
      </c>
      <c r="M89" s="147">
        <f t="shared" ref="M89:V89" si="17">M49+M68</f>
        <v>0</v>
      </c>
      <c r="N89" s="147">
        <f t="shared" si="17"/>
        <v>0</v>
      </c>
      <c r="O89" s="147">
        <f t="shared" si="17"/>
        <v>0</v>
      </c>
      <c r="P89" s="155">
        <f t="shared" si="17"/>
        <v>0</v>
      </c>
      <c r="Q89" s="157">
        <f t="shared" si="17"/>
        <v>5.4762565889520214E-2</v>
      </c>
      <c r="R89" s="147">
        <f t="shared" si="17"/>
        <v>0</v>
      </c>
      <c r="S89" s="147">
        <f t="shared" si="17"/>
        <v>0</v>
      </c>
      <c r="T89" s="147">
        <f t="shared" si="17"/>
        <v>0</v>
      </c>
      <c r="U89" s="155">
        <f t="shared" si="17"/>
        <v>0</v>
      </c>
      <c r="V89" s="160">
        <f t="shared" si="17"/>
        <v>5.4762565889520214E-2</v>
      </c>
    </row>
    <row r="90" spans="3:23" ht="15.75">
      <c r="C90" s="144" t="s">
        <v>63</v>
      </c>
      <c r="D90" s="147">
        <f t="shared" ref="D90:L90" si="18">D50+D69</f>
        <v>5.1999999999999998E-2</v>
      </c>
      <c r="E90" s="147">
        <f t="shared" si="18"/>
        <v>6.4000000000000001E-2</v>
      </c>
      <c r="F90" s="147">
        <f t="shared" si="18"/>
        <v>6.0999999999999999E-2</v>
      </c>
      <c r="G90" s="155">
        <f t="shared" si="18"/>
        <v>0.17699999999999999</v>
      </c>
      <c r="H90" s="147">
        <f t="shared" si="18"/>
        <v>6.8000000000000005E-2</v>
      </c>
      <c r="I90" s="147">
        <f t="shared" si="18"/>
        <v>6.2274008006487226E-2</v>
      </c>
      <c r="J90" s="147">
        <f t="shared" si="18"/>
        <v>0</v>
      </c>
      <c r="K90" s="155">
        <f t="shared" si="18"/>
        <v>0.13027400800648722</v>
      </c>
      <c r="L90" s="157">
        <f t="shared" si="18"/>
        <v>0.30727400800648719</v>
      </c>
      <c r="M90" s="147">
        <f t="shared" ref="M90:V90" si="19">M50+M69</f>
        <v>0</v>
      </c>
      <c r="N90" s="147">
        <f t="shared" si="19"/>
        <v>0</v>
      </c>
      <c r="O90" s="147">
        <f t="shared" si="19"/>
        <v>0</v>
      </c>
      <c r="P90" s="155">
        <f t="shared" si="19"/>
        <v>0</v>
      </c>
      <c r="Q90" s="157">
        <f t="shared" si="19"/>
        <v>0.30727400800648719</v>
      </c>
      <c r="R90" s="147">
        <f t="shared" si="19"/>
        <v>0</v>
      </c>
      <c r="S90" s="147">
        <f t="shared" si="19"/>
        <v>0</v>
      </c>
      <c r="T90" s="147">
        <f t="shared" si="19"/>
        <v>0</v>
      </c>
      <c r="U90" s="155">
        <f t="shared" si="19"/>
        <v>0</v>
      </c>
      <c r="V90" s="160">
        <f t="shared" si="19"/>
        <v>0.30727400800648719</v>
      </c>
    </row>
    <row r="91" spans="3:23" ht="15.75">
      <c r="C91" s="144" t="s">
        <v>64</v>
      </c>
      <c r="D91" s="147">
        <f t="shared" ref="D91:L91" si="20">D51+D70</f>
        <v>5.0000000000000001E-3</v>
      </c>
      <c r="E91" s="147">
        <f t="shared" si="20"/>
        <v>5.0000000000000001E-3</v>
      </c>
      <c r="F91" s="147">
        <f t="shared" si="20"/>
        <v>4.0000000000000001E-3</v>
      </c>
      <c r="G91" s="155">
        <f t="shared" si="20"/>
        <v>1.3999999999999999E-2</v>
      </c>
      <c r="H91" s="147">
        <f t="shared" si="20"/>
        <v>5.0000000000000001E-3</v>
      </c>
      <c r="I91" s="147">
        <f t="shared" si="20"/>
        <v>4.4389464050091157E-3</v>
      </c>
      <c r="J91" s="147">
        <f t="shared" si="20"/>
        <v>0</v>
      </c>
      <c r="K91" s="155">
        <f t="shared" si="20"/>
        <v>9.4389464050091149E-3</v>
      </c>
      <c r="L91" s="157">
        <f t="shared" si="20"/>
        <v>2.3438946405009112E-2</v>
      </c>
      <c r="M91" s="147">
        <f t="shared" ref="M91:V91" si="21">M51+M70</f>
        <v>0</v>
      </c>
      <c r="N91" s="147">
        <f t="shared" si="21"/>
        <v>0</v>
      </c>
      <c r="O91" s="147">
        <f t="shared" si="21"/>
        <v>0</v>
      </c>
      <c r="P91" s="155">
        <f t="shared" si="21"/>
        <v>0</v>
      </c>
      <c r="Q91" s="157">
        <f t="shared" si="21"/>
        <v>2.3438946405009112E-2</v>
      </c>
      <c r="R91" s="147">
        <f t="shared" si="21"/>
        <v>0</v>
      </c>
      <c r="S91" s="147">
        <f t="shared" si="21"/>
        <v>0</v>
      </c>
      <c r="T91" s="147">
        <f t="shared" si="21"/>
        <v>0</v>
      </c>
      <c r="U91" s="155">
        <f t="shared" si="21"/>
        <v>0</v>
      </c>
      <c r="V91" s="160">
        <f t="shared" si="21"/>
        <v>2.3438946405009112E-2</v>
      </c>
    </row>
    <row r="92" spans="3:23" ht="15.75">
      <c r="C92" s="144" t="s">
        <v>65</v>
      </c>
      <c r="D92" s="147">
        <f t="shared" ref="D92:L92" si="22">D52+D71</f>
        <v>9.0000000000000011E-3</v>
      </c>
      <c r="E92" s="147">
        <f t="shared" si="22"/>
        <v>1.0999999999999999E-2</v>
      </c>
      <c r="F92" s="147">
        <f t="shared" si="22"/>
        <v>1.0999999999999999E-2</v>
      </c>
      <c r="G92" s="155">
        <f t="shared" si="22"/>
        <v>3.1000000000000003E-2</v>
      </c>
      <c r="H92" s="147">
        <f t="shared" si="22"/>
        <v>1.2999999999999999E-2</v>
      </c>
      <c r="I92" s="147">
        <f t="shared" si="22"/>
        <v>1.1835604012202157E-2</v>
      </c>
      <c r="J92" s="147">
        <f t="shared" si="22"/>
        <v>0</v>
      </c>
      <c r="K92" s="155">
        <f t="shared" si="22"/>
        <v>2.4835604012202157E-2</v>
      </c>
      <c r="L92" s="157">
        <f t="shared" si="22"/>
        <v>5.583560401220216E-2</v>
      </c>
      <c r="M92" s="147">
        <f t="shared" ref="M92:V92" si="23">M52+M71</f>
        <v>0</v>
      </c>
      <c r="N92" s="147">
        <f t="shared" si="23"/>
        <v>0</v>
      </c>
      <c r="O92" s="147">
        <f t="shared" si="23"/>
        <v>0</v>
      </c>
      <c r="P92" s="155">
        <f t="shared" si="23"/>
        <v>0</v>
      </c>
      <c r="Q92" s="157">
        <f t="shared" si="23"/>
        <v>5.583560401220216E-2</v>
      </c>
      <c r="R92" s="147">
        <f t="shared" si="23"/>
        <v>0</v>
      </c>
      <c r="S92" s="147">
        <f t="shared" si="23"/>
        <v>0</v>
      </c>
      <c r="T92" s="147">
        <f t="shared" si="23"/>
        <v>0</v>
      </c>
      <c r="U92" s="155">
        <f t="shared" si="23"/>
        <v>0</v>
      </c>
      <c r="V92" s="160">
        <f t="shared" si="23"/>
        <v>5.583560401220216E-2</v>
      </c>
    </row>
    <row r="93" spans="3:23" ht="15.75">
      <c r="C93" s="144" t="s">
        <v>66</v>
      </c>
      <c r="D93" s="147">
        <f t="shared" ref="D93:L93" si="24">D53+D72</f>
        <v>3.7999999999999999E-2</v>
      </c>
      <c r="E93" s="147">
        <f t="shared" si="24"/>
        <v>4.3999999999999997E-2</v>
      </c>
      <c r="F93" s="147">
        <f t="shared" si="24"/>
        <v>6.7000000000000004E-2</v>
      </c>
      <c r="G93" s="155">
        <f t="shared" si="24"/>
        <v>0.14899999999999999</v>
      </c>
      <c r="H93" s="147">
        <f t="shared" si="24"/>
        <v>5.3999999999999999E-2</v>
      </c>
      <c r="I93" s="147">
        <f t="shared" si="24"/>
        <v>7.0161706048396735E-2</v>
      </c>
      <c r="J93" s="147">
        <f t="shared" si="24"/>
        <v>0</v>
      </c>
      <c r="K93" s="155">
        <f t="shared" si="24"/>
        <v>0.12416170604839674</v>
      </c>
      <c r="L93" s="157">
        <f t="shared" si="24"/>
        <v>0.27316170604839674</v>
      </c>
      <c r="M93" s="147">
        <f t="shared" ref="M93:V93" si="25">M53+M72</f>
        <v>0</v>
      </c>
      <c r="N93" s="147">
        <f t="shared" si="25"/>
        <v>0</v>
      </c>
      <c r="O93" s="147">
        <f t="shared" si="25"/>
        <v>0</v>
      </c>
      <c r="P93" s="155">
        <f t="shared" si="25"/>
        <v>0</v>
      </c>
      <c r="Q93" s="157">
        <f t="shared" si="25"/>
        <v>0.27316170604839674</v>
      </c>
      <c r="R93" s="147">
        <f t="shared" si="25"/>
        <v>0</v>
      </c>
      <c r="S93" s="147">
        <f t="shared" si="25"/>
        <v>0</v>
      </c>
      <c r="T93" s="147">
        <f t="shared" si="25"/>
        <v>0</v>
      </c>
      <c r="U93" s="155">
        <f t="shared" si="25"/>
        <v>0</v>
      </c>
      <c r="V93" s="160">
        <f t="shared" si="25"/>
        <v>0.27316170604839674</v>
      </c>
    </row>
    <row r="94" spans="3:23" ht="15.75">
      <c r="C94" s="144" t="s">
        <v>67</v>
      </c>
      <c r="D94" s="147">
        <f t="shared" ref="D94:L94" si="26">D54+D73</f>
        <v>5.5E-2</v>
      </c>
      <c r="E94" s="147">
        <f t="shared" si="26"/>
        <v>5.7000000000000002E-2</v>
      </c>
      <c r="F94" s="147">
        <f t="shared" si="26"/>
        <v>5.1999999999999998E-2</v>
      </c>
      <c r="G94" s="155">
        <f t="shared" si="26"/>
        <v>0.16400000000000001</v>
      </c>
      <c r="H94" s="147">
        <f t="shared" si="26"/>
        <v>5.8999999999999997E-2</v>
      </c>
      <c r="I94" s="147">
        <f t="shared" si="26"/>
        <v>5.741999622492916E-2</v>
      </c>
      <c r="J94" s="147">
        <f t="shared" si="26"/>
        <v>0</v>
      </c>
      <c r="K94" s="155">
        <f t="shared" si="26"/>
        <v>0.11641999622492916</v>
      </c>
      <c r="L94" s="157">
        <f t="shared" si="26"/>
        <v>0.28041999622492919</v>
      </c>
      <c r="M94" s="147">
        <f t="shared" ref="M94:V94" si="27">M54+M73</f>
        <v>0</v>
      </c>
      <c r="N94" s="147">
        <f t="shared" si="27"/>
        <v>0</v>
      </c>
      <c r="O94" s="147">
        <f t="shared" si="27"/>
        <v>0</v>
      </c>
      <c r="P94" s="155">
        <f t="shared" si="27"/>
        <v>0</v>
      </c>
      <c r="Q94" s="157">
        <f t="shared" si="27"/>
        <v>0.28041999622492919</v>
      </c>
      <c r="R94" s="147">
        <f t="shared" si="27"/>
        <v>0</v>
      </c>
      <c r="S94" s="147">
        <f t="shared" si="27"/>
        <v>0</v>
      </c>
      <c r="T94" s="147">
        <f t="shared" si="27"/>
        <v>0</v>
      </c>
      <c r="U94" s="155">
        <f t="shared" si="27"/>
        <v>0</v>
      </c>
      <c r="V94" s="160">
        <f t="shared" si="27"/>
        <v>0.28041999622492919</v>
      </c>
    </row>
    <row r="95" spans="3:23" ht="15.75">
      <c r="C95" s="144" t="s">
        <v>68</v>
      </c>
      <c r="D95" s="147">
        <f t="shared" ref="D95:L95" si="28">D55+D74</f>
        <v>1.4E-2</v>
      </c>
      <c r="E95" s="147">
        <f t="shared" si="28"/>
        <v>1.4E-2</v>
      </c>
      <c r="F95" s="147">
        <f t="shared" si="28"/>
        <v>1.2999999999999999E-2</v>
      </c>
      <c r="G95" s="155">
        <f t="shared" si="28"/>
        <v>4.1000000000000002E-2</v>
      </c>
      <c r="H95" s="147">
        <f t="shared" si="28"/>
        <v>1.2999999999999999E-2</v>
      </c>
      <c r="I95" s="147">
        <f t="shared" si="28"/>
        <v>1.3550622111245282E-2</v>
      </c>
      <c r="J95" s="147">
        <f t="shared" si="28"/>
        <v>0</v>
      </c>
      <c r="K95" s="155">
        <f t="shared" si="28"/>
        <v>2.655062211124528E-2</v>
      </c>
      <c r="L95" s="157">
        <f t="shared" si="28"/>
        <v>6.7550622111245281E-2</v>
      </c>
      <c r="M95" s="147">
        <f t="shared" ref="M95:V95" si="29">M55+M74</f>
        <v>0</v>
      </c>
      <c r="N95" s="147">
        <f t="shared" si="29"/>
        <v>0</v>
      </c>
      <c r="O95" s="147">
        <f t="shared" si="29"/>
        <v>0</v>
      </c>
      <c r="P95" s="155">
        <f t="shared" si="29"/>
        <v>0</v>
      </c>
      <c r="Q95" s="157">
        <f t="shared" si="29"/>
        <v>6.7550622111245281E-2</v>
      </c>
      <c r="R95" s="147">
        <f t="shared" si="29"/>
        <v>0</v>
      </c>
      <c r="S95" s="147">
        <f t="shared" si="29"/>
        <v>0</v>
      </c>
      <c r="T95" s="147">
        <f t="shared" si="29"/>
        <v>0</v>
      </c>
      <c r="U95" s="155">
        <f t="shared" si="29"/>
        <v>0</v>
      </c>
      <c r="V95" s="160">
        <f t="shared" si="29"/>
        <v>6.7550622111245281E-2</v>
      </c>
    </row>
    <row r="96" spans="3:23" ht="15.75">
      <c r="C96" s="144" t="s">
        <v>69</v>
      </c>
      <c r="D96" s="147">
        <f t="shared" ref="D96:L96" si="30">D56+D75</f>
        <v>0</v>
      </c>
      <c r="E96" s="147">
        <f t="shared" si="30"/>
        <v>0</v>
      </c>
      <c r="F96" s="147">
        <f t="shared" si="30"/>
        <v>0</v>
      </c>
      <c r="G96" s="155">
        <f t="shared" si="30"/>
        <v>0</v>
      </c>
      <c r="H96" s="147">
        <f t="shared" si="30"/>
        <v>0</v>
      </c>
      <c r="I96" s="147">
        <f t="shared" si="30"/>
        <v>0</v>
      </c>
      <c r="J96" s="147">
        <f t="shared" si="30"/>
        <v>0</v>
      </c>
      <c r="K96" s="155">
        <f t="shared" si="30"/>
        <v>0</v>
      </c>
      <c r="L96" s="157">
        <f t="shared" si="30"/>
        <v>0</v>
      </c>
      <c r="M96" s="147">
        <f t="shared" ref="M96:V96" si="31">M56+M75</f>
        <v>0</v>
      </c>
      <c r="N96" s="147">
        <f t="shared" si="31"/>
        <v>0</v>
      </c>
      <c r="O96" s="147">
        <f t="shared" si="31"/>
        <v>0</v>
      </c>
      <c r="P96" s="155">
        <f t="shared" si="31"/>
        <v>0</v>
      </c>
      <c r="Q96" s="157">
        <f t="shared" si="31"/>
        <v>0</v>
      </c>
      <c r="R96" s="147">
        <f t="shared" si="31"/>
        <v>0</v>
      </c>
      <c r="S96" s="147">
        <f t="shared" si="31"/>
        <v>0</v>
      </c>
      <c r="T96" s="147">
        <f t="shared" si="31"/>
        <v>0</v>
      </c>
      <c r="U96" s="155">
        <f t="shared" si="31"/>
        <v>0</v>
      </c>
      <c r="V96" s="160">
        <f t="shared" si="31"/>
        <v>0</v>
      </c>
    </row>
    <row r="97" spans="1:22" ht="15.75">
      <c r="C97" s="144" t="s">
        <v>70</v>
      </c>
      <c r="D97" s="147">
        <f t="shared" ref="D97:L97" si="32">D57+D76</f>
        <v>6.7000000000000004E-2</v>
      </c>
      <c r="E97" s="147">
        <f t="shared" si="32"/>
        <v>7.2999999999999995E-2</v>
      </c>
      <c r="F97" s="147">
        <f t="shared" si="32"/>
        <v>7.3999999999999996E-2</v>
      </c>
      <c r="G97" s="155">
        <f t="shared" si="32"/>
        <v>0.21400000000000002</v>
      </c>
      <c r="H97" s="147">
        <f t="shared" si="32"/>
        <v>7.4999999999999997E-2</v>
      </c>
      <c r="I97" s="147">
        <f t="shared" si="32"/>
        <v>7.4159597844523695E-2</v>
      </c>
      <c r="J97" s="147">
        <f t="shared" si="32"/>
        <v>0</v>
      </c>
      <c r="K97" s="155">
        <f t="shared" si="32"/>
        <v>0.14915959784452371</v>
      </c>
      <c r="L97" s="157">
        <f t="shared" si="32"/>
        <v>0.36315959784452373</v>
      </c>
      <c r="M97" s="147">
        <f t="shared" ref="M97:V97" si="33">M57+M76</f>
        <v>0</v>
      </c>
      <c r="N97" s="147">
        <f t="shared" si="33"/>
        <v>0</v>
      </c>
      <c r="O97" s="147">
        <f t="shared" si="33"/>
        <v>0</v>
      </c>
      <c r="P97" s="155">
        <f t="shared" si="33"/>
        <v>0</v>
      </c>
      <c r="Q97" s="157">
        <f t="shared" si="33"/>
        <v>0.36315959784452373</v>
      </c>
      <c r="R97" s="147">
        <f t="shared" si="33"/>
        <v>0</v>
      </c>
      <c r="S97" s="147">
        <f t="shared" si="33"/>
        <v>0</v>
      </c>
      <c r="T97" s="147">
        <f t="shared" si="33"/>
        <v>0</v>
      </c>
      <c r="U97" s="155">
        <f t="shared" si="33"/>
        <v>0</v>
      </c>
      <c r="V97" s="160">
        <f t="shared" si="33"/>
        <v>0.36315959784452373</v>
      </c>
    </row>
    <row r="98" spans="1:22" ht="15.75">
      <c r="C98" s="145" t="s">
        <v>92</v>
      </c>
      <c r="D98" s="158">
        <f t="shared" ref="D98:L98" si="34">D58+D77</f>
        <v>0.81800000000000006</v>
      </c>
      <c r="E98" s="158">
        <f t="shared" si="34"/>
        <v>0.84000000000000008</v>
      </c>
      <c r="F98" s="158">
        <f t="shared" si="34"/>
        <v>0.82100000000000017</v>
      </c>
      <c r="G98" s="159">
        <f t="shared" si="34"/>
        <v>2.4789999999999996</v>
      </c>
      <c r="H98" s="158">
        <f t="shared" si="34"/>
        <v>0.84200000000000008</v>
      </c>
      <c r="I98" s="158">
        <f t="shared" si="34"/>
        <v>0.86282871759394586</v>
      </c>
      <c r="J98" s="158">
        <f t="shared" si="34"/>
        <v>0</v>
      </c>
      <c r="K98" s="159">
        <f t="shared" si="34"/>
        <v>1.7048287175939463</v>
      </c>
      <c r="L98" s="160">
        <f t="shared" si="34"/>
        <v>4.1838287175939453</v>
      </c>
      <c r="M98" s="158">
        <f t="shared" ref="M98:V98" si="35">M58+M77</f>
        <v>0</v>
      </c>
      <c r="N98" s="158">
        <f t="shared" si="35"/>
        <v>0</v>
      </c>
      <c r="O98" s="158">
        <f t="shared" si="35"/>
        <v>0</v>
      </c>
      <c r="P98" s="159">
        <f t="shared" si="35"/>
        <v>0</v>
      </c>
      <c r="Q98" s="160">
        <f t="shared" si="35"/>
        <v>4.1838287175939453</v>
      </c>
      <c r="R98" s="158">
        <f t="shared" si="35"/>
        <v>0</v>
      </c>
      <c r="S98" s="158">
        <f t="shared" si="35"/>
        <v>0</v>
      </c>
      <c r="T98" s="158">
        <f t="shared" si="35"/>
        <v>0</v>
      </c>
      <c r="U98" s="159">
        <f t="shared" si="35"/>
        <v>0</v>
      </c>
      <c r="V98" s="160">
        <f t="shared" si="35"/>
        <v>4.1838287175939453</v>
      </c>
    </row>
    <row r="101" spans="1:22">
      <c r="B101" t="s">
        <v>720</v>
      </c>
      <c r="D101">
        <f>IF($H$2&lt;=$B$101,0,1)</f>
        <v>1</v>
      </c>
      <c r="E101">
        <f t="shared" ref="E101:M101" si="36">IF($H$2&lt;=$B$101,0,1)</f>
        <v>1</v>
      </c>
      <c r="F101">
        <f t="shared" si="36"/>
        <v>1</v>
      </c>
      <c r="G101">
        <f t="shared" si="36"/>
        <v>1</v>
      </c>
      <c r="H101">
        <f t="shared" si="36"/>
        <v>1</v>
      </c>
      <c r="I101">
        <f t="shared" si="36"/>
        <v>1</v>
      </c>
      <c r="J101">
        <f t="shared" si="36"/>
        <v>1</v>
      </c>
      <c r="K101">
        <f t="shared" si="36"/>
        <v>1</v>
      </c>
      <c r="L101">
        <f t="shared" si="36"/>
        <v>1</v>
      </c>
      <c r="M101">
        <f t="shared" si="36"/>
        <v>1</v>
      </c>
      <c r="N101">
        <f>IF($H$2&gt;=$B$101,1,0)</f>
        <v>1</v>
      </c>
      <c r="O101">
        <f t="shared" ref="O101:V101" si="37">IF($H$2&gt;=$B$101,1,0)</f>
        <v>1</v>
      </c>
      <c r="P101">
        <f t="shared" si="37"/>
        <v>1</v>
      </c>
      <c r="Q101">
        <f t="shared" si="37"/>
        <v>1</v>
      </c>
      <c r="R101">
        <f t="shared" si="37"/>
        <v>1</v>
      </c>
      <c r="S101">
        <f t="shared" si="37"/>
        <v>1</v>
      </c>
      <c r="T101">
        <f t="shared" si="37"/>
        <v>1</v>
      </c>
      <c r="U101">
        <f t="shared" si="37"/>
        <v>1</v>
      </c>
      <c r="V101">
        <f t="shared" si="37"/>
        <v>1</v>
      </c>
    </row>
    <row r="102" spans="1:22">
      <c r="A102" t="s">
        <v>1922</v>
      </c>
    </row>
  </sheetData>
  <mergeCells count="5">
    <mergeCell ref="C4:V4"/>
    <mergeCell ref="C22:V22"/>
    <mergeCell ref="C42:V42"/>
    <mergeCell ref="C61:V61"/>
    <mergeCell ref="C82:V82"/>
  </mergeCells>
  <printOptions verticalCentered="1"/>
  <pageMargins left="0.25" right="0.25" top="0.75" bottom="0.75" header="0.3" footer="0.3"/>
  <pageSetup paperSize="9" scale="51" fitToHeight="0" orientation="landscape" r:id="rId1"/>
  <rowBreaks count="1" manualBreakCount="1">
    <brk id="40" max="21" man="1"/>
  </rowBreaks>
  <colBreaks count="1" manualBreakCount="1">
    <brk id="22" max="99" man="1"/>
  </colBreaks>
  <drawing r:id="rId2"/>
  <legacyDrawing r:id="rId3"/>
  <mc:AlternateContent xmlns:mc="http://schemas.openxmlformats.org/markup-compatibility/2006">
    <mc:Choice Requires="x14">
      <controls>
        <mc:AlternateContent xmlns:mc="http://schemas.openxmlformats.org/markup-compatibility/2006">
          <mc:Choice Requires="x14">
            <control shapeId="144385" r:id="rId4" name="Button 1">
              <controlPr defaultSize="0" print="0" autoFill="0" autoPict="0" macro="[0]!EXPORT_ACTIVE_SHEET">
                <anchor moveWithCells="1" sizeWithCells="1">
                  <from>
                    <xdr:col>23</xdr:col>
                    <xdr:colOff>466725</xdr:colOff>
                    <xdr:row>10</xdr:row>
                    <xdr:rowOff>123825</xdr:rowOff>
                  </from>
                  <to>
                    <xdr:col>25</xdr:col>
                    <xdr:colOff>333375</xdr:colOff>
                    <xdr:row>14</xdr:row>
                    <xdr:rowOff>104775</xdr:rowOff>
                  </to>
                </anchor>
              </controlPr>
            </control>
          </mc:Choice>
        </mc:AlternateContent>
        <mc:AlternateContent xmlns:mc="http://schemas.openxmlformats.org/markup-compatibility/2006">
          <mc:Choice Requires="x14">
            <control shapeId="144386" r:id="rId5" name="Button 2">
              <controlPr defaultSize="0" print="0" autoFill="0" autoPict="0" macro="[0]!Back_to_Dashboard">
                <anchor moveWithCells="1" sizeWithCells="1">
                  <from>
                    <xdr:col>23</xdr:col>
                    <xdr:colOff>466725</xdr:colOff>
                    <xdr:row>16</xdr:row>
                    <xdr:rowOff>66675</xdr:rowOff>
                  </from>
                  <to>
                    <xdr:col>25</xdr:col>
                    <xdr:colOff>371475</xdr:colOff>
                    <xdr:row>19</xdr:row>
                    <xdr:rowOff>180975</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rgb="FF92D050"/>
  </sheetPr>
  <dimension ref="A1:L41"/>
  <sheetViews>
    <sheetView topLeftCell="C1" workbookViewId="0"/>
  </sheetViews>
  <sheetFormatPr defaultColWidth="8.85546875" defaultRowHeight="15"/>
  <cols>
    <col min="1" max="1" width="5.140625" hidden="1" customWidth="1"/>
    <col min="2" max="2" width="7.85546875" hidden="1" customWidth="1"/>
    <col min="3" max="3" width="6.7109375" customWidth="1"/>
    <col min="4" max="4" width="12.28515625" bestFit="1" customWidth="1"/>
    <col min="5" max="5" width="25.85546875" bestFit="1" customWidth="1"/>
    <col min="6" max="6" width="25.85546875" customWidth="1"/>
    <col min="7" max="8" width="11.7109375" customWidth="1"/>
    <col min="9" max="9" width="25.85546875" bestFit="1" customWidth="1"/>
    <col min="10" max="10" width="10.42578125" bestFit="1" customWidth="1"/>
  </cols>
  <sheetData>
    <row r="1" spans="1:12" ht="15" customHeight="1">
      <c r="C1" s="1336" t="s">
        <v>453</v>
      </c>
      <c r="D1" s="1336"/>
      <c r="E1" s="1336"/>
      <c r="F1" s="1336"/>
      <c r="G1" s="1336"/>
      <c r="H1" s="1336"/>
      <c r="I1" s="1336"/>
    </row>
    <row r="2" spans="1:12" ht="15" customHeight="1">
      <c r="C2" s="1336"/>
      <c r="D2" s="1336"/>
      <c r="E2" s="1336"/>
      <c r="F2" s="1337"/>
      <c r="G2" s="1337"/>
      <c r="H2" s="1336"/>
      <c r="I2" s="1336"/>
    </row>
    <row r="3" spans="1:12" ht="15.75">
      <c r="C3" s="1338" t="s">
        <v>448</v>
      </c>
      <c r="D3" s="1338"/>
      <c r="E3" s="382">
        <f>Dashboard!D3</f>
        <v>46265</v>
      </c>
      <c r="F3" s="515" t="str">
        <f>interFY_transition!D20</f>
        <v>2026-27</v>
      </c>
      <c r="G3" s="262"/>
      <c r="H3" s="385" t="s">
        <v>454</v>
      </c>
      <c r="I3" s="385" t="str">
        <f>Dashboard!G3</f>
        <v>BE Annual target</v>
      </c>
    </row>
    <row r="4" spans="1:12">
      <c r="C4" s="1339"/>
      <c r="D4" s="1339"/>
      <c r="E4" s="1339"/>
      <c r="F4" s="1340"/>
      <c r="G4" s="1340"/>
      <c r="H4" s="1339"/>
      <c r="I4" s="1339"/>
      <c r="L4" s="365"/>
    </row>
    <row r="5" spans="1:12" ht="15.75">
      <c r="C5" s="1344" t="s">
        <v>450</v>
      </c>
      <c r="D5" s="1345" t="s">
        <v>94</v>
      </c>
      <c r="E5" s="1341" t="s">
        <v>451</v>
      </c>
      <c r="F5" s="1341"/>
      <c r="G5" s="1341"/>
      <c r="H5" s="1341"/>
      <c r="I5" s="1341"/>
      <c r="L5" s="365"/>
    </row>
    <row r="6" spans="1:12" ht="15.75">
      <c r="C6" s="1344"/>
      <c r="D6" s="1345"/>
      <c r="E6" s="1332" t="str">
        <f>I3</f>
        <v>BE Annual target</v>
      </c>
      <c r="F6" s="1333"/>
      <c r="G6" s="1342">
        <f>E3</f>
        <v>46265</v>
      </c>
      <c r="H6" s="1343"/>
      <c r="I6" s="1334" t="s">
        <v>449</v>
      </c>
      <c r="L6" s="365"/>
    </row>
    <row r="7" spans="1:12" ht="33.75" customHeight="1">
      <c r="C7" s="1344"/>
      <c r="D7" s="1345"/>
      <c r="E7" s="387" t="s">
        <v>455</v>
      </c>
      <c r="F7" s="387" t="s">
        <v>456</v>
      </c>
      <c r="G7" s="391" t="s">
        <v>458</v>
      </c>
      <c r="H7" s="391" t="s">
        <v>457</v>
      </c>
      <c r="I7" s="1335"/>
    </row>
    <row r="8" spans="1:12" ht="15.75">
      <c r="A8">
        <v>7</v>
      </c>
      <c r="B8">
        <v>1</v>
      </c>
      <c r="C8" s="379">
        <v>0.2</v>
      </c>
      <c r="D8" s="380" t="s">
        <v>60</v>
      </c>
      <c r="E8" s="383">
        <f>VLOOKUP(B8,'YTD display'!$B$5:$Y$21,Dropdowns!$D$75,FALSE)</f>
        <v>138587.80821917808</v>
      </c>
      <c r="F8" s="383">
        <f>E8*C8</f>
        <v>27717.561643835619</v>
      </c>
      <c r="G8" s="336" t="e">
        <f>VLOOKUP($E$3,DPR!$C$9:$AJ$1109,A8,FALSE)</f>
        <v>#N/A</v>
      </c>
      <c r="H8" s="336" t="e">
        <f>G8*C8</f>
        <v>#N/A</v>
      </c>
      <c r="I8" s="141" t="e">
        <f>(G8-E8)*C8</f>
        <v>#N/A</v>
      </c>
    </row>
    <row r="9" spans="1:12" ht="15.75">
      <c r="A9">
        <v>8</v>
      </c>
      <c r="B9">
        <v>2</v>
      </c>
      <c r="C9" s="379">
        <v>0.26</v>
      </c>
      <c r="D9" s="380" t="s">
        <v>61</v>
      </c>
      <c r="E9" s="383">
        <f>VLOOKUP(B9,'YTD display'!$B$5:$Y$21,Dropdowns!$D$75,FALSE)</f>
        <v>174593.04531085351</v>
      </c>
      <c r="F9" s="383">
        <f t="shared" ref="F9:F21" si="0">E9*C9</f>
        <v>45394.191780821915</v>
      </c>
      <c r="G9" s="336" t="e">
        <f>VLOOKUP($E$3,DPR!$C$9:$AJ$1109,A9,FALSE)</f>
        <v>#N/A</v>
      </c>
      <c r="H9" s="336" t="e">
        <f t="shared" ref="H9:H21" si="1">G9*C9</f>
        <v>#N/A</v>
      </c>
      <c r="I9" s="141" t="e">
        <f t="shared" ref="I9:I21" si="2">(G9-E9)*C9</f>
        <v>#N/A</v>
      </c>
    </row>
    <row r="10" spans="1:12" ht="15.75">
      <c r="A10">
        <v>6</v>
      </c>
      <c r="B10">
        <v>3</v>
      </c>
      <c r="C10" s="379">
        <v>1</v>
      </c>
      <c r="D10" s="380" t="s">
        <v>62</v>
      </c>
      <c r="E10" s="383">
        <f>VLOOKUP(B10,'YTD display'!$B$5:$Y$21,Dropdowns!$D$75,FALSE)</f>
        <v>2103.0136986301368</v>
      </c>
      <c r="F10" s="383">
        <f t="shared" si="0"/>
        <v>2103.0136986301368</v>
      </c>
      <c r="G10" s="336" t="e">
        <f>VLOOKUP($E$3,DPR!$C$9:$AJ$1109,A10,FALSE)</f>
        <v>#N/A</v>
      </c>
      <c r="H10" s="336" t="e">
        <f t="shared" si="1"/>
        <v>#N/A</v>
      </c>
      <c r="I10" s="141" t="e">
        <f t="shared" si="2"/>
        <v>#N/A</v>
      </c>
    </row>
    <row r="11" spans="1:12" ht="15.75">
      <c r="A11">
        <v>2</v>
      </c>
      <c r="B11">
        <v>4</v>
      </c>
      <c r="C11" s="379">
        <v>2.3099999999999999E-2</v>
      </c>
      <c r="D11" s="380" t="s">
        <v>57</v>
      </c>
      <c r="E11" s="383">
        <f>VLOOKUP(B11,'YTD display'!$B$5:$Y$21,Dropdowns!$D$75,FALSE)</f>
        <v>327345.27572883735</v>
      </c>
      <c r="F11" s="383">
        <f t="shared" si="0"/>
        <v>7561.6758693361426</v>
      </c>
      <c r="G11" s="336" t="e">
        <f>VLOOKUP($E$3,DPR!$C$9:$AJ$1109,A11,FALSE)</f>
        <v>#N/A</v>
      </c>
      <c r="H11" s="336" t="e">
        <f t="shared" si="1"/>
        <v>#N/A</v>
      </c>
      <c r="I11" s="141" t="e">
        <f t="shared" si="2"/>
        <v>#N/A</v>
      </c>
    </row>
    <row r="12" spans="1:12" ht="15.75">
      <c r="A12">
        <v>3</v>
      </c>
      <c r="B12">
        <v>5</v>
      </c>
      <c r="C12" s="379">
        <v>0.27</v>
      </c>
      <c r="D12" s="380" t="s">
        <v>58</v>
      </c>
      <c r="E12" s="383">
        <f>VLOOKUP(B12,'YTD display'!$B$5:$Y$21,Dropdowns!$D$75,FALSE)</f>
        <v>23635.210553018769</v>
      </c>
      <c r="F12" s="383">
        <f t="shared" si="0"/>
        <v>6381.5068493150684</v>
      </c>
      <c r="G12" s="336" t="e">
        <f>VLOOKUP($E$3,DPR!$C$9:$AJ$1109,A12,FALSE)</f>
        <v>#N/A</v>
      </c>
      <c r="H12" s="336" t="e">
        <f t="shared" si="1"/>
        <v>#N/A</v>
      </c>
      <c r="I12" s="141" t="e">
        <f t="shared" si="2"/>
        <v>#N/A</v>
      </c>
    </row>
    <row r="13" spans="1:12" ht="15.75">
      <c r="A13">
        <v>5</v>
      </c>
      <c r="B13">
        <v>6</v>
      </c>
      <c r="C13" s="379">
        <v>0.5</v>
      </c>
      <c r="D13" s="380" t="s">
        <v>59</v>
      </c>
      <c r="E13" s="383">
        <f>VLOOKUP(B13,'YTD display'!$B$5:$Y$21,Dropdowns!$D$75,FALSE)</f>
        <v>5461.1506849315083</v>
      </c>
      <c r="F13" s="383">
        <f t="shared" si="0"/>
        <v>2730.5753424657541</v>
      </c>
      <c r="G13" s="336" t="e">
        <f>VLOOKUP($E$3,DPR!$C$9:$AJ$1109,A13,FALSE)</f>
        <v>#N/A</v>
      </c>
      <c r="H13" s="336" t="e">
        <f t="shared" si="1"/>
        <v>#N/A</v>
      </c>
      <c r="I13" s="141" t="e">
        <f t="shared" si="2"/>
        <v>#N/A</v>
      </c>
    </row>
    <row r="14" spans="1:12" ht="15.75">
      <c r="A14">
        <v>4</v>
      </c>
      <c r="B14">
        <v>7</v>
      </c>
      <c r="C14" s="379">
        <v>0.7</v>
      </c>
      <c r="D14" s="380" t="s">
        <v>63</v>
      </c>
      <c r="E14" s="383">
        <f>VLOOKUP(B14,'YTD display'!$B$5:$Y$21,Dropdowns!$D$75,FALSE)</f>
        <v>22301.369863013701</v>
      </c>
      <c r="F14" s="383">
        <f t="shared" si="0"/>
        <v>15610.95890410959</v>
      </c>
      <c r="G14" s="336" t="e">
        <f>VLOOKUP($E$3,DPR!$C$9:$AJ$1109,A14,FALSE)</f>
        <v>#N/A</v>
      </c>
      <c r="H14" s="336" t="e">
        <f t="shared" si="1"/>
        <v>#N/A</v>
      </c>
      <c r="I14" s="141" t="e">
        <f t="shared" si="2"/>
        <v>#N/A</v>
      </c>
    </row>
    <row r="15" spans="1:12" ht="15.75">
      <c r="A15">
        <v>12</v>
      </c>
      <c r="B15">
        <v>8</v>
      </c>
      <c r="C15" s="379">
        <v>0.11</v>
      </c>
      <c r="D15" s="380" t="s">
        <v>64</v>
      </c>
      <c r="E15" s="383">
        <f>VLOOKUP(B15,'YTD display'!$B$5:$Y$21,Dropdowns!$D$75,FALSE)</f>
        <v>7770.8592777085942</v>
      </c>
      <c r="F15" s="383">
        <f t="shared" si="0"/>
        <v>854.79452054794535</v>
      </c>
      <c r="G15" s="336" t="e">
        <f>VLOOKUP($E$3,DPR!$C$9:$AJ$1109,A15,FALSE)</f>
        <v>#N/A</v>
      </c>
      <c r="H15" s="336" t="e">
        <f t="shared" si="1"/>
        <v>#N/A</v>
      </c>
      <c r="I15" s="141" t="e">
        <f t="shared" si="2"/>
        <v>#N/A</v>
      </c>
    </row>
    <row r="16" spans="1:12" ht="15.75">
      <c r="A16">
        <v>13</v>
      </c>
      <c r="B16">
        <v>9</v>
      </c>
      <c r="C16" s="379">
        <v>0.4</v>
      </c>
      <c r="D16" s="380" t="s">
        <v>65</v>
      </c>
      <c r="E16" s="383">
        <f>VLOOKUP(B16,'YTD display'!$B$5:$Y$21,Dropdowns!$D$75,FALSE)</f>
        <v>5220</v>
      </c>
      <c r="F16" s="383">
        <f t="shared" si="0"/>
        <v>2088</v>
      </c>
      <c r="G16" s="336" t="e">
        <f>VLOOKUP($E$3,DPR!$C$9:$AJ$1109,A16,FALSE)</f>
        <v>#N/A</v>
      </c>
      <c r="H16" s="336" t="e">
        <f t="shared" si="1"/>
        <v>#N/A</v>
      </c>
      <c r="I16" s="141" t="e">
        <f t="shared" si="2"/>
        <v>#N/A</v>
      </c>
    </row>
    <row r="17" spans="1:11" ht="15.75">
      <c r="A17">
        <v>11</v>
      </c>
      <c r="B17">
        <v>10</v>
      </c>
      <c r="C17" s="379">
        <v>0.04</v>
      </c>
      <c r="D17" s="380" t="s">
        <v>66</v>
      </c>
      <c r="E17" s="383">
        <f>VLOOKUP(B17,'YTD display'!$B$5:$Y$21,Dropdowns!$D$75,FALSE)</f>
        <v>431104.10958904115</v>
      </c>
      <c r="F17" s="383">
        <f t="shared" si="0"/>
        <v>17244.164383561645</v>
      </c>
      <c r="G17" s="336" t="e">
        <f>VLOOKUP($E$3,DPR!$C$9:$AJ$1109,A17,FALSE)</f>
        <v>#N/A</v>
      </c>
      <c r="H17" s="336" t="e">
        <f t="shared" si="1"/>
        <v>#N/A</v>
      </c>
      <c r="I17" s="141" t="e">
        <f t="shared" si="2"/>
        <v>#N/A</v>
      </c>
    </row>
    <row r="18" spans="1:11" ht="15.75">
      <c r="A18">
        <v>9</v>
      </c>
      <c r="B18">
        <v>11</v>
      </c>
      <c r="C18" s="379">
        <v>0.25</v>
      </c>
      <c r="D18" s="380" t="s">
        <v>67</v>
      </c>
      <c r="E18" s="383">
        <f>VLOOKUP(B18,'YTD display'!$B$5:$Y$21,Dropdowns!$D$75,FALSE)</f>
        <v>52400</v>
      </c>
      <c r="F18" s="383">
        <f t="shared" si="0"/>
        <v>13100</v>
      </c>
      <c r="G18" s="336" t="e">
        <f>VLOOKUP($E$3,DPR!$C$9:$AJ$1109,A18,FALSE)</f>
        <v>#N/A</v>
      </c>
      <c r="H18" s="336" t="e">
        <f t="shared" si="1"/>
        <v>#N/A</v>
      </c>
      <c r="I18" s="141" t="e">
        <f t="shared" si="2"/>
        <v>#N/A</v>
      </c>
    </row>
    <row r="19" spans="1:11" ht="15.75">
      <c r="A19">
        <v>10</v>
      </c>
      <c r="B19">
        <v>12</v>
      </c>
      <c r="C19" s="379">
        <v>0.24124999999999999</v>
      </c>
      <c r="D19" s="380" t="s">
        <v>68</v>
      </c>
      <c r="E19" s="383">
        <f>VLOOKUP(B19,'YTD display'!$B$5:$Y$21,Dropdowns!$D$75,FALSE)</f>
        <v>13127.972176875577</v>
      </c>
      <c r="F19" s="383">
        <f t="shared" si="0"/>
        <v>3167.1232876712329</v>
      </c>
      <c r="G19" s="336" t="e">
        <f>VLOOKUP($E$3,DPR!$C$9:$AJ$1109,A19,FALSE)</f>
        <v>#N/A</v>
      </c>
      <c r="H19" s="336" t="e">
        <f t="shared" si="1"/>
        <v>#N/A</v>
      </c>
      <c r="I19" s="141" t="e">
        <f t="shared" si="2"/>
        <v>#N/A</v>
      </c>
    </row>
    <row r="20" spans="1:11" ht="15.75">
      <c r="A20">
        <v>14</v>
      </c>
      <c r="B20">
        <v>13</v>
      </c>
      <c r="C20" s="379">
        <v>0.45</v>
      </c>
      <c r="D20" s="380" t="s">
        <v>69</v>
      </c>
      <c r="E20" s="383">
        <f>VLOOKUP(B20,'YTD display'!$B$5:$Y$21,Dropdowns!$D$75,FALSE)</f>
        <v>0</v>
      </c>
      <c r="F20" s="383">
        <f t="shared" si="0"/>
        <v>0</v>
      </c>
      <c r="G20" s="336" t="e">
        <f>VLOOKUP($E$3,DPR!$C$9:$AJ$1109,A20,FALSE)</f>
        <v>#N/A</v>
      </c>
      <c r="H20" s="336" t="e">
        <f t="shared" si="1"/>
        <v>#N/A</v>
      </c>
      <c r="I20" s="141" t="e">
        <f t="shared" si="2"/>
        <v>#N/A</v>
      </c>
    </row>
    <row r="21" spans="1:11" ht="15.75">
      <c r="A21">
        <v>15</v>
      </c>
      <c r="B21">
        <v>14</v>
      </c>
      <c r="C21" s="379">
        <v>0.17</v>
      </c>
      <c r="D21" s="380" t="s">
        <v>70</v>
      </c>
      <c r="E21" s="383">
        <f>VLOOKUP(B21,'YTD display'!$B$5:$Y$21,Dropdowns!$D$75,FALSE)</f>
        <v>0</v>
      </c>
      <c r="F21" s="383">
        <f t="shared" si="0"/>
        <v>0</v>
      </c>
      <c r="G21" s="336" t="e">
        <f>VLOOKUP($E$3,DPR!$C$9:$AJ$1109,A21,FALSE)</f>
        <v>#N/A</v>
      </c>
      <c r="H21" s="336" t="e">
        <f t="shared" si="1"/>
        <v>#N/A</v>
      </c>
      <c r="I21" s="141" t="e">
        <f t="shared" si="2"/>
        <v>#N/A</v>
      </c>
    </row>
    <row r="22" spans="1:11" ht="21">
      <c r="A22">
        <v>16</v>
      </c>
      <c r="B22">
        <v>15</v>
      </c>
      <c r="C22" s="148"/>
      <c r="D22" s="381" t="s">
        <v>137</v>
      </c>
      <c r="E22" s="1358">
        <f>VLOOKUP(B22,'YTD display'!$B$5:$Y$21,Dropdowns!$D$75,FALSE)</f>
        <v>145966.73972602742</v>
      </c>
      <c r="F22" s="1359"/>
      <c r="G22" s="1360" t="e">
        <f>VLOOKUP($E$3,DPR!$C$9:$AJ$1109,A22,FALSE)</f>
        <v>#N/A</v>
      </c>
      <c r="H22" s="1361"/>
      <c r="I22" s="188" t="e">
        <f>G22-E22</f>
        <v>#N/A</v>
      </c>
      <c r="J22" s="378"/>
      <c r="K22" s="377"/>
    </row>
    <row r="23" spans="1:11">
      <c r="C23" s="1352"/>
      <c r="D23" s="1353"/>
      <c r="E23" s="1353"/>
      <c r="F23" s="1353"/>
      <c r="G23" s="1353"/>
      <c r="H23" s="1353"/>
      <c r="I23" s="1354"/>
    </row>
    <row r="24" spans="1:11" ht="15.75">
      <c r="C24" s="1346" t="s">
        <v>450</v>
      </c>
      <c r="D24" s="1349" t="s">
        <v>94</v>
      </c>
      <c r="E24" s="1355" t="s">
        <v>452</v>
      </c>
      <c r="F24" s="1356"/>
      <c r="G24" s="1356"/>
      <c r="H24" s="1356"/>
      <c r="I24" s="1357"/>
    </row>
    <row r="25" spans="1:11" ht="15.75">
      <c r="C25" s="1347"/>
      <c r="D25" s="1350"/>
      <c r="E25" s="1332" t="str">
        <f>I3</f>
        <v>BE Annual target</v>
      </c>
      <c r="F25" s="1333"/>
      <c r="G25" s="1342">
        <f>E3</f>
        <v>46265</v>
      </c>
      <c r="H25" s="1343"/>
      <c r="I25" s="1334" t="s">
        <v>449</v>
      </c>
    </row>
    <row r="26" spans="1:11" ht="33.75" customHeight="1">
      <c r="C26" s="1348"/>
      <c r="D26" s="1351"/>
      <c r="E26" s="387" t="s">
        <v>455</v>
      </c>
      <c r="F26" s="387" t="s">
        <v>456</v>
      </c>
      <c r="G26" s="391" t="s">
        <v>458</v>
      </c>
      <c r="H26" s="391" t="s">
        <v>457</v>
      </c>
      <c r="I26" s="1335"/>
    </row>
    <row r="27" spans="1:11" ht="15.75">
      <c r="A27">
        <f>A8+15</f>
        <v>22</v>
      </c>
      <c r="B27">
        <v>1</v>
      </c>
      <c r="C27" s="379">
        <v>0.2</v>
      </c>
      <c r="D27" s="380" t="s">
        <v>60</v>
      </c>
      <c r="E27" s="384">
        <f>VLOOKUP(B27,'YTD display'!$B$23:$Y$38,Dropdowns!$D$75,FALSE)</f>
        <v>8.4794520547945211</v>
      </c>
      <c r="F27" s="384">
        <f>E27*C27</f>
        <v>1.6958904109589044</v>
      </c>
      <c r="G27" s="386" t="e">
        <f>VLOOKUP($E$3,DPR!$C$9:$AJ$1109,A27,FALSE)</f>
        <v>#N/A</v>
      </c>
      <c r="H27" s="386" t="e">
        <f>G27*C27</f>
        <v>#N/A</v>
      </c>
      <c r="I27" s="147" t="e">
        <f>(G27-E27)*C27</f>
        <v>#N/A</v>
      </c>
    </row>
    <row r="28" spans="1:11" ht="15.75">
      <c r="A28">
        <f t="shared" ref="A28:A41" si="3">A9+15</f>
        <v>23</v>
      </c>
      <c r="B28">
        <v>2</v>
      </c>
      <c r="C28" s="379">
        <v>0.26</v>
      </c>
      <c r="D28" s="380" t="s">
        <v>61</v>
      </c>
      <c r="E28" s="384">
        <f>VLOOKUP(B28,'YTD display'!$B$23:$Y$38,Dropdowns!$D$75,FALSE)</f>
        <v>8.4293488459373229</v>
      </c>
      <c r="F28" s="384">
        <f t="shared" ref="F28:F40" si="4">E28*C28</f>
        <v>2.1916306999437039</v>
      </c>
      <c r="G28" s="386" t="e">
        <f>VLOOKUP($E$3,DPR!$C$9:$AJ$1109,A28,FALSE)</f>
        <v>#N/A</v>
      </c>
      <c r="H28" s="386" t="e">
        <f t="shared" ref="H28:H40" si="5">G28*C28</f>
        <v>#N/A</v>
      </c>
      <c r="I28" s="147" t="e">
        <f t="shared" ref="I28:I40" si="6">(G28-E28)*C28</f>
        <v>#N/A</v>
      </c>
    </row>
    <row r="29" spans="1:11" ht="15.75">
      <c r="A29">
        <f t="shared" si="3"/>
        <v>21</v>
      </c>
      <c r="B29">
        <v>3</v>
      </c>
      <c r="C29" s="379">
        <v>1</v>
      </c>
      <c r="D29" s="380" t="s">
        <v>62</v>
      </c>
      <c r="E29" s="384">
        <f>VLOOKUP(B29,'YTD display'!$B$23:$Y$38,Dropdowns!$D$75,FALSE)</f>
        <v>0.25748920998311126</v>
      </c>
      <c r="F29" s="384">
        <f t="shared" si="4"/>
        <v>0.25748920998311126</v>
      </c>
      <c r="G29" s="386" t="e">
        <f>VLOOKUP($E$3,DPR!$C$9:$AJ$1109,A29,FALSE)</f>
        <v>#N/A</v>
      </c>
      <c r="H29" s="386" t="e">
        <f t="shared" si="5"/>
        <v>#N/A</v>
      </c>
      <c r="I29" s="147" t="e">
        <f t="shared" si="6"/>
        <v>#N/A</v>
      </c>
    </row>
    <row r="30" spans="1:11" ht="15.75">
      <c r="A30">
        <f t="shared" si="3"/>
        <v>17</v>
      </c>
      <c r="B30">
        <v>4</v>
      </c>
      <c r="C30" s="379">
        <v>2.3099999999999999E-2</v>
      </c>
      <c r="D30" s="380" t="s">
        <v>57</v>
      </c>
      <c r="E30" s="384">
        <f>VLOOKUP(B30,'YTD display'!$B$23:$Y$38,Dropdowns!$D$75,FALSE)</f>
        <v>10.851380849504324</v>
      </c>
      <c r="F30" s="384">
        <f t="shared" si="4"/>
        <v>0.25066689762354988</v>
      </c>
      <c r="G30" s="386" t="e">
        <f>VLOOKUP($E$3,DPR!$C$9:$AJ$1109,A30,FALSE)</f>
        <v>#N/A</v>
      </c>
      <c r="H30" s="386" t="e">
        <f t="shared" si="5"/>
        <v>#N/A</v>
      </c>
      <c r="I30" s="147" t="e">
        <f t="shared" si="6"/>
        <v>#N/A</v>
      </c>
    </row>
    <row r="31" spans="1:11" ht="15.75">
      <c r="A31">
        <f t="shared" si="3"/>
        <v>18</v>
      </c>
      <c r="B31">
        <v>5</v>
      </c>
      <c r="C31" s="379">
        <v>0.27</v>
      </c>
      <c r="D31" s="380" t="s">
        <v>58</v>
      </c>
      <c r="E31" s="384">
        <f>VLOOKUP(B31,'YTD display'!$B$23:$Y$38,Dropdowns!$D$75,FALSE)</f>
        <v>0.25492935232098302</v>
      </c>
      <c r="F31" s="384">
        <f t="shared" si="4"/>
        <v>6.8830925126665415E-2</v>
      </c>
      <c r="G31" s="386" t="e">
        <f>VLOOKUP($E$3,DPR!$C$9:$AJ$1109,A31,FALSE)</f>
        <v>#N/A</v>
      </c>
      <c r="H31" s="386" t="e">
        <f t="shared" si="5"/>
        <v>#N/A</v>
      </c>
      <c r="I31" s="147" t="e">
        <f t="shared" si="6"/>
        <v>#N/A</v>
      </c>
    </row>
    <row r="32" spans="1:11" ht="15.75">
      <c r="A32">
        <f t="shared" si="3"/>
        <v>20</v>
      </c>
      <c r="B32">
        <v>6</v>
      </c>
      <c r="C32" s="379">
        <v>0.5</v>
      </c>
      <c r="D32" s="380" t="s">
        <v>59</v>
      </c>
      <c r="E32" s="384">
        <f>VLOOKUP(B32,'YTD display'!$B$23:$Y$38,Dropdowns!$D$75,FALSE)</f>
        <v>2.1917808219178082E-2</v>
      </c>
      <c r="F32" s="384">
        <f t="shared" si="4"/>
        <v>1.0958904109589041E-2</v>
      </c>
      <c r="G32" s="386" t="e">
        <f>VLOOKUP($E$3,DPR!$C$9:$AJ$1109,A32,FALSE)</f>
        <v>#N/A</v>
      </c>
      <c r="H32" s="386" t="e">
        <f t="shared" si="5"/>
        <v>#N/A</v>
      </c>
      <c r="I32" s="147" t="e">
        <f t="shared" si="6"/>
        <v>#N/A</v>
      </c>
    </row>
    <row r="33" spans="1:9" ht="15.75">
      <c r="A33">
        <f t="shared" si="3"/>
        <v>19</v>
      </c>
      <c r="B33">
        <v>7</v>
      </c>
      <c r="C33" s="379">
        <v>0.7</v>
      </c>
      <c r="D33" s="380" t="s">
        <v>63</v>
      </c>
      <c r="E33" s="384">
        <f>VLOOKUP(B33,'YTD display'!$B$23:$Y$38,Dropdowns!$D$75,FALSE)</f>
        <v>3.9138943248532296E-3</v>
      </c>
      <c r="F33" s="384">
        <f t="shared" si="4"/>
        <v>2.7397260273972607E-3</v>
      </c>
      <c r="G33" s="386" t="e">
        <f>VLOOKUP($E$3,DPR!$C$9:$AJ$1109,A33,FALSE)</f>
        <v>#N/A</v>
      </c>
      <c r="H33" s="386" t="e">
        <f t="shared" si="5"/>
        <v>#N/A</v>
      </c>
      <c r="I33" s="147" t="e">
        <f t="shared" si="6"/>
        <v>#N/A</v>
      </c>
    </row>
    <row r="34" spans="1:9" ht="15.75">
      <c r="A34">
        <f t="shared" si="3"/>
        <v>27</v>
      </c>
      <c r="B34">
        <v>8</v>
      </c>
      <c r="C34" s="379">
        <v>0.11</v>
      </c>
      <c r="D34" s="380" t="s">
        <v>64</v>
      </c>
      <c r="E34" s="384">
        <f>VLOOKUP(B34,'YTD display'!$B$23:$Y$38,Dropdowns!$D$75,FALSE)</f>
        <v>0.21829099779934835</v>
      </c>
      <c r="F34" s="384">
        <f t="shared" si="4"/>
        <v>2.4012009757928318E-2</v>
      </c>
      <c r="G34" s="386" t="e">
        <f>VLOOKUP($E$3,DPR!$C$9:$AJ$1109,A34,FALSE)</f>
        <v>#N/A</v>
      </c>
      <c r="H34" s="386" t="e">
        <f t="shared" si="5"/>
        <v>#N/A</v>
      </c>
      <c r="I34" s="147" t="e">
        <f t="shared" si="6"/>
        <v>#N/A</v>
      </c>
    </row>
    <row r="35" spans="1:9" ht="15.75">
      <c r="A35">
        <f t="shared" si="3"/>
        <v>28</v>
      </c>
      <c r="B35">
        <v>9</v>
      </c>
      <c r="C35" s="379">
        <v>0.4</v>
      </c>
      <c r="D35" s="380" t="s">
        <v>65</v>
      </c>
      <c r="E35" s="384">
        <f>VLOOKUP(B35,'YTD display'!$B$23:$Y$38,Dropdowns!$D$75,FALSE)</f>
        <v>0.21724526177519235</v>
      </c>
      <c r="F35" s="384">
        <f t="shared" si="4"/>
        <v>8.6898104710076945E-2</v>
      </c>
      <c r="G35" s="386" t="e">
        <f>VLOOKUP($E$3,DPR!$C$9:$AJ$1109,A35,FALSE)</f>
        <v>#N/A</v>
      </c>
      <c r="H35" s="386" t="e">
        <f t="shared" si="5"/>
        <v>#N/A</v>
      </c>
      <c r="I35" s="147" t="e">
        <f t="shared" si="6"/>
        <v>#N/A</v>
      </c>
    </row>
    <row r="36" spans="1:9" ht="15.75">
      <c r="A36">
        <f t="shared" si="3"/>
        <v>26</v>
      </c>
      <c r="B36">
        <v>10</v>
      </c>
      <c r="C36" s="379">
        <v>0.04</v>
      </c>
      <c r="D36" s="380" t="s">
        <v>66</v>
      </c>
      <c r="E36" s="384">
        <f>VLOOKUP(B36,'YTD display'!$B$23:$Y$38,Dropdowns!$D$75,FALSE)</f>
        <v>0</v>
      </c>
      <c r="F36" s="384">
        <f t="shared" si="4"/>
        <v>0</v>
      </c>
      <c r="G36" s="386" t="e">
        <f>VLOOKUP($E$3,DPR!$C$9:$AJ$1109,A36,FALSE)</f>
        <v>#N/A</v>
      </c>
      <c r="H36" s="386" t="e">
        <f t="shared" si="5"/>
        <v>#N/A</v>
      </c>
      <c r="I36" s="147" t="e">
        <f t="shared" si="6"/>
        <v>#N/A</v>
      </c>
    </row>
    <row r="37" spans="1:9" ht="15.75">
      <c r="A37">
        <f t="shared" si="3"/>
        <v>24</v>
      </c>
      <c r="B37">
        <v>11</v>
      </c>
      <c r="C37" s="379">
        <v>0.25</v>
      </c>
      <c r="D37" s="380" t="s">
        <v>67</v>
      </c>
      <c r="E37" s="384">
        <f>VLOOKUP(B37,'YTD display'!$B$23:$Y$38,Dropdowns!$D$75,FALSE)</f>
        <v>0</v>
      </c>
      <c r="F37" s="384">
        <f t="shared" si="4"/>
        <v>0</v>
      </c>
      <c r="G37" s="386" t="e">
        <f>VLOOKUP($E$3,DPR!$C$9:$AJ$1109,A37,FALSE)</f>
        <v>#N/A</v>
      </c>
      <c r="H37" s="386" t="e">
        <f t="shared" si="5"/>
        <v>#N/A</v>
      </c>
      <c r="I37" s="147" t="e">
        <f t="shared" si="6"/>
        <v>#N/A</v>
      </c>
    </row>
    <row r="38" spans="1:9" ht="15.75">
      <c r="A38">
        <f t="shared" si="3"/>
        <v>25</v>
      </c>
      <c r="B38">
        <v>12</v>
      </c>
      <c r="C38" s="379">
        <v>0.24124999999999999</v>
      </c>
      <c r="D38" s="380" t="s">
        <v>68</v>
      </c>
      <c r="E38" s="384">
        <f>VLOOKUP(B38,'YTD display'!$B$23:$Y$38,Dropdowns!$D$75,FALSE)</f>
        <v>0</v>
      </c>
      <c r="F38" s="384">
        <f t="shared" si="4"/>
        <v>0</v>
      </c>
      <c r="G38" s="386" t="e">
        <f>VLOOKUP($E$3,DPR!$C$9:$AJ$1109,A38,FALSE)</f>
        <v>#N/A</v>
      </c>
      <c r="H38" s="386" t="e">
        <f t="shared" si="5"/>
        <v>#N/A</v>
      </c>
      <c r="I38" s="147" t="e">
        <f t="shared" si="6"/>
        <v>#N/A</v>
      </c>
    </row>
    <row r="39" spans="1:9" ht="15.75">
      <c r="A39">
        <f t="shared" si="3"/>
        <v>29</v>
      </c>
      <c r="B39">
        <v>13</v>
      </c>
      <c r="C39" s="379">
        <v>0.45</v>
      </c>
      <c r="D39" s="380" t="s">
        <v>69</v>
      </c>
      <c r="E39" s="384">
        <f>VLOOKUP(B39,'YTD display'!$B$23:$Y$38,Dropdowns!$D$75,FALSE)</f>
        <v>0</v>
      </c>
      <c r="F39" s="384">
        <f t="shared" si="4"/>
        <v>0</v>
      </c>
      <c r="G39" s="386" t="e">
        <f>VLOOKUP($E$3,DPR!$C$9:$AJ$1109,A39,FALSE)</f>
        <v>#N/A</v>
      </c>
      <c r="H39" s="386" t="e">
        <f t="shared" si="5"/>
        <v>#N/A</v>
      </c>
      <c r="I39" s="147" t="e">
        <f t="shared" si="6"/>
        <v>#N/A</v>
      </c>
    </row>
    <row r="40" spans="1:9" ht="15.75">
      <c r="A40">
        <f t="shared" si="3"/>
        <v>30</v>
      </c>
      <c r="B40">
        <v>14</v>
      </c>
      <c r="C40" s="379">
        <v>0.17</v>
      </c>
      <c r="D40" s="380" t="s">
        <v>70</v>
      </c>
      <c r="E40" s="384">
        <f>VLOOKUP(B40,'YTD display'!$B$23:$Y$38,Dropdowns!$D$75,FALSE)</f>
        <v>14.089123883743774</v>
      </c>
      <c r="F40" s="384">
        <f t="shared" si="4"/>
        <v>2.3951510602364419</v>
      </c>
      <c r="G40" s="386" t="e">
        <f>VLOOKUP($E$3,DPR!$C$9:$AJ$1109,A40,FALSE)</f>
        <v>#N/A</v>
      </c>
      <c r="H40" s="386" t="e">
        <f t="shared" si="5"/>
        <v>#N/A</v>
      </c>
      <c r="I40" s="147" t="e">
        <f t="shared" si="6"/>
        <v>#N/A</v>
      </c>
    </row>
    <row r="41" spans="1:9" ht="21">
      <c r="A41">
        <f t="shared" si="3"/>
        <v>31</v>
      </c>
      <c r="B41">
        <v>15</v>
      </c>
      <c r="C41" s="148"/>
      <c r="D41" s="381" t="s">
        <v>137</v>
      </c>
      <c r="E41" s="1328">
        <f>VLOOKUP(B41,'YTD display'!$B$23:$Y$38,Dropdowns!$D$75,FALSE)</f>
        <v>7.051003940701821</v>
      </c>
      <c r="F41" s="1329"/>
      <c r="G41" s="1330" t="e">
        <f>VLOOKUP($E$3,DPR!$C$9:$AJ$1109,A41,FALSE)</f>
        <v>#N/A</v>
      </c>
      <c r="H41" s="1331"/>
      <c r="I41" s="158" t="e">
        <f>G41-E41</f>
        <v>#N/A</v>
      </c>
    </row>
  </sheetData>
  <sheetProtection algorithmName="SHA-512" hashValue="6RCVJnYZnUETwyUxewJrRe8W/aaq7wfZbG5h50+a3w8VSlK8VE16+Zx+JPlcszgdCX3ti7WF/6IH3EEZMrPZfA==" saltValue="IVecMtRE9tGF6yHHiPB87A==" spinCount="100000" sheet="1" objects="1" scenarios="1"/>
  <mergeCells count="20">
    <mergeCell ref="C24:C26"/>
    <mergeCell ref="D24:D26"/>
    <mergeCell ref="C23:I23"/>
    <mergeCell ref="E24:I24"/>
    <mergeCell ref="E22:F22"/>
    <mergeCell ref="G25:H25"/>
    <mergeCell ref="G22:H22"/>
    <mergeCell ref="C1:I2"/>
    <mergeCell ref="C3:D3"/>
    <mergeCell ref="C4:I4"/>
    <mergeCell ref="E5:I5"/>
    <mergeCell ref="E6:F6"/>
    <mergeCell ref="G6:H6"/>
    <mergeCell ref="C5:C7"/>
    <mergeCell ref="D5:D7"/>
    <mergeCell ref="E41:F41"/>
    <mergeCell ref="G41:H41"/>
    <mergeCell ref="E25:F25"/>
    <mergeCell ref="I6:I7"/>
    <mergeCell ref="I25:I26"/>
  </mergeCells>
  <conditionalFormatting sqref="I8:I22">
    <cfRule type="cellIs" dxfId="68" priority="3" operator="lessThan">
      <formula>0</formula>
    </cfRule>
    <cfRule type="cellIs" dxfId="67" priority="4" operator="greaterThan">
      <formula>0</formula>
    </cfRule>
  </conditionalFormatting>
  <conditionalFormatting sqref="I27:I41">
    <cfRule type="cellIs" dxfId="66" priority="1" operator="lessThan">
      <formula>0</formula>
    </cfRule>
    <cfRule type="cellIs" dxfId="65" priority="2" operator="greaterThan">
      <formula>0</formula>
    </cfRule>
  </conditionalFormatting>
  <pageMargins left="0.7" right="0.7" top="0.75" bottom="0.75" header="0.3" footer="0.3"/>
  <pageSetup scale="73"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41" r:id="rId4" name="Button 1">
              <controlPr defaultSize="0" print="0" autoFill="0" autoPict="0" macro="[0]!Back_to_Dashboard">
                <anchor moveWithCells="1" sizeWithCells="1">
                  <from>
                    <xdr:col>10</xdr:col>
                    <xdr:colOff>333375</xdr:colOff>
                    <xdr:row>11</xdr:row>
                    <xdr:rowOff>104775</xdr:rowOff>
                  </from>
                  <to>
                    <xdr:col>12</xdr:col>
                    <xdr:colOff>600075</xdr:colOff>
                    <xdr:row>15</xdr:row>
                    <xdr:rowOff>190500</xdr:rowOff>
                  </to>
                </anchor>
              </controlPr>
            </control>
          </mc:Choice>
        </mc:AlternateContent>
        <mc:AlternateContent xmlns:mc="http://schemas.openxmlformats.org/markup-compatibility/2006">
          <mc:Choice Requires="x14">
            <control shapeId="112642" r:id="rId5" name="Button 2">
              <controlPr defaultSize="0" print="0" autoFill="0" autoPict="0" macro="[0]!EXPORT_ACTIVE_SHEET">
                <anchor moveWithCells="1" sizeWithCells="1">
                  <from>
                    <xdr:col>10</xdr:col>
                    <xdr:colOff>342900</xdr:colOff>
                    <xdr:row>6</xdr:row>
                    <xdr:rowOff>219075</xdr:rowOff>
                  </from>
                  <to>
                    <xdr:col>12</xdr:col>
                    <xdr:colOff>609600</xdr:colOff>
                    <xdr:row>9</xdr:row>
                    <xdr:rowOff>190500</xdr:rowOff>
                  </to>
                </anchor>
              </controlPr>
            </control>
          </mc:Choice>
        </mc:AlternateContent>
        <mc:AlternateContent xmlns:mc="http://schemas.openxmlformats.org/markup-compatibility/2006">
          <mc:Choice Requires="x14">
            <control shapeId="112643" r:id="rId6" name="Button 3">
              <controlPr defaultSize="0" print="0" autoFill="0" autoPict="0" macro="[0]!GapAnalysis_export_in_format_Click">
                <anchor moveWithCells="1" sizeWithCells="1">
                  <from>
                    <xdr:col>10</xdr:col>
                    <xdr:colOff>333375</xdr:colOff>
                    <xdr:row>16</xdr:row>
                    <xdr:rowOff>180975</xdr:rowOff>
                  </from>
                  <to>
                    <xdr:col>12</xdr:col>
                    <xdr:colOff>600075</xdr:colOff>
                    <xdr:row>22</xdr:row>
                    <xdr:rowOff>161925</xdr:rowOff>
                  </to>
                </anchor>
              </controlPr>
            </control>
          </mc:Choice>
        </mc:AlternateContent>
      </controls>
    </mc:Choice>
  </mc:AlternateContent>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rgb="FF92D050"/>
  </sheetPr>
  <dimension ref="C1:P77"/>
  <sheetViews>
    <sheetView workbookViewId="0"/>
  </sheetViews>
  <sheetFormatPr defaultColWidth="9.140625" defaultRowHeight="15"/>
  <cols>
    <col min="3" max="3" width="15.28515625" customWidth="1"/>
    <col min="4" max="5" width="17.42578125" customWidth="1"/>
    <col min="6" max="6" width="12.28515625" customWidth="1"/>
    <col min="7" max="7" width="16.7109375" customWidth="1"/>
    <col min="10" max="10" width="12.7109375" customWidth="1"/>
    <col min="15" max="15" width="26.28515625" customWidth="1"/>
  </cols>
  <sheetData>
    <row r="1" spans="3:16">
      <c r="F1" t="str">
        <f>Dropdowns!D406</f>
        <v>(rounded)</v>
      </c>
      <c r="L1" s="1398" t="s">
        <v>442</v>
      </c>
      <c r="M1" s="1398"/>
      <c r="N1" s="1398"/>
      <c r="O1" s="1398"/>
    </row>
    <row r="2" spans="3:16">
      <c r="D2" t="s">
        <v>153</v>
      </c>
      <c r="F2" t="str">
        <f>DPRavg!F2</f>
        <v>July'26</v>
      </c>
      <c r="H2" t="s">
        <v>156</v>
      </c>
      <c r="J2" s="246">
        <f>Dashboard!D3</f>
        <v>46265</v>
      </c>
      <c r="L2" s="1398"/>
      <c r="M2" s="1398"/>
      <c r="N2" s="1398"/>
      <c r="O2" s="1398"/>
    </row>
    <row r="4" spans="3:16" ht="26.25">
      <c r="C4" s="1399" t="s">
        <v>422</v>
      </c>
      <c r="D4" s="1400"/>
      <c r="E4" s="1401"/>
      <c r="F4" s="1400"/>
      <c r="G4" s="1400" t="str">
        <f>Dropdowns!F95</f>
        <v>Q2 26-27</v>
      </c>
      <c r="H4" s="1400"/>
      <c r="I4" s="1401"/>
      <c r="J4" s="1402"/>
      <c r="K4" s="1399"/>
      <c r="L4" s="1400"/>
      <c r="M4" s="1400"/>
      <c r="N4" s="1400"/>
      <c r="O4" s="1402"/>
      <c r="P4" s="341"/>
    </row>
    <row r="5" spans="3:16">
      <c r="C5" s="342"/>
      <c r="D5" s="342"/>
      <c r="E5" s="342"/>
      <c r="F5" s="342"/>
      <c r="G5" s="342"/>
      <c r="H5" s="342"/>
      <c r="I5" s="342"/>
      <c r="J5" s="342"/>
      <c r="O5" s="355"/>
      <c r="P5" s="355"/>
    </row>
    <row r="6" spans="3:16" ht="18.75" customHeight="1">
      <c r="C6" s="1373" t="s">
        <v>412</v>
      </c>
      <c r="D6" s="1365" t="s">
        <v>413</v>
      </c>
      <c r="E6" s="1366"/>
      <c r="F6" s="1365"/>
      <c r="G6" s="1392" t="s">
        <v>414</v>
      </c>
      <c r="H6" s="1393"/>
      <c r="I6" s="1394"/>
      <c r="J6" s="1403" t="s">
        <v>27</v>
      </c>
      <c r="K6" s="1379" t="s">
        <v>415</v>
      </c>
      <c r="L6" s="1380"/>
      <c r="M6" s="1380"/>
      <c r="N6" s="1380"/>
      <c r="O6" s="1381"/>
    </row>
    <row r="7" spans="3:16" ht="27" customHeight="1">
      <c r="C7" s="1374"/>
      <c r="D7" s="366" t="str">
        <f>Dropdowns!C123</f>
        <v>BE</v>
      </c>
      <c r="E7" s="393"/>
      <c r="F7" s="1388" t="s">
        <v>29</v>
      </c>
      <c r="G7" s="372" t="str">
        <f>Dropdowns!C123</f>
        <v>BE</v>
      </c>
      <c r="H7" s="1390" t="s">
        <v>29</v>
      </c>
      <c r="I7" s="1397" t="s">
        <v>460</v>
      </c>
      <c r="J7" s="1404"/>
      <c r="K7" s="1382"/>
      <c r="L7" s="1383"/>
      <c r="M7" s="1383"/>
      <c r="N7" s="1383"/>
      <c r="O7" s="1384"/>
    </row>
    <row r="8" spans="3:16" ht="60" customHeight="1">
      <c r="C8" s="1375"/>
      <c r="D8" s="369" t="s">
        <v>438</v>
      </c>
      <c r="E8" s="394" t="s">
        <v>461</v>
      </c>
      <c r="F8" s="1389"/>
      <c r="G8" s="373" t="s">
        <v>439</v>
      </c>
      <c r="H8" s="1391"/>
      <c r="I8" s="1397"/>
      <c r="J8" s="1405"/>
      <c r="K8" s="1385"/>
      <c r="L8" s="1386"/>
      <c r="M8" s="1386"/>
      <c r="N8" s="1386"/>
      <c r="O8" s="1387"/>
    </row>
    <row r="9" spans="3:16" ht="18.75">
      <c r="C9" s="344" t="s">
        <v>60</v>
      </c>
      <c r="D9" s="370">
        <f>'YTD display'!G7</f>
        <v>140570.65217391303</v>
      </c>
      <c r="E9" s="395"/>
      <c r="F9" s="370">
        <f ca="1">'YTD display'!J7</f>
        <v>0</v>
      </c>
      <c r="G9" s="374">
        <f>YTDtarget!AG8</f>
        <v>0.23499999999999999</v>
      </c>
      <c r="H9" s="374">
        <f>'YTD display'!M7</f>
        <v>0.31296189729712831</v>
      </c>
      <c r="I9" s="400">
        <f>H9-G9</f>
        <v>7.7961897297128324E-2</v>
      </c>
      <c r="J9" s="346">
        <f>IFERROR(H9/G9,"-")</f>
        <v>1.3317527544558652</v>
      </c>
      <c r="K9" s="1395"/>
      <c r="L9" s="1395"/>
      <c r="M9" s="1395"/>
      <c r="N9" s="1395"/>
      <c r="O9" s="1395"/>
    </row>
    <row r="10" spans="3:16" ht="18.75">
      <c r="C10" s="344" t="s">
        <v>61</v>
      </c>
      <c r="D10" s="370">
        <f>'YTD display'!G8</f>
        <v>174491.6387959866</v>
      </c>
      <c r="E10" s="395"/>
      <c r="F10" s="370">
        <f ca="1">'YTD display'!J8</f>
        <v>0</v>
      </c>
      <c r="G10" s="374">
        <f>YTDtarget!AG9</f>
        <v>0.378</v>
      </c>
      <c r="H10" s="374">
        <f>'YTD display'!M8</f>
        <v>0.33862658602794105</v>
      </c>
      <c r="I10" s="400">
        <f t="shared" ref="I10:I23" si="0">H10-G10</f>
        <v>-3.9373413972058957E-2</v>
      </c>
      <c r="J10" s="346">
        <f t="shared" ref="J10:J23" si="1">IFERROR(H10/G10,"-")</f>
        <v>0.89583752917444726</v>
      </c>
      <c r="K10" s="1406"/>
      <c r="L10" s="1407"/>
      <c r="M10" s="1407"/>
      <c r="N10" s="1407"/>
      <c r="O10" s="1408"/>
    </row>
    <row r="11" spans="3:16" ht="18.75">
      <c r="C11" s="344" t="s">
        <v>62</v>
      </c>
      <c r="D11" s="370">
        <f>'YTD display'!G9</f>
        <v>2147.8260869565215</v>
      </c>
      <c r="E11" s="395"/>
      <c r="F11" s="370">
        <f ca="1">'YTD display'!J9</f>
        <v>0</v>
      </c>
      <c r="G11" s="374">
        <f>YTDtarget!AG10</f>
        <v>1.7999999999999999E-2</v>
      </c>
      <c r="H11" s="374">
        <f>'YTD display'!M9</f>
        <v>1.5457960620487984E-2</v>
      </c>
      <c r="I11" s="400">
        <f t="shared" si="0"/>
        <v>-2.542039379512015E-3</v>
      </c>
      <c r="J11" s="346">
        <f t="shared" si="1"/>
        <v>0.85877559002711024</v>
      </c>
      <c r="K11" s="1395"/>
      <c r="L11" s="1395"/>
      <c r="M11" s="1395"/>
      <c r="N11" s="1395"/>
      <c r="O11" s="1395"/>
    </row>
    <row r="12" spans="3:16" ht="18.75">
      <c r="C12" s="344" t="s">
        <v>57</v>
      </c>
      <c r="D12" s="370">
        <f>'YTD display'!G10</f>
        <v>328123.37421033072</v>
      </c>
      <c r="E12" s="395"/>
      <c r="F12" s="370">
        <f ca="1">'YTD display'!J10</f>
        <v>0</v>
      </c>
      <c r="G12" s="374">
        <f>YTDtarget!AG11</f>
        <v>0.08</v>
      </c>
      <c r="H12" s="374">
        <f>'YTD display'!M10</f>
        <v>7.6889161648039217E-2</v>
      </c>
      <c r="I12" s="400">
        <f t="shared" si="0"/>
        <v>-3.1108383519607846E-3</v>
      </c>
      <c r="J12" s="346">
        <f t="shared" si="1"/>
        <v>0.96111452060049019</v>
      </c>
      <c r="K12" s="1395"/>
      <c r="L12" s="1395"/>
      <c r="M12" s="1395"/>
      <c r="N12" s="1395"/>
      <c r="O12" s="1395"/>
    </row>
    <row r="13" spans="3:16" ht="18.75">
      <c r="C13" s="344" t="s">
        <v>58</v>
      </c>
      <c r="D13" s="370">
        <f>'YTD display'!G11</f>
        <v>23576.48953301127</v>
      </c>
      <c r="E13" s="395"/>
      <c r="F13" s="370">
        <f ca="1">'YTD display'!J11</f>
        <v>0</v>
      </c>
      <c r="G13" s="374">
        <f>YTDtarget!AG12</f>
        <v>5.8999999999999997E-2</v>
      </c>
      <c r="H13" s="374">
        <f>'YTD display'!M11</f>
        <v>7.8524521924801319E-2</v>
      </c>
      <c r="I13" s="400">
        <f t="shared" si="0"/>
        <v>1.9524521924801322E-2</v>
      </c>
      <c r="J13" s="346">
        <f t="shared" si="1"/>
        <v>1.3309241004203614</v>
      </c>
      <c r="K13" s="1395"/>
      <c r="L13" s="1395"/>
      <c r="M13" s="1395"/>
      <c r="N13" s="1395"/>
      <c r="O13" s="1395"/>
    </row>
    <row r="14" spans="3:16" ht="18.75">
      <c r="C14" s="344" t="s">
        <v>59</v>
      </c>
      <c r="D14" s="370">
        <f>'YTD display'!G12</f>
        <v>5600.869565217391</v>
      </c>
      <c r="E14" s="395"/>
      <c r="F14" s="370">
        <f ca="1">'YTD display'!J12</f>
        <v>0</v>
      </c>
      <c r="G14" s="374">
        <f>YTDtarget!AG13</f>
        <v>2.5999999999999999E-2</v>
      </c>
      <c r="H14" s="374">
        <f>'YTD display'!M12</f>
        <v>2.2377565889520216E-2</v>
      </c>
      <c r="I14" s="400">
        <f t="shared" si="0"/>
        <v>-3.6224341104797823E-3</v>
      </c>
      <c r="J14" s="346">
        <f t="shared" si="1"/>
        <v>0.86067561113539293</v>
      </c>
      <c r="K14" s="1395"/>
      <c r="L14" s="1395"/>
      <c r="M14" s="1395"/>
      <c r="N14" s="1395"/>
      <c r="O14" s="1395"/>
    </row>
    <row r="15" spans="3:16" ht="18.75">
      <c r="C15" s="344" t="s">
        <v>63</v>
      </c>
      <c r="D15" s="370">
        <f>'YTD display'!G13</f>
        <v>22291.925465838514</v>
      </c>
      <c r="E15" s="395"/>
      <c r="F15" s="370">
        <f ca="1">'YTD display'!J13</f>
        <v>0</v>
      </c>
      <c r="G15" s="374">
        <f>YTDtarget!AG14</f>
        <v>0.13</v>
      </c>
      <c r="H15" s="374">
        <f>'YTD display'!M13</f>
        <v>0.12218140266083796</v>
      </c>
      <c r="I15" s="400">
        <f t="shared" si="0"/>
        <v>-7.8185973391620422E-3</v>
      </c>
      <c r="J15" s="346">
        <f t="shared" si="1"/>
        <v>0.93985694354490734</v>
      </c>
      <c r="K15" s="1395"/>
      <c r="L15" s="1395"/>
      <c r="M15" s="1395"/>
      <c r="N15" s="1395"/>
      <c r="O15" s="1395"/>
    </row>
    <row r="16" spans="3:16" ht="18.75">
      <c r="C16" s="344" t="s">
        <v>64</v>
      </c>
      <c r="D16" s="370">
        <f>'YTD display'!G14</f>
        <v>8015.8102766798429</v>
      </c>
      <c r="E16" s="395"/>
      <c r="F16" s="370">
        <f ca="1">'YTD display'!J14</f>
        <v>0</v>
      </c>
      <c r="G16" s="374">
        <f>YTDtarget!AG15</f>
        <v>9.0000000000000011E-3</v>
      </c>
      <c r="H16" s="374">
        <f>'YTD display'!M14</f>
        <v>7.7780063432218143E-3</v>
      </c>
      <c r="I16" s="400">
        <f t="shared" si="0"/>
        <v>-1.2219936567781867E-3</v>
      </c>
      <c r="J16" s="346">
        <f t="shared" si="1"/>
        <v>0.86422292702464598</v>
      </c>
      <c r="K16" s="1395"/>
      <c r="L16" s="1395"/>
      <c r="M16" s="1395"/>
      <c r="N16" s="1395"/>
      <c r="O16" s="1395"/>
    </row>
    <row r="17" spans="3:15" ht="18.75">
      <c r="C17" s="344" t="s">
        <v>65</v>
      </c>
      <c r="D17" s="370">
        <f>'YTD display'!G15</f>
        <v>5177.445652173913</v>
      </c>
      <c r="E17" s="395"/>
      <c r="F17" s="370">
        <f ca="1">'YTD display'!J15</f>
        <v>0</v>
      </c>
      <c r="G17" s="374">
        <f>YTDtarget!AG16</f>
        <v>0.02</v>
      </c>
      <c r="H17" s="374">
        <f>'YTD display'!M15</f>
        <v>2.1772601919589164E-2</v>
      </c>
      <c r="I17" s="400">
        <f t="shared" si="0"/>
        <v>1.7726019195891639E-3</v>
      </c>
      <c r="J17" s="346">
        <f t="shared" si="1"/>
        <v>1.0886300959794581</v>
      </c>
      <c r="K17" s="1395"/>
      <c r="L17" s="1395"/>
      <c r="M17" s="1395"/>
      <c r="N17" s="1395"/>
      <c r="O17" s="1395"/>
    </row>
    <row r="18" spans="3:15" ht="18.75">
      <c r="C18" s="344" t="s">
        <v>66</v>
      </c>
      <c r="D18" s="370">
        <f>'YTD display'!G16</f>
        <v>430695.65217391303</v>
      </c>
      <c r="E18" s="395"/>
      <c r="F18" s="370">
        <f ca="1">'YTD display'!J16</f>
        <v>0</v>
      </c>
      <c r="G18" s="374">
        <f>YTDtarget!AG17</f>
        <v>0.14000000000000001</v>
      </c>
      <c r="H18" s="374">
        <f>'YTD display'!M16</f>
        <v>0.12416170604839674</v>
      </c>
      <c r="I18" s="400">
        <f t="shared" si="0"/>
        <v>-1.5838293951603272E-2</v>
      </c>
      <c r="J18" s="346">
        <f t="shared" si="1"/>
        <v>0.88686932891711945</v>
      </c>
      <c r="K18" s="1395"/>
      <c r="L18" s="1395"/>
      <c r="M18" s="1395"/>
      <c r="N18" s="1395"/>
      <c r="O18" s="1395"/>
    </row>
    <row r="19" spans="3:15" ht="18.75">
      <c r="C19" s="344" t="s">
        <v>67</v>
      </c>
      <c r="D19" s="370">
        <f>'YTD display'!G17</f>
        <v>52369.565217391304</v>
      </c>
      <c r="E19" s="395"/>
      <c r="F19" s="370">
        <f ca="1">'YTD display'!J17</f>
        <v>0</v>
      </c>
      <c r="G19" s="374">
        <f>YTDtarget!AG18</f>
        <v>0.111</v>
      </c>
      <c r="H19" s="374">
        <f>'YTD display'!M17</f>
        <v>0.11641999622492916</v>
      </c>
      <c r="I19" s="400">
        <f t="shared" si="0"/>
        <v>5.419996224929155E-3</v>
      </c>
      <c r="J19" s="346">
        <f t="shared" si="1"/>
        <v>1.0488287948191817</v>
      </c>
      <c r="K19" s="1395"/>
      <c r="L19" s="1395"/>
      <c r="M19" s="1395"/>
      <c r="N19" s="1395"/>
      <c r="O19" s="1395"/>
    </row>
    <row r="20" spans="3:15" ht="18.75">
      <c r="C20" s="344" t="s">
        <v>68</v>
      </c>
      <c r="D20" s="370">
        <f>'YTD display'!G18</f>
        <v>13174.138319441314</v>
      </c>
      <c r="E20" s="395"/>
      <c r="F20" s="370">
        <f ca="1">'YTD display'!J18</f>
        <v>0</v>
      </c>
      <c r="G20" s="374">
        <f>YTDtarget!AG19</f>
        <v>2.8999999999999998E-2</v>
      </c>
      <c r="H20" s="374">
        <f>'YTD display'!M18</f>
        <v>2.655062211124528E-2</v>
      </c>
      <c r="I20" s="400">
        <f t="shared" si="0"/>
        <v>-2.4493778887547182E-3</v>
      </c>
      <c r="J20" s="346">
        <f t="shared" si="1"/>
        <v>0.91553869349121664</v>
      </c>
      <c r="K20" s="1395"/>
      <c r="L20" s="1395"/>
      <c r="M20" s="1395"/>
      <c r="N20" s="1395"/>
      <c r="O20" s="1395"/>
    </row>
    <row r="21" spans="3:15" ht="18.75">
      <c r="C21" s="344" t="s">
        <v>69</v>
      </c>
      <c r="D21" s="370">
        <f>'YTD display'!G19</f>
        <v>0</v>
      </c>
      <c r="E21" s="395"/>
      <c r="F21" s="370">
        <f ca="1">'YTD display'!J19</f>
        <v>0</v>
      </c>
      <c r="G21" s="374">
        <f>YTDtarget!AG20</f>
        <v>0</v>
      </c>
      <c r="H21" s="374">
        <f>'YTD display'!M19</f>
        <v>0</v>
      </c>
      <c r="I21" s="400">
        <f t="shared" si="0"/>
        <v>0</v>
      </c>
      <c r="J21" s="346" t="str">
        <f t="shared" si="1"/>
        <v>-</v>
      </c>
      <c r="K21" s="1396"/>
      <c r="L21" s="1396"/>
      <c r="M21" s="1396"/>
      <c r="N21" s="1396"/>
      <c r="O21" s="1396"/>
    </row>
    <row r="22" spans="3:15" ht="18.75">
      <c r="C22" s="344" t="s">
        <v>70</v>
      </c>
      <c r="D22" s="370">
        <f>'YTD display'!G20</f>
        <v>0</v>
      </c>
      <c r="E22" s="395"/>
      <c r="F22" s="370">
        <f ca="1">'YTD display'!J20</f>
        <v>0</v>
      </c>
      <c r="G22" s="374">
        <f>YTDtarget!AG21</f>
        <v>0</v>
      </c>
      <c r="H22" s="374">
        <f>'YTD display'!M20</f>
        <v>0</v>
      </c>
      <c r="I22" s="400">
        <f t="shared" si="0"/>
        <v>0</v>
      </c>
      <c r="J22" s="346" t="str">
        <f t="shared" si="1"/>
        <v>-</v>
      </c>
      <c r="K22" s="1396"/>
      <c r="L22" s="1396"/>
      <c r="M22" s="1396"/>
      <c r="N22" s="1396"/>
      <c r="O22" s="1396"/>
    </row>
    <row r="23" spans="3:15" ht="18.75">
      <c r="C23" s="347" t="s">
        <v>416</v>
      </c>
      <c r="D23" s="371">
        <f>'YTD display'!G21</f>
        <v>146449.02173913046</v>
      </c>
      <c r="E23" s="396"/>
      <c r="F23" s="371">
        <f ca="1">'YTD display'!J21</f>
        <v>0</v>
      </c>
      <c r="G23" s="375">
        <f>YTDtarget!AG22</f>
        <v>1.2350000000000001</v>
      </c>
      <c r="H23" s="375">
        <f>'YTD display'!M21</f>
        <v>1.2637020287161385</v>
      </c>
      <c r="I23" s="401">
        <f t="shared" si="0"/>
        <v>2.8702028716138361E-2</v>
      </c>
      <c r="J23" s="348">
        <f t="shared" si="1"/>
        <v>1.0232405090818935</v>
      </c>
      <c r="K23" s="265"/>
      <c r="L23" s="265"/>
      <c r="M23" s="265"/>
      <c r="N23" s="265"/>
      <c r="O23" s="265"/>
    </row>
    <row r="24" spans="3:15" ht="18.75">
      <c r="C24" s="265"/>
      <c r="D24" s="265"/>
      <c r="E24" s="265"/>
      <c r="F24" s="265"/>
      <c r="G24" s="265"/>
      <c r="H24" s="265"/>
      <c r="I24" s="265"/>
      <c r="J24" s="265"/>
      <c r="K24" s="265"/>
      <c r="L24" s="265"/>
      <c r="M24" s="265"/>
      <c r="N24" s="265"/>
      <c r="O24" s="265"/>
    </row>
    <row r="25" spans="3:15" ht="18.75">
      <c r="C25" s="265"/>
      <c r="D25" s="265"/>
      <c r="E25" s="265"/>
      <c r="F25" s="265"/>
      <c r="G25" s="265"/>
      <c r="H25" s="265"/>
      <c r="I25" s="265"/>
      <c r="J25" s="265"/>
      <c r="K25" s="265"/>
      <c r="L25" s="265"/>
      <c r="M25" s="265"/>
      <c r="N25" s="265"/>
      <c r="O25" s="265"/>
    </row>
    <row r="26" spans="3:15" ht="18.75" customHeight="1">
      <c r="C26" s="1373" t="s">
        <v>417</v>
      </c>
      <c r="D26" s="1365" t="s">
        <v>418</v>
      </c>
      <c r="E26" s="1366"/>
      <c r="F26" s="1365"/>
      <c r="G26" s="1392" t="s">
        <v>419</v>
      </c>
      <c r="H26" s="1393"/>
      <c r="I26" s="1394"/>
      <c r="J26" s="1376" t="s">
        <v>27</v>
      </c>
      <c r="K26" s="1379" t="s">
        <v>415</v>
      </c>
      <c r="L26" s="1380"/>
      <c r="M26" s="1380"/>
      <c r="N26" s="1380"/>
      <c r="O26" s="1381"/>
    </row>
    <row r="27" spans="3:15" ht="32.25" customHeight="1">
      <c r="C27" s="1374"/>
      <c r="D27" s="366" t="str">
        <f>Dropdowns!C123</f>
        <v>BE</v>
      </c>
      <c r="E27" s="393"/>
      <c r="F27" s="1388" t="s">
        <v>29</v>
      </c>
      <c r="G27" s="372" t="str">
        <f>Dropdowns!C123</f>
        <v>BE</v>
      </c>
      <c r="H27" s="1390" t="s">
        <v>29</v>
      </c>
      <c r="I27" s="1397" t="s">
        <v>460</v>
      </c>
      <c r="J27" s="1377"/>
      <c r="K27" s="1382"/>
      <c r="L27" s="1383"/>
      <c r="M27" s="1383"/>
      <c r="N27" s="1383"/>
      <c r="O27" s="1384"/>
    </row>
    <row r="28" spans="3:15" ht="55.5" customHeight="1">
      <c r="C28" s="1375"/>
      <c r="D28" s="366" t="s">
        <v>440</v>
      </c>
      <c r="E28" s="397" t="s">
        <v>461</v>
      </c>
      <c r="F28" s="1389"/>
      <c r="G28" s="373" t="s">
        <v>439</v>
      </c>
      <c r="H28" s="1391"/>
      <c r="I28" s="1397"/>
      <c r="J28" s="1378"/>
      <c r="K28" s="1385"/>
      <c r="L28" s="1386"/>
      <c r="M28" s="1386"/>
      <c r="N28" s="1386"/>
      <c r="O28" s="1387"/>
    </row>
    <row r="29" spans="3:15" ht="18.75">
      <c r="C29" s="344" t="s">
        <v>60</v>
      </c>
      <c r="D29" s="367">
        <f>'YTD display'!G24</f>
        <v>8.1521739130434785</v>
      </c>
      <c r="E29" s="398"/>
      <c r="F29" s="367">
        <f ca="1">'YTD display'!J24</f>
        <v>0</v>
      </c>
      <c r="G29" s="374">
        <f>YTDtarget!AG28</f>
        <v>0.10100000000000001</v>
      </c>
      <c r="H29" s="374">
        <f>'YTD display'!M24</f>
        <v>8.8928371854780031E-2</v>
      </c>
      <c r="I29" s="400">
        <f>H29-G29</f>
        <v>-1.2071628145219976E-2</v>
      </c>
      <c r="J29" s="346">
        <f>IFERROR(H29/G29,"-")</f>
        <v>0.88047892925524773</v>
      </c>
      <c r="K29" s="1364"/>
      <c r="L29" s="1364"/>
      <c r="M29" s="1364"/>
      <c r="N29" s="1364"/>
      <c r="O29" s="1364"/>
    </row>
    <row r="30" spans="3:15" ht="18.75">
      <c r="C30" s="349" t="s">
        <v>61</v>
      </c>
      <c r="D30" s="367">
        <f>'YTD display'!G25</f>
        <v>8.4448160535117047</v>
      </c>
      <c r="E30" s="398"/>
      <c r="F30" s="367">
        <f ca="1">'YTD display'!J25</f>
        <v>0</v>
      </c>
      <c r="G30" s="374">
        <f>YTDtarget!AG29</f>
        <v>0.13600000000000001</v>
      </c>
      <c r="H30" s="374">
        <f>'YTD display'!M25</f>
        <v>0.15263417235999999</v>
      </c>
      <c r="I30" s="400">
        <f t="shared" ref="I30:I43" si="2">H30-G30</f>
        <v>1.6634172359999977E-2</v>
      </c>
      <c r="J30" s="346">
        <f t="shared" ref="J30:J43" si="3">IFERROR(H30/G30,"-")</f>
        <v>1.1223100908823527</v>
      </c>
      <c r="K30" s="1364"/>
      <c r="L30" s="1364"/>
      <c r="M30" s="1364"/>
      <c r="N30" s="1364"/>
      <c r="O30" s="1364"/>
    </row>
    <row r="31" spans="3:15" ht="18.75">
      <c r="C31" s="349" t="s">
        <v>62</v>
      </c>
      <c r="D31" s="367">
        <f>'YTD display'!G26</f>
        <v>0.2608695652173913</v>
      </c>
      <c r="E31" s="398"/>
      <c r="F31" s="367">
        <f ca="1">'YTD display'!J26</f>
        <v>0</v>
      </c>
      <c r="G31" s="374">
        <f>YTDtarget!AG30</f>
        <v>1.6E-2</v>
      </c>
      <c r="H31" s="374">
        <f>'YTD display'!M26</f>
        <v>1.4649967999999999E-2</v>
      </c>
      <c r="I31" s="400">
        <f t="shared" si="2"/>
        <v>-1.350032000000001E-3</v>
      </c>
      <c r="J31" s="346">
        <f t="shared" si="3"/>
        <v>0.91562299999999996</v>
      </c>
      <c r="K31" s="1364"/>
      <c r="L31" s="1364"/>
      <c r="M31" s="1364"/>
      <c r="N31" s="1364"/>
      <c r="O31" s="1364"/>
    </row>
    <row r="32" spans="3:15" ht="18.75">
      <c r="C32" s="349" t="s">
        <v>57</v>
      </c>
      <c r="D32" s="367">
        <f>'YTD display'!G27</f>
        <v>11.148272017837234</v>
      </c>
      <c r="E32" s="398"/>
      <c r="F32" s="367">
        <f ca="1">'YTD display'!J27</f>
        <v>0</v>
      </c>
      <c r="G32" s="374">
        <f>YTDtarget!AG31</f>
        <v>0.02</v>
      </c>
      <c r="H32" s="374">
        <f>'YTD display'!M27</f>
        <v>1.5243716568454496E-2</v>
      </c>
      <c r="I32" s="400">
        <f t="shared" si="2"/>
        <v>-4.7562834315455042E-3</v>
      </c>
      <c r="J32" s="346">
        <f t="shared" si="3"/>
        <v>0.76218582842272475</v>
      </c>
      <c r="K32" s="1364"/>
      <c r="L32" s="1364"/>
      <c r="M32" s="1364"/>
      <c r="N32" s="1364"/>
      <c r="O32" s="1364"/>
    </row>
    <row r="33" spans="3:15" ht="18.75">
      <c r="C33" s="349" t="s">
        <v>58</v>
      </c>
      <c r="D33" s="367">
        <f>'YTD display'!G28</f>
        <v>0.2415458937198067</v>
      </c>
      <c r="E33" s="398"/>
      <c r="F33" s="367">
        <f ca="1">'YTD display'!J28</f>
        <v>0</v>
      </c>
      <c r="G33" s="374">
        <f>YTDtarget!AG32</f>
        <v>4.0000000000000001E-3</v>
      </c>
      <c r="H33" s="374">
        <f>'YTD display'!M28</f>
        <v>7.3093147500000013E-3</v>
      </c>
      <c r="I33" s="400">
        <f t="shared" si="2"/>
        <v>3.3093147500000012E-3</v>
      </c>
      <c r="J33" s="346">
        <f t="shared" si="3"/>
        <v>1.8273286875000003</v>
      </c>
      <c r="K33" s="1364"/>
      <c r="L33" s="1364"/>
      <c r="M33" s="1364"/>
      <c r="N33" s="1364"/>
      <c r="O33" s="1364"/>
    </row>
    <row r="34" spans="3:15" ht="18.75">
      <c r="C34" s="349" t="s">
        <v>59</v>
      </c>
      <c r="D34" s="367">
        <f>'YTD display'!G29</f>
        <v>2.1739130434782608E-2</v>
      </c>
      <c r="E34" s="398"/>
      <c r="F34" s="367">
        <f ca="1">'YTD display'!J29</f>
        <v>0</v>
      </c>
      <c r="G34" s="374">
        <f>YTDtarget!AG33</f>
        <v>0</v>
      </c>
      <c r="H34" s="374">
        <f>'YTD display'!M29</f>
        <v>3.8500000000000025E-4</v>
      </c>
      <c r="I34" s="400">
        <f t="shared" si="2"/>
        <v>3.8500000000000025E-4</v>
      </c>
      <c r="J34" s="346" t="str">
        <f t="shared" si="3"/>
        <v>-</v>
      </c>
      <c r="K34" s="1364"/>
      <c r="L34" s="1364"/>
      <c r="M34" s="1364"/>
      <c r="N34" s="1364"/>
      <c r="O34" s="1364"/>
    </row>
    <row r="35" spans="3:15" ht="18.75">
      <c r="C35" s="349" t="s">
        <v>63</v>
      </c>
      <c r="D35" s="367">
        <f>'YTD display'!G30</f>
        <v>0</v>
      </c>
      <c r="E35" s="398"/>
      <c r="F35" s="367">
        <f ca="1">'YTD display'!J30</f>
        <v>0</v>
      </c>
      <c r="G35" s="374">
        <f>YTDtarget!AG34</f>
        <v>0</v>
      </c>
      <c r="H35" s="374">
        <f>'YTD display'!M30</f>
        <v>8.0926053456492619E-3</v>
      </c>
      <c r="I35" s="400">
        <f t="shared" si="2"/>
        <v>8.0926053456492619E-3</v>
      </c>
      <c r="J35" s="346" t="str">
        <f t="shared" si="3"/>
        <v>-</v>
      </c>
      <c r="K35" s="1364"/>
      <c r="L35" s="1364"/>
      <c r="M35" s="1364"/>
      <c r="N35" s="1364"/>
      <c r="O35" s="1364"/>
    </row>
    <row r="36" spans="3:15" ht="18.75">
      <c r="C36" s="349" t="s">
        <v>64</v>
      </c>
      <c r="D36" s="367">
        <f>'YTD display'!G31</f>
        <v>0.29644268774703558</v>
      </c>
      <c r="E36" s="398"/>
      <c r="F36" s="367">
        <f ca="1">'YTD display'!J31</f>
        <v>0</v>
      </c>
      <c r="G36" s="374">
        <f>YTDtarget!AG35</f>
        <v>2E-3</v>
      </c>
      <c r="H36" s="374">
        <f>'YTD display'!M31</f>
        <v>1.660940061787301E-3</v>
      </c>
      <c r="I36" s="400">
        <f t="shared" si="2"/>
        <v>-3.39059938212699E-4</v>
      </c>
      <c r="J36" s="346">
        <f t="shared" si="3"/>
        <v>0.83047003089365046</v>
      </c>
      <c r="K36" s="1364"/>
      <c r="L36" s="1364"/>
      <c r="M36" s="1364"/>
      <c r="N36" s="1364"/>
      <c r="O36" s="1364"/>
    </row>
    <row r="37" spans="3:15" ht="18.75">
      <c r="C37" s="349" t="s">
        <v>65</v>
      </c>
      <c r="D37" s="367">
        <f>'YTD display'!G32</f>
        <v>0.24456521739130438</v>
      </c>
      <c r="E37" s="398"/>
      <c r="F37" s="367">
        <f ca="1">'YTD display'!J32</f>
        <v>0</v>
      </c>
      <c r="G37" s="374">
        <f>YTDtarget!AG36</f>
        <v>6.0000000000000001E-3</v>
      </c>
      <c r="H37" s="374">
        <f>'YTD display'!M32</f>
        <v>3.0630020926129911E-3</v>
      </c>
      <c r="I37" s="400">
        <f t="shared" si="2"/>
        <v>-2.9369979073870091E-3</v>
      </c>
      <c r="J37" s="346">
        <f t="shared" si="3"/>
        <v>0.51050034876883188</v>
      </c>
      <c r="K37" s="1364"/>
      <c r="L37" s="1364"/>
      <c r="M37" s="1364"/>
      <c r="N37" s="1364"/>
      <c r="O37" s="1364"/>
    </row>
    <row r="38" spans="3:15" ht="18.75">
      <c r="C38" s="349" t="s">
        <v>66</v>
      </c>
      <c r="D38" s="367">
        <f>'YTD display'!G33</f>
        <v>0</v>
      </c>
      <c r="E38" s="398"/>
      <c r="F38" s="367">
        <f ca="1">'YTD display'!J33</f>
        <v>0</v>
      </c>
      <c r="G38" s="374">
        <f>YTDtarget!AG37</f>
        <v>0</v>
      </c>
      <c r="H38" s="374">
        <f>'YTD display'!M33</f>
        <v>0</v>
      </c>
      <c r="I38" s="400">
        <f t="shared" si="2"/>
        <v>0</v>
      </c>
      <c r="J38" s="346" t="str">
        <f t="shared" si="3"/>
        <v>-</v>
      </c>
      <c r="K38" s="1364"/>
      <c r="L38" s="1364"/>
      <c r="M38" s="1364"/>
      <c r="N38" s="1364"/>
      <c r="O38" s="1364"/>
    </row>
    <row r="39" spans="3:15" ht="18.75">
      <c r="C39" s="349" t="s">
        <v>67</v>
      </c>
      <c r="D39" s="367">
        <f>'YTD display'!G34</f>
        <v>0</v>
      </c>
      <c r="E39" s="398"/>
      <c r="F39" s="367">
        <f ca="1">'YTD display'!J34</f>
        <v>0</v>
      </c>
      <c r="G39" s="374">
        <f>YTDtarget!AG38</f>
        <v>0</v>
      </c>
      <c r="H39" s="374">
        <f>'YTD display'!M34</f>
        <v>0</v>
      </c>
      <c r="I39" s="400">
        <f t="shared" si="2"/>
        <v>0</v>
      </c>
      <c r="J39" s="346" t="str">
        <f t="shared" si="3"/>
        <v>-</v>
      </c>
      <c r="K39" s="1364"/>
      <c r="L39" s="1364"/>
      <c r="M39" s="1364"/>
      <c r="N39" s="1364"/>
      <c r="O39" s="1364"/>
    </row>
    <row r="40" spans="3:15" ht="18.75">
      <c r="C40" s="349" t="s">
        <v>68</v>
      </c>
      <c r="D40" s="367">
        <f>'YTD display'!G35</f>
        <v>0</v>
      </c>
      <c r="E40" s="398"/>
      <c r="F40" s="367">
        <f ca="1">'YTD display'!J35</f>
        <v>0</v>
      </c>
      <c r="G40" s="374">
        <f>YTDtarget!AG39</f>
        <v>0</v>
      </c>
      <c r="H40" s="374">
        <f>'YTD display'!M35</f>
        <v>0</v>
      </c>
      <c r="I40" s="400">
        <f t="shared" si="2"/>
        <v>0</v>
      </c>
      <c r="J40" s="346" t="str">
        <f t="shared" si="3"/>
        <v>-</v>
      </c>
      <c r="K40" s="1364"/>
      <c r="L40" s="1364"/>
      <c r="M40" s="1364"/>
      <c r="N40" s="1364"/>
      <c r="O40" s="1364"/>
    </row>
    <row r="41" spans="3:15" ht="18.75">
      <c r="C41" s="349" t="s">
        <v>69</v>
      </c>
      <c r="D41" s="367">
        <f>'YTD display'!G36</f>
        <v>0</v>
      </c>
      <c r="E41" s="398"/>
      <c r="F41" s="367">
        <f ca="1">'YTD display'!J36</f>
        <v>0</v>
      </c>
      <c r="G41" s="374">
        <f>YTDtarget!AG40</f>
        <v>0</v>
      </c>
      <c r="H41" s="374">
        <f>'YTD display'!M36</f>
        <v>0</v>
      </c>
      <c r="I41" s="400">
        <f t="shared" si="2"/>
        <v>0</v>
      </c>
      <c r="J41" s="346" t="str">
        <f t="shared" si="3"/>
        <v>-</v>
      </c>
      <c r="K41" s="1364"/>
      <c r="L41" s="1364"/>
      <c r="M41" s="1364"/>
      <c r="N41" s="1364"/>
      <c r="O41" s="1364"/>
    </row>
    <row r="42" spans="3:15" ht="18.75">
      <c r="C42" s="349" t="s">
        <v>70</v>
      </c>
      <c r="D42" s="367">
        <f>'YTD display'!G37</f>
        <v>14.066496163682864</v>
      </c>
      <c r="E42" s="398"/>
      <c r="F42" s="367">
        <f ca="1">'YTD display'!J37</f>
        <v>0</v>
      </c>
      <c r="G42" s="374">
        <f>YTDtarget!AG41</f>
        <v>0.14799999999999999</v>
      </c>
      <c r="H42" s="374">
        <f>'YTD display'!M37</f>
        <v>0.14915959784452371</v>
      </c>
      <c r="I42" s="400">
        <f t="shared" si="2"/>
        <v>1.1595978445237132E-3</v>
      </c>
      <c r="J42" s="346">
        <f t="shared" si="3"/>
        <v>1.0078351205711062</v>
      </c>
      <c r="K42" s="1364"/>
      <c r="L42" s="1364"/>
      <c r="M42" s="1364"/>
      <c r="N42" s="1364"/>
      <c r="O42" s="1364"/>
    </row>
    <row r="43" spans="3:15" ht="18.75">
      <c r="C43" s="347" t="s">
        <v>92</v>
      </c>
      <c r="D43" s="368">
        <f>'YTD display'!G38</f>
        <v>7.0108695652173916</v>
      </c>
      <c r="E43" s="399"/>
      <c r="F43" s="368">
        <f ca="1">'YTD display'!J38</f>
        <v>0</v>
      </c>
      <c r="G43" s="375">
        <f>YTDtarget!AG42</f>
        <v>0.43300000000000005</v>
      </c>
      <c r="H43" s="375">
        <f>'YTD display'!M38</f>
        <v>0.44112668887780782</v>
      </c>
      <c r="I43" s="401">
        <f t="shared" si="2"/>
        <v>8.1266888778077639E-3</v>
      </c>
      <c r="J43" s="348">
        <f t="shared" si="3"/>
        <v>1.0187683345907801</v>
      </c>
      <c r="K43" s="265"/>
      <c r="L43" s="265"/>
      <c r="M43" s="265"/>
      <c r="N43" s="265"/>
      <c r="O43" s="265"/>
    </row>
    <row r="48" spans="3:15" ht="18.75">
      <c r="C48" s="1365" t="s">
        <v>441</v>
      </c>
      <c r="D48" s="1365"/>
      <c r="E48" s="1366"/>
      <c r="F48" s="1365"/>
      <c r="G48" s="1365"/>
    </row>
    <row r="49" spans="3:7" ht="18.75">
      <c r="C49" s="356"/>
      <c r="D49" s="357" t="str">
        <f>D7</f>
        <v>BE</v>
      </c>
      <c r="E49" s="357" t="s">
        <v>29</v>
      </c>
      <c r="F49" s="357" t="s">
        <v>462</v>
      </c>
      <c r="G49" s="343" t="s">
        <v>27</v>
      </c>
    </row>
    <row r="50" spans="3:7" ht="18.75">
      <c r="C50" s="349" t="s">
        <v>60</v>
      </c>
      <c r="D50" s="345">
        <f t="shared" ref="D50:D64" si="4">G9+G29</f>
        <v>0.33599999999999997</v>
      </c>
      <c r="E50" s="345">
        <f t="shared" ref="E50:E64" si="5">H9+H29</f>
        <v>0.40189026915190834</v>
      </c>
      <c r="F50" s="345">
        <f>E50-D50</f>
        <v>6.5890269151908376E-2</v>
      </c>
      <c r="G50" s="358">
        <f t="shared" ref="G50:G64" si="6">IFERROR(E50/D50,"-")</f>
        <v>1.1961019915235369</v>
      </c>
    </row>
    <row r="51" spans="3:7" ht="18.75">
      <c r="C51" s="349" t="s">
        <v>61</v>
      </c>
      <c r="D51" s="345">
        <f t="shared" si="4"/>
        <v>0.51400000000000001</v>
      </c>
      <c r="E51" s="345">
        <f t="shared" si="5"/>
        <v>0.49126075838794103</v>
      </c>
      <c r="F51" s="345">
        <f t="shared" ref="F51:F64" si="7">E51-D51</f>
        <v>-2.273924161205898E-2</v>
      </c>
      <c r="G51" s="358">
        <f t="shared" si="6"/>
        <v>0.95576023032673352</v>
      </c>
    </row>
    <row r="52" spans="3:7" ht="18.75">
      <c r="C52" s="349" t="s">
        <v>62</v>
      </c>
      <c r="D52" s="345">
        <f t="shared" si="4"/>
        <v>3.4000000000000002E-2</v>
      </c>
      <c r="E52" s="345">
        <f t="shared" si="5"/>
        <v>3.0107928620487983E-2</v>
      </c>
      <c r="F52" s="345">
        <f t="shared" si="7"/>
        <v>-3.8920713795120195E-3</v>
      </c>
      <c r="G52" s="358">
        <f t="shared" si="6"/>
        <v>0.88552731236729354</v>
      </c>
    </row>
    <row r="53" spans="3:7" ht="18.75">
      <c r="C53" s="349" t="s">
        <v>57</v>
      </c>
      <c r="D53" s="345">
        <f t="shared" si="4"/>
        <v>0.1</v>
      </c>
      <c r="E53" s="345">
        <f t="shared" si="5"/>
        <v>9.2132878216493713E-2</v>
      </c>
      <c r="F53" s="345">
        <f t="shared" si="7"/>
        <v>-7.8671217835062923E-3</v>
      </c>
      <c r="G53" s="358">
        <f t="shared" si="6"/>
        <v>0.92132878216493708</v>
      </c>
    </row>
    <row r="54" spans="3:7" ht="18.75">
      <c r="C54" s="349" t="s">
        <v>58</v>
      </c>
      <c r="D54" s="345">
        <f t="shared" si="4"/>
        <v>6.3E-2</v>
      </c>
      <c r="E54" s="345">
        <f t="shared" si="5"/>
        <v>8.5833836674801323E-2</v>
      </c>
      <c r="F54" s="345">
        <f t="shared" si="7"/>
        <v>2.2833836674801322E-2</v>
      </c>
      <c r="G54" s="358">
        <f t="shared" si="6"/>
        <v>1.3624418519809733</v>
      </c>
    </row>
    <row r="55" spans="3:7" ht="18.75">
      <c r="C55" s="349" t="s">
        <v>59</v>
      </c>
      <c r="D55" s="345">
        <f t="shared" si="4"/>
        <v>2.5999999999999999E-2</v>
      </c>
      <c r="E55" s="345">
        <f t="shared" si="5"/>
        <v>2.2762565889520216E-2</v>
      </c>
      <c r="F55" s="345">
        <f t="shared" si="7"/>
        <v>-3.2374341104797824E-3</v>
      </c>
      <c r="G55" s="358">
        <f t="shared" si="6"/>
        <v>0.87548330344308534</v>
      </c>
    </row>
    <row r="56" spans="3:7" ht="18.75">
      <c r="C56" s="349" t="s">
        <v>63</v>
      </c>
      <c r="D56" s="345">
        <f t="shared" si="4"/>
        <v>0.13</v>
      </c>
      <c r="E56" s="345">
        <f t="shared" si="5"/>
        <v>0.13027400800648722</v>
      </c>
      <c r="F56" s="345">
        <f t="shared" si="7"/>
        <v>2.7400800648721968E-4</v>
      </c>
      <c r="G56" s="358">
        <f t="shared" si="6"/>
        <v>1.0021077538960554</v>
      </c>
    </row>
    <row r="57" spans="3:7" ht="18.75">
      <c r="C57" s="349" t="s">
        <v>64</v>
      </c>
      <c r="D57" s="345">
        <f t="shared" si="4"/>
        <v>1.1000000000000001E-2</v>
      </c>
      <c r="E57" s="345">
        <f t="shared" si="5"/>
        <v>9.4389464050091149E-3</v>
      </c>
      <c r="F57" s="345">
        <f t="shared" si="7"/>
        <v>-1.5610535949908862E-3</v>
      </c>
      <c r="G57" s="358">
        <f t="shared" si="6"/>
        <v>0.85808603681901041</v>
      </c>
    </row>
    <row r="58" spans="3:7" ht="18.75">
      <c r="C58" s="349" t="s">
        <v>65</v>
      </c>
      <c r="D58" s="345">
        <f t="shared" si="4"/>
        <v>2.6000000000000002E-2</v>
      </c>
      <c r="E58" s="345">
        <f t="shared" si="5"/>
        <v>2.4835604012202157E-2</v>
      </c>
      <c r="F58" s="345">
        <f t="shared" si="7"/>
        <v>-1.1643959877978456E-3</v>
      </c>
      <c r="G58" s="358">
        <f t="shared" si="6"/>
        <v>0.95521553893085209</v>
      </c>
    </row>
    <row r="59" spans="3:7" ht="18.75">
      <c r="C59" s="349" t="s">
        <v>66</v>
      </c>
      <c r="D59" s="345">
        <f t="shared" si="4"/>
        <v>0.14000000000000001</v>
      </c>
      <c r="E59" s="345">
        <f t="shared" si="5"/>
        <v>0.12416170604839674</v>
      </c>
      <c r="F59" s="345">
        <f t="shared" si="7"/>
        <v>-1.5838293951603272E-2</v>
      </c>
      <c r="G59" s="358">
        <f t="shared" si="6"/>
        <v>0.88686932891711945</v>
      </c>
    </row>
    <row r="60" spans="3:7" ht="18.75">
      <c r="C60" s="349" t="s">
        <v>67</v>
      </c>
      <c r="D60" s="345">
        <f t="shared" si="4"/>
        <v>0.111</v>
      </c>
      <c r="E60" s="345">
        <f t="shared" si="5"/>
        <v>0.11641999622492916</v>
      </c>
      <c r="F60" s="345">
        <f t="shared" si="7"/>
        <v>5.419996224929155E-3</v>
      </c>
      <c r="G60" s="358">
        <f t="shared" si="6"/>
        <v>1.0488287948191817</v>
      </c>
    </row>
    <row r="61" spans="3:7" ht="18.75">
      <c r="C61" s="349" t="s">
        <v>68</v>
      </c>
      <c r="D61" s="345">
        <f t="shared" si="4"/>
        <v>2.8999999999999998E-2</v>
      </c>
      <c r="E61" s="345">
        <f t="shared" si="5"/>
        <v>2.655062211124528E-2</v>
      </c>
      <c r="F61" s="345">
        <f t="shared" si="7"/>
        <v>-2.4493778887547182E-3</v>
      </c>
      <c r="G61" s="358">
        <f t="shared" si="6"/>
        <v>0.91553869349121664</v>
      </c>
    </row>
    <row r="62" spans="3:7" ht="18.75">
      <c r="C62" s="349" t="s">
        <v>69</v>
      </c>
      <c r="D62" s="345">
        <f t="shared" si="4"/>
        <v>0</v>
      </c>
      <c r="E62" s="345">
        <f t="shared" si="5"/>
        <v>0</v>
      </c>
      <c r="F62" s="345">
        <f t="shared" si="7"/>
        <v>0</v>
      </c>
      <c r="G62" s="358" t="str">
        <f t="shared" si="6"/>
        <v>-</v>
      </c>
    </row>
    <row r="63" spans="3:7" ht="18.75">
      <c r="C63" s="349" t="s">
        <v>70</v>
      </c>
      <c r="D63" s="345">
        <f t="shared" si="4"/>
        <v>0.14799999999999999</v>
      </c>
      <c r="E63" s="345">
        <f t="shared" si="5"/>
        <v>0.14915959784452371</v>
      </c>
      <c r="F63" s="345">
        <f t="shared" si="7"/>
        <v>1.1595978445237132E-3</v>
      </c>
      <c r="G63" s="358">
        <f t="shared" si="6"/>
        <v>1.0078351205711062</v>
      </c>
    </row>
    <row r="64" spans="3:7" ht="18.75">
      <c r="C64" s="347" t="s">
        <v>425</v>
      </c>
      <c r="D64" s="350">
        <f t="shared" si="4"/>
        <v>1.6680000000000001</v>
      </c>
      <c r="E64" s="350">
        <f t="shared" si="5"/>
        <v>1.7048287175939463</v>
      </c>
      <c r="F64" s="350">
        <f t="shared" si="7"/>
        <v>3.6828717593946125E-2</v>
      </c>
      <c r="G64" s="359">
        <f t="shared" si="6"/>
        <v>1.0220795669028453</v>
      </c>
    </row>
    <row r="67" spans="3:14" ht="15" customHeight="1">
      <c r="C67" s="1367" t="s">
        <v>426</v>
      </c>
      <c r="D67" s="1368"/>
      <c r="E67" s="388"/>
      <c r="F67" s="1371" t="str">
        <f>G4</f>
        <v>Q2 26-27</v>
      </c>
      <c r="G67" s="360"/>
      <c r="H67" s="360"/>
      <c r="I67" s="360"/>
      <c r="J67" s="360"/>
      <c r="K67" s="360"/>
      <c r="L67" s="360"/>
      <c r="M67" s="360"/>
      <c r="N67" s="361"/>
    </row>
    <row r="68" spans="3:14" ht="15" customHeight="1">
      <c r="C68" s="1369"/>
      <c r="D68" s="1370"/>
      <c r="E68" s="389"/>
      <c r="F68" s="1372"/>
      <c r="G68" s="362"/>
      <c r="H68" s="362"/>
      <c r="I68" s="362"/>
      <c r="J68" s="362"/>
      <c r="K68" s="362"/>
      <c r="L68" s="362"/>
      <c r="M68" s="362"/>
      <c r="N68" s="363"/>
    </row>
    <row r="69" spans="3:14" ht="18.75">
      <c r="C69" s="1362"/>
      <c r="D69" s="1362"/>
      <c r="E69" s="1363"/>
      <c r="F69" s="1362"/>
      <c r="G69" s="1362"/>
      <c r="H69" s="1362"/>
      <c r="I69" s="1363"/>
      <c r="J69" s="1362"/>
      <c r="K69" s="1362"/>
      <c r="L69" s="1362"/>
      <c r="M69" s="1362"/>
      <c r="N69" s="1362"/>
    </row>
    <row r="70" spans="3:14" ht="18.75">
      <c r="C70" s="1362"/>
      <c r="D70" s="1362"/>
      <c r="E70" s="1363"/>
      <c r="F70" s="1362"/>
      <c r="G70" s="1362"/>
      <c r="H70" s="1362"/>
      <c r="I70" s="1363"/>
      <c r="J70" s="1362"/>
      <c r="K70" s="1362"/>
      <c r="L70" s="1362"/>
      <c r="M70" s="1362"/>
      <c r="N70" s="1362"/>
    </row>
    <row r="71" spans="3:14" ht="18.75">
      <c r="C71" s="1362"/>
      <c r="D71" s="1362"/>
      <c r="E71" s="1363"/>
      <c r="F71" s="1362"/>
      <c r="G71" s="1362"/>
      <c r="H71" s="1362"/>
      <c r="I71" s="1363"/>
      <c r="J71" s="1362"/>
      <c r="K71" s="1362"/>
      <c r="L71" s="1362"/>
      <c r="M71" s="1362"/>
      <c r="N71" s="1362"/>
    </row>
    <row r="72" spans="3:14" ht="18.75">
      <c r="C72" s="1362"/>
      <c r="D72" s="1362"/>
      <c r="E72" s="1363"/>
      <c r="F72" s="1362"/>
      <c r="G72" s="1362"/>
      <c r="H72" s="1362"/>
      <c r="I72" s="1363"/>
      <c r="J72" s="1362"/>
      <c r="K72" s="1362"/>
      <c r="L72" s="1362"/>
      <c r="M72" s="1362"/>
      <c r="N72" s="1362"/>
    </row>
    <row r="73" spans="3:14" ht="18.75">
      <c r="C73" s="1362"/>
      <c r="D73" s="1362"/>
      <c r="E73" s="1363"/>
      <c r="F73" s="1362"/>
      <c r="G73" s="1362"/>
      <c r="H73" s="1362"/>
      <c r="I73" s="1363"/>
      <c r="J73" s="1362"/>
      <c r="K73" s="1362"/>
      <c r="L73" s="1362"/>
      <c r="M73" s="1362"/>
      <c r="N73" s="1362"/>
    </row>
    <row r="74" spans="3:14" ht="18.75">
      <c r="C74" s="1362"/>
      <c r="D74" s="1362"/>
      <c r="E74" s="1363"/>
      <c r="F74" s="1362"/>
      <c r="G74" s="1362"/>
      <c r="H74" s="1362"/>
      <c r="I74" s="1363"/>
      <c r="J74" s="1362"/>
      <c r="K74" s="1362"/>
      <c r="L74" s="1362"/>
      <c r="M74" s="1362"/>
      <c r="N74" s="1362"/>
    </row>
    <row r="75" spans="3:14" ht="18.75">
      <c r="C75" s="1362"/>
      <c r="D75" s="1362"/>
      <c r="E75" s="1363"/>
      <c r="F75" s="1362"/>
      <c r="G75" s="1362"/>
      <c r="H75" s="1362"/>
      <c r="I75" s="1363"/>
      <c r="J75" s="1362"/>
      <c r="K75" s="1362"/>
      <c r="L75" s="1362"/>
      <c r="M75" s="1362"/>
      <c r="N75" s="1362"/>
    </row>
    <row r="76" spans="3:14" ht="18.75">
      <c r="C76" s="1362"/>
      <c r="D76" s="1362"/>
      <c r="E76" s="1363"/>
      <c r="F76" s="1362"/>
      <c r="G76" s="1362"/>
      <c r="H76" s="1362"/>
      <c r="I76" s="1363"/>
      <c r="J76" s="1362"/>
      <c r="K76" s="1362"/>
      <c r="L76" s="1362"/>
      <c r="M76" s="1362"/>
      <c r="N76" s="1362"/>
    </row>
    <row r="77" spans="3:14" ht="18.75">
      <c r="C77" s="1362"/>
      <c r="D77" s="1362"/>
      <c r="E77" s="1363"/>
      <c r="F77" s="1362"/>
      <c r="G77" s="1362"/>
      <c r="H77" s="1362"/>
      <c r="I77" s="1363"/>
      <c r="J77" s="1362"/>
      <c r="K77" s="1362"/>
      <c r="L77" s="1362"/>
      <c r="M77" s="1362"/>
      <c r="N77" s="1362"/>
    </row>
  </sheetData>
  <sheetProtection algorithmName="SHA-512" hashValue="N1i8qtutMW56oVGdanJmt0wX5vhgMjuAivNL3lULHUb0tYvktFjGrwM+VL47qthVWdRYvhavhzFbjwIx14u4xA==" saltValue="WZLwITWnes351uRcjmMrDQ==" spinCount="100000" sheet="1" objects="1" scenarios="1"/>
  <mergeCells count="60">
    <mergeCell ref="I7:I8"/>
    <mergeCell ref="I27:I28"/>
    <mergeCell ref="L1:O2"/>
    <mergeCell ref="C4:F4"/>
    <mergeCell ref="G4:J4"/>
    <mergeCell ref="K4:O4"/>
    <mergeCell ref="C6:C8"/>
    <mergeCell ref="D6:F6"/>
    <mergeCell ref="J6:J8"/>
    <mergeCell ref="K6:O8"/>
    <mergeCell ref="F7:F8"/>
    <mergeCell ref="G6:I6"/>
    <mergeCell ref="K19:O19"/>
    <mergeCell ref="H7:H8"/>
    <mergeCell ref="K9:O9"/>
    <mergeCell ref="K10:O10"/>
    <mergeCell ref="K11:O11"/>
    <mergeCell ref="K12:O12"/>
    <mergeCell ref="K13:O13"/>
    <mergeCell ref="K14:O14"/>
    <mergeCell ref="K15:O15"/>
    <mergeCell ref="K16:O16"/>
    <mergeCell ref="K17:O17"/>
    <mergeCell ref="K18:O18"/>
    <mergeCell ref="K34:O34"/>
    <mergeCell ref="K20:O20"/>
    <mergeCell ref="K21:O21"/>
    <mergeCell ref="K22:O22"/>
    <mergeCell ref="K29:O29"/>
    <mergeCell ref="K30:O30"/>
    <mergeCell ref="K31:O31"/>
    <mergeCell ref="K32:O32"/>
    <mergeCell ref="K33:O33"/>
    <mergeCell ref="C26:C28"/>
    <mergeCell ref="D26:F26"/>
    <mergeCell ref="J26:J28"/>
    <mergeCell ref="K26:O28"/>
    <mergeCell ref="F27:F28"/>
    <mergeCell ref="H27:H28"/>
    <mergeCell ref="G26:I26"/>
    <mergeCell ref="C69:N69"/>
    <mergeCell ref="K35:O35"/>
    <mergeCell ref="K36:O36"/>
    <mergeCell ref="K37:O37"/>
    <mergeCell ref="K38:O38"/>
    <mergeCell ref="K39:O39"/>
    <mergeCell ref="K40:O40"/>
    <mergeCell ref="K41:O41"/>
    <mergeCell ref="K42:O42"/>
    <mergeCell ref="C48:G48"/>
    <mergeCell ref="C67:D68"/>
    <mergeCell ref="F67:F68"/>
    <mergeCell ref="C76:N76"/>
    <mergeCell ref="C77:N77"/>
    <mergeCell ref="C70:N70"/>
    <mergeCell ref="C71:N71"/>
    <mergeCell ref="C72:N72"/>
    <mergeCell ref="C73:N73"/>
    <mergeCell ref="C74:N74"/>
    <mergeCell ref="C75:N75"/>
  </mergeCells>
  <conditionalFormatting sqref="J9:J23">
    <cfRule type="cellIs" dxfId="64" priority="11" operator="greaterThan">
      <formula>1</formula>
    </cfRule>
    <cfRule type="cellIs" dxfId="63" priority="12" operator="lessThan">
      <formula>1</formula>
    </cfRule>
  </conditionalFormatting>
  <conditionalFormatting sqref="J29:J43">
    <cfRule type="cellIs" dxfId="62" priority="9" operator="greaterThan">
      <formula>1</formula>
    </cfRule>
    <cfRule type="cellIs" dxfId="61" priority="10" operator="lessThan">
      <formula>1</formula>
    </cfRule>
  </conditionalFormatting>
  <conditionalFormatting sqref="G50:G64">
    <cfRule type="cellIs" dxfId="60" priority="7" operator="greaterThan">
      <formula>1</formula>
    </cfRule>
    <cfRule type="cellIs" dxfId="59" priority="8" operator="lessThan">
      <formula>1</formula>
    </cfRule>
  </conditionalFormatting>
  <conditionalFormatting sqref="F50:F64">
    <cfRule type="cellIs" dxfId="58" priority="5" operator="lessThan">
      <formula>0</formula>
    </cfRule>
    <cfRule type="cellIs" dxfId="57" priority="6" operator="greaterThan">
      <formula>0</formula>
    </cfRule>
  </conditionalFormatting>
  <conditionalFormatting sqref="I9:I23">
    <cfRule type="cellIs" dxfId="56" priority="3" operator="lessThan">
      <formula>0</formula>
    </cfRule>
    <cfRule type="cellIs" dxfId="55" priority="4" operator="greaterThan">
      <formula>0</formula>
    </cfRule>
  </conditionalFormatting>
  <conditionalFormatting sqref="I29:I43">
    <cfRule type="cellIs" dxfId="54" priority="1" operator="lessThan">
      <formula>0</formula>
    </cfRule>
    <cfRule type="cellIs" dxfId="53" priority="2" operator="greaterThan">
      <formula>0</formula>
    </cfRule>
  </conditionalFormatting>
  <pageMargins left="0.7" right="0.7" top="0.75" bottom="0.75" header="0.3" footer="0.3"/>
  <pageSetup scale="52"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0897" r:id="rId4" name="Button 1">
              <controlPr defaultSize="0" print="0" autoFill="0" autoPict="0" macro="[0]!EXPORT_ACTIVE_SHEET">
                <anchor moveWithCells="1" sizeWithCells="1">
                  <from>
                    <xdr:col>17</xdr:col>
                    <xdr:colOff>504825</xdr:colOff>
                    <xdr:row>13</xdr:row>
                    <xdr:rowOff>47625</xdr:rowOff>
                  </from>
                  <to>
                    <xdr:col>22</xdr:col>
                    <xdr:colOff>47625</xdr:colOff>
                    <xdr:row>16</xdr:row>
                    <xdr:rowOff>76200</xdr:rowOff>
                  </to>
                </anchor>
              </controlPr>
            </control>
          </mc:Choice>
        </mc:AlternateContent>
        <mc:AlternateContent xmlns:mc="http://schemas.openxmlformats.org/markup-compatibility/2006">
          <mc:Choice Requires="x14">
            <control shapeId="80898" r:id="rId5" name="Button 2">
              <controlPr defaultSize="0" print="0" autoFill="0" autoPict="0" macro="[0]!Back_to_Dashboard">
                <anchor moveWithCells="1" sizeWithCells="1">
                  <from>
                    <xdr:col>17</xdr:col>
                    <xdr:colOff>504825</xdr:colOff>
                    <xdr:row>17</xdr:row>
                    <xdr:rowOff>104775</xdr:rowOff>
                  </from>
                  <to>
                    <xdr:col>22</xdr:col>
                    <xdr:colOff>38100</xdr:colOff>
                    <xdr:row>20</xdr:row>
                    <xdr:rowOff>85725</xdr:rowOff>
                  </to>
                </anchor>
              </controlPr>
            </control>
          </mc:Choice>
        </mc:AlternateContent>
        <mc:AlternateContent xmlns:mc="http://schemas.openxmlformats.org/markup-compatibility/2006">
          <mc:Choice Requires="x14">
            <control shapeId="80899" r:id="rId6" name="Button 3">
              <controlPr defaultSize="0" print="0" autoFill="0" autoPict="0" macro="[0]!Quarterly_analysis_export_in_format">
                <anchor moveWithCells="1" sizeWithCells="1">
                  <from>
                    <xdr:col>17</xdr:col>
                    <xdr:colOff>504825</xdr:colOff>
                    <xdr:row>22</xdr:row>
                    <xdr:rowOff>66675</xdr:rowOff>
                  </from>
                  <to>
                    <xdr:col>22</xdr:col>
                    <xdr:colOff>28575</xdr:colOff>
                    <xdr:row>25</xdr:row>
                    <xdr:rowOff>123825</xdr:rowOff>
                  </to>
                </anchor>
              </controlPr>
            </control>
          </mc:Choice>
        </mc:AlternateContent>
      </controls>
    </mc:Choice>
  </mc:AlternateContent>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rgb="FF92D050"/>
  </sheetPr>
  <dimension ref="C1:Q79"/>
  <sheetViews>
    <sheetView workbookViewId="0"/>
  </sheetViews>
  <sheetFormatPr defaultColWidth="9.140625" defaultRowHeight="15"/>
  <cols>
    <col min="3" max="3" width="15.28515625" customWidth="1"/>
    <col min="4" max="5" width="17.42578125" customWidth="1"/>
    <col min="6" max="6" width="12.28515625" customWidth="1"/>
    <col min="7" max="8" width="16.7109375" customWidth="1"/>
    <col min="11" max="11" width="12.7109375" customWidth="1"/>
    <col min="16" max="16" width="26.28515625" customWidth="1"/>
  </cols>
  <sheetData>
    <row r="1" spans="3:17">
      <c r="F1" t="str">
        <f>Dropdowns!D406</f>
        <v>(rounded)</v>
      </c>
      <c r="M1" s="1398"/>
      <c r="N1" s="1398"/>
      <c r="O1" s="1398"/>
      <c r="P1" s="1398"/>
    </row>
    <row r="2" spans="3:17">
      <c r="D2" t="s">
        <v>153</v>
      </c>
      <c r="F2" t="str">
        <f>DPRavg!F2</f>
        <v>July'26</v>
      </c>
      <c r="I2" t="s">
        <v>156</v>
      </c>
      <c r="K2" s="246">
        <f>Dashboard!D3</f>
        <v>46265</v>
      </c>
      <c r="M2" s="1398"/>
      <c r="N2" s="1398"/>
      <c r="O2" s="1398"/>
      <c r="P2" s="1398"/>
    </row>
    <row r="4" spans="3:17" ht="26.25">
      <c r="C4" s="1399" t="s">
        <v>422</v>
      </c>
      <c r="D4" s="1400"/>
      <c r="E4" s="1401"/>
      <c r="F4" s="1400"/>
      <c r="G4" s="1400" t="str">
        <f>interFY_transition!D20</f>
        <v>2026-27</v>
      </c>
      <c r="H4" s="1401"/>
      <c r="I4" s="1400"/>
      <c r="J4" s="1401"/>
      <c r="K4" s="1402"/>
      <c r="L4" s="1399"/>
      <c r="M4" s="1400"/>
      <c r="N4" s="1400"/>
      <c r="O4" s="1400"/>
      <c r="P4" s="1402"/>
      <c r="Q4" s="341"/>
    </row>
    <row r="5" spans="3:17">
      <c r="C5" s="342"/>
      <c r="D5" s="342"/>
      <c r="E5" s="342"/>
      <c r="F5" s="342"/>
      <c r="G5" s="342"/>
      <c r="H5" s="342"/>
      <c r="I5" s="342"/>
      <c r="J5" s="342"/>
      <c r="K5" s="342"/>
      <c r="P5" s="355"/>
      <c r="Q5" s="355"/>
    </row>
    <row r="6" spans="3:17" ht="18.75" customHeight="1">
      <c r="C6" s="1373" t="s">
        <v>412</v>
      </c>
      <c r="D6" s="1365" t="s">
        <v>413</v>
      </c>
      <c r="E6" s="1366"/>
      <c r="F6" s="1365"/>
      <c r="G6" s="1392" t="s">
        <v>414</v>
      </c>
      <c r="H6" s="1393"/>
      <c r="I6" s="1393"/>
      <c r="J6" s="1394"/>
      <c r="K6" s="1403" t="s">
        <v>27</v>
      </c>
      <c r="L6" s="1379" t="s">
        <v>415</v>
      </c>
      <c r="M6" s="1380"/>
      <c r="N6" s="1380"/>
      <c r="O6" s="1380"/>
      <c r="P6" s="1381"/>
    </row>
    <row r="7" spans="3:17" ht="27" customHeight="1">
      <c r="C7" s="1374"/>
      <c r="D7" s="366" t="str">
        <f>Dropdowns!C123</f>
        <v>BE</v>
      </c>
      <c r="E7" s="393"/>
      <c r="F7" s="1388" t="s">
        <v>29</v>
      </c>
      <c r="G7" s="1409" t="str">
        <f>Dropdowns!C123</f>
        <v>BE</v>
      </c>
      <c r="H7" s="1410"/>
      <c r="I7" s="1390" t="s">
        <v>29</v>
      </c>
      <c r="J7" s="1397" t="s">
        <v>460</v>
      </c>
      <c r="K7" s="1404"/>
      <c r="L7" s="1382"/>
      <c r="M7" s="1383"/>
      <c r="N7" s="1383"/>
      <c r="O7" s="1383"/>
      <c r="P7" s="1384"/>
    </row>
    <row r="8" spans="3:17" ht="60" customHeight="1">
      <c r="C8" s="1375"/>
      <c r="D8" s="369" t="s">
        <v>464</v>
      </c>
      <c r="E8" s="394" t="s">
        <v>461</v>
      </c>
      <c r="F8" s="1389"/>
      <c r="G8" s="373" t="s">
        <v>465</v>
      </c>
      <c r="H8" s="373" t="s">
        <v>466</v>
      </c>
      <c r="I8" s="1391"/>
      <c r="J8" s="1397"/>
      <c r="K8" s="1405"/>
      <c r="L8" s="1385"/>
      <c r="M8" s="1386"/>
      <c r="N8" s="1386"/>
      <c r="O8" s="1386"/>
      <c r="P8" s="1387"/>
    </row>
    <row r="9" spans="3:17" ht="18.75">
      <c r="C9" s="344" t="s">
        <v>60</v>
      </c>
      <c r="D9" s="370">
        <f>'YTD display'!H7</f>
        <v>138587.80821917808</v>
      </c>
      <c r="E9" s="395"/>
      <c r="F9" s="370">
        <f ca="1">'YTD display'!I7</f>
        <v>0</v>
      </c>
      <c r="G9" s="374">
        <f>'YTD display'!D7</f>
        <v>1.369</v>
      </c>
      <c r="H9" s="374">
        <f>'YTD display'!E7</f>
        <v>0.58199999999999996</v>
      </c>
      <c r="I9" s="374">
        <f>'YTD display'!L7</f>
        <v>0.75796189729712826</v>
      </c>
      <c r="J9" s="400">
        <f>I9-H9</f>
        <v>0.1759618972971283</v>
      </c>
      <c r="K9" s="346">
        <f>IFERROR(I9/H9,"-")</f>
        <v>1.3023400297201517</v>
      </c>
      <c r="L9" s="1395"/>
      <c r="M9" s="1395"/>
      <c r="N9" s="1395"/>
      <c r="O9" s="1395"/>
      <c r="P9" s="1395"/>
    </row>
    <row r="10" spans="3:17" ht="18.75">
      <c r="C10" s="344" t="s">
        <v>61</v>
      </c>
      <c r="D10" s="370">
        <f>'YTD display'!H8</f>
        <v>174593.04531085351</v>
      </c>
      <c r="E10" s="395"/>
      <c r="F10" s="370">
        <f ca="1">'YTD display'!I8</f>
        <v>0</v>
      </c>
      <c r="G10" s="374">
        <f>'YTD display'!D8</f>
        <v>2.2269999999999999</v>
      </c>
      <c r="H10" s="374">
        <f>'YTD display'!E8</f>
        <v>0.93400000000000016</v>
      </c>
      <c r="I10" s="374">
        <f>'YTD display'!L8</f>
        <v>0.83362658602794104</v>
      </c>
      <c r="J10" s="400">
        <f t="shared" ref="J10:J23" si="0">I10-H10</f>
        <v>-0.10037341397205912</v>
      </c>
      <c r="K10" s="346">
        <f t="shared" ref="K10:K23" si="1">IFERROR(I10/H10,"-")</f>
        <v>0.89253381801706733</v>
      </c>
      <c r="L10" s="1406"/>
      <c r="M10" s="1407"/>
      <c r="N10" s="1407"/>
      <c r="O10" s="1407"/>
      <c r="P10" s="1408"/>
    </row>
    <row r="11" spans="3:17" ht="18.75">
      <c r="C11" s="344" t="s">
        <v>62</v>
      </c>
      <c r="D11" s="370">
        <f>'YTD display'!H9</f>
        <v>2103.0136986301368</v>
      </c>
      <c r="E11" s="395"/>
      <c r="F11" s="370">
        <f ca="1">'YTD display'!I9</f>
        <v>0</v>
      </c>
      <c r="G11" s="374">
        <f>'YTD display'!D9</f>
        <v>0.10100000000000001</v>
      </c>
      <c r="H11" s="374">
        <f>'YTD display'!E9</f>
        <v>4.2000000000000003E-2</v>
      </c>
      <c r="I11" s="374">
        <f>'YTD display'!L9</f>
        <v>3.845796062048798E-2</v>
      </c>
      <c r="J11" s="400">
        <f t="shared" si="0"/>
        <v>-3.5420393795120228E-3</v>
      </c>
      <c r="K11" s="346">
        <f t="shared" si="1"/>
        <v>0.9156657290592376</v>
      </c>
      <c r="L11" s="1395"/>
      <c r="M11" s="1395"/>
      <c r="N11" s="1395"/>
      <c r="O11" s="1395"/>
      <c r="P11" s="1395"/>
    </row>
    <row r="12" spans="3:17" ht="18.75">
      <c r="C12" s="344" t="s">
        <v>57</v>
      </c>
      <c r="D12" s="370">
        <f>'YTD display'!H10</f>
        <v>327345.27572883735</v>
      </c>
      <c r="E12" s="395"/>
      <c r="F12" s="370">
        <f ca="1">'YTD display'!I10</f>
        <v>0</v>
      </c>
      <c r="G12" s="374">
        <f>'YTD display'!D10</f>
        <v>0.47099999999999997</v>
      </c>
      <c r="H12" s="374">
        <f>'YTD display'!E10</f>
        <v>0.19800000000000001</v>
      </c>
      <c r="I12" s="374">
        <f>'YTD display'!L10</f>
        <v>0.19188916164803921</v>
      </c>
      <c r="J12" s="400">
        <f t="shared" si="0"/>
        <v>-6.1108383519608012E-3</v>
      </c>
      <c r="K12" s="346">
        <f t="shared" si="1"/>
        <v>0.96913718004060201</v>
      </c>
      <c r="L12" s="1395"/>
      <c r="M12" s="1395"/>
      <c r="N12" s="1395"/>
      <c r="O12" s="1395"/>
      <c r="P12" s="1395"/>
    </row>
    <row r="13" spans="3:17" ht="18.75">
      <c r="C13" s="344" t="s">
        <v>58</v>
      </c>
      <c r="D13" s="370">
        <f>'YTD display'!H11</f>
        <v>23635.210553018769</v>
      </c>
      <c r="E13" s="395"/>
      <c r="F13" s="370">
        <f ca="1">'YTD display'!I11</f>
        <v>0</v>
      </c>
      <c r="G13" s="374">
        <f>'YTD display'!D11</f>
        <v>0.35</v>
      </c>
      <c r="H13" s="374">
        <f>'YTD display'!E11</f>
        <v>0.14600000000000002</v>
      </c>
      <c r="I13" s="374">
        <f>'YTD display'!L11</f>
        <v>0.1975245219248013</v>
      </c>
      <c r="J13" s="400">
        <f t="shared" si="0"/>
        <v>5.1524521924801281E-2</v>
      </c>
      <c r="K13" s="346">
        <f t="shared" si="1"/>
        <v>1.3529076844164472</v>
      </c>
      <c r="L13" s="1395"/>
      <c r="M13" s="1395"/>
      <c r="N13" s="1395"/>
      <c r="O13" s="1395"/>
      <c r="P13" s="1395"/>
    </row>
    <row r="14" spans="3:17" ht="18.75">
      <c r="C14" s="344" t="s">
        <v>59</v>
      </c>
      <c r="D14" s="370">
        <f>'YTD display'!H12</f>
        <v>5461.1506849315083</v>
      </c>
      <c r="E14" s="395"/>
      <c r="F14" s="370">
        <f ca="1">'YTD display'!I12</f>
        <v>0</v>
      </c>
      <c r="G14" s="374">
        <f>'YTD display'!D12</f>
        <v>0.14700000000000002</v>
      </c>
      <c r="H14" s="374">
        <f>'YTD display'!E12</f>
        <v>6.2E-2</v>
      </c>
      <c r="I14" s="374">
        <f>'YTD display'!L12</f>
        <v>5.3377565889520216E-2</v>
      </c>
      <c r="J14" s="400">
        <f t="shared" si="0"/>
        <v>-8.6224341104797833E-3</v>
      </c>
      <c r="K14" s="346">
        <f t="shared" si="1"/>
        <v>0.86092848208903572</v>
      </c>
      <c r="L14" s="1395"/>
      <c r="M14" s="1395"/>
      <c r="N14" s="1395"/>
      <c r="O14" s="1395"/>
      <c r="P14" s="1395"/>
    </row>
    <row r="15" spans="3:17" ht="18.75">
      <c r="C15" s="344" t="s">
        <v>63</v>
      </c>
      <c r="D15" s="370">
        <f>'YTD display'!H13</f>
        <v>22301.369863013701</v>
      </c>
      <c r="E15" s="395"/>
      <c r="F15" s="370">
        <f ca="1">'YTD display'!I13</f>
        <v>0</v>
      </c>
      <c r="G15" s="374">
        <f>'YTD display'!D13</f>
        <v>0.77</v>
      </c>
      <c r="H15" s="374">
        <f>'YTD display'!E13</f>
        <v>0.32200000000000001</v>
      </c>
      <c r="I15" s="374">
        <f>'YTD display'!L13</f>
        <v>0.29918140266083793</v>
      </c>
      <c r="J15" s="400">
        <f t="shared" si="0"/>
        <v>-2.2818597339162083E-2</v>
      </c>
      <c r="K15" s="346">
        <f t="shared" si="1"/>
        <v>0.92913479087216744</v>
      </c>
      <c r="L15" s="1395"/>
      <c r="M15" s="1395"/>
      <c r="N15" s="1395"/>
      <c r="O15" s="1395"/>
      <c r="P15" s="1395"/>
    </row>
    <row r="16" spans="3:17" ht="18.75">
      <c r="C16" s="344" t="s">
        <v>64</v>
      </c>
      <c r="D16" s="370">
        <f>'YTD display'!H14</f>
        <v>7770.8592777085942</v>
      </c>
      <c r="E16" s="395"/>
      <c r="F16" s="370">
        <f ca="1">'YTD display'!I14</f>
        <v>0</v>
      </c>
      <c r="G16" s="374">
        <f>'YTD display'!D14</f>
        <v>0.05</v>
      </c>
      <c r="H16" s="374">
        <f>'YTD display'!E14</f>
        <v>2.2000000000000002E-2</v>
      </c>
      <c r="I16" s="374">
        <f>'YTD display'!L14</f>
        <v>1.8778006343221812E-2</v>
      </c>
      <c r="J16" s="400">
        <f t="shared" si="0"/>
        <v>-3.2219936567781902E-3</v>
      </c>
      <c r="K16" s="346">
        <f t="shared" si="1"/>
        <v>0.85354574287371865</v>
      </c>
      <c r="L16" s="1395"/>
      <c r="M16" s="1395"/>
      <c r="N16" s="1395"/>
      <c r="O16" s="1395"/>
      <c r="P16" s="1395"/>
    </row>
    <row r="17" spans="3:16" ht="18.75">
      <c r="C17" s="344" t="s">
        <v>65</v>
      </c>
      <c r="D17" s="370">
        <f>'YTD display'!H15</f>
        <v>5220</v>
      </c>
      <c r="E17" s="395"/>
      <c r="F17" s="370">
        <f ca="1">'YTD display'!I15</f>
        <v>0</v>
      </c>
      <c r="G17" s="374">
        <f>'YTD display'!D15</f>
        <v>0.11599999999999999</v>
      </c>
      <c r="H17" s="374">
        <f>'YTD display'!E15</f>
        <v>4.9000000000000002E-2</v>
      </c>
      <c r="I17" s="374">
        <f>'YTD display'!L15</f>
        <v>4.9772601919589168E-2</v>
      </c>
      <c r="J17" s="400">
        <f t="shared" si="0"/>
        <v>7.7260191958916646E-4</v>
      </c>
      <c r="K17" s="346">
        <f t="shared" si="1"/>
        <v>1.0157673861140646</v>
      </c>
      <c r="L17" s="1395"/>
      <c r="M17" s="1395"/>
      <c r="N17" s="1395"/>
      <c r="O17" s="1395"/>
      <c r="P17" s="1395"/>
    </row>
    <row r="18" spans="3:16" ht="18.75">
      <c r="C18" s="344" t="s">
        <v>66</v>
      </c>
      <c r="D18" s="370">
        <f>'YTD display'!H16</f>
        <v>431104.10958904115</v>
      </c>
      <c r="E18" s="395"/>
      <c r="F18" s="370">
        <f ca="1">'YTD display'!I16</f>
        <v>0</v>
      </c>
      <c r="G18" s="374">
        <f>'YTD display'!D16</f>
        <v>0.82600000000000007</v>
      </c>
      <c r="H18" s="374">
        <f>'YTD display'!E16</f>
        <v>0.34600000000000003</v>
      </c>
      <c r="I18" s="374">
        <f>'YTD display'!L16</f>
        <v>0.27316170604839674</v>
      </c>
      <c r="J18" s="400">
        <f t="shared" si="0"/>
        <v>-7.2838293951603295E-2</v>
      </c>
      <c r="K18" s="346">
        <f t="shared" si="1"/>
        <v>0.7894846995618402</v>
      </c>
      <c r="L18" s="1395"/>
      <c r="M18" s="1395"/>
      <c r="N18" s="1395"/>
      <c r="O18" s="1395"/>
      <c r="P18" s="1395"/>
    </row>
    <row r="19" spans="3:16" ht="18.75">
      <c r="C19" s="344" t="s">
        <v>67</v>
      </c>
      <c r="D19" s="370">
        <f>'YTD display'!H17</f>
        <v>52400</v>
      </c>
      <c r="E19" s="395"/>
      <c r="F19" s="370">
        <f ca="1">'YTD display'!I17</f>
        <v>0</v>
      </c>
      <c r="G19" s="374">
        <f>'YTD display'!D17</f>
        <v>0.65500000000000003</v>
      </c>
      <c r="H19" s="374">
        <f>'YTD display'!E17</f>
        <v>0.27500000000000002</v>
      </c>
      <c r="I19" s="374">
        <f>'YTD display'!L17</f>
        <v>0.28041999622492919</v>
      </c>
      <c r="J19" s="400">
        <f t="shared" si="0"/>
        <v>5.4199962249291689E-3</v>
      </c>
      <c r="K19" s="346">
        <f t="shared" si="1"/>
        <v>1.0197090771815607</v>
      </c>
      <c r="L19" s="1395"/>
      <c r="M19" s="1395"/>
      <c r="N19" s="1395"/>
      <c r="O19" s="1395"/>
      <c r="P19" s="1395"/>
    </row>
    <row r="20" spans="3:16" ht="18.75">
      <c r="C20" s="344" t="s">
        <v>68</v>
      </c>
      <c r="D20" s="370">
        <f>'YTD display'!H18</f>
        <v>13127.972176875577</v>
      </c>
      <c r="E20" s="395"/>
      <c r="F20" s="370">
        <f ca="1">'YTD display'!I18</f>
        <v>0</v>
      </c>
      <c r="G20" s="374">
        <f>'YTD display'!D18</f>
        <v>0.17</v>
      </c>
      <c r="H20" s="374">
        <f>'YTD display'!E18</f>
        <v>7.1000000000000008E-2</v>
      </c>
      <c r="I20" s="374">
        <f>'YTD display'!L18</f>
        <v>6.7550622111245281E-2</v>
      </c>
      <c r="J20" s="400">
        <f t="shared" si="0"/>
        <v>-3.4493778887547261E-3</v>
      </c>
      <c r="K20" s="346">
        <f t="shared" si="1"/>
        <v>0.95141721283444047</v>
      </c>
      <c r="L20" s="1395"/>
      <c r="M20" s="1395"/>
      <c r="N20" s="1395"/>
      <c r="O20" s="1395"/>
      <c r="P20" s="1395"/>
    </row>
    <row r="21" spans="3:16" ht="18.75">
      <c r="C21" s="344" t="s">
        <v>69</v>
      </c>
      <c r="D21" s="370">
        <f>'YTD display'!H19</f>
        <v>0</v>
      </c>
      <c r="E21" s="395"/>
      <c r="F21" s="370">
        <f ca="1">'YTD display'!I19</f>
        <v>0</v>
      </c>
      <c r="G21" s="374">
        <f>'YTD display'!D19</f>
        <v>0</v>
      </c>
      <c r="H21" s="374">
        <f>'YTD display'!E19</f>
        <v>0</v>
      </c>
      <c r="I21" s="374">
        <f>'YTD display'!L19</f>
        <v>0</v>
      </c>
      <c r="J21" s="400">
        <f t="shared" si="0"/>
        <v>0</v>
      </c>
      <c r="K21" s="346" t="str">
        <f t="shared" si="1"/>
        <v>-</v>
      </c>
      <c r="L21" s="1396"/>
      <c r="M21" s="1396"/>
      <c r="N21" s="1396"/>
      <c r="O21" s="1396"/>
      <c r="P21" s="1396"/>
    </row>
    <row r="22" spans="3:16" ht="18.75">
      <c r="C22" s="344" t="s">
        <v>70</v>
      </c>
      <c r="D22" s="370">
        <f>'YTD display'!H20</f>
        <v>0</v>
      </c>
      <c r="E22" s="395"/>
      <c r="F22" s="370">
        <f ca="1">'YTD display'!I20</f>
        <v>0</v>
      </c>
      <c r="G22" s="374">
        <f>'YTD display'!D20</f>
        <v>0</v>
      </c>
      <c r="H22" s="374">
        <f>'YTD display'!E20</f>
        <v>0</v>
      </c>
      <c r="I22" s="374">
        <f>'YTD display'!L20</f>
        <v>0</v>
      </c>
      <c r="J22" s="400">
        <f t="shared" si="0"/>
        <v>0</v>
      </c>
      <c r="K22" s="346" t="str">
        <f t="shared" si="1"/>
        <v>-</v>
      </c>
      <c r="L22" s="1396"/>
      <c r="M22" s="1396"/>
      <c r="N22" s="1396"/>
      <c r="O22" s="1396"/>
      <c r="P22" s="1396"/>
    </row>
    <row r="23" spans="3:16" ht="18.75">
      <c r="C23" s="347" t="s">
        <v>416</v>
      </c>
      <c r="D23" s="371">
        <f>'YTD display'!H21</f>
        <v>145966.73972602742</v>
      </c>
      <c r="E23" s="396"/>
      <c r="F23" s="371">
        <f ca="1">'YTD display'!I21</f>
        <v>0</v>
      </c>
      <c r="G23" s="375">
        <f>'YTD display'!D21</f>
        <v>7.2519999999999998</v>
      </c>
      <c r="H23" s="375">
        <f>'YTD display'!E21</f>
        <v>3.0489999999999999</v>
      </c>
      <c r="I23" s="375">
        <f>'YTD display'!L21</f>
        <v>3.0617020287161378</v>
      </c>
      <c r="J23" s="401">
        <f t="shared" si="0"/>
        <v>1.2702028716137903E-2</v>
      </c>
      <c r="K23" s="348">
        <f t="shared" si="1"/>
        <v>1.0041659654693795</v>
      </c>
      <c r="L23" s="265"/>
      <c r="M23" s="265"/>
      <c r="N23" s="265"/>
      <c r="O23" s="265"/>
      <c r="P23" s="265"/>
    </row>
    <row r="24" spans="3:16" ht="18.75">
      <c r="C24" s="265"/>
      <c r="D24" s="265"/>
      <c r="E24" s="265"/>
      <c r="F24" s="265"/>
      <c r="G24" s="265"/>
      <c r="H24" s="265"/>
      <c r="I24" s="265"/>
      <c r="J24" s="265"/>
      <c r="K24" s="265"/>
      <c r="L24" s="265"/>
      <c r="M24" s="265"/>
      <c r="N24" s="265"/>
      <c r="O24" s="265"/>
      <c r="P24" s="265"/>
    </row>
    <row r="25" spans="3:16" ht="18.75">
      <c r="C25" s="265"/>
      <c r="D25" s="265"/>
      <c r="E25" s="265"/>
      <c r="F25" s="265"/>
      <c r="G25" s="265"/>
      <c r="H25" s="265"/>
      <c r="I25" s="265"/>
      <c r="J25" s="265"/>
      <c r="K25" s="265"/>
      <c r="L25" s="265"/>
      <c r="M25" s="265"/>
      <c r="N25" s="265"/>
      <c r="O25" s="265"/>
      <c r="P25" s="265"/>
    </row>
    <row r="26" spans="3:16" ht="18.75" customHeight="1">
      <c r="C26" s="1373" t="s">
        <v>417</v>
      </c>
      <c r="D26" s="1365" t="s">
        <v>418</v>
      </c>
      <c r="E26" s="1366"/>
      <c r="F26" s="1365"/>
      <c r="G26" s="1392" t="s">
        <v>419</v>
      </c>
      <c r="H26" s="1393"/>
      <c r="I26" s="1393"/>
      <c r="J26" s="1394"/>
      <c r="K26" s="1376" t="s">
        <v>27</v>
      </c>
      <c r="L26" s="1379" t="s">
        <v>415</v>
      </c>
      <c r="M26" s="1380"/>
      <c r="N26" s="1380"/>
      <c r="O26" s="1380"/>
      <c r="P26" s="1381"/>
    </row>
    <row r="27" spans="3:16" ht="32.25" customHeight="1">
      <c r="C27" s="1374"/>
      <c r="D27" s="366" t="str">
        <f>Dropdowns!C123</f>
        <v>BE</v>
      </c>
      <c r="E27" s="393"/>
      <c r="F27" s="1388" t="s">
        <v>29</v>
      </c>
      <c r="G27" s="1409" t="str">
        <f>Dropdowns!C123</f>
        <v>BE</v>
      </c>
      <c r="H27" s="1410"/>
      <c r="I27" s="1390" t="s">
        <v>29</v>
      </c>
      <c r="J27" s="1397" t="s">
        <v>460</v>
      </c>
      <c r="K27" s="1377"/>
      <c r="L27" s="1382"/>
      <c r="M27" s="1383"/>
      <c r="N27" s="1383"/>
      <c r="O27" s="1383"/>
      <c r="P27" s="1384"/>
    </row>
    <row r="28" spans="3:16" ht="55.5" customHeight="1">
      <c r="C28" s="1375"/>
      <c r="D28" s="366" t="s">
        <v>464</v>
      </c>
      <c r="E28" s="397" t="s">
        <v>461</v>
      </c>
      <c r="F28" s="1389"/>
      <c r="G28" s="373" t="s">
        <v>465</v>
      </c>
      <c r="H28" s="373" t="s">
        <v>466</v>
      </c>
      <c r="I28" s="1391"/>
      <c r="J28" s="1397"/>
      <c r="K28" s="1378"/>
      <c r="L28" s="1385"/>
      <c r="M28" s="1386"/>
      <c r="N28" s="1386"/>
      <c r="O28" s="1386"/>
      <c r="P28" s="1387"/>
    </row>
    <row r="29" spans="3:16" ht="18.75">
      <c r="C29" s="344" t="s">
        <v>60</v>
      </c>
      <c r="D29" s="367">
        <f>'YTD display'!H24</f>
        <v>8.4794520547945211</v>
      </c>
      <c r="E29" s="398"/>
      <c r="F29" s="367">
        <f ca="1">'YTD display'!I24</f>
        <v>0</v>
      </c>
      <c r="G29" s="374">
        <f>'YTD display'!D24</f>
        <v>0.61900000000000011</v>
      </c>
      <c r="H29" s="374">
        <f>'YTD display'!E24</f>
        <v>0.248</v>
      </c>
      <c r="I29" s="374">
        <f>'YTD display'!L24</f>
        <v>0.24492837185478003</v>
      </c>
      <c r="J29" s="400">
        <f>I29-H29</f>
        <v>-3.0716281452199679E-3</v>
      </c>
      <c r="K29" s="346">
        <f>IFERROR(I29/H29,"-")</f>
        <v>0.98761440264024203</v>
      </c>
      <c r="L29" s="1364"/>
      <c r="M29" s="1364"/>
      <c r="N29" s="1364"/>
      <c r="O29" s="1364"/>
      <c r="P29" s="1364"/>
    </row>
    <row r="30" spans="3:16" ht="18.75">
      <c r="C30" s="349" t="s">
        <v>61</v>
      </c>
      <c r="D30" s="367">
        <f>'YTD display'!H25</f>
        <v>8.4293488459373229</v>
      </c>
      <c r="E30" s="398"/>
      <c r="F30" s="367">
        <f ca="1">'YTD display'!I25</f>
        <v>0</v>
      </c>
      <c r="G30" s="374">
        <f>'YTD display'!D25</f>
        <v>0.79994520547945203</v>
      </c>
      <c r="H30" s="374">
        <f>'YTD display'!E25</f>
        <v>0.33600000000000002</v>
      </c>
      <c r="I30" s="374">
        <f>'YTD display'!L25</f>
        <v>0.38663417235999997</v>
      </c>
      <c r="J30" s="400">
        <f t="shared" ref="J30:J43" si="2">I30-H30</f>
        <v>5.0634172359999952E-2</v>
      </c>
      <c r="K30" s="346">
        <f t="shared" ref="K30:K43" si="3">IFERROR(I30/H30,"-")</f>
        <v>1.1506969415476189</v>
      </c>
      <c r="L30" s="1364"/>
      <c r="M30" s="1364"/>
      <c r="N30" s="1364"/>
      <c r="O30" s="1364"/>
      <c r="P30" s="1364"/>
    </row>
    <row r="31" spans="3:16" ht="18.75">
      <c r="C31" s="349" t="s">
        <v>62</v>
      </c>
      <c r="D31" s="367">
        <f>'YTD display'!H26</f>
        <v>0.25748920998311126</v>
      </c>
      <c r="E31" s="398"/>
      <c r="F31" s="367">
        <f ca="1">'YTD display'!I26</f>
        <v>0</v>
      </c>
      <c r="G31" s="374">
        <f>'YTD display'!D26</f>
        <v>9.3983561643835617E-2</v>
      </c>
      <c r="H31" s="374">
        <f>'YTD display'!E26</f>
        <v>0.04</v>
      </c>
      <c r="I31" s="374">
        <f>'YTD display'!L26</f>
        <v>3.8649968E-2</v>
      </c>
      <c r="J31" s="400">
        <f t="shared" si="2"/>
        <v>-1.350032000000001E-3</v>
      </c>
      <c r="K31" s="346">
        <f t="shared" si="3"/>
        <v>0.96624920000000003</v>
      </c>
      <c r="L31" s="1364"/>
      <c r="M31" s="1364"/>
      <c r="N31" s="1364"/>
      <c r="O31" s="1364"/>
      <c r="P31" s="1364"/>
    </row>
    <row r="32" spans="3:16" ht="18.75">
      <c r="C32" s="349" t="s">
        <v>57</v>
      </c>
      <c r="D32" s="367">
        <f>'YTD display'!H27</f>
        <v>10.851380849504324</v>
      </c>
      <c r="E32" s="398"/>
      <c r="F32" s="367">
        <f ca="1">'YTD display'!I27</f>
        <v>0</v>
      </c>
      <c r="G32" s="374">
        <f>'YTD display'!D27</f>
        <v>0.11585205479452054</v>
      </c>
      <c r="H32" s="374">
        <f>'YTD display'!E27</f>
        <v>0.05</v>
      </c>
      <c r="I32" s="374">
        <f>'YTD display'!L27</f>
        <v>5.1243716568454493E-2</v>
      </c>
      <c r="J32" s="400">
        <f t="shared" si="2"/>
        <v>1.2437165684544907E-3</v>
      </c>
      <c r="K32" s="346">
        <f t="shared" si="3"/>
        <v>1.0248743313690898</v>
      </c>
      <c r="L32" s="1364"/>
      <c r="M32" s="1364"/>
      <c r="N32" s="1364"/>
      <c r="O32" s="1364"/>
      <c r="P32" s="1364"/>
    </row>
    <row r="33" spans="3:16" ht="18.75">
      <c r="C33" s="349" t="s">
        <v>58</v>
      </c>
      <c r="D33" s="367">
        <f>'YTD display'!H28</f>
        <v>0.25492935232098302</v>
      </c>
      <c r="E33" s="398"/>
      <c r="F33" s="367">
        <f ca="1">'YTD display'!I28</f>
        <v>0</v>
      </c>
      <c r="G33" s="374">
        <f>'YTD display'!D28</f>
        <v>2.5123287671232876E-2</v>
      </c>
      <c r="H33" s="374">
        <f>'YTD display'!E28</f>
        <v>0.01</v>
      </c>
      <c r="I33" s="374">
        <f>'YTD display'!L28</f>
        <v>1.7309314750000002E-2</v>
      </c>
      <c r="J33" s="400">
        <f t="shared" si="2"/>
        <v>7.3093147500000021E-3</v>
      </c>
      <c r="K33" s="346">
        <f t="shared" si="3"/>
        <v>1.7309314750000002</v>
      </c>
      <c r="L33" s="1364"/>
      <c r="M33" s="1364"/>
      <c r="N33" s="1364"/>
      <c r="O33" s="1364"/>
      <c r="P33" s="1364"/>
    </row>
    <row r="34" spans="3:16" ht="18.75">
      <c r="C34" s="349" t="s">
        <v>59</v>
      </c>
      <c r="D34" s="367">
        <f>'YTD display'!H29</f>
        <v>2.1917808219178082E-2</v>
      </c>
      <c r="E34" s="398"/>
      <c r="F34" s="367">
        <f ca="1">'YTD display'!I29</f>
        <v>0</v>
      </c>
      <c r="G34" s="374">
        <f>'YTD display'!D29</f>
        <v>4.0000000000000001E-3</v>
      </c>
      <c r="H34" s="374">
        <f>'YTD display'!E29</f>
        <v>1E-3</v>
      </c>
      <c r="I34" s="374">
        <f>'YTD display'!L29</f>
        <v>1.3850000000000004E-3</v>
      </c>
      <c r="J34" s="400">
        <f t="shared" si="2"/>
        <v>3.8500000000000036E-4</v>
      </c>
      <c r="K34" s="346">
        <f t="shared" si="3"/>
        <v>1.3850000000000005</v>
      </c>
      <c r="L34" s="1364"/>
      <c r="M34" s="1364"/>
      <c r="N34" s="1364"/>
      <c r="O34" s="1364"/>
      <c r="P34" s="1364"/>
    </row>
    <row r="35" spans="3:16" ht="18.75">
      <c r="C35" s="349" t="s">
        <v>63</v>
      </c>
      <c r="D35" s="367">
        <f>'YTD display'!H30</f>
        <v>3.9138943248532296E-3</v>
      </c>
      <c r="E35" s="398"/>
      <c r="F35" s="367">
        <f ca="1">'YTD display'!I30</f>
        <v>0</v>
      </c>
      <c r="G35" s="374">
        <f>'YTD display'!D30</f>
        <v>1E-3</v>
      </c>
      <c r="H35" s="374">
        <f>'YTD display'!E30</f>
        <v>0</v>
      </c>
      <c r="I35" s="374">
        <f>'YTD display'!L30</f>
        <v>8.0926053456492619E-3</v>
      </c>
      <c r="J35" s="400">
        <f t="shared" si="2"/>
        <v>8.0926053456492619E-3</v>
      </c>
      <c r="K35" s="346" t="str">
        <f t="shared" si="3"/>
        <v>-</v>
      </c>
      <c r="L35" s="1364"/>
      <c r="M35" s="1364"/>
      <c r="N35" s="1364"/>
      <c r="O35" s="1364"/>
      <c r="P35" s="1364"/>
    </row>
    <row r="36" spans="3:16" ht="18.75">
      <c r="C36" s="349" t="s">
        <v>64</v>
      </c>
      <c r="D36" s="367">
        <f>'YTD display'!H31</f>
        <v>0.21829099779934835</v>
      </c>
      <c r="E36" s="398"/>
      <c r="F36" s="367">
        <f ca="1">'YTD display'!I31</f>
        <v>0</v>
      </c>
      <c r="G36" s="374">
        <f>'YTD display'!D31</f>
        <v>8.7643835616438362E-3</v>
      </c>
      <c r="H36" s="374">
        <f>'YTD display'!E31</f>
        <v>4.0000000000000001E-3</v>
      </c>
      <c r="I36" s="374">
        <f>'YTD display'!L31</f>
        <v>4.6609400617873015E-3</v>
      </c>
      <c r="J36" s="400">
        <f t="shared" si="2"/>
        <v>6.6094006178730146E-4</v>
      </c>
      <c r="K36" s="346">
        <f t="shared" si="3"/>
        <v>1.1652350154468254</v>
      </c>
      <c r="L36" s="1364"/>
      <c r="M36" s="1364"/>
      <c r="N36" s="1364"/>
      <c r="O36" s="1364"/>
      <c r="P36" s="1364"/>
    </row>
    <row r="37" spans="3:16" ht="18.75">
      <c r="C37" s="349" t="s">
        <v>65</v>
      </c>
      <c r="D37" s="367">
        <f>'YTD display'!H32</f>
        <v>0.21724526177519235</v>
      </c>
      <c r="E37" s="398"/>
      <c r="F37" s="367">
        <f ca="1">'YTD display'!I32</f>
        <v>0</v>
      </c>
      <c r="G37" s="374">
        <f>'YTD display'!D32</f>
        <v>3.1717808219178086E-2</v>
      </c>
      <c r="H37" s="374">
        <f>'YTD display'!E32</f>
        <v>1.3999999999999999E-2</v>
      </c>
      <c r="I37" s="374">
        <f>'YTD display'!L32</f>
        <v>6.0630020926129916E-3</v>
      </c>
      <c r="J37" s="400">
        <f t="shared" si="2"/>
        <v>-7.936997907387007E-3</v>
      </c>
      <c r="K37" s="346">
        <f t="shared" si="3"/>
        <v>0.43307157804378515</v>
      </c>
      <c r="L37" s="1364"/>
      <c r="M37" s="1364"/>
      <c r="N37" s="1364"/>
      <c r="O37" s="1364"/>
      <c r="P37" s="1364"/>
    </row>
    <row r="38" spans="3:16" ht="18.75">
      <c r="C38" s="349" t="s">
        <v>66</v>
      </c>
      <c r="D38" s="367">
        <f>'YTD display'!H33</f>
        <v>0</v>
      </c>
      <c r="E38" s="398"/>
      <c r="F38" s="367">
        <f ca="1">'YTD display'!I33</f>
        <v>0</v>
      </c>
      <c r="G38" s="374">
        <f>'YTD display'!D33</f>
        <v>0</v>
      </c>
      <c r="H38" s="374">
        <f>'YTD display'!E33</f>
        <v>0</v>
      </c>
      <c r="I38" s="374">
        <f>'YTD display'!L33</f>
        <v>0</v>
      </c>
      <c r="J38" s="400">
        <f t="shared" si="2"/>
        <v>0</v>
      </c>
      <c r="K38" s="346" t="str">
        <f t="shared" si="3"/>
        <v>-</v>
      </c>
      <c r="L38" s="1364"/>
      <c r="M38" s="1364"/>
      <c r="N38" s="1364"/>
      <c r="O38" s="1364"/>
      <c r="P38" s="1364"/>
    </row>
    <row r="39" spans="3:16" ht="18.75">
      <c r="C39" s="349" t="s">
        <v>67</v>
      </c>
      <c r="D39" s="367">
        <f>'YTD display'!H34</f>
        <v>0</v>
      </c>
      <c r="E39" s="398"/>
      <c r="F39" s="367">
        <f ca="1">'YTD display'!I34</f>
        <v>0</v>
      </c>
      <c r="G39" s="374">
        <f>'YTD display'!D34</f>
        <v>0</v>
      </c>
      <c r="H39" s="374">
        <f>'YTD display'!E34</f>
        <v>0</v>
      </c>
      <c r="I39" s="374">
        <f>'YTD display'!L34</f>
        <v>0</v>
      </c>
      <c r="J39" s="400">
        <f t="shared" si="2"/>
        <v>0</v>
      </c>
      <c r="K39" s="346" t="str">
        <f t="shared" si="3"/>
        <v>-</v>
      </c>
      <c r="L39" s="1364"/>
      <c r="M39" s="1364"/>
      <c r="N39" s="1364"/>
      <c r="O39" s="1364"/>
      <c r="P39" s="1364"/>
    </row>
    <row r="40" spans="3:16" ht="18.75">
      <c r="C40" s="349" t="s">
        <v>68</v>
      </c>
      <c r="D40" s="367">
        <f>'YTD display'!H35</f>
        <v>0</v>
      </c>
      <c r="E40" s="398"/>
      <c r="F40" s="367">
        <f ca="1">'YTD display'!I35</f>
        <v>0</v>
      </c>
      <c r="G40" s="374">
        <f>'YTD display'!D35</f>
        <v>0</v>
      </c>
      <c r="H40" s="374">
        <f>'YTD display'!E35</f>
        <v>0</v>
      </c>
      <c r="I40" s="374">
        <f>'YTD display'!L35</f>
        <v>0</v>
      </c>
      <c r="J40" s="400">
        <f t="shared" si="2"/>
        <v>0</v>
      </c>
      <c r="K40" s="346" t="str">
        <f t="shared" si="3"/>
        <v>-</v>
      </c>
      <c r="L40" s="1364"/>
      <c r="M40" s="1364"/>
      <c r="N40" s="1364"/>
      <c r="O40" s="1364"/>
      <c r="P40" s="1364"/>
    </row>
    <row r="41" spans="3:16" ht="18.75">
      <c r="C41" s="349" t="s">
        <v>69</v>
      </c>
      <c r="D41" s="367">
        <f>'YTD display'!H36</f>
        <v>0</v>
      </c>
      <c r="E41" s="398"/>
      <c r="F41" s="367">
        <f ca="1">'YTD display'!I36</f>
        <v>0</v>
      </c>
      <c r="G41" s="374">
        <f>'YTD display'!D36</f>
        <v>0</v>
      </c>
      <c r="H41" s="374">
        <f>'YTD display'!E36</f>
        <v>0</v>
      </c>
      <c r="I41" s="374">
        <f>'YTD display'!L36</f>
        <v>0</v>
      </c>
      <c r="J41" s="400">
        <f t="shared" si="2"/>
        <v>0</v>
      </c>
      <c r="K41" s="346" t="str">
        <f t="shared" si="3"/>
        <v>-</v>
      </c>
      <c r="L41" s="1364"/>
      <c r="M41" s="1364"/>
      <c r="N41" s="1364"/>
      <c r="O41" s="1364"/>
      <c r="P41" s="1364"/>
    </row>
    <row r="42" spans="3:16" ht="18.75">
      <c r="C42" s="349" t="s">
        <v>70</v>
      </c>
      <c r="D42" s="367">
        <f>'YTD display'!H37</f>
        <v>14.089123883743774</v>
      </c>
      <c r="E42" s="398"/>
      <c r="F42" s="367">
        <f ca="1">'YTD display'!I37</f>
        <v>0</v>
      </c>
      <c r="G42" s="374">
        <f>'YTD display'!D37</f>
        <v>0.87423013698630125</v>
      </c>
      <c r="H42" s="374">
        <f>'YTD display'!E37</f>
        <v>0.36599999999999999</v>
      </c>
      <c r="I42" s="374">
        <f>'YTD display'!L37</f>
        <v>0.36315959784452373</v>
      </c>
      <c r="J42" s="400">
        <f t="shared" si="2"/>
        <v>-2.8404021554762626E-3</v>
      </c>
      <c r="K42" s="346">
        <f t="shared" si="3"/>
        <v>0.9922393383730157</v>
      </c>
      <c r="L42" s="1364"/>
      <c r="M42" s="1364"/>
      <c r="N42" s="1364"/>
      <c r="O42" s="1364"/>
      <c r="P42" s="1364"/>
    </row>
    <row r="43" spans="3:16" ht="18.75">
      <c r="C43" s="347" t="s">
        <v>92</v>
      </c>
      <c r="D43" s="368">
        <f>'YTD display'!H38</f>
        <v>7.051003940701821</v>
      </c>
      <c r="E43" s="399"/>
      <c r="F43" s="368">
        <f ca="1">'YTD display'!I38</f>
        <v>0</v>
      </c>
      <c r="G43" s="375">
        <f>'YTD display'!D38</f>
        <v>2.5736164383561642</v>
      </c>
      <c r="H43" s="375">
        <f>'YTD display'!E38</f>
        <v>1.0690000000000002</v>
      </c>
      <c r="I43" s="375">
        <f>'YTD display'!L38</f>
        <v>1.1221266888778076</v>
      </c>
      <c r="J43" s="401">
        <f t="shared" si="2"/>
        <v>5.3126688877807471E-2</v>
      </c>
      <c r="K43" s="348">
        <f t="shared" si="3"/>
        <v>1.0496975574160967</v>
      </c>
      <c r="L43" s="265"/>
      <c r="M43" s="265"/>
      <c r="N43" s="265"/>
      <c r="O43" s="265"/>
      <c r="P43" s="265"/>
    </row>
    <row r="48" spans="3:16" ht="18.75">
      <c r="C48" s="1365" t="s">
        <v>467</v>
      </c>
      <c r="D48" s="1365"/>
      <c r="E48" s="1365"/>
      <c r="F48" s="1365"/>
      <c r="G48" s="1365"/>
      <c r="H48" s="1365"/>
    </row>
    <row r="49" spans="3:8" ht="18.75">
      <c r="C49" s="356"/>
      <c r="D49" s="1411" t="str">
        <f>D7</f>
        <v>BE</v>
      </c>
      <c r="E49" s="1411"/>
      <c r="F49" s="357" t="s">
        <v>29</v>
      </c>
      <c r="G49" s="1376" t="s">
        <v>462</v>
      </c>
      <c r="H49" s="1376" t="s">
        <v>27</v>
      </c>
    </row>
    <row r="50" spans="3:8" ht="18.75">
      <c r="C50" s="356"/>
      <c r="D50" s="392" t="s">
        <v>87</v>
      </c>
      <c r="E50" s="392" t="s">
        <v>157</v>
      </c>
      <c r="F50" s="357" t="s">
        <v>157</v>
      </c>
      <c r="G50" s="1378"/>
      <c r="H50" s="1378"/>
    </row>
    <row r="51" spans="3:8" ht="18.75">
      <c r="C51" s="349" t="s">
        <v>60</v>
      </c>
      <c r="D51" s="345">
        <f t="shared" ref="D51:D65" si="4">G9+G29</f>
        <v>1.988</v>
      </c>
      <c r="E51" s="345">
        <f>H9+H29</f>
        <v>0.83</v>
      </c>
      <c r="F51" s="345">
        <f>I9+I29</f>
        <v>1.0028902691519084</v>
      </c>
      <c r="G51" s="345">
        <f>F51-E51</f>
        <v>0.17289026915190842</v>
      </c>
      <c r="H51" s="358">
        <f>F51/E51</f>
        <v>1.2083015290986849</v>
      </c>
    </row>
    <row r="52" spans="3:8" ht="18.75">
      <c r="C52" s="349" t="s">
        <v>61</v>
      </c>
      <c r="D52" s="345">
        <f t="shared" si="4"/>
        <v>3.0269452054794517</v>
      </c>
      <c r="E52" s="345">
        <f t="shared" ref="E52:E65" si="5">H10+H30</f>
        <v>1.2700000000000002</v>
      </c>
      <c r="F52" s="345">
        <f t="shared" ref="F52:F65" si="6">I10+I30</f>
        <v>1.220260758387941</v>
      </c>
      <c r="G52" s="345">
        <f t="shared" ref="G52:G65" si="7">F52-E52</f>
        <v>-4.9739241612059226E-2</v>
      </c>
      <c r="H52" s="358">
        <f t="shared" ref="H52:H65" si="8">F52/E52</f>
        <v>0.9608352428251502</v>
      </c>
    </row>
    <row r="53" spans="3:8" ht="18.75">
      <c r="C53" s="349" t="s">
        <v>62</v>
      </c>
      <c r="D53" s="345">
        <f t="shared" si="4"/>
        <v>0.19498356164383562</v>
      </c>
      <c r="E53" s="345">
        <f t="shared" si="5"/>
        <v>8.2000000000000003E-2</v>
      </c>
      <c r="F53" s="345">
        <f t="shared" si="6"/>
        <v>7.7107928620487987E-2</v>
      </c>
      <c r="G53" s="345">
        <f t="shared" si="7"/>
        <v>-4.8920713795120169E-3</v>
      </c>
      <c r="H53" s="358">
        <f t="shared" si="8"/>
        <v>0.94034059293278027</v>
      </c>
    </row>
    <row r="54" spans="3:8" ht="18.75">
      <c r="C54" s="349" t="s">
        <v>57</v>
      </c>
      <c r="D54" s="345">
        <f t="shared" si="4"/>
        <v>0.58685205479452052</v>
      </c>
      <c r="E54" s="345">
        <f t="shared" si="5"/>
        <v>0.248</v>
      </c>
      <c r="F54" s="345">
        <f t="shared" si="6"/>
        <v>0.24313287821649371</v>
      </c>
      <c r="G54" s="345">
        <f t="shared" si="7"/>
        <v>-4.8671217835062897E-3</v>
      </c>
      <c r="H54" s="358">
        <f t="shared" si="8"/>
        <v>0.98037450893747469</v>
      </c>
    </row>
    <row r="55" spans="3:8" ht="18.75">
      <c r="C55" s="349" t="s">
        <v>58</v>
      </c>
      <c r="D55" s="345">
        <f t="shared" si="4"/>
        <v>0.37512328767123287</v>
      </c>
      <c r="E55" s="345">
        <f t="shared" si="5"/>
        <v>0.15600000000000003</v>
      </c>
      <c r="F55" s="345">
        <f t="shared" si="6"/>
        <v>0.2148338366748013</v>
      </c>
      <c r="G55" s="345">
        <f t="shared" si="7"/>
        <v>5.8833836674801271E-2</v>
      </c>
      <c r="H55" s="358">
        <f t="shared" si="8"/>
        <v>1.3771399786846235</v>
      </c>
    </row>
    <row r="56" spans="3:8" ht="18.75">
      <c r="C56" s="349" t="s">
        <v>59</v>
      </c>
      <c r="D56" s="345">
        <f t="shared" si="4"/>
        <v>0.15100000000000002</v>
      </c>
      <c r="E56" s="345">
        <f t="shared" si="5"/>
        <v>6.3E-2</v>
      </c>
      <c r="F56" s="345">
        <f t="shared" si="6"/>
        <v>5.4762565889520214E-2</v>
      </c>
      <c r="G56" s="345">
        <f t="shared" si="7"/>
        <v>-8.2374341104797869E-3</v>
      </c>
      <c r="H56" s="358">
        <f t="shared" si="8"/>
        <v>0.86924707761143194</v>
      </c>
    </row>
    <row r="57" spans="3:8" ht="18.75">
      <c r="C57" s="349" t="s">
        <v>63</v>
      </c>
      <c r="D57" s="345">
        <f t="shared" si="4"/>
        <v>0.77100000000000002</v>
      </c>
      <c r="E57" s="345">
        <f t="shared" si="5"/>
        <v>0.32200000000000001</v>
      </c>
      <c r="F57" s="345">
        <f t="shared" si="6"/>
        <v>0.30727400800648719</v>
      </c>
      <c r="G57" s="345">
        <f t="shared" si="7"/>
        <v>-1.4725991993512821E-2</v>
      </c>
      <c r="H57" s="358">
        <f t="shared" si="8"/>
        <v>0.95426710561020867</v>
      </c>
    </row>
    <row r="58" spans="3:8" ht="18.75">
      <c r="C58" s="349" t="s">
        <v>64</v>
      </c>
      <c r="D58" s="345">
        <f t="shared" si="4"/>
        <v>5.8764383561643839E-2</v>
      </c>
      <c r="E58" s="345">
        <f t="shared" si="5"/>
        <v>2.6000000000000002E-2</v>
      </c>
      <c r="F58" s="345">
        <f t="shared" si="6"/>
        <v>2.3438946405009112E-2</v>
      </c>
      <c r="G58" s="345">
        <f t="shared" si="7"/>
        <v>-2.5610535949908905E-3</v>
      </c>
      <c r="H58" s="358">
        <f t="shared" si="8"/>
        <v>0.90149793865419647</v>
      </c>
    </row>
    <row r="59" spans="3:8" ht="18.75">
      <c r="C59" s="349" t="s">
        <v>65</v>
      </c>
      <c r="D59" s="345">
        <f t="shared" si="4"/>
        <v>0.14771780821917807</v>
      </c>
      <c r="E59" s="345">
        <f t="shared" si="5"/>
        <v>6.3E-2</v>
      </c>
      <c r="F59" s="345">
        <f t="shared" si="6"/>
        <v>5.583560401220216E-2</v>
      </c>
      <c r="G59" s="345">
        <f t="shared" si="7"/>
        <v>-7.1643959877978405E-3</v>
      </c>
      <c r="H59" s="358">
        <f t="shared" si="8"/>
        <v>0.88627942876511367</v>
      </c>
    </row>
    <row r="60" spans="3:8" ht="18.75">
      <c r="C60" s="349" t="s">
        <v>66</v>
      </c>
      <c r="D60" s="345">
        <f t="shared" si="4"/>
        <v>0.82600000000000007</v>
      </c>
      <c r="E60" s="345">
        <f t="shared" si="5"/>
        <v>0.34600000000000003</v>
      </c>
      <c r="F60" s="345">
        <f t="shared" si="6"/>
        <v>0.27316170604839674</v>
      </c>
      <c r="G60" s="345">
        <f t="shared" si="7"/>
        <v>-7.2838293951603295E-2</v>
      </c>
      <c r="H60" s="358">
        <f t="shared" si="8"/>
        <v>0.7894846995618402</v>
      </c>
    </row>
    <row r="61" spans="3:8" ht="18.75">
      <c r="C61" s="349" t="s">
        <v>67</v>
      </c>
      <c r="D61" s="345">
        <f t="shared" si="4"/>
        <v>0.65500000000000003</v>
      </c>
      <c r="E61" s="345">
        <f t="shared" si="5"/>
        <v>0.27500000000000002</v>
      </c>
      <c r="F61" s="345">
        <f t="shared" si="6"/>
        <v>0.28041999622492919</v>
      </c>
      <c r="G61" s="345">
        <f t="shared" si="7"/>
        <v>5.4199962249291689E-3</v>
      </c>
      <c r="H61" s="358">
        <f t="shared" si="8"/>
        <v>1.0197090771815607</v>
      </c>
    </row>
    <row r="62" spans="3:8" ht="18.75">
      <c r="C62" s="349" t="s">
        <v>68</v>
      </c>
      <c r="D62" s="345">
        <f t="shared" si="4"/>
        <v>0.17</v>
      </c>
      <c r="E62" s="345">
        <f t="shared" si="5"/>
        <v>7.1000000000000008E-2</v>
      </c>
      <c r="F62" s="345">
        <f t="shared" si="6"/>
        <v>6.7550622111245281E-2</v>
      </c>
      <c r="G62" s="345">
        <f t="shared" si="7"/>
        <v>-3.4493778887547261E-3</v>
      </c>
      <c r="H62" s="358">
        <f t="shared" si="8"/>
        <v>0.95141721283444047</v>
      </c>
    </row>
    <row r="63" spans="3:8" ht="18.75">
      <c r="C63" s="349" t="s">
        <v>69</v>
      </c>
      <c r="D63" s="345">
        <f t="shared" si="4"/>
        <v>0</v>
      </c>
      <c r="E63" s="345">
        <f t="shared" si="5"/>
        <v>0</v>
      </c>
      <c r="F63" s="345">
        <f t="shared" si="6"/>
        <v>0</v>
      </c>
      <c r="G63" s="345">
        <f t="shared" si="7"/>
        <v>0</v>
      </c>
      <c r="H63" s="358" t="e">
        <f t="shared" si="8"/>
        <v>#DIV/0!</v>
      </c>
    </row>
    <row r="64" spans="3:8" ht="18.75">
      <c r="C64" s="349" t="s">
        <v>70</v>
      </c>
      <c r="D64" s="345">
        <f t="shared" si="4"/>
        <v>0.87423013698630125</v>
      </c>
      <c r="E64" s="345">
        <f t="shared" si="5"/>
        <v>0.36599999999999999</v>
      </c>
      <c r="F64" s="345">
        <f t="shared" si="6"/>
        <v>0.36315959784452373</v>
      </c>
      <c r="G64" s="345">
        <f t="shared" si="7"/>
        <v>-2.8404021554762626E-3</v>
      </c>
      <c r="H64" s="358">
        <f t="shared" si="8"/>
        <v>0.9922393383730157</v>
      </c>
    </row>
    <row r="65" spans="3:15" ht="18.75">
      <c r="C65" s="347" t="s">
        <v>425</v>
      </c>
      <c r="D65" s="350">
        <f t="shared" si="4"/>
        <v>9.8256164383561639</v>
      </c>
      <c r="E65" s="350">
        <f t="shared" si="5"/>
        <v>4.1180000000000003</v>
      </c>
      <c r="F65" s="350">
        <f t="shared" si="6"/>
        <v>4.1838287175939453</v>
      </c>
      <c r="G65" s="350">
        <f t="shared" si="7"/>
        <v>6.582871759394493E-2</v>
      </c>
      <c r="H65" s="359">
        <f t="shared" si="8"/>
        <v>1.0159856040781798</v>
      </c>
    </row>
    <row r="69" spans="3:15" ht="15" customHeight="1">
      <c r="C69" s="1367" t="s">
        <v>426</v>
      </c>
      <c r="D69" s="1368"/>
      <c r="E69" s="388"/>
      <c r="F69" s="1371" t="str">
        <f>G4</f>
        <v>2026-27</v>
      </c>
      <c r="G69" s="360"/>
      <c r="H69" s="360"/>
      <c r="I69" s="360"/>
      <c r="J69" s="360"/>
      <c r="K69" s="360"/>
      <c r="L69" s="360"/>
      <c r="M69" s="360"/>
      <c r="N69" s="360"/>
      <c r="O69" s="361"/>
    </row>
    <row r="70" spans="3:15" ht="15" customHeight="1">
      <c r="C70" s="1369"/>
      <c r="D70" s="1370"/>
      <c r="E70" s="389"/>
      <c r="F70" s="1372"/>
      <c r="G70" s="362"/>
      <c r="H70" s="362"/>
      <c r="I70" s="362"/>
      <c r="J70" s="362"/>
      <c r="K70" s="362"/>
      <c r="L70" s="362"/>
      <c r="M70" s="362"/>
      <c r="N70" s="362"/>
      <c r="O70" s="363"/>
    </row>
    <row r="71" spans="3:15" ht="18.75">
      <c r="C71" s="1362"/>
      <c r="D71" s="1362"/>
      <c r="E71" s="1363"/>
      <c r="F71" s="1362"/>
      <c r="G71" s="1362"/>
      <c r="H71" s="1362"/>
      <c r="I71" s="1362"/>
      <c r="J71" s="1363"/>
      <c r="K71" s="1362"/>
      <c r="L71" s="1362"/>
      <c r="M71" s="1362"/>
      <c r="N71" s="1362"/>
      <c r="O71" s="1362"/>
    </row>
    <row r="72" spans="3:15" ht="18.75">
      <c r="C72" s="1362"/>
      <c r="D72" s="1362"/>
      <c r="E72" s="1363"/>
      <c r="F72" s="1362"/>
      <c r="G72" s="1362"/>
      <c r="H72" s="1362"/>
      <c r="I72" s="1362"/>
      <c r="J72" s="1363"/>
      <c r="K72" s="1362"/>
      <c r="L72" s="1362"/>
      <c r="M72" s="1362"/>
      <c r="N72" s="1362"/>
      <c r="O72" s="1362"/>
    </row>
    <row r="73" spans="3:15" ht="18.75">
      <c r="C73" s="1362"/>
      <c r="D73" s="1362"/>
      <c r="E73" s="1363"/>
      <c r="F73" s="1362"/>
      <c r="G73" s="1362"/>
      <c r="H73" s="1362"/>
      <c r="I73" s="1362"/>
      <c r="J73" s="1363"/>
      <c r="K73" s="1362"/>
      <c r="L73" s="1362"/>
      <c r="M73" s="1362"/>
      <c r="N73" s="1362"/>
      <c r="O73" s="1362"/>
    </row>
    <row r="74" spans="3:15" ht="18.75">
      <c r="C74" s="1362"/>
      <c r="D74" s="1362"/>
      <c r="E74" s="1363"/>
      <c r="F74" s="1362"/>
      <c r="G74" s="1362"/>
      <c r="H74" s="1362"/>
      <c r="I74" s="1362"/>
      <c r="J74" s="1363"/>
      <c r="K74" s="1362"/>
      <c r="L74" s="1362"/>
      <c r="M74" s="1362"/>
      <c r="N74" s="1362"/>
      <c r="O74" s="1362"/>
    </row>
    <row r="75" spans="3:15" ht="18.75">
      <c r="C75" s="1362"/>
      <c r="D75" s="1362"/>
      <c r="E75" s="1363"/>
      <c r="F75" s="1362"/>
      <c r="G75" s="1362"/>
      <c r="H75" s="1362"/>
      <c r="I75" s="1362"/>
      <c r="J75" s="1363"/>
      <c r="K75" s="1362"/>
      <c r="L75" s="1362"/>
      <c r="M75" s="1362"/>
      <c r="N75" s="1362"/>
      <c r="O75" s="1362"/>
    </row>
    <row r="76" spans="3:15" ht="18.75">
      <c r="C76" s="1362"/>
      <c r="D76" s="1362"/>
      <c r="E76" s="1363"/>
      <c r="F76" s="1362"/>
      <c r="G76" s="1362"/>
      <c r="H76" s="1362"/>
      <c r="I76" s="1362"/>
      <c r="J76" s="1363"/>
      <c r="K76" s="1362"/>
      <c r="L76" s="1362"/>
      <c r="M76" s="1362"/>
      <c r="N76" s="1362"/>
      <c r="O76" s="1362"/>
    </row>
    <row r="77" spans="3:15" ht="18.75">
      <c r="C77" s="1362"/>
      <c r="D77" s="1362"/>
      <c r="E77" s="1363"/>
      <c r="F77" s="1362"/>
      <c r="G77" s="1362"/>
      <c r="H77" s="1362"/>
      <c r="I77" s="1362"/>
      <c r="J77" s="1363"/>
      <c r="K77" s="1362"/>
      <c r="L77" s="1362"/>
      <c r="M77" s="1362"/>
      <c r="N77" s="1362"/>
      <c r="O77" s="1362"/>
    </row>
    <row r="78" spans="3:15" ht="18.75">
      <c r="C78" s="1362"/>
      <c r="D78" s="1362"/>
      <c r="E78" s="1363"/>
      <c r="F78" s="1362"/>
      <c r="G78" s="1362"/>
      <c r="H78" s="1362"/>
      <c r="I78" s="1362"/>
      <c r="J78" s="1363"/>
      <c r="K78" s="1362"/>
      <c r="L78" s="1362"/>
      <c r="M78" s="1362"/>
      <c r="N78" s="1362"/>
      <c r="O78" s="1362"/>
    </row>
    <row r="79" spans="3:15" ht="18.75">
      <c r="C79" s="1362"/>
      <c r="D79" s="1362"/>
      <c r="E79" s="1363"/>
      <c r="F79" s="1362"/>
      <c r="G79" s="1362"/>
      <c r="H79" s="1362"/>
      <c r="I79" s="1362"/>
      <c r="J79" s="1363"/>
      <c r="K79" s="1362"/>
      <c r="L79" s="1362"/>
      <c r="M79" s="1362"/>
      <c r="N79" s="1362"/>
      <c r="O79" s="1362"/>
    </row>
  </sheetData>
  <sheetProtection algorithmName="SHA-512" hashValue="3onJn3HTg1pCLFSvo+hDYjVcD7T1zcAQFfSvccIG8l+P3gRA8TVBeCZdRJACImEIk5NPykDwMa1LnJ1rICOaKA==" saltValue="JhDTDsed41rCm6u8Ykx0hQ==" spinCount="100000" sheet="1" objects="1" scenarios="1"/>
  <mergeCells count="65">
    <mergeCell ref="M1:P2"/>
    <mergeCell ref="C4:F4"/>
    <mergeCell ref="G4:K4"/>
    <mergeCell ref="L4:P4"/>
    <mergeCell ref="C6:C8"/>
    <mergeCell ref="D6:F6"/>
    <mergeCell ref="G6:J6"/>
    <mergeCell ref="K6:K8"/>
    <mergeCell ref="L6:P8"/>
    <mergeCell ref="F7:F8"/>
    <mergeCell ref="L18:P18"/>
    <mergeCell ref="I7:I8"/>
    <mergeCell ref="J7:J8"/>
    <mergeCell ref="L9:P9"/>
    <mergeCell ref="L10:P10"/>
    <mergeCell ref="L11:P11"/>
    <mergeCell ref="L12:P12"/>
    <mergeCell ref="L13:P13"/>
    <mergeCell ref="L14:P14"/>
    <mergeCell ref="L15:P15"/>
    <mergeCell ref="L16:P16"/>
    <mergeCell ref="L17:P17"/>
    <mergeCell ref="L19:P19"/>
    <mergeCell ref="L20:P20"/>
    <mergeCell ref="L21:P21"/>
    <mergeCell ref="L22:P22"/>
    <mergeCell ref="C26:C28"/>
    <mergeCell ref="D26:F26"/>
    <mergeCell ref="G26:J26"/>
    <mergeCell ref="K26:K28"/>
    <mergeCell ref="L26:P28"/>
    <mergeCell ref="F27:F28"/>
    <mergeCell ref="L38:P38"/>
    <mergeCell ref="I27:I28"/>
    <mergeCell ref="J27:J28"/>
    <mergeCell ref="L29:P29"/>
    <mergeCell ref="L30:P30"/>
    <mergeCell ref="L31:P31"/>
    <mergeCell ref="L32:P32"/>
    <mergeCell ref="L33:P33"/>
    <mergeCell ref="L34:P34"/>
    <mergeCell ref="L35:P35"/>
    <mergeCell ref="L36:P36"/>
    <mergeCell ref="L37:P37"/>
    <mergeCell ref="L40:P40"/>
    <mergeCell ref="L41:P41"/>
    <mergeCell ref="L42:P42"/>
    <mergeCell ref="C69:D70"/>
    <mergeCell ref="F69:F70"/>
    <mergeCell ref="C77:O77"/>
    <mergeCell ref="C78:O78"/>
    <mergeCell ref="C79:O79"/>
    <mergeCell ref="G7:H7"/>
    <mergeCell ref="G27:H27"/>
    <mergeCell ref="C48:H48"/>
    <mergeCell ref="D49:E49"/>
    <mergeCell ref="G49:G50"/>
    <mergeCell ref="H49:H50"/>
    <mergeCell ref="C71:O71"/>
    <mergeCell ref="C72:O72"/>
    <mergeCell ref="C73:O73"/>
    <mergeCell ref="C74:O74"/>
    <mergeCell ref="C75:O75"/>
    <mergeCell ref="C76:O76"/>
    <mergeCell ref="L39:P39"/>
  </mergeCells>
  <conditionalFormatting sqref="K9:K23 H51:H65">
    <cfRule type="cellIs" dxfId="52" priority="13" operator="greaterThan">
      <formula>1</formula>
    </cfRule>
    <cfRule type="cellIs" dxfId="51" priority="14" operator="lessThan">
      <formula>1</formula>
    </cfRule>
  </conditionalFormatting>
  <conditionalFormatting sqref="G51:G65">
    <cfRule type="cellIs" dxfId="50" priority="7" operator="lessThan">
      <formula>0</formula>
    </cfRule>
    <cfRule type="cellIs" dxfId="49" priority="8" operator="greaterThan">
      <formula>0</formula>
    </cfRule>
  </conditionalFormatting>
  <conditionalFormatting sqref="J9:J23">
    <cfRule type="cellIs" dxfId="48" priority="5" operator="lessThan">
      <formula>0</formula>
    </cfRule>
    <cfRule type="cellIs" dxfId="47" priority="6" operator="greaterThan">
      <formula>0</formula>
    </cfRule>
  </conditionalFormatting>
  <conditionalFormatting sqref="J29:J43">
    <cfRule type="cellIs" dxfId="46" priority="3" operator="lessThan">
      <formula>0</formula>
    </cfRule>
    <cfRule type="cellIs" dxfId="45" priority="4" operator="greaterThan">
      <formula>0</formula>
    </cfRule>
  </conditionalFormatting>
  <conditionalFormatting sqref="K29:K43">
    <cfRule type="cellIs" dxfId="44" priority="1" operator="greaterThan">
      <formula>1</formula>
    </cfRule>
    <cfRule type="cellIs" dxfId="43" priority="2" operator="lessThan">
      <formula>1</formula>
    </cfRule>
  </conditionalFormatting>
  <pageMargins left="0.7" right="0.7" top="0.75" bottom="0.75" header="0.3" footer="0.3"/>
  <pageSetup scale="52"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3665" r:id="rId4" name="Button 1">
              <controlPr defaultSize="0" print="0" autoFill="0" autoPict="0" macro="[0]!EXPORT_ACTIVE_SHEET">
                <anchor moveWithCells="1" sizeWithCells="1">
                  <from>
                    <xdr:col>18</xdr:col>
                    <xdr:colOff>504825</xdr:colOff>
                    <xdr:row>13</xdr:row>
                    <xdr:rowOff>47625</xdr:rowOff>
                  </from>
                  <to>
                    <xdr:col>23</xdr:col>
                    <xdr:colOff>47625</xdr:colOff>
                    <xdr:row>16</xdr:row>
                    <xdr:rowOff>76200</xdr:rowOff>
                  </to>
                </anchor>
              </controlPr>
            </control>
          </mc:Choice>
        </mc:AlternateContent>
        <mc:AlternateContent xmlns:mc="http://schemas.openxmlformats.org/markup-compatibility/2006">
          <mc:Choice Requires="x14">
            <control shapeId="113666" r:id="rId5" name="Button 2">
              <controlPr defaultSize="0" print="0" autoFill="0" autoPict="0" macro="[0]!Back_to_Dashboard">
                <anchor moveWithCells="1" sizeWithCells="1">
                  <from>
                    <xdr:col>18</xdr:col>
                    <xdr:colOff>485775</xdr:colOff>
                    <xdr:row>17</xdr:row>
                    <xdr:rowOff>76200</xdr:rowOff>
                  </from>
                  <to>
                    <xdr:col>23</xdr:col>
                    <xdr:colOff>66675</xdr:colOff>
                    <xdr:row>19</xdr:row>
                    <xdr:rowOff>180975</xdr:rowOff>
                  </to>
                </anchor>
              </controlPr>
            </control>
          </mc:Choice>
        </mc:AlternateContent>
        <mc:AlternateContent xmlns:mc="http://schemas.openxmlformats.org/markup-compatibility/2006">
          <mc:Choice Requires="x14">
            <control shapeId="113667" r:id="rId6" name="Button 3">
              <controlPr defaultSize="0" print="0" autoFill="0" autoPict="0" macro="[0]!YearlyAnalysis_export_in_format_Click">
                <anchor moveWithCells="1" sizeWithCells="1">
                  <from>
                    <xdr:col>18</xdr:col>
                    <xdr:colOff>485775</xdr:colOff>
                    <xdr:row>21</xdr:row>
                    <xdr:rowOff>104775</xdr:rowOff>
                  </from>
                  <to>
                    <xdr:col>22</xdr:col>
                    <xdr:colOff>600075</xdr:colOff>
                    <xdr:row>24</xdr:row>
                    <xdr:rowOff>161925</xdr:rowOff>
                  </to>
                </anchor>
              </controlPr>
            </control>
          </mc:Choice>
        </mc:AlternateContent>
      </controls>
    </mc:Choice>
  </mc:AlternateContent>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rgb="FF92D050"/>
  </sheetPr>
  <dimension ref="C1:P77"/>
  <sheetViews>
    <sheetView workbookViewId="0"/>
  </sheetViews>
  <sheetFormatPr defaultColWidth="8.85546875" defaultRowHeight="15"/>
  <cols>
    <col min="3" max="3" width="14.85546875" bestFit="1" customWidth="1"/>
    <col min="4" max="5" width="17.42578125" customWidth="1"/>
    <col min="6" max="6" width="12.28515625" customWidth="1"/>
    <col min="7" max="7" width="14.85546875" customWidth="1"/>
    <col min="8" max="9" width="12.28515625" customWidth="1"/>
    <col min="10" max="10" width="12.7109375" customWidth="1"/>
    <col min="15" max="15" width="24.42578125" customWidth="1"/>
  </cols>
  <sheetData>
    <row r="1" spans="3:16">
      <c r="F1" t="str">
        <f>Dropdowns!D406</f>
        <v>(rounded)</v>
      </c>
      <c r="L1" s="1398" t="s">
        <v>424</v>
      </c>
      <c r="M1" s="1398"/>
      <c r="N1" s="1398"/>
      <c r="O1" s="1398"/>
    </row>
    <row r="2" spans="3:16">
      <c r="D2" t="s">
        <v>153</v>
      </c>
      <c r="F2" t="str">
        <f>DPRavg!F2</f>
        <v>July'26</v>
      </c>
      <c r="H2" t="s">
        <v>156</v>
      </c>
      <c r="J2" s="246">
        <f>Dashboard!D3</f>
        <v>46265</v>
      </c>
      <c r="L2" s="1398"/>
      <c r="M2" s="1398"/>
      <c r="N2" s="1398"/>
      <c r="O2" s="1398"/>
    </row>
    <row r="4" spans="3:16" ht="26.25">
      <c r="C4" s="1399" t="s">
        <v>422</v>
      </c>
      <c r="D4" s="1400"/>
      <c r="E4" s="1401"/>
      <c r="F4" s="1400"/>
      <c r="G4" s="1400" t="str">
        <f>Dropdowns!E95</f>
        <v>Aug'26</v>
      </c>
      <c r="H4" s="1400"/>
      <c r="I4" s="1401"/>
      <c r="J4" s="1402"/>
      <c r="K4" s="1399"/>
      <c r="L4" s="1400"/>
      <c r="M4" s="1400"/>
      <c r="N4" s="1400"/>
      <c r="O4" s="1402"/>
      <c r="P4" s="341"/>
    </row>
    <row r="5" spans="3:16">
      <c r="C5" s="342"/>
      <c r="D5" s="342"/>
      <c r="E5" s="342"/>
      <c r="F5" s="342"/>
      <c r="G5" s="342"/>
      <c r="H5" s="342"/>
      <c r="I5" s="342"/>
      <c r="J5" s="342"/>
      <c r="O5" s="355"/>
      <c r="P5" s="355"/>
    </row>
    <row r="6" spans="3:16" ht="18.75" customHeight="1">
      <c r="C6" s="1373" t="s">
        <v>412</v>
      </c>
      <c r="D6" s="1365" t="s">
        <v>413</v>
      </c>
      <c r="E6" s="1366"/>
      <c r="F6" s="1365"/>
      <c r="G6" s="1414" t="s">
        <v>414</v>
      </c>
      <c r="H6" s="1415"/>
      <c r="I6" s="1416"/>
      <c r="J6" s="1403" t="s">
        <v>27</v>
      </c>
      <c r="K6" s="1379" t="s">
        <v>415</v>
      </c>
      <c r="L6" s="1380"/>
      <c r="M6" s="1380"/>
      <c r="N6" s="1380"/>
      <c r="O6" s="1381"/>
    </row>
    <row r="7" spans="3:16" ht="27" customHeight="1">
      <c r="C7" s="1374"/>
      <c r="D7" s="366" t="str">
        <f>Dropdowns!C123</f>
        <v>BE</v>
      </c>
      <c r="E7" s="393"/>
      <c r="F7" s="1388" t="s">
        <v>29</v>
      </c>
      <c r="G7" s="372" t="str">
        <f>Dropdowns!C123</f>
        <v>BE</v>
      </c>
      <c r="H7" s="1390" t="s">
        <v>29</v>
      </c>
      <c r="I7" s="1390" t="s">
        <v>460</v>
      </c>
      <c r="J7" s="1404"/>
      <c r="K7" s="1382"/>
      <c r="L7" s="1383"/>
      <c r="M7" s="1383"/>
      <c r="N7" s="1383"/>
      <c r="O7" s="1384"/>
    </row>
    <row r="8" spans="3:16" ht="54" customHeight="1">
      <c r="C8" s="1375"/>
      <c r="D8" s="369" t="s">
        <v>420</v>
      </c>
      <c r="E8" s="394" t="s">
        <v>459</v>
      </c>
      <c r="F8" s="1389"/>
      <c r="G8" s="373" t="s">
        <v>436</v>
      </c>
      <c r="H8" s="1391"/>
      <c r="I8" s="1391"/>
      <c r="J8" s="1405"/>
      <c r="K8" s="1385"/>
      <c r="L8" s="1386"/>
      <c r="M8" s="1386"/>
      <c r="N8" s="1386"/>
      <c r="O8" s="1387"/>
    </row>
    <row r="9" spans="3:16" ht="18.75">
      <c r="C9" s="344" t="s">
        <v>60</v>
      </c>
      <c r="D9" s="370">
        <f>'YTD display'!F7</f>
        <v>139456.45161290321</v>
      </c>
      <c r="E9" s="395"/>
      <c r="F9" s="370">
        <f>'YTD display'!K7</f>
        <v>183341.16129032258</v>
      </c>
      <c r="G9" s="374">
        <f>YTDtarget!AA8</f>
        <v>0.11700000000000001</v>
      </c>
      <c r="H9" s="374">
        <f>'YTD display'!N7</f>
        <v>0.15496189729712831</v>
      </c>
      <c r="I9" s="345">
        <f>H9-G9</f>
        <v>3.7961897297128303E-2</v>
      </c>
      <c r="J9" s="346">
        <f>IFERROR(H9/G9,"-")</f>
        <v>1.3244606606592162</v>
      </c>
      <c r="K9" s="1395"/>
      <c r="L9" s="1395"/>
      <c r="M9" s="1395"/>
      <c r="N9" s="1395"/>
      <c r="O9" s="1395"/>
    </row>
    <row r="10" spans="3:16" ht="18.75">
      <c r="C10" s="344" t="s">
        <v>61</v>
      </c>
      <c r="D10" s="370">
        <f>'YTD display'!F8</f>
        <v>174461.53846153844</v>
      </c>
      <c r="E10" s="395"/>
      <c r="F10" s="370">
        <f>'YTD display'!K8</f>
        <v>156578.38709677418</v>
      </c>
      <c r="G10" s="374">
        <f>YTDtarget!AA9</f>
        <v>0.189</v>
      </c>
      <c r="H10" s="374">
        <f>'YTD display'!N8</f>
        <v>0.16962658602794101</v>
      </c>
      <c r="I10" s="345">
        <f t="shared" ref="I10:I23" si="0">H10-G10</f>
        <v>-1.9373413972058995E-2</v>
      </c>
      <c r="J10" s="346">
        <f t="shared" ref="J10:J23" si="1">IFERROR(H10/G10,"-")</f>
        <v>0.89749516416899999</v>
      </c>
      <c r="K10" s="1406"/>
      <c r="L10" s="1407"/>
      <c r="M10" s="1407"/>
      <c r="N10" s="1407"/>
      <c r="O10" s="1408"/>
    </row>
    <row r="11" spans="3:16" ht="18.75">
      <c r="C11" s="344" t="s">
        <v>62</v>
      </c>
      <c r="D11" s="370">
        <f>'YTD display'!F9</f>
        <v>2206.4516129032259</v>
      </c>
      <c r="E11" s="395"/>
      <c r="F11" s="370">
        <f>'YTD display'!K9</f>
        <v>1856.483870967742</v>
      </c>
      <c r="G11" s="374">
        <f>YTDtarget!AA10</f>
        <v>8.9999999999999993E-3</v>
      </c>
      <c r="H11" s="374">
        <f>'YTD display'!N9</f>
        <v>7.4579606204879826E-3</v>
      </c>
      <c r="I11" s="345">
        <f t="shared" si="0"/>
        <v>-1.5420393795120167E-3</v>
      </c>
      <c r="J11" s="346">
        <f t="shared" si="1"/>
        <v>0.82866229116533152</v>
      </c>
      <c r="K11" s="1395"/>
      <c r="L11" s="1395"/>
      <c r="M11" s="1395"/>
      <c r="N11" s="1395"/>
      <c r="O11" s="1395"/>
    </row>
    <row r="12" spans="3:16" ht="18.75">
      <c r="C12" s="344" t="s">
        <v>57</v>
      </c>
      <c r="D12" s="370">
        <f>'YTD display'!F10</f>
        <v>327322.85635511437</v>
      </c>
      <c r="E12" s="395"/>
      <c r="F12" s="370">
        <f>'YTD display'!K10</f>
        <v>301866.41935483873</v>
      </c>
      <c r="G12" s="374">
        <f>YTDtarget!AA11</f>
        <v>0.04</v>
      </c>
      <c r="H12" s="374">
        <f>'YTD display'!N10</f>
        <v>3.6889161648039209E-2</v>
      </c>
      <c r="I12" s="345">
        <f t="shared" si="0"/>
        <v>-3.1108383519607916E-3</v>
      </c>
      <c r="J12" s="346">
        <f t="shared" si="1"/>
        <v>0.92222904120098026</v>
      </c>
      <c r="K12" s="1395"/>
      <c r="L12" s="1395"/>
      <c r="M12" s="1395"/>
      <c r="N12" s="1395"/>
      <c r="O12" s="1395"/>
    </row>
    <row r="13" spans="3:16" ht="18.75">
      <c r="C13" s="344" t="s">
        <v>58</v>
      </c>
      <c r="D13" s="370">
        <f>'YTD display'!F11</f>
        <v>23057.945041816012</v>
      </c>
      <c r="E13" s="395"/>
      <c r="F13" s="370">
        <f>'YTD display'!K11</f>
        <v>35350.548387096773</v>
      </c>
      <c r="G13" s="374">
        <f>YTDtarget!AA12</f>
        <v>2.9000000000000001E-2</v>
      </c>
      <c r="H13" s="374">
        <f>'YTD display'!N11</f>
        <v>4.4524521924801316E-2</v>
      </c>
      <c r="I13" s="345">
        <f t="shared" si="0"/>
        <v>1.5524521924801315E-2</v>
      </c>
      <c r="J13" s="346">
        <f t="shared" si="1"/>
        <v>1.5353283422345281</v>
      </c>
      <c r="K13" s="1395"/>
      <c r="L13" s="1395"/>
      <c r="M13" s="1395"/>
      <c r="N13" s="1395"/>
      <c r="O13" s="1395"/>
    </row>
    <row r="14" spans="3:16" ht="18.75">
      <c r="C14" s="344" t="s">
        <v>59</v>
      </c>
      <c r="D14" s="370">
        <f>'YTD display'!F12</f>
        <v>5686.4516129032254</v>
      </c>
      <c r="E14" s="395"/>
      <c r="F14" s="370">
        <f>'YTD display'!K12</f>
        <v>4976.8387096774195</v>
      </c>
      <c r="G14" s="374">
        <f>YTDtarget!AA13</f>
        <v>1.2999999999999999E-2</v>
      </c>
      <c r="H14" s="374">
        <f>'YTD display'!N12</f>
        <v>1.1377565889520215E-2</v>
      </c>
      <c r="I14" s="345">
        <f t="shared" si="0"/>
        <v>-1.622434110479784E-3</v>
      </c>
      <c r="J14" s="346">
        <f t="shared" si="1"/>
        <v>0.87519737611693971</v>
      </c>
      <c r="K14" s="1395"/>
      <c r="L14" s="1395"/>
      <c r="M14" s="1395"/>
      <c r="N14" s="1395"/>
      <c r="O14" s="1395"/>
    </row>
    <row r="15" spans="3:16" ht="18.75">
      <c r="C15" s="344" t="s">
        <v>63</v>
      </c>
      <c r="D15" s="370">
        <f>'YTD display'!F13</f>
        <v>22165.898617511521</v>
      </c>
      <c r="E15" s="395"/>
      <c r="F15" s="370">
        <f>'YTD display'!K13</f>
        <v>21588.691290322582</v>
      </c>
      <c r="G15" s="374">
        <f>YTDtarget!AA14</f>
        <v>6.5000000000000002E-2</v>
      </c>
      <c r="H15" s="374">
        <f>'YTD display'!N13</f>
        <v>6.2181402660837964E-2</v>
      </c>
      <c r="I15" s="345">
        <f t="shared" si="0"/>
        <v>-2.8185973391620378E-3</v>
      </c>
      <c r="J15" s="346">
        <f t="shared" si="1"/>
        <v>0.95663696401289178</v>
      </c>
      <c r="K15" s="1395"/>
      <c r="L15" s="1395"/>
      <c r="M15" s="1395"/>
      <c r="N15" s="1395"/>
      <c r="O15" s="1395"/>
    </row>
    <row r="16" spans="3:16" ht="18.75">
      <c r="C16" s="344" t="s">
        <v>64</v>
      </c>
      <c r="D16" s="370">
        <f>'YTD display'!F14</f>
        <v>9149.5601173020532</v>
      </c>
      <c r="E16" s="395"/>
      <c r="F16" s="370">
        <f>'YTD display'!K14</f>
        <v>6913.4193548387093</v>
      </c>
      <c r="G16" s="374">
        <f>YTDtarget!AA15</f>
        <v>5.0000000000000001E-3</v>
      </c>
      <c r="H16" s="374">
        <f>'YTD display'!N14</f>
        <v>3.7780063432218142E-3</v>
      </c>
      <c r="I16" s="345">
        <f t="shared" si="0"/>
        <v>-1.2219936567781859E-3</v>
      </c>
      <c r="J16" s="346">
        <f t="shared" si="1"/>
        <v>0.75560126864436283</v>
      </c>
      <c r="K16" s="1395"/>
      <c r="L16" s="1395"/>
      <c r="M16" s="1395"/>
      <c r="N16" s="1395"/>
      <c r="O16" s="1395"/>
    </row>
    <row r="17" spans="3:15" ht="18.75">
      <c r="C17" s="344" t="s">
        <v>65</v>
      </c>
      <c r="D17" s="370">
        <f>'YTD display'!F15</f>
        <v>0</v>
      </c>
      <c r="E17" s="395"/>
      <c r="F17" s="370">
        <f>'YTD display'!K15</f>
        <v>5707.7419354838712</v>
      </c>
      <c r="G17" s="374">
        <f>YTDtarget!AA16</f>
        <v>0.01</v>
      </c>
      <c r="H17" s="374">
        <f>'YTD display'!N15</f>
        <v>1.0772601919589167E-2</v>
      </c>
      <c r="I17" s="345">
        <f t="shared" si="0"/>
        <v>7.7260191958916646E-4</v>
      </c>
      <c r="J17" s="346">
        <f t="shared" si="1"/>
        <v>1.0772601919589166</v>
      </c>
      <c r="K17" s="1395"/>
      <c r="L17" s="1395"/>
      <c r="M17" s="1395"/>
      <c r="N17" s="1395"/>
      <c r="O17" s="1395"/>
    </row>
    <row r="18" spans="3:15" ht="18.75">
      <c r="C18" s="344" t="s">
        <v>66</v>
      </c>
      <c r="D18" s="370">
        <f>'YTD display'!F16</f>
        <v>430161.29032258067</v>
      </c>
      <c r="E18" s="395"/>
      <c r="F18" s="370">
        <f>'YTD display'!K16</f>
        <v>431155</v>
      </c>
      <c r="G18" s="374">
        <f>YTDtarget!AA17</f>
        <v>7.0000000000000007E-2</v>
      </c>
      <c r="H18" s="374">
        <f>'YTD display'!N16</f>
        <v>7.0161706048396735E-2</v>
      </c>
      <c r="I18" s="345">
        <f t="shared" si="0"/>
        <v>1.6170604839672864E-4</v>
      </c>
      <c r="J18" s="346">
        <f t="shared" si="1"/>
        <v>1.0023100864056675</v>
      </c>
      <c r="K18" s="1395"/>
      <c r="L18" s="1395"/>
      <c r="M18" s="1395"/>
      <c r="N18" s="1395"/>
      <c r="O18" s="1395"/>
    </row>
    <row r="19" spans="3:15" ht="18.75">
      <c r="C19" s="344" t="s">
        <v>67</v>
      </c>
      <c r="D19" s="370">
        <f>'YTD display'!F17</f>
        <v>52748.38709677419</v>
      </c>
      <c r="E19" s="395"/>
      <c r="F19" s="370">
        <f>'YTD display'!K17</f>
        <v>54085.931935483874</v>
      </c>
      <c r="G19" s="374">
        <f>YTDtarget!AA18</f>
        <v>5.6000000000000001E-2</v>
      </c>
      <c r="H19" s="374">
        <f>'YTD display'!N17</f>
        <v>5.741999622492916E-2</v>
      </c>
      <c r="I19" s="345">
        <f t="shared" si="0"/>
        <v>1.4199962249291584E-3</v>
      </c>
      <c r="J19" s="346">
        <f t="shared" si="1"/>
        <v>1.0253570754451635</v>
      </c>
      <c r="K19" s="1395"/>
      <c r="L19" s="1395"/>
      <c r="M19" s="1395"/>
      <c r="N19" s="1395"/>
      <c r="O19" s="1395"/>
    </row>
    <row r="20" spans="3:15" ht="18.75">
      <c r="C20" s="344" t="s">
        <v>68</v>
      </c>
      <c r="D20" s="370">
        <f>'YTD display'!F18</f>
        <v>12729.399966571955</v>
      </c>
      <c r="E20" s="395"/>
      <c r="F20" s="370">
        <f>'YTD display'!K18</f>
        <v>12320.806451612903</v>
      </c>
      <c r="G20" s="374">
        <f>YTDtarget!AA19</f>
        <v>1.4E-2</v>
      </c>
      <c r="H20" s="374">
        <f>'YTD display'!N18</f>
        <v>1.3550622111245282E-2</v>
      </c>
      <c r="I20" s="345">
        <f t="shared" si="0"/>
        <v>-4.4937788875471819E-4</v>
      </c>
      <c r="J20" s="346">
        <f t="shared" si="1"/>
        <v>0.96790157937466303</v>
      </c>
      <c r="K20" s="1395"/>
      <c r="L20" s="1395"/>
      <c r="M20" s="1395"/>
      <c r="N20" s="1395"/>
      <c r="O20" s="1395"/>
    </row>
    <row r="21" spans="3:15" ht="18.75">
      <c r="C21" s="344" t="s">
        <v>69</v>
      </c>
      <c r="D21" s="370">
        <f>'YTD display'!F19</f>
        <v>0</v>
      </c>
      <c r="E21" s="395"/>
      <c r="F21" s="370">
        <f>'YTD display'!K19</f>
        <v>0</v>
      </c>
      <c r="G21" s="374">
        <f>YTDtarget!AA20</f>
        <v>0</v>
      </c>
      <c r="H21" s="374">
        <f>'YTD display'!N19</f>
        <v>0</v>
      </c>
      <c r="I21" s="345">
        <f t="shared" si="0"/>
        <v>0</v>
      </c>
      <c r="J21" s="346" t="str">
        <f t="shared" si="1"/>
        <v>-</v>
      </c>
      <c r="K21" s="1396"/>
      <c r="L21" s="1396"/>
      <c r="M21" s="1396"/>
      <c r="N21" s="1396"/>
      <c r="O21" s="1396"/>
    </row>
    <row r="22" spans="3:15" ht="18.75">
      <c r="C22" s="344" t="s">
        <v>70</v>
      </c>
      <c r="D22" s="370">
        <f>'YTD display'!F20</f>
        <v>0</v>
      </c>
      <c r="E22" s="395"/>
      <c r="F22" s="370">
        <f>'YTD display'!K20</f>
        <v>0</v>
      </c>
      <c r="G22" s="374">
        <f>YTDtarget!AA21</f>
        <v>0</v>
      </c>
      <c r="H22" s="374">
        <f>'YTD display'!N20</f>
        <v>0</v>
      </c>
      <c r="I22" s="345">
        <f t="shared" si="0"/>
        <v>0</v>
      </c>
      <c r="J22" s="346" t="str">
        <f t="shared" si="1"/>
        <v>-</v>
      </c>
      <c r="K22" s="1396"/>
      <c r="L22" s="1396"/>
      <c r="M22" s="1396"/>
      <c r="N22" s="1396"/>
      <c r="O22" s="1396"/>
    </row>
    <row r="23" spans="3:15" ht="18.75">
      <c r="C23" s="347" t="s">
        <v>416</v>
      </c>
      <c r="D23" s="371">
        <f>'YTD display'!F21</f>
        <v>144087.90322580643</v>
      </c>
      <c r="E23" s="396"/>
      <c r="F23" s="371">
        <f>'YTD display'!K21</f>
        <v>151993.49130645164</v>
      </c>
      <c r="G23" s="375">
        <f>YTDtarget!AA22</f>
        <v>0.6170000000000001</v>
      </c>
      <c r="H23" s="375">
        <f>'YTD display'!N21</f>
        <v>0.64270202871613813</v>
      </c>
      <c r="I23" s="350">
        <f t="shared" si="0"/>
        <v>2.5702028716138026E-2</v>
      </c>
      <c r="J23" s="348">
        <f t="shared" si="1"/>
        <v>1.0416564484864475</v>
      </c>
      <c r="K23" s="265"/>
      <c r="L23" s="265"/>
      <c r="M23" s="265"/>
      <c r="N23" s="265"/>
      <c r="O23" s="265"/>
    </row>
    <row r="24" spans="3:15" ht="18.75">
      <c r="C24" s="265"/>
      <c r="D24" s="265"/>
      <c r="E24" s="265"/>
      <c r="F24" s="265"/>
      <c r="G24" s="265"/>
      <c r="H24" s="265"/>
      <c r="I24" s="265"/>
      <c r="J24" s="265"/>
      <c r="K24" s="265"/>
      <c r="L24" s="265"/>
      <c r="M24" s="265"/>
      <c r="N24" s="265"/>
      <c r="O24" s="265"/>
    </row>
    <row r="25" spans="3:15" ht="18.75">
      <c r="C25" s="265"/>
      <c r="D25" s="265"/>
      <c r="E25" s="265"/>
      <c r="F25" s="265"/>
      <c r="G25" s="265"/>
      <c r="H25" s="265"/>
      <c r="I25" s="265"/>
      <c r="J25" s="265"/>
      <c r="K25" s="265"/>
      <c r="L25" s="265"/>
      <c r="M25" s="265"/>
      <c r="N25" s="265"/>
      <c r="O25" s="265"/>
    </row>
    <row r="26" spans="3:15" ht="18.75" customHeight="1">
      <c r="C26" s="1373" t="s">
        <v>417</v>
      </c>
      <c r="D26" s="1365" t="s">
        <v>418</v>
      </c>
      <c r="E26" s="1366"/>
      <c r="F26" s="1365"/>
      <c r="G26" s="1414" t="s">
        <v>419</v>
      </c>
      <c r="H26" s="1415"/>
      <c r="I26" s="1416"/>
      <c r="J26" s="1376" t="s">
        <v>27</v>
      </c>
      <c r="K26" s="1379" t="s">
        <v>415</v>
      </c>
      <c r="L26" s="1380"/>
      <c r="M26" s="1380"/>
      <c r="N26" s="1380"/>
      <c r="O26" s="1381"/>
    </row>
    <row r="27" spans="3:15" ht="32.25" customHeight="1">
      <c r="C27" s="1374"/>
      <c r="D27" s="366" t="str">
        <f>Dropdowns!C123</f>
        <v>BE</v>
      </c>
      <c r="E27" s="393"/>
      <c r="F27" s="1388" t="s">
        <v>29</v>
      </c>
      <c r="G27" s="372" t="str">
        <f>Dropdowns!C123</f>
        <v>BE</v>
      </c>
      <c r="H27" s="1390" t="s">
        <v>29</v>
      </c>
      <c r="I27" s="1390" t="s">
        <v>460</v>
      </c>
      <c r="J27" s="1377"/>
      <c r="K27" s="1382"/>
      <c r="L27" s="1383"/>
      <c r="M27" s="1383"/>
      <c r="N27" s="1383"/>
      <c r="O27" s="1384"/>
    </row>
    <row r="28" spans="3:15" ht="54" customHeight="1">
      <c r="C28" s="1375"/>
      <c r="D28" s="366" t="s">
        <v>421</v>
      </c>
      <c r="E28" s="397" t="s">
        <v>459</v>
      </c>
      <c r="F28" s="1389"/>
      <c r="G28" s="373" t="s">
        <v>436</v>
      </c>
      <c r="H28" s="1391"/>
      <c r="I28" s="1391"/>
      <c r="J28" s="1378"/>
      <c r="K28" s="1385"/>
      <c r="L28" s="1386"/>
      <c r="M28" s="1386"/>
      <c r="N28" s="1386"/>
      <c r="O28" s="1387"/>
    </row>
    <row r="29" spans="3:15" ht="18.75">
      <c r="C29" s="344" t="s">
        <v>60</v>
      </c>
      <c r="D29" s="367">
        <f>'YTD display'!F24</f>
        <v>8.064516129032258</v>
      </c>
      <c r="E29" s="398"/>
      <c r="F29" s="367">
        <f>'YTD display'!K24</f>
        <v>6.9239309443193591</v>
      </c>
      <c r="G29" s="374">
        <f>YTDtarget!AA28</f>
        <v>0.05</v>
      </c>
      <c r="H29" s="374">
        <f>'YTD display'!N24</f>
        <v>4.2928371854780031E-2</v>
      </c>
      <c r="I29" s="345">
        <f>H29-G29</f>
        <v>-7.0716281452199714E-3</v>
      </c>
      <c r="J29" s="346">
        <f>IFERROR(H29/G29,"-")</f>
        <v>0.85856743709560057</v>
      </c>
      <c r="K29" s="1364"/>
      <c r="L29" s="1364"/>
      <c r="M29" s="1364"/>
      <c r="N29" s="1364"/>
      <c r="O29" s="1364"/>
    </row>
    <row r="30" spans="3:15" ht="18.75">
      <c r="C30" s="349" t="s">
        <v>61</v>
      </c>
      <c r="D30" s="367">
        <f>'YTD display'!F25</f>
        <v>8.4367245657568244</v>
      </c>
      <c r="E30" s="398"/>
      <c r="F30" s="367">
        <f>'YTD display'!K25</f>
        <v>10.128309225806449</v>
      </c>
      <c r="G30" s="374">
        <f>YTDtarget!AA29</f>
        <v>6.8000000000000005E-2</v>
      </c>
      <c r="H30" s="374">
        <f>'YTD display'!N25</f>
        <v>8.1634172359999979E-2</v>
      </c>
      <c r="I30" s="345">
        <f t="shared" ref="I30:I43" si="2">H30-G30</f>
        <v>1.3634172359999974E-2</v>
      </c>
      <c r="J30" s="346">
        <f t="shared" ref="J30:J43" si="3">IFERROR(H30/G30,"-")</f>
        <v>1.200502534705882</v>
      </c>
      <c r="K30" s="1364"/>
      <c r="L30" s="1364"/>
      <c r="M30" s="1364"/>
      <c r="N30" s="1364"/>
      <c r="O30" s="1364"/>
    </row>
    <row r="31" spans="3:15" ht="18.75">
      <c r="C31" s="349" t="s">
        <v>62</v>
      </c>
      <c r="D31" s="367">
        <f>'YTD display'!F26</f>
        <v>0.25806451612903225</v>
      </c>
      <c r="E31" s="398"/>
      <c r="F31" s="367">
        <f>'YTD display'!K26</f>
        <v>0.24677316129032253</v>
      </c>
      <c r="G31" s="374">
        <f>YTDtarget!AA30</f>
        <v>8.0000000000000002E-3</v>
      </c>
      <c r="H31" s="374">
        <f>'YTD display'!N26</f>
        <v>7.6499679999999983E-3</v>
      </c>
      <c r="I31" s="345">
        <f t="shared" si="2"/>
        <v>-3.5003200000000186E-4</v>
      </c>
      <c r="J31" s="346">
        <f t="shared" si="3"/>
        <v>0.95624599999999982</v>
      </c>
      <c r="K31" s="1364"/>
      <c r="L31" s="1364"/>
      <c r="M31" s="1364"/>
      <c r="N31" s="1364"/>
      <c r="O31" s="1364"/>
    </row>
    <row r="32" spans="3:15" ht="18.75">
      <c r="C32" s="349" t="s">
        <v>57</v>
      </c>
      <c r="D32" s="367">
        <f>'YTD display'!F27</f>
        <v>11.028398125172318</v>
      </c>
      <c r="E32" s="398"/>
      <c r="F32" s="367">
        <f>'YTD display'!K27</f>
        <v>7.9886590222823228</v>
      </c>
      <c r="G32" s="374">
        <f>YTDtarget!AA31</f>
        <v>0.01</v>
      </c>
      <c r="H32" s="374">
        <f>'YTD display'!N27</f>
        <v>7.2437165684544969E-3</v>
      </c>
      <c r="I32" s="345">
        <f t="shared" si="2"/>
        <v>-2.7562834315455033E-3</v>
      </c>
      <c r="J32" s="346">
        <f t="shared" si="3"/>
        <v>0.72437165684544969</v>
      </c>
      <c r="K32" s="1364"/>
      <c r="L32" s="1364"/>
      <c r="M32" s="1364"/>
      <c r="N32" s="1364"/>
      <c r="O32" s="1364"/>
    </row>
    <row r="33" spans="3:15" ht="18.75">
      <c r="C33" s="349" t="s">
        <v>58</v>
      </c>
      <c r="D33" s="367">
        <f>'YTD display'!F28</f>
        <v>0.23894862604540021</v>
      </c>
      <c r="E33" s="398"/>
      <c r="F33" s="367">
        <f>'YTD display'!K28</f>
        <v>0.51485241935483883</v>
      </c>
      <c r="G33" s="374">
        <f>YTDtarget!AA32</f>
        <v>2E-3</v>
      </c>
      <c r="H33" s="374">
        <f>'YTD display'!N28</f>
        <v>4.3093147500000012E-3</v>
      </c>
      <c r="I33" s="345">
        <f t="shared" si="2"/>
        <v>2.3093147500000012E-3</v>
      </c>
      <c r="J33" s="346">
        <f t="shared" si="3"/>
        <v>2.1546573750000007</v>
      </c>
      <c r="K33" s="1364"/>
      <c r="L33" s="1364"/>
      <c r="M33" s="1364"/>
      <c r="N33" s="1364"/>
      <c r="O33" s="1364"/>
    </row>
    <row r="34" spans="3:15" ht="18.75">
      <c r="C34" s="349" t="s">
        <v>59</v>
      </c>
      <c r="D34" s="367">
        <f>'YTD display'!F29</f>
        <v>0</v>
      </c>
      <c r="E34" s="398"/>
      <c r="F34" s="367">
        <f>'YTD display'!K29</f>
        <v>2.4838709677419371E-2</v>
      </c>
      <c r="G34" s="374">
        <f>YTDtarget!AA33</f>
        <v>0</v>
      </c>
      <c r="H34" s="374">
        <f>'YTD display'!N29</f>
        <v>3.8500000000000025E-4</v>
      </c>
      <c r="I34" s="345">
        <f t="shared" si="2"/>
        <v>3.8500000000000025E-4</v>
      </c>
      <c r="J34" s="346" t="str">
        <f t="shared" si="3"/>
        <v>-</v>
      </c>
      <c r="K34" s="1364"/>
      <c r="L34" s="1364"/>
      <c r="M34" s="1364"/>
      <c r="N34" s="1364"/>
      <c r="O34" s="1364"/>
    </row>
    <row r="35" spans="3:15" ht="18.75">
      <c r="C35" s="349" t="s">
        <v>63</v>
      </c>
      <c r="D35" s="367">
        <f>'YTD display'!F30</f>
        <v>0</v>
      </c>
      <c r="E35" s="398"/>
      <c r="F35" s="367">
        <f>'YTD display'!K30</f>
        <v>4.2675274492747555E-3</v>
      </c>
      <c r="G35" s="374">
        <f>YTDtarget!AA34</f>
        <v>0</v>
      </c>
      <c r="H35" s="374">
        <f>'YTD display'!N30</f>
        <v>9.2605345649262195E-5</v>
      </c>
      <c r="I35" s="345">
        <f t="shared" si="2"/>
        <v>9.2605345649262195E-5</v>
      </c>
      <c r="J35" s="346" t="str">
        <f t="shared" si="3"/>
        <v>-</v>
      </c>
      <c r="K35" s="1364"/>
      <c r="L35" s="1364"/>
      <c r="M35" s="1364"/>
      <c r="N35" s="1364"/>
      <c r="O35" s="1364"/>
    </row>
    <row r="36" spans="3:15" ht="18.75">
      <c r="C36" s="349" t="s">
        <v>64</v>
      </c>
      <c r="D36" s="367">
        <f>'YTD display'!F31</f>
        <v>0.29325513196480935</v>
      </c>
      <c r="E36" s="398"/>
      <c r="F36" s="367">
        <f>'YTD display'!K31</f>
        <v>0.19382406504026423</v>
      </c>
      <c r="G36" s="374">
        <f>YTDtarget!AA35</f>
        <v>1E-3</v>
      </c>
      <c r="H36" s="374">
        <f>'YTD display'!N31</f>
        <v>6.6094006178730102E-4</v>
      </c>
      <c r="I36" s="345">
        <f t="shared" si="2"/>
        <v>-3.39059938212699E-4</v>
      </c>
      <c r="J36" s="346">
        <f t="shared" si="3"/>
        <v>0.66094006178730103</v>
      </c>
      <c r="K36" s="1364"/>
      <c r="L36" s="1364"/>
      <c r="M36" s="1364"/>
      <c r="N36" s="1364"/>
      <c r="O36" s="1364"/>
    </row>
    <row r="37" spans="3:15" ht="18.75">
      <c r="C37" s="349" t="s">
        <v>65</v>
      </c>
      <c r="D37" s="367">
        <f>'YTD display'!F32</f>
        <v>0.24193548387096775</v>
      </c>
      <c r="E37" s="398"/>
      <c r="F37" s="367">
        <f>'YTD display'!K32</f>
        <v>8.5725975210725086E-2</v>
      </c>
      <c r="G37" s="374">
        <f>YTDtarget!AA36</f>
        <v>3.0000000000000001E-3</v>
      </c>
      <c r="H37" s="374">
        <f>'YTD display'!N32</f>
        <v>1.063002092612991E-3</v>
      </c>
      <c r="I37" s="345">
        <f t="shared" si="2"/>
        <v>-1.936997907387009E-3</v>
      </c>
      <c r="J37" s="346">
        <f t="shared" si="3"/>
        <v>0.35433403087099702</v>
      </c>
      <c r="K37" s="1364"/>
      <c r="L37" s="1364"/>
      <c r="M37" s="1364"/>
      <c r="N37" s="1364"/>
      <c r="O37" s="1364"/>
    </row>
    <row r="38" spans="3:15" ht="18.75">
      <c r="C38" s="349" t="s">
        <v>66</v>
      </c>
      <c r="D38" s="367">
        <f>'YTD display'!F33</f>
        <v>0</v>
      </c>
      <c r="E38" s="398"/>
      <c r="F38" s="367">
        <f>'YTD display'!K33</f>
        <v>0</v>
      </c>
      <c r="G38" s="374">
        <f>YTDtarget!AA37</f>
        <v>0</v>
      </c>
      <c r="H38" s="374">
        <f>'YTD display'!N33</f>
        <v>0</v>
      </c>
      <c r="I38" s="345">
        <f t="shared" si="2"/>
        <v>0</v>
      </c>
      <c r="J38" s="346" t="str">
        <f t="shared" si="3"/>
        <v>-</v>
      </c>
      <c r="K38" s="1364"/>
      <c r="L38" s="1364"/>
      <c r="M38" s="1364"/>
      <c r="N38" s="1364"/>
      <c r="O38" s="1364"/>
    </row>
    <row r="39" spans="3:15" ht="18.75">
      <c r="C39" s="349" t="s">
        <v>67</v>
      </c>
      <c r="D39" s="367">
        <f>'YTD display'!F34</f>
        <v>0</v>
      </c>
      <c r="E39" s="398"/>
      <c r="F39" s="367">
        <f>'YTD display'!K34</f>
        <v>0</v>
      </c>
      <c r="G39" s="374">
        <f>YTDtarget!AA38</f>
        <v>0</v>
      </c>
      <c r="H39" s="374">
        <f>'YTD display'!N34</f>
        <v>0</v>
      </c>
      <c r="I39" s="345">
        <f t="shared" si="2"/>
        <v>0</v>
      </c>
      <c r="J39" s="346" t="str">
        <f t="shared" si="3"/>
        <v>-</v>
      </c>
      <c r="K39" s="1364"/>
      <c r="L39" s="1364"/>
      <c r="M39" s="1364"/>
      <c r="N39" s="1364"/>
      <c r="O39" s="1364"/>
    </row>
    <row r="40" spans="3:15" ht="18.75">
      <c r="C40" s="349" t="s">
        <v>68</v>
      </c>
      <c r="D40" s="367">
        <f>'YTD display'!F35</f>
        <v>0</v>
      </c>
      <c r="E40" s="398"/>
      <c r="F40" s="367">
        <f>'YTD display'!K35</f>
        <v>0</v>
      </c>
      <c r="G40" s="374">
        <f>YTDtarget!AA39</f>
        <v>0</v>
      </c>
      <c r="H40" s="374">
        <f>'YTD display'!N35</f>
        <v>0</v>
      </c>
      <c r="I40" s="345">
        <f t="shared" si="2"/>
        <v>0</v>
      </c>
      <c r="J40" s="346" t="str">
        <f t="shared" si="3"/>
        <v>-</v>
      </c>
      <c r="K40" s="1364"/>
      <c r="L40" s="1364"/>
      <c r="M40" s="1364"/>
      <c r="N40" s="1364"/>
      <c r="O40" s="1364"/>
    </row>
    <row r="41" spans="3:15" ht="18.75">
      <c r="C41" s="349" t="s">
        <v>69</v>
      </c>
      <c r="D41" s="367">
        <f>'YTD display'!F36</f>
        <v>0</v>
      </c>
      <c r="E41" s="398"/>
      <c r="F41" s="367">
        <f>'YTD display'!K36</f>
        <v>0</v>
      </c>
      <c r="G41" s="374">
        <f>YTDtarget!AA40</f>
        <v>0</v>
      </c>
      <c r="H41" s="374">
        <f>'YTD display'!N36</f>
        <v>0</v>
      </c>
      <c r="I41" s="345">
        <f t="shared" si="2"/>
        <v>0</v>
      </c>
      <c r="J41" s="346" t="str">
        <f t="shared" si="3"/>
        <v>-</v>
      </c>
      <c r="K41" s="1364"/>
      <c r="L41" s="1364"/>
      <c r="M41" s="1364"/>
      <c r="N41" s="1364"/>
      <c r="O41" s="1364"/>
    </row>
    <row r="42" spans="3:15" ht="18.75">
      <c r="C42" s="349" t="s">
        <v>70</v>
      </c>
      <c r="D42" s="367">
        <f>'YTD display'!F37</f>
        <v>14.041745730550282</v>
      </c>
      <c r="E42" s="398"/>
      <c r="F42" s="367">
        <f>'YTD display'!K37</f>
        <v>14.07202995152252</v>
      </c>
      <c r="G42" s="374">
        <f>YTDtarget!AA41</f>
        <v>7.3999999999999996E-2</v>
      </c>
      <c r="H42" s="374">
        <f>'YTD display'!N37</f>
        <v>7.4159597844523695E-2</v>
      </c>
      <c r="I42" s="345">
        <f t="shared" si="2"/>
        <v>1.5959784452369841E-4</v>
      </c>
      <c r="J42" s="346">
        <f t="shared" si="3"/>
        <v>1.0021567276286987</v>
      </c>
      <c r="K42" s="1364"/>
      <c r="L42" s="1364"/>
      <c r="M42" s="1364"/>
      <c r="N42" s="1364"/>
      <c r="O42" s="1364"/>
    </row>
    <row r="43" spans="3:15" ht="18.75">
      <c r="C43" s="347" t="s">
        <v>92</v>
      </c>
      <c r="D43" s="368">
        <f>'YTD display'!F38</f>
        <v>6.9677419354838701</v>
      </c>
      <c r="E43" s="399"/>
      <c r="F43" s="368">
        <f>'YTD display'!K38</f>
        <v>7.1008609315421847</v>
      </c>
      <c r="G43" s="375">
        <f>YTDtarget!AA42</f>
        <v>0.21600000000000003</v>
      </c>
      <c r="H43" s="375">
        <f>'YTD display'!N38</f>
        <v>0.22012668887780773</v>
      </c>
      <c r="I43" s="350">
        <f t="shared" si="2"/>
        <v>4.1266888778077049E-3</v>
      </c>
      <c r="J43" s="348">
        <f t="shared" si="3"/>
        <v>1.0191050411009617</v>
      </c>
      <c r="K43" s="265"/>
      <c r="L43" s="265"/>
      <c r="M43" s="265"/>
      <c r="N43" s="265"/>
      <c r="O43" s="265"/>
    </row>
    <row r="48" spans="3:15" ht="18.75">
      <c r="C48" s="1412" t="s">
        <v>437</v>
      </c>
      <c r="D48" s="1413"/>
      <c r="E48" s="1413"/>
      <c r="F48" s="1413"/>
      <c r="G48" s="1413"/>
    </row>
    <row r="49" spans="3:7" ht="18.75">
      <c r="C49" s="356"/>
      <c r="D49" s="357" t="str">
        <f>D7</f>
        <v>BE</v>
      </c>
      <c r="E49" s="357" t="s">
        <v>29</v>
      </c>
      <c r="F49" s="343" t="s">
        <v>460</v>
      </c>
      <c r="G49" s="343" t="s">
        <v>27</v>
      </c>
    </row>
    <row r="50" spans="3:7" ht="18.75">
      <c r="C50" s="349" t="s">
        <v>60</v>
      </c>
      <c r="D50" s="345">
        <f>G9+G29</f>
        <v>0.16700000000000001</v>
      </c>
      <c r="E50" s="345">
        <f>H9+H29</f>
        <v>0.19789026915190833</v>
      </c>
      <c r="F50" s="345">
        <f>E50-D50</f>
        <v>3.0890269151908317E-2</v>
      </c>
      <c r="G50" s="358">
        <f t="shared" ref="G50:G64" si="4">IFERROR(E50/D50,"-")</f>
        <v>1.1849716715683132</v>
      </c>
    </row>
    <row r="51" spans="3:7" ht="18.75">
      <c r="C51" s="349" t="s">
        <v>61</v>
      </c>
      <c r="D51" s="345">
        <f t="shared" ref="D51:D64" si="5">G10+G30</f>
        <v>0.25700000000000001</v>
      </c>
      <c r="E51" s="345">
        <f t="shared" ref="E51:E64" si="6">H10+H30</f>
        <v>0.25126075838794099</v>
      </c>
      <c r="F51" s="345">
        <f t="shared" ref="F51:F64" si="7">E51-D51</f>
        <v>-5.7392416120590206E-3</v>
      </c>
      <c r="G51" s="358">
        <f t="shared" si="4"/>
        <v>0.97766832057564579</v>
      </c>
    </row>
    <row r="52" spans="3:7" ht="18.75">
      <c r="C52" s="349" t="s">
        <v>62</v>
      </c>
      <c r="D52" s="345">
        <f t="shared" si="5"/>
        <v>1.7000000000000001E-2</v>
      </c>
      <c r="E52" s="345">
        <f t="shared" si="6"/>
        <v>1.510792862048798E-2</v>
      </c>
      <c r="F52" s="345">
        <f t="shared" si="7"/>
        <v>-1.8920713795120211E-3</v>
      </c>
      <c r="G52" s="358">
        <f t="shared" si="4"/>
        <v>0.88870168355811641</v>
      </c>
    </row>
    <row r="53" spans="3:7" ht="18.75">
      <c r="C53" s="349" t="s">
        <v>57</v>
      </c>
      <c r="D53" s="345">
        <f t="shared" si="5"/>
        <v>0.05</v>
      </c>
      <c r="E53" s="345">
        <f t="shared" si="6"/>
        <v>4.4132878216493705E-2</v>
      </c>
      <c r="F53" s="345">
        <f t="shared" si="7"/>
        <v>-5.8671217835062975E-3</v>
      </c>
      <c r="G53" s="358">
        <f t="shared" si="4"/>
        <v>0.88265756432987408</v>
      </c>
    </row>
    <row r="54" spans="3:7" ht="18.75">
      <c r="C54" s="349" t="s">
        <v>58</v>
      </c>
      <c r="D54" s="345">
        <f t="shared" si="5"/>
        <v>3.1E-2</v>
      </c>
      <c r="E54" s="345">
        <f t="shared" si="6"/>
        <v>4.8833836674801318E-2</v>
      </c>
      <c r="F54" s="345">
        <f t="shared" si="7"/>
        <v>1.7833836674801318E-2</v>
      </c>
      <c r="G54" s="358">
        <f t="shared" si="4"/>
        <v>1.575285054025849</v>
      </c>
    </row>
    <row r="55" spans="3:7" ht="18.75">
      <c r="C55" s="349" t="s">
        <v>59</v>
      </c>
      <c r="D55" s="345">
        <f t="shared" si="5"/>
        <v>1.2999999999999999E-2</v>
      </c>
      <c r="E55" s="345">
        <f t="shared" si="6"/>
        <v>1.1762565889520215E-2</v>
      </c>
      <c r="F55" s="345">
        <f t="shared" si="7"/>
        <v>-1.2374341104797841E-3</v>
      </c>
      <c r="G55" s="358">
        <f t="shared" si="4"/>
        <v>0.90481276073232431</v>
      </c>
    </row>
    <row r="56" spans="3:7" ht="18.75">
      <c r="C56" s="349" t="s">
        <v>63</v>
      </c>
      <c r="D56" s="345">
        <f t="shared" si="5"/>
        <v>6.5000000000000002E-2</v>
      </c>
      <c r="E56" s="345">
        <f t="shared" si="6"/>
        <v>6.2274008006487226E-2</v>
      </c>
      <c r="F56" s="345">
        <f t="shared" si="7"/>
        <v>-2.725991993512776E-3</v>
      </c>
      <c r="G56" s="358">
        <f t="shared" si="4"/>
        <v>0.95806166163826501</v>
      </c>
    </row>
    <row r="57" spans="3:7" ht="18.75">
      <c r="C57" s="349" t="s">
        <v>64</v>
      </c>
      <c r="D57" s="345">
        <f t="shared" si="5"/>
        <v>6.0000000000000001E-3</v>
      </c>
      <c r="E57" s="345">
        <f t="shared" si="6"/>
        <v>4.4389464050091157E-3</v>
      </c>
      <c r="F57" s="345">
        <f t="shared" si="7"/>
        <v>-1.5610535949908844E-3</v>
      </c>
      <c r="G57" s="358">
        <f t="shared" si="4"/>
        <v>0.73982440083485257</v>
      </c>
    </row>
    <row r="58" spans="3:7" ht="18.75">
      <c r="C58" s="349" t="s">
        <v>65</v>
      </c>
      <c r="D58" s="345">
        <f t="shared" si="5"/>
        <v>1.3000000000000001E-2</v>
      </c>
      <c r="E58" s="345">
        <f t="shared" si="6"/>
        <v>1.1835604012202157E-2</v>
      </c>
      <c r="F58" s="345">
        <f t="shared" si="7"/>
        <v>-1.1643959877978439E-3</v>
      </c>
      <c r="G58" s="358">
        <f t="shared" si="4"/>
        <v>0.9104310778617043</v>
      </c>
    </row>
    <row r="59" spans="3:7" ht="18.75">
      <c r="C59" s="349" t="s">
        <v>66</v>
      </c>
      <c r="D59" s="345">
        <f t="shared" si="5"/>
        <v>7.0000000000000007E-2</v>
      </c>
      <c r="E59" s="345">
        <f t="shared" si="6"/>
        <v>7.0161706048396735E-2</v>
      </c>
      <c r="F59" s="345">
        <f t="shared" si="7"/>
        <v>1.6170604839672864E-4</v>
      </c>
      <c r="G59" s="358">
        <f t="shared" si="4"/>
        <v>1.0023100864056675</v>
      </c>
    </row>
    <row r="60" spans="3:7" ht="18.75">
      <c r="C60" s="349" t="s">
        <v>67</v>
      </c>
      <c r="D60" s="345">
        <f t="shared" si="5"/>
        <v>5.6000000000000001E-2</v>
      </c>
      <c r="E60" s="345">
        <f t="shared" si="6"/>
        <v>5.741999622492916E-2</v>
      </c>
      <c r="F60" s="345">
        <f t="shared" si="7"/>
        <v>1.4199962249291584E-3</v>
      </c>
      <c r="G60" s="358">
        <f t="shared" si="4"/>
        <v>1.0253570754451635</v>
      </c>
    </row>
    <row r="61" spans="3:7" ht="18.75">
      <c r="C61" s="349" t="s">
        <v>68</v>
      </c>
      <c r="D61" s="345">
        <f t="shared" si="5"/>
        <v>1.4E-2</v>
      </c>
      <c r="E61" s="345">
        <f t="shared" si="6"/>
        <v>1.3550622111245282E-2</v>
      </c>
      <c r="F61" s="345">
        <f t="shared" si="7"/>
        <v>-4.4937788875471819E-4</v>
      </c>
      <c r="G61" s="358">
        <f t="shared" si="4"/>
        <v>0.96790157937466303</v>
      </c>
    </row>
    <row r="62" spans="3:7" ht="18.75">
      <c r="C62" s="349" t="s">
        <v>69</v>
      </c>
      <c r="D62" s="345">
        <f t="shared" si="5"/>
        <v>0</v>
      </c>
      <c r="E62" s="345">
        <f t="shared" si="6"/>
        <v>0</v>
      </c>
      <c r="F62" s="345">
        <f t="shared" si="7"/>
        <v>0</v>
      </c>
      <c r="G62" s="358" t="str">
        <f t="shared" si="4"/>
        <v>-</v>
      </c>
    </row>
    <row r="63" spans="3:7" ht="18.75">
      <c r="C63" s="349" t="s">
        <v>70</v>
      </c>
      <c r="D63" s="345">
        <f t="shared" si="5"/>
        <v>7.3999999999999996E-2</v>
      </c>
      <c r="E63" s="345">
        <f t="shared" si="6"/>
        <v>7.4159597844523695E-2</v>
      </c>
      <c r="F63" s="345">
        <f t="shared" si="7"/>
        <v>1.5959784452369841E-4</v>
      </c>
      <c r="G63" s="358">
        <f t="shared" si="4"/>
        <v>1.0021567276286987</v>
      </c>
    </row>
    <row r="64" spans="3:7" ht="18.75">
      <c r="C64" s="347" t="s">
        <v>425</v>
      </c>
      <c r="D64" s="350">
        <f t="shared" si="5"/>
        <v>0.83300000000000018</v>
      </c>
      <c r="E64" s="350">
        <f t="shared" si="6"/>
        <v>0.86282871759394586</v>
      </c>
      <c r="F64" s="350">
        <f t="shared" si="7"/>
        <v>2.9828717593945675E-2</v>
      </c>
      <c r="G64" s="359">
        <f t="shared" si="4"/>
        <v>1.0358087846265855</v>
      </c>
    </row>
    <row r="67" spans="3:14" ht="15" customHeight="1">
      <c r="C67" s="1367" t="s">
        <v>426</v>
      </c>
      <c r="D67" s="1368"/>
      <c r="E67" s="388"/>
      <c r="F67" s="1371" t="str">
        <f>G4</f>
        <v>Aug'26</v>
      </c>
      <c r="G67" s="360"/>
      <c r="H67" s="360"/>
      <c r="I67" s="360"/>
      <c r="J67" s="360"/>
      <c r="K67" s="360"/>
      <c r="L67" s="360"/>
      <c r="M67" s="360"/>
      <c r="N67" s="361"/>
    </row>
    <row r="68" spans="3:14" ht="15" customHeight="1">
      <c r="C68" s="1369"/>
      <c r="D68" s="1370"/>
      <c r="E68" s="389"/>
      <c r="F68" s="1372"/>
      <c r="G68" s="362"/>
      <c r="H68" s="362"/>
      <c r="I68" s="362"/>
      <c r="J68" s="362"/>
      <c r="K68" s="362"/>
      <c r="L68" s="362"/>
      <c r="M68" s="362"/>
      <c r="N68" s="363"/>
    </row>
    <row r="69" spans="3:14" ht="18.75">
      <c r="C69" s="1362"/>
      <c r="D69" s="1362"/>
      <c r="E69" s="1363"/>
      <c r="F69" s="1362"/>
      <c r="G69" s="1362"/>
      <c r="H69" s="1362"/>
      <c r="I69" s="1363"/>
      <c r="J69" s="1362"/>
      <c r="K69" s="1362"/>
      <c r="L69" s="1362"/>
      <c r="M69" s="1362"/>
      <c r="N69" s="1362"/>
    </row>
    <row r="70" spans="3:14" ht="18.75">
      <c r="C70" s="1362"/>
      <c r="D70" s="1362"/>
      <c r="E70" s="1363"/>
      <c r="F70" s="1362"/>
      <c r="G70" s="1362"/>
      <c r="H70" s="1362"/>
      <c r="I70" s="1363"/>
      <c r="J70" s="1362"/>
      <c r="K70" s="1362"/>
      <c r="L70" s="1362"/>
      <c r="M70" s="1362"/>
      <c r="N70" s="1362"/>
    </row>
    <row r="71" spans="3:14" ht="18.75">
      <c r="C71" s="1362"/>
      <c r="D71" s="1362"/>
      <c r="E71" s="1363"/>
      <c r="F71" s="1362"/>
      <c r="G71" s="1362"/>
      <c r="H71" s="1362"/>
      <c r="I71" s="1363"/>
      <c r="J71" s="1362"/>
      <c r="K71" s="1362"/>
      <c r="L71" s="1362"/>
      <c r="M71" s="1362"/>
      <c r="N71" s="1362"/>
    </row>
    <row r="72" spans="3:14" ht="18.75">
      <c r="C72" s="1362"/>
      <c r="D72" s="1362"/>
      <c r="E72" s="1363"/>
      <c r="F72" s="1362"/>
      <c r="G72" s="1362"/>
      <c r="H72" s="1362"/>
      <c r="I72" s="1363"/>
      <c r="J72" s="1362"/>
      <c r="K72" s="1362"/>
      <c r="L72" s="1362"/>
      <c r="M72" s="1362"/>
      <c r="N72" s="1362"/>
    </row>
    <row r="73" spans="3:14" ht="18.75">
      <c r="C73" s="1362"/>
      <c r="D73" s="1362"/>
      <c r="E73" s="1363"/>
      <c r="F73" s="1362"/>
      <c r="G73" s="1362"/>
      <c r="H73" s="1362"/>
      <c r="I73" s="1363"/>
      <c r="J73" s="1362"/>
      <c r="K73" s="1362"/>
      <c r="L73" s="1362"/>
      <c r="M73" s="1362"/>
      <c r="N73" s="1362"/>
    </row>
    <row r="74" spans="3:14" ht="18.75">
      <c r="C74" s="1362"/>
      <c r="D74" s="1362"/>
      <c r="E74" s="1363"/>
      <c r="F74" s="1362"/>
      <c r="G74" s="1362"/>
      <c r="H74" s="1362"/>
      <c r="I74" s="1363"/>
      <c r="J74" s="1362"/>
      <c r="K74" s="1362"/>
      <c r="L74" s="1362"/>
      <c r="M74" s="1362"/>
      <c r="N74" s="1362"/>
    </row>
    <row r="75" spans="3:14" ht="18.75">
      <c r="C75" s="1362"/>
      <c r="D75" s="1362"/>
      <c r="E75" s="1363"/>
      <c r="F75" s="1362"/>
      <c r="G75" s="1362"/>
      <c r="H75" s="1362"/>
      <c r="I75" s="1363"/>
      <c r="J75" s="1362"/>
      <c r="K75" s="1362"/>
      <c r="L75" s="1362"/>
      <c r="M75" s="1362"/>
      <c r="N75" s="1362"/>
    </row>
    <row r="76" spans="3:14" ht="18.75">
      <c r="C76" s="1362"/>
      <c r="D76" s="1362"/>
      <c r="E76" s="1363"/>
      <c r="F76" s="1362"/>
      <c r="G76" s="1362"/>
      <c r="H76" s="1362"/>
      <c r="I76" s="1363"/>
      <c r="J76" s="1362"/>
      <c r="K76" s="1362"/>
      <c r="L76" s="1362"/>
      <c r="M76" s="1362"/>
      <c r="N76" s="1362"/>
    </row>
    <row r="77" spans="3:14" ht="18.75">
      <c r="C77" s="1362"/>
      <c r="D77" s="1362"/>
      <c r="E77" s="1363"/>
      <c r="F77" s="1362"/>
      <c r="G77" s="1362"/>
      <c r="H77" s="1362"/>
      <c r="I77" s="1363"/>
      <c r="J77" s="1362"/>
      <c r="K77" s="1362"/>
      <c r="L77" s="1362"/>
      <c r="M77" s="1362"/>
      <c r="N77" s="1362"/>
    </row>
  </sheetData>
  <sheetProtection algorithmName="SHA-512" hashValue="oXrx03vPi/9kM649mrsZXAGCYXSAQW0vKlDmHA57FNFLz36utd2TNK70MwWnRPJhIYhocrgrwdrsHxAkmzOsIg==" saltValue="is5Q2LhdQmXRiLnNS3LqkQ==" spinCount="100000" sheet="1" objects="1" scenarios="1"/>
  <mergeCells count="60">
    <mergeCell ref="C4:F4"/>
    <mergeCell ref="C6:C8"/>
    <mergeCell ref="C26:C28"/>
    <mergeCell ref="K26:O28"/>
    <mergeCell ref="K6:O8"/>
    <mergeCell ref="J6:J8"/>
    <mergeCell ref="H7:H8"/>
    <mergeCell ref="D26:F26"/>
    <mergeCell ref="F27:F28"/>
    <mergeCell ref="I27:I28"/>
    <mergeCell ref="I7:I8"/>
    <mergeCell ref="G26:I26"/>
    <mergeCell ref="G6:I6"/>
    <mergeCell ref="K41:O41"/>
    <mergeCell ref="K16:O16"/>
    <mergeCell ref="K17:O17"/>
    <mergeCell ref="K18:O18"/>
    <mergeCell ref="K19:O19"/>
    <mergeCell ref="K33:O33"/>
    <mergeCell ref="K21:O21"/>
    <mergeCell ref="K22:O22"/>
    <mergeCell ref="K38:O38"/>
    <mergeCell ref="K39:O39"/>
    <mergeCell ref="K40:O40"/>
    <mergeCell ref="K37:O37"/>
    <mergeCell ref="K29:O29"/>
    <mergeCell ref="K30:O30"/>
    <mergeCell ref="K31:O31"/>
    <mergeCell ref="K32:O32"/>
    <mergeCell ref="K34:O34"/>
    <mergeCell ref="K35:O35"/>
    <mergeCell ref="K36:O36"/>
    <mergeCell ref="G4:J4"/>
    <mergeCell ref="H27:H28"/>
    <mergeCell ref="L1:O2"/>
    <mergeCell ref="J26:J28"/>
    <mergeCell ref="C48:G48"/>
    <mergeCell ref="C69:N69"/>
    <mergeCell ref="D6:F6"/>
    <mergeCell ref="F7:F8"/>
    <mergeCell ref="K4:O4"/>
    <mergeCell ref="K20:O20"/>
    <mergeCell ref="K9:O9"/>
    <mergeCell ref="K10:O10"/>
    <mergeCell ref="K11:O11"/>
    <mergeCell ref="K12:O12"/>
    <mergeCell ref="K13:O13"/>
    <mergeCell ref="K14:O14"/>
    <mergeCell ref="K15:O15"/>
    <mergeCell ref="K42:O42"/>
    <mergeCell ref="C75:N75"/>
    <mergeCell ref="C76:N76"/>
    <mergeCell ref="C77:N77"/>
    <mergeCell ref="C67:D68"/>
    <mergeCell ref="F67:F68"/>
    <mergeCell ref="C70:N70"/>
    <mergeCell ref="C71:N71"/>
    <mergeCell ref="C72:N72"/>
    <mergeCell ref="C73:N73"/>
    <mergeCell ref="C74:N74"/>
  </mergeCells>
  <conditionalFormatting sqref="J9:J23">
    <cfRule type="cellIs" dxfId="42" priority="25" operator="greaterThan">
      <formula>1</formula>
    </cfRule>
    <cfRule type="cellIs" dxfId="41" priority="26" operator="lessThan">
      <formula>1</formula>
    </cfRule>
  </conditionalFormatting>
  <conditionalFormatting sqref="J29:J43">
    <cfRule type="cellIs" dxfId="40" priority="23" operator="greaterThan">
      <formula>1</formula>
    </cfRule>
    <cfRule type="cellIs" dxfId="39" priority="24" operator="lessThan">
      <formula>1</formula>
    </cfRule>
  </conditionalFormatting>
  <conditionalFormatting sqref="G50:G64">
    <cfRule type="cellIs" dxfId="38" priority="15" operator="greaterThan">
      <formula>1</formula>
    </cfRule>
    <cfRule type="cellIs" dxfId="37" priority="16" operator="lessThan">
      <formula>1</formula>
    </cfRule>
  </conditionalFormatting>
  <conditionalFormatting sqref="F50:F63">
    <cfRule type="cellIs" dxfId="36" priority="11" operator="lessThan">
      <formula>0</formula>
    </cfRule>
    <cfRule type="cellIs" dxfId="35" priority="12" operator="greaterThan">
      <formula>0</formula>
    </cfRule>
  </conditionalFormatting>
  <conditionalFormatting sqref="F64">
    <cfRule type="cellIs" dxfId="34" priority="9" operator="lessThan">
      <formula>0</formula>
    </cfRule>
    <cfRule type="cellIs" dxfId="33" priority="10" operator="greaterThan">
      <formula>0</formula>
    </cfRule>
  </conditionalFormatting>
  <conditionalFormatting sqref="I29:I42">
    <cfRule type="cellIs" dxfId="32" priority="7" operator="lessThan">
      <formula>0</formula>
    </cfRule>
    <cfRule type="cellIs" dxfId="31" priority="8" operator="greaterThan">
      <formula>0</formula>
    </cfRule>
  </conditionalFormatting>
  <conditionalFormatting sqref="I43">
    <cfRule type="cellIs" dxfId="30" priority="5" operator="lessThan">
      <formula>0</formula>
    </cfRule>
    <cfRule type="cellIs" dxfId="29" priority="6" operator="greaterThan">
      <formula>0</formula>
    </cfRule>
  </conditionalFormatting>
  <conditionalFormatting sqref="I9:I22">
    <cfRule type="cellIs" dxfId="28" priority="3" operator="lessThan">
      <formula>0</formula>
    </cfRule>
    <cfRule type="cellIs" dxfId="27" priority="4" operator="greaterThan">
      <formula>0</formula>
    </cfRule>
  </conditionalFormatting>
  <conditionalFormatting sqref="I23">
    <cfRule type="cellIs" dxfId="26" priority="1" operator="lessThan">
      <formula>0</formula>
    </cfRule>
    <cfRule type="cellIs" dxfId="25" priority="2" operator="greaterThan">
      <formula>0</formula>
    </cfRule>
  </conditionalFormatting>
  <pageMargins left="0.7" right="0.7" top="0.75" bottom="0.75" header="0.3" footer="0.3"/>
  <pageSetup scale="51"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8849" r:id="rId4" name="Button 1">
              <controlPr defaultSize="0" print="0" autoFill="0" autoPict="0" macro="[0]!EXPORT_ACTIVE_SHEET">
                <anchor moveWithCells="1" sizeWithCells="1">
                  <from>
                    <xdr:col>17</xdr:col>
                    <xdr:colOff>504825</xdr:colOff>
                    <xdr:row>13</xdr:row>
                    <xdr:rowOff>47625</xdr:rowOff>
                  </from>
                  <to>
                    <xdr:col>22</xdr:col>
                    <xdr:colOff>47625</xdr:colOff>
                    <xdr:row>16</xdr:row>
                    <xdr:rowOff>76200</xdr:rowOff>
                  </to>
                </anchor>
              </controlPr>
            </control>
          </mc:Choice>
        </mc:AlternateContent>
        <mc:AlternateContent xmlns:mc="http://schemas.openxmlformats.org/markup-compatibility/2006">
          <mc:Choice Requires="x14">
            <control shapeId="78850" r:id="rId5" name="Button 2">
              <controlPr defaultSize="0" print="0" autoFill="0" autoPict="0" macro="[0]!Back_to_Dashboard">
                <anchor moveWithCells="1" sizeWithCells="1">
                  <from>
                    <xdr:col>17</xdr:col>
                    <xdr:colOff>523875</xdr:colOff>
                    <xdr:row>17</xdr:row>
                    <xdr:rowOff>190500</xdr:rowOff>
                  </from>
                  <to>
                    <xdr:col>22</xdr:col>
                    <xdr:colOff>28575</xdr:colOff>
                    <xdr:row>20</xdr:row>
                    <xdr:rowOff>142875</xdr:rowOff>
                  </to>
                </anchor>
              </controlPr>
            </control>
          </mc:Choice>
        </mc:AlternateContent>
        <mc:AlternateContent xmlns:mc="http://schemas.openxmlformats.org/markup-compatibility/2006">
          <mc:Choice Requires="x14">
            <control shapeId="78851" r:id="rId6" name="Button 3">
              <controlPr defaultSize="0" print="0" autoFill="0" autoPict="0" macro="[0]!MonthlyAnalysis_export_in_format_Click">
                <anchor moveWithCells="1" sizeWithCells="1">
                  <from>
                    <xdr:col>17</xdr:col>
                    <xdr:colOff>523875</xdr:colOff>
                    <xdr:row>21</xdr:row>
                    <xdr:rowOff>219075</xdr:rowOff>
                  </from>
                  <to>
                    <xdr:col>22</xdr:col>
                    <xdr:colOff>38100</xdr:colOff>
                    <xdr:row>25</xdr:row>
                    <xdr:rowOff>28575</xdr:rowOff>
                  </to>
                </anchor>
              </controlPr>
            </control>
          </mc:Choice>
        </mc:AlternateContent>
      </controls>
    </mc:Choice>
  </mc:AlternateContent>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1">
    <tabColor rgb="FF92D050"/>
  </sheetPr>
  <dimension ref="D2:J63"/>
  <sheetViews>
    <sheetView workbookViewId="0"/>
  </sheetViews>
  <sheetFormatPr defaultColWidth="8.85546875" defaultRowHeight="15"/>
  <cols>
    <col min="4" max="4" width="13.42578125" customWidth="1"/>
    <col min="5" max="5" width="17.7109375" customWidth="1"/>
    <col min="6" max="6" width="17.140625" customWidth="1"/>
    <col min="8" max="8" width="10" customWidth="1"/>
  </cols>
  <sheetData>
    <row r="2" spans="4:10">
      <c r="E2" t="s">
        <v>153</v>
      </c>
      <c r="F2" t="str">
        <f>DPR!AN5</f>
        <v>July'26</v>
      </c>
      <c r="G2" t="s">
        <v>156</v>
      </c>
      <c r="H2" s="246">
        <f>Dashboard!D3</f>
        <v>46265</v>
      </c>
      <c r="J2" t="s">
        <v>1354</v>
      </c>
    </row>
    <row r="3" spans="4:10">
      <c r="F3" t="str">
        <f>Dropdowns!D406</f>
        <v>(rounded)</v>
      </c>
    </row>
    <row r="5" spans="4:10" ht="23.25">
      <c r="D5" s="1420" t="s">
        <v>1352</v>
      </c>
      <c r="E5" s="1420"/>
      <c r="F5" s="1420"/>
      <c r="G5" s="1420"/>
      <c r="H5" s="1420"/>
    </row>
    <row r="7" spans="4:10" ht="31.5" customHeight="1">
      <c r="D7" s="1417" t="s">
        <v>104</v>
      </c>
      <c r="E7" s="644" t="str">
        <f>Dropdowns!I94 &amp; " to " &amp; Dropdowns!E94</f>
        <v>Apr'25 to Aug'25</v>
      </c>
      <c r="F7" s="644" t="str">
        <f>Dropdowns!I95 &amp; " to " &amp; Dropdowns!E95</f>
        <v>Apr'26 to Aug'26</v>
      </c>
      <c r="G7" s="1421" t="s">
        <v>462</v>
      </c>
      <c r="H7" s="1421" t="s">
        <v>1353</v>
      </c>
    </row>
    <row r="8" spans="4:10" ht="28.5" customHeight="1">
      <c r="D8" s="1417"/>
      <c r="E8" s="644" t="s">
        <v>494</v>
      </c>
      <c r="F8" s="644" t="s">
        <v>494</v>
      </c>
      <c r="G8" s="1422"/>
      <c r="H8" s="1422"/>
    </row>
    <row r="9" spans="4:10" ht="18.75">
      <c r="D9" s="640" t="s">
        <v>60</v>
      </c>
      <c r="E9" s="643">
        <f>'YTD display'!Z7</f>
        <v>0.48699999999999999</v>
      </c>
      <c r="F9" s="643">
        <f>'YTD display'!L7</f>
        <v>0.75796189729712826</v>
      </c>
      <c r="G9" s="641">
        <f>F9-E9</f>
        <v>0.27096189729712827</v>
      </c>
      <c r="H9" s="642">
        <f>IFERROR(F9/E9,"-")</f>
        <v>1.5563899328483126</v>
      </c>
    </row>
    <row r="10" spans="4:10" ht="18.75">
      <c r="D10" s="640" t="s">
        <v>61</v>
      </c>
      <c r="E10" s="643">
        <f>'YTD display'!Z8</f>
        <v>0.89900000000000002</v>
      </c>
      <c r="F10" s="643">
        <f>'YTD display'!L8</f>
        <v>0.83362658602794104</v>
      </c>
      <c r="G10" s="641">
        <f t="shared" ref="G10:G23" si="0">F10-E10</f>
        <v>-6.537341397205898E-2</v>
      </c>
      <c r="H10" s="642">
        <f t="shared" ref="H10:H23" si="1">IFERROR(F10/E10,"-")</f>
        <v>0.92728207567067966</v>
      </c>
    </row>
    <row r="11" spans="4:10" ht="18.75">
      <c r="D11" s="640" t="s">
        <v>62</v>
      </c>
      <c r="E11" s="643">
        <f>'YTD display'!Z9</f>
        <v>4.1000000000000002E-2</v>
      </c>
      <c r="F11" s="643">
        <f>'YTD display'!L9</f>
        <v>3.845796062048798E-2</v>
      </c>
      <c r="G11" s="641">
        <f t="shared" si="0"/>
        <v>-2.5420393795120219E-3</v>
      </c>
      <c r="H11" s="642">
        <f t="shared" si="1"/>
        <v>0.93799903952409702</v>
      </c>
    </row>
    <row r="12" spans="4:10" ht="18.75">
      <c r="D12" s="640" t="s">
        <v>57</v>
      </c>
      <c r="E12" s="643">
        <f>'YTD display'!Z10</f>
        <v>0.19500000000000001</v>
      </c>
      <c r="F12" s="643">
        <f>'YTD display'!L10</f>
        <v>0.19188916164803921</v>
      </c>
      <c r="G12" s="641">
        <f t="shared" si="0"/>
        <v>-3.1108383519607985E-3</v>
      </c>
      <c r="H12" s="642">
        <f t="shared" si="1"/>
        <v>0.98404698281045744</v>
      </c>
    </row>
    <row r="13" spans="4:10" ht="18.75">
      <c r="D13" s="640" t="s">
        <v>58</v>
      </c>
      <c r="E13" s="643">
        <f>'YTD display'!Z11</f>
        <v>0.17800000000000002</v>
      </c>
      <c r="F13" s="643">
        <f>'YTD display'!L11</f>
        <v>0.1975245219248013</v>
      </c>
      <c r="G13" s="641">
        <f t="shared" si="0"/>
        <v>1.952452192480128E-2</v>
      </c>
      <c r="H13" s="642">
        <f t="shared" si="1"/>
        <v>1.1096883254202319</v>
      </c>
    </row>
    <row r="14" spans="4:10" ht="18.75">
      <c r="D14" s="640" t="s">
        <v>59</v>
      </c>
      <c r="E14" s="643">
        <f>'YTD display'!Z12</f>
        <v>5.3999999999999992E-2</v>
      </c>
      <c r="F14" s="643">
        <f>'YTD display'!L12</f>
        <v>5.3377565889520216E-2</v>
      </c>
      <c r="G14" s="641">
        <f t="shared" si="0"/>
        <v>-6.224341104797762E-4</v>
      </c>
      <c r="H14" s="642">
        <f t="shared" si="1"/>
        <v>0.98847344239852264</v>
      </c>
    </row>
    <row r="15" spans="4:10" ht="18.75">
      <c r="D15" s="640" t="s">
        <v>63</v>
      </c>
      <c r="E15" s="643">
        <f>'YTD display'!Z13</f>
        <v>0.316</v>
      </c>
      <c r="F15" s="643">
        <f>'YTD display'!L13</f>
        <v>0.29918140266083793</v>
      </c>
      <c r="G15" s="641">
        <f t="shared" si="0"/>
        <v>-1.6818597339162078E-2</v>
      </c>
      <c r="H15" s="642">
        <f t="shared" si="1"/>
        <v>0.94677659069885423</v>
      </c>
    </row>
    <row r="16" spans="4:10" ht="18.75">
      <c r="D16" s="640" t="s">
        <v>64</v>
      </c>
      <c r="E16" s="643">
        <f>'YTD display'!Z14</f>
        <v>0.02</v>
      </c>
      <c r="F16" s="643">
        <f>'YTD display'!L14</f>
        <v>1.8778006343221812E-2</v>
      </c>
      <c r="G16" s="641">
        <f t="shared" si="0"/>
        <v>-1.2219936567781885E-3</v>
      </c>
      <c r="H16" s="642">
        <f t="shared" si="1"/>
        <v>0.93890031716109057</v>
      </c>
    </row>
    <row r="17" spans="4:8" ht="18.75">
      <c r="D17" s="640" t="s">
        <v>65</v>
      </c>
      <c r="E17" s="643">
        <f>'YTD display'!Z15</f>
        <v>4.4000000000000004E-2</v>
      </c>
      <c r="F17" s="643">
        <f>'YTD display'!L15</f>
        <v>4.9772601919589168E-2</v>
      </c>
      <c r="G17" s="641">
        <f t="shared" si="0"/>
        <v>5.772601919589164E-3</v>
      </c>
      <c r="H17" s="642">
        <f t="shared" si="1"/>
        <v>1.131195498172481</v>
      </c>
    </row>
    <row r="18" spans="4:8" ht="18.75">
      <c r="D18" s="640" t="s">
        <v>66</v>
      </c>
      <c r="E18" s="643">
        <f>'YTD display'!Z16</f>
        <v>0.32500000000000001</v>
      </c>
      <c r="F18" s="643">
        <f>'YTD display'!L16</f>
        <v>0.27316170604839674</v>
      </c>
      <c r="G18" s="641">
        <f t="shared" si="0"/>
        <v>-5.1838293951603276E-2</v>
      </c>
      <c r="H18" s="642">
        <f t="shared" si="1"/>
        <v>0.84049755707198992</v>
      </c>
    </row>
    <row r="19" spans="4:8" ht="18.75">
      <c r="D19" s="640" t="s">
        <v>67</v>
      </c>
      <c r="E19" s="643">
        <f>'YTD display'!Z17</f>
        <v>0.26100000000000001</v>
      </c>
      <c r="F19" s="643">
        <f>'YTD display'!L17</f>
        <v>0.28041999622492919</v>
      </c>
      <c r="G19" s="641">
        <f t="shared" si="0"/>
        <v>1.9419996224929181E-2</v>
      </c>
      <c r="H19" s="642">
        <f t="shared" si="1"/>
        <v>1.0744061158043263</v>
      </c>
    </row>
    <row r="20" spans="4:8" ht="18.75">
      <c r="D20" s="640" t="s">
        <v>68</v>
      </c>
      <c r="E20" s="643">
        <f>'YTD display'!Z18</f>
        <v>0.06</v>
      </c>
      <c r="F20" s="643">
        <f>'YTD display'!L18</f>
        <v>6.7550622111245281E-2</v>
      </c>
      <c r="G20" s="641">
        <f t="shared" si="0"/>
        <v>7.5506221112452837E-3</v>
      </c>
      <c r="H20" s="642">
        <f t="shared" si="1"/>
        <v>1.1258437018540881</v>
      </c>
    </row>
    <row r="21" spans="4:8" ht="18.75">
      <c r="D21" s="640" t="s">
        <v>69</v>
      </c>
      <c r="E21" s="643">
        <f>'YTD display'!Z19</f>
        <v>1E-3</v>
      </c>
      <c r="F21" s="643">
        <f>'YTD display'!L19</f>
        <v>0</v>
      </c>
      <c r="G21" s="641">
        <f t="shared" si="0"/>
        <v>-1E-3</v>
      </c>
      <c r="H21" s="642">
        <f t="shared" si="1"/>
        <v>0</v>
      </c>
    </row>
    <row r="22" spans="4:8" ht="18.75">
      <c r="D22" s="640" t="s">
        <v>70</v>
      </c>
      <c r="E22" s="643">
        <f>'YTD display'!Z20</f>
        <v>0</v>
      </c>
      <c r="F22" s="643">
        <f>'YTD display'!L20</f>
        <v>0</v>
      </c>
      <c r="G22" s="641">
        <f t="shared" si="0"/>
        <v>0</v>
      </c>
      <c r="H22" s="642" t="str">
        <f t="shared" si="1"/>
        <v>-</v>
      </c>
    </row>
    <row r="23" spans="4:8" ht="18.75">
      <c r="D23" s="639" t="s">
        <v>92</v>
      </c>
      <c r="E23" s="643">
        <f>'YTD display'!Z21</f>
        <v>2.8810000000000002</v>
      </c>
      <c r="F23" s="643">
        <f>'YTD display'!L21</f>
        <v>3.0617020287161378</v>
      </c>
      <c r="G23" s="641">
        <f t="shared" si="0"/>
        <v>0.18070202871613761</v>
      </c>
      <c r="H23" s="642">
        <f t="shared" si="1"/>
        <v>1.0627219815050808</v>
      </c>
    </row>
    <row r="27" spans="4:8" ht="15.75">
      <c r="D27" s="1417" t="s">
        <v>105</v>
      </c>
      <c r="E27" s="644" t="str">
        <f>E7</f>
        <v>Apr'25 to Aug'25</v>
      </c>
      <c r="F27" s="644" t="str">
        <f>F7</f>
        <v>Apr'26 to Aug'26</v>
      </c>
      <c r="G27" s="1421" t="s">
        <v>462</v>
      </c>
      <c r="H27" s="1421" t="s">
        <v>1353</v>
      </c>
    </row>
    <row r="28" spans="4:8" ht="28.5" customHeight="1">
      <c r="D28" s="1417"/>
      <c r="E28" s="644" t="s">
        <v>841</v>
      </c>
      <c r="F28" s="644" t="s">
        <v>841</v>
      </c>
      <c r="G28" s="1422"/>
      <c r="H28" s="1422"/>
    </row>
    <row r="29" spans="4:8" ht="18.75">
      <c r="D29" s="640" t="s">
        <v>60</v>
      </c>
      <c r="E29" s="643">
        <f>'YTD display'!Z24</f>
        <v>0.19</v>
      </c>
      <c r="F29" s="643">
        <f>'YTD display'!L24</f>
        <v>0.24492837185478003</v>
      </c>
      <c r="G29" s="641">
        <f>F29-E29</f>
        <v>5.4928371854780028E-2</v>
      </c>
      <c r="H29" s="642">
        <f>IFERROR(F29/E29,"-")</f>
        <v>1.2890966939725264</v>
      </c>
    </row>
    <row r="30" spans="4:8" ht="18.75">
      <c r="D30" s="640" t="s">
        <v>61</v>
      </c>
      <c r="E30" s="643">
        <f>'YTD display'!Z25</f>
        <v>0.40799999999999997</v>
      </c>
      <c r="F30" s="643">
        <f>'YTD display'!L25</f>
        <v>0.38663417235999997</v>
      </c>
      <c r="G30" s="641">
        <f t="shared" ref="G30:G43" si="2">F30-E30</f>
        <v>-2.1365827640000001E-2</v>
      </c>
      <c r="H30" s="642">
        <f t="shared" ref="H30:H43" si="3">IFERROR(F30/E30,"-")</f>
        <v>0.94763277539215685</v>
      </c>
    </row>
    <row r="31" spans="4:8" ht="18.75">
      <c r="D31" s="640" t="s">
        <v>62</v>
      </c>
      <c r="E31" s="643">
        <f>'YTD display'!Z26</f>
        <v>4.1000000000000002E-2</v>
      </c>
      <c r="F31" s="643">
        <f>'YTD display'!L26</f>
        <v>3.8649968E-2</v>
      </c>
      <c r="G31" s="641">
        <f t="shared" si="2"/>
        <v>-2.3500320000000019E-3</v>
      </c>
      <c r="H31" s="642">
        <f t="shared" si="3"/>
        <v>0.94268214634146341</v>
      </c>
    </row>
    <row r="32" spans="4:8" ht="18.75">
      <c r="D32" s="640" t="s">
        <v>57</v>
      </c>
      <c r="E32" s="643">
        <f>'YTD display'!Z27</f>
        <v>4.2000000000000003E-2</v>
      </c>
      <c r="F32" s="643">
        <f>'YTD display'!L27</f>
        <v>5.1243716568454493E-2</v>
      </c>
      <c r="G32" s="641">
        <f t="shared" si="2"/>
        <v>9.2437165684544909E-3</v>
      </c>
      <c r="H32" s="642">
        <f t="shared" si="3"/>
        <v>1.220088489725107</v>
      </c>
    </row>
    <row r="33" spans="4:8" ht="18.75">
      <c r="D33" s="640" t="s">
        <v>58</v>
      </c>
      <c r="E33" s="643">
        <f>'YTD display'!Z28</f>
        <v>1.6E-2</v>
      </c>
      <c r="F33" s="643">
        <f>'YTD display'!L28</f>
        <v>1.7309314750000002E-2</v>
      </c>
      <c r="G33" s="641">
        <f t="shared" si="2"/>
        <v>1.309314750000002E-3</v>
      </c>
      <c r="H33" s="642">
        <f t="shared" si="3"/>
        <v>1.0818321718750001</v>
      </c>
    </row>
    <row r="34" spans="4:8" ht="18.75">
      <c r="D34" s="640" t="s">
        <v>59</v>
      </c>
      <c r="E34" s="643">
        <f>'YTD display'!Z29</f>
        <v>1E-3</v>
      </c>
      <c r="F34" s="643">
        <f>'YTD display'!L29</f>
        <v>1.3850000000000004E-3</v>
      </c>
      <c r="G34" s="641">
        <f t="shared" si="2"/>
        <v>3.8500000000000036E-4</v>
      </c>
      <c r="H34" s="642">
        <f t="shared" si="3"/>
        <v>1.3850000000000005</v>
      </c>
    </row>
    <row r="35" spans="4:8" ht="18.75">
      <c r="D35" s="640" t="s">
        <v>63</v>
      </c>
      <c r="E35" s="643">
        <f>'YTD display'!Z30</f>
        <v>0</v>
      </c>
      <c r="F35" s="643">
        <f>'YTD display'!L30</f>
        <v>8.0926053456492619E-3</v>
      </c>
      <c r="G35" s="641">
        <f t="shared" si="2"/>
        <v>8.0926053456492619E-3</v>
      </c>
      <c r="H35" s="642" t="str">
        <f t="shared" si="3"/>
        <v>-</v>
      </c>
    </row>
    <row r="36" spans="4:8" ht="18.75">
      <c r="D36" s="640" t="s">
        <v>64</v>
      </c>
      <c r="E36" s="643">
        <f>'YTD display'!Z31</f>
        <v>3.0000000000000001E-3</v>
      </c>
      <c r="F36" s="643">
        <f>'YTD display'!L31</f>
        <v>4.6609400617873015E-3</v>
      </c>
      <c r="G36" s="641">
        <f t="shared" si="2"/>
        <v>1.6609400617873015E-3</v>
      </c>
      <c r="H36" s="642">
        <f t="shared" si="3"/>
        <v>1.5536466872624337</v>
      </c>
    </row>
    <row r="37" spans="4:8" ht="18.75">
      <c r="D37" s="640" t="s">
        <v>65</v>
      </c>
      <c r="E37" s="643">
        <f>'YTD display'!Z32</f>
        <v>6.0000000000000001E-3</v>
      </c>
      <c r="F37" s="643">
        <f>'YTD display'!L32</f>
        <v>6.0630020926129916E-3</v>
      </c>
      <c r="G37" s="641">
        <f t="shared" si="2"/>
        <v>6.3002092612991431E-5</v>
      </c>
      <c r="H37" s="642">
        <f t="shared" si="3"/>
        <v>1.010500348768832</v>
      </c>
    </row>
    <row r="38" spans="4:8" ht="18.75">
      <c r="D38" s="640" t="s">
        <v>66</v>
      </c>
      <c r="E38" s="643">
        <f>'YTD display'!Z33</f>
        <v>0</v>
      </c>
      <c r="F38" s="643">
        <f>'YTD display'!L33</f>
        <v>0</v>
      </c>
      <c r="G38" s="641">
        <f t="shared" si="2"/>
        <v>0</v>
      </c>
      <c r="H38" s="642" t="str">
        <f t="shared" si="3"/>
        <v>-</v>
      </c>
    </row>
    <row r="39" spans="4:8" ht="18.75">
      <c r="D39" s="640" t="s">
        <v>67</v>
      </c>
      <c r="E39" s="643">
        <f>'YTD display'!Z34</f>
        <v>0</v>
      </c>
      <c r="F39" s="643">
        <f>'YTD display'!L34</f>
        <v>0</v>
      </c>
      <c r="G39" s="641">
        <f t="shared" si="2"/>
        <v>0</v>
      </c>
      <c r="H39" s="642" t="str">
        <f t="shared" si="3"/>
        <v>-</v>
      </c>
    </row>
    <row r="40" spans="4:8" ht="18.75">
      <c r="D40" s="640" t="s">
        <v>68</v>
      </c>
      <c r="E40" s="643">
        <f>'YTD display'!Z35</f>
        <v>0</v>
      </c>
      <c r="F40" s="643">
        <f>'YTD display'!L35</f>
        <v>0</v>
      </c>
      <c r="G40" s="641">
        <f t="shared" si="2"/>
        <v>0</v>
      </c>
      <c r="H40" s="642" t="str">
        <f t="shared" si="3"/>
        <v>-</v>
      </c>
    </row>
    <row r="41" spans="4:8" ht="18.75">
      <c r="D41" s="640" t="s">
        <v>69</v>
      </c>
      <c r="E41" s="643">
        <f>'YTD display'!Z36</f>
        <v>1.7000000000000001E-2</v>
      </c>
      <c r="F41" s="643">
        <f>'YTD display'!L36</f>
        <v>0</v>
      </c>
      <c r="G41" s="641">
        <f t="shared" si="2"/>
        <v>-1.7000000000000001E-2</v>
      </c>
      <c r="H41" s="642">
        <f t="shared" si="3"/>
        <v>0</v>
      </c>
    </row>
    <row r="42" spans="4:8" ht="18.75">
      <c r="D42" s="640" t="s">
        <v>70</v>
      </c>
      <c r="E42" s="643">
        <f>'YTD display'!Z37</f>
        <v>0.36700000000000005</v>
      </c>
      <c r="F42" s="643">
        <f>'YTD display'!L37</f>
        <v>0.36315959784452373</v>
      </c>
      <c r="G42" s="641">
        <f t="shared" si="2"/>
        <v>-3.840402155476319E-3</v>
      </c>
      <c r="H42" s="642">
        <f t="shared" si="3"/>
        <v>0.98953568894965582</v>
      </c>
    </row>
    <row r="43" spans="4:8" ht="18.75">
      <c r="D43" s="638" t="s">
        <v>92</v>
      </c>
      <c r="E43" s="643">
        <f>'YTD display'!Z38</f>
        <v>1.091</v>
      </c>
      <c r="F43" s="643">
        <f>'YTD display'!L38</f>
        <v>1.1221266888778076</v>
      </c>
      <c r="G43" s="641">
        <f t="shared" si="2"/>
        <v>3.1126688877807673E-2</v>
      </c>
      <c r="H43" s="642">
        <f t="shared" si="3"/>
        <v>1.0285304206029402</v>
      </c>
    </row>
    <row r="47" spans="4:8" ht="21.75" customHeight="1">
      <c r="D47" s="1418" t="s">
        <v>3</v>
      </c>
      <c r="E47" s="644" t="str">
        <f>E7</f>
        <v>Apr'25 to Aug'25</v>
      </c>
      <c r="F47" s="644" t="str">
        <f>F7</f>
        <v>Apr'26 to Aug'26</v>
      </c>
      <c r="G47" s="1421" t="s">
        <v>462</v>
      </c>
      <c r="H47" s="1421" t="s">
        <v>1353</v>
      </c>
    </row>
    <row r="48" spans="4:8" ht="19.5" customHeight="1">
      <c r="D48" s="1419"/>
      <c r="E48" s="644" t="s">
        <v>1209</v>
      </c>
      <c r="F48" s="644" t="s">
        <v>1209</v>
      </c>
      <c r="G48" s="1422"/>
      <c r="H48" s="1422"/>
    </row>
    <row r="49" spans="4:8" ht="18.75">
      <c r="D49" s="640" t="s">
        <v>60</v>
      </c>
      <c r="E49" s="643">
        <f t="shared" ref="E49:F63" si="4">E9+E29</f>
        <v>0.67700000000000005</v>
      </c>
      <c r="F49" s="643">
        <f t="shared" si="4"/>
        <v>1.0028902691519084</v>
      </c>
      <c r="G49" s="641">
        <f>F49-E49</f>
        <v>0.32589026915190833</v>
      </c>
      <c r="H49" s="642">
        <f>IFERROR(F49/E49,"-")</f>
        <v>1.4813741050988305</v>
      </c>
    </row>
    <row r="50" spans="4:8" ht="18.75">
      <c r="D50" s="640" t="s">
        <v>61</v>
      </c>
      <c r="E50" s="643">
        <f t="shared" si="4"/>
        <v>1.3069999999999999</v>
      </c>
      <c r="F50" s="643">
        <f t="shared" si="4"/>
        <v>1.220260758387941</v>
      </c>
      <c r="G50" s="641">
        <f t="shared" ref="G50:G62" si="5">F50-E50</f>
        <v>-8.6739241612058926E-2</v>
      </c>
      <c r="H50" s="642">
        <f t="shared" ref="H50:H63" si="6">IFERROR(F50/E50,"-")</f>
        <v>0.93363485722107198</v>
      </c>
    </row>
    <row r="51" spans="4:8" ht="18.75">
      <c r="D51" s="640" t="s">
        <v>62</v>
      </c>
      <c r="E51" s="643">
        <f t="shared" si="4"/>
        <v>8.2000000000000003E-2</v>
      </c>
      <c r="F51" s="643">
        <f t="shared" si="4"/>
        <v>7.7107928620487987E-2</v>
      </c>
      <c r="G51" s="641">
        <f t="shared" si="5"/>
        <v>-4.8920713795120169E-3</v>
      </c>
      <c r="H51" s="642">
        <f t="shared" si="6"/>
        <v>0.94034059293278027</v>
      </c>
    </row>
    <row r="52" spans="4:8" ht="18.75">
      <c r="D52" s="640" t="s">
        <v>57</v>
      </c>
      <c r="E52" s="643">
        <f t="shared" si="4"/>
        <v>0.23700000000000002</v>
      </c>
      <c r="F52" s="643">
        <f t="shared" si="4"/>
        <v>0.24313287821649371</v>
      </c>
      <c r="G52" s="641">
        <f t="shared" si="5"/>
        <v>6.1328782164936924E-3</v>
      </c>
      <c r="H52" s="642">
        <f t="shared" si="6"/>
        <v>1.0258771232763446</v>
      </c>
    </row>
    <row r="53" spans="4:8" ht="18.75">
      <c r="D53" s="640" t="s">
        <v>58</v>
      </c>
      <c r="E53" s="643">
        <f t="shared" si="4"/>
        <v>0.19400000000000001</v>
      </c>
      <c r="F53" s="643">
        <f t="shared" si="4"/>
        <v>0.2148338366748013</v>
      </c>
      <c r="G53" s="641">
        <f t="shared" si="5"/>
        <v>2.0833836674801293E-2</v>
      </c>
      <c r="H53" s="642">
        <f t="shared" si="6"/>
        <v>1.1073909106948521</v>
      </c>
    </row>
    <row r="54" spans="4:8" ht="18.75">
      <c r="D54" s="640" t="s">
        <v>59</v>
      </c>
      <c r="E54" s="643">
        <f t="shared" si="4"/>
        <v>5.4999999999999993E-2</v>
      </c>
      <c r="F54" s="643">
        <f t="shared" si="4"/>
        <v>5.4762565889520214E-2</v>
      </c>
      <c r="G54" s="641">
        <f t="shared" si="5"/>
        <v>-2.3743411047977975E-4</v>
      </c>
      <c r="H54" s="642">
        <f t="shared" si="6"/>
        <v>0.99568301617309496</v>
      </c>
    </row>
    <row r="55" spans="4:8" ht="18.75">
      <c r="D55" s="640" t="s">
        <v>63</v>
      </c>
      <c r="E55" s="643">
        <f t="shared" si="4"/>
        <v>0.316</v>
      </c>
      <c r="F55" s="643">
        <f t="shared" si="4"/>
        <v>0.30727400800648719</v>
      </c>
      <c r="G55" s="641">
        <f t="shared" si="5"/>
        <v>-8.7259919935128161E-3</v>
      </c>
      <c r="H55" s="642">
        <f t="shared" si="6"/>
        <v>0.97238610128635183</v>
      </c>
    </row>
    <row r="56" spans="4:8" ht="18.75">
      <c r="D56" s="640" t="s">
        <v>64</v>
      </c>
      <c r="E56" s="643">
        <f t="shared" si="4"/>
        <v>2.3E-2</v>
      </c>
      <c r="F56" s="643">
        <f t="shared" si="4"/>
        <v>2.3438946405009112E-2</v>
      </c>
      <c r="G56" s="641">
        <f t="shared" si="5"/>
        <v>4.3894640500911214E-4</v>
      </c>
      <c r="H56" s="642">
        <f t="shared" si="6"/>
        <v>1.0190846263047439</v>
      </c>
    </row>
    <row r="57" spans="4:8" ht="18.75">
      <c r="D57" s="640" t="s">
        <v>65</v>
      </c>
      <c r="E57" s="643">
        <f t="shared" si="4"/>
        <v>0.05</v>
      </c>
      <c r="F57" s="643">
        <f t="shared" si="4"/>
        <v>5.583560401220216E-2</v>
      </c>
      <c r="G57" s="641">
        <f t="shared" si="5"/>
        <v>5.8356040122021571E-3</v>
      </c>
      <c r="H57" s="642">
        <f t="shared" si="6"/>
        <v>1.1167120802440431</v>
      </c>
    </row>
    <row r="58" spans="4:8" ht="18.75">
      <c r="D58" s="640" t="s">
        <v>66</v>
      </c>
      <c r="E58" s="643">
        <f t="shared" si="4"/>
        <v>0.32500000000000001</v>
      </c>
      <c r="F58" s="643">
        <f t="shared" si="4"/>
        <v>0.27316170604839674</v>
      </c>
      <c r="G58" s="641">
        <f t="shared" si="5"/>
        <v>-5.1838293951603276E-2</v>
      </c>
      <c r="H58" s="642">
        <f t="shared" si="6"/>
        <v>0.84049755707198992</v>
      </c>
    </row>
    <row r="59" spans="4:8" ht="18.75">
      <c r="D59" s="640" t="s">
        <v>67</v>
      </c>
      <c r="E59" s="643">
        <f t="shared" si="4"/>
        <v>0.26100000000000001</v>
      </c>
      <c r="F59" s="643">
        <f t="shared" si="4"/>
        <v>0.28041999622492919</v>
      </c>
      <c r="G59" s="641">
        <f t="shared" si="5"/>
        <v>1.9419996224929181E-2</v>
      </c>
      <c r="H59" s="642">
        <f t="shared" si="6"/>
        <v>1.0744061158043263</v>
      </c>
    </row>
    <row r="60" spans="4:8" ht="18.75">
      <c r="D60" s="640" t="s">
        <v>68</v>
      </c>
      <c r="E60" s="643">
        <f t="shared" si="4"/>
        <v>0.06</v>
      </c>
      <c r="F60" s="643">
        <f t="shared" si="4"/>
        <v>6.7550622111245281E-2</v>
      </c>
      <c r="G60" s="641">
        <f t="shared" si="5"/>
        <v>7.5506221112452837E-3</v>
      </c>
      <c r="H60" s="642">
        <f t="shared" si="6"/>
        <v>1.1258437018540881</v>
      </c>
    </row>
    <row r="61" spans="4:8" ht="18.75">
      <c r="D61" s="640" t="s">
        <v>69</v>
      </c>
      <c r="E61" s="643">
        <f t="shared" si="4"/>
        <v>1.8000000000000002E-2</v>
      </c>
      <c r="F61" s="643">
        <f t="shared" si="4"/>
        <v>0</v>
      </c>
      <c r="G61" s="641">
        <f t="shared" si="5"/>
        <v>-1.8000000000000002E-2</v>
      </c>
      <c r="H61" s="642">
        <f t="shared" si="6"/>
        <v>0</v>
      </c>
    </row>
    <row r="62" spans="4:8" ht="18.75">
      <c r="D62" s="640" t="s">
        <v>70</v>
      </c>
      <c r="E62" s="643">
        <f t="shared" si="4"/>
        <v>0.36700000000000005</v>
      </c>
      <c r="F62" s="643">
        <f t="shared" si="4"/>
        <v>0.36315959784452373</v>
      </c>
      <c r="G62" s="641">
        <f t="shared" si="5"/>
        <v>-3.840402155476319E-3</v>
      </c>
      <c r="H62" s="642">
        <f t="shared" si="6"/>
        <v>0.98953568894965582</v>
      </c>
    </row>
    <row r="63" spans="4:8" ht="18.75">
      <c r="D63" s="638" t="s">
        <v>92</v>
      </c>
      <c r="E63" s="643">
        <f t="shared" si="4"/>
        <v>3.9720000000000004</v>
      </c>
      <c r="F63" s="643">
        <f t="shared" si="4"/>
        <v>4.1838287175939453</v>
      </c>
      <c r="G63" s="641">
        <f>F63-E63</f>
        <v>0.21182871759394484</v>
      </c>
      <c r="H63" s="642">
        <f t="shared" si="6"/>
        <v>1.0533304928484253</v>
      </c>
    </row>
  </sheetData>
  <sheetProtection algorithmName="SHA-512" hashValue="Iie68lAPJj5Uzemth2vIrVBb8K5VRejxHetgK8UW+wTVQvZQzw9+4hWUjTHjbhJVOd2VJ+h4STqc4ogR0bXVVg==" saltValue="J6B+vQ7hgne+CS6S6TkifQ==" spinCount="100000" sheet="1" objects="1" scenarios="1"/>
  <mergeCells count="10">
    <mergeCell ref="D7:D8"/>
    <mergeCell ref="D27:D28"/>
    <mergeCell ref="D47:D48"/>
    <mergeCell ref="D5:H5"/>
    <mergeCell ref="G7:G8"/>
    <mergeCell ref="H7:H8"/>
    <mergeCell ref="G27:G28"/>
    <mergeCell ref="H27:H28"/>
    <mergeCell ref="G47:G48"/>
    <mergeCell ref="H47:H48"/>
  </mergeCells>
  <conditionalFormatting sqref="G9:G23">
    <cfRule type="cellIs" dxfId="24" priority="11" operator="lessThan">
      <formula>0</formula>
    </cfRule>
    <cfRule type="cellIs" dxfId="23" priority="12" operator="greaterThan">
      <formula>0</formula>
    </cfRule>
  </conditionalFormatting>
  <conditionalFormatting sqref="H9:H23">
    <cfRule type="cellIs" dxfId="22" priority="9" operator="lessThan">
      <formula>1</formula>
    </cfRule>
    <cfRule type="cellIs" dxfId="21" priority="10" operator="greaterThan">
      <formula>1</formula>
    </cfRule>
  </conditionalFormatting>
  <conditionalFormatting sqref="G29:G43">
    <cfRule type="cellIs" dxfId="20" priority="7" operator="lessThan">
      <formula>0</formula>
    </cfRule>
    <cfRule type="cellIs" dxfId="19" priority="8" operator="greaterThan">
      <formula>0</formula>
    </cfRule>
  </conditionalFormatting>
  <conditionalFormatting sqref="H29:H43">
    <cfRule type="cellIs" dxfId="18" priority="5" operator="lessThan">
      <formula>1</formula>
    </cfRule>
    <cfRule type="cellIs" dxfId="17" priority="6" operator="greaterThan">
      <formula>1</formula>
    </cfRule>
  </conditionalFormatting>
  <conditionalFormatting sqref="G49:G63">
    <cfRule type="cellIs" dxfId="16" priority="3" operator="lessThan">
      <formula>0</formula>
    </cfRule>
    <cfRule type="cellIs" dxfId="15" priority="4" operator="greaterThan">
      <formula>0</formula>
    </cfRule>
  </conditionalFormatting>
  <conditionalFormatting sqref="H49:H63">
    <cfRule type="cellIs" dxfId="14" priority="1" operator="lessThan">
      <formula>1</formula>
    </cfRule>
    <cfRule type="cellIs" dxfId="13" priority="2" operator="greaterThan">
      <formula>1</formula>
    </cfRule>
  </conditionalFormatting>
  <pageMargins left="0.7" right="0.7" top="0.75" bottom="0.75" header="0.3" footer="0.3"/>
  <pageSetup scale="92" orientation="portrait" r:id="rId1"/>
  <rowBreaks count="1" manualBreakCount="1">
    <brk id="44" min="3" max="7" man="1"/>
  </rowBreaks>
  <drawing r:id="rId2"/>
  <legacyDrawing r:id="rId3"/>
  <mc:AlternateContent xmlns:mc="http://schemas.openxmlformats.org/markup-compatibility/2006">
    <mc:Choice Requires="x14">
      <controls>
        <mc:AlternateContent xmlns:mc="http://schemas.openxmlformats.org/markup-compatibility/2006">
          <mc:Choice Requires="x14">
            <control shapeId="364545" r:id="rId4" name="Button 1">
              <controlPr defaultSize="0" print="0" autoFill="0" autoPict="0" macro="[0]!EXPORT_ACTIVE_SHEET">
                <anchor moveWithCells="1" sizeWithCells="1">
                  <from>
                    <xdr:col>12</xdr:col>
                    <xdr:colOff>371475</xdr:colOff>
                    <xdr:row>9</xdr:row>
                    <xdr:rowOff>161925</xdr:rowOff>
                  </from>
                  <to>
                    <xdr:col>16</xdr:col>
                    <xdr:colOff>523875</xdr:colOff>
                    <xdr:row>12</xdr:row>
                    <xdr:rowOff>190500</xdr:rowOff>
                  </to>
                </anchor>
              </controlPr>
            </control>
          </mc:Choice>
        </mc:AlternateContent>
        <mc:AlternateContent xmlns:mc="http://schemas.openxmlformats.org/markup-compatibility/2006">
          <mc:Choice Requires="x14">
            <control shapeId="364546" r:id="rId5" name="Button 2">
              <controlPr defaultSize="0" print="0" autoFill="0" autoPict="0" macro="[0]!Back_to_Dashboard">
                <anchor moveWithCells="1" sizeWithCells="1">
                  <from>
                    <xdr:col>12</xdr:col>
                    <xdr:colOff>381000</xdr:colOff>
                    <xdr:row>13</xdr:row>
                    <xdr:rowOff>85725</xdr:rowOff>
                  </from>
                  <to>
                    <xdr:col>16</xdr:col>
                    <xdr:colOff>504825</xdr:colOff>
                    <xdr:row>16</xdr:row>
                    <xdr:rowOff>38100</xdr:rowOff>
                  </to>
                </anchor>
              </controlPr>
            </control>
          </mc:Choice>
        </mc:AlternateContent>
        <mc:AlternateContent xmlns:mc="http://schemas.openxmlformats.org/markup-compatibility/2006">
          <mc:Choice Requires="x14">
            <control shapeId="364547" r:id="rId6" name="Button 3">
              <controlPr defaultSize="0" print="0" autoFill="0" autoPict="0" macro="[0]!YoY_export_in_format_Click">
                <anchor moveWithCells="1" sizeWithCells="1">
                  <from>
                    <xdr:col>12</xdr:col>
                    <xdr:colOff>409575</xdr:colOff>
                    <xdr:row>17</xdr:row>
                    <xdr:rowOff>66675</xdr:rowOff>
                  </from>
                  <to>
                    <xdr:col>16</xdr:col>
                    <xdr:colOff>504825</xdr:colOff>
                    <xdr:row>20</xdr:row>
                    <xdr:rowOff>142875</xdr:rowOff>
                  </to>
                </anchor>
              </controlPr>
            </control>
          </mc:Choice>
        </mc:AlternateContent>
      </controls>
    </mc:Choice>
  </mc:AlternateContent>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rgb="FF92D050"/>
    <pageSetUpPr fitToPage="1"/>
  </sheetPr>
  <dimension ref="C1:N45"/>
  <sheetViews>
    <sheetView topLeftCell="A2" workbookViewId="0"/>
  </sheetViews>
  <sheetFormatPr defaultColWidth="8.85546875" defaultRowHeight="15"/>
  <cols>
    <col min="2" max="3" width="9"/>
    <col min="4" max="4" width="6" hidden="1" customWidth="1"/>
    <col min="5" max="5" width="13" customWidth="1"/>
    <col min="6" max="6" width="10.140625" bestFit="1" customWidth="1"/>
    <col min="7" max="8" width="11.7109375" bestFit="1" customWidth="1"/>
    <col min="11" max="11" width="3.42578125" customWidth="1"/>
    <col min="12" max="12" width="11.28515625" bestFit="1" customWidth="1"/>
    <col min="13" max="13" width="10.7109375" customWidth="1"/>
    <col min="14" max="14" width="10" customWidth="1"/>
  </cols>
  <sheetData>
    <row r="1" spans="3:14" ht="23.1" hidden="1" customHeight="1">
      <c r="F1" s="417">
        <f>Dropdowns!D186</f>
        <v>18</v>
      </c>
      <c r="G1" s="417">
        <f>Dropdowns!E186</f>
        <v>15</v>
      </c>
      <c r="H1" s="417">
        <f>Dropdowns!F186</f>
        <v>10</v>
      </c>
      <c r="I1" s="417">
        <f>Dropdowns!G186</f>
        <v>13</v>
      </c>
    </row>
    <row r="3" spans="3:14" ht="18.75">
      <c r="C3" t="str">
        <f>interFY_transition!D20</f>
        <v>2026-27</v>
      </c>
      <c r="L3" s="265" t="s">
        <v>116</v>
      </c>
      <c r="M3" s="1423">
        <f>Dashboard!D3</f>
        <v>46265</v>
      </c>
      <c r="N3" s="1423"/>
    </row>
    <row r="4" spans="3:14">
      <c r="C4" t="s">
        <v>862</v>
      </c>
    </row>
    <row r="5" spans="3:14" ht="18.75">
      <c r="E5" s="1446" t="s">
        <v>496</v>
      </c>
      <c r="F5" s="1446"/>
      <c r="G5" s="1446"/>
      <c r="H5" s="1446"/>
      <c r="I5" s="1446"/>
      <c r="J5" s="1446"/>
      <c r="K5" s="1446"/>
      <c r="L5" s="1446"/>
      <c r="M5" s="1446"/>
      <c r="N5" s="1446"/>
    </row>
    <row r="6" spans="3:14" ht="18.75">
      <c r="E6" s="1446" t="str">
        <f>Dropdowns!C185</f>
        <v>Current Month against Previous Month</v>
      </c>
      <c r="F6" s="1446"/>
      <c r="G6" s="1446"/>
      <c r="H6" s="1446"/>
      <c r="I6" s="1446"/>
      <c r="J6" s="1446"/>
      <c r="K6" s="1446"/>
      <c r="L6" s="1446"/>
      <c r="M6" s="1446"/>
      <c r="N6" s="1446"/>
    </row>
    <row r="8" spans="3:14" ht="15.75">
      <c r="E8" s="1437" t="s">
        <v>412</v>
      </c>
      <c r="F8" s="1424" t="str">
        <f>Dropdowns!I186</f>
        <v>July'26</v>
      </c>
      <c r="G8" s="1424"/>
      <c r="H8" s="1424" t="str">
        <f>Dropdowns!J186</f>
        <v>Aug'26</v>
      </c>
      <c r="I8" s="1424"/>
      <c r="J8" s="1425" t="s">
        <v>501</v>
      </c>
      <c r="L8" s="1443" t="s">
        <v>500</v>
      </c>
      <c r="M8" s="1445" t="str">
        <f>F8</f>
        <v>July'26</v>
      </c>
      <c r="N8" s="1445" t="str">
        <f>H8</f>
        <v>Aug'26</v>
      </c>
    </row>
    <row r="9" spans="3:14" ht="35.25" customHeight="1">
      <c r="E9" s="1438"/>
      <c r="F9" s="403" t="s">
        <v>498</v>
      </c>
      <c r="G9" s="403" t="s">
        <v>499</v>
      </c>
      <c r="H9" s="403" t="s">
        <v>499</v>
      </c>
      <c r="I9" s="403" t="s">
        <v>494</v>
      </c>
      <c r="J9" s="1426"/>
      <c r="L9" s="1444"/>
      <c r="M9" s="1445"/>
      <c r="N9" s="1445"/>
    </row>
    <row r="10" spans="3:14" ht="15.75">
      <c r="E10" s="1439"/>
      <c r="F10" s="242" t="str">
        <f>Dropdowns!K186</f>
        <v>Full Month</v>
      </c>
      <c r="G10" s="242" t="str">
        <f>F10</f>
        <v>Full Month</v>
      </c>
      <c r="H10" s="242" t="str">
        <f>Dropdowns!H186</f>
        <v>MTD</v>
      </c>
      <c r="I10" s="242" t="str">
        <f>H10</f>
        <v>MTD</v>
      </c>
      <c r="J10" s="1427"/>
      <c r="L10" s="1444"/>
      <c r="M10" s="429" t="str">
        <f>F10</f>
        <v>Full Month</v>
      </c>
      <c r="N10" s="429" t="str">
        <f>I10</f>
        <v>MTD</v>
      </c>
    </row>
    <row r="11" spans="3:14" ht="15.75">
      <c r="D11">
        <v>1</v>
      </c>
      <c r="E11" s="424" t="s">
        <v>60</v>
      </c>
      <c r="F11" s="430">
        <f>VLOOKUP($D11,'YTD display'!$B$7:$Y$21,'Previous Comp'!F$1,FALSE)</f>
        <v>0.158</v>
      </c>
      <c r="G11" s="431">
        <f>VLOOKUP($D11,'YTD display'!$B$7:$Y$21,'Previous Comp'!G$1,FALSE)</f>
        <v>187261.55464516129</v>
      </c>
      <c r="H11" s="434">
        <f>VLOOKUP($D11,'YTD display'!$B$7:$Y$21,'Previous Comp'!H$1,FALSE)</f>
        <v>183341.16129032258</v>
      </c>
      <c r="I11" s="435">
        <f>VLOOKUP($D11,'YTD display'!$B$7:$Y$21,'Previous Comp'!I$1,FALSE)</f>
        <v>0.15496189729712831</v>
      </c>
      <c r="J11" s="421">
        <f>IFERROR(H11/G11-1,"-")</f>
        <v>-2.0935388271593691E-2</v>
      </c>
      <c r="L11" s="423" t="s">
        <v>60</v>
      </c>
      <c r="M11" s="430">
        <f>F11+F31</f>
        <v>0.20400000000000001</v>
      </c>
      <c r="N11" s="435">
        <f>I11+I31</f>
        <v>0.19789026915190833</v>
      </c>
    </row>
    <row r="12" spans="3:14" ht="15.75">
      <c r="D12">
        <v>2</v>
      </c>
      <c r="E12" s="424" t="s">
        <v>61</v>
      </c>
      <c r="F12" s="430">
        <f>VLOOKUP($D12,'YTD display'!$B$7:$Y$21,'Previous Comp'!F$1,FALSE)</f>
        <v>0.16900000000000001</v>
      </c>
      <c r="G12" s="431">
        <f>VLOOKUP($D12,'YTD display'!$B$7:$Y$21,'Previous Comp'!G$1,FALSE)</f>
        <v>156314.0740648387</v>
      </c>
      <c r="H12" s="434">
        <f>VLOOKUP($D12,'YTD display'!$B$7:$Y$21,'Previous Comp'!H$1,FALSE)</f>
        <v>156578.38709677418</v>
      </c>
      <c r="I12" s="435">
        <f>VLOOKUP($D12,'YTD display'!$B$7:$Y$21,'Previous Comp'!I$1,FALSE)</f>
        <v>0.16962658602794101</v>
      </c>
      <c r="J12" s="421">
        <f t="shared" ref="J12:J25" si="0">IFERROR(H12/G12-1,"-")</f>
        <v>1.6909100061319737E-3</v>
      </c>
      <c r="L12" s="423" t="s">
        <v>61</v>
      </c>
      <c r="M12" s="430">
        <f t="shared" ref="M12:M25" si="1">F12+F32</f>
        <v>0.24</v>
      </c>
      <c r="N12" s="435">
        <f t="shared" ref="N12:N25" si="2">I12+I32</f>
        <v>0.25126075838794099</v>
      </c>
    </row>
    <row r="13" spans="3:14" ht="15.75">
      <c r="D13">
        <v>3</v>
      </c>
      <c r="E13" s="424" t="s">
        <v>62</v>
      </c>
      <c r="F13" s="430">
        <f>VLOOKUP($D13,'YTD display'!$B$7:$Y$21,'Previous Comp'!F$1,FALSE)</f>
        <v>8.0000000000000002E-3</v>
      </c>
      <c r="G13" s="431">
        <f>VLOOKUP($D13,'YTD display'!$B$7:$Y$21,'Previous Comp'!G$1,FALSE)</f>
        <v>1912.9999990322581</v>
      </c>
      <c r="H13" s="434">
        <f>VLOOKUP($D13,'YTD display'!$B$7:$Y$21,'Previous Comp'!H$1,FALSE)</f>
        <v>1856.483870967742</v>
      </c>
      <c r="I13" s="435">
        <f>VLOOKUP($D13,'YTD display'!$B$7:$Y$21,'Previous Comp'!I$1,FALSE)</f>
        <v>7.4579606204879826E-3</v>
      </c>
      <c r="J13" s="421">
        <f t="shared" si="0"/>
        <v>-2.9543192939417873E-2</v>
      </c>
      <c r="L13" s="423" t="s">
        <v>62</v>
      </c>
      <c r="M13" s="430">
        <f t="shared" si="1"/>
        <v>1.4999999999999999E-2</v>
      </c>
      <c r="N13" s="435">
        <f t="shared" si="2"/>
        <v>1.510792862048798E-2</v>
      </c>
    </row>
    <row r="14" spans="3:14" ht="15.75">
      <c r="D14">
        <v>4</v>
      </c>
      <c r="E14" s="424" t="s">
        <v>57</v>
      </c>
      <c r="F14" s="430">
        <f>VLOOKUP($D14,'YTD display'!$B$7:$Y$21,'Previous Comp'!F$1,FALSE)</f>
        <v>0.04</v>
      </c>
      <c r="G14" s="431">
        <f>VLOOKUP($D14,'YTD display'!$B$7:$Y$21,'Previous Comp'!G$1,FALSE)</f>
        <v>323387.48387387092</v>
      </c>
      <c r="H14" s="434">
        <f>VLOOKUP($D14,'YTD display'!$B$7:$Y$21,'Previous Comp'!H$1,FALSE)</f>
        <v>301866.41935483873</v>
      </c>
      <c r="I14" s="435">
        <f>VLOOKUP($D14,'YTD display'!$B$7:$Y$21,'Previous Comp'!I$1,FALSE)</f>
        <v>3.6889161648039209E-2</v>
      </c>
      <c r="J14" s="421">
        <f t="shared" si="0"/>
        <v>-6.6548848029708951E-2</v>
      </c>
      <c r="L14" s="423" t="s">
        <v>57</v>
      </c>
      <c r="M14" s="430">
        <f t="shared" si="1"/>
        <v>4.8000000000000001E-2</v>
      </c>
      <c r="N14" s="435">
        <f t="shared" si="2"/>
        <v>4.4132878216493705E-2</v>
      </c>
    </row>
    <row r="15" spans="3:14" ht="15.75">
      <c r="D15">
        <v>5</v>
      </c>
      <c r="E15" s="424" t="s">
        <v>58</v>
      </c>
      <c r="F15" s="430">
        <f>VLOOKUP($D15,'YTD display'!$B$7:$Y$21,'Previous Comp'!F$1,FALSE)</f>
        <v>3.4000000000000002E-2</v>
      </c>
      <c r="G15" s="431">
        <f>VLOOKUP($D15,'YTD display'!$B$7:$Y$21,'Previous Comp'!G$1,FALSE)</f>
        <v>26900.451613225807</v>
      </c>
      <c r="H15" s="434">
        <f>VLOOKUP($D15,'YTD display'!$B$7:$Y$21,'Previous Comp'!H$1,FALSE)</f>
        <v>35350.548387096773</v>
      </c>
      <c r="I15" s="435">
        <f>VLOOKUP($D15,'YTD display'!$B$7:$Y$21,'Previous Comp'!I$1,FALSE)</f>
        <v>4.4524521924801316E-2</v>
      </c>
      <c r="J15" s="421">
        <f t="shared" si="0"/>
        <v>0.31412471788081109</v>
      </c>
      <c r="L15" s="423" t="s">
        <v>58</v>
      </c>
      <c r="M15" s="430">
        <f t="shared" si="1"/>
        <v>3.7000000000000005E-2</v>
      </c>
      <c r="N15" s="435">
        <f t="shared" si="2"/>
        <v>4.8833836674801318E-2</v>
      </c>
    </row>
    <row r="16" spans="3:14" ht="15.75">
      <c r="D16">
        <v>6</v>
      </c>
      <c r="E16" s="424" t="s">
        <v>59</v>
      </c>
      <c r="F16" s="430">
        <f>VLOOKUP($D16,'YTD display'!$B$7:$Y$21,'Previous Comp'!F$1,FALSE)</f>
        <v>1.0999999999999999E-2</v>
      </c>
      <c r="G16" s="431">
        <f>VLOOKUP($D16,'YTD display'!$B$7:$Y$21,'Previous Comp'!G$1,FALSE)</f>
        <v>4872.4838709677415</v>
      </c>
      <c r="H16" s="434">
        <f>VLOOKUP($D16,'YTD display'!$B$7:$Y$21,'Previous Comp'!H$1,FALSE)</f>
        <v>4976.8387096774195</v>
      </c>
      <c r="I16" s="435">
        <f>VLOOKUP($D16,'YTD display'!$B$7:$Y$21,'Previous Comp'!I$1,FALSE)</f>
        <v>1.1377565889520215E-2</v>
      </c>
      <c r="J16" s="421">
        <f t="shared" si="0"/>
        <v>2.1417174786655835E-2</v>
      </c>
      <c r="L16" s="423" t="s">
        <v>59</v>
      </c>
      <c r="M16" s="430">
        <f t="shared" si="1"/>
        <v>1.0999999999999999E-2</v>
      </c>
      <c r="N16" s="435">
        <f t="shared" si="2"/>
        <v>1.1762565889520215E-2</v>
      </c>
    </row>
    <row r="17" spans="4:14" ht="15.75">
      <c r="D17">
        <v>7</v>
      </c>
      <c r="E17" s="424" t="s">
        <v>63</v>
      </c>
      <c r="F17" s="430">
        <f>VLOOKUP($D17,'YTD display'!$B$7:$Y$21,'Previous Comp'!F$1,FALSE)</f>
        <v>0.06</v>
      </c>
      <c r="G17" s="431">
        <f>VLOOKUP($D17,'YTD display'!$B$7:$Y$21,'Previous Comp'!G$1,FALSE)</f>
        <v>20944.51612967742</v>
      </c>
      <c r="H17" s="434">
        <f>VLOOKUP($D17,'YTD display'!$B$7:$Y$21,'Previous Comp'!H$1,FALSE)</f>
        <v>21588.691290322582</v>
      </c>
      <c r="I17" s="435">
        <f>VLOOKUP($D17,'YTD display'!$B$7:$Y$21,'Previous Comp'!I$1,FALSE)</f>
        <v>6.2181402660837964E-2</v>
      </c>
      <c r="J17" s="421">
        <f t="shared" si="0"/>
        <v>3.0756268450260027E-2</v>
      </c>
      <c r="L17" s="423" t="s">
        <v>63</v>
      </c>
      <c r="M17" s="430">
        <f t="shared" si="1"/>
        <v>6.8000000000000005E-2</v>
      </c>
      <c r="N17" s="435">
        <f t="shared" si="2"/>
        <v>6.2274008006487226E-2</v>
      </c>
    </row>
    <row r="18" spans="4:14" ht="15.75">
      <c r="D18">
        <v>8</v>
      </c>
      <c r="E18" s="424" t="s">
        <v>64</v>
      </c>
      <c r="F18" s="430">
        <f>VLOOKUP($D18,'YTD display'!$B$7:$Y$21,'Previous Comp'!F$1,FALSE)</f>
        <v>4.0000000000000001E-3</v>
      </c>
      <c r="G18" s="431">
        <f>VLOOKUP($D18,'YTD display'!$B$7:$Y$21,'Previous Comp'!G$1,FALSE)</f>
        <v>6954.8064516129034</v>
      </c>
      <c r="H18" s="434">
        <f>VLOOKUP($D18,'YTD display'!$B$7:$Y$21,'Previous Comp'!H$1,FALSE)</f>
        <v>6913.4193548387093</v>
      </c>
      <c r="I18" s="435">
        <f>VLOOKUP($D18,'YTD display'!$B$7:$Y$21,'Previous Comp'!I$1,FALSE)</f>
        <v>3.7780063432218142E-3</v>
      </c>
      <c r="J18" s="421">
        <f t="shared" si="0"/>
        <v>-5.950862480809338E-3</v>
      </c>
      <c r="L18" s="423" t="s">
        <v>64</v>
      </c>
      <c r="M18" s="430">
        <f t="shared" si="1"/>
        <v>5.0000000000000001E-3</v>
      </c>
      <c r="N18" s="435">
        <f t="shared" si="2"/>
        <v>4.4389464050091157E-3</v>
      </c>
    </row>
    <row r="19" spans="4:14" ht="15.75">
      <c r="D19">
        <v>9</v>
      </c>
      <c r="E19" s="424" t="s">
        <v>65</v>
      </c>
      <c r="F19" s="430">
        <f>VLOOKUP($D19,'YTD display'!$B$7:$Y$21,'Previous Comp'!F$1,FALSE)</f>
        <v>1.0999999999999999E-2</v>
      </c>
      <c r="G19" s="431">
        <f>VLOOKUP($D19,'YTD display'!$B$7:$Y$21,'Previous Comp'!G$1,FALSE)</f>
        <v>5701.3870974193551</v>
      </c>
      <c r="H19" s="434">
        <f>VLOOKUP($D19,'YTD display'!$B$7:$Y$21,'Previous Comp'!H$1,FALSE)</f>
        <v>5707.7419354838712</v>
      </c>
      <c r="I19" s="435">
        <f>VLOOKUP($D19,'YTD display'!$B$7:$Y$21,'Previous Comp'!I$1,FALSE)</f>
        <v>1.0772601919589167E-2</v>
      </c>
      <c r="J19" s="421">
        <f t="shared" si="0"/>
        <v>1.1146126295111802E-3</v>
      </c>
      <c r="L19" s="423" t="s">
        <v>65</v>
      </c>
      <c r="M19" s="430">
        <f t="shared" si="1"/>
        <v>1.2999999999999999E-2</v>
      </c>
      <c r="N19" s="435">
        <f t="shared" si="2"/>
        <v>1.1835604012202157E-2</v>
      </c>
    </row>
    <row r="20" spans="4:14" ht="15.75">
      <c r="D20">
        <v>10</v>
      </c>
      <c r="E20" s="424" t="s">
        <v>66</v>
      </c>
      <c r="F20" s="430">
        <f>VLOOKUP($D20,'YTD display'!$B$7:$Y$21,'Previous Comp'!F$1,FALSE)</f>
        <v>5.3999999999999999E-2</v>
      </c>
      <c r="G20" s="431">
        <f>VLOOKUP($D20,'YTD display'!$B$7:$Y$21,'Previous Comp'!G$1,FALSE)</f>
        <v>330226.16128967743</v>
      </c>
      <c r="H20" s="434">
        <f>VLOOKUP($D20,'YTD display'!$B$7:$Y$21,'Previous Comp'!H$1,FALSE)</f>
        <v>431155</v>
      </c>
      <c r="I20" s="435">
        <f>VLOOKUP($D20,'YTD display'!$B$7:$Y$21,'Previous Comp'!I$1,FALSE)</f>
        <v>7.0161706048396735E-2</v>
      </c>
      <c r="J20" s="421">
        <f t="shared" si="0"/>
        <v>0.30563550239675541</v>
      </c>
      <c r="L20" s="423" t="s">
        <v>66</v>
      </c>
      <c r="M20" s="430">
        <f t="shared" si="1"/>
        <v>5.3999999999999999E-2</v>
      </c>
      <c r="N20" s="435">
        <f t="shared" si="2"/>
        <v>7.0161706048396735E-2</v>
      </c>
    </row>
    <row r="21" spans="4:14" ht="15.75">
      <c r="D21">
        <v>11</v>
      </c>
      <c r="E21" s="424" t="s">
        <v>67</v>
      </c>
      <c r="F21" s="430">
        <f>VLOOKUP($D21,'YTD display'!$B$7:$Y$21,'Previous Comp'!F$1,FALSE)</f>
        <v>5.8999999999999997E-2</v>
      </c>
      <c r="G21" s="431">
        <f>VLOOKUP($D21,'YTD display'!$B$7:$Y$21,'Previous Comp'!G$1,FALSE)</f>
        <v>55934.419356129038</v>
      </c>
      <c r="H21" s="434">
        <f>VLOOKUP($D21,'YTD display'!$B$7:$Y$21,'Previous Comp'!H$1,FALSE)</f>
        <v>54085.931935483874</v>
      </c>
      <c r="I21" s="435">
        <f>VLOOKUP($D21,'YTD display'!$B$7:$Y$21,'Previous Comp'!I$1,FALSE)</f>
        <v>5.741999622492916E-2</v>
      </c>
      <c r="J21" s="421">
        <f t="shared" si="0"/>
        <v>-3.3047405192070056E-2</v>
      </c>
      <c r="L21" s="423" t="s">
        <v>67</v>
      </c>
      <c r="M21" s="430">
        <f t="shared" si="1"/>
        <v>5.8999999999999997E-2</v>
      </c>
      <c r="N21" s="435">
        <f t="shared" si="2"/>
        <v>5.741999622492916E-2</v>
      </c>
    </row>
    <row r="22" spans="4:14" ht="15.75">
      <c r="D22">
        <v>12</v>
      </c>
      <c r="E22" s="424" t="s">
        <v>68</v>
      </c>
      <c r="F22" s="430">
        <f>VLOOKUP($D22,'YTD display'!$B$7:$Y$21,'Previous Comp'!F$1,FALSE)</f>
        <v>1.2999999999999999E-2</v>
      </c>
      <c r="G22" s="431">
        <f>VLOOKUP($D22,'YTD display'!$B$7:$Y$21,'Previous Comp'!G$1,FALSE)</f>
        <v>11924.967742580644</v>
      </c>
      <c r="H22" s="434">
        <f>VLOOKUP($D22,'YTD display'!$B$7:$Y$21,'Previous Comp'!H$1,FALSE)</f>
        <v>12320.806451612903</v>
      </c>
      <c r="I22" s="435">
        <f>VLOOKUP($D22,'YTD display'!$B$7:$Y$21,'Previous Comp'!I$1,FALSE)</f>
        <v>1.3550622111245282E-2</v>
      </c>
      <c r="J22" s="421">
        <f t="shared" si="0"/>
        <v>3.3194111512673707E-2</v>
      </c>
      <c r="L22" s="423" t="s">
        <v>68</v>
      </c>
      <c r="M22" s="430">
        <f t="shared" si="1"/>
        <v>1.2999999999999999E-2</v>
      </c>
      <c r="N22" s="435">
        <f t="shared" si="2"/>
        <v>1.3550622111245282E-2</v>
      </c>
    </row>
    <row r="23" spans="4:14" ht="15.75">
      <c r="D23">
        <v>13</v>
      </c>
      <c r="E23" s="424" t="s">
        <v>69</v>
      </c>
      <c r="F23" s="430">
        <f>VLOOKUP($D23,'YTD display'!$B$7:$Y$21,'Previous Comp'!F$1,FALSE)</f>
        <v>0</v>
      </c>
      <c r="G23" s="431">
        <f>VLOOKUP($D23,'YTD display'!$B$7:$Y$21,'Previous Comp'!G$1,FALSE)</f>
        <v>0</v>
      </c>
      <c r="H23" s="434">
        <f>VLOOKUP($D23,'YTD display'!$B$7:$Y$21,'Previous Comp'!H$1,FALSE)</f>
        <v>0</v>
      </c>
      <c r="I23" s="435">
        <f>VLOOKUP($D23,'YTD display'!$B$7:$Y$21,'Previous Comp'!I$1,FALSE)</f>
        <v>0</v>
      </c>
      <c r="J23" s="421" t="str">
        <f t="shared" si="0"/>
        <v>-</v>
      </c>
      <c r="L23" s="423" t="s">
        <v>69</v>
      </c>
      <c r="M23" s="430">
        <f t="shared" si="1"/>
        <v>0</v>
      </c>
      <c r="N23" s="435">
        <f t="shared" si="2"/>
        <v>0</v>
      </c>
    </row>
    <row r="24" spans="4:14" ht="15.75">
      <c r="D24">
        <v>14</v>
      </c>
      <c r="E24" s="424" t="s">
        <v>70</v>
      </c>
      <c r="F24" s="430">
        <f>VLOOKUP($D24,'YTD display'!$B$7:$Y$21,'Previous Comp'!F$1,FALSE)</f>
        <v>0</v>
      </c>
      <c r="G24" s="431">
        <f>VLOOKUP($D24,'YTD display'!$B$7:$Y$21,'Previous Comp'!G$1,FALSE)</f>
        <v>0</v>
      </c>
      <c r="H24" s="434">
        <f>VLOOKUP($D24,'YTD display'!$B$7:$Y$21,'Previous Comp'!H$1,FALSE)</f>
        <v>0</v>
      </c>
      <c r="I24" s="435">
        <f>VLOOKUP($D24,'YTD display'!$B$7:$Y$21,'Previous Comp'!I$1,FALSE)</f>
        <v>0</v>
      </c>
      <c r="J24" s="421" t="str">
        <f t="shared" si="0"/>
        <v>-</v>
      </c>
      <c r="L24" s="423" t="s">
        <v>70</v>
      </c>
      <c r="M24" s="430">
        <f t="shared" si="1"/>
        <v>7.4999999999999997E-2</v>
      </c>
      <c r="N24" s="435">
        <f t="shared" si="2"/>
        <v>7.4159597844523695E-2</v>
      </c>
    </row>
    <row r="25" spans="4:14" ht="15.75">
      <c r="D25">
        <v>15</v>
      </c>
      <c r="E25" s="426" t="s">
        <v>481</v>
      </c>
      <c r="F25" s="432">
        <f>VLOOKUP($D25,'YTD display'!$B$7:$Y$21,'Previous Comp'!F$1,FALSE)</f>
        <v>0.62100000000000011</v>
      </c>
      <c r="G25" s="433">
        <f>VLOOKUP($D25,'YTD display'!$B$7:$Y$21,'Previous Comp'!G$1,FALSE)</f>
        <v>146941.71255722444</v>
      </c>
      <c r="H25" s="436">
        <f>VLOOKUP($D25,'YTD display'!$B$7:$Y$21,'Previous Comp'!H$1,FALSE)</f>
        <v>151993.49130645164</v>
      </c>
      <c r="I25" s="437">
        <f>VLOOKUP($D25,'YTD display'!$B$7:$Y$21,'Previous Comp'!I$1,FALSE)</f>
        <v>0.64270202871613813</v>
      </c>
      <c r="J25" s="427">
        <f t="shared" si="0"/>
        <v>3.4379473747182976E-2</v>
      </c>
      <c r="L25" s="442" t="s">
        <v>92</v>
      </c>
      <c r="M25" s="432">
        <f t="shared" si="1"/>
        <v>0.84200000000000008</v>
      </c>
      <c r="N25" s="437">
        <f t="shared" si="2"/>
        <v>0.86282871759394586</v>
      </c>
    </row>
    <row r="26" spans="4:14">
      <c r="E26" s="1431"/>
      <c r="F26" s="1432"/>
      <c r="G26" s="1432"/>
      <c r="H26" s="1432"/>
      <c r="I26" s="1432"/>
      <c r="J26" s="1433"/>
    </row>
    <row r="27" spans="4:14">
      <c r="E27" s="1434"/>
      <c r="F27" s="1435"/>
      <c r="G27" s="1435"/>
      <c r="H27" s="1435"/>
      <c r="I27" s="1435"/>
      <c r="J27" s="1436"/>
    </row>
    <row r="28" spans="4:14" ht="15.75">
      <c r="E28" s="1440" t="s">
        <v>105</v>
      </c>
      <c r="F28" s="1280" t="str">
        <f>F8</f>
        <v>July'26</v>
      </c>
      <c r="G28" s="1280"/>
      <c r="H28" s="1280" t="str">
        <f>H8</f>
        <v>Aug'26</v>
      </c>
      <c r="I28" s="1280"/>
      <c r="J28" s="1428" t="s">
        <v>501</v>
      </c>
    </row>
    <row r="29" spans="4:14" ht="36.6" customHeight="1">
      <c r="E29" s="1441"/>
      <c r="F29" s="422" t="s">
        <v>497</v>
      </c>
      <c r="G29" s="422" t="s">
        <v>495</v>
      </c>
      <c r="H29" s="422" t="s">
        <v>495</v>
      </c>
      <c r="I29" s="422" t="s">
        <v>497</v>
      </c>
      <c r="J29" s="1429"/>
    </row>
    <row r="30" spans="4:14" ht="15.75">
      <c r="E30" s="1442"/>
      <c r="F30" s="245" t="str">
        <f>F10</f>
        <v>Full Month</v>
      </c>
      <c r="G30" s="245" t="str">
        <f>F10</f>
        <v>Full Month</v>
      </c>
      <c r="H30" s="245" t="str">
        <f>H10</f>
        <v>MTD</v>
      </c>
      <c r="I30" s="245" t="str">
        <f>H10</f>
        <v>MTD</v>
      </c>
      <c r="J30" s="1430"/>
    </row>
    <row r="31" spans="4:14" ht="15.75">
      <c r="D31">
        <v>1</v>
      </c>
      <c r="E31" s="425" t="s">
        <v>60</v>
      </c>
      <c r="F31" s="430">
        <f>VLOOKUP($D31,'YTD display'!$B$24:$Y$38,'Previous Comp'!F$1,FALSE)</f>
        <v>4.5999999999999999E-2</v>
      </c>
      <c r="G31" s="438">
        <f>VLOOKUP($D31,'YTD display'!$B$24:$Y$38,'Previous Comp'!G$1,FALSE)</f>
        <v>7.3924512903225805</v>
      </c>
      <c r="H31" s="440">
        <f>VLOOKUP($D31,'YTD display'!$B$24:$Y$38,'Previous Comp'!H$1,FALSE)</f>
        <v>6.9239309443193591</v>
      </c>
      <c r="I31" s="435">
        <f>VLOOKUP($D31,'YTD display'!$B$24:$Y$38,'Previous Comp'!I$1,FALSE)</f>
        <v>4.2928371854780031E-2</v>
      </c>
      <c r="J31" s="421">
        <f>IFERROR(H31/G31-1,"-")</f>
        <v>-6.3378212125193012E-2</v>
      </c>
    </row>
    <row r="32" spans="4:14" ht="15.75">
      <c r="D32">
        <v>2</v>
      </c>
      <c r="E32" s="425" t="s">
        <v>61</v>
      </c>
      <c r="F32" s="430">
        <f>VLOOKUP($D32,'YTD display'!$B$24:$Y$38,'Previous Comp'!F$1,FALSE)</f>
        <v>7.0999999999999994E-2</v>
      </c>
      <c r="G32" s="438">
        <f>VLOOKUP($D32,'YTD display'!$B$24:$Y$38,'Previous Comp'!G$1,FALSE)</f>
        <v>8.8381954838709671</v>
      </c>
      <c r="H32" s="440">
        <f>VLOOKUP($D32,'YTD display'!$B$24:$Y$38,'Previous Comp'!H$1,FALSE)</f>
        <v>10.128309225806449</v>
      </c>
      <c r="I32" s="435">
        <f>VLOOKUP($D32,'YTD display'!$B$24:$Y$38,'Previous Comp'!I$1,FALSE)</f>
        <v>8.1634172359999979E-2</v>
      </c>
      <c r="J32" s="421">
        <f t="shared" ref="J32:J45" si="3">IFERROR(H32/G32-1,"-")</f>
        <v>0.14597026556946391</v>
      </c>
    </row>
    <row r="33" spans="4:10" ht="15.75">
      <c r="D33">
        <v>3</v>
      </c>
      <c r="E33" s="425" t="s">
        <v>62</v>
      </c>
      <c r="F33" s="430">
        <f>VLOOKUP($D33,'YTD display'!$B$24:$Y$38,'Previous Comp'!F$1,FALSE)</f>
        <v>7.0000000000000001E-3</v>
      </c>
      <c r="G33" s="438">
        <f>VLOOKUP($D33,'YTD display'!$B$24:$Y$38,'Previous Comp'!G$1,FALSE)</f>
        <v>0.24090483870967741</v>
      </c>
      <c r="H33" s="440">
        <f>VLOOKUP($D33,'YTD display'!$B$24:$Y$38,'Previous Comp'!H$1,FALSE)</f>
        <v>0.24677316129032253</v>
      </c>
      <c r="I33" s="435">
        <f>VLOOKUP($D33,'YTD display'!$B$24:$Y$38,'Previous Comp'!I$1,FALSE)</f>
        <v>7.6499679999999983E-3</v>
      </c>
      <c r="J33" s="421">
        <f t="shared" si="3"/>
        <v>2.4359504823882938E-2</v>
      </c>
    </row>
    <row r="34" spans="4:10" ht="15.75">
      <c r="D34">
        <v>4</v>
      </c>
      <c r="E34" s="425" t="s">
        <v>57</v>
      </c>
      <c r="F34" s="430">
        <f>VLOOKUP($D34,'YTD display'!$B$24:$Y$38,'Previous Comp'!F$1,FALSE)</f>
        <v>8.0000000000000002E-3</v>
      </c>
      <c r="G34" s="438">
        <f>VLOOKUP($D34,'YTD display'!$B$24:$Y$38,'Previous Comp'!G$1,FALSE)</f>
        <v>8.2639664516129034</v>
      </c>
      <c r="H34" s="440">
        <f>VLOOKUP($D34,'YTD display'!$B$24:$Y$38,'Previous Comp'!H$1,FALSE)</f>
        <v>7.9886590222823228</v>
      </c>
      <c r="I34" s="435">
        <f>VLOOKUP($D34,'YTD display'!$B$24:$Y$38,'Previous Comp'!I$1,FALSE)</f>
        <v>7.2437165684544969E-3</v>
      </c>
      <c r="J34" s="421">
        <f t="shared" si="3"/>
        <v>-3.3314199778345932E-2</v>
      </c>
    </row>
    <row r="35" spans="4:10" ht="15.75">
      <c r="D35">
        <v>5</v>
      </c>
      <c r="E35" s="425" t="s">
        <v>58</v>
      </c>
      <c r="F35" s="430">
        <f>VLOOKUP($D35,'YTD display'!$B$24:$Y$38,'Previous Comp'!F$1,FALSE)</f>
        <v>3.0000000000000001E-3</v>
      </c>
      <c r="G35" s="438">
        <f>VLOOKUP($D35,'YTD display'!$B$24:$Y$38,'Previous Comp'!G$1,FALSE)</f>
        <v>0.35741999999999996</v>
      </c>
      <c r="H35" s="440">
        <f>VLOOKUP($D35,'YTD display'!$B$24:$Y$38,'Previous Comp'!H$1,FALSE)</f>
        <v>0.51485241935483883</v>
      </c>
      <c r="I35" s="435">
        <f>VLOOKUP($D35,'YTD display'!$B$24:$Y$38,'Previous Comp'!I$1,FALSE)</f>
        <v>4.3093147500000012E-3</v>
      </c>
      <c r="J35" s="421">
        <f t="shared" si="3"/>
        <v>0.44046897027261744</v>
      </c>
    </row>
    <row r="36" spans="4:10" ht="15.75">
      <c r="D36">
        <v>6</v>
      </c>
      <c r="E36" s="425" t="s">
        <v>59</v>
      </c>
      <c r="F36" s="430">
        <f>VLOOKUP($D36,'YTD display'!$B$24:$Y$38,'Previous Comp'!F$1,FALSE)</f>
        <v>0</v>
      </c>
      <c r="G36" s="438">
        <f>VLOOKUP($D36,'YTD display'!$B$24:$Y$38,'Previous Comp'!G$1,FALSE)</f>
        <v>2.5769999999999998E-2</v>
      </c>
      <c r="H36" s="440">
        <f>VLOOKUP($D36,'YTD display'!$B$24:$Y$38,'Previous Comp'!H$1,FALSE)</f>
        <v>2.4838709677419371E-2</v>
      </c>
      <c r="I36" s="435">
        <f>VLOOKUP($D36,'YTD display'!$B$24:$Y$38,'Previous Comp'!I$1,FALSE)</f>
        <v>3.8500000000000025E-4</v>
      </c>
      <c r="J36" s="421">
        <f t="shared" si="3"/>
        <v>-3.6138545695794555E-2</v>
      </c>
    </row>
    <row r="37" spans="4:10" ht="15.75">
      <c r="D37">
        <v>7</v>
      </c>
      <c r="E37" s="425" t="s">
        <v>63</v>
      </c>
      <c r="F37" s="430">
        <f>VLOOKUP($D37,'YTD display'!$B$24:$Y$38,'Previous Comp'!F$1,FALSE)</f>
        <v>8.0000000000000002E-3</v>
      </c>
      <c r="G37" s="438">
        <f>VLOOKUP($D37,'YTD display'!$B$24:$Y$38,'Previous Comp'!G$1,FALSE)</f>
        <v>3.4519354838709678E-3</v>
      </c>
      <c r="H37" s="440">
        <f>VLOOKUP($D37,'YTD display'!$B$24:$Y$38,'Previous Comp'!H$1,FALSE)</f>
        <v>4.2675274492747555E-3</v>
      </c>
      <c r="I37" s="435">
        <f>VLOOKUP($D37,'YTD display'!$B$24:$Y$38,'Previous Comp'!I$1,FALSE)</f>
        <v>9.2605345649262195E-5</v>
      </c>
      <c r="J37" s="421">
        <f t="shared" si="3"/>
        <v>0.23627091792839372</v>
      </c>
    </row>
    <row r="38" spans="4:10" ht="15.75">
      <c r="D38">
        <v>8</v>
      </c>
      <c r="E38" s="425" t="s">
        <v>64</v>
      </c>
      <c r="F38" s="430">
        <f>VLOOKUP($D38,'YTD display'!$B$24:$Y$38,'Previous Comp'!F$1,FALSE)</f>
        <v>1E-3</v>
      </c>
      <c r="G38" s="438">
        <f>VLOOKUP($D38,'YTD display'!$B$24:$Y$38,'Previous Comp'!G$1,FALSE)</f>
        <v>0.19517483870967742</v>
      </c>
      <c r="H38" s="440">
        <f>VLOOKUP($D38,'YTD display'!$B$24:$Y$38,'Previous Comp'!H$1,FALSE)</f>
        <v>0.19382406504026423</v>
      </c>
      <c r="I38" s="435">
        <f>VLOOKUP($D38,'YTD display'!$B$24:$Y$38,'Previous Comp'!I$1,FALSE)</f>
        <v>6.6094006178730102E-4</v>
      </c>
      <c r="J38" s="421">
        <f t="shared" si="3"/>
        <v>-6.920839173447324E-3</v>
      </c>
    </row>
    <row r="39" spans="4:10" ht="15.75">
      <c r="D39">
        <v>9</v>
      </c>
      <c r="E39" s="425" t="s">
        <v>65</v>
      </c>
      <c r="F39" s="430">
        <f>VLOOKUP($D39,'YTD display'!$B$24:$Y$38,'Previous Comp'!F$1,FALSE)</f>
        <v>2E-3</v>
      </c>
      <c r="G39" s="438">
        <f>VLOOKUP($D39,'YTD display'!$B$24:$Y$38,'Previous Comp'!G$1,FALSE)</f>
        <v>9.5066774193548392E-2</v>
      </c>
      <c r="H39" s="440">
        <f>VLOOKUP($D39,'YTD display'!$B$24:$Y$38,'Previous Comp'!H$1,FALSE)</f>
        <v>8.5725975210725086E-2</v>
      </c>
      <c r="I39" s="435">
        <f>VLOOKUP($D39,'YTD display'!$B$24:$Y$38,'Previous Comp'!I$1,FALSE)</f>
        <v>1.063002092612991E-3</v>
      </c>
      <c r="J39" s="421">
        <f t="shared" si="3"/>
        <v>-9.8255137634166267E-2</v>
      </c>
    </row>
    <row r="40" spans="4:10" ht="15.75">
      <c r="D40">
        <v>10</v>
      </c>
      <c r="E40" s="425" t="s">
        <v>66</v>
      </c>
      <c r="F40" s="430">
        <f>VLOOKUP($D40,'YTD display'!$B$24:$Y$38,'Previous Comp'!F$1,FALSE)</f>
        <v>0</v>
      </c>
      <c r="G40" s="438">
        <f>VLOOKUP($D40,'YTD display'!$B$24:$Y$38,'Previous Comp'!G$1,FALSE)</f>
        <v>0</v>
      </c>
      <c r="H40" s="440">
        <f>VLOOKUP($D40,'YTD display'!$B$24:$Y$38,'Previous Comp'!H$1,FALSE)</f>
        <v>0</v>
      </c>
      <c r="I40" s="435">
        <f>VLOOKUP($D40,'YTD display'!$B$24:$Y$38,'Previous Comp'!I$1,FALSE)</f>
        <v>0</v>
      </c>
      <c r="J40" s="421" t="str">
        <f t="shared" si="3"/>
        <v>-</v>
      </c>
    </row>
    <row r="41" spans="4:10" ht="15.75">
      <c r="D41">
        <v>11</v>
      </c>
      <c r="E41" s="425" t="s">
        <v>67</v>
      </c>
      <c r="F41" s="430">
        <f>VLOOKUP($D41,'YTD display'!$B$24:$Y$38,'Previous Comp'!F$1,FALSE)</f>
        <v>0</v>
      </c>
      <c r="G41" s="438">
        <f>VLOOKUP($D41,'YTD display'!$B$24:$Y$38,'Previous Comp'!G$1,FALSE)</f>
        <v>0</v>
      </c>
      <c r="H41" s="440">
        <f>VLOOKUP($D41,'YTD display'!$B$24:$Y$38,'Previous Comp'!H$1,FALSE)</f>
        <v>0</v>
      </c>
      <c r="I41" s="435">
        <f>VLOOKUP($D41,'YTD display'!$B$24:$Y$38,'Previous Comp'!I$1,FALSE)</f>
        <v>0</v>
      </c>
      <c r="J41" s="421" t="str">
        <f t="shared" si="3"/>
        <v>-</v>
      </c>
    </row>
    <row r="42" spans="4:10" ht="15.75">
      <c r="D42">
        <v>12</v>
      </c>
      <c r="E42" s="425" t="s">
        <v>68</v>
      </c>
      <c r="F42" s="430">
        <f>VLOOKUP($D42,'YTD display'!$B$24:$Y$38,'Previous Comp'!F$1,FALSE)</f>
        <v>0</v>
      </c>
      <c r="G42" s="438">
        <f>VLOOKUP($D42,'YTD display'!$B$24:$Y$38,'Previous Comp'!G$1,FALSE)</f>
        <v>0</v>
      </c>
      <c r="H42" s="440">
        <f>VLOOKUP($D42,'YTD display'!$B$24:$Y$38,'Previous Comp'!H$1,FALSE)</f>
        <v>0</v>
      </c>
      <c r="I42" s="435">
        <f>VLOOKUP($D42,'YTD display'!$B$24:$Y$38,'Previous Comp'!I$1,FALSE)</f>
        <v>0</v>
      </c>
      <c r="J42" s="421" t="str">
        <f t="shared" si="3"/>
        <v>-</v>
      </c>
    </row>
    <row r="43" spans="4:10" ht="15.75">
      <c r="D43">
        <v>13</v>
      </c>
      <c r="E43" s="425" t="s">
        <v>69</v>
      </c>
      <c r="F43" s="430">
        <f>VLOOKUP($D43,'YTD display'!$B$24:$Y$38,'Previous Comp'!F$1,FALSE)</f>
        <v>0</v>
      </c>
      <c r="G43" s="438">
        <f>VLOOKUP($D43,'YTD display'!$B$24:$Y$38,'Previous Comp'!G$1,FALSE)</f>
        <v>0</v>
      </c>
      <c r="H43" s="440">
        <f>VLOOKUP($D43,'YTD display'!$B$24:$Y$38,'Previous Comp'!H$1,FALSE)</f>
        <v>0</v>
      </c>
      <c r="I43" s="435">
        <f>VLOOKUP($D43,'YTD display'!$B$24:$Y$38,'Previous Comp'!I$1,FALSE)</f>
        <v>0</v>
      </c>
      <c r="J43" s="421" t="str">
        <f t="shared" si="3"/>
        <v>-</v>
      </c>
    </row>
    <row r="44" spans="4:10" ht="15.75">
      <c r="D44">
        <v>14</v>
      </c>
      <c r="E44" s="425" t="s">
        <v>70</v>
      </c>
      <c r="F44" s="430">
        <f>VLOOKUP($D44,'YTD display'!$B$24:$Y$38,'Previous Comp'!F$1,FALSE)</f>
        <v>7.4999999999999997E-2</v>
      </c>
      <c r="G44" s="438">
        <f>VLOOKUP($D44,'YTD display'!$B$24:$Y$38,'Previous Comp'!G$1,FALSE)</f>
        <v>14.21812129032258</v>
      </c>
      <c r="H44" s="440">
        <f>VLOOKUP($D44,'YTD display'!$B$24:$Y$38,'Previous Comp'!H$1,FALSE)</f>
        <v>14.07202995152252</v>
      </c>
      <c r="I44" s="435">
        <f>VLOOKUP($D44,'YTD display'!$B$24:$Y$38,'Previous Comp'!I$1,FALSE)</f>
        <v>7.4159597844523695E-2</v>
      </c>
      <c r="J44" s="421">
        <f t="shared" si="3"/>
        <v>-1.0275010025374898E-2</v>
      </c>
    </row>
    <row r="45" spans="4:10" ht="15.75">
      <c r="D45">
        <v>15</v>
      </c>
      <c r="E45" s="428" t="s">
        <v>481</v>
      </c>
      <c r="F45" s="432">
        <f>VLOOKUP($D45,'YTD display'!$B$24:$Y$38,'Previous Comp'!F$1,FALSE)</f>
        <v>0.22100000000000003</v>
      </c>
      <c r="G45" s="439">
        <f>VLOOKUP($D45,'YTD display'!$B$24:$Y$38,'Previous Comp'!G$1,FALSE)</f>
        <v>6.8474282574193541</v>
      </c>
      <c r="H45" s="441">
        <f>VLOOKUP($D45,'YTD display'!$B$24:$Y$38,'Previous Comp'!H$1,FALSE)</f>
        <v>7.1008609315421847</v>
      </c>
      <c r="I45" s="437">
        <f>VLOOKUP($D45,'YTD display'!$B$24:$Y$38,'Previous Comp'!I$1,FALSE)</f>
        <v>0.22012668887780773</v>
      </c>
      <c r="J45" s="427">
        <f t="shared" si="3"/>
        <v>3.7011366106425525E-2</v>
      </c>
    </row>
  </sheetData>
  <sheetProtection algorithmName="SHA-512" hashValue="ih3S9kurCUgL/l9Llwa8d3UG0FG2EsBXU8zNxmygjN+PU8H3TIZVQHTmWr9Kp8vHxI5KpLDsq7AkWVhkSa0tHA==" saltValue="lNjGj0mG4WXgABquK6V9rw==" spinCount="100000" sheet="1" objects="1" scenarios="1"/>
  <mergeCells count="15">
    <mergeCell ref="M3:N3"/>
    <mergeCell ref="F8:G8"/>
    <mergeCell ref="H8:I8"/>
    <mergeCell ref="F28:G28"/>
    <mergeCell ref="H28:I28"/>
    <mergeCell ref="J8:J10"/>
    <mergeCell ref="J28:J30"/>
    <mergeCell ref="E26:J27"/>
    <mergeCell ref="E8:E10"/>
    <mergeCell ref="E28:E30"/>
    <mergeCell ref="L8:L10"/>
    <mergeCell ref="M8:M9"/>
    <mergeCell ref="N8:N9"/>
    <mergeCell ref="E5:N5"/>
    <mergeCell ref="E6:N6"/>
  </mergeCells>
  <conditionalFormatting sqref="J11:J25">
    <cfRule type="cellIs" dxfId="12" priority="3" operator="lessThan">
      <formula>0</formula>
    </cfRule>
    <cfRule type="cellIs" dxfId="11" priority="4" operator="greaterThan">
      <formula>0</formula>
    </cfRule>
  </conditionalFormatting>
  <conditionalFormatting sqref="J31:J45">
    <cfRule type="cellIs" dxfId="10" priority="1" operator="lessThan">
      <formula>0</formula>
    </cfRule>
    <cfRule type="cellIs" dxfId="9" priority="2" operator="greaterThan">
      <formula>0</formula>
    </cfRule>
  </conditionalFormatting>
  <pageMargins left="0.7" right="0.7" top="0.75" bottom="0.75" header="0.3" footer="0.3"/>
  <pageSetup scale="90" orientation="portrait" r:id="rId1"/>
  <ignoredErrors>
    <ignoredError sqref="G30:H30 H10"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46433" r:id="rId4" name="Button 1">
              <controlPr defaultSize="0" print="0" autoFill="0" autoPict="0" macro="[0]!EXPORT_ACTIVE_SHEET">
                <anchor moveWithCells="1" sizeWithCells="1">
                  <from>
                    <xdr:col>15</xdr:col>
                    <xdr:colOff>104775</xdr:colOff>
                    <xdr:row>9</xdr:row>
                    <xdr:rowOff>47625</xdr:rowOff>
                  </from>
                  <to>
                    <xdr:col>17</xdr:col>
                    <xdr:colOff>638175</xdr:colOff>
                    <xdr:row>12</xdr:row>
                    <xdr:rowOff>28575</xdr:rowOff>
                  </to>
                </anchor>
              </controlPr>
            </control>
          </mc:Choice>
        </mc:AlternateContent>
        <mc:AlternateContent xmlns:mc="http://schemas.openxmlformats.org/markup-compatibility/2006">
          <mc:Choice Requires="x14">
            <control shapeId="146434" r:id="rId5" name="Button 2">
              <controlPr defaultSize="0" print="0" autoFill="0" autoPict="0" macro="[0]!Back_to_Dashboard">
                <anchor moveWithCells="1" sizeWithCells="1">
                  <from>
                    <xdr:col>15</xdr:col>
                    <xdr:colOff>114300</xdr:colOff>
                    <xdr:row>13</xdr:row>
                    <xdr:rowOff>66675</xdr:rowOff>
                  </from>
                  <to>
                    <xdr:col>17</xdr:col>
                    <xdr:colOff>619125</xdr:colOff>
                    <xdr:row>16</xdr:row>
                    <xdr:rowOff>66675</xdr:rowOff>
                  </to>
                </anchor>
              </controlPr>
            </control>
          </mc:Choice>
        </mc:AlternateContent>
      </controls>
    </mc:Choice>
  </mc:AlternateContent>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rgb="FF92D050"/>
  </sheetPr>
  <dimension ref="B2:R33"/>
  <sheetViews>
    <sheetView workbookViewId="0"/>
  </sheetViews>
  <sheetFormatPr defaultColWidth="8.85546875" defaultRowHeight="15"/>
  <cols>
    <col min="2" max="2" width="9"/>
    <col min="3" max="3" width="20.42578125" customWidth="1"/>
    <col min="4" max="4" width="11.140625" bestFit="1" customWidth="1"/>
    <col min="5" max="5" width="9.140625" bestFit="1" customWidth="1"/>
    <col min="6" max="7" width="11.140625" bestFit="1" customWidth="1"/>
    <col min="8" max="8" width="9.140625" bestFit="1" customWidth="1"/>
    <col min="9" max="9" width="17.42578125" customWidth="1"/>
    <col min="10" max="10" width="16" customWidth="1"/>
    <col min="11" max="11" width="11.42578125" customWidth="1"/>
    <col min="12" max="12" width="9.140625" customWidth="1"/>
    <col min="13" max="13" width="10" customWidth="1"/>
    <col min="14" max="14" width="9.140625" bestFit="1" customWidth="1"/>
    <col min="15" max="15" width="10.42578125" bestFit="1" customWidth="1"/>
    <col min="16" max="17" width="9.140625" bestFit="1" customWidth="1"/>
    <col min="18" max="18" width="13.42578125" customWidth="1"/>
  </cols>
  <sheetData>
    <row r="2" spans="2:18">
      <c r="D2" s="402"/>
      <c r="F2" s="402" t="s">
        <v>471</v>
      </c>
      <c r="G2" t="s">
        <v>472</v>
      </c>
      <c r="H2" t="s">
        <v>468</v>
      </c>
      <c r="I2" s="416">
        <v>44654</v>
      </c>
      <c r="J2" t="s">
        <v>480</v>
      </c>
    </row>
    <row r="3" spans="2:18">
      <c r="H3" t="s">
        <v>469</v>
      </c>
      <c r="I3" s="416">
        <v>45006</v>
      </c>
      <c r="J3" t="s">
        <v>480</v>
      </c>
    </row>
    <row r="7" spans="2:18" ht="18.75">
      <c r="G7" s="1450" t="s">
        <v>473</v>
      </c>
      <c r="H7" s="1450"/>
      <c r="I7" s="1450"/>
      <c r="J7" s="1450"/>
      <c r="K7" s="1450"/>
      <c r="L7" s="1450"/>
      <c r="M7" s="1450"/>
    </row>
    <row r="8" spans="2:18" ht="18.75">
      <c r="G8" s="1450" t="s">
        <v>474</v>
      </c>
      <c r="H8" s="1450"/>
      <c r="I8" s="1450"/>
      <c r="J8" s="1450"/>
      <c r="K8" s="1450"/>
      <c r="L8" s="1450"/>
      <c r="M8" s="1450"/>
    </row>
    <row r="9" spans="2:18" ht="18.75">
      <c r="G9" s="1451">
        <f>I2</f>
        <v>44654</v>
      </c>
      <c r="H9" s="1451"/>
      <c r="I9" s="1451"/>
      <c r="J9" s="413" t="s">
        <v>470</v>
      </c>
      <c r="K9" s="1451">
        <f>I3</f>
        <v>45006</v>
      </c>
      <c r="L9" s="1451"/>
      <c r="M9" s="1451"/>
    </row>
    <row r="11" spans="2:18" ht="15.75">
      <c r="B11" s="1447" t="s">
        <v>478</v>
      </c>
      <c r="C11" s="1448"/>
      <c r="D11" s="1448"/>
      <c r="E11" s="1448"/>
      <c r="F11" s="1448"/>
      <c r="G11" s="1448"/>
      <c r="H11" s="1448"/>
      <c r="I11" s="1448"/>
      <c r="J11" s="1448"/>
      <c r="K11" s="1448"/>
      <c r="L11" s="1448"/>
      <c r="M11" s="1448"/>
      <c r="N11" s="1448"/>
      <c r="O11" s="1448"/>
      <c r="P11" s="1448"/>
      <c r="Q11" s="1448"/>
      <c r="R11" s="1449"/>
    </row>
    <row r="12" spans="2:18" hidden="1">
      <c r="B12" s="184"/>
      <c r="C12" s="184"/>
      <c r="D12" s="184">
        <v>2</v>
      </c>
      <c r="E12" s="184">
        <v>3</v>
      </c>
      <c r="F12" s="184">
        <v>4</v>
      </c>
      <c r="G12" s="184">
        <v>5</v>
      </c>
      <c r="H12" s="184">
        <v>6</v>
      </c>
      <c r="I12" s="184">
        <v>7</v>
      </c>
      <c r="J12" s="184">
        <v>8</v>
      </c>
      <c r="K12" s="184">
        <v>9</v>
      </c>
      <c r="L12" s="184">
        <v>10</v>
      </c>
      <c r="M12" s="184">
        <v>11</v>
      </c>
      <c r="N12" s="184">
        <v>12</v>
      </c>
      <c r="O12" s="184">
        <v>13</v>
      </c>
      <c r="P12" s="184">
        <v>14</v>
      </c>
      <c r="Q12" s="184">
        <v>15</v>
      </c>
      <c r="R12" s="184">
        <v>16</v>
      </c>
    </row>
    <row r="13" spans="2:18">
      <c r="B13" s="1452" t="s">
        <v>412</v>
      </c>
      <c r="C13" s="1453"/>
      <c r="D13" s="409">
        <f>DPR!D6</f>
        <v>2.9250000000000002E-2</v>
      </c>
      <c r="E13" s="409">
        <f>DPR!E6</f>
        <v>0.27</v>
      </c>
      <c r="F13" s="409">
        <f>DPR!F6</f>
        <v>0.7</v>
      </c>
      <c r="G13" s="409">
        <f>DPR!G6</f>
        <v>0.5</v>
      </c>
      <c r="H13" s="409">
        <f>DPR!H6</f>
        <v>1</v>
      </c>
      <c r="I13" s="409">
        <f>DPR!I6</f>
        <v>0.2</v>
      </c>
      <c r="J13" s="409">
        <f>DPR!J6</f>
        <v>0.26</v>
      </c>
      <c r="K13" s="409">
        <f>DPR!K6</f>
        <v>0.25</v>
      </c>
      <c r="L13" s="409">
        <f>DPR!L6</f>
        <v>0.24124999999999999</v>
      </c>
      <c r="M13" s="409">
        <f>DPR!M6</f>
        <v>0.04</v>
      </c>
      <c r="N13" s="409">
        <f>DPR!N6</f>
        <v>0.11</v>
      </c>
      <c r="O13" s="409">
        <f>DPR!O6</f>
        <v>0.4</v>
      </c>
      <c r="P13" s="409">
        <f>DPR!P6</f>
        <v>0.45</v>
      </c>
      <c r="Q13" s="409">
        <f>DPR!Q6</f>
        <v>0.17</v>
      </c>
      <c r="R13" s="1459" t="str">
        <f>DPR!R6</f>
        <v>Total OVL share</v>
      </c>
    </row>
    <row r="14" spans="2:18">
      <c r="B14" s="1454"/>
      <c r="C14" s="1455"/>
      <c r="D14" s="409" t="str">
        <f>DPR!D7</f>
        <v>ACG</v>
      </c>
      <c r="E14" s="409" t="str">
        <f>DPR!E7</f>
        <v>BC-10</v>
      </c>
      <c r="F14" s="409" t="str">
        <f>DPR!F7</f>
        <v>CPO-5</v>
      </c>
      <c r="G14" s="409" t="str">
        <f>DPR!G7</f>
        <v>MECL</v>
      </c>
      <c r="H14" s="409" t="str">
        <f>DPR!H7</f>
        <v>Imperial</v>
      </c>
      <c r="I14" s="409" t="str">
        <f>DPR!I7</f>
        <v>Sakhalin-1</v>
      </c>
      <c r="J14" s="409" t="str">
        <f>DPR!J7</f>
        <v>Vankor</v>
      </c>
      <c r="K14" s="409" t="str">
        <f>DPR!K7</f>
        <v>GPOC</v>
      </c>
      <c r="L14" s="409" t="str">
        <f>DPR!L7</f>
        <v>SPOC</v>
      </c>
      <c r="M14" s="409" t="str">
        <f>DPR!M7</f>
        <v>LZC</v>
      </c>
      <c r="N14" s="409" t="str">
        <f>DPR!N7</f>
        <v>Carabobo</v>
      </c>
      <c r="O14" s="409" t="str">
        <f>DPR!O7</f>
        <v>Sancristobal</v>
      </c>
      <c r="P14" s="409" t="str">
        <f>DPR!P7</f>
        <v>B-06.1</v>
      </c>
      <c r="Q14" s="409" t="str">
        <f>DPR!Q7</f>
        <v>A1,A3</v>
      </c>
      <c r="R14" s="1459"/>
    </row>
    <row r="15" spans="2:18">
      <c r="B15" s="1456"/>
      <c r="C15" s="1457"/>
      <c r="D15" s="409" t="str">
        <f>DPR!D8</f>
        <v>Azerbaijan</v>
      </c>
      <c r="E15" s="409" t="str">
        <f>DPR!E8</f>
        <v>Brazil</v>
      </c>
      <c r="F15" s="409" t="str">
        <f>DPR!F8</f>
        <v>Colombia</v>
      </c>
      <c r="G15" s="409" t="str">
        <f>DPR!G8</f>
        <v>Colombia</v>
      </c>
      <c r="H15" s="409" t="str">
        <f>DPR!H8</f>
        <v>Russia</v>
      </c>
      <c r="I15" s="409" t="str">
        <f>DPR!I8</f>
        <v>Russia</v>
      </c>
      <c r="J15" s="409" t="str">
        <f>DPR!J8</f>
        <v>Russia</v>
      </c>
      <c r="K15" s="409" t="str">
        <f>DPR!K8</f>
        <v>S Sudan</v>
      </c>
      <c r="L15" s="409" t="str">
        <f>DPR!L8</f>
        <v>S Sudan</v>
      </c>
      <c r="M15" s="409" t="str">
        <f>DPR!M8</f>
        <v>UAE</v>
      </c>
      <c r="N15" s="409" t="str">
        <f>DPR!N8</f>
        <v>Venezuela</v>
      </c>
      <c r="O15" s="409" t="str">
        <f>DPR!O8</f>
        <v>Venezuela</v>
      </c>
      <c r="P15" s="409" t="str">
        <f>DPR!P8</f>
        <v>Vietnam</v>
      </c>
      <c r="Q15" s="409" t="str">
        <f>DPR!Q8</f>
        <v>Myanmar</v>
      </c>
      <c r="R15" s="1459"/>
    </row>
    <row r="16" spans="2:18" ht="15.75">
      <c r="B16" s="407" t="s">
        <v>476</v>
      </c>
      <c r="C16" s="1458">
        <f>I2</f>
        <v>44654</v>
      </c>
      <c r="D16" s="408" t="e">
        <f>VLOOKUP($C16,DPR!$C$9:$AG$1109,Mat_Balance!D$12,FALSE)</f>
        <v>#N/A</v>
      </c>
      <c r="E16" s="408" t="e">
        <f>VLOOKUP($C16,DPR!$C$9:$AG$1109,Mat_Balance!E$12,FALSE)</f>
        <v>#N/A</v>
      </c>
      <c r="F16" s="408" t="e">
        <f>VLOOKUP($C16,DPR!$C$9:$AG$1109,Mat_Balance!F$12,FALSE)</f>
        <v>#N/A</v>
      </c>
      <c r="G16" s="408" t="e">
        <f>VLOOKUP($C16,DPR!$C$9:$AG$1109,Mat_Balance!G$12,FALSE)</f>
        <v>#N/A</v>
      </c>
      <c r="H16" s="408" t="e">
        <f>VLOOKUP($C16,DPR!$C$9:$AG$1109,Mat_Balance!H$12,FALSE)</f>
        <v>#N/A</v>
      </c>
      <c r="I16" s="408" t="e">
        <f>VLOOKUP($C16,DPR!$C$9:$AG$1109,Mat_Balance!I$12,FALSE)</f>
        <v>#N/A</v>
      </c>
      <c r="J16" s="408" t="e">
        <f>VLOOKUP($C16,DPR!$C$9:$AG$1109,Mat_Balance!J$12,FALSE)</f>
        <v>#N/A</v>
      </c>
      <c r="K16" s="408" t="e">
        <f>VLOOKUP($C16,DPR!$C$9:$AG$1109,Mat_Balance!K$12,FALSE)</f>
        <v>#N/A</v>
      </c>
      <c r="L16" s="408" t="e">
        <f>VLOOKUP($C16,DPR!$C$9:$AG$1109,Mat_Balance!L$12,FALSE)</f>
        <v>#N/A</v>
      </c>
      <c r="M16" s="408" t="e">
        <f>VLOOKUP($C16,DPR!$C$9:$AG$1109,Mat_Balance!M$12,FALSE)</f>
        <v>#N/A</v>
      </c>
      <c r="N16" s="408" t="e">
        <f>VLOOKUP($C16,DPR!$C$9:$AG$1109,Mat_Balance!N$12,FALSE)</f>
        <v>#N/A</v>
      </c>
      <c r="O16" s="408" t="e">
        <f>VLOOKUP($C16,DPR!$C$9:$AG$1109,Mat_Balance!O$12,FALSE)</f>
        <v>#N/A</v>
      </c>
      <c r="P16" s="408" t="e">
        <f>VLOOKUP($C16,DPR!$C$9:$AG$1109,Mat_Balance!P$12,FALSE)</f>
        <v>#N/A</v>
      </c>
      <c r="Q16" s="408" t="e">
        <f>VLOOKUP($C16,DPR!$C$9:$AG$1109,Mat_Balance!Q$12,FALSE)</f>
        <v>#N/A</v>
      </c>
      <c r="R16" s="1460" t="e">
        <f>VLOOKUP($C16,DPR!$C$9:$AG$1109,Mat_Balance!R$12,FALSE)</f>
        <v>#N/A</v>
      </c>
    </row>
    <row r="17" spans="2:18">
      <c r="B17" s="162" t="s">
        <v>456</v>
      </c>
      <c r="C17" s="1458"/>
      <c r="D17" s="414" t="e">
        <f>D16*D13</f>
        <v>#N/A</v>
      </c>
      <c r="E17" s="414" t="e">
        <f t="shared" ref="E17:Q17" si="0">E16*E13</f>
        <v>#N/A</v>
      </c>
      <c r="F17" s="414" t="e">
        <f t="shared" si="0"/>
        <v>#N/A</v>
      </c>
      <c r="G17" s="414" t="e">
        <f t="shared" si="0"/>
        <v>#N/A</v>
      </c>
      <c r="H17" s="414" t="e">
        <f t="shared" si="0"/>
        <v>#N/A</v>
      </c>
      <c r="I17" s="414" t="e">
        <f t="shared" si="0"/>
        <v>#N/A</v>
      </c>
      <c r="J17" s="414" t="e">
        <f t="shared" si="0"/>
        <v>#N/A</v>
      </c>
      <c r="K17" s="414" t="e">
        <f t="shared" si="0"/>
        <v>#N/A</v>
      </c>
      <c r="L17" s="414" t="e">
        <f t="shared" si="0"/>
        <v>#N/A</v>
      </c>
      <c r="M17" s="414" t="e">
        <f t="shared" si="0"/>
        <v>#N/A</v>
      </c>
      <c r="N17" s="414" t="e">
        <f t="shared" si="0"/>
        <v>#N/A</v>
      </c>
      <c r="O17" s="414" t="e">
        <f t="shared" si="0"/>
        <v>#N/A</v>
      </c>
      <c r="P17" s="414" t="e">
        <f t="shared" si="0"/>
        <v>#N/A</v>
      </c>
      <c r="Q17" s="414" t="e">
        <f t="shared" si="0"/>
        <v>#N/A</v>
      </c>
      <c r="R17" s="1461"/>
    </row>
    <row r="18" spans="2:18" ht="15.75">
      <c r="B18" s="407" t="s">
        <v>476</v>
      </c>
      <c r="C18" s="1458">
        <f>I3</f>
        <v>45006</v>
      </c>
      <c r="D18" s="408" t="e">
        <f>VLOOKUP($C18,DPR!$C$9:$AG$1109,Mat_Balance!D$12,FALSE)</f>
        <v>#N/A</v>
      </c>
      <c r="E18" s="408" t="e">
        <f>VLOOKUP($C18,DPR!$C$9:$AG$1109,Mat_Balance!E$12,FALSE)</f>
        <v>#N/A</v>
      </c>
      <c r="F18" s="408" t="e">
        <f>VLOOKUP($C18,DPR!$C$9:$AG$1109,Mat_Balance!F$12,FALSE)</f>
        <v>#N/A</v>
      </c>
      <c r="G18" s="408" t="e">
        <f>VLOOKUP($C18,DPR!$C$9:$AG$1109,Mat_Balance!G$12,FALSE)</f>
        <v>#N/A</v>
      </c>
      <c r="H18" s="408" t="e">
        <f>VLOOKUP($C18,DPR!$C$9:$AG$1109,Mat_Balance!H$12,FALSE)</f>
        <v>#N/A</v>
      </c>
      <c r="I18" s="408" t="e">
        <f>VLOOKUP($C18,DPR!$C$9:$AG$1109,Mat_Balance!I$12,FALSE)</f>
        <v>#N/A</v>
      </c>
      <c r="J18" s="408" t="e">
        <f>VLOOKUP($C18,DPR!$C$9:$AG$1109,Mat_Balance!J$12,FALSE)</f>
        <v>#N/A</v>
      </c>
      <c r="K18" s="408" t="e">
        <f>VLOOKUP($C18,DPR!$C$9:$AG$1109,Mat_Balance!K$12,FALSE)</f>
        <v>#N/A</v>
      </c>
      <c r="L18" s="408" t="e">
        <f>VLOOKUP($C18,DPR!$C$9:$AG$1109,Mat_Balance!L$12,FALSE)</f>
        <v>#N/A</v>
      </c>
      <c r="M18" s="408" t="e">
        <f>VLOOKUP($C18,DPR!$C$9:$AG$1109,Mat_Balance!M$12,FALSE)</f>
        <v>#N/A</v>
      </c>
      <c r="N18" s="408" t="e">
        <f>VLOOKUP($C18,DPR!$C$9:$AG$1109,Mat_Balance!N$12,FALSE)</f>
        <v>#N/A</v>
      </c>
      <c r="O18" s="408" t="e">
        <f>VLOOKUP($C18,DPR!$C$9:$AG$1109,Mat_Balance!O$12,FALSE)</f>
        <v>#N/A</v>
      </c>
      <c r="P18" s="408" t="e">
        <f>VLOOKUP($C18,DPR!$C$9:$AG$1109,Mat_Balance!P$12,FALSE)</f>
        <v>#N/A</v>
      </c>
      <c r="Q18" s="408" t="e">
        <f>VLOOKUP($C18,DPR!$C$9:$AG$1109,Mat_Balance!Q$12,FALSE)</f>
        <v>#N/A</v>
      </c>
      <c r="R18" s="1460" t="e">
        <f>VLOOKUP($C18,DPR!$C$9:$AG$1109,Mat_Balance!R$12,FALSE)</f>
        <v>#N/A</v>
      </c>
    </row>
    <row r="19" spans="2:18" ht="14.25" customHeight="1">
      <c r="B19" s="162" t="s">
        <v>456</v>
      </c>
      <c r="C19" s="1458"/>
      <c r="D19" s="414" t="e">
        <f>D18*D13</f>
        <v>#N/A</v>
      </c>
      <c r="E19" s="414" t="e">
        <f t="shared" ref="E19:Q19" si="1">E18*E13</f>
        <v>#N/A</v>
      </c>
      <c r="F19" s="414" t="e">
        <f t="shared" si="1"/>
        <v>#N/A</v>
      </c>
      <c r="G19" s="414" t="e">
        <f t="shared" si="1"/>
        <v>#N/A</v>
      </c>
      <c r="H19" s="414" t="e">
        <f t="shared" si="1"/>
        <v>#N/A</v>
      </c>
      <c r="I19" s="414" t="e">
        <f t="shared" si="1"/>
        <v>#N/A</v>
      </c>
      <c r="J19" s="414" t="e">
        <f t="shared" si="1"/>
        <v>#N/A</v>
      </c>
      <c r="K19" s="414" t="e">
        <f t="shared" si="1"/>
        <v>#N/A</v>
      </c>
      <c r="L19" s="414" t="e">
        <f t="shared" si="1"/>
        <v>#N/A</v>
      </c>
      <c r="M19" s="414" t="e">
        <f t="shared" si="1"/>
        <v>#N/A</v>
      </c>
      <c r="N19" s="414" t="e">
        <f t="shared" si="1"/>
        <v>#N/A</v>
      </c>
      <c r="O19" s="414" t="e">
        <f t="shared" si="1"/>
        <v>#N/A</v>
      </c>
      <c r="P19" s="414" t="e">
        <f t="shared" si="1"/>
        <v>#N/A</v>
      </c>
      <c r="Q19" s="414" t="e">
        <f t="shared" si="1"/>
        <v>#N/A</v>
      </c>
      <c r="R19" s="1461"/>
    </row>
    <row r="20" spans="2:18" ht="33.75" customHeight="1">
      <c r="B20" s="1462" t="s">
        <v>477</v>
      </c>
      <c r="C20" s="1463"/>
      <c r="D20" s="406" t="e">
        <f>D19-D17</f>
        <v>#N/A</v>
      </c>
      <c r="E20" s="406" t="e">
        <f t="shared" ref="E20:Q20" si="2">E19-E17</f>
        <v>#N/A</v>
      </c>
      <c r="F20" s="406" t="e">
        <f t="shared" si="2"/>
        <v>#N/A</v>
      </c>
      <c r="G20" s="406" t="e">
        <f t="shared" si="2"/>
        <v>#N/A</v>
      </c>
      <c r="H20" s="406" t="e">
        <f t="shared" si="2"/>
        <v>#N/A</v>
      </c>
      <c r="I20" s="406" t="e">
        <f t="shared" si="2"/>
        <v>#N/A</v>
      </c>
      <c r="J20" s="406" t="e">
        <f t="shared" si="2"/>
        <v>#N/A</v>
      </c>
      <c r="K20" s="406" t="e">
        <f t="shared" si="2"/>
        <v>#N/A</v>
      </c>
      <c r="L20" s="406" t="e">
        <f t="shared" si="2"/>
        <v>#N/A</v>
      </c>
      <c r="M20" s="406" t="e">
        <f t="shared" si="2"/>
        <v>#N/A</v>
      </c>
      <c r="N20" s="406" t="e">
        <f t="shared" si="2"/>
        <v>#N/A</v>
      </c>
      <c r="O20" s="406" t="e">
        <f t="shared" si="2"/>
        <v>#N/A</v>
      </c>
      <c r="P20" s="406" t="e">
        <f t="shared" si="2"/>
        <v>#N/A</v>
      </c>
      <c r="Q20" s="406" t="e">
        <f t="shared" si="2"/>
        <v>#N/A</v>
      </c>
      <c r="R20" s="410" t="e">
        <f>R18-R16</f>
        <v>#N/A</v>
      </c>
    </row>
    <row r="21" spans="2:18">
      <c r="B21" s="404"/>
    </row>
    <row r="24" spans="2:18" ht="15.75">
      <c r="B24" s="1466" t="s">
        <v>479</v>
      </c>
      <c r="C24" s="1467"/>
      <c r="D24" s="1467"/>
      <c r="E24" s="1467"/>
      <c r="F24" s="1467"/>
      <c r="G24" s="1467"/>
      <c r="H24" s="1467"/>
      <c r="I24" s="1467"/>
      <c r="J24" s="1467"/>
      <c r="K24" s="1467"/>
      <c r="L24" s="1467"/>
      <c r="M24" s="1467"/>
      <c r="N24" s="1467"/>
      <c r="O24" s="1467"/>
      <c r="P24" s="1467"/>
      <c r="Q24" s="1467"/>
      <c r="R24" s="1468"/>
    </row>
    <row r="25" spans="2:18" hidden="1">
      <c r="B25" s="184"/>
      <c r="C25" s="184"/>
      <c r="D25" s="184">
        <v>17</v>
      </c>
      <c r="E25" s="184">
        <v>18</v>
      </c>
      <c r="F25" s="184">
        <v>19</v>
      </c>
      <c r="G25" s="184">
        <v>20</v>
      </c>
      <c r="H25" s="184">
        <v>21</v>
      </c>
      <c r="I25" s="184">
        <v>22</v>
      </c>
      <c r="J25" s="184">
        <v>23</v>
      </c>
      <c r="K25" s="184">
        <v>24</v>
      </c>
      <c r="L25" s="184">
        <v>25</v>
      </c>
      <c r="M25" s="184">
        <v>26</v>
      </c>
      <c r="N25" s="184">
        <v>27</v>
      </c>
      <c r="O25" s="184">
        <v>28</v>
      </c>
      <c r="P25" s="184">
        <v>29</v>
      </c>
      <c r="Q25" s="184">
        <v>30</v>
      </c>
      <c r="R25" s="184">
        <v>31</v>
      </c>
    </row>
    <row r="26" spans="2:18">
      <c r="B26" s="1452" t="s">
        <v>417</v>
      </c>
      <c r="C26" s="1453"/>
      <c r="D26" s="409">
        <f>DPR!S6</f>
        <v>2.9250000000000002E-2</v>
      </c>
      <c r="E26" s="409">
        <f>DPR!T6</f>
        <v>0.27</v>
      </c>
      <c r="F26" s="409">
        <f>DPR!U6</f>
        <v>0.7</v>
      </c>
      <c r="G26" s="409">
        <f>DPR!V6</f>
        <v>0.5</v>
      </c>
      <c r="H26" s="409">
        <f>DPR!W6</f>
        <v>1</v>
      </c>
      <c r="I26" s="409">
        <f>DPR!X6</f>
        <v>0.2</v>
      </c>
      <c r="J26" s="409">
        <f>DPR!Y6</f>
        <v>0.26</v>
      </c>
      <c r="K26" s="409">
        <f>DPR!Z6</f>
        <v>0.25</v>
      </c>
      <c r="L26" s="409">
        <f>DPR!AA6</f>
        <v>0.24124999999999999</v>
      </c>
      <c r="M26" s="409">
        <f>DPR!AB6</f>
        <v>0.04</v>
      </c>
      <c r="N26" s="409">
        <f>DPR!AC6</f>
        <v>0.11</v>
      </c>
      <c r="O26" s="409">
        <f>DPR!AD6</f>
        <v>0.4</v>
      </c>
      <c r="P26" s="409">
        <f>DPR!AE6</f>
        <v>0.45</v>
      </c>
      <c r="Q26" s="409">
        <f>DPR!AF6</f>
        <v>0.17</v>
      </c>
      <c r="R26" s="1459" t="str">
        <f>DPR!AG6</f>
        <v>Total OVL share</v>
      </c>
    </row>
    <row r="27" spans="2:18">
      <c r="B27" s="1454"/>
      <c r="C27" s="1455"/>
      <c r="D27" s="409" t="str">
        <f>DPR!S7</f>
        <v>ACG</v>
      </c>
      <c r="E27" s="409" t="str">
        <f>DPR!T7</f>
        <v>BC-10</v>
      </c>
      <c r="F27" s="409" t="str">
        <f>DPR!U7</f>
        <v>CPO-5</v>
      </c>
      <c r="G27" s="409" t="str">
        <f>DPR!V7</f>
        <v>MECL</v>
      </c>
      <c r="H27" s="409" t="str">
        <f>DPR!W7</f>
        <v>Imperial</v>
      </c>
      <c r="I27" s="409" t="str">
        <f>DPR!X7</f>
        <v>Sakhalin-1</v>
      </c>
      <c r="J27" s="409" t="str">
        <f>DPR!Y7</f>
        <v>Vankor</v>
      </c>
      <c r="K27" s="409" t="str">
        <f>DPR!Z7</f>
        <v>GPOC</v>
      </c>
      <c r="L27" s="409" t="str">
        <f>DPR!AA7</f>
        <v>SPOC</v>
      </c>
      <c r="M27" s="409" t="str">
        <f>DPR!AB7</f>
        <v>LZC</v>
      </c>
      <c r="N27" s="409" t="str">
        <f>DPR!AC7</f>
        <v>Carabobo</v>
      </c>
      <c r="O27" s="409" t="str">
        <f>DPR!AD7</f>
        <v>Sancristobal</v>
      </c>
      <c r="P27" s="409" t="str">
        <f>DPR!AE7</f>
        <v>B-06.1</v>
      </c>
      <c r="Q27" s="409" t="str">
        <f>DPR!AF7</f>
        <v>A1,A3</v>
      </c>
      <c r="R27" s="1459"/>
    </row>
    <row r="28" spans="2:18">
      <c r="B28" s="1456"/>
      <c r="C28" s="1457"/>
      <c r="D28" s="409" t="str">
        <f>DPR!S8</f>
        <v>Azerbaijan</v>
      </c>
      <c r="E28" s="409" t="str">
        <f>DPR!T8</f>
        <v>Brazil</v>
      </c>
      <c r="F28" s="409" t="str">
        <f>DPR!U8</f>
        <v>Colombia</v>
      </c>
      <c r="G28" s="409" t="str">
        <f>DPR!V8</f>
        <v>Colombia</v>
      </c>
      <c r="H28" s="409" t="str">
        <f>DPR!W8</f>
        <v>Russia</v>
      </c>
      <c r="I28" s="409" t="str">
        <f>DPR!X8</f>
        <v>Russia</v>
      </c>
      <c r="J28" s="409" t="str">
        <f>DPR!Y8</f>
        <v>Russia</v>
      </c>
      <c r="K28" s="409" t="str">
        <f>DPR!Z8</f>
        <v>S Sudan</v>
      </c>
      <c r="L28" s="409" t="str">
        <f>DPR!AA8</f>
        <v>S Sudan</v>
      </c>
      <c r="M28" s="409" t="str">
        <f>DPR!AB8</f>
        <v>UAE</v>
      </c>
      <c r="N28" s="409" t="str">
        <f>DPR!AC8</f>
        <v>Venezuela</v>
      </c>
      <c r="O28" s="409" t="str">
        <f>DPR!AD8</f>
        <v>Venezuela</v>
      </c>
      <c r="P28" s="409" t="str">
        <f>DPR!AE8</f>
        <v>Vietnam</v>
      </c>
      <c r="Q28" s="409" t="str">
        <f>DPR!AF8</f>
        <v>Myanmar</v>
      </c>
      <c r="R28" s="1459"/>
    </row>
    <row r="29" spans="2:18" ht="15.75">
      <c r="B29" s="407" t="s">
        <v>476</v>
      </c>
      <c r="C29" s="1458">
        <f>C16</f>
        <v>44654</v>
      </c>
      <c r="D29" s="411" t="e">
        <f>VLOOKUP($C29,DPR!$C$9:$AG$1109,Mat_Balance!D$25,FALSE)</f>
        <v>#N/A</v>
      </c>
      <c r="E29" s="411" t="e">
        <f>VLOOKUP($C29,DPR!$C$9:$AG$1109,Mat_Balance!E$25,FALSE)</f>
        <v>#N/A</v>
      </c>
      <c r="F29" s="411" t="e">
        <f>VLOOKUP($C29,DPR!$C$9:$AG$1109,Mat_Balance!F$25,FALSE)</f>
        <v>#N/A</v>
      </c>
      <c r="G29" s="411" t="e">
        <f>VLOOKUP($C29,DPR!$C$9:$AG$1109,Mat_Balance!G$25,FALSE)</f>
        <v>#N/A</v>
      </c>
      <c r="H29" s="411" t="e">
        <f>VLOOKUP($C29,DPR!$C$9:$AG$1109,Mat_Balance!H$25,FALSE)</f>
        <v>#N/A</v>
      </c>
      <c r="I29" s="411" t="e">
        <f>VLOOKUP($C29,DPR!$C$9:$AG$1109,Mat_Balance!I$25,FALSE)</f>
        <v>#N/A</v>
      </c>
      <c r="J29" s="411" t="e">
        <f>VLOOKUP($C29,DPR!$C$9:$AG$1109,Mat_Balance!J$25,FALSE)</f>
        <v>#N/A</v>
      </c>
      <c r="K29" s="411" t="e">
        <f>VLOOKUP($C29,DPR!$C$9:$AG$1109,Mat_Balance!K$25,FALSE)</f>
        <v>#N/A</v>
      </c>
      <c r="L29" s="411" t="e">
        <f>VLOOKUP($C29,DPR!$C$9:$AG$1109,Mat_Balance!L$25,FALSE)</f>
        <v>#N/A</v>
      </c>
      <c r="M29" s="411" t="e">
        <f>VLOOKUP($C29,DPR!$C$9:$AG$1109,Mat_Balance!M$25,FALSE)</f>
        <v>#N/A</v>
      </c>
      <c r="N29" s="411" t="e">
        <f>VLOOKUP($C29,DPR!$C$9:$AG$1109,Mat_Balance!N$25,FALSE)</f>
        <v>#N/A</v>
      </c>
      <c r="O29" s="411" t="e">
        <f>VLOOKUP($C29,DPR!$C$9:$AG$1109,Mat_Balance!O$25,FALSE)</f>
        <v>#N/A</v>
      </c>
      <c r="P29" s="411" t="e">
        <f>VLOOKUP($C29,DPR!$C$9:$AG$1109,Mat_Balance!P$25,FALSE)</f>
        <v>#N/A</v>
      </c>
      <c r="Q29" s="411" t="e">
        <f>VLOOKUP($C29,DPR!$C$9:$AG$1109,Mat_Balance!Q$25,FALSE)</f>
        <v>#N/A</v>
      </c>
      <c r="R29" s="1464" t="e">
        <f>VLOOKUP($C29,DPR!$C$9:$AG$1109,Mat_Balance!R$25,FALSE)</f>
        <v>#N/A</v>
      </c>
    </row>
    <row r="30" spans="2:18">
      <c r="B30" s="162" t="s">
        <v>456</v>
      </c>
      <c r="C30" s="1458"/>
      <c r="D30" s="415" t="e">
        <f>D29*D26</f>
        <v>#N/A</v>
      </c>
      <c r="E30" s="415" t="e">
        <f t="shared" ref="E30:Q30" si="3">E29*E26</f>
        <v>#N/A</v>
      </c>
      <c r="F30" s="415" t="e">
        <f t="shared" si="3"/>
        <v>#N/A</v>
      </c>
      <c r="G30" s="415" t="e">
        <f t="shared" si="3"/>
        <v>#N/A</v>
      </c>
      <c r="H30" s="415" t="e">
        <f t="shared" si="3"/>
        <v>#N/A</v>
      </c>
      <c r="I30" s="415" t="e">
        <f t="shared" si="3"/>
        <v>#N/A</v>
      </c>
      <c r="J30" s="415" t="e">
        <f t="shared" si="3"/>
        <v>#N/A</v>
      </c>
      <c r="K30" s="415" t="e">
        <f t="shared" si="3"/>
        <v>#N/A</v>
      </c>
      <c r="L30" s="415" t="e">
        <f t="shared" si="3"/>
        <v>#N/A</v>
      </c>
      <c r="M30" s="415" t="e">
        <f t="shared" si="3"/>
        <v>#N/A</v>
      </c>
      <c r="N30" s="415" t="e">
        <f t="shared" si="3"/>
        <v>#N/A</v>
      </c>
      <c r="O30" s="415" t="e">
        <f t="shared" si="3"/>
        <v>#N/A</v>
      </c>
      <c r="P30" s="415" t="e">
        <f t="shared" si="3"/>
        <v>#N/A</v>
      </c>
      <c r="Q30" s="415" t="e">
        <f t="shared" si="3"/>
        <v>#N/A</v>
      </c>
      <c r="R30" s="1465"/>
    </row>
    <row r="31" spans="2:18" ht="15.75">
      <c r="B31" s="407" t="s">
        <v>476</v>
      </c>
      <c r="C31" s="1458">
        <f>C18</f>
        <v>45006</v>
      </c>
      <c r="D31" s="411" t="e">
        <f>VLOOKUP($C31,DPR!$C$9:$AG$1109,Mat_Balance!D$25,FALSE)</f>
        <v>#N/A</v>
      </c>
      <c r="E31" s="411" t="e">
        <f>VLOOKUP($C31,DPR!$C$9:$AG$1109,Mat_Balance!E$25,FALSE)</f>
        <v>#N/A</v>
      </c>
      <c r="F31" s="411" t="e">
        <f>VLOOKUP($C31,DPR!$C$9:$AG$1109,Mat_Balance!F$25,FALSE)</f>
        <v>#N/A</v>
      </c>
      <c r="G31" s="411" t="e">
        <f>VLOOKUP($C31,DPR!$C$9:$AG$1109,Mat_Balance!G$25,FALSE)</f>
        <v>#N/A</v>
      </c>
      <c r="H31" s="411" t="e">
        <f>VLOOKUP($C31,DPR!$C$9:$AG$1109,Mat_Balance!H$25,FALSE)</f>
        <v>#N/A</v>
      </c>
      <c r="I31" s="411" t="e">
        <f>VLOOKUP($C31,DPR!$C$9:$AG$1109,Mat_Balance!I$25,FALSE)</f>
        <v>#N/A</v>
      </c>
      <c r="J31" s="411" t="e">
        <f>VLOOKUP($C31,DPR!$C$9:$AG$1109,Mat_Balance!J$25,FALSE)</f>
        <v>#N/A</v>
      </c>
      <c r="K31" s="411" t="e">
        <f>VLOOKUP($C31,DPR!$C$9:$AG$1109,Mat_Balance!K$25,FALSE)</f>
        <v>#N/A</v>
      </c>
      <c r="L31" s="411" t="e">
        <f>VLOOKUP($C31,DPR!$C$9:$AG$1109,Mat_Balance!L$25,FALSE)</f>
        <v>#N/A</v>
      </c>
      <c r="M31" s="411" t="e">
        <f>VLOOKUP($C31,DPR!$C$9:$AG$1109,Mat_Balance!M$25,FALSE)</f>
        <v>#N/A</v>
      </c>
      <c r="N31" s="411" t="e">
        <f>VLOOKUP($C31,DPR!$C$9:$AG$1109,Mat_Balance!N$25,FALSE)</f>
        <v>#N/A</v>
      </c>
      <c r="O31" s="411" t="e">
        <f>VLOOKUP($C31,DPR!$C$9:$AG$1109,Mat_Balance!O$25,FALSE)</f>
        <v>#N/A</v>
      </c>
      <c r="P31" s="411" t="e">
        <f>VLOOKUP($C31,DPR!$C$9:$AG$1109,Mat_Balance!P$25,FALSE)</f>
        <v>#N/A</v>
      </c>
      <c r="Q31" s="411" t="e">
        <f>VLOOKUP($C31,DPR!$C$9:$AG$1109,Mat_Balance!Q$25,FALSE)</f>
        <v>#N/A</v>
      </c>
      <c r="R31" s="1464" t="e">
        <f>VLOOKUP($C31,DPR!$C$9:$AG$1109,Mat_Balance!R$25,FALSE)</f>
        <v>#N/A</v>
      </c>
    </row>
    <row r="32" spans="2:18" ht="14.25" customHeight="1">
      <c r="B32" s="162" t="s">
        <v>456</v>
      </c>
      <c r="C32" s="1458"/>
      <c r="D32" s="415" t="e">
        <f>D31*D26</f>
        <v>#N/A</v>
      </c>
      <c r="E32" s="415" t="e">
        <f t="shared" ref="E32:Q32" si="4">E31*E26</f>
        <v>#N/A</v>
      </c>
      <c r="F32" s="415" t="e">
        <f t="shared" si="4"/>
        <v>#N/A</v>
      </c>
      <c r="G32" s="415" t="e">
        <f t="shared" si="4"/>
        <v>#N/A</v>
      </c>
      <c r="H32" s="415" t="e">
        <f t="shared" si="4"/>
        <v>#N/A</v>
      </c>
      <c r="I32" s="415" t="e">
        <f t="shared" si="4"/>
        <v>#N/A</v>
      </c>
      <c r="J32" s="415" t="e">
        <f t="shared" si="4"/>
        <v>#N/A</v>
      </c>
      <c r="K32" s="415" t="e">
        <f t="shared" si="4"/>
        <v>#N/A</v>
      </c>
      <c r="L32" s="415" t="e">
        <f t="shared" si="4"/>
        <v>#N/A</v>
      </c>
      <c r="M32" s="415" t="e">
        <f t="shared" si="4"/>
        <v>#N/A</v>
      </c>
      <c r="N32" s="415" t="e">
        <f t="shared" si="4"/>
        <v>#N/A</v>
      </c>
      <c r="O32" s="415" t="e">
        <f t="shared" si="4"/>
        <v>#N/A</v>
      </c>
      <c r="P32" s="415" t="e">
        <f t="shared" si="4"/>
        <v>#N/A</v>
      </c>
      <c r="Q32" s="415" t="e">
        <f t="shared" si="4"/>
        <v>#N/A</v>
      </c>
      <c r="R32" s="1465"/>
    </row>
    <row r="33" spans="2:18" ht="28.5" customHeight="1">
      <c r="B33" s="1462" t="s">
        <v>477</v>
      </c>
      <c r="C33" s="1463"/>
      <c r="D33" s="405" t="e">
        <f>D32-D30</f>
        <v>#N/A</v>
      </c>
      <c r="E33" s="405" t="e">
        <f t="shared" ref="E33:Q33" si="5">E32-E30</f>
        <v>#N/A</v>
      </c>
      <c r="F33" s="405" t="e">
        <f t="shared" si="5"/>
        <v>#N/A</v>
      </c>
      <c r="G33" s="405" t="e">
        <f t="shared" si="5"/>
        <v>#N/A</v>
      </c>
      <c r="H33" s="405" t="e">
        <f t="shared" si="5"/>
        <v>#N/A</v>
      </c>
      <c r="I33" s="405" t="e">
        <f t="shared" si="5"/>
        <v>#N/A</v>
      </c>
      <c r="J33" s="405" t="e">
        <f t="shared" si="5"/>
        <v>#N/A</v>
      </c>
      <c r="K33" s="405" t="e">
        <f t="shared" si="5"/>
        <v>#N/A</v>
      </c>
      <c r="L33" s="405" t="e">
        <f t="shared" si="5"/>
        <v>#N/A</v>
      </c>
      <c r="M33" s="405" t="e">
        <f t="shared" si="5"/>
        <v>#N/A</v>
      </c>
      <c r="N33" s="405" t="e">
        <f t="shared" si="5"/>
        <v>#N/A</v>
      </c>
      <c r="O33" s="405" t="e">
        <f t="shared" si="5"/>
        <v>#N/A</v>
      </c>
      <c r="P33" s="405" t="e">
        <f t="shared" si="5"/>
        <v>#N/A</v>
      </c>
      <c r="Q33" s="405" t="e">
        <f t="shared" si="5"/>
        <v>#N/A</v>
      </c>
      <c r="R33" s="412" t="e">
        <f>R31-R29</f>
        <v>#N/A</v>
      </c>
    </row>
  </sheetData>
  <sheetProtection algorithmName="SHA-512" hashValue="Cx9haPJpPBZ8NoWmGtpVNA3Kc6tuhxa1Ed62DtURA+qJgEYPniOLdNddNrGwegj8Qecy3fiplBPYieODqWSXJw==" saltValue="jCfTTe6a+PvW0TtYWPQpgg==" spinCount="100000" sheet="1" objects="1" scenarios="1"/>
  <mergeCells count="20">
    <mergeCell ref="B20:C20"/>
    <mergeCell ref="C31:C32"/>
    <mergeCell ref="R31:R32"/>
    <mergeCell ref="B33:C33"/>
    <mergeCell ref="R18:R19"/>
    <mergeCell ref="B24:R24"/>
    <mergeCell ref="B26:C28"/>
    <mergeCell ref="R26:R28"/>
    <mergeCell ref="C29:C30"/>
    <mergeCell ref="R29:R30"/>
    <mergeCell ref="B13:C15"/>
    <mergeCell ref="C18:C19"/>
    <mergeCell ref="R13:R15"/>
    <mergeCell ref="C16:C17"/>
    <mergeCell ref="R16:R17"/>
    <mergeCell ref="B11:R11"/>
    <mergeCell ref="G7:M7"/>
    <mergeCell ref="G8:M8"/>
    <mergeCell ref="G9:I9"/>
    <mergeCell ref="K9:M9"/>
  </mergeCells>
  <conditionalFormatting sqref="D20:R20">
    <cfRule type="cellIs" dxfId="8" priority="3" operator="lessThan">
      <formula>0</formula>
    </cfRule>
    <cfRule type="cellIs" dxfId="7" priority="4" operator="greaterThan">
      <formula>0</formula>
    </cfRule>
  </conditionalFormatting>
  <conditionalFormatting sqref="D33:R33">
    <cfRule type="cellIs" dxfId="6" priority="1" operator="lessThan">
      <formula>0</formula>
    </cfRule>
    <cfRule type="cellIs" dxfId="5" priority="2" operator="greaterThan">
      <formula>0</formula>
    </cfRule>
  </conditionalFormatting>
  <pageMargins left="0.7" right="0.7" top="0.75" bottom="0.75" header="0.3" footer="0.3"/>
  <pageSetup scale="62" orientation="landscape" r:id="rId1"/>
  <ignoredErrors>
    <ignoredError sqref="D17:Q17 D30:Q30"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47457" r:id="rId4" name="Button 1">
              <controlPr defaultSize="0" print="0" autoFill="0" autoPict="0" macro="[0]!EXPORT_ACTIVE_SHEET">
                <anchor moveWithCells="1" sizeWithCells="1">
                  <from>
                    <xdr:col>19</xdr:col>
                    <xdr:colOff>180975</xdr:colOff>
                    <xdr:row>12</xdr:row>
                    <xdr:rowOff>85725</xdr:rowOff>
                  </from>
                  <to>
                    <xdr:col>21</xdr:col>
                    <xdr:colOff>600075</xdr:colOff>
                    <xdr:row>15</xdr:row>
                    <xdr:rowOff>161925</xdr:rowOff>
                  </to>
                </anchor>
              </controlPr>
            </control>
          </mc:Choice>
        </mc:AlternateContent>
        <mc:AlternateContent xmlns:mc="http://schemas.openxmlformats.org/markup-compatibility/2006">
          <mc:Choice Requires="x14">
            <control shapeId="147458" r:id="rId5" name="Button 2">
              <controlPr defaultSize="0" print="0" autoFill="0" autoPict="0" macro="[0]!Back_to_Dashboard">
                <anchor moveWithCells="1" sizeWithCells="1">
                  <from>
                    <xdr:col>19</xdr:col>
                    <xdr:colOff>180975</xdr:colOff>
                    <xdr:row>17</xdr:row>
                    <xdr:rowOff>142875</xdr:rowOff>
                  </from>
                  <to>
                    <xdr:col>21</xdr:col>
                    <xdr:colOff>600075</xdr:colOff>
                    <xdr:row>19</xdr:row>
                    <xdr:rowOff>352425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DPR!$C$9:$C$1109</xm:f>
          </x14:formula1>
          <xm:sqref>I2:I3</xm:sqref>
        </x14:dataValidation>
      </x14:dataValidations>
    </ext>
  </extLst>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tabColor rgb="FF92D050"/>
  </sheetPr>
  <dimension ref="C1:D37"/>
  <sheetViews>
    <sheetView workbookViewId="0"/>
  </sheetViews>
  <sheetFormatPr defaultColWidth="8.85546875" defaultRowHeight="15"/>
  <cols>
    <col min="3" max="3" width="11.7109375" bestFit="1" customWidth="1"/>
    <col min="4" max="4" width="60" customWidth="1"/>
  </cols>
  <sheetData>
    <row r="1" spans="3:4" ht="33.75" customHeight="1">
      <c r="D1" s="451" t="s">
        <v>629</v>
      </c>
    </row>
    <row r="2" spans="3:4" ht="37.5" customHeight="1"/>
    <row r="3" spans="3:4">
      <c r="D3" s="452" t="s">
        <v>627</v>
      </c>
    </row>
    <row r="4" spans="3:4">
      <c r="C4" s="145" t="s">
        <v>104</v>
      </c>
      <c r="D4" s="452" t="s">
        <v>615</v>
      </c>
    </row>
    <row r="5" spans="3:4">
      <c r="C5" s="144" t="s">
        <v>60</v>
      </c>
      <c r="D5" s="453">
        <v>180000</v>
      </c>
    </row>
    <row r="6" spans="3:4">
      <c r="C6" s="144" t="s">
        <v>61</v>
      </c>
      <c r="D6" s="453">
        <v>195000</v>
      </c>
    </row>
    <row r="7" spans="3:4">
      <c r="C7" s="144" t="s">
        <v>62</v>
      </c>
      <c r="D7" s="453">
        <v>3500</v>
      </c>
    </row>
    <row r="8" spans="3:4">
      <c r="C8" s="144" t="s">
        <v>57</v>
      </c>
      <c r="D8" s="453">
        <v>405000</v>
      </c>
    </row>
    <row r="9" spans="3:4">
      <c r="C9" s="144" t="s">
        <v>58</v>
      </c>
      <c r="D9" s="453">
        <v>40000</v>
      </c>
    </row>
    <row r="10" spans="3:4">
      <c r="C10" s="144" t="s">
        <v>59</v>
      </c>
      <c r="D10" s="453">
        <v>3000</v>
      </c>
    </row>
    <row r="11" spans="3:4">
      <c r="C11" s="144" t="s">
        <v>63</v>
      </c>
      <c r="D11" s="453">
        <v>25000</v>
      </c>
    </row>
    <row r="12" spans="3:4">
      <c r="C12" s="144" t="s">
        <v>64</v>
      </c>
      <c r="D12" s="453">
        <v>10000</v>
      </c>
    </row>
    <row r="13" spans="3:4">
      <c r="C13" s="144" t="s">
        <v>65</v>
      </c>
      <c r="D13" s="453">
        <v>2500</v>
      </c>
    </row>
    <row r="14" spans="3:4">
      <c r="C14" s="144" t="s">
        <v>66</v>
      </c>
      <c r="D14" s="453">
        <v>410000</v>
      </c>
    </row>
    <row r="15" spans="3:4">
      <c r="C15" s="144" t="s">
        <v>67</v>
      </c>
      <c r="D15" s="453">
        <v>45000</v>
      </c>
    </row>
    <row r="16" spans="3:4">
      <c r="C16" s="144" t="s">
        <v>68</v>
      </c>
      <c r="D16" s="453">
        <v>7000</v>
      </c>
    </row>
    <row r="17" spans="3:4">
      <c r="C17" s="144" t="s">
        <v>69</v>
      </c>
      <c r="D17" s="453">
        <v>200</v>
      </c>
    </row>
    <row r="18" spans="3:4">
      <c r="C18" s="144" t="s">
        <v>70</v>
      </c>
      <c r="D18" s="453">
        <v>0</v>
      </c>
    </row>
    <row r="19" spans="3:4">
      <c r="D19" s="449">
        <f>reference_points!AT19</f>
        <v>160884.25</v>
      </c>
    </row>
    <row r="20" spans="3:4">
      <c r="D20" s="450"/>
    </row>
    <row r="21" spans="3:4">
      <c r="D21" s="452" t="s">
        <v>628</v>
      </c>
    </row>
    <row r="22" spans="3:4">
      <c r="C22" s="145" t="s">
        <v>105</v>
      </c>
      <c r="D22" s="452" t="s">
        <v>615</v>
      </c>
    </row>
    <row r="23" spans="3:4">
      <c r="C23" s="144" t="s">
        <v>60</v>
      </c>
      <c r="D23" s="453">
        <v>9</v>
      </c>
    </row>
    <row r="24" spans="3:4">
      <c r="C24" s="144" t="s">
        <v>61</v>
      </c>
      <c r="D24" s="453">
        <v>14</v>
      </c>
    </row>
    <row r="25" spans="3:4">
      <c r="C25" s="144" t="s">
        <v>62</v>
      </c>
      <c r="D25" s="453">
        <v>0.32</v>
      </c>
    </row>
    <row r="26" spans="3:4">
      <c r="C26" s="144" t="s">
        <v>57</v>
      </c>
      <c r="D26" s="453">
        <v>8</v>
      </c>
    </row>
    <row r="27" spans="3:4">
      <c r="C27" s="144" t="s">
        <v>58</v>
      </c>
      <c r="D27" s="453">
        <v>0.4</v>
      </c>
    </row>
    <row r="28" spans="3:4">
      <c r="C28" s="144" t="s">
        <v>59</v>
      </c>
      <c r="D28" s="453">
        <v>1.2E-2</v>
      </c>
    </row>
    <row r="29" spans="3:4">
      <c r="C29" s="144" t="s">
        <v>63</v>
      </c>
      <c r="D29" s="453">
        <v>5.0000000000000001E-3</v>
      </c>
    </row>
    <row r="30" spans="3:4">
      <c r="C30" s="144" t="s">
        <v>64</v>
      </c>
      <c r="D30" s="453">
        <v>0.18</v>
      </c>
    </row>
    <row r="31" spans="3:4">
      <c r="C31" s="144" t="s">
        <v>65</v>
      </c>
      <c r="D31" s="453">
        <v>0.05</v>
      </c>
    </row>
    <row r="32" spans="3:4">
      <c r="C32" s="144" t="s">
        <v>66</v>
      </c>
      <c r="D32" s="453">
        <v>0</v>
      </c>
    </row>
    <row r="33" spans="3:4">
      <c r="C33" s="144" t="s">
        <v>67</v>
      </c>
      <c r="D33" s="453">
        <v>0</v>
      </c>
    </row>
    <row r="34" spans="3:4">
      <c r="C34" s="144" t="s">
        <v>68</v>
      </c>
      <c r="D34" s="453">
        <v>0</v>
      </c>
    </row>
    <row r="35" spans="3:4">
      <c r="C35" s="144" t="s">
        <v>69</v>
      </c>
      <c r="D35" s="453">
        <v>4.5</v>
      </c>
    </row>
    <row r="36" spans="3:4">
      <c r="C36" s="144" t="s">
        <v>70</v>
      </c>
      <c r="D36" s="453">
        <v>16</v>
      </c>
    </row>
    <row r="37" spans="3:4">
      <c r="D37" s="454">
        <f>reference_points!AT37</f>
        <v>10.847100000000001</v>
      </c>
    </row>
  </sheetData>
  <sheetProtection algorithmName="SHA-512" hashValue="/EDnSwwcFK8a+G37CgoH/jrE+kQeCv7S5hZK7IeMDal/ABt7DC509Qp0eY0Lhvq3ItHaud0daiBybx/9mrE1xQ==" saltValue="GXO3NBkhevs5Yrc8UOB44w==" spinCount="100000" sheet="1" objects="1" scenario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2993" r:id="rId4" name="Button 1">
              <controlPr defaultSize="0" print="0" autoFill="0" autoPict="0" macro="[0]!Standardisedrates_Button1_Click">
                <anchor moveWithCells="1" sizeWithCells="1">
                  <from>
                    <xdr:col>6</xdr:col>
                    <xdr:colOff>561975</xdr:colOff>
                    <xdr:row>4</xdr:row>
                    <xdr:rowOff>104775</xdr:rowOff>
                  </from>
                  <to>
                    <xdr:col>9</xdr:col>
                    <xdr:colOff>561975</xdr:colOff>
                    <xdr:row>8</xdr:row>
                    <xdr:rowOff>28575</xdr:rowOff>
                  </to>
                </anchor>
              </controlPr>
            </control>
          </mc:Choice>
        </mc:AlternateContent>
      </controls>
    </mc:Choice>
  </mc:AlternateConten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tabColor rgb="FF7030A0"/>
  </sheetPr>
  <dimension ref="A3:AU43"/>
  <sheetViews>
    <sheetView workbookViewId="0"/>
  </sheetViews>
  <sheetFormatPr defaultColWidth="8.85546875" defaultRowHeight="15"/>
  <cols>
    <col min="3" max="3" width="9.85546875" bestFit="1" customWidth="1"/>
    <col min="4" max="4" width="11.7109375" bestFit="1" customWidth="1"/>
    <col min="5" max="23" width="11.7109375" customWidth="1"/>
    <col min="24" max="34" width="9.42578125" bestFit="1" customWidth="1"/>
    <col min="35" max="35" width="9.28515625" bestFit="1" customWidth="1"/>
    <col min="36" max="43" width="9.42578125" bestFit="1" customWidth="1"/>
    <col min="44" max="44" width="11" customWidth="1"/>
    <col min="45" max="45" width="14.28515625" bestFit="1" customWidth="1"/>
    <col min="46" max="46" width="17.7109375" bestFit="1" customWidth="1"/>
    <col min="47" max="47" width="15.28515625" bestFit="1" customWidth="1"/>
  </cols>
  <sheetData>
    <row r="3" spans="1:47">
      <c r="AR3" s="246">
        <f>Dashboard!D3</f>
        <v>46265</v>
      </c>
      <c r="AS3" s="246">
        <f>Comparison_between_ref_points!P4</f>
        <v>44902</v>
      </c>
      <c r="AU3" s="246">
        <f>Comparison_between_ref_points!P5</f>
        <v>44896</v>
      </c>
    </row>
    <row r="4" spans="1:47">
      <c r="E4" s="184" t="str">
        <f>'Previous year'!D5</f>
        <v>Apr'25</v>
      </c>
      <c r="F4" s="184" t="str">
        <f>'Previous year'!E5</f>
        <v>May'25</v>
      </c>
      <c r="G4" s="184" t="str">
        <f>'Previous year'!F5</f>
        <v>Jun'25</v>
      </c>
      <c r="H4" s="184" t="str">
        <f>'Previous year'!G5</f>
        <v>Q1 25-26</v>
      </c>
      <c r="I4" s="184" t="str">
        <f>'Previous year'!H5</f>
        <v>Jul'25</v>
      </c>
      <c r="J4" s="184" t="str">
        <f>'Previous year'!I5</f>
        <v>Aug'25</v>
      </c>
      <c r="K4" s="184" t="str">
        <f>'Previous year'!J5</f>
        <v>Sep'25</v>
      </c>
      <c r="L4" s="184" t="str">
        <f>'Previous year'!K5</f>
        <v>Q2 25-26</v>
      </c>
      <c r="M4" s="184" t="str">
        <f>'Previous year'!L5</f>
        <v>H1 25-26</v>
      </c>
      <c r="N4" s="184" t="str">
        <f>'Previous year'!M5</f>
        <v>Oct'25</v>
      </c>
      <c r="O4" s="184" t="str">
        <f>'Previous year'!N5</f>
        <v>Nov'25</v>
      </c>
      <c r="P4" s="184" t="str">
        <f>'Previous year'!O5</f>
        <v>Dec'25</v>
      </c>
      <c r="Q4" s="184" t="str">
        <f>'Previous year'!P5</f>
        <v>Q3 25-26</v>
      </c>
      <c r="R4" s="184" t="str">
        <f>'Previous year'!Q5</f>
        <v>9M 25-26</v>
      </c>
      <c r="S4" s="184" t="str">
        <f>'Previous year'!R5</f>
        <v>Jan'26</v>
      </c>
      <c r="T4" s="184" t="str">
        <f>'Previous year'!S5</f>
        <v>Feb'26</v>
      </c>
      <c r="U4" s="184" t="str">
        <f>'Previous year'!T5</f>
        <v>Mar'26</v>
      </c>
      <c r="V4" s="184" t="str">
        <f>'Previous year'!U5</f>
        <v>Q4 25-26</v>
      </c>
      <c r="W4" s="184" t="str">
        <f>'Previous year'!V5</f>
        <v>25-26</v>
      </c>
      <c r="X4" s="144" t="str">
        <f>interFY_transition!J20</f>
        <v>Apr'26</v>
      </c>
      <c r="Y4" s="144" t="str">
        <f>interFY_transition!K20</f>
        <v>May'26</v>
      </c>
      <c r="Z4" s="144" t="str">
        <f>interFY_transition!L20</f>
        <v>June'26</v>
      </c>
      <c r="AA4" s="144" t="str">
        <f>interFY_transition!M20</f>
        <v>July'26</v>
      </c>
      <c r="AB4" s="144" t="str">
        <f>interFY_transition!N20</f>
        <v>Aug'26</v>
      </c>
      <c r="AC4" s="144" t="str">
        <f>interFY_transition!O20</f>
        <v>Sep'26</v>
      </c>
      <c r="AD4" s="144" t="str">
        <f>interFY_transition!P20</f>
        <v>Oct'26</v>
      </c>
      <c r="AE4" s="144" t="str">
        <f>interFY_transition!Q20</f>
        <v>Nov'26</v>
      </c>
      <c r="AF4" s="144" t="str">
        <f>interFY_transition!R20</f>
        <v>Dec'26</v>
      </c>
      <c r="AG4" s="144" t="str">
        <f>interFY_transition!S20</f>
        <v>Jan'27</v>
      </c>
      <c r="AH4" s="144" t="str">
        <f>interFY_transition!T20</f>
        <v>Feb'27</v>
      </c>
      <c r="AI4" s="144" t="str">
        <f>interFY_transition!U20</f>
        <v>Mar'27</v>
      </c>
      <c r="AJ4" s="144" t="str">
        <f>interFY_transition!V20</f>
        <v>Q1 26-27</v>
      </c>
      <c r="AK4" s="144" t="str">
        <f>interFY_transition!W20</f>
        <v>Q2 26-27</v>
      </c>
      <c r="AL4" s="144" t="str">
        <f>interFY_transition!X20</f>
        <v>Q3 26-27</v>
      </c>
      <c r="AM4" s="144" t="str">
        <f>interFY_transition!Y20</f>
        <v>Q4 26-27</v>
      </c>
      <c r="AN4" s="144" t="str">
        <f>interFY_transition!Z20</f>
        <v>H1 26-27</v>
      </c>
      <c r="AO4" s="144" t="str">
        <f>interFY_transition!AA20</f>
        <v>H2 26-27</v>
      </c>
      <c r="AP4" s="144" t="str">
        <f>interFY_transition!AB20</f>
        <v>9M 26-27</v>
      </c>
      <c r="AQ4" s="144" t="str">
        <f>interFY_transition!D20</f>
        <v>2026-27</v>
      </c>
      <c r="AR4" s="144" t="s">
        <v>448</v>
      </c>
      <c r="AS4" s="144" t="s">
        <v>637</v>
      </c>
      <c r="AT4" s="144" t="s">
        <v>615</v>
      </c>
      <c r="AU4" s="144" t="s">
        <v>638</v>
      </c>
    </row>
    <row r="5" spans="1:47">
      <c r="A5">
        <v>7</v>
      </c>
      <c r="C5" s="318">
        <v>0.2</v>
      </c>
      <c r="D5" s="144" t="s">
        <v>60</v>
      </c>
      <c r="E5" s="522">
        <f>'Previous year'!D6</f>
        <v>153256.93333333332</v>
      </c>
      <c r="F5" s="522">
        <f>'Previous year'!E6</f>
        <v>138294.45161290321</v>
      </c>
      <c r="G5" s="522">
        <f>'Previous year'!F6</f>
        <v>133238.93333333332</v>
      </c>
      <c r="H5" s="522">
        <f>'Previous year'!G6</f>
        <v>141560.48351648351</v>
      </c>
      <c r="I5" s="522">
        <f>'Previous year'!H6</f>
        <v>133465.48387096773</v>
      </c>
      <c r="J5" s="522">
        <f>'Previous year'!I6</f>
        <v>31854.806451612902</v>
      </c>
      <c r="K5" s="522">
        <f>'Previous year'!J6</f>
        <v>141057.83333333334</v>
      </c>
      <c r="L5" s="522">
        <f>'Previous year'!K6</f>
        <v>101702.86956521739</v>
      </c>
      <c r="M5" s="522">
        <f>'Previous year'!L6</f>
        <v>121522.77595628415</v>
      </c>
      <c r="N5" s="522">
        <f>'Previous year'!M6</f>
        <v>142110.25806451612</v>
      </c>
      <c r="O5" s="522">
        <f>'Previous year'!N6</f>
        <v>150871.33333333334</v>
      </c>
      <c r="P5" s="522">
        <f>'Previous year'!O6</f>
        <v>152047.96774193548</v>
      </c>
      <c r="Q5" s="522">
        <f>'Previous year'!P6</f>
        <v>148315.70652173914</v>
      </c>
      <c r="R5" s="522">
        <f>'Previous year'!Q6</f>
        <v>130486.2290909091</v>
      </c>
      <c r="S5" s="522">
        <f>'Previous year'!R6</f>
        <v>174168.06451612903</v>
      </c>
      <c r="T5" s="522">
        <f>'Previous year'!S6</f>
        <v>184934.14285714287</v>
      </c>
      <c r="U5" s="522">
        <f>'Previous year'!T6</f>
        <v>0</v>
      </c>
      <c r="V5" s="522">
        <f>'Previous year'!U6</f>
        <v>117526.28888888888</v>
      </c>
      <c r="W5" s="522">
        <f>'Previous year'!V6</f>
        <v>127290.62739726028</v>
      </c>
      <c r="X5" s="518">
        <f>prod_compiled!D6</f>
        <v>189203.96666666667</v>
      </c>
      <c r="Y5" s="518">
        <f>prod_compiled!E6</f>
        <v>184262.29032290322</v>
      </c>
      <c r="Z5" s="518">
        <f>prod_compiled!F6</f>
        <v>169196.10000066666</v>
      </c>
      <c r="AA5" s="518">
        <f>prod_compiled!G6</f>
        <v>187261.55464516129</v>
      </c>
      <c r="AB5" s="518">
        <f>prod_compiled!H6</f>
        <v>183341.16129032258</v>
      </c>
      <c r="AC5" s="518">
        <f>prod_compiled!I6</f>
        <v>0</v>
      </c>
      <c r="AD5" s="518">
        <f>prod_compiled!J6</f>
        <v>0</v>
      </c>
      <c r="AE5" s="518">
        <f>prod_compiled!K6</f>
        <v>0</v>
      </c>
      <c r="AF5" s="518">
        <f>prod_compiled!L6</f>
        <v>0</v>
      </c>
      <c r="AG5" s="518">
        <f>prod_compiled!M6</f>
        <v>0</v>
      </c>
      <c r="AH5" s="518">
        <f>prod_compiled!N6</f>
        <v>0</v>
      </c>
      <c r="AI5" s="518">
        <f>prod_compiled!O6</f>
        <v>0</v>
      </c>
      <c r="AJ5" s="518">
        <f>prod_compiled!R6</f>
        <v>180924.53846186813</v>
      </c>
      <c r="AK5" s="518">
        <f ca="1">prod_compiled!S6</f>
        <v>0</v>
      </c>
      <c r="AL5" s="518">
        <f>prod_compiled!T6</f>
        <v>0</v>
      </c>
      <c r="AM5" s="518">
        <f>prod_compiled!U6</f>
        <v>0</v>
      </c>
      <c r="AN5" s="518">
        <f ca="1">prod_compiled!V6</f>
        <v>0</v>
      </c>
      <c r="AO5" s="518">
        <f>prod_compiled!W6</f>
        <v>0</v>
      </c>
      <c r="AP5" s="518">
        <f ca="1">prod_compiled!X6</f>
        <v>0</v>
      </c>
      <c r="AQ5" s="518">
        <f ca="1">prod_compiled!Y6</f>
        <v>0</v>
      </c>
      <c r="AR5" s="448">
        <f>VLOOKUP($AR$3,DPR!$C$9:$AG$5110,reference_points!$A5,FALSE)</f>
        <v>199390</v>
      </c>
      <c r="AS5" s="448" t="e">
        <f>VLOOKUP($AS$3,DPR!$C$9:$AG$1109,reference_points!$A5,FALSE)</f>
        <v>#N/A</v>
      </c>
      <c r="AT5" s="184">
        <f>'Standardised rates'!D5</f>
        <v>180000</v>
      </c>
      <c r="AU5" s="448" t="e">
        <f>VLOOKUP($AU$3,DPR!$C$9:$AG$1109,reference_points!$A5,FALSE)</f>
        <v>#N/A</v>
      </c>
    </row>
    <row r="6" spans="1:47">
      <c r="A6">
        <v>8</v>
      </c>
      <c r="C6" s="318">
        <v>0.26</v>
      </c>
      <c r="D6" s="144" t="s">
        <v>61</v>
      </c>
      <c r="E6" s="522">
        <f>'Previous year'!D7</f>
        <v>169628.7</v>
      </c>
      <c r="F6" s="522">
        <f>'Previous year'!E7</f>
        <v>168812.77419354839</v>
      </c>
      <c r="G6" s="522">
        <f>'Previous year'!F7</f>
        <v>168850.03333333333</v>
      </c>
      <c r="H6" s="522">
        <f>'Previous year'!G7</f>
        <v>169094.04395604396</v>
      </c>
      <c r="I6" s="522">
        <f>'Previous year'!H7</f>
        <v>166841.80645161291</v>
      </c>
      <c r="J6" s="522">
        <f>'Previous year'!I7</f>
        <v>165807.67741935485</v>
      </c>
      <c r="K6" s="522">
        <f>'Previous year'!J7</f>
        <v>165987.66666666666</v>
      </c>
      <c r="L6" s="522">
        <f>'Previous year'!K7</f>
        <v>166214.82608695651</v>
      </c>
      <c r="M6" s="522">
        <f>'Previous year'!L7</f>
        <v>167646.56830601091</v>
      </c>
      <c r="N6" s="522">
        <f>'Previous year'!M7</f>
        <v>165006.4193548387</v>
      </c>
      <c r="O6" s="522">
        <f>'Previous year'!N7</f>
        <v>163985.06666666668</v>
      </c>
      <c r="P6" s="522">
        <f>'Previous year'!O7</f>
        <v>161157.12903225806</v>
      </c>
      <c r="Q6" s="522">
        <f>'Previous year'!P7</f>
        <v>163376.32608695651</v>
      </c>
      <c r="R6" s="522">
        <f>'Previous year'!Q7</f>
        <v>166217.97818181818</v>
      </c>
      <c r="S6" s="522">
        <f>'Previous year'!R7</f>
        <v>157926.83870967742</v>
      </c>
      <c r="T6" s="522">
        <f>'Previous year'!S7</f>
        <v>162113.60714285713</v>
      </c>
      <c r="U6" s="522">
        <f>'Previous year'!T7</f>
        <v>0</v>
      </c>
      <c r="V6" s="522">
        <f>'Previous year'!U7</f>
        <v>104832.36666666667</v>
      </c>
      <c r="W6" s="522">
        <f>'Previous year'!V7</f>
        <v>151081.79999999999</v>
      </c>
      <c r="X6" s="518">
        <f>prod_compiled!D7</f>
        <v>155673.12433366667</v>
      </c>
      <c r="Y6" s="518">
        <f>prod_compiled!E7</f>
        <v>155546.70022645159</v>
      </c>
      <c r="Z6" s="518">
        <f>prod_compiled!F7</f>
        <v>155214.86819966664</v>
      </c>
      <c r="AA6" s="518">
        <f>prod_compiled!G7</f>
        <v>156314.0740648387</v>
      </c>
      <c r="AB6" s="518">
        <f>prod_compiled!H7</f>
        <v>156578.38709677418</v>
      </c>
      <c r="AC6" s="518">
        <f>prod_compiled!I7</f>
        <v>0</v>
      </c>
      <c r="AD6" s="518">
        <f>prod_compiled!J7</f>
        <v>0</v>
      </c>
      <c r="AE6" s="518">
        <f>prod_compiled!K7</f>
        <v>0</v>
      </c>
      <c r="AF6" s="518">
        <f>prod_compiled!L7</f>
        <v>0</v>
      </c>
      <c r="AG6" s="518">
        <f>prod_compiled!M7</f>
        <v>0</v>
      </c>
      <c r="AH6" s="518">
        <f>prod_compiled!N7</f>
        <v>0</v>
      </c>
      <c r="AI6" s="518">
        <f>prod_compiled!O7</f>
        <v>0</v>
      </c>
      <c r="AJ6" s="518">
        <f>prod_compiled!R7</f>
        <v>155478.98332989009</v>
      </c>
      <c r="AK6" s="518">
        <f ca="1">prod_compiled!S7</f>
        <v>0</v>
      </c>
      <c r="AL6" s="518">
        <f>prod_compiled!T7</f>
        <v>0</v>
      </c>
      <c r="AM6" s="518">
        <f>prod_compiled!U7</f>
        <v>0</v>
      </c>
      <c r="AN6" s="518">
        <f ca="1">prod_compiled!V7</f>
        <v>0</v>
      </c>
      <c r="AO6" s="518">
        <f>prod_compiled!W7</f>
        <v>0</v>
      </c>
      <c r="AP6" s="518">
        <f ca="1">prod_compiled!X7</f>
        <v>0</v>
      </c>
      <c r="AQ6" s="518">
        <f ca="1">prod_compiled!Y7</f>
        <v>0</v>
      </c>
      <c r="AR6" s="448">
        <f>VLOOKUP($AR$3,DPR!$C$9:$AG$5110,reference_points!$A6,FALSE)</f>
        <v>156705</v>
      </c>
      <c r="AS6" s="448" t="e">
        <f>VLOOKUP($AS$3,DPR!$C$9:$AG$1109,reference_points!$A6,FALSE)</f>
        <v>#N/A</v>
      </c>
      <c r="AT6" s="184">
        <f>'Standardised rates'!D6</f>
        <v>195000</v>
      </c>
      <c r="AU6" s="448" t="e">
        <f>VLOOKUP($AU$3,DPR!$C$9:$AG$1109,reference_points!$A6,FALSE)</f>
        <v>#N/A</v>
      </c>
    </row>
    <row r="7" spans="1:47">
      <c r="A7">
        <v>6</v>
      </c>
      <c r="C7" s="318">
        <v>1</v>
      </c>
      <c r="D7" s="144" t="s">
        <v>62</v>
      </c>
      <c r="E7" s="522">
        <f>'Previous year'!D8</f>
        <v>2067.0333333333333</v>
      </c>
      <c r="F7" s="522">
        <f>'Previous year'!E8</f>
        <v>2143.2258064516127</v>
      </c>
      <c r="G7" s="522">
        <f>'Previous year'!F8</f>
        <v>2071.2333333333331</v>
      </c>
      <c r="H7" s="522">
        <f>'Previous year'!G8</f>
        <v>2094.3736263736264</v>
      </c>
      <c r="I7" s="522">
        <f>'Previous year'!H8</f>
        <v>2050.5483870967741</v>
      </c>
      <c r="J7" s="522">
        <f>'Previous year'!I8</f>
        <v>2086.1290322580644</v>
      </c>
      <c r="K7" s="522">
        <f>'Previous year'!J8</f>
        <v>2161.8666666666668</v>
      </c>
      <c r="L7" s="522">
        <f>'Previous year'!K8</f>
        <v>2098.836956521739</v>
      </c>
      <c r="M7" s="522">
        <f>'Previous year'!L8</f>
        <v>2096.6174863387978</v>
      </c>
      <c r="N7" s="522">
        <f>'Previous year'!M8</f>
        <v>2440.6129032258063</v>
      </c>
      <c r="O7" s="522">
        <f>'Previous year'!N8</f>
        <v>2386.5333333333333</v>
      </c>
      <c r="P7" s="522">
        <f>'Previous year'!O8</f>
        <v>2263.3225806451615</v>
      </c>
      <c r="Q7" s="522">
        <f>'Previous year'!P8</f>
        <v>2363.2391304347825</v>
      </c>
      <c r="R7" s="522">
        <f>'Previous year'!Q8</f>
        <v>2185.8145454545456</v>
      </c>
      <c r="S7" s="522">
        <f>'Previous year'!R8</f>
        <v>2181.7419354838707</v>
      </c>
      <c r="T7" s="522">
        <f>'Previous year'!S8</f>
        <v>2115.7142857142858</v>
      </c>
      <c r="U7" s="522">
        <f>'Previous year'!T8</f>
        <v>0</v>
      </c>
      <c r="V7" s="522">
        <f>'Previous year'!U8</f>
        <v>1409.7111111111112</v>
      </c>
      <c r="W7" s="522">
        <f>'Previous year'!V8</f>
        <v>1994.4465753424658</v>
      </c>
      <c r="X7" s="518">
        <f>prod_compiled!D8</f>
        <v>1967.1666666666667</v>
      </c>
      <c r="Y7" s="518">
        <f>prod_compiled!E8</f>
        <v>1868.8709658064517</v>
      </c>
      <c r="Z7" s="518">
        <f>prod_compiled!F8</f>
        <v>1976.7666666666667</v>
      </c>
      <c r="AA7" s="518">
        <f>prod_compiled!G8</f>
        <v>1912.9999990322581</v>
      </c>
      <c r="AB7" s="518">
        <f>prod_compiled!H8</f>
        <v>1856.483870967742</v>
      </c>
      <c r="AC7" s="518">
        <f>prod_compiled!I8</f>
        <v>0</v>
      </c>
      <c r="AD7" s="518">
        <f>prod_compiled!J8</f>
        <v>0</v>
      </c>
      <c r="AE7" s="518">
        <f>prod_compiled!K8</f>
        <v>0</v>
      </c>
      <c r="AF7" s="518">
        <f>prod_compiled!L8</f>
        <v>0</v>
      </c>
      <c r="AG7" s="518">
        <f>prod_compiled!M8</f>
        <v>0</v>
      </c>
      <c r="AH7" s="518">
        <f>prod_compiled!N8</f>
        <v>0</v>
      </c>
      <c r="AI7" s="518">
        <f>prod_compiled!O8</f>
        <v>0</v>
      </c>
      <c r="AJ7" s="518">
        <f>prod_compiled!R8</f>
        <v>1936.8461531868134</v>
      </c>
      <c r="AK7" s="518">
        <f ca="1">prod_compiled!S8</f>
        <v>0</v>
      </c>
      <c r="AL7" s="518">
        <f>prod_compiled!T8</f>
        <v>0</v>
      </c>
      <c r="AM7" s="518">
        <f>prod_compiled!U8</f>
        <v>0</v>
      </c>
      <c r="AN7" s="518">
        <f ca="1">prod_compiled!V8</f>
        <v>0</v>
      </c>
      <c r="AO7" s="518">
        <f>prod_compiled!W8</f>
        <v>0</v>
      </c>
      <c r="AP7" s="518">
        <f ca="1">prod_compiled!X8</f>
        <v>0</v>
      </c>
      <c r="AQ7" s="518">
        <f ca="1">prod_compiled!Y8</f>
        <v>0</v>
      </c>
      <c r="AR7" s="448">
        <f>VLOOKUP($AR$3,DPR!$C$9:$AG$5110,reference_points!$A7,FALSE)</f>
        <v>1836</v>
      </c>
      <c r="AS7" s="448" t="e">
        <f>VLOOKUP($AS$3,DPR!$C$9:$AG$1109,reference_points!$A7,FALSE)</f>
        <v>#N/A</v>
      </c>
      <c r="AT7" s="184">
        <f>'Standardised rates'!D7</f>
        <v>3500</v>
      </c>
      <c r="AU7" s="448" t="e">
        <f>VLOOKUP($AU$3,DPR!$C$9:$AG$1109,reference_points!$A7,FALSE)</f>
        <v>#N/A</v>
      </c>
    </row>
    <row r="8" spans="1:47">
      <c r="A8">
        <v>2</v>
      </c>
      <c r="B8" s="754">
        <v>2.9250000000000002E-2</v>
      </c>
      <c r="C8" s="318">
        <v>2.3099999999999999E-2</v>
      </c>
      <c r="D8" s="144" t="s">
        <v>57</v>
      </c>
      <c r="E8" s="522">
        <f>'Previous year'!D9</f>
        <v>325302.40000000002</v>
      </c>
      <c r="F8" s="522">
        <f>'Previous year'!E9</f>
        <v>322067.22580645164</v>
      </c>
      <c r="G8" s="522">
        <f>'Previous year'!F9</f>
        <v>321355.33333333331</v>
      </c>
      <c r="H8" s="522">
        <f>'Previous year'!G9</f>
        <v>322899.07692307694</v>
      </c>
      <c r="I8" s="522">
        <f>'Previous year'!H9</f>
        <v>326927.80645161291</v>
      </c>
      <c r="J8" s="522">
        <f>'Previous year'!I9</f>
        <v>328463.09677419357</v>
      </c>
      <c r="K8" s="522">
        <f>'Previous year'!J9</f>
        <v>331043.5</v>
      </c>
      <c r="L8" s="522">
        <f>'Previous year'!K9</f>
        <v>328787.20652173914</v>
      </c>
      <c r="M8" s="522">
        <f>'Previous year'!L9</f>
        <v>325859.2295081967</v>
      </c>
      <c r="N8" s="522">
        <f>'Previous year'!M9</f>
        <v>337654.67741935485</v>
      </c>
      <c r="O8" s="522">
        <f>'Previous year'!N9</f>
        <v>336508.26666666666</v>
      </c>
      <c r="P8" s="522">
        <f>'Previous year'!O9</f>
        <v>338023.90322580643</v>
      </c>
      <c r="Q8" s="522">
        <f>'Previous year'!P9</f>
        <v>337405.26086956525</v>
      </c>
      <c r="R8" s="522">
        <f>'Previous year'!Q9</f>
        <v>329721.9018181818</v>
      </c>
      <c r="S8" s="522">
        <f>'Previous year'!R9</f>
        <v>319254.51612903224</v>
      </c>
      <c r="T8" s="522">
        <f>'Previous year'!S9</f>
        <v>329916.35714285716</v>
      </c>
      <c r="U8" s="522">
        <f>'Previous year'!T9</f>
        <v>0</v>
      </c>
      <c r="V8" s="522">
        <f>'Previous year'!U9</f>
        <v>212606.08888888889</v>
      </c>
      <c r="W8" s="522">
        <f>'Previous year'!V9</f>
        <v>300844.03013698629</v>
      </c>
      <c r="X8" s="518">
        <f>prod_compiled!D9</f>
        <v>321916.63333333336</v>
      </c>
      <c r="Y8" s="518">
        <f>prod_compiled!E9</f>
        <v>318392.1935480645</v>
      </c>
      <c r="Z8" s="518">
        <f>prod_compiled!F9</f>
        <v>322595.96666833333</v>
      </c>
      <c r="AA8" s="518">
        <f>prod_compiled!G9</f>
        <v>323387.48387387092</v>
      </c>
      <c r="AB8" s="518">
        <f>prod_compiled!H9</f>
        <v>301866.41935483873</v>
      </c>
      <c r="AC8" s="518">
        <f>prod_compiled!I9</f>
        <v>0</v>
      </c>
      <c r="AD8" s="518">
        <f>prod_compiled!J9</f>
        <v>0</v>
      </c>
      <c r="AE8" s="518">
        <f>prod_compiled!K9</f>
        <v>0</v>
      </c>
      <c r="AF8" s="518">
        <f>prod_compiled!L9</f>
        <v>0</v>
      </c>
      <c r="AG8" s="518">
        <f>prod_compiled!M9</f>
        <v>0</v>
      </c>
      <c r="AH8" s="518">
        <f>prod_compiled!N9</f>
        <v>0</v>
      </c>
      <c r="AI8" s="518">
        <f>prod_compiled!O9</f>
        <v>0</v>
      </c>
      <c r="AJ8" s="518">
        <f>prod_compiled!R9</f>
        <v>320939.95604439563</v>
      </c>
      <c r="AK8" s="518">
        <f ca="1">prod_compiled!S9</f>
        <v>0</v>
      </c>
      <c r="AL8" s="518">
        <f>prod_compiled!T9</f>
        <v>0</v>
      </c>
      <c r="AM8" s="518">
        <f>prod_compiled!U9</f>
        <v>0</v>
      </c>
      <c r="AN8" s="518">
        <f ca="1">prod_compiled!V9</f>
        <v>0</v>
      </c>
      <c r="AO8" s="518">
        <f>prod_compiled!W9</f>
        <v>0</v>
      </c>
      <c r="AP8" s="518">
        <f ca="1">prod_compiled!X9</f>
        <v>0</v>
      </c>
      <c r="AQ8" s="518">
        <f ca="1">prod_compiled!Y9</f>
        <v>0</v>
      </c>
      <c r="AR8" s="448">
        <f>VLOOKUP($AR$3,DPR!$C$9:$AG$5110,reference_points!$A8,FALSE)</f>
        <v>330793</v>
      </c>
      <c r="AS8" s="448" t="e">
        <f>VLOOKUP($AS$3,DPR!$C$9:$AG$1109,reference_points!$A8,FALSE)</f>
        <v>#N/A</v>
      </c>
      <c r="AT8" s="184">
        <f>'Standardised rates'!D8</f>
        <v>405000</v>
      </c>
      <c r="AU8" s="448" t="e">
        <f>VLOOKUP($AU$3,DPR!$C$9:$AG$1109,reference_points!$A8,FALSE)</f>
        <v>#N/A</v>
      </c>
    </row>
    <row r="9" spans="1:47">
      <c r="A9">
        <v>3</v>
      </c>
      <c r="C9" s="318">
        <v>0.27</v>
      </c>
      <c r="D9" s="144" t="s">
        <v>58</v>
      </c>
      <c r="E9" s="522">
        <f>'Previous year'!D10</f>
        <v>26396.066666666666</v>
      </c>
      <c r="F9" s="522">
        <f>'Previous year'!E10</f>
        <v>28117.83870967742</v>
      </c>
      <c r="G9" s="522">
        <f>'Previous year'!F10</f>
        <v>30197.033333333333</v>
      </c>
      <c r="H9" s="522">
        <f>'Previous year'!G10</f>
        <v>28235.670329670331</v>
      </c>
      <c r="I9" s="522">
        <f>'Previous year'!H10</f>
        <v>29261.645161290322</v>
      </c>
      <c r="J9" s="522">
        <f>'Previous year'!I10</f>
        <v>29758.870967741936</v>
      </c>
      <c r="K9" s="522">
        <f>'Previous year'!J10</f>
        <v>28479.966666666667</v>
      </c>
      <c r="L9" s="522">
        <f>'Previous year'!K10</f>
        <v>29174.293478260868</v>
      </c>
      <c r="M9" s="522">
        <f>'Previous year'!L10</f>
        <v>28707.546448087433</v>
      </c>
      <c r="N9" s="522">
        <f>'Previous year'!M10</f>
        <v>31224.870967741936</v>
      </c>
      <c r="O9" s="522">
        <f>'Previous year'!N10</f>
        <v>17791.5</v>
      </c>
      <c r="P9" s="522">
        <f>'Previous year'!O10</f>
        <v>0</v>
      </c>
      <c r="Q9" s="522">
        <f>'Previous year'!P10</f>
        <v>16323</v>
      </c>
      <c r="R9" s="522">
        <f>'Previous year'!Q10</f>
        <v>24564.352727272726</v>
      </c>
      <c r="S9" s="522">
        <f>'Previous year'!R10</f>
        <v>4367.1290322580644</v>
      </c>
      <c r="T9" s="522">
        <f>'Previous year'!S10</f>
        <v>28956.357142857141</v>
      </c>
      <c r="U9" s="522">
        <f>'Previous year'!T10</f>
        <v>0</v>
      </c>
      <c r="V9" s="522">
        <f>'Previous year'!U10</f>
        <v>10512.877777777778</v>
      </c>
      <c r="W9" s="522">
        <f>'Previous year'!V10</f>
        <v>21099.605479452053</v>
      </c>
      <c r="X9" s="518">
        <f>prod_compiled!D10</f>
        <v>35545.783334333333</v>
      </c>
      <c r="Y9" s="518">
        <f>prod_compiled!E10</f>
        <v>28023.939678064518</v>
      </c>
      <c r="Z9" s="518">
        <f>prod_compiled!F10</f>
        <v>32279.925667666666</v>
      </c>
      <c r="AA9" s="518">
        <f>prod_compiled!G10</f>
        <v>26900.451613225807</v>
      </c>
      <c r="AB9" s="518">
        <f>prod_compiled!H10</f>
        <v>35350.548387096773</v>
      </c>
      <c r="AC9" s="518">
        <f>prod_compiled!I10</f>
        <v>0</v>
      </c>
      <c r="AD9" s="518">
        <f>prod_compiled!J10</f>
        <v>0</v>
      </c>
      <c r="AE9" s="518">
        <f>prod_compiled!K10</f>
        <v>0</v>
      </c>
      <c r="AF9" s="518">
        <f>prod_compiled!L10</f>
        <v>0</v>
      </c>
      <c r="AG9" s="518">
        <f>prod_compiled!M10</f>
        <v>0</v>
      </c>
      <c r="AH9" s="518">
        <f>prod_compiled!N10</f>
        <v>0</v>
      </c>
      <c r="AI9" s="518">
        <f>prod_compiled!O10</f>
        <v>0</v>
      </c>
      <c r="AJ9" s="518">
        <f>prod_compiled!R10</f>
        <v>31906.740660219781</v>
      </c>
      <c r="AK9" s="518">
        <f ca="1">prod_compiled!S10</f>
        <v>0</v>
      </c>
      <c r="AL9" s="518">
        <f>prod_compiled!T10</f>
        <v>0</v>
      </c>
      <c r="AM9" s="518">
        <f>prod_compiled!U10</f>
        <v>0</v>
      </c>
      <c r="AN9" s="518">
        <f ca="1">prod_compiled!V10</f>
        <v>0</v>
      </c>
      <c r="AO9" s="518">
        <f>prod_compiled!W10</f>
        <v>0</v>
      </c>
      <c r="AP9" s="518">
        <f ca="1">prod_compiled!X10</f>
        <v>0</v>
      </c>
      <c r="AQ9" s="518">
        <f ca="1">prod_compiled!Y10</f>
        <v>0</v>
      </c>
      <c r="AR9" s="448">
        <f>VLOOKUP($AR$3,DPR!$C$9:$AG$5110,reference_points!$A9,FALSE)</f>
        <v>37478</v>
      </c>
      <c r="AS9" s="448" t="e">
        <f>VLOOKUP($AS$3,DPR!$C$9:$AG$1109,reference_points!$A9,FALSE)</f>
        <v>#N/A</v>
      </c>
      <c r="AT9" s="184">
        <f>'Standardised rates'!D9</f>
        <v>40000</v>
      </c>
      <c r="AU9" s="448" t="e">
        <f>VLOOKUP($AU$3,DPR!$C$9:$AG$1109,reference_points!$A9,FALSE)</f>
        <v>#N/A</v>
      </c>
    </row>
    <row r="10" spans="1:47">
      <c r="A10">
        <v>5</v>
      </c>
      <c r="C10" s="319">
        <v>0.5</v>
      </c>
      <c r="D10" s="144" t="s">
        <v>59</v>
      </c>
      <c r="E10" s="522">
        <f>'Previous year'!D11</f>
        <v>4930.0666666666666</v>
      </c>
      <c r="F10" s="522">
        <f>'Previous year'!E11</f>
        <v>4752.7419354838712</v>
      </c>
      <c r="G10" s="522">
        <f>'Previous year'!F11</f>
        <v>4544.666666666667</v>
      </c>
      <c r="H10" s="522">
        <f>'Previous year'!G11</f>
        <v>4742.6043956043959</v>
      </c>
      <c r="I10" s="522">
        <f>'Previous year'!H11</f>
        <v>4657.5806451612907</v>
      </c>
      <c r="J10" s="522">
        <f>'Previous year'!I11</f>
        <v>4993.2580645161288</v>
      </c>
      <c r="K10" s="522">
        <f>'Previous year'!J11</f>
        <v>5141.166666666667</v>
      </c>
      <c r="L10" s="522">
        <f>'Previous year'!K11</f>
        <v>4928.380434782609</v>
      </c>
      <c r="M10" s="522">
        <f>'Previous year'!L11</f>
        <v>4836</v>
      </c>
      <c r="N10" s="522">
        <f>'Previous year'!M11</f>
        <v>5161.322580645161</v>
      </c>
      <c r="O10" s="522">
        <f>'Previous year'!N11</f>
        <v>5223.9333333333334</v>
      </c>
      <c r="P10" s="522">
        <f>'Previous year'!O11</f>
        <v>4925.4838709677415</v>
      </c>
      <c r="Q10" s="522">
        <f>'Previous year'!P11</f>
        <v>5102.271739130435</v>
      </c>
      <c r="R10" s="522">
        <f>'Previous year'!Q11</f>
        <v>4925.08</v>
      </c>
      <c r="S10" s="522">
        <f>'Previous year'!R11</f>
        <v>4594.3548387096771</v>
      </c>
      <c r="T10" s="522">
        <f>'Previous year'!S11</f>
        <v>4692.3214285714284</v>
      </c>
      <c r="U10" s="522">
        <f>'Previous year'!T11</f>
        <v>0</v>
      </c>
      <c r="V10" s="522">
        <f>'Previous year'!U11</f>
        <v>3042.3333333333335</v>
      </c>
      <c r="W10" s="522">
        <f>'Previous year'!V11</f>
        <v>4460.8410958904105</v>
      </c>
      <c r="X10" s="518">
        <f>prod_compiled!D11</f>
        <v>4482.5666663333341</v>
      </c>
      <c r="Y10" s="518">
        <f>prod_compiled!E11</f>
        <v>4449.7741938709678</v>
      </c>
      <c r="Z10" s="518">
        <f>prod_compiled!F11</f>
        <v>4795.3</v>
      </c>
      <c r="AA10" s="518">
        <f>prod_compiled!G11</f>
        <v>4872.4838709677415</v>
      </c>
      <c r="AB10" s="518">
        <f>prod_compiled!H11</f>
        <v>4976.8387096774195</v>
      </c>
      <c r="AC10" s="518">
        <f>prod_compiled!I11</f>
        <v>0</v>
      </c>
      <c r="AD10" s="518">
        <f>prod_compiled!J11</f>
        <v>0</v>
      </c>
      <c r="AE10" s="518">
        <f>prod_compiled!K11</f>
        <v>0</v>
      </c>
      <c r="AF10" s="518">
        <f>prod_compiled!L11</f>
        <v>0</v>
      </c>
      <c r="AG10" s="518">
        <f>prod_compiled!M11</f>
        <v>0</v>
      </c>
      <c r="AH10" s="518">
        <f>prod_compiled!N11</f>
        <v>0</v>
      </c>
      <c r="AI10" s="518">
        <f>prod_compiled!O11</f>
        <v>0</v>
      </c>
      <c r="AJ10" s="518">
        <f>prod_compiled!R11</f>
        <v>4574.4945054945056</v>
      </c>
      <c r="AK10" s="518">
        <f ca="1">prod_compiled!S11</f>
        <v>0</v>
      </c>
      <c r="AL10" s="518">
        <f>prod_compiled!T11</f>
        <v>0</v>
      </c>
      <c r="AM10" s="518">
        <f>prod_compiled!U11</f>
        <v>0</v>
      </c>
      <c r="AN10" s="518">
        <f ca="1">prod_compiled!V11</f>
        <v>0</v>
      </c>
      <c r="AO10" s="518">
        <f>prod_compiled!W11</f>
        <v>0</v>
      </c>
      <c r="AP10" s="518">
        <f ca="1">prod_compiled!X11</f>
        <v>0</v>
      </c>
      <c r="AQ10" s="518">
        <f ca="1">prod_compiled!Y11</f>
        <v>0</v>
      </c>
      <c r="AR10" s="448">
        <f>VLOOKUP($AR$3,DPR!$C$9:$AG$5110,reference_points!$A10,FALSE)</f>
        <v>5137</v>
      </c>
      <c r="AS10" s="448" t="e">
        <f>VLOOKUP($AS$3,DPR!$C$9:$AG$1109,reference_points!$A10,FALSE)</f>
        <v>#N/A</v>
      </c>
      <c r="AT10" s="184">
        <f>'Standardised rates'!D10</f>
        <v>3000</v>
      </c>
      <c r="AU10" s="448" t="e">
        <f>VLOOKUP($AU$3,DPR!$C$9:$AG$1109,reference_points!$A10,FALSE)</f>
        <v>#N/A</v>
      </c>
    </row>
    <row r="11" spans="1:47">
      <c r="A11">
        <v>4</v>
      </c>
      <c r="C11" s="318">
        <v>0.7</v>
      </c>
      <c r="D11" s="144" t="s">
        <v>63</v>
      </c>
      <c r="E11" s="522">
        <f>'Previous year'!D12</f>
        <v>24918.766666666666</v>
      </c>
      <c r="F11" s="522">
        <f>'Previous year'!E12</f>
        <v>19691.354838709678</v>
      </c>
      <c r="G11" s="522">
        <f>'Previous year'!F12</f>
        <v>16410.033333333333</v>
      </c>
      <c r="H11" s="522">
        <f>'Previous year'!G12</f>
        <v>20332.923076923078</v>
      </c>
      <c r="I11" s="522">
        <f>'Previous year'!H12</f>
        <v>23712.290322580644</v>
      </c>
      <c r="J11" s="522">
        <f>'Previous year'!I12</f>
        <v>23713.419354838708</v>
      </c>
      <c r="K11" s="522">
        <f>'Previous year'!J12</f>
        <v>23297.666666666668</v>
      </c>
      <c r="L11" s="522">
        <f>'Previous year'!K12</f>
        <v>23577.467391304348</v>
      </c>
      <c r="M11" s="522">
        <f>'Previous year'!L12</f>
        <v>21964.060109289618</v>
      </c>
      <c r="N11" s="522">
        <f>'Previous year'!M12</f>
        <v>20466.516129032258</v>
      </c>
      <c r="O11" s="522">
        <f>'Previous year'!N12</f>
        <v>18590.400000000001</v>
      </c>
      <c r="P11" s="522">
        <f>'Previous year'!O12</f>
        <v>22419.709677419356</v>
      </c>
      <c r="Q11" s="522">
        <f>'Previous year'!P12</f>
        <v>20512.880434782608</v>
      </c>
      <c r="R11" s="522">
        <f>'Previous year'!Q12</f>
        <v>21478.574545454547</v>
      </c>
      <c r="S11" s="522">
        <f>'Previous year'!R12</f>
        <v>22054.354838709678</v>
      </c>
      <c r="T11" s="522">
        <f>'Previous year'!S12</f>
        <v>15968.178571428571</v>
      </c>
      <c r="U11" s="522">
        <f>'Previous year'!T12</f>
        <v>0</v>
      </c>
      <c r="V11" s="522">
        <f>'Previous year'!U12</f>
        <v>12564.377777777778</v>
      </c>
      <c r="W11" s="522">
        <f>'Previous year'!V12</f>
        <v>19280.553424657533</v>
      </c>
      <c r="X11" s="518">
        <f>prod_compiled!D12</f>
        <v>18270.500001</v>
      </c>
      <c r="Y11" s="518">
        <f>prod_compiled!E12</f>
        <v>21726.806451612902</v>
      </c>
      <c r="Z11" s="518">
        <f>prod_compiled!F12</f>
        <v>21278.499999</v>
      </c>
      <c r="AA11" s="518">
        <f>prod_compiled!G12</f>
        <v>20944.51612967742</v>
      </c>
      <c r="AB11" s="518">
        <f>prod_compiled!H12</f>
        <v>21588.691290322582</v>
      </c>
      <c r="AC11" s="518">
        <f>prod_compiled!I12</f>
        <v>0</v>
      </c>
      <c r="AD11" s="518">
        <f>prod_compiled!J12</f>
        <v>0</v>
      </c>
      <c r="AE11" s="518">
        <f>prod_compiled!K12</f>
        <v>0</v>
      </c>
      <c r="AF11" s="518">
        <f>prod_compiled!L12</f>
        <v>0</v>
      </c>
      <c r="AG11" s="518">
        <f>prod_compiled!M12</f>
        <v>0</v>
      </c>
      <c r="AH11" s="518">
        <f>prod_compiled!N12</f>
        <v>0</v>
      </c>
      <c r="AI11" s="518">
        <f>prod_compiled!O12</f>
        <v>0</v>
      </c>
      <c r="AJ11" s="518">
        <f>prod_compiled!R12</f>
        <v>20439.571428571428</v>
      </c>
      <c r="AK11" s="518">
        <f ca="1">prod_compiled!S12</f>
        <v>0</v>
      </c>
      <c r="AL11" s="518">
        <f>prod_compiled!T12</f>
        <v>0</v>
      </c>
      <c r="AM11" s="518">
        <f>prod_compiled!U12</f>
        <v>0</v>
      </c>
      <c r="AN11" s="518">
        <f ca="1">prod_compiled!V12</f>
        <v>0</v>
      </c>
      <c r="AO11" s="518">
        <f>prod_compiled!W12</f>
        <v>0</v>
      </c>
      <c r="AP11" s="518">
        <f ca="1">prod_compiled!X12</f>
        <v>0</v>
      </c>
      <c r="AQ11" s="518">
        <f ca="1">prod_compiled!Y12</f>
        <v>0</v>
      </c>
      <c r="AR11" s="448">
        <f>VLOOKUP($AR$3,DPR!$C$9:$AG$5110,reference_points!$A11,FALSE)</f>
        <v>21883.03</v>
      </c>
      <c r="AS11" s="448" t="e">
        <f>VLOOKUP($AS$3,DPR!$C$9:$AG$1109,reference_points!$A11,FALSE)</f>
        <v>#N/A</v>
      </c>
      <c r="AT11" s="184">
        <f>'Standardised rates'!D11</f>
        <v>25000</v>
      </c>
      <c r="AU11" s="448" t="e">
        <f>VLOOKUP($AU$3,DPR!$C$9:$AG$1109,reference_points!$A11,FALSE)</f>
        <v>#N/A</v>
      </c>
    </row>
    <row r="12" spans="1:47">
      <c r="A12">
        <v>12</v>
      </c>
      <c r="C12" s="318">
        <v>0.11</v>
      </c>
      <c r="D12" s="144" t="s">
        <v>64</v>
      </c>
      <c r="E12" s="522">
        <f>'Previous year'!D13</f>
        <v>7181.6333333333332</v>
      </c>
      <c r="F12" s="522">
        <f>'Previous year'!E13</f>
        <v>7352.1290322580644</v>
      </c>
      <c r="G12" s="522">
        <f>'Previous year'!F13</f>
        <v>6906.8</v>
      </c>
      <c r="H12" s="522">
        <f>'Previous year'!G13</f>
        <v>7149.1098901098903</v>
      </c>
      <c r="I12" s="522">
        <f>'Previous year'!H13</f>
        <v>7389.8709677419356</v>
      </c>
      <c r="J12" s="522">
        <f>'Previous year'!I13</f>
        <v>7440.4516129032254</v>
      </c>
      <c r="K12" s="522">
        <f>'Previous year'!J13</f>
        <v>7281.166666666667</v>
      </c>
      <c r="L12" s="522">
        <f>'Previous year'!K13</f>
        <v>7371.467391304348</v>
      </c>
      <c r="M12" s="522">
        <f>'Previous year'!L13</f>
        <v>7260.8961748633883</v>
      </c>
      <c r="N12" s="522">
        <f>'Previous year'!M13</f>
        <v>6927.3548387096771</v>
      </c>
      <c r="O12" s="522">
        <f>'Previous year'!N13</f>
        <v>7465.1333333333332</v>
      </c>
      <c r="P12" s="522">
        <f>'Previous year'!O13</f>
        <v>6593.8709677419356</v>
      </c>
      <c r="Q12" s="522">
        <f>'Previous year'!P13</f>
        <v>6990.347826086957</v>
      </c>
      <c r="R12" s="522">
        <f>'Previous year'!Q13</f>
        <v>7170.3854545454542</v>
      </c>
      <c r="S12" s="522">
        <f>'Previous year'!R13</f>
        <v>1980.9677419354839</v>
      </c>
      <c r="T12" s="522">
        <f>'Previous year'!S13</f>
        <v>6836.25</v>
      </c>
      <c r="U12" s="522">
        <f>'Previous year'!T13</f>
        <v>0</v>
      </c>
      <c r="V12" s="522">
        <f>'Previous year'!U13</f>
        <v>2809.1666666666665</v>
      </c>
      <c r="W12" s="522">
        <f>'Previous year'!V13</f>
        <v>6095.0164383561641</v>
      </c>
      <c r="X12" s="518">
        <f>prod_compiled!D13</f>
        <v>7023.0999993333335</v>
      </c>
      <c r="Y12" s="518">
        <f>prod_compiled!E13</f>
        <v>6952.0645158064517</v>
      </c>
      <c r="Z12" s="518">
        <f>prod_compiled!F13</f>
        <v>6969.2999993333333</v>
      </c>
      <c r="AA12" s="518">
        <f>prod_compiled!G13</f>
        <v>6954.8064516129034</v>
      </c>
      <c r="AB12" s="518">
        <f>prod_compiled!H13</f>
        <v>6913.4193548387093</v>
      </c>
      <c r="AC12" s="518">
        <f>prod_compiled!I13</f>
        <v>0</v>
      </c>
      <c r="AD12" s="518">
        <f>prod_compiled!J13</f>
        <v>0</v>
      </c>
      <c r="AE12" s="518">
        <f>prod_compiled!K13</f>
        <v>0</v>
      </c>
      <c r="AF12" s="518">
        <f>prod_compiled!L13</f>
        <v>0</v>
      </c>
      <c r="AG12" s="518">
        <f>prod_compiled!M13</f>
        <v>0</v>
      </c>
      <c r="AH12" s="518">
        <f>prod_compiled!N13</f>
        <v>0</v>
      </c>
      <c r="AI12" s="518">
        <f>prod_compiled!O13</f>
        <v>0</v>
      </c>
      <c r="AJ12" s="518">
        <f>prod_compiled!R13</f>
        <v>6981.1648346153843</v>
      </c>
      <c r="AK12" s="518">
        <f ca="1">prod_compiled!S13</f>
        <v>0</v>
      </c>
      <c r="AL12" s="518">
        <f>prod_compiled!T13</f>
        <v>0</v>
      </c>
      <c r="AM12" s="518">
        <f>prod_compiled!U13</f>
        <v>0</v>
      </c>
      <c r="AN12" s="518">
        <f ca="1">prod_compiled!V13</f>
        <v>0</v>
      </c>
      <c r="AO12" s="518">
        <f>prod_compiled!W13</f>
        <v>0</v>
      </c>
      <c r="AP12" s="518">
        <f ca="1">prod_compiled!X13</f>
        <v>0</v>
      </c>
      <c r="AQ12" s="518">
        <f ca="1">prod_compiled!Y13</f>
        <v>0</v>
      </c>
      <c r="AR12" s="448">
        <f>VLOOKUP($AR$3,DPR!$C$9:$AG$5110,reference_points!$A12,FALSE)</f>
        <v>6836</v>
      </c>
      <c r="AS12" s="448" t="e">
        <f>VLOOKUP($AS$3,DPR!$C$9:$AG$1109,reference_points!$A12,FALSE)</f>
        <v>#N/A</v>
      </c>
      <c r="AT12" s="184">
        <f>'Standardised rates'!D12</f>
        <v>10000</v>
      </c>
      <c r="AU12" s="448" t="e">
        <f>VLOOKUP($AU$3,DPR!$C$9:$AG$1109,reference_points!$A12,FALSE)</f>
        <v>#N/A</v>
      </c>
    </row>
    <row r="13" spans="1:47">
      <c r="A13">
        <v>13</v>
      </c>
      <c r="C13" s="318">
        <v>0.4</v>
      </c>
      <c r="D13" s="144" t="s">
        <v>65</v>
      </c>
      <c r="E13" s="522">
        <f>'Previous year'!D14</f>
        <v>4313.2666666666664</v>
      </c>
      <c r="F13" s="522">
        <f>'Previous year'!E14</f>
        <v>4499.677419354839</v>
      </c>
      <c r="G13" s="522">
        <f>'Previous year'!F14</f>
        <v>4673.7666666666664</v>
      </c>
      <c r="H13" s="522">
        <f>'Previous year'!G14</f>
        <v>4495.6153846153848</v>
      </c>
      <c r="I13" s="522">
        <f>'Previous year'!H14</f>
        <v>4907.0967741935483</v>
      </c>
      <c r="J13" s="522">
        <f>'Previous year'!I14</f>
        <v>5076.5161290322585</v>
      </c>
      <c r="K13" s="522">
        <f>'Previous year'!J14</f>
        <v>4821.8</v>
      </c>
      <c r="L13" s="522">
        <f>'Previous year'!K14</f>
        <v>4936.369565217391</v>
      </c>
      <c r="M13" s="522">
        <f>'Previous year'!L14</f>
        <v>4717.1967213114758</v>
      </c>
      <c r="N13" s="522">
        <f>'Previous year'!M14</f>
        <v>4631.3870967741932</v>
      </c>
      <c r="O13" s="522">
        <f>'Previous year'!N14</f>
        <v>4820.833333333333</v>
      </c>
      <c r="P13" s="522">
        <f>'Previous year'!O14</f>
        <v>5067.7096774193551</v>
      </c>
      <c r="Q13" s="522">
        <f>'Previous year'!P14</f>
        <v>4840.184782608696</v>
      </c>
      <c r="R13" s="522">
        <f>'Previous year'!Q14</f>
        <v>4758.3418181818179</v>
      </c>
      <c r="S13" s="522">
        <f>'Previous year'!R14</f>
        <v>2081.1290322580644</v>
      </c>
      <c r="T13" s="522">
        <f>'Previous year'!S14</f>
        <v>1985.75</v>
      </c>
      <c r="U13" s="522">
        <f>'Previous year'!T14</f>
        <v>0</v>
      </c>
      <c r="V13" s="522">
        <f>'Previous year'!U14</f>
        <v>1334.6222222222223</v>
      </c>
      <c r="W13" s="522">
        <f>'Previous year'!V14</f>
        <v>3914.1369863013697</v>
      </c>
      <c r="X13" s="518">
        <f>prod_compiled!D14</f>
        <v>4330.0000003333334</v>
      </c>
      <c r="Y13" s="518">
        <f>prod_compiled!E14</f>
        <v>5385.1612909677424</v>
      </c>
      <c r="Z13" s="518">
        <f>prod_compiled!F14</f>
        <v>5641.1333330000007</v>
      </c>
      <c r="AA13" s="518">
        <f>prod_compiled!G14</f>
        <v>5701.3870974193551</v>
      </c>
      <c r="AB13" s="518">
        <f>prod_compiled!H14</f>
        <v>5707.7419354838712</v>
      </c>
      <c r="AC13" s="518">
        <f>prod_compiled!I14</f>
        <v>0</v>
      </c>
      <c r="AD13" s="518">
        <f>prod_compiled!J14</f>
        <v>0</v>
      </c>
      <c r="AE13" s="518">
        <f>prod_compiled!K14</f>
        <v>0</v>
      </c>
      <c r="AF13" s="518">
        <f>prod_compiled!L14</f>
        <v>0</v>
      </c>
      <c r="AG13" s="518">
        <f>prod_compiled!M14</f>
        <v>0</v>
      </c>
      <c r="AH13" s="518">
        <f>prod_compiled!N14</f>
        <v>0</v>
      </c>
      <c r="AI13" s="518">
        <f>prod_compiled!O14</f>
        <v>0</v>
      </c>
      <c r="AJ13" s="518">
        <f>prod_compiled!R14</f>
        <v>5121.6923079120879</v>
      </c>
      <c r="AK13" s="518">
        <f ca="1">prod_compiled!S14</f>
        <v>0</v>
      </c>
      <c r="AL13" s="518">
        <f>prod_compiled!T14</f>
        <v>0</v>
      </c>
      <c r="AM13" s="518">
        <f>prod_compiled!U14</f>
        <v>0</v>
      </c>
      <c r="AN13" s="518">
        <f ca="1">prod_compiled!V14</f>
        <v>0</v>
      </c>
      <c r="AO13" s="518">
        <f>prod_compiled!W14</f>
        <v>0</v>
      </c>
      <c r="AP13" s="518">
        <f ca="1">prod_compiled!X14</f>
        <v>0</v>
      </c>
      <c r="AQ13" s="518">
        <f ca="1">prod_compiled!Y14</f>
        <v>0</v>
      </c>
      <c r="AR13" s="448">
        <f>VLOOKUP($AR$3,DPR!$C$9:$AG$5110,reference_points!$A13,FALSE)</f>
        <v>5899</v>
      </c>
      <c r="AS13" s="448" t="e">
        <f>VLOOKUP($AS$3,DPR!$C$9:$AG$1109,reference_points!$A13,FALSE)</f>
        <v>#N/A</v>
      </c>
      <c r="AT13" s="184">
        <f>'Standardised rates'!D13</f>
        <v>2500</v>
      </c>
      <c r="AU13" s="448" t="e">
        <f>VLOOKUP($AU$3,DPR!$C$9:$AG$1109,reference_points!$A13,FALSE)</f>
        <v>#N/A</v>
      </c>
    </row>
    <row r="14" spans="1:47">
      <c r="A14">
        <v>11</v>
      </c>
      <c r="C14" s="318">
        <v>0.04</v>
      </c>
      <c r="D14" s="144" t="s">
        <v>66</v>
      </c>
      <c r="E14" s="522">
        <f>'Previous year'!D15</f>
        <v>322098.56666666665</v>
      </c>
      <c r="F14" s="522">
        <f>'Previous year'!E15</f>
        <v>412203.16129032261</v>
      </c>
      <c r="G14" s="522">
        <f>'Previous year'!F15</f>
        <v>426000</v>
      </c>
      <c r="H14" s="522">
        <f>'Previous year'!G15</f>
        <v>387046.75824175822</v>
      </c>
      <c r="I14" s="522">
        <f>'Previous year'!H15</f>
        <v>422958.51612903224</v>
      </c>
      <c r="J14" s="522">
        <f>'Previous year'!I15</f>
        <v>433831.32258064515</v>
      </c>
      <c r="K14" s="522">
        <f>'Previous year'!J15</f>
        <v>425918.5</v>
      </c>
      <c r="L14" s="522">
        <f>'Previous year'!K15</f>
        <v>427587.39130434784</v>
      </c>
      <c r="M14" s="522">
        <f>'Previous year'!L15</f>
        <v>407427.84153005463</v>
      </c>
      <c r="N14" s="522">
        <f>'Previous year'!M15</f>
        <v>425422</v>
      </c>
      <c r="O14" s="522">
        <f>'Previous year'!N15</f>
        <v>427634.66666666669</v>
      </c>
      <c r="P14" s="522">
        <f>'Previous year'!O15</f>
        <v>402175.32258064515</v>
      </c>
      <c r="Q14" s="522">
        <f>'Previous year'!P15</f>
        <v>418310.40217391303</v>
      </c>
      <c r="R14" s="522">
        <f>'Previous year'!Q15</f>
        <v>411068.55272727273</v>
      </c>
      <c r="S14" s="522">
        <f>'Previous year'!R15</f>
        <v>445858.41935483873</v>
      </c>
      <c r="T14" s="522">
        <f>'Previous year'!S15</f>
        <v>443148.10714285716</v>
      </c>
      <c r="U14" s="522">
        <f>'Previous year'!T15</f>
        <v>0</v>
      </c>
      <c r="V14" s="522">
        <f>'Previous year'!U15</f>
        <v>291441.75555555557</v>
      </c>
      <c r="W14" s="522">
        <f>'Previous year'!V15</f>
        <v>381571.53424657532</v>
      </c>
      <c r="X14" s="518">
        <f>prod_compiled!D15</f>
        <v>240539.03333333333</v>
      </c>
      <c r="Y14" s="518">
        <f>prod_compiled!E15</f>
        <v>270012.38709645165</v>
      </c>
      <c r="Z14" s="518">
        <f>prod_compiled!F15</f>
        <v>426928.96666666667</v>
      </c>
      <c r="AA14" s="518">
        <f>prod_compiled!G15</f>
        <v>330226.16128967743</v>
      </c>
      <c r="AB14" s="518">
        <f>prod_compiled!H15</f>
        <v>431155</v>
      </c>
      <c r="AC14" s="518">
        <f>prod_compiled!I15</f>
        <v>0</v>
      </c>
      <c r="AD14" s="518">
        <f>prod_compiled!J15</f>
        <v>0</v>
      </c>
      <c r="AE14" s="518">
        <f>prod_compiled!K15</f>
        <v>0</v>
      </c>
      <c r="AF14" s="518">
        <f>prod_compiled!L15</f>
        <v>0</v>
      </c>
      <c r="AG14" s="518">
        <f>prod_compiled!M15</f>
        <v>0</v>
      </c>
      <c r="AH14" s="518">
        <f>prod_compiled!N15</f>
        <v>0</v>
      </c>
      <c r="AI14" s="518">
        <f>prod_compiled!O15</f>
        <v>0</v>
      </c>
      <c r="AJ14" s="518">
        <f>prod_compiled!R15</f>
        <v>312026.63736252749</v>
      </c>
      <c r="AK14" s="518">
        <f ca="1">prod_compiled!S15</f>
        <v>0</v>
      </c>
      <c r="AL14" s="518">
        <f>prod_compiled!T15</f>
        <v>0</v>
      </c>
      <c r="AM14" s="518">
        <f>prod_compiled!U15</f>
        <v>0</v>
      </c>
      <c r="AN14" s="518">
        <f ca="1">prod_compiled!V15</f>
        <v>0</v>
      </c>
      <c r="AO14" s="518">
        <f>prod_compiled!W15</f>
        <v>0</v>
      </c>
      <c r="AP14" s="518">
        <f ca="1">prod_compiled!X15</f>
        <v>0</v>
      </c>
      <c r="AQ14" s="518">
        <f ca="1">prod_compiled!Y15</f>
        <v>0</v>
      </c>
      <c r="AR14" s="448">
        <f>VLOOKUP($AR$3,DPR!$C$9:$AG$5110,reference_points!$A14,FALSE)</f>
        <v>431948</v>
      </c>
      <c r="AS14" s="448" t="e">
        <f>VLOOKUP($AS$3,DPR!$C$9:$AG$1109,reference_points!$A14,FALSE)</f>
        <v>#N/A</v>
      </c>
      <c r="AT14" s="184">
        <f>'Standardised rates'!D14</f>
        <v>410000</v>
      </c>
      <c r="AU14" s="448" t="e">
        <f>VLOOKUP($AU$3,DPR!$C$9:$AG$1109,reference_points!$A14,FALSE)</f>
        <v>#N/A</v>
      </c>
    </row>
    <row r="15" spans="1:47">
      <c r="A15">
        <v>9</v>
      </c>
      <c r="C15" s="318">
        <v>0.25</v>
      </c>
      <c r="D15" s="144" t="s">
        <v>67</v>
      </c>
      <c r="E15" s="522">
        <f>'Previous year'!D16</f>
        <v>48943.366666666669</v>
      </c>
      <c r="F15" s="522">
        <f>'Previous year'!E16</f>
        <v>52185</v>
      </c>
      <c r="G15" s="522">
        <f>'Previous year'!F16</f>
        <v>50723.533333333333</v>
      </c>
      <c r="H15" s="522">
        <f>'Previous year'!G16</f>
        <v>50634.527472527472</v>
      </c>
      <c r="I15" s="522">
        <f>'Previous year'!H16</f>
        <v>48627.06451612903</v>
      </c>
      <c r="J15" s="522">
        <f>'Previous year'!I16</f>
        <v>48381.774193548386</v>
      </c>
      <c r="K15" s="522">
        <f>'Previous year'!J16</f>
        <v>46215.033333333333</v>
      </c>
      <c r="L15" s="522">
        <f>'Previous year'!K16</f>
        <v>47757.880434782608</v>
      </c>
      <c r="M15" s="522">
        <f>'Previous year'!L16</f>
        <v>49188.344262295082</v>
      </c>
      <c r="N15" s="522">
        <f>'Previous year'!M16</f>
        <v>49474.032258064515</v>
      </c>
      <c r="O15" s="522">
        <f>'Previous year'!N16</f>
        <v>39779.23333333333</v>
      </c>
      <c r="P15" s="522">
        <f>'Previous year'!O16</f>
        <v>12211</v>
      </c>
      <c r="Q15" s="522">
        <f>'Previous year'!P16</f>
        <v>33756.663043478264</v>
      </c>
      <c r="R15" s="522">
        <f>'Previous year'!Q16</f>
        <v>44025.745454545453</v>
      </c>
      <c r="S15" s="522">
        <f>'Previous year'!R16</f>
        <v>51153.483870967742</v>
      </c>
      <c r="T15" s="522">
        <f>'Previous year'!S16</f>
        <v>52538.821428571428</v>
      </c>
      <c r="U15" s="522">
        <f>'Previous year'!T16</f>
        <v>0</v>
      </c>
      <c r="V15" s="522">
        <f>'Previous year'!U16</f>
        <v>33964.944444444445</v>
      </c>
      <c r="W15" s="522">
        <f>'Previous year'!V16</f>
        <v>41545</v>
      </c>
      <c r="X15" s="518">
        <f>prod_compiled!D16</f>
        <v>53730.633332999998</v>
      </c>
      <c r="Y15" s="518">
        <f>prod_compiled!E16</f>
        <v>53451.677419032254</v>
      </c>
      <c r="Z15" s="518">
        <f>prod_compiled!F16</f>
        <v>50960.200000999997</v>
      </c>
      <c r="AA15" s="518">
        <f>prod_compiled!G16</f>
        <v>55934.419356129038</v>
      </c>
      <c r="AB15" s="518">
        <f>prod_compiled!H16</f>
        <v>54085.931935483874</v>
      </c>
      <c r="AC15" s="518">
        <f>prod_compiled!I16</f>
        <v>0</v>
      </c>
      <c r="AD15" s="518">
        <f>prod_compiled!J16</f>
        <v>0</v>
      </c>
      <c r="AE15" s="518">
        <f>prod_compiled!K16</f>
        <v>0</v>
      </c>
      <c r="AF15" s="518">
        <f>prod_compiled!L16</f>
        <v>0</v>
      </c>
      <c r="AG15" s="518">
        <f>prod_compiled!M16</f>
        <v>0</v>
      </c>
      <c r="AH15" s="518">
        <f>prod_compiled!N16</f>
        <v>0</v>
      </c>
      <c r="AI15" s="518">
        <f>prod_compiled!O16</f>
        <v>0</v>
      </c>
      <c r="AJ15" s="518">
        <f>prod_compiled!R16</f>
        <v>52722.27472538461</v>
      </c>
      <c r="AK15" s="518">
        <f ca="1">prod_compiled!S16</f>
        <v>0</v>
      </c>
      <c r="AL15" s="518">
        <f>prod_compiled!T16</f>
        <v>0</v>
      </c>
      <c r="AM15" s="518">
        <f>prod_compiled!U16</f>
        <v>0</v>
      </c>
      <c r="AN15" s="518">
        <f ca="1">prod_compiled!V16</f>
        <v>0</v>
      </c>
      <c r="AO15" s="518">
        <f>prod_compiled!W16</f>
        <v>0</v>
      </c>
      <c r="AP15" s="518">
        <f ca="1">prod_compiled!X16</f>
        <v>0</v>
      </c>
      <c r="AQ15" s="518">
        <f ca="1">prod_compiled!Y16</f>
        <v>0</v>
      </c>
      <c r="AR15" s="448">
        <f>VLOOKUP($AR$3,DPR!$C$9:$AG$5110,reference_points!$A15,FALSE)</f>
        <v>52592.26</v>
      </c>
      <c r="AS15" s="448" t="e">
        <f>VLOOKUP($AS$3,DPR!$C$9:$AG$1109,reference_points!$A15,FALSE)</f>
        <v>#N/A</v>
      </c>
      <c r="AT15" s="184">
        <f>'Standardised rates'!D15</f>
        <v>45000</v>
      </c>
      <c r="AU15" s="448" t="e">
        <f>VLOOKUP($AU$3,DPR!$C$9:$AG$1109,reference_points!$A15,FALSE)</f>
        <v>#N/A</v>
      </c>
    </row>
    <row r="16" spans="1:47">
      <c r="A16">
        <v>10</v>
      </c>
      <c r="C16" s="318">
        <v>0.24124999999999999</v>
      </c>
      <c r="D16" s="144" t="s">
        <v>68</v>
      </c>
      <c r="E16" s="522">
        <f>'Previous year'!D17</f>
        <v>10561</v>
      </c>
      <c r="F16" s="522">
        <f>'Previous year'!E17</f>
        <v>10660.451612903225</v>
      </c>
      <c r="G16" s="522">
        <f>'Previous year'!F17</f>
        <v>11767.466666666667</v>
      </c>
      <c r="H16" s="522">
        <f>'Previous year'!G17</f>
        <v>10992.615384615385</v>
      </c>
      <c r="I16" s="522">
        <f>'Previous year'!H17</f>
        <v>11279.290322580646</v>
      </c>
      <c r="J16" s="522">
        <f>'Previous year'!I17</f>
        <v>11865.225806451614</v>
      </c>
      <c r="K16" s="522">
        <f>'Previous year'!J17</f>
        <v>8252.7000000000007</v>
      </c>
      <c r="L16" s="522">
        <f>'Previous year'!K17</f>
        <v>10489.79347826087</v>
      </c>
      <c r="M16" s="522">
        <f>'Previous year'!L17</f>
        <v>10739.830601092895</v>
      </c>
      <c r="N16" s="522">
        <f>'Previous year'!M17</f>
        <v>12756.41935483871</v>
      </c>
      <c r="O16" s="522">
        <f>'Previous year'!N17</f>
        <v>12639.866666666667</v>
      </c>
      <c r="P16" s="522">
        <f>'Previous year'!O17</f>
        <v>3968.5806451612902</v>
      </c>
      <c r="Q16" s="522">
        <f>'Previous year'!P17</f>
        <v>9757.29347826087</v>
      </c>
      <c r="R16" s="522">
        <f>'Previous year'!Q17</f>
        <v>10411.127272727274</v>
      </c>
      <c r="S16" s="522">
        <f>'Previous year'!R17</f>
        <v>9050.0645161290322</v>
      </c>
      <c r="T16" s="522">
        <f>'Previous year'!S17</f>
        <v>12822.928571428571</v>
      </c>
      <c r="U16" s="522">
        <f>'Previous year'!T17</f>
        <v>0</v>
      </c>
      <c r="V16" s="522">
        <f>'Previous year'!U17</f>
        <v>7106.6</v>
      </c>
      <c r="W16" s="522">
        <f>'Previous year'!V17</f>
        <v>9596.3123287671224</v>
      </c>
      <c r="X16" s="518">
        <f>prod_compiled!D17</f>
        <v>13140.733333</v>
      </c>
      <c r="Y16" s="518">
        <f>prod_compiled!E17</f>
        <v>12289.032258387097</v>
      </c>
      <c r="Z16" s="518">
        <f>prod_compiled!F17</f>
        <v>12269.733333999999</v>
      </c>
      <c r="AA16" s="518">
        <f>prod_compiled!G17</f>
        <v>11924.967742580644</v>
      </c>
      <c r="AB16" s="518">
        <f>prod_compiled!H17</f>
        <v>12320.806451612903</v>
      </c>
      <c r="AC16" s="518">
        <f>prod_compiled!I17</f>
        <v>0</v>
      </c>
      <c r="AD16" s="518">
        <f>prod_compiled!J17</f>
        <v>0</v>
      </c>
      <c r="AE16" s="518">
        <f>prod_compiled!K17</f>
        <v>0</v>
      </c>
      <c r="AF16" s="518">
        <f>prod_compiled!L17</f>
        <v>0</v>
      </c>
      <c r="AG16" s="518">
        <f>prod_compiled!M17</f>
        <v>0</v>
      </c>
      <c r="AH16" s="518">
        <f>prod_compiled!N17</f>
        <v>0</v>
      </c>
      <c r="AI16" s="518">
        <f>prod_compiled!O17</f>
        <v>0</v>
      </c>
      <c r="AJ16" s="518">
        <f>prod_compiled!R17</f>
        <v>12563.45054967033</v>
      </c>
      <c r="AK16" s="518">
        <f ca="1">prod_compiled!S17</f>
        <v>0</v>
      </c>
      <c r="AL16" s="518">
        <f>prod_compiled!T17</f>
        <v>0</v>
      </c>
      <c r="AM16" s="518">
        <f>prod_compiled!U17</f>
        <v>0</v>
      </c>
      <c r="AN16" s="518">
        <f ca="1">prod_compiled!V17</f>
        <v>0</v>
      </c>
      <c r="AO16" s="518">
        <f>prod_compiled!W17</f>
        <v>0</v>
      </c>
      <c r="AP16" s="518">
        <f ca="1">prod_compiled!X17</f>
        <v>0</v>
      </c>
      <c r="AQ16" s="518">
        <f ca="1">prod_compiled!Y17</f>
        <v>0</v>
      </c>
      <c r="AR16" s="448">
        <f>VLOOKUP($AR$3,DPR!$C$9:$AG$5110,reference_points!$A16,FALSE)</f>
        <v>13986</v>
      </c>
      <c r="AS16" s="448" t="e">
        <f>VLOOKUP($AS$3,DPR!$C$9:$AG$1109,reference_points!$A16,FALSE)</f>
        <v>#N/A</v>
      </c>
      <c r="AT16" s="184">
        <f>'Standardised rates'!D16</f>
        <v>7000</v>
      </c>
      <c r="AU16" s="448" t="e">
        <f>VLOOKUP($AU$3,DPR!$C$9:$AG$1109,reference_points!$A16,FALSE)</f>
        <v>#N/A</v>
      </c>
    </row>
    <row r="17" spans="1:47">
      <c r="A17">
        <v>14</v>
      </c>
      <c r="C17" s="318">
        <v>0.45</v>
      </c>
      <c r="D17" s="144" t="s">
        <v>69</v>
      </c>
      <c r="E17" s="522">
        <f>'Previous year'!D18</f>
        <v>131.4</v>
      </c>
      <c r="F17" s="522">
        <f>'Previous year'!E18</f>
        <v>132.64516129032259</v>
      </c>
      <c r="G17" s="522">
        <f>'Previous year'!F18</f>
        <v>138.4</v>
      </c>
      <c r="H17" s="522">
        <f>'Previous year'!G18</f>
        <v>134.13186813186815</v>
      </c>
      <c r="I17" s="522">
        <f>'Previous year'!H18</f>
        <v>0</v>
      </c>
      <c r="J17" s="522">
        <f>'Previous year'!I18</f>
        <v>0</v>
      </c>
      <c r="K17" s="522">
        <f>'Previous year'!J18</f>
        <v>0</v>
      </c>
      <c r="L17" s="522">
        <f>'Previous year'!K18</f>
        <v>0</v>
      </c>
      <c r="M17" s="522">
        <f>'Previous year'!L18</f>
        <v>66.699453551912569</v>
      </c>
      <c r="N17" s="522">
        <f>'Previous year'!M18</f>
        <v>0</v>
      </c>
      <c r="O17" s="522">
        <f>'Previous year'!N18</f>
        <v>0</v>
      </c>
      <c r="P17" s="522">
        <f>'Previous year'!O18</f>
        <v>0</v>
      </c>
      <c r="Q17" s="522">
        <f>'Previous year'!P18</f>
        <v>0</v>
      </c>
      <c r="R17" s="522">
        <f>'Previous year'!Q18</f>
        <v>44.385454545454543</v>
      </c>
      <c r="S17" s="522">
        <f>'Previous year'!R18</f>
        <v>0</v>
      </c>
      <c r="T17" s="522">
        <f>'Previous year'!S18</f>
        <v>0</v>
      </c>
      <c r="U17" s="522">
        <f>'Previous year'!T18</f>
        <v>0</v>
      </c>
      <c r="V17" s="522">
        <f>'Previous year'!U18</f>
        <v>0</v>
      </c>
      <c r="W17" s="522">
        <f>'Previous year'!V18</f>
        <v>33.441095890410956</v>
      </c>
      <c r="X17" s="518">
        <f>prod_compiled!D18</f>
        <v>0</v>
      </c>
      <c r="Y17" s="518">
        <f>prod_compiled!E18</f>
        <v>0</v>
      </c>
      <c r="Z17" s="518">
        <f>prod_compiled!F18</f>
        <v>0</v>
      </c>
      <c r="AA17" s="518">
        <f>prod_compiled!G18</f>
        <v>0</v>
      </c>
      <c r="AB17" s="518">
        <f>prod_compiled!H18</f>
        <v>0</v>
      </c>
      <c r="AC17" s="518">
        <f>prod_compiled!I18</f>
        <v>0</v>
      </c>
      <c r="AD17" s="518">
        <f>prod_compiled!J18</f>
        <v>0</v>
      </c>
      <c r="AE17" s="518">
        <f>prod_compiled!K18</f>
        <v>0</v>
      </c>
      <c r="AF17" s="518">
        <f>prod_compiled!L18</f>
        <v>0</v>
      </c>
      <c r="AG17" s="518">
        <f>prod_compiled!M18</f>
        <v>0</v>
      </c>
      <c r="AH17" s="518">
        <f>prod_compiled!N18</f>
        <v>0</v>
      </c>
      <c r="AI17" s="518">
        <f>prod_compiled!O18</f>
        <v>0</v>
      </c>
      <c r="AJ17" s="518">
        <f>prod_compiled!R18</f>
        <v>0</v>
      </c>
      <c r="AK17" s="518">
        <f ca="1">prod_compiled!S18</f>
        <v>0</v>
      </c>
      <c r="AL17" s="518">
        <f>prod_compiled!T18</f>
        <v>0</v>
      </c>
      <c r="AM17" s="518">
        <f>prod_compiled!U18</f>
        <v>0</v>
      </c>
      <c r="AN17" s="518">
        <f ca="1">prod_compiled!V18</f>
        <v>0</v>
      </c>
      <c r="AO17" s="518">
        <f>prod_compiled!W18</f>
        <v>0</v>
      </c>
      <c r="AP17" s="518">
        <f ca="1">prod_compiled!X18</f>
        <v>0</v>
      </c>
      <c r="AQ17" s="518">
        <f ca="1">prod_compiled!Y18</f>
        <v>0</v>
      </c>
      <c r="AR17" s="448">
        <f>VLOOKUP($AR$3,DPR!$C$9:$AG$5110,reference_points!$A17,FALSE)</f>
        <v>0</v>
      </c>
      <c r="AS17" s="448" t="e">
        <f>VLOOKUP($AS$3,DPR!$C$9:$AG$1109,reference_points!$A17,FALSE)</f>
        <v>#N/A</v>
      </c>
      <c r="AT17" s="184">
        <f>'Standardised rates'!D17</f>
        <v>200</v>
      </c>
      <c r="AU17" s="448" t="e">
        <f>VLOOKUP($AU$3,DPR!$C$9:$AG$1109,reference_points!$A17,FALSE)</f>
        <v>#N/A</v>
      </c>
    </row>
    <row r="18" spans="1:47">
      <c r="A18">
        <v>15</v>
      </c>
      <c r="C18" s="318">
        <v>0.17</v>
      </c>
      <c r="D18" s="144" t="s">
        <v>70</v>
      </c>
      <c r="E18" s="522">
        <f>'Previous year'!D19</f>
        <v>0</v>
      </c>
      <c r="F18" s="522">
        <f>'Previous year'!E19</f>
        <v>0</v>
      </c>
      <c r="G18" s="522">
        <f>'Previous year'!F19</f>
        <v>0</v>
      </c>
      <c r="H18" s="522">
        <f>'Previous year'!G19</f>
        <v>0</v>
      </c>
      <c r="I18" s="522">
        <f>'Previous year'!H19</f>
        <v>0</v>
      </c>
      <c r="J18" s="522">
        <f>'Previous year'!I19</f>
        <v>0</v>
      </c>
      <c r="K18" s="522">
        <f>'Previous year'!J19</f>
        <v>0</v>
      </c>
      <c r="L18" s="522">
        <f>'Previous year'!K19</f>
        <v>0</v>
      </c>
      <c r="M18" s="522">
        <f>'Previous year'!L19</f>
        <v>0</v>
      </c>
      <c r="N18" s="522">
        <f>'Previous year'!M19</f>
        <v>0</v>
      </c>
      <c r="O18" s="522">
        <f>'Previous year'!N19</f>
        <v>0</v>
      </c>
      <c r="P18" s="522">
        <f>'Previous year'!O19</f>
        <v>0</v>
      </c>
      <c r="Q18" s="522">
        <f>'Previous year'!P19</f>
        <v>0</v>
      </c>
      <c r="R18" s="522">
        <f>'Previous year'!Q19</f>
        <v>0</v>
      </c>
      <c r="S18" s="522">
        <f>'Previous year'!R19</f>
        <v>0</v>
      </c>
      <c r="T18" s="522">
        <f>'Previous year'!S19</f>
        <v>0</v>
      </c>
      <c r="U18" s="522">
        <f>'Previous year'!T19</f>
        <v>0</v>
      </c>
      <c r="V18" s="522">
        <f>'Previous year'!U19</f>
        <v>0</v>
      </c>
      <c r="W18" s="522">
        <f>'Previous year'!V19</f>
        <v>0</v>
      </c>
      <c r="X18" s="518">
        <f>prod_compiled!D19</f>
        <v>0</v>
      </c>
      <c r="Y18" s="518">
        <f>prod_compiled!E19</f>
        <v>0</v>
      </c>
      <c r="Z18" s="518">
        <f>prod_compiled!F19</f>
        <v>0</v>
      </c>
      <c r="AA18" s="518">
        <f>prod_compiled!G19</f>
        <v>0</v>
      </c>
      <c r="AB18" s="518">
        <f>prod_compiled!H19</f>
        <v>0</v>
      </c>
      <c r="AC18" s="518">
        <f>prod_compiled!I19</f>
        <v>0</v>
      </c>
      <c r="AD18" s="518">
        <f>prod_compiled!J19</f>
        <v>0</v>
      </c>
      <c r="AE18" s="518">
        <f>prod_compiled!K19</f>
        <v>0</v>
      </c>
      <c r="AF18" s="518">
        <f>prod_compiled!L19</f>
        <v>0</v>
      </c>
      <c r="AG18" s="518">
        <f>prod_compiled!M19</f>
        <v>0</v>
      </c>
      <c r="AH18" s="518">
        <f>prod_compiled!N19</f>
        <v>0</v>
      </c>
      <c r="AI18" s="518">
        <f>prod_compiled!O19</f>
        <v>0</v>
      </c>
      <c r="AJ18" s="518">
        <f>prod_compiled!R19</f>
        <v>0</v>
      </c>
      <c r="AK18" s="518">
        <f ca="1">prod_compiled!S19</f>
        <v>0</v>
      </c>
      <c r="AL18" s="518">
        <f>prod_compiled!T19</f>
        <v>0</v>
      </c>
      <c r="AM18" s="518">
        <f>prod_compiled!U19</f>
        <v>0</v>
      </c>
      <c r="AN18" s="518">
        <f ca="1">prod_compiled!V19</f>
        <v>0</v>
      </c>
      <c r="AO18" s="518">
        <f>prod_compiled!W19</f>
        <v>0</v>
      </c>
      <c r="AP18" s="518">
        <f ca="1">prod_compiled!X19</f>
        <v>0</v>
      </c>
      <c r="AQ18" s="518">
        <f ca="1">prod_compiled!Y19</f>
        <v>0</v>
      </c>
      <c r="AR18" s="448">
        <f>VLOOKUP($AR$3,DPR!$C$9:$AG$5110,reference_points!$A18,FALSE)</f>
        <v>0</v>
      </c>
      <c r="AS18" s="448" t="e">
        <f>VLOOKUP($AS$3,DPR!$C$9:$AG$1109,reference_points!$A18,FALSE)</f>
        <v>#N/A</v>
      </c>
      <c r="AT18" s="184">
        <f>'Standardised rates'!D18</f>
        <v>0</v>
      </c>
      <c r="AU18" s="448" t="e">
        <f>VLOOKUP($AU$3,DPR!$C$9:$AG$1109,reference_points!$A18,FALSE)</f>
        <v>#N/A</v>
      </c>
    </row>
    <row r="19" spans="1:47">
      <c r="A19">
        <v>16</v>
      </c>
      <c r="D19" s="145" t="s">
        <v>358</v>
      </c>
      <c r="E19" s="522">
        <f>'Previous year'!D20</f>
        <v>0</v>
      </c>
      <c r="F19" s="522">
        <f>'Previous year'!E20</f>
        <v>0</v>
      </c>
      <c r="G19" s="522">
        <f>'Previous year'!F20</f>
        <v>0</v>
      </c>
      <c r="H19" s="522">
        <f>'Previous year'!G20</f>
        <v>0</v>
      </c>
      <c r="I19" s="522">
        <f>'Previous year'!H20</f>
        <v>0</v>
      </c>
      <c r="J19" s="522">
        <f>'Previous year'!I20</f>
        <v>0</v>
      </c>
      <c r="K19" s="522">
        <f>'Previous year'!J20</f>
        <v>0</v>
      </c>
      <c r="L19" s="522">
        <f>'Previous year'!K20</f>
        <v>0</v>
      </c>
      <c r="M19" s="522">
        <f>'Previous year'!L20</f>
        <v>0</v>
      </c>
      <c r="N19" s="522">
        <f>'Previous year'!M20</f>
        <v>0</v>
      </c>
      <c r="O19" s="522">
        <f>'Previous year'!N20</f>
        <v>0</v>
      </c>
      <c r="P19" s="522">
        <f>'Previous year'!O20</f>
        <v>0</v>
      </c>
      <c r="Q19" s="522">
        <f>'Previous year'!P20</f>
        <v>0</v>
      </c>
      <c r="R19" s="522">
        <f>'Previous year'!Q20</f>
        <v>0</v>
      </c>
      <c r="S19" s="522">
        <f>'Previous year'!R20</f>
        <v>0</v>
      </c>
      <c r="T19" s="522">
        <f>'Previous year'!S20</f>
        <v>0</v>
      </c>
      <c r="U19" s="522">
        <f>'Previous year'!T20</f>
        <v>0</v>
      </c>
      <c r="V19" s="522">
        <f>'Previous year'!U20</f>
        <v>0</v>
      </c>
      <c r="W19" s="522">
        <f>'Previous year'!V20</f>
        <v>0</v>
      </c>
      <c r="X19" s="755">
        <f>X5*$C5+X6*$C6+X7*$C7+X8*$C8+X9*$C9+X10*$C10+X11*$C11+X12*$C12+X13*$C13+X14*$C14+X15*$C15+X16*$C16+X17*$C17+X18*$C18</f>
        <v>141076.20397411959</v>
      </c>
      <c r="Y19" s="755">
        <f t="shared" ref="Y19:AQ19" si="0">Y5*$C5+Y6*$C6+Y7*$C7+Y8*$C8+Y9*$C9+Y10*$C10+Y11*$C11+Y12*$C12+Y13*$C13+Y14*$C14+Y15*$C15+Y16*$C16+Y17*$C17+Y18*$C18</f>
        <v>141565.38157044456</v>
      </c>
      <c r="Z19" s="755">
        <f t="shared" si="0"/>
        <v>145432.35732519266</v>
      </c>
      <c r="AA19" s="755">
        <f t="shared" si="0"/>
        <v>144952.87953140013</v>
      </c>
      <c r="AB19" s="755">
        <f t="shared" si="0"/>
        <v>150137.01282741938</v>
      </c>
      <c r="AC19" s="755">
        <f t="shared" si="0"/>
        <v>0</v>
      </c>
      <c r="AD19" s="755">
        <f>AD5*$C5+AD6*$C6+AD7*$C7+AD8*$C8+AD9*$C9+AD10*$C10+AD11*$C11+AD12*$C12+AD13*$C13+AD14*$C14+AD15*$C15+AD16*$C16+AD17*$C17+AD18*$C18</f>
        <v>0</v>
      </c>
      <c r="AE19" s="520">
        <f>AE5*$C5+AE6*$C6+AE7*$C7+AE8*$B8+AE9*$C9+AE10*$C10+AE11*$C11+AE12*$C12+AE13*$C13+AE14*$C14+AE15*$C15+AE16*$C16+AE17*$C17+AE18*$C18</f>
        <v>0</v>
      </c>
      <c r="AF19" s="520">
        <f>AF5*$C5+AF6*$C6+AF7*$C7+AF8*$B8+AF9*$C9+AF10*$C10+AF11*$C11+AF12*$C12+AF13*$C13+AF14*$C14+AF15*$C15+AF16*$C16+AF17*$C17+AF18*$C18</f>
        <v>0</v>
      </c>
      <c r="AG19" s="520">
        <f>AG5*$C5+AG6*$C6+AG7*$C7+AG8*$B8+AG9*$C9+AG10*$C10+AG11*$C11+AG12*$C12+AG13*$C13+AG14*$C14+AG15*$C15+AG16*$C16+AG17*$C17+AG18*$C18</f>
        <v>0</v>
      </c>
      <c r="AH19" s="520">
        <f>AH5*$C5+AH6*$C6+AH7*$C7+AH8*$B8+AH9*$C9+AH10*$C10+AH11*$C11+AH12*$C12+AH13*$C13+AH14*$C14+AH15*$C15+AH16*$C16+AH17*$C17+AH18*$C18</f>
        <v>0</v>
      </c>
      <c r="AI19" s="520">
        <f>AI5*$C5+AI6*$C6+AI7*$C7+AI8*$B8+AI9*$C9+AI10*$C10+AI11*$C11+AI12*$C12+AI13*$C13+AI14*$C14+AI15*$C15+AI16*$C16+AI17*$C17+AI18*$C18</f>
        <v>0</v>
      </c>
      <c r="AJ19" s="520">
        <f t="shared" si="0"/>
        <v>142678.94140289174</v>
      </c>
      <c r="AK19" s="520">
        <f t="shared" ca="1" si="0"/>
        <v>0</v>
      </c>
      <c r="AL19" s="520">
        <f t="shared" si="0"/>
        <v>0</v>
      </c>
      <c r="AM19" s="520">
        <f t="shared" si="0"/>
        <v>0</v>
      </c>
      <c r="AN19" s="520">
        <f ca="1">AN5*$C5+AN6*$C6+AN7*$C7+AN8*$C8+AN9*$C9+AN10*$C10+AN11*$C11+AN12*$C12+AN13*$C13+AN14*$C14+AN15*$C15+AN16*$C16+AN17*$C17+AN18*$C18</f>
        <v>0</v>
      </c>
      <c r="AO19" s="520">
        <f t="shared" si="0"/>
        <v>0</v>
      </c>
      <c r="AP19" s="520">
        <f t="shared" ca="1" si="0"/>
        <v>0</v>
      </c>
      <c r="AQ19" s="520">
        <f t="shared" ca="1" si="0"/>
        <v>0</v>
      </c>
      <c r="AR19" s="448">
        <f>VLOOKUP($AR$3,DPR!$C$9:$AG$5110,reference_points!$A19,FALSE)</f>
        <v>157050.34375</v>
      </c>
      <c r="AS19" s="524" t="e">
        <f>AS5*$C5+AS6*$C6+AS7*$C7+IF(AS3&lt;DATE(2024,11,1),AS8*(2.31/100),AS8*(2.925/100))+AS9*$C9+AS10*$C10+AS11*$C11+AS12*$C12+AS13*$C13+AS14*$C14+AS15*$C15+AS16*$C16+AS17*$C17+AS18*$C18</f>
        <v>#N/A</v>
      </c>
      <c r="AT19" s="524">
        <f>AT5*$C5+AT6*$C6+AT7*$C7+AT8*$C8+AT9*$C9+AT10*$C10+AT11*$C11+AT12*$C12+AT13*$C13+AT14*$C14+AT15*$C15+AT16*$C16+AT17*$C17+AT18*$C18</f>
        <v>160884.25</v>
      </c>
      <c r="AU19" s="524" t="e">
        <f>AU5*$C5+AU6*$C6+AU7*$C7+IF(AU3&lt;DATE(2024,11,1),AU8*(2.31/100),AU8*(2.925/100))+AU9*$C9+AU10*$C10+AU11*$C11+AU12*$C12+AU13*$C13+AU14*$C14+AU15*$C15+AU16*$C16+AU17*$C17+AU18*$C18</f>
        <v>#N/A</v>
      </c>
    </row>
    <row r="22" spans="1:47">
      <c r="E22" s="184" t="str">
        <f>E4</f>
        <v>Apr'25</v>
      </c>
      <c r="F22" s="184" t="str">
        <f t="shared" ref="F22:W22" si="1">F4</f>
        <v>May'25</v>
      </c>
      <c r="G22" s="184" t="str">
        <f t="shared" si="1"/>
        <v>Jun'25</v>
      </c>
      <c r="H22" s="184" t="str">
        <f t="shared" si="1"/>
        <v>Q1 25-26</v>
      </c>
      <c r="I22" s="184" t="str">
        <f t="shared" si="1"/>
        <v>Jul'25</v>
      </c>
      <c r="J22" s="184" t="str">
        <f t="shared" si="1"/>
        <v>Aug'25</v>
      </c>
      <c r="K22" s="184" t="str">
        <f t="shared" si="1"/>
        <v>Sep'25</v>
      </c>
      <c r="L22" s="184" t="str">
        <f t="shared" si="1"/>
        <v>Q2 25-26</v>
      </c>
      <c r="M22" s="184" t="str">
        <f t="shared" si="1"/>
        <v>H1 25-26</v>
      </c>
      <c r="N22" s="184" t="str">
        <f t="shared" si="1"/>
        <v>Oct'25</v>
      </c>
      <c r="O22" s="184" t="str">
        <f t="shared" si="1"/>
        <v>Nov'25</v>
      </c>
      <c r="P22" s="184" t="str">
        <f t="shared" si="1"/>
        <v>Dec'25</v>
      </c>
      <c r="Q22" s="184" t="str">
        <f t="shared" si="1"/>
        <v>Q3 25-26</v>
      </c>
      <c r="R22" s="184" t="str">
        <f t="shared" si="1"/>
        <v>9M 25-26</v>
      </c>
      <c r="S22" s="184" t="str">
        <f t="shared" si="1"/>
        <v>Jan'26</v>
      </c>
      <c r="T22" s="184" t="str">
        <f t="shared" si="1"/>
        <v>Feb'26</v>
      </c>
      <c r="U22" s="184" t="str">
        <f t="shared" si="1"/>
        <v>Mar'26</v>
      </c>
      <c r="V22" s="184" t="str">
        <f t="shared" si="1"/>
        <v>Q4 25-26</v>
      </c>
      <c r="W22" s="184" t="str">
        <f t="shared" si="1"/>
        <v>25-26</v>
      </c>
      <c r="X22" s="144" t="str">
        <f>X4</f>
        <v>Apr'26</v>
      </c>
      <c r="Y22" s="144" t="str">
        <f t="shared" ref="Y22:AQ22" si="2">Y4</f>
        <v>May'26</v>
      </c>
      <c r="Z22" s="144" t="str">
        <f t="shared" si="2"/>
        <v>June'26</v>
      </c>
      <c r="AA22" s="144" t="str">
        <f t="shared" si="2"/>
        <v>July'26</v>
      </c>
      <c r="AB22" s="144" t="str">
        <f t="shared" si="2"/>
        <v>Aug'26</v>
      </c>
      <c r="AC22" s="144" t="str">
        <f t="shared" si="2"/>
        <v>Sep'26</v>
      </c>
      <c r="AD22" s="144" t="str">
        <f t="shared" si="2"/>
        <v>Oct'26</v>
      </c>
      <c r="AE22" s="144" t="str">
        <f t="shared" si="2"/>
        <v>Nov'26</v>
      </c>
      <c r="AF22" s="144" t="str">
        <f t="shared" si="2"/>
        <v>Dec'26</v>
      </c>
      <c r="AG22" s="144" t="str">
        <f t="shared" si="2"/>
        <v>Jan'27</v>
      </c>
      <c r="AH22" s="144" t="str">
        <f t="shared" si="2"/>
        <v>Feb'27</v>
      </c>
      <c r="AI22" s="144" t="str">
        <f t="shared" si="2"/>
        <v>Mar'27</v>
      </c>
      <c r="AJ22" s="144" t="str">
        <f t="shared" si="2"/>
        <v>Q1 26-27</v>
      </c>
      <c r="AK22" s="144" t="str">
        <f t="shared" si="2"/>
        <v>Q2 26-27</v>
      </c>
      <c r="AL22" s="144" t="str">
        <f t="shared" si="2"/>
        <v>Q3 26-27</v>
      </c>
      <c r="AM22" s="144" t="str">
        <f t="shared" si="2"/>
        <v>Q4 26-27</v>
      </c>
      <c r="AN22" s="144" t="str">
        <f t="shared" si="2"/>
        <v>H1 26-27</v>
      </c>
      <c r="AO22" s="144" t="str">
        <f t="shared" si="2"/>
        <v>H2 26-27</v>
      </c>
      <c r="AP22" s="144" t="str">
        <f t="shared" si="2"/>
        <v>9M 26-27</v>
      </c>
      <c r="AQ22" s="144" t="str">
        <f t="shared" si="2"/>
        <v>2026-27</v>
      </c>
      <c r="AR22" s="144" t="s">
        <v>448</v>
      </c>
      <c r="AS22" s="144" t="s">
        <v>637</v>
      </c>
      <c r="AT22" s="144" t="s">
        <v>615</v>
      </c>
      <c r="AU22" s="144" t="s">
        <v>638</v>
      </c>
    </row>
    <row r="23" spans="1:47">
      <c r="A23">
        <v>22</v>
      </c>
      <c r="C23" s="318">
        <v>0.2</v>
      </c>
      <c r="D23" s="144" t="s">
        <v>60</v>
      </c>
      <c r="E23" s="523">
        <f>'Previous year'!D24</f>
        <v>9.1</v>
      </c>
      <c r="F23" s="523">
        <f>'Previous year'!E24</f>
        <v>8.2548387096774203</v>
      </c>
      <c r="G23" s="523">
        <f>'Previous year'!F24</f>
        <v>7.9314999999999998</v>
      </c>
      <c r="H23" s="523">
        <f>'Previous year'!G24</f>
        <v>8.4268681318681313</v>
      </c>
      <c r="I23" s="523">
        <f>'Previous year'!H24</f>
        <v>4.7340322580645156</v>
      </c>
      <c r="J23" s="523">
        <f>'Previous year'!I24</f>
        <v>1.1774193548387097</v>
      </c>
      <c r="K23" s="523">
        <f>'Previous year'!J24</f>
        <v>7.4434333333333331</v>
      </c>
      <c r="L23" s="523">
        <f>'Previous year'!K24</f>
        <v>4.4191086956521737</v>
      </c>
      <c r="M23" s="523">
        <f>'Previous year'!L24</f>
        <v>6.4120382513661207</v>
      </c>
      <c r="N23" s="523">
        <f>'Previous year'!M24</f>
        <v>7.6773225806451615</v>
      </c>
      <c r="O23" s="523">
        <f>'Previous year'!N24</f>
        <v>10.15</v>
      </c>
      <c r="P23" s="523">
        <f>'Previous year'!O24</f>
        <v>8.3706129032258065</v>
      </c>
      <c r="Q23" s="523">
        <f>'Previous year'!P24</f>
        <v>8.717239130434784</v>
      </c>
      <c r="R23" s="523">
        <f>'Previous year'!Q24</f>
        <v>7.1832327272727277</v>
      </c>
      <c r="S23" s="523">
        <f>'Previous year'!R24</f>
        <v>12.161129032258065</v>
      </c>
      <c r="T23" s="523">
        <f>'Previous year'!S24</f>
        <v>12.244392857142858</v>
      </c>
      <c r="U23" s="523">
        <f>'Previous year'!T24</f>
        <v>0</v>
      </c>
      <c r="V23" s="523">
        <f>'Previous year'!U24</f>
        <v>7.9981999999999998</v>
      </c>
      <c r="W23" s="523">
        <f>'Previous year'!V24</f>
        <v>7.3841835616438356</v>
      </c>
      <c r="X23" s="519">
        <f>prod_compiled!D23</f>
        <v>9.7017673333333327</v>
      </c>
      <c r="Y23" s="519">
        <f>prod_compiled!E23</f>
        <v>8.3419374193548386</v>
      </c>
      <c r="Z23" s="519">
        <f>prod_compiled!F23</f>
        <v>7.6709000000000005</v>
      </c>
      <c r="AA23" s="519">
        <f>prod_compiled!G23</f>
        <v>7.3924512903225805</v>
      </c>
      <c r="AB23" s="519">
        <f>prod_compiled!H23</f>
        <v>6.9239309443193591</v>
      </c>
      <c r="AC23" s="519">
        <f>prod_compiled!I23</f>
        <v>0</v>
      </c>
      <c r="AD23" s="519">
        <f>prod_compiled!J23</f>
        <v>0</v>
      </c>
      <c r="AE23" s="519">
        <f>prod_compiled!K23</f>
        <v>0</v>
      </c>
      <c r="AF23" s="519">
        <f>prod_compiled!L23</f>
        <v>0</v>
      </c>
      <c r="AG23" s="519">
        <f>prod_compiled!M23</f>
        <v>0</v>
      </c>
      <c r="AH23" s="519">
        <f>prod_compiled!N23</f>
        <v>0</v>
      </c>
      <c r="AI23" s="519">
        <f>prod_compiled!O23</f>
        <v>0</v>
      </c>
      <c r="AJ23" s="519">
        <f>prod_compiled!R23</f>
        <v>8.5690118681318683</v>
      </c>
      <c r="AK23" s="519">
        <f ca="1">prod_compiled!S23</f>
        <v>0</v>
      </c>
      <c r="AL23" s="519">
        <f>prod_compiled!T23</f>
        <v>0</v>
      </c>
      <c r="AM23" s="519">
        <f>prod_compiled!U23</f>
        <v>0</v>
      </c>
      <c r="AN23" s="519">
        <f ca="1">prod_compiled!V23</f>
        <v>0</v>
      </c>
      <c r="AO23" s="519">
        <f>prod_compiled!W23</f>
        <v>0</v>
      </c>
      <c r="AP23" s="519">
        <f ca="1">prod_compiled!X23</f>
        <v>0</v>
      </c>
      <c r="AQ23" s="519">
        <f ca="1">prod_compiled!Y23</f>
        <v>0</v>
      </c>
      <c r="AR23" s="267">
        <f>VLOOKUP($AR$3,DPR!$C$9:$AG$5110,reference_points!$A23,FALSE)</f>
        <v>8.3568032575669609</v>
      </c>
      <c r="AS23" s="267" t="e">
        <f>VLOOKUP($AS$3,DPR!$C$9:$AG$1109,reference_points!$A23,FALSE)</f>
        <v>#N/A</v>
      </c>
      <c r="AT23" s="184">
        <f>'Standardised rates'!D23</f>
        <v>9</v>
      </c>
      <c r="AU23" s="267" t="e">
        <f>VLOOKUP($AU$3,DPR!$C$9:$AG$1109,reference_points!$A23,FALSE)</f>
        <v>#N/A</v>
      </c>
    </row>
    <row r="24" spans="1:47">
      <c r="A24">
        <v>23</v>
      </c>
      <c r="C24" s="318">
        <v>0.26</v>
      </c>
      <c r="D24" s="144" t="s">
        <v>61</v>
      </c>
      <c r="E24" s="523">
        <f>'Previous year'!D25</f>
        <v>10.124733333333333</v>
      </c>
      <c r="F24" s="523">
        <f>'Previous year'!E25</f>
        <v>10.64083870967742</v>
      </c>
      <c r="G24" s="523">
        <f>'Previous year'!F25</f>
        <v>10.501866666666666</v>
      </c>
      <c r="H24" s="523">
        <f>'Previous year'!G25</f>
        <v>10.424879120879121</v>
      </c>
      <c r="I24" s="523">
        <f>'Previous year'!H25</f>
        <v>10.837225806451613</v>
      </c>
      <c r="J24" s="523">
        <f>'Previous year'!I25</f>
        <v>9.1157419354838716</v>
      </c>
      <c r="K24" s="523">
        <f>'Previous year'!J25</f>
        <v>10.6249</v>
      </c>
      <c r="L24" s="523">
        <f>'Previous year'!K25</f>
        <v>10.187923913043479</v>
      </c>
      <c r="M24" s="523">
        <f>'Previous year'!L25</f>
        <v>10.305754098360655</v>
      </c>
      <c r="N24" s="523">
        <f>'Previous year'!M25</f>
        <v>10.405806451612902</v>
      </c>
      <c r="O24" s="523">
        <f>'Previous year'!N25</f>
        <v>10.407466666666666</v>
      </c>
      <c r="P24" s="523">
        <f>'Previous year'!O25</f>
        <v>9.9532580645161293</v>
      </c>
      <c r="Q24" s="523">
        <f>'Previous year'!P25</f>
        <v>10.253858695652173</v>
      </c>
      <c r="R24" s="523">
        <f>'Previous year'!Q25</f>
        <v>10.288392727272727</v>
      </c>
      <c r="S24" s="523">
        <f>'Previous year'!R25</f>
        <v>10.026903225806452</v>
      </c>
      <c r="T24" s="523">
        <f>'Previous year'!S25</f>
        <v>9.928571428571429E-3</v>
      </c>
      <c r="U24" s="523">
        <f>'Previous year'!T25</f>
        <v>0</v>
      </c>
      <c r="V24" s="523">
        <f>'Previous year'!U25</f>
        <v>3.4568000000000003</v>
      </c>
      <c r="W24" s="523">
        <f>'Previous year'!V25</f>
        <v>8.6038904109589041</v>
      </c>
      <c r="X24" s="519">
        <f>prod_compiled!D24</f>
        <v>9.9731976666666657</v>
      </c>
      <c r="Y24" s="519">
        <f>prod_compiled!E24</f>
        <v>9.9403735483870967</v>
      </c>
      <c r="Z24" s="519">
        <f>prod_compiled!F24</f>
        <v>9.7900666666666663</v>
      </c>
      <c r="AA24" s="519">
        <f>prod_compiled!G24</f>
        <v>8.8381954838709671</v>
      </c>
      <c r="AB24" s="519">
        <f>prod_compiled!H24</f>
        <v>10.128309225806449</v>
      </c>
      <c r="AC24" s="519">
        <f>prod_compiled!I24</f>
        <v>0</v>
      </c>
      <c r="AD24" s="519">
        <f>prod_compiled!J24</f>
        <v>0</v>
      </c>
      <c r="AE24" s="519">
        <f>prod_compiled!K24</f>
        <v>0</v>
      </c>
      <c r="AF24" s="519">
        <f>prod_compiled!L24</f>
        <v>0</v>
      </c>
      <c r="AG24" s="519">
        <f>prod_compiled!M24</f>
        <v>0</v>
      </c>
      <c r="AH24" s="519">
        <f>prod_compiled!N24</f>
        <v>0</v>
      </c>
      <c r="AI24" s="519">
        <f>prod_compiled!O24</f>
        <v>0</v>
      </c>
      <c r="AJ24" s="519">
        <f>prod_compiled!R24</f>
        <v>9.9016429670329682</v>
      </c>
      <c r="AK24" s="519">
        <f ca="1">prod_compiled!S24</f>
        <v>0</v>
      </c>
      <c r="AL24" s="519">
        <f>prod_compiled!T24</f>
        <v>0</v>
      </c>
      <c r="AM24" s="519">
        <f>prod_compiled!U24</f>
        <v>0</v>
      </c>
      <c r="AN24" s="519">
        <f ca="1">prod_compiled!V24</f>
        <v>0</v>
      </c>
      <c r="AO24" s="519">
        <f>prod_compiled!W24</f>
        <v>0</v>
      </c>
      <c r="AP24" s="519">
        <f ca="1">prod_compiled!X24</f>
        <v>0</v>
      </c>
      <c r="AQ24" s="519">
        <f ca="1">prod_compiled!Y24</f>
        <v>0</v>
      </c>
      <c r="AR24" s="267">
        <f>VLOOKUP($AR$3,DPR!$C$9:$AG$5110,reference_points!$A24,FALSE)</f>
        <v>10.210000000000001</v>
      </c>
      <c r="AS24" s="267" t="e">
        <f>VLOOKUP($AS$3,DPR!$C$9:$AG$1109,reference_points!$A24,FALSE)</f>
        <v>#N/A</v>
      </c>
      <c r="AT24" s="184">
        <f>'Standardised rates'!D24</f>
        <v>14</v>
      </c>
      <c r="AU24" s="267" t="e">
        <f>VLOOKUP($AU$3,DPR!$C$9:$AG$1109,reference_points!$A24,FALSE)</f>
        <v>#N/A</v>
      </c>
    </row>
    <row r="25" spans="1:47">
      <c r="A25">
        <v>21</v>
      </c>
      <c r="C25" s="318">
        <v>1</v>
      </c>
      <c r="D25" s="144" t="s">
        <v>62</v>
      </c>
      <c r="E25" s="523">
        <f>'Previous year'!D26</f>
        <v>0.28206666666666663</v>
      </c>
      <c r="F25" s="523">
        <f>'Previous year'!E26</f>
        <v>0.25932258064516128</v>
      </c>
      <c r="G25" s="523">
        <f>'Previous year'!F26</f>
        <v>0.2641</v>
      </c>
      <c r="H25" s="523">
        <f>'Previous year'!G26</f>
        <v>0.26839560439560439</v>
      </c>
      <c r="I25" s="523">
        <f>'Previous year'!H26</f>
        <v>0.25987096774193547</v>
      </c>
      <c r="J25" s="523">
        <f>'Previous year'!I26</f>
        <v>0.27529032258064517</v>
      </c>
      <c r="K25" s="523">
        <f>'Previous year'!J26</f>
        <v>0.25303333333333333</v>
      </c>
      <c r="L25" s="523">
        <f>'Previous year'!K26</f>
        <v>0.26283695652173916</v>
      </c>
      <c r="M25" s="523">
        <f>'Previous year'!L26</f>
        <v>0.2656010928961749</v>
      </c>
      <c r="N25" s="523">
        <f>'Previous year'!M26</f>
        <v>0.27925806451612906</v>
      </c>
      <c r="O25" s="523">
        <f>'Previous year'!N26</f>
        <v>0.28396666666666665</v>
      </c>
      <c r="P25" s="523">
        <f>'Previous year'!O26</f>
        <v>0.28748387096774197</v>
      </c>
      <c r="Q25" s="523">
        <f>'Previous year'!P26</f>
        <v>0.28356521739130436</v>
      </c>
      <c r="R25" s="523">
        <f>'Previous year'!Q26</f>
        <v>0.27161090909090913</v>
      </c>
      <c r="S25" s="523">
        <f>'Previous year'!R26</f>
        <v>0.28935483870967743</v>
      </c>
      <c r="T25" s="523">
        <f>'Previous year'!S26</f>
        <v>0.28742857142857142</v>
      </c>
      <c r="U25" s="523">
        <f>'Previous year'!T26</f>
        <v>0</v>
      </c>
      <c r="V25" s="523">
        <f>'Previous year'!U26</f>
        <v>0.18908888888888889</v>
      </c>
      <c r="W25" s="523">
        <f>'Previous year'!V26</f>
        <v>0.25126301369863019</v>
      </c>
      <c r="X25" s="519">
        <f>prod_compiled!D25</f>
        <v>0.27867500000000001</v>
      </c>
      <c r="Y25" s="519">
        <f>prod_compiled!E25</f>
        <v>0.24100064516129033</v>
      </c>
      <c r="Z25" s="519">
        <f>prod_compiled!F25</f>
        <v>0.261299</v>
      </c>
      <c r="AA25" s="519">
        <f>prod_compiled!G25</f>
        <v>0.24090483870967741</v>
      </c>
      <c r="AB25" s="519">
        <f>prod_compiled!H25</f>
        <v>0.24677316129032253</v>
      </c>
      <c r="AC25" s="519">
        <f>prod_compiled!I25</f>
        <v>0</v>
      </c>
      <c r="AD25" s="519">
        <f>prod_compiled!J25</f>
        <v>0</v>
      </c>
      <c r="AE25" s="519">
        <f>prod_compiled!K25</f>
        <v>0</v>
      </c>
      <c r="AF25" s="519">
        <f>prod_compiled!L25</f>
        <v>0</v>
      </c>
      <c r="AG25" s="519">
        <f>prod_compiled!M25</f>
        <v>0</v>
      </c>
      <c r="AH25" s="519">
        <f>prod_compiled!N25</f>
        <v>0</v>
      </c>
      <c r="AI25" s="519">
        <f>prod_compiled!O25</f>
        <v>0</v>
      </c>
      <c r="AJ25" s="519">
        <f>prod_compiled!R25</f>
        <v>0.26011252747252744</v>
      </c>
      <c r="AK25" s="519">
        <f ca="1">prod_compiled!S25</f>
        <v>0</v>
      </c>
      <c r="AL25" s="519">
        <f>prod_compiled!T25</f>
        <v>0</v>
      </c>
      <c r="AM25" s="519">
        <f>prod_compiled!U25</f>
        <v>0</v>
      </c>
      <c r="AN25" s="519">
        <f ca="1">prod_compiled!V25</f>
        <v>0</v>
      </c>
      <c r="AO25" s="519">
        <f>prod_compiled!W25</f>
        <v>0</v>
      </c>
      <c r="AP25" s="519">
        <f ca="1">prod_compiled!X25</f>
        <v>0</v>
      </c>
      <c r="AQ25" s="519">
        <f ca="1">prod_compiled!Y25</f>
        <v>0</v>
      </c>
      <c r="AR25" s="267">
        <f>VLOOKUP($AR$3,DPR!$C$9:$AG$5110,reference_points!$A25,FALSE)</f>
        <v>0.251052</v>
      </c>
      <c r="AS25" s="267" t="e">
        <f>VLOOKUP($AS$3,DPR!$C$9:$AG$1109,reference_points!$A25,FALSE)</f>
        <v>#N/A</v>
      </c>
      <c r="AT25" s="184">
        <f>'Standardised rates'!D25</f>
        <v>0.32</v>
      </c>
      <c r="AU25" s="267" t="e">
        <f>VLOOKUP($AU$3,DPR!$C$9:$AG$1109,reference_points!$A25,FALSE)</f>
        <v>#N/A</v>
      </c>
    </row>
    <row r="26" spans="1:47">
      <c r="A26">
        <v>17</v>
      </c>
      <c r="B26" s="754"/>
      <c r="C26" s="318">
        <v>2.3099999999999999E-2</v>
      </c>
      <c r="D26" s="144" t="s">
        <v>57</v>
      </c>
      <c r="E26" s="523">
        <f>'Previous year'!D27</f>
        <v>10.639033333333334</v>
      </c>
      <c r="F26" s="523">
        <f>'Previous year'!E27</f>
        <v>8.9830322580645152</v>
      </c>
      <c r="G26" s="523">
        <f>'Previous year'!F27</f>
        <v>8.2010333333333332</v>
      </c>
      <c r="H26" s="523">
        <f>'Previous year'!G27</f>
        <v>9.2711648351648339</v>
      </c>
      <c r="I26" s="523">
        <f>'Previous year'!H27</f>
        <v>9.4027419354838706</v>
      </c>
      <c r="J26" s="523">
        <f>'Previous year'!I27</f>
        <v>9.4024516129032261</v>
      </c>
      <c r="K26" s="523">
        <f>'Previous year'!J27</f>
        <v>11.933400000000001</v>
      </c>
      <c r="L26" s="523">
        <f>'Previous year'!K27</f>
        <v>10.227858695652174</v>
      </c>
      <c r="M26" s="523">
        <f>'Previous year'!L27</f>
        <v>9.7521256830601093</v>
      </c>
      <c r="N26" s="523">
        <f>'Previous year'!M27</f>
        <v>11.031064516129033</v>
      </c>
      <c r="O26" s="523">
        <f>'Previous year'!N27</f>
        <v>12.5198</v>
      </c>
      <c r="P26" s="523">
        <f>'Previous year'!O27</f>
        <v>12.985709677419356</v>
      </c>
      <c r="Q26" s="523">
        <f>'Previous year'!P27</f>
        <v>12.175152173913045</v>
      </c>
      <c r="R26" s="523">
        <f>'Previous year'!Q27</f>
        <v>10.562738181818181</v>
      </c>
      <c r="S26" s="523">
        <f>'Previous year'!R27</f>
        <v>16.445258064516128</v>
      </c>
      <c r="T26" s="523">
        <f>'Previous year'!S27</f>
        <v>15.491785714285713</v>
      </c>
      <c r="U26" s="523">
        <f>'Previous year'!T27</f>
        <v>0</v>
      </c>
      <c r="V26" s="523">
        <f>'Previous year'!U27</f>
        <v>10.484144444444444</v>
      </c>
      <c r="W26" s="523">
        <f>'Previous year'!V27</f>
        <v>10.543358904109589</v>
      </c>
      <c r="X26" s="519">
        <f>prod_compiled!D26</f>
        <v>14.437598333333334</v>
      </c>
      <c r="Y26" s="519">
        <f>prod_compiled!E26</f>
        <v>13.815902258064517</v>
      </c>
      <c r="Z26" s="519">
        <f>prod_compiled!F26</f>
        <v>12.623732333333333</v>
      </c>
      <c r="AA26" s="519">
        <f>prod_compiled!G26</f>
        <v>8.2639664516129034</v>
      </c>
      <c r="AB26" s="519">
        <f>prod_compiled!H26</f>
        <v>7.9886590222823228</v>
      </c>
      <c r="AC26" s="519">
        <f>prod_compiled!I26</f>
        <v>0</v>
      </c>
      <c r="AD26" s="519">
        <f>prod_compiled!J26</f>
        <v>0</v>
      </c>
      <c r="AE26" s="519">
        <f>prod_compiled!K26</f>
        <v>0</v>
      </c>
      <c r="AF26" s="519">
        <f>prod_compiled!L26</f>
        <v>0</v>
      </c>
      <c r="AG26" s="519">
        <f>prod_compiled!M26</f>
        <v>0</v>
      </c>
      <c r="AH26" s="519">
        <f>prod_compiled!N26</f>
        <v>0</v>
      </c>
      <c r="AI26" s="519">
        <f>prod_compiled!O26</f>
        <v>0</v>
      </c>
      <c r="AJ26" s="519">
        <f>prod_compiled!R26</f>
        <v>13.627833956043958</v>
      </c>
      <c r="AK26" s="519">
        <f ca="1">prod_compiled!S26</f>
        <v>0</v>
      </c>
      <c r="AL26" s="519">
        <f>prod_compiled!T26</f>
        <v>0</v>
      </c>
      <c r="AM26" s="519">
        <f>prod_compiled!U26</f>
        <v>0</v>
      </c>
      <c r="AN26" s="519">
        <f ca="1">prod_compiled!V26</f>
        <v>0</v>
      </c>
      <c r="AO26" s="519">
        <f>prod_compiled!W26</f>
        <v>0</v>
      </c>
      <c r="AP26" s="519">
        <f ca="1">prod_compiled!X26</f>
        <v>0</v>
      </c>
      <c r="AQ26" s="519">
        <f ca="1">prod_compiled!Y26</f>
        <v>0</v>
      </c>
      <c r="AR26" s="267">
        <f>VLOOKUP($AR$3,DPR!$C$9:$AG$5110,reference_points!$A26,FALSE)</f>
        <v>6.4160250547222555</v>
      </c>
      <c r="AS26" s="267" t="e">
        <f>VLOOKUP($AS$3,DPR!$C$9:$AG$1109,reference_points!$A26,FALSE)</f>
        <v>#N/A</v>
      </c>
      <c r="AT26" s="184">
        <f>'Standardised rates'!D26</f>
        <v>8</v>
      </c>
      <c r="AU26" s="267" t="e">
        <f>VLOOKUP($AU$3,DPR!$C$9:$AG$1109,reference_points!$A26,FALSE)</f>
        <v>#N/A</v>
      </c>
    </row>
    <row r="27" spans="1:47">
      <c r="A27">
        <v>18</v>
      </c>
      <c r="C27" s="318">
        <v>0.27</v>
      </c>
      <c r="D27" s="144" t="s">
        <v>58</v>
      </c>
      <c r="E27" s="523">
        <f>'Previous year'!D28</f>
        <v>0.30416666666666664</v>
      </c>
      <c r="F27" s="523">
        <f>'Previous year'!E28</f>
        <v>0.35135483870967738</v>
      </c>
      <c r="G27" s="523">
        <f>'Previous year'!F28</f>
        <v>0.51133333333333331</v>
      </c>
      <c r="H27" s="523">
        <f>'Previous year'!G28</f>
        <v>0.38853846153846155</v>
      </c>
      <c r="I27" s="523">
        <f>'Previous year'!H28</f>
        <v>0.4374193548387097</v>
      </c>
      <c r="J27" s="523">
        <f>'Previous year'!I28</f>
        <v>0.36580645161290321</v>
      </c>
      <c r="K27" s="523">
        <f>'Previous year'!J28</f>
        <v>0.44400000000000001</v>
      </c>
      <c r="L27" s="523">
        <f>'Previous year'!K28</f>
        <v>0.41543478260869565</v>
      </c>
      <c r="M27" s="523">
        <f>'Previous year'!L28</f>
        <v>0.4020601092896175</v>
      </c>
      <c r="N27" s="523">
        <f>'Previous year'!M28</f>
        <v>0.4906451612903226</v>
      </c>
      <c r="O27" s="523">
        <f>'Previous year'!N28</f>
        <v>0.27123333333333333</v>
      </c>
      <c r="P27" s="523">
        <f>'Previous year'!O28</f>
        <v>0</v>
      </c>
      <c r="Q27" s="523">
        <f>'Previous year'!P28</f>
        <v>0.25377173913043477</v>
      </c>
      <c r="R27" s="523">
        <f>'Previous year'!Q28</f>
        <v>0.35245090909090909</v>
      </c>
      <c r="S27" s="523">
        <f>'Previous year'!R28</f>
        <v>4.0322580645161289E-2</v>
      </c>
      <c r="T27" s="523">
        <f>'Previous year'!S28</f>
        <v>0.31642857142857139</v>
      </c>
      <c r="U27" s="523">
        <f>'Previous year'!T28</f>
        <v>0</v>
      </c>
      <c r="V27" s="523">
        <f>'Previous year'!U28</f>
        <v>0.11233333333333333</v>
      </c>
      <c r="W27" s="523">
        <f>'Previous year'!V28</f>
        <v>0.29324383561643835</v>
      </c>
      <c r="X27" s="519">
        <f>prod_compiled!D27</f>
        <v>0.45333333333333331</v>
      </c>
      <c r="Y27" s="519">
        <f>prod_compiled!E27</f>
        <v>0.2992258064516129</v>
      </c>
      <c r="Z27" s="519">
        <f>prod_compiled!F27</f>
        <v>0.465667</v>
      </c>
      <c r="AA27" s="519">
        <f>prod_compiled!G27</f>
        <v>0.35741999999999996</v>
      </c>
      <c r="AB27" s="519">
        <f>prod_compiled!H27</f>
        <v>0.51485241935483883</v>
      </c>
      <c r="AC27" s="519">
        <f>prod_compiled!I27</f>
        <v>0</v>
      </c>
      <c r="AD27" s="519">
        <f>prod_compiled!J27</f>
        <v>0</v>
      </c>
      <c r="AE27" s="519">
        <f>prod_compiled!K27</f>
        <v>0</v>
      </c>
      <c r="AF27" s="519">
        <f>prod_compiled!L27</f>
        <v>0</v>
      </c>
      <c r="AG27" s="519">
        <f>prod_compiled!M27</f>
        <v>0</v>
      </c>
      <c r="AH27" s="519">
        <f>prod_compiled!N27</f>
        <v>0</v>
      </c>
      <c r="AI27" s="519">
        <f>prod_compiled!O27</f>
        <v>0</v>
      </c>
      <c r="AJ27" s="519">
        <f>prod_compiled!R27</f>
        <v>0.40490120879120878</v>
      </c>
      <c r="AK27" s="519">
        <f ca="1">prod_compiled!S27</f>
        <v>0</v>
      </c>
      <c r="AL27" s="519">
        <f>prod_compiled!T27</f>
        <v>0</v>
      </c>
      <c r="AM27" s="519">
        <f>prod_compiled!U27</f>
        <v>0</v>
      </c>
      <c r="AN27" s="519">
        <f ca="1">prod_compiled!V27</f>
        <v>0</v>
      </c>
      <c r="AO27" s="519">
        <f>prod_compiled!W27</f>
        <v>0</v>
      </c>
      <c r="AP27" s="519">
        <f ca="1">prod_compiled!X27</f>
        <v>0</v>
      </c>
      <c r="AQ27" s="519">
        <f ca="1">prod_compiled!Y27</f>
        <v>0</v>
      </c>
      <c r="AR27" s="267">
        <f>VLOOKUP($AR$3,DPR!$C$9:$AG$5110,reference_points!$A27,FALSE)</f>
        <v>0.57677999999999996</v>
      </c>
      <c r="AS27" s="267" t="e">
        <f>VLOOKUP($AS$3,DPR!$C$9:$AG$1109,reference_points!$A27,FALSE)</f>
        <v>#N/A</v>
      </c>
      <c r="AT27" s="184">
        <f>'Standardised rates'!D27</f>
        <v>0.4</v>
      </c>
      <c r="AU27" s="267" t="e">
        <f>VLOOKUP($AU$3,DPR!$C$9:$AG$1109,reference_points!$A27,FALSE)</f>
        <v>#N/A</v>
      </c>
    </row>
    <row r="28" spans="1:47">
      <c r="A28">
        <v>20</v>
      </c>
      <c r="C28" s="319">
        <v>0.5</v>
      </c>
      <c r="D28" s="144" t="s">
        <v>59</v>
      </c>
      <c r="E28" s="523">
        <f>'Previous year'!D29</f>
        <v>2.7899999999999998E-2</v>
      </c>
      <c r="F28" s="523">
        <f>'Previous year'!E29</f>
        <v>2.661290322580645E-2</v>
      </c>
      <c r="G28" s="523">
        <f>'Previous year'!F29</f>
        <v>2.47E-2</v>
      </c>
      <c r="H28" s="523">
        <f>'Previous year'!G29</f>
        <v>2.6406593406593407E-2</v>
      </c>
      <c r="I28" s="523">
        <f>'Previous year'!H29</f>
        <v>2.8258064516129031E-2</v>
      </c>
      <c r="J28" s="523">
        <f>'Previous year'!I29</f>
        <v>2.9870967741935487E-2</v>
      </c>
      <c r="K28" s="523">
        <f>'Previous year'!J29</f>
        <v>3.1866666666666668E-2</v>
      </c>
      <c r="L28" s="523">
        <f>'Previous year'!K29</f>
        <v>2.9978260869565218E-2</v>
      </c>
      <c r="M28" s="523">
        <f>'Previous year'!L29</f>
        <v>2.8202185792349725E-2</v>
      </c>
      <c r="N28" s="523">
        <f>'Previous year'!M29</f>
        <v>3.3870967741935487E-2</v>
      </c>
      <c r="O28" s="523">
        <f>'Previous year'!N29</f>
        <v>3.39E-2</v>
      </c>
      <c r="P28" s="523">
        <f>'Previous year'!O29</f>
        <v>3.0870967741935481E-2</v>
      </c>
      <c r="Q28" s="523">
        <f>'Previous year'!P29</f>
        <v>3.2869565217391303E-2</v>
      </c>
      <c r="R28" s="523">
        <f>'Previous year'!Q29</f>
        <v>2.976363636363636E-2</v>
      </c>
      <c r="S28" s="523">
        <f>'Previous year'!R29</f>
        <v>2.8580645161290323E-2</v>
      </c>
      <c r="T28" s="523">
        <f>'Previous year'!S29</f>
        <v>2.8821428571428574E-2</v>
      </c>
      <c r="U28" s="523">
        <f>'Previous year'!T29</f>
        <v>0</v>
      </c>
      <c r="V28" s="523">
        <f>'Previous year'!U29</f>
        <v>1.8811111111111112E-2</v>
      </c>
      <c r="W28" s="523">
        <f>'Previous year'!V29</f>
        <v>2.7063013698630133E-2</v>
      </c>
      <c r="X28" s="519">
        <f>prod_compiled!D28</f>
        <v>2.8069999999999998E-2</v>
      </c>
      <c r="Y28" s="519">
        <f>prod_compiled!E28</f>
        <v>2.2259999999999999E-2</v>
      </c>
      <c r="Z28" s="519">
        <f>prod_compiled!F28</f>
        <v>2.563E-2</v>
      </c>
      <c r="AA28" s="519">
        <f>prod_compiled!G28</f>
        <v>2.5769999999999998E-2</v>
      </c>
      <c r="AB28" s="519">
        <f>prod_compiled!H28</f>
        <v>2.4838709677419371E-2</v>
      </c>
      <c r="AC28" s="519">
        <f>prod_compiled!I28</f>
        <v>0</v>
      </c>
      <c r="AD28" s="519">
        <f>prod_compiled!J28</f>
        <v>0</v>
      </c>
      <c r="AE28" s="519">
        <f>prod_compiled!K28</f>
        <v>0</v>
      </c>
      <c r="AF28" s="519">
        <f>prod_compiled!L28</f>
        <v>0</v>
      </c>
      <c r="AG28" s="519">
        <f>prod_compiled!M28</f>
        <v>0</v>
      </c>
      <c r="AH28" s="519">
        <f>prod_compiled!N28</f>
        <v>0</v>
      </c>
      <c r="AI28" s="519">
        <f>prod_compiled!O28</f>
        <v>0</v>
      </c>
      <c r="AJ28" s="519">
        <f>prod_compiled!R28</f>
        <v>2.5286373626373627E-2</v>
      </c>
      <c r="AK28" s="519">
        <f ca="1">prod_compiled!S28</f>
        <v>0</v>
      </c>
      <c r="AL28" s="519">
        <f>prod_compiled!T28</f>
        <v>0</v>
      </c>
      <c r="AM28" s="519">
        <f>prod_compiled!U28</f>
        <v>0</v>
      </c>
      <c r="AN28" s="519">
        <f ca="1">prod_compiled!V28</f>
        <v>0</v>
      </c>
      <c r="AO28" s="519">
        <f>prod_compiled!W28</f>
        <v>0</v>
      </c>
      <c r="AP28" s="519">
        <f ca="1">prod_compiled!X28</f>
        <v>0</v>
      </c>
      <c r="AQ28" s="519">
        <f ca="1">prod_compiled!Y28</f>
        <v>0</v>
      </c>
      <c r="AR28" s="267">
        <f>VLOOKUP($AR$3,DPR!$C$9:$AG$5110,reference_points!$A28,FALSE)</f>
        <v>2.4E-2</v>
      </c>
      <c r="AS28" s="267" t="e">
        <f>VLOOKUP($AS$3,DPR!$C$9:$AG$1109,reference_points!$A28,FALSE)</f>
        <v>#N/A</v>
      </c>
      <c r="AT28" s="184">
        <f>'Standardised rates'!D28</f>
        <v>1.2E-2</v>
      </c>
      <c r="AU28" s="267" t="e">
        <f>VLOOKUP($AU$3,DPR!$C$9:$AG$1109,reference_points!$A28,FALSE)</f>
        <v>#N/A</v>
      </c>
    </row>
    <row r="29" spans="1:47">
      <c r="A29">
        <v>19</v>
      </c>
      <c r="C29" s="318">
        <v>0.7</v>
      </c>
      <c r="D29" s="144" t="s">
        <v>63</v>
      </c>
      <c r="E29" s="523">
        <f>'Previous year'!D30</f>
        <v>4.0666666666666663E-3</v>
      </c>
      <c r="F29" s="523">
        <f>'Previous year'!E30</f>
        <v>3.0645161290322582E-3</v>
      </c>
      <c r="G29" s="523">
        <f>'Previous year'!F30</f>
        <v>2.3999999999999998E-3</v>
      </c>
      <c r="H29" s="523">
        <f>'Previous year'!G30</f>
        <v>3.1758241758241758E-3</v>
      </c>
      <c r="I29" s="523">
        <f>'Previous year'!H30</f>
        <v>3.9032258064516127E-3</v>
      </c>
      <c r="J29" s="523">
        <f>'Previous year'!I30</f>
        <v>4.0322580645161289E-3</v>
      </c>
      <c r="K29" s="523">
        <f>'Previous year'!J30</f>
        <v>4.0666666666666663E-3</v>
      </c>
      <c r="L29" s="523">
        <f>'Previous year'!K30</f>
        <v>4.0000000000000001E-3</v>
      </c>
      <c r="M29" s="523">
        <f>'Previous year'!L30</f>
        <v>3.5901639344262295E-3</v>
      </c>
      <c r="N29" s="523">
        <f>'Previous year'!M30</f>
        <v>3.6451612903225807E-3</v>
      </c>
      <c r="O29" s="523">
        <f>'Previous year'!N30</f>
        <v>3.0999999999999999E-3</v>
      </c>
      <c r="P29" s="523">
        <f>'Previous year'!O30</f>
        <v>3.7419354838709681E-3</v>
      </c>
      <c r="Q29" s="523">
        <f>'Previous year'!P30</f>
        <v>3.5000000000000001E-3</v>
      </c>
      <c r="R29" s="523">
        <f>'Previous year'!Q30</f>
        <v>3.5600000000000002E-3</v>
      </c>
      <c r="S29" s="523">
        <f>'Previous year'!R30</f>
        <v>3.5483870967741938E-3</v>
      </c>
      <c r="T29" s="523">
        <f>'Previous year'!S30</f>
        <v>2.5357142857142857E-3</v>
      </c>
      <c r="U29" s="523">
        <f>'Previous year'!T30</f>
        <v>0</v>
      </c>
      <c r="V29" s="523">
        <f>'Previous year'!U30</f>
        <v>2.0111111111111111E-3</v>
      </c>
      <c r="W29" s="523">
        <f>'Previous year'!V30</f>
        <v>3.1780821917808222E-3</v>
      </c>
      <c r="X29" s="519">
        <f>prod_compiled!D29</f>
        <v>2.9666666666666665E-3</v>
      </c>
      <c r="Y29" s="519">
        <f>prod_compiled!E29</f>
        <v>3.3861290322580642E-3</v>
      </c>
      <c r="Z29" s="519">
        <f>prod_compiled!F29</f>
        <v>3.4336666666666669E-3</v>
      </c>
      <c r="AA29" s="519">
        <f>prod_compiled!G29</f>
        <v>3.4519354838709678E-3</v>
      </c>
      <c r="AB29" s="519">
        <f>prod_compiled!H29</f>
        <v>4.2675274492747555E-3</v>
      </c>
      <c r="AC29" s="519">
        <f>prod_compiled!I29</f>
        <v>0</v>
      </c>
      <c r="AD29" s="519">
        <f>prod_compiled!J29</f>
        <v>0</v>
      </c>
      <c r="AE29" s="519">
        <f>prod_compiled!K29</f>
        <v>0</v>
      </c>
      <c r="AF29" s="519">
        <f>prod_compiled!L29</f>
        <v>0</v>
      </c>
      <c r="AG29" s="519">
        <f>prod_compiled!M29</f>
        <v>0</v>
      </c>
      <c r="AH29" s="519">
        <f>prod_compiled!N29</f>
        <v>0</v>
      </c>
      <c r="AI29" s="519">
        <f>prod_compiled!O29</f>
        <v>0</v>
      </c>
      <c r="AJ29" s="519">
        <f>prod_compiled!R29</f>
        <v>3.2635164835164831E-3</v>
      </c>
      <c r="AK29" s="519">
        <f ca="1">prod_compiled!S29</f>
        <v>0</v>
      </c>
      <c r="AL29" s="519">
        <f>prod_compiled!T29</f>
        <v>0</v>
      </c>
      <c r="AM29" s="519">
        <f>prod_compiled!U29</f>
        <v>0</v>
      </c>
      <c r="AN29" s="519">
        <f ca="1">prod_compiled!V29</f>
        <v>0</v>
      </c>
      <c r="AO29" s="519">
        <f>prod_compiled!W29</f>
        <v>0</v>
      </c>
      <c r="AP29" s="519">
        <f ca="1">prod_compiled!X29</f>
        <v>0</v>
      </c>
      <c r="AQ29" s="519">
        <f ca="1">prod_compiled!Y29</f>
        <v>0</v>
      </c>
      <c r="AR29" s="267">
        <f>VLOOKUP($AR$3,DPR!$C$9:$AG$5110,reference_points!$A29,FALSE)</f>
        <v>5.4456076364799927E-3</v>
      </c>
      <c r="AS29" s="267" t="e">
        <f>VLOOKUP($AS$3,DPR!$C$9:$AG$1109,reference_points!$A29,FALSE)</f>
        <v>#N/A</v>
      </c>
      <c r="AT29" s="184">
        <f>'Standardised rates'!D29</f>
        <v>5.0000000000000001E-3</v>
      </c>
      <c r="AU29" s="267" t="e">
        <f>VLOOKUP($AU$3,DPR!$C$9:$AG$1109,reference_points!$A29,FALSE)</f>
        <v>#N/A</v>
      </c>
    </row>
    <row r="30" spans="1:47">
      <c r="A30">
        <v>27</v>
      </c>
      <c r="C30" s="318">
        <v>0.11</v>
      </c>
      <c r="D30" s="144" t="s">
        <v>64</v>
      </c>
      <c r="E30" s="523">
        <f>'Previous year'!D31</f>
        <v>0.19126666666666667</v>
      </c>
      <c r="F30" s="523">
        <f>'Previous year'!E31</f>
        <v>0.1884193548387097</v>
      </c>
      <c r="G30" s="523">
        <f>'Previous year'!F31</f>
        <v>0.18953333333333333</v>
      </c>
      <c r="H30" s="523">
        <f>'Previous year'!G31</f>
        <v>0.18972527472527473</v>
      </c>
      <c r="I30" s="523">
        <f>'Previous year'!H31</f>
        <v>0.20270967741935483</v>
      </c>
      <c r="J30" s="523">
        <f>'Previous year'!I31</f>
        <v>0.21251612903225806</v>
      </c>
      <c r="K30" s="523">
        <f>'Previous year'!J31</f>
        <v>0.1958</v>
      </c>
      <c r="L30" s="523">
        <f>'Previous year'!K31</f>
        <v>0.20376086956521738</v>
      </c>
      <c r="M30" s="523">
        <f>'Previous year'!L31</f>
        <v>0.1967814207650273</v>
      </c>
      <c r="N30" s="523">
        <f>'Previous year'!M31</f>
        <v>0.1984516129032258</v>
      </c>
      <c r="O30" s="523">
        <f>'Previous year'!N31</f>
        <v>0.21546666666666667</v>
      </c>
      <c r="P30" s="523">
        <f>'Previous year'!O31</f>
        <v>0.20580645161290323</v>
      </c>
      <c r="Q30" s="523">
        <f>'Previous year'!P31</f>
        <v>0.20647826086956519</v>
      </c>
      <c r="R30" s="523">
        <f>'Previous year'!Q31</f>
        <v>0.20002545454545451</v>
      </c>
      <c r="S30" s="523">
        <f>'Previous year'!R31</f>
        <v>0.12619354838709676</v>
      </c>
      <c r="T30" s="523">
        <f>'Previous year'!S31</f>
        <v>0.22010714285714286</v>
      </c>
      <c r="U30" s="523">
        <f>'Previous year'!T31</f>
        <v>0</v>
      </c>
      <c r="V30" s="523">
        <f>'Previous year'!U31</f>
        <v>0.11194444444444443</v>
      </c>
      <c r="W30" s="523">
        <f>'Previous year'!V31</f>
        <v>0.17830684931506849</v>
      </c>
      <c r="X30" s="519">
        <f>prod_compiled!D30</f>
        <v>0.20245600000000002</v>
      </c>
      <c r="Y30" s="519">
        <f>prod_compiled!E30</f>
        <v>0.19437000000000001</v>
      </c>
      <c r="Z30" s="519">
        <f>prod_compiled!F30</f>
        <v>0.19165266666666667</v>
      </c>
      <c r="AA30" s="519">
        <f>prod_compiled!G30</f>
        <v>0.19517483870967742</v>
      </c>
      <c r="AB30" s="519">
        <f>prod_compiled!H30</f>
        <v>0.19382406504026423</v>
      </c>
      <c r="AC30" s="519">
        <f>prod_compiled!I30</f>
        <v>0</v>
      </c>
      <c r="AD30" s="519">
        <f>prod_compiled!J30</f>
        <v>0</v>
      </c>
      <c r="AE30" s="519">
        <f>prod_compiled!K30</f>
        <v>0</v>
      </c>
      <c r="AF30" s="519">
        <f>prod_compiled!L30</f>
        <v>0</v>
      </c>
      <c r="AG30" s="519">
        <f>prod_compiled!M30</f>
        <v>0</v>
      </c>
      <c r="AH30" s="519">
        <f>prod_compiled!N30</f>
        <v>0</v>
      </c>
      <c r="AI30" s="519">
        <f>prod_compiled!O30</f>
        <v>0</v>
      </c>
      <c r="AJ30" s="519">
        <f>prod_compiled!R30</f>
        <v>0.19613989010989014</v>
      </c>
      <c r="AK30" s="519">
        <f ca="1">prod_compiled!S30</f>
        <v>0</v>
      </c>
      <c r="AL30" s="519">
        <f>prod_compiled!T30</f>
        <v>0</v>
      </c>
      <c r="AM30" s="519">
        <f>prod_compiled!U30</f>
        <v>0</v>
      </c>
      <c r="AN30" s="519">
        <f ca="1">prod_compiled!V30</f>
        <v>0</v>
      </c>
      <c r="AO30" s="519">
        <f>prod_compiled!W30</f>
        <v>0</v>
      </c>
      <c r="AP30" s="519">
        <f ca="1">prod_compiled!X30</f>
        <v>0</v>
      </c>
      <c r="AQ30" s="519">
        <f ca="1">prod_compiled!Y30</f>
        <v>0</v>
      </c>
      <c r="AR30" s="267">
        <f>VLOOKUP($AR$3,DPR!$C$9:$AG$5110,reference_points!$A30,FALSE)</f>
        <v>0.1775464608222638</v>
      </c>
      <c r="AS30" s="267" t="e">
        <f>VLOOKUP($AS$3,DPR!$C$9:$AG$1109,reference_points!$A30,FALSE)</f>
        <v>#N/A</v>
      </c>
      <c r="AT30" s="184">
        <f>'Standardised rates'!D30</f>
        <v>0.18</v>
      </c>
      <c r="AU30" s="267" t="e">
        <f>VLOOKUP($AU$3,DPR!$C$9:$AG$1109,reference_points!$A30,FALSE)</f>
        <v>#N/A</v>
      </c>
    </row>
    <row r="31" spans="1:47">
      <c r="A31">
        <v>28</v>
      </c>
      <c r="C31" s="318">
        <v>0.4</v>
      </c>
      <c r="D31" s="144" t="s">
        <v>65</v>
      </c>
      <c r="E31" s="523">
        <f>'Previous year'!D32</f>
        <v>0.13766666666666666</v>
      </c>
      <c r="F31" s="523">
        <f>'Previous year'!E32</f>
        <v>8.2129032258064505E-2</v>
      </c>
      <c r="G31" s="523">
        <f>'Previous year'!F32</f>
        <v>6.6233333333333338E-2</v>
      </c>
      <c r="H31" s="523">
        <f>'Previous year'!G32</f>
        <v>9.5197802197802203E-2</v>
      </c>
      <c r="I31" s="523">
        <f>'Previous year'!H32</f>
        <v>7.9709677419354835E-2</v>
      </c>
      <c r="J31" s="523">
        <f>'Previous year'!I32</f>
        <v>9.1483870967741937E-2</v>
      </c>
      <c r="K31" s="523">
        <f>'Previous year'!J32</f>
        <v>9.74E-2</v>
      </c>
      <c r="L31" s="523">
        <f>'Previous year'!K32</f>
        <v>8.9445652173913051E-2</v>
      </c>
      <c r="M31" s="523">
        <f>'Previous year'!L32</f>
        <v>9.2306010928961763E-2</v>
      </c>
      <c r="N31" s="523">
        <f>'Previous year'!M32</f>
        <v>9.7838709677419353E-2</v>
      </c>
      <c r="O31" s="523">
        <f>'Previous year'!N32</f>
        <v>9.8033333333333333E-2</v>
      </c>
      <c r="P31" s="523">
        <f>'Previous year'!O32</f>
        <v>8.8064516129032253E-2</v>
      </c>
      <c r="Q31" s="523">
        <f>'Previous year'!P32</f>
        <v>9.4608695652173919E-2</v>
      </c>
      <c r="R31" s="523">
        <f>'Previous year'!Q32</f>
        <v>9.3076363636363652E-2</v>
      </c>
      <c r="S31" s="523">
        <f>'Previous year'!R32</f>
        <v>3.9225806451612902E-2</v>
      </c>
      <c r="T31" s="523">
        <f>'Previous year'!S32</f>
        <v>0.11460714285714287</v>
      </c>
      <c r="U31" s="523">
        <f>'Previous year'!T32</f>
        <v>0</v>
      </c>
      <c r="V31" s="523">
        <f>'Previous year'!U32</f>
        <v>4.9166666666666664E-2</v>
      </c>
      <c r="W31" s="523">
        <f>'Previous year'!V32</f>
        <v>8.2249315068493159E-2</v>
      </c>
      <c r="X31" s="519">
        <f>prod_compiled!D31</f>
        <v>9.3833E-2</v>
      </c>
      <c r="Y31" s="519">
        <f>prod_compiled!E31</f>
        <v>9.2815806451612901E-2</v>
      </c>
      <c r="Z31" s="519">
        <f>prod_compiled!F31</f>
        <v>8.6883666666666665E-2</v>
      </c>
      <c r="AA31" s="519">
        <f>prod_compiled!G31</f>
        <v>9.5066774193548392E-2</v>
      </c>
      <c r="AB31" s="519">
        <f>prod_compiled!H31</f>
        <v>8.5725975210725086E-2</v>
      </c>
      <c r="AC31" s="519">
        <f>prod_compiled!I31</f>
        <v>0</v>
      </c>
      <c r="AD31" s="519">
        <f>prod_compiled!J31</f>
        <v>0</v>
      </c>
      <c r="AE31" s="519">
        <f>prod_compiled!K31</f>
        <v>0</v>
      </c>
      <c r="AF31" s="519">
        <f>prod_compiled!L31</f>
        <v>0</v>
      </c>
      <c r="AG31" s="519">
        <f>prod_compiled!M31</f>
        <v>0</v>
      </c>
      <c r="AH31" s="519">
        <f>prod_compiled!N31</f>
        <v>0</v>
      </c>
      <c r="AI31" s="519">
        <f>prod_compiled!O31</f>
        <v>0</v>
      </c>
      <c r="AJ31" s="519">
        <f>prod_compiled!R31</f>
        <v>9.1195494505494509E-2</v>
      </c>
      <c r="AK31" s="519">
        <f ca="1">prod_compiled!S31</f>
        <v>0</v>
      </c>
      <c r="AL31" s="519">
        <f>prod_compiled!T31</f>
        <v>0</v>
      </c>
      <c r="AM31" s="519">
        <f>prod_compiled!U31</f>
        <v>0</v>
      </c>
      <c r="AN31" s="519">
        <f ca="1">prod_compiled!V31</f>
        <v>0</v>
      </c>
      <c r="AO31" s="519">
        <f>prod_compiled!W31</f>
        <v>0</v>
      </c>
      <c r="AP31" s="519">
        <f ca="1">prod_compiled!X31</f>
        <v>0</v>
      </c>
      <c r="AQ31" s="519">
        <f ca="1">prod_compiled!Y31</f>
        <v>0</v>
      </c>
      <c r="AR31" s="267">
        <f>VLOOKUP($AR$3,DPR!$C$9:$AG$5110,reference_points!$A31,FALSE)</f>
        <v>0.10007164155436686</v>
      </c>
      <c r="AS31" s="267" t="e">
        <f>VLOOKUP($AS$3,DPR!$C$9:$AG$1109,reference_points!$A31,FALSE)</f>
        <v>#N/A</v>
      </c>
      <c r="AT31" s="184">
        <f>'Standardised rates'!D31</f>
        <v>0.05</v>
      </c>
      <c r="AU31" s="267" t="e">
        <f>VLOOKUP($AU$3,DPR!$C$9:$AG$1109,reference_points!$A31,FALSE)</f>
        <v>#N/A</v>
      </c>
    </row>
    <row r="32" spans="1:47">
      <c r="A32">
        <v>26</v>
      </c>
      <c r="C32" s="318">
        <v>0.04</v>
      </c>
      <c r="D32" s="144" t="s">
        <v>66</v>
      </c>
      <c r="E32" s="523">
        <f>'Previous year'!D33</f>
        <v>0</v>
      </c>
      <c r="F32" s="523">
        <f>'Previous year'!E33</f>
        <v>0</v>
      </c>
      <c r="G32" s="523">
        <f>'Previous year'!F33</f>
        <v>0</v>
      </c>
      <c r="H32" s="523">
        <f>'Previous year'!G33</f>
        <v>0</v>
      </c>
      <c r="I32" s="523">
        <f>'Previous year'!H33</f>
        <v>0</v>
      </c>
      <c r="J32" s="523">
        <f>'Previous year'!I33</f>
        <v>0</v>
      </c>
      <c r="K32" s="523">
        <f>'Previous year'!J33</f>
        <v>0</v>
      </c>
      <c r="L32" s="523">
        <f>'Previous year'!K33</f>
        <v>0</v>
      </c>
      <c r="M32" s="523">
        <f>'Previous year'!L33</f>
        <v>0</v>
      </c>
      <c r="N32" s="523">
        <f>'Previous year'!M33</f>
        <v>0</v>
      </c>
      <c r="O32" s="523">
        <f>'Previous year'!N33</f>
        <v>0</v>
      </c>
      <c r="P32" s="523">
        <f>'Previous year'!O33</f>
        <v>0</v>
      </c>
      <c r="Q32" s="523">
        <f>'Previous year'!P33</f>
        <v>0</v>
      </c>
      <c r="R32" s="523">
        <f>'Previous year'!Q33</f>
        <v>0</v>
      </c>
      <c r="S32" s="523">
        <f>'Previous year'!R33</f>
        <v>0</v>
      </c>
      <c r="T32" s="523">
        <f>'Previous year'!S33</f>
        <v>0</v>
      </c>
      <c r="U32" s="523">
        <f>'Previous year'!T33</f>
        <v>0</v>
      </c>
      <c r="V32" s="523">
        <f>'Previous year'!U33</f>
        <v>0</v>
      </c>
      <c r="W32" s="523">
        <f>'Previous year'!V33</f>
        <v>0</v>
      </c>
      <c r="X32" s="519">
        <f>prod_compiled!D32</f>
        <v>0</v>
      </c>
      <c r="Y32" s="519">
        <f>prod_compiled!E32</f>
        <v>0</v>
      </c>
      <c r="Z32" s="519">
        <f>prod_compiled!F32</f>
        <v>0</v>
      </c>
      <c r="AA32" s="519">
        <f>prod_compiled!G32</f>
        <v>0</v>
      </c>
      <c r="AB32" s="519">
        <f>prod_compiled!H32</f>
        <v>0</v>
      </c>
      <c r="AC32" s="519">
        <f>prod_compiled!I32</f>
        <v>0</v>
      </c>
      <c r="AD32" s="519">
        <f>prod_compiled!J32</f>
        <v>0</v>
      </c>
      <c r="AE32" s="519">
        <f>prod_compiled!K32</f>
        <v>0</v>
      </c>
      <c r="AF32" s="519">
        <f>prod_compiled!L32</f>
        <v>0</v>
      </c>
      <c r="AG32" s="519">
        <f>prod_compiled!M32</f>
        <v>0</v>
      </c>
      <c r="AH32" s="519">
        <f>prod_compiled!N32</f>
        <v>0</v>
      </c>
      <c r="AI32" s="519">
        <f>prod_compiled!O32</f>
        <v>0</v>
      </c>
      <c r="AJ32" s="519">
        <f>prod_compiled!R32</f>
        <v>0</v>
      </c>
      <c r="AK32" s="519">
        <f ca="1">prod_compiled!S32</f>
        <v>0</v>
      </c>
      <c r="AL32" s="519">
        <f>prod_compiled!T32</f>
        <v>0</v>
      </c>
      <c r="AM32" s="519">
        <f>prod_compiled!U32</f>
        <v>0</v>
      </c>
      <c r="AN32" s="519">
        <f ca="1">prod_compiled!V32</f>
        <v>0</v>
      </c>
      <c r="AO32" s="519">
        <f>prod_compiled!W32</f>
        <v>0</v>
      </c>
      <c r="AP32" s="519">
        <f ca="1">prod_compiled!X32</f>
        <v>0</v>
      </c>
      <c r="AQ32" s="519">
        <f ca="1">prod_compiled!Y32</f>
        <v>0</v>
      </c>
      <c r="AR32" s="267">
        <f>VLOOKUP($AR$3,DPR!$C$9:$AG$5110,reference_points!$A32,FALSE)</f>
        <v>0</v>
      </c>
      <c r="AS32" s="267" t="e">
        <f>VLOOKUP($AS$3,DPR!$C$9:$AG$1109,reference_points!$A32,FALSE)</f>
        <v>#N/A</v>
      </c>
      <c r="AT32" s="184">
        <f>'Standardised rates'!D32</f>
        <v>0</v>
      </c>
      <c r="AU32" s="267" t="e">
        <f>VLOOKUP($AU$3,DPR!$C$9:$AG$1109,reference_points!$A32,FALSE)</f>
        <v>#N/A</v>
      </c>
    </row>
    <row r="33" spans="1:47">
      <c r="A33">
        <v>24</v>
      </c>
      <c r="C33" s="318">
        <v>0.25</v>
      </c>
      <c r="D33" s="144" t="s">
        <v>67</v>
      </c>
      <c r="E33" s="523">
        <f>'Previous year'!D34</f>
        <v>0</v>
      </c>
      <c r="F33" s="523">
        <f>'Previous year'!E34</f>
        <v>0</v>
      </c>
      <c r="G33" s="523">
        <f>'Previous year'!F34</f>
        <v>0</v>
      </c>
      <c r="H33" s="523">
        <f>'Previous year'!G34</f>
        <v>0</v>
      </c>
      <c r="I33" s="523">
        <f>'Previous year'!H34</f>
        <v>0</v>
      </c>
      <c r="J33" s="523">
        <f>'Previous year'!I34</f>
        <v>0</v>
      </c>
      <c r="K33" s="523">
        <f>'Previous year'!J34</f>
        <v>0</v>
      </c>
      <c r="L33" s="523">
        <f>'Previous year'!K34</f>
        <v>0</v>
      </c>
      <c r="M33" s="523">
        <f>'Previous year'!L34</f>
        <v>0</v>
      </c>
      <c r="N33" s="523">
        <f>'Previous year'!M34</f>
        <v>0</v>
      </c>
      <c r="O33" s="523">
        <f>'Previous year'!N34</f>
        <v>0</v>
      </c>
      <c r="P33" s="523">
        <f>'Previous year'!O34</f>
        <v>0</v>
      </c>
      <c r="Q33" s="523">
        <f>'Previous year'!P34</f>
        <v>0</v>
      </c>
      <c r="R33" s="523">
        <f>'Previous year'!Q34</f>
        <v>0</v>
      </c>
      <c r="S33" s="523">
        <f>'Previous year'!R34</f>
        <v>0</v>
      </c>
      <c r="T33" s="523">
        <f>'Previous year'!S34</f>
        <v>0</v>
      </c>
      <c r="U33" s="523">
        <f>'Previous year'!T34</f>
        <v>0</v>
      </c>
      <c r="V33" s="523">
        <f>'Previous year'!U34</f>
        <v>0</v>
      </c>
      <c r="W33" s="523">
        <f>'Previous year'!V34</f>
        <v>0</v>
      </c>
      <c r="X33" s="519">
        <f>prod_compiled!D33</f>
        <v>0</v>
      </c>
      <c r="Y33" s="519">
        <f>prod_compiled!E33</f>
        <v>0</v>
      </c>
      <c r="Z33" s="519">
        <f>prod_compiled!F33</f>
        <v>0</v>
      </c>
      <c r="AA33" s="519">
        <f>prod_compiled!G33</f>
        <v>0</v>
      </c>
      <c r="AB33" s="519">
        <f>prod_compiled!H33</f>
        <v>0</v>
      </c>
      <c r="AC33" s="519">
        <f>prod_compiled!I33</f>
        <v>0</v>
      </c>
      <c r="AD33" s="519">
        <f>prod_compiled!J33</f>
        <v>0</v>
      </c>
      <c r="AE33" s="519">
        <f>prod_compiled!K33</f>
        <v>0</v>
      </c>
      <c r="AF33" s="519">
        <f>prod_compiled!L33</f>
        <v>0</v>
      </c>
      <c r="AG33" s="519">
        <f>prod_compiled!M33</f>
        <v>0</v>
      </c>
      <c r="AH33" s="519">
        <f>prod_compiled!N33</f>
        <v>0</v>
      </c>
      <c r="AI33" s="519">
        <f>prod_compiled!O33</f>
        <v>0</v>
      </c>
      <c r="AJ33" s="519">
        <f>prod_compiled!R33</f>
        <v>0</v>
      </c>
      <c r="AK33" s="519">
        <f ca="1">prod_compiled!S33</f>
        <v>0</v>
      </c>
      <c r="AL33" s="519">
        <f>prod_compiled!T33</f>
        <v>0</v>
      </c>
      <c r="AM33" s="519">
        <f>prod_compiled!U33</f>
        <v>0</v>
      </c>
      <c r="AN33" s="519">
        <f ca="1">prod_compiled!V33</f>
        <v>0</v>
      </c>
      <c r="AO33" s="519">
        <f>prod_compiled!W33</f>
        <v>0</v>
      </c>
      <c r="AP33" s="519">
        <f ca="1">prod_compiled!X33</f>
        <v>0</v>
      </c>
      <c r="AQ33" s="519">
        <f ca="1">prod_compiled!Y33</f>
        <v>0</v>
      </c>
      <c r="AR33" s="267">
        <f>VLOOKUP($AR$3,DPR!$C$9:$AG$5110,reference_points!$A33,FALSE)</f>
        <v>0</v>
      </c>
      <c r="AS33" s="267" t="e">
        <f>VLOOKUP($AS$3,DPR!$C$9:$AG$1109,reference_points!$A33,FALSE)</f>
        <v>#N/A</v>
      </c>
      <c r="AT33" s="184">
        <f>'Standardised rates'!D33</f>
        <v>0</v>
      </c>
      <c r="AU33" s="267" t="e">
        <f>VLOOKUP($AU$3,DPR!$C$9:$AG$1109,reference_points!$A33,FALSE)</f>
        <v>#N/A</v>
      </c>
    </row>
    <row r="34" spans="1:47">
      <c r="A34">
        <v>25</v>
      </c>
      <c r="C34" s="318">
        <v>0.24124999999999999</v>
      </c>
      <c r="D34" s="144" t="s">
        <v>68</v>
      </c>
      <c r="E34" s="523">
        <f>'Previous year'!D35</f>
        <v>0</v>
      </c>
      <c r="F34" s="523">
        <f>'Previous year'!E35</f>
        <v>0</v>
      </c>
      <c r="G34" s="523">
        <f>'Previous year'!F35</f>
        <v>0</v>
      </c>
      <c r="H34" s="523">
        <f>'Previous year'!G35</f>
        <v>0</v>
      </c>
      <c r="I34" s="523">
        <f>'Previous year'!H35</f>
        <v>0</v>
      </c>
      <c r="J34" s="523">
        <f>'Previous year'!I35</f>
        <v>0</v>
      </c>
      <c r="K34" s="523">
        <f>'Previous year'!J35</f>
        <v>0</v>
      </c>
      <c r="L34" s="523">
        <f>'Previous year'!K35</f>
        <v>0</v>
      </c>
      <c r="M34" s="523">
        <f>'Previous year'!L35</f>
        <v>0</v>
      </c>
      <c r="N34" s="523">
        <f>'Previous year'!M35</f>
        <v>0</v>
      </c>
      <c r="O34" s="523">
        <f>'Previous year'!N35</f>
        <v>0</v>
      </c>
      <c r="P34" s="523">
        <f>'Previous year'!O35</f>
        <v>0</v>
      </c>
      <c r="Q34" s="523">
        <f>'Previous year'!P35</f>
        <v>0</v>
      </c>
      <c r="R34" s="523">
        <f>'Previous year'!Q35</f>
        <v>0</v>
      </c>
      <c r="S34" s="523">
        <f>'Previous year'!R35</f>
        <v>0</v>
      </c>
      <c r="T34" s="523">
        <f>'Previous year'!S35</f>
        <v>0</v>
      </c>
      <c r="U34" s="523">
        <f>'Previous year'!T35</f>
        <v>0</v>
      </c>
      <c r="V34" s="523">
        <f>'Previous year'!U35</f>
        <v>0</v>
      </c>
      <c r="W34" s="523">
        <f>'Previous year'!V35</f>
        <v>0</v>
      </c>
      <c r="X34" s="519">
        <f>prod_compiled!D34</f>
        <v>0</v>
      </c>
      <c r="Y34" s="519">
        <f>prod_compiled!E34</f>
        <v>0</v>
      </c>
      <c r="Z34" s="519">
        <f>prod_compiled!F34</f>
        <v>0</v>
      </c>
      <c r="AA34" s="519">
        <f>prod_compiled!G34</f>
        <v>0</v>
      </c>
      <c r="AB34" s="519">
        <f>prod_compiled!H34</f>
        <v>0</v>
      </c>
      <c r="AC34" s="519">
        <f>prod_compiled!I34</f>
        <v>0</v>
      </c>
      <c r="AD34" s="519">
        <f>prod_compiled!J34</f>
        <v>0</v>
      </c>
      <c r="AE34" s="519">
        <f>prod_compiled!K34</f>
        <v>0</v>
      </c>
      <c r="AF34" s="519">
        <f>prod_compiled!L34</f>
        <v>0</v>
      </c>
      <c r="AG34" s="519">
        <f>prod_compiled!M34</f>
        <v>0</v>
      </c>
      <c r="AH34" s="519">
        <f>prod_compiled!N34</f>
        <v>0</v>
      </c>
      <c r="AI34" s="519">
        <f>prod_compiled!O34</f>
        <v>0</v>
      </c>
      <c r="AJ34" s="519">
        <f>prod_compiled!R34</f>
        <v>0</v>
      </c>
      <c r="AK34" s="519">
        <f ca="1">prod_compiled!S34</f>
        <v>0</v>
      </c>
      <c r="AL34" s="519">
        <f>prod_compiled!T34</f>
        <v>0</v>
      </c>
      <c r="AM34" s="519">
        <f>prod_compiled!U34</f>
        <v>0</v>
      </c>
      <c r="AN34" s="519">
        <f ca="1">prod_compiled!V34</f>
        <v>0</v>
      </c>
      <c r="AO34" s="519">
        <f>prod_compiled!W34</f>
        <v>0</v>
      </c>
      <c r="AP34" s="519">
        <f ca="1">prod_compiled!X34</f>
        <v>0</v>
      </c>
      <c r="AQ34" s="519">
        <f ca="1">prod_compiled!Y34</f>
        <v>0</v>
      </c>
      <c r="AR34" s="267">
        <f>VLOOKUP($AR$3,DPR!$C$9:$AG$5110,reference_points!$A34,FALSE)</f>
        <v>0</v>
      </c>
      <c r="AS34" s="267" t="e">
        <f>VLOOKUP($AS$3,DPR!$C$9:$AG$1109,reference_points!$A34,FALSE)</f>
        <v>#N/A</v>
      </c>
      <c r="AT34" s="184">
        <f>'Standardised rates'!D34</f>
        <v>0</v>
      </c>
      <c r="AU34" s="267" t="e">
        <f>VLOOKUP($AU$3,DPR!$C$9:$AG$1109,reference_points!$A34,FALSE)</f>
        <v>#N/A</v>
      </c>
    </row>
    <row r="35" spans="1:47">
      <c r="A35">
        <v>29</v>
      </c>
      <c r="C35" s="318">
        <v>0.45</v>
      </c>
      <c r="D35" s="144" t="s">
        <v>69</v>
      </c>
      <c r="E35" s="523">
        <f>'Previous year'!D36</f>
        <v>0.48399999999999999</v>
      </c>
      <c r="F35" s="523">
        <f>'Previous year'!E36</f>
        <v>0.38096774193548388</v>
      </c>
      <c r="G35" s="523">
        <f>'Previous year'!F36</f>
        <v>0.36199999999999999</v>
      </c>
      <c r="H35" s="523">
        <f>'Previous year'!G36</f>
        <v>0.40868131868131868</v>
      </c>
      <c r="I35" s="523">
        <f>'Previous year'!H36</f>
        <v>0</v>
      </c>
      <c r="J35" s="523">
        <f>'Previous year'!I36</f>
        <v>0</v>
      </c>
      <c r="K35" s="523">
        <f>'Previous year'!J36</f>
        <v>0</v>
      </c>
      <c r="L35" s="523">
        <f>'Previous year'!K36</f>
        <v>0</v>
      </c>
      <c r="M35" s="523">
        <f>'Previous year'!L36</f>
        <v>0.20322404371584699</v>
      </c>
      <c r="N35" s="523">
        <f>'Previous year'!M36</f>
        <v>0</v>
      </c>
      <c r="O35" s="523">
        <f>'Previous year'!N36</f>
        <v>0</v>
      </c>
      <c r="P35" s="523">
        <f>'Previous year'!O36</f>
        <v>0</v>
      </c>
      <c r="Q35" s="523">
        <f>'Previous year'!P36</f>
        <v>0</v>
      </c>
      <c r="R35" s="523">
        <f>'Previous year'!Q36</f>
        <v>0.13523636363636363</v>
      </c>
      <c r="S35" s="523">
        <f>'Previous year'!R36</f>
        <v>0</v>
      </c>
      <c r="T35" s="523">
        <f>'Previous year'!S36</f>
        <v>0</v>
      </c>
      <c r="U35" s="523">
        <f>'Previous year'!T36</f>
        <v>0</v>
      </c>
      <c r="V35" s="523">
        <f>'Previous year'!U36</f>
        <v>0</v>
      </c>
      <c r="W35" s="523">
        <f>'Previous year'!V36</f>
        <v>0.10189041095890411</v>
      </c>
      <c r="X35" s="519">
        <f>prod_compiled!D35</f>
        <v>0</v>
      </c>
      <c r="Y35" s="519">
        <f>prod_compiled!E35</f>
        <v>0</v>
      </c>
      <c r="Z35" s="519">
        <f>prod_compiled!F35</f>
        <v>0</v>
      </c>
      <c r="AA35" s="519">
        <f>prod_compiled!G35</f>
        <v>0</v>
      </c>
      <c r="AB35" s="519">
        <f>prod_compiled!H35</f>
        <v>0</v>
      </c>
      <c r="AC35" s="519">
        <f>prod_compiled!I35</f>
        <v>0</v>
      </c>
      <c r="AD35" s="519">
        <f>prod_compiled!J35</f>
        <v>0</v>
      </c>
      <c r="AE35" s="519">
        <f>prod_compiled!K35</f>
        <v>0</v>
      </c>
      <c r="AF35" s="519">
        <f>prod_compiled!L35</f>
        <v>0</v>
      </c>
      <c r="AG35" s="519">
        <f>prod_compiled!M35</f>
        <v>0</v>
      </c>
      <c r="AH35" s="519">
        <f>prod_compiled!N35</f>
        <v>0</v>
      </c>
      <c r="AI35" s="519">
        <f>prod_compiled!O35</f>
        <v>0</v>
      </c>
      <c r="AJ35" s="519">
        <f>prod_compiled!R35</f>
        <v>0</v>
      </c>
      <c r="AK35" s="519">
        <f ca="1">prod_compiled!S35</f>
        <v>0</v>
      </c>
      <c r="AL35" s="519">
        <f>prod_compiled!T35</f>
        <v>0</v>
      </c>
      <c r="AM35" s="519">
        <f>prod_compiled!U35</f>
        <v>0</v>
      </c>
      <c r="AN35" s="519">
        <f ca="1">prod_compiled!V35</f>
        <v>0</v>
      </c>
      <c r="AO35" s="519">
        <f>prod_compiled!W35</f>
        <v>0</v>
      </c>
      <c r="AP35" s="519">
        <f ca="1">prod_compiled!X35</f>
        <v>0</v>
      </c>
      <c r="AQ35" s="519">
        <f ca="1">prod_compiled!Y35</f>
        <v>0</v>
      </c>
      <c r="AR35" s="267">
        <f>VLOOKUP($AR$3,DPR!$C$9:$AG$5110,reference_points!$A35,FALSE)</f>
        <v>0</v>
      </c>
      <c r="AS35" s="267" t="e">
        <f>VLOOKUP($AS$3,DPR!$C$9:$AG$1109,reference_points!$A35,FALSE)</f>
        <v>#N/A</v>
      </c>
      <c r="AT35" s="184">
        <f>'Standardised rates'!D35</f>
        <v>4.5</v>
      </c>
      <c r="AU35" s="267" t="e">
        <f>VLOOKUP($AU$3,DPR!$C$9:$AG$1109,reference_points!$A35,FALSE)</f>
        <v>#N/A</v>
      </c>
    </row>
    <row r="36" spans="1:47">
      <c r="A36">
        <v>30</v>
      </c>
      <c r="C36" s="318">
        <v>0.17</v>
      </c>
      <c r="D36" s="144" t="s">
        <v>70</v>
      </c>
      <c r="E36" s="523">
        <f>'Previous year'!D37</f>
        <v>13.435566666666666</v>
      </c>
      <c r="F36" s="523">
        <f>'Previous year'!E37</f>
        <v>13.915516129032257</v>
      </c>
      <c r="G36" s="523">
        <f>'Previous year'!F37</f>
        <v>14.258433333333333</v>
      </c>
      <c r="H36" s="523">
        <f>'Previous year'!G37</f>
        <v>13.870340659340659</v>
      </c>
      <c r="I36" s="523">
        <f>'Previous year'!H37</f>
        <v>14.528096774193548</v>
      </c>
      <c r="J36" s="523">
        <f>'Previous year'!I37</f>
        <v>14.26067741935484</v>
      </c>
      <c r="K36" s="523">
        <f>'Previous year'!J37</f>
        <v>12.1387</v>
      </c>
      <c r="L36" s="523">
        <f>'Previous year'!K37</f>
        <v>13.658836956521739</v>
      </c>
      <c r="M36" s="523">
        <f>'Previous year'!L37</f>
        <v>13.764010928961751</v>
      </c>
      <c r="N36" s="523">
        <f>'Previous year'!M37</f>
        <v>12.119483870967743</v>
      </c>
      <c r="O36" s="523">
        <f>'Previous year'!N37</f>
        <v>14.235800000000001</v>
      </c>
      <c r="P36" s="523">
        <f>'Previous year'!O37</f>
        <v>14.121032258064517</v>
      </c>
      <c r="Q36" s="523">
        <f>'Previous year'!P37</f>
        <v>13.484021739130435</v>
      </c>
      <c r="R36" s="523">
        <f>'Previous year'!Q37</f>
        <v>13.670341818181818</v>
      </c>
      <c r="S36" s="523">
        <f>'Previous year'!R37</f>
        <v>15.581161290322582</v>
      </c>
      <c r="T36" s="523">
        <f>'Previous year'!S37</f>
        <v>14.58882142857143</v>
      </c>
      <c r="U36" s="523">
        <f>'Previous year'!T37</f>
        <v>0</v>
      </c>
      <c r="V36" s="523">
        <f>'Previous year'!U37</f>
        <v>9.9055888888888894</v>
      </c>
      <c r="W36" s="523">
        <f>'Previous year'!V37</f>
        <v>12.742046575342465</v>
      </c>
      <c r="X36" s="519">
        <f>prod_compiled!D36</f>
        <v>13.193331000000001</v>
      </c>
      <c r="Y36" s="519">
        <f>prod_compiled!E36</f>
        <v>13.75741935483871</v>
      </c>
      <c r="Z36" s="519">
        <f>prod_compiled!F36</f>
        <v>14.452372</v>
      </c>
      <c r="AA36" s="519">
        <f>prod_compiled!G36</f>
        <v>14.21812129032258</v>
      </c>
      <c r="AB36" s="519">
        <f>prod_compiled!H36</f>
        <v>14.07202995152252</v>
      </c>
      <c r="AC36" s="519">
        <f>prod_compiled!I36</f>
        <v>0</v>
      </c>
      <c r="AD36" s="519">
        <f>prod_compiled!J36</f>
        <v>0</v>
      </c>
      <c r="AE36" s="519">
        <f>prod_compiled!K36</f>
        <v>0</v>
      </c>
      <c r="AF36" s="519">
        <f>prod_compiled!L36</f>
        <v>0</v>
      </c>
      <c r="AG36" s="519">
        <f>prod_compiled!M36</f>
        <v>0</v>
      </c>
      <c r="AH36" s="519">
        <f>prod_compiled!N36</f>
        <v>0</v>
      </c>
      <c r="AI36" s="519">
        <f>prod_compiled!O36</f>
        <v>0</v>
      </c>
      <c r="AJ36" s="519">
        <f>prod_compiled!R36</f>
        <v>13.800561428571429</v>
      </c>
      <c r="AK36" s="519">
        <f ca="1">prod_compiled!S36</f>
        <v>0</v>
      </c>
      <c r="AL36" s="519">
        <f>prod_compiled!T36</f>
        <v>0</v>
      </c>
      <c r="AM36" s="519">
        <f>prod_compiled!U36</f>
        <v>0</v>
      </c>
      <c r="AN36" s="519">
        <f ca="1">prod_compiled!V36</f>
        <v>0</v>
      </c>
      <c r="AO36" s="519">
        <f>prod_compiled!W36</f>
        <v>0</v>
      </c>
      <c r="AP36" s="519">
        <f ca="1">prod_compiled!X36</f>
        <v>0</v>
      </c>
      <c r="AQ36" s="519">
        <f ca="1">prod_compiled!Y36</f>
        <v>0</v>
      </c>
      <c r="AR36" s="267">
        <f>VLOOKUP($AR$3,DPR!$C$9:$AG$5110,reference_points!$A36,FALSE)</f>
        <v>13.984572996514199</v>
      </c>
      <c r="AS36" s="267" t="e">
        <f>VLOOKUP($AS$3,DPR!$C$9:$AG$1109,reference_points!$A36,FALSE)</f>
        <v>#N/A</v>
      </c>
      <c r="AT36" s="184">
        <f>'Standardised rates'!D36</f>
        <v>16</v>
      </c>
      <c r="AU36" s="267" t="e">
        <f>VLOOKUP($AU$3,DPR!$C$9:$AG$1109,reference_points!$A36,FALSE)</f>
        <v>#N/A</v>
      </c>
    </row>
    <row r="37" spans="1:47">
      <c r="A37">
        <v>31</v>
      </c>
      <c r="D37" s="145" t="s">
        <v>358</v>
      </c>
      <c r="E37" s="523">
        <f>'Previous year'!D38</f>
        <v>0</v>
      </c>
      <c r="F37" s="523">
        <f>'Previous year'!E38</f>
        <v>0</v>
      </c>
      <c r="G37" s="523">
        <f>'Previous year'!F38</f>
        <v>0</v>
      </c>
      <c r="H37" s="523">
        <f>'Previous year'!G38</f>
        <v>0</v>
      </c>
      <c r="I37" s="523">
        <f>'Previous year'!H38</f>
        <v>0</v>
      </c>
      <c r="J37" s="523">
        <f>'Previous year'!I38</f>
        <v>0</v>
      </c>
      <c r="K37" s="523">
        <f>'Previous year'!J38</f>
        <v>0</v>
      </c>
      <c r="L37" s="523">
        <f>'Previous year'!K38</f>
        <v>0</v>
      </c>
      <c r="M37" s="523">
        <f>'Previous year'!L38</f>
        <v>0</v>
      </c>
      <c r="N37" s="523">
        <f>'Previous year'!M38</f>
        <v>0</v>
      </c>
      <c r="O37" s="523">
        <f>'Previous year'!N38</f>
        <v>0</v>
      </c>
      <c r="P37" s="523">
        <f>'Previous year'!O38</f>
        <v>0</v>
      </c>
      <c r="Q37" s="523">
        <f>'Previous year'!P38</f>
        <v>0</v>
      </c>
      <c r="R37" s="523">
        <f>'Previous year'!Q38</f>
        <v>0</v>
      </c>
      <c r="S37" s="523">
        <f>'Previous year'!R38</f>
        <v>0</v>
      </c>
      <c r="T37" s="523">
        <f>'Previous year'!S38</f>
        <v>0</v>
      </c>
      <c r="U37" s="523">
        <f>'Previous year'!T38</f>
        <v>0</v>
      </c>
      <c r="V37" s="523">
        <f>'Previous year'!U38</f>
        <v>0</v>
      </c>
      <c r="W37" s="523">
        <f>'Previous year'!V38</f>
        <v>0</v>
      </c>
      <c r="X37" s="521">
        <f>X23*$C23+X24*$C24+X25*$C25+X26*$C26+X27*$C27+X28*$C28+X29*$C29+X30*$C30+X31*$C31+X32*$C32+X33*$C33+X34*$C34+X35*$C35+X36*$C36</f>
        <v>7.5867496781666661</v>
      </c>
      <c r="Y37" s="521">
        <f t="shared" ref="Y37:AQ37" si="3">Y23*$C23+Y24*$C24+Y25*$C25+Y26*$C26+Y27*$C27+Y28*$C28+Y29*$C29+Y30*$C30+Y31*$C31+Y32*$C32+Y33*$C33+Y34*$C34+Y35*$C35+Y36*$C36</f>
        <v>7.304592164741937</v>
      </c>
      <c r="Z37" s="521">
        <f t="shared" si="3"/>
        <v>7.2861917069000004</v>
      </c>
      <c r="AA37" s="521">
        <f t="shared" si="3"/>
        <v>6.7966048637419352</v>
      </c>
      <c r="AB37" s="521">
        <f t="shared" si="3"/>
        <v>7.051730678555149</v>
      </c>
      <c r="AC37" s="521">
        <f t="shared" si="3"/>
        <v>0</v>
      </c>
      <c r="AD37" s="521">
        <f t="shared" si="3"/>
        <v>0</v>
      </c>
      <c r="AE37" s="521">
        <f>AE23*$C23+AE24*$C24+AE25*$C25+AE26*$B8+AE27*$C27+AE28*$C28+AE29*$C29+AE30*$C30+AE31*$C31+AE32*$C32+AE33*$C33+AE34*$C34+AE35*$C35+AE36*$C36</f>
        <v>0</v>
      </c>
      <c r="AF37" s="521">
        <f>AF23*$C23+AF24*$C24+AF25*$C25+AF26*$B8+AF27*$C27+AF28*$C28+AF29*$C29+AF30*$C30+AF31*$C31+AF32*$C32+AF33*$C33+AF34*$C34+AF35*$C35+AF36*$C36</f>
        <v>0</v>
      </c>
      <c r="AG37" s="521">
        <f>AG23*$C23+AG24*$C24+AG25*$C25+AG26*$B8+AG27*$C27+AG28*$C28+AG29*$C29+AG30*$C30+AG31*$C31+AG32*$C32+AG33*$C33+AG34*$C34+AG35*$C35+AG36*$C36</f>
        <v>0</v>
      </c>
      <c r="AH37" s="521">
        <f>AH23*$C23+AH24*$C24+AH25*$C25+AH26*$B8+AH27*$C27+AH28*$C28+AH29*$C29+AH30*$C30+AH31*$C31+AH32*$C32+AH33*$C33+AH34*$C34+AH35*$C35+AH36*$C36</f>
        <v>0</v>
      </c>
      <c r="AI37" s="521">
        <f>AI23*$C23+AI24*$C24+AI25*$C25+AI26*$B8+AI27*$C27+AI28*$C28+AI29*$C29+AI30*$C30+AI31*$C31+AI32*$C32+AI33*$C33+AI34*$C34+AI35*$C35+AI36*$C36</f>
        <v>0</v>
      </c>
      <c r="AJ37" s="521">
        <f t="shared" si="3"/>
        <v>7.3915450402087908</v>
      </c>
      <c r="AK37" s="521">
        <f t="shared" ca="1" si="3"/>
        <v>0</v>
      </c>
      <c r="AL37" s="521">
        <f>AL23*$C23+AL24*$C24+AL25*$C25+AL26*$C26+AL27*$C27+AL28*$C28+AL29*$C29+AL30*$C30+AL31*$C31+AL32*$C32+AL33*$C33+AL34*$C34+AL35*$C35+AL36*$C36</f>
        <v>0</v>
      </c>
      <c r="AM37" s="521">
        <f t="shared" si="3"/>
        <v>0</v>
      </c>
      <c r="AN37" s="521">
        <f t="shared" ca="1" si="3"/>
        <v>0</v>
      </c>
      <c r="AO37" s="521">
        <f t="shared" si="3"/>
        <v>0</v>
      </c>
      <c r="AP37" s="521">
        <f t="shared" ca="1" si="3"/>
        <v>0</v>
      </c>
      <c r="AQ37" s="521">
        <f t="shared" ca="1" si="3"/>
        <v>0</v>
      </c>
      <c r="AR37" s="267">
        <f>VLOOKUP($AR$3,DPR!$C$9:$AG$5110,reference_points!$A37,FALSE)</f>
        <v>7.3693481610836287</v>
      </c>
      <c r="AS37" s="525" t="e">
        <f>AS23*$C23+AS24*$C24+AS25*$C25+IF(AS3&lt;DATE(2024,11,1),AS26*(2.31/100),AS26*(2.925/100))+AS27*$C27+AS28*$C28+AS29*$C29+AS30*$C30+AS31*$C31+AS32*$C32+AS33*$C33+AS34*$C34+AS35*$C35+AS36*$C36</f>
        <v>#N/A</v>
      </c>
      <c r="AT37" s="525">
        <f>AT23*$C23+AT24*$C24+AT25*$C25+AT26*$C26+AT27*$C27+AT28*$C28+AT29*$C29+AT30*$C30+AT31*$C31+AT32*$C32+AT33*$C33+AT34*$C34+AT35*$C35+AT36*$C36</f>
        <v>10.847100000000001</v>
      </c>
      <c r="AU37" s="525" t="e">
        <f>AU23*$C23+AU24*$C24+AU25*$C25+IF(AU3&lt;DATE(2024,11,1),AU26*(2.31/100),AU26*(2.925/100))+AU27*$C27+AU28*$C28+AU29*$C29+AU30*$C30+AU31*$C31+AU32*$C32+AU33*$C33+AU34*$C34+AU35*$C35+AU36*$C36</f>
        <v>#N/A</v>
      </c>
    </row>
    <row r="41" spans="1:47">
      <c r="E41" s="1469" t="s">
        <v>890</v>
      </c>
      <c r="F41" s="1469"/>
      <c r="G41" s="1469"/>
      <c r="H41" s="1469"/>
      <c r="I41" s="1469"/>
      <c r="J41" s="1469"/>
      <c r="K41" s="1469"/>
      <c r="L41" s="1469"/>
      <c r="M41" s="1469"/>
      <c r="N41" s="1469"/>
      <c r="O41" s="1469"/>
      <c r="P41" s="1469"/>
      <c r="Q41" s="1469"/>
      <c r="R41" s="1469"/>
      <c r="S41" s="1469"/>
      <c r="T41" s="1469"/>
      <c r="U41" s="1469"/>
      <c r="V41" s="1469"/>
      <c r="W41" s="1469"/>
    </row>
    <row r="42" spans="1:47">
      <c r="X42" s="1470" t="s">
        <v>888</v>
      </c>
      <c r="Y42" s="1470"/>
      <c r="Z42" s="1470"/>
      <c r="AA42" s="1470"/>
      <c r="AB42" s="1470"/>
      <c r="AC42" s="1470"/>
      <c r="AD42" s="1470"/>
      <c r="AE42" s="1470"/>
      <c r="AF42" s="1470"/>
      <c r="AG42" s="1470"/>
      <c r="AH42" s="1470"/>
      <c r="AI42" s="1470"/>
      <c r="AJ42" s="1470"/>
      <c r="AK42" s="1470"/>
      <c r="AL42" s="1470"/>
      <c r="AM42" s="1470"/>
      <c r="AN42" s="1470"/>
      <c r="AO42" s="1470"/>
      <c r="AP42" s="1470"/>
      <c r="AQ42" s="1470"/>
      <c r="AR42" s="1471" t="s">
        <v>891</v>
      </c>
      <c r="AS42" s="1471"/>
      <c r="AT42" s="1471"/>
      <c r="AU42" s="1471"/>
    </row>
    <row r="43" spans="1:47">
      <c r="AF43" t="s">
        <v>889</v>
      </c>
    </row>
  </sheetData>
  <mergeCells count="3">
    <mergeCell ref="E41:W41"/>
    <mergeCell ref="X42:AQ42"/>
    <mergeCell ref="AR42:AU42"/>
  </mergeCells>
  <pageMargins left="0.7" right="0.7" top="0.75" bottom="0.75" header="0.3" footer="0.3"/>
  <ignoredErrors>
    <ignoredError sqref="AT19 AT37" formula="1"/>
  </ignoredErrors>
  <extLst>
    <ext xmlns:x14="http://schemas.microsoft.com/office/spreadsheetml/2009/9/main" uri="{CCE6A557-97BC-4b89-ADB6-D9C93CAAB3DF}">
      <x14:dataValidations xmlns:xm="http://schemas.microsoft.com/office/excel/2006/main" count="1">
        <x14:dataValidation type="list" allowBlank="1" showInputMessage="1" showErrorMessage="1">
          <x14:formula1>
            <xm:f>DPR!$C$9:$C$373</xm:f>
          </x14:formula1>
          <xm:sqref>AS3 AU3</xm:sqref>
        </x14:dataValidation>
      </x14:dataValidations>
    </ext>
  </extLst>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tabColor rgb="FF92D050"/>
  </sheetPr>
  <dimension ref="C1:P41"/>
  <sheetViews>
    <sheetView workbookViewId="0"/>
  </sheetViews>
  <sheetFormatPr defaultColWidth="8.85546875" defaultRowHeight="15"/>
  <cols>
    <col min="3" max="3" width="5.42578125" bestFit="1" customWidth="1"/>
    <col min="4" max="4" width="12.28515625" bestFit="1" customWidth="1"/>
    <col min="5" max="5" width="17.42578125" customWidth="1"/>
    <col min="6" max="6" width="14.42578125" customWidth="1"/>
    <col min="7" max="7" width="10.140625" customWidth="1"/>
    <col min="8" max="8" width="12.85546875" bestFit="1" customWidth="1"/>
    <col min="9" max="9" width="23.7109375" bestFit="1" customWidth="1"/>
    <col min="10" max="10" width="9.85546875" bestFit="1" customWidth="1"/>
    <col min="11" max="11" width="11.140625" bestFit="1" customWidth="1"/>
    <col min="12" max="12" width="16.42578125" customWidth="1"/>
    <col min="16" max="16" width="16" customWidth="1"/>
  </cols>
  <sheetData>
    <row r="1" spans="3:16" ht="29.25" customHeight="1">
      <c r="C1" s="1472"/>
      <c r="D1" s="1472"/>
      <c r="E1" s="1472"/>
      <c r="F1" s="1472"/>
      <c r="G1" s="1472"/>
      <c r="H1" s="1472"/>
      <c r="I1" s="1472"/>
    </row>
    <row r="2" spans="3:16" ht="67.5" customHeight="1">
      <c r="C2" s="1472" t="s">
        <v>640</v>
      </c>
      <c r="D2" s="1472"/>
      <c r="E2" s="1472"/>
      <c r="F2" s="1472"/>
      <c r="G2" s="1472"/>
      <c r="H2" s="1472"/>
      <c r="I2" s="1472"/>
      <c r="J2" s="468">
        <f>Dashboard!D3</f>
        <v>46265</v>
      </c>
    </row>
    <row r="3" spans="3:16" ht="15.75">
      <c r="C3" s="1338" t="s">
        <v>641</v>
      </c>
      <c r="D3" s="1338"/>
      <c r="E3" s="382" t="str">
        <f>L4</f>
        <v>Mar'25</v>
      </c>
      <c r="F3" s="390"/>
      <c r="G3" s="262"/>
      <c r="H3" s="385" t="s">
        <v>642</v>
      </c>
      <c r="I3" s="385" t="str">
        <f>L5</f>
        <v>Nov'25</v>
      </c>
      <c r="K3" s="445" t="s">
        <v>644</v>
      </c>
      <c r="O3" s="445" t="s">
        <v>643</v>
      </c>
    </row>
    <row r="4" spans="3:16">
      <c r="C4" s="1339"/>
      <c r="D4" s="1339"/>
      <c r="E4" s="1339"/>
      <c r="F4" s="1340"/>
      <c r="G4" s="1340"/>
      <c r="H4" s="1339"/>
      <c r="I4" s="1339"/>
      <c r="K4" t="s">
        <v>645</v>
      </c>
      <c r="L4" s="464" t="s">
        <v>750</v>
      </c>
      <c r="O4" t="s">
        <v>468</v>
      </c>
      <c r="P4" s="465">
        <v>44902</v>
      </c>
    </row>
    <row r="5" spans="3:16" ht="15.75">
      <c r="C5" s="1344" t="s">
        <v>450</v>
      </c>
      <c r="D5" s="1345" t="s">
        <v>94</v>
      </c>
      <c r="E5" s="1341" t="s">
        <v>451</v>
      </c>
      <c r="F5" s="1341"/>
      <c r="G5" s="1341"/>
      <c r="H5" s="1341"/>
      <c r="I5" s="1341"/>
      <c r="K5" t="s">
        <v>636</v>
      </c>
      <c r="L5" s="464" t="s">
        <v>757</v>
      </c>
      <c r="O5" t="s">
        <v>469</v>
      </c>
      <c r="P5" s="465">
        <v>44896</v>
      </c>
    </row>
    <row r="6" spans="3:16" ht="15.75">
      <c r="C6" s="1344"/>
      <c r="D6" s="1345"/>
      <c r="E6" s="1481" t="e">
        <f>Dropdowns!G300</f>
        <v>#N/A</v>
      </c>
      <c r="F6" s="1333"/>
      <c r="G6" s="1342" t="str">
        <f>Dropdowns!G301</f>
        <v>Nov'25</v>
      </c>
      <c r="H6" s="1343"/>
      <c r="I6" s="1334" t="s">
        <v>449</v>
      </c>
    </row>
    <row r="7" spans="3:16" ht="31.5">
      <c r="C7" s="1344"/>
      <c r="D7" s="1345"/>
      <c r="E7" s="387" t="s">
        <v>455</v>
      </c>
      <c r="F7" s="387" t="s">
        <v>456</v>
      </c>
      <c r="G7" s="391" t="s">
        <v>458</v>
      </c>
      <c r="H7" s="391" t="s">
        <v>457</v>
      </c>
      <c r="I7" s="1335"/>
      <c r="M7" t="s">
        <v>910</v>
      </c>
    </row>
    <row r="8" spans="3:16" ht="15.75">
      <c r="C8" s="379">
        <v>0.2</v>
      </c>
      <c r="D8" s="148" t="s">
        <v>60</v>
      </c>
      <c r="E8" s="383" t="e">
        <f>VLOOKUP($D8,reference_points!$D$5:$AU$19,Dropdowns!$F$300,FALSE)</f>
        <v>#REF!</v>
      </c>
      <c r="F8" s="383" t="e">
        <f>E8*C8</f>
        <v>#REF!</v>
      </c>
      <c r="G8" s="336">
        <f>VLOOKUP($D8,reference_points!$D$5:$AU$19,Dropdowns!$F$301,FALSE)</f>
        <v>150871.33333333334</v>
      </c>
      <c r="H8" s="336">
        <f>G8*C8</f>
        <v>30174.26666666667</v>
      </c>
      <c r="I8" s="141" t="e">
        <f>(G8-E8)*C8</f>
        <v>#REF!</v>
      </c>
      <c r="M8" t="s">
        <v>911</v>
      </c>
    </row>
    <row r="9" spans="3:16" ht="15.75">
      <c r="C9" s="379">
        <v>0.26</v>
      </c>
      <c r="D9" s="148" t="s">
        <v>61</v>
      </c>
      <c r="E9" s="383" t="e">
        <f>VLOOKUP($D9,reference_points!$D$5:$AU$19,Dropdowns!$F$300,FALSE)</f>
        <v>#REF!</v>
      </c>
      <c r="F9" s="383" t="e">
        <f t="shared" ref="F9:F21" si="0">E9*C9</f>
        <v>#REF!</v>
      </c>
      <c r="G9" s="336">
        <f>VLOOKUP($D9,reference_points!$D$5:$AU$19,Dropdowns!$F$301,FALSE)</f>
        <v>163985.06666666668</v>
      </c>
      <c r="H9" s="336">
        <f t="shared" ref="H9:H21" si="1">G9*C9</f>
        <v>42636.117333333335</v>
      </c>
      <c r="I9" s="141" t="e">
        <f t="shared" ref="I9:I21" si="2">(G9-E9)*C9</f>
        <v>#REF!</v>
      </c>
    </row>
    <row r="10" spans="3:16" ht="15.75">
      <c r="C10" s="379">
        <v>1</v>
      </c>
      <c r="D10" s="148" t="s">
        <v>62</v>
      </c>
      <c r="E10" s="383" t="e">
        <f>VLOOKUP($D10,reference_points!$D$5:$AU$19,Dropdowns!$F$300,FALSE)</f>
        <v>#REF!</v>
      </c>
      <c r="F10" s="383" t="e">
        <f t="shared" si="0"/>
        <v>#REF!</v>
      </c>
      <c r="G10" s="336">
        <f>VLOOKUP($D10,reference_points!$D$5:$AU$19,Dropdowns!$F$301,FALSE)</f>
        <v>2386.5333333333333</v>
      </c>
      <c r="H10" s="336">
        <f t="shared" si="1"/>
        <v>2386.5333333333333</v>
      </c>
      <c r="I10" s="141" t="e">
        <f t="shared" si="2"/>
        <v>#REF!</v>
      </c>
    </row>
    <row r="11" spans="3:16" ht="15.75">
      <c r="C11" s="379">
        <v>2.9250000000000002E-2</v>
      </c>
      <c r="D11" s="148" t="s">
        <v>57</v>
      </c>
      <c r="E11" s="383" t="e">
        <f>VLOOKUP($D11,reference_points!$D$5:$AU$19,Dropdowns!$F$300,FALSE)</f>
        <v>#REF!</v>
      </c>
      <c r="F11" s="383" t="e">
        <f t="shared" si="0"/>
        <v>#REF!</v>
      </c>
      <c r="G11" s="336">
        <f>VLOOKUP($D11,reference_points!$D$5:$AU$19,Dropdowns!$F$301,FALSE)</f>
        <v>336508.26666666666</v>
      </c>
      <c r="H11" s="336">
        <f t="shared" si="1"/>
        <v>9842.8667999999998</v>
      </c>
      <c r="I11" s="141" t="e">
        <f t="shared" si="2"/>
        <v>#REF!</v>
      </c>
    </row>
    <row r="12" spans="3:16" ht="15.75">
      <c r="C12" s="379">
        <v>0.27</v>
      </c>
      <c r="D12" s="148" t="s">
        <v>58</v>
      </c>
      <c r="E12" s="383" t="e">
        <f>VLOOKUP($D12,reference_points!$D$5:$AU$19,Dropdowns!$F$300,FALSE)</f>
        <v>#REF!</v>
      </c>
      <c r="F12" s="383" t="e">
        <f t="shared" si="0"/>
        <v>#REF!</v>
      </c>
      <c r="G12" s="336">
        <f>VLOOKUP($D12,reference_points!$D$5:$AU$19,Dropdowns!$F$301,FALSE)</f>
        <v>17791.5</v>
      </c>
      <c r="H12" s="336">
        <f t="shared" si="1"/>
        <v>4803.7049999999999</v>
      </c>
      <c r="I12" s="141" t="e">
        <f t="shared" si="2"/>
        <v>#REF!</v>
      </c>
    </row>
    <row r="13" spans="3:16" ht="15.75">
      <c r="C13" s="379">
        <v>0.5</v>
      </c>
      <c r="D13" s="148" t="s">
        <v>59</v>
      </c>
      <c r="E13" s="383" t="e">
        <f>VLOOKUP($D13,reference_points!$D$5:$AU$19,Dropdowns!$F$300,FALSE)</f>
        <v>#REF!</v>
      </c>
      <c r="F13" s="383" t="e">
        <f t="shared" si="0"/>
        <v>#REF!</v>
      </c>
      <c r="G13" s="336">
        <f>VLOOKUP($D13,reference_points!$D$5:$AU$19,Dropdowns!$F$301,FALSE)</f>
        <v>5223.9333333333334</v>
      </c>
      <c r="H13" s="336">
        <f t="shared" si="1"/>
        <v>2611.9666666666667</v>
      </c>
      <c r="I13" s="141" t="e">
        <f t="shared" si="2"/>
        <v>#REF!</v>
      </c>
    </row>
    <row r="14" spans="3:16" ht="15.75">
      <c r="C14" s="379">
        <v>0.7</v>
      </c>
      <c r="D14" s="148" t="s">
        <v>63</v>
      </c>
      <c r="E14" s="383" t="e">
        <f>VLOOKUP($D14,reference_points!$D$5:$AU$19,Dropdowns!$F$300,FALSE)</f>
        <v>#REF!</v>
      </c>
      <c r="F14" s="383" t="e">
        <f t="shared" si="0"/>
        <v>#REF!</v>
      </c>
      <c r="G14" s="336">
        <f>VLOOKUP($D14,reference_points!$D$5:$AU$19,Dropdowns!$F$301,FALSE)</f>
        <v>18590.400000000001</v>
      </c>
      <c r="H14" s="336">
        <f t="shared" si="1"/>
        <v>13013.28</v>
      </c>
      <c r="I14" s="141" t="e">
        <f t="shared" si="2"/>
        <v>#REF!</v>
      </c>
    </row>
    <row r="15" spans="3:16" ht="15.75">
      <c r="C15" s="379">
        <v>0.11</v>
      </c>
      <c r="D15" s="148" t="s">
        <v>64</v>
      </c>
      <c r="E15" s="383" t="e">
        <f>VLOOKUP($D15,reference_points!$D$5:$AU$19,Dropdowns!$F$300,FALSE)</f>
        <v>#REF!</v>
      </c>
      <c r="F15" s="383" t="e">
        <f t="shared" si="0"/>
        <v>#REF!</v>
      </c>
      <c r="G15" s="336">
        <f>VLOOKUP($D15,reference_points!$D$5:$AU$19,Dropdowns!$F$301,FALSE)</f>
        <v>7465.1333333333332</v>
      </c>
      <c r="H15" s="336">
        <f t="shared" si="1"/>
        <v>821.16466666666668</v>
      </c>
      <c r="I15" s="141" t="e">
        <f t="shared" si="2"/>
        <v>#REF!</v>
      </c>
    </row>
    <row r="16" spans="3:16" ht="15.75">
      <c r="C16" s="379">
        <v>0.4</v>
      </c>
      <c r="D16" s="148" t="s">
        <v>65</v>
      </c>
      <c r="E16" s="383" t="e">
        <f>VLOOKUP($D16,reference_points!$D$5:$AU$19,Dropdowns!$F$300,FALSE)</f>
        <v>#REF!</v>
      </c>
      <c r="F16" s="383" t="e">
        <f t="shared" si="0"/>
        <v>#REF!</v>
      </c>
      <c r="G16" s="336">
        <f>VLOOKUP($D16,reference_points!$D$5:$AU$19,Dropdowns!$F$301,FALSE)</f>
        <v>4820.833333333333</v>
      </c>
      <c r="H16" s="336">
        <f t="shared" si="1"/>
        <v>1928.3333333333333</v>
      </c>
      <c r="I16" s="141" t="e">
        <f t="shared" si="2"/>
        <v>#REF!</v>
      </c>
    </row>
    <row r="17" spans="3:9" ht="15.75">
      <c r="C17" s="379">
        <v>0.04</v>
      </c>
      <c r="D17" s="148" t="s">
        <v>66</v>
      </c>
      <c r="E17" s="383" t="e">
        <f>VLOOKUP($D17,reference_points!$D$5:$AU$19,Dropdowns!$F$300,FALSE)</f>
        <v>#REF!</v>
      </c>
      <c r="F17" s="383" t="e">
        <f t="shared" si="0"/>
        <v>#REF!</v>
      </c>
      <c r="G17" s="336">
        <f>VLOOKUP($D17,reference_points!$D$5:$AU$19,Dropdowns!$F$301,FALSE)</f>
        <v>427634.66666666669</v>
      </c>
      <c r="H17" s="336">
        <f t="shared" si="1"/>
        <v>17105.386666666669</v>
      </c>
      <c r="I17" s="141" t="e">
        <f t="shared" si="2"/>
        <v>#REF!</v>
      </c>
    </row>
    <row r="18" spans="3:9" ht="15.75">
      <c r="C18" s="379">
        <v>0.25</v>
      </c>
      <c r="D18" s="148" t="s">
        <v>67</v>
      </c>
      <c r="E18" s="383" t="e">
        <f>VLOOKUP($D18,reference_points!$D$5:$AU$19,Dropdowns!$F$300,FALSE)</f>
        <v>#REF!</v>
      </c>
      <c r="F18" s="383" t="e">
        <f t="shared" si="0"/>
        <v>#REF!</v>
      </c>
      <c r="G18" s="336">
        <f>VLOOKUP($D18,reference_points!$D$5:$AU$19,Dropdowns!$F$301,FALSE)</f>
        <v>39779.23333333333</v>
      </c>
      <c r="H18" s="336">
        <f t="shared" si="1"/>
        <v>9944.8083333333325</v>
      </c>
      <c r="I18" s="141" t="e">
        <f t="shared" si="2"/>
        <v>#REF!</v>
      </c>
    </row>
    <row r="19" spans="3:9" ht="15.75">
      <c r="C19" s="379">
        <v>0.24124999999999999</v>
      </c>
      <c r="D19" s="148" t="s">
        <v>68</v>
      </c>
      <c r="E19" s="383" t="e">
        <f>VLOOKUP($D19,reference_points!$D$5:$AU$19,Dropdowns!$F$300,FALSE)</f>
        <v>#REF!</v>
      </c>
      <c r="F19" s="383" t="e">
        <f t="shared" si="0"/>
        <v>#REF!</v>
      </c>
      <c r="G19" s="336">
        <f>VLOOKUP($D19,reference_points!$D$5:$AU$19,Dropdowns!$F$301,FALSE)</f>
        <v>12639.866666666667</v>
      </c>
      <c r="H19" s="336">
        <f t="shared" si="1"/>
        <v>3049.3678333333332</v>
      </c>
      <c r="I19" s="141" t="e">
        <f t="shared" si="2"/>
        <v>#REF!</v>
      </c>
    </row>
    <row r="20" spans="3:9" ht="15.75">
      <c r="C20" s="379">
        <v>0.45</v>
      </c>
      <c r="D20" s="148" t="s">
        <v>69</v>
      </c>
      <c r="E20" s="383" t="e">
        <f>VLOOKUP($D20,reference_points!$D$5:$AU$19,Dropdowns!$F$300,FALSE)</f>
        <v>#REF!</v>
      </c>
      <c r="F20" s="383" t="e">
        <f t="shared" si="0"/>
        <v>#REF!</v>
      </c>
      <c r="G20" s="336">
        <f>VLOOKUP($D20,reference_points!$D$5:$AU$19,Dropdowns!$F$301,FALSE)</f>
        <v>0</v>
      </c>
      <c r="H20" s="336">
        <f t="shared" si="1"/>
        <v>0</v>
      </c>
      <c r="I20" s="141" t="e">
        <f t="shared" si="2"/>
        <v>#REF!</v>
      </c>
    </row>
    <row r="21" spans="3:9" ht="15.75">
      <c r="C21" s="379">
        <v>0.17</v>
      </c>
      <c r="D21" s="148" t="s">
        <v>70</v>
      </c>
      <c r="E21" s="383" t="e">
        <f>VLOOKUP($D21,reference_points!$D$5:$AU$19,Dropdowns!$F$300,FALSE)</f>
        <v>#REF!</v>
      </c>
      <c r="F21" s="383" t="e">
        <f t="shared" si="0"/>
        <v>#REF!</v>
      </c>
      <c r="G21" s="336">
        <f>VLOOKUP($D21,reference_points!$D$5:$AU$19,Dropdowns!$F$301,FALSE)</f>
        <v>0</v>
      </c>
      <c r="H21" s="336">
        <f t="shared" si="1"/>
        <v>0</v>
      </c>
      <c r="I21" s="141" t="e">
        <f t="shared" si="2"/>
        <v>#REF!</v>
      </c>
    </row>
    <row r="22" spans="3:9" ht="21" customHeight="1">
      <c r="C22" s="148"/>
      <c r="D22" s="455" t="s">
        <v>358</v>
      </c>
      <c r="E22" s="1477" t="e">
        <f>VLOOKUP($D22,reference_points!$D$5:$AU$19,Dropdowns!$F$300,FALSE)</f>
        <v>#REF!</v>
      </c>
      <c r="F22" s="1478"/>
      <c r="G22" s="1479">
        <f>VLOOKUP($D22,reference_points!$D$5:$AU$19,Dropdowns!$F$301,FALSE)</f>
        <v>0</v>
      </c>
      <c r="H22" s="1480"/>
      <c r="I22" s="466" t="e">
        <f>G22-E22</f>
        <v>#REF!</v>
      </c>
    </row>
    <row r="23" spans="3:9">
      <c r="C23" s="1352"/>
      <c r="D23" s="1353"/>
      <c r="E23" s="1353"/>
      <c r="F23" s="1353"/>
      <c r="G23" s="1353"/>
      <c r="H23" s="1353"/>
      <c r="I23" s="1354"/>
    </row>
    <row r="24" spans="3:9" ht="15.75">
      <c r="C24" s="1346" t="s">
        <v>450</v>
      </c>
      <c r="D24" s="1349" t="s">
        <v>94</v>
      </c>
      <c r="E24" s="1355" t="s">
        <v>452</v>
      </c>
      <c r="F24" s="1356"/>
      <c r="G24" s="1356"/>
      <c r="H24" s="1356"/>
      <c r="I24" s="1357"/>
    </row>
    <row r="25" spans="3:9" ht="15.75">
      <c r="C25" s="1347"/>
      <c r="D25" s="1350"/>
      <c r="E25" s="1481" t="e">
        <f>E6</f>
        <v>#N/A</v>
      </c>
      <c r="F25" s="1333"/>
      <c r="G25" s="1342" t="str">
        <f>G6</f>
        <v>Nov'25</v>
      </c>
      <c r="H25" s="1343"/>
      <c r="I25" s="1334" t="s">
        <v>449</v>
      </c>
    </row>
    <row r="26" spans="3:9" ht="31.5">
      <c r="C26" s="1348"/>
      <c r="D26" s="1351"/>
      <c r="E26" s="387" t="s">
        <v>455</v>
      </c>
      <c r="F26" s="387" t="s">
        <v>456</v>
      </c>
      <c r="G26" s="391" t="s">
        <v>458</v>
      </c>
      <c r="H26" s="391" t="s">
        <v>457</v>
      </c>
      <c r="I26" s="1335"/>
    </row>
    <row r="27" spans="3:9" ht="15.75">
      <c r="C27" s="379">
        <v>0.2</v>
      </c>
      <c r="D27" s="148" t="s">
        <v>60</v>
      </c>
      <c r="E27" s="384" t="e">
        <f>VLOOKUP($D27,reference_points!$D$23:$AU$37,Dropdowns!$F$300,FALSE)</f>
        <v>#REF!</v>
      </c>
      <c r="F27" s="384" t="e">
        <f>E27*C27</f>
        <v>#REF!</v>
      </c>
      <c r="G27" s="386">
        <f>VLOOKUP($D27,reference_points!$D$23:$AU$37,Dropdowns!$F$301,FALSE)</f>
        <v>10.15</v>
      </c>
      <c r="H27" s="386">
        <f>G27*C27</f>
        <v>2.0300000000000002</v>
      </c>
      <c r="I27" s="147" t="e">
        <f>(G27-E27)*C27</f>
        <v>#REF!</v>
      </c>
    </row>
    <row r="28" spans="3:9" ht="15.75">
      <c r="C28" s="379">
        <v>0.26</v>
      </c>
      <c r="D28" s="148" t="s">
        <v>61</v>
      </c>
      <c r="E28" s="384" t="e">
        <f>VLOOKUP($D28,reference_points!$D$23:$AU$37,Dropdowns!$F$300,FALSE)</f>
        <v>#REF!</v>
      </c>
      <c r="F28" s="384" t="e">
        <f t="shared" ref="F28:F40" si="3">E28*C28</f>
        <v>#REF!</v>
      </c>
      <c r="G28" s="386">
        <f>VLOOKUP($D28,reference_points!$D$23:$AU$37,Dropdowns!$F$301,FALSE)</f>
        <v>10.407466666666666</v>
      </c>
      <c r="H28" s="386">
        <f t="shared" ref="H28:H40" si="4">G28*C28</f>
        <v>2.7059413333333331</v>
      </c>
      <c r="I28" s="147" t="e">
        <f t="shared" ref="I28:I40" si="5">(G28-E28)*C28</f>
        <v>#REF!</v>
      </c>
    </row>
    <row r="29" spans="3:9" ht="15.75">
      <c r="C29" s="379">
        <v>1</v>
      </c>
      <c r="D29" s="148" t="s">
        <v>62</v>
      </c>
      <c r="E29" s="384" t="e">
        <f>VLOOKUP($D29,reference_points!$D$23:$AU$37,Dropdowns!$F$300,FALSE)</f>
        <v>#REF!</v>
      </c>
      <c r="F29" s="384" t="e">
        <f t="shared" si="3"/>
        <v>#REF!</v>
      </c>
      <c r="G29" s="386">
        <f>VLOOKUP($D29,reference_points!$D$23:$AU$37,Dropdowns!$F$301,FALSE)</f>
        <v>0.28396666666666665</v>
      </c>
      <c r="H29" s="386">
        <f t="shared" si="4"/>
        <v>0.28396666666666665</v>
      </c>
      <c r="I29" s="147" t="e">
        <f t="shared" si="5"/>
        <v>#REF!</v>
      </c>
    </row>
    <row r="30" spans="3:9" ht="15.75">
      <c r="C30" s="379">
        <v>2.9250000000000002E-2</v>
      </c>
      <c r="D30" s="148" t="s">
        <v>57</v>
      </c>
      <c r="E30" s="384" t="e">
        <f>VLOOKUP($D30,reference_points!$D$23:$AU$37,Dropdowns!$F$300,FALSE)</f>
        <v>#REF!</v>
      </c>
      <c r="F30" s="384" t="e">
        <f t="shared" si="3"/>
        <v>#REF!</v>
      </c>
      <c r="G30" s="386">
        <f>VLOOKUP($D30,reference_points!$D$23:$AU$37,Dropdowns!$F$301,FALSE)</f>
        <v>12.5198</v>
      </c>
      <c r="H30" s="386">
        <f t="shared" si="4"/>
        <v>0.36620415000000001</v>
      </c>
      <c r="I30" s="147" t="e">
        <f t="shared" si="5"/>
        <v>#REF!</v>
      </c>
    </row>
    <row r="31" spans="3:9" ht="15.75">
      <c r="C31" s="379">
        <v>0.27</v>
      </c>
      <c r="D31" s="148" t="s">
        <v>58</v>
      </c>
      <c r="E31" s="384" t="e">
        <f>VLOOKUP($D31,reference_points!$D$23:$AU$37,Dropdowns!$F$300,FALSE)</f>
        <v>#REF!</v>
      </c>
      <c r="F31" s="384" t="e">
        <f t="shared" si="3"/>
        <v>#REF!</v>
      </c>
      <c r="G31" s="386">
        <f>VLOOKUP($D31,reference_points!$D$23:$AU$37,Dropdowns!$F$301,FALSE)</f>
        <v>0.27123333333333333</v>
      </c>
      <c r="H31" s="386">
        <f t="shared" si="4"/>
        <v>7.3233000000000006E-2</v>
      </c>
      <c r="I31" s="147" t="e">
        <f t="shared" si="5"/>
        <v>#REF!</v>
      </c>
    </row>
    <row r="32" spans="3:9" ht="15.75">
      <c r="C32" s="379">
        <v>0.5</v>
      </c>
      <c r="D32" s="148" t="s">
        <v>59</v>
      </c>
      <c r="E32" s="384" t="e">
        <f>VLOOKUP($D32,reference_points!$D$23:$AU$37,Dropdowns!$F$300,FALSE)</f>
        <v>#REF!</v>
      </c>
      <c r="F32" s="384" t="e">
        <f t="shared" si="3"/>
        <v>#REF!</v>
      </c>
      <c r="G32" s="386">
        <f>VLOOKUP($D32,reference_points!$D$23:$AU$37,Dropdowns!$F$301,FALSE)</f>
        <v>3.39E-2</v>
      </c>
      <c r="H32" s="386">
        <f t="shared" si="4"/>
        <v>1.695E-2</v>
      </c>
      <c r="I32" s="147" t="e">
        <f t="shared" si="5"/>
        <v>#REF!</v>
      </c>
    </row>
    <row r="33" spans="3:9" ht="15.75">
      <c r="C33" s="379">
        <v>0.7</v>
      </c>
      <c r="D33" s="148" t="s">
        <v>63</v>
      </c>
      <c r="E33" s="384" t="e">
        <f>VLOOKUP($D33,reference_points!$D$23:$AU$37,Dropdowns!$F$300,FALSE)</f>
        <v>#REF!</v>
      </c>
      <c r="F33" s="384" t="e">
        <f t="shared" si="3"/>
        <v>#REF!</v>
      </c>
      <c r="G33" s="386">
        <f>VLOOKUP($D33,reference_points!$D$23:$AU$37,Dropdowns!$F$301,FALSE)</f>
        <v>3.0999999999999999E-3</v>
      </c>
      <c r="H33" s="386">
        <f t="shared" si="4"/>
        <v>2.1699999999999996E-3</v>
      </c>
      <c r="I33" s="147" t="e">
        <f t="shared" si="5"/>
        <v>#REF!</v>
      </c>
    </row>
    <row r="34" spans="3:9" ht="15.75">
      <c r="C34" s="379">
        <v>0.11</v>
      </c>
      <c r="D34" s="148" t="s">
        <v>64</v>
      </c>
      <c r="E34" s="384" t="e">
        <f>VLOOKUP($D34,reference_points!$D$23:$AU$37,Dropdowns!$F$300,FALSE)</f>
        <v>#REF!</v>
      </c>
      <c r="F34" s="384" t="e">
        <f t="shared" si="3"/>
        <v>#REF!</v>
      </c>
      <c r="G34" s="386">
        <f>VLOOKUP($D34,reference_points!$D$23:$AU$37,Dropdowns!$F$301,FALSE)</f>
        <v>0.21546666666666667</v>
      </c>
      <c r="H34" s="386">
        <f t="shared" si="4"/>
        <v>2.3701333333333335E-2</v>
      </c>
      <c r="I34" s="147" t="e">
        <f t="shared" si="5"/>
        <v>#REF!</v>
      </c>
    </row>
    <row r="35" spans="3:9" ht="15.75">
      <c r="C35" s="379">
        <v>0.4</v>
      </c>
      <c r="D35" s="148" t="s">
        <v>65</v>
      </c>
      <c r="E35" s="384" t="e">
        <f>VLOOKUP($D35,reference_points!$D$23:$AU$37,Dropdowns!$F$300,FALSE)</f>
        <v>#REF!</v>
      </c>
      <c r="F35" s="384" t="e">
        <f t="shared" si="3"/>
        <v>#REF!</v>
      </c>
      <c r="G35" s="386">
        <f>VLOOKUP($D35,reference_points!$D$23:$AU$37,Dropdowns!$F$301,FALSE)</f>
        <v>9.8033333333333333E-2</v>
      </c>
      <c r="H35" s="386">
        <f t="shared" si="4"/>
        <v>3.9213333333333336E-2</v>
      </c>
      <c r="I35" s="147" t="e">
        <f t="shared" si="5"/>
        <v>#REF!</v>
      </c>
    </row>
    <row r="36" spans="3:9" ht="15.75">
      <c r="C36" s="379">
        <v>0.04</v>
      </c>
      <c r="D36" s="148" t="s">
        <v>66</v>
      </c>
      <c r="E36" s="384" t="e">
        <f>VLOOKUP($D36,reference_points!$D$23:$AU$37,Dropdowns!$F$300,FALSE)</f>
        <v>#REF!</v>
      </c>
      <c r="F36" s="384" t="e">
        <f t="shared" si="3"/>
        <v>#REF!</v>
      </c>
      <c r="G36" s="386">
        <f>VLOOKUP($D36,reference_points!$D$23:$AU$37,Dropdowns!$F$301,FALSE)</f>
        <v>0</v>
      </c>
      <c r="H36" s="386">
        <f t="shared" si="4"/>
        <v>0</v>
      </c>
      <c r="I36" s="147" t="e">
        <f t="shared" si="5"/>
        <v>#REF!</v>
      </c>
    </row>
    <row r="37" spans="3:9" ht="15.75">
      <c r="C37" s="379">
        <v>0.25</v>
      </c>
      <c r="D37" s="148" t="s">
        <v>67</v>
      </c>
      <c r="E37" s="384" t="e">
        <f>VLOOKUP($D37,reference_points!$D$23:$AU$37,Dropdowns!$F$300,FALSE)</f>
        <v>#REF!</v>
      </c>
      <c r="F37" s="384" t="e">
        <f t="shared" si="3"/>
        <v>#REF!</v>
      </c>
      <c r="G37" s="386">
        <f>VLOOKUP($D37,reference_points!$D$23:$AU$37,Dropdowns!$F$301,FALSE)</f>
        <v>0</v>
      </c>
      <c r="H37" s="386">
        <f t="shared" si="4"/>
        <v>0</v>
      </c>
      <c r="I37" s="147" t="e">
        <f t="shared" si="5"/>
        <v>#REF!</v>
      </c>
    </row>
    <row r="38" spans="3:9" ht="15.75">
      <c r="C38" s="379">
        <v>0.24124999999999999</v>
      </c>
      <c r="D38" s="148" t="s">
        <v>68</v>
      </c>
      <c r="E38" s="384" t="e">
        <f>VLOOKUP($D38,reference_points!$D$23:$AU$37,Dropdowns!$F$300,FALSE)</f>
        <v>#REF!</v>
      </c>
      <c r="F38" s="384" t="e">
        <f t="shared" si="3"/>
        <v>#REF!</v>
      </c>
      <c r="G38" s="386">
        <f>VLOOKUP($D38,reference_points!$D$23:$AU$37,Dropdowns!$F$301,FALSE)</f>
        <v>0</v>
      </c>
      <c r="H38" s="386">
        <f t="shared" si="4"/>
        <v>0</v>
      </c>
      <c r="I38" s="147" t="e">
        <f t="shared" si="5"/>
        <v>#REF!</v>
      </c>
    </row>
    <row r="39" spans="3:9" ht="15.75">
      <c r="C39" s="379">
        <v>0.45</v>
      </c>
      <c r="D39" s="148" t="s">
        <v>69</v>
      </c>
      <c r="E39" s="384" t="e">
        <f>VLOOKUP($D39,reference_points!$D$23:$AU$37,Dropdowns!$F$300,FALSE)</f>
        <v>#REF!</v>
      </c>
      <c r="F39" s="384" t="e">
        <f t="shared" si="3"/>
        <v>#REF!</v>
      </c>
      <c r="G39" s="386">
        <f>VLOOKUP($D39,reference_points!$D$23:$AU$37,Dropdowns!$F$301,FALSE)</f>
        <v>0</v>
      </c>
      <c r="H39" s="386">
        <f t="shared" si="4"/>
        <v>0</v>
      </c>
      <c r="I39" s="147" t="e">
        <f t="shared" si="5"/>
        <v>#REF!</v>
      </c>
    </row>
    <row r="40" spans="3:9" ht="15.75">
      <c r="C40" s="379">
        <v>0.17</v>
      </c>
      <c r="D40" s="148" t="s">
        <v>70</v>
      </c>
      <c r="E40" s="384" t="e">
        <f>VLOOKUP($D40,reference_points!$D$23:$AU$37,Dropdowns!$F$300,FALSE)</f>
        <v>#REF!</v>
      </c>
      <c r="F40" s="384" t="e">
        <f t="shared" si="3"/>
        <v>#REF!</v>
      </c>
      <c r="G40" s="386">
        <f>VLOOKUP($D40,reference_points!$D$23:$AU$37,Dropdowns!$F$301,FALSE)</f>
        <v>14.235800000000001</v>
      </c>
      <c r="H40" s="386">
        <f t="shared" si="4"/>
        <v>2.4200860000000004</v>
      </c>
      <c r="I40" s="147" t="e">
        <f t="shared" si="5"/>
        <v>#REF!</v>
      </c>
    </row>
    <row r="41" spans="3:9" ht="21" customHeight="1">
      <c r="C41" s="148"/>
      <c r="D41" s="455" t="s">
        <v>358</v>
      </c>
      <c r="E41" s="1473" t="e">
        <f>VLOOKUP($D41,reference_points!$D$23:$AU$37,Dropdowns!$F$300,FALSE)</f>
        <v>#REF!</v>
      </c>
      <c r="F41" s="1474"/>
      <c r="G41" s="1475">
        <f>VLOOKUP($D41,reference_points!$D$23:$AU$37,Dropdowns!$F$301,FALSE)</f>
        <v>0</v>
      </c>
      <c r="H41" s="1476"/>
      <c r="I41" s="467" t="e">
        <f>G41-E41</f>
        <v>#REF!</v>
      </c>
    </row>
  </sheetData>
  <sheetProtection sheet="1" objects="1" scenarios="1"/>
  <mergeCells count="21">
    <mergeCell ref="E5:I5"/>
    <mergeCell ref="E6:F6"/>
    <mergeCell ref="G6:H6"/>
    <mergeCell ref="I6:I7"/>
    <mergeCell ref="C2:I2"/>
    <mergeCell ref="C1:I1"/>
    <mergeCell ref="E41:F41"/>
    <mergeCell ref="G41:H41"/>
    <mergeCell ref="E22:F22"/>
    <mergeCell ref="G22:H22"/>
    <mergeCell ref="C23:I23"/>
    <mergeCell ref="C24:C26"/>
    <mergeCell ref="D24:D26"/>
    <mergeCell ref="E24:I24"/>
    <mergeCell ref="E25:F25"/>
    <mergeCell ref="G25:H25"/>
    <mergeCell ref="I25:I26"/>
    <mergeCell ref="C3:D3"/>
    <mergeCell ref="C4:I4"/>
    <mergeCell ref="C5:C7"/>
    <mergeCell ref="D5:D7"/>
  </mergeCells>
  <conditionalFormatting sqref="I8:I22">
    <cfRule type="cellIs" dxfId="4" priority="3" operator="lessThan">
      <formula>0</formula>
    </cfRule>
    <cfRule type="cellIs" dxfId="3" priority="4" operator="greaterThan">
      <formula>0</formula>
    </cfRule>
  </conditionalFormatting>
  <conditionalFormatting sqref="I27:I41">
    <cfRule type="cellIs" dxfId="2" priority="1" operator="lessThan">
      <formula>0</formula>
    </cfRule>
    <cfRule type="cellIs" dxfId="1" priority="2" operator="greaterThan">
      <formula>0</formula>
    </cfRule>
  </conditionalFormatting>
  <pageMargins left="0.7" right="0.7" top="0.75" bottom="0.75" header="0.3" footer="0.3"/>
  <pageSetup scale="63"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8421" r:id="rId4" name="Button 5">
              <controlPr defaultSize="0" print="0" autoFill="0" autoPict="0" macro="[0]!EXPORT_ACTIVE_SHEET">
                <anchor moveWithCells="1" sizeWithCells="1">
                  <from>
                    <xdr:col>15</xdr:col>
                    <xdr:colOff>914400</xdr:colOff>
                    <xdr:row>11</xdr:row>
                    <xdr:rowOff>152400</xdr:rowOff>
                  </from>
                  <to>
                    <xdr:col>18</xdr:col>
                    <xdr:colOff>114300</xdr:colOff>
                    <xdr:row>15</xdr:row>
                    <xdr:rowOff>161925</xdr:rowOff>
                  </to>
                </anchor>
              </controlPr>
            </control>
          </mc:Choice>
        </mc:AlternateContent>
        <mc:AlternateContent xmlns:mc="http://schemas.openxmlformats.org/markup-compatibility/2006">
          <mc:Choice Requires="x14">
            <control shapeId="188422" r:id="rId5" name="Button 6">
              <controlPr defaultSize="0" print="0" autoFill="0" autoPict="0" macro="[0]!Back_to_Dashboard">
                <anchor moveWithCells="1" sizeWithCells="1">
                  <from>
                    <xdr:col>15</xdr:col>
                    <xdr:colOff>923925</xdr:colOff>
                    <xdr:row>16</xdr:row>
                    <xdr:rowOff>47625</xdr:rowOff>
                  </from>
                  <to>
                    <xdr:col>18</xdr:col>
                    <xdr:colOff>123825</xdr:colOff>
                    <xdr:row>20</xdr:row>
                    <xdr:rowOff>142875</xdr:rowOff>
                  </to>
                </anchor>
              </controlPr>
            </control>
          </mc:Choice>
        </mc:AlternateContent>
        <mc:AlternateContent xmlns:mc="http://schemas.openxmlformats.org/markup-compatibility/2006">
          <mc:Choice Requires="x14">
            <control shapeId="188423" r:id="rId6" name="Button 7">
              <controlPr defaultSize="0" print="0" autoFill="0" autoPict="0" macro="[0]!refpoint_comparison_export_in_format_Click">
                <anchor moveWithCells="1" sizeWithCells="1">
                  <from>
                    <xdr:col>15</xdr:col>
                    <xdr:colOff>942975</xdr:colOff>
                    <xdr:row>21</xdr:row>
                    <xdr:rowOff>38100</xdr:rowOff>
                  </from>
                  <to>
                    <xdr:col>18</xdr:col>
                    <xdr:colOff>123825</xdr:colOff>
                    <xdr:row>26</xdr:row>
                    <xdr:rowOff>47625</xdr:rowOff>
                  </to>
                </anchor>
              </controlPr>
            </control>
          </mc:Choice>
        </mc:AlternateContent>
        <mc:AlternateContent xmlns:mc="http://schemas.openxmlformats.org/markup-compatibility/2006">
          <mc:Choice Requires="x14">
            <control shapeId="188425" r:id="rId7" name="Button 9">
              <controlPr defaultSize="0" print="0" autoFill="0" autoPict="0" macro="[0]!Button9_Click">
                <anchor moveWithCells="1" sizeWithCells="1">
                  <from>
                    <xdr:col>15</xdr:col>
                    <xdr:colOff>923925</xdr:colOff>
                    <xdr:row>26</xdr:row>
                    <xdr:rowOff>180975</xdr:rowOff>
                  </from>
                  <to>
                    <xdr:col>18</xdr:col>
                    <xdr:colOff>152400</xdr:colOff>
                    <xdr:row>31</xdr:row>
                    <xdr:rowOff>180975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Dropdowns!$C$305:$C$347</xm:f>
          </x14:formula1>
          <xm:sqref>L4:L5</xm:sqref>
        </x14:dataValidation>
        <x14:dataValidation type="list" allowBlank="1" showInputMessage="1" showErrorMessage="1">
          <x14:formula1>
            <xm:f>DPR!$C$9:$C$1109</xm:f>
          </x14:formula1>
          <xm:sqref>P4:P5</xm:sqref>
        </x14:dataValidation>
      </x14:dataValidations>
    </ext>
  </extLs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tabColor rgb="FFFFFF00"/>
  </sheetPr>
  <dimension ref="A1:DN107"/>
  <sheetViews>
    <sheetView topLeftCell="BN1" workbookViewId="0">
      <selection activeCell="CC85" sqref="CC85:CU99"/>
    </sheetView>
  </sheetViews>
  <sheetFormatPr defaultColWidth="8.85546875" defaultRowHeight="15"/>
  <cols>
    <col min="4" max="4" width="10.28515625" bestFit="1" customWidth="1"/>
  </cols>
  <sheetData>
    <row r="1" spans="1:118">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c r="BS1">
        <v>71</v>
      </c>
      <c r="BT1">
        <v>72</v>
      </c>
      <c r="BU1">
        <v>73</v>
      </c>
      <c r="BV1">
        <v>74</v>
      </c>
      <c r="BW1">
        <v>75</v>
      </c>
      <c r="BX1">
        <v>76</v>
      </c>
      <c r="BY1">
        <v>77</v>
      </c>
      <c r="BZ1">
        <v>78</v>
      </c>
      <c r="CA1">
        <v>79</v>
      </c>
      <c r="CB1">
        <v>80</v>
      </c>
      <c r="CC1">
        <v>81</v>
      </c>
      <c r="CD1">
        <v>82</v>
      </c>
      <c r="CE1">
        <v>83</v>
      </c>
      <c r="CF1">
        <v>84</v>
      </c>
      <c r="CG1">
        <v>85</v>
      </c>
      <c r="CH1">
        <v>86</v>
      </c>
      <c r="CI1">
        <v>87</v>
      </c>
      <c r="CJ1">
        <v>88</v>
      </c>
      <c r="CK1">
        <v>89</v>
      </c>
      <c r="CL1">
        <v>90</v>
      </c>
      <c r="CM1">
        <v>91</v>
      </c>
      <c r="CN1">
        <v>92</v>
      </c>
      <c r="CO1">
        <v>93</v>
      </c>
      <c r="CP1">
        <v>94</v>
      </c>
      <c r="CQ1">
        <v>95</v>
      </c>
      <c r="CR1">
        <v>96</v>
      </c>
      <c r="CS1">
        <v>97</v>
      </c>
      <c r="CT1">
        <v>98</v>
      </c>
      <c r="CU1">
        <v>99</v>
      </c>
    </row>
    <row r="4" spans="1:118">
      <c r="A4" s="480" t="s">
        <v>2153</v>
      </c>
      <c r="F4" s="651" t="s">
        <v>1424</v>
      </c>
    </row>
    <row r="5" spans="1:118">
      <c r="A5" t="s">
        <v>1445</v>
      </c>
    </row>
    <row r="7" spans="1:118">
      <c r="C7">
        <v>1</v>
      </c>
      <c r="E7">
        <v>202204</v>
      </c>
      <c r="F7">
        <v>202205</v>
      </c>
      <c r="G7">
        <v>202206</v>
      </c>
      <c r="H7">
        <v>222331</v>
      </c>
      <c r="I7">
        <v>202207</v>
      </c>
      <c r="J7">
        <v>202208</v>
      </c>
      <c r="K7">
        <v>202209</v>
      </c>
      <c r="L7">
        <v>222332</v>
      </c>
      <c r="M7">
        <v>222361</v>
      </c>
      <c r="N7">
        <v>202210</v>
      </c>
      <c r="O7">
        <v>202211</v>
      </c>
      <c r="P7">
        <v>202212</v>
      </c>
      <c r="Q7">
        <v>222333</v>
      </c>
      <c r="R7">
        <v>222391</v>
      </c>
      <c r="S7">
        <v>202301</v>
      </c>
      <c r="T7">
        <v>202302</v>
      </c>
      <c r="U7">
        <v>202303</v>
      </c>
      <c r="V7">
        <v>222334</v>
      </c>
      <c r="W7" s="480">
        <v>222399</v>
      </c>
      <c r="X7">
        <v>202304</v>
      </c>
      <c r="Y7">
        <v>202305</v>
      </c>
      <c r="Z7">
        <v>202306</v>
      </c>
      <c r="AA7">
        <v>232431</v>
      </c>
      <c r="AB7">
        <v>202307</v>
      </c>
      <c r="AC7">
        <v>202308</v>
      </c>
      <c r="AD7">
        <v>202309</v>
      </c>
      <c r="AE7">
        <v>232432</v>
      </c>
      <c r="AF7">
        <v>232461</v>
      </c>
      <c r="AG7">
        <v>202310</v>
      </c>
      <c r="AH7">
        <v>202311</v>
      </c>
      <c r="AI7">
        <v>202312</v>
      </c>
      <c r="AJ7">
        <v>232433</v>
      </c>
      <c r="AK7">
        <v>232491</v>
      </c>
      <c r="AL7">
        <v>202401</v>
      </c>
      <c r="AM7">
        <v>202402</v>
      </c>
      <c r="AN7">
        <v>202403</v>
      </c>
      <c r="AO7">
        <v>232434</v>
      </c>
      <c r="AP7" s="480">
        <v>232499</v>
      </c>
      <c r="AQ7">
        <v>202404</v>
      </c>
      <c r="AR7">
        <v>202405</v>
      </c>
      <c r="AS7">
        <v>202406</v>
      </c>
      <c r="AT7">
        <v>242531</v>
      </c>
      <c r="AU7">
        <v>202407</v>
      </c>
      <c r="AV7">
        <v>202408</v>
      </c>
      <c r="AW7">
        <v>202409</v>
      </c>
      <c r="AX7">
        <v>242532</v>
      </c>
      <c r="AY7">
        <v>242561</v>
      </c>
      <c r="AZ7">
        <v>202410</v>
      </c>
      <c r="BA7">
        <v>202411</v>
      </c>
      <c r="BB7">
        <v>202412</v>
      </c>
      <c r="BC7">
        <v>242533</v>
      </c>
      <c r="BD7">
        <v>242591</v>
      </c>
      <c r="BE7">
        <v>202501</v>
      </c>
      <c r="BF7">
        <v>202502</v>
      </c>
      <c r="BG7">
        <v>202503</v>
      </c>
      <c r="BH7">
        <v>242534</v>
      </c>
      <c r="BI7" s="480">
        <v>242599</v>
      </c>
      <c r="BJ7">
        <v>202504</v>
      </c>
      <c r="BK7">
        <v>202505</v>
      </c>
      <c r="BL7">
        <v>202506</v>
      </c>
      <c r="BM7">
        <v>252631</v>
      </c>
      <c r="BN7">
        <v>202507</v>
      </c>
      <c r="BO7">
        <v>202508</v>
      </c>
      <c r="BP7">
        <v>202509</v>
      </c>
      <c r="BQ7">
        <v>252632</v>
      </c>
      <c r="BR7">
        <v>252661</v>
      </c>
      <c r="BS7">
        <v>202510</v>
      </c>
      <c r="BT7">
        <v>202511</v>
      </c>
      <c r="BU7">
        <v>202512</v>
      </c>
      <c r="BV7">
        <v>252633</v>
      </c>
      <c r="BW7">
        <v>252691</v>
      </c>
      <c r="BX7">
        <v>202601</v>
      </c>
      <c r="BY7">
        <v>202602</v>
      </c>
      <c r="BZ7">
        <v>202603</v>
      </c>
      <c r="CA7">
        <v>252634</v>
      </c>
      <c r="CB7" s="480">
        <v>252699</v>
      </c>
      <c r="CC7">
        <v>202604</v>
      </c>
      <c r="CD7">
        <v>202605</v>
      </c>
      <c r="CE7">
        <v>202606</v>
      </c>
      <c r="CF7">
        <v>262731</v>
      </c>
      <c r="CG7">
        <v>202607</v>
      </c>
      <c r="CH7">
        <v>202608</v>
      </c>
      <c r="CI7">
        <v>202609</v>
      </c>
      <c r="CJ7">
        <v>262732</v>
      </c>
      <c r="CK7">
        <v>262761</v>
      </c>
      <c r="CL7">
        <v>202610</v>
      </c>
      <c r="CM7">
        <v>202611</v>
      </c>
      <c r="CN7">
        <v>202612</v>
      </c>
      <c r="CO7">
        <v>262733</v>
      </c>
      <c r="CP7">
        <v>262791</v>
      </c>
      <c r="CQ7">
        <v>202701</v>
      </c>
      <c r="CR7">
        <v>202702</v>
      </c>
      <c r="CS7">
        <v>202703</v>
      </c>
      <c r="CT7">
        <v>262734</v>
      </c>
      <c r="CU7" s="480">
        <v>262799</v>
      </c>
      <c r="DN7" s="480"/>
    </row>
    <row r="8" spans="1:118">
      <c r="C8">
        <v>2</v>
      </c>
      <c r="E8" t="s">
        <v>308</v>
      </c>
      <c r="F8" t="s">
        <v>309</v>
      </c>
      <c r="G8" t="s">
        <v>829</v>
      </c>
      <c r="H8" t="s">
        <v>392</v>
      </c>
      <c r="I8" t="s">
        <v>830</v>
      </c>
      <c r="J8" t="s">
        <v>312</v>
      </c>
      <c r="K8" t="s">
        <v>313</v>
      </c>
      <c r="L8" t="s">
        <v>393</v>
      </c>
      <c r="M8" t="s">
        <v>622</v>
      </c>
      <c r="N8" t="s">
        <v>314</v>
      </c>
      <c r="O8" t="s">
        <v>315</v>
      </c>
      <c r="P8" t="s">
        <v>316</v>
      </c>
      <c r="Q8" t="s">
        <v>394</v>
      </c>
      <c r="R8" t="s">
        <v>624</v>
      </c>
      <c r="S8" t="s">
        <v>317</v>
      </c>
      <c r="T8" t="s">
        <v>318</v>
      </c>
      <c r="U8" t="s">
        <v>319</v>
      </c>
      <c r="V8" t="s">
        <v>395</v>
      </c>
      <c r="W8" s="480" t="s">
        <v>831</v>
      </c>
      <c r="X8" t="s">
        <v>726</v>
      </c>
      <c r="Y8" t="s">
        <v>727</v>
      </c>
      <c r="Z8" t="s">
        <v>832</v>
      </c>
      <c r="AA8" t="s">
        <v>762</v>
      </c>
      <c r="AB8" t="s">
        <v>833</v>
      </c>
      <c r="AC8" t="s">
        <v>730</v>
      </c>
      <c r="AD8" t="s">
        <v>731</v>
      </c>
      <c r="AE8" t="s">
        <v>765</v>
      </c>
      <c r="AF8" t="s">
        <v>774</v>
      </c>
      <c r="AG8" t="s">
        <v>732</v>
      </c>
      <c r="AH8" t="s">
        <v>733</v>
      </c>
      <c r="AI8" t="s">
        <v>734</v>
      </c>
      <c r="AJ8" t="s">
        <v>768</v>
      </c>
      <c r="AK8" t="s">
        <v>780</v>
      </c>
      <c r="AL8" t="s">
        <v>735</v>
      </c>
      <c r="AM8" t="s">
        <v>736</v>
      </c>
      <c r="AN8" t="s">
        <v>737</v>
      </c>
      <c r="AO8" t="s">
        <v>771</v>
      </c>
      <c r="AP8" s="480" t="s">
        <v>834</v>
      </c>
      <c r="AQ8" t="s">
        <v>738</v>
      </c>
      <c r="AR8" t="s">
        <v>740</v>
      </c>
      <c r="AS8" t="s">
        <v>835</v>
      </c>
      <c r="AT8" t="s">
        <v>763</v>
      </c>
      <c r="AU8" t="s">
        <v>836</v>
      </c>
      <c r="AV8" t="s">
        <v>743</v>
      </c>
      <c r="AW8" t="s">
        <v>744</v>
      </c>
      <c r="AX8" t="s">
        <v>766</v>
      </c>
      <c r="AY8" t="s">
        <v>775</v>
      </c>
      <c r="AZ8" t="s">
        <v>745</v>
      </c>
      <c r="BA8" t="s">
        <v>746</v>
      </c>
      <c r="BB8" t="s">
        <v>747</v>
      </c>
      <c r="BC8" t="s">
        <v>769</v>
      </c>
      <c r="BD8" t="s">
        <v>781</v>
      </c>
      <c r="BE8" t="s">
        <v>748</v>
      </c>
      <c r="BF8" t="s">
        <v>749</v>
      </c>
      <c r="BG8" t="s">
        <v>750</v>
      </c>
      <c r="BH8" t="s">
        <v>772</v>
      </c>
      <c r="BI8" s="480" t="s">
        <v>837</v>
      </c>
      <c r="BJ8" t="s">
        <v>739</v>
      </c>
      <c r="BK8" t="s">
        <v>751</v>
      </c>
      <c r="BL8" t="s">
        <v>838</v>
      </c>
      <c r="BM8" t="s">
        <v>764</v>
      </c>
      <c r="BN8" t="s">
        <v>839</v>
      </c>
      <c r="BO8" t="s">
        <v>754</v>
      </c>
      <c r="BP8" t="s">
        <v>755</v>
      </c>
      <c r="BQ8" t="s">
        <v>767</v>
      </c>
      <c r="BR8" t="s">
        <v>776</v>
      </c>
      <c r="BS8" t="s">
        <v>756</v>
      </c>
      <c r="BT8" t="s">
        <v>757</v>
      </c>
      <c r="BU8" t="s">
        <v>758</v>
      </c>
      <c r="BV8" t="s">
        <v>770</v>
      </c>
      <c r="BW8" t="s">
        <v>782</v>
      </c>
      <c r="BX8" t="s">
        <v>759</v>
      </c>
      <c r="BY8" t="s">
        <v>760</v>
      </c>
      <c r="BZ8" t="s">
        <v>761</v>
      </c>
      <c r="CA8" t="s">
        <v>773</v>
      </c>
      <c r="CB8" s="480" t="s">
        <v>840</v>
      </c>
      <c r="CC8" t="s">
        <v>2268</v>
      </c>
      <c r="CD8" t="s">
        <v>2151</v>
      </c>
      <c r="CE8" t="s">
        <v>2269</v>
      </c>
      <c r="CF8" t="s">
        <v>2260</v>
      </c>
      <c r="CG8" t="s">
        <v>2270</v>
      </c>
      <c r="CH8" t="s">
        <v>2154</v>
      </c>
      <c r="CI8" t="s">
        <v>2155</v>
      </c>
      <c r="CJ8" t="s">
        <v>2261</v>
      </c>
      <c r="CK8" t="s">
        <v>2264</v>
      </c>
      <c r="CL8" t="s">
        <v>2156</v>
      </c>
      <c r="CM8" t="s">
        <v>2157</v>
      </c>
      <c r="CN8" t="s">
        <v>2158</v>
      </c>
      <c r="CO8" t="s">
        <v>2262</v>
      </c>
      <c r="CP8" t="s">
        <v>2266</v>
      </c>
      <c r="CQ8" t="s">
        <v>2159</v>
      </c>
      <c r="CR8" t="s">
        <v>2160</v>
      </c>
      <c r="CS8" t="s">
        <v>2149</v>
      </c>
      <c r="CT8" t="s">
        <v>2263</v>
      </c>
      <c r="CU8" s="480" t="s">
        <v>2271</v>
      </c>
      <c r="DN8" s="480"/>
    </row>
    <row r="9" spans="1:118">
      <c r="C9">
        <v>3</v>
      </c>
      <c r="D9" s="144" t="s">
        <v>60</v>
      </c>
      <c r="E9" s="184">
        <v>174086.03396666667</v>
      </c>
      <c r="F9" s="184">
        <v>33172.570387096777</v>
      </c>
      <c r="G9" s="184">
        <v>5974.7930666666662</v>
      </c>
      <c r="H9" s="184">
        <v>70661.258164835177</v>
      </c>
      <c r="I9" s="184">
        <v>5517.1026129032261</v>
      </c>
      <c r="J9" s="184">
        <v>1413.4193548387098</v>
      </c>
      <c r="K9" s="184">
        <v>1081.7117666666666</v>
      </c>
      <c r="L9" s="184">
        <v>2688.0166739130436</v>
      </c>
      <c r="M9" s="184">
        <v>36488.91818032787</v>
      </c>
      <c r="N9" s="184">
        <v>19354.83870967742</v>
      </c>
      <c r="O9" s="184">
        <v>140000</v>
      </c>
      <c r="P9" s="184">
        <v>116129.03225806452</v>
      </c>
      <c r="Q9" s="184">
        <v>91304.34782608696</v>
      </c>
      <c r="R9" s="184">
        <v>54827.171007272729</v>
      </c>
      <c r="S9" s="184">
        <v>112903.22580645161</v>
      </c>
      <c r="T9" s="184">
        <v>185714.28571428571</v>
      </c>
      <c r="U9" s="184">
        <v>193548.38709677418</v>
      </c>
      <c r="V9" s="184">
        <v>163333.33333333334</v>
      </c>
      <c r="W9" s="497">
        <v>81582.115142465758</v>
      </c>
      <c r="X9" s="184">
        <v>188924.63333000001</v>
      </c>
      <c r="Y9" s="184">
        <v>180618.70968</v>
      </c>
      <c r="Z9" s="184">
        <v>169132.73333000002</v>
      </c>
      <c r="AA9" s="184">
        <v>179570.34065802197</v>
      </c>
      <c r="AB9" s="184">
        <v>175688.32258000001</v>
      </c>
      <c r="AC9" s="184">
        <v>153207.35484000001</v>
      </c>
      <c r="AD9" s="184">
        <v>151770.76666999998</v>
      </c>
      <c r="AE9" s="184">
        <v>160314.01087086956</v>
      </c>
      <c r="AF9" s="184">
        <v>169889.56284153005</v>
      </c>
      <c r="AG9" s="184">
        <v>178731.77419</v>
      </c>
      <c r="AH9" s="184">
        <v>175817.73333000002</v>
      </c>
      <c r="AI9" s="184">
        <v>170230.38709677418</v>
      </c>
      <c r="AJ9" s="184">
        <v>174916.94564989131</v>
      </c>
      <c r="AK9" s="184">
        <v>171571.45090832727</v>
      </c>
      <c r="AL9" s="184">
        <v>178234.25806451612</v>
      </c>
      <c r="AM9" s="184">
        <v>141715.0344810345</v>
      </c>
      <c r="AN9" s="184">
        <v>176256.41935516128</v>
      </c>
      <c r="AO9" s="184">
        <v>165922.49450505493</v>
      </c>
      <c r="AP9" s="497">
        <v>170166.92896106557</v>
      </c>
      <c r="AQ9" s="184">
        <v>163723.5</v>
      </c>
      <c r="AR9" s="184">
        <v>152903</v>
      </c>
      <c r="AS9" s="184">
        <v>152695.36666666667</v>
      </c>
      <c r="AT9" s="184">
        <v>156401.74725274724</v>
      </c>
      <c r="AU9" s="184">
        <v>146714.64516129033</v>
      </c>
      <c r="AV9" s="184">
        <v>131761.16129032258</v>
      </c>
      <c r="AW9" s="184">
        <v>147180</v>
      </c>
      <c r="AX9" s="184">
        <v>141827.71739130435</v>
      </c>
      <c r="AY9" s="184">
        <v>149074.912568306</v>
      </c>
      <c r="AZ9" s="184">
        <v>139168.19354838709</v>
      </c>
      <c r="BA9" s="184">
        <v>148376.36666666667</v>
      </c>
      <c r="BB9" s="184">
        <v>151200</v>
      </c>
      <c r="BC9" s="184">
        <v>146225.05434782608</v>
      </c>
      <c r="BD9" s="184">
        <v>148121.50545454546</v>
      </c>
      <c r="BE9" s="184">
        <v>165217.51612806451</v>
      </c>
      <c r="BF9" s="184">
        <v>157694.28571500001</v>
      </c>
      <c r="BG9" s="184">
        <v>150695.80645161291</v>
      </c>
      <c r="BH9" s="184">
        <v>157875.03333322224</v>
      </c>
      <c r="BI9" s="497">
        <v>150526.48493147947</v>
      </c>
      <c r="BJ9" s="184">
        <v>153256.93333333332</v>
      </c>
      <c r="BK9" s="184">
        <v>138294.45161290321</v>
      </c>
      <c r="BL9" s="184">
        <v>133238.93333333332</v>
      </c>
      <c r="BM9" s="184">
        <v>141560.48351648351</v>
      </c>
      <c r="BN9" s="184">
        <v>133465.48387096773</v>
      </c>
      <c r="BO9" s="184">
        <v>31854.806451612902</v>
      </c>
      <c r="BP9" s="184">
        <v>141057.83333333334</v>
      </c>
      <c r="BQ9" s="184">
        <v>101702.86956521739</v>
      </c>
      <c r="BR9" s="184">
        <v>121522.77595628415</v>
      </c>
      <c r="BS9" s="184">
        <v>142110.25806451612</v>
      </c>
      <c r="BT9" s="184">
        <v>150871.33333333334</v>
      </c>
      <c r="BU9" s="184">
        <v>152047.96774193548</v>
      </c>
      <c r="BV9" s="184">
        <v>148315.70652173914</v>
      </c>
      <c r="BW9" s="184">
        <v>130486.2290909091</v>
      </c>
      <c r="BX9" s="184">
        <v>174168.06451612903</v>
      </c>
      <c r="BY9" s="184">
        <v>184934.14285714287</v>
      </c>
      <c r="BZ9" s="184">
        <v>0</v>
      </c>
      <c r="CA9" s="184">
        <v>117526.28888888888</v>
      </c>
      <c r="CB9" s="497">
        <v>127290.62739726028</v>
      </c>
      <c r="CC9" s="184">
        <v>189203.96666666667</v>
      </c>
      <c r="CD9" s="184">
        <v>184262.29032290322</v>
      </c>
      <c r="CE9" s="184">
        <v>169196.10000066666</v>
      </c>
      <c r="CF9" s="184">
        <v>180924.53846186813</v>
      </c>
      <c r="CG9" s="184">
        <v>187261.55464516129</v>
      </c>
      <c r="CH9" s="184">
        <v>0</v>
      </c>
      <c r="CI9" s="184">
        <v>0</v>
      </c>
      <c r="CJ9" s="184">
        <v>63099.002108695655</v>
      </c>
      <c r="CK9" s="184">
        <v>121689.84259032788</v>
      </c>
      <c r="CL9" s="184">
        <v>0</v>
      </c>
      <c r="CM9" s="184">
        <v>0</v>
      </c>
      <c r="CN9" s="184">
        <v>0</v>
      </c>
      <c r="CO9" s="184">
        <v>0</v>
      </c>
      <c r="CP9" s="184">
        <v>80979.05888738182</v>
      </c>
      <c r="CQ9" s="184">
        <v>0</v>
      </c>
      <c r="CR9" s="184">
        <v>0</v>
      </c>
      <c r="CS9" s="184">
        <v>0</v>
      </c>
      <c r="CT9" s="184">
        <v>0</v>
      </c>
      <c r="CU9" s="497">
        <v>61011.619709671235</v>
      </c>
    </row>
    <row r="10" spans="1:118">
      <c r="C10">
        <v>4</v>
      </c>
      <c r="D10" s="144" t="s">
        <v>61</v>
      </c>
      <c r="E10" s="184">
        <v>196818.02511200021</v>
      </c>
      <c r="F10" s="184">
        <v>199000.43735999989</v>
      </c>
      <c r="G10" s="184">
        <v>198267.53749599995</v>
      </c>
      <c r="H10" s="184">
        <v>198039.34545494505</v>
      </c>
      <c r="I10" s="184">
        <v>196869.57384</v>
      </c>
      <c r="J10" s="184">
        <v>195613.91616000005</v>
      </c>
      <c r="K10" s="184">
        <v>191929.92651199986</v>
      </c>
      <c r="L10" s="184">
        <v>194835.71723217386</v>
      </c>
      <c r="M10" s="184">
        <v>196428.77826098356</v>
      </c>
      <c r="N10" s="184">
        <v>191363.87040000013</v>
      </c>
      <c r="O10" s="184">
        <v>189707.41251200001</v>
      </c>
      <c r="P10" s="184">
        <v>189720.4193548387</v>
      </c>
      <c r="Q10" s="184">
        <v>190269.94954086962</v>
      </c>
      <c r="R10" s="184">
        <v>194368.37010734546</v>
      </c>
      <c r="S10" s="184">
        <v>190557.13607999994</v>
      </c>
      <c r="T10" s="184">
        <v>191394.11957142866</v>
      </c>
      <c r="U10" s="184">
        <v>186029.87088000003</v>
      </c>
      <c r="V10" s="184">
        <v>189258.13959733336</v>
      </c>
      <c r="W10" s="497">
        <v>193108.31326926028</v>
      </c>
      <c r="X10" s="184">
        <v>184477.43600033331</v>
      </c>
      <c r="Y10" s="184">
        <v>182899.03225903225</v>
      </c>
      <c r="Z10" s="184">
        <v>185948.73333333334</v>
      </c>
      <c r="AA10" s="184">
        <v>184424.78109934067</v>
      </c>
      <c r="AB10" s="184">
        <v>182260.80645193547</v>
      </c>
      <c r="AC10" s="184">
        <v>185383.38709645162</v>
      </c>
      <c r="AD10" s="184">
        <v>184344.566666</v>
      </c>
      <c r="AE10" s="184">
        <v>183992.46739108695</v>
      </c>
      <c r="AF10" s="184">
        <v>184207.44306021856</v>
      </c>
      <c r="AG10" s="184">
        <v>177421.45161225807</v>
      </c>
      <c r="AH10" s="184">
        <v>181803.83333266666</v>
      </c>
      <c r="AI10" s="184">
        <v>179045.54838774193</v>
      </c>
      <c r="AJ10" s="184">
        <v>179397.73913021738</v>
      </c>
      <c r="AK10" s="184">
        <v>182598.37847272726</v>
      </c>
      <c r="AL10" s="184">
        <v>175946.4516132258</v>
      </c>
      <c r="AM10" s="184">
        <v>176915.44827620688</v>
      </c>
      <c r="AN10" s="184">
        <v>177735.32258096774</v>
      </c>
      <c r="AO10" s="184">
        <v>176864.64835197802</v>
      </c>
      <c r="AP10" s="497">
        <v>181172.77890718577</v>
      </c>
      <c r="AQ10" s="184">
        <v>172395.9</v>
      </c>
      <c r="AR10" s="184">
        <v>170992.35483870967</v>
      </c>
      <c r="AS10" s="184">
        <v>173523.26666666666</v>
      </c>
      <c r="AT10" s="184">
        <v>172289.42857142858</v>
      </c>
      <c r="AU10" s="184">
        <v>176151.06451612903</v>
      </c>
      <c r="AV10" s="184">
        <v>171974.03225806452</v>
      </c>
      <c r="AW10" s="184">
        <v>172260.86666666667</v>
      </c>
      <c r="AX10" s="184">
        <v>173475.04347826086</v>
      </c>
      <c r="AY10" s="184">
        <v>172885.47540983607</v>
      </c>
      <c r="AZ10" s="184">
        <v>173987.70967741936</v>
      </c>
      <c r="BA10" s="184">
        <v>173310.2</v>
      </c>
      <c r="BB10" s="184">
        <v>174654.70967741936</v>
      </c>
      <c r="BC10" s="184">
        <v>173991.53260869565</v>
      </c>
      <c r="BD10" s="184">
        <v>173255.50181818183</v>
      </c>
      <c r="BE10" s="184">
        <v>172980.5306448387</v>
      </c>
      <c r="BF10" s="184">
        <v>171329.23617857142</v>
      </c>
      <c r="BG10" s="184">
        <v>169411.71887096774</v>
      </c>
      <c r="BH10" s="184">
        <v>171237.53719988887</v>
      </c>
      <c r="BI10" s="497">
        <v>172757.92150134247</v>
      </c>
      <c r="BJ10" s="184">
        <v>169628.7</v>
      </c>
      <c r="BK10" s="184">
        <v>168812.77419354839</v>
      </c>
      <c r="BL10" s="184">
        <v>168850.03333333333</v>
      </c>
      <c r="BM10" s="184">
        <v>169094.04395604396</v>
      </c>
      <c r="BN10" s="184">
        <v>166841.80645161291</v>
      </c>
      <c r="BO10" s="184">
        <v>165807.67741935485</v>
      </c>
      <c r="BP10" s="184">
        <v>165987.66666666666</v>
      </c>
      <c r="BQ10" s="184">
        <v>166214.82608695651</v>
      </c>
      <c r="BR10" s="184">
        <v>167646.56830601091</v>
      </c>
      <c r="BS10" s="184">
        <v>165006.4193548387</v>
      </c>
      <c r="BT10" s="184">
        <v>163985.06666666668</v>
      </c>
      <c r="BU10" s="184">
        <v>161157.12903225806</v>
      </c>
      <c r="BV10" s="184">
        <v>163376.32608695651</v>
      </c>
      <c r="BW10" s="184">
        <v>166217.97818181818</v>
      </c>
      <c r="BX10" s="184">
        <v>157926.83870967742</v>
      </c>
      <c r="BY10" s="184">
        <v>162113.60714285713</v>
      </c>
      <c r="BZ10" s="184">
        <v>0</v>
      </c>
      <c r="CA10" s="184">
        <v>104832.36666666667</v>
      </c>
      <c r="CB10" s="497">
        <v>151081.79999999999</v>
      </c>
      <c r="CC10" s="184">
        <v>155673.12433366667</v>
      </c>
      <c r="CD10" s="184">
        <v>155546.70022645159</v>
      </c>
      <c r="CE10" s="184">
        <v>155214.86819966664</v>
      </c>
      <c r="CF10" s="184">
        <v>155478.98332989009</v>
      </c>
      <c r="CG10" s="184">
        <v>156314.0740648387</v>
      </c>
      <c r="CH10" s="184">
        <v>0</v>
      </c>
      <c r="CI10" s="184">
        <v>0</v>
      </c>
      <c r="CJ10" s="184">
        <v>52671.046695760866</v>
      </c>
      <c r="CK10" s="184">
        <v>103794.11901109289</v>
      </c>
      <c r="CL10" s="184">
        <v>0</v>
      </c>
      <c r="CM10" s="184">
        <v>0</v>
      </c>
      <c r="CN10" s="184">
        <v>0</v>
      </c>
      <c r="CO10" s="184">
        <v>0</v>
      </c>
      <c r="CP10" s="184">
        <v>69070.268287381812</v>
      </c>
      <c r="CQ10" s="184">
        <v>0</v>
      </c>
      <c r="CR10" s="184">
        <v>0</v>
      </c>
      <c r="CS10" s="184">
        <v>0</v>
      </c>
      <c r="CT10" s="184">
        <v>0</v>
      </c>
      <c r="CU10" s="497">
        <v>52039.243230219174</v>
      </c>
    </row>
    <row r="11" spans="1:118">
      <c r="C11">
        <v>5</v>
      </c>
      <c r="D11" s="144" t="s">
        <v>62</v>
      </c>
      <c r="E11" s="184">
        <v>4375.9703333333337</v>
      </c>
      <c r="F11" s="184">
        <v>3823.2051612903228</v>
      </c>
      <c r="G11" s="184">
        <v>3833.9333333333334</v>
      </c>
      <c r="H11" s="184">
        <v>4008.972197802198</v>
      </c>
      <c r="I11" s="184">
        <v>3772.8064516129034</v>
      </c>
      <c r="J11" s="184">
        <v>3690.9354838709678</v>
      </c>
      <c r="K11" s="184">
        <v>3509.4</v>
      </c>
      <c r="L11" s="184">
        <v>3659.3260869565215</v>
      </c>
      <c r="M11" s="184">
        <v>3833.1938251366118</v>
      </c>
      <c r="N11" s="184">
        <v>3539.2903225806454</v>
      </c>
      <c r="O11" s="184">
        <v>3391.0789999999997</v>
      </c>
      <c r="P11" s="184">
        <v>3395.4767802589627</v>
      </c>
      <c r="Q11" s="184">
        <v>3442.5016324785634</v>
      </c>
      <c r="R11" s="184">
        <v>3702.4895279564648</v>
      </c>
      <c r="S11" s="184">
        <v>3250.1619354838708</v>
      </c>
      <c r="T11" s="184">
        <v>3235.3571428571427</v>
      </c>
      <c r="U11" s="184">
        <v>2993.9916129032258</v>
      </c>
      <c r="V11" s="184">
        <v>3157.3195555555558</v>
      </c>
      <c r="W11" s="497">
        <v>3568.0640553096655</v>
      </c>
      <c r="X11" s="184">
        <v>2958.9173346666666</v>
      </c>
      <c r="Y11" s="184">
        <v>2748.2654845161292</v>
      </c>
      <c r="Z11" s="184">
        <v>2784.7020013333331</v>
      </c>
      <c r="AA11" s="184">
        <v>2829.7231879120877</v>
      </c>
      <c r="AB11" s="184">
        <v>2753.0000009677419</v>
      </c>
      <c r="AC11" s="184">
        <v>2673.3548351612903</v>
      </c>
      <c r="AD11" s="184">
        <v>2561.5666679999999</v>
      </c>
      <c r="AE11" s="184">
        <v>2663.7391299999999</v>
      </c>
      <c r="AF11" s="184">
        <v>2746.2776506010928</v>
      </c>
      <c r="AG11" s="184">
        <v>2607.967741612903</v>
      </c>
      <c r="AH11" s="184">
        <v>2572.73333</v>
      </c>
      <c r="AI11" s="184">
        <v>2529.9354900000003</v>
      </c>
      <c r="AJ11" s="184">
        <v>2570.1847834782607</v>
      </c>
      <c r="AK11" s="184">
        <v>2687.3665823272727</v>
      </c>
      <c r="AL11" s="184">
        <v>2485.6451700000002</v>
      </c>
      <c r="AM11" s="184">
        <v>2387.1379324137929</v>
      </c>
      <c r="AN11" s="184">
        <v>2330.645160967742</v>
      </c>
      <c r="AO11" s="184">
        <v>2401.4505527472529</v>
      </c>
      <c r="AP11" s="497">
        <v>2616.2781706010928</v>
      </c>
      <c r="AQ11" s="184">
        <v>2505.5</v>
      </c>
      <c r="AR11" s="184">
        <v>2272.483870967742</v>
      </c>
      <c r="AS11" s="184">
        <v>1859.0333333333333</v>
      </c>
      <c r="AT11" s="184">
        <v>2213</v>
      </c>
      <c r="AU11" s="184">
        <v>2354.0967741935483</v>
      </c>
      <c r="AV11" s="184">
        <v>2320.8387096774195</v>
      </c>
      <c r="AW11" s="184">
        <v>2072.4333333333334</v>
      </c>
      <c r="AX11" s="184">
        <v>2251.0434782608695</v>
      </c>
      <c r="AY11" s="184">
        <v>2232.1256830601092</v>
      </c>
      <c r="AZ11" s="184">
        <v>2258.1935483870966</v>
      </c>
      <c r="BA11" s="184">
        <v>2217.0333333333333</v>
      </c>
      <c r="BB11" s="184">
        <v>2293.2258064516127</v>
      </c>
      <c r="BC11" s="184">
        <v>2256.5760869565215</v>
      </c>
      <c r="BD11" s="184">
        <v>2240.3054545454547</v>
      </c>
      <c r="BE11" s="184">
        <v>2212.9032235483874</v>
      </c>
      <c r="BF11" s="184">
        <v>2238.3317857142856</v>
      </c>
      <c r="BG11" s="184">
        <v>2057.7096129032257</v>
      </c>
      <c r="BH11" s="184">
        <v>2167.3587547777779</v>
      </c>
      <c r="BI11" s="497">
        <v>2222.3185970684931</v>
      </c>
      <c r="BJ11" s="184">
        <v>2067.0333333333333</v>
      </c>
      <c r="BK11" s="184">
        <v>2143.2258064516127</v>
      </c>
      <c r="BL11" s="184">
        <v>2071.2333333333331</v>
      </c>
      <c r="BM11" s="184">
        <v>2094.3736263736264</v>
      </c>
      <c r="BN11" s="184">
        <v>2050.5483870967741</v>
      </c>
      <c r="BO11" s="184">
        <v>2086.1290322580644</v>
      </c>
      <c r="BP11" s="184">
        <v>2161.8666666666668</v>
      </c>
      <c r="BQ11" s="184">
        <v>2098.836956521739</v>
      </c>
      <c r="BR11" s="184">
        <v>2096.6174863387978</v>
      </c>
      <c r="BS11" s="184">
        <v>2440.6129032258063</v>
      </c>
      <c r="BT11" s="184">
        <v>2386.5333333333333</v>
      </c>
      <c r="BU11" s="184">
        <v>2263.3225806451615</v>
      </c>
      <c r="BV11" s="184">
        <v>2363.2391304347825</v>
      </c>
      <c r="BW11" s="184">
        <v>2185.8145454545456</v>
      </c>
      <c r="BX11" s="184">
        <v>2181.7419354838707</v>
      </c>
      <c r="BY11" s="184">
        <v>2115.7142857142858</v>
      </c>
      <c r="BZ11" s="184">
        <v>0</v>
      </c>
      <c r="CA11" s="184">
        <v>1409.7111111111112</v>
      </c>
      <c r="CB11" s="497">
        <v>1994.4465753424658</v>
      </c>
      <c r="CC11" s="184">
        <v>1967.1666666666667</v>
      </c>
      <c r="CD11" s="184">
        <v>1868.8709658064517</v>
      </c>
      <c r="CE11" s="184">
        <v>1976.7666666666667</v>
      </c>
      <c r="CF11" s="184">
        <v>1936.8461531868134</v>
      </c>
      <c r="CG11" s="184">
        <v>1912.9999990322581</v>
      </c>
      <c r="CH11" s="184">
        <v>0</v>
      </c>
      <c r="CI11" s="184">
        <v>0</v>
      </c>
      <c r="CJ11" s="184">
        <v>644.59782576086957</v>
      </c>
      <c r="CK11" s="184">
        <v>1287.191256338798</v>
      </c>
      <c r="CL11" s="184">
        <v>0</v>
      </c>
      <c r="CM11" s="184">
        <v>0</v>
      </c>
      <c r="CN11" s="184">
        <v>0</v>
      </c>
      <c r="CO11" s="184">
        <v>0</v>
      </c>
      <c r="CP11" s="184">
        <v>856.56727240000009</v>
      </c>
      <c r="CQ11" s="184">
        <v>0</v>
      </c>
      <c r="CR11" s="184">
        <v>0</v>
      </c>
      <c r="CS11" s="184">
        <v>0</v>
      </c>
      <c r="CT11" s="184">
        <v>0</v>
      </c>
      <c r="CU11" s="497">
        <v>645.35890386301378</v>
      </c>
    </row>
    <row r="12" spans="1:118">
      <c r="C12">
        <v>6</v>
      </c>
      <c r="D12" s="144" t="s">
        <v>57</v>
      </c>
      <c r="E12" s="184">
        <v>436642.43333333335</v>
      </c>
      <c r="F12" s="184">
        <v>428948.38709677418</v>
      </c>
      <c r="G12" s="184">
        <v>381474.13333333336</v>
      </c>
      <c r="H12" s="184">
        <v>415834.03296703298</v>
      </c>
      <c r="I12" s="184">
        <v>408053.67741935485</v>
      </c>
      <c r="J12" s="184">
        <v>410162.3548387097</v>
      </c>
      <c r="K12" s="184">
        <v>399457.78327005665</v>
      </c>
      <c r="L12" s="184">
        <v>405961.2010663228</v>
      </c>
      <c r="M12" s="184">
        <v>410870.64206612948</v>
      </c>
      <c r="N12" s="184">
        <v>404120.19354838709</v>
      </c>
      <c r="O12" s="184">
        <v>408296.42833333334</v>
      </c>
      <c r="P12" s="184">
        <v>407537.26444086764</v>
      </c>
      <c r="Q12" s="184">
        <v>406633.41356159671</v>
      </c>
      <c r="R12" s="184">
        <v>409453.09653006762</v>
      </c>
      <c r="S12" s="184">
        <v>393338.25806451612</v>
      </c>
      <c r="T12" s="184">
        <v>389640.42857142858</v>
      </c>
      <c r="U12" s="184">
        <v>374434.06451612903</v>
      </c>
      <c r="V12" s="184">
        <v>385676.37777777779</v>
      </c>
      <c r="W12" s="497">
        <v>403590.34396100981</v>
      </c>
      <c r="X12" s="184">
        <v>372099.29999000003</v>
      </c>
      <c r="Y12" s="184">
        <v>360901.90321999998</v>
      </c>
      <c r="Z12" s="184">
        <v>361661.66667000001</v>
      </c>
      <c r="AA12" s="184">
        <v>364843.8241716483</v>
      </c>
      <c r="AB12" s="184">
        <v>354781.90323</v>
      </c>
      <c r="AC12" s="184">
        <v>355944.48388000001</v>
      </c>
      <c r="AD12" s="184">
        <v>349866.06666999997</v>
      </c>
      <c r="AE12" s="184">
        <v>353570.65217945649</v>
      </c>
      <c r="AF12" s="184">
        <v>359176.43715918029</v>
      </c>
      <c r="AG12" s="184">
        <v>348219.80644999997</v>
      </c>
      <c r="AH12" s="184">
        <v>348437.33333466668</v>
      </c>
      <c r="AI12" s="184">
        <v>349048.67742193548</v>
      </c>
      <c r="AJ12" s="184">
        <v>348570.03260945657</v>
      </c>
      <c r="AK12" s="184">
        <v>355628.11272800004</v>
      </c>
      <c r="AL12" s="184">
        <v>334926.90322677419</v>
      </c>
      <c r="AM12" s="184">
        <v>340614.82758827583</v>
      </c>
      <c r="AN12" s="184">
        <v>342368.29032161291</v>
      </c>
      <c r="AO12" s="184">
        <v>339274.51648417581</v>
      </c>
      <c r="AP12" s="497">
        <v>351562.05464551912</v>
      </c>
      <c r="AQ12" s="184">
        <v>336813.43333333335</v>
      </c>
      <c r="AR12" s="184">
        <v>318491.38709677418</v>
      </c>
      <c r="AS12" s="184">
        <v>345536.86666666664</v>
      </c>
      <c r="AT12" s="184">
        <v>333447.71428571426</v>
      </c>
      <c r="AU12" s="184">
        <v>345628.54838709679</v>
      </c>
      <c r="AV12" s="184">
        <v>339664.74193548388</v>
      </c>
      <c r="AW12" s="184">
        <v>343885.5</v>
      </c>
      <c r="AX12" s="184">
        <v>343050.61956521741</v>
      </c>
      <c r="AY12" s="184">
        <v>338275.40437158471</v>
      </c>
      <c r="AZ12" s="184">
        <v>349014.25806451612</v>
      </c>
      <c r="BA12" s="184">
        <v>859675.1</v>
      </c>
      <c r="BB12" s="184">
        <v>351887.6451612903</v>
      </c>
      <c r="BC12" s="184">
        <v>516502.30434782611</v>
      </c>
      <c r="BD12" s="184">
        <v>397900.40363636363</v>
      </c>
      <c r="BE12" s="184">
        <v>321749.51613129035</v>
      </c>
      <c r="BF12" s="184">
        <v>337706.1785739286</v>
      </c>
      <c r="BG12" s="184">
        <v>332461.06451612903</v>
      </c>
      <c r="BH12" s="184">
        <v>330403.344446</v>
      </c>
      <c r="BI12" s="497">
        <v>381257.2931510685</v>
      </c>
      <c r="BJ12" s="184">
        <v>325302.40000000002</v>
      </c>
      <c r="BK12" s="184">
        <v>322067.22580645164</v>
      </c>
      <c r="BL12" s="184">
        <v>321355.33333333331</v>
      </c>
      <c r="BM12" s="184">
        <v>322899.07692307694</v>
      </c>
      <c r="BN12" s="184">
        <v>326927.80645161291</v>
      </c>
      <c r="BO12" s="184">
        <v>328463.09677419357</v>
      </c>
      <c r="BP12" s="184">
        <v>331043.5</v>
      </c>
      <c r="BQ12" s="184">
        <v>328787.20652173914</v>
      </c>
      <c r="BR12" s="184">
        <v>325859.2295081967</v>
      </c>
      <c r="BS12" s="184">
        <v>337654.67741935485</v>
      </c>
      <c r="BT12" s="184">
        <v>336508.26666666666</v>
      </c>
      <c r="BU12" s="184">
        <v>338023.90322580643</v>
      </c>
      <c r="BV12" s="184">
        <v>337405.26086956525</v>
      </c>
      <c r="BW12" s="184">
        <v>329721.9018181818</v>
      </c>
      <c r="BX12" s="184">
        <v>319254.51612903224</v>
      </c>
      <c r="BY12" s="184">
        <v>329916.35714285716</v>
      </c>
      <c r="BZ12" s="184">
        <v>0</v>
      </c>
      <c r="CA12" s="184">
        <v>212606.08888888889</v>
      </c>
      <c r="CB12" s="497">
        <v>300844.03013698629</v>
      </c>
      <c r="CC12" s="184">
        <v>321916.63333333336</v>
      </c>
      <c r="CD12" s="184">
        <v>318392.1935480645</v>
      </c>
      <c r="CE12" s="184">
        <v>322595.96666833333</v>
      </c>
      <c r="CF12" s="184">
        <v>320939.95604439563</v>
      </c>
      <c r="CG12" s="184">
        <v>323387.48387387092</v>
      </c>
      <c r="CH12" s="184">
        <v>0</v>
      </c>
      <c r="CI12" s="184">
        <v>0</v>
      </c>
      <c r="CJ12" s="184">
        <v>108967.52174010868</v>
      </c>
      <c r="CK12" s="184">
        <v>214374.57923568305</v>
      </c>
      <c r="CL12" s="184">
        <v>0</v>
      </c>
      <c r="CM12" s="184">
        <v>0</v>
      </c>
      <c r="CN12" s="184">
        <v>0</v>
      </c>
      <c r="CO12" s="184">
        <v>0</v>
      </c>
      <c r="CP12" s="184">
        <v>142656.53818229091</v>
      </c>
      <c r="CQ12" s="184">
        <v>0</v>
      </c>
      <c r="CR12" s="184">
        <v>0</v>
      </c>
      <c r="CS12" s="184">
        <v>0</v>
      </c>
      <c r="CT12" s="184">
        <v>0</v>
      </c>
      <c r="CU12" s="497">
        <v>107480.95342501369</v>
      </c>
    </row>
    <row r="13" spans="1:118">
      <c r="C13">
        <v>7</v>
      </c>
      <c r="D13" s="144" t="s">
        <v>58</v>
      </c>
      <c r="E13" s="184">
        <v>6125.369314219367</v>
      </c>
      <c r="F13" s="184">
        <v>0</v>
      </c>
      <c r="G13" s="184">
        <v>12358.542217449785</v>
      </c>
      <c r="H13" s="184">
        <v>6093.5972082425778</v>
      </c>
      <c r="I13" s="184">
        <v>22767.888952422574</v>
      </c>
      <c r="J13" s="184">
        <v>40698.585373450071</v>
      </c>
      <c r="K13" s="184">
        <v>38084.569852305423</v>
      </c>
      <c r="L13" s="184">
        <v>33804.32390946972</v>
      </c>
      <c r="M13" s="184">
        <v>20024.67292689229</v>
      </c>
      <c r="N13" s="184">
        <v>41813.517816887084</v>
      </c>
      <c r="O13" s="184">
        <v>26288.428131184261</v>
      </c>
      <c r="P13" s="184">
        <v>12042.445658436522</v>
      </c>
      <c r="Q13" s="184">
        <v>26719.431648593043</v>
      </c>
      <c r="R13" s="184">
        <v>22264.374026515816</v>
      </c>
      <c r="S13" s="184">
        <v>32750.642860762684</v>
      </c>
      <c r="T13" s="184">
        <v>27604.991079075746</v>
      </c>
      <c r="U13" s="184">
        <v>19770.724471585087</v>
      </c>
      <c r="V13" s="184">
        <v>26678.912639076687</v>
      </c>
      <c r="W13" s="497">
        <v>23352.890396736308</v>
      </c>
      <c r="X13" s="184">
        <v>34532.858800666669</v>
      </c>
      <c r="Y13" s="184">
        <v>22176.792062903223</v>
      </c>
      <c r="Z13" s="184">
        <v>30917.190835000001</v>
      </c>
      <c r="AA13" s="184">
        <v>29131.670802417579</v>
      </c>
      <c r="AB13" s="184">
        <v>34629.99861193548</v>
      </c>
      <c r="AC13" s="184">
        <v>32676.311547741938</v>
      </c>
      <c r="AD13" s="184">
        <v>23467.046466333333</v>
      </c>
      <c r="AE13" s="184">
        <v>30331.59792326087</v>
      </c>
      <c r="AF13" s="184">
        <v>29734.912852240435</v>
      </c>
      <c r="AG13" s="184">
        <v>0</v>
      </c>
      <c r="AH13" s="184">
        <v>19543.878799666665</v>
      </c>
      <c r="AI13" s="184">
        <v>33933.336388064519</v>
      </c>
      <c r="AJ13" s="184">
        <v>17807.06295673913</v>
      </c>
      <c r="AK13" s="184">
        <v>25744.504887199997</v>
      </c>
      <c r="AL13" s="184">
        <v>29258.104967741932</v>
      </c>
      <c r="AM13" s="184">
        <v>30247.683000344827</v>
      </c>
      <c r="AN13" s="184">
        <v>23836.645161290322</v>
      </c>
      <c r="AO13" s="184">
        <v>27726.594077032965</v>
      </c>
      <c r="AP13" s="497">
        <v>26237.319412540979</v>
      </c>
      <c r="AQ13" s="184">
        <v>17029.533333333333</v>
      </c>
      <c r="AR13" s="184">
        <v>26341.741935483871</v>
      </c>
      <c r="AS13" s="184">
        <v>22427.933333333334</v>
      </c>
      <c r="AT13" s="184">
        <v>21981.516483516483</v>
      </c>
      <c r="AU13" s="184">
        <v>23324.774193548386</v>
      </c>
      <c r="AV13" s="184">
        <v>29859.741935483871</v>
      </c>
      <c r="AW13" s="184">
        <v>25243.733333333334</v>
      </c>
      <c r="AX13" s="184">
        <v>26152.521739130436</v>
      </c>
      <c r="AY13" s="184">
        <v>24078.415300546447</v>
      </c>
      <c r="AZ13" s="184">
        <v>22157.193548387098</v>
      </c>
      <c r="BA13" s="184">
        <v>23016.7</v>
      </c>
      <c r="BB13" s="184">
        <v>32015.741935483871</v>
      </c>
      <c r="BC13" s="184">
        <v>25759.369565217392</v>
      </c>
      <c r="BD13" s="184">
        <v>24640.770909090908</v>
      </c>
      <c r="BE13" s="184">
        <v>28334.83870967742</v>
      </c>
      <c r="BF13" s="184">
        <v>22560.142857142859</v>
      </c>
      <c r="BG13" s="184">
        <v>25733.258064516129</v>
      </c>
      <c r="BH13" s="184">
        <v>25642.166666666668</v>
      </c>
      <c r="BI13" s="497">
        <v>24887.690410958905</v>
      </c>
      <c r="BJ13" s="184">
        <v>26396.066666666666</v>
      </c>
      <c r="BK13" s="184">
        <v>28117.83870967742</v>
      </c>
      <c r="BL13" s="184">
        <v>30197.033333333333</v>
      </c>
      <c r="BM13" s="184">
        <v>28235.670329670331</v>
      </c>
      <c r="BN13" s="184">
        <v>29261.645161290322</v>
      </c>
      <c r="BO13" s="184">
        <v>29758.870967741936</v>
      </c>
      <c r="BP13" s="184">
        <v>28479.966666666667</v>
      </c>
      <c r="BQ13" s="184">
        <v>29174.293478260868</v>
      </c>
      <c r="BR13" s="184">
        <v>28707.546448087433</v>
      </c>
      <c r="BS13" s="184">
        <v>31224.870967741936</v>
      </c>
      <c r="BT13" s="184">
        <v>17791.5</v>
      </c>
      <c r="BU13" s="184">
        <v>0</v>
      </c>
      <c r="BV13" s="184">
        <v>16323</v>
      </c>
      <c r="BW13" s="184">
        <v>24564.352727272726</v>
      </c>
      <c r="BX13" s="184">
        <v>4367.1290322580644</v>
      </c>
      <c r="BY13" s="184">
        <v>28956.357142857141</v>
      </c>
      <c r="BZ13" s="184">
        <v>0</v>
      </c>
      <c r="CA13" s="184">
        <v>10512.877777777778</v>
      </c>
      <c r="CB13" s="497">
        <v>21099.605479452053</v>
      </c>
      <c r="CC13" s="184">
        <v>35545.783334333333</v>
      </c>
      <c r="CD13" s="184">
        <v>28023.939678064518</v>
      </c>
      <c r="CE13" s="184">
        <v>32279.925667666666</v>
      </c>
      <c r="CF13" s="184">
        <v>31906.740660219781</v>
      </c>
      <c r="CG13" s="184">
        <v>26900.451613225807</v>
      </c>
      <c r="CH13" s="184">
        <v>0</v>
      </c>
      <c r="CI13" s="184">
        <v>0</v>
      </c>
      <c r="CJ13" s="184">
        <v>9064.2826088043475</v>
      </c>
      <c r="CK13" s="184">
        <v>20423.100546939892</v>
      </c>
      <c r="CL13" s="184">
        <v>0</v>
      </c>
      <c r="CM13" s="184">
        <v>0</v>
      </c>
      <c r="CN13" s="184">
        <v>0</v>
      </c>
      <c r="CO13" s="184">
        <v>0</v>
      </c>
      <c r="CP13" s="184">
        <v>13590.645091236363</v>
      </c>
      <c r="CQ13" s="184">
        <v>0</v>
      </c>
      <c r="CR13" s="184">
        <v>0</v>
      </c>
      <c r="CS13" s="184">
        <v>0</v>
      </c>
      <c r="CT13" s="184">
        <v>0</v>
      </c>
      <c r="CU13" s="497">
        <v>10239.527123534246</v>
      </c>
    </row>
    <row r="14" spans="1:118">
      <c r="A14" t="s">
        <v>627</v>
      </c>
      <c r="C14">
        <v>8</v>
      </c>
      <c r="D14" s="144" t="s">
        <v>59</v>
      </c>
      <c r="E14" s="184">
        <v>2796.5496666666668</v>
      </c>
      <c r="F14" s="184">
        <v>2663.5903225806451</v>
      </c>
      <c r="G14" s="184">
        <v>2782.608333333334</v>
      </c>
      <c r="H14" s="184">
        <v>2746.6597802197807</v>
      </c>
      <c r="I14" s="184">
        <v>2774.1025806451617</v>
      </c>
      <c r="J14" s="184">
        <v>2843.3454838709681</v>
      </c>
      <c r="K14" s="184">
        <v>3007.4666666666667</v>
      </c>
      <c r="L14" s="184">
        <v>2873.5314130434786</v>
      </c>
      <c r="M14" s="184">
        <v>2810.4422404371589</v>
      </c>
      <c r="N14" s="184">
        <v>3036.630322580645</v>
      </c>
      <c r="O14" s="184">
        <v>2965.8870000000002</v>
      </c>
      <c r="P14" s="184">
        <v>3064.9032258064517</v>
      </c>
      <c r="Q14" s="184">
        <v>3023.0885869565218</v>
      </c>
      <c r="R14" s="184">
        <v>2881.5821090909094</v>
      </c>
      <c r="S14" s="184">
        <v>2828.983548387097</v>
      </c>
      <c r="T14" s="184">
        <v>2835.8910714285712</v>
      </c>
      <c r="U14" s="184">
        <v>2893.8341935483872</v>
      </c>
      <c r="V14" s="184">
        <v>2853.47</v>
      </c>
      <c r="W14" s="497">
        <v>2874.650356164384</v>
      </c>
      <c r="X14" s="184">
        <v>2980.4999990000001</v>
      </c>
      <c r="Y14" s="184">
        <v>2962.0967735483869</v>
      </c>
      <c r="Z14" s="184">
        <v>3000.9333333333334</v>
      </c>
      <c r="AA14" s="184">
        <v>2980.9670324175822</v>
      </c>
      <c r="AB14" s="184">
        <v>3034.7393548387095</v>
      </c>
      <c r="AC14" s="184">
        <v>3054.2258067741936</v>
      </c>
      <c r="AD14" s="184">
        <v>2821.3333340000004</v>
      </c>
      <c r="AE14" s="184">
        <v>2971.7165220652178</v>
      </c>
      <c r="AF14" s="184">
        <v>2976.3165026229508</v>
      </c>
      <c r="AG14" s="184">
        <v>3194.4193551612902</v>
      </c>
      <c r="AH14" s="184">
        <v>3361.2333329999997</v>
      </c>
      <c r="AI14" s="184">
        <v>3527.0000003225809</v>
      </c>
      <c r="AJ14" s="184">
        <v>3360.8804348913045</v>
      </c>
      <c r="AK14" s="184">
        <v>3104.9706181454549</v>
      </c>
      <c r="AL14" s="184">
        <v>3375.5483867741937</v>
      </c>
      <c r="AM14" s="184">
        <v>3451.8965524137934</v>
      </c>
      <c r="AN14" s="184">
        <v>3639.3548387096776</v>
      </c>
      <c r="AO14" s="184">
        <v>3489.7472528571429</v>
      </c>
      <c r="AP14" s="497">
        <v>3200.6391256830607</v>
      </c>
      <c r="AQ14" s="184">
        <v>3929.2</v>
      </c>
      <c r="AR14" s="184">
        <v>4132.3548387096771</v>
      </c>
      <c r="AS14" s="184">
        <v>4212.0333333333338</v>
      </c>
      <c r="AT14" s="184">
        <v>4091.6483516483518</v>
      </c>
      <c r="AU14" s="184">
        <v>4236.1612903225805</v>
      </c>
      <c r="AV14" s="184">
        <v>4115.9677419354839</v>
      </c>
      <c r="AW14" s="184">
        <v>4030.6333333333332</v>
      </c>
      <c r="AX14" s="184">
        <v>4128.641304347826</v>
      </c>
      <c r="AY14" s="184">
        <v>4110.2459016393441</v>
      </c>
      <c r="AZ14" s="184">
        <v>4044.0322580645161</v>
      </c>
      <c r="BA14" s="184">
        <v>3957.1</v>
      </c>
      <c r="BB14" s="184">
        <v>4238.677419354839</v>
      </c>
      <c r="BC14" s="184">
        <v>4081.271739130435</v>
      </c>
      <c r="BD14" s="184">
        <v>4100.5527272727277</v>
      </c>
      <c r="BE14" s="184">
        <v>4364.1935483870966</v>
      </c>
      <c r="BF14" s="184">
        <v>4100.8571428571431</v>
      </c>
      <c r="BG14" s="184">
        <v>4400.4838703225805</v>
      </c>
      <c r="BH14" s="184">
        <v>4294.7666664444441</v>
      </c>
      <c r="BI14" s="497">
        <v>4148.4410958356157</v>
      </c>
      <c r="BJ14" s="184">
        <v>4930.0666666666666</v>
      </c>
      <c r="BK14" s="184">
        <v>4752.7419354838712</v>
      </c>
      <c r="BL14" s="184">
        <v>4544.666666666667</v>
      </c>
      <c r="BM14" s="184">
        <v>4742.6043956043959</v>
      </c>
      <c r="BN14" s="184">
        <v>4657.5806451612907</v>
      </c>
      <c r="BO14" s="184">
        <v>4993.2580645161288</v>
      </c>
      <c r="BP14" s="184">
        <v>5141.166666666667</v>
      </c>
      <c r="BQ14" s="184">
        <v>4928.380434782609</v>
      </c>
      <c r="BR14" s="184">
        <v>4836</v>
      </c>
      <c r="BS14" s="184">
        <v>5161.322580645161</v>
      </c>
      <c r="BT14" s="184">
        <v>5223.9333333333334</v>
      </c>
      <c r="BU14" s="184">
        <v>4925.4838709677415</v>
      </c>
      <c r="BV14" s="184">
        <v>5102.271739130435</v>
      </c>
      <c r="BW14" s="184">
        <v>4925.08</v>
      </c>
      <c r="BX14" s="184">
        <v>4594.3548387096771</v>
      </c>
      <c r="BY14" s="184">
        <v>4692.3214285714284</v>
      </c>
      <c r="BZ14" s="184">
        <v>0</v>
      </c>
      <c r="CA14" s="184">
        <v>3042.3333333333335</v>
      </c>
      <c r="CB14" s="497">
        <v>4460.8410958904105</v>
      </c>
      <c r="CC14" s="184">
        <v>4482.5666663333341</v>
      </c>
      <c r="CD14" s="184">
        <v>4449.7741938709678</v>
      </c>
      <c r="CE14" s="184">
        <v>4795.3</v>
      </c>
      <c r="CF14" s="184">
        <v>4574.4945054945056</v>
      </c>
      <c r="CG14" s="184">
        <v>4872.4838709677415</v>
      </c>
      <c r="CH14" s="184">
        <v>0</v>
      </c>
      <c r="CI14" s="184">
        <v>0</v>
      </c>
      <c r="CJ14" s="184">
        <v>1641.8152173913043</v>
      </c>
      <c r="CK14" s="184">
        <v>3100.1420765027324</v>
      </c>
      <c r="CL14" s="184">
        <v>0</v>
      </c>
      <c r="CM14" s="184">
        <v>0</v>
      </c>
      <c r="CN14" s="184">
        <v>0</v>
      </c>
      <c r="CO14" s="184">
        <v>0</v>
      </c>
      <c r="CP14" s="184">
        <v>2063.0036363636364</v>
      </c>
      <c r="CQ14" s="184">
        <v>0</v>
      </c>
      <c r="CR14" s="184">
        <v>0</v>
      </c>
      <c r="CS14" s="184">
        <v>0</v>
      </c>
      <c r="CT14" s="184">
        <v>0</v>
      </c>
      <c r="CU14" s="497">
        <v>1554.317808219178</v>
      </c>
    </row>
    <row r="15" spans="1:118">
      <c r="C15">
        <v>9</v>
      </c>
      <c r="D15" s="144" t="s">
        <v>63</v>
      </c>
      <c r="E15" s="184">
        <v>20448.543333333335</v>
      </c>
      <c r="F15" s="184">
        <v>19856.376774193548</v>
      </c>
      <c r="G15" s="184">
        <v>20607.708666666666</v>
      </c>
      <c r="H15" s="184">
        <v>20299.288351648353</v>
      </c>
      <c r="I15" s="184">
        <v>15981.102258064517</v>
      </c>
      <c r="J15" s="184">
        <v>20700.292258064521</v>
      </c>
      <c r="K15" s="184">
        <v>19342.233333333334</v>
      </c>
      <c r="L15" s="184">
        <v>18667.285108695654</v>
      </c>
      <c r="M15" s="184">
        <v>19478.827704918032</v>
      </c>
      <c r="N15" s="184">
        <v>17949.887096774193</v>
      </c>
      <c r="O15" s="184">
        <v>22639.072</v>
      </c>
      <c r="P15" s="184">
        <v>20193.262903225808</v>
      </c>
      <c r="Q15" s="184">
        <v>20234.889239130436</v>
      </c>
      <c r="R15" s="184">
        <v>19731.764654545455</v>
      </c>
      <c r="S15" s="184">
        <v>18084.40741935484</v>
      </c>
      <c r="T15" s="184">
        <v>18295.057499999999</v>
      </c>
      <c r="U15" s="184">
        <v>13748.78741935484</v>
      </c>
      <c r="V15" s="184">
        <v>16656.562777777777</v>
      </c>
      <c r="W15" s="497">
        <v>18973.495698630137</v>
      </c>
      <c r="X15" s="184">
        <v>18151.499999333333</v>
      </c>
      <c r="Y15" s="184">
        <v>17396.064515483871</v>
      </c>
      <c r="Z15" s="184">
        <v>17884.799999666669</v>
      </c>
      <c r="AA15" s="184">
        <v>17806.230768681318</v>
      </c>
      <c r="AB15" s="184">
        <v>17331.225807096776</v>
      </c>
      <c r="AC15" s="184">
        <v>17027.99999967742</v>
      </c>
      <c r="AD15" s="184">
        <v>16195.766665333333</v>
      </c>
      <c r="AE15" s="184">
        <v>16858.793477934782</v>
      </c>
      <c r="AF15" s="184">
        <v>17329.923496830605</v>
      </c>
      <c r="AG15" s="184">
        <v>23062.741935806451</v>
      </c>
      <c r="AH15" s="184">
        <v>22686.666667333335</v>
      </c>
      <c r="AI15" s="184">
        <v>22425.709678709674</v>
      </c>
      <c r="AJ15" s="184">
        <v>22725.456522500001</v>
      </c>
      <c r="AK15" s="184">
        <v>19134.974545418183</v>
      </c>
      <c r="AL15" s="184">
        <v>17644.709676774193</v>
      </c>
      <c r="AM15" s="184">
        <v>22769.206898965516</v>
      </c>
      <c r="AN15" s="184">
        <v>16599.935484516129</v>
      </c>
      <c r="AO15" s="184">
        <v>18921.879121648351</v>
      </c>
      <c r="AP15" s="497">
        <v>19081.991803442623</v>
      </c>
      <c r="AQ15" s="184">
        <v>27869.233333333334</v>
      </c>
      <c r="AR15" s="184">
        <v>24196.516129032258</v>
      </c>
      <c r="AS15" s="184">
        <v>27217.533333333333</v>
      </c>
      <c r="AT15" s="184">
        <v>26403.241758241758</v>
      </c>
      <c r="AU15" s="184">
        <v>26243.258064516129</v>
      </c>
      <c r="AV15" s="184">
        <v>25168.451612903227</v>
      </c>
      <c r="AW15" s="184">
        <v>25804.7</v>
      </c>
      <c r="AX15" s="184">
        <v>25738.08695652174</v>
      </c>
      <c r="AY15" s="184">
        <v>26068.846994535521</v>
      </c>
      <c r="AZ15" s="184">
        <v>23190.548387096773</v>
      </c>
      <c r="BA15" s="184">
        <v>22078.966666666667</v>
      </c>
      <c r="BB15" s="184">
        <v>18778.83870967742</v>
      </c>
      <c r="BC15" s="184">
        <v>21341.521739130436</v>
      </c>
      <c r="BD15" s="184">
        <v>24487.34181818182</v>
      </c>
      <c r="BE15" s="184">
        <v>23732.580645161292</v>
      </c>
      <c r="BF15" s="184">
        <v>21634.678570714284</v>
      </c>
      <c r="BG15" s="184">
        <v>20681.258064193549</v>
      </c>
      <c r="BH15" s="184">
        <v>22028.888888555553</v>
      </c>
      <c r="BI15" s="497">
        <v>23881.147945123288</v>
      </c>
      <c r="BJ15" s="184">
        <v>24918.766666666666</v>
      </c>
      <c r="BK15" s="184">
        <v>19691.354838709678</v>
      </c>
      <c r="BL15" s="184">
        <v>16410.033333333333</v>
      </c>
      <c r="BM15" s="184">
        <v>20332.923076923078</v>
      </c>
      <c r="BN15" s="184">
        <v>23712.290322580644</v>
      </c>
      <c r="BO15" s="184">
        <v>23713.419354838708</v>
      </c>
      <c r="BP15" s="184">
        <v>23297.666666666668</v>
      </c>
      <c r="BQ15" s="184">
        <v>23577.467391304348</v>
      </c>
      <c r="BR15" s="184">
        <v>21964.060109289618</v>
      </c>
      <c r="BS15" s="184">
        <v>20466.516129032258</v>
      </c>
      <c r="BT15" s="184">
        <v>18590.400000000001</v>
      </c>
      <c r="BU15" s="184">
        <v>22419.709677419356</v>
      </c>
      <c r="BV15" s="184">
        <v>20512.880434782608</v>
      </c>
      <c r="BW15" s="184">
        <v>21478.574545454547</v>
      </c>
      <c r="BX15" s="184">
        <v>22054.354838709678</v>
      </c>
      <c r="BY15" s="184">
        <v>15968.178571428571</v>
      </c>
      <c r="BZ15" s="184">
        <v>0</v>
      </c>
      <c r="CA15" s="184">
        <v>12564.377777777778</v>
      </c>
      <c r="CB15" s="497">
        <v>19280.553424657533</v>
      </c>
      <c r="CC15" s="184">
        <v>18270.500001</v>
      </c>
      <c r="CD15" s="184">
        <v>21726.806451612902</v>
      </c>
      <c r="CE15" s="184">
        <v>21278.499999</v>
      </c>
      <c r="CF15" s="184">
        <v>20439.571428571428</v>
      </c>
      <c r="CG15" s="184">
        <v>20944.51612967742</v>
      </c>
      <c r="CH15" s="184">
        <v>0</v>
      </c>
      <c r="CI15" s="184">
        <v>0</v>
      </c>
      <c r="CJ15" s="184">
        <v>7057.391304565218</v>
      </c>
      <c r="CK15" s="184">
        <v>13711.918032896176</v>
      </c>
      <c r="CL15" s="184">
        <v>0</v>
      </c>
      <c r="CM15" s="184">
        <v>0</v>
      </c>
      <c r="CN15" s="184">
        <v>0</v>
      </c>
      <c r="CO15" s="184">
        <v>0</v>
      </c>
      <c r="CP15" s="184">
        <v>9124.658181890909</v>
      </c>
      <c r="CQ15" s="184">
        <v>0</v>
      </c>
      <c r="CR15" s="184">
        <v>0</v>
      </c>
      <c r="CS15" s="184">
        <v>0</v>
      </c>
      <c r="CT15" s="184">
        <v>0</v>
      </c>
      <c r="CU15" s="497">
        <v>6874.74246580822</v>
      </c>
    </row>
    <row r="16" spans="1:118">
      <c r="C16">
        <v>10</v>
      </c>
      <c r="D16" s="144" t="s">
        <v>64</v>
      </c>
      <c r="E16" s="184">
        <v>11293.1</v>
      </c>
      <c r="F16" s="184">
        <v>11208.354838709678</v>
      </c>
      <c r="G16" s="184">
        <v>10502.966666666667</v>
      </c>
      <c r="H16" s="184">
        <v>11003.747252747253</v>
      </c>
      <c r="I16" s="184">
        <v>10504.741935483871</v>
      </c>
      <c r="J16" s="184">
        <v>10677.935483870968</v>
      </c>
      <c r="K16" s="184">
        <v>7739.2333333333336</v>
      </c>
      <c r="L16" s="184">
        <v>9661.3043478260861</v>
      </c>
      <c r="M16" s="184">
        <v>10328.857923497268</v>
      </c>
      <c r="N16" s="184">
        <v>7719.0645161290322</v>
      </c>
      <c r="O16" s="184">
        <v>9386.3333333333339</v>
      </c>
      <c r="P16" s="184">
        <v>8162.7741935483873</v>
      </c>
      <c r="Q16" s="184">
        <v>8412.25</v>
      </c>
      <c r="R16" s="184">
        <v>9687.6654545454548</v>
      </c>
      <c r="S16" s="184">
        <v>7951.5806451612907</v>
      </c>
      <c r="T16" s="184">
        <v>6696.1428571428569</v>
      </c>
      <c r="U16" s="184">
        <v>6141.5483870967746</v>
      </c>
      <c r="V16" s="184">
        <v>6937.5444444444447</v>
      </c>
      <c r="W16" s="497">
        <v>9009.5534246575335</v>
      </c>
      <c r="X16" s="184">
        <v>9198.4333339999994</v>
      </c>
      <c r="Y16" s="184">
        <v>8854.870968064517</v>
      </c>
      <c r="Z16" s="184">
        <v>8767</v>
      </c>
      <c r="AA16" s="184">
        <v>8939.1648354945046</v>
      </c>
      <c r="AB16" s="184">
        <v>8683.0967741935492</v>
      </c>
      <c r="AC16" s="184">
        <v>8676.3870967741932</v>
      </c>
      <c r="AD16" s="184">
        <v>8582.2666669999999</v>
      </c>
      <c r="AE16" s="184">
        <v>8647.9565218478256</v>
      </c>
      <c r="AF16" s="184">
        <v>8792.7650275409833</v>
      </c>
      <c r="AG16" s="184">
        <v>8312.5806448387102</v>
      </c>
      <c r="AH16" s="184">
        <v>8545.5666666666675</v>
      </c>
      <c r="AI16" s="184">
        <v>8290.4838716129034</v>
      </c>
      <c r="AJ16" s="184">
        <v>8381.1086957608695</v>
      </c>
      <c r="AK16" s="184">
        <v>8655.0472729090907</v>
      </c>
      <c r="AL16" s="184">
        <v>8373.967741935483</v>
      </c>
      <c r="AM16" s="184">
        <v>8646.1379310344819</v>
      </c>
      <c r="AN16" s="184">
        <v>8551.0967735483882</v>
      </c>
      <c r="AO16" s="184">
        <v>8521.043955824176</v>
      </c>
      <c r="AP16" s="497">
        <v>8621.7295082786877</v>
      </c>
      <c r="AQ16" s="184">
        <v>8298.0666666666675</v>
      </c>
      <c r="AR16" s="184">
        <v>7788.5161290322585</v>
      </c>
      <c r="AS16" s="184">
        <v>7743.7666666666664</v>
      </c>
      <c r="AT16" s="184">
        <v>7941.7472527472528</v>
      </c>
      <c r="AU16" s="184">
        <v>7863.2580645161288</v>
      </c>
      <c r="AV16" s="184">
        <v>7363.7096774193551</v>
      </c>
      <c r="AW16" s="184">
        <v>7738.7</v>
      </c>
      <c r="AX16" s="184">
        <v>7654.315217391304</v>
      </c>
      <c r="AY16" s="184">
        <v>7797.2459016393441</v>
      </c>
      <c r="AZ16" s="184">
        <v>7305.3870967741932</v>
      </c>
      <c r="BA16" s="184">
        <v>6972.3666666666668</v>
      </c>
      <c r="BB16" s="184">
        <v>7086.1612903225805</v>
      </c>
      <c r="BC16" s="184">
        <v>7122.923913043478</v>
      </c>
      <c r="BD16" s="184">
        <v>7571.6545454545458</v>
      </c>
      <c r="BE16" s="184">
        <v>7242.7096774193551</v>
      </c>
      <c r="BF16" s="184">
        <v>7309.2857142857147</v>
      </c>
      <c r="BG16" s="184">
        <v>7174.3870967741932</v>
      </c>
      <c r="BH16" s="184">
        <v>7239.8888888888887</v>
      </c>
      <c r="BI16" s="497">
        <v>7489.8493150684935</v>
      </c>
      <c r="BJ16" s="184">
        <v>7181.6333333333332</v>
      </c>
      <c r="BK16" s="184">
        <v>7352.1290322580644</v>
      </c>
      <c r="BL16" s="184">
        <v>6906.8</v>
      </c>
      <c r="BM16" s="184">
        <v>7149.1098901098903</v>
      </c>
      <c r="BN16" s="184">
        <v>7389.8709677419356</v>
      </c>
      <c r="BO16" s="184">
        <v>7440.4516129032254</v>
      </c>
      <c r="BP16" s="184">
        <v>7281.166666666667</v>
      </c>
      <c r="BQ16" s="184">
        <v>7371.467391304348</v>
      </c>
      <c r="BR16" s="184">
        <v>7260.8961748633883</v>
      </c>
      <c r="BS16" s="184">
        <v>6927.3548387096771</v>
      </c>
      <c r="BT16" s="184">
        <v>7465.1333333333332</v>
      </c>
      <c r="BU16" s="184">
        <v>6593.8709677419356</v>
      </c>
      <c r="BV16" s="184">
        <v>6990.347826086957</v>
      </c>
      <c r="BW16" s="184">
        <v>7170.3854545454542</v>
      </c>
      <c r="BX16" s="184">
        <v>1980.9677419354839</v>
      </c>
      <c r="BY16" s="184">
        <v>6836.25</v>
      </c>
      <c r="BZ16" s="184">
        <v>0</v>
      </c>
      <c r="CA16" s="184">
        <v>2809.1666666666665</v>
      </c>
      <c r="CB16" s="497">
        <v>6095.0164383561641</v>
      </c>
      <c r="CC16" s="184">
        <v>7023.0999993333335</v>
      </c>
      <c r="CD16" s="184">
        <v>6952.0645158064517</v>
      </c>
      <c r="CE16" s="184">
        <v>6969.2999993333333</v>
      </c>
      <c r="CF16" s="184">
        <v>6981.1648346153843</v>
      </c>
      <c r="CG16" s="184">
        <v>6954.8064516129034</v>
      </c>
      <c r="CH16" s="184">
        <v>0</v>
      </c>
      <c r="CI16" s="184">
        <v>0</v>
      </c>
      <c r="CJ16" s="184">
        <v>2343.467391304348</v>
      </c>
      <c r="CK16" s="184">
        <v>4649.644808469945</v>
      </c>
      <c r="CL16" s="184">
        <v>0</v>
      </c>
      <c r="CM16" s="184">
        <v>0</v>
      </c>
      <c r="CN16" s="184">
        <v>0</v>
      </c>
      <c r="CO16" s="184">
        <v>0</v>
      </c>
      <c r="CP16" s="184">
        <v>3094.1272725454546</v>
      </c>
      <c r="CQ16" s="184">
        <v>0</v>
      </c>
      <c r="CR16" s="184">
        <v>0</v>
      </c>
      <c r="CS16" s="184">
        <v>0</v>
      </c>
      <c r="CT16" s="184">
        <v>0</v>
      </c>
      <c r="CU16" s="497">
        <v>2331.1917806849315</v>
      </c>
    </row>
    <row r="17" spans="1:99">
      <c r="C17">
        <v>11</v>
      </c>
      <c r="D17" s="144" t="s">
        <v>65</v>
      </c>
      <c r="E17" s="184">
        <v>2443</v>
      </c>
      <c r="F17" s="184">
        <v>2204.7419354838707</v>
      </c>
      <c r="G17" s="184">
        <v>1975.1666666666667</v>
      </c>
      <c r="H17" s="184">
        <v>2207.6043956043954</v>
      </c>
      <c r="I17" s="184">
        <v>2063.9677419354839</v>
      </c>
      <c r="J17" s="184">
        <v>2321.1935483870966</v>
      </c>
      <c r="K17" s="184">
        <v>2489.4</v>
      </c>
      <c r="L17" s="184">
        <v>2289.3695652173915</v>
      </c>
      <c r="M17" s="184">
        <v>2248.710382513661</v>
      </c>
      <c r="N17" s="184">
        <v>2134.6129032258063</v>
      </c>
      <c r="O17" s="184">
        <v>2351.4</v>
      </c>
      <c r="P17" s="184">
        <v>2523.9032258064517</v>
      </c>
      <c r="Q17" s="184">
        <v>2336.478260869565</v>
      </c>
      <c r="R17" s="184">
        <v>2278.0727272727272</v>
      </c>
      <c r="S17" s="184">
        <v>2642.9354838709678</v>
      </c>
      <c r="T17" s="184">
        <v>2505.9285714285716</v>
      </c>
      <c r="U17" s="184">
        <v>2894.7741935483873</v>
      </c>
      <c r="V17" s="184">
        <v>2687.0555555555557</v>
      </c>
      <c r="W17" s="497">
        <v>2378.9178082191779</v>
      </c>
      <c r="X17" s="184">
        <v>3115.8999996666666</v>
      </c>
      <c r="Y17" s="184">
        <v>3301.7741929032254</v>
      </c>
      <c r="Z17" s="184">
        <v>3220.333333</v>
      </c>
      <c r="AA17" s="184">
        <v>3213.6483512087912</v>
      </c>
      <c r="AB17" s="184">
        <v>3475.8387096774195</v>
      </c>
      <c r="AC17" s="184">
        <v>3422.2903229032258</v>
      </c>
      <c r="AD17" s="184">
        <v>3040.1</v>
      </c>
      <c r="AE17" s="184">
        <v>3315.7065218478265</v>
      </c>
      <c r="AF17" s="184">
        <v>3264.9562839890709</v>
      </c>
      <c r="AG17" s="184">
        <v>3245.9032258064517</v>
      </c>
      <c r="AH17" s="184">
        <v>3580.6000003333334</v>
      </c>
      <c r="AI17" s="184">
        <v>3353.2903219354835</v>
      </c>
      <c r="AJ17" s="184">
        <v>3391.2282607608699</v>
      </c>
      <c r="AK17" s="184">
        <v>3307.1999998545457</v>
      </c>
      <c r="AL17" s="184">
        <v>3498.1935490322585</v>
      </c>
      <c r="AM17" s="184">
        <v>3415.2758620689656</v>
      </c>
      <c r="AN17" s="184">
        <v>3821.6129032258063</v>
      </c>
      <c r="AO17" s="184">
        <v>3581.9450551648356</v>
      </c>
      <c r="AP17" s="497">
        <v>3375.5109289071042</v>
      </c>
      <c r="AQ17" s="184">
        <v>3733.0333333333333</v>
      </c>
      <c r="AR17" s="184">
        <v>4063.1935483870966</v>
      </c>
      <c r="AS17" s="184">
        <v>4044.1333333333332</v>
      </c>
      <c r="AT17" s="184">
        <v>3948.065934065934</v>
      </c>
      <c r="AU17" s="184">
        <v>4159.3870967741932</v>
      </c>
      <c r="AV17" s="184">
        <v>4062.6774193548385</v>
      </c>
      <c r="AW17" s="184">
        <v>4113.9666666666662</v>
      </c>
      <c r="AX17" s="184">
        <v>4111.989130434783</v>
      </c>
      <c r="AY17" s="184">
        <v>4030.4754098360654</v>
      </c>
      <c r="AZ17" s="184">
        <v>4384.7741935483873</v>
      </c>
      <c r="BA17" s="184">
        <v>4463.5</v>
      </c>
      <c r="BB17" s="184">
        <v>4396.8387096774195</v>
      </c>
      <c r="BC17" s="184">
        <v>4414.510869565217</v>
      </c>
      <c r="BD17" s="184">
        <v>4158.9527272727273</v>
      </c>
      <c r="BE17" s="184">
        <v>4124.1935487096771</v>
      </c>
      <c r="BF17" s="184">
        <v>4363.6428571428569</v>
      </c>
      <c r="BG17" s="184">
        <v>4177</v>
      </c>
      <c r="BH17" s="184">
        <v>4216.8777778888889</v>
      </c>
      <c r="BI17" s="497">
        <v>4173.235616465754</v>
      </c>
      <c r="BJ17" s="184">
        <v>4313.2666666666664</v>
      </c>
      <c r="BK17" s="184">
        <v>4499.677419354839</v>
      </c>
      <c r="BL17" s="184">
        <v>4673.7666666666664</v>
      </c>
      <c r="BM17" s="184">
        <v>4495.6153846153848</v>
      </c>
      <c r="BN17" s="184">
        <v>4907.0967741935483</v>
      </c>
      <c r="BO17" s="184">
        <v>5076.5161290322585</v>
      </c>
      <c r="BP17" s="184">
        <v>4821.8</v>
      </c>
      <c r="BQ17" s="184">
        <v>4936.369565217391</v>
      </c>
      <c r="BR17" s="184">
        <v>4717.1967213114758</v>
      </c>
      <c r="BS17" s="184">
        <v>4631.3870967741932</v>
      </c>
      <c r="BT17" s="184">
        <v>4820.833333333333</v>
      </c>
      <c r="BU17" s="184">
        <v>5067.7096774193551</v>
      </c>
      <c r="BV17" s="184">
        <v>4840.184782608696</v>
      </c>
      <c r="BW17" s="184">
        <v>4758.3418181818179</v>
      </c>
      <c r="BX17" s="184">
        <v>2081.1290322580644</v>
      </c>
      <c r="BY17" s="184">
        <v>1985.75</v>
      </c>
      <c r="BZ17" s="184">
        <v>0</v>
      </c>
      <c r="CA17" s="184">
        <v>1334.6222222222223</v>
      </c>
      <c r="CB17" s="497">
        <v>3914.1369863013697</v>
      </c>
      <c r="CC17" s="184">
        <v>4330.0000003333334</v>
      </c>
      <c r="CD17" s="184">
        <v>5385.1612909677424</v>
      </c>
      <c r="CE17" s="184">
        <v>5641.1333330000007</v>
      </c>
      <c r="CF17" s="184">
        <v>5121.6923079120879</v>
      </c>
      <c r="CG17" s="184">
        <v>5701.3870974193551</v>
      </c>
      <c r="CH17" s="184">
        <v>0</v>
      </c>
      <c r="CI17" s="184">
        <v>0</v>
      </c>
      <c r="CJ17" s="184">
        <v>1921.1195654347828</v>
      </c>
      <c r="CK17" s="184">
        <v>3512.661202404372</v>
      </c>
      <c r="CL17" s="184">
        <v>0</v>
      </c>
      <c r="CM17" s="184">
        <v>0</v>
      </c>
      <c r="CN17" s="184">
        <v>0</v>
      </c>
      <c r="CO17" s="184">
        <v>0</v>
      </c>
      <c r="CP17" s="184">
        <v>2337.5163637818187</v>
      </c>
      <c r="CQ17" s="184">
        <v>0</v>
      </c>
      <c r="CR17" s="184">
        <v>0</v>
      </c>
      <c r="CS17" s="184">
        <v>0</v>
      </c>
      <c r="CT17" s="184">
        <v>0</v>
      </c>
      <c r="CU17" s="497">
        <v>1761.142465863014</v>
      </c>
    </row>
    <row r="18" spans="1:99">
      <c r="C18">
        <v>12</v>
      </c>
      <c r="D18" s="144" t="s">
        <v>66</v>
      </c>
      <c r="E18" s="184">
        <v>409743.46666666667</v>
      </c>
      <c r="F18" s="184">
        <v>405131.80645161291</v>
      </c>
      <c r="G18" s="184">
        <v>371400.3</v>
      </c>
      <c r="H18" s="184">
        <v>395531.85714285716</v>
      </c>
      <c r="I18" s="184">
        <v>381360.12903225806</v>
      </c>
      <c r="J18" s="184">
        <v>402924.03225806454</v>
      </c>
      <c r="K18" s="184">
        <v>422271.96666666667</v>
      </c>
      <c r="L18" s="184">
        <v>401967.04347826086</v>
      </c>
      <c r="M18" s="184">
        <v>398767.03278688522</v>
      </c>
      <c r="N18" s="184">
        <v>408084.51612903224</v>
      </c>
      <c r="O18" s="184">
        <v>392509.3</v>
      </c>
      <c r="P18" s="184">
        <v>381108.41935483873</v>
      </c>
      <c r="Q18" s="184">
        <v>393915.86956521741</v>
      </c>
      <c r="R18" s="184">
        <v>397144.0981818182</v>
      </c>
      <c r="S18" s="184">
        <v>417063.61290322582</v>
      </c>
      <c r="T18" s="184">
        <v>319820.75</v>
      </c>
      <c r="U18" s="184">
        <v>335001.51612903224</v>
      </c>
      <c r="V18" s="184">
        <v>358544.44444444444</v>
      </c>
      <c r="W18" s="497">
        <v>387626.37534246576</v>
      </c>
      <c r="X18" s="184">
        <v>381323.33333299996</v>
      </c>
      <c r="Y18" s="184">
        <v>350780.5483867742</v>
      </c>
      <c r="Z18" s="184">
        <v>350405.03333399998</v>
      </c>
      <c r="AA18" s="184">
        <v>360725.80219780217</v>
      </c>
      <c r="AB18" s="184">
        <v>355200.74193548388</v>
      </c>
      <c r="AC18" s="184">
        <v>354515.96774161287</v>
      </c>
      <c r="AD18" s="184">
        <v>361903.19999933336</v>
      </c>
      <c r="AE18" s="184">
        <v>357155.58695619571</v>
      </c>
      <c r="AF18" s="184">
        <v>358930.93989054649</v>
      </c>
      <c r="AG18" s="184">
        <v>382524.48387</v>
      </c>
      <c r="AH18" s="184">
        <v>385263.89999900002</v>
      </c>
      <c r="AI18" s="184">
        <v>387520.64516096772</v>
      </c>
      <c r="AJ18" s="184">
        <v>385101.26086880435</v>
      </c>
      <c r="AK18" s="184">
        <v>367686.10181781824</v>
      </c>
      <c r="AL18" s="184">
        <v>398777.35483903228</v>
      </c>
      <c r="AM18" s="184">
        <v>397304.89655103453</v>
      </c>
      <c r="AN18" s="184">
        <v>414407.25806419353</v>
      </c>
      <c r="AO18" s="184">
        <v>403632.58241736266</v>
      </c>
      <c r="AP18" s="497">
        <v>376623.61475377053</v>
      </c>
      <c r="AQ18" s="184">
        <v>403273.3</v>
      </c>
      <c r="AR18" s="184">
        <v>223180.12903225806</v>
      </c>
      <c r="AS18" s="184">
        <v>409483.73333333334</v>
      </c>
      <c r="AT18" s="184">
        <v>343970.27472527471</v>
      </c>
      <c r="AU18" s="184">
        <v>414957.48387096776</v>
      </c>
      <c r="AV18" s="184">
        <v>422514.48387096776</v>
      </c>
      <c r="AW18" s="184">
        <v>421687.86666666664</v>
      </c>
      <c r="AX18" s="184">
        <v>419698.55434782611</v>
      </c>
      <c r="AY18" s="184">
        <v>382041.32240437157</v>
      </c>
      <c r="AZ18" s="184">
        <v>411309.70967741933</v>
      </c>
      <c r="BA18" s="184">
        <v>415602.4</v>
      </c>
      <c r="BB18" s="184">
        <v>429875.61290322582</v>
      </c>
      <c r="BC18" s="184">
        <v>418965.40217391303</v>
      </c>
      <c r="BD18" s="184">
        <v>394394.10545454547</v>
      </c>
      <c r="BE18" s="184">
        <v>410199.54838709679</v>
      </c>
      <c r="BF18" s="184">
        <v>412406.17857142858</v>
      </c>
      <c r="BG18" s="184">
        <v>388999.99999967741</v>
      </c>
      <c r="BH18" s="184">
        <v>403583.98888877779</v>
      </c>
      <c r="BI18" s="497">
        <v>396660.10410956159</v>
      </c>
      <c r="BJ18" s="184">
        <v>322098.56666666665</v>
      </c>
      <c r="BK18" s="184">
        <v>412203.16129032261</v>
      </c>
      <c r="BL18" s="184">
        <v>426000</v>
      </c>
      <c r="BM18" s="184">
        <v>387046.75824175822</v>
      </c>
      <c r="BN18" s="184">
        <v>422958.51612903224</v>
      </c>
      <c r="BO18" s="184">
        <v>433831.32258064515</v>
      </c>
      <c r="BP18" s="184">
        <v>425918.5</v>
      </c>
      <c r="BQ18" s="184">
        <v>427587.39130434784</v>
      </c>
      <c r="BR18" s="184">
        <v>407427.84153005463</v>
      </c>
      <c r="BS18" s="184">
        <v>425422</v>
      </c>
      <c r="BT18" s="184">
        <v>427634.66666666669</v>
      </c>
      <c r="BU18" s="184">
        <v>402175.32258064515</v>
      </c>
      <c r="BV18" s="184">
        <v>418310.40217391303</v>
      </c>
      <c r="BW18" s="184">
        <v>411068.55272727273</v>
      </c>
      <c r="BX18" s="184">
        <v>445858.41935483873</v>
      </c>
      <c r="BY18" s="184">
        <v>443148.10714285716</v>
      </c>
      <c r="BZ18" s="184">
        <v>0</v>
      </c>
      <c r="CA18" s="184">
        <v>291441.75555555557</v>
      </c>
      <c r="CB18" s="497">
        <v>381571.53424657532</v>
      </c>
      <c r="CC18" s="184">
        <v>240539.03333333333</v>
      </c>
      <c r="CD18" s="184">
        <v>270012.38709645165</v>
      </c>
      <c r="CE18" s="184">
        <v>426928.96666666667</v>
      </c>
      <c r="CF18" s="184">
        <v>312026.63736252749</v>
      </c>
      <c r="CG18" s="184">
        <v>330226.16128967743</v>
      </c>
      <c r="CH18" s="184">
        <v>0</v>
      </c>
      <c r="CI18" s="184">
        <v>0</v>
      </c>
      <c r="CJ18" s="184">
        <v>111271.85869543478</v>
      </c>
      <c r="CK18" s="184">
        <v>211100.73770475411</v>
      </c>
      <c r="CL18" s="184">
        <v>0</v>
      </c>
      <c r="CM18" s="184">
        <v>0</v>
      </c>
      <c r="CN18" s="184">
        <v>0</v>
      </c>
      <c r="CO18" s="184">
        <v>0</v>
      </c>
      <c r="CP18" s="184">
        <v>140477.94545443638</v>
      </c>
      <c r="CQ18" s="184">
        <v>0</v>
      </c>
      <c r="CR18" s="184">
        <v>0</v>
      </c>
      <c r="CS18" s="184">
        <v>0</v>
      </c>
      <c r="CT18" s="184">
        <v>0</v>
      </c>
      <c r="CU18" s="497">
        <v>105839.5479451233</v>
      </c>
    </row>
    <row r="19" spans="1:99">
      <c r="C19">
        <v>13</v>
      </c>
      <c r="D19" s="144" t="s">
        <v>67</v>
      </c>
      <c r="E19" s="184">
        <v>37468.166666666664</v>
      </c>
      <c r="F19" s="184">
        <v>39204.93548387097</v>
      </c>
      <c r="G19" s="184">
        <v>40437.066666666666</v>
      </c>
      <c r="H19" s="184">
        <v>39038.571428571428</v>
      </c>
      <c r="I19" s="184">
        <v>46335.516129032258</v>
      </c>
      <c r="J19" s="184">
        <v>45774.903225806454</v>
      </c>
      <c r="K19" s="184">
        <v>44414.566666666666</v>
      </c>
      <c r="L19" s="184">
        <v>45520.217391304344</v>
      </c>
      <c r="M19" s="184">
        <v>42297.103825136612</v>
      </c>
      <c r="N19" s="184">
        <v>34223.870967741932</v>
      </c>
      <c r="O19" s="184">
        <v>27363.266666666666</v>
      </c>
      <c r="P19" s="184">
        <v>26409.064516129034</v>
      </c>
      <c r="Q19" s="184">
        <v>29353.467391304348</v>
      </c>
      <c r="R19" s="184">
        <v>37966.869090909087</v>
      </c>
      <c r="S19" s="184">
        <v>25533.612903225807</v>
      </c>
      <c r="T19" s="184">
        <v>31922</v>
      </c>
      <c r="U19" s="184">
        <v>39683.322580645159</v>
      </c>
      <c r="V19" s="184">
        <v>32394.9</v>
      </c>
      <c r="W19" s="497">
        <v>36592.95890410959</v>
      </c>
      <c r="X19" s="184">
        <v>40142.399999000001</v>
      </c>
      <c r="Y19" s="184">
        <v>42355.161290645163</v>
      </c>
      <c r="Z19" s="184">
        <v>44900.633333333331</v>
      </c>
      <c r="AA19" s="184">
        <v>42464.846153626371</v>
      </c>
      <c r="AB19" s="184">
        <v>44430</v>
      </c>
      <c r="AC19" s="184">
        <v>43948.99999967742</v>
      </c>
      <c r="AD19" s="184">
        <v>45919.800000666663</v>
      </c>
      <c r="AE19" s="184">
        <v>44753.728260978256</v>
      </c>
      <c r="AF19" s="184">
        <v>43615.540983551909</v>
      </c>
      <c r="AG19" s="184">
        <v>48876.741935483871</v>
      </c>
      <c r="AH19" s="184">
        <v>48455.190999666665</v>
      </c>
      <c r="AI19" s="184">
        <v>47741.140775161293</v>
      </c>
      <c r="AJ19" s="184">
        <v>48356.631456739131</v>
      </c>
      <c r="AK19" s="184">
        <v>45201.651250945455</v>
      </c>
      <c r="AL19" s="184">
        <v>50108.094193870966</v>
      </c>
      <c r="AM19" s="184">
        <v>51171.598620689656</v>
      </c>
      <c r="AN19" s="184">
        <v>49438.580644838708</v>
      </c>
      <c r="AO19" s="184">
        <v>50218.937142857132</v>
      </c>
      <c r="AP19" s="497">
        <v>46449.118508224034</v>
      </c>
      <c r="AQ19" s="184">
        <v>51521.4</v>
      </c>
      <c r="AR19" s="184">
        <v>53455.774193548386</v>
      </c>
      <c r="AS19" s="184">
        <v>49944.966666666667</v>
      </c>
      <c r="AT19" s="184">
        <v>51660.659340659338</v>
      </c>
      <c r="AU19" s="184">
        <v>51318.645161290326</v>
      </c>
      <c r="AV19" s="184">
        <v>49674.612903225803</v>
      </c>
      <c r="AW19" s="184">
        <v>48443.1</v>
      </c>
      <c r="AX19" s="184">
        <v>49827</v>
      </c>
      <c r="AY19" s="184">
        <v>50738.819672131147</v>
      </c>
      <c r="AZ19" s="184">
        <v>48265.096774193546</v>
      </c>
      <c r="BA19" s="184">
        <v>49693.5</v>
      </c>
      <c r="BB19" s="184">
        <v>50585.709677419356</v>
      </c>
      <c r="BC19" s="184">
        <v>49512.82608695652</v>
      </c>
      <c r="BD19" s="184">
        <v>50328.66909090909</v>
      </c>
      <c r="BE19" s="184">
        <v>51782.000000645159</v>
      </c>
      <c r="BF19" s="184">
        <v>49543.357142857145</v>
      </c>
      <c r="BG19" s="184">
        <v>50471.290321612905</v>
      </c>
      <c r="BH19" s="184">
        <v>50634.066666555562</v>
      </c>
      <c r="BI19" s="497">
        <v>50403.972602712332</v>
      </c>
      <c r="BJ19" s="184">
        <v>48943.366666666669</v>
      </c>
      <c r="BK19" s="184">
        <v>52185</v>
      </c>
      <c r="BL19" s="184">
        <v>50723.533333333333</v>
      </c>
      <c r="BM19" s="184">
        <v>50634.527472527472</v>
      </c>
      <c r="BN19" s="184">
        <v>48627.06451612903</v>
      </c>
      <c r="BO19" s="184">
        <v>48381.774193548386</v>
      </c>
      <c r="BP19" s="184">
        <v>46215.033333333333</v>
      </c>
      <c r="BQ19" s="184">
        <v>47757.880434782608</v>
      </c>
      <c r="BR19" s="184">
        <v>49188.344262295082</v>
      </c>
      <c r="BS19" s="184">
        <v>49474.032258064515</v>
      </c>
      <c r="BT19" s="184">
        <v>39779.23333333333</v>
      </c>
      <c r="BU19" s="184">
        <v>12211</v>
      </c>
      <c r="BV19" s="184">
        <v>33756.663043478264</v>
      </c>
      <c r="BW19" s="184">
        <v>44025.745454545453</v>
      </c>
      <c r="BX19" s="184">
        <v>51153.483870967742</v>
      </c>
      <c r="BY19" s="184">
        <v>52538.821428571428</v>
      </c>
      <c r="BZ19" s="184">
        <v>0</v>
      </c>
      <c r="CA19" s="184">
        <v>33964.944444444445</v>
      </c>
      <c r="CB19" s="497">
        <v>41545</v>
      </c>
      <c r="CC19" s="184">
        <v>53730.633332999998</v>
      </c>
      <c r="CD19" s="184">
        <v>53451.677419032254</v>
      </c>
      <c r="CE19" s="184">
        <v>50960.200000999997</v>
      </c>
      <c r="CF19" s="184">
        <v>52722.27472538461</v>
      </c>
      <c r="CG19" s="184">
        <v>55934.419356129038</v>
      </c>
      <c r="CH19" s="184">
        <v>0</v>
      </c>
      <c r="CI19" s="184">
        <v>0</v>
      </c>
      <c r="CJ19" s="184">
        <v>18847.46739173913</v>
      </c>
      <c r="CK19" s="184">
        <v>35692.316940163932</v>
      </c>
      <c r="CL19" s="184">
        <v>0</v>
      </c>
      <c r="CM19" s="184">
        <v>0</v>
      </c>
      <c r="CN19" s="184">
        <v>0</v>
      </c>
      <c r="CO19" s="184">
        <v>0</v>
      </c>
      <c r="CP19" s="184">
        <v>23751.614545636363</v>
      </c>
      <c r="CQ19" s="184">
        <v>0</v>
      </c>
      <c r="CR19" s="184">
        <v>0</v>
      </c>
      <c r="CS19" s="184">
        <v>0</v>
      </c>
      <c r="CT19" s="184">
        <v>0</v>
      </c>
      <c r="CU19" s="497">
        <v>17895.052054931508</v>
      </c>
    </row>
    <row r="20" spans="1:99">
      <c r="C20">
        <v>14</v>
      </c>
      <c r="D20" s="144" t="s">
        <v>68</v>
      </c>
      <c r="E20" s="184">
        <v>4308.3999999999996</v>
      </c>
      <c r="F20" s="184">
        <v>9554.0967741935492</v>
      </c>
      <c r="G20" s="184">
        <v>6337.9</v>
      </c>
      <c r="H20" s="184">
        <v>6764.4615384615381</v>
      </c>
      <c r="I20" s="184">
        <v>7935.4516129032254</v>
      </c>
      <c r="J20" s="184">
        <v>7338.3870967741932</v>
      </c>
      <c r="K20" s="184">
        <v>2845.7</v>
      </c>
      <c r="L20" s="184">
        <v>6074.565217391304</v>
      </c>
      <c r="M20" s="184">
        <v>6417.6284153005463</v>
      </c>
      <c r="N20" s="184">
        <v>5426.2545161290327</v>
      </c>
      <c r="O20" s="184">
        <v>5202.7333333333336</v>
      </c>
      <c r="P20" s="184">
        <v>721.09677419354841</v>
      </c>
      <c r="Q20" s="184">
        <v>3767.933586956522</v>
      </c>
      <c r="R20" s="184">
        <v>5531.1850545454554</v>
      </c>
      <c r="S20" s="184">
        <v>96.064516129032256</v>
      </c>
      <c r="T20" s="184">
        <v>0</v>
      </c>
      <c r="U20" s="184">
        <v>3300.0322580645161</v>
      </c>
      <c r="V20" s="184">
        <v>1169.7666666666667</v>
      </c>
      <c r="W20" s="497">
        <v>4455.7668219178086</v>
      </c>
      <c r="X20" s="184">
        <v>6773.4666669999997</v>
      </c>
      <c r="Y20" s="184">
        <v>8713.7419361290322</v>
      </c>
      <c r="Z20" s="184">
        <v>6597.3666659999999</v>
      </c>
      <c r="AA20" s="184">
        <v>7376.3846154945049</v>
      </c>
      <c r="AB20" s="184">
        <v>7216.8096774193555</v>
      </c>
      <c r="AC20" s="184">
        <v>3844.175483870968</v>
      </c>
      <c r="AD20" s="184">
        <v>8473.586166000001</v>
      </c>
      <c r="AE20" s="184">
        <v>6490.1970106521749</v>
      </c>
      <c r="AF20" s="184">
        <v>6930.8695354644806</v>
      </c>
      <c r="AG20" s="184">
        <v>5127.3225803225814</v>
      </c>
      <c r="AH20" s="184">
        <v>5507.833333333333</v>
      </c>
      <c r="AI20" s="184">
        <v>3462.6451612903224</v>
      </c>
      <c r="AJ20" s="184">
        <v>4690.4782607608704</v>
      </c>
      <c r="AK20" s="184">
        <v>6181.3568181090905</v>
      </c>
      <c r="AL20" s="184">
        <v>443.70967709677421</v>
      </c>
      <c r="AM20" s="184">
        <v>0</v>
      </c>
      <c r="AN20" s="184">
        <v>13768.41935483871</v>
      </c>
      <c r="AO20" s="184">
        <v>4841.494505384615</v>
      </c>
      <c r="AP20" s="497">
        <v>5848.2216529234965</v>
      </c>
      <c r="AQ20" s="184">
        <v>12329.933333333332</v>
      </c>
      <c r="AR20" s="184">
        <v>15005.483870967742</v>
      </c>
      <c r="AS20" s="184">
        <v>13587.633333333333</v>
      </c>
      <c r="AT20" s="184">
        <v>13656.010989010989</v>
      </c>
      <c r="AU20" s="184">
        <v>13138.709677419354</v>
      </c>
      <c r="AV20" s="184">
        <v>11917.709677419354</v>
      </c>
      <c r="AW20" s="184">
        <v>8401.1333333333332</v>
      </c>
      <c r="AX20" s="184">
        <v>11182.423913043478</v>
      </c>
      <c r="AY20" s="184">
        <v>12412.459016393443</v>
      </c>
      <c r="AZ20" s="184">
        <v>10516.096774193549</v>
      </c>
      <c r="BA20" s="184">
        <v>11604.533333333333</v>
      </c>
      <c r="BB20" s="184">
        <v>10923.741935483871</v>
      </c>
      <c r="BC20" s="184">
        <v>11008.380434782608</v>
      </c>
      <c r="BD20" s="184">
        <v>11942.730909090909</v>
      </c>
      <c r="BE20" s="184">
        <v>10356.000000322581</v>
      </c>
      <c r="BF20" s="184">
        <v>9653.75</v>
      </c>
      <c r="BG20" s="184">
        <v>8341.8064525806458</v>
      </c>
      <c r="BH20" s="184">
        <v>9443.7444448888891</v>
      </c>
      <c r="BI20" s="497">
        <v>11326.542465863015</v>
      </c>
      <c r="BJ20" s="184">
        <v>10561</v>
      </c>
      <c r="BK20" s="184">
        <v>10660.451612903225</v>
      </c>
      <c r="BL20" s="184">
        <v>11767.466666666667</v>
      </c>
      <c r="BM20" s="184">
        <v>10992.615384615385</v>
      </c>
      <c r="BN20" s="184">
        <v>11279.290322580646</v>
      </c>
      <c r="BO20" s="184">
        <v>11865.225806451614</v>
      </c>
      <c r="BP20" s="184">
        <v>8252.7000000000007</v>
      </c>
      <c r="BQ20" s="184">
        <v>10489.79347826087</v>
      </c>
      <c r="BR20" s="184">
        <v>10739.830601092895</v>
      </c>
      <c r="BS20" s="184">
        <v>12756.41935483871</v>
      </c>
      <c r="BT20" s="184">
        <v>12639.866666666667</v>
      </c>
      <c r="BU20" s="184">
        <v>3968.5806451612902</v>
      </c>
      <c r="BV20" s="184">
        <v>9757.29347826087</v>
      </c>
      <c r="BW20" s="184">
        <v>10411.127272727274</v>
      </c>
      <c r="BX20" s="184">
        <v>9050.0645161290322</v>
      </c>
      <c r="BY20" s="184">
        <v>12822.928571428571</v>
      </c>
      <c r="BZ20" s="184">
        <v>0</v>
      </c>
      <c r="CA20" s="184">
        <v>7106.6</v>
      </c>
      <c r="CB20" s="497">
        <v>9596.3123287671224</v>
      </c>
      <c r="CC20" s="184">
        <v>13140.733333</v>
      </c>
      <c r="CD20" s="184">
        <v>12289.032258387097</v>
      </c>
      <c r="CE20" s="184">
        <v>12269.733333999999</v>
      </c>
      <c r="CF20" s="184">
        <v>12563.45054967033</v>
      </c>
      <c r="CG20" s="184">
        <v>11924.967742580644</v>
      </c>
      <c r="CH20" s="184">
        <v>0</v>
      </c>
      <c r="CI20" s="184">
        <v>0</v>
      </c>
      <c r="CJ20" s="184">
        <v>4018.1956523913041</v>
      </c>
      <c r="CK20" s="184">
        <v>8267.4754100546434</v>
      </c>
      <c r="CL20" s="184">
        <v>0</v>
      </c>
      <c r="CM20" s="184">
        <v>0</v>
      </c>
      <c r="CN20" s="184">
        <v>0</v>
      </c>
      <c r="CO20" s="184">
        <v>0</v>
      </c>
      <c r="CP20" s="184">
        <v>5501.6290910545449</v>
      </c>
      <c r="CQ20" s="184">
        <v>0</v>
      </c>
      <c r="CR20" s="184">
        <v>0</v>
      </c>
      <c r="CS20" s="184">
        <v>0</v>
      </c>
      <c r="CT20" s="184">
        <v>0</v>
      </c>
      <c r="CU20" s="497">
        <v>4145.0630138082188</v>
      </c>
    </row>
    <row r="21" spans="1:99">
      <c r="C21">
        <v>15</v>
      </c>
      <c r="D21" s="144" t="s">
        <v>69</v>
      </c>
      <c r="E21" s="184">
        <v>247.06766666666667</v>
      </c>
      <c r="F21" s="184">
        <v>237.55548387096775</v>
      </c>
      <c r="G21" s="184">
        <v>420.91766666666666</v>
      </c>
      <c r="H21" s="184">
        <v>301.14043956043957</v>
      </c>
      <c r="I21" s="184">
        <v>582.51612903225805</v>
      </c>
      <c r="J21" s="184">
        <v>138.16129032258064</v>
      </c>
      <c r="K21" s="184">
        <v>121.2</v>
      </c>
      <c r="L21" s="184">
        <v>282.35869565217394</v>
      </c>
      <c r="M21" s="184">
        <v>291.69825136612019</v>
      </c>
      <c r="N21" s="184">
        <v>270.74193548387098</v>
      </c>
      <c r="O21" s="184">
        <v>276.99</v>
      </c>
      <c r="P21" s="184">
        <v>257.3116600645161</v>
      </c>
      <c r="Q21" s="184">
        <v>268.25392893478261</v>
      </c>
      <c r="R21" s="184">
        <v>283.85505986181818</v>
      </c>
      <c r="S21" s="184">
        <v>214.53290419354835</v>
      </c>
      <c r="T21" s="184">
        <v>272.93688557142855</v>
      </c>
      <c r="U21" s="184">
        <v>274.01615148387094</v>
      </c>
      <c r="V21" s="184">
        <v>253.19170579999999</v>
      </c>
      <c r="W21" s="497">
        <v>276.29423283287673</v>
      </c>
      <c r="X21" s="184">
        <v>283.98666700000001</v>
      </c>
      <c r="Y21" s="184">
        <v>258.46193451612902</v>
      </c>
      <c r="Z21" s="184">
        <v>226.85199900000001</v>
      </c>
      <c r="AA21" s="184">
        <v>256.45582362637361</v>
      </c>
      <c r="AB21" s="184">
        <v>209.59225774193547</v>
      </c>
      <c r="AC21" s="184">
        <v>187.88032225806452</v>
      </c>
      <c r="AD21" s="184">
        <v>169.66733333333335</v>
      </c>
      <c r="AE21" s="184">
        <v>189.25728239130433</v>
      </c>
      <c r="AF21" s="184">
        <v>222.67295043715848</v>
      </c>
      <c r="AG21" s="184">
        <v>150.50677419354838</v>
      </c>
      <c r="AH21" s="184">
        <v>139.72366700000001</v>
      </c>
      <c r="AI21" s="184">
        <v>133.43290322580646</v>
      </c>
      <c r="AJ21" s="184">
        <v>141.23739141304347</v>
      </c>
      <c r="AK21" s="184">
        <v>195.42905432727272</v>
      </c>
      <c r="AL21" s="184">
        <v>140.20354838709679</v>
      </c>
      <c r="AM21" s="184">
        <v>130.3448279310345</v>
      </c>
      <c r="AN21" s="184">
        <v>152.12903225806451</v>
      </c>
      <c r="AO21" s="184">
        <v>141.12428582417584</v>
      </c>
      <c r="AP21" s="497">
        <v>181.92704904371584</v>
      </c>
      <c r="AQ21" s="184">
        <v>134.46666666666667</v>
      </c>
      <c r="AR21" s="184">
        <v>135.16129032258064</v>
      </c>
      <c r="AS21" s="184">
        <v>127.23333333333333</v>
      </c>
      <c r="AT21" s="184">
        <v>132.31868131868131</v>
      </c>
      <c r="AU21" s="184">
        <v>105.3225806451613</v>
      </c>
      <c r="AV21" s="184">
        <v>75.677419354838705</v>
      </c>
      <c r="AW21" s="184">
        <v>73.7</v>
      </c>
      <c r="AX21" s="184">
        <v>85.021739130434781</v>
      </c>
      <c r="AY21" s="184">
        <v>108.54098360655738</v>
      </c>
      <c r="AZ21" s="184">
        <v>76.612903225806448</v>
      </c>
      <c r="BA21" s="184">
        <v>72.2</v>
      </c>
      <c r="BB21" s="184">
        <v>88.225806451612897</v>
      </c>
      <c r="BC21" s="184">
        <v>79.086956521739125</v>
      </c>
      <c r="BD21" s="184">
        <v>98.687272727272727</v>
      </c>
      <c r="BE21" s="184">
        <v>96.312903225806451</v>
      </c>
      <c r="BF21" s="184">
        <v>95.517857142857139</v>
      </c>
      <c r="BG21" s="184">
        <v>127.32258161290324</v>
      </c>
      <c r="BH21" s="184">
        <v>106.746667</v>
      </c>
      <c r="BI21" s="497">
        <v>100.67452063013698</v>
      </c>
      <c r="BJ21" s="184">
        <v>131.4</v>
      </c>
      <c r="BK21" s="184">
        <v>132.64516129032259</v>
      </c>
      <c r="BL21" s="184">
        <v>138.4</v>
      </c>
      <c r="BM21" s="184">
        <v>134.13186813186815</v>
      </c>
      <c r="BN21" s="184">
        <v>0</v>
      </c>
      <c r="BO21" s="184">
        <v>0</v>
      </c>
      <c r="BP21" s="184">
        <v>0</v>
      </c>
      <c r="BQ21" s="184">
        <v>0</v>
      </c>
      <c r="BR21" s="184">
        <v>66.699453551912569</v>
      </c>
      <c r="BS21" s="184">
        <v>0</v>
      </c>
      <c r="BT21" s="184">
        <v>0</v>
      </c>
      <c r="BU21" s="184">
        <v>0</v>
      </c>
      <c r="BV21" s="184">
        <v>0</v>
      </c>
      <c r="BW21" s="184">
        <v>44.385454545454543</v>
      </c>
      <c r="BX21" s="184">
        <v>0</v>
      </c>
      <c r="BY21" s="184">
        <v>0</v>
      </c>
      <c r="BZ21" s="184">
        <v>0</v>
      </c>
      <c r="CA21" s="184">
        <v>0</v>
      </c>
      <c r="CB21" s="497">
        <v>33.441095890410956</v>
      </c>
      <c r="CC21" s="184">
        <v>0</v>
      </c>
      <c r="CD21" s="184">
        <v>0</v>
      </c>
      <c r="CE21" s="184">
        <v>0</v>
      </c>
      <c r="CF21" s="184">
        <v>0</v>
      </c>
      <c r="CG21" s="184">
        <v>0</v>
      </c>
      <c r="CH21" s="184">
        <v>0</v>
      </c>
      <c r="CI21" s="184">
        <v>0</v>
      </c>
      <c r="CJ21" s="184">
        <v>0</v>
      </c>
      <c r="CK21" s="184">
        <v>0</v>
      </c>
      <c r="CL21" s="184">
        <v>0</v>
      </c>
      <c r="CM21" s="184">
        <v>0</v>
      </c>
      <c r="CN21" s="184">
        <v>0</v>
      </c>
      <c r="CO21" s="184">
        <v>0</v>
      </c>
      <c r="CP21" s="184">
        <v>0</v>
      </c>
      <c r="CQ21" s="184">
        <v>0</v>
      </c>
      <c r="CR21" s="184">
        <v>0</v>
      </c>
      <c r="CS21" s="184">
        <v>0</v>
      </c>
      <c r="CT21" s="184">
        <v>0</v>
      </c>
      <c r="CU21" s="497">
        <v>0</v>
      </c>
    </row>
    <row r="22" spans="1:99">
      <c r="A22" s="1482" t="s">
        <v>1084</v>
      </c>
      <c r="B22" s="1482"/>
      <c r="C22">
        <v>16</v>
      </c>
      <c r="D22" s="144" t="s">
        <v>70</v>
      </c>
      <c r="E22" s="184">
        <v>0</v>
      </c>
      <c r="F22" s="184">
        <v>0</v>
      </c>
      <c r="G22" s="184">
        <v>0</v>
      </c>
      <c r="H22" s="184">
        <v>0</v>
      </c>
      <c r="I22" s="184">
        <v>0</v>
      </c>
      <c r="J22" s="184">
        <v>0</v>
      </c>
      <c r="K22" s="184">
        <v>0</v>
      </c>
      <c r="L22" s="184">
        <v>0</v>
      </c>
      <c r="M22" s="184">
        <v>0</v>
      </c>
      <c r="N22" s="184">
        <v>0</v>
      </c>
      <c r="O22" s="184">
        <v>0</v>
      </c>
      <c r="P22" s="184">
        <v>0</v>
      </c>
      <c r="Q22" s="184">
        <v>0</v>
      </c>
      <c r="R22" s="184">
        <v>0</v>
      </c>
      <c r="S22" s="184">
        <v>0</v>
      </c>
      <c r="T22" s="184">
        <v>0</v>
      </c>
      <c r="U22" s="184">
        <v>0</v>
      </c>
      <c r="V22" s="184">
        <v>0</v>
      </c>
      <c r="W22" s="497">
        <v>0</v>
      </c>
      <c r="X22" s="184">
        <v>0</v>
      </c>
      <c r="Y22" s="184">
        <v>0</v>
      </c>
      <c r="Z22" s="184">
        <v>0</v>
      </c>
      <c r="AA22" s="184">
        <v>0</v>
      </c>
      <c r="AB22" s="184">
        <v>0</v>
      </c>
      <c r="AC22" s="184">
        <v>0</v>
      </c>
      <c r="AD22" s="184">
        <v>0</v>
      </c>
      <c r="AE22" s="184">
        <v>0</v>
      </c>
      <c r="AF22" s="184">
        <v>0</v>
      </c>
      <c r="AG22" s="184">
        <v>0</v>
      </c>
      <c r="AH22" s="184">
        <v>0</v>
      </c>
      <c r="AI22" s="184">
        <v>0</v>
      </c>
      <c r="AJ22" s="184">
        <v>0</v>
      </c>
      <c r="AK22" s="184">
        <v>0</v>
      </c>
      <c r="AL22" s="184">
        <v>0</v>
      </c>
      <c r="AM22" s="184">
        <v>0</v>
      </c>
      <c r="AN22" s="184">
        <v>0</v>
      </c>
      <c r="AO22" s="184">
        <v>0</v>
      </c>
      <c r="AP22" s="497">
        <v>0</v>
      </c>
      <c r="AQ22" s="184">
        <v>0</v>
      </c>
      <c r="AR22" s="184">
        <v>0</v>
      </c>
      <c r="AS22" s="184">
        <v>0</v>
      </c>
      <c r="AT22" s="184">
        <v>0</v>
      </c>
      <c r="AU22" s="184">
        <v>0</v>
      </c>
      <c r="AV22" s="184">
        <v>0</v>
      </c>
      <c r="AW22" s="184">
        <v>0</v>
      </c>
      <c r="AX22" s="184">
        <v>0</v>
      </c>
      <c r="AY22" s="184">
        <v>0</v>
      </c>
      <c r="AZ22" s="184">
        <v>0</v>
      </c>
      <c r="BA22" s="184">
        <v>0</v>
      </c>
      <c r="BB22" s="184">
        <v>0</v>
      </c>
      <c r="BC22" s="184">
        <v>0</v>
      </c>
      <c r="BD22" s="184">
        <v>0</v>
      </c>
      <c r="BE22" s="184">
        <v>0</v>
      </c>
      <c r="BF22" s="184">
        <v>0</v>
      </c>
      <c r="BG22" s="184">
        <v>0</v>
      </c>
      <c r="BH22" s="184">
        <v>0</v>
      </c>
      <c r="BI22" s="497">
        <v>0</v>
      </c>
      <c r="BJ22" s="184">
        <v>0</v>
      </c>
      <c r="BK22" s="184">
        <v>0</v>
      </c>
      <c r="BL22" s="184">
        <v>0</v>
      </c>
      <c r="BM22" s="184">
        <v>0</v>
      </c>
      <c r="BN22" s="184">
        <v>0</v>
      </c>
      <c r="BO22" s="184">
        <v>0</v>
      </c>
      <c r="BP22" s="184">
        <v>0</v>
      </c>
      <c r="BQ22" s="184">
        <v>0</v>
      </c>
      <c r="BR22" s="184">
        <v>0</v>
      </c>
      <c r="BS22" s="184">
        <v>0</v>
      </c>
      <c r="BT22" s="184">
        <v>0</v>
      </c>
      <c r="BU22" s="184">
        <v>0</v>
      </c>
      <c r="BV22" s="184">
        <v>0</v>
      </c>
      <c r="BW22" s="184">
        <v>0</v>
      </c>
      <c r="BX22" s="184">
        <v>0</v>
      </c>
      <c r="BY22" s="184">
        <v>0</v>
      </c>
      <c r="BZ22" s="184">
        <v>0</v>
      </c>
      <c r="CA22" s="184">
        <v>0</v>
      </c>
      <c r="CB22" s="497">
        <v>0</v>
      </c>
      <c r="CC22" s="184">
        <v>0</v>
      </c>
      <c r="CD22" s="184">
        <v>0</v>
      </c>
      <c r="CE22" s="184">
        <v>0</v>
      </c>
      <c r="CF22" s="184">
        <v>0</v>
      </c>
      <c r="CG22" s="184">
        <v>0</v>
      </c>
      <c r="CH22" s="184">
        <v>0</v>
      </c>
      <c r="CI22" s="184">
        <v>0</v>
      </c>
      <c r="CJ22" s="184">
        <v>0</v>
      </c>
      <c r="CK22" s="184">
        <v>0</v>
      </c>
      <c r="CL22" s="184">
        <v>0</v>
      </c>
      <c r="CM22" s="184">
        <v>0</v>
      </c>
      <c r="CN22" s="184">
        <v>0</v>
      </c>
      <c r="CO22" s="184">
        <v>0</v>
      </c>
      <c r="CP22" s="184">
        <v>0</v>
      </c>
      <c r="CQ22" s="184">
        <v>0</v>
      </c>
      <c r="CR22" s="184">
        <v>0</v>
      </c>
      <c r="CS22" s="184">
        <v>0</v>
      </c>
      <c r="CT22" s="184">
        <v>0</v>
      </c>
      <c r="CU22" s="497">
        <v>0</v>
      </c>
    </row>
    <row r="23" spans="1:99" s="247" customFormat="1">
      <c r="A23" s="1482"/>
      <c r="B23" s="1482"/>
      <c r="C23" s="247">
        <v>17</v>
      </c>
      <c r="D23" s="565" t="s">
        <v>827</v>
      </c>
      <c r="E23" s="565">
        <v>146945.21203062596</v>
      </c>
      <c r="F23" s="565">
        <v>117870.94734747095</v>
      </c>
      <c r="G23" s="565">
        <v>113173.1137993381</v>
      </c>
      <c r="H23" s="565">
        <v>125907.13343593979</v>
      </c>
      <c r="I23" s="565">
        <v>115205.4618720057</v>
      </c>
      <c r="J23" s="565">
        <v>122704.77921372185</v>
      </c>
      <c r="K23" s="565">
        <v>118763.78969178074</v>
      </c>
      <c r="L23" s="565">
        <v>118892.73004794538</v>
      </c>
      <c r="M23" s="565">
        <v>122380.76670536336</v>
      </c>
      <c r="N23" s="565">
        <v>119886.13519722082</v>
      </c>
      <c r="O23" s="565">
        <v>140468.87349303975</v>
      </c>
      <c r="P23" s="565">
        <v>128325.72324429506</v>
      </c>
      <c r="Q23" s="565">
        <v>129441.67191824115</v>
      </c>
      <c r="R23" s="565">
        <v>124742.96044930794</v>
      </c>
      <c r="S23" s="565">
        <v>132495.53795686722</v>
      </c>
      <c r="T23" s="565">
        <v>143454.31139271476</v>
      </c>
      <c r="U23" s="565">
        <v>141203.83758977961</v>
      </c>
      <c r="V23" s="565">
        <v>138904.45956602294</v>
      </c>
      <c r="W23" s="566">
        <v>128234.83694384039</v>
      </c>
      <c r="X23" s="681">
        <v>150132.25689897605</v>
      </c>
      <c r="Y23" s="681">
        <v>143541.87303124735</v>
      </c>
      <c r="Z23" s="681">
        <v>144867.33313357618</v>
      </c>
      <c r="AA23" s="681">
        <v>146151.49192247508</v>
      </c>
      <c r="AB23" s="681">
        <v>145969.64118380655</v>
      </c>
      <c r="AC23" s="681">
        <v>140509.30194680864</v>
      </c>
      <c r="AD23" s="681">
        <v>138247.78964993783</v>
      </c>
      <c r="AE23" s="681">
        <v>141611.74920160009</v>
      </c>
      <c r="AF23" s="681">
        <v>143869.21689340129</v>
      </c>
      <c r="AG23" s="681">
        <v>141306.51118125589</v>
      </c>
      <c r="AH23" s="681">
        <v>147180.5561972275</v>
      </c>
      <c r="AI23" s="681">
        <v>148399.16584514352</v>
      </c>
      <c r="AJ23" s="681">
        <v>145611.87688842614</v>
      </c>
      <c r="AK23" s="681">
        <v>144452.21587355505</v>
      </c>
      <c r="AL23" s="681">
        <v>144522.81314492843</v>
      </c>
      <c r="AM23" s="681">
        <v>141488.56762032368</v>
      </c>
      <c r="AN23" s="681">
        <v>146372.63738557443</v>
      </c>
      <c r="AO23" s="681">
        <v>144186.01568609857</v>
      </c>
      <c r="AP23" s="681">
        <v>144386.02948814922</v>
      </c>
      <c r="AQ23" s="681">
        <v>148376.95072666669</v>
      </c>
      <c r="AR23" s="681">
        <v>139238.31467096775</v>
      </c>
      <c r="AS23" s="681">
        <v>147380.21982833336</v>
      </c>
      <c r="AT23" s="681">
        <v>144935.19638956044</v>
      </c>
      <c r="AU23" s="681">
        <v>147440.15511290322</v>
      </c>
      <c r="AV23" s="681">
        <v>143634.11912741937</v>
      </c>
      <c r="AW23" s="681">
        <v>144669.50013333335</v>
      </c>
      <c r="AX23" s="681">
        <v>145254.21201576089</v>
      </c>
      <c r="AY23" s="681">
        <v>145095.57583005464</v>
      </c>
      <c r="AZ23" s="681">
        <v>141276.35738548386</v>
      </c>
      <c r="BA23" s="681">
        <v>160178.70600833333</v>
      </c>
      <c r="BB23" s="681">
        <v>147199.65958870968</v>
      </c>
      <c r="BC23" s="681">
        <v>150159.31820380435</v>
      </c>
      <c r="BD23" s="681">
        <v>148174.03529272723</v>
      </c>
      <c r="BE23" s="681">
        <v>150429.41066725354</v>
      </c>
      <c r="BF23" s="681">
        <v>145290.15342400171</v>
      </c>
      <c r="BG23" s="681">
        <v>142301.06733373672</v>
      </c>
      <c r="BH23" s="681">
        <v>146030.7679322527</v>
      </c>
      <c r="BI23" s="681">
        <v>147645.55840932261</v>
      </c>
      <c r="BJ23" s="565"/>
      <c r="BK23" s="565"/>
      <c r="BL23" s="565"/>
      <c r="BM23" s="565"/>
      <c r="BN23" s="565"/>
      <c r="BO23" s="565"/>
      <c r="BP23" s="565"/>
      <c r="BQ23" s="565"/>
      <c r="BR23" s="565"/>
      <c r="BS23" s="565"/>
      <c r="BT23" s="565"/>
      <c r="BU23" s="565"/>
      <c r="BV23" s="565"/>
      <c r="BW23" s="565"/>
      <c r="BX23" s="565"/>
      <c r="BY23" s="565"/>
      <c r="BZ23" s="565"/>
      <c r="CA23" s="565"/>
      <c r="CB23" s="566"/>
      <c r="CC23" s="565"/>
      <c r="CD23" s="565"/>
      <c r="CE23" s="565"/>
      <c r="CF23" s="565"/>
      <c r="CG23" s="565"/>
      <c r="CH23" s="565"/>
      <c r="CI23" s="565"/>
      <c r="CJ23" s="565"/>
      <c r="CK23" s="565"/>
      <c r="CL23" s="565"/>
      <c r="CM23" s="565"/>
      <c r="CN23" s="565"/>
      <c r="CO23" s="565"/>
      <c r="CP23" s="565"/>
      <c r="CQ23" s="565"/>
      <c r="CR23" s="565"/>
      <c r="CS23" s="565"/>
      <c r="CT23" s="565"/>
      <c r="CU23" s="566"/>
    </row>
    <row r="24" spans="1:99" ht="33" customHeight="1">
      <c r="A24" s="1482"/>
      <c r="B24" s="1482"/>
      <c r="W24" s="480"/>
      <c r="AP24" s="480"/>
      <c r="BI24" s="480"/>
      <c r="CB24" s="480"/>
      <c r="CU24" s="480"/>
    </row>
    <row r="25" spans="1:99">
      <c r="W25" s="480"/>
      <c r="AP25" s="480"/>
      <c r="BI25" s="480"/>
      <c r="CB25" s="480"/>
      <c r="CU25" s="480"/>
    </row>
    <row r="26" spans="1:99">
      <c r="C26">
        <v>1</v>
      </c>
      <c r="E26">
        <v>202204</v>
      </c>
      <c r="F26">
        <v>202205</v>
      </c>
      <c r="G26">
        <v>202206</v>
      </c>
      <c r="H26">
        <v>222331</v>
      </c>
      <c r="I26">
        <v>202207</v>
      </c>
      <c r="J26">
        <v>202208</v>
      </c>
      <c r="K26">
        <v>202209</v>
      </c>
      <c r="L26">
        <v>222332</v>
      </c>
      <c r="M26">
        <v>222361</v>
      </c>
      <c r="N26">
        <v>202210</v>
      </c>
      <c r="O26">
        <v>202211</v>
      </c>
      <c r="P26">
        <v>202212</v>
      </c>
      <c r="Q26">
        <v>222333</v>
      </c>
      <c r="R26">
        <v>222391</v>
      </c>
      <c r="S26">
        <v>202301</v>
      </c>
      <c r="T26">
        <v>202302</v>
      </c>
      <c r="U26">
        <v>202303</v>
      </c>
      <c r="V26">
        <v>222334</v>
      </c>
      <c r="W26" s="480">
        <v>222399</v>
      </c>
      <c r="X26">
        <v>202304</v>
      </c>
      <c r="Y26">
        <v>202305</v>
      </c>
      <c r="Z26">
        <v>202306</v>
      </c>
      <c r="AA26">
        <v>232431</v>
      </c>
      <c r="AB26">
        <v>202307</v>
      </c>
      <c r="AC26">
        <v>202308</v>
      </c>
      <c r="AD26">
        <v>202309</v>
      </c>
      <c r="AE26">
        <v>232432</v>
      </c>
      <c r="AF26">
        <v>232461</v>
      </c>
      <c r="AG26">
        <v>202310</v>
      </c>
      <c r="AH26">
        <v>202311</v>
      </c>
      <c r="AI26">
        <v>202312</v>
      </c>
      <c r="AJ26">
        <v>232433</v>
      </c>
      <c r="AK26">
        <v>232491</v>
      </c>
      <c r="AL26">
        <v>202401</v>
      </c>
      <c r="AM26">
        <v>202402</v>
      </c>
      <c r="AN26">
        <v>202403</v>
      </c>
      <c r="AO26">
        <v>232434</v>
      </c>
      <c r="AP26" s="480">
        <v>232499</v>
      </c>
      <c r="AQ26">
        <v>202404</v>
      </c>
      <c r="AR26">
        <v>202405</v>
      </c>
      <c r="AS26">
        <v>202406</v>
      </c>
      <c r="AT26">
        <v>242531</v>
      </c>
      <c r="AU26">
        <v>202407</v>
      </c>
      <c r="AV26">
        <v>202408</v>
      </c>
      <c r="AW26">
        <v>202409</v>
      </c>
      <c r="AX26">
        <v>242532</v>
      </c>
      <c r="AY26">
        <v>242561</v>
      </c>
      <c r="AZ26">
        <v>202410</v>
      </c>
      <c r="BA26">
        <v>202411</v>
      </c>
      <c r="BB26">
        <v>202412</v>
      </c>
      <c r="BC26">
        <v>242533</v>
      </c>
      <c r="BD26">
        <v>242591</v>
      </c>
      <c r="BE26">
        <v>202501</v>
      </c>
      <c r="BF26">
        <v>202502</v>
      </c>
      <c r="BG26">
        <v>202503</v>
      </c>
      <c r="BH26">
        <v>242534</v>
      </c>
      <c r="BI26" s="480">
        <v>242599</v>
      </c>
      <c r="BJ26">
        <v>202504</v>
      </c>
      <c r="BK26">
        <v>202505</v>
      </c>
      <c r="BL26">
        <v>202506</v>
      </c>
      <c r="BM26">
        <v>252631</v>
      </c>
      <c r="BN26">
        <v>202507</v>
      </c>
      <c r="BO26">
        <v>202508</v>
      </c>
      <c r="BP26">
        <v>202509</v>
      </c>
      <c r="BQ26">
        <v>252632</v>
      </c>
      <c r="BR26">
        <v>252661</v>
      </c>
      <c r="BS26">
        <v>202510</v>
      </c>
      <c r="BT26">
        <v>202511</v>
      </c>
      <c r="BU26">
        <v>202512</v>
      </c>
      <c r="BV26">
        <v>252633</v>
      </c>
      <c r="BW26">
        <v>252691</v>
      </c>
      <c r="BX26">
        <v>202601</v>
      </c>
      <c r="BY26">
        <v>202602</v>
      </c>
      <c r="BZ26">
        <v>202603</v>
      </c>
      <c r="CA26">
        <v>252634</v>
      </c>
      <c r="CB26" s="480">
        <v>252699</v>
      </c>
      <c r="CC26">
        <v>202604</v>
      </c>
      <c r="CD26">
        <v>202605</v>
      </c>
      <c r="CE26">
        <v>202606</v>
      </c>
      <c r="CF26">
        <v>262731</v>
      </c>
      <c r="CG26">
        <v>202607</v>
      </c>
      <c r="CH26">
        <v>202608</v>
      </c>
      <c r="CI26">
        <v>202609</v>
      </c>
      <c r="CJ26">
        <v>262732</v>
      </c>
      <c r="CK26">
        <v>262761</v>
      </c>
      <c r="CL26">
        <v>202610</v>
      </c>
      <c r="CM26">
        <v>202611</v>
      </c>
      <c r="CN26">
        <v>202612</v>
      </c>
      <c r="CO26">
        <v>262733</v>
      </c>
      <c r="CP26">
        <v>262791</v>
      </c>
      <c r="CQ26">
        <v>202701</v>
      </c>
      <c r="CR26">
        <v>202702</v>
      </c>
      <c r="CS26">
        <v>202703</v>
      </c>
      <c r="CT26">
        <v>262734</v>
      </c>
      <c r="CU26" s="480">
        <v>262799</v>
      </c>
    </row>
    <row r="27" spans="1:99">
      <c r="C27">
        <v>2</v>
      </c>
      <c r="E27" t="s">
        <v>308</v>
      </c>
      <c r="F27" t="s">
        <v>309</v>
      </c>
      <c r="G27" t="s">
        <v>829</v>
      </c>
      <c r="H27" t="s">
        <v>392</v>
      </c>
      <c r="I27" t="s">
        <v>830</v>
      </c>
      <c r="J27" t="s">
        <v>312</v>
      </c>
      <c r="K27" t="s">
        <v>313</v>
      </c>
      <c r="L27" t="s">
        <v>393</v>
      </c>
      <c r="M27" t="s">
        <v>622</v>
      </c>
      <c r="N27" t="s">
        <v>314</v>
      </c>
      <c r="O27" t="s">
        <v>315</v>
      </c>
      <c r="P27" t="s">
        <v>316</v>
      </c>
      <c r="Q27" t="s">
        <v>394</v>
      </c>
      <c r="R27" t="s">
        <v>624</v>
      </c>
      <c r="S27" t="s">
        <v>317</v>
      </c>
      <c r="T27" t="s">
        <v>318</v>
      </c>
      <c r="U27" t="s">
        <v>319</v>
      </c>
      <c r="V27" t="s">
        <v>395</v>
      </c>
      <c r="W27" s="480" t="s">
        <v>831</v>
      </c>
      <c r="X27" t="s">
        <v>726</v>
      </c>
      <c r="Y27" t="s">
        <v>727</v>
      </c>
      <c r="Z27" t="s">
        <v>832</v>
      </c>
      <c r="AA27" t="s">
        <v>762</v>
      </c>
      <c r="AB27" t="s">
        <v>833</v>
      </c>
      <c r="AC27" t="s">
        <v>730</v>
      </c>
      <c r="AD27" t="s">
        <v>731</v>
      </c>
      <c r="AE27" t="s">
        <v>765</v>
      </c>
      <c r="AF27" t="s">
        <v>774</v>
      </c>
      <c r="AG27" t="s">
        <v>732</v>
      </c>
      <c r="AH27" t="s">
        <v>733</v>
      </c>
      <c r="AI27" t="s">
        <v>734</v>
      </c>
      <c r="AJ27" t="s">
        <v>768</v>
      </c>
      <c r="AK27" t="s">
        <v>780</v>
      </c>
      <c r="AL27" t="s">
        <v>735</v>
      </c>
      <c r="AM27" t="s">
        <v>736</v>
      </c>
      <c r="AN27" t="s">
        <v>737</v>
      </c>
      <c r="AO27" t="s">
        <v>771</v>
      </c>
      <c r="AP27" s="480" t="s">
        <v>834</v>
      </c>
      <c r="AQ27" t="s">
        <v>738</v>
      </c>
      <c r="AR27" t="s">
        <v>740</v>
      </c>
      <c r="AS27" t="s">
        <v>835</v>
      </c>
      <c r="AT27" t="s">
        <v>763</v>
      </c>
      <c r="AU27" t="s">
        <v>836</v>
      </c>
      <c r="AV27" t="s">
        <v>743</v>
      </c>
      <c r="AW27" t="s">
        <v>744</v>
      </c>
      <c r="AX27" t="s">
        <v>766</v>
      </c>
      <c r="AY27" t="s">
        <v>775</v>
      </c>
      <c r="AZ27" t="s">
        <v>745</v>
      </c>
      <c r="BA27" t="s">
        <v>746</v>
      </c>
      <c r="BB27" t="s">
        <v>747</v>
      </c>
      <c r="BC27" t="s">
        <v>769</v>
      </c>
      <c r="BD27" t="s">
        <v>781</v>
      </c>
      <c r="BE27" t="s">
        <v>748</v>
      </c>
      <c r="BF27" t="s">
        <v>749</v>
      </c>
      <c r="BG27" t="s">
        <v>750</v>
      </c>
      <c r="BH27" t="s">
        <v>772</v>
      </c>
      <c r="BI27" s="480" t="s">
        <v>837</v>
      </c>
      <c r="BJ27" t="s">
        <v>739</v>
      </c>
      <c r="BK27" t="s">
        <v>751</v>
      </c>
      <c r="BL27" t="s">
        <v>838</v>
      </c>
      <c r="BM27" t="s">
        <v>764</v>
      </c>
      <c r="BN27" t="s">
        <v>839</v>
      </c>
      <c r="BO27" t="s">
        <v>754</v>
      </c>
      <c r="BP27" t="s">
        <v>755</v>
      </c>
      <c r="BQ27" t="s">
        <v>767</v>
      </c>
      <c r="BR27" t="s">
        <v>776</v>
      </c>
      <c r="BS27" t="s">
        <v>756</v>
      </c>
      <c r="BT27" t="s">
        <v>757</v>
      </c>
      <c r="BU27" t="s">
        <v>758</v>
      </c>
      <c r="BV27" t="s">
        <v>770</v>
      </c>
      <c r="BW27" t="s">
        <v>782</v>
      </c>
      <c r="BX27" t="s">
        <v>759</v>
      </c>
      <c r="BY27" t="s">
        <v>760</v>
      </c>
      <c r="BZ27" t="s">
        <v>761</v>
      </c>
      <c r="CA27" t="s">
        <v>773</v>
      </c>
      <c r="CB27" s="480" t="s">
        <v>840</v>
      </c>
      <c r="CC27" t="s">
        <v>2268</v>
      </c>
      <c r="CD27" t="s">
        <v>2151</v>
      </c>
      <c r="CE27" t="s">
        <v>2269</v>
      </c>
      <c r="CF27" t="s">
        <v>2260</v>
      </c>
      <c r="CG27" t="s">
        <v>2270</v>
      </c>
      <c r="CH27" t="s">
        <v>2154</v>
      </c>
      <c r="CI27" t="s">
        <v>2155</v>
      </c>
      <c r="CJ27" t="s">
        <v>2261</v>
      </c>
      <c r="CK27" t="s">
        <v>2264</v>
      </c>
      <c r="CL27" t="s">
        <v>2156</v>
      </c>
      <c r="CM27" t="s">
        <v>2157</v>
      </c>
      <c r="CN27" t="s">
        <v>2158</v>
      </c>
      <c r="CO27" t="s">
        <v>2262</v>
      </c>
      <c r="CP27" t="s">
        <v>2266</v>
      </c>
      <c r="CQ27" t="s">
        <v>2159</v>
      </c>
      <c r="CR27" t="s">
        <v>2160</v>
      </c>
      <c r="CS27" t="s">
        <v>2149</v>
      </c>
      <c r="CT27" t="s">
        <v>2263</v>
      </c>
      <c r="CU27" s="480" t="s">
        <v>2271</v>
      </c>
    </row>
    <row r="28" spans="1:99">
      <c r="C28">
        <v>3</v>
      </c>
      <c r="D28" s="209" t="s">
        <v>60</v>
      </c>
      <c r="E28">
        <v>9.4501381333333327</v>
      </c>
      <c r="F28">
        <v>7.0341068709677419</v>
      </c>
      <c r="G28">
        <v>5.9169211333333331</v>
      </c>
      <c r="H28">
        <v>7.4622977032967039</v>
      </c>
      <c r="I28">
        <v>5.5662535161290316</v>
      </c>
      <c r="J28">
        <v>4.3600967741935488</v>
      </c>
      <c r="K28">
        <v>3.0349430333333336</v>
      </c>
      <c r="L28">
        <v>4.3344038043478266</v>
      </c>
      <c r="M28">
        <v>5.8898045956284157</v>
      </c>
      <c r="N28">
        <v>2</v>
      </c>
      <c r="O28">
        <v>10.786666666666667</v>
      </c>
      <c r="P28">
        <v>12.53225806451613</v>
      </c>
      <c r="Q28">
        <v>8.4141304347826082</v>
      </c>
      <c r="R28">
        <v>6.7343063309090905</v>
      </c>
      <c r="S28">
        <v>13.783870967741937</v>
      </c>
      <c r="T28">
        <v>13.828571428571427</v>
      </c>
      <c r="U28">
        <v>12.412903225806453</v>
      </c>
      <c r="V28">
        <v>13.325555555555555</v>
      </c>
      <c r="W28" s="498">
        <v>8.3595458657534252</v>
      </c>
      <c r="X28">
        <v>9.6999999999999993</v>
      </c>
      <c r="Y28">
        <v>6.96</v>
      </c>
      <c r="Z28">
        <v>5.67</v>
      </c>
      <c r="AA28">
        <v>7.4380219780219781</v>
      </c>
      <c r="AB28">
        <v>7.0161300000000004</v>
      </c>
      <c r="AC28">
        <v>6.5377400000000003</v>
      </c>
      <c r="AD28">
        <v>7.4123299999999999</v>
      </c>
      <c r="AE28">
        <v>6.9841290217391307</v>
      </c>
      <c r="AF28">
        <v>7.2098353551912577</v>
      </c>
      <c r="AG28">
        <v>9.0096799999999995</v>
      </c>
      <c r="AH28">
        <v>11.5657</v>
      </c>
      <c r="AI28">
        <v>13.070969999999999</v>
      </c>
      <c r="AJ28">
        <v>11.211642934782606</v>
      </c>
      <c r="AK28">
        <v>8.5486218909090912</v>
      </c>
      <c r="AL28">
        <v>13.49555</v>
      </c>
      <c r="AM28">
        <v>12.58445</v>
      </c>
      <c r="AN28">
        <v>11.90968</v>
      </c>
      <c r="AO28">
        <v>12.664958021978022</v>
      </c>
      <c r="AP28" s="498">
        <v>9.5720825136612024</v>
      </c>
      <c r="AQ28">
        <v>9.956666666666667</v>
      </c>
      <c r="AR28">
        <v>7.5903225806451617</v>
      </c>
      <c r="AS28">
        <v>6.77</v>
      </c>
      <c r="AT28">
        <v>8.1</v>
      </c>
      <c r="AU28">
        <v>6.9709677419354836</v>
      </c>
      <c r="AV28">
        <v>6.2483870967741932</v>
      </c>
      <c r="AW28">
        <v>7.4123333333333337</v>
      </c>
      <c r="AX28">
        <v>6.8714130434782605</v>
      </c>
      <c r="AY28">
        <v>7.482349726775956</v>
      </c>
      <c r="AZ28">
        <v>10.610645161290323</v>
      </c>
      <c r="BA28">
        <v>11.148</v>
      </c>
      <c r="BB28">
        <v>13.070967741935483</v>
      </c>
      <c r="BC28">
        <v>11.614891304347825</v>
      </c>
      <c r="BD28">
        <v>8.8648727272727275</v>
      </c>
      <c r="BE28">
        <v>11.661290000000001</v>
      </c>
      <c r="BF28">
        <v>12.37857</v>
      </c>
      <c r="BG28">
        <v>11.909677419354839</v>
      </c>
      <c r="BH28">
        <v>11.969999444444445</v>
      </c>
      <c r="BI28" s="498">
        <v>9.6305204109589049</v>
      </c>
      <c r="BJ28">
        <v>9.1</v>
      </c>
      <c r="BK28">
        <v>8.2548387096774203</v>
      </c>
      <c r="BL28">
        <v>7.9314999999999998</v>
      </c>
      <c r="BM28">
        <v>8.4268681318681313</v>
      </c>
      <c r="BN28">
        <v>4.7340322580645156</v>
      </c>
      <c r="BO28">
        <v>1.1774193548387097</v>
      </c>
      <c r="BP28">
        <v>7.4434333333333331</v>
      </c>
      <c r="BQ28">
        <v>4.4191086956521737</v>
      </c>
      <c r="BR28">
        <v>6.4120382513661207</v>
      </c>
      <c r="BS28">
        <v>7.6773225806451615</v>
      </c>
      <c r="BT28">
        <v>10.15</v>
      </c>
      <c r="BU28">
        <v>8.3706129032258065</v>
      </c>
      <c r="BV28">
        <v>8.717239130434784</v>
      </c>
      <c r="BW28">
        <v>7.1832327272727277</v>
      </c>
      <c r="BX28">
        <v>12.161129032258065</v>
      </c>
      <c r="BY28">
        <v>12.244392857142858</v>
      </c>
      <c r="BZ28">
        <v>0</v>
      </c>
      <c r="CA28">
        <v>7.9981999999999998</v>
      </c>
      <c r="CB28" s="498">
        <v>7.3841835616438356</v>
      </c>
      <c r="CC28">
        <v>9.7017673333333327</v>
      </c>
      <c r="CD28">
        <v>8.3419374193548386</v>
      </c>
      <c r="CE28">
        <v>7.6709000000000005</v>
      </c>
      <c r="CF28">
        <v>8.5690118681318683</v>
      </c>
      <c r="CG28">
        <v>7.3924512903225805</v>
      </c>
      <c r="CH28">
        <v>0</v>
      </c>
      <c r="CI28">
        <v>0</v>
      </c>
      <c r="CJ28">
        <v>2.4909346739130434</v>
      </c>
      <c r="CK28">
        <v>5.5133665027322403</v>
      </c>
      <c r="CL28">
        <v>0</v>
      </c>
      <c r="CM28">
        <v>0</v>
      </c>
      <c r="CN28">
        <v>0</v>
      </c>
      <c r="CO28">
        <v>0</v>
      </c>
      <c r="CP28">
        <v>3.6688947999999999</v>
      </c>
      <c r="CQ28">
        <v>0</v>
      </c>
      <c r="CR28">
        <v>0</v>
      </c>
      <c r="CS28">
        <v>0</v>
      </c>
      <c r="CT28">
        <v>0</v>
      </c>
      <c r="CU28" s="498">
        <v>2.764235808219178</v>
      </c>
    </row>
    <row r="29" spans="1:99">
      <c r="C29">
        <v>4</v>
      </c>
      <c r="D29" s="209" t="s">
        <v>61</v>
      </c>
      <c r="E29">
        <v>15.935353833333334</v>
      </c>
      <c r="F29">
        <v>15.684285903225806</v>
      </c>
      <c r="G29">
        <v>15.547146266666667</v>
      </c>
      <c r="H29">
        <v>15.721844681318684</v>
      </c>
      <c r="I29">
        <v>15.194155935483872</v>
      </c>
      <c r="J29">
        <v>14.471271354838711</v>
      </c>
      <c r="K29">
        <v>13.819758833333333</v>
      </c>
      <c r="L29">
        <v>14.502402293478262</v>
      </c>
      <c r="M29">
        <v>15.108791677595629</v>
      </c>
      <c r="N29">
        <v>13.172510612903226</v>
      </c>
      <c r="O29">
        <v>13.077394633333334</v>
      </c>
      <c r="P29">
        <v>13.11846458064516</v>
      </c>
      <c r="Q29">
        <v>13.123283369565216</v>
      </c>
      <c r="R29">
        <v>14.44454889818182</v>
      </c>
      <c r="S29">
        <v>13.478897064516127</v>
      </c>
      <c r="T29">
        <v>13.211785392857143</v>
      </c>
      <c r="U29">
        <v>12.192376612903226</v>
      </c>
      <c r="V29">
        <v>12.952660833333335</v>
      </c>
      <c r="W29" s="498">
        <v>14.076686087671234</v>
      </c>
      <c r="X29">
        <v>13.057781666666667</v>
      </c>
      <c r="Y29">
        <v>13.159748064516128</v>
      </c>
      <c r="Z29">
        <v>12.526314000000001</v>
      </c>
      <c r="AA29">
        <v>12.917308351648352</v>
      </c>
      <c r="AB29">
        <v>10.216504838709678</v>
      </c>
      <c r="AC29">
        <v>12.318990645161291</v>
      </c>
      <c r="AD29">
        <v>12.267849333333334</v>
      </c>
      <c r="AE29">
        <v>11.593867826086955</v>
      </c>
      <c r="AF29">
        <v>12.251972131147539</v>
      </c>
      <c r="AG29">
        <v>12.21523</v>
      </c>
      <c r="AH29">
        <v>12.366689333333333</v>
      </c>
      <c r="AI29">
        <v>12.069411612903227</v>
      </c>
      <c r="AJ29">
        <v>12.21548445652174</v>
      </c>
      <c r="AK29">
        <v>12.239765345454543</v>
      </c>
      <c r="AL29">
        <v>11.786587741935485</v>
      </c>
      <c r="AM29">
        <v>11.658192068965517</v>
      </c>
      <c r="AN29">
        <v>9.8975164516129031</v>
      </c>
      <c r="AO29">
        <v>11.102140659340661</v>
      </c>
      <c r="AP29" s="498">
        <v>11.956913306010929</v>
      </c>
      <c r="AQ29">
        <v>10.327966666666667</v>
      </c>
      <c r="AR29">
        <v>10.430935483870966</v>
      </c>
      <c r="AS29">
        <v>10.627333333333333</v>
      </c>
      <c r="AT29">
        <v>10.461736263736263</v>
      </c>
      <c r="AU29">
        <v>9.0476129032258061</v>
      </c>
      <c r="AV29">
        <v>10.943612903225807</v>
      </c>
      <c r="AW29">
        <v>11.256599999999999</v>
      </c>
      <c r="AX29">
        <v>10.406804347826087</v>
      </c>
      <c r="AY29">
        <v>10.434120218579235</v>
      </c>
      <c r="AZ29">
        <v>11.14516129032258</v>
      </c>
      <c r="BA29">
        <v>11.201533333333334</v>
      </c>
      <c r="BB29">
        <v>11.742000000000001</v>
      </c>
      <c r="BC29">
        <v>11.364652173913043</v>
      </c>
      <c r="BD29">
        <v>10.745425454545455</v>
      </c>
      <c r="BE29">
        <v>11.205782258064517</v>
      </c>
      <c r="BF29">
        <v>11.413071428571428</v>
      </c>
      <c r="BG29">
        <v>11.202774193548388</v>
      </c>
      <c r="BH29">
        <v>11.269236111111111</v>
      </c>
      <c r="BI29" s="498">
        <v>10.874584246575342</v>
      </c>
      <c r="BJ29">
        <v>10.124733333333333</v>
      </c>
      <c r="BK29">
        <v>10.64083870967742</v>
      </c>
      <c r="BL29">
        <v>10.501866666666666</v>
      </c>
      <c r="BM29">
        <v>10.424879120879121</v>
      </c>
      <c r="BN29">
        <v>10.837225806451613</v>
      </c>
      <c r="BO29">
        <v>9.1157419354838716</v>
      </c>
      <c r="BP29">
        <v>10.6249</v>
      </c>
      <c r="BQ29">
        <v>10.187923913043479</v>
      </c>
      <c r="BR29">
        <v>10.305754098360655</v>
      </c>
      <c r="BS29">
        <v>10.405806451612902</v>
      </c>
      <c r="BT29">
        <v>10.407466666666666</v>
      </c>
      <c r="BU29">
        <v>9.9532580645161293</v>
      </c>
      <c r="BV29">
        <v>10.253858695652173</v>
      </c>
      <c r="BW29">
        <v>10.288392727272727</v>
      </c>
      <c r="BX29">
        <v>10.026903225806452</v>
      </c>
      <c r="BY29">
        <v>9.928571428571429E-3</v>
      </c>
      <c r="BZ29">
        <v>0</v>
      </c>
      <c r="CA29">
        <v>3.4568000000000003</v>
      </c>
      <c r="CB29" s="498">
        <v>8.6038904109589041</v>
      </c>
      <c r="CC29">
        <v>9.9731976666666657</v>
      </c>
      <c r="CD29">
        <v>9.9403735483870967</v>
      </c>
      <c r="CE29">
        <v>9.7900666666666663</v>
      </c>
      <c r="CF29">
        <v>9.9016429670329682</v>
      </c>
      <c r="CG29">
        <v>8.8381954838709671</v>
      </c>
      <c r="CH29">
        <v>0</v>
      </c>
      <c r="CI29">
        <v>0</v>
      </c>
      <c r="CJ29">
        <v>2.978087608695652</v>
      </c>
      <c r="CK29">
        <v>6.4209484699453556</v>
      </c>
      <c r="CL29">
        <v>0</v>
      </c>
      <c r="CM29">
        <v>0</v>
      </c>
      <c r="CN29">
        <v>0</v>
      </c>
      <c r="CO29">
        <v>0</v>
      </c>
      <c r="CP29">
        <v>4.2728493454545458</v>
      </c>
      <c r="CQ29">
        <v>0</v>
      </c>
      <c r="CR29">
        <v>0</v>
      </c>
      <c r="CS29">
        <v>0</v>
      </c>
      <c r="CT29">
        <v>0</v>
      </c>
      <c r="CU29" s="498">
        <v>3.2192700547945208</v>
      </c>
    </row>
    <row r="30" spans="1:99">
      <c r="C30">
        <v>5</v>
      </c>
      <c r="D30" s="209" t="s">
        <v>62</v>
      </c>
      <c r="E30">
        <v>0.31855146666666667</v>
      </c>
      <c r="F30">
        <v>0.27391661290322589</v>
      </c>
      <c r="G30">
        <v>0.32392970000000004</v>
      </c>
      <c r="H30">
        <v>0.30511923076923081</v>
      </c>
      <c r="I30">
        <v>0.33120032258064519</v>
      </c>
      <c r="J30">
        <v>0.32282032258064519</v>
      </c>
      <c r="K30">
        <v>0.3129887666666667</v>
      </c>
      <c r="L30">
        <v>0.32243807608695657</v>
      </c>
      <c r="M30">
        <v>0.31382597267759565</v>
      </c>
      <c r="N30">
        <v>0.33617129032258064</v>
      </c>
      <c r="O30">
        <v>0.33497083333333327</v>
      </c>
      <c r="P30">
        <v>0.33551345161290314</v>
      </c>
      <c r="Q30">
        <v>0.33555817391304343</v>
      </c>
      <c r="R30">
        <v>0.32109638181818179</v>
      </c>
      <c r="S30">
        <v>0.33088674193548384</v>
      </c>
      <c r="T30">
        <v>0.32837310714285717</v>
      </c>
      <c r="U30">
        <v>0.32099061290322584</v>
      </c>
      <c r="V30">
        <v>0.32669605555555553</v>
      </c>
      <c r="W30" s="498">
        <v>0.32247712328767125</v>
      </c>
      <c r="X30">
        <v>0.32360800000000001</v>
      </c>
      <c r="Y30">
        <v>0.29483645161290323</v>
      </c>
      <c r="Z30">
        <v>0.32172699999999999</v>
      </c>
      <c r="AA30">
        <v>0.31318659340659344</v>
      </c>
      <c r="AB30">
        <v>0.31105903225806453</v>
      </c>
      <c r="AC30">
        <v>0.31587548387096775</v>
      </c>
      <c r="AD30">
        <v>0.27829800000000005</v>
      </c>
      <c r="AE30">
        <v>0.3019990217391304</v>
      </c>
      <c r="AF30">
        <v>0.30756224043715846</v>
      </c>
      <c r="AG30">
        <v>0.31993516129032257</v>
      </c>
      <c r="AH30">
        <v>0.31806999999999996</v>
      </c>
      <c r="AI30">
        <v>0.31541000000000002</v>
      </c>
      <c r="AJ30">
        <v>0.3178021739130435</v>
      </c>
      <c r="AK30">
        <v>0.31098796363636366</v>
      </c>
      <c r="AL30">
        <v>0.31028</v>
      </c>
      <c r="AM30">
        <v>0.31208796551724133</v>
      </c>
      <c r="AN30">
        <v>0.30559564516129034</v>
      </c>
      <c r="AO30">
        <v>0.30926039560439555</v>
      </c>
      <c r="AP30" s="498">
        <v>0.31055843169398911</v>
      </c>
      <c r="AQ30">
        <v>0.30636666666666668</v>
      </c>
      <c r="AR30">
        <v>0.22177419354838709</v>
      </c>
      <c r="AS30">
        <v>8.0166666666666664E-2</v>
      </c>
      <c r="AT30">
        <v>0.20297802197802201</v>
      </c>
      <c r="AU30">
        <v>0.28200000000000003</v>
      </c>
      <c r="AV30">
        <v>0.2860967741935484</v>
      </c>
      <c r="AW30">
        <v>0.22140000000000001</v>
      </c>
      <c r="AX30">
        <v>0.26361956521739133</v>
      </c>
      <c r="AY30">
        <v>0.23346448087431695</v>
      </c>
      <c r="AZ30">
        <v>0.2734838709677419</v>
      </c>
      <c r="BA30">
        <v>0.27033333333333331</v>
      </c>
      <c r="BB30">
        <v>0.28064516129032258</v>
      </c>
      <c r="BC30">
        <v>0.27486956521739131</v>
      </c>
      <c r="BD30">
        <v>0.24731636363636364</v>
      </c>
      <c r="BE30">
        <v>0.28961032258064512</v>
      </c>
      <c r="BF30">
        <v>0.28646428571428573</v>
      </c>
      <c r="BG30">
        <v>0.25277419354838709</v>
      </c>
      <c r="BH30">
        <v>0.2759435555555555</v>
      </c>
      <c r="BI30" s="498">
        <v>0.2543751232876712</v>
      </c>
      <c r="BJ30">
        <v>0.28206666666666663</v>
      </c>
      <c r="BK30">
        <v>0.25932258064516128</v>
      </c>
      <c r="BL30">
        <v>0.2641</v>
      </c>
      <c r="BM30">
        <v>0.26839560439560439</v>
      </c>
      <c r="BN30">
        <v>0.25987096774193547</v>
      </c>
      <c r="BO30">
        <v>0.27529032258064517</v>
      </c>
      <c r="BP30">
        <v>0.25303333333333333</v>
      </c>
      <c r="BQ30">
        <v>0.26283695652173916</v>
      </c>
      <c r="BR30">
        <v>0.2656010928961749</v>
      </c>
      <c r="BS30">
        <v>0.27925806451612906</v>
      </c>
      <c r="BT30">
        <v>0.28396666666666665</v>
      </c>
      <c r="BU30">
        <v>0.28748387096774197</v>
      </c>
      <c r="BV30">
        <v>0.28356521739130436</v>
      </c>
      <c r="BW30">
        <v>0.27161090909090913</v>
      </c>
      <c r="BX30">
        <v>0.28935483870967743</v>
      </c>
      <c r="BY30">
        <v>0.28742857142857142</v>
      </c>
      <c r="BZ30">
        <v>0</v>
      </c>
      <c r="CA30">
        <v>0.18908888888888889</v>
      </c>
      <c r="CB30" s="498">
        <v>0.25126301369863019</v>
      </c>
      <c r="CC30">
        <v>0.27867500000000001</v>
      </c>
      <c r="CD30">
        <v>0.24100064516129033</v>
      </c>
      <c r="CE30">
        <v>0.261299</v>
      </c>
      <c r="CF30">
        <v>0.26011252747252744</v>
      </c>
      <c r="CG30">
        <v>0.24090483870967741</v>
      </c>
      <c r="CH30">
        <v>0</v>
      </c>
      <c r="CI30">
        <v>0</v>
      </c>
      <c r="CJ30">
        <v>8.117445652173913E-2</v>
      </c>
      <c r="CK30">
        <v>0.17015459016393442</v>
      </c>
      <c r="CL30">
        <v>0</v>
      </c>
      <c r="CM30">
        <v>0</v>
      </c>
      <c r="CN30">
        <v>0</v>
      </c>
      <c r="CO30">
        <v>0</v>
      </c>
      <c r="CP30">
        <v>0.11323014545454545</v>
      </c>
      <c r="CQ30">
        <v>0</v>
      </c>
      <c r="CR30">
        <v>0</v>
      </c>
      <c r="CS30">
        <v>0</v>
      </c>
      <c r="CT30">
        <v>0</v>
      </c>
      <c r="CU30" s="498">
        <v>8.5310383561643832E-2</v>
      </c>
    </row>
    <row r="31" spans="1:99">
      <c r="C31">
        <v>6</v>
      </c>
      <c r="D31" s="209" t="s">
        <v>57</v>
      </c>
      <c r="E31">
        <v>11.5099</v>
      </c>
      <c r="F31">
        <v>11.495806451612903</v>
      </c>
      <c r="G31">
        <v>8.0039333333333325</v>
      </c>
      <c r="H31">
        <v>10.349285714285715</v>
      </c>
      <c r="I31">
        <v>8.008499645161292</v>
      </c>
      <c r="J31">
        <v>10.157322580645161</v>
      </c>
      <c r="K31">
        <v>6.7259666666666664</v>
      </c>
      <c r="L31">
        <v>8.3143422717391324</v>
      </c>
      <c r="M31">
        <v>9.326254038251367</v>
      </c>
      <c r="N31">
        <v>7.2083225806451612</v>
      </c>
      <c r="O31">
        <v>12.007309998978474</v>
      </c>
      <c r="P31">
        <v>9.092483870967742</v>
      </c>
      <c r="Q31">
        <v>9.4080902170581968</v>
      </c>
      <c r="R31">
        <v>9.3536319598885616</v>
      </c>
      <c r="S31">
        <v>8.4522732092206869</v>
      </c>
      <c r="T31">
        <v>12.437821428571429</v>
      </c>
      <c r="U31">
        <v>7.8517592656645512</v>
      </c>
      <c r="V31">
        <v>9.4853778524604717</v>
      </c>
      <c r="W31" s="498">
        <v>9.3861172484679365</v>
      </c>
      <c r="X31">
        <v>9.9607399999999995</v>
      </c>
      <c r="Y31">
        <v>9.7814499999999995</v>
      </c>
      <c r="Z31">
        <v>7.8115700000000006</v>
      </c>
      <c r="AA31">
        <v>9.1911456043956044</v>
      </c>
      <c r="AB31">
        <v>6.9821900000000001</v>
      </c>
      <c r="AC31">
        <v>9.8602799999999995</v>
      </c>
      <c r="AD31">
        <v>8.888399999999999</v>
      </c>
      <c r="AE31">
        <v>8.5735714130434779</v>
      </c>
      <c r="AF31">
        <v>8.8806711475409834</v>
      </c>
      <c r="AG31">
        <v>11.427919999999999</v>
      </c>
      <c r="AH31">
        <v>9.4703316666666684</v>
      </c>
      <c r="AI31">
        <v>11.376289677419356</v>
      </c>
      <c r="AJ31">
        <v>10.772178804347826</v>
      </c>
      <c r="AK31">
        <v>9.5134664363636361</v>
      </c>
      <c r="AL31">
        <v>8.5157080645161276</v>
      </c>
      <c r="AM31">
        <v>9.9129675862068964</v>
      </c>
      <c r="AN31">
        <v>12.912128709677418</v>
      </c>
      <c r="AO31">
        <v>10.458670329670328</v>
      </c>
      <c r="AP31" s="498">
        <v>9.748476147540984</v>
      </c>
      <c r="AQ31">
        <v>8.0643999999999991</v>
      </c>
      <c r="AR31">
        <v>8.088451612903226</v>
      </c>
      <c r="AS31">
        <v>8.8848666666666656</v>
      </c>
      <c r="AT31">
        <v>8.3430769230769233</v>
      </c>
      <c r="AU31">
        <v>10.158903225806451</v>
      </c>
      <c r="AV31">
        <v>10.516</v>
      </c>
      <c r="AW31">
        <v>9.9326333333333334</v>
      </c>
      <c r="AX31">
        <v>10.205445652173914</v>
      </c>
      <c r="AY31">
        <v>9.2793497267759566</v>
      </c>
      <c r="AZ31">
        <v>8.9802580645161285</v>
      </c>
      <c r="BA31">
        <v>25.710666666666668</v>
      </c>
      <c r="BB31">
        <v>13.43858064516129</v>
      </c>
      <c r="BC31">
        <v>15.93808695652174</v>
      </c>
      <c r="BD31">
        <v>11.507000000000001</v>
      </c>
      <c r="BE31">
        <v>13.360032903225807</v>
      </c>
      <c r="BF31">
        <v>14.603036428571428</v>
      </c>
      <c r="BG31">
        <v>12.59</v>
      </c>
      <c r="BH31">
        <v>13.481511555555555</v>
      </c>
      <c r="BI31" s="498">
        <v>11.993865863013699</v>
      </c>
      <c r="BJ31">
        <v>10.639033333333334</v>
      </c>
      <c r="BK31">
        <v>8.9830322580645152</v>
      </c>
      <c r="BL31">
        <v>8.2010333333333332</v>
      </c>
      <c r="BM31">
        <v>9.2711648351648339</v>
      </c>
      <c r="BN31">
        <v>9.4027419354838706</v>
      </c>
      <c r="BO31">
        <v>9.4024516129032261</v>
      </c>
      <c r="BP31">
        <v>11.933400000000001</v>
      </c>
      <c r="BQ31">
        <v>10.227858695652174</v>
      </c>
      <c r="BR31">
        <v>9.7521256830601093</v>
      </c>
      <c r="BS31">
        <v>11.031064516129033</v>
      </c>
      <c r="BT31">
        <v>12.5198</v>
      </c>
      <c r="BU31">
        <v>12.985709677419356</v>
      </c>
      <c r="BV31">
        <v>12.175152173913045</v>
      </c>
      <c r="BW31">
        <v>10.562738181818181</v>
      </c>
      <c r="BX31">
        <v>16.445258064516128</v>
      </c>
      <c r="BY31">
        <v>15.491785714285713</v>
      </c>
      <c r="BZ31">
        <v>0</v>
      </c>
      <c r="CA31">
        <v>10.484144444444444</v>
      </c>
      <c r="CB31" s="498">
        <v>10.543358904109589</v>
      </c>
      <c r="CC31">
        <v>14.437598333333334</v>
      </c>
      <c r="CD31">
        <v>13.815902258064517</v>
      </c>
      <c r="CE31">
        <v>12.623732333333333</v>
      </c>
      <c r="CF31">
        <v>13.627833956043958</v>
      </c>
      <c r="CG31">
        <v>8.2639664516129034</v>
      </c>
      <c r="CH31">
        <v>0</v>
      </c>
      <c r="CI31">
        <v>0</v>
      </c>
      <c r="CJ31">
        <v>2.7845973913043478</v>
      </c>
      <c r="CK31">
        <v>8.176589344262295</v>
      </c>
      <c r="CL31">
        <v>0</v>
      </c>
      <c r="CM31">
        <v>0</v>
      </c>
      <c r="CN31">
        <v>0</v>
      </c>
      <c r="CO31">
        <v>0</v>
      </c>
      <c r="CP31">
        <v>5.4411485454545456</v>
      </c>
      <c r="CQ31">
        <v>0</v>
      </c>
      <c r="CR31">
        <v>0</v>
      </c>
      <c r="CS31">
        <v>0</v>
      </c>
      <c r="CT31">
        <v>0</v>
      </c>
      <c r="CU31" s="498">
        <v>4.0994954794520551</v>
      </c>
    </row>
    <row r="32" spans="1:99">
      <c r="A32" t="s">
        <v>628</v>
      </c>
      <c r="C32">
        <v>7</v>
      </c>
      <c r="D32" s="209" t="s">
        <v>58</v>
      </c>
      <c r="E32">
        <v>6.0755242794133336E-2</v>
      </c>
      <c r="F32">
        <v>0</v>
      </c>
      <c r="G32">
        <v>0.10288499722853332</v>
      </c>
      <c r="H32">
        <v>5.3947331875604396E-2</v>
      </c>
      <c r="I32">
        <v>0.18710725419354837</v>
      </c>
      <c r="J32">
        <v>0.40055015709677416</v>
      </c>
      <c r="K32">
        <v>0.36791132500000001</v>
      </c>
      <c r="L32">
        <v>0.31798608152173913</v>
      </c>
      <c r="M32">
        <v>0.18668812404743171</v>
      </c>
      <c r="N32">
        <v>0.40447664016290324</v>
      </c>
      <c r="O32">
        <v>0.22709992038376667</v>
      </c>
      <c r="P32">
        <v>0.12487940055741935</v>
      </c>
      <c r="Q32">
        <v>0.25242429210698913</v>
      </c>
      <c r="R32">
        <v>0.20867986027099272</v>
      </c>
      <c r="S32">
        <v>0.31482430210277423</v>
      </c>
      <c r="T32">
        <v>0.28194346222642863</v>
      </c>
      <c r="U32">
        <v>0.19154267548400003</v>
      </c>
      <c r="V32">
        <v>0.26213103608366672</v>
      </c>
      <c r="W32" s="498">
        <v>0.22185960225220003</v>
      </c>
      <c r="X32">
        <v>0.31430399999999997</v>
      </c>
      <c r="Y32">
        <v>0.23516161290322579</v>
      </c>
      <c r="Z32">
        <v>0.30086666666666667</v>
      </c>
      <c r="AA32">
        <v>0.28291351648351648</v>
      </c>
      <c r="AB32">
        <v>0.37016064516129032</v>
      </c>
      <c r="AC32">
        <v>0.51274225806451612</v>
      </c>
      <c r="AD32">
        <v>0.33413333333333328</v>
      </c>
      <c r="AE32">
        <v>0.40645641304347829</v>
      </c>
      <c r="AF32">
        <v>0.34502251366120223</v>
      </c>
      <c r="AG32">
        <v>0</v>
      </c>
      <c r="AH32">
        <v>0.18990000000000001</v>
      </c>
      <c r="AI32">
        <v>0.34277419354838706</v>
      </c>
      <c r="AJ32">
        <v>0.17742391304347827</v>
      </c>
      <c r="AK32">
        <v>0.28895316363636364</v>
      </c>
      <c r="AL32">
        <v>0.31703129032258065</v>
      </c>
      <c r="AM32">
        <v>0.30717137931034483</v>
      </c>
      <c r="AN32">
        <v>0.25516129032258067</v>
      </c>
      <c r="AO32">
        <v>0.29281252747252745</v>
      </c>
      <c r="AP32" s="498">
        <v>0.28991273224043712</v>
      </c>
      <c r="AQ32">
        <v>0.16299999999999998</v>
      </c>
      <c r="AR32">
        <v>0.2783870967741936</v>
      </c>
      <c r="AS32">
        <v>0.21423333333333333</v>
      </c>
      <c r="AT32">
        <v>0.21919780219780219</v>
      </c>
      <c r="AU32">
        <v>0.33403225806451614</v>
      </c>
      <c r="AV32">
        <v>0.39238709677419353</v>
      </c>
      <c r="AW32">
        <v>0.25989999999999996</v>
      </c>
      <c r="AX32">
        <v>0.32952173913043475</v>
      </c>
      <c r="AY32">
        <v>0.27466120218579232</v>
      </c>
      <c r="AZ32">
        <v>0.23964516129032259</v>
      </c>
      <c r="BA32">
        <v>0.24603333333333335</v>
      </c>
      <c r="BB32">
        <v>0.32580645161290323</v>
      </c>
      <c r="BC32">
        <v>0.27076086956521739</v>
      </c>
      <c r="BD32">
        <v>0.27335636363636362</v>
      </c>
      <c r="BE32">
        <v>0.30442032258064516</v>
      </c>
      <c r="BF32">
        <v>0.23550000000000001</v>
      </c>
      <c r="BG32">
        <v>0.29503225806451616</v>
      </c>
      <c r="BH32">
        <v>0.27974477777777779</v>
      </c>
      <c r="BI32" s="498">
        <v>0.27493158904109588</v>
      </c>
      <c r="BJ32">
        <v>0.30416666666666664</v>
      </c>
      <c r="BK32">
        <v>0.35135483870967738</v>
      </c>
      <c r="BL32">
        <v>0.51133333333333331</v>
      </c>
      <c r="BM32">
        <v>0.38853846153846155</v>
      </c>
      <c r="BN32">
        <v>0.4374193548387097</v>
      </c>
      <c r="BO32">
        <v>0.36580645161290321</v>
      </c>
      <c r="BP32">
        <v>0.44400000000000001</v>
      </c>
      <c r="BQ32">
        <v>0.41543478260869565</v>
      </c>
      <c r="BR32">
        <v>0.4020601092896175</v>
      </c>
      <c r="BS32">
        <v>0.4906451612903226</v>
      </c>
      <c r="BT32">
        <v>0.27123333333333333</v>
      </c>
      <c r="BU32">
        <v>0</v>
      </c>
      <c r="BV32">
        <v>0.25377173913043477</v>
      </c>
      <c r="BW32">
        <v>0.35245090909090909</v>
      </c>
      <c r="BX32">
        <v>4.0322580645161289E-2</v>
      </c>
      <c r="BY32">
        <v>0.31642857142857139</v>
      </c>
      <c r="BZ32">
        <v>0</v>
      </c>
      <c r="CA32">
        <v>0.11233333333333333</v>
      </c>
      <c r="CB32" s="498">
        <v>0.29324383561643835</v>
      </c>
      <c r="CC32">
        <v>0.45333333333333331</v>
      </c>
      <c r="CD32">
        <v>0.2992258064516129</v>
      </c>
      <c r="CE32">
        <v>0.465667</v>
      </c>
      <c r="CF32">
        <v>0.40490120879120878</v>
      </c>
      <c r="CG32">
        <v>0.35741999999999996</v>
      </c>
      <c r="CH32">
        <v>0</v>
      </c>
      <c r="CI32">
        <v>0</v>
      </c>
      <c r="CJ32">
        <v>0.12043499999999999</v>
      </c>
      <c r="CK32">
        <v>0.26189087431693986</v>
      </c>
      <c r="CL32">
        <v>0</v>
      </c>
      <c r="CM32">
        <v>0</v>
      </c>
      <c r="CN32">
        <v>0</v>
      </c>
      <c r="CO32">
        <v>0</v>
      </c>
      <c r="CP32">
        <v>0.17427647272727273</v>
      </c>
      <c r="CQ32">
        <v>0</v>
      </c>
      <c r="CR32">
        <v>0</v>
      </c>
      <c r="CS32">
        <v>0</v>
      </c>
      <c r="CT32">
        <v>0</v>
      </c>
      <c r="CU32" s="498">
        <v>0.13130419178082192</v>
      </c>
    </row>
    <row r="33" spans="1:99">
      <c r="C33">
        <v>8</v>
      </c>
      <c r="D33" s="209" t="s">
        <v>59</v>
      </c>
      <c r="E33">
        <v>1.191470785064954E-2</v>
      </c>
      <c r="F33">
        <v>1.1873525755563547E-2</v>
      </c>
      <c r="G33">
        <v>1.1792690673666584E-2</v>
      </c>
      <c r="H33">
        <v>1.1860453342329162E-2</v>
      </c>
      <c r="I33">
        <v>1.2596161865154025E-2</v>
      </c>
      <c r="J33">
        <v>1.3067773933490366E-2</v>
      </c>
      <c r="K33">
        <v>1.256670262902795E-2</v>
      </c>
      <c r="L33">
        <v>1.2745468354661029E-2</v>
      </c>
      <c r="M33">
        <v>1.2305378922299283E-2</v>
      </c>
      <c r="N33">
        <v>1.2906967896774193E-2</v>
      </c>
      <c r="O33">
        <v>1.2921434239999998E-2</v>
      </c>
      <c r="P33">
        <v>1.2903225806451613E-2</v>
      </c>
      <c r="Q33">
        <v>1.2910424260869562E-2</v>
      </c>
      <c r="R33">
        <v>1.2507794090111886E-2</v>
      </c>
      <c r="S33">
        <v>1.332258064516129E-2</v>
      </c>
      <c r="T33">
        <v>1.3109621314285716E-2</v>
      </c>
      <c r="U33">
        <v>1.3805143923890964E-2</v>
      </c>
      <c r="V33">
        <v>1.3422542871562445E-2</v>
      </c>
      <c r="W33" s="498">
        <v>1.2733348584168188E-2</v>
      </c>
      <c r="X33">
        <v>1.443E-2</v>
      </c>
      <c r="Y33">
        <v>1.452E-2</v>
      </c>
      <c r="Z33">
        <v>1.423E-2</v>
      </c>
      <c r="AA33">
        <v>1.4394725274725274E-2</v>
      </c>
      <c r="AB33">
        <v>1.5870000000000002E-2</v>
      </c>
      <c r="AC33">
        <v>1.719E-2</v>
      </c>
      <c r="AD33">
        <v>1.737E-2</v>
      </c>
      <c r="AE33">
        <v>1.6803913043478259E-2</v>
      </c>
      <c r="AF33">
        <v>1.5605901639344262E-2</v>
      </c>
      <c r="AG33">
        <v>1.813E-2</v>
      </c>
      <c r="AH33">
        <v>1.6469999999999999E-2</v>
      </c>
      <c r="AI33">
        <v>1.6809999999999999E-2</v>
      </c>
      <c r="AJ33">
        <v>1.7143913043478259E-2</v>
      </c>
      <c r="AK33">
        <v>1.6120436363636362E-2</v>
      </c>
      <c r="AL33">
        <v>1.806E-2</v>
      </c>
      <c r="AM33">
        <v>1.7589999999999998E-2</v>
      </c>
      <c r="AN33">
        <v>1.7650000000000002E-2</v>
      </c>
      <c r="AO33">
        <v>1.7770549450549452E-2</v>
      </c>
      <c r="AP33" s="498">
        <v>1.653071038251366E-2</v>
      </c>
      <c r="AQ33">
        <v>1.9566666666666666E-2</v>
      </c>
      <c r="AR33">
        <v>2.2580645161290321E-2</v>
      </c>
      <c r="AS33">
        <v>2.3133333333333332E-2</v>
      </c>
      <c r="AT33">
        <v>2.1769230769230766E-2</v>
      </c>
      <c r="AU33">
        <v>2.2193548387096772E-2</v>
      </c>
      <c r="AV33">
        <v>2.7096774193548386E-2</v>
      </c>
      <c r="AW33">
        <v>2.8633333333333334E-2</v>
      </c>
      <c r="AX33">
        <v>2.5945652173913043E-2</v>
      </c>
      <c r="AY33">
        <v>2.3868852459016394E-2</v>
      </c>
      <c r="AZ33">
        <v>2.3E-2</v>
      </c>
      <c r="BA33">
        <v>2.3199999999999998E-2</v>
      </c>
      <c r="BB33">
        <v>2.4612903225806452E-2</v>
      </c>
      <c r="BC33">
        <v>2.3608695652173911E-2</v>
      </c>
      <c r="BD33">
        <v>2.3781818181818182E-2</v>
      </c>
      <c r="BE33">
        <v>2.2593870967741934E-2</v>
      </c>
      <c r="BF33">
        <v>2.3790000000000002E-2</v>
      </c>
      <c r="BG33">
        <v>2.2939999999999999E-2</v>
      </c>
      <c r="BH33">
        <v>2.3085222222222222E-2</v>
      </c>
      <c r="BI33" s="498">
        <v>2.3610054794520548E-2</v>
      </c>
      <c r="BJ33">
        <v>2.7899999999999998E-2</v>
      </c>
      <c r="BK33">
        <v>2.661290322580645E-2</v>
      </c>
      <c r="BL33">
        <v>2.47E-2</v>
      </c>
      <c r="BM33">
        <v>2.6406593406593407E-2</v>
      </c>
      <c r="BN33">
        <v>2.8258064516129031E-2</v>
      </c>
      <c r="BO33">
        <v>2.9870967741935487E-2</v>
      </c>
      <c r="BP33">
        <v>3.1866666666666668E-2</v>
      </c>
      <c r="BQ33">
        <v>2.9978260869565218E-2</v>
      </c>
      <c r="BR33">
        <v>2.8202185792349725E-2</v>
      </c>
      <c r="BS33">
        <v>3.3870967741935487E-2</v>
      </c>
      <c r="BT33">
        <v>3.39E-2</v>
      </c>
      <c r="BU33">
        <v>3.0870967741935481E-2</v>
      </c>
      <c r="BV33">
        <v>3.2869565217391303E-2</v>
      </c>
      <c r="BW33">
        <v>2.976363636363636E-2</v>
      </c>
      <c r="BX33">
        <v>2.8580645161290323E-2</v>
      </c>
      <c r="BY33">
        <v>2.8821428571428574E-2</v>
      </c>
      <c r="BZ33">
        <v>0</v>
      </c>
      <c r="CA33">
        <v>1.8811111111111112E-2</v>
      </c>
      <c r="CB33" s="498">
        <v>2.7063013698630133E-2</v>
      </c>
      <c r="CC33">
        <v>2.8069999999999998E-2</v>
      </c>
      <c r="CD33">
        <v>2.2259999999999999E-2</v>
      </c>
      <c r="CE33">
        <v>2.563E-2</v>
      </c>
      <c r="CF33">
        <v>2.5286373626373627E-2</v>
      </c>
      <c r="CG33">
        <v>2.5769999999999998E-2</v>
      </c>
      <c r="CH33">
        <v>0</v>
      </c>
      <c r="CI33">
        <v>0</v>
      </c>
      <c r="CJ33">
        <v>8.6833695652173918E-3</v>
      </c>
      <c r="CK33">
        <v>1.6939508196721312E-2</v>
      </c>
      <c r="CL33">
        <v>0</v>
      </c>
      <c r="CM33">
        <v>0</v>
      </c>
      <c r="CN33">
        <v>0</v>
      </c>
      <c r="CO33">
        <v>0</v>
      </c>
      <c r="CP33">
        <v>1.1272472727272727E-2</v>
      </c>
      <c r="CQ33">
        <v>0</v>
      </c>
      <c r="CR33">
        <v>0</v>
      </c>
      <c r="CS33">
        <v>0</v>
      </c>
      <c r="CT33">
        <v>0</v>
      </c>
      <c r="CU33" s="498">
        <v>8.4929589041095894E-3</v>
      </c>
    </row>
    <row r="34" spans="1:99">
      <c r="C34">
        <v>9</v>
      </c>
      <c r="D34" s="209" t="s">
        <v>63</v>
      </c>
      <c r="E34">
        <v>3.6389841435247451E-3</v>
      </c>
      <c r="F34">
        <v>3.4897274341663623E-3</v>
      </c>
      <c r="G34">
        <v>3.8325145052909978E-3</v>
      </c>
      <c r="H34">
        <v>3.6519396694904339E-3</v>
      </c>
      <c r="I34">
        <v>3.0780803424910229E-3</v>
      </c>
      <c r="J34">
        <v>5.0879077405123355E-3</v>
      </c>
      <c r="K34">
        <v>5.0409980357565935E-3</v>
      </c>
      <c r="L34">
        <v>4.3953866483239347E-3</v>
      </c>
      <c r="M34">
        <v>4.0256944348056357E-3</v>
      </c>
      <c r="N34">
        <v>3.5413261607132986E-3</v>
      </c>
      <c r="O34">
        <v>5.4672237529036537E-3</v>
      </c>
      <c r="P34">
        <v>6.0779066964437821E-3</v>
      </c>
      <c r="Q34">
        <v>5.0240535995541204E-3</v>
      </c>
      <c r="R34">
        <v>4.3596909553760381E-3</v>
      </c>
      <c r="S34">
        <v>5.4445343376609036E-3</v>
      </c>
      <c r="T34">
        <v>6.1618583358043133E-3</v>
      </c>
      <c r="U34">
        <v>3.7117797148715462E-3</v>
      </c>
      <c r="V34">
        <v>5.0708641003447416E-3</v>
      </c>
      <c r="W34" s="498">
        <v>4.5350487171491429E-3</v>
      </c>
      <c r="X34">
        <v>4.8673333333333338E-3</v>
      </c>
      <c r="Y34">
        <v>4.5164516129032259E-3</v>
      </c>
      <c r="Z34">
        <v>4.5669999999999999E-3</v>
      </c>
      <c r="AA34">
        <v>4.6487912087912085E-3</v>
      </c>
      <c r="AB34">
        <v>4.3545161290322581E-3</v>
      </c>
      <c r="AC34">
        <v>4.2899999999999995E-3</v>
      </c>
      <c r="AD34">
        <v>4.2336666666666668E-3</v>
      </c>
      <c r="AE34">
        <v>4.2933695652173911E-3</v>
      </c>
      <c r="AF34">
        <v>4.4701092896174861E-3</v>
      </c>
      <c r="AG34">
        <v>4.3535483870967744E-3</v>
      </c>
      <c r="AH34">
        <v>4.1009999999999996E-3</v>
      </c>
      <c r="AI34">
        <v>3.8061290322580644E-3</v>
      </c>
      <c r="AJ34">
        <v>4.0867391304347826E-3</v>
      </c>
      <c r="AK34">
        <v>4.3418545454545453E-3</v>
      </c>
      <c r="AL34">
        <v>3.1283870967741935E-3</v>
      </c>
      <c r="AM34">
        <v>3.6206896551724136E-3</v>
      </c>
      <c r="AN34">
        <v>2.9680645161290322E-3</v>
      </c>
      <c r="AO34">
        <v>3.2306593406593405E-3</v>
      </c>
      <c r="AP34" s="498">
        <v>4.0655737704918034E-3</v>
      </c>
      <c r="AQ34">
        <v>4.0000000000000001E-3</v>
      </c>
      <c r="AR34">
        <v>3.7741935483870969E-3</v>
      </c>
      <c r="AS34">
        <v>4.7333333333333333E-3</v>
      </c>
      <c r="AT34">
        <v>4.164835164835165E-3</v>
      </c>
      <c r="AU34">
        <v>4.8387096774193551E-3</v>
      </c>
      <c r="AV34">
        <v>4.9032258064516127E-3</v>
      </c>
      <c r="AW34">
        <v>5.1999999999999998E-3</v>
      </c>
      <c r="AX34">
        <v>4.9782608695652167E-3</v>
      </c>
      <c r="AY34">
        <v>4.5737704918032782E-3</v>
      </c>
      <c r="AZ34">
        <v>3.6451612903225807E-3</v>
      </c>
      <c r="BA34">
        <v>2.9333333333333334E-3</v>
      </c>
      <c r="BB34">
        <v>2.3870967741935483E-3</v>
      </c>
      <c r="BC34">
        <v>2.9891304347826088E-3</v>
      </c>
      <c r="BD34">
        <v>4.0436363636363638E-3</v>
      </c>
      <c r="BE34">
        <v>3.3058064516129034E-3</v>
      </c>
      <c r="BF34">
        <v>3.8217857142857142E-3</v>
      </c>
      <c r="BG34">
        <v>3.9361290322580643E-3</v>
      </c>
      <c r="BH34">
        <v>3.6834444444444449E-3</v>
      </c>
      <c r="BI34" s="498">
        <v>3.954821917808219E-3</v>
      </c>
      <c r="BJ34">
        <v>4.0666666666666663E-3</v>
      </c>
      <c r="BK34">
        <v>3.0645161290322582E-3</v>
      </c>
      <c r="BL34">
        <v>2.3999999999999998E-3</v>
      </c>
      <c r="BM34">
        <v>3.1758241758241758E-3</v>
      </c>
      <c r="BN34">
        <v>3.9032258064516127E-3</v>
      </c>
      <c r="BO34">
        <v>4.0322580645161289E-3</v>
      </c>
      <c r="BP34">
        <v>4.0666666666666663E-3</v>
      </c>
      <c r="BQ34">
        <v>4.0000000000000001E-3</v>
      </c>
      <c r="BR34">
        <v>3.5901639344262295E-3</v>
      </c>
      <c r="BS34">
        <v>3.6451612903225807E-3</v>
      </c>
      <c r="BT34">
        <v>3.0999999999999999E-3</v>
      </c>
      <c r="BU34">
        <v>3.7419354838709681E-3</v>
      </c>
      <c r="BV34">
        <v>3.5000000000000001E-3</v>
      </c>
      <c r="BW34">
        <v>3.5600000000000002E-3</v>
      </c>
      <c r="BX34">
        <v>3.5483870967741938E-3</v>
      </c>
      <c r="BY34">
        <v>2.5357142857142857E-3</v>
      </c>
      <c r="BZ34">
        <v>0</v>
      </c>
      <c r="CA34">
        <v>2.0111111111111111E-3</v>
      </c>
      <c r="CB34" s="498">
        <v>3.1780821917808222E-3</v>
      </c>
      <c r="CC34">
        <v>2.9666666666666665E-3</v>
      </c>
      <c r="CD34">
        <v>3.3861290322580642E-3</v>
      </c>
      <c r="CE34">
        <v>3.4336666666666669E-3</v>
      </c>
      <c r="CF34">
        <v>3.2635164835164831E-3</v>
      </c>
      <c r="CG34">
        <v>3.4519354838709678E-3</v>
      </c>
      <c r="CH34">
        <v>0</v>
      </c>
      <c r="CI34">
        <v>0</v>
      </c>
      <c r="CJ34">
        <v>1.1631521739130435E-3</v>
      </c>
      <c r="CK34">
        <v>2.2075956284153004E-3</v>
      </c>
      <c r="CL34">
        <v>0</v>
      </c>
      <c r="CM34">
        <v>0</v>
      </c>
      <c r="CN34">
        <v>0</v>
      </c>
      <c r="CO34">
        <v>0</v>
      </c>
      <c r="CP34">
        <v>1.4690545454545453E-3</v>
      </c>
      <c r="CQ34">
        <v>0</v>
      </c>
      <c r="CR34">
        <v>0</v>
      </c>
      <c r="CS34">
        <v>0</v>
      </c>
      <c r="CT34">
        <v>0</v>
      </c>
      <c r="CU34" s="498">
        <v>1.106821917808219E-3</v>
      </c>
    </row>
    <row r="35" spans="1:99">
      <c r="C35">
        <v>10</v>
      </c>
      <c r="D35" s="209" t="s">
        <v>64</v>
      </c>
      <c r="E35">
        <v>0.16805476666666666</v>
      </c>
      <c r="F35">
        <v>0.17582016129032257</v>
      </c>
      <c r="G35">
        <v>0.1605288</v>
      </c>
      <c r="H35">
        <v>0.16821903296703297</v>
      </c>
      <c r="I35">
        <v>0.17434890322580646</v>
      </c>
      <c r="J35">
        <v>0.18303474193548386</v>
      </c>
      <c r="K35">
        <v>0.14950140000000001</v>
      </c>
      <c r="L35">
        <v>0.16917320652173914</v>
      </c>
      <c r="M35">
        <v>0.16869872677595629</v>
      </c>
      <c r="N35">
        <v>0.15982819354838709</v>
      </c>
      <c r="O35">
        <v>0.22988529999999999</v>
      </c>
      <c r="P35">
        <v>0.1685552258064516</v>
      </c>
      <c r="Q35">
        <v>0.18561353260869565</v>
      </c>
      <c r="R35">
        <v>0.1743574981818182</v>
      </c>
      <c r="S35">
        <v>0.17564925806451612</v>
      </c>
      <c r="T35">
        <v>0.12377985714285714</v>
      </c>
      <c r="U35">
        <v>0.12782719354838709</v>
      </c>
      <c r="V35">
        <v>0.14304006666666666</v>
      </c>
      <c r="W35" s="498">
        <v>0.1666353917808219</v>
      </c>
      <c r="X35">
        <v>0.160135</v>
      </c>
      <c r="Y35">
        <v>0.16116548387096774</v>
      </c>
      <c r="Z35">
        <v>0.16580966666666666</v>
      </c>
      <c r="AA35">
        <v>0.16235681318681319</v>
      </c>
      <c r="AB35">
        <v>0.19801967741935483</v>
      </c>
      <c r="AC35">
        <v>0.20512</v>
      </c>
      <c r="AD35">
        <v>0.20239166666666666</v>
      </c>
      <c r="AE35">
        <v>0.20183782608695652</v>
      </c>
      <c r="AF35">
        <v>0.1822051912568306</v>
      </c>
      <c r="AG35">
        <v>0.22386290322580646</v>
      </c>
      <c r="AH35">
        <v>0.22439466666666666</v>
      </c>
      <c r="AI35">
        <v>0.22532354838709678</v>
      </c>
      <c r="AJ35">
        <v>0.22452847826086958</v>
      </c>
      <c r="AK35">
        <v>0.19636425454545453</v>
      </c>
      <c r="AL35">
        <v>0.24087774193548386</v>
      </c>
      <c r="AM35">
        <v>0.23634137931034485</v>
      </c>
      <c r="AN35">
        <v>0.23275451612903225</v>
      </c>
      <c r="AO35">
        <v>0.23666483516483516</v>
      </c>
      <c r="AP35" s="498">
        <v>0.20638434426229507</v>
      </c>
      <c r="AQ35">
        <v>0.23236666666666667</v>
      </c>
      <c r="AR35">
        <v>0.22287096774193549</v>
      </c>
      <c r="AS35">
        <v>0.21476666666666666</v>
      </c>
      <c r="AT35">
        <v>0.22332967032967033</v>
      </c>
      <c r="AU35">
        <v>0.21306451612903227</v>
      </c>
      <c r="AV35">
        <v>0.2017741935483871</v>
      </c>
      <c r="AW35">
        <v>0.21493333333333334</v>
      </c>
      <c r="AX35">
        <v>0.20986956521739131</v>
      </c>
      <c r="AY35">
        <v>0.21656284153005464</v>
      </c>
      <c r="AZ35">
        <v>0.20732258064516126</v>
      </c>
      <c r="BA35">
        <v>0.22626666666666667</v>
      </c>
      <c r="BB35">
        <v>0.23483870967741935</v>
      </c>
      <c r="BC35">
        <v>0.2227717391304348</v>
      </c>
      <c r="BD35">
        <v>0.21864000000000003</v>
      </c>
      <c r="BE35">
        <v>0.24795838709677417</v>
      </c>
      <c r="BF35">
        <v>0.21811892857142859</v>
      </c>
      <c r="BG35">
        <v>0.20601369206616924</v>
      </c>
      <c r="BH35">
        <v>0.22422738282279164</v>
      </c>
      <c r="BI35" s="498">
        <v>0.22001771083301713</v>
      </c>
      <c r="BJ35">
        <v>0.19126666666666667</v>
      </c>
      <c r="BK35">
        <v>0.1884193548387097</v>
      </c>
      <c r="BL35">
        <v>0.18953333333333333</v>
      </c>
      <c r="BM35">
        <v>0.18972527472527473</v>
      </c>
      <c r="BN35">
        <v>0.20270967741935483</v>
      </c>
      <c r="BO35">
        <v>0.21251612903225806</v>
      </c>
      <c r="BP35">
        <v>0.1958</v>
      </c>
      <c r="BQ35">
        <v>0.20376086956521738</v>
      </c>
      <c r="BR35">
        <v>0.1967814207650273</v>
      </c>
      <c r="BS35">
        <v>0.1984516129032258</v>
      </c>
      <c r="BT35">
        <v>0.21546666666666667</v>
      </c>
      <c r="BU35">
        <v>0.20580645161290323</v>
      </c>
      <c r="BV35">
        <v>0.20647826086956519</v>
      </c>
      <c r="BW35">
        <v>0.20002545454545451</v>
      </c>
      <c r="BX35">
        <v>0.12619354838709676</v>
      </c>
      <c r="BY35">
        <v>0.22010714285714286</v>
      </c>
      <c r="BZ35">
        <v>0</v>
      </c>
      <c r="CA35">
        <v>0.11194444444444443</v>
      </c>
      <c r="CB35" s="498">
        <v>0.17830684931506849</v>
      </c>
      <c r="CC35">
        <v>0.20245600000000002</v>
      </c>
      <c r="CD35">
        <v>0.19437000000000001</v>
      </c>
      <c r="CE35">
        <v>0.19165266666666667</v>
      </c>
      <c r="CF35">
        <v>0.19613989010989014</v>
      </c>
      <c r="CG35">
        <v>0.19517483870967742</v>
      </c>
      <c r="CH35">
        <v>0</v>
      </c>
      <c r="CI35">
        <v>0</v>
      </c>
      <c r="CJ35">
        <v>6.5765434782608698E-2</v>
      </c>
      <c r="CK35">
        <v>0.1305964480874317</v>
      </c>
      <c r="CL35">
        <v>0</v>
      </c>
      <c r="CM35">
        <v>0</v>
      </c>
      <c r="CN35">
        <v>0</v>
      </c>
      <c r="CO35">
        <v>0</v>
      </c>
      <c r="CP35">
        <v>8.6906000000000011E-2</v>
      </c>
      <c r="CQ35">
        <v>0</v>
      </c>
      <c r="CR35">
        <v>0</v>
      </c>
      <c r="CS35">
        <v>0</v>
      </c>
      <c r="CT35">
        <v>0</v>
      </c>
      <c r="CU35" s="498">
        <v>6.5477123287671246E-2</v>
      </c>
    </row>
    <row r="36" spans="1:99">
      <c r="C36">
        <v>11</v>
      </c>
      <c r="D36" s="209" t="s">
        <v>65</v>
      </c>
      <c r="E36">
        <v>3.1848600000000005E-2</v>
      </c>
      <c r="F36">
        <v>3.6113032258064517E-2</v>
      </c>
      <c r="G36">
        <v>5.1974933333333334E-2</v>
      </c>
      <c r="H36">
        <v>3.9936373626373631E-2</v>
      </c>
      <c r="I36">
        <v>5.0716999999999991E-2</v>
      </c>
      <c r="J36">
        <v>5.3449322580645157E-2</v>
      </c>
      <c r="K36">
        <v>5.1572533333333337E-2</v>
      </c>
      <c r="L36">
        <v>5.1916652173913044E-2</v>
      </c>
      <c r="M36">
        <v>4.5959245901639342E-2</v>
      </c>
      <c r="N36">
        <v>3.8103161290322582E-2</v>
      </c>
      <c r="O36">
        <v>6.5568333333333326E-2</v>
      </c>
      <c r="P36">
        <v>6.1373709677419355E-2</v>
      </c>
      <c r="Q36">
        <v>5.4900358695652171E-2</v>
      </c>
      <c r="R36">
        <v>4.8950454545454547E-2</v>
      </c>
      <c r="S36">
        <v>6.5746935483870977E-2</v>
      </c>
      <c r="T36">
        <v>7.7462392857142862E-2</v>
      </c>
      <c r="U36">
        <v>8.9484387096774198E-2</v>
      </c>
      <c r="V36">
        <v>7.7567977777777783E-2</v>
      </c>
      <c r="W36" s="498">
        <v>5.6006830136986298E-2</v>
      </c>
      <c r="X36">
        <v>8.8291666666666671E-2</v>
      </c>
      <c r="Y36">
        <v>8.6970645161290314E-2</v>
      </c>
      <c r="Z36">
        <v>8.3636000000000002E-2</v>
      </c>
      <c r="AA36">
        <v>8.6306813186813186E-2</v>
      </c>
      <c r="AB36">
        <v>8.6019032258064509E-2</v>
      </c>
      <c r="AC36">
        <v>7.6883548387096767E-2</v>
      </c>
      <c r="AD36">
        <v>7.7224333333333339E-2</v>
      </c>
      <c r="AE36">
        <v>8.0072934782608685E-2</v>
      </c>
      <c r="AF36">
        <v>8.317284153005465E-2</v>
      </c>
      <c r="AG36">
        <v>6.1642903225806449E-2</v>
      </c>
      <c r="AH36">
        <v>0.12355233333333333</v>
      </c>
      <c r="AI36">
        <v>9.7039354838709679E-2</v>
      </c>
      <c r="AJ36">
        <v>9.3757826086956514E-2</v>
      </c>
      <c r="AK36">
        <v>8.6713999999999999E-2</v>
      </c>
      <c r="AL36">
        <v>9.6177096774193546E-2</v>
      </c>
      <c r="AM36">
        <v>9.9567586206896555E-2</v>
      </c>
      <c r="AN36">
        <v>9.8294193548387102E-2</v>
      </c>
      <c r="AO36">
        <v>9.7978791208791202E-2</v>
      </c>
      <c r="AP36" s="498">
        <v>8.9514808743169402E-2</v>
      </c>
      <c r="AQ36">
        <v>0.10769999999999999</v>
      </c>
      <c r="AR36">
        <v>0.1137741935483871</v>
      </c>
      <c r="AS36">
        <v>6.646666666666666E-2</v>
      </c>
      <c r="AT36">
        <v>9.6175824175824182E-2</v>
      </c>
      <c r="AU36">
        <v>0.1156774193548387</v>
      </c>
      <c r="AV36">
        <v>0.12000000000000001</v>
      </c>
      <c r="AW36">
        <v>0.11313333333333334</v>
      </c>
      <c r="AX36">
        <v>0.11630434782608695</v>
      </c>
      <c r="AY36">
        <v>0.1062950819672131</v>
      </c>
      <c r="AZ36">
        <v>0.1606774193548387</v>
      </c>
      <c r="BA36">
        <v>0.11893333333333334</v>
      </c>
      <c r="BB36">
        <v>0.11687096774193549</v>
      </c>
      <c r="BC36">
        <v>0.13230434782608697</v>
      </c>
      <c r="BD36">
        <v>0.11499636363636363</v>
      </c>
      <c r="BE36">
        <v>0.13947903225806452</v>
      </c>
      <c r="BF36">
        <v>0.11323964285714286</v>
      </c>
      <c r="BG36">
        <v>8.1906287535601002E-2</v>
      </c>
      <c r="BH36">
        <v>0.11148505459559589</v>
      </c>
      <c r="BI36" s="498">
        <v>0.11413056140713324</v>
      </c>
      <c r="BJ36">
        <v>0.13766666666666666</v>
      </c>
      <c r="BK36">
        <v>8.2129032258064505E-2</v>
      </c>
      <c r="BL36">
        <v>6.6233333333333338E-2</v>
      </c>
      <c r="BM36">
        <v>9.5197802197802203E-2</v>
      </c>
      <c r="BN36">
        <v>7.9709677419354835E-2</v>
      </c>
      <c r="BO36">
        <v>9.1483870967741937E-2</v>
      </c>
      <c r="BP36">
        <v>9.74E-2</v>
      </c>
      <c r="BQ36">
        <v>8.9445652173913051E-2</v>
      </c>
      <c r="BR36">
        <v>9.2306010928961763E-2</v>
      </c>
      <c r="BS36">
        <v>9.7838709677419353E-2</v>
      </c>
      <c r="BT36">
        <v>9.8033333333333333E-2</v>
      </c>
      <c r="BU36">
        <v>8.8064516129032253E-2</v>
      </c>
      <c r="BV36">
        <v>9.4608695652173919E-2</v>
      </c>
      <c r="BW36">
        <v>9.3076363636363652E-2</v>
      </c>
      <c r="BX36">
        <v>3.9225806451612902E-2</v>
      </c>
      <c r="BY36">
        <v>0.11460714285714287</v>
      </c>
      <c r="BZ36">
        <v>0</v>
      </c>
      <c r="CA36">
        <v>4.9166666666666664E-2</v>
      </c>
      <c r="CB36" s="498">
        <v>8.2249315068493159E-2</v>
      </c>
      <c r="CC36">
        <v>9.3833E-2</v>
      </c>
      <c r="CD36">
        <v>9.2815806451612901E-2</v>
      </c>
      <c r="CE36">
        <v>8.6883666666666665E-2</v>
      </c>
      <c r="CF36">
        <v>9.1195494505494509E-2</v>
      </c>
      <c r="CG36">
        <v>9.5066774193548392E-2</v>
      </c>
      <c r="CH36">
        <v>0</v>
      </c>
      <c r="CI36">
        <v>0</v>
      </c>
      <c r="CJ36">
        <v>3.2033369565217393E-2</v>
      </c>
      <c r="CK36">
        <v>6.1452786885245907E-2</v>
      </c>
      <c r="CL36">
        <v>0</v>
      </c>
      <c r="CM36">
        <v>0</v>
      </c>
      <c r="CN36">
        <v>0</v>
      </c>
      <c r="CO36">
        <v>0</v>
      </c>
      <c r="CP36">
        <v>4.0894036363636366E-2</v>
      </c>
      <c r="CQ36">
        <v>0</v>
      </c>
      <c r="CR36">
        <v>0</v>
      </c>
      <c r="CS36">
        <v>0</v>
      </c>
      <c r="CT36">
        <v>0</v>
      </c>
      <c r="CU36" s="498">
        <v>3.0810575342465753E-2</v>
      </c>
    </row>
    <row r="37" spans="1:99">
      <c r="C37">
        <v>12</v>
      </c>
      <c r="D37" s="209" t="s">
        <v>66</v>
      </c>
      <c r="E37">
        <v>0</v>
      </c>
      <c r="F37">
        <v>0</v>
      </c>
      <c r="G37">
        <v>0</v>
      </c>
      <c r="H37">
        <v>0</v>
      </c>
      <c r="I37">
        <v>0</v>
      </c>
      <c r="J37">
        <v>0</v>
      </c>
      <c r="K37">
        <v>0</v>
      </c>
      <c r="L37">
        <v>0</v>
      </c>
      <c r="M37">
        <v>0</v>
      </c>
      <c r="N37">
        <v>0</v>
      </c>
      <c r="O37">
        <v>0</v>
      </c>
      <c r="P37">
        <v>0</v>
      </c>
      <c r="Q37">
        <v>0</v>
      </c>
      <c r="R37">
        <v>0</v>
      </c>
      <c r="S37">
        <v>0</v>
      </c>
      <c r="T37">
        <v>0</v>
      </c>
      <c r="U37">
        <v>0</v>
      </c>
      <c r="V37">
        <v>0</v>
      </c>
      <c r="W37" s="498">
        <v>0</v>
      </c>
      <c r="X37">
        <v>0</v>
      </c>
      <c r="Y37">
        <v>0</v>
      </c>
      <c r="Z37">
        <v>0</v>
      </c>
      <c r="AA37">
        <v>0</v>
      </c>
      <c r="AB37">
        <v>0</v>
      </c>
      <c r="AC37">
        <v>0</v>
      </c>
      <c r="AD37">
        <v>0</v>
      </c>
      <c r="AE37">
        <v>0</v>
      </c>
      <c r="AF37">
        <v>0</v>
      </c>
      <c r="AG37">
        <v>0</v>
      </c>
      <c r="AH37">
        <v>0</v>
      </c>
      <c r="AI37">
        <v>0</v>
      </c>
      <c r="AJ37">
        <v>0</v>
      </c>
      <c r="AK37">
        <v>0</v>
      </c>
      <c r="AL37">
        <v>0</v>
      </c>
      <c r="AM37">
        <v>0</v>
      </c>
      <c r="AN37">
        <v>0</v>
      </c>
      <c r="AO37">
        <v>0</v>
      </c>
      <c r="AP37" s="498">
        <v>0</v>
      </c>
      <c r="AQ37">
        <v>0</v>
      </c>
      <c r="AR37">
        <v>0</v>
      </c>
      <c r="AS37">
        <v>0</v>
      </c>
      <c r="AT37">
        <v>0</v>
      </c>
      <c r="AU37">
        <v>0</v>
      </c>
      <c r="AV37">
        <v>0</v>
      </c>
      <c r="AW37">
        <v>0</v>
      </c>
      <c r="AX37">
        <v>0</v>
      </c>
      <c r="AY37">
        <v>0</v>
      </c>
      <c r="AZ37">
        <v>0</v>
      </c>
      <c r="BA37">
        <v>0</v>
      </c>
      <c r="BB37">
        <v>0</v>
      </c>
      <c r="BC37">
        <v>0</v>
      </c>
      <c r="BD37">
        <v>0</v>
      </c>
      <c r="BE37">
        <v>0</v>
      </c>
      <c r="BF37">
        <v>0</v>
      </c>
      <c r="BG37">
        <v>0</v>
      </c>
      <c r="BH37">
        <v>0</v>
      </c>
      <c r="BI37" s="498">
        <v>0</v>
      </c>
      <c r="BJ37">
        <v>0</v>
      </c>
      <c r="BK37">
        <v>0</v>
      </c>
      <c r="BL37">
        <v>0</v>
      </c>
      <c r="BM37">
        <v>0</v>
      </c>
      <c r="BN37">
        <v>0</v>
      </c>
      <c r="BO37">
        <v>0</v>
      </c>
      <c r="BP37">
        <v>0</v>
      </c>
      <c r="BQ37">
        <v>0</v>
      </c>
      <c r="BR37">
        <v>0</v>
      </c>
      <c r="BS37">
        <v>0</v>
      </c>
      <c r="BT37">
        <v>0</v>
      </c>
      <c r="BU37">
        <v>0</v>
      </c>
      <c r="BV37">
        <v>0</v>
      </c>
      <c r="BW37">
        <v>0</v>
      </c>
      <c r="BX37">
        <v>0</v>
      </c>
      <c r="BY37">
        <v>0</v>
      </c>
      <c r="BZ37">
        <v>0</v>
      </c>
      <c r="CA37">
        <v>0</v>
      </c>
      <c r="CB37" s="498">
        <v>0</v>
      </c>
      <c r="CC37">
        <v>0</v>
      </c>
      <c r="CD37">
        <v>0</v>
      </c>
      <c r="CE37">
        <v>0</v>
      </c>
      <c r="CF37">
        <v>0</v>
      </c>
      <c r="CG37">
        <v>0</v>
      </c>
      <c r="CH37">
        <v>0</v>
      </c>
      <c r="CI37">
        <v>0</v>
      </c>
      <c r="CJ37">
        <v>0</v>
      </c>
      <c r="CK37">
        <v>0</v>
      </c>
      <c r="CL37">
        <v>0</v>
      </c>
      <c r="CM37">
        <v>0</v>
      </c>
      <c r="CN37">
        <v>0</v>
      </c>
      <c r="CO37">
        <v>0</v>
      </c>
      <c r="CP37">
        <v>0</v>
      </c>
      <c r="CQ37">
        <v>0</v>
      </c>
      <c r="CR37">
        <v>0</v>
      </c>
      <c r="CS37">
        <v>0</v>
      </c>
      <c r="CT37">
        <v>0</v>
      </c>
      <c r="CU37" s="498">
        <v>0</v>
      </c>
    </row>
    <row r="38" spans="1:99">
      <c r="C38">
        <v>13</v>
      </c>
      <c r="D38" s="209" t="s">
        <v>67</v>
      </c>
      <c r="E38">
        <v>0</v>
      </c>
      <c r="F38">
        <v>0</v>
      </c>
      <c r="G38">
        <v>0</v>
      </c>
      <c r="H38">
        <v>0</v>
      </c>
      <c r="I38">
        <v>0</v>
      </c>
      <c r="J38">
        <v>0</v>
      </c>
      <c r="K38">
        <v>0</v>
      </c>
      <c r="L38">
        <v>0</v>
      </c>
      <c r="M38">
        <v>0</v>
      </c>
      <c r="N38">
        <v>0</v>
      </c>
      <c r="O38">
        <v>0</v>
      </c>
      <c r="P38">
        <v>0</v>
      </c>
      <c r="Q38">
        <v>0</v>
      </c>
      <c r="R38">
        <v>0</v>
      </c>
      <c r="S38">
        <v>0</v>
      </c>
      <c r="T38">
        <v>0</v>
      </c>
      <c r="U38">
        <v>0</v>
      </c>
      <c r="V38">
        <v>0</v>
      </c>
      <c r="W38" s="498">
        <v>0</v>
      </c>
      <c r="X38">
        <v>0</v>
      </c>
      <c r="Y38">
        <v>0</v>
      </c>
      <c r="Z38">
        <v>0</v>
      </c>
      <c r="AA38">
        <v>0</v>
      </c>
      <c r="AB38">
        <v>0</v>
      </c>
      <c r="AC38">
        <v>0</v>
      </c>
      <c r="AD38">
        <v>0</v>
      </c>
      <c r="AE38">
        <v>0</v>
      </c>
      <c r="AF38">
        <v>0</v>
      </c>
      <c r="AG38">
        <v>0</v>
      </c>
      <c r="AH38">
        <v>0</v>
      </c>
      <c r="AI38">
        <v>0</v>
      </c>
      <c r="AJ38">
        <v>0</v>
      </c>
      <c r="AK38">
        <v>0</v>
      </c>
      <c r="AL38">
        <v>0</v>
      </c>
      <c r="AM38">
        <v>0</v>
      </c>
      <c r="AN38">
        <v>0</v>
      </c>
      <c r="AO38">
        <v>0</v>
      </c>
      <c r="AP38" s="498">
        <v>0</v>
      </c>
      <c r="AQ38">
        <v>0</v>
      </c>
      <c r="AR38">
        <v>0</v>
      </c>
      <c r="AS38">
        <v>0</v>
      </c>
      <c r="AT38">
        <v>0</v>
      </c>
      <c r="AU38">
        <v>0</v>
      </c>
      <c r="AV38">
        <v>0</v>
      </c>
      <c r="AW38">
        <v>0</v>
      </c>
      <c r="AX38">
        <v>0</v>
      </c>
      <c r="AY38">
        <v>0</v>
      </c>
      <c r="AZ38">
        <v>0</v>
      </c>
      <c r="BA38">
        <v>0</v>
      </c>
      <c r="BB38">
        <v>0</v>
      </c>
      <c r="BC38">
        <v>0</v>
      </c>
      <c r="BD38">
        <v>0</v>
      </c>
      <c r="BE38">
        <v>0</v>
      </c>
      <c r="BF38">
        <v>0</v>
      </c>
      <c r="BG38">
        <v>0</v>
      </c>
      <c r="BH38">
        <v>0</v>
      </c>
      <c r="BI38" s="498">
        <v>0</v>
      </c>
      <c r="BJ38">
        <v>0</v>
      </c>
      <c r="BK38">
        <v>0</v>
      </c>
      <c r="BL38">
        <v>0</v>
      </c>
      <c r="BM38">
        <v>0</v>
      </c>
      <c r="BN38">
        <v>0</v>
      </c>
      <c r="BO38">
        <v>0</v>
      </c>
      <c r="BP38">
        <v>0</v>
      </c>
      <c r="BQ38">
        <v>0</v>
      </c>
      <c r="BR38">
        <v>0</v>
      </c>
      <c r="BS38">
        <v>0</v>
      </c>
      <c r="BT38">
        <v>0</v>
      </c>
      <c r="BU38">
        <v>0</v>
      </c>
      <c r="BV38">
        <v>0</v>
      </c>
      <c r="BW38">
        <v>0</v>
      </c>
      <c r="BX38">
        <v>0</v>
      </c>
      <c r="BY38">
        <v>0</v>
      </c>
      <c r="BZ38">
        <v>0</v>
      </c>
      <c r="CA38">
        <v>0</v>
      </c>
      <c r="CB38" s="498">
        <v>0</v>
      </c>
      <c r="CC38">
        <v>0</v>
      </c>
      <c r="CD38">
        <v>0</v>
      </c>
      <c r="CE38">
        <v>0</v>
      </c>
      <c r="CF38">
        <v>0</v>
      </c>
      <c r="CG38">
        <v>0</v>
      </c>
      <c r="CH38">
        <v>0</v>
      </c>
      <c r="CI38">
        <v>0</v>
      </c>
      <c r="CJ38">
        <v>0</v>
      </c>
      <c r="CK38">
        <v>0</v>
      </c>
      <c r="CL38">
        <v>0</v>
      </c>
      <c r="CM38">
        <v>0</v>
      </c>
      <c r="CN38">
        <v>0</v>
      </c>
      <c r="CO38">
        <v>0</v>
      </c>
      <c r="CP38">
        <v>0</v>
      </c>
      <c r="CQ38">
        <v>0</v>
      </c>
      <c r="CR38">
        <v>0</v>
      </c>
      <c r="CS38">
        <v>0</v>
      </c>
      <c r="CT38">
        <v>0</v>
      </c>
      <c r="CU38" s="498">
        <v>0</v>
      </c>
    </row>
    <row r="39" spans="1:99">
      <c r="C39">
        <v>14</v>
      </c>
      <c r="D39" s="209" t="s">
        <v>68</v>
      </c>
      <c r="E39">
        <v>0</v>
      </c>
      <c r="F39">
        <v>0</v>
      </c>
      <c r="G39">
        <v>0</v>
      </c>
      <c r="H39">
        <v>0</v>
      </c>
      <c r="I39">
        <v>0</v>
      </c>
      <c r="J39">
        <v>0</v>
      </c>
      <c r="K39">
        <v>0</v>
      </c>
      <c r="L39">
        <v>0</v>
      </c>
      <c r="M39">
        <v>0</v>
      </c>
      <c r="N39">
        <v>0</v>
      </c>
      <c r="O39">
        <v>0</v>
      </c>
      <c r="P39">
        <v>0</v>
      </c>
      <c r="Q39">
        <v>0</v>
      </c>
      <c r="R39">
        <v>0</v>
      </c>
      <c r="S39">
        <v>0</v>
      </c>
      <c r="T39">
        <v>0</v>
      </c>
      <c r="U39">
        <v>0</v>
      </c>
      <c r="V39">
        <v>0</v>
      </c>
      <c r="W39" s="498">
        <v>0</v>
      </c>
      <c r="X39">
        <v>0</v>
      </c>
      <c r="Y39">
        <v>0</v>
      </c>
      <c r="Z39">
        <v>0</v>
      </c>
      <c r="AA39">
        <v>0</v>
      </c>
      <c r="AB39">
        <v>0</v>
      </c>
      <c r="AC39">
        <v>0</v>
      </c>
      <c r="AD39">
        <v>0</v>
      </c>
      <c r="AE39">
        <v>0</v>
      </c>
      <c r="AF39">
        <v>0</v>
      </c>
      <c r="AG39">
        <v>0</v>
      </c>
      <c r="AH39">
        <v>0</v>
      </c>
      <c r="AI39">
        <v>0</v>
      </c>
      <c r="AJ39">
        <v>0</v>
      </c>
      <c r="AK39">
        <v>0</v>
      </c>
      <c r="AL39">
        <v>0</v>
      </c>
      <c r="AM39">
        <v>0</v>
      </c>
      <c r="AN39">
        <v>0</v>
      </c>
      <c r="AO39">
        <v>0</v>
      </c>
      <c r="AP39" s="498">
        <v>0</v>
      </c>
      <c r="AQ39">
        <v>0</v>
      </c>
      <c r="AR39">
        <v>0</v>
      </c>
      <c r="AS39">
        <v>0</v>
      </c>
      <c r="AT39">
        <v>0</v>
      </c>
      <c r="AU39">
        <v>0</v>
      </c>
      <c r="AV39">
        <v>0</v>
      </c>
      <c r="AW39">
        <v>0</v>
      </c>
      <c r="AX39">
        <v>0</v>
      </c>
      <c r="AY39">
        <v>0</v>
      </c>
      <c r="AZ39">
        <v>0</v>
      </c>
      <c r="BA39">
        <v>0</v>
      </c>
      <c r="BB39">
        <v>0</v>
      </c>
      <c r="BC39">
        <v>0</v>
      </c>
      <c r="BD39">
        <v>0</v>
      </c>
      <c r="BE39">
        <v>0</v>
      </c>
      <c r="BF39">
        <v>0</v>
      </c>
      <c r="BG39">
        <v>0</v>
      </c>
      <c r="BH39">
        <v>0</v>
      </c>
      <c r="BI39" s="498">
        <v>0</v>
      </c>
      <c r="BJ39">
        <v>0</v>
      </c>
      <c r="BK39">
        <v>0</v>
      </c>
      <c r="BL39">
        <v>0</v>
      </c>
      <c r="BM39">
        <v>0</v>
      </c>
      <c r="BN39">
        <v>0</v>
      </c>
      <c r="BO39">
        <v>0</v>
      </c>
      <c r="BP39">
        <v>0</v>
      </c>
      <c r="BQ39">
        <v>0</v>
      </c>
      <c r="BR39">
        <v>0</v>
      </c>
      <c r="BS39">
        <v>0</v>
      </c>
      <c r="BT39">
        <v>0</v>
      </c>
      <c r="BU39">
        <v>0</v>
      </c>
      <c r="BV39">
        <v>0</v>
      </c>
      <c r="BW39">
        <v>0</v>
      </c>
      <c r="BX39">
        <v>0</v>
      </c>
      <c r="BY39">
        <v>0</v>
      </c>
      <c r="BZ39">
        <v>0</v>
      </c>
      <c r="CA39">
        <v>0</v>
      </c>
      <c r="CB39" s="498">
        <v>0</v>
      </c>
      <c r="CC39">
        <v>0</v>
      </c>
      <c r="CD39">
        <v>0</v>
      </c>
      <c r="CE39">
        <v>0</v>
      </c>
      <c r="CF39">
        <v>0</v>
      </c>
      <c r="CG39">
        <v>0</v>
      </c>
      <c r="CH39">
        <v>0</v>
      </c>
      <c r="CI39">
        <v>0</v>
      </c>
      <c r="CJ39">
        <v>0</v>
      </c>
      <c r="CK39">
        <v>0</v>
      </c>
      <c r="CL39">
        <v>0</v>
      </c>
      <c r="CM39">
        <v>0</v>
      </c>
      <c r="CN39">
        <v>0</v>
      </c>
      <c r="CO39">
        <v>0</v>
      </c>
      <c r="CP39">
        <v>0</v>
      </c>
      <c r="CQ39">
        <v>0</v>
      </c>
      <c r="CR39">
        <v>0</v>
      </c>
      <c r="CS39">
        <v>0</v>
      </c>
      <c r="CT39">
        <v>0</v>
      </c>
      <c r="CU39" s="498">
        <v>0</v>
      </c>
    </row>
    <row r="40" spans="1:99">
      <c r="C40">
        <v>15</v>
      </c>
      <c r="D40" s="209" t="s">
        <v>69</v>
      </c>
      <c r="E40">
        <v>5.6578999999999997</v>
      </c>
      <c r="F40">
        <v>5.2555806451612908</v>
      </c>
      <c r="G40">
        <v>4.9584000000000001</v>
      </c>
      <c r="H40">
        <v>5.2902417582417582</v>
      </c>
      <c r="I40">
        <v>4.5620645161290323</v>
      </c>
      <c r="J40">
        <v>4.6635483870967738</v>
      </c>
      <c r="K40">
        <v>4.1617333333333333</v>
      </c>
      <c r="L40">
        <v>4.4657173913043477</v>
      </c>
      <c r="M40">
        <v>4.8757267759562843</v>
      </c>
      <c r="N40">
        <v>4.0178709677419358</v>
      </c>
      <c r="O40">
        <v>3.7774000000000001</v>
      </c>
      <c r="P40">
        <v>3.2011215916129032</v>
      </c>
      <c r="Q40">
        <v>3.6642474928260866</v>
      </c>
      <c r="R40">
        <v>4.4704318885090908</v>
      </c>
      <c r="S40">
        <v>2.8600967741935484</v>
      </c>
      <c r="T40">
        <v>3.4995122235714287</v>
      </c>
      <c r="U40">
        <v>3.6673225806451613</v>
      </c>
      <c r="V40">
        <v>3.3370704695555555</v>
      </c>
      <c r="W40" s="498">
        <v>4.1909729084931504</v>
      </c>
      <c r="X40">
        <v>3.5625</v>
      </c>
      <c r="Y40">
        <v>3.3929029032258065</v>
      </c>
      <c r="Z40">
        <v>3.0993663333333337</v>
      </c>
      <c r="AA40">
        <v>3.3520437362637363</v>
      </c>
      <c r="AB40">
        <v>2.9619345161290322</v>
      </c>
      <c r="AC40">
        <v>2.7808070967741938</v>
      </c>
      <c r="AD40">
        <v>2.3466999999999998</v>
      </c>
      <c r="AE40">
        <v>2.7002825000000001</v>
      </c>
      <c r="AF40">
        <v>3.0243823497267761</v>
      </c>
      <c r="AG40">
        <v>2.1567103225806452</v>
      </c>
      <c r="AH40">
        <v>1.9052333333333331</v>
      </c>
      <c r="AI40">
        <v>1.901451935483871</v>
      </c>
      <c r="AJ40">
        <v>1.9886959782608695</v>
      </c>
      <c r="AK40">
        <v>2.6778981818181817</v>
      </c>
      <c r="AL40">
        <v>2.1540645161290319</v>
      </c>
      <c r="AM40">
        <v>2.0772068965517239</v>
      </c>
      <c r="AN40">
        <v>2.0956132258064515</v>
      </c>
      <c r="AO40">
        <v>2.1096594505494504</v>
      </c>
      <c r="AP40" s="498">
        <v>2.5366147814207651</v>
      </c>
      <c r="AQ40">
        <v>2.0478333333333336</v>
      </c>
      <c r="AR40">
        <v>1.931709677419355</v>
      </c>
      <c r="AS40">
        <v>1.6877333333333333</v>
      </c>
      <c r="AT40">
        <v>1.8895604395604397</v>
      </c>
      <c r="AU40">
        <v>1.5549354838709679</v>
      </c>
      <c r="AV40">
        <v>1.052483870967742</v>
      </c>
      <c r="AW40">
        <v>0.73263333333333336</v>
      </c>
      <c r="AX40">
        <v>1.1174891304347827</v>
      </c>
      <c r="AY40">
        <v>1.5014153005464481</v>
      </c>
      <c r="AZ40">
        <v>0.5610645161290323</v>
      </c>
      <c r="BA40">
        <v>0.40906666666666669</v>
      </c>
      <c r="BB40">
        <v>0.46470967741935487</v>
      </c>
      <c r="BC40">
        <v>0.47903260869565217</v>
      </c>
      <c r="BD40">
        <v>1.1593818181818183</v>
      </c>
      <c r="BE40">
        <v>0.45890322580645165</v>
      </c>
      <c r="BF40">
        <v>0.41757178571428571</v>
      </c>
      <c r="BG40">
        <v>0.28377419354838712</v>
      </c>
      <c r="BH40">
        <v>0.38572233333333339</v>
      </c>
      <c r="BI40" s="498">
        <v>0.96861646575342475</v>
      </c>
      <c r="BJ40">
        <v>0.48399999999999999</v>
      </c>
      <c r="BK40">
        <v>0.38096774193548388</v>
      </c>
      <c r="BL40">
        <v>0.36199999999999999</v>
      </c>
      <c r="BM40">
        <v>0.40868131868131868</v>
      </c>
      <c r="BN40">
        <v>0</v>
      </c>
      <c r="BO40">
        <v>0</v>
      </c>
      <c r="BP40">
        <v>0</v>
      </c>
      <c r="BQ40">
        <v>0</v>
      </c>
      <c r="BR40">
        <v>0.20322404371584699</v>
      </c>
      <c r="BS40">
        <v>0</v>
      </c>
      <c r="BT40">
        <v>0</v>
      </c>
      <c r="BU40">
        <v>0</v>
      </c>
      <c r="BV40">
        <v>0</v>
      </c>
      <c r="BW40">
        <v>0.13523636363636363</v>
      </c>
      <c r="BX40">
        <v>0</v>
      </c>
      <c r="BY40">
        <v>0</v>
      </c>
      <c r="BZ40">
        <v>0</v>
      </c>
      <c r="CA40">
        <v>0</v>
      </c>
      <c r="CB40" s="498">
        <v>0.10189041095890411</v>
      </c>
      <c r="CC40">
        <v>0</v>
      </c>
      <c r="CD40">
        <v>0</v>
      </c>
      <c r="CE40">
        <v>0</v>
      </c>
      <c r="CF40">
        <v>0</v>
      </c>
      <c r="CG40">
        <v>0</v>
      </c>
      <c r="CH40">
        <v>0</v>
      </c>
      <c r="CI40">
        <v>0</v>
      </c>
      <c r="CJ40">
        <v>0</v>
      </c>
      <c r="CK40">
        <v>0</v>
      </c>
      <c r="CL40">
        <v>0</v>
      </c>
      <c r="CM40">
        <v>0</v>
      </c>
      <c r="CN40">
        <v>0</v>
      </c>
      <c r="CO40">
        <v>0</v>
      </c>
      <c r="CP40">
        <v>0</v>
      </c>
      <c r="CQ40">
        <v>0</v>
      </c>
      <c r="CR40">
        <v>0</v>
      </c>
      <c r="CS40">
        <v>0</v>
      </c>
      <c r="CT40">
        <v>0</v>
      </c>
      <c r="CU40" s="498">
        <v>0</v>
      </c>
    </row>
    <row r="41" spans="1:99">
      <c r="A41" s="1482" t="s">
        <v>1084</v>
      </c>
      <c r="B41" s="1482"/>
      <c r="C41">
        <v>16</v>
      </c>
      <c r="D41" s="209" t="s">
        <v>70</v>
      </c>
      <c r="E41">
        <v>14.041833333333333</v>
      </c>
      <c r="F41">
        <v>13.907806451612903</v>
      </c>
      <c r="G41">
        <v>15.083599999999999</v>
      </c>
      <c r="H41">
        <v>14.339615384615385</v>
      </c>
      <c r="I41">
        <v>14.51441935483871</v>
      </c>
      <c r="J41">
        <v>14.996451612903225</v>
      </c>
      <c r="K41">
        <v>17.022266666666667</v>
      </c>
      <c r="L41">
        <v>15.494619565217393</v>
      </c>
      <c r="M41">
        <v>14.920273224043715</v>
      </c>
      <c r="N41">
        <v>16.812516129032257</v>
      </c>
      <c r="O41">
        <v>16.5626</v>
      </c>
      <c r="P41">
        <v>15.577870967741935</v>
      </c>
      <c r="Q41">
        <v>16.315000000000001</v>
      </c>
      <c r="R41">
        <v>15.386872727272726</v>
      </c>
      <c r="S41">
        <v>15.419032258064517</v>
      </c>
      <c r="T41">
        <v>15.840642857142857</v>
      </c>
      <c r="U41">
        <v>14.257064516129033</v>
      </c>
      <c r="V41">
        <v>15.149966666666668</v>
      </c>
      <c r="W41" s="498">
        <v>15.328457534246574</v>
      </c>
      <c r="X41">
        <v>10.761910333333333</v>
      </c>
      <c r="Y41">
        <v>12.228500322580645</v>
      </c>
      <c r="Z41">
        <v>14.277881000000001</v>
      </c>
      <c r="AA41">
        <v>12.420629120879122</v>
      </c>
      <c r="AB41">
        <v>15.340312258064516</v>
      </c>
      <c r="AC41">
        <v>14.676225161290324</v>
      </c>
      <c r="AD41">
        <v>13.487670000000001</v>
      </c>
      <c r="AE41">
        <v>14.512421304347829</v>
      </c>
      <c r="AF41">
        <v>13.47224049180328</v>
      </c>
      <c r="AG41">
        <v>12.666162580645162</v>
      </c>
      <c r="AH41">
        <v>13.979763</v>
      </c>
      <c r="AI41">
        <v>14.648439354838711</v>
      </c>
      <c r="AJ41">
        <v>13.762451630434784</v>
      </c>
      <c r="AK41">
        <v>13.569329309090911</v>
      </c>
      <c r="AL41">
        <v>14.447132258064517</v>
      </c>
      <c r="AM41">
        <v>14.650052068965518</v>
      </c>
      <c r="AN41">
        <v>9.5663161290322574</v>
      </c>
      <c r="AO41">
        <v>12.849103406593407</v>
      </c>
      <c r="AP41" s="498">
        <v>13.390256748633881</v>
      </c>
      <c r="AQ41">
        <v>13.777533333333334</v>
      </c>
      <c r="AR41">
        <v>13.800935483870967</v>
      </c>
      <c r="AS41">
        <v>12.741233333333334</v>
      </c>
      <c r="AT41">
        <v>13.443868131868133</v>
      </c>
      <c r="AU41">
        <v>14.665387096774193</v>
      </c>
      <c r="AV41">
        <v>13.986677419354839</v>
      </c>
      <c r="AW41">
        <v>12.514233333333333</v>
      </c>
      <c r="AX41">
        <v>13.735228260869565</v>
      </c>
      <c r="AY41">
        <v>13.590344262295083</v>
      </c>
      <c r="AZ41">
        <v>12.613387096774193</v>
      </c>
      <c r="BA41">
        <v>12.343866666666665</v>
      </c>
      <c r="BB41">
        <v>13.453225806451613</v>
      </c>
      <c r="BC41">
        <v>12.808489130434781</v>
      </c>
      <c r="BD41">
        <v>13.328778181818183</v>
      </c>
      <c r="BE41">
        <v>15.773735483870967</v>
      </c>
      <c r="BF41">
        <v>15.874039999999999</v>
      </c>
      <c r="BG41">
        <v>13.374457419354838</v>
      </c>
      <c r="BH41">
        <v>14.978523333333333</v>
      </c>
      <c r="BI41" s="498">
        <v>13.735564657534246</v>
      </c>
      <c r="BJ41">
        <v>13.435566666666666</v>
      </c>
      <c r="BK41">
        <v>13.915516129032257</v>
      </c>
      <c r="BL41">
        <v>14.258433333333333</v>
      </c>
      <c r="BM41">
        <v>13.870340659340659</v>
      </c>
      <c r="BN41">
        <v>14.528096774193548</v>
      </c>
      <c r="BO41">
        <v>14.26067741935484</v>
      </c>
      <c r="BP41">
        <v>12.1387</v>
      </c>
      <c r="BQ41">
        <v>13.658836956521739</v>
      </c>
      <c r="BR41">
        <v>13.764010928961751</v>
      </c>
      <c r="BS41">
        <v>12.119483870967743</v>
      </c>
      <c r="BT41">
        <v>14.235800000000001</v>
      </c>
      <c r="BU41">
        <v>14.121032258064517</v>
      </c>
      <c r="BV41">
        <v>13.484021739130435</v>
      </c>
      <c r="BW41">
        <v>13.670341818181818</v>
      </c>
      <c r="BX41">
        <v>15.581161290322582</v>
      </c>
      <c r="BY41">
        <v>14.58882142857143</v>
      </c>
      <c r="BZ41">
        <v>0</v>
      </c>
      <c r="CA41">
        <v>9.9055888888888894</v>
      </c>
      <c r="CB41" s="498">
        <v>12.742046575342465</v>
      </c>
      <c r="CC41">
        <v>13.193331000000001</v>
      </c>
      <c r="CD41">
        <v>13.75741935483871</v>
      </c>
      <c r="CE41">
        <v>14.452372</v>
      </c>
      <c r="CF41">
        <v>13.800561428571429</v>
      </c>
      <c r="CG41">
        <v>14.21812129032258</v>
      </c>
      <c r="CH41">
        <v>0</v>
      </c>
      <c r="CI41">
        <v>0</v>
      </c>
      <c r="CJ41">
        <v>4.7908886956521739</v>
      </c>
      <c r="CK41">
        <v>9.2711084699453554</v>
      </c>
      <c r="CL41">
        <v>0</v>
      </c>
      <c r="CM41">
        <v>0</v>
      </c>
      <c r="CN41">
        <v>0</v>
      </c>
      <c r="CO41">
        <v>0</v>
      </c>
      <c r="CP41">
        <v>6.1695012727272722</v>
      </c>
      <c r="CQ41">
        <v>0</v>
      </c>
      <c r="CR41">
        <v>0</v>
      </c>
      <c r="CS41">
        <v>0</v>
      </c>
      <c r="CT41">
        <v>0</v>
      </c>
      <c r="CU41" s="498">
        <v>4.6482543835616434</v>
      </c>
    </row>
    <row r="42" spans="1:99" s="247" customFormat="1">
      <c r="A42" s="1482"/>
      <c r="B42" s="1482"/>
      <c r="C42" s="247">
        <v>17</v>
      </c>
      <c r="D42" s="567" t="s">
        <v>827</v>
      </c>
      <c r="E42" s="247">
        <v>11.606950469380209</v>
      </c>
      <c r="F42" s="247">
        <v>10.795708840791375</v>
      </c>
      <c r="G42" s="247">
        <v>10.604761012075576</v>
      </c>
      <c r="H42" s="247">
        <v>11.000201302287982</v>
      </c>
      <c r="I42" s="247">
        <v>10.198745108575547</v>
      </c>
      <c r="J42" s="247">
        <v>9.9997554451238138</v>
      </c>
      <c r="K42" s="247">
        <v>9.5812721083562113</v>
      </c>
      <c r="L42" s="247">
        <v>9.930344352340942</v>
      </c>
      <c r="M42" s="247">
        <v>10.46234972089384</v>
      </c>
      <c r="N42" s="247">
        <v>9.1446694496209986</v>
      </c>
      <c r="O42" s="247">
        <v>10.80838710089372</v>
      </c>
      <c r="P42" s="247">
        <v>10.63905915809608</v>
      </c>
      <c r="Q42" s="247">
        <v>10.190730433326532</v>
      </c>
      <c r="R42" s="247">
        <v>10.371480722871322</v>
      </c>
      <c r="S42" s="247">
        <v>10.836795934156465</v>
      </c>
      <c r="T42" s="247">
        <v>11.215748644043343</v>
      </c>
      <c r="U42" s="247">
        <v>10.340033031760532</v>
      </c>
      <c r="V42" s="247">
        <v>10.783585110851561</v>
      </c>
      <c r="W42" s="568">
        <v>10.473095503469189</v>
      </c>
      <c r="X42" s="682">
        <v>9.4697898140000003</v>
      </c>
      <c r="Y42" s="682">
        <v>9.066405417580647</v>
      </c>
      <c r="Z42" s="682">
        <v>8.8582098903333346</v>
      </c>
      <c r="AA42" s="682">
        <v>9.1307533964285721</v>
      </c>
      <c r="AB42" s="682">
        <v>8.6397048083548391</v>
      </c>
      <c r="AC42" s="682">
        <v>9.0038100196129029</v>
      </c>
      <c r="AD42" s="682">
        <v>8.6596631500000019</v>
      </c>
      <c r="AE42" s="682">
        <v>8.7689005887717393</v>
      </c>
      <c r="AF42" s="682">
        <v>8.9488383237267755</v>
      </c>
      <c r="AG42" s="682">
        <v>8.7469777616774191</v>
      </c>
      <c r="AH42" s="682">
        <v>9.4357116448333329</v>
      </c>
      <c r="AI42" s="682">
        <v>9.8435510270322588</v>
      </c>
      <c r="AJ42" s="682">
        <v>9.3410624108152174</v>
      </c>
      <c r="AK42" s="682">
        <v>9.0800551092254533</v>
      </c>
      <c r="AL42" s="682">
        <v>9.8577428950000012</v>
      </c>
      <c r="AM42" s="682">
        <v>9.6744397512413798</v>
      </c>
      <c r="AN42" s="682">
        <v>8.2731726570645154</v>
      </c>
      <c r="AO42" s="682">
        <v>9.2595289549450541</v>
      </c>
      <c r="AP42" s="682">
        <v>9.1246783878060107</v>
      </c>
      <c r="AQ42" s="772">
        <v>8.5581983066666663</v>
      </c>
      <c r="AR42" s="772">
        <v>8.0132758129032275</v>
      </c>
      <c r="AS42" s="772">
        <v>7.4509374200000007</v>
      </c>
      <c r="AT42" s="772">
        <v>8.0075343076923069</v>
      </c>
      <c r="AU42" s="772">
        <v>7.6304609870967735</v>
      </c>
      <c r="AV42" s="772">
        <v>7.668506374193548</v>
      </c>
      <c r="AW42" s="772">
        <v>7.4741568299999983</v>
      </c>
      <c r="AX42" s="772">
        <v>7.5923118815217396</v>
      </c>
      <c r="AY42" s="772">
        <v>7.798788607103825</v>
      </c>
      <c r="AZ42" s="772">
        <v>8.0633858967741929</v>
      </c>
      <c r="BA42" s="772">
        <v>8.5994513333333344</v>
      </c>
      <c r="BB42" s="772">
        <v>9.0115307419354824</v>
      </c>
      <c r="BC42" s="772">
        <v>8.5762830652173925</v>
      </c>
      <c r="BD42" s="772">
        <v>8.0968720045454567</v>
      </c>
      <c r="BE42" s="772">
        <v>8.9930656785483887</v>
      </c>
      <c r="BF42" s="772">
        <v>9.1906539655357129</v>
      </c>
      <c r="BG42" s="772">
        <v>8.4663526372705515</v>
      </c>
      <c r="BH42" s="772">
        <v>8.8731142091709678</v>
      </c>
      <c r="BI42" s="772">
        <v>8.2882741919873624</v>
      </c>
      <c r="CB42" s="568"/>
      <c r="CU42" s="568"/>
    </row>
    <row r="43" spans="1:99" ht="30" customHeight="1">
      <c r="A43" s="1482"/>
      <c r="B43" s="1482"/>
      <c r="W43" s="480"/>
      <c r="AP43" s="480"/>
      <c r="BI43" s="480"/>
      <c r="CB43" s="480"/>
      <c r="CU43" s="480"/>
    </row>
    <row r="44" spans="1:99">
      <c r="A44" s="650">
        <f>Dropdowns!D408</f>
        <v>0</v>
      </c>
      <c r="W44" s="480"/>
      <c r="AP44" s="480"/>
      <c r="BI44" s="480"/>
      <c r="CB44" s="480"/>
      <c r="CU44" s="480"/>
    </row>
    <row r="45" spans="1:99">
      <c r="A45" s="650" t="s">
        <v>1428</v>
      </c>
      <c r="C45">
        <v>1</v>
      </c>
      <c r="E45">
        <v>202204</v>
      </c>
      <c r="F45">
        <v>202205</v>
      </c>
      <c r="G45">
        <v>202206</v>
      </c>
      <c r="H45">
        <v>222331</v>
      </c>
      <c r="I45">
        <v>202207</v>
      </c>
      <c r="J45">
        <v>202208</v>
      </c>
      <c r="K45">
        <v>202209</v>
      </c>
      <c r="L45">
        <v>222332</v>
      </c>
      <c r="M45">
        <v>222361</v>
      </c>
      <c r="N45">
        <v>202210</v>
      </c>
      <c r="O45">
        <v>202211</v>
      </c>
      <c r="P45">
        <v>202212</v>
      </c>
      <c r="Q45">
        <v>222333</v>
      </c>
      <c r="R45">
        <v>222391</v>
      </c>
      <c r="S45">
        <v>202301</v>
      </c>
      <c r="T45">
        <v>202302</v>
      </c>
      <c r="U45">
        <v>202303</v>
      </c>
      <c r="V45">
        <v>222334</v>
      </c>
      <c r="W45" s="480">
        <v>222399</v>
      </c>
      <c r="X45">
        <v>202304</v>
      </c>
      <c r="Y45">
        <v>202305</v>
      </c>
      <c r="Z45">
        <v>202306</v>
      </c>
      <c r="AA45">
        <v>232431</v>
      </c>
      <c r="AB45">
        <v>202307</v>
      </c>
      <c r="AC45">
        <v>202308</v>
      </c>
      <c r="AD45">
        <v>202309</v>
      </c>
      <c r="AE45">
        <v>232432</v>
      </c>
      <c r="AF45">
        <v>232461</v>
      </c>
      <c r="AG45">
        <v>202310</v>
      </c>
      <c r="AH45">
        <v>202311</v>
      </c>
      <c r="AI45">
        <v>202312</v>
      </c>
      <c r="AJ45">
        <v>232433</v>
      </c>
      <c r="AK45">
        <v>232491</v>
      </c>
      <c r="AL45">
        <v>202401</v>
      </c>
      <c r="AM45">
        <v>202402</v>
      </c>
      <c r="AN45">
        <v>202403</v>
      </c>
      <c r="AO45">
        <v>232434</v>
      </c>
      <c r="AP45" s="480">
        <v>232499</v>
      </c>
      <c r="AQ45">
        <v>202404</v>
      </c>
      <c r="AR45">
        <v>202405</v>
      </c>
      <c r="AS45">
        <v>202406</v>
      </c>
      <c r="AT45">
        <v>242531</v>
      </c>
      <c r="AU45">
        <v>202407</v>
      </c>
      <c r="AV45">
        <v>202408</v>
      </c>
      <c r="AW45">
        <v>202409</v>
      </c>
      <c r="AX45">
        <v>242532</v>
      </c>
      <c r="AY45">
        <v>242561</v>
      </c>
      <c r="AZ45">
        <v>202410</v>
      </c>
      <c r="BA45">
        <v>202411</v>
      </c>
      <c r="BB45">
        <v>202412</v>
      </c>
      <c r="BC45">
        <v>242533</v>
      </c>
      <c r="BD45">
        <v>242591</v>
      </c>
      <c r="BE45">
        <v>202501</v>
      </c>
      <c r="BF45">
        <v>202502</v>
      </c>
      <c r="BG45">
        <v>202503</v>
      </c>
      <c r="BH45">
        <v>242534</v>
      </c>
      <c r="BI45" s="480">
        <v>242599</v>
      </c>
      <c r="BJ45">
        <v>202504</v>
      </c>
      <c r="BK45">
        <v>202505</v>
      </c>
      <c r="BL45">
        <v>202506</v>
      </c>
      <c r="BM45">
        <v>252631</v>
      </c>
      <c r="BN45">
        <v>202507</v>
      </c>
      <c r="BO45">
        <v>202508</v>
      </c>
      <c r="BP45">
        <v>202509</v>
      </c>
      <c r="BQ45">
        <v>252632</v>
      </c>
      <c r="BR45">
        <v>252661</v>
      </c>
      <c r="BS45">
        <v>202510</v>
      </c>
      <c r="BT45">
        <v>202511</v>
      </c>
      <c r="BU45">
        <v>202512</v>
      </c>
      <c r="BV45">
        <v>252633</v>
      </c>
      <c r="BW45">
        <v>252691</v>
      </c>
      <c r="BX45">
        <v>202601</v>
      </c>
      <c r="BY45">
        <v>202602</v>
      </c>
      <c r="BZ45">
        <v>202603</v>
      </c>
      <c r="CA45">
        <v>252634</v>
      </c>
      <c r="CB45" s="480">
        <v>252699</v>
      </c>
      <c r="CC45">
        <v>202604</v>
      </c>
      <c r="CD45">
        <v>202605</v>
      </c>
      <c r="CE45">
        <v>202606</v>
      </c>
      <c r="CF45">
        <v>262731</v>
      </c>
      <c r="CG45">
        <v>202607</v>
      </c>
      <c r="CH45">
        <v>202608</v>
      </c>
      <c r="CI45">
        <v>202609</v>
      </c>
      <c r="CJ45">
        <v>262732</v>
      </c>
      <c r="CK45">
        <v>262761</v>
      </c>
      <c r="CL45">
        <v>202610</v>
      </c>
      <c r="CM45">
        <v>202611</v>
      </c>
      <c r="CN45">
        <v>202612</v>
      </c>
      <c r="CO45">
        <v>262733</v>
      </c>
      <c r="CP45">
        <v>262791</v>
      </c>
      <c r="CQ45">
        <v>202701</v>
      </c>
      <c r="CR45">
        <v>202702</v>
      </c>
      <c r="CS45">
        <v>202703</v>
      </c>
      <c r="CT45">
        <v>262734</v>
      </c>
      <c r="CU45" s="480">
        <v>262799</v>
      </c>
    </row>
    <row r="46" spans="1:99">
      <c r="C46">
        <v>2</v>
      </c>
      <c r="E46" t="s">
        <v>308</v>
      </c>
      <c r="F46" t="s">
        <v>309</v>
      </c>
      <c r="G46" t="s">
        <v>829</v>
      </c>
      <c r="H46" t="s">
        <v>392</v>
      </c>
      <c r="I46" t="s">
        <v>830</v>
      </c>
      <c r="J46" t="s">
        <v>312</v>
      </c>
      <c r="K46" t="s">
        <v>313</v>
      </c>
      <c r="L46" t="s">
        <v>393</v>
      </c>
      <c r="M46" t="s">
        <v>622</v>
      </c>
      <c r="N46" t="s">
        <v>314</v>
      </c>
      <c r="O46" t="s">
        <v>315</v>
      </c>
      <c r="P46" t="s">
        <v>316</v>
      </c>
      <c r="Q46" t="s">
        <v>394</v>
      </c>
      <c r="R46" t="s">
        <v>624</v>
      </c>
      <c r="S46" t="s">
        <v>317</v>
      </c>
      <c r="T46" t="s">
        <v>318</v>
      </c>
      <c r="U46" t="s">
        <v>319</v>
      </c>
      <c r="V46" t="s">
        <v>395</v>
      </c>
      <c r="W46" s="480" t="s">
        <v>831</v>
      </c>
      <c r="X46" t="s">
        <v>726</v>
      </c>
      <c r="Y46" t="s">
        <v>727</v>
      </c>
      <c r="Z46" t="s">
        <v>832</v>
      </c>
      <c r="AA46" t="s">
        <v>762</v>
      </c>
      <c r="AB46" t="s">
        <v>833</v>
      </c>
      <c r="AC46" t="s">
        <v>730</v>
      </c>
      <c r="AD46" t="s">
        <v>731</v>
      </c>
      <c r="AE46" t="s">
        <v>765</v>
      </c>
      <c r="AF46" t="s">
        <v>774</v>
      </c>
      <c r="AG46" t="s">
        <v>732</v>
      </c>
      <c r="AH46" t="s">
        <v>733</v>
      </c>
      <c r="AI46" t="s">
        <v>734</v>
      </c>
      <c r="AJ46" t="s">
        <v>768</v>
      </c>
      <c r="AK46" t="s">
        <v>780</v>
      </c>
      <c r="AL46" t="s">
        <v>735</v>
      </c>
      <c r="AM46" t="s">
        <v>736</v>
      </c>
      <c r="AN46" t="s">
        <v>737</v>
      </c>
      <c r="AO46" t="s">
        <v>771</v>
      </c>
      <c r="AP46" s="480" t="s">
        <v>834</v>
      </c>
      <c r="AQ46" t="s">
        <v>738</v>
      </c>
      <c r="AR46" t="s">
        <v>740</v>
      </c>
      <c r="AS46" t="s">
        <v>835</v>
      </c>
      <c r="AT46" t="s">
        <v>763</v>
      </c>
      <c r="AU46" t="s">
        <v>836</v>
      </c>
      <c r="AV46" t="s">
        <v>743</v>
      </c>
      <c r="AW46" t="s">
        <v>744</v>
      </c>
      <c r="AX46" t="s">
        <v>766</v>
      </c>
      <c r="AY46" t="s">
        <v>775</v>
      </c>
      <c r="AZ46" t="s">
        <v>745</v>
      </c>
      <c r="BA46" t="s">
        <v>746</v>
      </c>
      <c r="BB46" t="s">
        <v>747</v>
      </c>
      <c r="BC46" t="s">
        <v>769</v>
      </c>
      <c r="BD46" t="s">
        <v>781</v>
      </c>
      <c r="BE46" t="s">
        <v>748</v>
      </c>
      <c r="BF46" t="s">
        <v>749</v>
      </c>
      <c r="BG46" t="s">
        <v>750</v>
      </c>
      <c r="BH46" t="s">
        <v>772</v>
      </c>
      <c r="BI46" s="480" t="s">
        <v>837</v>
      </c>
      <c r="BJ46" t="s">
        <v>739</v>
      </c>
      <c r="BK46" t="s">
        <v>751</v>
      </c>
      <c r="BL46" t="s">
        <v>838</v>
      </c>
      <c r="BM46" t="s">
        <v>764</v>
      </c>
      <c r="BN46" t="s">
        <v>839</v>
      </c>
      <c r="BO46" t="s">
        <v>754</v>
      </c>
      <c r="BP46" t="s">
        <v>755</v>
      </c>
      <c r="BQ46" t="s">
        <v>767</v>
      </c>
      <c r="BR46" t="s">
        <v>776</v>
      </c>
      <c r="BS46" t="s">
        <v>756</v>
      </c>
      <c r="BT46" t="s">
        <v>757</v>
      </c>
      <c r="BU46" t="s">
        <v>758</v>
      </c>
      <c r="BV46" t="s">
        <v>770</v>
      </c>
      <c r="BW46" t="s">
        <v>782</v>
      </c>
      <c r="BX46" t="s">
        <v>759</v>
      </c>
      <c r="BY46" t="s">
        <v>760</v>
      </c>
      <c r="BZ46" t="s">
        <v>761</v>
      </c>
      <c r="CA46" t="s">
        <v>773</v>
      </c>
      <c r="CB46" s="480" t="s">
        <v>840</v>
      </c>
      <c r="CC46" t="s">
        <v>2268</v>
      </c>
      <c r="CD46" t="s">
        <v>2151</v>
      </c>
      <c r="CE46" t="s">
        <v>2269</v>
      </c>
      <c r="CF46" t="s">
        <v>2260</v>
      </c>
      <c r="CG46" t="s">
        <v>2270</v>
      </c>
      <c r="CH46" t="s">
        <v>2154</v>
      </c>
      <c r="CI46" t="s">
        <v>2155</v>
      </c>
      <c r="CJ46" t="s">
        <v>2261</v>
      </c>
      <c r="CK46" t="s">
        <v>2264</v>
      </c>
      <c r="CL46" t="s">
        <v>2156</v>
      </c>
      <c r="CM46" t="s">
        <v>2157</v>
      </c>
      <c r="CN46" t="s">
        <v>2158</v>
      </c>
      <c r="CO46" t="s">
        <v>2262</v>
      </c>
      <c r="CP46" t="s">
        <v>2266</v>
      </c>
      <c r="CQ46" t="s">
        <v>2159</v>
      </c>
      <c r="CR46" t="s">
        <v>2160</v>
      </c>
      <c r="CS46" t="s">
        <v>2149</v>
      </c>
      <c r="CT46" t="s">
        <v>2263</v>
      </c>
      <c r="CU46" s="480" t="s">
        <v>2271</v>
      </c>
    </row>
    <row r="47" spans="1:99">
      <c r="C47">
        <v>3</v>
      </c>
      <c r="D47" s="209" t="s">
        <v>60</v>
      </c>
      <c r="E47">
        <v>0.14105107700000002</v>
      </c>
      <c r="F47">
        <v>2.76275354E-2</v>
      </c>
      <c r="G47">
        <v>4.8712736E-3</v>
      </c>
      <c r="H47">
        <v>0.17354988599999999</v>
      </c>
      <c r="I47">
        <v>4.5975133999999994E-3</v>
      </c>
      <c r="J47">
        <v>1.181E-3</v>
      </c>
      <c r="K47">
        <v>8.5461100000000002E-4</v>
      </c>
      <c r="L47">
        <v>6.6331243999999999E-3</v>
      </c>
      <c r="M47">
        <v>0.18018301040000001</v>
      </c>
      <c r="N47">
        <v>1.6580000000000001E-2</v>
      </c>
      <c r="O47">
        <v>0.1129</v>
      </c>
      <c r="P47">
        <v>9.8339999999999997E-2</v>
      </c>
      <c r="Q47">
        <v>0.22781999999999999</v>
      </c>
      <c r="R47">
        <v>0.40800301040000003</v>
      </c>
      <c r="S47">
        <v>9.5519999999999994E-2</v>
      </c>
      <c r="T47">
        <v>0.14072000000000001</v>
      </c>
      <c r="U47">
        <v>0.16131999999999999</v>
      </c>
      <c r="V47">
        <v>0.39756000000000002</v>
      </c>
      <c r="W47" s="498">
        <v>0.8055630104</v>
      </c>
      <c r="X47">
        <v>0.15362000010000001</v>
      </c>
      <c r="Y47">
        <v>0.15172000005</v>
      </c>
      <c r="Z47">
        <v>0.13769999999999999</v>
      </c>
      <c r="AA47">
        <v>0.44304000015</v>
      </c>
      <c r="AB47">
        <v>0.14736000009</v>
      </c>
      <c r="AC47">
        <v>0.12853999991000001</v>
      </c>
      <c r="AD47">
        <v>0.12322400010000001</v>
      </c>
      <c r="AE47">
        <v>0.39912400009999999</v>
      </c>
      <c r="AF47">
        <v>0.84216400025000004</v>
      </c>
      <c r="AG47">
        <v>0.14988000000999999</v>
      </c>
      <c r="AH47">
        <v>0.14247999989999999</v>
      </c>
      <c r="AI47">
        <v>0.1424</v>
      </c>
      <c r="AJ47">
        <v>0.43475999991000003</v>
      </c>
      <c r="AK47">
        <v>1.27692400016</v>
      </c>
      <c r="AL47">
        <v>0.14887820000999999</v>
      </c>
      <c r="AM47">
        <v>0.11076259997</v>
      </c>
      <c r="AN47">
        <v>0.14717905802</v>
      </c>
      <c r="AO47">
        <v>0.40681985800000003</v>
      </c>
      <c r="AP47" s="498">
        <v>1.6837438581600002</v>
      </c>
      <c r="AQ47">
        <v>0.13224</v>
      </c>
      <c r="AR47">
        <v>0.1275</v>
      </c>
      <c r="AS47">
        <v>0.1236</v>
      </c>
      <c r="AT47">
        <v>0.38334000000000001</v>
      </c>
      <c r="AU47">
        <v>0.12286</v>
      </c>
      <c r="AV47">
        <v>0.11065999999999999</v>
      </c>
      <c r="AW47">
        <v>0.119335</v>
      </c>
      <c r="AX47">
        <v>0.35285499999999997</v>
      </c>
      <c r="AY47">
        <v>0.73619500000000004</v>
      </c>
      <c r="AZ47">
        <v>0.11674480000000001</v>
      </c>
      <c r="BA47">
        <v>0.11967999999999999</v>
      </c>
      <c r="BB47">
        <v>0.12685299999999999</v>
      </c>
      <c r="BC47">
        <v>0.36327779999999998</v>
      </c>
      <c r="BD47">
        <v>1.0994728</v>
      </c>
      <c r="BE47">
        <v>0.138707</v>
      </c>
      <c r="BF47">
        <v>0.11898</v>
      </c>
      <c r="BG47">
        <v>0.12642900000000001</v>
      </c>
      <c r="BH47">
        <v>0.38411600000000001</v>
      </c>
      <c r="BI47" s="498">
        <v>1.4835888000000002</v>
      </c>
      <c r="BJ47">
        <v>0.124371</v>
      </c>
      <c r="BK47">
        <v>0.11602</v>
      </c>
      <c r="BL47">
        <v>0.108178</v>
      </c>
      <c r="BM47">
        <v>0.34856900000000002</v>
      </c>
      <c r="BN47">
        <v>0.1124622</v>
      </c>
      <c r="BO47">
        <v>2.7199999999999998E-2</v>
      </c>
      <c r="BP47">
        <v>0.114526</v>
      </c>
      <c r="BQ47">
        <v>0.25418820000000003</v>
      </c>
      <c r="BR47">
        <v>0.60275719999999999</v>
      </c>
      <c r="BS47">
        <v>0.119394</v>
      </c>
      <c r="BT47">
        <v>0.12257999999999999</v>
      </c>
      <c r="BU47">
        <v>0.12756400000000001</v>
      </c>
      <c r="BV47">
        <v>0.36953799999999998</v>
      </c>
      <c r="BW47">
        <v>0.97229519999999992</v>
      </c>
      <c r="BX47">
        <v>0.14650268599999999</v>
      </c>
      <c r="BY47">
        <v>0.14050458600000001</v>
      </c>
      <c r="BZ47">
        <v>0</v>
      </c>
      <c r="CA47">
        <v>0.28700727199999998</v>
      </c>
      <c r="CB47" s="498">
        <v>1.2593024720000001</v>
      </c>
      <c r="CC47">
        <v>0.15501744852999999</v>
      </c>
      <c r="CD47">
        <v>0.15600095595999999</v>
      </c>
      <c r="CE47">
        <v>0.13369120000000001</v>
      </c>
      <c r="CF47">
        <v>0.44470960449000002</v>
      </c>
      <c r="CG47">
        <v>0.15827545540999999</v>
      </c>
      <c r="CH47">
        <v>0</v>
      </c>
      <c r="CI47">
        <v>0</v>
      </c>
      <c r="CJ47">
        <v>0.15827545540999999</v>
      </c>
      <c r="CK47">
        <v>0.60298505989999995</v>
      </c>
      <c r="CL47">
        <v>0</v>
      </c>
      <c r="CM47">
        <v>0</v>
      </c>
      <c r="CN47">
        <v>0</v>
      </c>
      <c r="CO47">
        <v>0</v>
      </c>
      <c r="CP47">
        <v>0.60298505989999995</v>
      </c>
      <c r="CQ47">
        <v>0</v>
      </c>
      <c r="CR47">
        <v>0</v>
      </c>
      <c r="CS47">
        <v>0</v>
      </c>
      <c r="CT47">
        <v>0</v>
      </c>
      <c r="CU47" s="498">
        <v>0.60298505989999995</v>
      </c>
    </row>
    <row r="48" spans="1:99">
      <c r="C48">
        <v>4</v>
      </c>
      <c r="D48" s="209" t="s">
        <v>61</v>
      </c>
      <c r="E48">
        <v>0.20634147794000018</v>
      </c>
      <c r="F48">
        <v>0.21558380713999986</v>
      </c>
      <c r="G48">
        <v>0.20786112801999995</v>
      </c>
      <c r="H48">
        <v>0.62978641310000005</v>
      </c>
      <c r="I48">
        <v>0.21327537166000018</v>
      </c>
      <c r="J48">
        <v>0.21191507584000002</v>
      </c>
      <c r="K48">
        <v>0.20121685843999987</v>
      </c>
      <c r="L48">
        <v>0.62640730594000016</v>
      </c>
      <c r="M48">
        <v>1.2561937190400001</v>
      </c>
      <c r="N48">
        <v>0.20731085960000012</v>
      </c>
      <c r="O48">
        <v>0.19888680343999993</v>
      </c>
      <c r="P48">
        <v>0.20552999999999999</v>
      </c>
      <c r="Q48">
        <v>0.61172766304000004</v>
      </c>
      <c r="R48">
        <v>1.86792138208</v>
      </c>
      <c r="S48">
        <v>0.20643689742000002</v>
      </c>
      <c r="T48">
        <v>0.18727811699999999</v>
      </c>
      <c r="U48">
        <v>0.20153236012000003</v>
      </c>
      <c r="V48">
        <v>0.59524737453999998</v>
      </c>
      <c r="W48" s="498">
        <v>2.46316875662</v>
      </c>
      <c r="X48">
        <v>0.19340376355</v>
      </c>
      <c r="Y48">
        <v>0.1981406097</v>
      </c>
      <c r="Z48">
        <v>0.19494626607000001</v>
      </c>
      <c r="AA48">
        <v>0.58649063932000012</v>
      </c>
      <c r="AB48">
        <v>0.19744920000000002</v>
      </c>
      <c r="AC48">
        <v>0.20083199916</v>
      </c>
      <c r="AD48">
        <v>0.19326450000999998</v>
      </c>
      <c r="AE48">
        <v>0.59154569916999999</v>
      </c>
      <c r="AF48">
        <v>1.1780363384899999</v>
      </c>
      <c r="AG48">
        <v>0.19220655998</v>
      </c>
      <c r="AH48">
        <v>0.19060080001000002</v>
      </c>
      <c r="AI48">
        <v>0.19396597996999998</v>
      </c>
      <c r="AJ48">
        <v>0.57677333996000002</v>
      </c>
      <c r="AK48">
        <v>1.75480967845</v>
      </c>
      <c r="AL48">
        <v>0.19060859997999999</v>
      </c>
      <c r="AM48">
        <v>0.17929340002999999</v>
      </c>
      <c r="AN48">
        <v>0.19254664003000002</v>
      </c>
      <c r="AO48">
        <v>0.56244864003999995</v>
      </c>
      <c r="AP48" s="498">
        <v>2.31725831849</v>
      </c>
      <c r="AQ48">
        <v>0.1807377</v>
      </c>
      <c r="AR48">
        <v>0.18524167999999999</v>
      </c>
      <c r="AS48">
        <v>0.18191966000000001</v>
      </c>
      <c r="AT48">
        <v>0.54789904</v>
      </c>
      <c r="AU48">
        <v>0.19083037999999999</v>
      </c>
      <c r="AV48">
        <v>0.18630533999999999</v>
      </c>
      <c r="AW48">
        <v>0.18059605200000001</v>
      </c>
      <c r="AX48">
        <v>0.55773177200000001</v>
      </c>
      <c r="AY48">
        <v>1.105630812</v>
      </c>
      <c r="AZ48">
        <v>0.18848667600000002</v>
      </c>
      <c r="BA48">
        <v>0.18169616099999999</v>
      </c>
      <c r="BB48">
        <v>0.18920928000000001</v>
      </c>
      <c r="BC48">
        <v>0.55939211700000002</v>
      </c>
      <c r="BD48">
        <v>1.665022929</v>
      </c>
      <c r="BE48">
        <v>0.18739557484</v>
      </c>
      <c r="BF48">
        <v>0.16764473648</v>
      </c>
      <c r="BG48">
        <v>0.18352936212000001</v>
      </c>
      <c r="BH48">
        <v>0.53856967344000006</v>
      </c>
      <c r="BI48" s="498">
        <v>2.2035926024400001</v>
      </c>
      <c r="BJ48">
        <v>0.17783653099999999</v>
      </c>
      <c r="BK48">
        <v>0.182880509</v>
      </c>
      <c r="BL48">
        <v>0.17702018799999999</v>
      </c>
      <c r="BM48">
        <v>0.53773722800000001</v>
      </c>
      <c r="BN48">
        <v>0.180745289</v>
      </c>
      <c r="BO48">
        <v>0.17962498800000001</v>
      </c>
      <c r="BP48">
        <v>0.174019324</v>
      </c>
      <c r="BQ48">
        <v>0.53438960099999999</v>
      </c>
      <c r="BR48">
        <v>1.0721268289999999</v>
      </c>
      <c r="BS48">
        <v>0.178756941</v>
      </c>
      <c r="BT48">
        <v>0.17191981099999998</v>
      </c>
      <c r="BU48">
        <v>0.174586876</v>
      </c>
      <c r="BV48">
        <v>0.52526362800000004</v>
      </c>
      <c r="BW48">
        <v>1.5973904569999999</v>
      </c>
      <c r="BX48">
        <v>0.17108741399999999</v>
      </c>
      <c r="BY48">
        <v>0.158627295</v>
      </c>
      <c r="BZ48">
        <v>0</v>
      </c>
      <c r="CA48">
        <v>0.32971470900000005</v>
      </c>
      <c r="CB48" s="498">
        <v>1.927105166</v>
      </c>
      <c r="CC48">
        <v>0.16320569486</v>
      </c>
      <c r="CD48">
        <v>0.16850892526</v>
      </c>
      <c r="CE48">
        <v>0.16272526506000001</v>
      </c>
      <c r="CF48">
        <v>0.49443988517999998</v>
      </c>
      <c r="CG48">
        <v>0.16934024690999999</v>
      </c>
      <c r="CH48">
        <v>0</v>
      </c>
      <c r="CI48">
        <v>0</v>
      </c>
      <c r="CJ48">
        <v>0.16934024690999999</v>
      </c>
      <c r="CK48">
        <v>0.66378013208999997</v>
      </c>
      <c r="CL48">
        <v>0</v>
      </c>
      <c r="CM48">
        <v>0</v>
      </c>
      <c r="CN48">
        <v>0</v>
      </c>
      <c r="CO48">
        <v>0</v>
      </c>
      <c r="CP48">
        <v>0.66378013208999997</v>
      </c>
      <c r="CQ48">
        <v>0</v>
      </c>
      <c r="CR48">
        <v>0</v>
      </c>
      <c r="CS48">
        <v>0</v>
      </c>
      <c r="CT48">
        <v>0</v>
      </c>
      <c r="CU48" s="498">
        <v>0.66378013208999997</v>
      </c>
    </row>
    <row r="49" spans="1:99">
      <c r="C49">
        <v>5</v>
      </c>
      <c r="D49" s="209" t="s">
        <v>62</v>
      </c>
      <c r="E49">
        <v>1.7047E-2</v>
      </c>
      <c r="F49">
        <v>1.5406E-2</v>
      </c>
      <c r="G49">
        <v>1.4930000000000001E-2</v>
      </c>
      <c r="H49">
        <v>4.7383000000000002E-2</v>
      </c>
      <c r="I49">
        <v>1.5186E-2</v>
      </c>
      <c r="J49">
        <v>1.487E-2</v>
      </c>
      <c r="K49">
        <v>1.3683000000000001E-2</v>
      </c>
      <c r="L49">
        <v>4.3739E-2</v>
      </c>
      <c r="M49">
        <v>9.1121999999999995E-2</v>
      </c>
      <c r="N49">
        <v>1.4251E-2</v>
      </c>
      <c r="O49">
        <v>1.32E-2</v>
      </c>
      <c r="P49">
        <v>1.3665E-2</v>
      </c>
      <c r="Q49">
        <v>4.1116E-2</v>
      </c>
      <c r="R49">
        <v>0.13223799999999999</v>
      </c>
      <c r="S49">
        <v>1.3094E-2</v>
      </c>
      <c r="T49">
        <v>1.1761000000000001E-2</v>
      </c>
      <c r="U49">
        <v>1.2073E-2</v>
      </c>
      <c r="V49">
        <v>3.6928000000000002E-2</v>
      </c>
      <c r="W49" s="498">
        <v>0.16916600000000001</v>
      </c>
      <c r="X49">
        <v>1.151199998E-2</v>
      </c>
      <c r="Y49">
        <v>1.1068000040000001E-2</v>
      </c>
      <c r="Z49">
        <v>1.084599994E-2</v>
      </c>
      <c r="AA49">
        <v>3.3425999960000001E-2</v>
      </c>
      <c r="AB49">
        <v>1.1100000069999999E-2</v>
      </c>
      <c r="AC49">
        <v>1.077599993E-2</v>
      </c>
      <c r="AD49">
        <v>9.998000009999999E-3</v>
      </c>
      <c r="AE49">
        <v>3.187400001E-2</v>
      </c>
      <c r="AF49">
        <v>6.5299999970000008E-2</v>
      </c>
      <c r="AG49">
        <v>1.0492999980000001E-2</v>
      </c>
      <c r="AH49">
        <v>9.9940002000000003E-3</v>
      </c>
      <c r="AI49">
        <v>1.0151999659999999E-2</v>
      </c>
      <c r="AJ49">
        <v>3.0638999840000004E-2</v>
      </c>
      <c r="AK49">
        <v>9.5938999810000009E-2</v>
      </c>
      <c r="AL49">
        <v>9.9900001699999991E-3</v>
      </c>
      <c r="AM49">
        <v>9.0100000500000013E-3</v>
      </c>
      <c r="AN49">
        <v>9.3720000099999992E-3</v>
      </c>
      <c r="AO49">
        <v>2.8372000230000003E-2</v>
      </c>
      <c r="AP49" s="498">
        <v>0.12431100004000001</v>
      </c>
      <c r="AQ49">
        <v>9.7260000000000003E-3</v>
      </c>
      <c r="AR49">
        <v>9.1409999999999998E-3</v>
      </c>
      <c r="AS49">
        <v>7.3090000000000004E-3</v>
      </c>
      <c r="AT49">
        <v>2.6176000000000001E-2</v>
      </c>
      <c r="AU49">
        <v>9.5010000000000008E-3</v>
      </c>
      <c r="AV49">
        <v>9.3449999999999991E-3</v>
      </c>
      <c r="AW49">
        <v>8.0789999999999994E-3</v>
      </c>
      <c r="AX49">
        <v>2.6925000000000001E-2</v>
      </c>
      <c r="AY49">
        <v>5.3101000000000002E-2</v>
      </c>
      <c r="AZ49">
        <v>9.0900000000000009E-3</v>
      </c>
      <c r="BA49">
        <v>8.6140000000000001E-3</v>
      </c>
      <c r="BB49">
        <v>9.2060000000000006E-3</v>
      </c>
      <c r="BC49">
        <v>2.691E-2</v>
      </c>
      <c r="BD49">
        <v>8.0010999999999999E-2</v>
      </c>
      <c r="BE49">
        <v>8.9129999599999992E-3</v>
      </c>
      <c r="BF49">
        <v>8.123E-3</v>
      </c>
      <c r="BG49">
        <v>8.2920000000000008E-3</v>
      </c>
      <c r="BH49">
        <v>2.532799996E-2</v>
      </c>
      <c r="BI49" s="498">
        <v>0.10533899996</v>
      </c>
      <c r="BJ49">
        <v>8.0230000000000006E-3</v>
      </c>
      <c r="BK49">
        <v>8.6149999999999994E-3</v>
      </c>
      <c r="BL49">
        <v>8.1250000000000003E-3</v>
      </c>
      <c r="BM49">
        <v>2.4763E-2</v>
      </c>
      <c r="BN49">
        <v>8.2730000000000008E-3</v>
      </c>
      <c r="BO49">
        <v>8.3920000000000002E-3</v>
      </c>
      <c r="BP49">
        <v>8.4169999999999991E-3</v>
      </c>
      <c r="BQ49">
        <v>2.5082E-2</v>
      </c>
      <c r="BR49">
        <v>4.9845E-2</v>
      </c>
      <c r="BS49">
        <v>9.7289999999999998E-3</v>
      </c>
      <c r="BT49">
        <v>9.2949999999999994E-3</v>
      </c>
      <c r="BU49">
        <v>9.0919999999999994E-3</v>
      </c>
      <c r="BV49">
        <v>2.8115999999999999E-2</v>
      </c>
      <c r="BW49">
        <v>7.7961000000000003E-2</v>
      </c>
      <c r="BX49">
        <v>8.7670000000000005E-3</v>
      </c>
      <c r="BY49">
        <v>7.705E-3</v>
      </c>
      <c r="BZ49">
        <v>0</v>
      </c>
      <c r="CA49">
        <v>1.6472000000000001E-2</v>
      </c>
      <c r="CB49" s="498">
        <v>9.4433000000000003E-2</v>
      </c>
      <c r="CC49">
        <v>7.6360000300000003E-3</v>
      </c>
      <c r="CD49">
        <v>7.5549998999999996E-3</v>
      </c>
      <c r="CE49">
        <v>7.68500001E-3</v>
      </c>
      <c r="CF49">
        <v>2.2875999940000002E-2</v>
      </c>
      <c r="CG49">
        <v>7.6850000600000006E-3</v>
      </c>
      <c r="CH49">
        <v>0</v>
      </c>
      <c r="CI49">
        <v>0</v>
      </c>
      <c r="CJ49">
        <v>7.6850000600000006E-3</v>
      </c>
      <c r="CK49">
        <v>3.0561000000000001E-2</v>
      </c>
      <c r="CL49">
        <v>0</v>
      </c>
      <c r="CM49">
        <v>0</v>
      </c>
      <c r="CN49">
        <v>0</v>
      </c>
      <c r="CO49">
        <v>0</v>
      </c>
      <c r="CP49">
        <v>3.0561000000000001E-2</v>
      </c>
      <c r="CQ49">
        <v>0</v>
      </c>
      <c r="CR49">
        <v>0</v>
      </c>
      <c r="CS49">
        <v>0</v>
      </c>
      <c r="CT49">
        <v>0</v>
      </c>
      <c r="CU49" s="498">
        <v>3.0561000000000001E-2</v>
      </c>
    </row>
    <row r="50" spans="1:99">
      <c r="C50">
        <v>6</v>
      </c>
      <c r="D50" s="209" t="s">
        <v>57</v>
      </c>
      <c r="E50">
        <v>4.0765999999999997E-2</v>
      </c>
      <c r="F50">
        <v>4.1369999999999997E-2</v>
      </c>
      <c r="G50">
        <v>3.5659999999999997E-2</v>
      </c>
      <c r="H50">
        <v>0.117796</v>
      </c>
      <c r="I50">
        <v>3.9472887299999995E-2</v>
      </c>
      <c r="J50">
        <v>3.9642999999999998E-2</v>
      </c>
      <c r="K50">
        <v>3.7332999999999998E-2</v>
      </c>
      <c r="L50">
        <v>0.1164488873</v>
      </c>
      <c r="M50">
        <v>0.23424488730000001</v>
      </c>
      <c r="N50">
        <v>3.9018999999999998E-2</v>
      </c>
      <c r="O50">
        <v>3.8116999999999998E-2</v>
      </c>
      <c r="P50">
        <v>3.9298938540594665E-2</v>
      </c>
      <c r="Q50">
        <v>0.11643493854059467</v>
      </c>
      <c r="R50">
        <v>0.35067982584059465</v>
      </c>
      <c r="S50">
        <v>3.7907051924654642E-2</v>
      </c>
      <c r="T50">
        <v>3.3931000000000003E-2</v>
      </c>
      <c r="U50">
        <v>3.6107448299999997E-2</v>
      </c>
      <c r="V50">
        <v>0.10794550022465461</v>
      </c>
      <c r="W50" s="498">
        <v>0.45862532606524925</v>
      </c>
      <c r="X50">
        <v>3.4726207199999998E-2</v>
      </c>
      <c r="Y50">
        <v>3.4788969420000003E-2</v>
      </c>
      <c r="Z50">
        <v>3.37769817E-2</v>
      </c>
      <c r="AA50">
        <v>0.10329215831999999</v>
      </c>
      <c r="AB50">
        <v>3.4298140839999998E-2</v>
      </c>
      <c r="AC50">
        <v>3.4377211920000005E-2</v>
      </c>
      <c r="AD50">
        <v>3.26306211E-2</v>
      </c>
      <c r="AE50">
        <v>0.10130597386000001</v>
      </c>
      <c r="AF50">
        <v>0.20459813218</v>
      </c>
      <c r="AG50">
        <v>3.3539352290000005E-2</v>
      </c>
      <c r="AH50">
        <v>3.2490288589999999E-2</v>
      </c>
      <c r="AI50">
        <v>3.3626069409999994E-2</v>
      </c>
      <c r="AJ50">
        <v>9.9655710290000005E-2</v>
      </c>
      <c r="AK50">
        <v>0.30425384247000004</v>
      </c>
      <c r="AL50">
        <v>3.227319478E-2</v>
      </c>
      <c r="AM50">
        <v>3.0696504359999998E-2</v>
      </c>
      <c r="AN50">
        <v>3.2979292469999998E-2</v>
      </c>
      <c r="AO50">
        <v>9.5948991609999992E-2</v>
      </c>
      <c r="AP50" s="498">
        <v>0.40020283408000007</v>
      </c>
      <c r="AQ50">
        <v>3.1412466E-2</v>
      </c>
      <c r="AR50">
        <v>3.0692854999999998E-2</v>
      </c>
      <c r="AS50">
        <v>3.2228405000000002E-2</v>
      </c>
      <c r="AT50">
        <v>9.4333725999999993E-2</v>
      </c>
      <c r="AU50">
        <v>3.3319023000000003E-2</v>
      </c>
      <c r="AV50">
        <v>3.2720941999999996E-2</v>
      </c>
      <c r="AW50">
        <v>3.2057123E-2</v>
      </c>
      <c r="AX50">
        <v>9.8097087999999985E-2</v>
      </c>
      <c r="AY50">
        <v>0.19243081399999998</v>
      </c>
      <c r="AZ50">
        <v>3.3694214E-2</v>
      </c>
      <c r="BA50">
        <v>0.10150695</v>
      </c>
      <c r="BB50">
        <v>4.2915148E-2</v>
      </c>
      <c r="BC50">
        <v>0.17811631199999997</v>
      </c>
      <c r="BD50">
        <v>0.37054712599999995</v>
      </c>
      <c r="BE50">
        <v>3.920773751E-2</v>
      </c>
      <c r="BF50">
        <v>3.7174913930000004E-2</v>
      </c>
      <c r="BG50">
        <v>4.0553860522500006E-2</v>
      </c>
      <c r="BH50">
        <v>0.1169365119625</v>
      </c>
      <c r="BI50" s="498">
        <v>0.48748363796249994</v>
      </c>
      <c r="BJ50">
        <v>3.8372489999999995E-2</v>
      </c>
      <c r="BK50">
        <v>3.9219423999999996E-2</v>
      </c>
      <c r="BL50">
        <v>3.7927277000000002E-2</v>
      </c>
      <c r="BM50">
        <v>0.11551919099999999</v>
      </c>
      <c r="BN50">
        <v>3.9981678E-2</v>
      </c>
      <c r="BO50">
        <v>4.0111870000000001E-2</v>
      </c>
      <c r="BP50">
        <v>3.9096995000000002E-2</v>
      </c>
      <c r="BQ50">
        <v>0.11919054300000001</v>
      </c>
      <c r="BR50">
        <v>0.234709734</v>
      </c>
      <c r="BS50">
        <v>4.1242196000000002E-2</v>
      </c>
      <c r="BT50">
        <v>3.9664404E-2</v>
      </c>
      <c r="BU50">
        <v>4.1252110000000002E-2</v>
      </c>
      <c r="BV50">
        <v>0.12215871</v>
      </c>
      <c r="BW50">
        <v>0.35686844400000001</v>
      </c>
      <c r="BX50">
        <v>3.8896254999999998E-2</v>
      </c>
      <c r="BY50">
        <v>3.6317404999999997E-2</v>
      </c>
      <c r="BZ50">
        <v>0</v>
      </c>
      <c r="CA50">
        <v>7.5213660000000002E-2</v>
      </c>
      <c r="CB50" s="498">
        <v>0.43208210400000008</v>
      </c>
      <c r="CC50">
        <v>3.796799E-2</v>
      </c>
      <c r="CD50">
        <v>3.8751151729999996E-2</v>
      </c>
      <c r="CE50">
        <v>3.8150668189999994E-2</v>
      </c>
      <c r="CF50">
        <v>0.11486980992</v>
      </c>
      <c r="CG50">
        <v>3.9519113100000003E-2</v>
      </c>
      <c r="CH50">
        <v>0</v>
      </c>
      <c r="CI50">
        <v>0</v>
      </c>
      <c r="CJ50">
        <v>3.9519113100000003E-2</v>
      </c>
      <c r="CK50">
        <v>0.15438892301999999</v>
      </c>
      <c r="CL50">
        <v>0</v>
      </c>
      <c r="CM50">
        <v>0</v>
      </c>
      <c r="CN50">
        <v>0</v>
      </c>
      <c r="CO50">
        <v>0</v>
      </c>
      <c r="CP50">
        <v>0.15438892301999999</v>
      </c>
      <c r="CQ50">
        <v>0</v>
      </c>
      <c r="CR50">
        <v>0</v>
      </c>
      <c r="CS50">
        <v>0</v>
      </c>
      <c r="CT50">
        <v>0</v>
      </c>
      <c r="CU50" s="498">
        <v>0.15438892301999999</v>
      </c>
    </row>
    <row r="51" spans="1:99">
      <c r="A51" t="s">
        <v>293</v>
      </c>
      <c r="C51">
        <v>7</v>
      </c>
      <c r="D51" s="209" t="s">
        <v>58</v>
      </c>
      <c r="E51">
        <v>7.4055488115802749E-3</v>
      </c>
      <c r="F51">
        <v>0</v>
      </c>
      <c r="G51">
        <v>1.5018116889624903E-2</v>
      </c>
      <c r="H51">
        <v>2.242366570120518E-2</v>
      </c>
      <c r="I51">
        <v>2.8619000585438054E-2</v>
      </c>
      <c r="J51">
        <v>5.1377489124229132E-2</v>
      </c>
      <c r="K51">
        <v>4.6655871562939655E-2</v>
      </c>
      <c r="L51">
        <v>0.12665236127260684</v>
      </c>
      <c r="M51">
        <v>0.14907602697381203</v>
      </c>
      <c r="N51">
        <v>5.2743740008994275E-2</v>
      </c>
      <c r="O51">
        <v>3.2077177315080606E-2</v>
      </c>
      <c r="P51">
        <v>1.5052361306099873E-2</v>
      </c>
      <c r="Q51">
        <v>9.9873278630174755E-2</v>
      </c>
      <c r="R51">
        <v>0.24894930560398679</v>
      </c>
      <c r="S51">
        <v>4.1282172561705757E-2</v>
      </c>
      <c r="T51">
        <v>3.1391292334647686E-2</v>
      </c>
      <c r="U51">
        <v>2.4951953550385597E-2</v>
      </c>
      <c r="V51">
        <v>9.762541844673904E-2</v>
      </c>
      <c r="W51" s="498">
        <v>0.34657472405072581</v>
      </c>
      <c r="X51">
        <v>4.2157055339999999E-2</v>
      </c>
      <c r="Y51">
        <v>2.7965987099999999E-2</v>
      </c>
      <c r="Z51">
        <v>3.790482236E-2</v>
      </c>
      <c r="AA51">
        <v>0.10802786479999998</v>
      </c>
      <c r="AB51">
        <v>4.3599830309999997E-2</v>
      </c>
      <c r="AC51">
        <v>4.0833946779999998E-2</v>
      </c>
      <c r="AD51">
        <v>2.8348783670000002E-2</v>
      </c>
      <c r="AE51">
        <v>0.11278256076</v>
      </c>
      <c r="AF51">
        <v>0.22081042555999997</v>
      </c>
      <c r="AG51">
        <v>0</v>
      </c>
      <c r="AH51">
        <v>2.383089901E-2</v>
      </c>
      <c r="AI51">
        <v>4.2770774519999999E-2</v>
      </c>
      <c r="AJ51">
        <v>6.6601673530000002E-2</v>
      </c>
      <c r="AK51">
        <v>0.28741209908999998</v>
      </c>
      <c r="AL51">
        <v>3.687278813E-2</v>
      </c>
      <c r="AM51">
        <v>3.562258821E-2</v>
      </c>
      <c r="AN51">
        <v>2.9909999999999999E-2</v>
      </c>
      <c r="AO51">
        <v>0.10240537634000001</v>
      </c>
      <c r="AP51" s="498">
        <v>0.38981747543</v>
      </c>
      <c r="AQ51">
        <v>2.0792796999999998E-2</v>
      </c>
      <c r="AR51">
        <v>3.3132798999999998E-2</v>
      </c>
      <c r="AS51">
        <v>2.7337083999999998E-2</v>
      </c>
      <c r="AT51">
        <v>8.126267999999999E-2</v>
      </c>
      <c r="AU51">
        <v>2.9776245E-2</v>
      </c>
      <c r="AV51">
        <v>3.8123999999999998E-2</v>
      </c>
      <c r="AW51">
        <v>3.0678750000000001E-2</v>
      </c>
      <c r="AX51">
        <v>9.8578994999999989E-2</v>
      </c>
      <c r="AY51">
        <v>0.17984167499999998</v>
      </c>
      <c r="AZ51">
        <v>2.7825389999999998E-2</v>
      </c>
      <c r="BA51">
        <v>2.8262887E-2</v>
      </c>
      <c r="BB51">
        <v>3.8768377E-2</v>
      </c>
      <c r="BC51">
        <v>9.4856654000000012E-2</v>
      </c>
      <c r="BD51">
        <v>0.27469832900000002</v>
      </c>
      <c r="BE51">
        <v>3.4311101050000001E-2</v>
      </c>
      <c r="BF51">
        <v>2.4674706000000001E-2</v>
      </c>
      <c r="BG51">
        <v>3.2850883800000001E-2</v>
      </c>
      <c r="BH51">
        <v>9.1836690850000013E-2</v>
      </c>
      <c r="BI51" s="498">
        <v>0.36653501985000003</v>
      </c>
      <c r="BJ51">
        <v>3.2173765E-2</v>
      </c>
      <c r="BK51">
        <v>3.5310870000000001E-2</v>
      </c>
      <c r="BL51">
        <v>3.6693000000000003E-2</v>
      </c>
      <c r="BM51">
        <v>0.104177635</v>
      </c>
      <c r="BN51">
        <v>3.6855481000000002E-2</v>
      </c>
      <c r="BO51">
        <v>3.7371510000000004E-2</v>
      </c>
      <c r="BP51">
        <v>3.4713899999999999E-2</v>
      </c>
      <c r="BQ51">
        <v>0.108940891</v>
      </c>
      <c r="BR51">
        <v>0.213118526</v>
      </c>
      <c r="BS51">
        <v>3.921264E-2</v>
      </c>
      <c r="BT51">
        <v>2.1622139999999998E-2</v>
      </c>
      <c r="BU51">
        <v>0</v>
      </c>
      <c r="BV51">
        <v>6.0834779999999998E-2</v>
      </c>
      <c r="BW51">
        <v>0.27395330600000001</v>
      </c>
      <c r="BX51">
        <v>5.4842399999999996E-3</v>
      </c>
      <c r="BY51">
        <v>3.2844690000000003E-2</v>
      </c>
      <c r="BZ51">
        <v>0</v>
      </c>
      <c r="CA51">
        <v>3.8328929999999997E-2</v>
      </c>
      <c r="CB51" s="498">
        <v>0.31228223599999999</v>
      </c>
      <c r="CC51">
        <v>4.3198919969999999E-2</v>
      </c>
      <c r="CD51">
        <v>3.7292113259999995E-2</v>
      </c>
      <c r="CE51">
        <v>3.9229919990000001E-2</v>
      </c>
      <c r="CF51">
        <v>0.11972095322</v>
      </c>
      <c r="CG51">
        <v>3.3881504029999995E-2</v>
      </c>
      <c r="CH51">
        <v>0</v>
      </c>
      <c r="CI51">
        <v>0</v>
      </c>
      <c r="CJ51">
        <v>3.3881504029999995E-2</v>
      </c>
      <c r="CK51">
        <v>0.15360245724999999</v>
      </c>
      <c r="CL51">
        <v>0</v>
      </c>
      <c r="CM51">
        <v>0</v>
      </c>
      <c r="CN51">
        <v>0</v>
      </c>
      <c r="CO51">
        <v>0</v>
      </c>
      <c r="CP51">
        <v>0.15360245724999999</v>
      </c>
      <c r="CQ51">
        <v>0</v>
      </c>
      <c r="CR51">
        <v>0</v>
      </c>
      <c r="CS51">
        <v>0</v>
      </c>
      <c r="CT51">
        <v>0</v>
      </c>
      <c r="CU51" s="498">
        <v>0.15360245724999999</v>
      </c>
    </row>
    <row r="52" spans="1:99">
      <c r="C52">
        <v>8</v>
      </c>
      <c r="D52" s="209" t="s">
        <v>59</v>
      </c>
      <c r="E52">
        <v>6.1870567846607676E-3</v>
      </c>
      <c r="F52">
        <v>6.0893311209439527E-3</v>
      </c>
      <c r="G52">
        <v>6.1562131268436586E-3</v>
      </c>
      <c r="H52">
        <v>1.8432601032448381E-2</v>
      </c>
      <c r="I52">
        <v>6.3419749262536877E-3</v>
      </c>
      <c r="J52">
        <v>6.5002735988200595E-3</v>
      </c>
      <c r="K52">
        <v>6.6536873156342177E-3</v>
      </c>
      <c r="L52">
        <v>1.9495935840707967E-2</v>
      </c>
      <c r="M52">
        <v>3.7928536873156352E-2</v>
      </c>
      <c r="N52">
        <v>6.9421489675516217E-3</v>
      </c>
      <c r="O52">
        <v>6.5616969026548672E-3</v>
      </c>
      <c r="P52">
        <v>7.0067846607669501E-3</v>
      </c>
      <c r="Q52">
        <v>2.0510630530973437E-2</v>
      </c>
      <c r="R52">
        <v>5.8439167404129785E-2</v>
      </c>
      <c r="S52">
        <v>6.467440265486726E-3</v>
      </c>
      <c r="T52">
        <v>5.8558222713864308E-3</v>
      </c>
      <c r="U52">
        <v>6.6156976401179936E-3</v>
      </c>
      <c r="V52">
        <v>1.8938960176991149E-2</v>
      </c>
      <c r="W52" s="498">
        <v>7.7378127581120934E-2</v>
      </c>
      <c r="X52">
        <v>6.5939999900000001E-3</v>
      </c>
      <c r="Y52">
        <v>6.7719999900000003E-3</v>
      </c>
      <c r="Z52">
        <v>6.63899998E-3</v>
      </c>
      <c r="AA52">
        <v>2.0004999960000002E-2</v>
      </c>
      <c r="AB52">
        <v>6.9378140199999995E-3</v>
      </c>
      <c r="AC52">
        <v>6.9825000799999997E-3</v>
      </c>
      <c r="AD52">
        <v>6.2420000000000002E-3</v>
      </c>
      <c r="AE52">
        <v>2.0162314099999998E-2</v>
      </c>
      <c r="AF52">
        <v>4.0167314060000008E-2</v>
      </c>
      <c r="AG52">
        <v>7.3029999599999998E-3</v>
      </c>
      <c r="AH52">
        <v>7.4365000000000004E-3</v>
      </c>
      <c r="AI52">
        <v>8.0629999799999991E-3</v>
      </c>
      <c r="AJ52">
        <v>2.2802499940000002E-2</v>
      </c>
      <c r="AK52">
        <v>6.2969813999999999E-2</v>
      </c>
      <c r="AL52">
        <v>7.7169999999999999E-3</v>
      </c>
      <c r="AM52">
        <v>7.3825000100000001E-3</v>
      </c>
      <c r="AN52">
        <v>8.3200000100000001E-3</v>
      </c>
      <c r="AO52">
        <v>2.3419500020000001E-2</v>
      </c>
      <c r="AP52" s="498">
        <v>8.638931402000001E-2</v>
      </c>
      <c r="AQ52">
        <v>8.6929999999999993E-3</v>
      </c>
      <c r="AR52">
        <v>9.4470000000000005E-3</v>
      </c>
      <c r="AS52">
        <v>9.3185000000000004E-3</v>
      </c>
      <c r="AT52">
        <v>2.74585E-2</v>
      </c>
      <c r="AU52">
        <v>9.6845000000000004E-3</v>
      </c>
      <c r="AV52">
        <v>9.4094999999999995E-3</v>
      </c>
      <c r="AW52">
        <v>8.9175000000000001E-3</v>
      </c>
      <c r="AX52">
        <v>2.8011500000000002E-2</v>
      </c>
      <c r="AY52">
        <v>5.5469999999999998E-2</v>
      </c>
      <c r="AZ52">
        <v>9.2449999999999997E-3</v>
      </c>
      <c r="BA52">
        <v>8.7545000000000001E-3</v>
      </c>
      <c r="BB52">
        <v>9.6900000000000007E-3</v>
      </c>
      <c r="BC52">
        <v>2.7689499999999999E-2</v>
      </c>
      <c r="BD52">
        <v>8.3159499999999997E-2</v>
      </c>
      <c r="BE52">
        <v>9.9769999999999998E-3</v>
      </c>
      <c r="BF52">
        <v>8.4680000099999989E-3</v>
      </c>
      <c r="BG52">
        <v>1.005999999E-2</v>
      </c>
      <c r="BH52">
        <v>2.8504999999999999E-2</v>
      </c>
      <c r="BI52" s="498">
        <v>0.1116645</v>
      </c>
      <c r="BJ52">
        <v>1.0907E-2</v>
      </c>
      <c r="BK52">
        <v>1.08655E-2</v>
      </c>
      <c r="BL52">
        <v>1.0054499999999999E-2</v>
      </c>
      <c r="BM52">
        <v>3.1827000000000001E-2</v>
      </c>
      <c r="BN52">
        <v>1.0647999999999999E-2</v>
      </c>
      <c r="BO52">
        <v>1.14155E-2</v>
      </c>
      <c r="BP52">
        <v>1.1374499999999999E-2</v>
      </c>
      <c r="BQ52">
        <v>3.3438000000000002E-2</v>
      </c>
      <c r="BR52">
        <v>6.5265000000000004E-2</v>
      </c>
      <c r="BS52">
        <v>1.1799499999999999E-2</v>
      </c>
      <c r="BT52">
        <v>1.15575E-2</v>
      </c>
      <c r="BU52">
        <v>1.12605E-2</v>
      </c>
      <c r="BV52">
        <v>3.4617500000000002E-2</v>
      </c>
      <c r="BW52">
        <v>9.9882499999999999E-2</v>
      </c>
      <c r="BX52">
        <v>1.0503500000000001E-2</v>
      </c>
      <c r="BY52">
        <v>9.6889999999999997E-3</v>
      </c>
      <c r="BZ52">
        <v>0</v>
      </c>
      <c r="CA52">
        <v>2.0192499999999999E-2</v>
      </c>
      <c r="CB52" s="498">
        <v>0.120075</v>
      </c>
      <c r="CC52">
        <v>9.9170000099999996E-3</v>
      </c>
      <c r="CD52">
        <v>1.0173E-2</v>
      </c>
      <c r="CE52">
        <v>1.0609E-2</v>
      </c>
      <c r="CF52">
        <v>3.0699000010000001E-2</v>
      </c>
      <c r="CG52">
        <v>1.113899998E-2</v>
      </c>
      <c r="CH52">
        <v>0</v>
      </c>
      <c r="CI52">
        <v>0</v>
      </c>
      <c r="CJ52">
        <v>1.113899998E-2</v>
      </c>
      <c r="CK52">
        <v>4.1837999989999999E-2</v>
      </c>
      <c r="CL52">
        <v>0</v>
      </c>
      <c r="CM52">
        <v>0</v>
      </c>
      <c r="CN52">
        <v>0</v>
      </c>
      <c r="CO52">
        <v>0</v>
      </c>
      <c r="CP52">
        <v>4.1837999989999999E-2</v>
      </c>
      <c r="CQ52">
        <v>0</v>
      </c>
      <c r="CR52">
        <v>0</v>
      </c>
      <c r="CS52">
        <v>0</v>
      </c>
      <c r="CT52">
        <v>0</v>
      </c>
      <c r="CU52" s="498">
        <v>4.1837999989999999E-2</v>
      </c>
    </row>
    <row r="53" spans="1:99">
      <c r="C53">
        <v>9</v>
      </c>
      <c r="D53" s="209" t="s">
        <v>63</v>
      </c>
      <c r="E53">
        <v>5.7904240550595558E-2</v>
      </c>
      <c r="F53">
        <v>5.8108107187313532E-2</v>
      </c>
      <c r="G53">
        <v>5.8422912941788537E-2</v>
      </c>
      <c r="H53">
        <v>0.17443526067969761</v>
      </c>
      <c r="I53">
        <v>4.6815269343533777E-2</v>
      </c>
      <c r="J53">
        <v>6.0606799451899902E-2</v>
      </c>
      <c r="K53">
        <v>5.4558941045529538E-2</v>
      </c>
      <c r="L53">
        <v>0.1619810098409632</v>
      </c>
      <c r="M53">
        <v>0.33641627052066081</v>
      </c>
      <c r="N53">
        <v>5.2261677035918677E-2</v>
      </c>
      <c r="O53">
        <v>6.4093618379434489E-2</v>
      </c>
      <c r="P53">
        <v>5.8948568792562502E-2</v>
      </c>
      <c r="Q53">
        <v>0.17530386420791566</v>
      </c>
      <c r="R53">
        <v>0.51172013472857647</v>
      </c>
      <c r="S53">
        <v>5.3950672802399735E-2</v>
      </c>
      <c r="T53">
        <v>4.8358660398129694E-2</v>
      </c>
      <c r="U53">
        <v>4.0220921344783875E-2</v>
      </c>
      <c r="V53">
        <v>0.14253025454531332</v>
      </c>
      <c r="W53" s="498">
        <v>0.65425038927388979</v>
      </c>
      <c r="X53">
        <v>5.1395400000000001E-2</v>
      </c>
      <c r="Y53">
        <v>5.0899100019999997E-2</v>
      </c>
      <c r="Z53">
        <v>5.0645000000000003E-2</v>
      </c>
      <c r="AA53">
        <v>0.15293950002000001</v>
      </c>
      <c r="AB53">
        <v>5.0721300009999998E-2</v>
      </c>
      <c r="AC53">
        <v>4.983790003E-2</v>
      </c>
      <c r="AD53">
        <v>4.5882199990000004E-2</v>
      </c>
      <c r="AE53">
        <v>0.14644140003</v>
      </c>
      <c r="AF53">
        <v>0.29938090005000001</v>
      </c>
      <c r="AG53">
        <v>6.7522000030000001E-2</v>
      </c>
      <c r="AH53">
        <v>6.4279599999999992E-2</v>
      </c>
      <c r="AI53">
        <v>6.5660700020000004E-2</v>
      </c>
      <c r="AJ53">
        <v>0.19746230005000001</v>
      </c>
      <c r="AK53">
        <v>0.49684320009999999</v>
      </c>
      <c r="AL53">
        <v>5.1739800039999999E-2</v>
      </c>
      <c r="AM53">
        <v>6.2622699919999997E-2</v>
      </c>
      <c r="AN53">
        <v>4.8911099979999997E-2</v>
      </c>
      <c r="AO53">
        <v>0.16327359993999999</v>
      </c>
      <c r="AP53" s="498">
        <v>0.66011680003999995</v>
      </c>
      <c r="AQ53">
        <v>7.9371235999999998E-2</v>
      </c>
      <c r="AR53">
        <v>7.1243899999999999E-2</v>
      </c>
      <c r="AS53">
        <v>7.7520100000000008E-2</v>
      </c>
      <c r="AT53">
        <v>0.22813523599999999</v>
      </c>
      <c r="AU53">
        <v>7.72177E-2</v>
      </c>
      <c r="AV53">
        <v>7.4112499999999998E-2</v>
      </c>
      <c r="AW53">
        <v>7.3470600000000011E-2</v>
      </c>
      <c r="AX53">
        <v>0.22480080000000002</v>
      </c>
      <c r="AY53">
        <v>0.45293603600000004</v>
      </c>
      <c r="AZ53">
        <v>6.8295499999999995E-2</v>
      </c>
      <c r="BA53">
        <v>6.2937699999999999E-2</v>
      </c>
      <c r="BB53">
        <v>5.53371E-2</v>
      </c>
      <c r="BC53">
        <v>0.18657030000000002</v>
      </c>
      <c r="BD53">
        <v>0.63950633600000006</v>
      </c>
      <c r="BE53">
        <v>6.9850999999999996E-2</v>
      </c>
      <c r="BF53">
        <v>5.7483299980000006E-2</v>
      </c>
      <c r="BG53">
        <v>6.0860799980000005E-2</v>
      </c>
      <c r="BH53">
        <v>0.18819509996000003</v>
      </c>
      <c r="BI53" s="498">
        <v>0.82770143596000001</v>
      </c>
      <c r="BJ53">
        <v>7.0993300000000009E-2</v>
      </c>
      <c r="BK53">
        <v>5.7946699999999997E-2</v>
      </c>
      <c r="BL53">
        <v>4.68055E-2</v>
      </c>
      <c r="BM53">
        <v>0.1757455</v>
      </c>
      <c r="BN53">
        <v>6.9779499999999994E-2</v>
      </c>
      <c r="BO53">
        <v>6.9764100000000009E-2</v>
      </c>
      <c r="BP53">
        <v>6.6332000000000002E-2</v>
      </c>
      <c r="BQ53">
        <v>0.20587559999999999</v>
      </c>
      <c r="BR53">
        <v>0.38162109999999999</v>
      </c>
      <c r="BS53">
        <v>6.0229400000000002E-2</v>
      </c>
      <c r="BT53">
        <v>5.29501E-2</v>
      </c>
      <c r="BU53">
        <v>6.5942100000000003E-2</v>
      </c>
      <c r="BV53">
        <v>0.17912159999999999</v>
      </c>
      <c r="BW53">
        <v>0.56074269999999993</v>
      </c>
      <c r="BX53">
        <v>6.4857800000000007E-2</v>
      </c>
      <c r="BY53">
        <v>4.2384999999999999E-2</v>
      </c>
      <c r="BZ53">
        <v>0</v>
      </c>
      <c r="CA53">
        <v>0.1072428</v>
      </c>
      <c r="CB53" s="498">
        <v>0.66798550000000001</v>
      </c>
      <c r="CC53">
        <v>5.2011400040000003E-2</v>
      </c>
      <c r="CD53">
        <v>6.388690004E-2</v>
      </c>
      <c r="CE53">
        <v>6.0564699989999998E-2</v>
      </c>
      <c r="CF53">
        <v>0.17646300007000001</v>
      </c>
      <c r="CG53">
        <v>6.0326000010000005E-2</v>
      </c>
      <c r="CH53">
        <v>0</v>
      </c>
      <c r="CI53">
        <v>0</v>
      </c>
      <c r="CJ53">
        <v>6.0326000010000005E-2</v>
      </c>
      <c r="CK53">
        <v>0.23678900008000003</v>
      </c>
      <c r="CL53">
        <v>0</v>
      </c>
      <c r="CM53">
        <v>0</v>
      </c>
      <c r="CN53">
        <v>0</v>
      </c>
      <c r="CO53">
        <v>0</v>
      </c>
      <c r="CP53">
        <v>0.23678900008000003</v>
      </c>
      <c r="CQ53">
        <v>0</v>
      </c>
      <c r="CR53">
        <v>0</v>
      </c>
      <c r="CS53">
        <v>0</v>
      </c>
      <c r="CT53">
        <v>0</v>
      </c>
      <c r="CU53" s="498">
        <v>0.23678900008000003</v>
      </c>
    </row>
    <row r="54" spans="1:99">
      <c r="C54">
        <v>10</v>
      </c>
      <c r="D54" s="209" t="s">
        <v>64</v>
      </c>
      <c r="E54">
        <v>5.9723125000000002E-3</v>
      </c>
      <c r="F54">
        <v>6.1250785256410254E-3</v>
      </c>
      <c r="G54">
        <v>5.5544535256410255E-3</v>
      </c>
      <c r="H54">
        <v>1.7651844551282051E-2</v>
      </c>
      <c r="I54">
        <v>5.7405721153846153E-3</v>
      </c>
      <c r="J54">
        <v>5.835217948717949E-3</v>
      </c>
      <c r="K54">
        <v>4.0928637820512826E-3</v>
      </c>
      <c r="L54">
        <v>1.5668653846153846E-2</v>
      </c>
      <c r="M54">
        <v>3.3320498397435901E-2</v>
      </c>
      <c r="N54">
        <v>4.2182708333333334E-3</v>
      </c>
      <c r="O54">
        <v>4.9639262820512821E-3</v>
      </c>
      <c r="P54">
        <v>4.4607467948717949E-3</v>
      </c>
      <c r="Q54">
        <v>1.364294391025641E-2</v>
      </c>
      <c r="R54">
        <v>4.696344230769231E-2</v>
      </c>
      <c r="S54">
        <v>4.3453349358974352E-3</v>
      </c>
      <c r="T54">
        <v>3.3051474358974354E-3</v>
      </c>
      <c r="U54">
        <v>3.3561987179487177E-3</v>
      </c>
      <c r="V54">
        <v>1.100668108974359E-2</v>
      </c>
      <c r="W54" s="498">
        <v>5.7970123397435909E-2</v>
      </c>
      <c r="X54">
        <v>4.8645560599999997E-3</v>
      </c>
      <c r="Y54">
        <v>4.8389598500000004E-3</v>
      </c>
      <c r="Z54">
        <v>4.6363941800000004E-3</v>
      </c>
      <c r="AA54">
        <v>1.4339910090000001E-2</v>
      </c>
      <c r="AB54">
        <v>4.7450896899999999E-3</v>
      </c>
      <c r="AC54">
        <v>4.7414230600000004E-3</v>
      </c>
      <c r="AD54">
        <v>4.5386986900000006E-3</v>
      </c>
      <c r="AE54">
        <v>1.4025211439999999E-2</v>
      </c>
      <c r="AF54">
        <v>2.8365121529999999E-2</v>
      </c>
      <c r="AG54">
        <v>4.5426121200000001E-3</v>
      </c>
      <c r="AH54">
        <v>4.5192900499999994E-3</v>
      </c>
      <c r="AI54">
        <v>4.5305367900000003E-3</v>
      </c>
      <c r="AJ54">
        <v>1.359243896E-2</v>
      </c>
      <c r="AK54">
        <v>4.1957560490000004E-2</v>
      </c>
      <c r="AL54">
        <v>4.5761586100000005E-3</v>
      </c>
      <c r="AM54">
        <v>4.4200608000000002E-3</v>
      </c>
      <c r="AN54">
        <v>4.67295508E-3</v>
      </c>
      <c r="AO54">
        <v>1.3669174490000002E-2</v>
      </c>
      <c r="AP54" s="498">
        <v>5.5626734980000009E-2</v>
      </c>
      <c r="AQ54">
        <v>4.3884010000000001E-3</v>
      </c>
      <c r="AR54">
        <v>4.2562240000000003E-3</v>
      </c>
      <c r="AS54">
        <v>4.0952610000000002E-3</v>
      </c>
      <c r="AT54">
        <v>1.2739886000000001E-2</v>
      </c>
      <c r="AU54">
        <v>4.2970690000000006E-3</v>
      </c>
      <c r="AV54">
        <v>4.0240780000000004E-3</v>
      </c>
      <c r="AW54">
        <v>4.092582E-3</v>
      </c>
      <c r="AX54">
        <v>1.2413729000000002E-2</v>
      </c>
      <c r="AY54">
        <v>2.5153615000000001E-2</v>
      </c>
      <c r="AZ54">
        <v>3.9922070000000002E-3</v>
      </c>
      <c r="BA54">
        <v>3.6873090000000002E-3</v>
      </c>
      <c r="BB54">
        <v>3.8724050000000002E-3</v>
      </c>
      <c r="BC54">
        <v>1.1551921E-2</v>
      </c>
      <c r="BD54">
        <v>3.6705535999999997E-2</v>
      </c>
      <c r="BE54">
        <v>3.9579551200000004E-3</v>
      </c>
      <c r="BF54">
        <v>3.6077884700000001E-3</v>
      </c>
      <c r="BG54">
        <v>3.9206178000000006E-3</v>
      </c>
      <c r="BH54">
        <v>1.148636139E-2</v>
      </c>
      <c r="BI54" s="498">
        <v>4.8191897389999995E-2</v>
      </c>
      <c r="BJ54">
        <v>3.7979789999999999E-3</v>
      </c>
      <c r="BK54">
        <v>4.0177499999999996E-3</v>
      </c>
      <c r="BL54">
        <v>3.6526350000000004E-3</v>
      </c>
      <c r="BM54">
        <v>1.1468364E-2</v>
      </c>
      <c r="BN54">
        <v>4.0383750000000003E-3</v>
      </c>
      <c r="BO54">
        <v>4.0660160000000004E-3</v>
      </c>
      <c r="BP54">
        <v>3.8506170000000002E-3</v>
      </c>
      <c r="BQ54">
        <v>1.1955008E-2</v>
      </c>
      <c r="BR54">
        <v>2.3423371999999998E-2</v>
      </c>
      <c r="BS54">
        <v>3.7856219999999998E-3</v>
      </c>
      <c r="BT54">
        <v>3.9479070000000005E-3</v>
      </c>
      <c r="BU54">
        <v>3.6033809999999997E-3</v>
      </c>
      <c r="BV54">
        <v>1.133691E-2</v>
      </c>
      <c r="BW54">
        <v>3.4760281999999997E-2</v>
      </c>
      <c r="BX54">
        <v>1.0825470000000001E-3</v>
      </c>
      <c r="BY54">
        <v>3.3743029999999999E-3</v>
      </c>
      <c r="BZ54">
        <v>0</v>
      </c>
      <c r="CA54">
        <v>4.45685E-3</v>
      </c>
      <c r="CB54" s="498">
        <v>3.9217131999999995E-2</v>
      </c>
      <c r="CC54">
        <v>3.7141390199999999E-3</v>
      </c>
      <c r="CD54">
        <v>3.7991249899999996E-3</v>
      </c>
      <c r="CE54">
        <v>3.68568754E-3</v>
      </c>
      <c r="CF54">
        <v>1.1198951549999999E-2</v>
      </c>
      <c r="CG54">
        <v>3.8006233299999999E-3</v>
      </c>
      <c r="CH54">
        <v>0</v>
      </c>
      <c r="CI54">
        <v>0</v>
      </c>
      <c r="CJ54">
        <v>3.8006233299999999E-3</v>
      </c>
      <c r="CK54">
        <v>1.499957488E-2</v>
      </c>
      <c r="CL54">
        <v>0</v>
      </c>
      <c r="CM54">
        <v>0</v>
      </c>
      <c r="CN54">
        <v>0</v>
      </c>
      <c r="CO54">
        <v>0</v>
      </c>
      <c r="CP54">
        <v>1.499957488E-2</v>
      </c>
      <c r="CQ54">
        <v>0</v>
      </c>
      <c r="CR54">
        <v>0</v>
      </c>
      <c r="CS54">
        <v>0</v>
      </c>
      <c r="CT54">
        <v>0</v>
      </c>
      <c r="CU54" s="498">
        <v>1.499957488E-2</v>
      </c>
    </row>
    <row r="55" spans="1:99">
      <c r="C55">
        <v>11</v>
      </c>
      <c r="D55" s="209" t="s">
        <v>65</v>
      </c>
      <c r="E55">
        <v>4.4621004566210041E-3</v>
      </c>
      <c r="F55">
        <v>4.1611567732115686E-3</v>
      </c>
      <c r="G55">
        <v>3.6076103500761033E-3</v>
      </c>
      <c r="H55">
        <v>1.2230867579908676E-2</v>
      </c>
      <c r="I55">
        <v>3.8954642313546424E-3</v>
      </c>
      <c r="J55">
        <v>4.3809436834094367E-3</v>
      </c>
      <c r="K55">
        <v>4.5468493150684934E-3</v>
      </c>
      <c r="L55">
        <v>1.2823257229832572E-2</v>
      </c>
      <c r="M55">
        <v>2.5054124809741247E-2</v>
      </c>
      <c r="N55">
        <v>4.0287975646879758E-3</v>
      </c>
      <c r="O55">
        <v>4.2947945205479452E-3</v>
      </c>
      <c r="P55">
        <v>4.7635312024353121E-3</v>
      </c>
      <c r="Q55">
        <v>1.3087123287671235E-2</v>
      </c>
      <c r="R55">
        <v>3.8141248097412477E-2</v>
      </c>
      <c r="S55">
        <v>4.9881887366818875E-3</v>
      </c>
      <c r="T55">
        <v>4.2719025875190258E-3</v>
      </c>
      <c r="U55">
        <v>5.4635007610350072E-3</v>
      </c>
      <c r="V55">
        <v>1.472359208523592E-2</v>
      </c>
      <c r="W55" s="498">
        <v>5.28648401826484E-2</v>
      </c>
      <c r="X55">
        <v>5.6911400099999999E-3</v>
      </c>
      <c r="Y55">
        <v>6.2316588000000004E-3</v>
      </c>
      <c r="Z55">
        <v>5.8818840099999995E-3</v>
      </c>
      <c r="AA55">
        <v>1.7804682820000001E-2</v>
      </c>
      <c r="AB55">
        <v>6.5601823899999996E-3</v>
      </c>
      <c r="AC55">
        <v>6.4591172100000004E-3</v>
      </c>
      <c r="AD55">
        <v>5.5526940200000003E-3</v>
      </c>
      <c r="AE55">
        <v>1.8571993620000001E-2</v>
      </c>
      <c r="AF55">
        <v>3.6376676440000005E-2</v>
      </c>
      <c r="AG55">
        <v>6.12621E-3</v>
      </c>
      <c r="AH55">
        <v>6.5399084199999997E-3</v>
      </c>
      <c r="AI55">
        <v>6.3288888100000006E-3</v>
      </c>
      <c r="AJ55">
        <v>1.8995007229999999E-2</v>
      </c>
      <c r="AK55">
        <v>5.5371683669999998E-2</v>
      </c>
      <c r="AL55">
        <v>6.6023743999999995E-3</v>
      </c>
      <c r="AM55">
        <v>6.0300151899999998E-3</v>
      </c>
      <c r="AN55">
        <v>7.2127852300000002E-3</v>
      </c>
      <c r="AO55">
        <v>1.9845174819999999E-2</v>
      </c>
      <c r="AP55" s="498">
        <v>7.5216858489999996E-2</v>
      </c>
      <c r="AQ55">
        <v>6.8183260000000004E-3</v>
      </c>
      <c r="AR55">
        <v>7.6687370000000001E-3</v>
      </c>
      <c r="AS55">
        <v>7.3865450000000004E-3</v>
      </c>
      <c r="AT55">
        <v>2.1873607999999999E-2</v>
      </c>
      <c r="AU55">
        <v>7.8502889999999999E-3</v>
      </c>
      <c r="AV55">
        <v>7.6677619999999998E-3</v>
      </c>
      <c r="AW55">
        <v>7.5140939999999998E-3</v>
      </c>
      <c r="AX55">
        <v>2.3032145E-2</v>
      </c>
      <c r="AY55">
        <v>4.4905753E-2</v>
      </c>
      <c r="AZ55">
        <v>8.2756770000000004E-3</v>
      </c>
      <c r="BA55">
        <v>8.1525119999999989E-3</v>
      </c>
      <c r="BB55">
        <v>8.2984479999999999E-3</v>
      </c>
      <c r="BC55">
        <v>2.4726636999999999E-2</v>
      </c>
      <c r="BD55">
        <v>6.9632390000000002E-2</v>
      </c>
      <c r="BE55">
        <v>7.7838660200000003E-3</v>
      </c>
      <c r="BF55">
        <v>7.4387800199999998E-3</v>
      </c>
      <c r="BG55">
        <v>7.8835280000000008E-3</v>
      </c>
      <c r="BH55">
        <v>2.3106174039999997E-2</v>
      </c>
      <c r="BI55" s="498">
        <v>9.2738564039999999E-2</v>
      </c>
      <c r="BJ55">
        <v>7.8781119999999996E-3</v>
      </c>
      <c r="BK55">
        <v>8.4925419999999988E-3</v>
      </c>
      <c r="BL55">
        <v>8.5365600000000003E-3</v>
      </c>
      <c r="BM55">
        <v>2.4907214E-2</v>
      </c>
      <c r="BN55">
        <v>9.2614919999999996E-3</v>
      </c>
      <c r="BO55">
        <v>9.5812479999999988E-3</v>
      </c>
      <c r="BP55">
        <v>8.8069410000000004E-3</v>
      </c>
      <c r="BQ55">
        <v>2.7649680999999995E-2</v>
      </c>
      <c r="BR55">
        <v>5.2556894999999999E-2</v>
      </c>
      <c r="BS55">
        <v>8.7411260000000001E-3</v>
      </c>
      <c r="BT55">
        <v>8.8051749999999984E-3</v>
      </c>
      <c r="BU55">
        <v>9.5646270000000009E-3</v>
      </c>
      <c r="BV55">
        <v>2.7110927999999999E-2</v>
      </c>
      <c r="BW55">
        <v>7.9667822999999999E-2</v>
      </c>
      <c r="BX55">
        <v>3.9278539999999997E-3</v>
      </c>
      <c r="BY55">
        <v>3.3851439999999997E-3</v>
      </c>
      <c r="BZ55">
        <v>0</v>
      </c>
      <c r="CA55">
        <v>7.3129979999999994E-3</v>
      </c>
      <c r="CB55" s="498">
        <v>8.6980821E-2</v>
      </c>
      <c r="CC55">
        <v>7.9086720099999994E-3</v>
      </c>
      <c r="CD55">
        <v>1.016377439E-2</v>
      </c>
      <c r="CE55">
        <v>1.0303435980000001E-2</v>
      </c>
      <c r="CF55">
        <v>2.8375882380000002E-2</v>
      </c>
      <c r="CG55">
        <v>1.076060801E-2</v>
      </c>
      <c r="CH55">
        <v>0</v>
      </c>
      <c r="CI55">
        <v>0</v>
      </c>
      <c r="CJ55">
        <v>1.076060801E-2</v>
      </c>
      <c r="CK55">
        <v>3.9136490390000007E-2</v>
      </c>
      <c r="CL55">
        <v>0</v>
      </c>
      <c r="CM55">
        <v>0</v>
      </c>
      <c r="CN55">
        <v>0</v>
      </c>
      <c r="CO55">
        <v>0</v>
      </c>
      <c r="CP55">
        <v>3.9136490390000007E-2</v>
      </c>
      <c r="CQ55">
        <v>0</v>
      </c>
      <c r="CR55">
        <v>0</v>
      </c>
      <c r="CS55">
        <v>0</v>
      </c>
      <c r="CT55">
        <v>0</v>
      </c>
      <c r="CU55" s="498">
        <v>3.9136490390000007E-2</v>
      </c>
    </row>
    <row r="56" spans="1:99">
      <c r="C56">
        <v>12</v>
      </c>
      <c r="D56" s="209" t="s">
        <v>66</v>
      </c>
      <c r="E56">
        <v>6.4526530183727032E-2</v>
      </c>
      <c r="F56">
        <v>6.5926960629921261E-2</v>
      </c>
      <c r="G56">
        <v>5.8488236220472438E-2</v>
      </c>
      <c r="H56">
        <v>0.18894172703412074</v>
      </c>
      <c r="I56">
        <v>6.2058603674540684E-2</v>
      </c>
      <c r="J56">
        <v>6.5567690288713912E-2</v>
      </c>
      <c r="K56">
        <v>6.649952230971129E-2</v>
      </c>
      <c r="L56">
        <v>0.19412581627296591</v>
      </c>
      <c r="M56">
        <v>0.38306754330708664</v>
      </c>
      <c r="N56">
        <v>6.6406999999999994E-2</v>
      </c>
      <c r="O56">
        <v>6.1812488188976375E-2</v>
      </c>
      <c r="P56">
        <v>6.2017643044619424E-2</v>
      </c>
      <c r="Q56">
        <v>0.19023713123359581</v>
      </c>
      <c r="R56">
        <v>0.57330467454068246</v>
      </c>
      <c r="S56">
        <v>6.7868619422572191E-2</v>
      </c>
      <c r="T56">
        <v>4.7007774278215224E-2</v>
      </c>
      <c r="U56">
        <v>5.4514682414698167E-2</v>
      </c>
      <c r="V56">
        <v>0.16939107611548557</v>
      </c>
      <c r="W56" s="498">
        <v>0.742695750656168</v>
      </c>
      <c r="X56">
        <v>6.0050918799999999E-2</v>
      </c>
      <c r="Y56">
        <v>5.7082400009999999E-2</v>
      </c>
      <c r="Z56">
        <v>5.5181879999999996E-2</v>
      </c>
      <c r="AA56">
        <v>0.17231519881000001</v>
      </c>
      <c r="AB56">
        <v>5.7801679979999999E-2</v>
      </c>
      <c r="AC56">
        <v>5.7690279990000003E-2</v>
      </c>
      <c r="AD56">
        <v>5.6992640010000005E-2</v>
      </c>
      <c r="AE56">
        <v>0.17248459997999999</v>
      </c>
      <c r="AF56">
        <v>0.34479979879000006</v>
      </c>
      <c r="AG56">
        <v>6.2248079970000002E-2</v>
      </c>
      <c r="AH56">
        <v>6.0671480010000001E-2</v>
      </c>
      <c r="AI56">
        <v>6.3061119999999998E-2</v>
      </c>
      <c r="AJ56">
        <v>0.18598067997999998</v>
      </c>
      <c r="AK56">
        <v>0.53078047877000001</v>
      </c>
      <c r="AL56">
        <v>6.4892902789999998E-2</v>
      </c>
      <c r="AM56">
        <v>6.0482119980000006E-2</v>
      </c>
      <c r="AN56">
        <v>6.74363516E-2</v>
      </c>
      <c r="AO56">
        <v>0.19281137437000001</v>
      </c>
      <c r="AP56" s="498">
        <v>0.72359185314000007</v>
      </c>
      <c r="AQ56">
        <v>6.3507599999999997E-2</v>
      </c>
      <c r="AR56">
        <v>3.6318040000000003E-2</v>
      </c>
      <c r="AS56">
        <v>6.4485627000000004E-2</v>
      </c>
      <c r="AT56">
        <v>0.16431126699999998</v>
      </c>
      <c r="AU56">
        <v>6.7525890000000005E-2</v>
      </c>
      <c r="AV56">
        <v>6.8755639999999993E-2</v>
      </c>
      <c r="AW56">
        <v>6.6407519999999998E-2</v>
      </c>
      <c r="AX56">
        <v>0.20268904999999998</v>
      </c>
      <c r="AY56">
        <v>0.36700031699999996</v>
      </c>
      <c r="AZ56">
        <v>6.6932289000000006E-2</v>
      </c>
      <c r="BA56">
        <v>6.5449199999999999E-2</v>
      </c>
      <c r="BB56">
        <v>6.9953520000000005E-2</v>
      </c>
      <c r="BC56">
        <v>0.20233500900000001</v>
      </c>
      <c r="BD56">
        <v>0.56933532600000003</v>
      </c>
      <c r="BE56">
        <v>6.6751632545931763E-2</v>
      </c>
      <c r="BF56">
        <v>6.0616120000000002E-2</v>
      </c>
      <c r="BG56">
        <v>6.3301840030000001E-2</v>
      </c>
      <c r="BH56">
        <v>0.19066959257593175</v>
      </c>
      <c r="BI56" s="498">
        <v>0.76000491857593178</v>
      </c>
      <c r="BJ56">
        <v>5.0724183999999999E-2</v>
      </c>
      <c r="BK56">
        <v>6.7077679999999987E-2</v>
      </c>
      <c r="BL56">
        <v>6.708660000000001E-2</v>
      </c>
      <c r="BM56">
        <v>0.184888464</v>
      </c>
      <c r="BN56">
        <v>6.8827895E-2</v>
      </c>
      <c r="BO56">
        <v>7.0597223000000001E-2</v>
      </c>
      <c r="BP56">
        <v>6.707378E-2</v>
      </c>
      <c r="BQ56">
        <v>0.20649889800000001</v>
      </c>
      <c r="BR56">
        <v>0.39138736200000002</v>
      </c>
      <c r="BS56">
        <v>6.922876E-2</v>
      </c>
      <c r="BT56">
        <v>6.7344039999999994E-2</v>
      </c>
      <c r="BU56">
        <v>6.5445852999999998E-2</v>
      </c>
      <c r="BV56">
        <v>0.20201865299999999</v>
      </c>
      <c r="BW56">
        <v>0.59340601500000001</v>
      </c>
      <c r="BX56">
        <v>7.2554388000000011E-2</v>
      </c>
      <c r="BY56">
        <v>6.5134629999999999E-2</v>
      </c>
      <c r="BZ56">
        <v>0</v>
      </c>
      <c r="CA56">
        <v>0.13768901800000002</v>
      </c>
      <c r="CB56" s="498">
        <v>0.73109503300000001</v>
      </c>
      <c r="CC56">
        <v>3.7880162729999993E-2</v>
      </c>
      <c r="CD56">
        <v>4.3939039980000004E-2</v>
      </c>
      <c r="CE56">
        <v>6.7232908140000006E-2</v>
      </c>
      <c r="CF56">
        <v>0.14905211085</v>
      </c>
      <c r="CG56">
        <v>5.373759056E-2</v>
      </c>
      <c r="CH56">
        <v>0</v>
      </c>
      <c r="CI56">
        <v>0</v>
      </c>
      <c r="CJ56">
        <v>5.373759056E-2</v>
      </c>
      <c r="CK56">
        <v>0.20278970140999997</v>
      </c>
      <c r="CL56">
        <v>0</v>
      </c>
      <c r="CM56">
        <v>0</v>
      </c>
      <c r="CN56">
        <v>0</v>
      </c>
      <c r="CO56">
        <v>0</v>
      </c>
      <c r="CP56">
        <v>0.20278970140999997</v>
      </c>
      <c r="CQ56">
        <v>0</v>
      </c>
      <c r="CR56">
        <v>0</v>
      </c>
      <c r="CS56">
        <v>0</v>
      </c>
      <c r="CT56">
        <v>0</v>
      </c>
      <c r="CU56" s="498">
        <v>0.20278970140999997</v>
      </c>
    </row>
    <row r="57" spans="1:99">
      <c r="C57">
        <v>13</v>
      </c>
      <c r="D57" s="209" t="s">
        <v>67</v>
      </c>
      <c r="E57">
        <v>3.8494691780821925E-2</v>
      </c>
      <c r="F57">
        <v>4.1621678082191783E-2</v>
      </c>
      <c r="G57">
        <v>4.1544931506849327E-2</v>
      </c>
      <c r="H57">
        <v>0.12166130136986304</v>
      </c>
      <c r="I57">
        <v>4.9191815068493162E-2</v>
      </c>
      <c r="J57">
        <v>4.8596643835616446E-2</v>
      </c>
      <c r="K57">
        <v>4.5631404109589047E-2</v>
      </c>
      <c r="L57">
        <v>0.14341986301369866</v>
      </c>
      <c r="M57">
        <v>0.26508116438356172</v>
      </c>
      <c r="N57">
        <v>3.6333561643835624E-2</v>
      </c>
      <c r="O57">
        <v>2.8112945205479457E-2</v>
      </c>
      <c r="P57">
        <v>2.8037020547945209E-2</v>
      </c>
      <c r="Q57">
        <v>9.248352739726029E-2</v>
      </c>
      <c r="R57">
        <v>0.35756469178082201</v>
      </c>
      <c r="S57">
        <v>2.7107602739726028E-2</v>
      </c>
      <c r="T57">
        <v>3.0610136986301401E-2</v>
      </c>
      <c r="U57">
        <v>4.2129554794520588E-2</v>
      </c>
      <c r="V57">
        <v>9.9847294520548024E-2</v>
      </c>
      <c r="W57" s="498">
        <v>0.45741198630137003</v>
      </c>
      <c r="X57">
        <v>4.1242191729999995E-2</v>
      </c>
      <c r="Y57">
        <v>4.4965999999999999E-2</v>
      </c>
      <c r="Z57">
        <v>4.6130798010000001E-2</v>
      </c>
      <c r="AA57">
        <v>0.13233898974</v>
      </c>
      <c r="AB57">
        <v>4.7168630259999997E-2</v>
      </c>
      <c r="AC57">
        <v>4.6658184759999999E-2</v>
      </c>
      <c r="AD57">
        <v>4.7177876739999999E-2</v>
      </c>
      <c r="AE57">
        <v>0.14100469175999999</v>
      </c>
      <c r="AF57">
        <v>0.27334368149999994</v>
      </c>
      <c r="AG57">
        <v>5.1889691760000002E-2</v>
      </c>
      <c r="AH57">
        <v>4.9782730009999998E-2</v>
      </c>
      <c r="AI57">
        <v>5.0684087740000001E-2</v>
      </c>
      <c r="AJ57">
        <v>0.15235650951000002</v>
      </c>
      <c r="AK57">
        <v>0.42570019100999995</v>
      </c>
      <c r="AL57">
        <v>5.3196949280000003E-2</v>
      </c>
      <c r="AM57">
        <v>5.0821108010000005E-2</v>
      </c>
      <c r="AN57">
        <v>5.2486173980000002E-2</v>
      </c>
      <c r="AO57">
        <v>0.15650423126999999</v>
      </c>
      <c r="AP57" s="498">
        <v>0.58220442227999991</v>
      </c>
      <c r="AQ57">
        <v>5.2864010000000003E-2</v>
      </c>
      <c r="AR57">
        <v>5.6751000000000003E-2</v>
      </c>
      <c r="AS57">
        <v>5.1313320000000003E-2</v>
      </c>
      <c r="AT57">
        <v>0.16092833000000001</v>
      </c>
      <c r="AU57">
        <v>5.4482118999999996E-2</v>
      </c>
      <c r="AV57">
        <v>5.2736745000000002E-2</v>
      </c>
      <c r="AW57">
        <v>4.9770307999999999E-2</v>
      </c>
      <c r="AX57">
        <v>0.15698917199999998</v>
      </c>
      <c r="AY57">
        <v>0.31791750199999996</v>
      </c>
      <c r="AZ57">
        <v>5.1240324999999996E-2</v>
      </c>
      <c r="BA57">
        <v>5.1054964999999994E-2</v>
      </c>
      <c r="BB57">
        <v>5.3704008000000004E-2</v>
      </c>
      <c r="BC57">
        <v>0.15599929800000001</v>
      </c>
      <c r="BD57">
        <v>0.47391679999999997</v>
      </c>
      <c r="BE57">
        <v>5.4974040000000002E-2</v>
      </c>
      <c r="BF57">
        <v>4.750733E-2</v>
      </c>
      <c r="BG57">
        <v>5.3582518009999996E-2</v>
      </c>
      <c r="BH57">
        <v>0.15606388800999998</v>
      </c>
      <c r="BI57" s="498">
        <v>0.62998068800999996</v>
      </c>
      <c r="BJ57">
        <v>5.0284275000000003E-2</v>
      </c>
      <c r="BK57">
        <v>5.5401892999999994E-2</v>
      </c>
      <c r="BL57">
        <v>5.2113218999999995E-2</v>
      </c>
      <c r="BM57">
        <v>0.15779938699999999</v>
      </c>
      <c r="BN57">
        <v>5.1624623000000001E-2</v>
      </c>
      <c r="BO57">
        <v>5.1364211999999999E-2</v>
      </c>
      <c r="BP57">
        <v>4.7481199000000002E-2</v>
      </c>
      <c r="BQ57">
        <v>0.15047003399999997</v>
      </c>
      <c r="BR57">
        <v>0.30826942099999999</v>
      </c>
      <c r="BS57">
        <v>5.2523798000000003E-2</v>
      </c>
      <c r="BT57">
        <v>4.0869071999999999E-2</v>
      </c>
      <c r="BU57">
        <v>1.2963729E-2</v>
      </c>
      <c r="BV57">
        <v>0.10635659899999998</v>
      </c>
      <c r="BW57">
        <v>0.41462601999999998</v>
      </c>
      <c r="BX57">
        <v>5.4306781000000005E-2</v>
      </c>
      <c r="BY57">
        <v>5.0379692000000004E-2</v>
      </c>
      <c r="BZ57">
        <v>0</v>
      </c>
      <c r="CA57">
        <v>0.104686473</v>
      </c>
      <c r="CB57" s="498">
        <v>0.51931249299999993</v>
      </c>
      <c r="CC57">
        <v>5.5202705499999997E-2</v>
      </c>
      <c r="CD57">
        <v>5.6746643770000001E-2</v>
      </c>
      <c r="CE57">
        <v>5.2356369749999999E-2</v>
      </c>
      <c r="CF57">
        <v>0.16430571902000002</v>
      </c>
      <c r="CG57">
        <v>5.9382431499999999E-2</v>
      </c>
      <c r="CH57">
        <v>0</v>
      </c>
      <c r="CI57">
        <v>0</v>
      </c>
      <c r="CJ57">
        <v>5.9382431499999999E-2</v>
      </c>
      <c r="CK57">
        <v>0.22368815052000002</v>
      </c>
      <c r="CL57">
        <v>0</v>
      </c>
      <c r="CM57">
        <v>0</v>
      </c>
      <c r="CN57">
        <v>0</v>
      </c>
      <c r="CO57">
        <v>0</v>
      </c>
      <c r="CP57">
        <v>0.22368815052000002</v>
      </c>
      <c r="CQ57">
        <v>0</v>
      </c>
      <c r="CR57">
        <v>0</v>
      </c>
      <c r="CS57">
        <v>0</v>
      </c>
      <c r="CT57">
        <v>0</v>
      </c>
      <c r="CU57" s="498">
        <v>0.22368815052000002</v>
      </c>
    </row>
    <row r="58" spans="1:99">
      <c r="C58">
        <v>14</v>
      </c>
      <c r="D58" s="209" t="s">
        <v>68</v>
      </c>
      <c r="E58">
        <v>4.5855948529411761E-3</v>
      </c>
      <c r="F58">
        <v>1.0507750183823529E-2</v>
      </c>
      <c r="G58">
        <v>6.7456693014705882E-3</v>
      </c>
      <c r="H58">
        <v>2.1839014338235294E-2</v>
      </c>
      <c r="I58">
        <v>8.7275380514705882E-3</v>
      </c>
      <c r="J58">
        <v>8.0708768382352948E-3</v>
      </c>
      <c r="K58">
        <v>3.0287873161764707E-3</v>
      </c>
      <c r="L58">
        <v>1.9827202205882351E-2</v>
      </c>
      <c r="M58">
        <v>4.1666216544117646E-2</v>
      </c>
      <c r="N58">
        <v>5.9678824944852937E-3</v>
      </c>
      <c r="O58">
        <v>5.5374680147058826E-3</v>
      </c>
      <c r="P58">
        <v>7.9307389705882364E-4</v>
      </c>
      <c r="Q58">
        <v>1.2298424406249999E-2</v>
      </c>
      <c r="R58">
        <v>5.3964640950367647E-2</v>
      </c>
      <c r="S58">
        <v>1.0565330882352941E-4</v>
      </c>
      <c r="T58">
        <v>0</v>
      </c>
      <c r="U58">
        <v>3.6294288602941177E-3</v>
      </c>
      <c r="V58">
        <v>3.7350821691176472E-3</v>
      </c>
      <c r="W58" s="498">
        <v>5.7699723119485291E-2</v>
      </c>
      <c r="X58">
        <v>7.2092665100000003E-3</v>
      </c>
      <c r="Y58">
        <v>9.5835066700000002E-3</v>
      </c>
      <c r="Z58">
        <v>7.0218152600000005E-3</v>
      </c>
      <c r="AA58">
        <v>2.3814588439999999E-2</v>
      </c>
      <c r="AB58">
        <v>7.9371635900000008E-3</v>
      </c>
      <c r="AC58">
        <v>4.2278869499999998E-3</v>
      </c>
      <c r="AD58">
        <v>9.0187616500000001E-3</v>
      </c>
      <c r="AE58">
        <v>2.1183812190000002E-2</v>
      </c>
      <c r="AF58">
        <v>4.4998400630000004E-2</v>
      </c>
      <c r="AG58">
        <v>5.6392187500000001E-3</v>
      </c>
      <c r="AH58">
        <v>5.8621337599999998E-3</v>
      </c>
      <c r="AI58">
        <v>3.8083725000000001E-3</v>
      </c>
      <c r="AJ58">
        <v>1.5309725010000001E-2</v>
      </c>
      <c r="AK58">
        <v>6.0308125640000008E-2</v>
      </c>
      <c r="AL58">
        <v>4.8804876000000004E-4</v>
      </c>
      <c r="AM58">
        <v>0</v>
      </c>
      <c r="AN58">
        <v>1.5142779990000001E-2</v>
      </c>
      <c r="AO58">
        <v>1.5630828749999999E-2</v>
      </c>
      <c r="AP58" s="498">
        <v>7.5938954389999994E-2</v>
      </c>
      <c r="AQ58">
        <v>1.3123276E-2</v>
      </c>
      <c r="AR58">
        <v>1.6503273000000002E-2</v>
      </c>
      <c r="AS58">
        <v>1.4461842000000001E-2</v>
      </c>
      <c r="AT58">
        <v>4.4088391000000005E-2</v>
      </c>
      <c r="AU58">
        <v>1.445018E-2</v>
      </c>
      <c r="AV58">
        <v>1.3107291E-2</v>
      </c>
      <c r="AW58">
        <v>8.9416470000000005E-3</v>
      </c>
      <c r="AX58">
        <v>3.6499118000000004E-2</v>
      </c>
      <c r="AY58">
        <v>8.0587509000000002E-2</v>
      </c>
      <c r="AZ58">
        <v>1.1565781000000001E-2</v>
      </c>
      <c r="BA58">
        <v>1.2351147999999999E-2</v>
      </c>
      <c r="BB58">
        <v>1.2014108000000001E-2</v>
      </c>
      <c r="BC58">
        <v>3.5931036999999999E-2</v>
      </c>
      <c r="BD58">
        <v>0.116518546</v>
      </c>
      <c r="BE58">
        <v>1.1389696459999999E-2</v>
      </c>
      <c r="BF58">
        <v>9.5898660249999993E-3</v>
      </c>
      <c r="BG58">
        <v>9.174495999999999E-3</v>
      </c>
      <c r="BH58">
        <v>3.0154058484999999E-2</v>
      </c>
      <c r="BI58" s="498">
        <v>0.146672604485</v>
      </c>
      <c r="BJ58">
        <v>1.1240460999999998E-2</v>
      </c>
      <c r="BK58">
        <v>1.1724537E-2</v>
      </c>
      <c r="BL58">
        <v>1.2524565E-2</v>
      </c>
      <c r="BM58">
        <v>3.5489563000000002E-2</v>
      </c>
      <c r="BN58">
        <v>1.2405146000000001E-2</v>
      </c>
      <c r="BO58">
        <v>1.3049567E-2</v>
      </c>
      <c r="BP58">
        <v>8.7836640000000001E-3</v>
      </c>
      <c r="BQ58">
        <v>3.4238377E-2</v>
      </c>
      <c r="BR58">
        <v>6.9727940000000002E-2</v>
      </c>
      <c r="BS58">
        <v>1.4029716000000001E-2</v>
      </c>
      <c r="BT58">
        <v>1.3453093000000001E-2</v>
      </c>
      <c r="BU58">
        <v>4.3647089999999996E-3</v>
      </c>
      <c r="BV58">
        <v>3.1847517999999998E-2</v>
      </c>
      <c r="BW58">
        <v>0.10157545799999999</v>
      </c>
      <c r="BX58">
        <v>9.9534069999999992E-3</v>
      </c>
      <c r="BY58">
        <v>1.2738071E-2</v>
      </c>
      <c r="BZ58">
        <v>0</v>
      </c>
      <c r="CA58">
        <v>2.2691477999999998E-2</v>
      </c>
      <c r="CB58" s="498">
        <v>0.12426693600000001</v>
      </c>
      <c r="CC58">
        <v>1.3986185030000001E-2</v>
      </c>
      <c r="CD58">
        <v>1.3515676359999999E-2</v>
      </c>
      <c r="CE58">
        <v>1.305914622E-2</v>
      </c>
      <c r="CF58">
        <v>4.0561007609999998E-2</v>
      </c>
      <c r="CG58">
        <v>1.3115272300000001E-2</v>
      </c>
      <c r="CH58">
        <v>0</v>
      </c>
      <c r="CI58">
        <v>0</v>
      </c>
      <c r="CJ58">
        <v>1.3115272300000001E-2</v>
      </c>
      <c r="CK58">
        <v>5.3676279909999999E-2</v>
      </c>
      <c r="CL58">
        <v>0</v>
      </c>
      <c r="CM58">
        <v>0</v>
      </c>
      <c r="CN58">
        <v>0</v>
      </c>
      <c r="CO58">
        <v>0</v>
      </c>
      <c r="CP58">
        <v>5.3676279909999999E-2</v>
      </c>
      <c r="CQ58">
        <v>0</v>
      </c>
      <c r="CR58">
        <v>0</v>
      </c>
      <c r="CS58">
        <v>0</v>
      </c>
      <c r="CT58">
        <v>0</v>
      </c>
      <c r="CU58" s="498">
        <v>5.3676279909999999E-2</v>
      </c>
    </row>
    <row r="59" spans="1:99">
      <c r="C59">
        <v>15</v>
      </c>
      <c r="D59" s="209" t="s">
        <v>69</v>
      </c>
      <c r="E59">
        <v>3.9599999999999998E-4</v>
      </c>
      <c r="F59">
        <v>3.8900000000000002E-4</v>
      </c>
      <c r="G59">
        <v>6.69E-4</v>
      </c>
      <c r="H59">
        <v>1.454E-3</v>
      </c>
      <c r="I59">
        <v>9.5600000000000004E-4</v>
      </c>
      <c r="J59">
        <v>2.2599999999999999E-4</v>
      </c>
      <c r="K59">
        <v>1.92E-4</v>
      </c>
      <c r="L59">
        <v>1.374E-3</v>
      </c>
      <c r="M59">
        <v>2.8279999999999998E-3</v>
      </c>
      <c r="N59">
        <v>4.3899999999999999E-4</v>
      </c>
      <c r="O59">
        <v>4.3600000000000003E-4</v>
      </c>
      <c r="P59">
        <v>4.1335199999999997E-4</v>
      </c>
      <c r="Q59">
        <v>1.2883519999999998E-3</v>
      </c>
      <c r="R59">
        <v>4.1163520000000002E-3</v>
      </c>
      <c r="S59">
        <v>3.4722450000000004E-4</v>
      </c>
      <c r="T59">
        <v>3.9924000000000003E-4</v>
      </c>
      <c r="U59">
        <v>4.4464050000000001E-4</v>
      </c>
      <c r="V59">
        <v>1.191105E-3</v>
      </c>
      <c r="W59" s="498">
        <v>5.3074570000000007E-3</v>
      </c>
      <c r="X59">
        <v>4.4460003000000001E-4</v>
      </c>
      <c r="Y59">
        <v>4.1535001E-4</v>
      </c>
      <c r="Z59">
        <v>3.5370002000000001E-4</v>
      </c>
      <c r="AA59">
        <v>1.2136500599999999E-3</v>
      </c>
      <c r="AB59">
        <v>3.3840001999999996E-4</v>
      </c>
      <c r="AC59">
        <v>3.0375002000000001E-4</v>
      </c>
      <c r="AD59">
        <v>2.6640000999999998E-4</v>
      </c>
      <c r="AE59">
        <v>9.0855005000000006E-4</v>
      </c>
      <c r="AF59">
        <v>2.1222001099999999E-3</v>
      </c>
      <c r="AG59">
        <v>2.4255003E-4</v>
      </c>
      <c r="AH59">
        <v>2.1690001E-4</v>
      </c>
      <c r="AI59">
        <v>2.1420000999999999E-4</v>
      </c>
      <c r="AJ59">
        <v>6.7365004999999994E-4</v>
      </c>
      <c r="AK59">
        <v>2.7958501600000001E-3</v>
      </c>
      <c r="AL59">
        <v>2.2680000000000001E-4</v>
      </c>
      <c r="AM59">
        <v>1.9845002999999999E-4</v>
      </c>
      <c r="AN59">
        <v>2.4524996999999998E-4</v>
      </c>
      <c r="AO59">
        <v>6.7049999999999998E-4</v>
      </c>
      <c r="AP59" s="498">
        <v>3.4663501599999998E-3</v>
      </c>
      <c r="AQ59">
        <v>2.1149999999999999E-4</v>
      </c>
      <c r="AR59">
        <v>2.1937500000000001E-4</v>
      </c>
      <c r="AS59">
        <v>1.9966499999999999E-4</v>
      </c>
      <c r="AT59">
        <v>6.3053999999999996E-4</v>
      </c>
      <c r="AU59">
        <v>1.72215E-4</v>
      </c>
      <c r="AV59">
        <v>1.2393000000000001E-4</v>
      </c>
      <c r="AW59">
        <v>1.1493899999999999E-4</v>
      </c>
      <c r="AX59">
        <v>4.1108399999999993E-4</v>
      </c>
      <c r="AY59">
        <v>1.0416239999999999E-3</v>
      </c>
      <c r="AZ59">
        <v>1.2242700000000001E-4</v>
      </c>
      <c r="BA59">
        <v>1.1230700000000001E-4</v>
      </c>
      <c r="BB59">
        <v>1.4243799999999999E-4</v>
      </c>
      <c r="BC59">
        <v>3.77172E-4</v>
      </c>
      <c r="BD59">
        <v>1.4187959999999997E-3</v>
      </c>
      <c r="BE59">
        <v>1.5699999999999999E-4</v>
      </c>
      <c r="BF59">
        <v>1.4202E-4</v>
      </c>
      <c r="BG59">
        <v>2.0965501000000001E-4</v>
      </c>
      <c r="BH59">
        <v>5.0867500999999995E-4</v>
      </c>
      <c r="BI59" s="498">
        <v>1.9274710099999998E-3</v>
      </c>
      <c r="BJ59">
        <v>2.1199500000000001E-4</v>
      </c>
      <c r="BK59">
        <v>2.2135499999999998E-4</v>
      </c>
      <c r="BL59">
        <v>2.2387500000000001E-4</v>
      </c>
      <c r="BM59">
        <v>6.57225E-4</v>
      </c>
      <c r="BN59">
        <v>0</v>
      </c>
      <c r="BO59">
        <v>0</v>
      </c>
      <c r="BP59">
        <v>0</v>
      </c>
      <c r="BQ59">
        <v>0</v>
      </c>
      <c r="BR59">
        <v>6.57225E-4</v>
      </c>
      <c r="BS59">
        <v>0</v>
      </c>
      <c r="BT59">
        <v>0</v>
      </c>
      <c r="BU59">
        <v>0</v>
      </c>
      <c r="BV59">
        <v>0</v>
      </c>
      <c r="BW59">
        <v>6.57225E-4</v>
      </c>
      <c r="BX59">
        <v>0</v>
      </c>
      <c r="BY59">
        <v>0</v>
      </c>
      <c r="BZ59">
        <v>0</v>
      </c>
      <c r="CA59">
        <v>0</v>
      </c>
      <c r="CB59" s="498">
        <v>6.57225E-4</v>
      </c>
      <c r="CC59">
        <v>0</v>
      </c>
      <c r="CD59">
        <v>0</v>
      </c>
      <c r="CE59">
        <v>0</v>
      </c>
      <c r="CF59">
        <v>0</v>
      </c>
      <c r="CG59">
        <v>0</v>
      </c>
      <c r="CH59">
        <v>0</v>
      </c>
      <c r="CI59">
        <v>0</v>
      </c>
      <c r="CJ59">
        <v>0</v>
      </c>
      <c r="CK59">
        <v>0</v>
      </c>
      <c r="CL59">
        <v>0</v>
      </c>
      <c r="CM59">
        <v>0</v>
      </c>
      <c r="CN59">
        <v>0</v>
      </c>
      <c r="CO59">
        <v>0</v>
      </c>
      <c r="CP59">
        <v>0</v>
      </c>
      <c r="CQ59">
        <v>0</v>
      </c>
      <c r="CR59">
        <v>0</v>
      </c>
      <c r="CS59">
        <v>0</v>
      </c>
      <c r="CT59">
        <v>0</v>
      </c>
      <c r="CU59" s="498">
        <v>0</v>
      </c>
    </row>
    <row r="60" spans="1:99">
      <c r="C60">
        <v>16</v>
      </c>
      <c r="D60" s="209" t="s">
        <v>70</v>
      </c>
      <c r="E60">
        <v>0</v>
      </c>
      <c r="F60">
        <v>0</v>
      </c>
      <c r="G60">
        <v>0</v>
      </c>
      <c r="H60">
        <v>0</v>
      </c>
      <c r="I60">
        <v>0</v>
      </c>
      <c r="J60">
        <v>0</v>
      </c>
      <c r="K60">
        <v>0</v>
      </c>
      <c r="L60">
        <v>0</v>
      </c>
      <c r="M60">
        <v>0</v>
      </c>
      <c r="N60">
        <v>0</v>
      </c>
      <c r="O60">
        <v>0</v>
      </c>
      <c r="P60">
        <v>0</v>
      </c>
      <c r="Q60">
        <v>0</v>
      </c>
      <c r="R60">
        <v>0</v>
      </c>
      <c r="S60">
        <v>0</v>
      </c>
      <c r="T60">
        <v>0</v>
      </c>
      <c r="U60">
        <v>0</v>
      </c>
      <c r="V60">
        <v>0</v>
      </c>
      <c r="W60" s="498">
        <v>0</v>
      </c>
      <c r="X60">
        <v>0</v>
      </c>
      <c r="Y60">
        <v>0</v>
      </c>
      <c r="Z60">
        <v>0</v>
      </c>
      <c r="AA60">
        <v>0</v>
      </c>
      <c r="AB60">
        <v>0</v>
      </c>
      <c r="AC60">
        <v>0</v>
      </c>
      <c r="AD60">
        <v>0</v>
      </c>
      <c r="AE60">
        <v>0</v>
      </c>
      <c r="AF60">
        <v>0</v>
      </c>
      <c r="AG60">
        <v>0</v>
      </c>
      <c r="AH60">
        <v>0</v>
      </c>
      <c r="AI60">
        <v>0</v>
      </c>
      <c r="AJ60">
        <v>0</v>
      </c>
      <c r="AK60">
        <v>0</v>
      </c>
      <c r="AL60">
        <v>0</v>
      </c>
      <c r="AM60">
        <v>0</v>
      </c>
      <c r="AN60">
        <v>0</v>
      </c>
      <c r="AO60">
        <v>0</v>
      </c>
      <c r="AP60" s="498">
        <v>0</v>
      </c>
      <c r="AQ60">
        <v>0</v>
      </c>
      <c r="AR60">
        <v>0</v>
      </c>
      <c r="AS60">
        <v>0</v>
      </c>
      <c r="AT60">
        <v>0</v>
      </c>
      <c r="AU60">
        <v>0</v>
      </c>
      <c r="AV60">
        <v>0</v>
      </c>
      <c r="AW60">
        <v>0</v>
      </c>
      <c r="AX60">
        <v>0</v>
      </c>
      <c r="AY60">
        <v>0</v>
      </c>
      <c r="AZ60">
        <v>0</v>
      </c>
      <c r="BA60">
        <v>0</v>
      </c>
      <c r="BB60">
        <v>0</v>
      </c>
      <c r="BC60">
        <v>0</v>
      </c>
      <c r="BD60">
        <v>0</v>
      </c>
      <c r="BE60">
        <v>0</v>
      </c>
      <c r="BF60">
        <v>0</v>
      </c>
      <c r="BG60">
        <v>0</v>
      </c>
      <c r="BH60">
        <v>0</v>
      </c>
      <c r="BI60" s="498">
        <v>0</v>
      </c>
      <c r="BJ60">
        <v>0</v>
      </c>
      <c r="BK60">
        <v>0</v>
      </c>
      <c r="BL60">
        <v>0</v>
      </c>
      <c r="BM60">
        <v>0</v>
      </c>
      <c r="BN60">
        <v>0</v>
      </c>
      <c r="BO60">
        <v>0</v>
      </c>
      <c r="BP60">
        <v>0</v>
      </c>
      <c r="BQ60">
        <v>0</v>
      </c>
      <c r="BR60">
        <v>0</v>
      </c>
      <c r="BS60">
        <v>0</v>
      </c>
      <c r="BT60">
        <v>0</v>
      </c>
      <c r="BU60">
        <v>0</v>
      </c>
      <c r="BV60">
        <v>0</v>
      </c>
      <c r="BW60">
        <v>0</v>
      </c>
      <c r="BX60">
        <v>0</v>
      </c>
      <c r="BY60">
        <v>0</v>
      </c>
      <c r="BZ60">
        <v>0</v>
      </c>
      <c r="CA60">
        <v>0</v>
      </c>
      <c r="CB60" s="498">
        <v>0</v>
      </c>
      <c r="CC60">
        <v>0</v>
      </c>
      <c r="CD60">
        <v>0</v>
      </c>
      <c r="CE60">
        <v>0</v>
      </c>
      <c r="CF60">
        <v>0</v>
      </c>
      <c r="CG60">
        <v>0</v>
      </c>
      <c r="CH60">
        <v>0</v>
      </c>
      <c r="CI60">
        <v>0</v>
      </c>
      <c r="CJ60">
        <v>0</v>
      </c>
      <c r="CK60">
        <v>0</v>
      </c>
      <c r="CL60">
        <v>0</v>
      </c>
      <c r="CM60">
        <v>0</v>
      </c>
      <c r="CN60">
        <v>0</v>
      </c>
      <c r="CO60">
        <v>0</v>
      </c>
      <c r="CP60">
        <v>0</v>
      </c>
      <c r="CQ60">
        <v>0</v>
      </c>
      <c r="CR60">
        <v>0</v>
      </c>
      <c r="CS60">
        <v>0</v>
      </c>
      <c r="CT60">
        <v>0</v>
      </c>
      <c r="CU60" s="498">
        <v>0</v>
      </c>
    </row>
    <row r="61" spans="1:99">
      <c r="C61">
        <v>17</v>
      </c>
      <c r="D61" s="279" t="s">
        <v>828</v>
      </c>
      <c r="E61">
        <v>0.5951396308609479</v>
      </c>
      <c r="F61">
        <v>0.49291640504304651</v>
      </c>
      <c r="G61">
        <v>0.45952954548276659</v>
      </c>
      <c r="H61">
        <v>1.5475855813867612</v>
      </c>
      <c r="I61">
        <v>0.48487801035646944</v>
      </c>
      <c r="J61">
        <v>0.51877101060964192</v>
      </c>
      <c r="K61">
        <v>0.48494739619669985</v>
      </c>
      <c r="L61">
        <v>1.4885964171628117</v>
      </c>
      <c r="M61">
        <v>3.0361819985495724</v>
      </c>
      <c r="N61">
        <v>0.50650293814880698</v>
      </c>
      <c r="O61">
        <v>0.57099391824893075</v>
      </c>
      <c r="P61">
        <v>0.5383270207869546</v>
      </c>
      <c r="Q61">
        <v>1.6158238771846922</v>
      </c>
      <c r="R61">
        <v>4.6520058757342637</v>
      </c>
      <c r="S61">
        <v>0.55942085861794788</v>
      </c>
      <c r="T61">
        <v>0.54489009329209703</v>
      </c>
      <c r="U61">
        <v>0.59235938700378421</v>
      </c>
      <c r="V61">
        <v>1.6966703389138287</v>
      </c>
      <c r="W61" s="498">
        <v>6.3486762146480942</v>
      </c>
      <c r="X61">
        <v>0.6129110993000001</v>
      </c>
      <c r="Y61">
        <v>0.60447254165999986</v>
      </c>
      <c r="Z61">
        <v>0.59166454153000003</v>
      </c>
      <c r="AA61">
        <v>1.80904818249</v>
      </c>
      <c r="AB61">
        <v>0.61601743126999986</v>
      </c>
      <c r="AC61">
        <v>0.5922601998</v>
      </c>
      <c r="AD61">
        <v>0.56313717600000002</v>
      </c>
      <c r="AE61">
        <v>1.7714148070699998</v>
      </c>
      <c r="AF61">
        <v>3.5804629895600004</v>
      </c>
      <c r="AG61">
        <v>0.59163227487999992</v>
      </c>
      <c r="AH61">
        <v>0.59870452997000012</v>
      </c>
      <c r="AI61">
        <v>0.62526572941000003</v>
      </c>
      <c r="AJ61">
        <v>1.8156025342600002</v>
      </c>
      <c r="AK61">
        <v>5.3960655238199999</v>
      </c>
      <c r="AL61">
        <v>0.60806281694999986</v>
      </c>
      <c r="AM61">
        <v>0.55734204655999997</v>
      </c>
      <c r="AN61">
        <v>0.61641438637000001</v>
      </c>
      <c r="AO61">
        <v>1.7818192498799994</v>
      </c>
      <c r="AP61" s="498">
        <v>7.1778847736999998</v>
      </c>
      <c r="AQ61">
        <v>0.60388631199999998</v>
      </c>
      <c r="AR61">
        <v>0.58811588300000006</v>
      </c>
      <c r="AS61">
        <v>0.6011750090000002</v>
      </c>
      <c r="AT61">
        <v>1.793177204</v>
      </c>
      <c r="AU61">
        <v>0.62196660999999986</v>
      </c>
      <c r="AV61">
        <v>0.60709272799999991</v>
      </c>
      <c r="AW61">
        <v>0.58997511500000011</v>
      </c>
      <c r="AX61">
        <v>1.819034453</v>
      </c>
      <c r="AY61">
        <v>3.612211657</v>
      </c>
      <c r="AZ61">
        <v>0.595510286</v>
      </c>
      <c r="BA61">
        <v>0.65225963899999995</v>
      </c>
      <c r="BB61">
        <v>0.61996383200000016</v>
      </c>
      <c r="BC61">
        <v>1.8677337570000001</v>
      </c>
      <c r="BD61">
        <v>5.4799454139999995</v>
      </c>
      <c r="BE61">
        <v>0.63337660350593183</v>
      </c>
      <c r="BF61">
        <v>0.55145056091499989</v>
      </c>
      <c r="BG61">
        <v>0.60064856126250021</v>
      </c>
      <c r="BH61">
        <v>1.7854757256834319</v>
      </c>
      <c r="BI61" s="498">
        <v>7.2654211396834318</v>
      </c>
      <c r="BJ61">
        <v>0.58681409200000001</v>
      </c>
      <c r="BK61">
        <v>0.59779375999999995</v>
      </c>
      <c r="BL61">
        <v>0.56894091899999999</v>
      </c>
      <c r="BM61">
        <v>1.7535487710000004</v>
      </c>
      <c r="BN61">
        <v>0.60490267899999994</v>
      </c>
      <c r="BO61">
        <v>0.5225382340000001</v>
      </c>
      <c r="BP61">
        <v>0.58447592000000004</v>
      </c>
      <c r="BQ61">
        <v>1.7119168330000001</v>
      </c>
      <c r="BR61">
        <v>3.4654656039999994</v>
      </c>
      <c r="BS61">
        <v>0.60867269899999998</v>
      </c>
      <c r="BT61">
        <v>0.56400824199999999</v>
      </c>
      <c r="BU61">
        <v>0.52563988500000003</v>
      </c>
      <c r="BV61">
        <v>1.6983208259999998</v>
      </c>
      <c r="BW61">
        <v>5.1637864300000009</v>
      </c>
      <c r="BX61">
        <v>0.58792387199999996</v>
      </c>
      <c r="BY61">
        <v>0.56308481600000004</v>
      </c>
      <c r="BZ61">
        <v>0</v>
      </c>
      <c r="CA61">
        <v>1.1510086880000001</v>
      </c>
      <c r="CB61" s="498">
        <v>6.314795118000001</v>
      </c>
      <c r="CC61">
        <v>0.58764631772999998</v>
      </c>
      <c r="CD61">
        <v>0.61033230563999996</v>
      </c>
      <c r="CE61">
        <v>0.5992933008700001</v>
      </c>
      <c r="CF61">
        <v>1.7972719242400004</v>
      </c>
      <c r="CG61">
        <v>0.6209628452</v>
      </c>
      <c r="CH61">
        <v>0</v>
      </c>
      <c r="CI61">
        <v>0</v>
      </c>
      <c r="CJ61">
        <v>0.6209628452</v>
      </c>
      <c r="CK61">
        <v>2.4182347694400002</v>
      </c>
      <c r="CL61">
        <v>0</v>
      </c>
      <c r="CM61">
        <v>0</v>
      </c>
      <c r="CN61">
        <v>0</v>
      </c>
      <c r="CO61">
        <v>0</v>
      </c>
      <c r="CP61">
        <v>2.4182347694400002</v>
      </c>
      <c r="CQ61">
        <v>0</v>
      </c>
      <c r="CR61">
        <v>0</v>
      </c>
      <c r="CS61">
        <v>0</v>
      </c>
      <c r="CT61">
        <v>0</v>
      </c>
      <c r="CU61" s="498">
        <v>2.4182347694400002</v>
      </c>
    </row>
    <row r="62" spans="1:99">
      <c r="W62" s="480"/>
      <c r="AP62" s="480"/>
      <c r="BI62" s="480"/>
      <c r="CB62" s="480"/>
      <c r="CU62" s="480"/>
    </row>
    <row r="63" spans="1:99">
      <c r="W63" s="480"/>
      <c r="AP63" s="480"/>
      <c r="BI63" s="480"/>
      <c r="CB63" s="480"/>
      <c r="CU63" s="480"/>
    </row>
    <row r="64" spans="1:99">
      <c r="C64">
        <v>1</v>
      </c>
      <c r="E64">
        <v>202204</v>
      </c>
      <c r="F64">
        <v>202205</v>
      </c>
      <c r="G64">
        <v>202206</v>
      </c>
      <c r="H64">
        <v>222331</v>
      </c>
      <c r="I64">
        <v>202207</v>
      </c>
      <c r="J64">
        <v>202208</v>
      </c>
      <c r="K64">
        <v>202209</v>
      </c>
      <c r="L64">
        <v>222332</v>
      </c>
      <c r="M64">
        <v>222361</v>
      </c>
      <c r="N64">
        <v>202210</v>
      </c>
      <c r="O64">
        <v>202211</v>
      </c>
      <c r="P64">
        <v>202212</v>
      </c>
      <c r="Q64">
        <v>222333</v>
      </c>
      <c r="R64">
        <v>222391</v>
      </c>
      <c r="S64">
        <v>202301</v>
      </c>
      <c r="T64">
        <v>202302</v>
      </c>
      <c r="U64">
        <v>202303</v>
      </c>
      <c r="V64">
        <v>222334</v>
      </c>
      <c r="W64" s="480">
        <v>222399</v>
      </c>
      <c r="X64">
        <v>202304</v>
      </c>
      <c r="Y64">
        <v>202305</v>
      </c>
      <c r="Z64">
        <v>202306</v>
      </c>
      <c r="AA64">
        <v>232431</v>
      </c>
      <c r="AB64">
        <v>202307</v>
      </c>
      <c r="AC64">
        <v>202308</v>
      </c>
      <c r="AD64">
        <v>202309</v>
      </c>
      <c r="AE64">
        <v>232432</v>
      </c>
      <c r="AF64">
        <v>232461</v>
      </c>
      <c r="AG64">
        <v>202310</v>
      </c>
      <c r="AH64">
        <v>202311</v>
      </c>
      <c r="AI64">
        <v>202312</v>
      </c>
      <c r="AJ64">
        <v>232433</v>
      </c>
      <c r="AK64">
        <v>232491</v>
      </c>
      <c r="AL64">
        <v>202401</v>
      </c>
      <c r="AM64">
        <v>202402</v>
      </c>
      <c r="AN64">
        <v>202403</v>
      </c>
      <c r="AO64">
        <v>232434</v>
      </c>
      <c r="AP64" s="480">
        <v>232499</v>
      </c>
      <c r="AQ64">
        <v>202404</v>
      </c>
      <c r="AR64">
        <v>202405</v>
      </c>
      <c r="AS64">
        <v>202406</v>
      </c>
      <c r="AT64">
        <v>242531</v>
      </c>
      <c r="AU64">
        <v>202407</v>
      </c>
      <c r="AV64">
        <v>202408</v>
      </c>
      <c r="AW64">
        <v>202409</v>
      </c>
      <c r="AX64">
        <v>242532</v>
      </c>
      <c r="AY64">
        <v>242561</v>
      </c>
      <c r="AZ64">
        <v>202410</v>
      </c>
      <c r="BA64">
        <v>202411</v>
      </c>
      <c r="BB64">
        <v>202412</v>
      </c>
      <c r="BC64">
        <v>242533</v>
      </c>
      <c r="BD64">
        <v>242591</v>
      </c>
      <c r="BE64">
        <v>202501</v>
      </c>
      <c r="BF64">
        <v>202502</v>
      </c>
      <c r="BG64">
        <v>202503</v>
      </c>
      <c r="BH64">
        <v>242534</v>
      </c>
      <c r="BI64" s="480">
        <v>242599</v>
      </c>
      <c r="BJ64">
        <v>202504</v>
      </c>
      <c r="BK64">
        <v>202505</v>
      </c>
      <c r="BL64">
        <v>202506</v>
      </c>
      <c r="BM64">
        <v>252631</v>
      </c>
      <c r="BN64">
        <v>202507</v>
      </c>
      <c r="BO64">
        <v>202508</v>
      </c>
      <c r="BP64">
        <v>202509</v>
      </c>
      <c r="BQ64">
        <v>252632</v>
      </c>
      <c r="BR64">
        <v>252661</v>
      </c>
      <c r="BS64">
        <v>202510</v>
      </c>
      <c r="BT64">
        <v>202511</v>
      </c>
      <c r="BU64">
        <v>202512</v>
      </c>
      <c r="BV64">
        <v>252633</v>
      </c>
      <c r="BW64">
        <v>252691</v>
      </c>
      <c r="BX64">
        <v>202601</v>
      </c>
      <c r="BY64">
        <v>202602</v>
      </c>
      <c r="BZ64">
        <v>202603</v>
      </c>
      <c r="CA64">
        <v>252634</v>
      </c>
      <c r="CB64" s="480">
        <v>252699</v>
      </c>
      <c r="CC64">
        <v>202604</v>
      </c>
      <c r="CD64">
        <v>202605</v>
      </c>
      <c r="CE64">
        <v>202606</v>
      </c>
      <c r="CF64">
        <v>262731</v>
      </c>
      <c r="CG64">
        <v>202607</v>
      </c>
      <c r="CH64">
        <v>202608</v>
      </c>
      <c r="CI64">
        <v>202609</v>
      </c>
      <c r="CJ64">
        <v>262732</v>
      </c>
      <c r="CK64">
        <v>262761</v>
      </c>
      <c r="CL64">
        <v>202610</v>
      </c>
      <c r="CM64">
        <v>202611</v>
      </c>
      <c r="CN64">
        <v>202612</v>
      </c>
      <c r="CO64">
        <v>262733</v>
      </c>
      <c r="CP64">
        <v>262791</v>
      </c>
      <c r="CQ64">
        <v>202701</v>
      </c>
      <c r="CR64">
        <v>202702</v>
      </c>
      <c r="CS64">
        <v>202703</v>
      </c>
      <c r="CT64">
        <v>262734</v>
      </c>
      <c r="CU64" s="480">
        <v>262799</v>
      </c>
    </row>
    <row r="65" spans="1:99">
      <c r="C65">
        <v>2</v>
      </c>
      <c r="E65" t="s">
        <v>308</v>
      </c>
      <c r="F65" t="s">
        <v>309</v>
      </c>
      <c r="G65" t="s">
        <v>829</v>
      </c>
      <c r="H65" t="s">
        <v>392</v>
      </c>
      <c r="I65" t="s">
        <v>830</v>
      </c>
      <c r="J65" t="s">
        <v>312</v>
      </c>
      <c r="K65" t="s">
        <v>313</v>
      </c>
      <c r="L65" t="s">
        <v>393</v>
      </c>
      <c r="M65" t="s">
        <v>622</v>
      </c>
      <c r="N65" t="s">
        <v>314</v>
      </c>
      <c r="O65" t="s">
        <v>315</v>
      </c>
      <c r="P65" t="s">
        <v>316</v>
      </c>
      <c r="Q65" t="s">
        <v>394</v>
      </c>
      <c r="R65" t="s">
        <v>624</v>
      </c>
      <c r="S65" t="s">
        <v>317</v>
      </c>
      <c r="T65" t="s">
        <v>318</v>
      </c>
      <c r="U65" t="s">
        <v>319</v>
      </c>
      <c r="V65" t="s">
        <v>395</v>
      </c>
      <c r="W65" s="480" t="s">
        <v>831</v>
      </c>
      <c r="X65" t="s">
        <v>726</v>
      </c>
      <c r="Y65" t="s">
        <v>727</v>
      </c>
      <c r="Z65" t="s">
        <v>832</v>
      </c>
      <c r="AA65" t="s">
        <v>762</v>
      </c>
      <c r="AB65" t="s">
        <v>833</v>
      </c>
      <c r="AC65" t="s">
        <v>730</v>
      </c>
      <c r="AD65" t="s">
        <v>731</v>
      </c>
      <c r="AE65" t="s">
        <v>765</v>
      </c>
      <c r="AF65" t="s">
        <v>774</v>
      </c>
      <c r="AG65" t="s">
        <v>732</v>
      </c>
      <c r="AH65" t="s">
        <v>733</v>
      </c>
      <c r="AI65" t="s">
        <v>734</v>
      </c>
      <c r="AJ65" t="s">
        <v>768</v>
      </c>
      <c r="AK65" t="s">
        <v>780</v>
      </c>
      <c r="AL65" t="s">
        <v>735</v>
      </c>
      <c r="AM65" t="s">
        <v>736</v>
      </c>
      <c r="AN65" t="s">
        <v>737</v>
      </c>
      <c r="AO65" t="s">
        <v>771</v>
      </c>
      <c r="AP65" s="480" t="s">
        <v>834</v>
      </c>
      <c r="AQ65" t="s">
        <v>738</v>
      </c>
      <c r="AR65" t="s">
        <v>740</v>
      </c>
      <c r="AS65" t="s">
        <v>835</v>
      </c>
      <c r="AT65" t="s">
        <v>763</v>
      </c>
      <c r="AU65" t="s">
        <v>836</v>
      </c>
      <c r="AV65" t="s">
        <v>743</v>
      </c>
      <c r="AW65" t="s">
        <v>744</v>
      </c>
      <c r="AX65" t="s">
        <v>766</v>
      </c>
      <c r="AY65" t="s">
        <v>775</v>
      </c>
      <c r="AZ65" t="s">
        <v>745</v>
      </c>
      <c r="BA65" t="s">
        <v>746</v>
      </c>
      <c r="BB65" t="s">
        <v>747</v>
      </c>
      <c r="BC65" t="s">
        <v>769</v>
      </c>
      <c r="BD65" t="s">
        <v>781</v>
      </c>
      <c r="BE65" t="s">
        <v>748</v>
      </c>
      <c r="BF65" t="s">
        <v>749</v>
      </c>
      <c r="BG65" t="s">
        <v>750</v>
      </c>
      <c r="BH65" t="s">
        <v>772</v>
      </c>
      <c r="BI65" s="480" t="s">
        <v>837</v>
      </c>
      <c r="BJ65" t="s">
        <v>739</v>
      </c>
      <c r="BK65" t="s">
        <v>751</v>
      </c>
      <c r="BL65" t="s">
        <v>838</v>
      </c>
      <c r="BM65" t="s">
        <v>764</v>
      </c>
      <c r="BN65" t="s">
        <v>839</v>
      </c>
      <c r="BO65" t="s">
        <v>754</v>
      </c>
      <c r="BP65" t="s">
        <v>755</v>
      </c>
      <c r="BQ65" t="s">
        <v>767</v>
      </c>
      <c r="BR65" t="s">
        <v>776</v>
      </c>
      <c r="BS65" t="s">
        <v>756</v>
      </c>
      <c r="BT65" t="s">
        <v>757</v>
      </c>
      <c r="BU65" t="s">
        <v>758</v>
      </c>
      <c r="BV65" t="s">
        <v>770</v>
      </c>
      <c r="BW65" t="s">
        <v>782</v>
      </c>
      <c r="BX65" t="s">
        <v>759</v>
      </c>
      <c r="BY65" t="s">
        <v>760</v>
      </c>
      <c r="BZ65" t="s">
        <v>761</v>
      </c>
      <c r="CA65" t="s">
        <v>773</v>
      </c>
      <c r="CB65" s="480" t="s">
        <v>840</v>
      </c>
      <c r="CC65" t="s">
        <v>2268</v>
      </c>
      <c r="CD65" t="s">
        <v>2151</v>
      </c>
      <c r="CE65" t="s">
        <v>2269</v>
      </c>
      <c r="CF65" t="s">
        <v>2260</v>
      </c>
      <c r="CG65" t="s">
        <v>2270</v>
      </c>
      <c r="CH65" t="s">
        <v>2154</v>
      </c>
      <c r="CI65" t="s">
        <v>2155</v>
      </c>
      <c r="CJ65" t="s">
        <v>2261</v>
      </c>
      <c r="CK65" t="s">
        <v>2264</v>
      </c>
      <c r="CL65" t="s">
        <v>2156</v>
      </c>
      <c r="CM65" t="s">
        <v>2157</v>
      </c>
      <c r="CN65" t="s">
        <v>2158</v>
      </c>
      <c r="CO65" t="s">
        <v>2262</v>
      </c>
      <c r="CP65" t="s">
        <v>2266</v>
      </c>
      <c r="CQ65" t="s">
        <v>2159</v>
      </c>
      <c r="CR65" t="s">
        <v>2160</v>
      </c>
      <c r="CS65" t="s">
        <v>2149</v>
      </c>
      <c r="CT65" t="s">
        <v>2263</v>
      </c>
      <c r="CU65" s="480" t="s">
        <v>2271</v>
      </c>
    </row>
    <row r="66" spans="1:99">
      <c r="C66">
        <v>3</v>
      </c>
      <c r="D66" s="209" t="s">
        <v>60</v>
      </c>
      <c r="E66">
        <v>5.6700828800000005E-2</v>
      </c>
      <c r="F66">
        <v>4.3611462600000005E-2</v>
      </c>
      <c r="G66">
        <v>3.5501526800000002E-2</v>
      </c>
      <c r="H66">
        <v>0.13581381819999999</v>
      </c>
      <c r="I66">
        <v>3.4510771799999999E-2</v>
      </c>
      <c r="J66">
        <v>2.7032600000000004E-2</v>
      </c>
      <c r="K66">
        <v>1.8209658200000003E-2</v>
      </c>
      <c r="L66">
        <v>7.9753030000000003E-2</v>
      </c>
      <c r="M66">
        <v>0.21556684819999999</v>
      </c>
      <c r="N66">
        <v>1.2400000000000001E-2</v>
      </c>
      <c r="O66">
        <v>6.4720000000000014E-2</v>
      </c>
      <c r="P66">
        <v>7.7700000000000005E-2</v>
      </c>
      <c r="Q66">
        <v>0.15482000000000001</v>
      </c>
      <c r="R66">
        <v>0.37038684820000001</v>
      </c>
      <c r="S66">
        <v>8.5460000000000008E-2</v>
      </c>
      <c r="T66">
        <v>7.7439999999999995E-2</v>
      </c>
      <c r="U66">
        <v>7.6960000000000015E-2</v>
      </c>
      <c r="V66">
        <v>0.23986000000000002</v>
      </c>
      <c r="W66" s="498">
        <v>0.61024684820000008</v>
      </c>
      <c r="X66">
        <v>5.8200000000000002E-2</v>
      </c>
      <c r="Y66">
        <v>4.3152000000000003E-2</v>
      </c>
      <c r="Z66">
        <v>3.4020000000000002E-2</v>
      </c>
      <c r="AA66">
        <v>0.13537199999999999</v>
      </c>
      <c r="AB66">
        <v>4.3500006000000008E-2</v>
      </c>
      <c r="AC66">
        <v>4.0533988E-2</v>
      </c>
      <c r="AD66">
        <v>4.4473980000000003E-2</v>
      </c>
      <c r="AE66">
        <v>0.128507974</v>
      </c>
      <c r="AF66">
        <v>0.26387997399999996</v>
      </c>
      <c r="AG66">
        <v>5.5860016000000005E-2</v>
      </c>
      <c r="AH66">
        <v>6.9394200000000003E-2</v>
      </c>
      <c r="AI66">
        <v>8.1040014000000007E-2</v>
      </c>
      <c r="AJ66">
        <v>0.20629423000000002</v>
      </c>
      <c r="AK66">
        <v>0.47017420399999998</v>
      </c>
      <c r="AL66">
        <v>8.3672410000000016E-2</v>
      </c>
      <c r="AM66">
        <v>7.2989810000000002E-2</v>
      </c>
      <c r="AN66">
        <v>7.3840016000000008E-2</v>
      </c>
      <c r="AO66">
        <v>0.23050223600000003</v>
      </c>
      <c r="AP66" s="498">
        <v>0.70067644000000007</v>
      </c>
      <c r="AQ66">
        <v>5.9740000000000001E-2</v>
      </c>
      <c r="AR66">
        <v>4.7060000000000005E-2</v>
      </c>
      <c r="AS66">
        <v>4.0620000000000003E-2</v>
      </c>
      <c r="AT66">
        <v>0.14742</v>
      </c>
      <c r="AU66">
        <v>4.3220000000000001E-2</v>
      </c>
      <c r="AV66">
        <v>3.8740000000000004E-2</v>
      </c>
      <c r="AW66">
        <v>4.4474000000000007E-2</v>
      </c>
      <c r="AX66">
        <v>0.12643400000000002</v>
      </c>
      <c r="AY66">
        <v>0.27385400000000004</v>
      </c>
      <c r="AZ66">
        <v>6.5785999999999997E-2</v>
      </c>
      <c r="BA66">
        <v>6.6888000000000003E-2</v>
      </c>
      <c r="BB66">
        <v>8.1040000000000015E-2</v>
      </c>
      <c r="BC66">
        <v>0.21371400000000002</v>
      </c>
      <c r="BD66">
        <v>0.48756800000000006</v>
      </c>
      <c r="BE66">
        <v>7.2299998000000004E-2</v>
      </c>
      <c r="BF66">
        <v>6.9319991999999997E-2</v>
      </c>
      <c r="BG66">
        <v>7.3840000000000003E-2</v>
      </c>
      <c r="BH66">
        <v>0.21545998999999999</v>
      </c>
      <c r="BI66" s="498">
        <v>0.70302799000000005</v>
      </c>
      <c r="BJ66">
        <v>5.4600000000000003E-2</v>
      </c>
      <c r="BK66">
        <v>5.118000000000001E-2</v>
      </c>
      <c r="BL66">
        <v>4.7588999999999999E-2</v>
      </c>
      <c r="BM66">
        <v>0.15336900000000001</v>
      </c>
      <c r="BN66">
        <v>2.9350999999999999E-2</v>
      </c>
      <c r="BO66">
        <v>7.3000000000000009E-3</v>
      </c>
      <c r="BP66">
        <v>4.4660600000000002E-2</v>
      </c>
      <c r="BQ66">
        <v>8.1311600000000012E-2</v>
      </c>
      <c r="BR66">
        <v>0.23468060000000002</v>
      </c>
      <c r="BS66">
        <v>4.7599400000000007E-2</v>
      </c>
      <c r="BT66">
        <v>6.090000000000001E-2</v>
      </c>
      <c r="BU66">
        <v>5.1897800000000001E-2</v>
      </c>
      <c r="BV66">
        <v>0.16039720000000002</v>
      </c>
      <c r="BW66">
        <v>0.39507780000000003</v>
      </c>
      <c r="BX66">
        <v>7.5399000000000008E-2</v>
      </c>
      <c r="BY66">
        <v>6.8568600000000007E-2</v>
      </c>
      <c r="BZ66">
        <v>0</v>
      </c>
      <c r="CA66">
        <v>0.14396760000000003</v>
      </c>
      <c r="CB66" s="498">
        <v>0.53904540000000001</v>
      </c>
      <c r="CC66">
        <v>5.8210604000000006E-2</v>
      </c>
      <c r="CD66">
        <v>5.1720011999999996E-2</v>
      </c>
      <c r="CE66">
        <v>4.6025400000000008E-2</v>
      </c>
      <c r="CF66">
        <v>0.15595601600000003</v>
      </c>
      <c r="CG66">
        <v>4.5833198000000006E-2</v>
      </c>
      <c r="CH66">
        <v>0</v>
      </c>
      <c r="CI66">
        <v>0</v>
      </c>
      <c r="CJ66">
        <v>4.5833198000000006E-2</v>
      </c>
      <c r="CK66">
        <v>0.20178921400000005</v>
      </c>
      <c r="CL66">
        <v>0</v>
      </c>
      <c r="CM66">
        <v>0</v>
      </c>
      <c r="CN66">
        <v>0</v>
      </c>
      <c r="CO66">
        <v>0</v>
      </c>
      <c r="CP66">
        <v>0.20178921400000005</v>
      </c>
      <c r="CQ66">
        <v>0</v>
      </c>
      <c r="CR66">
        <v>0</v>
      </c>
      <c r="CS66">
        <v>0</v>
      </c>
      <c r="CT66">
        <v>0</v>
      </c>
      <c r="CU66" s="498">
        <v>0.20178921400000005</v>
      </c>
    </row>
    <row r="67" spans="1:99">
      <c r="C67">
        <v>4</v>
      </c>
      <c r="D67" s="209" t="s">
        <v>61</v>
      </c>
      <c r="E67">
        <v>0.12429575990000002</v>
      </c>
      <c r="F67">
        <v>0.12641534437999999</v>
      </c>
      <c r="G67">
        <v>0.12126774088</v>
      </c>
      <c r="H67">
        <v>0.37197884516000002</v>
      </c>
      <c r="I67">
        <v>0.12246489684000002</v>
      </c>
      <c r="J67">
        <v>0.11663844712000002</v>
      </c>
      <c r="K67">
        <v>0.1077941189</v>
      </c>
      <c r="L67">
        <v>0.34689746286000006</v>
      </c>
      <c r="M67">
        <v>0.71887630802000002</v>
      </c>
      <c r="N67">
        <v>0.10617043554</v>
      </c>
      <c r="O67">
        <v>0.10200367814000001</v>
      </c>
      <c r="P67">
        <v>0.10573482452000001</v>
      </c>
      <c r="Q67">
        <v>0.31390893819999999</v>
      </c>
      <c r="R67">
        <v>1.03278524622</v>
      </c>
      <c r="S67">
        <v>0.10863991034000001</v>
      </c>
      <c r="T67">
        <v>9.6181797660000012E-2</v>
      </c>
      <c r="U67">
        <v>9.8270555500000023E-2</v>
      </c>
      <c r="V67">
        <v>0.30309226350000007</v>
      </c>
      <c r="W67" s="498">
        <v>1.33587750972</v>
      </c>
      <c r="X67">
        <v>0.10185069700000002</v>
      </c>
      <c r="Y67">
        <v>0.10606756939999999</v>
      </c>
      <c r="Z67">
        <v>9.7705249200000011E-2</v>
      </c>
      <c r="AA67">
        <v>0.30562351560000001</v>
      </c>
      <c r="AB67">
        <v>8.2345029000000014E-2</v>
      </c>
      <c r="AC67">
        <v>9.9291064600000006E-2</v>
      </c>
      <c r="AD67">
        <v>9.5689224800000014E-2</v>
      </c>
      <c r="AE67">
        <v>0.27732531840000002</v>
      </c>
      <c r="AF67">
        <v>0.58294883399999997</v>
      </c>
      <c r="AG67">
        <v>9.8454753799999989E-2</v>
      </c>
      <c r="AH67">
        <v>9.6460176800000005E-2</v>
      </c>
      <c r="AI67">
        <v>9.7279457600000022E-2</v>
      </c>
      <c r="AJ67">
        <v>0.29219438819999999</v>
      </c>
      <c r="AK67">
        <v>0.87514322219999996</v>
      </c>
      <c r="AL67">
        <v>9.4999897200000002E-2</v>
      </c>
      <c r="AM67">
        <v>8.7902768200000009E-2</v>
      </c>
      <c r="AN67">
        <v>7.9773982600000015E-2</v>
      </c>
      <c r="AO67">
        <v>0.26267664800000001</v>
      </c>
      <c r="AP67" s="498">
        <v>1.1378198702</v>
      </c>
      <c r="AQ67">
        <v>8.0558140000000014E-2</v>
      </c>
      <c r="AR67">
        <v>8.407334000000001E-2</v>
      </c>
      <c r="AS67">
        <v>8.2893200000000014E-2</v>
      </c>
      <c r="AT67">
        <v>0.24752468000000005</v>
      </c>
      <c r="AU67">
        <v>7.2923760000000004E-2</v>
      </c>
      <c r="AV67">
        <v>8.8205520000000009E-2</v>
      </c>
      <c r="AW67">
        <v>8.7801480000000001E-2</v>
      </c>
      <c r="AX67">
        <v>0.24893076000000003</v>
      </c>
      <c r="AY67">
        <v>0.49645544000000008</v>
      </c>
      <c r="AZ67">
        <v>8.9830000000000007E-2</v>
      </c>
      <c r="BA67">
        <v>8.7371959999999999E-2</v>
      </c>
      <c r="BB67">
        <v>9.4640520000000006E-2</v>
      </c>
      <c r="BC67">
        <v>0.27184248</v>
      </c>
      <c r="BD67">
        <v>0.76829792000000008</v>
      </c>
      <c r="BE67">
        <v>9.031860500000001E-2</v>
      </c>
      <c r="BF67">
        <v>8.3087159999999993E-2</v>
      </c>
      <c r="BG67">
        <v>9.0294360000000004E-2</v>
      </c>
      <c r="BH67">
        <v>0.26370012500000001</v>
      </c>
      <c r="BI67" s="498">
        <v>1.0319980450000001</v>
      </c>
      <c r="BJ67">
        <v>7.8972920000000002E-2</v>
      </c>
      <c r="BK67">
        <v>8.5765159999999993E-2</v>
      </c>
      <c r="BL67">
        <v>8.1914559999999997E-2</v>
      </c>
      <c r="BM67">
        <v>0.24665264000000001</v>
      </c>
      <c r="BN67">
        <v>8.7348040000000016E-2</v>
      </c>
      <c r="BO67">
        <v>7.3472880000000004E-2</v>
      </c>
      <c r="BP67">
        <v>8.2874220000000012E-2</v>
      </c>
      <c r="BQ67">
        <v>0.24369514000000003</v>
      </c>
      <c r="BR67">
        <v>0.49034778000000001</v>
      </c>
      <c r="BS67">
        <v>8.3870800000000009E-2</v>
      </c>
      <c r="BT67">
        <v>8.1178239999999999E-2</v>
      </c>
      <c r="BU67">
        <v>8.0223260000000005E-2</v>
      </c>
      <c r="BV67">
        <v>0.2452723</v>
      </c>
      <c r="BW67">
        <v>0.73562008000000001</v>
      </c>
      <c r="BX67">
        <v>8.0816840000000001E-2</v>
      </c>
      <c r="BY67">
        <v>7.2280000000000006E-5</v>
      </c>
      <c r="BZ67">
        <v>0</v>
      </c>
      <c r="CA67">
        <v>8.0889119999999995E-2</v>
      </c>
      <c r="CB67" s="498">
        <v>0.81650920000000005</v>
      </c>
      <c r="CC67">
        <v>7.7790941799999999E-2</v>
      </c>
      <c r="CD67">
        <v>8.0119410800000013E-2</v>
      </c>
      <c r="CE67">
        <v>7.6362520000000003E-2</v>
      </c>
      <c r="CF67">
        <v>0.23427287260000002</v>
      </c>
      <c r="CG67">
        <v>7.1235855600000009E-2</v>
      </c>
      <c r="CH67">
        <v>0</v>
      </c>
      <c r="CI67">
        <v>0</v>
      </c>
      <c r="CJ67">
        <v>7.1235855600000009E-2</v>
      </c>
      <c r="CK67">
        <v>0.30550872820000002</v>
      </c>
      <c r="CL67">
        <v>0</v>
      </c>
      <c r="CM67">
        <v>0</v>
      </c>
      <c r="CN67">
        <v>0</v>
      </c>
      <c r="CO67">
        <v>0</v>
      </c>
      <c r="CP67">
        <v>0.30550872820000002</v>
      </c>
      <c r="CQ67">
        <v>0</v>
      </c>
      <c r="CR67">
        <v>0</v>
      </c>
      <c r="CS67">
        <v>0</v>
      </c>
      <c r="CT67">
        <v>0</v>
      </c>
      <c r="CU67" s="498">
        <v>0.30550872820000002</v>
      </c>
    </row>
    <row r="68" spans="1:99">
      <c r="C68">
        <v>5</v>
      </c>
      <c r="D68" s="209" t="s">
        <v>62</v>
      </c>
      <c r="E68">
        <v>9.5565440000000001E-3</v>
      </c>
      <c r="F68">
        <v>8.4914150000000022E-3</v>
      </c>
      <c r="G68">
        <v>9.7178910000000011E-3</v>
      </c>
      <c r="H68">
        <v>2.7765850000000002E-2</v>
      </c>
      <c r="I68">
        <v>1.0267210000000001E-2</v>
      </c>
      <c r="J68">
        <v>1.0007430000000001E-2</v>
      </c>
      <c r="K68">
        <v>9.3896630000000012E-3</v>
      </c>
      <c r="L68">
        <v>2.9664303000000003E-2</v>
      </c>
      <c r="M68">
        <v>5.7430153000000005E-2</v>
      </c>
      <c r="N68">
        <v>1.042131E-2</v>
      </c>
      <c r="O68">
        <v>1.0049124999999999E-2</v>
      </c>
      <c r="P68">
        <v>1.0400916999999997E-2</v>
      </c>
      <c r="Q68">
        <v>3.0871351999999998E-2</v>
      </c>
      <c r="R68">
        <v>8.8301505000000002E-2</v>
      </c>
      <c r="S68">
        <v>1.0257489E-2</v>
      </c>
      <c r="T68">
        <v>9.1944469999999997E-3</v>
      </c>
      <c r="U68">
        <v>9.950709000000002E-3</v>
      </c>
      <c r="V68">
        <v>2.9402645000000002E-2</v>
      </c>
      <c r="W68" s="498">
        <v>0.11770415000000001</v>
      </c>
      <c r="X68">
        <v>9.7082399999999999E-3</v>
      </c>
      <c r="Y68">
        <v>9.1399299999999992E-3</v>
      </c>
      <c r="Z68">
        <v>9.6518100000000003E-3</v>
      </c>
      <c r="AA68">
        <v>2.8499979999999998E-2</v>
      </c>
      <c r="AB68">
        <v>9.6428299999999998E-3</v>
      </c>
      <c r="AC68">
        <v>9.7921399999999995E-3</v>
      </c>
      <c r="AD68">
        <v>8.3489400000000009E-3</v>
      </c>
      <c r="AE68">
        <v>2.7783910000000002E-2</v>
      </c>
      <c r="AF68">
        <v>5.6283890000000003E-2</v>
      </c>
      <c r="AG68">
        <v>9.9179899999999998E-3</v>
      </c>
      <c r="AH68">
        <v>9.5420999999999995E-3</v>
      </c>
      <c r="AI68">
        <v>9.7777100000000002E-3</v>
      </c>
      <c r="AJ68">
        <v>2.9237800000000001E-2</v>
      </c>
      <c r="AK68">
        <v>8.5521690000000011E-2</v>
      </c>
      <c r="AL68">
        <v>9.6186799999999992E-3</v>
      </c>
      <c r="AM68">
        <v>9.0505509999999987E-3</v>
      </c>
      <c r="AN68">
        <v>9.4734650000000004E-3</v>
      </c>
      <c r="AO68">
        <v>2.8142695999999998E-2</v>
      </c>
      <c r="AP68" s="498">
        <v>0.11366438600000001</v>
      </c>
      <c r="AQ68">
        <v>9.1910000000000013E-3</v>
      </c>
      <c r="AR68">
        <v>6.875E-3</v>
      </c>
      <c r="AS68">
        <v>2.405E-3</v>
      </c>
      <c r="AT68">
        <v>1.8471000000000001E-2</v>
      </c>
      <c r="AU68">
        <v>8.7420000000000015E-3</v>
      </c>
      <c r="AV68">
        <v>8.8690000000000001E-3</v>
      </c>
      <c r="AW68">
        <v>6.6420000000000003E-3</v>
      </c>
      <c r="AX68">
        <v>2.4253000000000004E-2</v>
      </c>
      <c r="AY68">
        <v>4.2724000000000005E-2</v>
      </c>
      <c r="AZ68">
        <v>8.4779999999999994E-3</v>
      </c>
      <c r="BA68">
        <v>8.1099999999999992E-3</v>
      </c>
      <c r="BB68">
        <v>8.6999999999999994E-3</v>
      </c>
      <c r="BC68">
        <v>2.5287999999999998E-2</v>
      </c>
      <c r="BD68">
        <v>6.8012000000000003E-2</v>
      </c>
      <c r="BE68">
        <v>8.9779199999999986E-3</v>
      </c>
      <c r="BF68">
        <v>8.0210000000000004E-3</v>
      </c>
      <c r="BG68">
        <v>7.836000000000001E-3</v>
      </c>
      <c r="BH68">
        <v>2.4834920000000003E-2</v>
      </c>
      <c r="BI68" s="498">
        <v>9.2846919999999999E-2</v>
      </c>
      <c r="BJ68">
        <v>8.4620000000000008E-3</v>
      </c>
      <c r="BK68">
        <v>8.0389999999999993E-3</v>
      </c>
      <c r="BL68">
        <v>7.9229999999999995E-3</v>
      </c>
      <c r="BM68">
        <v>2.4424000000000001E-2</v>
      </c>
      <c r="BN68">
        <v>8.0559999999999989E-3</v>
      </c>
      <c r="BO68">
        <v>8.5340000000000017E-3</v>
      </c>
      <c r="BP68">
        <v>7.5910000000000005E-3</v>
      </c>
      <c r="BQ68">
        <v>2.4181000000000001E-2</v>
      </c>
      <c r="BR68">
        <v>4.8605000000000002E-2</v>
      </c>
      <c r="BS68">
        <v>8.6569999999999998E-3</v>
      </c>
      <c r="BT68">
        <v>8.5190000000000005E-3</v>
      </c>
      <c r="BU68">
        <v>8.9120000000000015E-3</v>
      </c>
      <c r="BV68">
        <v>2.6088E-2</v>
      </c>
      <c r="BW68">
        <v>7.4693000000000009E-2</v>
      </c>
      <c r="BX68">
        <v>8.9700000000000005E-3</v>
      </c>
      <c r="BY68">
        <v>8.0479999999999996E-3</v>
      </c>
      <c r="BZ68">
        <v>0</v>
      </c>
      <c r="CA68">
        <v>1.7017999999999998E-2</v>
      </c>
      <c r="CB68" s="498">
        <v>9.1711000000000015E-2</v>
      </c>
      <c r="CC68">
        <v>8.3602500000000014E-3</v>
      </c>
      <c r="CD68">
        <v>7.4710200000000001E-3</v>
      </c>
      <c r="CE68">
        <v>7.8389700000000007E-3</v>
      </c>
      <c r="CF68">
        <v>2.3670240000000002E-2</v>
      </c>
      <c r="CG68">
        <v>7.4680500000000004E-3</v>
      </c>
      <c r="CH68">
        <v>0</v>
      </c>
      <c r="CI68">
        <v>0</v>
      </c>
      <c r="CJ68">
        <v>7.4680500000000004E-3</v>
      </c>
      <c r="CK68">
        <v>3.1138290000000002E-2</v>
      </c>
      <c r="CL68">
        <v>0</v>
      </c>
      <c r="CM68">
        <v>0</v>
      </c>
      <c r="CN68">
        <v>0</v>
      </c>
      <c r="CO68">
        <v>0</v>
      </c>
      <c r="CP68">
        <v>3.1138290000000002E-2</v>
      </c>
      <c r="CQ68">
        <v>0</v>
      </c>
      <c r="CR68">
        <v>0</v>
      </c>
      <c r="CS68">
        <v>0</v>
      </c>
      <c r="CT68">
        <v>0</v>
      </c>
      <c r="CU68" s="498">
        <v>3.1138290000000002E-2</v>
      </c>
    </row>
    <row r="69" spans="1:99">
      <c r="C69">
        <v>6</v>
      </c>
      <c r="D69" s="209" t="s">
        <v>57</v>
      </c>
      <c r="E69">
        <v>7.9763607000000007E-3</v>
      </c>
      <c r="F69">
        <v>8.2321470000000004E-3</v>
      </c>
      <c r="G69">
        <v>5.5467258E-3</v>
      </c>
      <c r="H69">
        <v>2.1755233499999999E-2</v>
      </c>
      <c r="I69">
        <v>5.734886595900001E-3</v>
      </c>
      <c r="J69">
        <v>7.2736586999999995E-3</v>
      </c>
      <c r="K69">
        <v>4.6610949E-3</v>
      </c>
      <c r="L69">
        <v>1.7669640195900001E-2</v>
      </c>
      <c r="M69">
        <v>3.9424873695900003E-2</v>
      </c>
      <c r="N69">
        <v>5.1618797999999997E-3</v>
      </c>
      <c r="O69">
        <v>8.3210658292920819E-3</v>
      </c>
      <c r="P69">
        <v>6.5111277E-3</v>
      </c>
      <c r="Q69">
        <v>1.9994073329292081E-2</v>
      </c>
      <c r="R69">
        <v>5.9418947025192084E-2</v>
      </c>
      <c r="S69">
        <v>6.0526728451229346E-3</v>
      </c>
      <c r="T69">
        <v>8.0447829000000002E-3</v>
      </c>
      <c r="U69">
        <v>5.622644810142385E-3</v>
      </c>
      <c r="V69">
        <v>1.9720100555265317E-2</v>
      </c>
      <c r="W69" s="498">
        <v>7.9139047580457395E-2</v>
      </c>
      <c r="X69">
        <v>6.9027928200000007E-3</v>
      </c>
      <c r="Y69">
        <v>7.0044963449999989E-3</v>
      </c>
      <c r="Z69">
        <v>5.4134180100000005E-3</v>
      </c>
      <c r="AA69">
        <v>1.9320707175E-2</v>
      </c>
      <c r="AB69">
        <v>4.9999462590000002E-3</v>
      </c>
      <c r="AC69">
        <v>7.0609465079999999E-3</v>
      </c>
      <c r="AD69">
        <v>6.1596611999999995E-3</v>
      </c>
      <c r="AE69">
        <v>1.8220553967000001E-2</v>
      </c>
      <c r="AF69">
        <v>3.7541261142000001E-2</v>
      </c>
      <c r="AG69">
        <v>8.1835335119999995E-3</v>
      </c>
      <c r="AH69">
        <v>6.5629398450000008E-3</v>
      </c>
      <c r="AI69">
        <v>8.1465610379999991E-3</v>
      </c>
      <c r="AJ69">
        <v>2.2893034394999998E-2</v>
      </c>
      <c r="AK69">
        <v>6.0434295536999999E-2</v>
      </c>
      <c r="AL69">
        <v>6.0980985449999997E-3</v>
      </c>
      <c r="AM69">
        <v>6.6406969860000001E-3</v>
      </c>
      <c r="AN69">
        <v>9.2463753689999983E-3</v>
      </c>
      <c r="AO69">
        <v>2.1985170899999996E-2</v>
      </c>
      <c r="AP69" s="498">
        <v>8.2419466436999989E-2</v>
      </c>
      <c r="AQ69">
        <v>5.5886291999999995E-3</v>
      </c>
      <c r="AR69">
        <v>5.7921401999999995E-3</v>
      </c>
      <c r="AS69">
        <v>6.1572125999999998E-3</v>
      </c>
      <c r="AT69">
        <v>1.7537982000000001E-2</v>
      </c>
      <c r="AU69">
        <v>7.2747905999999991E-3</v>
      </c>
      <c r="AV69">
        <v>7.530507599999999E-3</v>
      </c>
      <c r="AW69">
        <v>6.8833148999999996E-3</v>
      </c>
      <c r="AX69">
        <v>2.1688613099999997E-2</v>
      </c>
      <c r="AY69">
        <v>3.9226595099999997E-2</v>
      </c>
      <c r="AZ69">
        <v>6.430762799999999E-3</v>
      </c>
      <c r="BA69">
        <v>2.2561110000000002E-2</v>
      </c>
      <c r="BB69">
        <v>1.2185433000000002E-2</v>
      </c>
      <c r="BC69">
        <v>4.1177305800000008E-2</v>
      </c>
      <c r="BD69">
        <v>8.0403900900000005E-2</v>
      </c>
      <c r="BE69">
        <v>1.2114209835E-2</v>
      </c>
      <c r="BF69">
        <v>1.1959886835000001E-2</v>
      </c>
      <c r="BG69">
        <v>1.1415982500000001E-2</v>
      </c>
      <c r="BH69">
        <v>3.5490079170000008E-2</v>
      </c>
      <c r="BI69" s="498">
        <v>0.11589398007000001</v>
      </c>
      <c r="BJ69">
        <v>9.3357517499999994E-3</v>
      </c>
      <c r="BK69">
        <v>8.1453645000000002E-3</v>
      </c>
      <c r="BL69">
        <v>7.1964067500000003E-3</v>
      </c>
      <c r="BM69">
        <v>2.4677523E-2</v>
      </c>
      <c r="BN69">
        <v>8.5259362500000012E-3</v>
      </c>
      <c r="BO69">
        <v>8.525673000000001E-3</v>
      </c>
      <c r="BP69">
        <v>1.04715585E-2</v>
      </c>
      <c r="BQ69">
        <v>2.7523167750000001E-2</v>
      </c>
      <c r="BR69">
        <v>5.2200690750000001E-2</v>
      </c>
      <c r="BS69">
        <v>1.0002417750000001E-2</v>
      </c>
      <c r="BT69">
        <v>8.6762213999999997E-3</v>
      </c>
      <c r="BU69">
        <v>9.2990666999999989E-3</v>
      </c>
      <c r="BV69">
        <v>2.7977705849999999E-2</v>
      </c>
      <c r="BW69">
        <v>8.0178396600000007E-2</v>
      </c>
      <c r="BX69">
        <v>1.17764493E-2</v>
      </c>
      <c r="BY69">
        <v>1.0020086999999999E-2</v>
      </c>
      <c r="BZ69">
        <v>0</v>
      </c>
      <c r="CA69">
        <v>2.1796536299999999E-2</v>
      </c>
      <c r="CB69" s="498">
        <v>0.10197493290000001</v>
      </c>
      <c r="CC69">
        <v>1.2668992537500002E-2</v>
      </c>
      <c r="CD69">
        <v>1.2527569372500002E-2</v>
      </c>
      <c r="CE69">
        <v>1.1077325122500002E-2</v>
      </c>
      <c r="CF69">
        <v>3.6273887032500007E-2</v>
      </c>
      <c r="CG69">
        <v>7.4933515799999999E-3</v>
      </c>
      <c r="CH69">
        <v>0</v>
      </c>
      <c r="CI69">
        <v>0</v>
      </c>
      <c r="CJ69">
        <v>7.4933515799999999E-3</v>
      </c>
      <c r="CK69">
        <v>4.3767238612500009E-2</v>
      </c>
      <c r="CL69">
        <v>0</v>
      </c>
      <c r="CM69">
        <v>0</v>
      </c>
      <c r="CN69">
        <v>0</v>
      </c>
      <c r="CO69">
        <v>0</v>
      </c>
      <c r="CP69">
        <v>4.3767238612500009E-2</v>
      </c>
      <c r="CQ69">
        <v>0</v>
      </c>
      <c r="CR69">
        <v>0</v>
      </c>
      <c r="CS69">
        <v>0</v>
      </c>
      <c r="CT69">
        <v>0</v>
      </c>
      <c r="CU69" s="498">
        <v>4.3767238612500009E-2</v>
      </c>
    </row>
    <row r="70" spans="1:99">
      <c r="C70">
        <v>7</v>
      </c>
      <c r="D70" s="209" t="s">
        <v>58</v>
      </c>
      <c r="E70">
        <v>4.9211746663248008E-4</v>
      </c>
      <c r="F70">
        <v>0</v>
      </c>
      <c r="G70">
        <v>8.3336847755111998E-4</v>
      </c>
      <c r="H70">
        <v>1.3254859441836002E-3</v>
      </c>
      <c r="I70">
        <v>1.5660877176000001E-3</v>
      </c>
      <c r="J70">
        <v>3.3526048148999998E-3</v>
      </c>
      <c r="K70">
        <v>2.9800817325000006E-3</v>
      </c>
      <c r="L70">
        <v>7.8987742650000001E-3</v>
      </c>
      <c r="M70">
        <v>9.2242602091836007E-3</v>
      </c>
      <c r="N70">
        <v>3.3854694781635004E-3</v>
      </c>
      <c r="O70">
        <v>1.8395093551085103E-3</v>
      </c>
      <c r="P70">
        <v>1.0452405826656002E-3</v>
      </c>
      <c r="Q70">
        <v>6.2702194159376104E-3</v>
      </c>
      <c r="R70">
        <v>1.549447962512121E-2</v>
      </c>
      <c r="S70">
        <v>2.6350794086002207E-3</v>
      </c>
      <c r="T70">
        <v>2.1314925744318008E-3</v>
      </c>
      <c r="U70">
        <v>1.6032121938010801E-3</v>
      </c>
      <c r="V70">
        <v>6.369784176833101E-3</v>
      </c>
      <c r="W70" s="498">
        <v>2.186426380195431E-2</v>
      </c>
      <c r="X70">
        <v>2.5458624E-3</v>
      </c>
      <c r="Y70">
        <v>1.9683027000000001E-3</v>
      </c>
      <c r="Z70">
        <v>2.4370199999999998E-3</v>
      </c>
      <c r="AA70">
        <v>6.9511851E-3</v>
      </c>
      <c r="AB70">
        <v>3.0982446000000002E-3</v>
      </c>
      <c r="AC70">
        <v>4.2916527000000006E-3</v>
      </c>
      <c r="AD70">
        <v>2.7064800000000003E-3</v>
      </c>
      <c r="AE70">
        <v>1.0096377300000001E-2</v>
      </c>
      <c r="AF70">
        <v>1.7047562400000001E-2</v>
      </c>
      <c r="AG70">
        <v>0</v>
      </c>
      <c r="AH70">
        <v>1.5381900000000003E-3</v>
      </c>
      <c r="AI70">
        <v>2.8690199999999999E-3</v>
      </c>
      <c r="AJ70">
        <v>4.4072099999999999E-3</v>
      </c>
      <c r="AK70">
        <v>2.1454772400000002E-2</v>
      </c>
      <c r="AL70">
        <v>2.6535519000000004E-3</v>
      </c>
      <c r="AM70">
        <v>2.4051519000000002E-3</v>
      </c>
      <c r="AN70">
        <v>2.1357000000000004E-3</v>
      </c>
      <c r="AO70">
        <v>7.1944038000000005E-3</v>
      </c>
      <c r="AP70" s="498">
        <v>2.8649176200000001E-2</v>
      </c>
      <c r="AQ70">
        <v>1.3203000000000002E-3</v>
      </c>
      <c r="AR70">
        <v>2.3301000000000003E-3</v>
      </c>
      <c r="AS70">
        <v>1.73529E-3</v>
      </c>
      <c r="AT70">
        <v>5.3856900000000003E-3</v>
      </c>
      <c r="AU70">
        <v>2.7958500000000003E-3</v>
      </c>
      <c r="AV70">
        <v>3.2842800000000005E-3</v>
      </c>
      <c r="AW70">
        <v>2.1051899999999998E-3</v>
      </c>
      <c r="AX70">
        <v>8.1853200000000011E-3</v>
      </c>
      <c r="AY70">
        <v>1.3571010000000001E-2</v>
      </c>
      <c r="AZ70">
        <v>2.0058300000000001E-3</v>
      </c>
      <c r="BA70">
        <v>1.9928700000000003E-3</v>
      </c>
      <c r="BB70">
        <v>2.7269999999999998E-3</v>
      </c>
      <c r="BC70">
        <v>6.7257000000000011E-3</v>
      </c>
      <c r="BD70">
        <v>2.0296710000000003E-2</v>
      </c>
      <c r="BE70">
        <v>2.5479981000000001E-3</v>
      </c>
      <c r="BF70">
        <v>1.7803800000000002E-3</v>
      </c>
      <c r="BG70">
        <v>2.4694200000000004E-3</v>
      </c>
      <c r="BH70">
        <v>6.7977981000000003E-3</v>
      </c>
      <c r="BI70" s="498">
        <v>2.7094508100000005E-2</v>
      </c>
      <c r="BJ70">
        <v>2.4637500000000002E-3</v>
      </c>
      <c r="BK70">
        <v>2.9408400000000001E-3</v>
      </c>
      <c r="BL70">
        <v>4.1418000000000002E-3</v>
      </c>
      <c r="BM70">
        <v>9.5463900000000018E-3</v>
      </c>
      <c r="BN70">
        <v>3.6612000000000007E-3</v>
      </c>
      <c r="BO70">
        <v>3.0618000000000004E-3</v>
      </c>
      <c r="BP70">
        <v>3.5964000000000005E-3</v>
      </c>
      <c r="BQ70">
        <v>1.0319400000000003E-2</v>
      </c>
      <c r="BR70">
        <v>1.9865790000000005E-2</v>
      </c>
      <c r="BS70">
        <v>4.1067000000000013E-3</v>
      </c>
      <c r="BT70">
        <v>2.1969900000000007E-3</v>
      </c>
      <c r="BU70">
        <v>0</v>
      </c>
      <c r="BV70">
        <v>6.3036900000000024E-3</v>
      </c>
      <c r="BW70">
        <v>2.6169480000000009E-2</v>
      </c>
      <c r="BX70">
        <v>3.3750000000000002E-4</v>
      </c>
      <c r="BY70">
        <v>2.3922000000000001E-3</v>
      </c>
      <c r="BZ70">
        <v>0</v>
      </c>
      <c r="CA70">
        <v>2.7297000000000003E-3</v>
      </c>
      <c r="CB70" s="498">
        <v>2.889918000000001E-2</v>
      </c>
      <c r="CC70">
        <v>3.6720000000000004E-3</v>
      </c>
      <c r="CD70">
        <v>2.5045200000000005E-3</v>
      </c>
      <c r="CE70">
        <v>3.7719027000000004E-3</v>
      </c>
      <c r="CF70">
        <v>9.9484227000000008E-3</v>
      </c>
      <c r="CG70">
        <v>2.9916054000000002E-3</v>
      </c>
      <c r="CH70">
        <v>0</v>
      </c>
      <c r="CI70">
        <v>0</v>
      </c>
      <c r="CJ70">
        <v>2.9916054000000002E-3</v>
      </c>
      <c r="CK70">
        <v>1.2940028100000001E-2</v>
      </c>
      <c r="CL70">
        <v>0</v>
      </c>
      <c r="CM70">
        <v>0</v>
      </c>
      <c r="CN70">
        <v>0</v>
      </c>
      <c r="CO70">
        <v>0</v>
      </c>
      <c r="CP70">
        <v>1.2940028100000001E-2</v>
      </c>
      <c r="CQ70">
        <v>0</v>
      </c>
      <c r="CR70">
        <v>0</v>
      </c>
      <c r="CS70">
        <v>0</v>
      </c>
      <c r="CT70">
        <v>0</v>
      </c>
      <c r="CU70" s="498">
        <v>1.2940028100000001E-2</v>
      </c>
    </row>
    <row r="71" spans="1:99">
      <c r="A71" t="s">
        <v>841</v>
      </c>
      <c r="C71">
        <v>8</v>
      </c>
      <c r="D71" s="209" t="s">
        <v>59</v>
      </c>
      <c r="E71">
        <v>1.787206177597431E-4</v>
      </c>
      <c r="F71">
        <v>1.8403964921123497E-4</v>
      </c>
      <c r="G71">
        <v>1.7689036010499877E-4</v>
      </c>
      <c r="H71">
        <v>5.3965062707597678E-4</v>
      </c>
      <c r="I71">
        <v>1.9524050890988741E-4</v>
      </c>
      <c r="J71">
        <v>2.0255049596910069E-4</v>
      </c>
      <c r="K71">
        <v>1.8850053943541927E-4</v>
      </c>
      <c r="L71">
        <v>5.8629154431440742E-4</v>
      </c>
      <c r="M71">
        <v>1.1259421713903841E-3</v>
      </c>
      <c r="N71">
        <v>2.0005800239999999E-4</v>
      </c>
      <c r="O71">
        <v>1.9382151359999996E-4</v>
      </c>
      <c r="P71">
        <v>2.0000000000000001E-4</v>
      </c>
      <c r="Q71">
        <v>5.9387951599999995E-4</v>
      </c>
      <c r="R71">
        <v>1.719821687390384E-3</v>
      </c>
      <c r="S71">
        <v>2.065E-4</v>
      </c>
      <c r="T71">
        <v>1.8353469840000003E-4</v>
      </c>
      <c r="U71">
        <v>2.1397973082030994E-4</v>
      </c>
      <c r="V71">
        <v>6.0401442922030995E-4</v>
      </c>
      <c r="W71" s="498">
        <v>2.3238361166106939E-3</v>
      </c>
      <c r="X71">
        <v>2.1645E-4</v>
      </c>
      <c r="Y71">
        <v>2.2506000000000002E-4</v>
      </c>
      <c r="Z71">
        <v>2.1345000000000001E-4</v>
      </c>
      <c r="AA71">
        <v>6.5496E-4</v>
      </c>
      <c r="AB71">
        <v>2.45985E-4</v>
      </c>
      <c r="AC71">
        <v>2.6644499999999997E-4</v>
      </c>
      <c r="AD71">
        <v>2.6055000000000002E-4</v>
      </c>
      <c r="AE71">
        <v>7.7297999999999993E-4</v>
      </c>
      <c r="AF71">
        <v>1.4279399999999999E-3</v>
      </c>
      <c r="AG71">
        <v>2.8101500000000002E-4</v>
      </c>
      <c r="AH71">
        <v>2.4705000000000001E-4</v>
      </c>
      <c r="AI71">
        <v>2.6055499999999999E-4</v>
      </c>
      <c r="AJ71">
        <v>7.8862000000000008E-4</v>
      </c>
      <c r="AK71">
        <v>2.2165600000000002E-3</v>
      </c>
      <c r="AL71">
        <v>2.7993000000000001E-4</v>
      </c>
      <c r="AM71">
        <v>2.5505499999999996E-4</v>
      </c>
      <c r="AN71">
        <v>2.7357500000000002E-4</v>
      </c>
      <c r="AO71">
        <v>8.0856000000000005E-4</v>
      </c>
      <c r="AP71" s="498">
        <v>3.0251200000000001E-3</v>
      </c>
      <c r="AQ71">
        <v>2.9349999999999998E-4</v>
      </c>
      <c r="AR71">
        <v>3.5E-4</v>
      </c>
      <c r="AS71">
        <v>3.4699999999999998E-4</v>
      </c>
      <c r="AT71">
        <v>9.9050000000000006E-4</v>
      </c>
      <c r="AU71">
        <v>3.4399999999999996E-4</v>
      </c>
      <c r="AV71">
        <v>4.2000000000000002E-4</v>
      </c>
      <c r="AW71">
        <v>4.2949999999999998E-4</v>
      </c>
      <c r="AX71">
        <v>1.1934999999999999E-3</v>
      </c>
      <c r="AY71">
        <v>2.1840000000000002E-3</v>
      </c>
      <c r="AZ71">
        <v>3.5649999999999999E-4</v>
      </c>
      <c r="BA71">
        <v>3.48E-4</v>
      </c>
      <c r="BB71">
        <v>3.815E-4</v>
      </c>
      <c r="BC71">
        <v>1.0860000000000002E-3</v>
      </c>
      <c r="BD71">
        <v>3.2700000000000003E-3</v>
      </c>
      <c r="BE71">
        <v>3.5020499999999997E-4</v>
      </c>
      <c r="BF71">
        <v>3.3306000000000004E-4</v>
      </c>
      <c r="BG71">
        <v>3.5556999999999999E-4</v>
      </c>
      <c r="BH71">
        <v>1.0388349999999999E-3</v>
      </c>
      <c r="BI71" s="498">
        <v>4.3088350000000004E-3</v>
      </c>
      <c r="BJ71">
        <v>4.1849999999999998E-4</v>
      </c>
      <c r="BK71">
        <v>4.125E-4</v>
      </c>
      <c r="BL71">
        <v>3.7050000000000001E-4</v>
      </c>
      <c r="BM71">
        <v>1.2014999999999999E-3</v>
      </c>
      <c r="BN71">
        <v>4.3800000000000002E-4</v>
      </c>
      <c r="BO71">
        <v>4.6300000000000003E-4</v>
      </c>
      <c r="BP71">
        <v>4.7799999999999996E-4</v>
      </c>
      <c r="BQ71">
        <v>1.379E-3</v>
      </c>
      <c r="BR71">
        <v>2.5804999999999999E-3</v>
      </c>
      <c r="BS71">
        <v>5.2500000000000008E-4</v>
      </c>
      <c r="BT71">
        <v>5.0849999999999995E-4</v>
      </c>
      <c r="BU71">
        <v>4.7849999999999998E-4</v>
      </c>
      <c r="BV71">
        <v>1.5120000000000001E-3</v>
      </c>
      <c r="BW71">
        <v>4.0924999999999998E-3</v>
      </c>
      <c r="BX71">
        <v>4.4300000000000003E-4</v>
      </c>
      <c r="BY71">
        <v>4.0350000000000005E-4</v>
      </c>
      <c r="BZ71">
        <v>0</v>
      </c>
      <c r="CA71">
        <v>8.4650000000000003E-4</v>
      </c>
      <c r="CB71" s="498">
        <v>4.9389999999999998E-3</v>
      </c>
      <c r="CC71">
        <v>4.2104999999999996E-4</v>
      </c>
      <c r="CD71">
        <v>3.4503000000000002E-4</v>
      </c>
      <c r="CE71">
        <v>3.8445000000000005E-4</v>
      </c>
      <c r="CF71">
        <v>1.1505299999999999E-3</v>
      </c>
      <c r="CG71">
        <v>3.9943500000000001E-4</v>
      </c>
      <c r="CH71">
        <v>0</v>
      </c>
      <c r="CI71">
        <v>0</v>
      </c>
      <c r="CJ71">
        <v>3.9943500000000001E-4</v>
      </c>
      <c r="CK71">
        <v>1.5499649999999999E-3</v>
      </c>
      <c r="CL71">
        <v>0</v>
      </c>
      <c r="CM71">
        <v>0</v>
      </c>
      <c r="CN71">
        <v>0</v>
      </c>
      <c r="CO71">
        <v>0</v>
      </c>
      <c r="CP71">
        <v>1.5499649999999999E-3</v>
      </c>
      <c r="CQ71">
        <v>0</v>
      </c>
      <c r="CR71">
        <v>0</v>
      </c>
      <c r="CS71">
        <v>0</v>
      </c>
      <c r="CT71">
        <v>0</v>
      </c>
      <c r="CU71" s="498">
        <v>1.5499649999999999E-3</v>
      </c>
    </row>
    <row r="72" spans="1:99">
      <c r="C72">
        <v>9</v>
      </c>
      <c r="D72" s="209" t="s">
        <v>63</v>
      </c>
      <c r="E72">
        <v>7.6418667014019646E-5</v>
      </c>
      <c r="F72">
        <v>7.5727085321410055E-5</v>
      </c>
      <c r="G72">
        <v>8.048280461111094E-5</v>
      </c>
      <c r="H72">
        <v>2.3262855694654064E-4</v>
      </c>
      <c r="I72">
        <v>6.6794343432055185E-5</v>
      </c>
      <c r="J72">
        <v>1.1040759796911766E-4</v>
      </c>
      <c r="K72">
        <v>1.0586095875088846E-4</v>
      </c>
      <c r="L72">
        <v>2.8306290015206134E-4</v>
      </c>
      <c r="M72">
        <v>5.15691457098602E-4</v>
      </c>
      <c r="N72">
        <v>7.6846777687478586E-5</v>
      </c>
      <c r="O72">
        <v>1.1481169881097672E-4</v>
      </c>
      <c r="P72">
        <v>1.3189057531283005E-4</v>
      </c>
      <c r="Q72">
        <v>3.2354905181128537E-4</v>
      </c>
      <c r="R72">
        <v>8.3924050890988732E-4</v>
      </c>
      <c r="S72">
        <v>1.1814639512724161E-4</v>
      </c>
      <c r="T72">
        <v>1.2077242338176453E-4</v>
      </c>
      <c r="U72">
        <v>8.0545619812712557E-5</v>
      </c>
      <c r="V72">
        <v>3.194644383217187E-4</v>
      </c>
      <c r="W72" s="498">
        <v>1.1587049472316061E-3</v>
      </c>
      <c r="X72">
        <v>1.0221400000000001E-4</v>
      </c>
      <c r="Y72">
        <v>9.8006999999999999E-5</v>
      </c>
      <c r="Z72">
        <v>9.5906999999999988E-5</v>
      </c>
      <c r="AA72">
        <v>2.9612799999999999E-4</v>
      </c>
      <c r="AB72">
        <v>9.4492999999999991E-5</v>
      </c>
      <c r="AC72">
        <v>9.3092999999999998E-5</v>
      </c>
      <c r="AD72">
        <v>8.8907000000000008E-5</v>
      </c>
      <c r="AE72">
        <v>2.76493E-4</v>
      </c>
      <c r="AF72">
        <v>5.7262099999999994E-4</v>
      </c>
      <c r="AG72">
        <v>9.4471999999999986E-5</v>
      </c>
      <c r="AH72">
        <v>8.6120999999999998E-5</v>
      </c>
      <c r="AI72">
        <v>8.2593E-5</v>
      </c>
      <c r="AJ72">
        <v>2.63186E-4</v>
      </c>
      <c r="AK72">
        <v>8.3580699999999993E-4</v>
      </c>
      <c r="AL72">
        <v>6.7885999999999993E-5</v>
      </c>
      <c r="AM72">
        <v>7.3499999999999998E-5</v>
      </c>
      <c r="AN72">
        <v>6.4406999999999995E-5</v>
      </c>
      <c r="AO72">
        <v>2.0579299999999999E-4</v>
      </c>
      <c r="AP72" s="498">
        <v>1.0415999999999999E-3</v>
      </c>
      <c r="AQ72">
        <v>8.3999999999999995E-5</v>
      </c>
      <c r="AR72">
        <v>8.1899999999999999E-5</v>
      </c>
      <c r="AS72">
        <v>9.939999999999999E-5</v>
      </c>
      <c r="AT72">
        <v>2.653E-4</v>
      </c>
      <c r="AU72">
        <v>1.05E-4</v>
      </c>
      <c r="AV72">
        <v>1.064E-4</v>
      </c>
      <c r="AW72">
        <v>1.092E-4</v>
      </c>
      <c r="AX72">
        <v>3.2059999999999999E-4</v>
      </c>
      <c r="AY72">
        <v>5.8589999999999998E-4</v>
      </c>
      <c r="AZ72">
        <v>7.9100000000000012E-5</v>
      </c>
      <c r="BA72">
        <v>6.1599999999999993E-5</v>
      </c>
      <c r="BB72">
        <v>5.1799999999999992E-5</v>
      </c>
      <c r="BC72">
        <v>1.9249999999999999E-4</v>
      </c>
      <c r="BD72">
        <v>7.7839999999999995E-4</v>
      </c>
      <c r="BE72">
        <v>7.1735999999999992E-5</v>
      </c>
      <c r="BF72">
        <v>7.4906999999999993E-5</v>
      </c>
      <c r="BG72">
        <v>8.5414000000000006E-5</v>
      </c>
      <c r="BH72">
        <v>2.3205699999999998E-4</v>
      </c>
      <c r="BI72" s="498">
        <v>1.010457E-3</v>
      </c>
      <c r="BJ72">
        <v>8.5399999999999989E-5</v>
      </c>
      <c r="BK72">
        <v>6.649999999999999E-5</v>
      </c>
      <c r="BL72">
        <v>5.0399999999999992E-5</v>
      </c>
      <c r="BM72">
        <v>2.0229999999999998E-4</v>
      </c>
      <c r="BN72">
        <v>8.4699999999999999E-5</v>
      </c>
      <c r="BO72">
        <v>8.7499999999999999E-5</v>
      </c>
      <c r="BP72">
        <v>8.5399999999999989E-5</v>
      </c>
      <c r="BQ72">
        <v>2.5759999999999997E-4</v>
      </c>
      <c r="BR72">
        <v>4.5989999999999996E-4</v>
      </c>
      <c r="BS72">
        <v>7.9100000000000012E-5</v>
      </c>
      <c r="BT72">
        <v>6.5099999999999997E-5</v>
      </c>
      <c r="BU72">
        <v>8.1199999999999995E-5</v>
      </c>
      <c r="BV72">
        <v>2.254E-4</v>
      </c>
      <c r="BW72">
        <v>6.8530000000000002E-4</v>
      </c>
      <c r="BX72">
        <v>7.7000000000000001E-5</v>
      </c>
      <c r="BY72">
        <v>4.9699999999999995E-5</v>
      </c>
      <c r="BZ72">
        <v>0</v>
      </c>
      <c r="CA72">
        <v>1.2669999999999999E-4</v>
      </c>
      <c r="CB72" s="498">
        <v>8.12E-4</v>
      </c>
      <c r="CC72">
        <v>6.2299999999999996E-5</v>
      </c>
      <c r="CD72">
        <v>7.3478999999999992E-5</v>
      </c>
      <c r="CE72">
        <v>7.2107000000000006E-5</v>
      </c>
      <c r="CF72">
        <v>2.0788600000000001E-4</v>
      </c>
      <c r="CG72">
        <v>7.4906999999999993E-5</v>
      </c>
      <c r="CH72">
        <v>0</v>
      </c>
      <c r="CI72">
        <v>0</v>
      </c>
      <c r="CJ72">
        <v>7.4906999999999993E-5</v>
      </c>
      <c r="CK72">
        <v>2.8279299999999999E-4</v>
      </c>
      <c r="CL72">
        <v>0</v>
      </c>
      <c r="CM72">
        <v>0</v>
      </c>
      <c r="CN72">
        <v>0</v>
      </c>
      <c r="CO72">
        <v>0</v>
      </c>
      <c r="CP72">
        <v>2.8279299999999999E-4</v>
      </c>
      <c r="CQ72">
        <v>0</v>
      </c>
      <c r="CR72">
        <v>0</v>
      </c>
      <c r="CS72">
        <v>0</v>
      </c>
      <c r="CT72">
        <v>0</v>
      </c>
      <c r="CU72" s="498">
        <v>2.8279299999999999E-4</v>
      </c>
    </row>
    <row r="73" spans="1:99">
      <c r="C73">
        <v>10</v>
      </c>
      <c r="D73" s="209" t="s">
        <v>64</v>
      </c>
      <c r="E73">
        <v>5.5458072999999995E-4</v>
      </c>
      <c r="F73">
        <v>5.9954674999999999E-4</v>
      </c>
      <c r="G73">
        <v>5.2974504000000003E-4</v>
      </c>
      <c r="H73">
        <v>1.68387252E-3</v>
      </c>
      <c r="I73">
        <v>5.9452976E-4</v>
      </c>
      <c r="J73">
        <v>6.2414847000000001E-4</v>
      </c>
      <c r="K73">
        <v>4.9335462000000001E-4</v>
      </c>
      <c r="L73">
        <v>1.7120328499999999E-3</v>
      </c>
      <c r="M73">
        <v>3.3959053699999997E-3</v>
      </c>
      <c r="N73">
        <v>5.4501414000000001E-4</v>
      </c>
      <c r="O73">
        <v>7.5862149000000001E-4</v>
      </c>
      <c r="P73">
        <v>5.7477332000000002E-4</v>
      </c>
      <c r="Q73">
        <v>1.8784089500000001E-3</v>
      </c>
      <c r="R73">
        <v>5.27431432E-3</v>
      </c>
      <c r="S73">
        <v>5.9896396999999991E-4</v>
      </c>
      <c r="T73">
        <v>3.8124196E-4</v>
      </c>
      <c r="U73">
        <v>4.3589073000000004E-4</v>
      </c>
      <c r="V73">
        <v>1.4160966599999999E-3</v>
      </c>
      <c r="W73" s="498">
        <v>6.6904109800000004E-3</v>
      </c>
      <c r="X73">
        <v>5.2844550000000006E-4</v>
      </c>
      <c r="Y73">
        <v>5.4957429999999993E-4</v>
      </c>
      <c r="Z73">
        <v>5.4717190000000003E-4</v>
      </c>
      <c r="AA73">
        <v>1.6251917E-3</v>
      </c>
      <c r="AB73">
        <v>6.7524710000000006E-4</v>
      </c>
      <c r="AC73">
        <v>6.994592E-4</v>
      </c>
      <c r="AD73">
        <v>6.6789249999999996E-4</v>
      </c>
      <c r="AE73">
        <v>2.0425987999999999E-3</v>
      </c>
      <c r="AF73">
        <v>3.6677904999999999E-3</v>
      </c>
      <c r="AG73">
        <v>7.6337250000000007E-4</v>
      </c>
      <c r="AH73">
        <v>7.4050240000000001E-4</v>
      </c>
      <c r="AI73">
        <v>7.6835330000000004E-4</v>
      </c>
      <c r="AJ73">
        <v>2.2722281999999999E-3</v>
      </c>
      <c r="AK73">
        <v>5.9400186999999998E-3</v>
      </c>
      <c r="AL73">
        <v>8.2139310000000005E-4</v>
      </c>
      <c r="AM73">
        <v>7.5392900000000008E-4</v>
      </c>
      <c r="AN73">
        <v>7.9369290000000001E-4</v>
      </c>
      <c r="AO73">
        <v>2.3690150000000004E-3</v>
      </c>
      <c r="AP73" s="498">
        <v>8.3090336999999993E-3</v>
      </c>
      <c r="AQ73">
        <v>7.6681000000000004E-4</v>
      </c>
      <c r="AR73">
        <v>7.5998999999999999E-4</v>
      </c>
      <c r="AS73">
        <v>7.0872999999999997E-4</v>
      </c>
      <c r="AT73">
        <v>2.2355299999999999E-3</v>
      </c>
      <c r="AU73">
        <v>7.2655000000000007E-4</v>
      </c>
      <c r="AV73">
        <v>6.8804999999999995E-4</v>
      </c>
      <c r="AW73">
        <v>7.0928000000000007E-4</v>
      </c>
      <c r="AX73">
        <v>2.1238799999999999E-3</v>
      </c>
      <c r="AY73">
        <v>4.3594099999999993E-3</v>
      </c>
      <c r="AZ73">
        <v>7.0697000000000002E-4</v>
      </c>
      <c r="BA73">
        <v>7.4668E-4</v>
      </c>
      <c r="BB73">
        <v>8.0080000000000006E-4</v>
      </c>
      <c r="BC73">
        <v>2.2544499999999999E-3</v>
      </c>
      <c r="BD73">
        <v>6.6138599999999992E-3</v>
      </c>
      <c r="BE73">
        <v>8.4553809999999999E-4</v>
      </c>
      <c r="BF73">
        <v>6.7180629999999994E-4</v>
      </c>
      <c r="BG73">
        <v>7.0250668994563717E-4</v>
      </c>
      <c r="BH73">
        <v>2.219851089945637E-3</v>
      </c>
      <c r="BI73" s="498">
        <v>8.8337110899456353E-3</v>
      </c>
      <c r="BJ73">
        <v>6.3118000000000007E-4</v>
      </c>
      <c r="BK73">
        <v>6.4251E-4</v>
      </c>
      <c r="BL73">
        <v>6.2545999999999999E-4</v>
      </c>
      <c r="BM73">
        <v>1.8991500000000001E-3</v>
      </c>
      <c r="BN73">
        <v>6.9123999999999998E-4</v>
      </c>
      <c r="BO73">
        <v>7.2468000000000001E-4</v>
      </c>
      <c r="BP73">
        <v>6.4613999999999991E-4</v>
      </c>
      <c r="BQ73">
        <v>2.0620600000000001E-3</v>
      </c>
      <c r="BR73">
        <v>3.9612099999999997E-3</v>
      </c>
      <c r="BS73">
        <v>6.7672000000000001E-4</v>
      </c>
      <c r="BT73">
        <v>7.1104000000000002E-4</v>
      </c>
      <c r="BU73">
        <v>7.0180000000000004E-4</v>
      </c>
      <c r="BV73">
        <v>2.0895599999999999E-3</v>
      </c>
      <c r="BW73">
        <v>6.0507699999999996E-3</v>
      </c>
      <c r="BX73">
        <v>4.3031999999999999E-4</v>
      </c>
      <c r="BY73">
        <v>6.7793000000000009E-4</v>
      </c>
      <c r="BZ73">
        <v>0</v>
      </c>
      <c r="CA73">
        <v>1.1082500000000001E-3</v>
      </c>
      <c r="CB73" s="498">
        <v>7.1590199999999994E-3</v>
      </c>
      <c r="CC73">
        <v>6.6810480000000004E-4</v>
      </c>
      <c r="CD73">
        <v>6.628017000000001E-4</v>
      </c>
      <c r="CE73">
        <v>6.324538E-4</v>
      </c>
      <c r="CF73">
        <v>1.9633603E-3</v>
      </c>
      <c r="CG73">
        <v>6.655462E-4</v>
      </c>
      <c r="CH73">
        <v>0</v>
      </c>
      <c r="CI73">
        <v>0</v>
      </c>
      <c r="CJ73">
        <v>6.655462E-4</v>
      </c>
      <c r="CK73">
        <v>2.6289065E-3</v>
      </c>
      <c r="CL73">
        <v>0</v>
      </c>
      <c r="CM73">
        <v>0</v>
      </c>
      <c r="CN73">
        <v>0</v>
      </c>
      <c r="CO73">
        <v>0</v>
      </c>
      <c r="CP73">
        <v>2.6289065E-3</v>
      </c>
      <c r="CQ73">
        <v>0</v>
      </c>
      <c r="CR73">
        <v>0</v>
      </c>
      <c r="CS73">
        <v>0</v>
      </c>
      <c r="CT73">
        <v>0</v>
      </c>
      <c r="CU73" s="498">
        <v>2.6289065E-3</v>
      </c>
    </row>
    <row r="74" spans="1:99">
      <c r="C74">
        <v>11</v>
      </c>
      <c r="D74" s="209" t="s">
        <v>65</v>
      </c>
      <c r="E74">
        <v>3.8218320000000004E-4</v>
      </c>
      <c r="F74">
        <v>4.4780160000000005E-4</v>
      </c>
      <c r="G74">
        <v>6.2369919999999998E-4</v>
      </c>
      <c r="H74">
        <v>1.453684E-3</v>
      </c>
      <c r="I74">
        <v>6.2889079999999995E-4</v>
      </c>
      <c r="J74">
        <v>6.6277160000000003E-4</v>
      </c>
      <c r="K74">
        <v>6.1887040000000002E-4</v>
      </c>
      <c r="L74">
        <v>1.9105328E-3</v>
      </c>
      <c r="M74">
        <v>3.3642168E-3</v>
      </c>
      <c r="N74">
        <v>4.724792E-4</v>
      </c>
      <c r="O74">
        <v>7.8682000000000014E-4</v>
      </c>
      <c r="P74">
        <v>7.6103399999999995E-4</v>
      </c>
      <c r="Q74">
        <v>2.0203332000000001E-3</v>
      </c>
      <c r="R74">
        <v>5.3845500000000001E-3</v>
      </c>
      <c r="S74">
        <v>8.1526200000000019E-4</v>
      </c>
      <c r="T74">
        <v>8.6757880000000009E-4</v>
      </c>
      <c r="U74">
        <v>1.1096064000000001E-3</v>
      </c>
      <c r="V74">
        <v>2.7924472000000005E-3</v>
      </c>
      <c r="W74" s="498">
        <v>8.176997200000001E-3</v>
      </c>
      <c r="X74">
        <v>1.0595000000000001E-3</v>
      </c>
      <c r="Y74">
        <v>1.0784359999999999E-3</v>
      </c>
      <c r="Z74">
        <v>1.0036320000000002E-3</v>
      </c>
      <c r="AA74">
        <v>3.141568E-3</v>
      </c>
      <c r="AB74">
        <v>1.0666359999999999E-3</v>
      </c>
      <c r="AC74">
        <v>9.5335600000000004E-4</v>
      </c>
      <c r="AD74">
        <v>9.2669200000000012E-4</v>
      </c>
      <c r="AE74">
        <v>2.9466840000000002E-3</v>
      </c>
      <c r="AF74">
        <v>6.0882520000000006E-3</v>
      </c>
      <c r="AG74">
        <v>7.6437200000000003E-4</v>
      </c>
      <c r="AH74">
        <v>1.4826280000000002E-3</v>
      </c>
      <c r="AI74">
        <v>1.2032880000000001E-3</v>
      </c>
      <c r="AJ74">
        <v>3.4502880000000001E-3</v>
      </c>
      <c r="AK74">
        <v>9.5385400000000016E-3</v>
      </c>
      <c r="AL74">
        <v>1.192596E-3</v>
      </c>
      <c r="AM74">
        <v>1.154984E-3</v>
      </c>
      <c r="AN74">
        <v>1.2188480000000002E-3</v>
      </c>
      <c r="AO74">
        <v>3.5664280000000004E-3</v>
      </c>
      <c r="AP74" s="498">
        <v>1.3104968000000002E-2</v>
      </c>
      <c r="AQ74">
        <v>1.2924E-3</v>
      </c>
      <c r="AR74">
        <v>1.4108E-3</v>
      </c>
      <c r="AS74">
        <v>7.9760000000000009E-4</v>
      </c>
      <c r="AT74">
        <v>3.5008000000000001E-3</v>
      </c>
      <c r="AU74">
        <v>1.4344000000000002E-3</v>
      </c>
      <c r="AV74">
        <v>1.4880000000000002E-3</v>
      </c>
      <c r="AW74">
        <v>1.3576000000000003E-3</v>
      </c>
      <c r="AX74">
        <v>4.2800000000000008E-3</v>
      </c>
      <c r="AY74">
        <v>7.7808000000000009E-3</v>
      </c>
      <c r="AZ74">
        <v>1.9924000000000001E-3</v>
      </c>
      <c r="BA74">
        <v>1.4272E-3</v>
      </c>
      <c r="BB74">
        <v>1.4492000000000003E-3</v>
      </c>
      <c r="BC74">
        <v>4.8688000000000004E-3</v>
      </c>
      <c r="BD74">
        <v>1.26496E-2</v>
      </c>
      <c r="BE74">
        <v>1.7295400000000001E-3</v>
      </c>
      <c r="BF74">
        <v>1.2682840000000002E-3</v>
      </c>
      <c r="BG74">
        <v>1.0156379654414525E-3</v>
      </c>
      <c r="BH74">
        <v>4.0134619654414528E-3</v>
      </c>
      <c r="BI74" s="498">
        <v>1.6663061965441452E-2</v>
      </c>
      <c r="BJ74">
        <v>1.6520000000000003E-3</v>
      </c>
      <c r="BK74">
        <v>1.0184E-3</v>
      </c>
      <c r="BL74">
        <v>7.9480000000000013E-4</v>
      </c>
      <c r="BM74">
        <v>3.4652000000000003E-3</v>
      </c>
      <c r="BN74">
        <v>9.8840000000000017E-4</v>
      </c>
      <c r="BO74">
        <v>1.1344E-3</v>
      </c>
      <c r="BP74">
        <v>1.1688E-3</v>
      </c>
      <c r="BQ74">
        <v>3.2916000000000004E-3</v>
      </c>
      <c r="BR74">
        <v>6.7568000000000003E-3</v>
      </c>
      <c r="BS74">
        <v>1.2132E-3</v>
      </c>
      <c r="BT74">
        <v>1.1764E-3</v>
      </c>
      <c r="BU74">
        <v>1.0920000000000001E-3</v>
      </c>
      <c r="BV74">
        <v>3.4816000000000001E-3</v>
      </c>
      <c r="BW74">
        <v>1.02384E-2</v>
      </c>
      <c r="BX74">
        <v>4.8640000000000001E-4</v>
      </c>
      <c r="BY74">
        <v>1.2836000000000002E-3</v>
      </c>
      <c r="BZ74">
        <v>0</v>
      </c>
      <c r="CA74">
        <v>1.7700000000000003E-3</v>
      </c>
      <c r="CB74" s="498">
        <v>1.2008400000000001E-2</v>
      </c>
      <c r="CC74">
        <v>1.125996E-3</v>
      </c>
      <c r="CD74">
        <v>1.1509160000000001E-3</v>
      </c>
      <c r="CE74">
        <v>1.0426040000000001E-3</v>
      </c>
      <c r="CF74">
        <v>3.3195159999999998E-3</v>
      </c>
      <c r="CG74">
        <v>1.178828E-3</v>
      </c>
      <c r="CH74">
        <v>0</v>
      </c>
      <c r="CI74">
        <v>0</v>
      </c>
      <c r="CJ74">
        <v>1.178828E-3</v>
      </c>
      <c r="CK74">
        <v>4.4983439999999996E-3</v>
      </c>
      <c r="CL74">
        <v>0</v>
      </c>
      <c r="CM74">
        <v>0</v>
      </c>
      <c r="CN74">
        <v>0</v>
      </c>
      <c r="CO74">
        <v>0</v>
      </c>
      <c r="CP74">
        <v>4.4983439999999996E-3</v>
      </c>
      <c r="CQ74">
        <v>0</v>
      </c>
      <c r="CR74">
        <v>0</v>
      </c>
      <c r="CS74">
        <v>0</v>
      </c>
      <c r="CT74">
        <v>0</v>
      </c>
      <c r="CU74" s="498">
        <v>4.4983439999999996E-3</v>
      </c>
    </row>
    <row r="75" spans="1:99">
      <c r="C75">
        <v>12</v>
      </c>
      <c r="D75" s="209" t="s">
        <v>66</v>
      </c>
      <c r="E75">
        <v>0</v>
      </c>
      <c r="F75">
        <v>0</v>
      </c>
      <c r="G75">
        <v>0</v>
      </c>
      <c r="H75">
        <v>0</v>
      </c>
      <c r="I75">
        <v>0</v>
      </c>
      <c r="J75">
        <v>0</v>
      </c>
      <c r="K75">
        <v>0</v>
      </c>
      <c r="L75">
        <v>0</v>
      </c>
      <c r="M75">
        <v>0</v>
      </c>
      <c r="N75">
        <v>0</v>
      </c>
      <c r="O75">
        <v>0</v>
      </c>
      <c r="P75">
        <v>0</v>
      </c>
      <c r="Q75">
        <v>0</v>
      </c>
      <c r="R75">
        <v>0</v>
      </c>
      <c r="S75">
        <v>0</v>
      </c>
      <c r="T75">
        <v>0</v>
      </c>
      <c r="U75">
        <v>0</v>
      </c>
      <c r="V75">
        <v>0</v>
      </c>
      <c r="W75" s="498">
        <v>0</v>
      </c>
      <c r="X75">
        <v>0</v>
      </c>
      <c r="Y75">
        <v>0</v>
      </c>
      <c r="Z75">
        <v>0</v>
      </c>
      <c r="AA75">
        <v>0</v>
      </c>
      <c r="AB75">
        <v>0</v>
      </c>
      <c r="AC75">
        <v>0</v>
      </c>
      <c r="AD75">
        <v>0</v>
      </c>
      <c r="AE75">
        <v>0</v>
      </c>
      <c r="AF75">
        <v>0</v>
      </c>
      <c r="AG75">
        <v>0</v>
      </c>
      <c r="AH75">
        <v>0</v>
      </c>
      <c r="AI75">
        <v>0</v>
      </c>
      <c r="AJ75">
        <v>0</v>
      </c>
      <c r="AK75">
        <v>0</v>
      </c>
      <c r="AL75">
        <v>0</v>
      </c>
      <c r="AM75">
        <v>0</v>
      </c>
      <c r="AN75">
        <v>0</v>
      </c>
      <c r="AO75">
        <v>0</v>
      </c>
      <c r="AP75" s="498">
        <v>0</v>
      </c>
      <c r="AQ75">
        <v>0</v>
      </c>
      <c r="AR75">
        <v>0</v>
      </c>
      <c r="AS75">
        <v>0</v>
      </c>
      <c r="AT75">
        <v>0</v>
      </c>
      <c r="AU75">
        <v>0</v>
      </c>
      <c r="AV75">
        <v>0</v>
      </c>
      <c r="AW75">
        <v>0</v>
      </c>
      <c r="AX75">
        <v>0</v>
      </c>
      <c r="AY75">
        <v>0</v>
      </c>
      <c r="AZ75">
        <v>0</v>
      </c>
      <c r="BA75">
        <v>0</v>
      </c>
      <c r="BB75">
        <v>0</v>
      </c>
      <c r="BC75">
        <v>0</v>
      </c>
      <c r="BD75">
        <v>0</v>
      </c>
      <c r="BE75">
        <v>0</v>
      </c>
      <c r="BF75">
        <v>0</v>
      </c>
      <c r="BG75">
        <v>0</v>
      </c>
      <c r="BH75">
        <v>0</v>
      </c>
      <c r="BI75" s="498">
        <v>0</v>
      </c>
      <c r="BJ75">
        <v>0</v>
      </c>
      <c r="BK75">
        <v>0</v>
      </c>
      <c r="BL75">
        <v>0</v>
      </c>
      <c r="BM75">
        <v>0</v>
      </c>
      <c r="BN75">
        <v>0</v>
      </c>
      <c r="BO75">
        <v>0</v>
      </c>
      <c r="BP75">
        <v>0</v>
      </c>
      <c r="BQ75">
        <v>0</v>
      </c>
      <c r="BR75">
        <v>0</v>
      </c>
      <c r="BS75">
        <v>0</v>
      </c>
      <c r="BT75">
        <v>0</v>
      </c>
      <c r="BU75">
        <v>0</v>
      </c>
      <c r="BV75">
        <v>0</v>
      </c>
      <c r="BW75">
        <v>0</v>
      </c>
      <c r="BX75">
        <v>0</v>
      </c>
      <c r="BY75">
        <v>0</v>
      </c>
      <c r="BZ75">
        <v>0</v>
      </c>
      <c r="CA75">
        <v>0</v>
      </c>
      <c r="CB75" s="498">
        <v>0</v>
      </c>
      <c r="CC75">
        <v>0</v>
      </c>
      <c r="CD75">
        <v>0</v>
      </c>
      <c r="CE75">
        <v>0</v>
      </c>
      <c r="CF75">
        <v>0</v>
      </c>
      <c r="CG75">
        <v>0</v>
      </c>
      <c r="CH75">
        <v>0</v>
      </c>
      <c r="CI75">
        <v>0</v>
      </c>
      <c r="CJ75">
        <v>0</v>
      </c>
      <c r="CK75">
        <v>0</v>
      </c>
      <c r="CL75">
        <v>0</v>
      </c>
      <c r="CM75">
        <v>0</v>
      </c>
      <c r="CN75">
        <v>0</v>
      </c>
      <c r="CO75">
        <v>0</v>
      </c>
      <c r="CP75">
        <v>0</v>
      </c>
      <c r="CQ75">
        <v>0</v>
      </c>
      <c r="CR75">
        <v>0</v>
      </c>
      <c r="CS75">
        <v>0</v>
      </c>
      <c r="CT75">
        <v>0</v>
      </c>
      <c r="CU75" s="498">
        <v>0</v>
      </c>
    </row>
    <row r="76" spans="1:99">
      <c r="C76">
        <v>13</v>
      </c>
      <c r="D76" s="209" t="s">
        <v>67</v>
      </c>
      <c r="E76">
        <v>0</v>
      </c>
      <c r="F76">
        <v>0</v>
      </c>
      <c r="G76">
        <v>0</v>
      </c>
      <c r="H76">
        <v>0</v>
      </c>
      <c r="I76">
        <v>0</v>
      </c>
      <c r="J76">
        <v>0</v>
      </c>
      <c r="K76">
        <v>0</v>
      </c>
      <c r="L76">
        <v>0</v>
      </c>
      <c r="M76">
        <v>0</v>
      </c>
      <c r="N76">
        <v>0</v>
      </c>
      <c r="O76">
        <v>0</v>
      </c>
      <c r="P76">
        <v>0</v>
      </c>
      <c r="Q76">
        <v>0</v>
      </c>
      <c r="R76">
        <v>0</v>
      </c>
      <c r="S76">
        <v>0</v>
      </c>
      <c r="T76">
        <v>0</v>
      </c>
      <c r="U76">
        <v>0</v>
      </c>
      <c r="V76">
        <v>0</v>
      </c>
      <c r="W76" s="498">
        <v>0</v>
      </c>
      <c r="X76">
        <v>0</v>
      </c>
      <c r="Y76">
        <v>0</v>
      </c>
      <c r="Z76">
        <v>0</v>
      </c>
      <c r="AA76">
        <v>0</v>
      </c>
      <c r="AB76">
        <v>0</v>
      </c>
      <c r="AC76">
        <v>0</v>
      </c>
      <c r="AD76">
        <v>0</v>
      </c>
      <c r="AE76">
        <v>0</v>
      </c>
      <c r="AF76">
        <v>0</v>
      </c>
      <c r="AG76">
        <v>0</v>
      </c>
      <c r="AH76">
        <v>0</v>
      </c>
      <c r="AI76">
        <v>0</v>
      </c>
      <c r="AJ76">
        <v>0</v>
      </c>
      <c r="AK76">
        <v>0</v>
      </c>
      <c r="AL76">
        <v>0</v>
      </c>
      <c r="AM76">
        <v>0</v>
      </c>
      <c r="AN76">
        <v>0</v>
      </c>
      <c r="AO76">
        <v>0</v>
      </c>
      <c r="AP76" s="498">
        <v>0</v>
      </c>
      <c r="AQ76">
        <v>0</v>
      </c>
      <c r="AR76">
        <v>0</v>
      </c>
      <c r="AS76">
        <v>0</v>
      </c>
      <c r="AT76">
        <v>0</v>
      </c>
      <c r="AU76">
        <v>0</v>
      </c>
      <c r="AV76">
        <v>0</v>
      </c>
      <c r="AW76">
        <v>0</v>
      </c>
      <c r="AX76">
        <v>0</v>
      </c>
      <c r="AY76">
        <v>0</v>
      </c>
      <c r="AZ76">
        <v>0</v>
      </c>
      <c r="BA76">
        <v>0</v>
      </c>
      <c r="BB76">
        <v>0</v>
      </c>
      <c r="BC76">
        <v>0</v>
      </c>
      <c r="BD76">
        <v>0</v>
      </c>
      <c r="BE76">
        <v>0</v>
      </c>
      <c r="BF76">
        <v>0</v>
      </c>
      <c r="BG76">
        <v>0</v>
      </c>
      <c r="BH76">
        <v>0</v>
      </c>
      <c r="BI76" s="498">
        <v>0</v>
      </c>
      <c r="BJ76">
        <v>0</v>
      </c>
      <c r="BK76">
        <v>0</v>
      </c>
      <c r="BL76">
        <v>0</v>
      </c>
      <c r="BM76">
        <v>0</v>
      </c>
      <c r="BN76">
        <v>0</v>
      </c>
      <c r="BO76">
        <v>0</v>
      </c>
      <c r="BP76">
        <v>0</v>
      </c>
      <c r="BQ76">
        <v>0</v>
      </c>
      <c r="BR76">
        <v>0</v>
      </c>
      <c r="BS76">
        <v>0</v>
      </c>
      <c r="BT76">
        <v>0</v>
      </c>
      <c r="BU76">
        <v>0</v>
      </c>
      <c r="BV76">
        <v>0</v>
      </c>
      <c r="BW76">
        <v>0</v>
      </c>
      <c r="BX76">
        <v>0</v>
      </c>
      <c r="BY76">
        <v>0</v>
      </c>
      <c r="BZ76">
        <v>0</v>
      </c>
      <c r="CA76">
        <v>0</v>
      </c>
      <c r="CB76" s="498">
        <v>0</v>
      </c>
      <c r="CC76">
        <v>0</v>
      </c>
      <c r="CD76">
        <v>0</v>
      </c>
      <c r="CE76">
        <v>0</v>
      </c>
      <c r="CF76">
        <v>0</v>
      </c>
      <c r="CG76">
        <v>0</v>
      </c>
      <c r="CH76">
        <v>0</v>
      </c>
      <c r="CI76">
        <v>0</v>
      </c>
      <c r="CJ76">
        <v>0</v>
      </c>
      <c r="CK76">
        <v>0</v>
      </c>
      <c r="CL76">
        <v>0</v>
      </c>
      <c r="CM76">
        <v>0</v>
      </c>
      <c r="CN76">
        <v>0</v>
      </c>
      <c r="CO76">
        <v>0</v>
      </c>
      <c r="CP76">
        <v>0</v>
      </c>
      <c r="CQ76">
        <v>0</v>
      </c>
      <c r="CR76">
        <v>0</v>
      </c>
      <c r="CS76">
        <v>0</v>
      </c>
      <c r="CT76">
        <v>0</v>
      </c>
      <c r="CU76" s="498">
        <v>0</v>
      </c>
    </row>
    <row r="77" spans="1:99">
      <c r="C77">
        <v>14</v>
      </c>
      <c r="D77" s="209" t="s">
        <v>68</v>
      </c>
      <c r="E77">
        <v>0</v>
      </c>
      <c r="F77">
        <v>0</v>
      </c>
      <c r="G77">
        <v>0</v>
      </c>
      <c r="H77">
        <v>0</v>
      </c>
      <c r="I77">
        <v>0</v>
      </c>
      <c r="J77">
        <v>0</v>
      </c>
      <c r="K77">
        <v>0</v>
      </c>
      <c r="L77">
        <v>0</v>
      </c>
      <c r="M77">
        <v>0</v>
      </c>
      <c r="N77">
        <v>0</v>
      </c>
      <c r="O77">
        <v>0</v>
      </c>
      <c r="P77">
        <v>0</v>
      </c>
      <c r="Q77">
        <v>0</v>
      </c>
      <c r="R77">
        <v>0</v>
      </c>
      <c r="S77">
        <v>0</v>
      </c>
      <c r="T77">
        <v>0</v>
      </c>
      <c r="U77">
        <v>0</v>
      </c>
      <c r="V77">
        <v>0</v>
      </c>
      <c r="W77" s="498">
        <v>0</v>
      </c>
      <c r="X77">
        <v>0</v>
      </c>
      <c r="Y77">
        <v>0</v>
      </c>
      <c r="Z77">
        <v>0</v>
      </c>
      <c r="AA77">
        <v>0</v>
      </c>
      <c r="AB77">
        <v>0</v>
      </c>
      <c r="AC77">
        <v>0</v>
      </c>
      <c r="AD77">
        <v>0</v>
      </c>
      <c r="AE77">
        <v>0</v>
      </c>
      <c r="AF77">
        <v>0</v>
      </c>
      <c r="AG77">
        <v>0</v>
      </c>
      <c r="AH77">
        <v>0</v>
      </c>
      <c r="AI77">
        <v>0</v>
      </c>
      <c r="AJ77">
        <v>0</v>
      </c>
      <c r="AK77">
        <v>0</v>
      </c>
      <c r="AL77">
        <v>0</v>
      </c>
      <c r="AM77">
        <v>0</v>
      </c>
      <c r="AN77">
        <v>0</v>
      </c>
      <c r="AO77">
        <v>0</v>
      </c>
      <c r="AP77" s="498">
        <v>0</v>
      </c>
      <c r="AQ77">
        <v>0</v>
      </c>
      <c r="AR77">
        <v>0</v>
      </c>
      <c r="AS77">
        <v>0</v>
      </c>
      <c r="AT77">
        <v>0</v>
      </c>
      <c r="AU77">
        <v>0</v>
      </c>
      <c r="AV77">
        <v>0</v>
      </c>
      <c r="AW77">
        <v>0</v>
      </c>
      <c r="AX77">
        <v>0</v>
      </c>
      <c r="AY77">
        <v>0</v>
      </c>
      <c r="AZ77">
        <v>0</v>
      </c>
      <c r="BA77">
        <v>0</v>
      </c>
      <c r="BB77">
        <v>0</v>
      </c>
      <c r="BC77">
        <v>0</v>
      </c>
      <c r="BD77">
        <v>0</v>
      </c>
      <c r="BE77">
        <v>0</v>
      </c>
      <c r="BF77">
        <v>0</v>
      </c>
      <c r="BG77">
        <v>0</v>
      </c>
      <c r="BH77">
        <v>0</v>
      </c>
      <c r="BI77" s="498">
        <v>0</v>
      </c>
      <c r="BJ77">
        <v>0</v>
      </c>
      <c r="BK77">
        <v>0</v>
      </c>
      <c r="BL77">
        <v>0</v>
      </c>
      <c r="BM77">
        <v>0</v>
      </c>
      <c r="BN77">
        <v>0</v>
      </c>
      <c r="BO77">
        <v>0</v>
      </c>
      <c r="BP77">
        <v>0</v>
      </c>
      <c r="BQ77">
        <v>0</v>
      </c>
      <c r="BR77">
        <v>0</v>
      </c>
      <c r="BS77">
        <v>0</v>
      </c>
      <c r="BT77">
        <v>0</v>
      </c>
      <c r="BU77">
        <v>0</v>
      </c>
      <c r="BV77">
        <v>0</v>
      </c>
      <c r="BW77">
        <v>0</v>
      </c>
      <c r="BX77">
        <v>0</v>
      </c>
      <c r="BY77">
        <v>0</v>
      </c>
      <c r="BZ77">
        <v>0</v>
      </c>
      <c r="CA77">
        <v>0</v>
      </c>
      <c r="CB77" s="498">
        <v>0</v>
      </c>
      <c r="CC77">
        <v>0</v>
      </c>
      <c r="CD77">
        <v>0</v>
      </c>
      <c r="CE77">
        <v>0</v>
      </c>
      <c r="CF77">
        <v>0</v>
      </c>
      <c r="CG77">
        <v>0</v>
      </c>
      <c r="CH77">
        <v>0</v>
      </c>
      <c r="CI77">
        <v>0</v>
      </c>
      <c r="CJ77">
        <v>0</v>
      </c>
      <c r="CK77">
        <v>0</v>
      </c>
      <c r="CL77">
        <v>0</v>
      </c>
      <c r="CM77">
        <v>0</v>
      </c>
      <c r="CN77">
        <v>0</v>
      </c>
      <c r="CO77">
        <v>0</v>
      </c>
      <c r="CP77">
        <v>0</v>
      </c>
      <c r="CQ77">
        <v>0</v>
      </c>
      <c r="CR77">
        <v>0</v>
      </c>
      <c r="CS77">
        <v>0</v>
      </c>
      <c r="CT77">
        <v>0</v>
      </c>
      <c r="CU77" s="498">
        <v>0</v>
      </c>
    </row>
    <row r="78" spans="1:99">
      <c r="C78">
        <v>15</v>
      </c>
      <c r="D78" s="209" t="s">
        <v>69</v>
      </c>
      <c r="E78">
        <v>7.6381649999999995E-2</v>
      </c>
      <c r="F78">
        <v>7.3315350000000015E-2</v>
      </c>
      <c r="G78">
        <v>6.6938400000000009E-2</v>
      </c>
      <c r="H78">
        <v>0.21663540000000003</v>
      </c>
      <c r="I78">
        <v>6.3640800000000011E-2</v>
      </c>
      <c r="J78">
        <v>6.5056500000000003E-2</v>
      </c>
      <c r="K78">
        <v>5.6183400000000008E-2</v>
      </c>
      <c r="L78">
        <v>0.18488070000000001</v>
      </c>
      <c r="M78">
        <v>0.40151610000000004</v>
      </c>
      <c r="N78">
        <v>5.6049300000000003E-2</v>
      </c>
      <c r="O78">
        <v>5.0994900000000003E-2</v>
      </c>
      <c r="P78">
        <v>4.4655646203000006E-2</v>
      </c>
      <c r="Q78">
        <v>0.151699846203</v>
      </c>
      <c r="R78">
        <v>0.55321594620300008</v>
      </c>
      <c r="S78">
        <v>3.9898349999999999E-2</v>
      </c>
      <c r="T78">
        <v>4.4093854017E-2</v>
      </c>
      <c r="U78">
        <v>5.115915E-2</v>
      </c>
      <c r="V78">
        <v>0.13515135401700001</v>
      </c>
      <c r="W78" s="498">
        <v>0.68836730022000014</v>
      </c>
      <c r="X78">
        <v>4.8093749999999998E-2</v>
      </c>
      <c r="Y78">
        <v>4.73309955E-2</v>
      </c>
      <c r="Z78">
        <v>4.1841445500000005E-2</v>
      </c>
      <c r="AA78">
        <v>0.13726619099999998</v>
      </c>
      <c r="AB78">
        <v>4.1318986500000002E-2</v>
      </c>
      <c r="AC78">
        <v>3.8792259000000003E-2</v>
      </c>
      <c r="AD78">
        <v>3.1680449999999999E-2</v>
      </c>
      <c r="AE78">
        <v>0.11179169550000001</v>
      </c>
      <c r="AF78">
        <v>0.24905788649999999</v>
      </c>
      <c r="AG78">
        <v>3.0086109E-2</v>
      </c>
      <c r="AH78">
        <v>2.5720650000000001E-2</v>
      </c>
      <c r="AI78">
        <v>2.6525254500000005E-2</v>
      </c>
      <c r="AJ78">
        <v>8.2332013499999995E-2</v>
      </c>
      <c r="AK78">
        <v>0.33138990000000002</v>
      </c>
      <c r="AL78">
        <v>3.0049199999999998E-2</v>
      </c>
      <c r="AM78">
        <v>2.7107550000000001E-2</v>
      </c>
      <c r="AN78">
        <v>2.9233804500000002E-2</v>
      </c>
      <c r="AO78">
        <v>8.6390554499999994E-2</v>
      </c>
      <c r="AP78" s="498">
        <v>0.41778045450000001</v>
      </c>
      <c r="AQ78">
        <v>2.7645750000000004E-2</v>
      </c>
      <c r="AR78">
        <v>2.6947350000000002E-2</v>
      </c>
      <c r="AS78">
        <v>2.27844E-2</v>
      </c>
      <c r="AT78">
        <v>7.7377500000000002E-2</v>
      </c>
      <c r="AU78">
        <v>2.1691350000000005E-2</v>
      </c>
      <c r="AV78">
        <v>1.4682150000000001E-2</v>
      </c>
      <c r="AW78">
        <v>9.8905499999999997E-3</v>
      </c>
      <c r="AX78">
        <v>4.6264050000000001E-2</v>
      </c>
      <c r="AY78">
        <v>0.12364155</v>
      </c>
      <c r="AZ78">
        <v>7.8268499999999998E-3</v>
      </c>
      <c r="BA78">
        <v>5.5224000000000002E-3</v>
      </c>
      <c r="BB78">
        <v>6.4827000000000001E-3</v>
      </c>
      <c r="BC78">
        <v>1.9831950000000001E-2</v>
      </c>
      <c r="BD78">
        <v>0.1434735</v>
      </c>
      <c r="BE78">
        <v>6.4017000000000006E-3</v>
      </c>
      <c r="BF78">
        <v>5.2614045000000005E-3</v>
      </c>
      <c r="BG78">
        <v>3.9586500000000002E-3</v>
      </c>
      <c r="BH78">
        <v>1.5621754500000001E-2</v>
      </c>
      <c r="BI78" s="498">
        <v>0.15909525450000001</v>
      </c>
      <c r="BJ78">
        <v>6.5339999999999999E-3</v>
      </c>
      <c r="BK78">
        <v>5.3145000000000006E-3</v>
      </c>
      <c r="BL78">
        <v>4.8869999999999999E-3</v>
      </c>
      <c r="BM78">
        <v>1.67355E-2</v>
      </c>
      <c r="BN78">
        <v>0</v>
      </c>
      <c r="BO78">
        <v>0</v>
      </c>
      <c r="BP78">
        <v>0</v>
      </c>
      <c r="BQ78">
        <v>0</v>
      </c>
      <c r="BR78">
        <v>1.67355E-2</v>
      </c>
      <c r="BS78">
        <v>0</v>
      </c>
      <c r="BT78">
        <v>0</v>
      </c>
      <c r="BU78">
        <v>0</v>
      </c>
      <c r="BV78">
        <v>0</v>
      </c>
      <c r="BW78">
        <v>1.67355E-2</v>
      </c>
      <c r="BX78">
        <v>0</v>
      </c>
      <c r="BY78">
        <v>0</v>
      </c>
      <c r="BZ78">
        <v>0</v>
      </c>
      <c r="CA78">
        <v>0</v>
      </c>
      <c r="CB78" s="498">
        <v>1.67355E-2</v>
      </c>
      <c r="CC78">
        <v>0</v>
      </c>
      <c r="CD78">
        <v>0</v>
      </c>
      <c r="CE78">
        <v>0</v>
      </c>
      <c r="CF78">
        <v>0</v>
      </c>
      <c r="CG78">
        <v>0</v>
      </c>
      <c r="CH78">
        <v>0</v>
      </c>
      <c r="CI78">
        <v>0</v>
      </c>
      <c r="CJ78">
        <v>0</v>
      </c>
      <c r="CK78">
        <v>0</v>
      </c>
      <c r="CL78">
        <v>0</v>
      </c>
      <c r="CM78">
        <v>0</v>
      </c>
      <c r="CN78">
        <v>0</v>
      </c>
      <c r="CO78">
        <v>0</v>
      </c>
      <c r="CP78">
        <v>0</v>
      </c>
      <c r="CQ78">
        <v>0</v>
      </c>
      <c r="CR78">
        <v>0</v>
      </c>
      <c r="CS78">
        <v>0</v>
      </c>
      <c r="CT78">
        <v>0</v>
      </c>
      <c r="CU78" s="498">
        <v>0</v>
      </c>
    </row>
    <row r="79" spans="1:99">
      <c r="C79">
        <v>16</v>
      </c>
      <c r="D79" s="209" t="s">
        <v>70</v>
      </c>
      <c r="E79">
        <v>7.1613350000000006E-2</v>
      </c>
      <c r="F79">
        <v>7.3294139999999994E-2</v>
      </c>
      <c r="G79">
        <v>7.6926359999999999E-2</v>
      </c>
      <c r="H79">
        <v>0.22183385</v>
      </c>
      <c r="I79">
        <v>7.6490990000000009E-2</v>
      </c>
      <c r="J79">
        <v>7.9031299999999999E-2</v>
      </c>
      <c r="K79">
        <v>8.6813560000000012E-2</v>
      </c>
      <c r="L79">
        <v>0.24233585000000002</v>
      </c>
      <c r="M79">
        <v>0.46416970000000002</v>
      </c>
      <c r="N79">
        <v>8.8601960000000007E-2</v>
      </c>
      <c r="O79">
        <v>8.4469260000000004E-2</v>
      </c>
      <c r="P79">
        <v>8.2095380000000009E-2</v>
      </c>
      <c r="Q79">
        <v>0.25516660000000002</v>
      </c>
      <c r="R79">
        <v>0.71933630000000004</v>
      </c>
      <c r="S79">
        <v>8.1258300000000006E-2</v>
      </c>
      <c r="T79">
        <v>7.5401460000000017E-2</v>
      </c>
      <c r="U79">
        <v>7.5134730000000011E-2</v>
      </c>
      <c r="V79">
        <v>0.23179449000000005</v>
      </c>
      <c r="W79" s="498">
        <v>0.95113079000000011</v>
      </c>
      <c r="X79">
        <v>5.4885742700000004E-2</v>
      </c>
      <c r="Y79">
        <v>6.4444196700000012E-2</v>
      </c>
      <c r="Z79">
        <v>7.2817193100000011E-2</v>
      </c>
      <c r="AA79">
        <v>0.19214713250000004</v>
      </c>
      <c r="AB79">
        <v>8.0843445600000008E-2</v>
      </c>
      <c r="AC79">
        <v>7.7343706600000006E-2</v>
      </c>
      <c r="AD79">
        <v>6.8787117000000009E-2</v>
      </c>
      <c r="AE79">
        <v>0.22697426920000002</v>
      </c>
      <c r="AF79">
        <v>0.41912140170000006</v>
      </c>
      <c r="AG79">
        <v>6.6750676800000006E-2</v>
      </c>
      <c r="AH79">
        <v>7.1296791300000009E-2</v>
      </c>
      <c r="AI79">
        <v>7.7197275400000015E-2</v>
      </c>
      <c r="AJ79">
        <v>0.21524474350000003</v>
      </c>
      <c r="AK79">
        <v>0.63436614520000012</v>
      </c>
      <c r="AL79">
        <v>7.6136387000000014E-2</v>
      </c>
      <c r="AM79">
        <v>7.2224756700000017E-2</v>
      </c>
      <c r="AN79">
        <v>5.0414485999999994E-2</v>
      </c>
      <c r="AO79">
        <v>0.19877562970000001</v>
      </c>
      <c r="AP79" s="498">
        <v>0.83314177490000008</v>
      </c>
      <c r="AQ79">
        <v>7.0265420000000009E-2</v>
      </c>
      <c r="AR79">
        <v>7.2730929999999999E-2</v>
      </c>
      <c r="AS79">
        <v>6.498029000000001E-2</v>
      </c>
      <c r="AT79">
        <v>0.20797663999999999</v>
      </c>
      <c r="AU79">
        <v>7.7286590000000002E-2</v>
      </c>
      <c r="AV79">
        <v>7.3709789999999997E-2</v>
      </c>
      <c r="AW79">
        <v>6.3822590000000012E-2</v>
      </c>
      <c r="AX79">
        <v>0.21481897</v>
      </c>
      <c r="AY79">
        <v>0.42279560999999999</v>
      </c>
      <c r="AZ79">
        <v>6.6472550000000005E-2</v>
      </c>
      <c r="BA79">
        <v>6.2953720000000005E-2</v>
      </c>
      <c r="BB79">
        <v>7.0898500000000017E-2</v>
      </c>
      <c r="BC79">
        <v>0.20032477000000004</v>
      </c>
      <c r="BD79">
        <v>0.62312038000000003</v>
      </c>
      <c r="BE79">
        <v>8.3127586000000003E-2</v>
      </c>
      <c r="BF79">
        <v>7.5560430400000003E-2</v>
      </c>
      <c r="BG79">
        <v>7.0483390600000015E-2</v>
      </c>
      <c r="BH79">
        <v>0.22917140700000005</v>
      </c>
      <c r="BI79" s="498">
        <v>0.85229178700000008</v>
      </c>
      <c r="BJ79">
        <v>6.8521390000000015E-2</v>
      </c>
      <c r="BK79">
        <v>7.3334770000000007E-2</v>
      </c>
      <c r="BL79">
        <v>7.2718010000000013E-2</v>
      </c>
      <c r="BM79">
        <v>0.21457417000000001</v>
      </c>
      <c r="BN79">
        <v>7.6563069999999997E-2</v>
      </c>
      <c r="BO79">
        <v>7.5153770000000009E-2</v>
      </c>
      <c r="BP79">
        <v>6.190737000000001E-2</v>
      </c>
      <c r="BQ79">
        <v>0.21362421000000004</v>
      </c>
      <c r="BR79">
        <v>0.42819838000000005</v>
      </c>
      <c r="BS79">
        <v>6.3869679999999998E-2</v>
      </c>
      <c r="BT79">
        <v>7.260258E-2</v>
      </c>
      <c r="BU79">
        <v>7.4417840000000013E-2</v>
      </c>
      <c r="BV79">
        <v>0.21089010000000002</v>
      </c>
      <c r="BW79">
        <v>0.63908848000000007</v>
      </c>
      <c r="BX79">
        <v>8.2112720000000014E-2</v>
      </c>
      <c r="BY79">
        <v>6.9442790000000004E-2</v>
      </c>
      <c r="BZ79">
        <v>0</v>
      </c>
      <c r="CA79">
        <v>0.15155551</v>
      </c>
      <c r="CB79" s="498">
        <v>0.79064399000000007</v>
      </c>
      <c r="CC79">
        <v>6.7285988100000013E-2</v>
      </c>
      <c r="CD79">
        <v>7.2501600000000013E-2</v>
      </c>
      <c r="CE79">
        <v>7.3707097200000002E-2</v>
      </c>
      <c r="CF79">
        <v>0.21349468530000004</v>
      </c>
      <c r="CG79">
        <v>7.4929499199999999E-2</v>
      </c>
      <c r="CH79">
        <v>0</v>
      </c>
      <c r="CI79">
        <v>0</v>
      </c>
      <c r="CJ79">
        <v>7.4929499199999999E-2</v>
      </c>
      <c r="CK79">
        <v>0.28842418450000007</v>
      </c>
      <c r="CL79">
        <v>0</v>
      </c>
      <c r="CM79">
        <v>0</v>
      </c>
      <c r="CN79">
        <v>0</v>
      </c>
      <c r="CO79">
        <v>0</v>
      </c>
      <c r="CP79">
        <v>0.28842418450000007</v>
      </c>
      <c r="CQ79">
        <v>0</v>
      </c>
      <c r="CR79">
        <v>0</v>
      </c>
      <c r="CS79">
        <v>0</v>
      </c>
      <c r="CT79">
        <v>0</v>
      </c>
      <c r="CU79" s="498">
        <v>0.28842418450000007</v>
      </c>
    </row>
    <row r="80" spans="1:99">
      <c r="C80">
        <v>17</v>
      </c>
      <c r="D80" s="279" t="s">
        <v>828</v>
      </c>
      <c r="E80">
        <v>0.3482085140814063</v>
      </c>
      <c r="F80">
        <v>0.33466697406453266</v>
      </c>
      <c r="G80">
        <v>0.3181428303622672</v>
      </c>
      <c r="H80">
        <v>1.0010183185082062</v>
      </c>
      <c r="I80">
        <v>0.31616109836584194</v>
      </c>
      <c r="J80">
        <v>0.30999241879883821</v>
      </c>
      <c r="K80">
        <v>0.28743816325068633</v>
      </c>
      <c r="L80">
        <v>0.91359168041536654</v>
      </c>
      <c r="M80">
        <v>1.9146099989235725</v>
      </c>
      <c r="N80">
        <v>0.28348475293825093</v>
      </c>
      <c r="O80">
        <v>0.3242516130268116</v>
      </c>
      <c r="P80">
        <v>0.32981083390097848</v>
      </c>
      <c r="Q80">
        <v>0.93754719986604107</v>
      </c>
      <c r="R80">
        <v>2.8521571987896137</v>
      </c>
      <c r="S80">
        <v>0.33594067395885041</v>
      </c>
      <c r="T80">
        <v>0.31404096203321358</v>
      </c>
      <c r="U80">
        <v>0.32054102398457651</v>
      </c>
      <c r="V80">
        <v>0.97052265997664067</v>
      </c>
      <c r="W80" s="498">
        <v>3.8226798587662549</v>
      </c>
      <c r="X80">
        <v>0.28409369441999999</v>
      </c>
      <c r="Y80">
        <v>0.281058567945</v>
      </c>
      <c r="Z80">
        <v>0.26574629671000005</v>
      </c>
      <c r="AA80">
        <v>0.83089855907499988</v>
      </c>
      <c r="AB80">
        <v>0.26783084905900001</v>
      </c>
      <c r="AC80">
        <v>0.27911811060799996</v>
      </c>
      <c r="AD80">
        <v>0.25978989450000001</v>
      </c>
      <c r="AE80">
        <v>0.80673885416699997</v>
      </c>
      <c r="AF80">
        <v>1.637637413242</v>
      </c>
      <c r="AG80">
        <v>0.27115631061200002</v>
      </c>
      <c r="AH80">
        <v>0.28307134934500006</v>
      </c>
      <c r="AI80">
        <v>0.30515008183800002</v>
      </c>
      <c r="AJ80">
        <v>0.85937774179499993</v>
      </c>
      <c r="AK80">
        <v>2.4970151550370003</v>
      </c>
      <c r="AL80">
        <v>0.30559002974500005</v>
      </c>
      <c r="AM80">
        <v>0.28055875278600007</v>
      </c>
      <c r="AN80">
        <v>0.25646835236900001</v>
      </c>
      <c r="AO80">
        <v>0.84261713490000001</v>
      </c>
      <c r="AP80" s="498">
        <v>3.3396322899370001</v>
      </c>
      <c r="AQ80">
        <v>0.25674594920000005</v>
      </c>
      <c r="AR80">
        <v>0.24841155019999997</v>
      </c>
      <c r="AS80">
        <v>0.22352812259999999</v>
      </c>
      <c r="AT80">
        <v>0.7286856220000002</v>
      </c>
      <c r="AU80">
        <v>0.23654429059999998</v>
      </c>
      <c r="AV80">
        <v>0.23772369759999998</v>
      </c>
      <c r="AW80">
        <v>0.22422470490000002</v>
      </c>
      <c r="AX80">
        <v>0.69849269310000017</v>
      </c>
      <c r="AY80">
        <v>1.4271783151000004</v>
      </c>
      <c r="AZ80">
        <v>0.24996496280000002</v>
      </c>
      <c r="BA80">
        <v>0.25798354000000001</v>
      </c>
      <c r="BB80">
        <v>0.27935745300000003</v>
      </c>
      <c r="BC80">
        <v>0.78730595580000029</v>
      </c>
      <c r="BD80">
        <v>2.2144842709000003</v>
      </c>
      <c r="BE80">
        <v>0.27878503603500004</v>
      </c>
      <c r="BF80">
        <v>0.25733831103499999</v>
      </c>
      <c r="BG80">
        <v>0.26245693175538715</v>
      </c>
      <c r="BH80">
        <v>0.79858027882538718</v>
      </c>
      <c r="BI80" s="498">
        <v>3.0130645497253874</v>
      </c>
      <c r="BJ80">
        <v>0.23167689175000003</v>
      </c>
      <c r="BK80">
        <v>0.23685954450000002</v>
      </c>
      <c r="BL80">
        <v>0.22821093674999998</v>
      </c>
      <c r="BM80">
        <v>0.696747373</v>
      </c>
      <c r="BN80">
        <v>0.21570758625000003</v>
      </c>
      <c r="BO80">
        <v>0.17845770300000002</v>
      </c>
      <c r="BP80">
        <v>0.21347948850000004</v>
      </c>
      <c r="BQ80">
        <v>0.60764477775000014</v>
      </c>
      <c r="BR80">
        <v>1.30439215075</v>
      </c>
      <c r="BS80">
        <v>0.22060001774999999</v>
      </c>
      <c r="BT80">
        <v>0.23653407140000002</v>
      </c>
      <c r="BU80">
        <v>0.22710346670000003</v>
      </c>
      <c r="BV80">
        <v>0.68423755585000001</v>
      </c>
      <c r="BW80">
        <v>1.9886297066000003</v>
      </c>
      <c r="BX80">
        <v>0.26084922929999999</v>
      </c>
      <c r="BY80">
        <v>0.16095868699999999</v>
      </c>
      <c r="BZ80">
        <v>0</v>
      </c>
      <c r="CA80">
        <v>0.42180791629999997</v>
      </c>
      <c r="CB80" s="498">
        <v>2.4104376229000004</v>
      </c>
      <c r="CC80">
        <v>0.23026622723750007</v>
      </c>
      <c r="CD80">
        <v>0.2290763588725</v>
      </c>
      <c r="CE80">
        <v>0.22091482982249999</v>
      </c>
      <c r="CF80">
        <v>0.68025741593250011</v>
      </c>
      <c r="CG80">
        <v>0.21227027598000003</v>
      </c>
      <c r="CH80">
        <v>0</v>
      </c>
      <c r="CI80">
        <v>0</v>
      </c>
      <c r="CJ80">
        <v>0.21227027598000003</v>
      </c>
      <c r="CK80">
        <v>0.89252769191250036</v>
      </c>
      <c r="CL80">
        <v>0</v>
      </c>
      <c r="CM80">
        <v>0</v>
      </c>
      <c r="CN80">
        <v>0</v>
      </c>
      <c r="CO80">
        <v>0</v>
      </c>
      <c r="CP80">
        <v>0.89252769191250036</v>
      </c>
      <c r="CQ80">
        <v>0</v>
      </c>
      <c r="CR80">
        <v>0</v>
      </c>
      <c r="CS80">
        <v>0</v>
      </c>
      <c r="CT80">
        <v>0</v>
      </c>
      <c r="CU80" s="498">
        <v>0.89252769191250036</v>
      </c>
    </row>
    <row r="81" spans="1:99">
      <c r="W81" s="480"/>
      <c r="AP81" s="480"/>
      <c r="BI81" s="480"/>
      <c r="CB81" s="480"/>
      <c r="CU81" s="480"/>
    </row>
    <row r="82" spans="1:99">
      <c r="W82" s="480"/>
      <c r="AP82" s="480"/>
      <c r="BI82" s="480"/>
      <c r="CB82" s="480"/>
      <c r="CU82" s="480"/>
    </row>
    <row r="83" spans="1:99">
      <c r="C83">
        <v>1</v>
      </c>
      <c r="E83">
        <v>202204</v>
      </c>
      <c r="F83">
        <v>202205</v>
      </c>
      <c r="G83">
        <v>202206</v>
      </c>
      <c r="H83">
        <v>222331</v>
      </c>
      <c r="I83">
        <v>202207</v>
      </c>
      <c r="J83">
        <v>202208</v>
      </c>
      <c r="K83">
        <v>202209</v>
      </c>
      <c r="L83">
        <v>222332</v>
      </c>
      <c r="M83">
        <v>222361</v>
      </c>
      <c r="N83">
        <v>202210</v>
      </c>
      <c r="O83">
        <v>202211</v>
      </c>
      <c r="P83">
        <v>202212</v>
      </c>
      <c r="Q83">
        <v>222333</v>
      </c>
      <c r="R83">
        <v>222391</v>
      </c>
      <c r="S83">
        <v>202301</v>
      </c>
      <c r="T83">
        <v>202302</v>
      </c>
      <c r="U83">
        <v>202303</v>
      </c>
      <c r="V83">
        <v>222334</v>
      </c>
      <c r="W83" s="480">
        <v>222399</v>
      </c>
      <c r="X83">
        <v>202304</v>
      </c>
      <c r="Y83">
        <v>202305</v>
      </c>
      <c r="Z83">
        <v>202306</v>
      </c>
      <c r="AA83">
        <v>232431</v>
      </c>
      <c r="AB83">
        <v>202307</v>
      </c>
      <c r="AC83">
        <v>202308</v>
      </c>
      <c r="AD83">
        <v>202309</v>
      </c>
      <c r="AE83">
        <v>232432</v>
      </c>
      <c r="AF83">
        <v>232461</v>
      </c>
      <c r="AG83">
        <v>202310</v>
      </c>
      <c r="AH83">
        <v>202311</v>
      </c>
      <c r="AI83">
        <v>202312</v>
      </c>
      <c r="AJ83">
        <v>232433</v>
      </c>
      <c r="AK83">
        <v>232491</v>
      </c>
      <c r="AL83">
        <v>202401</v>
      </c>
      <c r="AM83">
        <v>202402</v>
      </c>
      <c r="AN83">
        <v>202403</v>
      </c>
      <c r="AO83">
        <v>232434</v>
      </c>
      <c r="AP83" s="480">
        <v>232499</v>
      </c>
      <c r="AQ83">
        <v>202404</v>
      </c>
      <c r="AR83">
        <v>202405</v>
      </c>
      <c r="AS83">
        <v>202406</v>
      </c>
      <c r="AT83">
        <v>242531</v>
      </c>
      <c r="AU83">
        <v>202407</v>
      </c>
      <c r="AV83">
        <v>202408</v>
      </c>
      <c r="AW83">
        <v>202409</v>
      </c>
      <c r="AX83">
        <v>242532</v>
      </c>
      <c r="AY83">
        <v>242561</v>
      </c>
      <c r="AZ83">
        <v>202410</v>
      </c>
      <c r="BA83">
        <v>202411</v>
      </c>
      <c r="BB83">
        <v>202412</v>
      </c>
      <c r="BC83">
        <v>242533</v>
      </c>
      <c r="BD83">
        <v>242591</v>
      </c>
      <c r="BE83">
        <v>202501</v>
      </c>
      <c r="BF83">
        <v>202502</v>
      </c>
      <c r="BG83">
        <v>202503</v>
      </c>
      <c r="BH83">
        <v>242534</v>
      </c>
      <c r="BI83" s="480">
        <v>242599</v>
      </c>
      <c r="BJ83">
        <v>202504</v>
      </c>
      <c r="BK83">
        <v>202505</v>
      </c>
      <c r="BL83">
        <v>202506</v>
      </c>
      <c r="BM83">
        <v>252631</v>
      </c>
      <c r="BN83">
        <v>202507</v>
      </c>
      <c r="BO83">
        <v>202508</v>
      </c>
      <c r="BP83">
        <v>202509</v>
      </c>
      <c r="BQ83">
        <v>252632</v>
      </c>
      <c r="BR83">
        <v>252661</v>
      </c>
      <c r="BS83">
        <v>202510</v>
      </c>
      <c r="BT83">
        <v>202511</v>
      </c>
      <c r="BU83">
        <v>202512</v>
      </c>
      <c r="BV83">
        <v>252633</v>
      </c>
      <c r="BW83">
        <v>252691</v>
      </c>
      <c r="BX83">
        <v>202601</v>
      </c>
      <c r="BY83">
        <v>202602</v>
      </c>
      <c r="BZ83">
        <v>202603</v>
      </c>
      <c r="CA83">
        <v>252634</v>
      </c>
      <c r="CB83" s="480">
        <v>252699</v>
      </c>
      <c r="CC83">
        <v>202604</v>
      </c>
      <c r="CD83">
        <v>202605</v>
      </c>
      <c r="CE83">
        <v>202606</v>
      </c>
      <c r="CF83">
        <v>262731</v>
      </c>
      <c r="CG83">
        <v>202607</v>
      </c>
      <c r="CH83">
        <v>202608</v>
      </c>
      <c r="CI83">
        <v>202609</v>
      </c>
      <c r="CJ83">
        <v>262732</v>
      </c>
      <c r="CK83">
        <v>262761</v>
      </c>
      <c r="CL83">
        <v>202610</v>
      </c>
      <c r="CM83">
        <v>202611</v>
      </c>
      <c r="CN83">
        <v>202612</v>
      </c>
      <c r="CO83">
        <v>262733</v>
      </c>
      <c r="CP83">
        <v>262791</v>
      </c>
      <c r="CQ83">
        <v>202701</v>
      </c>
      <c r="CR83">
        <v>202702</v>
      </c>
      <c r="CS83">
        <v>202703</v>
      </c>
      <c r="CT83">
        <v>262734</v>
      </c>
      <c r="CU83" s="480">
        <v>262799</v>
      </c>
    </row>
    <row r="84" spans="1:99">
      <c r="C84">
        <v>2</v>
      </c>
      <c r="E84" t="s">
        <v>308</v>
      </c>
      <c r="F84" t="s">
        <v>309</v>
      </c>
      <c r="G84" t="s">
        <v>829</v>
      </c>
      <c r="H84" t="s">
        <v>392</v>
      </c>
      <c r="I84" t="s">
        <v>830</v>
      </c>
      <c r="J84" t="s">
        <v>312</v>
      </c>
      <c r="K84" t="s">
        <v>313</v>
      </c>
      <c r="L84" t="s">
        <v>393</v>
      </c>
      <c r="M84" t="s">
        <v>622</v>
      </c>
      <c r="N84" t="s">
        <v>314</v>
      </c>
      <c r="O84" t="s">
        <v>315</v>
      </c>
      <c r="P84" t="s">
        <v>316</v>
      </c>
      <c r="Q84" t="s">
        <v>394</v>
      </c>
      <c r="R84" t="s">
        <v>624</v>
      </c>
      <c r="S84" t="s">
        <v>317</v>
      </c>
      <c r="T84" t="s">
        <v>318</v>
      </c>
      <c r="U84" t="s">
        <v>319</v>
      </c>
      <c r="V84" t="s">
        <v>395</v>
      </c>
      <c r="W84" s="480" t="s">
        <v>831</v>
      </c>
      <c r="X84" t="s">
        <v>726</v>
      </c>
      <c r="Y84" t="s">
        <v>727</v>
      </c>
      <c r="Z84" t="s">
        <v>832</v>
      </c>
      <c r="AA84" t="s">
        <v>762</v>
      </c>
      <c r="AB84" t="s">
        <v>833</v>
      </c>
      <c r="AC84" t="s">
        <v>730</v>
      </c>
      <c r="AD84" t="s">
        <v>731</v>
      </c>
      <c r="AE84" t="s">
        <v>765</v>
      </c>
      <c r="AF84" t="s">
        <v>774</v>
      </c>
      <c r="AG84" t="s">
        <v>732</v>
      </c>
      <c r="AH84" t="s">
        <v>733</v>
      </c>
      <c r="AI84" t="s">
        <v>734</v>
      </c>
      <c r="AJ84" t="s">
        <v>768</v>
      </c>
      <c r="AK84" t="s">
        <v>780</v>
      </c>
      <c r="AL84" t="s">
        <v>735</v>
      </c>
      <c r="AM84" t="s">
        <v>736</v>
      </c>
      <c r="AN84" t="s">
        <v>737</v>
      </c>
      <c r="AO84" t="s">
        <v>771</v>
      </c>
      <c r="AP84" s="480" t="s">
        <v>834</v>
      </c>
      <c r="AQ84" t="s">
        <v>738</v>
      </c>
      <c r="AR84" t="s">
        <v>740</v>
      </c>
      <c r="AS84" t="s">
        <v>835</v>
      </c>
      <c r="AT84" t="s">
        <v>763</v>
      </c>
      <c r="AU84" t="s">
        <v>836</v>
      </c>
      <c r="AV84" t="s">
        <v>743</v>
      </c>
      <c r="AW84" t="s">
        <v>744</v>
      </c>
      <c r="AX84" t="s">
        <v>766</v>
      </c>
      <c r="AY84" t="s">
        <v>775</v>
      </c>
      <c r="AZ84" t="s">
        <v>745</v>
      </c>
      <c r="BA84" t="s">
        <v>746</v>
      </c>
      <c r="BB84" t="s">
        <v>747</v>
      </c>
      <c r="BC84" t="s">
        <v>769</v>
      </c>
      <c r="BD84" t="s">
        <v>781</v>
      </c>
      <c r="BE84" t="s">
        <v>748</v>
      </c>
      <c r="BF84" t="s">
        <v>749</v>
      </c>
      <c r="BG84" t="s">
        <v>750</v>
      </c>
      <c r="BH84" t="s">
        <v>772</v>
      </c>
      <c r="BI84" s="480" t="s">
        <v>837</v>
      </c>
      <c r="BJ84" t="s">
        <v>739</v>
      </c>
      <c r="BK84" t="s">
        <v>751</v>
      </c>
      <c r="BL84" t="s">
        <v>838</v>
      </c>
      <c r="BM84" t="s">
        <v>764</v>
      </c>
      <c r="BN84" t="s">
        <v>839</v>
      </c>
      <c r="BO84" t="s">
        <v>754</v>
      </c>
      <c r="BP84" t="s">
        <v>755</v>
      </c>
      <c r="BQ84" t="s">
        <v>767</v>
      </c>
      <c r="BR84" t="s">
        <v>776</v>
      </c>
      <c r="BS84" t="s">
        <v>756</v>
      </c>
      <c r="BT84" t="s">
        <v>757</v>
      </c>
      <c r="BU84" t="s">
        <v>758</v>
      </c>
      <c r="BV84" t="s">
        <v>770</v>
      </c>
      <c r="BW84" t="s">
        <v>782</v>
      </c>
      <c r="BX84" t="s">
        <v>759</v>
      </c>
      <c r="BY84" t="s">
        <v>760</v>
      </c>
      <c r="BZ84" t="s">
        <v>761</v>
      </c>
      <c r="CA84" t="s">
        <v>773</v>
      </c>
      <c r="CB84" s="480" t="s">
        <v>840</v>
      </c>
      <c r="CC84" t="s">
        <v>2268</v>
      </c>
      <c r="CD84" t="s">
        <v>2151</v>
      </c>
      <c r="CE84" t="s">
        <v>2269</v>
      </c>
      <c r="CF84" t="s">
        <v>2260</v>
      </c>
      <c r="CG84" t="s">
        <v>2270</v>
      </c>
      <c r="CH84" t="s">
        <v>2154</v>
      </c>
      <c r="CI84" t="s">
        <v>2155</v>
      </c>
      <c r="CJ84" t="s">
        <v>2261</v>
      </c>
      <c r="CK84" t="s">
        <v>2264</v>
      </c>
      <c r="CL84" t="s">
        <v>2156</v>
      </c>
      <c r="CM84" t="s">
        <v>2157</v>
      </c>
      <c r="CN84" t="s">
        <v>2158</v>
      </c>
      <c r="CO84" t="s">
        <v>2262</v>
      </c>
      <c r="CP84" t="s">
        <v>2266</v>
      </c>
      <c r="CQ84" t="s">
        <v>2159</v>
      </c>
      <c r="CR84" t="s">
        <v>2160</v>
      </c>
      <c r="CS84" t="s">
        <v>2149</v>
      </c>
      <c r="CT84" t="s">
        <v>2263</v>
      </c>
      <c r="CU84" s="480" t="s">
        <v>2271</v>
      </c>
    </row>
    <row r="85" spans="1:99">
      <c r="C85">
        <v>3</v>
      </c>
      <c r="D85" s="209" t="s">
        <v>60</v>
      </c>
      <c r="E85">
        <v>0.19775190580000002</v>
      </c>
      <c r="F85">
        <v>7.1238997999999998E-2</v>
      </c>
      <c r="G85">
        <v>4.0372800400000006E-2</v>
      </c>
      <c r="H85">
        <v>0.30936370419999998</v>
      </c>
      <c r="I85">
        <v>3.9108285199999995E-2</v>
      </c>
      <c r="J85">
        <v>2.8213600000000005E-2</v>
      </c>
      <c r="K85">
        <v>1.9064269200000004E-2</v>
      </c>
      <c r="L85">
        <v>8.6386154399999998E-2</v>
      </c>
      <c r="M85">
        <v>0.3957498586</v>
      </c>
      <c r="N85">
        <v>2.8980000000000002E-2</v>
      </c>
      <c r="O85">
        <v>0.17762</v>
      </c>
      <c r="P85">
        <v>0.17604</v>
      </c>
      <c r="Q85">
        <v>0.38263999999999998</v>
      </c>
      <c r="R85">
        <v>0.77838985859999998</v>
      </c>
      <c r="S85">
        <v>0.18098</v>
      </c>
      <c r="T85">
        <v>0.21816000000000002</v>
      </c>
      <c r="U85">
        <v>0.23827999999999999</v>
      </c>
      <c r="V85">
        <v>0.6374200000000001</v>
      </c>
      <c r="W85" s="498">
        <v>1.4158098586000001</v>
      </c>
      <c r="X85">
        <v>0.21182000010000002</v>
      </c>
      <c r="Y85">
        <v>0.19487200004999999</v>
      </c>
      <c r="Z85">
        <v>0.17171999999999998</v>
      </c>
      <c r="AA85">
        <v>0.57841200014999994</v>
      </c>
      <c r="AB85">
        <v>0.19086000609000001</v>
      </c>
      <c r="AC85">
        <v>0.16907398791</v>
      </c>
      <c r="AD85">
        <v>0.1676979801</v>
      </c>
      <c r="AE85">
        <v>0.52763197409999996</v>
      </c>
      <c r="AF85">
        <v>1.1060439742499999</v>
      </c>
      <c r="AG85">
        <v>0.20574001601</v>
      </c>
      <c r="AH85">
        <v>0.2118741999</v>
      </c>
      <c r="AI85">
        <v>0.22344001400000002</v>
      </c>
      <c r="AJ85">
        <v>0.64105422991000005</v>
      </c>
      <c r="AK85">
        <v>1.7470982041599998</v>
      </c>
      <c r="AL85">
        <v>0.23255061000999999</v>
      </c>
      <c r="AM85">
        <v>0.18375240997</v>
      </c>
      <c r="AN85">
        <v>0.22101907402000001</v>
      </c>
      <c r="AO85">
        <v>0.63732209400000006</v>
      </c>
      <c r="AP85" s="498">
        <v>2.3844202981600002</v>
      </c>
      <c r="AQ85">
        <v>0.19197999999999998</v>
      </c>
      <c r="AR85">
        <v>0.17455999999999999</v>
      </c>
      <c r="AS85">
        <v>0.16422</v>
      </c>
      <c r="AT85">
        <v>0.53076000000000001</v>
      </c>
      <c r="AU85">
        <v>0.16608000000000001</v>
      </c>
      <c r="AV85">
        <v>0.14940000000000001</v>
      </c>
      <c r="AW85">
        <v>0.16380900000000001</v>
      </c>
      <c r="AX85">
        <v>0.47928899999999997</v>
      </c>
      <c r="AY85">
        <v>1.010049</v>
      </c>
      <c r="AZ85">
        <v>0.18253079999999999</v>
      </c>
      <c r="BA85">
        <v>0.18656800000000001</v>
      </c>
      <c r="BB85">
        <v>0.20789299999999999</v>
      </c>
      <c r="BC85">
        <v>0.57699180000000005</v>
      </c>
      <c r="BD85">
        <v>1.5870408</v>
      </c>
      <c r="BE85">
        <v>0.211006998</v>
      </c>
      <c r="BF85">
        <v>0.188299992</v>
      </c>
      <c r="BG85">
        <v>0.20026900000000003</v>
      </c>
      <c r="BH85">
        <v>0.59957598999999995</v>
      </c>
      <c r="BI85" s="498">
        <v>2.1866167900000004</v>
      </c>
      <c r="BJ85">
        <v>0.17897099999999999</v>
      </c>
      <c r="BK85">
        <v>0.16720000000000002</v>
      </c>
      <c r="BL85">
        <v>0.15576699999999999</v>
      </c>
      <c r="BM85">
        <v>0.501938</v>
      </c>
      <c r="BN85">
        <v>0.1418132</v>
      </c>
      <c r="BO85">
        <v>3.4500000000000003E-2</v>
      </c>
      <c r="BP85">
        <v>0.15918660000000001</v>
      </c>
      <c r="BQ85">
        <v>0.33549980000000001</v>
      </c>
      <c r="BR85">
        <v>0.83743780000000001</v>
      </c>
      <c r="BS85">
        <v>0.16699340000000001</v>
      </c>
      <c r="BT85">
        <v>0.18348</v>
      </c>
      <c r="BU85">
        <v>0.1794618</v>
      </c>
      <c r="BV85">
        <v>0.52993519999999994</v>
      </c>
      <c r="BW85">
        <v>1.3673729999999999</v>
      </c>
      <c r="BX85">
        <v>0.22190168599999999</v>
      </c>
      <c r="BY85">
        <v>0.20907318600000002</v>
      </c>
      <c r="BZ85">
        <v>0</v>
      </c>
      <c r="CA85">
        <v>0.43097487200000001</v>
      </c>
      <c r="CB85" s="498">
        <v>1.7983478720000001</v>
      </c>
      <c r="CC85">
        <v>0.21322805252999999</v>
      </c>
      <c r="CD85">
        <v>0.20772096796</v>
      </c>
      <c r="CE85">
        <v>0.1797166</v>
      </c>
      <c r="CF85">
        <v>0.60066562049000005</v>
      </c>
      <c r="CG85">
        <v>0.20410865341000001</v>
      </c>
      <c r="CH85">
        <v>0</v>
      </c>
      <c r="CI85">
        <v>0</v>
      </c>
      <c r="CJ85">
        <v>0.20410865341000001</v>
      </c>
      <c r="CK85">
        <v>0.8047742739</v>
      </c>
      <c r="CL85">
        <v>0</v>
      </c>
      <c r="CM85">
        <v>0</v>
      </c>
      <c r="CN85">
        <v>0</v>
      </c>
      <c r="CO85">
        <v>0</v>
      </c>
      <c r="CP85">
        <v>0.8047742739</v>
      </c>
      <c r="CQ85">
        <v>0</v>
      </c>
      <c r="CR85">
        <v>0</v>
      </c>
      <c r="CS85">
        <v>0</v>
      </c>
      <c r="CT85">
        <v>0</v>
      </c>
      <c r="CU85" s="498">
        <v>0.8047742739</v>
      </c>
    </row>
    <row r="86" spans="1:99">
      <c r="C86">
        <v>4</v>
      </c>
      <c r="D86" s="209" t="s">
        <v>61</v>
      </c>
      <c r="E86">
        <v>0.33063723784000021</v>
      </c>
      <c r="F86">
        <v>0.34199915151999982</v>
      </c>
      <c r="G86">
        <v>0.32912886889999993</v>
      </c>
      <c r="H86">
        <v>1.0017652582600001</v>
      </c>
      <c r="I86">
        <v>0.33574026850000022</v>
      </c>
      <c r="J86">
        <v>0.32855352296000007</v>
      </c>
      <c r="K86">
        <v>0.30901097733999988</v>
      </c>
      <c r="L86">
        <v>0.97330476880000028</v>
      </c>
      <c r="M86">
        <v>1.9750700270600001</v>
      </c>
      <c r="N86">
        <v>0.31348129514000012</v>
      </c>
      <c r="O86">
        <v>0.30089048157999992</v>
      </c>
      <c r="P86">
        <v>0.31126482451999998</v>
      </c>
      <c r="Q86">
        <v>0.92563660124000002</v>
      </c>
      <c r="R86">
        <v>2.9007066283</v>
      </c>
      <c r="S86">
        <v>0.31507680776000002</v>
      </c>
      <c r="T86">
        <v>0.28345991465999998</v>
      </c>
      <c r="U86">
        <v>0.29980291562000005</v>
      </c>
      <c r="V86">
        <v>0.89833963804000005</v>
      </c>
      <c r="W86" s="498">
        <v>3.79904626634</v>
      </c>
      <c r="X86">
        <v>0.29525446055000004</v>
      </c>
      <c r="Y86">
        <v>0.30420817909999998</v>
      </c>
      <c r="Z86">
        <v>0.29265151527</v>
      </c>
      <c r="AA86">
        <v>0.89211415492000012</v>
      </c>
      <c r="AB86">
        <v>0.27979422900000006</v>
      </c>
      <c r="AC86">
        <v>0.30012306375999998</v>
      </c>
      <c r="AD86">
        <v>0.28895372480999998</v>
      </c>
      <c r="AE86">
        <v>0.86887101757000007</v>
      </c>
      <c r="AF86">
        <v>1.7609851724899999</v>
      </c>
      <c r="AG86">
        <v>0.29066131377999999</v>
      </c>
      <c r="AH86">
        <v>0.28706097681000003</v>
      </c>
      <c r="AI86">
        <v>0.29124543756999999</v>
      </c>
      <c r="AJ86">
        <v>0.86896772816000001</v>
      </c>
      <c r="AK86">
        <v>2.6299529006500002</v>
      </c>
      <c r="AL86">
        <v>0.28560849717999998</v>
      </c>
      <c r="AM86">
        <v>0.26719616823000003</v>
      </c>
      <c r="AN86">
        <v>0.27232062263000001</v>
      </c>
      <c r="AO86">
        <v>0.82512528803999996</v>
      </c>
      <c r="AP86" s="498">
        <v>3.4550781886899999</v>
      </c>
      <c r="AQ86">
        <v>0.26129584</v>
      </c>
      <c r="AR86">
        <v>0.26931502000000002</v>
      </c>
      <c r="AS86">
        <v>0.26481286000000004</v>
      </c>
      <c r="AT86">
        <v>0.79542372000000006</v>
      </c>
      <c r="AU86">
        <v>0.26375413999999997</v>
      </c>
      <c r="AV86">
        <v>0.27451086000000002</v>
      </c>
      <c r="AW86">
        <v>0.26839753199999999</v>
      </c>
      <c r="AX86">
        <v>0.80666253200000004</v>
      </c>
      <c r="AY86">
        <v>1.6020862520000001</v>
      </c>
      <c r="AZ86">
        <v>0.27831667600000004</v>
      </c>
      <c r="BA86">
        <v>0.26906812099999999</v>
      </c>
      <c r="BB86">
        <v>0.28384980000000004</v>
      </c>
      <c r="BC86">
        <v>0.83123459700000002</v>
      </c>
      <c r="BD86">
        <v>2.4333208490000002</v>
      </c>
      <c r="BE86">
        <v>0.27771417984000002</v>
      </c>
      <c r="BF86">
        <v>0.25073189647999999</v>
      </c>
      <c r="BG86">
        <v>0.27382372212</v>
      </c>
      <c r="BH86">
        <v>0.80226979844000001</v>
      </c>
      <c r="BI86" s="498">
        <v>3.2355906474400005</v>
      </c>
      <c r="BJ86">
        <v>0.25680945099999997</v>
      </c>
      <c r="BK86">
        <v>0.26864566899999998</v>
      </c>
      <c r="BL86">
        <v>0.25893474799999999</v>
      </c>
      <c r="BM86">
        <v>0.78438986799999999</v>
      </c>
      <c r="BN86">
        <v>0.26809332900000005</v>
      </c>
      <c r="BO86">
        <v>0.253097868</v>
      </c>
      <c r="BP86">
        <v>0.25689354400000003</v>
      </c>
      <c r="BQ86">
        <v>0.77808474100000002</v>
      </c>
      <c r="BR86">
        <v>1.5624746089999999</v>
      </c>
      <c r="BS86">
        <v>0.26262774100000003</v>
      </c>
      <c r="BT86">
        <v>0.25309805099999999</v>
      </c>
      <c r="BU86">
        <v>0.25481013600000002</v>
      </c>
      <c r="BV86">
        <v>0.77053592800000004</v>
      </c>
      <c r="BW86">
        <v>2.3330105369999998</v>
      </c>
      <c r="BX86">
        <v>0.25190425399999999</v>
      </c>
      <c r="BY86">
        <v>0.15869957500000001</v>
      </c>
      <c r="BZ86">
        <v>0</v>
      </c>
      <c r="CA86">
        <v>0.41060382900000003</v>
      </c>
      <c r="CB86" s="498">
        <v>2.7436143660000001</v>
      </c>
      <c r="CC86">
        <v>0.24099663665999999</v>
      </c>
      <c r="CD86">
        <v>0.24862833606000001</v>
      </c>
      <c r="CE86">
        <v>0.23908778506</v>
      </c>
      <c r="CF86">
        <v>0.72871275778</v>
      </c>
      <c r="CG86">
        <v>0.24057610251</v>
      </c>
      <c r="CH86">
        <v>0</v>
      </c>
      <c r="CI86">
        <v>0</v>
      </c>
      <c r="CJ86">
        <v>0.24057610251</v>
      </c>
      <c r="CK86">
        <v>0.96928886029000005</v>
      </c>
      <c r="CL86">
        <v>0</v>
      </c>
      <c r="CM86">
        <v>0</v>
      </c>
      <c r="CN86">
        <v>0</v>
      </c>
      <c r="CO86">
        <v>0</v>
      </c>
      <c r="CP86">
        <v>0.96928886029000005</v>
      </c>
      <c r="CQ86">
        <v>0</v>
      </c>
      <c r="CR86">
        <v>0</v>
      </c>
      <c r="CS86">
        <v>0</v>
      </c>
      <c r="CT86">
        <v>0</v>
      </c>
      <c r="CU86" s="498">
        <v>0.96928886029000005</v>
      </c>
    </row>
    <row r="87" spans="1:99">
      <c r="C87">
        <v>5</v>
      </c>
      <c r="D87" s="209" t="s">
        <v>62</v>
      </c>
      <c r="E87">
        <v>2.6603544E-2</v>
      </c>
      <c r="F87">
        <v>2.3897415000000002E-2</v>
      </c>
      <c r="G87">
        <v>2.4647891000000002E-2</v>
      </c>
      <c r="H87">
        <v>7.5148850000000003E-2</v>
      </c>
      <c r="I87">
        <v>2.545321E-2</v>
      </c>
      <c r="J87">
        <v>2.4877429999999999E-2</v>
      </c>
      <c r="K87">
        <v>2.3072663E-2</v>
      </c>
      <c r="L87">
        <v>7.3403303000000003E-2</v>
      </c>
      <c r="M87">
        <v>0.14855215299999999</v>
      </c>
      <c r="N87">
        <v>2.4672309999999999E-2</v>
      </c>
      <c r="O87">
        <v>2.3249124999999999E-2</v>
      </c>
      <c r="P87">
        <v>2.4065916999999999E-2</v>
      </c>
      <c r="Q87">
        <v>7.1987352000000004E-2</v>
      </c>
      <c r="R87">
        <v>0.220539505</v>
      </c>
      <c r="S87">
        <v>2.3351489E-2</v>
      </c>
      <c r="T87">
        <v>2.0955447000000002E-2</v>
      </c>
      <c r="U87">
        <v>2.2023709000000002E-2</v>
      </c>
      <c r="V87">
        <v>6.6330645000000008E-2</v>
      </c>
      <c r="W87" s="498">
        <v>0.28687015000000005</v>
      </c>
      <c r="X87">
        <v>2.122023998E-2</v>
      </c>
      <c r="Y87">
        <v>2.0207930040000002E-2</v>
      </c>
      <c r="Z87">
        <v>2.049780994E-2</v>
      </c>
      <c r="AA87">
        <v>6.1925979960000002E-2</v>
      </c>
      <c r="AB87">
        <v>2.0742830069999999E-2</v>
      </c>
      <c r="AC87">
        <v>2.056813993E-2</v>
      </c>
      <c r="AD87">
        <v>1.834694001E-2</v>
      </c>
      <c r="AE87">
        <v>5.9657910010000002E-2</v>
      </c>
      <c r="AF87">
        <v>0.12158388997000001</v>
      </c>
      <c r="AG87">
        <v>2.0410989980000002E-2</v>
      </c>
      <c r="AH87">
        <v>1.95361002E-2</v>
      </c>
      <c r="AI87">
        <v>1.9929709659999999E-2</v>
      </c>
      <c r="AJ87">
        <v>5.9876799840000008E-2</v>
      </c>
      <c r="AK87">
        <v>0.18146068981000002</v>
      </c>
      <c r="AL87">
        <v>1.9608680169999997E-2</v>
      </c>
      <c r="AM87">
        <v>1.8060551049999998E-2</v>
      </c>
      <c r="AN87">
        <v>1.884546501E-2</v>
      </c>
      <c r="AO87">
        <v>5.6514696230000001E-2</v>
      </c>
      <c r="AP87" s="498">
        <v>0.23797538604000001</v>
      </c>
      <c r="AQ87">
        <v>1.8917000000000003E-2</v>
      </c>
      <c r="AR87">
        <v>1.6015999999999999E-2</v>
      </c>
      <c r="AS87">
        <v>9.7140000000000004E-3</v>
      </c>
      <c r="AT87">
        <v>4.4647000000000006E-2</v>
      </c>
      <c r="AU87">
        <v>1.8243000000000002E-2</v>
      </c>
      <c r="AV87">
        <v>1.8214000000000001E-2</v>
      </c>
      <c r="AW87">
        <v>1.4721E-2</v>
      </c>
      <c r="AX87">
        <v>5.1178000000000001E-2</v>
      </c>
      <c r="AY87">
        <v>9.5825000000000007E-2</v>
      </c>
      <c r="AZ87">
        <v>1.7568E-2</v>
      </c>
      <c r="BA87">
        <v>1.6723999999999999E-2</v>
      </c>
      <c r="BB87">
        <v>1.7905999999999998E-2</v>
      </c>
      <c r="BC87">
        <v>5.2197999999999994E-2</v>
      </c>
      <c r="BD87">
        <v>0.14802300000000002</v>
      </c>
      <c r="BE87">
        <v>1.7890919959999998E-2</v>
      </c>
      <c r="BF87">
        <v>1.6143999999999999E-2</v>
      </c>
      <c r="BG87">
        <v>1.6128000000000003E-2</v>
      </c>
      <c r="BH87">
        <v>5.0162919960000003E-2</v>
      </c>
      <c r="BI87" s="498">
        <v>0.19818591996000001</v>
      </c>
      <c r="BJ87">
        <v>1.6485E-2</v>
      </c>
      <c r="BK87">
        <v>1.6653999999999999E-2</v>
      </c>
      <c r="BL87">
        <v>1.6048E-2</v>
      </c>
      <c r="BM87">
        <v>4.9187000000000002E-2</v>
      </c>
      <c r="BN87">
        <v>1.6329E-2</v>
      </c>
      <c r="BO87">
        <v>1.6926000000000004E-2</v>
      </c>
      <c r="BP87">
        <v>1.6008000000000001E-2</v>
      </c>
      <c r="BQ87">
        <v>4.9263000000000001E-2</v>
      </c>
      <c r="BR87">
        <v>9.845000000000001E-2</v>
      </c>
      <c r="BS87">
        <v>1.8386E-2</v>
      </c>
      <c r="BT87">
        <v>1.7814E-2</v>
      </c>
      <c r="BU87">
        <v>1.8003999999999999E-2</v>
      </c>
      <c r="BV87">
        <v>5.4204000000000002E-2</v>
      </c>
      <c r="BW87">
        <v>0.15265400000000001</v>
      </c>
      <c r="BX87">
        <v>1.7737000000000003E-2</v>
      </c>
      <c r="BY87">
        <v>1.5753E-2</v>
      </c>
      <c r="BZ87">
        <v>0</v>
      </c>
      <c r="CA87">
        <v>3.3489999999999999E-2</v>
      </c>
      <c r="CB87" s="498">
        <v>0.18614400000000003</v>
      </c>
      <c r="CC87">
        <v>1.5996250030000003E-2</v>
      </c>
      <c r="CD87">
        <v>1.50260199E-2</v>
      </c>
      <c r="CE87">
        <v>1.5523970010000001E-2</v>
      </c>
      <c r="CF87">
        <v>4.6546239940000005E-2</v>
      </c>
      <c r="CG87">
        <v>1.5153050060000001E-2</v>
      </c>
      <c r="CH87">
        <v>0</v>
      </c>
      <c r="CI87">
        <v>0</v>
      </c>
      <c r="CJ87">
        <v>1.5153050060000001E-2</v>
      </c>
      <c r="CK87">
        <v>6.1699290000000004E-2</v>
      </c>
      <c r="CL87">
        <v>0</v>
      </c>
      <c r="CM87">
        <v>0</v>
      </c>
      <c r="CN87">
        <v>0</v>
      </c>
      <c r="CO87">
        <v>0</v>
      </c>
      <c r="CP87">
        <v>6.1699290000000004E-2</v>
      </c>
      <c r="CQ87">
        <v>0</v>
      </c>
      <c r="CR87">
        <v>0</v>
      </c>
      <c r="CS87">
        <v>0</v>
      </c>
      <c r="CT87">
        <v>0</v>
      </c>
      <c r="CU87" s="498">
        <v>6.1699290000000004E-2</v>
      </c>
    </row>
    <row r="88" spans="1:99">
      <c r="C88">
        <v>6</v>
      </c>
      <c r="D88" s="209" t="s">
        <v>57</v>
      </c>
      <c r="E88">
        <v>4.8742360700000001E-2</v>
      </c>
      <c r="F88">
        <v>4.9602146999999999E-2</v>
      </c>
      <c r="G88">
        <v>4.1206725799999996E-2</v>
      </c>
      <c r="H88">
        <v>0.13955123349999998</v>
      </c>
      <c r="I88">
        <v>4.52077738959E-2</v>
      </c>
      <c r="J88">
        <v>4.6916658699999995E-2</v>
      </c>
      <c r="K88">
        <v>4.1994094900000001E-2</v>
      </c>
      <c r="L88">
        <v>0.1341185274959</v>
      </c>
      <c r="M88">
        <v>0.27366976099590001</v>
      </c>
      <c r="N88">
        <v>4.4180879799999996E-2</v>
      </c>
      <c r="O88">
        <v>4.643806582929208E-2</v>
      </c>
      <c r="P88">
        <v>4.5810066240594666E-2</v>
      </c>
      <c r="Q88">
        <v>0.13642901186988676</v>
      </c>
      <c r="R88">
        <v>0.41009877286578672</v>
      </c>
      <c r="S88">
        <v>4.3959724769777574E-2</v>
      </c>
      <c r="T88">
        <v>4.1975782900000001E-2</v>
      </c>
      <c r="U88">
        <v>4.1730093110142384E-2</v>
      </c>
      <c r="V88">
        <v>0.12766560077991992</v>
      </c>
      <c r="W88" s="498">
        <v>0.53776437364570662</v>
      </c>
      <c r="X88">
        <v>4.1629000020000001E-2</v>
      </c>
      <c r="Y88">
        <v>4.1793465765000003E-2</v>
      </c>
      <c r="Z88">
        <v>3.9190399710000004E-2</v>
      </c>
      <c r="AA88">
        <v>0.122612865495</v>
      </c>
      <c r="AB88">
        <v>3.9298087098999998E-2</v>
      </c>
      <c r="AC88">
        <v>4.1438158428000006E-2</v>
      </c>
      <c r="AD88">
        <v>3.8790282299999999E-2</v>
      </c>
      <c r="AE88">
        <v>0.11952652782700002</v>
      </c>
      <c r="AF88">
        <v>0.24213939332200002</v>
      </c>
      <c r="AG88">
        <v>4.1722885802000002E-2</v>
      </c>
      <c r="AH88">
        <v>3.9053228435000004E-2</v>
      </c>
      <c r="AI88">
        <v>4.1772630447999989E-2</v>
      </c>
      <c r="AJ88">
        <v>0.122548744685</v>
      </c>
      <c r="AK88">
        <v>0.36468813800700006</v>
      </c>
      <c r="AL88">
        <v>3.8371293325E-2</v>
      </c>
      <c r="AM88">
        <v>3.7337201346E-2</v>
      </c>
      <c r="AN88">
        <v>4.2225667838999996E-2</v>
      </c>
      <c r="AO88">
        <v>0.11793416251</v>
      </c>
      <c r="AP88" s="498">
        <v>0.48262230051700006</v>
      </c>
      <c r="AQ88">
        <v>3.70010952E-2</v>
      </c>
      <c r="AR88">
        <v>3.6484995199999995E-2</v>
      </c>
      <c r="AS88">
        <v>3.8385617600000005E-2</v>
      </c>
      <c r="AT88">
        <v>0.11187170799999999</v>
      </c>
      <c r="AU88">
        <v>4.05938136E-2</v>
      </c>
      <c r="AV88">
        <v>4.0251449599999996E-2</v>
      </c>
      <c r="AW88">
        <v>3.8940437899999999E-2</v>
      </c>
      <c r="AX88">
        <v>0.11978570109999997</v>
      </c>
      <c r="AY88">
        <v>0.23165740909999999</v>
      </c>
      <c r="AZ88">
        <v>4.0124976799999997E-2</v>
      </c>
      <c r="BA88">
        <v>0.12406806000000001</v>
      </c>
      <c r="BB88">
        <v>5.5100581000000003E-2</v>
      </c>
      <c r="BC88">
        <v>0.21929361779999998</v>
      </c>
      <c r="BD88">
        <v>0.45095102689999994</v>
      </c>
      <c r="BE88">
        <v>5.1321947345E-2</v>
      </c>
      <c r="BF88">
        <v>4.9134800765000007E-2</v>
      </c>
      <c r="BG88">
        <v>5.1969843022500004E-2</v>
      </c>
      <c r="BH88">
        <v>0.15242659113250001</v>
      </c>
      <c r="BI88" s="498">
        <v>0.6033776180324999</v>
      </c>
      <c r="BJ88">
        <v>4.7708241749999991E-2</v>
      </c>
      <c r="BK88">
        <v>4.7364788499999998E-2</v>
      </c>
      <c r="BL88">
        <v>4.5123683750000004E-2</v>
      </c>
      <c r="BM88">
        <v>0.140196714</v>
      </c>
      <c r="BN88">
        <v>4.8507614249999997E-2</v>
      </c>
      <c r="BO88">
        <v>4.8637543000000005E-2</v>
      </c>
      <c r="BP88">
        <v>4.9568553500000001E-2</v>
      </c>
      <c r="BQ88">
        <v>0.14671371075</v>
      </c>
      <c r="BR88">
        <v>0.28691042475</v>
      </c>
      <c r="BS88">
        <v>5.1244613750000001E-2</v>
      </c>
      <c r="BT88">
        <v>4.8340625400000004E-2</v>
      </c>
      <c r="BU88">
        <v>5.0551176699999999E-2</v>
      </c>
      <c r="BV88">
        <v>0.15013641585000001</v>
      </c>
      <c r="BW88">
        <v>0.43704684059999999</v>
      </c>
      <c r="BX88">
        <v>5.0672704299999996E-2</v>
      </c>
      <c r="BY88">
        <v>4.6337491999999994E-2</v>
      </c>
      <c r="BZ88">
        <v>0</v>
      </c>
      <c r="CA88">
        <v>9.7010196300000004E-2</v>
      </c>
      <c r="CB88" s="498">
        <v>0.53405703690000006</v>
      </c>
      <c r="CC88">
        <v>5.06369825375E-2</v>
      </c>
      <c r="CD88">
        <v>5.1278721102499994E-2</v>
      </c>
      <c r="CE88">
        <v>4.9227993312499996E-2</v>
      </c>
      <c r="CF88">
        <v>0.15114369695250002</v>
      </c>
      <c r="CG88">
        <v>4.7012464680000005E-2</v>
      </c>
      <c r="CH88">
        <v>0</v>
      </c>
      <c r="CI88">
        <v>0</v>
      </c>
      <c r="CJ88">
        <v>4.7012464680000005E-2</v>
      </c>
      <c r="CK88">
        <v>0.19815616163249999</v>
      </c>
      <c r="CL88">
        <v>0</v>
      </c>
      <c r="CM88">
        <v>0</v>
      </c>
      <c r="CN88">
        <v>0</v>
      </c>
      <c r="CO88">
        <v>0</v>
      </c>
      <c r="CP88">
        <v>0.19815616163249999</v>
      </c>
      <c r="CQ88">
        <v>0</v>
      </c>
      <c r="CR88">
        <v>0</v>
      </c>
      <c r="CS88">
        <v>0</v>
      </c>
      <c r="CT88">
        <v>0</v>
      </c>
      <c r="CU88" s="498">
        <v>0.19815616163249999</v>
      </c>
    </row>
    <row r="89" spans="1:99">
      <c r="A89" t="s">
        <v>842</v>
      </c>
      <c r="C89">
        <v>7</v>
      </c>
      <c r="D89" s="209" t="s">
        <v>58</v>
      </c>
      <c r="E89">
        <v>7.8976662782127543E-3</v>
      </c>
      <c r="F89">
        <v>0</v>
      </c>
      <c r="G89">
        <v>1.5851485367176024E-2</v>
      </c>
      <c r="H89">
        <v>2.374915164538878E-2</v>
      </c>
      <c r="I89">
        <v>3.0185088303038055E-2</v>
      </c>
      <c r="J89">
        <v>5.4730093939129129E-2</v>
      </c>
      <c r="K89">
        <v>4.9635953295439655E-2</v>
      </c>
      <c r="L89">
        <v>0.13455113553760684</v>
      </c>
      <c r="M89">
        <v>0.15830028718299563</v>
      </c>
      <c r="N89">
        <v>5.6129209487157772E-2</v>
      </c>
      <c r="O89">
        <v>3.3916686670189114E-2</v>
      </c>
      <c r="P89">
        <v>1.6097601888765474E-2</v>
      </c>
      <c r="Q89">
        <v>0.10614349804611237</v>
      </c>
      <c r="R89">
        <v>0.264443785229108</v>
      </c>
      <c r="S89">
        <v>4.3917251970305979E-2</v>
      </c>
      <c r="T89">
        <v>3.3522784909079485E-2</v>
      </c>
      <c r="U89">
        <v>2.6555165744186676E-2</v>
      </c>
      <c r="V89">
        <v>0.10399520262357215</v>
      </c>
      <c r="W89" s="498">
        <v>0.36843898785268014</v>
      </c>
      <c r="X89">
        <v>4.4702917740000001E-2</v>
      </c>
      <c r="Y89">
        <v>2.99342898E-2</v>
      </c>
      <c r="Z89">
        <v>4.0341842359999998E-2</v>
      </c>
      <c r="AA89">
        <v>0.11497904989999999</v>
      </c>
      <c r="AB89">
        <v>4.6698074909999998E-2</v>
      </c>
      <c r="AC89">
        <v>4.512559948E-2</v>
      </c>
      <c r="AD89">
        <v>3.1055263670000003E-2</v>
      </c>
      <c r="AE89">
        <v>0.12287893806</v>
      </c>
      <c r="AF89">
        <v>0.23785798795999996</v>
      </c>
      <c r="AG89">
        <v>0</v>
      </c>
      <c r="AH89">
        <v>2.5369089010000002E-2</v>
      </c>
      <c r="AI89">
        <v>4.5639794519999999E-2</v>
      </c>
      <c r="AJ89">
        <v>7.1008883529999997E-2</v>
      </c>
      <c r="AK89">
        <v>0.30886687148999997</v>
      </c>
      <c r="AL89">
        <v>3.9526340030000003E-2</v>
      </c>
      <c r="AM89">
        <v>3.802774011E-2</v>
      </c>
      <c r="AN89">
        <v>3.2045699999999996E-2</v>
      </c>
      <c r="AO89">
        <v>0.10959978014000001</v>
      </c>
      <c r="AP89" s="498">
        <v>0.41846665163000002</v>
      </c>
      <c r="AQ89">
        <v>2.2113096999999998E-2</v>
      </c>
      <c r="AR89">
        <v>3.5462898999999999E-2</v>
      </c>
      <c r="AS89">
        <v>2.9072373999999998E-2</v>
      </c>
      <c r="AT89">
        <v>8.6648369999999988E-2</v>
      </c>
      <c r="AU89">
        <v>3.2572095000000002E-2</v>
      </c>
      <c r="AV89">
        <v>4.1408279999999999E-2</v>
      </c>
      <c r="AW89">
        <v>3.2783939999999998E-2</v>
      </c>
      <c r="AX89">
        <v>0.10676431499999998</v>
      </c>
      <c r="AY89">
        <v>0.19341268499999997</v>
      </c>
      <c r="AZ89">
        <v>2.9831219999999999E-2</v>
      </c>
      <c r="BA89">
        <v>3.0255757000000001E-2</v>
      </c>
      <c r="BB89">
        <v>4.1495377E-2</v>
      </c>
      <c r="BC89">
        <v>0.10158235400000001</v>
      </c>
      <c r="BD89">
        <v>0.29499503900000001</v>
      </c>
      <c r="BE89">
        <v>3.6859099149999998E-2</v>
      </c>
      <c r="BF89">
        <v>2.6455086000000003E-2</v>
      </c>
      <c r="BG89">
        <v>3.5320303800000001E-2</v>
      </c>
      <c r="BH89">
        <v>9.8634488950000015E-2</v>
      </c>
      <c r="BI89" s="498">
        <v>0.39362952795000006</v>
      </c>
      <c r="BJ89">
        <v>3.4637515000000001E-2</v>
      </c>
      <c r="BK89">
        <v>3.8251710000000001E-2</v>
      </c>
      <c r="BL89">
        <v>4.0834800000000004E-2</v>
      </c>
      <c r="BM89">
        <v>0.11372402500000001</v>
      </c>
      <c r="BN89">
        <v>4.0516681000000006E-2</v>
      </c>
      <c r="BO89">
        <v>4.0433310000000007E-2</v>
      </c>
      <c r="BP89">
        <v>3.8310299999999999E-2</v>
      </c>
      <c r="BQ89">
        <v>0.119260291</v>
      </c>
      <c r="BR89">
        <v>0.232984316</v>
      </c>
      <c r="BS89">
        <v>4.3319339999999998E-2</v>
      </c>
      <c r="BT89">
        <v>2.3819129999999997E-2</v>
      </c>
      <c r="BU89">
        <v>0</v>
      </c>
      <c r="BV89">
        <v>6.7138470000000006E-2</v>
      </c>
      <c r="BW89">
        <v>0.30012278600000003</v>
      </c>
      <c r="BX89">
        <v>5.8217399999999997E-3</v>
      </c>
      <c r="BY89">
        <v>3.523689E-2</v>
      </c>
      <c r="BZ89">
        <v>0</v>
      </c>
      <c r="CA89">
        <v>4.1058629999999999E-2</v>
      </c>
      <c r="CB89" s="498">
        <v>0.34118141600000002</v>
      </c>
      <c r="CC89">
        <v>4.6870919970000001E-2</v>
      </c>
      <c r="CD89">
        <v>3.9796633259999999E-2</v>
      </c>
      <c r="CE89">
        <v>4.3001822690000004E-2</v>
      </c>
      <c r="CF89">
        <v>0.12966937592</v>
      </c>
      <c r="CG89">
        <v>3.6873109429999995E-2</v>
      </c>
      <c r="CH89">
        <v>0</v>
      </c>
      <c r="CI89">
        <v>0</v>
      </c>
      <c r="CJ89">
        <v>3.6873109429999995E-2</v>
      </c>
      <c r="CK89">
        <v>0.16654248534999999</v>
      </c>
      <c r="CL89">
        <v>0</v>
      </c>
      <c r="CM89">
        <v>0</v>
      </c>
      <c r="CN89">
        <v>0</v>
      </c>
      <c r="CO89">
        <v>0</v>
      </c>
      <c r="CP89">
        <v>0.16654248534999999</v>
      </c>
      <c r="CQ89">
        <v>0</v>
      </c>
      <c r="CR89">
        <v>0</v>
      </c>
      <c r="CS89">
        <v>0</v>
      </c>
      <c r="CT89">
        <v>0</v>
      </c>
      <c r="CU89" s="498">
        <v>0.16654248534999999</v>
      </c>
    </row>
    <row r="90" spans="1:99">
      <c r="C90">
        <v>8</v>
      </c>
      <c r="D90" s="209" t="s">
        <v>59</v>
      </c>
      <c r="E90">
        <v>6.3657774024205105E-3</v>
      </c>
      <c r="F90">
        <v>6.2733707701551874E-3</v>
      </c>
      <c r="G90">
        <v>6.3331034869486573E-3</v>
      </c>
      <c r="H90">
        <v>1.8972251659524358E-2</v>
      </c>
      <c r="I90">
        <v>6.5372154351635752E-3</v>
      </c>
      <c r="J90">
        <v>6.7028240947891605E-3</v>
      </c>
      <c r="K90">
        <v>6.8421878550696371E-3</v>
      </c>
      <c r="L90">
        <v>2.0082227385022376E-2</v>
      </c>
      <c r="M90">
        <v>3.9054479044546737E-2</v>
      </c>
      <c r="N90">
        <v>7.1422069699516215E-3</v>
      </c>
      <c r="O90">
        <v>6.7555184162548668E-3</v>
      </c>
      <c r="P90">
        <v>7.2067846607669498E-3</v>
      </c>
      <c r="Q90">
        <v>2.1104510046973439E-2</v>
      </c>
      <c r="R90">
        <v>6.0158989091520169E-2</v>
      </c>
      <c r="S90">
        <v>6.6739402654867261E-3</v>
      </c>
      <c r="T90">
        <v>6.0393569697864309E-3</v>
      </c>
      <c r="U90">
        <v>6.8296773709383037E-3</v>
      </c>
      <c r="V90">
        <v>1.9542974606211457E-2</v>
      </c>
      <c r="W90" s="498">
        <v>7.9701963697731623E-2</v>
      </c>
      <c r="X90">
        <v>6.8104499900000001E-3</v>
      </c>
      <c r="Y90">
        <v>6.9970599900000003E-3</v>
      </c>
      <c r="Z90">
        <v>6.8524499799999996E-3</v>
      </c>
      <c r="AA90">
        <v>2.0659959960000002E-2</v>
      </c>
      <c r="AB90">
        <v>7.1837990199999993E-3</v>
      </c>
      <c r="AC90">
        <v>7.2489450799999994E-3</v>
      </c>
      <c r="AD90">
        <v>6.5025500000000002E-3</v>
      </c>
      <c r="AE90">
        <v>2.0935294099999998E-2</v>
      </c>
      <c r="AF90">
        <v>4.159525406000001E-2</v>
      </c>
      <c r="AG90">
        <v>7.5840149599999997E-3</v>
      </c>
      <c r="AH90">
        <v>7.6835500000000008E-3</v>
      </c>
      <c r="AI90">
        <v>8.3235549799999982E-3</v>
      </c>
      <c r="AJ90">
        <v>2.3591119940000002E-2</v>
      </c>
      <c r="AK90">
        <v>6.5186374000000005E-2</v>
      </c>
      <c r="AL90">
        <v>7.9969299999999993E-3</v>
      </c>
      <c r="AM90">
        <v>7.6375550099999998E-3</v>
      </c>
      <c r="AN90">
        <v>8.59357501E-3</v>
      </c>
      <c r="AO90">
        <v>2.4228060020000001E-2</v>
      </c>
      <c r="AP90" s="498">
        <v>8.9414434020000017E-2</v>
      </c>
      <c r="AQ90">
        <v>8.9864999999999997E-3</v>
      </c>
      <c r="AR90">
        <v>9.7970000000000002E-3</v>
      </c>
      <c r="AS90">
        <v>9.6655000000000005E-3</v>
      </c>
      <c r="AT90">
        <v>2.8449000000000002E-2</v>
      </c>
      <c r="AU90">
        <v>1.0028500000000001E-2</v>
      </c>
      <c r="AV90">
        <v>9.8294999999999997E-3</v>
      </c>
      <c r="AW90">
        <v>9.3469999999999994E-3</v>
      </c>
      <c r="AX90">
        <v>2.9205000000000002E-2</v>
      </c>
      <c r="AY90">
        <v>5.7653999999999997E-2</v>
      </c>
      <c r="AZ90">
        <v>9.6014999999999989E-3</v>
      </c>
      <c r="BA90">
        <v>9.1024999999999995E-3</v>
      </c>
      <c r="BB90">
        <v>1.0071500000000001E-2</v>
      </c>
      <c r="BC90">
        <v>2.8775499999999999E-2</v>
      </c>
      <c r="BD90">
        <v>8.6429499999999992E-2</v>
      </c>
      <c r="BE90">
        <v>1.0327204999999999E-2</v>
      </c>
      <c r="BF90">
        <v>8.8010600099999985E-3</v>
      </c>
      <c r="BG90">
        <v>1.041556999E-2</v>
      </c>
      <c r="BH90">
        <v>2.9543834999999997E-2</v>
      </c>
      <c r="BI90" s="498">
        <v>0.115973335</v>
      </c>
      <c r="BJ90">
        <v>1.13255E-2</v>
      </c>
      <c r="BK90">
        <v>1.1278E-2</v>
      </c>
      <c r="BL90">
        <v>1.0424999999999999E-2</v>
      </c>
      <c r="BM90">
        <v>3.3028500000000002E-2</v>
      </c>
      <c r="BN90">
        <v>1.1085999999999999E-2</v>
      </c>
      <c r="BO90">
        <v>1.18785E-2</v>
      </c>
      <c r="BP90">
        <v>1.1852499999999998E-2</v>
      </c>
      <c r="BQ90">
        <v>3.4817000000000001E-2</v>
      </c>
      <c r="BR90">
        <v>6.7845500000000003E-2</v>
      </c>
      <c r="BS90">
        <v>1.2324499999999999E-2</v>
      </c>
      <c r="BT90">
        <v>1.2066E-2</v>
      </c>
      <c r="BU90">
        <v>1.1738999999999999E-2</v>
      </c>
      <c r="BV90">
        <v>3.6129500000000002E-2</v>
      </c>
      <c r="BW90">
        <v>0.103975</v>
      </c>
      <c r="BX90">
        <v>1.0946500000000001E-2</v>
      </c>
      <c r="BY90">
        <v>1.0092499999999999E-2</v>
      </c>
      <c r="BZ90">
        <v>0</v>
      </c>
      <c r="CA90">
        <v>2.1038999999999999E-2</v>
      </c>
      <c r="CB90" s="498">
        <v>0.12501400000000001</v>
      </c>
      <c r="CC90">
        <v>1.0338050009999999E-2</v>
      </c>
      <c r="CD90">
        <v>1.0518029999999999E-2</v>
      </c>
      <c r="CE90">
        <v>1.099345E-2</v>
      </c>
      <c r="CF90">
        <v>3.1849530010000002E-2</v>
      </c>
      <c r="CG90">
        <v>1.153843498E-2</v>
      </c>
      <c r="CH90">
        <v>0</v>
      </c>
      <c r="CI90">
        <v>0</v>
      </c>
      <c r="CJ90">
        <v>1.153843498E-2</v>
      </c>
      <c r="CK90">
        <v>4.338796499E-2</v>
      </c>
      <c r="CL90">
        <v>0</v>
      </c>
      <c r="CM90">
        <v>0</v>
      </c>
      <c r="CN90">
        <v>0</v>
      </c>
      <c r="CO90">
        <v>0</v>
      </c>
      <c r="CP90">
        <v>4.338796499E-2</v>
      </c>
      <c r="CQ90">
        <v>0</v>
      </c>
      <c r="CR90">
        <v>0</v>
      </c>
      <c r="CS90">
        <v>0</v>
      </c>
      <c r="CT90">
        <v>0</v>
      </c>
      <c r="CU90" s="498">
        <v>4.338796499E-2</v>
      </c>
    </row>
    <row r="91" spans="1:99">
      <c r="C91">
        <v>9</v>
      </c>
      <c r="D91" s="209" t="s">
        <v>63</v>
      </c>
      <c r="E91">
        <v>5.798065921760958E-2</v>
      </c>
      <c r="F91">
        <v>5.8183834272634939E-2</v>
      </c>
      <c r="G91">
        <v>5.850339574639965E-2</v>
      </c>
      <c r="H91">
        <v>0.17466788923664414</v>
      </c>
      <c r="I91">
        <v>4.6882063686965833E-2</v>
      </c>
      <c r="J91">
        <v>6.0717207049869021E-2</v>
      </c>
      <c r="K91">
        <v>5.4664802004280429E-2</v>
      </c>
      <c r="L91">
        <v>0.16226407274111526</v>
      </c>
      <c r="M91">
        <v>0.33693196197775943</v>
      </c>
      <c r="N91">
        <v>5.2338523813606153E-2</v>
      </c>
      <c r="O91">
        <v>6.4208430078245463E-2</v>
      </c>
      <c r="P91">
        <v>5.9080459367875329E-2</v>
      </c>
      <c r="Q91">
        <v>0.17562741325972694</v>
      </c>
      <c r="R91">
        <v>0.5125593752374864</v>
      </c>
      <c r="S91">
        <v>5.4068819197526978E-2</v>
      </c>
      <c r="T91">
        <v>4.8479432821511459E-2</v>
      </c>
      <c r="U91">
        <v>4.0301466964596584E-2</v>
      </c>
      <c r="V91">
        <v>0.14284971898363505</v>
      </c>
      <c r="W91" s="498">
        <v>0.65540909422112137</v>
      </c>
      <c r="X91">
        <v>5.1497614000000004E-2</v>
      </c>
      <c r="Y91">
        <v>5.0997107019999995E-2</v>
      </c>
      <c r="Z91">
        <v>5.0740907000000002E-2</v>
      </c>
      <c r="AA91">
        <v>0.15323562802000001</v>
      </c>
      <c r="AB91">
        <v>5.0815793009999999E-2</v>
      </c>
      <c r="AC91">
        <v>4.9930993030000002E-2</v>
      </c>
      <c r="AD91">
        <v>4.5971106990000003E-2</v>
      </c>
      <c r="AE91">
        <v>0.14671789302999999</v>
      </c>
      <c r="AF91">
        <v>0.29995352105</v>
      </c>
      <c r="AG91">
        <v>6.7616472029999999E-2</v>
      </c>
      <c r="AH91">
        <v>6.4365720999999987E-2</v>
      </c>
      <c r="AI91">
        <v>6.574329302000001E-2</v>
      </c>
      <c r="AJ91">
        <v>0.19772548605000001</v>
      </c>
      <c r="AK91">
        <v>0.49767900710000001</v>
      </c>
      <c r="AL91">
        <v>5.1807686040000002E-2</v>
      </c>
      <c r="AM91">
        <v>6.2696199920000001E-2</v>
      </c>
      <c r="AN91">
        <v>4.897550698E-2</v>
      </c>
      <c r="AO91">
        <v>0.16347939294</v>
      </c>
      <c r="AP91" s="498">
        <v>0.66115840003999993</v>
      </c>
      <c r="AQ91">
        <v>7.9455235999999999E-2</v>
      </c>
      <c r="AR91">
        <v>7.1325799999999995E-2</v>
      </c>
      <c r="AS91">
        <v>7.7619500000000008E-2</v>
      </c>
      <c r="AT91">
        <v>0.22840053599999999</v>
      </c>
      <c r="AU91">
        <v>7.7322699999999994E-2</v>
      </c>
      <c r="AV91">
        <v>7.4218900000000004E-2</v>
      </c>
      <c r="AW91">
        <v>7.3579800000000015E-2</v>
      </c>
      <c r="AX91">
        <v>0.22512140000000003</v>
      </c>
      <c r="AY91">
        <v>0.45352193600000001</v>
      </c>
      <c r="AZ91">
        <v>6.8374599999999994E-2</v>
      </c>
      <c r="BA91">
        <v>6.2999299999999994E-2</v>
      </c>
      <c r="BB91">
        <v>5.5388899999999998E-2</v>
      </c>
      <c r="BC91">
        <v>0.18676280000000003</v>
      </c>
      <c r="BD91">
        <v>0.64028473600000002</v>
      </c>
      <c r="BE91">
        <v>6.9922735999999999E-2</v>
      </c>
      <c r="BF91">
        <v>5.7558206980000005E-2</v>
      </c>
      <c r="BG91">
        <v>6.0946213980000004E-2</v>
      </c>
      <c r="BH91">
        <v>0.18842715696000004</v>
      </c>
      <c r="BI91" s="498">
        <v>0.82871189296000003</v>
      </c>
      <c r="BJ91">
        <v>7.1078700000000009E-2</v>
      </c>
      <c r="BK91">
        <v>5.8013199999999994E-2</v>
      </c>
      <c r="BL91">
        <v>4.6855899999999999E-2</v>
      </c>
      <c r="BM91">
        <v>0.17594779999999999</v>
      </c>
      <c r="BN91">
        <v>6.9864199999999987E-2</v>
      </c>
      <c r="BO91">
        <v>6.9851600000000014E-2</v>
      </c>
      <c r="BP91">
        <v>6.6417400000000001E-2</v>
      </c>
      <c r="BQ91">
        <v>0.20613319999999999</v>
      </c>
      <c r="BR91">
        <v>0.382081</v>
      </c>
      <c r="BS91">
        <v>6.0308500000000001E-2</v>
      </c>
      <c r="BT91">
        <v>5.3015199999999998E-2</v>
      </c>
      <c r="BU91">
        <v>6.6023300000000007E-2</v>
      </c>
      <c r="BV91">
        <v>0.17934699999999998</v>
      </c>
      <c r="BW91">
        <v>0.56142799999999993</v>
      </c>
      <c r="BX91">
        <v>6.4934800000000001E-2</v>
      </c>
      <c r="BY91">
        <v>4.2434699999999999E-2</v>
      </c>
      <c r="BZ91">
        <v>0</v>
      </c>
      <c r="CA91">
        <v>0.10736949999999999</v>
      </c>
      <c r="CB91" s="498">
        <v>0.66879750000000004</v>
      </c>
      <c r="CC91">
        <v>5.2073700040000004E-2</v>
      </c>
      <c r="CD91">
        <v>6.3960379040000001E-2</v>
      </c>
      <c r="CE91">
        <v>6.063680699E-2</v>
      </c>
      <c r="CF91">
        <v>0.17667088607</v>
      </c>
      <c r="CG91">
        <v>6.0400907010000005E-2</v>
      </c>
      <c r="CH91">
        <v>0</v>
      </c>
      <c r="CI91">
        <v>0</v>
      </c>
      <c r="CJ91">
        <v>6.0400907010000005E-2</v>
      </c>
      <c r="CK91">
        <v>0.23707179308000004</v>
      </c>
      <c r="CL91">
        <v>0</v>
      </c>
      <c r="CM91">
        <v>0</v>
      </c>
      <c r="CN91">
        <v>0</v>
      </c>
      <c r="CO91">
        <v>0</v>
      </c>
      <c r="CP91">
        <v>0.23707179308000004</v>
      </c>
      <c r="CQ91">
        <v>0</v>
      </c>
      <c r="CR91">
        <v>0</v>
      </c>
      <c r="CS91">
        <v>0</v>
      </c>
      <c r="CT91">
        <v>0</v>
      </c>
      <c r="CU91" s="498">
        <v>0.23707179308000004</v>
      </c>
    </row>
    <row r="92" spans="1:99">
      <c r="C92">
        <v>10</v>
      </c>
      <c r="D92" s="209" t="s">
        <v>64</v>
      </c>
      <c r="E92">
        <v>6.5268932300000006E-3</v>
      </c>
      <c r="F92">
        <v>6.7246252756410253E-3</v>
      </c>
      <c r="G92">
        <v>6.0841985656410252E-3</v>
      </c>
      <c r="H92">
        <v>1.9335717071282052E-2</v>
      </c>
      <c r="I92">
        <v>6.3351018753846156E-3</v>
      </c>
      <c r="J92">
        <v>6.4593664187179486E-3</v>
      </c>
      <c r="K92">
        <v>4.5862184020512824E-3</v>
      </c>
      <c r="L92">
        <v>1.7380686696153846E-2</v>
      </c>
      <c r="M92">
        <v>3.6716403767435901E-2</v>
      </c>
      <c r="N92">
        <v>4.7632849733333336E-3</v>
      </c>
      <c r="O92">
        <v>5.722547772051282E-3</v>
      </c>
      <c r="P92">
        <v>5.0355201148717952E-3</v>
      </c>
      <c r="Q92">
        <v>1.552135286025641E-2</v>
      </c>
      <c r="R92">
        <v>5.2237756627692311E-2</v>
      </c>
      <c r="S92">
        <v>4.9442989058974349E-3</v>
      </c>
      <c r="T92">
        <v>3.6863893958974355E-3</v>
      </c>
      <c r="U92">
        <v>3.7920894479487178E-3</v>
      </c>
      <c r="V92">
        <v>1.242277774974359E-2</v>
      </c>
      <c r="W92" s="498">
        <v>6.4660534377435908E-2</v>
      </c>
      <c r="X92">
        <v>5.3930015600000001E-3</v>
      </c>
      <c r="Y92">
        <v>5.3885341500000006E-3</v>
      </c>
      <c r="Z92">
        <v>5.1835660800000002E-3</v>
      </c>
      <c r="AA92">
        <v>1.5965101790000002E-2</v>
      </c>
      <c r="AB92">
        <v>5.4203367899999999E-3</v>
      </c>
      <c r="AC92">
        <v>5.44088226E-3</v>
      </c>
      <c r="AD92">
        <v>5.2065911900000001E-3</v>
      </c>
      <c r="AE92">
        <v>1.6067810240000001E-2</v>
      </c>
      <c r="AF92">
        <v>3.2032912029999999E-2</v>
      </c>
      <c r="AG92">
        <v>5.3059846199999998E-3</v>
      </c>
      <c r="AH92">
        <v>5.2597924499999992E-3</v>
      </c>
      <c r="AI92">
        <v>5.2988900900000002E-3</v>
      </c>
      <c r="AJ92">
        <v>1.5864667159999998E-2</v>
      </c>
      <c r="AK92">
        <v>4.7897579190000004E-2</v>
      </c>
      <c r="AL92">
        <v>5.3975517100000002E-3</v>
      </c>
      <c r="AM92">
        <v>5.1739898000000006E-3</v>
      </c>
      <c r="AN92">
        <v>5.4666479800000002E-3</v>
      </c>
      <c r="AO92">
        <v>1.603818949E-2</v>
      </c>
      <c r="AP92" s="498">
        <v>6.3935768680000005E-2</v>
      </c>
      <c r="AQ92">
        <v>5.1552109999999998E-3</v>
      </c>
      <c r="AR92">
        <v>5.0162140000000006E-3</v>
      </c>
      <c r="AS92">
        <v>4.8039910000000005E-3</v>
      </c>
      <c r="AT92">
        <v>1.4975416E-2</v>
      </c>
      <c r="AU92">
        <v>5.0236190000000009E-3</v>
      </c>
      <c r="AV92">
        <v>4.7121280000000003E-3</v>
      </c>
      <c r="AW92">
        <v>4.8018620000000005E-3</v>
      </c>
      <c r="AX92">
        <v>1.4537609000000002E-2</v>
      </c>
      <c r="AY92">
        <v>2.9513024999999998E-2</v>
      </c>
      <c r="AZ92">
        <v>4.6991770000000006E-3</v>
      </c>
      <c r="BA92">
        <v>4.4339890000000002E-3</v>
      </c>
      <c r="BB92">
        <v>4.6732050000000006E-3</v>
      </c>
      <c r="BC92">
        <v>1.3806371E-2</v>
      </c>
      <c r="BD92">
        <v>4.3319395999999996E-2</v>
      </c>
      <c r="BE92">
        <v>4.8034932200000007E-3</v>
      </c>
      <c r="BF92">
        <v>4.2795947699999998E-3</v>
      </c>
      <c r="BG92">
        <v>4.623124489945638E-3</v>
      </c>
      <c r="BH92">
        <v>1.3706212479945638E-2</v>
      </c>
      <c r="BI92" s="498">
        <v>5.702560847994563E-2</v>
      </c>
      <c r="BJ92">
        <v>4.4291590000000002E-3</v>
      </c>
      <c r="BK92">
        <v>4.6602599999999994E-3</v>
      </c>
      <c r="BL92">
        <v>4.2780950000000009E-3</v>
      </c>
      <c r="BM92">
        <v>1.3367514E-2</v>
      </c>
      <c r="BN92">
        <v>4.7296150000000004E-3</v>
      </c>
      <c r="BO92">
        <v>4.7906960000000005E-3</v>
      </c>
      <c r="BP92">
        <v>4.4967570000000005E-3</v>
      </c>
      <c r="BQ92">
        <v>1.4017068000000001E-2</v>
      </c>
      <c r="BR92">
        <v>2.7384581999999998E-2</v>
      </c>
      <c r="BS92">
        <v>4.4623419999999994E-3</v>
      </c>
      <c r="BT92">
        <v>4.6589470000000001E-3</v>
      </c>
      <c r="BU92">
        <v>4.3051809999999999E-3</v>
      </c>
      <c r="BV92">
        <v>1.3426469999999999E-2</v>
      </c>
      <c r="BW92">
        <v>4.0811051999999994E-2</v>
      </c>
      <c r="BX92">
        <v>1.5128670000000002E-3</v>
      </c>
      <c r="BY92">
        <v>4.0522329999999997E-3</v>
      </c>
      <c r="BZ92">
        <v>0</v>
      </c>
      <c r="CA92">
        <v>5.5650999999999999E-3</v>
      </c>
      <c r="CB92" s="498">
        <v>4.6376151999999997E-2</v>
      </c>
      <c r="CC92">
        <v>4.3822438200000003E-3</v>
      </c>
      <c r="CD92">
        <v>4.4619266899999996E-3</v>
      </c>
      <c r="CE92">
        <v>4.3181413399999997E-3</v>
      </c>
      <c r="CF92">
        <v>1.3162311849999999E-2</v>
      </c>
      <c r="CG92">
        <v>4.4661695299999995E-3</v>
      </c>
      <c r="CH92">
        <v>0</v>
      </c>
      <c r="CI92">
        <v>0</v>
      </c>
      <c r="CJ92">
        <v>4.4661695299999995E-3</v>
      </c>
      <c r="CK92">
        <v>1.7628481379999998E-2</v>
      </c>
      <c r="CL92">
        <v>0</v>
      </c>
      <c r="CM92">
        <v>0</v>
      </c>
      <c r="CN92">
        <v>0</v>
      </c>
      <c r="CO92">
        <v>0</v>
      </c>
      <c r="CP92">
        <v>1.7628481379999998E-2</v>
      </c>
      <c r="CQ92">
        <v>0</v>
      </c>
      <c r="CR92">
        <v>0</v>
      </c>
      <c r="CS92">
        <v>0</v>
      </c>
      <c r="CT92">
        <v>0</v>
      </c>
      <c r="CU92" s="498">
        <v>1.7628481379999998E-2</v>
      </c>
    </row>
    <row r="93" spans="1:99">
      <c r="C93">
        <v>11</v>
      </c>
      <c r="D93" s="209" t="s">
        <v>65</v>
      </c>
      <c r="E93">
        <v>4.8442836566210045E-3</v>
      </c>
      <c r="F93">
        <v>4.6089583732115691E-3</v>
      </c>
      <c r="G93">
        <v>4.2313095500761035E-3</v>
      </c>
      <c r="H93">
        <v>1.3684551579908676E-2</v>
      </c>
      <c r="I93">
        <v>4.5243550313546427E-3</v>
      </c>
      <c r="J93">
        <v>5.0437152834094364E-3</v>
      </c>
      <c r="K93">
        <v>5.1657197150684932E-3</v>
      </c>
      <c r="L93">
        <v>1.4733790029832572E-2</v>
      </c>
      <c r="M93">
        <v>2.8418341609741247E-2</v>
      </c>
      <c r="N93">
        <v>4.5012767646879755E-3</v>
      </c>
      <c r="O93">
        <v>5.0816145205479449E-3</v>
      </c>
      <c r="P93">
        <v>5.5245652024353119E-3</v>
      </c>
      <c r="Q93">
        <v>1.5107456487671235E-2</v>
      </c>
      <c r="R93">
        <v>4.3525798097412478E-2</v>
      </c>
      <c r="S93">
        <v>5.8034507366818873E-3</v>
      </c>
      <c r="T93">
        <v>5.139481387519026E-3</v>
      </c>
      <c r="U93">
        <v>6.5731071610350073E-3</v>
      </c>
      <c r="V93">
        <v>1.7516039285235919E-2</v>
      </c>
      <c r="W93" s="498">
        <v>6.1041837382648401E-2</v>
      </c>
      <c r="X93">
        <v>6.7506400099999996E-3</v>
      </c>
      <c r="Y93">
        <v>7.3100947999999999E-3</v>
      </c>
      <c r="Z93">
        <v>6.8855160099999995E-3</v>
      </c>
      <c r="AA93">
        <v>2.0946250820000002E-2</v>
      </c>
      <c r="AB93">
        <v>7.6268183899999998E-3</v>
      </c>
      <c r="AC93">
        <v>7.4124732100000002E-3</v>
      </c>
      <c r="AD93">
        <v>6.4793860200000001E-3</v>
      </c>
      <c r="AE93">
        <v>2.1518677620000003E-2</v>
      </c>
      <c r="AF93">
        <v>4.2464928440000008E-2</v>
      </c>
      <c r="AG93">
        <v>6.8905820000000001E-3</v>
      </c>
      <c r="AH93">
        <v>8.0225364200000003E-3</v>
      </c>
      <c r="AI93">
        <v>7.5321768100000009E-3</v>
      </c>
      <c r="AJ93">
        <v>2.2445295229999999E-2</v>
      </c>
      <c r="AK93">
        <v>6.4910223670000003E-2</v>
      </c>
      <c r="AL93">
        <v>7.7949703999999993E-3</v>
      </c>
      <c r="AM93">
        <v>7.1849991899999993E-3</v>
      </c>
      <c r="AN93">
        <v>8.4316332300000008E-3</v>
      </c>
      <c r="AO93">
        <v>2.3411602819999999E-2</v>
      </c>
      <c r="AP93" s="498">
        <v>8.8321826490000005E-2</v>
      </c>
      <c r="AQ93">
        <v>8.1107260000000004E-3</v>
      </c>
      <c r="AR93">
        <v>9.0795370000000004E-3</v>
      </c>
      <c r="AS93">
        <v>8.1841450000000003E-3</v>
      </c>
      <c r="AT93">
        <v>2.5374408000000001E-2</v>
      </c>
      <c r="AU93">
        <v>9.2846890000000005E-3</v>
      </c>
      <c r="AV93">
        <v>9.1557619999999996E-3</v>
      </c>
      <c r="AW93">
        <v>8.8716939999999994E-3</v>
      </c>
      <c r="AX93">
        <v>2.7312145000000003E-2</v>
      </c>
      <c r="AY93">
        <v>5.2686552999999997E-2</v>
      </c>
      <c r="AZ93">
        <v>1.0268077E-2</v>
      </c>
      <c r="BA93">
        <v>9.5797119999999989E-3</v>
      </c>
      <c r="BB93">
        <v>9.7476480000000011E-3</v>
      </c>
      <c r="BC93">
        <v>2.9595436999999999E-2</v>
      </c>
      <c r="BD93">
        <v>8.2281989999999999E-2</v>
      </c>
      <c r="BE93">
        <v>9.5134060200000002E-3</v>
      </c>
      <c r="BF93">
        <v>8.7070640200000004E-3</v>
      </c>
      <c r="BG93">
        <v>8.899165965441453E-3</v>
      </c>
      <c r="BH93">
        <v>2.7119636005441448E-2</v>
      </c>
      <c r="BI93" s="498">
        <v>0.10940162600544145</v>
      </c>
      <c r="BJ93">
        <v>9.5301120000000003E-3</v>
      </c>
      <c r="BK93">
        <v>9.5109419999999979E-3</v>
      </c>
      <c r="BL93">
        <v>9.3313600000000003E-3</v>
      </c>
      <c r="BM93">
        <v>2.8372414000000002E-2</v>
      </c>
      <c r="BN93">
        <v>1.0249892E-2</v>
      </c>
      <c r="BO93">
        <v>1.0715647999999999E-2</v>
      </c>
      <c r="BP93">
        <v>9.9757409999999998E-3</v>
      </c>
      <c r="BQ93">
        <v>3.0941280999999994E-2</v>
      </c>
      <c r="BR93">
        <v>5.9313695E-2</v>
      </c>
      <c r="BS93">
        <v>9.9543259999999995E-3</v>
      </c>
      <c r="BT93">
        <v>9.9815749999999977E-3</v>
      </c>
      <c r="BU93">
        <v>1.0656627000000002E-2</v>
      </c>
      <c r="BV93">
        <v>3.0592528000000001E-2</v>
      </c>
      <c r="BW93">
        <v>8.9906222999999993E-2</v>
      </c>
      <c r="BX93">
        <v>4.4142539999999994E-3</v>
      </c>
      <c r="BY93">
        <v>4.6687439999999998E-3</v>
      </c>
      <c r="BZ93">
        <v>0</v>
      </c>
      <c r="CA93">
        <v>9.0829980000000001E-3</v>
      </c>
      <c r="CB93" s="498">
        <v>9.8989221000000002E-2</v>
      </c>
      <c r="CC93">
        <v>9.03466801E-3</v>
      </c>
      <c r="CD93">
        <v>1.131469039E-2</v>
      </c>
      <c r="CE93">
        <v>1.1346039980000002E-2</v>
      </c>
      <c r="CF93">
        <v>3.1695398380000003E-2</v>
      </c>
      <c r="CG93">
        <v>1.193943601E-2</v>
      </c>
      <c r="CH93">
        <v>0</v>
      </c>
      <c r="CI93">
        <v>0</v>
      </c>
      <c r="CJ93">
        <v>1.193943601E-2</v>
      </c>
      <c r="CK93">
        <v>4.3634834390000009E-2</v>
      </c>
      <c r="CL93">
        <v>0</v>
      </c>
      <c r="CM93">
        <v>0</v>
      </c>
      <c r="CN93">
        <v>0</v>
      </c>
      <c r="CO93">
        <v>0</v>
      </c>
      <c r="CP93">
        <v>4.3634834390000009E-2</v>
      </c>
      <c r="CQ93">
        <v>0</v>
      </c>
      <c r="CR93">
        <v>0</v>
      </c>
      <c r="CS93">
        <v>0</v>
      </c>
      <c r="CT93">
        <v>0</v>
      </c>
      <c r="CU93" s="498">
        <v>4.3634834390000009E-2</v>
      </c>
    </row>
    <row r="94" spans="1:99">
      <c r="C94">
        <v>12</v>
      </c>
      <c r="D94" s="209" t="s">
        <v>66</v>
      </c>
      <c r="E94">
        <v>6.4526530183727032E-2</v>
      </c>
      <c r="F94">
        <v>6.5926960629921261E-2</v>
      </c>
      <c r="G94">
        <v>5.8488236220472438E-2</v>
      </c>
      <c r="H94">
        <v>0.18894172703412074</v>
      </c>
      <c r="I94">
        <v>6.2058603674540684E-2</v>
      </c>
      <c r="J94">
        <v>6.5567690288713912E-2</v>
      </c>
      <c r="K94">
        <v>6.649952230971129E-2</v>
      </c>
      <c r="L94">
        <v>0.19412581627296591</v>
      </c>
      <c r="M94">
        <v>0.38306754330708664</v>
      </c>
      <c r="N94">
        <v>6.6406999999999994E-2</v>
      </c>
      <c r="O94">
        <v>6.1812488188976375E-2</v>
      </c>
      <c r="P94">
        <v>6.2017643044619424E-2</v>
      </c>
      <c r="Q94">
        <v>0.19023713123359581</v>
      </c>
      <c r="R94">
        <v>0.57330467454068246</v>
      </c>
      <c r="S94">
        <v>6.7868619422572191E-2</v>
      </c>
      <c r="T94">
        <v>4.7007774278215224E-2</v>
      </c>
      <c r="U94">
        <v>5.4514682414698167E-2</v>
      </c>
      <c r="V94">
        <v>0.16939107611548557</v>
      </c>
      <c r="W94" s="498">
        <v>0.742695750656168</v>
      </c>
      <c r="X94">
        <v>6.0050918799999999E-2</v>
      </c>
      <c r="Y94">
        <v>5.7082400009999999E-2</v>
      </c>
      <c r="Z94">
        <v>5.5181879999999996E-2</v>
      </c>
      <c r="AA94">
        <v>0.17231519881000001</v>
      </c>
      <c r="AB94">
        <v>5.7801679979999999E-2</v>
      </c>
      <c r="AC94">
        <v>5.7690279990000003E-2</v>
      </c>
      <c r="AD94">
        <v>5.6992640010000005E-2</v>
      </c>
      <c r="AE94">
        <v>0.17248459997999999</v>
      </c>
      <c r="AF94">
        <v>0.34479979879000006</v>
      </c>
      <c r="AG94">
        <v>6.2248079970000002E-2</v>
      </c>
      <c r="AH94">
        <v>6.0671480010000001E-2</v>
      </c>
      <c r="AI94">
        <v>6.3061119999999998E-2</v>
      </c>
      <c r="AJ94">
        <v>0.18598067997999998</v>
      </c>
      <c r="AK94">
        <v>0.53078047877000001</v>
      </c>
      <c r="AL94">
        <v>6.4892902789999998E-2</v>
      </c>
      <c r="AM94">
        <v>6.0482119980000006E-2</v>
      </c>
      <c r="AN94">
        <v>6.74363516E-2</v>
      </c>
      <c r="AO94">
        <v>0.19281137437000001</v>
      </c>
      <c r="AP94" s="498">
        <v>0.72359185314000007</v>
      </c>
      <c r="AQ94">
        <v>6.3507599999999997E-2</v>
      </c>
      <c r="AR94">
        <v>3.6318040000000003E-2</v>
      </c>
      <c r="AS94">
        <v>6.4485627000000004E-2</v>
      </c>
      <c r="AT94">
        <v>0.16431126699999998</v>
      </c>
      <c r="AU94">
        <v>6.7525890000000005E-2</v>
      </c>
      <c r="AV94">
        <v>6.8755639999999993E-2</v>
      </c>
      <c r="AW94">
        <v>6.6407519999999998E-2</v>
      </c>
      <c r="AX94">
        <v>0.20268904999999998</v>
      </c>
      <c r="AY94">
        <v>0.36700031699999996</v>
      </c>
      <c r="AZ94">
        <v>6.6932289000000006E-2</v>
      </c>
      <c r="BA94">
        <v>6.5449199999999999E-2</v>
      </c>
      <c r="BB94">
        <v>6.9953520000000005E-2</v>
      </c>
      <c r="BC94">
        <v>0.20233500900000001</v>
      </c>
      <c r="BD94">
        <v>0.56933532600000003</v>
      </c>
      <c r="BE94">
        <v>6.6751632545931763E-2</v>
      </c>
      <c r="BF94">
        <v>6.0616120000000002E-2</v>
      </c>
      <c r="BG94">
        <v>6.3301840030000001E-2</v>
      </c>
      <c r="BH94">
        <v>0.19066959257593175</v>
      </c>
      <c r="BI94" s="498">
        <v>0.76000491857593178</v>
      </c>
      <c r="BJ94">
        <v>5.0724183999999999E-2</v>
      </c>
      <c r="BK94">
        <v>6.7077679999999987E-2</v>
      </c>
      <c r="BL94">
        <v>6.708660000000001E-2</v>
      </c>
      <c r="BM94">
        <v>0.184888464</v>
      </c>
      <c r="BN94">
        <v>6.8827895E-2</v>
      </c>
      <c r="BO94">
        <v>7.0597223000000001E-2</v>
      </c>
      <c r="BP94">
        <v>6.707378E-2</v>
      </c>
      <c r="BQ94">
        <v>0.20649889800000001</v>
      </c>
      <c r="BR94">
        <v>0.39138736200000002</v>
      </c>
      <c r="BS94">
        <v>6.922876E-2</v>
      </c>
      <c r="BT94">
        <v>6.7344039999999994E-2</v>
      </c>
      <c r="BU94">
        <v>6.5445852999999998E-2</v>
      </c>
      <c r="BV94">
        <v>0.20201865299999999</v>
      </c>
      <c r="BW94">
        <v>0.59340601500000001</v>
      </c>
      <c r="BX94">
        <v>7.2554388000000011E-2</v>
      </c>
      <c r="BY94">
        <v>6.5134629999999999E-2</v>
      </c>
      <c r="BZ94">
        <v>0</v>
      </c>
      <c r="CA94">
        <v>0.13768901800000002</v>
      </c>
      <c r="CB94" s="498">
        <v>0.73109503300000001</v>
      </c>
      <c r="CC94">
        <v>3.7880162729999993E-2</v>
      </c>
      <c r="CD94">
        <v>4.3939039980000004E-2</v>
      </c>
      <c r="CE94">
        <v>6.7232908140000006E-2</v>
      </c>
      <c r="CF94">
        <v>0.14905211085</v>
      </c>
      <c r="CG94">
        <v>5.373759056E-2</v>
      </c>
      <c r="CH94">
        <v>0</v>
      </c>
      <c r="CI94">
        <v>0</v>
      </c>
      <c r="CJ94">
        <v>5.373759056E-2</v>
      </c>
      <c r="CK94">
        <v>0.20278970140999997</v>
      </c>
      <c r="CL94">
        <v>0</v>
      </c>
      <c r="CM94">
        <v>0</v>
      </c>
      <c r="CN94">
        <v>0</v>
      </c>
      <c r="CO94">
        <v>0</v>
      </c>
      <c r="CP94">
        <v>0.20278970140999997</v>
      </c>
      <c r="CQ94">
        <v>0</v>
      </c>
      <c r="CR94">
        <v>0</v>
      </c>
      <c r="CS94">
        <v>0</v>
      </c>
      <c r="CT94">
        <v>0</v>
      </c>
      <c r="CU94" s="498">
        <v>0.20278970140999997</v>
      </c>
    </row>
    <row r="95" spans="1:99">
      <c r="C95">
        <v>13</v>
      </c>
      <c r="D95" s="209" t="s">
        <v>67</v>
      </c>
      <c r="E95">
        <v>3.8494691780821925E-2</v>
      </c>
      <c r="F95">
        <v>4.1621678082191783E-2</v>
      </c>
      <c r="G95">
        <v>4.1544931506849327E-2</v>
      </c>
      <c r="H95">
        <v>0.12166130136986304</v>
      </c>
      <c r="I95">
        <v>4.9191815068493162E-2</v>
      </c>
      <c r="J95">
        <v>4.8596643835616446E-2</v>
      </c>
      <c r="K95">
        <v>4.5631404109589047E-2</v>
      </c>
      <c r="L95">
        <v>0.14341986301369866</v>
      </c>
      <c r="M95">
        <v>0.26508116438356172</v>
      </c>
      <c r="N95">
        <v>3.6333561643835624E-2</v>
      </c>
      <c r="O95">
        <v>2.8112945205479457E-2</v>
      </c>
      <c r="P95">
        <v>2.8037020547945209E-2</v>
      </c>
      <c r="Q95">
        <v>9.248352739726029E-2</v>
      </c>
      <c r="R95">
        <v>0.35756469178082201</v>
      </c>
      <c r="S95">
        <v>2.7107602739726028E-2</v>
      </c>
      <c r="T95">
        <v>3.0610136986301401E-2</v>
      </c>
      <c r="U95">
        <v>4.2129554794520588E-2</v>
      </c>
      <c r="V95">
        <v>9.9847294520548024E-2</v>
      </c>
      <c r="W95" s="498">
        <v>0.45741198630137003</v>
      </c>
      <c r="X95">
        <v>4.1242191729999995E-2</v>
      </c>
      <c r="Y95">
        <v>4.4965999999999999E-2</v>
      </c>
      <c r="Z95">
        <v>4.6130798010000001E-2</v>
      </c>
      <c r="AA95">
        <v>0.13233898974</v>
      </c>
      <c r="AB95">
        <v>4.7168630259999997E-2</v>
      </c>
      <c r="AC95">
        <v>4.6658184759999999E-2</v>
      </c>
      <c r="AD95">
        <v>4.7177876739999999E-2</v>
      </c>
      <c r="AE95">
        <v>0.14100469175999999</v>
      </c>
      <c r="AF95">
        <v>0.27334368149999994</v>
      </c>
      <c r="AG95">
        <v>5.1889691760000002E-2</v>
      </c>
      <c r="AH95">
        <v>4.9782730009999998E-2</v>
      </c>
      <c r="AI95">
        <v>5.0684087740000001E-2</v>
      </c>
      <c r="AJ95">
        <v>0.15235650951000002</v>
      </c>
      <c r="AK95">
        <v>0.42570019100999995</v>
      </c>
      <c r="AL95">
        <v>5.3196949280000003E-2</v>
      </c>
      <c r="AM95">
        <v>5.0821108010000005E-2</v>
      </c>
      <c r="AN95">
        <v>5.2486173980000002E-2</v>
      </c>
      <c r="AO95">
        <v>0.15650423126999999</v>
      </c>
      <c r="AP95" s="498">
        <v>0.58220442227999991</v>
      </c>
      <c r="AQ95">
        <v>5.2864010000000003E-2</v>
      </c>
      <c r="AR95">
        <v>5.6751000000000003E-2</v>
      </c>
      <c r="AS95">
        <v>5.1313320000000003E-2</v>
      </c>
      <c r="AT95">
        <v>0.16092833000000001</v>
      </c>
      <c r="AU95">
        <v>5.4482118999999996E-2</v>
      </c>
      <c r="AV95">
        <v>5.2736745000000002E-2</v>
      </c>
      <c r="AW95">
        <v>4.9770307999999999E-2</v>
      </c>
      <c r="AX95">
        <v>0.15698917199999998</v>
      </c>
      <c r="AY95">
        <v>0.31791750199999996</v>
      </c>
      <c r="AZ95">
        <v>5.1240324999999996E-2</v>
      </c>
      <c r="BA95">
        <v>5.1054964999999994E-2</v>
      </c>
      <c r="BB95">
        <v>5.3704008000000004E-2</v>
      </c>
      <c r="BC95">
        <v>0.15599929800000001</v>
      </c>
      <c r="BD95">
        <v>0.47391679999999997</v>
      </c>
      <c r="BE95">
        <v>5.4974040000000002E-2</v>
      </c>
      <c r="BF95">
        <v>4.750733E-2</v>
      </c>
      <c r="BG95">
        <v>5.3582518009999996E-2</v>
      </c>
      <c r="BH95">
        <v>0.15606388800999998</v>
      </c>
      <c r="BI95" s="498">
        <v>0.62998068800999996</v>
      </c>
      <c r="BJ95">
        <v>5.0284275000000003E-2</v>
      </c>
      <c r="BK95">
        <v>5.5401892999999994E-2</v>
      </c>
      <c r="BL95">
        <v>5.2113218999999995E-2</v>
      </c>
      <c r="BM95">
        <v>0.15779938699999999</v>
      </c>
      <c r="BN95">
        <v>5.1624623000000001E-2</v>
      </c>
      <c r="BO95">
        <v>5.1364211999999999E-2</v>
      </c>
      <c r="BP95">
        <v>4.7481199000000002E-2</v>
      </c>
      <c r="BQ95">
        <v>0.15047003399999997</v>
      </c>
      <c r="BR95">
        <v>0.30826942099999999</v>
      </c>
      <c r="BS95">
        <v>5.2523798000000003E-2</v>
      </c>
      <c r="BT95">
        <v>4.0869071999999999E-2</v>
      </c>
      <c r="BU95">
        <v>1.2963729E-2</v>
      </c>
      <c r="BV95">
        <v>0.10635659899999998</v>
      </c>
      <c r="BW95">
        <v>0.41462601999999998</v>
      </c>
      <c r="BX95">
        <v>5.4306781000000005E-2</v>
      </c>
      <c r="BY95">
        <v>5.0379692000000004E-2</v>
      </c>
      <c r="BZ95">
        <v>0</v>
      </c>
      <c r="CA95">
        <v>0.104686473</v>
      </c>
      <c r="CB95" s="498">
        <v>0.51931249299999993</v>
      </c>
      <c r="CC95">
        <v>5.5202705499999997E-2</v>
      </c>
      <c r="CD95">
        <v>5.6746643770000001E-2</v>
      </c>
      <c r="CE95">
        <v>5.2356369749999999E-2</v>
      </c>
      <c r="CF95">
        <v>0.16430571902000002</v>
      </c>
      <c r="CG95">
        <v>5.9382431499999999E-2</v>
      </c>
      <c r="CH95">
        <v>0</v>
      </c>
      <c r="CI95">
        <v>0</v>
      </c>
      <c r="CJ95">
        <v>5.9382431499999999E-2</v>
      </c>
      <c r="CK95">
        <v>0.22368815052000002</v>
      </c>
      <c r="CL95">
        <v>0</v>
      </c>
      <c r="CM95">
        <v>0</v>
      </c>
      <c r="CN95">
        <v>0</v>
      </c>
      <c r="CO95">
        <v>0</v>
      </c>
      <c r="CP95">
        <v>0.22368815052000002</v>
      </c>
      <c r="CQ95">
        <v>0</v>
      </c>
      <c r="CR95">
        <v>0</v>
      </c>
      <c r="CS95">
        <v>0</v>
      </c>
      <c r="CT95">
        <v>0</v>
      </c>
      <c r="CU95" s="498">
        <v>0.22368815052000002</v>
      </c>
    </row>
    <row r="96" spans="1:99">
      <c r="C96">
        <v>14</v>
      </c>
      <c r="D96" s="209" t="s">
        <v>68</v>
      </c>
      <c r="E96">
        <v>4.5855948529411761E-3</v>
      </c>
      <c r="F96">
        <v>1.0507750183823529E-2</v>
      </c>
      <c r="G96">
        <v>6.7456693014705882E-3</v>
      </c>
      <c r="H96">
        <v>2.1839014338235294E-2</v>
      </c>
      <c r="I96">
        <v>8.7275380514705882E-3</v>
      </c>
      <c r="J96">
        <v>8.0708768382352948E-3</v>
      </c>
      <c r="K96">
        <v>3.0287873161764707E-3</v>
      </c>
      <c r="L96">
        <v>1.9827202205882351E-2</v>
      </c>
      <c r="M96">
        <v>4.1666216544117646E-2</v>
      </c>
      <c r="N96">
        <v>5.9678824944852937E-3</v>
      </c>
      <c r="O96">
        <v>5.5374680147058826E-3</v>
      </c>
      <c r="P96">
        <v>7.9307389705882364E-4</v>
      </c>
      <c r="Q96">
        <v>1.2298424406249999E-2</v>
      </c>
      <c r="R96">
        <v>5.3964640950367647E-2</v>
      </c>
      <c r="S96">
        <v>1.0565330882352941E-4</v>
      </c>
      <c r="T96">
        <v>0</v>
      </c>
      <c r="U96">
        <v>3.6294288602941177E-3</v>
      </c>
      <c r="V96">
        <v>3.7350821691176472E-3</v>
      </c>
      <c r="W96" s="498">
        <v>5.7699723119485291E-2</v>
      </c>
      <c r="X96">
        <v>7.2092665100000003E-3</v>
      </c>
      <c r="Y96">
        <v>9.5835066700000002E-3</v>
      </c>
      <c r="Z96">
        <v>7.0218152600000005E-3</v>
      </c>
      <c r="AA96">
        <v>2.3814588439999999E-2</v>
      </c>
      <c r="AB96">
        <v>7.9371635900000008E-3</v>
      </c>
      <c r="AC96">
        <v>4.2278869499999998E-3</v>
      </c>
      <c r="AD96">
        <v>9.0187616500000001E-3</v>
      </c>
      <c r="AE96">
        <v>2.1183812190000002E-2</v>
      </c>
      <c r="AF96">
        <v>4.4998400630000004E-2</v>
      </c>
      <c r="AG96">
        <v>5.6392187500000001E-3</v>
      </c>
      <c r="AH96">
        <v>5.8621337599999998E-3</v>
      </c>
      <c r="AI96">
        <v>3.8083725000000001E-3</v>
      </c>
      <c r="AJ96">
        <v>1.5309725010000001E-2</v>
      </c>
      <c r="AK96">
        <v>6.0308125640000008E-2</v>
      </c>
      <c r="AL96">
        <v>4.8804876000000004E-4</v>
      </c>
      <c r="AM96">
        <v>0</v>
      </c>
      <c r="AN96">
        <v>1.5142779990000001E-2</v>
      </c>
      <c r="AO96">
        <v>1.5630828749999999E-2</v>
      </c>
      <c r="AP96" s="498">
        <v>7.5938954389999994E-2</v>
      </c>
      <c r="AQ96">
        <v>1.3123276E-2</v>
      </c>
      <c r="AR96">
        <v>1.6503273000000002E-2</v>
      </c>
      <c r="AS96">
        <v>1.4461842000000001E-2</v>
      </c>
      <c r="AT96">
        <v>4.4088391000000005E-2</v>
      </c>
      <c r="AU96">
        <v>1.445018E-2</v>
      </c>
      <c r="AV96">
        <v>1.3107291E-2</v>
      </c>
      <c r="AW96">
        <v>8.9416470000000005E-3</v>
      </c>
      <c r="AX96">
        <v>3.6499118000000004E-2</v>
      </c>
      <c r="AY96">
        <v>8.0587509000000002E-2</v>
      </c>
      <c r="AZ96">
        <v>1.1565781000000001E-2</v>
      </c>
      <c r="BA96">
        <v>1.2351147999999999E-2</v>
      </c>
      <c r="BB96">
        <v>1.2014108000000001E-2</v>
      </c>
      <c r="BC96">
        <v>3.5931036999999999E-2</v>
      </c>
      <c r="BD96">
        <v>0.116518546</v>
      </c>
      <c r="BE96">
        <v>1.1389696459999999E-2</v>
      </c>
      <c r="BF96">
        <v>9.5898660249999993E-3</v>
      </c>
      <c r="BG96">
        <v>9.174495999999999E-3</v>
      </c>
      <c r="BH96">
        <v>3.0154058484999999E-2</v>
      </c>
      <c r="BI96" s="498">
        <v>0.146672604485</v>
      </c>
      <c r="BJ96">
        <v>1.1240460999999998E-2</v>
      </c>
      <c r="BK96">
        <v>1.1724537E-2</v>
      </c>
      <c r="BL96">
        <v>1.2524565E-2</v>
      </c>
      <c r="BM96">
        <v>3.5489563000000002E-2</v>
      </c>
      <c r="BN96">
        <v>1.2405146000000001E-2</v>
      </c>
      <c r="BO96">
        <v>1.3049567E-2</v>
      </c>
      <c r="BP96">
        <v>8.7836640000000001E-3</v>
      </c>
      <c r="BQ96">
        <v>3.4238377E-2</v>
      </c>
      <c r="BR96">
        <v>6.9727940000000002E-2</v>
      </c>
      <c r="BS96">
        <v>1.4029716000000001E-2</v>
      </c>
      <c r="BT96">
        <v>1.3453093000000001E-2</v>
      </c>
      <c r="BU96">
        <v>4.3647089999999996E-3</v>
      </c>
      <c r="BV96">
        <v>3.1847517999999998E-2</v>
      </c>
      <c r="BW96">
        <v>0.10157545799999999</v>
      </c>
      <c r="BX96">
        <v>9.9534069999999992E-3</v>
      </c>
      <c r="BY96">
        <v>1.2738071E-2</v>
      </c>
      <c r="BZ96">
        <v>0</v>
      </c>
      <c r="CA96">
        <v>2.2691477999999998E-2</v>
      </c>
      <c r="CB96" s="498">
        <v>0.12426693600000001</v>
      </c>
      <c r="CC96">
        <v>1.3986185030000001E-2</v>
      </c>
      <c r="CD96">
        <v>1.3515676359999999E-2</v>
      </c>
      <c r="CE96">
        <v>1.305914622E-2</v>
      </c>
      <c r="CF96">
        <v>4.0561007609999998E-2</v>
      </c>
      <c r="CG96">
        <v>1.3115272300000001E-2</v>
      </c>
      <c r="CH96">
        <v>0</v>
      </c>
      <c r="CI96">
        <v>0</v>
      </c>
      <c r="CJ96">
        <v>1.3115272300000001E-2</v>
      </c>
      <c r="CK96">
        <v>5.3676279909999999E-2</v>
      </c>
      <c r="CL96">
        <v>0</v>
      </c>
      <c r="CM96">
        <v>0</v>
      </c>
      <c r="CN96">
        <v>0</v>
      </c>
      <c r="CO96">
        <v>0</v>
      </c>
      <c r="CP96">
        <v>5.3676279909999999E-2</v>
      </c>
      <c r="CQ96">
        <v>0</v>
      </c>
      <c r="CR96">
        <v>0</v>
      </c>
      <c r="CS96">
        <v>0</v>
      </c>
      <c r="CT96">
        <v>0</v>
      </c>
      <c r="CU96" s="498">
        <v>5.3676279909999999E-2</v>
      </c>
    </row>
    <row r="97" spans="3:99">
      <c r="C97">
        <v>15</v>
      </c>
      <c r="D97" s="209" t="s">
        <v>69</v>
      </c>
      <c r="E97">
        <v>7.6777649999999989E-2</v>
      </c>
      <c r="F97">
        <v>7.3704350000000016E-2</v>
      </c>
      <c r="G97">
        <v>6.7607400000000012E-2</v>
      </c>
      <c r="H97">
        <v>0.21808940000000004</v>
      </c>
      <c r="I97">
        <v>6.459680000000001E-2</v>
      </c>
      <c r="J97">
        <v>6.5282500000000007E-2</v>
      </c>
      <c r="K97">
        <v>5.6375400000000006E-2</v>
      </c>
      <c r="L97">
        <v>0.1862547</v>
      </c>
      <c r="M97">
        <v>0.40434410000000004</v>
      </c>
      <c r="N97">
        <v>5.6488300000000005E-2</v>
      </c>
      <c r="O97">
        <v>5.1430900000000002E-2</v>
      </c>
      <c r="P97">
        <v>4.5068998203000005E-2</v>
      </c>
      <c r="Q97">
        <v>0.152988198203</v>
      </c>
      <c r="R97">
        <v>0.55733229820300012</v>
      </c>
      <c r="S97">
        <v>4.0245574499999999E-2</v>
      </c>
      <c r="T97">
        <v>4.4493094017000002E-2</v>
      </c>
      <c r="U97">
        <v>5.1603790500000003E-2</v>
      </c>
      <c r="V97">
        <v>0.13634245901700001</v>
      </c>
      <c r="W97" s="498">
        <v>0.69367475722000016</v>
      </c>
      <c r="X97">
        <v>4.8538350029999996E-2</v>
      </c>
      <c r="Y97">
        <v>4.7746345510000003E-2</v>
      </c>
      <c r="Z97">
        <v>4.2195145520000005E-2</v>
      </c>
      <c r="AA97">
        <v>0.13847984105999997</v>
      </c>
      <c r="AB97">
        <v>4.1657386519999999E-2</v>
      </c>
      <c r="AC97">
        <v>3.9096009020000003E-2</v>
      </c>
      <c r="AD97">
        <v>3.194685001E-2</v>
      </c>
      <c r="AE97">
        <v>0.11270024555000001</v>
      </c>
      <c r="AF97">
        <v>0.25118008661000002</v>
      </c>
      <c r="AG97">
        <v>3.032865903E-2</v>
      </c>
      <c r="AH97">
        <v>2.5937550010000001E-2</v>
      </c>
      <c r="AI97">
        <v>2.6739454510000003E-2</v>
      </c>
      <c r="AJ97">
        <v>8.3005663549999997E-2</v>
      </c>
      <c r="AK97">
        <v>0.33418575016000002</v>
      </c>
      <c r="AL97">
        <v>3.0275999999999997E-2</v>
      </c>
      <c r="AM97">
        <v>2.7306000029999999E-2</v>
      </c>
      <c r="AN97">
        <v>2.9479054470000002E-2</v>
      </c>
      <c r="AO97">
        <v>8.7061054499999999E-2</v>
      </c>
      <c r="AP97" s="498">
        <v>0.42124680466000003</v>
      </c>
      <c r="AQ97">
        <v>2.7857250000000004E-2</v>
      </c>
      <c r="AR97">
        <v>2.7166725000000003E-2</v>
      </c>
      <c r="AS97">
        <v>2.2984065000000001E-2</v>
      </c>
      <c r="AT97">
        <v>7.8008040000000001E-2</v>
      </c>
      <c r="AU97">
        <v>2.1863565000000005E-2</v>
      </c>
      <c r="AV97">
        <v>1.4806080000000001E-2</v>
      </c>
      <c r="AW97">
        <v>1.0005488999999999E-2</v>
      </c>
      <c r="AX97">
        <v>4.6675134E-2</v>
      </c>
      <c r="AY97">
        <v>0.12468317400000001</v>
      </c>
      <c r="AZ97">
        <v>7.9492769999999994E-3</v>
      </c>
      <c r="BA97">
        <v>5.6347070000000001E-3</v>
      </c>
      <c r="BB97">
        <v>6.625138E-3</v>
      </c>
      <c r="BC97">
        <v>2.0209122E-2</v>
      </c>
      <c r="BD97">
        <v>0.144892296</v>
      </c>
      <c r="BE97">
        <v>6.5587000000000006E-3</v>
      </c>
      <c r="BF97">
        <v>5.4034245000000002E-3</v>
      </c>
      <c r="BG97">
        <v>4.1683050100000006E-3</v>
      </c>
      <c r="BH97">
        <v>1.6130429510000002E-2</v>
      </c>
      <c r="BI97" s="498">
        <v>0.16102272550999999</v>
      </c>
      <c r="BJ97">
        <v>6.7459950000000003E-3</v>
      </c>
      <c r="BK97">
        <v>5.535855000000001E-3</v>
      </c>
      <c r="BL97">
        <v>5.110875E-3</v>
      </c>
      <c r="BM97">
        <v>1.7392725000000001E-2</v>
      </c>
      <c r="BN97">
        <v>0</v>
      </c>
      <c r="BO97">
        <v>0</v>
      </c>
      <c r="BP97">
        <v>0</v>
      </c>
      <c r="BQ97">
        <v>0</v>
      </c>
      <c r="BR97">
        <v>1.7392725000000001E-2</v>
      </c>
      <c r="BS97">
        <v>0</v>
      </c>
      <c r="BT97">
        <v>0</v>
      </c>
      <c r="BU97">
        <v>0</v>
      </c>
      <c r="BV97">
        <v>0</v>
      </c>
      <c r="BW97">
        <v>1.7392725000000001E-2</v>
      </c>
      <c r="BX97">
        <v>0</v>
      </c>
      <c r="BY97">
        <v>0</v>
      </c>
      <c r="BZ97">
        <v>0</v>
      </c>
      <c r="CA97">
        <v>0</v>
      </c>
      <c r="CB97" s="498">
        <v>1.7392725000000001E-2</v>
      </c>
      <c r="CC97">
        <v>0</v>
      </c>
      <c r="CD97">
        <v>0</v>
      </c>
      <c r="CE97">
        <v>0</v>
      </c>
      <c r="CF97">
        <v>0</v>
      </c>
      <c r="CG97">
        <v>0</v>
      </c>
      <c r="CH97">
        <v>0</v>
      </c>
      <c r="CI97">
        <v>0</v>
      </c>
      <c r="CJ97">
        <v>0</v>
      </c>
      <c r="CK97">
        <v>0</v>
      </c>
      <c r="CL97">
        <v>0</v>
      </c>
      <c r="CM97">
        <v>0</v>
      </c>
      <c r="CN97">
        <v>0</v>
      </c>
      <c r="CO97">
        <v>0</v>
      </c>
      <c r="CP97">
        <v>0</v>
      </c>
      <c r="CQ97">
        <v>0</v>
      </c>
      <c r="CR97">
        <v>0</v>
      </c>
      <c r="CS97">
        <v>0</v>
      </c>
      <c r="CT97">
        <v>0</v>
      </c>
      <c r="CU97" s="498">
        <v>0</v>
      </c>
    </row>
    <row r="98" spans="3:99">
      <c r="C98">
        <v>16</v>
      </c>
      <c r="D98" s="209" t="s">
        <v>70</v>
      </c>
      <c r="E98">
        <v>7.1613350000000006E-2</v>
      </c>
      <c r="F98">
        <v>7.3294139999999994E-2</v>
      </c>
      <c r="G98">
        <v>7.6926359999999999E-2</v>
      </c>
      <c r="H98">
        <v>0.22183385</v>
      </c>
      <c r="I98">
        <v>7.6490990000000009E-2</v>
      </c>
      <c r="J98">
        <v>7.9031299999999999E-2</v>
      </c>
      <c r="K98">
        <v>8.6813560000000012E-2</v>
      </c>
      <c r="L98">
        <v>0.24233585000000002</v>
      </c>
      <c r="M98">
        <v>0.46416970000000002</v>
      </c>
      <c r="N98">
        <v>8.8601960000000007E-2</v>
      </c>
      <c r="O98">
        <v>8.4469260000000004E-2</v>
      </c>
      <c r="P98">
        <v>8.2095380000000009E-2</v>
      </c>
      <c r="Q98">
        <v>0.25516660000000002</v>
      </c>
      <c r="R98">
        <v>0.71933630000000004</v>
      </c>
      <c r="S98">
        <v>8.1258300000000006E-2</v>
      </c>
      <c r="T98">
        <v>7.5401460000000017E-2</v>
      </c>
      <c r="U98">
        <v>7.5134730000000011E-2</v>
      </c>
      <c r="V98">
        <v>0.23179449000000005</v>
      </c>
      <c r="W98" s="498">
        <v>0.95113079000000011</v>
      </c>
      <c r="X98">
        <v>5.4885742700000004E-2</v>
      </c>
      <c r="Y98">
        <v>6.4444196700000012E-2</v>
      </c>
      <c r="Z98">
        <v>7.2817193100000011E-2</v>
      </c>
      <c r="AA98">
        <v>0.19214713250000004</v>
      </c>
      <c r="AB98">
        <v>8.0843445600000008E-2</v>
      </c>
      <c r="AC98">
        <v>7.7343706600000006E-2</v>
      </c>
      <c r="AD98">
        <v>6.8787117000000009E-2</v>
      </c>
      <c r="AE98">
        <v>0.22697426920000002</v>
      </c>
      <c r="AF98">
        <v>0.41912140170000006</v>
      </c>
      <c r="AG98">
        <v>6.6750676800000006E-2</v>
      </c>
      <c r="AH98">
        <v>7.1296791300000009E-2</v>
      </c>
      <c r="AI98">
        <v>7.7197275400000015E-2</v>
      </c>
      <c r="AJ98">
        <v>0.21524474350000003</v>
      </c>
      <c r="AK98">
        <v>0.63436614520000012</v>
      </c>
      <c r="AL98">
        <v>7.6136387000000014E-2</v>
      </c>
      <c r="AM98">
        <v>7.2224756700000017E-2</v>
      </c>
      <c r="AN98">
        <v>5.0414485999999994E-2</v>
      </c>
      <c r="AO98">
        <v>0.19877562970000001</v>
      </c>
      <c r="AP98" s="498">
        <v>0.83314177490000008</v>
      </c>
      <c r="AQ98">
        <v>7.0265420000000009E-2</v>
      </c>
      <c r="AR98">
        <v>7.2730929999999999E-2</v>
      </c>
      <c r="AS98">
        <v>6.498029000000001E-2</v>
      </c>
      <c r="AT98">
        <v>0.20797663999999999</v>
      </c>
      <c r="AU98">
        <v>7.7286590000000002E-2</v>
      </c>
      <c r="AV98">
        <v>7.3709789999999997E-2</v>
      </c>
      <c r="AW98">
        <v>6.3822590000000012E-2</v>
      </c>
      <c r="AX98">
        <v>0.21481897</v>
      </c>
      <c r="AY98">
        <v>0.42279560999999999</v>
      </c>
      <c r="AZ98">
        <v>6.6472550000000005E-2</v>
      </c>
      <c r="BA98">
        <v>6.2953720000000005E-2</v>
      </c>
      <c r="BB98">
        <v>7.0898500000000017E-2</v>
      </c>
      <c r="BC98">
        <v>0.20032477000000004</v>
      </c>
      <c r="BD98">
        <v>0.62312038000000003</v>
      </c>
      <c r="BE98">
        <v>8.3127586000000003E-2</v>
      </c>
      <c r="BF98">
        <v>7.5560430400000003E-2</v>
      </c>
      <c r="BG98">
        <v>7.0483390600000015E-2</v>
      </c>
      <c r="BH98">
        <v>0.22917140700000005</v>
      </c>
      <c r="BI98" s="498">
        <v>0.85229178700000008</v>
      </c>
      <c r="BJ98">
        <v>6.8521390000000015E-2</v>
      </c>
      <c r="BK98">
        <v>7.3334770000000007E-2</v>
      </c>
      <c r="BL98">
        <v>7.2718010000000013E-2</v>
      </c>
      <c r="BM98">
        <v>0.21457417000000001</v>
      </c>
      <c r="BN98">
        <v>7.6563069999999997E-2</v>
      </c>
      <c r="BO98">
        <v>7.5153770000000009E-2</v>
      </c>
      <c r="BP98">
        <v>6.190737000000001E-2</v>
      </c>
      <c r="BQ98">
        <v>0.21362421000000004</v>
      </c>
      <c r="BR98">
        <v>0.42819838000000005</v>
      </c>
      <c r="BS98">
        <v>6.3869679999999998E-2</v>
      </c>
      <c r="BT98">
        <v>7.260258E-2</v>
      </c>
      <c r="BU98">
        <v>7.4417840000000013E-2</v>
      </c>
      <c r="BV98">
        <v>0.21089010000000002</v>
      </c>
      <c r="BW98">
        <v>0.63908848000000007</v>
      </c>
      <c r="BX98">
        <v>8.2112720000000014E-2</v>
      </c>
      <c r="BY98">
        <v>6.9442790000000004E-2</v>
      </c>
      <c r="BZ98">
        <v>0</v>
      </c>
      <c r="CA98">
        <v>0.15155551</v>
      </c>
      <c r="CB98" s="498">
        <v>0.79064399000000007</v>
      </c>
      <c r="CC98">
        <v>6.7285988100000013E-2</v>
      </c>
      <c r="CD98">
        <v>7.2501600000000013E-2</v>
      </c>
      <c r="CE98">
        <v>7.3707097200000002E-2</v>
      </c>
      <c r="CF98">
        <v>0.21349468530000004</v>
      </c>
      <c r="CG98">
        <v>7.4929499199999999E-2</v>
      </c>
      <c r="CH98">
        <v>0</v>
      </c>
      <c r="CI98">
        <v>0</v>
      </c>
      <c r="CJ98">
        <v>7.4929499199999999E-2</v>
      </c>
      <c r="CK98">
        <v>0.28842418450000007</v>
      </c>
      <c r="CL98">
        <v>0</v>
      </c>
      <c r="CM98">
        <v>0</v>
      </c>
      <c r="CN98">
        <v>0</v>
      </c>
      <c r="CO98">
        <v>0</v>
      </c>
      <c r="CP98">
        <v>0.28842418450000007</v>
      </c>
      <c r="CQ98">
        <v>0</v>
      </c>
      <c r="CR98">
        <v>0</v>
      </c>
      <c r="CS98">
        <v>0</v>
      </c>
      <c r="CT98">
        <v>0</v>
      </c>
      <c r="CU98" s="498">
        <v>0.28842418450000007</v>
      </c>
    </row>
    <row r="99" spans="3:99">
      <c r="C99">
        <v>17</v>
      </c>
      <c r="D99" s="279" t="s">
        <v>828</v>
      </c>
      <c r="E99">
        <v>0.94334814494235419</v>
      </c>
      <c r="F99">
        <v>0.82758337910757906</v>
      </c>
      <c r="G99">
        <v>0.77767237584503368</v>
      </c>
      <c r="H99">
        <v>2.5486038998949669</v>
      </c>
      <c r="I99">
        <v>0.80103910872231132</v>
      </c>
      <c r="J99">
        <v>0.82876342940848036</v>
      </c>
      <c r="K99">
        <v>0.77238555944738629</v>
      </c>
      <c r="L99">
        <v>2.4021880975781782</v>
      </c>
      <c r="M99">
        <v>4.9507919974731456</v>
      </c>
      <c r="N99">
        <v>0.78998769108705791</v>
      </c>
      <c r="O99">
        <v>0.89524553127574247</v>
      </c>
      <c r="P99">
        <v>0.86813785468793325</v>
      </c>
      <c r="Q99">
        <v>2.5533710770507332</v>
      </c>
      <c r="R99">
        <v>7.5041630745238788</v>
      </c>
      <c r="S99">
        <v>0.89536153257679818</v>
      </c>
      <c r="T99">
        <v>0.85893105532531044</v>
      </c>
      <c r="U99">
        <v>0.91290041098836061</v>
      </c>
      <c r="V99">
        <v>2.6671929988904695</v>
      </c>
      <c r="W99" s="498">
        <v>10.171356073414348</v>
      </c>
      <c r="X99">
        <v>0.89700479372000008</v>
      </c>
      <c r="Y99">
        <v>0.88553110960499992</v>
      </c>
      <c r="Z99">
        <v>0.85741083824000008</v>
      </c>
      <c r="AA99">
        <v>2.6399467415650002</v>
      </c>
      <c r="AB99">
        <v>0.88384828032899976</v>
      </c>
      <c r="AC99">
        <v>0.87137831040799996</v>
      </c>
      <c r="AD99">
        <v>0.8229270704999998</v>
      </c>
      <c r="AE99">
        <v>2.5781536612369997</v>
      </c>
      <c r="AF99">
        <v>5.2181004028020004</v>
      </c>
      <c r="AG99">
        <v>0.8627885854920001</v>
      </c>
      <c r="AH99">
        <v>0.8817758793149999</v>
      </c>
      <c r="AI99">
        <v>0.93041581124799988</v>
      </c>
      <c r="AJ99">
        <v>2.6749802760549999</v>
      </c>
      <c r="AK99">
        <v>7.8930806788569994</v>
      </c>
      <c r="AL99">
        <v>0.91365284669499991</v>
      </c>
      <c r="AM99">
        <v>0.83790079934600015</v>
      </c>
      <c r="AN99">
        <v>0.87288273873899969</v>
      </c>
      <c r="AO99">
        <v>2.6244363847800001</v>
      </c>
      <c r="AP99" s="498">
        <v>10.517517063637001</v>
      </c>
      <c r="AQ99">
        <v>0.86063226120000003</v>
      </c>
      <c r="AR99">
        <v>0.8365274332</v>
      </c>
      <c r="AS99">
        <v>0.82470313160000008</v>
      </c>
      <c r="AT99">
        <v>2.521862826</v>
      </c>
      <c r="AU99">
        <v>0.85851090060000002</v>
      </c>
      <c r="AV99">
        <v>0.84481642560000003</v>
      </c>
      <c r="AW99">
        <v>0.81419981990000001</v>
      </c>
      <c r="AX99">
        <v>2.5175271460999995</v>
      </c>
      <c r="AY99">
        <v>5.0393899720999995</v>
      </c>
      <c r="AZ99">
        <v>0.84547524880000013</v>
      </c>
      <c r="BA99">
        <v>0.91024317900000007</v>
      </c>
      <c r="BB99">
        <v>0.89932128500000008</v>
      </c>
      <c r="BC99">
        <v>2.6550397127999998</v>
      </c>
      <c r="BD99">
        <v>7.6944296849000011</v>
      </c>
      <c r="BE99">
        <v>0.91216163954093155</v>
      </c>
      <c r="BF99">
        <v>0.80878887195000004</v>
      </c>
      <c r="BG99">
        <v>0.86310549301788708</v>
      </c>
      <c r="BH99">
        <v>2.5840560045088186</v>
      </c>
      <c r="BI99" s="498">
        <v>10.27848568940882</v>
      </c>
      <c r="BJ99">
        <v>0.81849098374999985</v>
      </c>
      <c r="BK99">
        <v>0.83465330449999997</v>
      </c>
      <c r="BL99">
        <v>0.79715185574999992</v>
      </c>
      <c r="BM99">
        <v>2.4502961439999997</v>
      </c>
      <c r="BN99">
        <v>0.82061026525000014</v>
      </c>
      <c r="BO99">
        <v>0.70099593700000007</v>
      </c>
      <c r="BP99">
        <v>0.79795540850000002</v>
      </c>
      <c r="BQ99">
        <v>2.3195616107500001</v>
      </c>
      <c r="BR99">
        <v>4.7698577547500003</v>
      </c>
      <c r="BS99">
        <v>0.82927271675000003</v>
      </c>
      <c r="BT99">
        <v>0.80054231340000004</v>
      </c>
      <c r="BU99">
        <v>0.75274335170000017</v>
      </c>
      <c r="BV99">
        <v>2.3825583818499996</v>
      </c>
      <c r="BW99">
        <v>7.1524161365999994</v>
      </c>
      <c r="BX99">
        <v>0.84877310129999994</v>
      </c>
      <c r="BY99">
        <v>0.72404350299999998</v>
      </c>
      <c r="BZ99">
        <v>0</v>
      </c>
      <c r="CA99">
        <v>1.5728166043000003</v>
      </c>
      <c r="CB99" s="498">
        <v>8.7252327408999992</v>
      </c>
      <c r="CC99">
        <v>0.81791254496749988</v>
      </c>
      <c r="CD99">
        <v>0.83940866451250007</v>
      </c>
      <c r="CE99">
        <v>0.82020813069250009</v>
      </c>
      <c r="CF99">
        <v>2.4775293401725</v>
      </c>
      <c r="CG99">
        <v>0.83323312118000004</v>
      </c>
      <c r="CH99">
        <v>0</v>
      </c>
      <c r="CI99">
        <v>0</v>
      </c>
      <c r="CJ99">
        <v>0.83323312118000004</v>
      </c>
      <c r="CK99">
        <v>3.3107624613525002</v>
      </c>
      <c r="CL99">
        <v>0</v>
      </c>
      <c r="CM99">
        <v>0</v>
      </c>
      <c r="CN99">
        <v>0</v>
      </c>
      <c r="CO99">
        <v>0</v>
      </c>
      <c r="CP99">
        <v>3.3107624613525002</v>
      </c>
      <c r="CQ99">
        <v>0</v>
      </c>
      <c r="CR99">
        <v>0</v>
      </c>
      <c r="CS99">
        <v>0</v>
      </c>
      <c r="CT99">
        <v>0</v>
      </c>
      <c r="CU99" s="498">
        <v>3.3107624613525002</v>
      </c>
    </row>
    <row r="107" spans="3:99">
      <c r="E107" t="s">
        <v>861</v>
      </c>
    </row>
  </sheetData>
  <sheetProtection algorithmName="SHA-512" hashValue="PCXprO3uz5zRBKP1mRMhqdq2KdnfB4bLE5/fOEDdEX1TTjQ7pkOPNEHF9K2IJSlvSKkSpoobKklKF7tsXoJv0w==" saltValue="f0wox+VJkyyO6+Kovdybiw==" spinCount="100000" sheet="1" formatColumns="0" formatRows="0"/>
  <mergeCells count="2">
    <mergeCell ref="A22:B24"/>
    <mergeCell ref="A41:B43"/>
  </mergeCells>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tabColor rgb="FFFFFF00"/>
  </sheetPr>
  <dimension ref="A2:CU102"/>
  <sheetViews>
    <sheetView topLeftCell="BR1" workbookViewId="0">
      <selection activeCell="T21" sqref="T21"/>
    </sheetView>
  </sheetViews>
  <sheetFormatPr defaultColWidth="8.85546875" defaultRowHeight="15"/>
  <cols>
    <col min="72" max="72" width="9.42578125" bestFit="1" customWidth="1"/>
  </cols>
  <sheetData>
    <row r="2" hidden="1"/>
    <row r="3" hidden="1"/>
    <row r="4" hidden="1"/>
    <row r="5" hidden="1"/>
    <row r="6" hidden="1"/>
    <row r="7" hidden="1"/>
    <row r="8" hidden="1"/>
    <row r="9" hidden="1"/>
    <row r="10" hidden="1"/>
    <row r="11" hidden="1"/>
    <row r="12" hidden="1"/>
    <row r="13" hidden="1"/>
    <row r="14" hidden="1"/>
    <row r="15" hidden="1"/>
    <row r="16" hidden="1"/>
    <row r="17" spans="8:14" hidden="1"/>
    <row r="19" spans="8:14">
      <c r="L19" t="s">
        <v>1433</v>
      </c>
      <c r="M19" t="s">
        <v>117</v>
      </c>
    </row>
    <row r="20" spans="8:14">
      <c r="H20" t="s">
        <v>1432</v>
      </c>
      <c r="L20" s="480" t="s">
        <v>2259</v>
      </c>
      <c r="M20" s="480" t="s">
        <v>2153</v>
      </c>
      <c r="N20" t="s">
        <v>1446</v>
      </c>
    </row>
    <row r="22" spans="8:14" hidden="1"/>
    <row r="23" spans="8:14" hidden="1"/>
    <row r="24" spans="8:14" hidden="1"/>
    <row r="25" spans="8:14" hidden="1"/>
    <row r="26" spans="8:14" hidden="1"/>
    <row r="27" spans="8:14" hidden="1"/>
    <row r="28" spans="8:14" hidden="1"/>
    <row r="29" spans="8:14" hidden="1"/>
    <row r="30" spans="8:14" hidden="1"/>
    <row r="31" spans="8:14" hidden="1"/>
    <row r="32" spans="8:14" hidden="1"/>
    <row r="34" spans="1:99">
      <c r="K34" s="630" t="s">
        <v>1343</v>
      </c>
    </row>
    <row r="35" spans="1:99" hidden="1"/>
    <row r="36" spans="1:99" hidden="1"/>
    <row r="37" spans="1:99" hidden="1"/>
    <row r="38" spans="1:99" hidden="1"/>
    <row r="39" spans="1:99" hidden="1"/>
    <row r="40" spans="1:99" hidden="1"/>
    <row r="41" spans="1:99" hidden="1"/>
    <row r="43" spans="1:99">
      <c r="A43" t="s">
        <v>1427</v>
      </c>
    </row>
    <row r="44" spans="1:99" ht="15.75" thickBot="1">
      <c r="A44" s="650">
        <f>Dropdowns!D409</f>
        <v>1</v>
      </c>
    </row>
    <row r="45" spans="1:99">
      <c r="C45">
        <v>1</v>
      </c>
      <c r="E45" s="456">
        <v>202204</v>
      </c>
      <c r="F45" s="457">
        <v>202205</v>
      </c>
      <c r="G45" s="457">
        <v>202206</v>
      </c>
      <c r="H45" s="457">
        <v>222331</v>
      </c>
      <c r="I45" s="457">
        <v>202207</v>
      </c>
      <c r="J45" s="457">
        <v>202208</v>
      </c>
      <c r="K45" s="457">
        <v>202209</v>
      </c>
      <c r="L45" s="457">
        <v>222332</v>
      </c>
      <c r="M45" s="457">
        <v>222361</v>
      </c>
      <c r="N45" s="457">
        <v>202210</v>
      </c>
      <c r="O45" s="457">
        <v>202211</v>
      </c>
      <c r="P45" s="457">
        <v>202212</v>
      </c>
      <c r="Q45" s="457">
        <v>222333</v>
      </c>
      <c r="R45" s="457">
        <v>222391</v>
      </c>
      <c r="S45" s="457">
        <v>202301</v>
      </c>
      <c r="T45" s="457">
        <v>202302</v>
      </c>
      <c r="U45" s="457">
        <v>202303</v>
      </c>
      <c r="V45" s="457">
        <v>222334</v>
      </c>
      <c r="W45" s="631">
        <v>222399</v>
      </c>
      <c r="X45" s="456">
        <v>202304</v>
      </c>
      <c r="Y45" s="457">
        <v>202305</v>
      </c>
      <c r="Z45" s="457">
        <v>202306</v>
      </c>
      <c r="AA45" s="457">
        <v>232431</v>
      </c>
      <c r="AB45" s="457">
        <v>202307</v>
      </c>
      <c r="AC45" s="457">
        <v>202308</v>
      </c>
      <c r="AD45" s="457">
        <v>202309</v>
      </c>
      <c r="AE45" s="457">
        <v>232432</v>
      </c>
      <c r="AF45" s="457">
        <v>232461</v>
      </c>
      <c r="AG45" s="457">
        <v>202310</v>
      </c>
      <c r="AH45" s="457">
        <v>202311</v>
      </c>
      <c r="AI45" s="457">
        <v>202312</v>
      </c>
      <c r="AJ45" s="457">
        <v>232433</v>
      </c>
      <c r="AK45" s="457">
        <v>232491</v>
      </c>
      <c r="AL45" s="457">
        <v>202401</v>
      </c>
      <c r="AM45" s="457">
        <v>202402</v>
      </c>
      <c r="AN45" s="457">
        <v>202403</v>
      </c>
      <c r="AO45" s="457">
        <v>232434</v>
      </c>
      <c r="AP45" s="631">
        <v>232499</v>
      </c>
      <c r="AQ45" s="456">
        <v>202404</v>
      </c>
      <c r="AR45" s="457">
        <v>202405</v>
      </c>
      <c r="AS45" s="457">
        <v>202406</v>
      </c>
      <c r="AT45" s="457">
        <v>242531</v>
      </c>
      <c r="AU45" s="457">
        <v>202407</v>
      </c>
      <c r="AV45" s="457">
        <v>202408</v>
      </c>
      <c r="AW45" s="457">
        <v>202409</v>
      </c>
      <c r="AX45" s="457">
        <v>242532</v>
      </c>
      <c r="AY45" s="457">
        <v>242561</v>
      </c>
      <c r="AZ45" s="457">
        <v>202410</v>
      </c>
      <c r="BA45" s="457">
        <v>202411</v>
      </c>
      <c r="BB45" s="457">
        <v>202412</v>
      </c>
      <c r="BC45" s="457">
        <v>242533</v>
      </c>
      <c r="BD45" s="457">
        <v>242591</v>
      </c>
      <c r="BE45" s="457">
        <v>202501</v>
      </c>
      <c r="BF45" s="457">
        <v>202502</v>
      </c>
      <c r="BG45" s="457">
        <v>202503</v>
      </c>
      <c r="BH45" s="457">
        <v>242534</v>
      </c>
      <c r="BI45" s="631">
        <v>242599</v>
      </c>
      <c r="BJ45" s="456">
        <v>202504</v>
      </c>
      <c r="BK45" s="457">
        <v>202505</v>
      </c>
      <c r="BL45" s="457">
        <v>202506</v>
      </c>
      <c r="BM45" s="457">
        <v>252631</v>
      </c>
      <c r="BN45" s="457">
        <v>202507</v>
      </c>
      <c r="BO45" s="457">
        <v>202508</v>
      </c>
      <c r="BP45" s="457">
        <v>202509</v>
      </c>
      <c r="BQ45" s="457">
        <v>252632</v>
      </c>
      <c r="BR45" s="457">
        <v>252661</v>
      </c>
      <c r="BS45" s="457">
        <v>202510</v>
      </c>
      <c r="BT45" s="457">
        <v>202511</v>
      </c>
      <c r="BU45" s="457">
        <v>202512</v>
      </c>
      <c r="BV45" s="457">
        <v>252633</v>
      </c>
      <c r="BW45" s="457">
        <v>252691</v>
      </c>
      <c r="BX45" s="457">
        <v>202601</v>
      </c>
      <c r="BY45" s="457">
        <v>202602</v>
      </c>
      <c r="BZ45" s="457">
        <v>202603</v>
      </c>
      <c r="CA45" s="457">
        <v>252634</v>
      </c>
      <c r="CB45" s="631">
        <v>252699</v>
      </c>
      <c r="CC45">
        <v>202604</v>
      </c>
      <c r="CD45">
        <v>202605</v>
      </c>
      <c r="CE45">
        <v>202606</v>
      </c>
      <c r="CF45">
        <v>262731</v>
      </c>
      <c r="CG45">
        <v>202607</v>
      </c>
      <c r="CH45">
        <v>202608</v>
      </c>
      <c r="CI45">
        <v>202609</v>
      </c>
      <c r="CJ45">
        <v>262732</v>
      </c>
      <c r="CK45">
        <v>262761</v>
      </c>
      <c r="CL45">
        <v>202610</v>
      </c>
      <c r="CM45">
        <v>202611</v>
      </c>
      <c r="CN45">
        <v>202612</v>
      </c>
      <c r="CO45">
        <v>262733</v>
      </c>
      <c r="CP45">
        <v>262791</v>
      </c>
      <c r="CQ45">
        <v>202701</v>
      </c>
      <c r="CR45">
        <v>202702</v>
      </c>
      <c r="CS45">
        <v>202703</v>
      </c>
      <c r="CT45">
        <v>262734</v>
      </c>
      <c r="CU45" s="480">
        <v>262799</v>
      </c>
    </row>
    <row r="46" spans="1:99">
      <c r="C46">
        <v>2</v>
      </c>
      <c r="E46" s="459" t="s">
        <v>308</v>
      </c>
      <c r="F46" t="s">
        <v>309</v>
      </c>
      <c r="G46" t="s">
        <v>829</v>
      </c>
      <c r="H46" t="s">
        <v>392</v>
      </c>
      <c r="I46" t="s">
        <v>830</v>
      </c>
      <c r="J46" t="s">
        <v>312</v>
      </c>
      <c r="K46" t="s">
        <v>313</v>
      </c>
      <c r="L46" t="s">
        <v>393</v>
      </c>
      <c r="M46" t="s">
        <v>622</v>
      </c>
      <c r="N46" t="s">
        <v>314</v>
      </c>
      <c r="O46" t="s">
        <v>315</v>
      </c>
      <c r="P46" t="s">
        <v>316</v>
      </c>
      <c r="Q46" t="s">
        <v>394</v>
      </c>
      <c r="R46" t="s">
        <v>624</v>
      </c>
      <c r="S46" t="s">
        <v>317</v>
      </c>
      <c r="T46" t="s">
        <v>318</v>
      </c>
      <c r="U46" t="s">
        <v>319</v>
      </c>
      <c r="V46" t="s">
        <v>395</v>
      </c>
      <c r="W46" s="632" t="s">
        <v>831</v>
      </c>
      <c r="X46" s="459" t="s">
        <v>726</v>
      </c>
      <c r="Y46" t="s">
        <v>727</v>
      </c>
      <c r="Z46" t="s">
        <v>832</v>
      </c>
      <c r="AA46" t="s">
        <v>762</v>
      </c>
      <c r="AB46" t="s">
        <v>833</v>
      </c>
      <c r="AC46" t="s">
        <v>730</v>
      </c>
      <c r="AD46" t="s">
        <v>731</v>
      </c>
      <c r="AE46" t="s">
        <v>765</v>
      </c>
      <c r="AF46" t="s">
        <v>774</v>
      </c>
      <c r="AG46" t="s">
        <v>732</v>
      </c>
      <c r="AH46" t="s">
        <v>733</v>
      </c>
      <c r="AI46" t="s">
        <v>734</v>
      </c>
      <c r="AJ46" t="s">
        <v>768</v>
      </c>
      <c r="AK46" t="s">
        <v>780</v>
      </c>
      <c r="AL46" t="s">
        <v>735</v>
      </c>
      <c r="AM46" t="s">
        <v>736</v>
      </c>
      <c r="AN46" t="s">
        <v>737</v>
      </c>
      <c r="AO46" t="s">
        <v>771</v>
      </c>
      <c r="AP46" s="632" t="s">
        <v>834</v>
      </c>
      <c r="AQ46" s="459" t="s">
        <v>738</v>
      </c>
      <c r="AR46" t="s">
        <v>740</v>
      </c>
      <c r="AS46" t="s">
        <v>835</v>
      </c>
      <c r="AT46" t="s">
        <v>763</v>
      </c>
      <c r="AU46" t="s">
        <v>836</v>
      </c>
      <c r="AV46" t="s">
        <v>743</v>
      </c>
      <c r="AW46" t="s">
        <v>744</v>
      </c>
      <c r="AX46" t="s">
        <v>766</v>
      </c>
      <c r="AY46" t="s">
        <v>775</v>
      </c>
      <c r="AZ46" t="s">
        <v>745</v>
      </c>
      <c r="BA46" t="s">
        <v>746</v>
      </c>
      <c r="BB46" t="s">
        <v>747</v>
      </c>
      <c r="BC46" t="s">
        <v>769</v>
      </c>
      <c r="BD46" t="s">
        <v>781</v>
      </c>
      <c r="BE46" t="s">
        <v>748</v>
      </c>
      <c r="BF46" t="s">
        <v>749</v>
      </c>
      <c r="BG46" t="s">
        <v>750</v>
      </c>
      <c r="BH46" t="s">
        <v>772</v>
      </c>
      <c r="BI46" s="632" t="s">
        <v>837</v>
      </c>
      <c r="BJ46" s="459" t="s">
        <v>739</v>
      </c>
      <c r="BK46" t="s">
        <v>751</v>
      </c>
      <c r="BL46" t="s">
        <v>838</v>
      </c>
      <c r="BM46" t="s">
        <v>764</v>
      </c>
      <c r="BN46" t="s">
        <v>839</v>
      </c>
      <c r="BO46" t="s">
        <v>754</v>
      </c>
      <c r="BP46" t="s">
        <v>755</v>
      </c>
      <c r="BQ46" t="s">
        <v>767</v>
      </c>
      <c r="BR46" t="s">
        <v>776</v>
      </c>
      <c r="BS46" t="s">
        <v>756</v>
      </c>
      <c r="BT46" t="s">
        <v>757</v>
      </c>
      <c r="BU46" t="s">
        <v>758</v>
      </c>
      <c r="BV46" t="s">
        <v>770</v>
      </c>
      <c r="BW46" t="s">
        <v>782</v>
      </c>
      <c r="BX46" t="s">
        <v>759</v>
      </c>
      <c r="BY46" t="s">
        <v>760</v>
      </c>
      <c r="BZ46" t="s">
        <v>761</v>
      </c>
      <c r="CA46" t="s">
        <v>773</v>
      </c>
      <c r="CB46" s="632" t="s">
        <v>840</v>
      </c>
      <c r="CC46" t="s">
        <v>2268</v>
      </c>
      <c r="CD46" t="s">
        <v>2151</v>
      </c>
      <c r="CE46" t="s">
        <v>2269</v>
      </c>
      <c r="CF46" t="s">
        <v>2260</v>
      </c>
      <c r="CG46" t="s">
        <v>2270</v>
      </c>
      <c r="CH46" t="s">
        <v>2154</v>
      </c>
      <c r="CI46" t="s">
        <v>2155</v>
      </c>
      <c r="CJ46" t="s">
        <v>2261</v>
      </c>
      <c r="CK46" t="s">
        <v>2264</v>
      </c>
      <c r="CL46" t="s">
        <v>2156</v>
      </c>
      <c r="CM46" t="s">
        <v>2157</v>
      </c>
      <c r="CN46" t="s">
        <v>2158</v>
      </c>
      <c r="CO46" t="s">
        <v>2262</v>
      </c>
      <c r="CP46" t="s">
        <v>2266</v>
      </c>
      <c r="CQ46" t="s">
        <v>2159</v>
      </c>
      <c r="CR46" t="s">
        <v>2160</v>
      </c>
      <c r="CS46" t="s">
        <v>2149</v>
      </c>
      <c r="CT46" t="s">
        <v>2263</v>
      </c>
      <c r="CU46" s="480" t="s">
        <v>2271</v>
      </c>
    </row>
    <row r="47" spans="1:99">
      <c r="C47">
        <v>3</v>
      </c>
      <c r="D47" s="209" t="s">
        <v>60</v>
      </c>
      <c r="E47" s="633">
        <v>0.14099999999999999</v>
      </c>
      <c r="F47" s="197">
        <v>2.8000000000000001E-2</v>
      </c>
      <c r="G47" s="197">
        <v>5.0000000000000001E-3</v>
      </c>
      <c r="H47" s="197">
        <v>0.17399999999999999</v>
      </c>
      <c r="I47" s="197">
        <v>4.0000000000000001E-3</v>
      </c>
      <c r="J47" s="197">
        <v>1E-3</v>
      </c>
      <c r="K47" s="197">
        <v>1E-3</v>
      </c>
      <c r="L47" s="197">
        <v>6.0000000000000001E-3</v>
      </c>
      <c r="M47" s="197">
        <v>0.18</v>
      </c>
      <c r="N47" s="197">
        <v>1.7000000000000001E-2</v>
      </c>
      <c r="O47" s="197">
        <v>0.113</v>
      </c>
      <c r="P47" s="197">
        <v>9.8000000000000004E-2</v>
      </c>
      <c r="Q47" s="197">
        <v>0.22800000000000001</v>
      </c>
      <c r="R47" s="197">
        <v>0.40800000000000003</v>
      </c>
      <c r="S47" s="197">
        <v>9.6000000000000002E-2</v>
      </c>
      <c r="T47" s="197">
        <v>0.13999999999999999</v>
      </c>
      <c r="U47" s="197">
        <v>0.16200000000000001</v>
      </c>
      <c r="V47" s="197">
        <v>0.39800000000000002</v>
      </c>
      <c r="W47" s="634">
        <v>0.80600000000000005</v>
      </c>
      <c r="X47" s="633">
        <v>0.154</v>
      </c>
      <c r="Y47" s="197">
        <v>0.151</v>
      </c>
      <c r="Z47" s="197">
        <v>0.13800000000000001</v>
      </c>
      <c r="AA47" s="197">
        <f>X47+Y47+Z47</f>
        <v>0.443</v>
      </c>
      <c r="AB47" s="197">
        <v>0.14699999999999999</v>
      </c>
      <c r="AC47" s="197">
        <v>0.128</v>
      </c>
      <c r="AD47" s="197">
        <v>0.124</v>
      </c>
      <c r="AE47" s="197">
        <f>AB47+AC47+AD47</f>
        <v>0.39900000000000002</v>
      </c>
      <c r="AF47" s="197">
        <f>AA47+AE47</f>
        <v>0.84200000000000008</v>
      </c>
      <c r="AG47" s="197">
        <v>0.15</v>
      </c>
      <c r="AH47" s="197">
        <v>0.14199999999999999</v>
      </c>
      <c r="AI47" s="197">
        <v>0.14299999999999999</v>
      </c>
      <c r="AJ47" s="197">
        <f>AG47+AH47+AI47</f>
        <v>0.43499999999999994</v>
      </c>
      <c r="AK47" s="197">
        <f>AF47+AJ47</f>
        <v>1.2770000000000001</v>
      </c>
      <c r="AL47" s="197">
        <v>0.14899999999999999</v>
      </c>
      <c r="AM47" s="197">
        <v>0.111</v>
      </c>
      <c r="AN47" s="197">
        <v>0.14699999999999999</v>
      </c>
      <c r="AO47" s="197">
        <f>AL47+AM47+AN47</f>
        <v>0.40700000000000003</v>
      </c>
      <c r="AP47" s="634">
        <f>AO47+AK47</f>
        <v>1.6840000000000002</v>
      </c>
      <c r="AQ47" s="633">
        <v>0.13200000000000001</v>
      </c>
      <c r="AR47" s="197">
        <v>0.128</v>
      </c>
      <c r="AS47" s="197">
        <v>0.123</v>
      </c>
      <c r="AT47" s="197">
        <f>AQ47+AR47+AS47</f>
        <v>0.38300000000000001</v>
      </c>
      <c r="AU47" s="197">
        <v>0.123</v>
      </c>
      <c r="AV47" s="197">
        <v>0.111</v>
      </c>
      <c r="AW47" s="197">
        <v>0.11899999999999999</v>
      </c>
      <c r="AX47" s="197">
        <f>AU47+AV47+AW47</f>
        <v>0.35299999999999998</v>
      </c>
      <c r="AY47" s="197">
        <f>AT47+AX47</f>
        <v>0.73599999999999999</v>
      </c>
      <c r="AZ47" s="197">
        <v>0.11700000000000001</v>
      </c>
      <c r="BA47" s="197">
        <v>0.12</v>
      </c>
      <c r="BB47" s="197">
        <v>0.127</v>
      </c>
      <c r="BC47" s="197">
        <f t="shared" ref="BC47:BC53" si="0">SUM(AZ47:BB47)</f>
        <v>0.36399999999999999</v>
      </c>
      <c r="BD47" s="197">
        <f>AY47+BC47</f>
        <v>1.1000000000000001</v>
      </c>
      <c r="BE47" s="197">
        <v>0.13900000000000001</v>
      </c>
      <c r="BF47" s="197">
        <v>0.11799999999999999</v>
      </c>
      <c r="BG47" s="197">
        <v>0.126</v>
      </c>
      <c r="BH47" s="197">
        <f>SUM(BE47:BG47)</f>
        <v>0.38300000000000001</v>
      </c>
      <c r="BI47" s="634">
        <f>SUM(AT47,AX47,BC47,BH47)</f>
        <v>1.4830000000000001</v>
      </c>
      <c r="BJ47" s="633">
        <v>0.124</v>
      </c>
      <c r="BK47">
        <v>0.11600000000000001</v>
      </c>
      <c r="BL47" s="197">
        <v>0.108</v>
      </c>
      <c r="BM47" s="197">
        <f>BJ47+BK47+BL47</f>
        <v>0.34799999999999998</v>
      </c>
      <c r="BN47" s="197">
        <v>0.112</v>
      </c>
      <c r="BO47" s="197">
        <v>2.7E-2</v>
      </c>
      <c r="BP47" s="197">
        <v>0.11600000000000001</v>
      </c>
      <c r="BQ47" s="197">
        <f>BN47+BO47+BP47</f>
        <v>0.255</v>
      </c>
      <c r="BR47" s="197">
        <f>BM47+BQ47</f>
        <v>0.60299999999999998</v>
      </c>
      <c r="BS47" s="197">
        <v>0.11899999999999999</v>
      </c>
      <c r="BT47" s="197">
        <v>0.123</v>
      </c>
      <c r="BU47" s="197">
        <v>0.127</v>
      </c>
      <c r="BV47" s="197">
        <f>BS47+BT47+BU47</f>
        <v>0.36899999999999999</v>
      </c>
      <c r="BW47" s="197">
        <f>BM47+BQ47+BV47</f>
        <v>0.97199999999999998</v>
      </c>
      <c r="BX47" s="197">
        <v>0.17199999999999999</v>
      </c>
      <c r="BY47" s="197">
        <v>0.14099999999999999</v>
      </c>
      <c r="BZ47" s="197">
        <v>0.156</v>
      </c>
      <c r="CA47" s="197">
        <f>SUM(BX47:BZ47)</f>
        <v>0.46899999999999997</v>
      </c>
      <c r="CB47" s="634">
        <v>1.4159999999999999</v>
      </c>
      <c r="CC47" s="633">
        <v>0.155</v>
      </c>
      <c r="CD47">
        <v>0.156</v>
      </c>
      <c r="CE47" s="197">
        <v>0.13400000000000001</v>
      </c>
      <c r="CF47" s="197">
        <f>CC47+CD47+CE47</f>
        <v>0.44500000000000001</v>
      </c>
      <c r="CG47" s="197">
        <v>0.158</v>
      </c>
      <c r="CH47" s="197"/>
      <c r="CI47" s="197"/>
      <c r="CJ47" s="197"/>
      <c r="CK47" s="197"/>
      <c r="CL47" s="197"/>
      <c r="CM47" s="197"/>
      <c r="CN47" s="197"/>
      <c r="CO47" s="197"/>
      <c r="CP47" s="197"/>
      <c r="CQ47" s="197"/>
      <c r="CR47" s="197"/>
      <c r="CS47" s="197"/>
      <c r="CT47" s="197"/>
      <c r="CU47" s="634"/>
    </row>
    <row r="48" spans="1:99">
      <c r="C48">
        <v>4</v>
      </c>
      <c r="D48" s="209" t="s">
        <v>61</v>
      </c>
      <c r="E48" s="633">
        <v>0.20599999999999999</v>
      </c>
      <c r="F48" s="197">
        <v>0.216</v>
      </c>
      <c r="G48" s="197">
        <v>0.20799999999999999</v>
      </c>
      <c r="H48" s="197">
        <v>0.63</v>
      </c>
      <c r="I48" s="197">
        <v>0.21299999999999999</v>
      </c>
      <c r="J48" s="197">
        <v>0.21199999999999999</v>
      </c>
      <c r="K48" s="197">
        <v>0.20100000000000001</v>
      </c>
      <c r="L48" s="197">
        <v>0.626</v>
      </c>
      <c r="M48" s="197">
        <v>1.256</v>
      </c>
      <c r="N48" s="197">
        <v>0.20799999999999999</v>
      </c>
      <c r="O48" s="197">
        <v>0.19800000000000001</v>
      </c>
      <c r="P48" s="197">
        <v>0.20599999999999999</v>
      </c>
      <c r="Q48" s="197">
        <v>0.61199999999999999</v>
      </c>
      <c r="R48" s="197">
        <v>1.8679999999999999</v>
      </c>
      <c r="S48" s="197">
        <v>0.20599999999999999</v>
      </c>
      <c r="T48" s="197">
        <v>0.188</v>
      </c>
      <c r="U48" s="197">
        <v>0.20100000000000001</v>
      </c>
      <c r="V48" s="197">
        <v>0.59499999999999997</v>
      </c>
      <c r="W48" s="634">
        <v>2.4630000000000001</v>
      </c>
      <c r="X48" s="633">
        <v>0.193</v>
      </c>
      <c r="Y48" s="197">
        <v>0.19900000000000001</v>
      </c>
      <c r="Z48" s="197">
        <v>0.19400000000000001</v>
      </c>
      <c r="AA48" s="197">
        <f t="shared" ref="AA48:AA60" si="1">X48+Y48+Z48</f>
        <v>0.58600000000000008</v>
      </c>
      <c r="AB48" s="197">
        <v>0.19800000000000001</v>
      </c>
      <c r="AC48" s="197">
        <v>0.20100000000000001</v>
      </c>
      <c r="AD48" s="197">
        <v>0.193</v>
      </c>
      <c r="AE48" s="197">
        <f t="shared" ref="AE48:AE60" si="2">AB48+AC48+AD48</f>
        <v>0.59200000000000008</v>
      </c>
      <c r="AF48" s="197">
        <f t="shared" ref="AF48:AF60" si="3">AA48+AE48</f>
        <v>1.1780000000000002</v>
      </c>
      <c r="AG48" s="197">
        <v>0.192</v>
      </c>
      <c r="AH48" s="197">
        <v>0.191</v>
      </c>
      <c r="AI48" s="197">
        <v>0.19400000000000001</v>
      </c>
      <c r="AJ48" s="197">
        <f t="shared" ref="AJ48:AJ59" si="4">AG48+AH48+AI48</f>
        <v>0.57699999999999996</v>
      </c>
      <c r="AK48" s="197">
        <f t="shared" ref="AK48:AK59" si="5">AF48+AJ48</f>
        <v>1.7550000000000001</v>
      </c>
      <c r="AL48" s="197">
        <v>0.19</v>
      </c>
      <c r="AM48" s="197">
        <v>0.18</v>
      </c>
      <c r="AN48" s="197">
        <v>0.192</v>
      </c>
      <c r="AO48" s="197">
        <f t="shared" ref="AO48:AO60" si="6">AL48+AM48+AN48</f>
        <v>0.56200000000000006</v>
      </c>
      <c r="AP48" s="634">
        <f t="shared" ref="AP48:AP60" si="7">AO48+AK48</f>
        <v>2.3170000000000002</v>
      </c>
      <c r="AQ48" s="633">
        <v>0.18099999999999999</v>
      </c>
      <c r="AR48" s="197">
        <v>0.185</v>
      </c>
      <c r="AS48" s="197">
        <v>0.182</v>
      </c>
      <c r="AT48" s="197">
        <f t="shared" ref="AT48:AT60" si="8">AQ48+AR48+AS48</f>
        <v>0.54800000000000004</v>
      </c>
      <c r="AU48" s="197">
        <v>0.191</v>
      </c>
      <c r="AV48" s="197">
        <v>0.186</v>
      </c>
      <c r="AW48" s="197">
        <v>0.18099999999999999</v>
      </c>
      <c r="AX48" s="197">
        <f t="shared" ref="AX48:AX61" si="9">AU48+AV48+AW48</f>
        <v>0.55800000000000005</v>
      </c>
      <c r="AY48" s="197">
        <f t="shared" ref="AY48:AY57" si="10">AT48+AX48</f>
        <v>1.1060000000000001</v>
      </c>
      <c r="AZ48" s="197">
        <v>0.188</v>
      </c>
      <c r="BA48" s="197">
        <v>0.182</v>
      </c>
      <c r="BB48" s="197">
        <v>0.189</v>
      </c>
      <c r="BC48" s="197">
        <f t="shared" si="0"/>
        <v>0.55899999999999994</v>
      </c>
      <c r="BD48" s="197">
        <f t="shared" ref="BD48:BD61" si="11">AY48+BC48</f>
        <v>1.665</v>
      </c>
      <c r="BE48" s="197">
        <v>0.187</v>
      </c>
      <c r="BF48" s="197">
        <v>0.16800000000000001</v>
      </c>
      <c r="BG48" s="197">
        <v>0.184</v>
      </c>
      <c r="BH48" s="197">
        <f t="shared" ref="BH48:BH61" si="12">SUM(BE48:BG48)</f>
        <v>0.53899999999999992</v>
      </c>
      <c r="BI48" s="634">
        <f t="shared" ref="BI48:BI61" si="13">SUM(AT48,AX48,BC48,BH48)</f>
        <v>2.2039999999999997</v>
      </c>
      <c r="BJ48" s="633">
        <v>0.17799999999999999</v>
      </c>
      <c r="BK48">
        <v>0.183</v>
      </c>
      <c r="BL48" s="197">
        <v>0.17699999999999999</v>
      </c>
      <c r="BM48" s="197">
        <f t="shared" ref="BM48:BM60" si="14">BJ48+BK48+BL48</f>
        <v>0.53800000000000003</v>
      </c>
      <c r="BN48" s="197">
        <v>0.18099999999999999</v>
      </c>
      <c r="BO48" s="197">
        <v>0.18</v>
      </c>
      <c r="BP48" s="197">
        <v>0.17299999999999999</v>
      </c>
      <c r="BQ48" s="197">
        <f t="shared" ref="BQ48:BQ61" si="15">BN48+BO48+BP48</f>
        <v>0.53400000000000003</v>
      </c>
      <c r="BR48" s="197">
        <f t="shared" ref="BR48:BR61" si="16">BM48+BQ48</f>
        <v>1.0720000000000001</v>
      </c>
      <c r="BS48" s="197">
        <v>0.17899999999999999</v>
      </c>
      <c r="BT48" s="197">
        <v>0.17199999999999999</v>
      </c>
      <c r="BU48" s="197">
        <v>0.17499999999999999</v>
      </c>
      <c r="BV48" s="197">
        <f t="shared" ref="BV48:BV61" si="17">BS48+BT48+BU48</f>
        <v>0.52600000000000002</v>
      </c>
      <c r="BW48" s="197">
        <f t="shared" ref="BW48:BW61" si="18">BM48+BQ48+BV48</f>
        <v>1.5980000000000001</v>
      </c>
      <c r="BX48" s="197">
        <v>0.14699999999999999</v>
      </c>
      <c r="BY48" s="197">
        <v>0.159</v>
      </c>
      <c r="BZ48" s="197">
        <v>0.16700000000000001</v>
      </c>
      <c r="CA48" s="197">
        <f t="shared" ref="CA48:CA60" si="19">SUM(BX48:BZ48)</f>
        <v>0.47299999999999998</v>
      </c>
      <c r="CB48" s="634">
        <v>2.0950000000000002</v>
      </c>
      <c r="CC48" s="633">
        <v>0.16300000000000001</v>
      </c>
      <c r="CD48">
        <v>0.16900000000000001</v>
      </c>
      <c r="CE48" s="197">
        <v>0.16300000000000001</v>
      </c>
      <c r="CF48" s="197">
        <f t="shared" ref="CF48:CF60" si="20">CC48+CD48+CE48</f>
        <v>0.495</v>
      </c>
      <c r="CG48" s="197">
        <v>0.16900000000000001</v>
      </c>
      <c r="CH48" s="197"/>
      <c r="CI48" s="197"/>
      <c r="CJ48" s="197"/>
      <c r="CK48" s="197"/>
      <c r="CL48" s="197"/>
      <c r="CM48" s="197"/>
      <c r="CN48" s="197"/>
      <c r="CO48" s="197"/>
      <c r="CP48" s="197"/>
      <c r="CQ48" s="197"/>
      <c r="CR48" s="197"/>
      <c r="CS48" s="197"/>
      <c r="CT48" s="197"/>
      <c r="CU48" s="634"/>
    </row>
    <row r="49" spans="1:99">
      <c r="C49">
        <v>5</v>
      </c>
      <c r="D49" s="209" t="s">
        <v>62</v>
      </c>
      <c r="E49" s="633">
        <v>1.7000000000000001E-2</v>
      </c>
      <c r="F49" s="197">
        <v>1.4999999999999999E-2</v>
      </c>
      <c r="G49" s="197">
        <v>1.4999999999999999E-2</v>
      </c>
      <c r="H49" s="197">
        <v>4.7E-2</v>
      </c>
      <c r="I49" s="197">
        <v>1.6E-2</v>
      </c>
      <c r="J49" s="197">
        <v>1.3999999999999999E-2</v>
      </c>
      <c r="K49" s="197">
        <v>1.4E-2</v>
      </c>
      <c r="L49" s="197">
        <v>4.3999999999999997E-2</v>
      </c>
      <c r="M49" s="197">
        <v>9.0999999999999998E-2</v>
      </c>
      <c r="N49" s="197">
        <v>1.4E-2</v>
      </c>
      <c r="O49" s="197">
        <v>1.3999999999999999E-2</v>
      </c>
      <c r="P49" s="197">
        <v>1.3000000000000001E-2</v>
      </c>
      <c r="Q49" s="197">
        <v>4.0999999999999995E-2</v>
      </c>
      <c r="R49" s="197">
        <v>0.13200000000000001</v>
      </c>
      <c r="S49" s="197">
        <v>1.2999999999999999E-2</v>
      </c>
      <c r="T49" s="197">
        <v>1.2E-2</v>
      </c>
      <c r="U49" s="197">
        <v>1.2E-2</v>
      </c>
      <c r="V49" s="197">
        <v>3.7000000000000005E-2</v>
      </c>
      <c r="W49" s="634">
        <v>0.16900000000000001</v>
      </c>
      <c r="X49" s="633">
        <v>1.2E-2</v>
      </c>
      <c r="Y49" s="197">
        <v>1.0999999999999999E-2</v>
      </c>
      <c r="Z49" s="197">
        <v>1.0999999999999999E-2</v>
      </c>
      <c r="AA49" s="197">
        <f t="shared" si="1"/>
        <v>3.4000000000000002E-2</v>
      </c>
      <c r="AB49" s="197">
        <v>1.0999999999999999E-2</v>
      </c>
      <c r="AC49" s="197">
        <v>0.01</v>
      </c>
      <c r="AD49" s="197">
        <v>0.01</v>
      </c>
      <c r="AE49" s="197">
        <f t="shared" si="2"/>
        <v>3.1E-2</v>
      </c>
      <c r="AF49" s="197">
        <f t="shared" si="3"/>
        <v>6.5000000000000002E-2</v>
      </c>
      <c r="AG49" s="197">
        <v>1.0999999999999999E-2</v>
      </c>
      <c r="AH49" s="197">
        <v>0.01</v>
      </c>
      <c r="AI49" s="197">
        <v>0.01</v>
      </c>
      <c r="AJ49" s="197">
        <f t="shared" si="4"/>
        <v>3.1E-2</v>
      </c>
      <c r="AK49" s="197">
        <f t="shared" si="5"/>
        <v>9.6000000000000002E-2</v>
      </c>
      <c r="AL49" s="197">
        <v>0.01</v>
      </c>
      <c r="AM49" s="197">
        <v>8.9999999999999993E-3</v>
      </c>
      <c r="AN49" s="197">
        <v>8.9999999999999993E-3</v>
      </c>
      <c r="AO49" s="197">
        <f t="shared" si="6"/>
        <v>2.7999999999999997E-2</v>
      </c>
      <c r="AP49" s="634">
        <f t="shared" si="7"/>
        <v>0.124</v>
      </c>
      <c r="AQ49" s="633">
        <v>0.01</v>
      </c>
      <c r="AR49" s="197">
        <v>8.9999999999999993E-3</v>
      </c>
      <c r="AS49" s="197">
        <v>7.0000000000000001E-3</v>
      </c>
      <c r="AT49" s="197">
        <f t="shared" si="8"/>
        <v>2.5999999999999999E-2</v>
      </c>
      <c r="AU49" s="197">
        <v>0.01</v>
      </c>
      <c r="AV49" s="197">
        <v>8.9999999999999993E-3</v>
      </c>
      <c r="AW49" s="197">
        <v>8.0000000000000002E-3</v>
      </c>
      <c r="AX49" s="197">
        <f t="shared" si="9"/>
        <v>2.7E-2</v>
      </c>
      <c r="AY49" s="197">
        <f t="shared" si="10"/>
        <v>5.2999999999999999E-2</v>
      </c>
      <c r="AZ49" s="197">
        <v>8.9999999999999993E-3</v>
      </c>
      <c r="BA49" s="197">
        <v>8.9999999999999993E-3</v>
      </c>
      <c r="BB49" s="197">
        <v>8.9999999999999993E-3</v>
      </c>
      <c r="BC49" s="197">
        <f t="shared" si="0"/>
        <v>2.6999999999999996E-2</v>
      </c>
      <c r="BD49" s="197">
        <f t="shared" si="11"/>
        <v>7.9999999999999988E-2</v>
      </c>
      <c r="BE49" s="197">
        <v>8.9999999999999993E-3</v>
      </c>
      <c r="BF49" s="197">
        <v>8.0000000000000002E-3</v>
      </c>
      <c r="BG49" s="197">
        <v>8.0000000000000002E-3</v>
      </c>
      <c r="BH49" s="197">
        <f t="shared" si="12"/>
        <v>2.5000000000000001E-2</v>
      </c>
      <c r="BI49" s="634">
        <f t="shared" si="13"/>
        <v>0.10499999999999998</v>
      </c>
      <c r="BJ49" s="633">
        <v>8.0000000000000002E-3</v>
      </c>
      <c r="BK49">
        <v>8.9999999999999993E-3</v>
      </c>
      <c r="BL49" s="197">
        <v>8.0000000000000002E-3</v>
      </c>
      <c r="BM49" s="197">
        <f t="shared" si="14"/>
        <v>2.5000000000000001E-2</v>
      </c>
      <c r="BN49" s="197">
        <v>8.0000000000000002E-3</v>
      </c>
      <c r="BO49" s="197">
        <v>8.0000000000000002E-3</v>
      </c>
      <c r="BP49" s="197">
        <v>8.9999999999999993E-3</v>
      </c>
      <c r="BQ49" s="197">
        <f t="shared" si="15"/>
        <v>2.5000000000000001E-2</v>
      </c>
      <c r="BR49" s="197">
        <f t="shared" si="16"/>
        <v>0.05</v>
      </c>
      <c r="BS49" s="197">
        <v>0.01</v>
      </c>
      <c r="BT49" s="197">
        <v>8.9999999999999993E-3</v>
      </c>
      <c r="BU49" s="197">
        <v>8.9999999999999993E-3</v>
      </c>
      <c r="BV49" s="197">
        <f t="shared" si="17"/>
        <v>2.7999999999999997E-2</v>
      </c>
      <c r="BW49" s="197">
        <f t="shared" si="18"/>
        <v>7.8E-2</v>
      </c>
      <c r="BX49" s="197">
        <v>8.9999999999999993E-3</v>
      </c>
      <c r="BY49" s="197">
        <v>7.0000000000000001E-3</v>
      </c>
      <c r="BZ49" s="197">
        <v>8.0000000000000002E-3</v>
      </c>
      <c r="CA49" s="197">
        <f t="shared" si="19"/>
        <v>2.4E-2</v>
      </c>
      <c r="CB49" s="634">
        <v>0.10299999999999999</v>
      </c>
      <c r="CC49" s="633">
        <v>8.0000000000000002E-3</v>
      </c>
      <c r="CD49">
        <v>7.0000000000000001E-3</v>
      </c>
      <c r="CE49" s="197">
        <v>8.0000000000000002E-3</v>
      </c>
      <c r="CF49" s="197">
        <f t="shared" si="20"/>
        <v>2.3E-2</v>
      </c>
      <c r="CG49" s="197">
        <v>8.0000000000000002E-3</v>
      </c>
      <c r="CH49" s="197"/>
      <c r="CI49" s="197"/>
      <c r="CJ49" s="197"/>
      <c r="CK49" s="197"/>
      <c r="CL49" s="197"/>
      <c r="CM49" s="197"/>
      <c r="CN49" s="197"/>
      <c r="CO49" s="197"/>
      <c r="CP49" s="197"/>
      <c r="CQ49" s="197"/>
      <c r="CR49" s="197"/>
      <c r="CS49" s="197"/>
      <c r="CT49" s="197"/>
      <c r="CU49" s="634"/>
    </row>
    <row r="50" spans="1:99">
      <c r="C50">
        <v>6</v>
      </c>
      <c r="D50" s="209" t="s">
        <v>57</v>
      </c>
      <c r="E50" s="633">
        <v>4.1000000000000002E-2</v>
      </c>
      <c r="F50" s="197">
        <v>4.1000000000000002E-2</v>
      </c>
      <c r="G50" s="197">
        <v>3.5999999999999997E-2</v>
      </c>
      <c r="H50" s="197">
        <v>0.11799999999999999</v>
      </c>
      <c r="I50" s="197">
        <v>3.9E-2</v>
      </c>
      <c r="J50" s="197">
        <v>0.04</v>
      </c>
      <c r="K50" s="197">
        <v>3.6999999999999998E-2</v>
      </c>
      <c r="L50" s="197">
        <v>0.11599999999999999</v>
      </c>
      <c r="M50" s="197">
        <v>0.23399999999999999</v>
      </c>
      <c r="N50" s="197">
        <v>3.9E-2</v>
      </c>
      <c r="O50" s="197">
        <v>3.7999999999999999E-2</v>
      </c>
      <c r="P50" s="197">
        <v>0.04</v>
      </c>
      <c r="Q50" s="197">
        <v>0.11699999999999999</v>
      </c>
      <c r="R50" s="197">
        <v>0.35099999999999998</v>
      </c>
      <c r="S50" s="197">
        <v>3.7999999999999999E-2</v>
      </c>
      <c r="T50" s="197">
        <v>3.3000000000000002E-2</v>
      </c>
      <c r="U50" s="197">
        <v>3.6999999999999998E-2</v>
      </c>
      <c r="V50" s="197">
        <v>0.10800000000000001</v>
      </c>
      <c r="W50" s="634">
        <v>0.45899999999999996</v>
      </c>
      <c r="X50" s="633">
        <v>3.5000000000000003E-2</v>
      </c>
      <c r="Y50" s="197">
        <v>3.5000000000000003E-2</v>
      </c>
      <c r="Z50" s="197">
        <v>3.4000000000000002E-2</v>
      </c>
      <c r="AA50" s="197">
        <f t="shared" si="1"/>
        <v>0.10400000000000001</v>
      </c>
      <c r="AB50" s="197">
        <v>3.4000000000000002E-2</v>
      </c>
      <c r="AC50" s="197">
        <v>3.4000000000000002E-2</v>
      </c>
      <c r="AD50" s="197">
        <v>3.3000000000000002E-2</v>
      </c>
      <c r="AE50" s="197">
        <f t="shared" si="2"/>
        <v>0.10100000000000001</v>
      </c>
      <c r="AF50" s="197">
        <f t="shared" si="3"/>
        <v>0.20500000000000002</v>
      </c>
      <c r="AG50" s="197">
        <v>3.3000000000000002E-2</v>
      </c>
      <c r="AH50" s="197">
        <v>3.2000000000000001E-2</v>
      </c>
      <c r="AI50" s="197">
        <v>3.4000000000000002E-2</v>
      </c>
      <c r="AJ50" s="197">
        <f t="shared" si="4"/>
        <v>9.9000000000000005E-2</v>
      </c>
      <c r="AK50" s="197">
        <f t="shared" si="5"/>
        <v>0.30400000000000005</v>
      </c>
      <c r="AL50" s="197">
        <v>3.2000000000000001E-2</v>
      </c>
      <c r="AM50" s="197">
        <v>3.1E-2</v>
      </c>
      <c r="AN50" s="197">
        <v>3.3000000000000002E-2</v>
      </c>
      <c r="AO50" s="197">
        <f t="shared" si="6"/>
        <v>9.6000000000000002E-2</v>
      </c>
      <c r="AP50" s="634">
        <f t="shared" si="7"/>
        <v>0.4</v>
      </c>
      <c r="AQ50" s="633">
        <v>3.1E-2</v>
      </c>
      <c r="AR50" s="197">
        <v>3.1E-2</v>
      </c>
      <c r="AS50" s="197">
        <v>3.2000000000000001E-2</v>
      </c>
      <c r="AT50" s="197">
        <f t="shared" si="8"/>
        <v>9.4E-2</v>
      </c>
      <c r="AU50" s="197">
        <v>3.3000000000000002E-2</v>
      </c>
      <c r="AV50" s="197">
        <v>3.3000000000000002E-2</v>
      </c>
      <c r="AW50" s="197">
        <v>3.2000000000000001E-2</v>
      </c>
      <c r="AX50" s="197">
        <f t="shared" si="9"/>
        <v>9.8000000000000004E-2</v>
      </c>
      <c r="AY50" s="197">
        <f t="shared" si="10"/>
        <v>0.192</v>
      </c>
      <c r="AZ50" s="197">
        <v>3.4000000000000002E-2</v>
      </c>
      <c r="BA50" s="197">
        <v>0.10100000000000001</v>
      </c>
      <c r="BB50" s="197">
        <v>4.2999999999999997E-2</v>
      </c>
      <c r="BC50" s="197">
        <f t="shared" si="0"/>
        <v>0.17799999999999999</v>
      </c>
      <c r="BD50" s="197">
        <f t="shared" si="11"/>
        <v>0.37</v>
      </c>
      <c r="BE50" s="197">
        <v>3.9E-2</v>
      </c>
      <c r="BF50" s="197">
        <v>3.7999999999999999E-2</v>
      </c>
      <c r="BG50" s="197">
        <v>0.04</v>
      </c>
      <c r="BH50" s="197">
        <f t="shared" si="12"/>
        <v>0.11699999999999999</v>
      </c>
      <c r="BI50" s="634">
        <f t="shared" si="13"/>
        <v>0.48699999999999999</v>
      </c>
      <c r="BJ50" s="633">
        <v>3.7999999999999999E-2</v>
      </c>
      <c r="BK50">
        <v>3.9E-2</v>
      </c>
      <c r="BL50" s="197">
        <v>3.7999999999999999E-2</v>
      </c>
      <c r="BM50" s="197">
        <f t="shared" si="14"/>
        <v>0.11499999999999999</v>
      </c>
      <c r="BN50" s="197">
        <v>0.04</v>
      </c>
      <c r="BO50" s="197">
        <v>0.04</v>
      </c>
      <c r="BP50" s="197">
        <v>0.04</v>
      </c>
      <c r="BQ50" s="197">
        <f t="shared" si="15"/>
        <v>0.12</v>
      </c>
      <c r="BR50" s="197">
        <f t="shared" si="16"/>
        <v>0.23499999999999999</v>
      </c>
      <c r="BS50" s="197">
        <v>4.1000000000000002E-2</v>
      </c>
      <c r="BT50" s="197">
        <v>0.04</v>
      </c>
      <c r="BU50" s="197">
        <v>4.1000000000000002E-2</v>
      </c>
      <c r="BV50" s="197">
        <f t="shared" si="17"/>
        <v>0.122</v>
      </c>
      <c r="BW50" s="197">
        <f t="shared" si="18"/>
        <v>0.35699999999999998</v>
      </c>
      <c r="BX50" s="197">
        <v>3.9E-2</v>
      </c>
      <c r="BY50" s="197">
        <v>3.5999999999999997E-2</v>
      </c>
      <c r="BZ50" s="197">
        <v>0.04</v>
      </c>
      <c r="CA50" s="197">
        <f t="shared" si="19"/>
        <v>0.11499999999999999</v>
      </c>
      <c r="CB50" s="634">
        <v>0.47199999999999998</v>
      </c>
      <c r="CC50" s="633">
        <v>3.7999999999999999E-2</v>
      </c>
      <c r="CD50">
        <v>3.9E-2</v>
      </c>
      <c r="CE50" s="197">
        <v>3.7999999999999999E-2</v>
      </c>
      <c r="CF50" s="197">
        <f t="shared" si="20"/>
        <v>0.11499999999999999</v>
      </c>
      <c r="CG50" s="197">
        <v>0.04</v>
      </c>
      <c r="CH50" s="197"/>
      <c r="CI50" s="197"/>
      <c r="CJ50" s="197"/>
      <c r="CK50" s="197"/>
      <c r="CL50" s="197"/>
      <c r="CM50" s="197"/>
      <c r="CN50" s="197"/>
      <c r="CO50" s="197"/>
      <c r="CP50" s="197"/>
      <c r="CQ50" s="197"/>
      <c r="CR50" s="197"/>
      <c r="CS50" s="197"/>
      <c r="CT50" s="197"/>
      <c r="CU50" s="634"/>
    </row>
    <row r="51" spans="1:99">
      <c r="A51" t="s">
        <v>293</v>
      </c>
      <c r="C51">
        <v>7</v>
      </c>
      <c r="D51" s="209" t="s">
        <v>58</v>
      </c>
      <c r="E51" s="633">
        <v>7.0000000000000001E-3</v>
      </c>
      <c r="F51" s="197">
        <v>0</v>
      </c>
      <c r="G51" s="197">
        <v>1.4999999999999999E-2</v>
      </c>
      <c r="H51" s="197">
        <v>2.1999999999999999E-2</v>
      </c>
      <c r="I51" s="197">
        <v>2.9000000000000001E-2</v>
      </c>
      <c r="J51" s="197">
        <v>5.0999999999999997E-2</v>
      </c>
      <c r="K51" s="197">
        <v>4.7E-2</v>
      </c>
      <c r="L51" s="197">
        <v>0.127</v>
      </c>
      <c r="M51" s="197">
        <v>0.14899999999999999</v>
      </c>
      <c r="N51" s="197">
        <v>5.2999999999999999E-2</v>
      </c>
      <c r="O51" s="197">
        <v>3.2000000000000001E-2</v>
      </c>
      <c r="P51" s="197">
        <v>1.4999999999999999E-2</v>
      </c>
      <c r="Q51" s="197">
        <v>9.9999999999999992E-2</v>
      </c>
      <c r="R51" s="197">
        <v>0.249</v>
      </c>
      <c r="S51" s="197">
        <v>4.1000000000000002E-2</v>
      </c>
      <c r="T51" s="197">
        <v>3.2000000000000001E-2</v>
      </c>
      <c r="U51" s="197">
        <v>2.5000000000000001E-2</v>
      </c>
      <c r="V51" s="197">
        <v>9.8000000000000004E-2</v>
      </c>
      <c r="W51" s="634">
        <v>0.34699999999999998</v>
      </c>
      <c r="X51" s="633">
        <v>4.2000000000000003E-2</v>
      </c>
      <c r="Y51" s="197">
        <v>2.8000000000000001E-2</v>
      </c>
      <c r="Z51" s="197">
        <v>3.7999999999999999E-2</v>
      </c>
      <c r="AA51" s="197">
        <f t="shared" si="1"/>
        <v>0.10800000000000001</v>
      </c>
      <c r="AB51" s="197">
        <v>4.3999999999999997E-2</v>
      </c>
      <c r="AC51" s="197">
        <v>4.1000000000000002E-2</v>
      </c>
      <c r="AD51" s="197">
        <v>2.8000000000000001E-2</v>
      </c>
      <c r="AE51" s="197">
        <f t="shared" si="2"/>
        <v>0.11299999999999999</v>
      </c>
      <c r="AF51" s="197">
        <f t="shared" si="3"/>
        <v>0.221</v>
      </c>
      <c r="AG51" s="197">
        <v>0</v>
      </c>
      <c r="AH51" s="197">
        <v>2.4E-2</v>
      </c>
      <c r="AI51" s="197">
        <v>4.1999999999999996E-2</v>
      </c>
      <c r="AJ51" s="197">
        <f t="shared" si="4"/>
        <v>6.6000000000000003E-2</v>
      </c>
      <c r="AK51" s="197">
        <f t="shared" si="5"/>
        <v>0.28700000000000003</v>
      </c>
      <c r="AL51" s="197">
        <v>3.6999999999999998E-2</v>
      </c>
      <c r="AM51" s="197">
        <v>3.5999999999999997E-2</v>
      </c>
      <c r="AN51" s="197">
        <v>0.03</v>
      </c>
      <c r="AO51" s="197">
        <f t="shared" si="6"/>
        <v>0.10299999999999999</v>
      </c>
      <c r="AP51" s="634">
        <f t="shared" si="7"/>
        <v>0.39</v>
      </c>
      <c r="AQ51" s="633">
        <v>2.1000000000000001E-2</v>
      </c>
      <c r="AR51" s="197">
        <v>3.3000000000000002E-2</v>
      </c>
      <c r="AS51" s="197">
        <v>2.7E-2</v>
      </c>
      <c r="AT51" s="197">
        <f t="shared" si="8"/>
        <v>8.1000000000000003E-2</v>
      </c>
      <c r="AU51" s="197">
        <v>0.03</v>
      </c>
      <c r="AV51" s="197">
        <v>3.7999999999999999E-2</v>
      </c>
      <c r="AW51" s="197">
        <v>3.1E-2</v>
      </c>
      <c r="AX51" s="197">
        <f t="shared" si="9"/>
        <v>9.9000000000000005E-2</v>
      </c>
      <c r="AY51" s="197">
        <f t="shared" si="10"/>
        <v>0.18</v>
      </c>
      <c r="AZ51" s="197">
        <v>2.8000000000000001E-2</v>
      </c>
      <c r="BA51" s="197">
        <v>2.8000000000000001E-2</v>
      </c>
      <c r="BB51" s="197">
        <v>3.9E-2</v>
      </c>
      <c r="BC51" s="197">
        <f t="shared" si="0"/>
        <v>9.5000000000000001E-2</v>
      </c>
      <c r="BD51" s="197">
        <f t="shared" si="11"/>
        <v>0.27500000000000002</v>
      </c>
      <c r="BE51" s="197">
        <v>3.4000000000000002E-2</v>
      </c>
      <c r="BF51" s="197">
        <v>2.5000000000000001E-2</v>
      </c>
      <c r="BG51" s="197">
        <v>3.2000000000000001E-2</v>
      </c>
      <c r="BH51" s="197">
        <f t="shared" si="12"/>
        <v>9.0999999999999998E-2</v>
      </c>
      <c r="BI51" s="634">
        <f t="shared" si="13"/>
        <v>0.36599999999999999</v>
      </c>
      <c r="BJ51" s="633">
        <v>3.2000000000000001E-2</v>
      </c>
      <c r="BK51">
        <v>3.5000000000000003E-2</v>
      </c>
      <c r="BL51" s="197">
        <v>3.6999999999999998E-2</v>
      </c>
      <c r="BM51" s="197">
        <f t="shared" si="14"/>
        <v>0.10400000000000001</v>
      </c>
      <c r="BN51" s="197">
        <v>3.6999999999999998E-2</v>
      </c>
      <c r="BO51" s="197">
        <v>3.6999999999999998E-2</v>
      </c>
      <c r="BP51" s="197">
        <v>3.5000000000000003E-2</v>
      </c>
      <c r="BQ51" s="197">
        <f t="shared" si="15"/>
        <v>0.109</v>
      </c>
      <c r="BR51" s="197">
        <f t="shared" si="16"/>
        <v>0.21300000000000002</v>
      </c>
      <c r="BS51" s="197">
        <v>3.9E-2</v>
      </c>
      <c r="BT51" s="197">
        <v>2.1999999999999999E-2</v>
      </c>
      <c r="BU51" s="197">
        <v>0</v>
      </c>
      <c r="BV51" s="197">
        <f t="shared" si="17"/>
        <v>6.0999999999999999E-2</v>
      </c>
      <c r="BW51" s="197">
        <f t="shared" si="18"/>
        <v>0.27400000000000002</v>
      </c>
      <c r="BX51" s="197">
        <v>5.0000000000000001E-3</v>
      </c>
      <c r="BY51" s="197">
        <v>3.3000000000000002E-2</v>
      </c>
      <c r="BZ51" s="197">
        <v>4.2000000000000003E-2</v>
      </c>
      <c r="CA51" s="197">
        <f t="shared" si="19"/>
        <v>0.08</v>
      </c>
      <c r="CB51" s="634">
        <v>0.35399999999999998</v>
      </c>
      <c r="CC51" s="633">
        <v>4.2999999999999997E-2</v>
      </c>
      <c r="CD51">
        <v>3.6999999999999998E-2</v>
      </c>
      <c r="CE51" s="197">
        <v>3.9E-2</v>
      </c>
      <c r="CF51" s="197">
        <f t="shared" si="20"/>
        <v>0.11899999999999999</v>
      </c>
      <c r="CG51" s="197">
        <v>3.4000000000000002E-2</v>
      </c>
      <c r="CH51" s="197"/>
      <c r="CI51" s="197"/>
      <c r="CJ51" s="197"/>
      <c r="CK51" s="197"/>
      <c r="CL51" s="197"/>
      <c r="CM51" s="197"/>
      <c r="CN51" s="197"/>
      <c r="CO51" s="197"/>
      <c r="CP51" s="197"/>
      <c r="CQ51" s="197"/>
      <c r="CR51" s="197"/>
      <c r="CS51" s="197"/>
      <c r="CT51" s="197"/>
      <c r="CU51" s="634"/>
    </row>
    <row r="52" spans="1:99">
      <c r="C52">
        <v>8</v>
      </c>
      <c r="D52" s="209" t="s">
        <v>59</v>
      </c>
      <c r="E52" s="633">
        <v>6.0000000000000001E-3</v>
      </c>
      <c r="F52" s="197">
        <v>6.0000000000000001E-3</v>
      </c>
      <c r="G52" s="197">
        <v>6.0000000000000001E-3</v>
      </c>
      <c r="H52" s="197">
        <v>1.8000000000000002E-2</v>
      </c>
      <c r="I52" s="197">
        <v>7.0000000000000001E-3</v>
      </c>
      <c r="J52" s="197">
        <v>6.0000000000000001E-3</v>
      </c>
      <c r="K52" s="197">
        <v>7.0000000000000001E-3</v>
      </c>
      <c r="L52" s="197">
        <v>0.02</v>
      </c>
      <c r="M52" s="197">
        <v>3.8000000000000006E-2</v>
      </c>
      <c r="N52" s="197">
        <v>7.0000000000000001E-3</v>
      </c>
      <c r="O52" s="197">
        <v>6.0000000000000001E-3</v>
      </c>
      <c r="P52" s="197">
        <v>7.0000000000000001E-3</v>
      </c>
      <c r="Q52" s="197">
        <v>0.02</v>
      </c>
      <c r="R52" s="197">
        <v>5.800000000000001E-2</v>
      </c>
      <c r="S52" s="197">
        <v>7.0000000000000001E-3</v>
      </c>
      <c r="T52" s="197">
        <v>6.0000000000000001E-3</v>
      </c>
      <c r="U52" s="197">
        <v>6.0000000000000001E-3</v>
      </c>
      <c r="V52" s="197">
        <v>1.9000000000000003E-2</v>
      </c>
      <c r="W52" s="634">
        <v>7.7000000000000013E-2</v>
      </c>
      <c r="X52" s="633">
        <v>7.0000000000000001E-3</v>
      </c>
      <c r="Y52" s="197">
        <v>6.0000000000000001E-3</v>
      </c>
      <c r="Z52" s="197">
        <v>7.0000000000000001E-3</v>
      </c>
      <c r="AA52" s="197">
        <f t="shared" si="1"/>
        <v>0.02</v>
      </c>
      <c r="AB52" s="197">
        <v>7.0000000000000001E-3</v>
      </c>
      <c r="AC52" s="197">
        <v>7.0000000000000001E-3</v>
      </c>
      <c r="AD52" s="197">
        <v>6.0000000000000001E-3</v>
      </c>
      <c r="AE52" s="197">
        <f t="shared" si="2"/>
        <v>0.02</v>
      </c>
      <c r="AF52" s="197">
        <f t="shared" si="3"/>
        <v>0.04</v>
      </c>
      <c r="AG52" s="197">
        <v>8.0000000000000002E-3</v>
      </c>
      <c r="AH52" s="197">
        <v>7.0000000000000001E-3</v>
      </c>
      <c r="AI52" s="197">
        <v>8.0000000000000002E-3</v>
      </c>
      <c r="AJ52" s="197">
        <f t="shared" si="4"/>
        <v>2.3E-2</v>
      </c>
      <c r="AK52" s="197">
        <f t="shared" si="5"/>
        <v>6.3E-2</v>
      </c>
      <c r="AL52" s="197">
        <v>8.0000000000000002E-3</v>
      </c>
      <c r="AM52" s="197">
        <v>7.0000000000000001E-3</v>
      </c>
      <c r="AN52" s="197">
        <v>8.0000000000000002E-3</v>
      </c>
      <c r="AO52" s="197">
        <f t="shared" si="6"/>
        <v>2.3E-2</v>
      </c>
      <c r="AP52" s="634">
        <f t="shared" si="7"/>
        <v>8.5999999999999993E-2</v>
      </c>
      <c r="AQ52" s="633">
        <v>8.9999999999999993E-3</v>
      </c>
      <c r="AR52" s="197">
        <v>8.9999999999999993E-3</v>
      </c>
      <c r="AS52" s="197">
        <v>0.01</v>
      </c>
      <c r="AT52" s="197">
        <f t="shared" si="8"/>
        <v>2.7999999999999997E-2</v>
      </c>
      <c r="AU52" s="197">
        <v>8.9999999999999993E-3</v>
      </c>
      <c r="AV52" s="197">
        <v>0.01</v>
      </c>
      <c r="AW52" s="197">
        <v>8.0000000000000002E-3</v>
      </c>
      <c r="AX52" s="197">
        <f t="shared" si="9"/>
        <v>2.7E-2</v>
      </c>
      <c r="AY52" s="197">
        <f t="shared" si="10"/>
        <v>5.4999999999999993E-2</v>
      </c>
      <c r="AZ52" s="197">
        <v>0.01</v>
      </c>
      <c r="BA52" s="197">
        <v>8.9999999999999993E-3</v>
      </c>
      <c r="BB52" s="197">
        <v>8.9999999999999993E-3</v>
      </c>
      <c r="BC52" s="197">
        <f t="shared" si="0"/>
        <v>2.7999999999999997E-2</v>
      </c>
      <c r="BD52" s="197">
        <f t="shared" si="11"/>
        <v>8.299999999999999E-2</v>
      </c>
      <c r="BE52" s="197">
        <v>0.01</v>
      </c>
      <c r="BF52" s="197">
        <v>8.9999999999999993E-3</v>
      </c>
      <c r="BG52" s="197">
        <v>0.01</v>
      </c>
      <c r="BH52" s="197">
        <f t="shared" si="12"/>
        <v>2.8999999999999998E-2</v>
      </c>
      <c r="BI52" s="634">
        <f t="shared" si="13"/>
        <v>0.11199999999999999</v>
      </c>
      <c r="BJ52" s="633">
        <v>1.0999999999999999E-2</v>
      </c>
      <c r="BK52">
        <v>1.0999999999999999E-2</v>
      </c>
      <c r="BL52" s="197">
        <v>0.01</v>
      </c>
      <c r="BM52" s="197">
        <f t="shared" si="14"/>
        <v>3.2000000000000001E-2</v>
      </c>
      <c r="BN52" s="197">
        <v>1.0999999999999999E-2</v>
      </c>
      <c r="BO52" s="197">
        <v>1.0999999999999999E-2</v>
      </c>
      <c r="BP52" s="197">
        <v>1.0999999999999999E-2</v>
      </c>
      <c r="BQ52" s="197">
        <f t="shared" si="15"/>
        <v>3.3000000000000002E-2</v>
      </c>
      <c r="BR52" s="197">
        <f t="shared" si="16"/>
        <v>6.5000000000000002E-2</v>
      </c>
      <c r="BS52" s="197">
        <v>1.2E-2</v>
      </c>
      <c r="BT52" s="197">
        <v>1.2E-2</v>
      </c>
      <c r="BU52" s="197">
        <v>1.0999999999999999E-2</v>
      </c>
      <c r="BV52" s="197">
        <f t="shared" si="17"/>
        <v>3.5000000000000003E-2</v>
      </c>
      <c r="BW52" s="197">
        <f t="shared" si="18"/>
        <v>0.1</v>
      </c>
      <c r="BX52" s="197">
        <v>0.01</v>
      </c>
      <c r="BY52" s="197">
        <v>0.01</v>
      </c>
      <c r="BZ52" s="197">
        <v>0.01</v>
      </c>
      <c r="CA52" s="197">
        <f t="shared" si="19"/>
        <v>0.03</v>
      </c>
      <c r="CB52" s="634">
        <v>0.13</v>
      </c>
      <c r="CC52" s="633">
        <v>0.01</v>
      </c>
      <c r="CD52">
        <v>0.01</v>
      </c>
      <c r="CE52" s="197">
        <v>1.0999999999999999E-2</v>
      </c>
      <c r="CF52" s="197">
        <f t="shared" si="20"/>
        <v>3.1E-2</v>
      </c>
      <c r="CG52" s="197">
        <v>1.0999999999999999E-2</v>
      </c>
      <c r="CH52" s="197"/>
      <c r="CI52" s="197"/>
      <c r="CJ52" s="197"/>
      <c r="CK52" s="197"/>
      <c r="CL52" s="197"/>
      <c r="CM52" s="197"/>
      <c r="CN52" s="197"/>
      <c r="CO52" s="197"/>
      <c r="CP52" s="197"/>
      <c r="CQ52" s="197"/>
      <c r="CR52" s="197"/>
      <c r="CS52" s="197"/>
      <c r="CT52" s="197"/>
      <c r="CU52" s="634"/>
    </row>
    <row r="53" spans="1:99">
      <c r="C53">
        <v>9</v>
      </c>
      <c r="D53" s="209" t="s">
        <v>63</v>
      </c>
      <c r="E53" s="633">
        <v>5.8000000000000003E-2</v>
      </c>
      <c r="F53" s="197">
        <v>5.8000000000000003E-2</v>
      </c>
      <c r="G53" s="197">
        <v>5.8000000000000003E-2</v>
      </c>
      <c r="H53" s="197">
        <v>0.17400000000000002</v>
      </c>
      <c r="I53" s="197">
        <v>4.7E-2</v>
      </c>
      <c r="J53" s="197">
        <v>6.0999999999999999E-2</v>
      </c>
      <c r="K53" s="197">
        <v>5.3999999999999999E-2</v>
      </c>
      <c r="L53" s="197">
        <v>0.16200000000000001</v>
      </c>
      <c r="M53" s="197">
        <v>0.33600000000000002</v>
      </c>
      <c r="N53" s="197">
        <v>5.2999999999999999E-2</v>
      </c>
      <c r="O53" s="197">
        <v>6.4000000000000001E-2</v>
      </c>
      <c r="P53" s="197">
        <v>5.8999999999999997E-2</v>
      </c>
      <c r="Q53" s="197">
        <v>0.17599999999999999</v>
      </c>
      <c r="R53" s="197">
        <v>0.51200000000000001</v>
      </c>
      <c r="S53" s="197">
        <v>5.3999999999999999E-2</v>
      </c>
      <c r="T53" s="197">
        <v>4.8000000000000001E-2</v>
      </c>
      <c r="U53" s="197">
        <v>0.04</v>
      </c>
      <c r="V53" s="197">
        <v>0.14200000000000002</v>
      </c>
      <c r="W53" s="634">
        <v>0.65400000000000003</v>
      </c>
      <c r="X53" s="633">
        <v>5.0999999999999997E-2</v>
      </c>
      <c r="Y53" s="197">
        <v>5.0999999999999997E-2</v>
      </c>
      <c r="Z53" s="197">
        <v>5.0999999999999997E-2</v>
      </c>
      <c r="AA53" s="197">
        <f t="shared" si="1"/>
        <v>0.153</v>
      </c>
      <c r="AB53" s="197">
        <v>5.0999999999999997E-2</v>
      </c>
      <c r="AC53" s="197">
        <v>0.05</v>
      </c>
      <c r="AD53" s="197">
        <v>4.5999999999999999E-2</v>
      </c>
      <c r="AE53" s="197">
        <f t="shared" si="2"/>
        <v>0.14700000000000002</v>
      </c>
      <c r="AF53" s="197">
        <f t="shared" si="3"/>
        <v>0.30000000000000004</v>
      </c>
      <c r="AG53" s="197">
        <v>6.7000000000000004E-2</v>
      </c>
      <c r="AH53" s="197">
        <v>6.4000000000000001E-2</v>
      </c>
      <c r="AI53" s="197">
        <v>6.6000000000000003E-2</v>
      </c>
      <c r="AJ53" s="197">
        <f t="shared" si="4"/>
        <v>0.19700000000000001</v>
      </c>
      <c r="AK53" s="197">
        <f t="shared" si="5"/>
        <v>0.49700000000000005</v>
      </c>
      <c r="AL53" s="197">
        <v>5.1999999999999998E-2</v>
      </c>
      <c r="AM53" s="197">
        <v>6.2E-2</v>
      </c>
      <c r="AN53" s="197">
        <v>4.9000000000000002E-2</v>
      </c>
      <c r="AO53" s="197">
        <f t="shared" si="6"/>
        <v>0.16299999999999998</v>
      </c>
      <c r="AP53" s="634">
        <f t="shared" si="7"/>
        <v>0.66</v>
      </c>
      <c r="AQ53" s="633">
        <v>7.9000000000000001E-2</v>
      </c>
      <c r="AR53" s="197">
        <v>7.0999999999999994E-2</v>
      </c>
      <c r="AS53" s="197">
        <v>7.8E-2</v>
      </c>
      <c r="AT53" s="197">
        <f t="shared" si="8"/>
        <v>0.22799999999999998</v>
      </c>
      <c r="AU53" s="197">
        <v>7.6999999999999999E-2</v>
      </c>
      <c r="AV53" s="197">
        <v>7.3999999999999996E-2</v>
      </c>
      <c r="AW53" s="197">
        <v>7.3999999999999996E-2</v>
      </c>
      <c r="AX53" s="197">
        <f t="shared" si="9"/>
        <v>0.22499999999999998</v>
      </c>
      <c r="AY53" s="197">
        <f t="shared" si="10"/>
        <v>0.45299999999999996</v>
      </c>
      <c r="AZ53" s="197">
        <v>6.8000000000000005E-2</v>
      </c>
      <c r="BA53" s="197">
        <v>6.3E-2</v>
      </c>
      <c r="BB53" s="197">
        <v>5.6000000000000001E-2</v>
      </c>
      <c r="BC53" s="197">
        <f t="shared" si="0"/>
        <v>0.187</v>
      </c>
      <c r="BD53" s="197">
        <f t="shared" si="11"/>
        <v>0.6399999999999999</v>
      </c>
      <c r="BE53" s="197">
        <v>7.0000000000000007E-2</v>
      </c>
      <c r="BF53" s="197">
        <v>5.7000000000000002E-2</v>
      </c>
      <c r="BG53" s="197">
        <v>6.0999999999999999E-2</v>
      </c>
      <c r="BH53" s="197">
        <f t="shared" si="12"/>
        <v>0.188</v>
      </c>
      <c r="BI53" s="634">
        <f t="shared" si="13"/>
        <v>0.82799999999999985</v>
      </c>
      <c r="BJ53" s="633">
        <v>7.0999999999999994E-2</v>
      </c>
      <c r="BK53">
        <v>5.8000000000000003E-2</v>
      </c>
      <c r="BL53" s="197">
        <v>4.7E-2</v>
      </c>
      <c r="BM53" s="197">
        <f t="shared" si="14"/>
        <v>0.17599999999999999</v>
      </c>
      <c r="BN53" s="197">
        <v>7.0000000000000007E-2</v>
      </c>
      <c r="BO53" s="197">
        <v>7.0000000000000007E-2</v>
      </c>
      <c r="BP53" s="197">
        <v>6.6000000000000003E-2</v>
      </c>
      <c r="BQ53" s="197">
        <f t="shared" si="15"/>
        <v>0.20600000000000002</v>
      </c>
      <c r="BR53" s="197">
        <f t="shared" si="16"/>
        <v>0.38200000000000001</v>
      </c>
      <c r="BS53" s="197">
        <v>0.06</v>
      </c>
      <c r="BT53" s="197">
        <v>5.2999999999999999E-2</v>
      </c>
      <c r="BU53" s="197">
        <v>6.6000000000000003E-2</v>
      </c>
      <c r="BV53" s="197">
        <f t="shared" si="17"/>
        <v>0.17899999999999999</v>
      </c>
      <c r="BW53" s="197">
        <f t="shared" si="18"/>
        <v>0.56099999999999994</v>
      </c>
      <c r="BX53" s="197">
        <v>6.5000000000000002E-2</v>
      </c>
      <c r="BY53" s="197">
        <v>4.2000000000000003E-2</v>
      </c>
      <c r="BZ53" s="197">
        <v>6.6000000000000003E-2</v>
      </c>
      <c r="CA53" s="197">
        <f t="shared" si="19"/>
        <v>0.17300000000000001</v>
      </c>
      <c r="CB53" s="634">
        <v>0.73399999999999999</v>
      </c>
      <c r="CC53" s="633">
        <v>5.1999999999999998E-2</v>
      </c>
      <c r="CD53">
        <v>6.4000000000000001E-2</v>
      </c>
      <c r="CE53" s="197">
        <v>6.0999999999999999E-2</v>
      </c>
      <c r="CF53" s="197">
        <f t="shared" si="20"/>
        <v>0.17699999999999999</v>
      </c>
      <c r="CG53" s="197">
        <v>0.06</v>
      </c>
      <c r="CH53" s="197"/>
      <c r="CI53" s="197"/>
      <c r="CJ53" s="197"/>
      <c r="CK53" s="197"/>
      <c r="CL53" s="197"/>
      <c r="CM53" s="197"/>
      <c r="CN53" s="197"/>
      <c r="CO53" s="197"/>
      <c r="CP53" s="197"/>
      <c r="CQ53" s="197"/>
      <c r="CR53" s="197"/>
      <c r="CS53" s="197"/>
      <c r="CT53" s="197"/>
      <c r="CU53" s="634"/>
    </row>
    <row r="54" spans="1:99">
      <c r="C54">
        <v>10</v>
      </c>
      <c r="D54" s="209" t="s">
        <v>64</v>
      </c>
      <c r="E54" s="633">
        <v>6.0000000000000001E-3</v>
      </c>
      <c r="F54" s="197">
        <v>6.0000000000000001E-3</v>
      </c>
      <c r="G54" s="197">
        <v>6.0000000000000001E-3</v>
      </c>
      <c r="H54" s="197">
        <v>1.8000000000000002E-2</v>
      </c>
      <c r="I54" s="197">
        <v>6.0000000000000001E-3</v>
      </c>
      <c r="J54" s="197">
        <v>5.0000000000000001E-3</v>
      </c>
      <c r="K54" s="197">
        <v>5.0000000000000001E-3</v>
      </c>
      <c r="L54" s="197">
        <v>1.6E-2</v>
      </c>
      <c r="M54" s="197">
        <v>3.4000000000000002E-2</v>
      </c>
      <c r="N54" s="197">
        <v>4.0000000000000001E-3</v>
      </c>
      <c r="O54" s="197">
        <v>5.0000000000000001E-3</v>
      </c>
      <c r="P54" s="197">
        <v>4.0000000000000001E-3</v>
      </c>
      <c r="Q54" s="197">
        <v>1.3000000000000001E-2</v>
      </c>
      <c r="R54" s="197">
        <v>4.7E-2</v>
      </c>
      <c r="S54" s="197">
        <v>4.0000000000000001E-3</v>
      </c>
      <c r="T54" s="197">
        <v>4.0000000000000001E-3</v>
      </c>
      <c r="U54" s="197">
        <v>3.0000000000000001E-3</v>
      </c>
      <c r="V54" s="197">
        <v>1.0999999999999999E-2</v>
      </c>
      <c r="W54" s="634">
        <v>5.7999999999999996E-2</v>
      </c>
      <c r="X54" s="633">
        <v>5.0000000000000001E-3</v>
      </c>
      <c r="Y54" s="197">
        <v>5.0000000000000001E-3</v>
      </c>
      <c r="Z54" s="197">
        <v>4.0000000000000001E-3</v>
      </c>
      <c r="AA54" s="197">
        <f t="shared" si="1"/>
        <v>1.4E-2</v>
      </c>
      <c r="AB54" s="197">
        <v>5.0000000000000001E-3</v>
      </c>
      <c r="AC54" s="197">
        <v>5.0000000000000001E-3</v>
      </c>
      <c r="AD54" s="197">
        <v>4.0000000000000001E-3</v>
      </c>
      <c r="AE54" s="197">
        <f t="shared" si="2"/>
        <v>1.4E-2</v>
      </c>
      <c r="AF54" s="197">
        <f t="shared" si="3"/>
        <v>2.8000000000000001E-2</v>
      </c>
      <c r="AG54" s="197">
        <v>5.0000000000000001E-3</v>
      </c>
      <c r="AH54" s="197">
        <v>5.0000000000000001E-3</v>
      </c>
      <c r="AI54" s="197">
        <v>4.0000000000000001E-3</v>
      </c>
      <c r="AJ54" s="197">
        <f t="shared" si="4"/>
        <v>1.4E-2</v>
      </c>
      <c r="AK54" s="197">
        <f t="shared" si="5"/>
        <v>4.2000000000000003E-2</v>
      </c>
      <c r="AL54" s="197">
        <v>4.0000000000000001E-3</v>
      </c>
      <c r="AM54" s="197">
        <v>5.0000000000000001E-3</v>
      </c>
      <c r="AN54" s="197">
        <v>5.0000000000000001E-3</v>
      </c>
      <c r="AO54" s="197">
        <f t="shared" si="6"/>
        <v>1.4000000000000002E-2</v>
      </c>
      <c r="AP54" s="634">
        <f t="shared" si="7"/>
        <v>5.6000000000000008E-2</v>
      </c>
      <c r="AQ54" s="633">
        <v>4.0000000000000001E-3</v>
      </c>
      <c r="AR54" s="197">
        <v>4.0000000000000001E-3</v>
      </c>
      <c r="AS54" s="197">
        <v>5.0000000000000001E-3</v>
      </c>
      <c r="AT54" s="197">
        <f t="shared" si="8"/>
        <v>1.3000000000000001E-2</v>
      </c>
      <c r="AU54" s="197">
        <v>4.0000000000000001E-3</v>
      </c>
      <c r="AV54" s="197">
        <v>4.0000000000000001E-3</v>
      </c>
      <c r="AW54" s="197">
        <v>4.0000000000000001E-3</v>
      </c>
      <c r="AX54" s="197">
        <f t="shared" si="9"/>
        <v>1.2E-2</v>
      </c>
      <c r="AY54" s="197">
        <f t="shared" si="10"/>
        <v>2.5000000000000001E-2</v>
      </c>
      <c r="AZ54" s="197">
        <v>4.0000000000000001E-3</v>
      </c>
      <c r="BA54" s="197">
        <v>4.0000000000000001E-3</v>
      </c>
      <c r="BB54" s="197">
        <v>4.0000000000000001E-3</v>
      </c>
      <c r="BC54" s="197">
        <f t="shared" ref="BC54:BC61" si="21">SUM(AZ54:BB54)</f>
        <v>1.2E-2</v>
      </c>
      <c r="BD54" s="197">
        <f t="shared" si="11"/>
        <v>3.7000000000000005E-2</v>
      </c>
      <c r="BE54" s="197">
        <v>4.0000000000000001E-3</v>
      </c>
      <c r="BF54" s="197">
        <v>3.0000000000000001E-3</v>
      </c>
      <c r="BG54" s="197">
        <v>4.0000000000000001E-3</v>
      </c>
      <c r="BH54" s="197">
        <f t="shared" si="12"/>
        <v>1.0999999999999999E-2</v>
      </c>
      <c r="BI54" s="634">
        <f t="shared" si="13"/>
        <v>4.8000000000000001E-2</v>
      </c>
      <c r="BJ54" s="633">
        <v>4.0000000000000001E-3</v>
      </c>
      <c r="BK54">
        <v>4.0000000000000001E-3</v>
      </c>
      <c r="BL54" s="197">
        <v>4.0000000000000001E-3</v>
      </c>
      <c r="BM54" s="197">
        <f t="shared" si="14"/>
        <v>1.2E-2</v>
      </c>
      <c r="BN54" s="197">
        <v>4.0000000000000001E-3</v>
      </c>
      <c r="BO54" s="197">
        <v>4.0000000000000001E-3</v>
      </c>
      <c r="BP54" s="197">
        <v>4.0000000000000001E-3</v>
      </c>
      <c r="BQ54" s="197">
        <f t="shared" si="15"/>
        <v>1.2E-2</v>
      </c>
      <c r="BR54" s="197">
        <f t="shared" si="16"/>
        <v>2.4E-2</v>
      </c>
      <c r="BS54" s="197">
        <v>4.0000000000000001E-3</v>
      </c>
      <c r="BT54" s="197">
        <v>3.0000000000000001E-3</v>
      </c>
      <c r="BU54" s="197">
        <v>4.0000000000000001E-3</v>
      </c>
      <c r="BV54" s="197">
        <f t="shared" si="17"/>
        <v>1.0999999999999999E-2</v>
      </c>
      <c r="BW54" s="197">
        <f t="shared" si="18"/>
        <v>3.5000000000000003E-2</v>
      </c>
      <c r="BX54" s="197">
        <v>1E-3</v>
      </c>
      <c r="BY54" s="197">
        <v>3.0000000000000001E-3</v>
      </c>
      <c r="BZ54" s="197">
        <v>4.0000000000000001E-3</v>
      </c>
      <c r="CA54" s="197">
        <f t="shared" si="19"/>
        <v>8.0000000000000002E-3</v>
      </c>
      <c r="CB54" s="634">
        <v>4.2999999999999997E-2</v>
      </c>
      <c r="CC54" s="633">
        <v>4.0000000000000001E-3</v>
      </c>
      <c r="CD54">
        <v>4.0000000000000001E-3</v>
      </c>
      <c r="CE54" s="197">
        <v>3.0000000000000001E-3</v>
      </c>
      <c r="CF54" s="197">
        <f t="shared" si="20"/>
        <v>1.0999999999999999E-2</v>
      </c>
      <c r="CG54" s="197">
        <v>4.0000000000000001E-3</v>
      </c>
      <c r="CH54" s="197"/>
      <c r="CI54" s="197"/>
      <c r="CJ54" s="197"/>
      <c r="CK54" s="197"/>
      <c r="CL54" s="197"/>
      <c r="CM54" s="197"/>
      <c r="CN54" s="197"/>
      <c r="CO54" s="197"/>
      <c r="CP54" s="197"/>
      <c r="CQ54" s="197"/>
      <c r="CR54" s="197"/>
      <c r="CS54" s="197"/>
      <c r="CT54" s="197"/>
      <c r="CU54" s="634"/>
    </row>
    <row r="55" spans="1:99">
      <c r="C55">
        <v>11</v>
      </c>
      <c r="D55" s="209" t="s">
        <v>65</v>
      </c>
      <c r="E55" s="633">
        <v>5.0000000000000001E-3</v>
      </c>
      <c r="F55" s="197">
        <v>4.0000000000000001E-3</v>
      </c>
      <c r="G55" s="197">
        <v>3.0000000000000001E-3</v>
      </c>
      <c r="H55" s="197">
        <v>1.2E-2</v>
      </c>
      <c r="I55" s="197">
        <v>4.0000000000000001E-3</v>
      </c>
      <c r="J55" s="197">
        <v>5.0000000000000001E-3</v>
      </c>
      <c r="K55" s="197">
        <v>4.0000000000000001E-3</v>
      </c>
      <c r="L55" s="197">
        <v>1.3000000000000001E-2</v>
      </c>
      <c r="M55" s="197">
        <v>2.5000000000000001E-2</v>
      </c>
      <c r="N55" s="197">
        <v>4.0000000000000001E-3</v>
      </c>
      <c r="O55" s="197">
        <v>4.0000000000000001E-3</v>
      </c>
      <c r="P55" s="197">
        <v>5.0000000000000001E-3</v>
      </c>
      <c r="Q55" s="197">
        <v>1.3000000000000001E-2</v>
      </c>
      <c r="R55" s="197">
        <v>3.8000000000000006E-2</v>
      </c>
      <c r="S55" s="197">
        <v>5.0000000000000001E-3</v>
      </c>
      <c r="T55" s="197">
        <v>4.0000000000000001E-3</v>
      </c>
      <c r="U55" s="197">
        <v>6.0000000000000001E-3</v>
      </c>
      <c r="V55" s="197">
        <v>1.5000000000000001E-2</v>
      </c>
      <c r="W55" s="634">
        <v>5.3000000000000005E-2</v>
      </c>
      <c r="X55" s="633">
        <v>6.0000000000000001E-3</v>
      </c>
      <c r="Y55" s="197">
        <v>6.0000000000000001E-3</v>
      </c>
      <c r="Z55" s="197">
        <v>6.0000000000000001E-3</v>
      </c>
      <c r="AA55" s="197">
        <f t="shared" si="1"/>
        <v>1.8000000000000002E-2</v>
      </c>
      <c r="AB55" s="197">
        <v>7.0000000000000001E-3</v>
      </c>
      <c r="AC55" s="197">
        <v>6.0000000000000001E-3</v>
      </c>
      <c r="AD55" s="197">
        <v>5.0000000000000001E-3</v>
      </c>
      <c r="AE55" s="197">
        <f t="shared" si="2"/>
        <v>1.8000000000000002E-2</v>
      </c>
      <c r="AF55" s="197">
        <f t="shared" si="3"/>
        <v>3.6000000000000004E-2</v>
      </c>
      <c r="AG55" s="197">
        <v>6.0000000000000001E-3</v>
      </c>
      <c r="AH55" s="197">
        <v>7.0000000000000001E-3</v>
      </c>
      <c r="AI55" s="197">
        <v>6.0000000000000001E-3</v>
      </c>
      <c r="AJ55" s="197">
        <f t="shared" si="4"/>
        <v>1.9000000000000003E-2</v>
      </c>
      <c r="AK55" s="197">
        <f t="shared" si="5"/>
        <v>5.5000000000000007E-2</v>
      </c>
      <c r="AL55" s="197">
        <v>7.0000000000000001E-3</v>
      </c>
      <c r="AM55" s="197">
        <v>6.0000000000000001E-3</v>
      </c>
      <c r="AN55" s="197">
        <v>7.0000000000000001E-3</v>
      </c>
      <c r="AO55" s="197">
        <f t="shared" si="6"/>
        <v>0.02</v>
      </c>
      <c r="AP55" s="634">
        <f t="shared" si="7"/>
        <v>7.5000000000000011E-2</v>
      </c>
      <c r="AQ55" s="633">
        <v>7.0000000000000001E-3</v>
      </c>
      <c r="AR55" s="197">
        <v>8.0000000000000002E-3</v>
      </c>
      <c r="AS55" s="197">
        <v>7.0000000000000001E-3</v>
      </c>
      <c r="AT55" s="197">
        <f t="shared" si="8"/>
        <v>2.1999999999999999E-2</v>
      </c>
      <c r="AU55" s="197">
        <v>8.0000000000000002E-3</v>
      </c>
      <c r="AV55" s="197">
        <v>7.0000000000000001E-3</v>
      </c>
      <c r="AW55" s="197">
        <v>8.0000000000000002E-3</v>
      </c>
      <c r="AX55" s="197">
        <f t="shared" si="9"/>
        <v>2.3E-2</v>
      </c>
      <c r="AY55" s="197">
        <f t="shared" si="10"/>
        <v>4.4999999999999998E-2</v>
      </c>
      <c r="AZ55" s="197">
        <v>8.0000000000000002E-3</v>
      </c>
      <c r="BA55" s="197">
        <v>8.0000000000000002E-3</v>
      </c>
      <c r="BB55" s="197">
        <v>8.0000000000000002E-3</v>
      </c>
      <c r="BC55" s="197">
        <f t="shared" si="21"/>
        <v>2.4E-2</v>
      </c>
      <c r="BD55" s="197">
        <f t="shared" si="11"/>
        <v>6.9000000000000006E-2</v>
      </c>
      <c r="BE55" s="197">
        <v>8.0000000000000002E-3</v>
      </c>
      <c r="BF55" s="197">
        <v>7.0000000000000001E-3</v>
      </c>
      <c r="BG55" s="197">
        <v>8.9999999999999993E-3</v>
      </c>
      <c r="BH55" s="197">
        <f t="shared" si="12"/>
        <v>2.4E-2</v>
      </c>
      <c r="BI55" s="634">
        <f t="shared" si="13"/>
        <v>9.2999999999999999E-2</v>
      </c>
      <c r="BJ55" s="633">
        <v>8.0000000000000002E-3</v>
      </c>
      <c r="BK55">
        <v>8.9999999999999993E-3</v>
      </c>
      <c r="BL55" s="197">
        <v>8.0000000000000002E-3</v>
      </c>
      <c r="BM55" s="197">
        <f t="shared" si="14"/>
        <v>2.5000000000000001E-2</v>
      </c>
      <c r="BN55" s="197">
        <v>8.9999999999999993E-3</v>
      </c>
      <c r="BO55" s="197">
        <v>0.01</v>
      </c>
      <c r="BP55" s="197">
        <v>8.9999999999999993E-3</v>
      </c>
      <c r="BQ55" s="197">
        <f t="shared" si="15"/>
        <v>2.7999999999999997E-2</v>
      </c>
      <c r="BR55" s="197">
        <f t="shared" si="16"/>
        <v>5.2999999999999999E-2</v>
      </c>
      <c r="BS55" s="197">
        <v>8.9999999999999993E-3</v>
      </c>
      <c r="BT55" s="197">
        <v>8.9999999999999993E-3</v>
      </c>
      <c r="BU55" s="197">
        <v>8.9999999999999993E-3</v>
      </c>
      <c r="BV55" s="197">
        <f t="shared" si="17"/>
        <v>2.6999999999999996E-2</v>
      </c>
      <c r="BW55" s="197">
        <f t="shared" si="18"/>
        <v>7.9999999999999988E-2</v>
      </c>
      <c r="BX55" s="197">
        <v>3.0000000000000001E-3</v>
      </c>
      <c r="BY55" s="197">
        <v>3.0000000000000001E-3</v>
      </c>
      <c r="BZ55" s="197">
        <v>6.0000000000000001E-3</v>
      </c>
      <c r="CA55" s="197">
        <f t="shared" si="19"/>
        <v>1.2E-2</v>
      </c>
      <c r="CB55" s="634">
        <v>9.2999999999999999E-2</v>
      </c>
      <c r="CC55" s="633">
        <v>8.0000000000000002E-3</v>
      </c>
      <c r="CD55">
        <v>0.01</v>
      </c>
      <c r="CE55" s="197">
        <v>0.01</v>
      </c>
      <c r="CF55" s="197">
        <f t="shared" si="20"/>
        <v>2.8000000000000004E-2</v>
      </c>
      <c r="CG55" s="197">
        <v>1.0999999999999999E-2</v>
      </c>
      <c r="CH55" s="197"/>
      <c r="CI55" s="197"/>
      <c r="CJ55" s="197"/>
      <c r="CK55" s="197"/>
      <c r="CL55" s="197"/>
      <c r="CM55" s="197"/>
      <c r="CN55" s="197"/>
      <c r="CO55" s="197"/>
      <c r="CP55" s="197"/>
      <c r="CQ55" s="197"/>
      <c r="CR55" s="197"/>
      <c r="CS55" s="197"/>
      <c r="CT55" s="197"/>
      <c r="CU55" s="634"/>
    </row>
    <row r="56" spans="1:99">
      <c r="C56">
        <v>12</v>
      </c>
      <c r="D56" s="209" t="s">
        <v>66</v>
      </c>
      <c r="E56" s="633">
        <v>6.5000000000000002E-2</v>
      </c>
      <c r="F56" s="197">
        <v>6.6000000000000003E-2</v>
      </c>
      <c r="G56" s="197">
        <v>5.8000000000000003E-2</v>
      </c>
      <c r="H56" s="197">
        <v>0.189</v>
      </c>
      <c r="I56" s="197">
        <v>6.2E-2</v>
      </c>
      <c r="J56" s="197">
        <v>6.6000000000000003E-2</v>
      </c>
      <c r="K56" s="197">
        <v>6.6000000000000003E-2</v>
      </c>
      <c r="L56" s="197">
        <v>0.19400000000000001</v>
      </c>
      <c r="M56" s="197">
        <v>0.38300000000000001</v>
      </c>
      <c r="N56" s="197">
        <v>6.6000000000000003E-2</v>
      </c>
      <c r="O56" s="197">
        <v>6.2E-2</v>
      </c>
      <c r="P56" s="197">
        <v>6.2E-2</v>
      </c>
      <c r="Q56" s="197">
        <v>0.19</v>
      </c>
      <c r="R56" s="197">
        <v>0.57299999999999995</v>
      </c>
      <c r="S56" s="197">
        <v>6.8000000000000005E-2</v>
      </c>
      <c r="T56" s="197">
        <v>4.7E-2</v>
      </c>
      <c r="U56" s="197">
        <v>5.5E-2</v>
      </c>
      <c r="V56" s="197">
        <v>0.17</v>
      </c>
      <c r="W56" s="634">
        <v>0.74299999999999999</v>
      </c>
      <c r="X56" s="633">
        <v>0.06</v>
      </c>
      <c r="Y56" s="197">
        <v>5.7000000000000002E-2</v>
      </c>
      <c r="Z56" s="197">
        <v>5.5E-2</v>
      </c>
      <c r="AA56" s="197">
        <f t="shared" si="1"/>
        <v>0.17199999999999999</v>
      </c>
      <c r="AB56" s="197">
        <v>5.8000000000000003E-2</v>
      </c>
      <c r="AC56" s="197">
        <v>5.8000000000000003E-2</v>
      </c>
      <c r="AD56" s="197">
        <v>5.7000000000000002E-2</v>
      </c>
      <c r="AE56" s="197">
        <f t="shared" si="2"/>
        <v>0.17300000000000001</v>
      </c>
      <c r="AF56" s="197">
        <f t="shared" si="3"/>
        <v>0.34499999999999997</v>
      </c>
      <c r="AG56" s="197">
        <v>6.2E-2</v>
      </c>
      <c r="AH56" s="197">
        <v>6.0999999999999999E-2</v>
      </c>
      <c r="AI56" s="197">
        <v>6.3E-2</v>
      </c>
      <c r="AJ56" s="197">
        <f t="shared" si="4"/>
        <v>0.186</v>
      </c>
      <c r="AK56" s="197">
        <f t="shared" si="5"/>
        <v>0.53099999999999992</v>
      </c>
      <c r="AL56" s="197">
        <v>6.5000000000000002E-2</v>
      </c>
      <c r="AM56" s="197">
        <v>0.06</v>
      </c>
      <c r="AN56" s="197">
        <v>6.8000000000000005E-2</v>
      </c>
      <c r="AO56" s="197">
        <f t="shared" si="6"/>
        <v>0.193</v>
      </c>
      <c r="AP56" s="634">
        <f t="shared" si="7"/>
        <v>0.72399999999999998</v>
      </c>
      <c r="AQ56" s="633">
        <v>6.4000000000000001E-2</v>
      </c>
      <c r="AR56" s="197">
        <v>3.5999999999999997E-2</v>
      </c>
      <c r="AS56" s="197">
        <v>6.4000000000000001E-2</v>
      </c>
      <c r="AT56" s="197">
        <f t="shared" si="8"/>
        <v>0.16400000000000001</v>
      </c>
      <c r="AU56" s="197">
        <v>6.8000000000000005E-2</v>
      </c>
      <c r="AV56" s="197">
        <v>6.9000000000000006E-2</v>
      </c>
      <c r="AW56" s="197">
        <v>6.6000000000000003E-2</v>
      </c>
      <c r="AX56" s="197">
        <f t="shared" si="9"/>
        <v>0.20300000000000001</v>
      </c>
      <c r="AY56" s="197">
        <f t="shared" si="10"/>
        <v>0.36699999999999999</v>
      </c>
      <c r="AZ56" s="197">
        <v>6.7000000000000004E-2</v>
      </c>
      <c r="BA56" s="197">
        <v>6.5000000000000002E-2</v>
      </c>
      <c r="BB56" s="197">
        <v>7.0000000000000007E-2</v>
      </c>
      <c r="BC56" s="197">
        <f t="shared" si="21"/>
        <v>0.20200000000000001</v>
      </c>
      <c r="BD56" s="197">
        <f t="shared" si="11"/>
        <v>0.56899999999999995</v>
      </c>
      <c r="BE56" s="197">
        <v>6.7000000000000004E-2</v>
      </c>
      <c r="BF56" s="197">
        <v>6.0999999999999999E-2</v>
      </c>
      <c r="BG56" s="197">
        <v>6.3E-2</v>
      </c>
      <c r="BH56" s="197">
        <f t="shared" si="12"/>
        <v>0.191</v>
      </c>
      <c r="BI56" s="634">
        <f t="shared" si="13"/>
        <v>0.76</v>
      </c>
      <c r="BJ56" s="633">
        <v>5.0999999999999997E-2</v>
      </c>
      <c r="BK56">
        <v>6.7000000000000004E-2</v>
      </c>
      <c r="BL56" s="197">
        <v>6.7000000000000004E-2</v>
      </c>
      <c r="BM56" s="197">
        <f t="shared" si="14"/>
        <v>0.185</v>
      </c>
      <c r="BN56" s="197">
        <v>6.9000000000000006E-2</v>
      </c>
      <c r="BO56" s="197">
        <v>7.0999999999999994E-2</v>
      </c>
      <c r="BP56" s="197">
        <v>6.6000000000000003E-2</v>
      </c>
      <c r="BQ56" s="197">
        <f t="shared" si="15"/>
        <v>0.20600000000000002</v>
      </c>
      <c r="BR56" s="197">
        <f t="shared" si="16"/>
        <v>0.39100000000000001</v>
      </c>
      <c r="BS56" s="197">
        <v>6.9000000000000006E-2</v>
      </c>
      <c r="BT56" s="197">
        <v>6.7000000000000004E-2</v>
      </c>
      <c r="BU56" s="197">
        <v>6.6000000000000003E-2</v>
      </c>
      <c r="BV56" s="197">
        <f t="shared" si="17"/>
        <v>0.20200000000000001</v>
      </c>
      <c r="BW56" s="197">
        <f t="shared" si="18"/>
        <v>0.59299999999999997</v>
      </c>
      <c r="BX56" s="197">
        <v>7.3999999999999996E-2</v>
      </c>
      <c r="BY56" s="197">
        <v>6.5000000000000002E-2</v>
      </c>
      <c r="BZ56" s="197">
        <v>1.7000000000000001E-2</v>
      </c>
      <c r="CA56" s="197">
        <f t="shared" si="19"/>
        <v>0.15600000000000003</v>
      </c>
      <c r="CB56" s="634">
        <v>0.748</v>
      </c>
      <c r="CC56" s="633">
        <v>3.7999999999999999E-2</v>
      </c>
      <c r="CD56">
        <v>4.3999999999999997E-2</v>
      </c>
      <c r="CE56" s="197">
        <v>6.7000000000000004E-2</v>
      </c>
      <c r="CF56" s="197">
        <f t="shared" si="20"/>
        <v>0.14899999999999999</v>
      </c>
      <c r="CG56" s="197">
        <v>5.3999999999999999E-2</v>
      </c>
      <c r="CH56" s="197"/>
      <c r="CI56" s="197"/>
      <c r="CJ56" s="197"/>
      <c r="CK56" s="197"/>
      <c r="CL56" s="197"/>
      <c r="CM56" s="197"/>
      <c r="CN56" s="197"/>
      <c r="CO56" s="197"/>
      <c r="CP56" s="197"/>
      <c r="CQ56" s="197"/>
      <c r="CR56" s="197"/>
      <c r="CS56" s="197"/>
      <c r="CT56" s="197"/>
      <c r="CU56" s="634"/>
    </row>
    <row r="57" spans="1:99">
      <c r="C57">
        <v>13</v>
      </c>
      <c r="D57" s="209" t="s">
        <v>67</v>
      </c>
      <c r="E57" s="633">
        <v>3.7999999999999999E-2</v>
      </c>
      <c r="F57" s="197">
        <v>4.2000000000000003E-2</v>
      </c>
      <c r="G57" s="197">
        <v>4.2000000000000003E-2</v>
      </c>
      <c r="H57" s="197">
        <v>0.122</v>
      </c>
      <c r="I57" s="197">
        <v>4.9000000000000002E-2</v>
      </c>
      <c r="J57" s="197">
        <v>4.8000000000000001E-2</v>
      </c>
      <c r="K57" s="197">
        <v>4.5999999999999999E-2</v>
      </c>
      <c r="L57" s="197">
        <v>0.14300000000000002</v>
      </c>
      <c r="M57" s="197">
        <v>0.26500000000000001</v>
      </c>
      <c r="N57" s="197">
        <v>3.5999999999999997E-2</v>
      </c>
      <c r="O57" s="197">
        <v>2.9000000000000001E-2</v>
      </c>
      <c r="P57" s="197">
        <v>2.8000000000000001E-2</v>
      </c>
      <c r="Q57" s="197">
        <v>9.2999999999999999E-2</v>
      </c>
      <c r="R57" s="197">
        <v>0.35799999999999998</v>
      </c>
      <c r="S57" s="197">
        <v>2.7E-2</v>
      </c>
      <c r="T57" s="197">
        <v>0.03</v>
      </c>
      <c r="U57" s="197">
        <v>4.2000000000000003E-2</v>
      </c>
      <c r="V57" s="197">
        <v>9.9000000000000005E-2</v>
      </c>
      <c r="W57" s="634">
        <v>0.45699999999999996</v>
      </c>
      <c r="X57" s="633">
        <v>4.1000000000000002E-2</v>
      </c>
      <c r="Y57" s="197">
        <v>4.4999999999999998E-2</v>
      </c>
      <c r="Z57" s="197">
        <v>4.5999999999999999E-2</v>
      </c>
      <c r="AA57" s="197">
        <f t="shared" si="1"/>
        <v>0.13200000000000001</v>
      </c>
      <c r="AB57" s="197">
        <v>4.7E-2</v>
      </c>
      <c r="AC57" s="197">
        <v>4.7E-2</v>
      </c>
      <c r="AD57" s="197">
        <v>4.7E-2</v>
      </c>
      <c r="AE57" s="197">
        <f t="shared" si="2"/>
        <v>0.14100000000000001</v>
      </c>
      <c r="AF57" s="197">
        <f t="shared" si="3"/>
        <v>0.27300000000000002</v>
      </c>
      <c r="AG57" s="197">
        <v>5.1999999999999998E-2</v>
      </c>
      <c r="AH57" s="197">
        <v>0.05</v>
      </c>
      <c r="AI57" s="197">
        <v>5.0999999999999997E-2</v>
      </c>
      <c r="AJ57" s="197">
        <f t="shared" si="4"/>
        <v>0.153</v>
      </c>
      <c r="AK57" s="197">
        <f t="shared" si="5"/>
        <v>0.42600000000000005</v>
      </c>
      <c r="AL57" s="197">
        <v>5.2999999999999999E-2</v>
      </c>
      <c r="AM57" s="197">
        <v>5.0999999999999997E-2</v>
      </c>
      <c r="AN57" s="197">
        <v>5.2999999999999999E-2</v>
      </c>
      <c r="AO57" s="197">
        <f t="shared" si="6"/>
        <v>0.157</v>
      </c>
      <c r="AP57" s="634">
        <f t="shared" si="7"/>
        <v>0.58300000000000007</v>
      </c>
      <c r="AQ57" s="633">
        <v>5.2999999999999999E-2</v>
      </c>
      <c r="AR57" s="197">
        <v>5.7000000000000002E-2</v>
      </c>
      <c r="AS57" s="197">
        <v>5.0999999999999997E-2</v>
      </c>
      <c r="AT57" s="197">
        <f t="shared" si="8"/>
        <v>0.161</v>
      </c>
      <c r="AU57" s="197">
        <v>5.3999999999999999E-2</v>
      </c>
      <c r="AV57" s="197">
        <v>5.2999999999999999E-2</v>
      </c>
      <c r="AW57" s="197">
        <v>0.05</v>
      </c>
      <c r="AX57" s="197">
        <f t="shared" si="9"/>
        <v>0.157</v>
      </c>
      <c r="AY57" s="197">
        <f t="shared" si="10"/>
        <v>0.318</v>
      </c>
      <c r="AZ57" s="197">
        <v>5.0999999999999997E-2</v>
      </c>
      <c r="BA57" s="197">
        <v>5.0999999999999997E-2</v>
      </c>
      <c r="BB57" s="197">
        <v>5.3999999999999999E-2</v>
      </c>
      <c r="BC57" s="197">
        <f t="shared" si="21"/>
        <v>0.156</v>
      </c>
      <c r="BD57" s="197">
        <f t="shared" si="11"/>
        <v>0.47399999999999998</v>
      </c>
      <c r="BE57" s="197">
        <v>5.5E-2</v>
      </c>
      <c r="BF57" s="197">
        <v>4.7E-2</v>
      </c>
      <c r="BG57" s="197">
        <v>5.3999999999999999E-2</v>
      </c>
      <c r="BH57" s="197">
        <f t="shared" si="12"/>
        <v>0.156</v>
      </c>
      <c r="BI57" s="634">
        <f t="shared" si="13"/>
        <v>0.63</v>
      </c>
      <c r="BJ57" s="633">
        <v>0.05</v>
      </c>
      <c r="BK57">
        <v>5.5E-2</v>
      </c>
      <c r="BL57" s="197">
        <v>5.2999999999999999E-2</v>
      </c>
      <c r="BM57" s="197">
        <f t="shared" si="14"/>
        <v>0.158</v>
      </c>
      <c r="BN57" s="197">
        <v>5.1999999999999998E-2</v>
      </c>
      <c r="BO57" s="197">
        <v>5.0999999999999997E-2</v>
      </c>
      <c r="BP57" s="197">
        <v>4.7E-2</v>
      </c>
      <c r="BQ57" s="197">
        <f t="shared" si="15"/>
        <v>0.15</v>
      </c>
      <c r="BR57" s="197">
        <f t="shared" si="16"/>
        <v>0.308</v>
      </c>
      <c r="BS57" s="197">
        <v>5.2999999999999999E-2</v>
      </c>
      <c r="BT57" s="197">
        <v>4.1000000000000002E-2</v>
      </c>
      <c r="BU57" s="197">
        <v>1.2999999999999999E-2</v>
      </c>
      <c r="BV57" s="197">
        <f t="shared" si="17"/>
        <v>0.107</v>
      </c>
      <c r="BW57" s="197">
        <f t="shared" si="18"/>
        <v>0.41499999999999998</v>
      </c>
      <c r="BX57" s="197">
        <v>5.3999999999999999E-2</v>
      </c>
      <c r="BY57" s="197">
        <v>0.05</v>
      </c>
      <c r="BZ57" s="197">
        <v>5.6000000000000001E-2</v>
      </c>
      <c r="CA57" s="197">
        <f t="shared" si="19"/>
        <v>0.16</v>
      </c>
      <c r="CB57" s="634">
        <v>0.57499999999999996</v>
      </c>
      <c r="CC57" s="633">
        <v>5.5E-2</v>
      </c>
      <c r="CD57">
        <v>5.7000000000000002E-2</v>
      </c>
      <c r="CE57" s="197">
        <v>5.1999999999999998E-2</v>
      </c>
      <c r="CF57" s="197">
        <f t="shared" si="20"/>
        <v>0.16400000000000001</v>
      </c>
      <c r="CG57" s="197">
        <v>5.8999999999999997E-2</v>
      </c>
      <c r="CH57" s="197"/>
      <c r="CI57" s="197"/>
      <c r="CJ57" s="197"/>
      <c r="CK57" s="197"/>
      <c r="CL57" s="197"/>
      <c r="CM57" s="197"/>
      <c r="CN57" s="197"/>
      <c r="CO57" s="197"/>
      <c r="CP57" s="197"/>
      <c r="CQ57" s="197"/>
      <c r="CR57" s="197"/>
      <c r="CS57" s="197"/>
      <c r="CT57" s="197"/>
      <c r="CU57" s="634"/>
    </row>
    <row r="58" spans="1:99">
      <c r="C58">
        <v>14</v>
      </c>
      <c r="D58" s="209" t="s">
        <v>68</v>
      </c>
      <c r="E58" s="633">
        <v>5.0000000000000001E-3</v>
      </c>
      <c r="F58" s="197">
        <v>9.9999999999999985E-3</v>
      </c>
      <c r="G58" s="197">
        <v>7.0000000000000001E-3</v>
      </c>
      <c r="H58" s="197">
        <v>2.1999999999999999E-2</v>
      </c>
      <c r="I58" s="197">
        <v>8.9999999999999993E-3</v>
      </c>
      <c r="J58" s="197">
        <v>8.0000000000000002E-3</v>
      </c>
      <c r="K58" s="197">
        <v>3.0000000000000001E-3</v>
      </c>
      <c r="L58" s="197">
        <v>0.02</v>
      </c>
      <c r="M58" s="197">
        <v>4.1999999999999996E-2</v>
      </c>
      <c r="N58" s="197">
        <v>6.0000000000000001E-3</v>
      </c>
      <c r="O58" s="197">
        <v>5.0000000000000001E-3</v>
      </c>
      <c r="P58" s="197">
        <v>1E-3</v>
      </c>
      <c r="Q58" s="197">
        <v>1.2E-2</v>
      </c>
      <c r="R58" s="197">
        <v>5.3999999999999992E-2</v>
      </c>
      <c r="S58" s="197">
        <v>0</v>
      </c>
      <c r="T58" s="197">
        <v>0</v>
      </c>
      <c r="U58" s="197">
        <v>4.0000000000000001E-3</v>
      </c>
      <c r="V58" s="197">
        <v>4.0000000000000001E-3</v>
      </c>
      <c r="W58" s="634">
        <v>5.7999999999999996E-2</v>
      </c>
      <c r="X58" s="633">
        <v>7.0000000000000001E-3</v>
      </c>
      <c r="Y58" s="197">
        <v>0.01</v>
      </c>
      <c r="Z58" s="197">
        <v>7.0000000000000001E-3</v>
      </c>
      <c r="AA58" s="197">
        <f t="shared" si="1"/>
        <v>2.4E-2</v>
      </c>
      <c r="AB58" s="197">
        <v>8.0000000000000002E-3</v>
      </c>
      <c r="AC58" s="197">
        <v>4.0000000000000001E-3</v>
      </c>
      <c r="AD58" s="197">
        <v>8.9999999999999993E-3</v>
      </c>
      <c r="AE58" s="197">
        <f t="shared" si="2"/>
        <v>2.0999999999999998E-2</v>
      </c>
      <c r="AF58" s="197">
        <f t="shared" si="3"/>
        <v>4.4999999999999998E-2</v>
      </c>
      <c r="AG58" s="197">
        <v>6.0000000000000001E-3</v>
      </c>
      <c r="AH58" s="197">
        <v>6.0000000000000001E-3</v>
      </c>
      <c r="AI58" s="197">
        <v>3.0000000000000001E-3</v>
      </c>
      <c r="AJ58" s="197">
        <f t="shared" si="4"/>
        <v>1.4999999999999999E-2</v>
      </c>
      <c r="AK58" s="197">
        <f t="shared" si="5"/>
        <v>0.06</v>
      </c>
      <c r="AL58" s="197">
        <v>1E-3</v>
      </c>
      <c r="AM58" s="197">
        <v>0</v>
      </c>
      <c r="AN58" s="197">
        <v>1.4999999999999999E-2</v>
      </c>
      <c r="AO58" s="197">
        <f t="shared" si="6"/>
        <v>1.6E-2</v>
      </c>
      <c r="AP58" s="634">
        <f t="shared" si="7"/>
        <v>7.5999999999999998E-2</v>
      </c>
      <c r="AQ58" s="633">
        <v>1.2999999999999999E-2</v>
      </c>
      <c r="AR58" s="197">
        <v>1.7000000000000001E-2</v>
      </c>
      <c r="AS58" s="197">
        <v>1.4E-2</v>
      </c>
      <c r="AT58" s="197">
        <f t="shared" si="8"/>
        <v>4.3999999999999997E-2</v>
      </c>
      <c r="AU58" s="197">
        <v>1.4999999999999999E-2</v>
      </c>
      <c r="AV58" s="197">
        <v>1.2999999999999999E-2</v>
      </c>
      <c r="AW58" s="197">
        <v>8.9999999999999993E-3</v>
      </c>
      <c r="AX58" s="197">
        <f t="shared" si="9"/>
        <v>3.6999999999999998E-2</v>
      </c>
      <c r="AY58" s="197">
        <f>AT58+AX58</f>
        <v>8.0999999999999989E-2</v>
      </c>
      <c r="AZ58" s="197">
        <v>1.0999999999999999E-2</v>
      </c>
      <c r="BA58" s="197">
        <v>1.2E-2</v>
      </c>
      <c r="BB58" s="197">
        <v>1.2E-2</v>
      </c>
      <c r="BC58" s="197">
        <f t="shared" si="21"/>
        <v>3.5000000000000003E-2</v>
      </c>
      <c r="BD58" s="197">
        <f t="shared" si="11"/>
        <v>0.11599999999999999</v>
      </c>
      <c r="BE58" s="197">
        <v>1.0999999999999999E-2</v>
      </c>
      <c r="BF58" s="197">
        <v>0.01</v>
      </c>
      <c r="BG58" s="197">
        <v>0.01</v>
      </c>
      <c r="BH58" s="197">
        <f t="shared" si="12"/>
        <v>3.1E-2</v>
      </c>
      <c r="BI58" s="634">
        <f t="shared" si="13"/>
        <v>0.14699999999999999</v>
      </c>
      <c r="BJ58" s="633">
        <v>1.0999999999999999E-2</v>
      </c>
      <c r="BK58">
        <v>1.2E-2</v>
      </c>
      <c r="BL58" s="197">
        <v>1.2E-2</v>
      </c>
      <c r="BM58" s="197">
        <f t="shared" si="14"/>
        <v>3.5000000000000003E-2</v>
      </c>
      <c r="BN58" s="197">
        <v>1.2E-2</v>
      </c>
      <c r="BO58" s="197">
        <v>1.2999999999999999E-2</v>
      </c>
      <c r="BP58" s="197">
        <v>0.01</v>
      </c>
      <c r="BQ58" s="197">
        <f t="shared" si="15"/>
        <v>3.5000000000000003E-2</v>
      </c>
      <c r="BR58" s="197">
        <f t="shared" si="16"/>
        <v>7.0000000000000007E-2</v>
      </c>
      <c r="BS58" s="197">
        <v>1.4E-2</v>
      </c>
      <c r="BT58" s="197">
        <v>1.2999999999999999E-2</v>
      </c>
      <c r="BU58" s="197">
        <v>4.0000000000000001E-3</v>
      </c>
      <c r="BV58" s="197">
        <f t="shared" si="17"/>
        <v>3.1E-2</v>
      </c>
      <c r="BW58" s="197">
        <f t="shared" si="18"/>
        <v>0.10100000000000001</v>
      </c>
      <c r="BX58" s="197">
        <v>0.01</v>
      </c>
      <c r="BY58" s="197">
        <v>1.2999999999999999E-2</v>
      </c>
      <c r="BZ58" s="197">
        <v>1.2E-2</v>
      </c>
      <c r="CA58" s="197">
        <f t="shared" si="19"/>
        <v>3.5000000000000003E-2</v>
      </c>
      <c r="CB58" s="634">
        <v>0.13600000000000001</v>
      </c>
      <c r="CC58" s="633">
        <v>1.4E-2</v>
      </c>
      <c r="CD58">
        <v>1.4E-2</v>
      </c>
      <c r="CE58" s="197">
        <v>1.2999999999999999E-2</v>
      </c>
      <c r="CF58" s="197">
        <f t="shared" si="20"/>
        <v>4.1000000000000002E-2</v>
      </c>
      <c r="CG58" s="197">
        <v>1.2999999999999999E-2</v>
      </c>
      <c r="CH58" s="197"/>
      <c r="CI58" s="197"/>
      <c r="CJ58" s="197"/>
      <c r="CK58" s="197"/>
      <c r="CL58" s="197"/>
      <c r="CM58" s="197"/>
      <c r="CN58" s="197"/>
      <c r="CO58" s="197"/>
      <c r="CP58" s="197"/>
      <c r="CQ58" s="197"/>
      <c r="CR58" s="197"/>
      <c r="CS58" s="197"/>
      <c r="CT58" s="197"/>
      <c r="CU58" s="634"/>
    </row>
    <row r="59" spans="1:99">
      <c r="C59">
        <v>15</v>
      </c>
      <c r="D59" s="209" t="s">
        <v>69</v>
      </c>
      <c r="E59" s="633">
        <v>0</v>
      </c>
      <c r="F59" s="197">
        <v>1E-3</v>
      </c>
      <c r="G59" s="197">
        <v>1E-3</v>
      </c>
      <c r="H59" s="197">
        <v>2E-3</v>
      </c>
      <c r="I59" s="197">
        <v>0</v>
      </c>
      <c r="J59" s="197">
        <v>1E-3</v>
      </c>
      <c r="K59" s="197">
        <v>0</v>
      </c>
      <c r="L59" s="197">
        <v>1E-3</v>
      </c>
      <c r="M59" s="197">
        <v>3.0000000000000001E-3</v>
      </c>
      <c r="N59" s="197">
        <v>0</v>
      </c>
      <c r="O59" s="197">
        <v>1E-3</v>
      </c>
      <c r="P59" s="197">
        <v>0</v>
      </c>
      <c r="Q59" s="197">
        <v>1E-3</v>
      </c>
      <c r="R59" s="197">
        <v>4.0000000000000001E-3</v>
      </c>
      <c r="S59" s="197">
        <v>1E-3</v>
      </c>
      <c r="T59" s="197">
        <v>0</v>
      </c>
      <c r="U59" s="197">
        <v>0</v>
      </c>
      <c r="V59" s="197">
        <v>1E-3</v>
      </c>
      <c r="W59" s="634">
        <v>5.0000000000000001E-3</v>
      </c>
      <c r="X59" s="633">
        <v>0</v>
      </c>
      <c r="Y59" s="197">
        <v>1E-3</v>
      </c>
      <c r="Z59" s="197">
        <v>0</v>
      </c>
      <c r="AA59" s="197">
        <f t="shared" si="1"/>
        <v>1E-3</v>
      </c>
      <c r="AB59" s="197">
        <v>0</v>
      </c>
      <c r="AC59" s="197">
        <v>0</v>
      </c>
      <c r="AD59" s="197">
        <v>1E-3</v>
      </c>
      <c r="AE59" s="197">
        <f t="shared" si="2"/>
        <v>1E-3</v>
      </c>
      <c r="AF59" s="197">
        <f t="shared" si="3"/>
        <v>2E-3</v>
      </c>
      <c r="AG59" s="197">
        <v>0</v>
      </c>
      <c r="AH59" s="197">
        <v>0</v>
      </c>
      <c r="AI59" s="197">
        <v>1E-3</v>
      </c>
      <c r="AJ59" s="197">
        <f t="shared" si="4"/>
        <v>1E-3</v>
      </c>
      <c r="AK59" s="197">
        <f t="shared" si="5"/>
        <v>3.0000000000000001E-3</v>
      </c>
      <c r="AL59" s="197">
        <v>0</v>
      </c>
      <c r="AM59" s="197">
        <v>0</v>
      </c>
      <c r="AN59" s="197">
        <v>0</v>
      </c>
      <c r="AO59" s="197">
        <f t="shared" si="6"/>
        <v>0</v>
      </c>
      <c r="AP59" s="634">
        <f t="shared" si="7"/>
        <v>3.0000000000000001E-3</v>
      </c>
      <c r="AQ59" s="633">
        <v>0</v>
      </c>
      <c r="AR59" s="197">
        <v>0</v>
      </c>
      <c r="AS59" s="197">
        <v>1E-3</v>
      </c>
      <c r="AT59" s="197">
        <f t="shared" si="8"/>
        <v>1E-3</v>
      </c>
      <c r="AU59" s="197">
        <v>0</v>
      </c>
      <c r="AV59" s="197">
        <v>0</v>
      </c>
      <c r="AW59" s="197">
        <v>0</v>
      </c>
      <c r="AX59" s="197">
        <f t="shared" si="9"/>
        <v>0</v>
      </c>
      <c r="AY59" s="197">
        <f>AT59+AX59</f>
        <v>1E-3</v>
      </c>
      <c r="AZ59" s="197">
        <v>0</v>
      </c>
      <c r="BA59" s="197">
        <v>0</v>
      </c>
      <c r="BB59" s="197">
        <v>0</v>
      </c>
      <c r="BC59" s="197">
        <f t="shared" si="21"/>
        <v>0</v>
      </c>
      <c r="BD59" s="197">
        <f t="shared" si="11"/>
        <v>1E-3</v>
      </c>
      <c r="BE59" s="197">
        <v>0</v>
      </c>
      <c r="BF59" s="197">
        <v>1E-3</v>
      </c>
      <c r="BG59" s="197">
        <v>0</v>
      </c>
      <c r="BH59" s="197">
        <f t="shared" si="12"/>
        <v>1E-3</v>
      </c>
      <c r="BI59" s="634">
        <f t="shared" si="13"/>
        <v>2E-3</v>
      </c>
      <c r="BJ59" s="633">
        <v>0</v>
      </c>
      <c r="BK59" s="197">
        <v>0</v>
      </c>
      <c r="BL59" s="197">
        <v>1E-3</v>
      </c>
      <c r="BM59" s="197">
        <f t="shared" si="14"/>
        <v>1E-3</v>
      </c>
      <c r="BN59" s="197">
        <v>0</v>
      </c>
      <c r="BO59" s="197">
        <v>0</v>
      </c>
      <c r="BP59" s="197">
        <v>0</v>
      </c>
      <c r="BQ59" s="197">
        <f t="shared" si="15"/>
        <v>0</v>
      </c>
      <c r="BR59" s="197">
        <f t="shared" si="16"/>
        <v>1E-3</v>
      </c>
      <c r="BS59" s="197">
        <v>0</v>
      </c>
      <c r="BT59" s="197">
        <v>0</v>
      </c>
      <c r="BU59" s="197">
        <v>0</v>
      </c>
      <c r="BV59" s="197">
        <f t="shared" si="17"/>
        <v>0</v>
      </c>
      <c r="BW59" s="197">
        <f t="shared" si="18"/>
        <v>1E-3</v>
      </c>
      <c r="BX59" s="197">
        <v>0</v>
      </c>
      <c r="BY59" s="197">
        <v>0</v>
      </c>
      <c r="BZ59" s="197">
        <v>0</v>
      </c>
      <c r="CA59" s="197">
        <f t="shared" si="19"/>
        <v>0</v>
      </c>
      <c r="CB59" s="634">
        <v>1E-3</v>
      </c>
      <c r="CC59" s="633">
        <v>0</v>
      </c>
      <c r="CD59" s="197">
        <v>0</v>
      </c>
      <c r="CE59" s="197">
        <v>0</v>
      </c>
      <c r="CF59" s="197">
        <f t="shared" si="20"/>
        <v>0</v>
      </c>
      <c r="CG59" s="197">
        <v>0</v>
      </c>
      <c r="CH59" s="197"/>
      <c r="CI59" s="197"/>
      <c r="CJ59" s="197"/>
      <c r="CK59" s="197"/>
      <c r="CL59" s="197"/>
      <c r="CM59" s="197"/>
      <c r="CN59" s="197"/>
      <c r="CO59" s="197"/>
      <c r="CP59" s="197"/>
      <c r="CQ59" s="197"/>
      <c r="CR59" s="197"/>
      <c r="CS59" s="197"/>
      <c r="CT59" s="197"/>
      <c r="CU59" s="634"/>
    </row>
    <row r="60" spans="1:99">
      <c r="C60">
        <v>16</v>
      </c>
      <c r="D60" s="209" t="s">
        <v>70</v>
      </c>
      <c r="E60" s="633"/>
      <c r="F60" s="197"/>
      <c r="G60" s="197"/>
      <c r="H60" s="197"/>
      <c r="I60" s="197"/>
      <c r="J60" s="197"/>
      <c r="K60" s="197"/>
      <c r="L60" s="197"/>
      <c r="M60" s="197"/>
      <c r="N60" s="197"/>
      <c r="O60" s="197"/>
      <c r="P60" s="197"/>
      <c r="Q60" s="197"/>
      <c r="R60" s="197"/>
      <c r="S60" s="197"/>
      <c r="T60" s="197"/>
      <c r="U60" s="197"/>
      <c r="V60" s="197"/>
      <c r="W60" s="634"/>
      <c r="X60" s="633"/>
      <c r="Y60" s="197"/>
      <c r="Z60" s="197"/>
      <c r="AA60" s="197">
        <f t="shared" si="1"/>
        <v>0</v>
      </c>
      <c r="AB60" s="197"/>
      <c r="AC60" s="197"/>
      <c r="AD60" s="197"/>
      <c r="AE60" s="197">
        <f t="shared" si="2"/>
        <v>0</v>
      </c>
      <c r="AF60" s="197">
        <f t="shared" si="3"/>
        <v>0</v>
      </c>
      <c r="AG60" s="197"/>
      <c r="AH60" s="197"/>
      <c r="AI60" s="197"/>
      <c r="AJ60" s="197">
        <f>AG60+AH60+AI60</f>
        <v>0</v>
      </c>
      <c r="AK60" s="197">
        <f>AF60+AJ60</f>
        <v>0</v>
      </c>
      <c r="AL60" s="197"/>
      <c r="AM60" s="197"/>
      <c r="AN60" s="197"/>
      <c r="AO60" s="197">
        <f t="shared" si="6"/>
        <v>0</v>
      </c>
      <c r="AP60" s="634">
        <f t="shared" si="7"/>
        <v>0</v>
      </c>
      <c r="AQ60" s="633">
        <v>0</v>
      </c>
      <c r="AR60" s="197">
        <v>0</v>
      </c>
      <c r="AS60" s="197">
        <v>0</v>
      </c>
      <c r="AT60" s="197">
        <f t="shared" si="8"/>
        <v>0</v>
      </c>
      <c r="AU60" s="197">
        <v>0</v>
      </c>
      <c r="AV60" s="197">
        <v>0</v>
      </c>
      <c r="AW60" s="197">
        <v>0</v>
      </c>
      <c r="AX60" s="197">
        <f t="shared" si="9"/>
        <v>0</v>
      </c>
      <c r="AY60" s="197">
        <f>AT60+AX60</f>
        <v>0</v>
      </c>
      <c r="AZ60" s="197">
        <v>0</v>
      </c>
      <c r="BA60" s="197">
        <v>0</v>
      </c>
      <c r="BB60" s="197">
        <v>0</v>
      </c>
      <c r="BC60" s="197">
        <f t="shared" si="21"/>
        <v>0</v>
      </c>
      <c r="BD60" s="197">
        <f t="shared" si="11"/>
        <v>0</v>
      </c>
      <c r="BE60" s="197">
        <v>0</v>
      </c>
      <c r="BF60" s="197">
        <v>0</v>
      </c>
      <c r="BG60" s="197">
        <v>0</v>
      </c>
      <c r="BH60" s="197">
        <f t="shared" si="12"/>
        <v>0</v>
      </c>
      <c r="BI60" s="634">
        <f t="shared" si="13"/>
        <v>0</v>
      </c>
      <c r="BJ60" s="633">
        <v>0</v>
      </c>
      <c r="BK60" s="197">
        <v>0</v>
      </c>
      <c r="BL60" s="197">
        <v>0</v>
      </c>
      <c r="BM60" s="197">
        <f t="shared" si="14"/>
        <v>0</v>
      </c>
      <c r="BN60" s="197">
        <v>0</v>
      </c>
      <c r="BO60" s="197">
        <v>0</v>
      </c>
      <c r="BP60" s="197">
        <v>0</v>
      </c>
      <c r="BQ60" s="197">
        <f t="shared" si="15"/>
        <v>0</v>
      </c>
      <c r="BR60" s="197">
        <f t="shared" si="16"/>
        <v>0</v>
      </c>
      <c r="BS60" s="197">
        <v>0</v>
      </c>
      <c r="BT60" s="197">
        <v>0</v>
      </c>
      <c r="BU60" s="197">
        <v>0</v>
      </c>
      <c r="BV60" s="197">
        <f t="shared" si="17"/>
        <v>0</v>
      </c>
      <c r="BW60" s="197">
        <f t="shared" si="18"/>
        <v>0</v>
      </c>
      <c r="BX60" s="197">
        <v>0</v>
      </c>
      <c r="BY60" s="197">
        <v>0</v>
      </c>
      <c r="BZ60" s="197">
        <v>0</v>
      </c>
      <c r="CA60" s="197">
        <f t="shared" si="19"/>
        <v>0</v>
      </c>
      <c r="CB60" s="634">
        <v>0</v>
      </c>
      <c r="CC60" s="633">
        <v>0</v>
      </c>
      <c r="CD60" s="197">
        <v>0</v>
      </c>
      <c r="CE60" s="197">
        <v>0</v>
      </c>
      <c r="CF60" s="197">
        <f t="shared" si="20"/>
        <v>0</v>
      </c>
      <c r="CG60" s="197">
        <v>0</v>
      </c>
      <c r="CH60" s="197"/>
      <c r="CI60" s="197"/>
      <c r="CJ60" s="197"/>
      <c r="CK60" s="197"/>
      <c r="CL60" s="197"/>
      <c r="CM60" s="197"/>
      <c r="CN60" s="197"/>
      <c r="CO60" s="197"/>
      <c r="CP60" s="197"/>
      <c r="CQ60" s="197"/>
      <c r="CR60" s="197"/>
      <c r="CS60" s="197"/>
      <c r="CT60" s="197"/>
      <c r="CU60" s="634"/>
    </row>
    <row r="61" spans="1:99" ht="15.75" thickBot="1">
      <c r="C61">
        <v>17</v>
      </c>
      <c r="D61" s="279" t="s">
        <v>828</v>
      </c>
      <c r="E61" s="635">
        <f>SUM(E47:E60)</f>
        <v>0.59500000000000008</v>
      </c>
      <c r="F61" s="635">
        <f t="shared" ref="F61:AI61" si="22">SUM(F47:F60)</f>
        <v>0.49299999999999999</v>
      </c>
      <c r="G61" s="635">
        <f t="shared" si="22"/>
        <v>0.45999999999999996</v>
      </c>
      <c r="H61" s="635">
        <f t="shared" si="22"/>
        <v>1.548</v>
      </c>
      <c r="I61" s="635">
        <f t="shared" si="22"/>
        <v>0.48499999999999999</v>
      </c>
      <c r="J61" s="635">
        <f t="shared" si="22"/>
        <v>0.51800000000000002</v>
      </c>
      <c r="K61" s="635">
        <f t="shared" si="22"/>
        <v>0.48499999999999999</v>
      </c>
      <c r="L61" s="635">
        <f t="shared" si="22"/>
        <v>1.4879999999999998</v>
      </c>
      <c r="M61" s="635">
        <f t="shared" si="22"/>
        <v>3.0359999999999996</v>
      </c>
      <c r="N61" s="635">
        <f t="shared" si="22"/>
        <v>0.50700000000000001</v>
      </c>
      <c r="O61" s="635">
        <f t="shared" si="22"/>
        <v>0.57100000000000006</v>
      </c>
      <c r="P61" s="635">
        <f t="shared" si="22"/>
        <v>0.53800000000000003</v>
      </c>
      <c r="Q61" s="635">
        <f t="shared" si="22"/>
        <v>1.6159999999999997</v>
      </c>
      <c r="R61" s="635">
        <f t="shared" si="22"/>
        <v>4.6519999999999992</v>
      </c>
      <c r="S61" s="635">
        <f t="shared" si="22"/>
        <v>0.56000000000000005</v>
      </c>
      <c r="T61" s="635">
        <f t="shared" si="22"/>
        <v>0.54400000000000004</v>
      </c>
      <c r="U61" s="635">
        <f t="shared" si="22"/>
        <v>0.59300000000000008</v>
      </c>
      <c r="V61" s="635">
        <f t="shared" si="22"/>
        <v>1.6969999999999998</v>
      </c>
      <c r="W61" s="635">
        <f t="shared" si="22"/>
        <v>6.3489999999999993</v>
      </c>
      <c r="X61" s="635">
        <f t="shared" si="22"/>
        <v>0.61299999999999999</v>
      </c>
      <c r="Y61" s="635">
        <f t="shared" si="22"/>
        <v>0.60500000000000009</v>
      </c>
      <c r="Z61" s="635">
        <f t="shared" si="22"/>
        <v>0.59100000000000008</v>
      </c>
      <c r="AA61" s="635">
        <f t="shared" si="22"/>
        <v>1.8090000000000002</v>
      </c>
      <c r="AB61" s="635">
        <f t="shared" si="22"/>
        <v>0.6170000000000001</v>
      </c>
      <c r="AC61" s="635">
        <f t="shared" si="22"/>
        <v>0.59100000000000008</v>
      </c>
      <c r="AD61" s="635">
        <f t="shared" si="22"/>
        <v>0.56300000000000006</v>
      </c>
      <c r="AE61" s="635">
        <f t="shared" si="22"/>
        <v>1.7709999999999999</v>
      </c>
      <c r="AF61" s="635">
        <f t="shared" si="22"/>
        <v>3.5800000000000005</v>
      </c>
      <c r="AG61" s="635">
        <f t="shared" si="22"/>
        <v>0.59200000000000008</v>
      </c>
      <c r="AH61" s="635">
        <f t="shared" si="22"/>
        <v>0.59900000000000009</v>
      </c>
      <c r="AI61" s="635">
        <f t="shared" si="22"/>
        <v>0.62500000000000011</v>
      </c>
      <c r="AJ61" s="197">
        <f>AG61+AH61+AI61</f>
        <v>1.8160000000000003</v>
      </c>
      <c r="AK61" s="197">
        <f>AF61+AJ61</f>
        <v>5.3960000000000008</v>
      </c>
      <c r="AL61" s="635">
        <f>SUM(AL47:AL60)</f>
        <v>0.6080000000000001</v>
      </c>
      <c r="AM61" s="635">
        <f>SUM(AM47:AM60)</f>
        <v>0.55799999999999994</v>
      </c>
      <c r="AN61" s="635">
        <f>SUM(AN47:AN60)</f>
        <v>0.6160000000000001</v>
      </c>
      <c r="AO61" s="197">
        <f>AL61+AM61+AN61</f>
        <v>1.782</v>
      </c>
      <c r="AP61" s="634">
        <f>AO61+AK61</f>
        <v>7.1780000000000008</v>
      </c>
      <c r="AQ61" s="635">
        <f>SUM(AQ47:AQ60)</f>
        <v>0.60400000000000009</v>
      </c>
      <c r="AR61" s="636">
        <f>SUM(AR47:AR60)</f>
        <v>0.58800000000000008</v>
      </c>
      <c r="AS61" s="636">
        <f>SUM(AS47:AS60)</f>
        <v>0.60100000000000009</v>
      </c>
      <c r="AT61" s="636">
        <f>AQ61+AR61+AS61</f>
        <v>1.7930000000000001</v>
      </c>
      <c r="AU61" s="636">
        <f>SUM(AU47:AU60)</f>
        <v>0.62200000000000011</v>
      </c>
      <c r="AV61" s="636">
        <f>SUM(AV47:AV60)</f>
        <v>0.60699999999999998</v>
      </c>
      <c r="AW61" s="636">
        <f>SUM(AW47:AW60)</f>
        <v>0.59000000000000008</v>
      </c>
      <c r="AX61" s="636">
        <f t="shared" si="9"/>
        <v>1.8190000000000002</v>
      </c>
      <c r="AY61" s="636">
        <f>AT61+AX61</f>
        <v>3.6120000000000001</v>
      </c>
      <c r="AZ61" s="636">
        <f>SUM(AZ47:AZ60)</f>
        <v>0.59500000000000008</v>
      </c>
      <c r="BA61" s="636">
        <f>SUM(BA47:BA60)</f>
        <v>0.65200000000000002</v>
      </c>
      <c r="BB61" s="636">
        <f>SUM(BB47:BB60)</f>
        <v>0.62000000000000011</v>
      </c>
      <c r="BC61" s="197">
        <f t="shared" si="21"/>
        <v>1.8670000000000002</v>
      </c>
      <c r="BD61" s="197">
        <f t="shared" si="11"/>
        <v>5.4790000000000001</v>
      </c>
      <c r="BE61" s="636">
        <v>0.63300000000000001</v>
      </c>
      <c r="BF61" s="636">
        <f>SUM(BF47:BF60)</f>
        <v>0.55200000000000005</v>
      </c>
      <c r="BG61" s="636">
        <f>SUM(BG47:BG60)</f>
        <v>0.60100000000000009</v>
      </c>
      <c r="BH61" s="197">
        <f t="shared" si="12"/>
        <v>1.786</v>
      </c>
      <c r="BI61" s="634">
        <f t="shared" si="13"/>
        <v>7.2650000000000006</v>
      </c>
      <c r="BJ61" s="635">
        <f t="shared" ref="BJ61:BO61" si="23">SUM(BJ47:BJ60)</f>
        <v>0.58600000000000008</v>
      </c>
      <c r="BK61" s="636">
        <f t="shared" si="23"/>
        <v>0.59800000000000009</v>
      </c>
      <c r="BL61" s="636">
        <f t="shared" si="23"/>
        <v>0.57000000000000006</v>
      </c>
      <c r="BM61" s="636">
        <f t="shared" si="23"/>
        <v>1.7539999999999998</v>
      </c>
      <c r="BN61" s="636">
        <f t="shared" si="23"/>
        <v>0.60499999999999998</v>
      </c>
      <c r="BO61" s="636">
        <f t="shared" si="23"/>
        <v>0.52200000000000002</v>
      </c>
      <c r="BP61" s="636">
        <f>SUM(BP47:BP60)</f>
        <v>0.58600000000000008</v>
      </c>
      <c r="BQ61" s="197">
        <f t="shared" si="15"/>
        <v>1.7130000000000001</v>
      </c>
      <c r="BR61" s="197">
        <f t="shared" si="16"/>
        <v>3.4669999999999996</v>
      </c>
      <c r="BS61" s="636">
        <v>0.61</v>
      </c>
      <c r="BT61" s="636">
        <v>0.56499999999999995</v>
      </c>
      <c r="BU61" s="636">
        <v>0.52700000000000002</v>
      </c>
      <c r="BV61" s="197">
        <f t="shared" si="17"/>
        <v>1.702</v>
      </c>
      <c r="BW61" s="197">
        <f t="shared" si="18"/>
        <v>5.1689999999999996</v>
      </c>
      <c r="BX61" s="636">
        <v>0.59</v>
      </c>
      <c r="BY61" s="636">
        <v>0.56299999999999994</v>
      </c>
      <c r="BZ61" s="636">
        <v>0.58499999999999996</v>
      </c>
      <c r="CA61" s="636">
        <f>SUM(CA47:CA60)</f>
        <v>1.7349999999999999</v>
      </c>
      <c r="CB61" s="637">
        <v>6.9080000000000004</v>
      </c>
      <c r="CC61" s="635">
        <v>0.58899999999999997</v>
      </c>
      <c r="CD61" s="636">
        <v>0.61199999999999999</v>
      </c>
      <c r="CE61" s="636">
        <v>0.6</v>
      </c>
      <c r="CF61" s="197">
        <f>SUM(CF47:CF60)</f>
        <v>1.7979999999999996</v>
      </c>
      <c r="CG61" s="636">
        <v>0.622</v>
      </c>
      <c r="CH61" s="636"/>
      <c r="CI61" s="636"/>
      <c r="CJ61" s="197"/>
      <c r="CK61" s="197"/>
      <c r="CL61" s="636"/>
      <c r="CM61" s="636"/>
      <c r="CN61" s="636"/>
      <c r="CO61" s="197"/>
      <c r="CP61" s="197"/>
      <c r="CQ61" s="636"/>
      <c r="CR61" s="636"/>
      <c r="CS61" s="636"/>
      <c r="CT61" s="636"/>
      <c r="CU61" s="637"/>
    </row>
    <row r="62" spans="1:99">
      <c r="W62" s="480"/>
      <c r="AP62" s="480"/>
      <c r="BI62" s="480"/>
      <c r="CB62" s="480"/>
      <c r="CU62" s="480"/>
    </row>
    <row r="63" spans="1:99" ht="15.75" thickBot="1">
      <c r="W63" s="480"/>
      <c r="AP63" s="480"/>
      <c r="BI63" s="480"/>
      <c r="CB63" s="480"/>
      <c r="CU63" s="480"/>
    </row>
    <row r="64" spans="1:99">
      <c r="C64">
        <v>1</v>
      </c>
      <c r="E64" s="456">
        <v>202204</v>
      </c>
      <c r="F64" s="457">
        <v>202205</v>
      </c>
      <c r="G64" s="457">
        <v>202206</v>
      </c>
      <c r="H64" s="457">
        <v>222331</v>
      </c>
      <c r="I64" s="457">
        <v>202207</v>
      </c>
      <c r="J64" s="457">
        <v>202208</v>
      </c>
      <c r="K64" s="457">
        <v>202209</v>
      </c>
      <c r="L64" s="457">
        <v>222332</v>
      </c>
      <c r="M64" s="457">
        <v>222361</v>
      </c>
      <c r="N64" s="457">
        <v>202210</v>
      </c>
      <c r="O64" s="457">
        <v>202211</v>
      </c>
      <c r="P64" s="457">
        <v>202212</v>
      </c>
      <c r="Q64" s="457">
        <v>222333</v>
      </c>
      <c r="R64" s="457">
        <v>222391</v>
      </c>
      <c r="S64" s="457">
        <v>202301</v>
      </c>
      <c r="T64" s="457">
        <v>202302</v>
      </c>
      <c r="U64" s="457">
        <v>202303</v>
      </c>
      <c r="V64" s="457">
        <v>222334</v>
      </c>
      <c r="W64" s="631">
        <v>222399</v>
      </c>
      <c r="X64" s="456">
        <v>202304</v>
      </c>
      <c r="Y64" s="457">
        <v>202305</v>
      </c>
      <c r="Z64" s="457">
        <v>202306</v>
      </c>
      <c r="AA64" s="457">
        <v>232431</v>
      </c>
      <c r="AB64" s="457">
        <v>202307</v>
      </c>
      <c r="AC64" s="457">
        <v>202308</v>
      </c>
      <c r="AD64" s="457">
        <v>202309</v>
      </c>
      <c r="AE64" s="457">
        <v>232432</v>
      </c>
      <c r="AF64" s="457">
        <v>232461</v>
      </c>
      <c r="AG64" s="457">
        <v>202310</v>
      </c>
      <c r="AH64" s="457">
        <v>202311</v>
      </c>
      <c r="AI64" s="457">
        <v>202312</v>
      </c>
      <c r="AJ64" s="457">
        <v>232433</v>
      </c>
      <c r="AK64" s="457">
        <v>232491</v>
      </c>
      <c r="AL64" s="457">
        <v>202401</v>
      </c>
      <c r="AM64" s="457">
        <v>202402</v>
      </c>
      <c r="AN64" s="457">
        <v>202403</v>
      </c>
      <c r="AO64" s="457">
        <v>232434</v>
      </c>
      <c r="AP64" s="631">
        <v>232499</v>
      </c>
      <c r="AQ64" s="456">
        <v>202404</v>
      </c>
      <c r="AR64" s="457">
        <v>202405</v>
      </c>
      <c r="AS64" s="457">
        <v>202406</v>
      </c>
      <c r="AT64" s="457">
        <v>242531</v>
      </c>
      <c r="AU64" s="457">
        <v>202407</v>
      </c>
      <c r="AV64" s="457">
        <v>202408</v>
      </c>
      <c r="AW64" s="457">
        <v>202409</v>
      </c>
      <c r="AX64" s="457">
        <v>242532</v>
      </c>
      <c r="AY64" s="457">
        <v>242561</v>
      </c>
      <c r="AZ64" s="457">
        <v>202410</v>
      </c>
      <c r="BA64" s="457">
        <v>202411</v>
      </c>
      <c r="BB64" s="457">
        <v>202412</v>
      </c>
      <c r="BC64" s="457">
        <v>242533</v>
      </c>
      <c r="BD64" s="457">
        <v>242591</v>
      </c>
      <c r="BE64" s="457">
        <v>202501</v>
      </c>
      <c r="BF64" s="457">
        <v>202502</v>
      </c>
      <c r="BG64" s="457">
        <v>202503</v>
      </c>
      <c r="BH64" s="457">
        <v>242534</v>
      </c>
      <c r="BI64" s="631">
        <v>242599</v>
      </c>
      <c r="BJ64" s="456">
        <v>202504</v>
      </c>
      <c r="BK64" s="457">
        <v>202505</v>
      </c>
      <c r="BL64" s="457">
        <v>202506</v>
      </c>
      <c r="BM64" s="457">
        <v>252631</v>
      </c>
      <c r="BN64" s="457">
        <v>202507</v>
      </c>
      <c r="BO64" s="457">
        <v>202508</v>
      </c>
      <c r="BP64" s="457">
        <v>202509</v>
      </c>
      <c r="BQ64" s="457">
        <v>252632</v>
      </c>
      <c r="BR64" s="457">
        <v>252661</v>
      </c>
      <c r="BS64" s="457">
        <v>202510</v>
      </c>
      <c r="BT64" s="457">
        <v>202511</v>
      </c>
      <c r="BU64" s="457">
        <v>202512</v>
      </c>
      <c r="BV64" s="457">
        <v>252633</v>
      </c>
      <c r="BW64" s="457">
        <v>252691</v>
      </c>
      <c r="BX64" s="457">
        <v>202601</v>
      </c>
      <c r="BY64" s="457">
        <v>202602</v>
      </c>
      <c r="BZ64" s="457">
        <v>202603</v>
      </c>
      <c r="CA64" s="457">
        <v>252634</v>
      </c>
      <c r="CB64" s="631">
        <v>252699</v>
      </c>
      <c r="CC64">
        <v>202604</v>
      </c>
      <c r="CD64">
        <v>202605</v>
      </c>
      <c r="CE64">
        <v>202606</v>
      </c>
      <c r="CF64">
        <v>262731</v>
      </c>
      <c r="CG64">
        <v>202607</v>
      </c>
      <c r="CH64">
        <v>202608</v>
      </c>
      <c r="CI64">
        <v>202609</v>
      </c>
      <c r="CJ64">
        <v>262732</v>
      </c>
      <c r="CK64">
        <v>262761</v>
      </c>
      <c r="CL64">
        <v>202610</v>
      </c>
      <c r="CM64">
        <v>202611</v>
      </c>
      <c r="CN64">
        <v>202612</v>
      </c>
      <c r="CO64">
        <v>262733</v>
      </c>
      <c r="CP64">
        <v>262791</v>
      </c>
      <c r="CQ64">
        <v>202701</v>
      </c>
      <c r="CR64">
        <v>202702</v>
      </c>
      <c r="CS64">
        <v>202703</v>
      </c>
      <c r="CT64">
        <v>262734</v>
      </c>
      <c r="CU64" s="480">
        <v>262799</v>
      </c>
    </row>
    <row r="65" spans="1:99">
      <c r="C65">
        <v>2</v>
      </c>
      <c r="E65" s="459" t="s">
        <v>308</v>
      </c>
      <c r="F65" t="s">
        <v>309</v>
      </c>
      <c r="G65" t="s">
        <v>829</v>
      </c>
      <c r="H65" t="s">
        <v>392</v>
      </c>
      <c r="I65" t="s">
        <v>830</v>
      </c>
      <c r="J65" t="s">
        <v>312</v>
      </c>
      <c r="K65" t="s">
        <v>313</v>
      </c>
      <c r="L65" t="s">
        <v>393</v>
      </c>
      <c r="M65" t="s">
        <v>622</v>
      </c>
      <c r="N65" t="s">
        <v>314</v>
      </c>
      <c r="O65" t="s">
        <v>315</v>
      </c>
      <c r="P65" t="s">
        <v>316</v>
      </c>
      <c r="Q65" t="s">
        <v>394</v>
      </c>
      <c r="R65" t="s">
        <v>624</v>
      </c>
      <c r="S65" t="s">
        <v>317</v>
      </c>
      <c r="T65" t="s">
        <v>318</v>
      </c>
      <c r="U65" t="s">
        <v>319</v>
      </c>
      <c r="V65" t="s">
        <v>395</v>
      </c>
      <c r="W65" s="632" t="s">
        <v>831</v>
      </c>
      <c r="X65" s="459" t="s">
        <v>726</v>
      </c>
      <c r="Y65" t="s">
        <v>727</v>
      </c>
      <c r="Z65" t="s">
        <v>832</v>
      </c>
      <c r="AA65" t="s">
        <v>762</v>
      </c>
      <c r="AB65" t="s">
        <v>833</v>
      </c>
      <c r="AC65" t="s">
        <v>730</v>
      </c>
      <c r="AD65" t="s">
        <v>731</v>
      </c>
      <c r="AE65" t="s">
        <v>765</v>
      </c>
      <c r="AF65" t="s">
        <v>774</v>
      </c>
      <c r="AG65" t="s">
        <v>732</v>
      </c>
      <c r="AH65" t="s">
        <v>733</v>
      </c>
      <c r="AI65" t="s">
        <v>734</v>
      </c>
      <c r="AJ65" t="s">
        <v>768</v>
      </c>
      <c r="AK65" t="s">
        <v>780</v>
      </c>
      <c r="AL65" t="s">
        <v>735</v>
      </c>
      <c r="AM65" t="s">
        <v>736</v>
      </c>
      <c r="AN65" t="s">
        <v>737</v>
      </c>
      <c r="AO65" t="s">
        <v>771</v>
      </c>
      <c r="AP65" s="632" t="s">
        <v>834</v>
      </c>
      <c r="AQ65" s="459" t="s">
        <v>738</v>
      </c>
      <c r="AR65" t="s">
        <v>740</v>
      </c>
      <c r="AS65" t="s">
        <v>835</v>
      </c>
      <c r="AT65" t="s">
        <v>763</v>
      </c>
      <c r="AU65" t="s">
        <v>836</v>
      </c>
      <c r="AV65" t="s">
        <v>743</v>
      </c>
      <c r="AW65" t="s">
        <v>744</v>
      </c>
      <c r="AX65" t="s">
        <v>766</v>
      </c>
      <c r="AY65" t="s">
        <v>775</v>
      </c>
      <c r="AZ65" t="s">
        <v>745</v>
      </c>
      <c r="BA65" t="s">
        <v>746</v>
      </c>
      <c r="BB65" t="s">
        <v>747</v>
      </c>
      <c r="BC65" t="s">
        <v>769</v>
      </c>
      <c r="BD65" t="s">
        <v>781</v>
      </c>
      <c r="BE65" t="s">
        <v>748</v>
      </c>
      <c r="BF65" t="s">
        <v>749</v>
      </c>
      <c r="BG65" t="s">
        <v>750</v>
      </c>
      <c r="BH65" t="s">
        <v>772</v>
      </c>
      <c r="BI65" s="632" t="s">
        <v>837</v>
      </c>
      <c r="BJ65" s="459" t="s">
        <v>739</v>
      </c>
      <c r="BK65" t="s">
        <v>751</v>
      </c>
      <c r="BL65" t="s">
        <v>838</v>
      </c>
      <c r="BM65" t="s">
        <v>764</v>
      </c>
      <c r="BN65" t="s">
        <v>839</v>
      </c>
      <c r="BO65" t="s">
        <v>754</v>
      </c>
      <c r="BP65" t="s">
        <v>755</v>
      </c>
      <c r="BQ65" t="s">
        <v>767</v>
      </c>
      <c r="BR65" t="s">
        <v>776</v>
      </c>
      <c r="BS65" t="s">
        <v>756</v>
      </c>
      <c r="BT65" t="s">
        <v>757</v>
      </c>
      <c r="BU65" t="s">
        <v>758</v>
      </c>
      <c r="BV65" t="s">
        <v>770</v>
      </c>
      <c r="BW65" t="s">
        <v>782</v>
      </c>
      <c r="BX65" t="s">
        <v>759</v>
      </c>
      <c r="BY65" t="s">
        <v>760</v>
      </c>
      <c r="BZ65" t="s">
        <v>761</v>
      </c>
      <c r="CA65" t="s">
        <v>773</v>
      </c>
      <c r="CB65" s="632" t="s">
        <v>840</v>
      </c>
      <c r="CC65" t="s">
        <v>2268</v>
      </c>
      <c r="CD65" t="s">
        <v>2151</v>
      </c>
      <c r="CE65" t="s">
        <v>2269</v>
      </c>
      <c r="CF65" t="s">
        <v>2260</v>
      </c>
      <c r="CG65" t="s">
        <v>2270</v>
      </c>
      <c r="CH65" t="s">
        <v>2154</v>
      </c>
      <c r="CI65" t="s">
        <v>2155</v>
      </c>
      <c r="CJ65" t="s">
        <v>2261</v>
      </c>
      <c r="CK65" t="s">
        <v>2264</v>
      </c>
      <c r="CL65" t="s">
        <v>2156</v>
      </c>
      <c r="CM65" t="s">
        <v>2157</v>
      </c>
      <c r="CN65" t="s">
        <v>2158</v>
      </c>
      <c r="CO65" t="s">
        <v>2262</v>
      </c>
      <c r="CP65" t="s">
        <v>2266</v>
      </c>
      <c r="CQ65" t="s">
        <v>2159</v>
      </c>
      <c r="CR65" t="s">
        <v>2160</v>
      </c>
      <c r="CS65" t="s">
        <v>2149</v>
      </c>
      <c r="CT65" t="s">
        <v>2263</v>
      </c>
      <c r="CU65" s="480" t="s">
        <v>2271</v>
      </c>
    </row>
    <row r="66" spans="1:99">
      <c r="C66">
        <v>3</v>
      </c>
      <c r="D66" s="209" t="s">
        <v>60</v>
      </c>
      <c r="E66" s="633">
        <v>5.7000000000000002E-2</v>
      </c>
      <c r="F66" s="197">
        <v>4.2999999999999997E-2</v>
      </c>
      <c r="G66" s="197">
        <v>3.5999999999999997E-2</v>
      </c>
      <c r="H66" s="197">
        <v>0.13600000000000001</v>
      </c>
      <c r="I66" s="197">
        <v>3.4000000000000002E-2</v>
      </c>
      <c r="J66" s="197">
        <v>2.8000000000000001E-2</v>
      </c>
      <c r="K66" s="197">
        <v>1.7999999999999999E-2</v>
      </c>
      <c r="L66" s="197">
        <v>0.08</v>
      </c>
      <c r="M66" s="197">
        <v>0.21600000000000003</v>
      </c>
      <c r="N66" s="197">
        <v>1.2E-2</v>
      </c>
      <c r="O66" s="197">
        <v>6.5000000000000002E-2</v>
      </c>
      <c r="P66" s="197">
        <v>7.8E-2</v>
      </c>
      <c r="Q66" s="197">
        <v>0.155</v>
      </c>
      <c r="R66" s="197">
        <v>0.371</v>
      </c>
      <c r="S66" s="197">
        <v>8.5000000000000006E-2</v>
      </c>
      <c r="T66" s="197">
        <v>7.6999999999999999E-2</v>
      </c>
      <c r="U66" s="197">
        <v>7.6999999999999999E-2</v>
      </c>
      <c r="V66" s="197">
        <v>0.23899999999999999</v>
      </c>
      <c r="W66" s="634">
        <v>0.61</v>
      </c>
      <c r="X66" s="633">
        <v>5.8000000000000003E-2</v>
      </c>
      <c r="Y66" s="197">
        <v>4.2999999999999997E-2</v>
      </c>
      <c r="Z66" s="197">
        <v>3.4000000000000002E-2</v>
      </c>
      <c r="AA66" s="197">
        <f>X66+Y66+Z66</f>
        <v>0.13500000000000001</v>
      </c>
      <c r="AB66" s="197">
        <v>4.3999999999999997E-2</v>
      </c>
      <c r="AC66" s="197">
        <v>4.1000000000000002E-2</v>
      </c>
      <c r="AD66" s="197">
        <v>4.3999999999999997E-2</v>
      </c>
      <c r="AE66" s="197">
        <f>AB66+AC66+AD66</f>
        <v>0.129</v>
      </c>
      <c r="AF66" s="197">
        <f>AA66+AE66</f>
        <v>0.26400000000000001</v>
      </c>
      <c r="AG66" s="197">
        <v>5.6000000000000001E-2</v>
      </c>
      <c r="AH66" s="197">
        <v>6.9000000000000006E-2</v>
      </c>
      <c r="AI66" s="197">
        <v>8.1000000000000003E-2</v>
      </c>
      <c r="AJ66" s="197">
        <f>AG66+AH66+AI66</f>
        <v>0.20600000000000002</v>
      </c>
      <c r="AK66" s="197">
        <f>AF66+AJ66</f>
        <v>0.47000000000000003</v>
      </c>
      <c r="AL66" s="197">
        <v>8.4000000000000005E-2</v>
      </c>
      <c r="AM66" s="197">
        <v>7.2999999999999995E-2</v>
      </c>
      <c r="AN66" s="197">
        <v>7.3999999999999996E-2</v>
      </c>
      <c r="AO66" s="197">
        <f>AL66+AM66+AN66</f>
        <v>0.23099999999999998</v>
      </c>
      <c r="AP66" s="634">
        <f>AO66+AK66</f>
        <v>0.70100000000000007</v>
      </c>
      <c r="AQ66" s="633">
        <v>0.06</v>
      </c>
      <c r="AR66" s="197">
        <v>4.7E-2</v>
      </c>
      <c r="AS66" s="197">
        <v>4.1000000000000002E-2</v>
      </c>
      <c r="AT66" s="197">
        <f t="shared" ref="AT66:AT79" si="24">AQ66+AR66+AS66</f>
        <v>0.14799999999999999</v>
      </c>
      <c r="AU66" s="197">
        <v>4.2999999999999997E-2</v>
      </c>
      <c r="AV66" s="197">
        <v>3.9E-2</v>
      </c>
      <c r="AW66" s="197">
        <v>4.3999999999999997E-2</v>
      </c>
      <c r="AX66" s="197">
        <f>AU66+AV66+AW66</f>
        <v>0.126</v>
      </c>
      <c r="AY66" s="197">
        <f t="shared" ref="AY66:AY72" si="25">AT66+AX66</f>
        <v>0.27400000000000002</v>
      </c>
      <c r="AZ66" s="197">
        <v>6.6000000000000003E-2</v>
      </c>
      <c r="BA66" s="197">
        <v>6.7000000000000004E-2</v>
      </c>
      <c r="BB66" s="197">
        <v>8.1000000000000003E-2</v>
      </c>
      <c r="BC66" s="197">
        <f>AZ66+BA66+BB66</f>
        <v>0.21400000000000002</v>
      </c>
      <c r="BD66" s="197">
        <f>AY66+BC66</f>
        <v>0.48800000000000004</v>
      </c>
      <c r="BE66" s="197">
        <v>7.1999999999999995E-2</v>
      </c>
      <c r="BF66" s="197">
        <v>6.9000000000000006E-2</v>
      </c>
      <c r="BG66" s="197">
        <v>7.3999999999999996E-2</v>
      </c>
      <c r="BH66" s="197">
        <f t="shared" ref="BH66:BH79" si="26">SUM(BE66:BG66)</f>
        <v>0.21500000000000002</v>
      </c>
      <c r="BI66" s="634">
        <f>BH66+BD66</f>
        <v>0.70300000000000007</v>
      </c>
      <c r="BJ66" s="633">
        <v>5.5E-2</v>
      </c>
      <c r="BK66">
        <v>5.0999999999999997E-2</v>
      </c>
      <c r="BL66" s="197">
        <v>4.7E-2</v>
      </c>
      <c r="BM66" s="197">
        <f>BJ66+BK66+BL66</f>
        <v>0.153</v>
      </c>
      <c r="BN66" s="197">
        <v>0.03</v>
      </c>
      <c r="BO66" s="197">
        <v>7.0000000000000001E-3</v>
      </c>
      <c r="BP66" s="197">
        <v>4.4999999999999998E-2</v>
      </c>
      <c r="BQ66" s="197">
        <f>BN66+BO66+BP66</f>
        <v>8.199999999999999E-2</v>
      </c>
      <c r="BR66" s="197">
        <f>BM66+BQ66</f>
        <v>0.23499999999999999</v>
      </c>
      <c r="BS66" s="197">
        <v>4.7E-2</v>
      </c>
      <c r="BT66" s="197">
        <v>6.0999999999999999E-2</v>
      </c>
      <c r="BU66" s="197">
        <v>5.1999999999999998E-2</v>
      </c>
      <c r="BV66" s="197">
        <f>BS66+BT66+BU66</f>
        <v>0.16</v>
      </c>
      <c r="BW66" s="197">
        <f>BM66+BQ66+BV66</f>
        <v>0.39500000000000002</v>
      </c>
      <c r="BX66" s="197">
        <v>4.2999999999999997E-2</v>
      </c>
      <c r="BY66" s="197">
        <v>6.8000000000000005E-2</v>
      </c>
      <c r="BZ66" s="197">
        <v>8.4000000000000005E-2</v>
      </c>
      <c r="CA66" s="197">
        <f>SUM(BX66:BZ66)</f>
        <v>0.19500000000000001</v>
      </c>
      <c r="CB66" s="634">
        <v>0.623</v>
      </c>
      <c r="CC66" s="634">
        <v>5.8000000000000003E-2</v>
      </c>
      <c r="CD66">
        <v>5.1999999999999998E-2</v>
      </c>
      <c r="CE66" s="197">
        <v>4.5999999999999999E-2</v>
      </c>
      <c r="CF66" s="197">
        <f>CC66+CD66+CE66</f>
        <v>0.156</v>
      </c>
      <c r="CG66" s="197">
        <v>4.5999999999999999E-2</v>
      </c>
      <c r="CH66" s="197"/>
      <c r="CI66" s="197"/>
      <c r="CJ66" s="197"/>
      <c r="CK66" s="197"/>
      <c r="CL66" s="197"/>
      <c r="CM66" s="197"/>
      <c r="CN66" s="197"/>
      <c r="CO66" s="197"/>
      <c r="CP66" s="197"/>
      <c r="CQ66" s="197"/>
      <c r="CR66" s="197"/>
      <c r="CS66" s="197"/>
      <c r="CT66" s="197"/>
      <c r="CU66" s="634"/>
    </row>
    <row r="67" spans="1:99">
      <c r="C67">
        <v>4</v>
      </c>
      <c r="D67" s="209" t="s">
        <v>61</v>
      </c>
      <c r="E67" s="633">
        <v>0.124</v>
      </c>
      <c r="F67" s="197">
        <v>0.127</v>
      </c>
      <c r="G67" s="197">
        <v>0.121</v>
      </c>
      <c r="H67" s="197">
        <v>0.372</v>
      </c>
      <c r="I67" s="197">
        <v>0.123</v>
      </c>
      <c r="J67" s="197">
        <v>0.11600000000000001</v>
      </c>
      <c r="K67" s="197">
        <v>0.108</v>
      </c>
      <c r="L67" s="197">
        <v>0.34699999999999998</v>
      </c>
      <c r="M67" s="197">
        <v>0.71899999999999997</v>
      </c>
      <c r="N67" s="197">
        <v>0.106</v>
      </c>
      <c r="O67" s="197">
        <v>0.10199999999999999</v>
      </c>
      <c r="P67" s="197">
        <v>0.106</v>
      </c>
      <c r="Q67" s="197">
        <v>0.314</v>
      </c>
      <c r="R67" s="197">
        <v>1.0329999999999999</v>
      </c>
      <c r="S67" s="197">
        <v>0.108</v>
      </c>
      <c r="T67" s="197">
        <v>9.7000000000000003E-2</v>
      </c>
      <c r="U67" s="197">
        <v>9.8000000000000004E-2</v>
      </c>
      <c r="V67" s="197">
        <v>0.30300000000000005</v>
      </c>
      <c r="W67" s="634">
        <v>1.3359999999999999</v>
      </c>
      <c r="X67" s="633">
        <v>0.10199999999999999</v>
      </c>
      <c r="Y67" s="197">
        <v>0.106</v>
      </c>
      <c r="Z67" s="197">
        <v>9.8000000000000004E-2</v>
      </c>
      <c r="AA67" s="197">
        <f t="shared" ref="AA67:AA79" si="27">X67+Y67+Z67</f>
        <v>0.30599999999999999</v>
      </c>
      <c r="AB67" s="197">
        <v>8.2000000000000003E-2</v>
      </c>
      <c r="AC67" s="197">
        <v>9.9000000000000005E-2</v>
      </c>
      <c r="AD67" s="197">
        <v>9.6000000000000002E-2</v>
      </c>
      <c r="AE67" s="197">
        <f t="shared" ref="AE67:AE79" si="28">AB67+AC67+AD67</f>
        <v>0.27700000000000002</v>
      </c>
      <c r="AF67" s="197">
        <f t="shared" ref="AF67:AF79" si="29">AA67+AE67</f>
        <v>0.58299999999999996</v>
      </c>
      <c r="AG67" s="197">
        <v>9.8000000000000004E-2</v>
      </c>
      <c r="AH67" s="197">
        <v>9.7000000000000003E-2</v>
      </c>
      <c r="AI67" s="197">
        <v>9.7000000000000003E-2</v>
      </c>
      <c r="AJ67" s="197">
        <f t="shared" ref="AJ67:AJ80" si="30">AG67+AH67+AI67</f>
        <v>0.29200000000000004</v>
      </c>
      <c r="AK67" s="197">
        <f t="shared" ref="AK67:AK79" si="31">AF67+AJ67</f>
        <v>0.875</v>
      </c>
      <c r="AL67" s="197">
        <v>9.5000000000000001E-2</v>
      </c>
      <c r="AM67" s="197">
        <v>8.7999999999999995E-2</v>
      </c>
      <c r="AN67" s="197">
        <v>0.08</v>
      </c>
      <c r="AO67" s="197">
        <f t="shared" ref="AO67:AO80" si="32">AL67+AM67+AN67</f>
        <v>0.26300000000000001</v>
      </c>
      <c r="AP67" s="634">
        <f t="shared" ref="AP67:AP80" si="33">AO67+AK67</f>
        <v>1.1379999999999999</v>
      </c>
      <c r="AQ67" s="633">
        <v>8.1000000000000003E-2</v>
      </c>
      <c r="AR67" s="197">
        <v>8.4000000000000005E-2</v>
      </c>
      <c r="AS67" s="197">
        <v>8.3000000000000004E-2</v>
      </c>
      <c r="AT67" s="197">
        <f t="shared" si="24"/>
        <v>0.248</v>
      </c>
      <c r="AU67" s="197">
        <v>7.2999999999999995E-2</v>
      </c>
      <c r="AV67" s="197">
        <v>8.7999999999999995E-2</v>
      </c>
      <c r="AW67" s="197">
        <v>8.7999999999999995E-2</v>
      </c>
      <c r="AX67" s="197">
        <f t="shared" ref="AX67:AX79" si="34">AU67+AV67+AW67</f>
        <v>0.24899999999999997</v>
      </c>
      <c r="AY67" s="197">
        <f t="shared" si="25"/>
        <v>0.497</v>
      </c>
      <c r="AZ67" s="197">
        <v>0.09</v>
      </c>
      <c r="BA67" s="197">
        <v>8.6999999999999994E-2</v>
      </c>
      <c r="BB67" s="197">
        <v>9.4E-2</v>
      </c>
      <c r="BC67" s="197">
        <f t="shared" ref="BC67:BC79" si="35">AZ67+BA67+BB67</f>
        <v>0.27100000000000002</v>
      </c>
      <c r="BD67" s="197">
        <f t="shared" ref="BD67:BD73" si="36">AY67+BC67</f>
        <v>0.76800000000000002</v>
      </c>
      <c r="BE67" s="197">
        <v>0.09</v>
      </c>
      <c r="BF67" s="197">
        <v>8.3000000000000004E-2</v>
      </c>
      <c r="BG67" s="197">
        <v>9.0999999999999998E-2</v>
      </c>
      <c r="BH67" s="197">
        <f t="shared" si="26"/>
        <v>0.26400000000000001</v>
      </c>
      <c r="BI67" s="634">
        <f t="shared" ref="BI67:BI79" si="37">BH67+BD67</f>
        <v>1.032</v>
      </c>
      <c r="BJ67" s="633">
        <v>7.9000000000000001E-2</v>
      </c>
      <c r="BK67">
        <v>8.5999999999999993E-2</v>
      </c>
      <c r="BL67" s="197">
        <v>8.2000000000000003E-2</v>
      </c>
      <c r="BM67" s="197">
        <f t="shared" ref="BM67:BM79" si="38">BJ67+BK67+BL67</f>
        <v>0.247</v>
      </c>
      <c r="BN67" s="197">
        <v>8.6999999999999994E-2</v>
      </c>
      <c r="BO67" s="197">
        <v>7.3999999999999996E-2</v>
      </c>
      <c r="BP67" s="197">
        <v>8.2000000000000003E-2</v>
      </c>
      <c r="BQ67" s="197">
        <f t="shared" ref="BQ67:BQ80" si="39">BN67+BO67+BP67</f>
        <v>0.24299999999999999</v>
      </c>
      <c r="BR67" s="197">
        <f t="shared" ref="BR67:BR80" si="40">BM67+BQ67</f>
        <v>0.49</v>
      </c>
      <c r="BS67" s="197">
        <v>8.4000000000000005E-2</v>
      </c>
      <c r="BT67" s="197">
        <v>8.1000000000000003E-2</v>
      </c>
      <c r="BU67" s="197">
        <v>8.1000000000000003E-2</v>
      </c>
      <c r="BV67" s="197">
        <f t="shared" ref="BV67:BV80" si="41">BS67+BT67+BU67</f>
        <v>0.246</v>
      </c>
      <c r="BW67" s="197">
        <f t="shared" ref="BW67:BW80" si="42">BM67+BQ67+BV67</f>
        <v>0.73599999999999999</v>
      </c>
      <c r="BX67" s="197">
        <v>8.2000000000000003E-2</v>
      </c>
      <c r="BY67" s="197">
        <v>7.1999999999999995E-2</v>
      </c>
      <c r="BZ67" s="197">
        <v>7.5999999999999998E-2</v>
      </c>
      <c r="CA67" s="197">
        <f t="shared" ref="CA67:CA79" si="43">SUM(BX67:BZ67)</f>
        <v>0.22999999999999998</v>
      </c>
      <c r="CB67" s="634">
        <v>0.96499999999999997</v>
      </c>
      <c r="CC67" s="633">
        <v>7.8E-2</v>
      </c>
      <c r="CD67">
        <v>0.08</v>
      </c>
      <c r="CE67" s="197">
        <v>7.5999999999999998E-2</v>
      </c>
      <c r="CF67" s="197">
        <f t="shared" ref="CF67:CF79" si="44">CC67+CD67+CE67</f>
        <v>0.23399999999999999</v>
      </c>
      <c r="CG67" s="197">
        <v>7.0999999999999994E-2</v>
      </c>
      <c r="CH67" s="197"/>
      <c r="CI67" s="197"/>
      <c r="CJ67" s="197"/>
      <c r="CK67" s="197"/>
      <c r="CL67" s="197"/>
      <c r="CM67" s="197"/>
      <c r="CN67" s="197"/>
      <c r="CO67" s="197"/>
      <c r="CP67" s="197"/>
      <c r="CQ67" s="197"/>
      <c r="CR67" s="197"/>
      <c r="CS67" s="197"/>
      <c r="CT67" s="197"/>
      <c r="CU67" s="634"/>
    </row>
    <row r="68" spans="1:99">
      <c r="C68">
        <v>5</v>
      </c>
      <c r="D68" s="209" t="s">
        <v>62</v>
      </c>
      <c r="E68" s="633">
        <v>9.9999999999999985E-3</v>
      </c>
      <c r="F68" s="197">
        <v>8.0000000000000002E-3</v>
      </c>
      <c r="G68" s="197">
        <v>0.01</v>
      </c>
      <c r="H68" s="197">
        <v>2.7999999999999997E-2</v>
      </c>
      <c r="I68" s="197">
        <v>0.01</v>
      </c>
      <c r="J68" s="197">
        <v>0.01</v>
      </c>
      <c r="K68" s="197">
        <v>9.0000000000000011E-3</v>
      </c>
      <c r="L68" s="197">
        <v>2.9000000000000001E-2</v>
      </c>
      <c r="M68" s="197">
        <v>5.6999999999999995E-2</v>
      </c>
      <c r="N68" s="197">
        <v>1.0999999999999999E-2</v>
      </c>
      <c r="O68" s="197">
        <v>0.01</v>
      </c>
      <c r="P68" s="197">
        <v>1.0999999999999999E-2</v>
      </c>
      <c r="Q68" s="197">
        <v>3.2000000000000001E-2</v>
      </c>
      <c r="R68" s="197">
        <v>8.8999999999999996E-2</v>
      </c>
      <c r="S68" s="197">
        <v>0.01</v>
      </c>
      <c r="T68" s="197">
        <v>8.9999999999999993E-3</v>
      </c>
      <c r="U68" s="197">
        <v>0.01</v>
      </c>
      <c r="V68" s="197">
        <v>2.8999999999999998E-2</v>
      </c>
      <c r="W68" s="634">
        <v>0.11799999999999999</v>
      </c>
      <c r="X68" s="633">
        <v>0.01</v>
      </c>
      <c r="Y68" s="197">
        <v>8.9999999999999993E-3</v>
      </c>
      <c r="Z68" s="197">
        <v>8.9999999999999993E-3</v>
      </c>
      <c r="AA68" s="197">
        <f t="shared" si="27"/>
        <v>2.7999999999999997E-2</v>
      </c>
      <c r="AB68" s="197">
        <v>0.01</v>
      </c>
      <c r="AC68" s="197">
        <v>0.01</v>
      </c>
      <c r="AD68" s="197">
        <v>8.0000000000000002E-3</v>
      </c>
      <c r="AE68" s="197">
        <f t="shared" si="28"/>
        <v>2.8000000000000001E-2</v>
      </c>
      <c r="AF68" s="197">
        <f t="shared" si="29"/>
        <v>5.5999999999999994E-2</v>
      </c>
      <c r="AG68" s="197">
        <v>0.01</v>
      </c>
      <c r="AH68" s="197">
        <v>0.01</v>
      </c>
      <c r="AI68" s="197">
        <v>0.01</v>
      </c>
      <c r="AJ68" s="197">
        <f t="shared" si="30"/>
        <v>0.03</v>
      </c>
      <c r="AK68" s="197">
        <f t="shared" si="31"/>
        <v>8.5999999999999993E-2</v>
      </c>
      <c r="AL68" s="197">
        <v>8.9999999999999993E-3</v>
      </c>
      <c r="AM68" s="197">
        <v>8.9999999999999993E-3</v>
      </c>
      <c r="AN68" s="197">
        <v>9.9999999999999985E-3</v>
      </c>
      <c r="AO68" s="197">
        <f t="shared" si="32"/>
        <v>2.7999999999999997E-2</v>
      </c>
      <c r="AP68" s="634">
        <f t="shared" si="33"/>
        <v>0.11399999999999999</v>
      </c>
      <c r="AQ68" s="633">
        <v>8.9999999999999993E-3</v>
      </c>
      <c r="AR68" s="197">
        <v>7.0000000000000001E-3</v>
      </c>
      <c r="AS68" s="197">
        <v>2E-3</v>
      </c>
      <c r="AT68" s="197">
        <f t="shared" si="24"/>
        <v>1.8000000000000002E-2</v>
      </c>
      <c r="AU68" s="197">
        <v>8.9999999999999993E-3</v>
      </c>
      <c r="AV68" s="197">
        <v>8.9999999999999993E-3</v>
      </c>
      <c r="AW68" s="197">
        <v>7.0000000000000001E-3</v>
      </c>
      <c r="AX68" s="197">
        <f t="shared" si="34"/>
        <v>2.4999999999999998E-2</v>
      </c>
      <c r="AY68" s="197">
        <f t="shared" si="25"/>
        <v>4.2999999999999997E-2</v>
      </c>
      <c r="AZ68" s="197">
        <v>8.0000000000000002E-3</v>
      </c>
      <c r="BA68" s="197">
        <v>8.0000000000000002E-3</v>
      </c>
      <c r="BB68" s="197">
        <v>8.9999999999999993E-3</v>
      </c>
      <c r="BC68" s="197">
        <f t="shared" si="35"/>
        <v>2.5000000000000001E-2</v>
      </c>
      <c r="BD68" s="197">
        <f t="shared" si="36"/>
        <v>6.8000000000000005E-2</v>
      </c>
      <c r="BE68" s="197">
        <v>8.9999999999999993E-3</v>
      </c>
      <c r="BF68" s="197">
        <v>8.0000000000000002E-3</v>
      </c>
      <c r="BG68" s="197">
        <v>8.0000000000000002E-3</v>
      </c>
      <c r="BH68" s="197">
        <f t="shared" si="26"/>
        <v>2.5000000000000001E-2</v>
      </c>
      <c r="BI68" s="634">
        <f t="shared" si="37"/>
        <v>9.2999999999999999E-2</v>
      </c>
      <c r="BJ68" s="633">
        <v>8.9999999999999993E-3</v>
      </c>
      <c r="BK68">
        <v>8.0000000000000002E-3</v>
      </c>
      <c r="BL68" s="197">
        <v>7.0000000000000001E-3</v>
      </c>
      <c r="BM68" s="197">
        <f t="shared" si="38"/>
        <v>2.4E-2</v>
      </c>
      <c r="BN68" s="197">
        <v>8.0000000000000002E-3</v>
      </c>
      <c r="BO68" s="197">
        <v>8.9999999999999993E-3</v>
      </c>
      <c r="BP68" s="197">
        <v>8.0000000000000002E-3</v>
      </c>
      <c r="BQ68" s="197">
        <f t="shared" si="39"/>
        <v>2.5000000000000001E-2</v>
      </c>
      <c r="BR68" s="197">
        <f t="shared" si="40"/>
        <v>4.9000000000000002E-2</v>
      </c>
      <c r="BS68" s="197">
        <v>8.9999999999999993E-3</v>
      </c>
      <c r="BT68" s="197">
        <v>8.9999999999999993E-3</v>
      </c>
      <c r="BU68" s="197">
        <v>8.0000000000000002E-3</v>
      </c>
      <c r="BV68" s="197">
        <f t="shared" si="41"/>
        <v>2.5999999999999999E-2</v>
      </c>
      <c r="BW68" s="197">
        <f t="shared" si="42"/>
        <v>7.4999999999999997E-2</v>
      </c>
      <c r="BX68" s="197">
        <v>8.0000000000000002E-3</v>
      </c>
      <c r="BY68" s="197">
        <v>8.0000000000000002E-3</v>
      </c>
      <c r="BZ68" s="197">
        <v>8.9999999999999993E-3</v>
      </c>
      <c r="CA68" s="197">
        <f t="shared" si="43"/>
        <v>2.5000000000000001E-2</v>
      </c>
      <c r="CB68" s="634">
        <v>0.10100000000000001</v>
      </c>
      <c r="CC68" s="633">
        <v>8.0000000000000002E-3</v>
      </c>
      <c r="CD68">
        <v>7.0000000000000001E-3</v>
      </c>
      <c r="CE68" s="197">
        <v>8.9999999999999993E-3</v>
      </c>
      <c r="CF68" s="197">
        <f t="shared" si="44"/>
        <v>2.4E-2</v>
      </c>
      <c r="CG68" s="197">
        <v>7.0000000000000001E-3</v>
      </c>
      <c r="CH68" s="197"/>
      <c r="CI68" s="197"/>
      <c r="CJ68" s="197"/>
      <c r="CK68" s="197"/>
      <c r="CL68" s="197"/>
      <c r="CM68" s="197"/>
      <c r="CN68" s="197"/>
      <c r="CO68" s="197"/>
      <c r="CP68" s="197"/>
      <c r="CQ68" s="197"/>
      <c r="CR68" s="197"/>
      <c r="CS68" s="197"/>
      <c r="CT68" s="197"/>
      <c r="CU68" s="634"/>
    </row>
    <row r="69" spans="1:99">
      <c r="C69">
        <v>6</v>
      </c>
      <c r="D69" s="209" t="s">
        <v>57</v>
      </c>
      <c r="E69" s="633">
        <v>8.0000000000000002E-3</v>
      </c>
      <c r="F69" s="197">
        <v>8.0000000000000002E-3</v>
      </c>
      <c r="G69" s="197">
        <v>6.0000000000000001E-3</v>
      </c>
      <c r="H69" s="197">
        <v>2.1999999999999999E-2</v>
      </c>
      <c r="I69" s="197">
        <v>6.0000000000000001E-3</v>
      </c>
      <c r="J69" s="197">
        <v>7.0000000000000001E-3</v>
      </c>
      <c r="K69" s="197">
        <v>5.0000000000000001E-3</v>
      </c>
      <c r="L69" s="197">
        <v>1.8000000000000002E-2</v>
      </c>
      <c r="M69" s="197">
        <v>0.04</v>
      </c>
      <c r="N69" s="197">
        <v>4.0000000000000001E-3</v>
      </c>
      <c r="O69" s="197">
        <v>8.9999999999999993E-3</v>
      </c>
      <c r="P69" s="197">
        <v>5.9999999999999993E-3</v>
      </c>
      <c r="Q69" s="197">
        <v>1.9E-2</v>
      </c>
      <c r="R69" s="197">
        <v>5.8999999999999997E-2</v>
      </c>
      <c r="S69" s="197">
        <v>6.0000000000000001E-3</v>
      </c>
      <c r="T69" s="197">
        <v>9.0000000000000011E-3</v>
      </c>
      <c r="U69" s="197">
        <v>5.0000000000000001E-3</v>
      </c>
      <c r="V69" s="197">
        <v>0.02</v>
      </c>
      <c r="W69" s="634">
        <v>7.9000000000000001E-2</v>
      </c>
      <c r="X69" s="633">
        <v>7.0000000000000001E-3</v>
      </c>
      <c r="Y69" s="197">
        <v>7.0000000000000001E-3</v>
      </c>
      <c r="Z69" s="197">
        <v>6.0000000000000001E-3</v>
      </c>
      <c r="AA69" s="197">
        <f t="shared" si="27"/>
        <v>0.02</v>
      </c>
      <c r="AB69" s="197">
        <v>4.0000000000000001E-3</v>
      </c>
      <c r="AC69" s="197">
        <v>7.0000000000000001E-3</v>
      </c>
      <c r="AD69" s="197">
        <v>6.0000000000000001E-3</v>
      </c>
      <c r="AE69" s="197">
        <f t="shared" si="28"/>
        <v>1.7000000000000001E-2</v>
      </c>
      <c r="AF69" s="197">
        <f t="shared" si="29"/>
        <v>3.7000000000000005E-2</v>
      </c>
      <c r="AG69" s="197">
        <v>9.0000000000000011E-3</v>
      </c>
      <c r="AH69" s="197">
        <v>6.0000000000000001E-3</v>
      </c>
      <c r="AI69" s="197">
        <v>8.0000000000000002E-3</v>
      </c>
      <c r="AJ69" s="197">
        <f t="shared" si="30"/>
        <v>2.3E-2</v>
      </c>
      <c r="AK69" s="197">
        <f t="shared" si="31"/>
        <v>6.0000000000000005E-2</v>
      </c>
      <c r="AL69" s="197">
        <v>6.0000000000000001E-3</v>
      </c>
      <c r="AM69" s="197">
        <v>7.0000000000000001E-3</v>
      </c>
      <c r="AN69" s="197">
        <v>8.9999999999999993E-3</v>
      </c>
      <c r="AO69" s="197">
        <f t="shared" si="32"/>
        <v>2.1999999999999999E-2</v>
      </c>
      <c r="AP69" s="634">
        <f t="shared" si="33"/>
        <v>8.2000000000000003E-2</v>
      </c>
      <c r="AQ69" s="633">
        <v>6.0000000000000001E-3</v>
      </c>
      <c r="AR69" s="197">
        <v>6.0000000000000001E-3</v>
      </c>
      <c r="AS69" s="197">
        <v>6.0000000000000001E-3</v>
      </c>
      <c r="AT69" s="197">
        <f t="shared" si="24"/>
        <v>1.8000000000000002E-2</v>
      </c>
      <c r="AU69" s="197">
        <v>7.0000000000000001E-3</v>
      </c>
      <c r="AV69" s="197">
        <v>7.0000000000000001E-3</v>
      </c>
      <c r="AW69" s="197">
        <v>7.0000000000000001E-3</v>
      </c>
      <c r="AX69" s="197">
        <f t="shared" si="34"/>
        <v>2.1000000000000001E-2</v>
      </c>
      <c r="AY69" s="197">
        <f t="shared" si="25"/>
        <v>3.9000000000000007E-2</v>
      </c>
      <c r="AZ69" s="197">
        <v>7.0000000000000001E-3</v>
      </c>
      <c r="BA69" s="197">
        <v>2.1999999999999999E-2</v>
      </c>
      <c r="BB69" s="197">
        <v>1.2E-2</v>
      </c>
      <c r="BC69" s="197">
        <f t="shared" si="35"/>
        <v>4.0999999999999995E-2</v>
      </c>
      <c r="BD69" s="197">
        <f t="shared" si="36"/>
        <v>0.08</v>
      </c>
      <c r="BE69" s="197">
        <v>1.2999999999999999E-2</v>
      </c>
      <c r="BF69" s="197">
        <v>1.0999999999999999E-2</v>
      </c>
      <c r="BG69" s="197">
        <v>1.2E-2</v>
      </c>
      <c r="BH69" s="197">
        <f t="shared" si="26"/>
        <v>3.6000000000000004E-2</v>
      </c>
      <c r="BI69" s="634">
        <f t="shared" si="37"/>
        <v>0.11600000000000001</v>
      </c>
      <c r="BJ69" s="633">
        <v>8.9999999999999993E-3</v>
      </c>
      <c r="BK69">
        <v>8.0000000000000002E-3</v>
      </c>
      <c r="BL69" s="197">
        <v>8.0000000000000002E-3</v>
      </c>
      <c r="BM69" s="197">
        <f t="shared" si="38"/>
        <v>2.5000000000000001E-2</v>
      </c>
      <c r="BN69" s="197">
        <v>8.0000000000000002E-3</v>
      </c>
      <c r="BO69" s="197">
        <v>8.9999999999999993E-3</v>
      </c>
      <c r="BP69" s="197">
        <v>0.01</v>
      </c>
      <c r="BQ69" s="197">
        <f t="shared" si="39"/>
        <v>2.7000000000000003E-2</v>
      </c>
      <c r="BR69" s="197">
        <f t="shared" si="40"/>
        <v>5.2000000000000005E-2</v>
      </c>
      <c r="BS69" s="197">
        <v>0.01</v>
      </c>
      <c r="BT69" s="197">
        <v>1.0999999999999999E-2</v>
      </c>
      <c r="BU69" s="197">
        <v>1.2E-2</v>
      </c>
      <c r="BV69" s="197">
        <f t="shared" si="41"/>
        <v>3.3000000000000002E-2</v>
      </c>
      <c r="BW69" s="197">
        <f t="shared" si="42"/>
        <v>8.5000000000000006E-2</v>
      </c>
      <c r="BX69" s="197">
        <v>1.4999999999999999E-2</v>
      </c>
      <c r="BY69" s="197">
        <v>1.2999999999999999E-2</v>
      </c>
      <c r="BZ69" s="197">
        <v>1.2999999999999999E-2</v>
      </c>
      <c r="CA69" s="197">
        <f t="shared" si="43"/>
        <v>4.0999999999999995E-2</v>
      </c>
      <c r="CB69" s="634">
        <v>0.127</v>
      </c>
      <c r="CC69" s="633">
        <v>1.2999999999999999E-2</v>
      </c>
      <c r="CD69">
        <v>1.2999999999999999E-2</v>
      </c>
      <c r="CE69" s="197">
        <v>0.01</v>
      </c>
      <c r="CF69" s="197">
        <f t="shared" si="44"/>
        <v>3.5999999999999997E-2</v>
      </c>
      <c r="CG69" s="197">
        <v>8.0000000000000002E-3</v>
      </c>
      <c r="CH69" s="197"/>
      <c r="CI69" s="197"/>
      <c r="CJ69" s="197"/>
      <c r="CK69" s="197"/>
      <c r="CL69" s="197"/>
      <c r="CM69" s="197"/>
      <c r="CN69" s="197"/>
      <c r="CO69" s="197"/>
      <c r="CP69" s="197"/>
      <c r="CQ69" s="197"/>
      <c r="CR69" s="197"/>
      <c r="CS69" s="197"/>
      <c r="CT69" s="197"/>
      <c r="CU69" s="634"/>
    </row>
    <row r="70" spans="1:99">
      <c r="C70">
        <v>7</v>
      </c>
      <c r="D70" s="209" t="s">
        <v>58</v>
      </c>
      <c r="E70" s="633">
        <v>0</v>
      </c>
      <c r="F70" s="197">
        <v>0</v>
      </c>
      <c r="G70" s="197">
        <v>1E-3</v>
      </c>
      <c r="H70" s="197">
        <v>1E-3</v>
      </c>
      <c r="I70" s="197">
        <v>2E-3</v>
      </c>
      <c r="J70" s="197">
        <v>2.9999999999999996E-3</v>
      </c>
      <c r="K70" s="197">
        <v>3.0000000000000001E-3</v>
      </c>
      <c r="L70" s="197">
        <v>8.0000000000000002E-3</v>
      </c>
      <c r="M70" s="197">
        <v>9.0000000000000011E-3</v>
      </c>
      <c r="N70" s="197">
        <v>2.9999999999999996E-3</v>
      </c>
      <c r="O70" s="197">
        <v>2E-3</v>
      </c>
      <c r="P70" s="197">
        <v>1E-3</v>
      </c>
      <c r="Q70" s="197">
        <v>5.9999999999999993E-3</v>
      </c>
      <c r="R70" s="197">
        <v>1.4999999999999999E-2</v>
      </c>
      <c r="S70" s="197">
        <v>3.0000000000000001E-3</v>
      </c>
      <c r="T70" s="197">
        <v>2E-3</v>
      </c>
      <c r="U70" s="197">
        <v>2E-3</v>
      </c>
      <c r="V70" s="197">
        <v>7.0000000000000001E-3</v>
      </c>
      <c r="W70" s="634">
        <v>2.1999999999999999E-2</v>
      </c>
      <c r="X70" s="633">
        <v>3.0000000000000001E-3</v>
      </c>
      <c r="Y70" s="197">
        <v>2E-3</v>
      </c>
      <c r="Z70" s="197">
        <v>2E-3</v>
      </c>
      <c r="AA70" s="197">
        <f t="shared" si="27"/>
        <v>7.0000000000000001E-3</v>
      </c>
      <c r="AB70" s="197">
        <v>3.0000000000000001E-3</v>
      </c>
      <c r="AC70" s="197">
        <v>4.0000000000000001E-3</v>
      </c>
      <c r="AD70" s="197">
        <v>3.0000000000000001E-3</v>
      </c>
      <c r="AE70" s="197">
        <f t="shared" si="28"/>
        <v>0.01</v>
      </c>
      <c r="AF70" s="197">
        <f t="shared" si="29"/>
        <v>1.7000000000000001E-2</v>
      </c>
      <c r="AG70" s="197">
        <v>0</v>
      </c>
      <c r="AH70" s="197">
        <v>2E-3</v>
      </c>
      <c r="AI70" s="197">
        <v>2E-3</v>
      </c>
      <c r="AJ70" s="197">
        <f t="shared" si="30"/>
        <v>4.0000000000000001E-3</v>
      </c>
      <c r="AK70" s="197">
        <f t="shared" si="31"/>
        <v>2.1000000000000001E-2</v>
      </c>
      <c r="AL70" s="197">
        <v>3.0000000000000001E-3</v>
      </c>
      <c r="AM70" s="197">
        <v>2E-3</v>
      </c>
      <c r="AN70" s="197">
        <v>3.0000000000000001E-3</v>
      </c>
      <c r="AO70" s="197">
        <f t="shared" si="32"/>
        <v>8.0000000000000002E-3</v>
      </c>
      <c r="AP70" s="634">
        <f t="shared" si="33"/>
        <v>2.9000000000000001E-2</v>
      </c>
      <c r="AQ70" s="633">
        <v>1E-3</v>
      </c>
      <c r="AR70" s="197">
        <v>2E-3</v>
      </c>
      <c r="AS70" s="197">
        <v>2E-3</v>
      </c>
      <c r="AT70" s="197">
        <f t="shared" si="24"/>
        <v>5.0000000000000001E-3</v>
      </c>
      <c r="AU70" s="197">
        <v>3.0000000000000001E-3</v>
      </c>
      <c r="AV70" s="197">
        <v>3.0000000000000001E-3</v>
      </c>
      <c r="AW70" s="197">
        <v>2E-3</v>
      </c>
      <c r="AX70" s="197">
        <f t="shared" si="34"/>
        <v>8.0000000000000002E-3</v>
      </c>
      <c r="AY70" s="197">
        <f t="shared" si="25"/>
        <v>1.3000000000000001E-2</v>
      </c>
      <c r="AZ70" s="197">
        <v>2E-3</v>
      </c>
      <c r="BA70" s="197">
        <v>2E-3</v>
      </c>
      <c r="BB70" s="197">
        <v>3.0000000000000001E-3</v>
      </c>
      <c r="BC70" s="197">
        <f t="shared" si="35"/>
        <v>7.0000000000000001E-3</v>
      </c>
      <c r="BD70" s="197">
        <f t="shared" si="36"/>
        <v>0.02</v>
      </c>
      <c r="BE70" s="197">
        <v>3.0000000000000001E-3</v>
      </c>
      <c r="BF70" s="197">
        <v>2E-3</v>
      </c>
      <c r="BG70" s="197">
        <v>2E-3</v>
      </c>
      <c r="BH70" s="197">
        <f t="shared" si="26"/>
        <v>7.0000000000000001E-3</v>
      </c>
      <c r="BI70" s="634">
        <f t="shared" si="37"/>
        <v>2.7E-2</v>
      </c>
      <c r="BJ70" s="633">
        <v>2E-3</v>
      </c>
      <c r="BK70">
        <v>3.0000000000000001E-3</v>
      </c>
      <c r="BL70" s="197">
        <v>4.0000000000000001E-3</v>
      </c>
      <c r="BM70" s="197">
        <f t="shared" si="38"/>
        <v>9.0000000000000011E-3</v>
      </c>
      <c r="BN70" s="197">
        <v>4.0000000000000001E-3</v>
      </c>
      <c r="BO70" s="197">
        <v>3.0000000000000001E-3</v>
      </c>
      <c r="BP70" s="197">
        <v>4.0000000000000001E-3</v>
      </c>
      <c r="BQ70" s="197">
        <f t="shared" si="39"/>
        <v>1.0999999999999999E-2</v>
      </c>
      <c r="BR70" s="197">
        <f t="shared" si="40"/>
        <v>0.02</v>
      </c>
      <c r="BS70" s="197">
        <v>4.0000000000000001E-3</v>
      </c>
      <c r="BT70" s="197">
        <v>2E-3</v>
      </c>
      <c r="BU70" s="197">
        <v>0</v>
      </c>
      <c r="BV70" s="197">
        <f t="shared" si="41"/>
        <v>6.0000000000000001E-3</v>
      </c>
      <c r="BW70" s="197">
        <f t="shared" si="42"/>
        <v>2.6000000000000002E-2</v>
      </c>
      <c r="BX70" s="197">
        <v>0</v>
      </c>
      <c r="BY70" s="197">
        <v>3.0000000000000001E-3</v>
      </c>
      <c r="BZ70" s="197">
        <v>4.0000000000000001E-3</v>
      </c>
      <c r="CA70" s="197">
        <f t="shared" si="43"/>
        <v>7.0000000000000001E-3</v>
      </c>
      <c r="CB70" s="634">
        <v>3.3000000000000002E-2</v>
      </c>
      <c r="CC70" s="633">
        <v>4.0000000000000001E-3</v>
      </c>
      <c r="CD70">
        <v>2E-3</v>
      </c>
      <c r="CE70" s="197">
        <v>4.0000000000000001E-3</v>
      </c>
      <c r="CF70" s="197">
        <f t="shared" si="44"/>
        <v>0.01</v>
      </c>
      <c r="CG70" s="197">
        <v>3.0000000000000001E-3</v>
      </c>
      <c r="CH70" s="197"/>
      <c r="CI70" s="197"/>
      <c r="CJ70" s="197"/>
      <c r="CK70" s="197"/>
      <c r="CL70" s="197"/>
      <c r="CM70" s="197"/>
      <c r="CN70" s="197"/>
      <c r="CO70" s="197"/>
      <c r="CP70" s="197"/>
      <c r="CQ70" s="197"/>
      <c r="CR70" s="197"/>
      <c r="CS70" s="197"/>
      <c r="CT70" s="197"/>
      <c r="CU70" s="634"/>
    </row>
    <row r="71" spans="1:99">
      <c r="A71" t="s">
        <v>841</v>
      </c>
      <c r="C71">
        <v>8</v>
      </c>
      <c r="D71" s="209" t="s">
        <v>59</v>
      </c>
      <c r="E71" s="633">
        <v>0</v>
      </c>
      <c r="F71" s="197">
        <v>0</v>
      </c>
      <c r="G71" s="197">
        <v>0</v>
      </c>
      <c r="H71" s="197">
        <v>0</v>
      </c>
      <c r="I71" s="197">
        <v>1E-3</v>
      </c>
      <c r="J71" s="197">
        <v>0</v>
      </c>
      <c r="K71" s="197">
        <v>0</v>
      </c>
      <c r="L71" s="197">
        <v>1E-3</v>
      </c>
      <c r="M71" s="197">
        <v>1E-3</v>
      </c>
      <c r="N71" s="197">
        <v>0</v>
      </c>
      <c r="O71" s="197">
        <v>0</v>
      </c>
      <c r="P71" s="197">
        <v>1E-3</v>
      </c>
      <c r="Q71" s="197">
        <v>1E-3</v>
      </c>
      <c r="R71" s="197">
        <v>2E-3</v>
      </c>
      <c r="S71" s="197">
        <v>0</v>
      </c>
      <c r="T71" s="197">
        <v>0</v>
      </c>
      <c r="U71" s="197">
        <v>0</v>
      </c>
      <c r="V71" s="197">
        <v>0</v>
      </c>
      <c r="W71" s="634">
        <v>2E-3</v>
      </c>
      <c r="X71" s="633">
        <v>0</v>
      </c>
      <c r="Y71" s="197">
        <v>1E-3</v>
      </c>
      <c r="Z71" s="197">
        <v>0</v>
      </c>
      <c r="AA71" s="197">
        <f t="shared" si="27"/>
        <v>1E-3</v>
      </c>
      <c r="AB71" s="197">
        <v>0</v>
      </c>
      <c r="AC71" s="197">
        <v>1E-3</v>
      </c>
      <c r="AD71" s="197">
        <v>0</v>
      </c>
      <c r="AE71" s="197">
        <f t="shared" si="28"/>
        <v>1E-3</v>
      </c>
      <c r="AF71" s="197">
        <f t="shared" si="29"/>
        <v>2E-3</v>
      </c>
      <c r="AG71" s="197">
        <v>0</v>
      </c>
      <c r="AH71" s="197">
        <v>0</v>
      </c>
      <c r="AI71" s="197">
        <v>0</v>
      </c>
      <c r="AJ71" s="197">
        <f t="shared" si="30"/>
        <v>0</v>
      </c>
      <c r="AK71" s="197">
        <f t="shared" si="31"/>
        <v>2E-3</v>
      </c>
      <c r="AL71" s="197">
        <v>0</v>
      </c>
      <c r="AM71" s="197">
        <v>1E-3</v>
      </c>
      <c r="AN71" s="197">
        <v>0</v>
      </c>
      <c r="AO71" s="197">
        <f t="shared" si="32"/>
        <v>1E-3</v>
      </c>
      <c r="AP71" s="634">
        <f t="shared" si="33"/>
        <v>3.0000000000000001E-3</v>
      </c>
      <c r="AQ71" s="633">
        <v>0</v>
      </c>
      <c r="AR71" s="197">
        <v>0</v>
      </c>
      <c r="AS71" s="197">
        <v>1E-3</v>
      </c>
      <c r="AT71" s="197">
        <f t="shared" si="24"/>
        <v>1E-3</v>
      </c>
      <c r="AU71" s="197">
        <v>0</v>
      </c>
      <c r="AV71" s="197">
        <v>0</v>
      </c>
      <c r="AW71" s="197">
        <v>1E-3</v>
      </c>
      <c r="AX71" s="197">
        <f t="shared" si="34"/>
        <v>1E-3</v>
      </c>
      <c r="AY71" s="197">
        <f t="shared" si="25"/>
        <v>2E-3</v>
      </c>
      <c r="AZ71" s="197">
        <v>0</v>
      </c>
      <c r="BA71" s="197">
        <v>1E-3</v>
      </c>
      <c r="BB71" s="197">
        <v>0</v>
      </c>
      <c r="BC71" s="197">
        <f t="shared" si="35"/>
        <v>1E-3</v>
      </c>
      <c r="BD71" s="197">
        <f t="shared" si="36"/>
        <v>3.0000000000000001E-3</v>
      </c>
      <c r="BE71" s="197">
        <v>1E-3</v>
      </c>
      <c r="BF71" s="197">
        <v>0</v>
      </c>
      <c r="BG71" s="197">
        <v>0</v>
      </c>
      <c r="BH71" s="197">
        <f t="shared" si="26"/>
        <v>1E-3</v>
      </c>
      <c r="BI71" s="634">
        <f t="shared" si="37"/>
        <v>4.0000000000000001E-3</v>
      </c>
      <c r="BJ71" s="633">
        <v>0</v>
      </c>
      <c r="BK71" s="197">
        <v>0</v>
      </c>
      <c r="BL71" s="197">
        <v>1E-3</v>
      </c>
      <c r="BM71" s="197">
        <f t="shared" si="38"/>
        <v>1E-3</v>
      </c>
      <c r="BN71" s="197">
        <v>0</v>
      </c>
      <c r="BO71" s="197">
        <v>0</v>
      </c>
      <c r="BP71" s="197">
        <v>0</v>
      </c>
      <c r="BQ71" s="197">
        <f t="shared" si="39"/>
        <v>0</v>
      </c>
      <c r="BR71" s="197">
        <f t="shared" si="40"/>
        <v>1E-3</v>
      </c>
      <c r="BS71" s="197">
        <v>1E-3</v>
      </c>
      <c r="BT71" s="197">
        <v>1E-3</v>
      </c>
      <c r="BU71" s="197">
        <v>0</v>
      </c>
      <c r="BV71" s="197">
        <f t="shared" si="41"/>
        <v>2E-3</v>
      </c>
      <c r="BW71" s="197">
        <f t="shared" si="42"/>
        <v>3.0000000000000001E-3</v>
      </c>
      <c r="BX71" s="197">
        <v>0</v>
      </c>
      <c r="BY71" s="197">
        <v>0</v>
      </c>
      <c r="BZ71" s="197">
        <v>1E-3</v>
      </c>
      <c r="CA71" s="197">
        <f t="shared" si="43"/>
        <v>1E-3</v>
      </c>
      <c r="CB71" s="634">
        <v>3.0000000000000001E-3</v>
      </c>
      <c r="CC71" s="633">
        <v>0</v>
      </c>
      <c r="CD71" s="197">
        <v>0</v>
      </c>
      <c r="CE71" s="197">
        <v>1E-3</v>
      </c>
      <c r="CF71" s="197">
        <f t="shared" si="44"/>
        <v>1E-3</v>
      </c>
      <c r="CG71" s="197">
        <v>0</v>
      </c>
      <c r="CH71" s="197"/>
      <c r="CI71" s="197"/>
      <c r="CJ71" s="197"/>
      <c r="CK71" s="197"/>
      <c r="CL71" s="197"/>
      <c r="CM71" s="197"/>
      <c r="CN71" s="197"/>
      <c r="CO71" s="197"/>
      <c r="CP71" s="197"/>
      <c r="CQ71" s="197"/>
      <c r="CR71" s="197"/>
      <c r="CS71" s="197"/>
      <c r="CT71" s="197"/>
      <c r="CU71" s="634"/>
    </row>
    <row r="72" spans="1:99">
      <c r="C72">
        <v>9</v>
      </c>
      <c r="D72" s="209" t="s">
        <v>63</v>
      </c>
      <c r="E72" s="633">
        <v>0</v>
      </c>
      <c r="F72" s="197">
        <v>0</v>
      </c>
      <c r="G72" s="197">
        <v>0</v>
      </c>
      <c r="H72" s="197">
        <v>0</v>
      </c>
      <c r="I72" s="197">
        <v>0</v>
      </c>
      <c r="J72" s="197">
        <v>0</v>
      </c>
      <c r="K72" s="197">
        <v>1E-3</v>
      </c>
      <c r="L72" s="197">
        <v>1E-3</v>
      </c>
      <c r="M72" s="197">
        <v>1E-3</v>
      </c>
      <c r="N72" s="197">
        <v>0</v>
      </c>
      <c r="O72" s="197">
        <v>0</v>
      </c>
      <c r="P72" s="197">
        <v>0</v>
      </c>
      <c r="Q72" s="197">
        <v>0</v>
      </c>
      <c r="R72" s="197">
        <v>1E-3</v>
      </c>
      <c r="S72" s="197">
        <v>0</v>
      </c>
      <c r="T72" s="197">
        <v>0</v>
      </c>
      <c r="U72" s="197">
        <v>0</v>
      </c>
      <c r="V72" s="197">
        <v>0</v>
      </c>
      <c r="W72" s="634">
        <v>1E-3</v>
      </c>
      <c r="X72" s="633">
        <v>0</v>
      </c>
      <c r="Y72" s="197">
        <v>0</v>
      </c>
      <c r="Z72" s="197">
        <v>0</v>
      </c>
      <c r="AA72" s="197">
        <f t="shared" si="27"/>
        <v>0</v>
      </c>
      <c r="AB72" s="197">
        <v>0</v>
      </c>
      <c r="AC72" s="197">
        <v>0</v>
      </c>
      <c r="AD72" s="197">
        <v>1E-3</v>
      </c>
      <c r="AE72" s="197">
        <f t="shared" si="28"/>
        <v>1E-3</v>
      </c>
      <c r="AF72" s="197">
        <f t="shared" si="29"/>
        <v>1E-3</v>
      </c>
      <c r="AG72" s="197">
        <v>0</v>
      </c>
      <c r="AH72" s="197">
        <v>0</v>
      </c>
      <c r="AI72" s="197">
        <v>0</v>
      </c>
      <c r="AJ72" s="197">
        <f t="shared" si="30"/>
        <v>0</v>
      </c>
      <c r="AK72" s="197">
        <f t="shared" si="31"/>
        <v>1E-3</v>
      </c>
      <c r="AL72" s="197">
        <v>0</v>
      </c>
      <c r="AM72" s="197">
        <v>0</v>
      </c>
      <c r="AN72" s="197">
        <v>0</v>
      </c>
      <c r="AO72" s="197">
        <f t="shared" si="32"/>
        <v>0</v>
      </c>
      <c r="AP72" s="634">
        <f t="shared" si="33"/>
        <v>1E-3</v>
      </c>
      <c r="AQ72" s="633">
        <v>0</v>
      </c>
      <c r="AR72" s="197">
        <v>0</v>
      </c>
      <c r="AS72" s="197">
        <v>0</v>
      </c>
      <c r="AT72" s="197">
        <f t="shared" si="24"/>
        <v>0</v>
      </c>
      <c r="AU72" s="197">
        <v>0</v>
      </c>
      <c r="AV72" s="197">
        <v>0</v>
      </c>
      <c r="AW72" s="197">
        <v>0</v>
      </c>
      <c r="AX72" s="197">
        <f t="shared" si="34"/>
        <v>0</v>
      </c>
      <c r="AY72" s="197">
        <f t="shared" si="25"/>
        <v>0</v>
      </c>
      <c r="AZ72" s="197">
        <v>0</v>
      </c>
      <c r="BA72" s="197">
        <v>1E-3</v>
      </c>
      <c r="BB72" s="197">
        <v>0</v>
      </c>
      <c r="BC72" s="197">
        <f t="shared" si="35"/>
        <v>1E-3</v>
      </c>
      <c r="BD72" s="197">
        <f t="shared" si="36"/>
        <v>1E-3</v>
      </c>
      <c r="BE72" s="197">
        <v>0</v>
      </c>
      <c r="BF72" s="197">
        <v>0</v>
      </c>
      <c r="BG72" s="197">
        <v>0</v>
      </c>
      <c r="BH72" s="197">
        <f t="shared" si="26"/>
        <v>0</v>
      </c>
      <c r="BI72" s="634">
        <f t="shared" si="37"/>
        <v>1E-3</v>
      </c>
      <c r="BJ72" s="633">
        <v>0</v>
      </c>
      <c r="BK72" s="197">
        <v>0</v>
      </c>
      <c r="BL72" s="197">
        <v>0</v>
      </c>
      <c r="BM72" s="197">
        <f t="shared" si="38"/>
        <v>0</v>
      </c>
      <c r="BN72" s="197">
        <v>0</v>
      </c>
      <c r="BO72" s="197">
        <v>0</v>
      </c>
      <c r="BP72" s="197">
        <v>0</v>
      </c>
      <c r="BQ72" s="197">
        <f t="shared" si="39"/>
        <v>0</v>
      </c>
      <c r="BR72" s="197">
        <f t="shared" si="40"/>
        <v>0</v>
      </c>
      <c r="BS72" s="197">
        <v>0</v>
      </c>
      <c r="BT72" s="197">
        <v>0</v>
      </c>
      <c r="BU72" s="197">
        <v>1E-3</v>
      </c>
      <c r="BV72" s="197">
        <f t="shared" si="41"/>
        <v>1E-3</v>
      </c>
      <c r="BW72" s="197">
        <f t="shared" si="42"/>
        <v>1E-3</v>
      </c>
      <c r="BX72" s="197">
        <v>1E-3</v>
      </c>
      <c r="BY72" s="197">
        <v>0</v>
      </c>
      <c r="BZ72" s="197">
        <v>0</v>
      </c>
      <c r="CA72" s="197">
        <f t="shared" si="43"/>
        <v>1E-3</v>
      </c>
      <c r="CB72" s="634">
        <v>2E-3</v>
      </c>
      <c r="CC72" s="633">
        <v>0</v>
      </c>
      <c r="CD72" s="197">
        <v>0</v>
      </c>
      <c r="CE72" s="197">
        <v>0</v>
      </c>
      <c r="CF72" s="197">
        <f t="shared" si="44"/>
        <v>0</v>
      </c>
      <c r="CG72" s="197">
        <v>8.0000000000000002E-3</v>
      </c>
      <c r="CH72" s="197"/>
      <c r="CI72" s="197"/>
      <c r="CJ72" s="197"/>
      <c r="CK72" s="197"/>
      <c r="CL72" s="197"/>
      <c r="CM72" s="197"/>
      <c r="CN72" s="197"/>
      <c r="CO72" s="197"/>
      <c r="CP72" s="197"/>
      <c r="CQ72" s="197"/>
      <c r="CR72" s="197"/>
      <c r="CS72" s="197"/>
      <c r="CT72" s="197"/>
      <c r="CU72" s="634"/>
    </row>
    <row r="73" spans="1:99">
      <c r="C73">
        <v>10</v>
      </c>
      <c r="D73" s="209" t="s">
        <v>64</v>
      </c>
      <c r="E73" s="633">
        <v>1E-3</v>
      </c>
      <c r="F73" s="197">
        <v>0</v>
      </c>
      <c r="G73" s="197">
        <v>1E-3</v>
      </c>
      <c r="H73" s="197">
        <v>2E-3</v>
      </c>
      <c r="I73" s="197">
        <v>0</v>
      </c>
      <c r="J73" s="197">
        <v>1E-3</v>
      </c>
      <c r="K73" s="197">
        <v>0</v>
      </c>
      <c r="L73" s="197">
        <v>1E-3</v>
      </c>
      <c r="M73" s="197">
        <v>3.0000000000000001E-3</v>
      </c>
      <c r="N73" s="197">
        <v>1E-3</v>
      </c>
      <c r="O73" s="197">
        <v>1E-3</v>
      </c>
      <c r="P73" s="197">
        <v>0</v>
      </c>
      <c r="Q73" s="197">
        <v>2E-3</v>
      </c>
      <c r="R73" s="197">
        <v>5.0000000000000001E-3</v>
      </c>
      <c r="S73" s="197">
        <v>1E-3</v>
      </c>
      <c r="T73" s="197">
        <v>0</v>
      </c>
      <c r="U73" s="197">
        <v>1E-3</v>
      </c>
      <c r="V73" s="197">
        <v>2E-3</v>
      </c>
      <c r="W73" s="634">
        <v>7.0000000000000001E-3</v>
      </c>
      <c r="X73" s="633">
        <v>0</v>
      </c>
      <c r="Y73" s="197">
        <v>1E-3</v>
      </c>
      <c r="Z73" s="197">
        <v>1E-3</v>
      </c>
      <c r="AA73" s="197">
        <f t="shared" si="27"/>
        <v>2E-3</v>
      </c>
      <c r="AB73" s="197">
        <v>0</v>
      </c>
      <c r="AC73" s="197">
        <v>1E-3</v>
      </c>
      <c r="AD73" s="197">
        <v>1E-3</v>
      </c>
      <c r="AE73" s="197">
        <f t="shared" si="28"/>
        <v>2E-3</v>
      </c>
      <c r="AF73" s="197">
        <f t="shared" si="29"/>
        <v>4.0000000000000001E-3</v>
      </c>
      <c r="AG73" s="197">
        <v>0</v>
      </c>
      <c r="AH73" s="197">
        <v>1E-3</v>
      </c>
      <c r="AI73" s="197">
        <v>1E-3</v>
      </c>
      <c r="AJ73" s="197">
        <f t="shared" si="30"/>
        <v>2E-3</v>
      </c>
      <c r="AK73" s="197">
        <f t="shared" si="31"/>
        <v>6.0000000000000001E-3</v>
      </c>
      <c r="AL73" s="197">
        <v>1E-3</v>
      </c>
      <c r="AM73" s="197">
        <v>0</v>
      </c>
      <c r="AN73" s="197">
        <v>1E-3</v>
      </c>
      <c r="AO73" s="197">
        <f t="shared" si="32"/>
        <v>2E-3</v>
      </c>
      <c r="AP73" s="634">
        <f t="shared" si="33"/>
        <v>8.0000000000000002E-3</v>
      </c>
      <c r="AQ73" s="633">
        <v>1E-3</v>
      </c>
      <c r="AR73" s="197">
        <v>1E-3</v>
      </c>
      <c r="AS73" s="197">
        <v>1E-3</v>
      </c>
      <c r="AT73" s="197">
        <f t="shared" si="24"/>
        <v>3.0000000000000001E-3</v>
      </c>
      <c r="AU73" s="197">
        <v>1E-3</v>
      </c>
      <c r="AV73" s="197">
        <v>1E-3</v>
      </c>
      <c r="AW73" s="197">
        <v>0</v>
      </c>
      <c r="AX73" s="197">
        <f t="shared" si="34"/>
        <v>2E-3</v>
      </c>
      <c r="AY73" s="197">
        <v>5.0000000000000001E-3</v>
      </c>
      <c r="AZ73" s="197">
        <v>1E-3</v>
      </c>
      <c r="BA73" s="197">
        <v>1E-3</v>
      </c>
      <c r="BB73" s="197">
        <v>1E-3</v>
      </c>
      <c r="BC73" s="197">
        <f t="shared" si="35"/>
        <v>3.0000000000000001E-3</v>
      </c>
      <c r="BD73" s="197">
        <f t="shared" si="36"/>
        <v>8.0000000000000002E-3</v>
      </c>
      <c r="BE73" s="197">
        <v>0</v>
      </c>
      <c r="BF73" s="197">
        <v>1E-3</v>
      </c>
      <c r="BG73" s="197">
        <v>0</v>
      </c>
      <c r="BH73" s="197">
        <f t="shared" si="26"/>
        <v>1E-3</v>
      </c>
      <c r="BI73" s="634">
        <f t="shared" si="37"/>
        <v>9.0000000000000011E-3</v>
      </c>
      <c r="BJ73" s="633">
        <v>1E-3</v>
      </c>
      <c r="BK73" s="197">
        <v>1E-3</v>
      </c>
      <c r="BL73" s="197">
        <v>0</v>
      </c>
      <c r="BM73" s="197">
        <f t="shared" si="38"/>
        <v>2E-3</v>
      </c>
      <c r="BN73" s="197">
        <v>1E-3</v>
      </c>
      <c r="BO73" s="197">
        <v>0</v>
      </c>
      <c r="BP73" s="197">
        <v>1E-3</v>
      </c>
      <c r="BQ73" s="197">
        <f t="shared" si="39"/>
        <v>2E-3</v>
      </c>
      <c r="BR73" s="197">
        <f t="shared" si="40"/>
        <v>4.0000000000000001E-3</v>
      </c>
      <c r="BS73" s="197">
        <v>1E-3</v>
      </c>
      <c r="BT73" s="197">
        <v>0</v>
      </c>
      <c r="BU73" s="197">
        <v>1E-3</v>
      </c>
      <c r="BV73" s="197">
        <f t="shared" si="41"/>
        <v>2E-3</v>
      </c>
      <c r="BW73" s="197">
        <f t="shared" si="42"/>
        <v>6.0000000000000001E-3</v>
      </c>
      <c r="BX73" s="197">
        <v>0</v>
      </c>
      <c r="BY73" s="197">
        <v>1E-3</v>
      </c>
      <c r="BZ73" s="197">
        <v>1E-3</v>
      </c>
      <c r="CA73" s="197">
        <f t="shared" si="43"/>
        <v>2E-3</v>
      </c>
      <c r="CB73" s="634">
        <v>8.0000000000000002E-3</v>
      </c>
      <c r="CC73" s="633">
        <v>1E-3</v>
      </c>
      <c r="CD73" s="197">
        <v>1E-3</v>
      </c>
      <c r="CE73" s="197">
        <v>1E-3</v>
      </c>
      <c r="CF73" s="197">
        <f t="shared" si="44"/>
        <v>3.0000000000000001E-3</v>
      </c>
      <c r="CG73" s="197">
        <v>1E-3</v>
      </c>
      <c r="CH73" s="197"/>
      <c r="CI73" s="197"/>
      <c r="CJ73" s="197"/>
      <c r="CK73" s="197"/>
      <c r="CL73" s="197"/>
      <c r="CM73" s="197"/>
      <c r="CN73" s="197"/>
      <c r="CO73" s="197"/>
      <c r="CP73" s="197"/>
      <c r="CQ73" s="197"/>
      <c r="CR73" s="197"/>
      <c r="CS73" s="197"/>
      <c r="CT73" s="197"/>
      <c r="CU73" s="634"/>
    </row>
    <row r="74" spans="1:99">
      <c r="C74">
        <v>11</v>
      </c>
      <c r="D74" s="209" t="s">
        <v>65</v>
      </c>
      <c r="E74" s="633">
        <v>0</v>
      </c>
      <c r="F74" s="197">
        <v>1E-3</v>
      </c>
      <c r="G74" s="197">
        <v>0</v>
      </c>
      <c r="H74" s="197">
        <v>1E-3</v>
      </c>
      <c r="I74" s="197">
        <v>1E-3</v>
      </c>
      <c r="J74" s="197">
        <v>1E-3</v>
      </c>
      <c r="K74" s="197">
        <v>0</v>
      </c>
      <c r="L74" s="197">
        <v>2E-3</v>
      </c>
      <c r="M74" s="197">
        <v>3.0000000000000001E-3</v>
      </c>
      <c r="N74" s="197">
        <v>1E-3</v>
      </c>
      <c r="O74" s="197">
        <v>1E-3</v>
      </c>
      <c r="P74" s="197">
        <v>1E-3</v>
      </c>
      <c r="Q74" s="197">
        <v>3.0000000000000001E-3</v>
      </c>
      <c r="R74" s="197">
        <v>6.0000000000000001E-3</v>
      </c>
      <c r="S74" s="197">
        <v>0</v>
      </c>
      <c r="T74" s="197">
        <v>1E-3</v>
      </c>
      <c r="U74" s="197">
        <v>1E-3</v>
      </c>
      <c r="V74" s="197">
        <v>2E-3</v>
      </c>
      <c r="W74" s="634">
        <v>8.0000000000000002E-3</v>
      </c>
      <c r="X74" s="633">
        <v>1E-3</v>
      </c>
      <c r="Y74" s="197">
        <v>1E-3</v>
      </c>
      <c r="Z74" s="197">
        <v>1E-3</v>
      </c>
      <c r="AA74" s="197">
        <f t="shared" si="27"/>
        <v>3.0000000000000001E-3</v>
      </c>
      <c r="AB74" s="197">
        <v>1E-3</v>
      </c>
      <c r="AC74" s="197">
        <v>1E-3</v>
      </c>
      <c r="AD74" s="197">
        <v>1E-3</v>
      </c>
      <c r="AE74" s="197">
        <f t="shared" si="28"/>
        <v>3.0000000000000001E-3</v>
      </c>
      <c r="AF74" s="197">
        <f t="shared" si="29"/>
        <v>6.0000000000000001E-3</v>
      </c>
      <c r="AG74" s="197">
        <v>1E-3</v>
      </c>
      <c r="AH74" s="197">
        <v>1E-3</v>
      </c>
      <c r="AI74" s="197">
        <v>2E-3</v>
      </c>
      <c r="AJ74" s="197">
        <f t="shared" si="30"/>
        <v>4.0000000000000001E-3</v>
      </c>
      <c r="AK74" s="197">
        <f t="shared" si="31"/>
        <v>0.01</v>
      </c>
      <c r="AL74" s="197">
        <v>1E-3</v>
      </c>
      <c r="AM74" s="197">
        <v>1E-3</v>
      </c>
      <c r="AN74" s="197">
        <v>1E-3</v>
      </c>
      <c r="AO74" s="197">
        <f t="shared" si="32"/>
        <v>3.0000000000000001E-3</v>
      </c>
      <c r="AP74" s="634">
        <f t="shared" si="33"/>
        <v>1.3000000000000001E-2</v>
      </c>
      <c r="AQ74" s="633">
        <v>1E-3</v>
      </c>
      <c r="AR74" s="197">
        <v>1E-3</v>
      </c>
      <c r="AS74" s="197">
        <v>1E-3</v>
      </c>
      <c r="AT74" s="197">
        <f t="shared" si="24"/>
        <v>3.0000000000000001E-3</v>
      </c>
      <c r="AU74" s="197">
        <v>2E-3</v>
      </c>
      <c r="AV74" s="197">
        <v>1E-3</v>
      </c>
      <c r="AW74" s="197">
        <v>1E-3</v>
      </c>
      <c r="AX74" s="197">
        <f t="shared" si="34"/>
        <v>4.0000000000000001E-3</v>
      </c>
      <c r="AY74" s="197">
        <v>7.0000000000000001E-3</v>
      </c>
      <c r="AZ74" s="197">
        <v>2E-3</v>
      </c>
      <c r="BA74" s="197">
        <v>1E-3</v>
      </c>
      <c r="BB74" s="197">
        <v>2E-3</v>
      </c>
      <c r="BC74" s="197">
        <f t="shared" si="35"/>
        <v>5.0000000000000001E-3</v>
      </c>
      <c r="BD74" s="197">
        <v>1.2E-2</v>
      </c>
      <c r="BE74" s="197">
        <v>2E-3</v>
      </c>
      <c r="BF74" s="197">
        <v>1E-3</v>
      </c>
      <c r="BG74" s="197">
        <v>2E-3</v>
      </c>
      <c r="BH74" s="197">
        <f t="shared" si="26"/>
        <v>5.0000000000000001E-3</v>
      </c>
      <c r="BI74" s="634">
        <f t="shared" si="37"/>
        <v>1.7000000000000001E-2</v>
      </c>
      <c r="BJ74" s="633">
        <v>2E-3</v>
      </c>
      <c r="BK74" s="197">
        <v>1E-3</v>
      </c>
      <c r="BL74" s="197">
        <v>1E-3</v>
      </c>
      <c r="BM74" s="197">
        <f t="shared" si="38"/>
        <v>4.0000000000000001E-3</v>
      </c>
      <c r="BN74" s="197">
        <v>1E-3</v>
      </c>
      <c r="BO74" s="197">
        <v>1E-3</v>
      </c>
      <c r="BP74" s="197">
        <v>1E-3</v>
      </c>
      <c r="BQ74" s="197">
        <f t="shared" si="39"/>
        <v>3.0000000000000001E-3</v>
      </c>
      <c r="BR74" s="197">
        <f t="shared" si="40"/>
        <v>7.0000000000000001E-3</v>
      </c>
      <c r="BS74" s="197">
        <v>1E-3</v>
      </c>
      <c r="BT74" s="197">
        <v>1E-3</v>
      </c>
      <c r="BU74" s="197">
        <v>1E-3</v>
      </c>
      <c r="BV74" s="197">
        <f t="shared" si="41"/>
        <v>3.0000000000000001E-3</v>
      </c>
      <c r="BW74" s="197">
        <f t="shared" si="42"/>
        <v>0.01</v>
      </c>
      <c r="BX74" s="197">
        <v>1E-3</v>
      </c>
      <c r="BY74" s="197">
        <v>1E-3</v>
      </c>
      <c r="BZ74" s="197">
        <v>1E-3</v>
      </c>
      <c r="CA74" s="197">
        <f t="shared" si="43"/>
        <v>3.0000000000000001E-3</v>
      </c>
      <c r="CB74" s="634">
        <v>1.2999999999999999E-2</v>
      </c>
      <c r="CC74" s="633">
        <v>1E-3</v>
      </c>
      <c r="CD74" s="197">
        <v>1E-3</v>
      </c>
      <c r="CE74" s="197">
        <v>1E-3</v>
      </c>
      <c r="CF74" s="197">
        <f t="shared" si="44"/>
        <v>3.0000000000000001E-3</v>
      </c>
      <c r="CG74" s="197">
        <v>2E-3</v>
      </c>
      <c r="CH74" s="197"/>
      <c r="CI74" s="197"/>
      <c r="CJ74" s="197"/>
      <c r="CK74" s="197"/>
      <c r="CL74" s="197"/>
      <c r="CM74" s="197"/>
      <c r="CN74" s="197"/>
      <c r="CO74" s="197"/>
      <c r="CP74" s="197"/>
      <c r="CQ74" s="197"/>
      <c r="CR74" s="197"/>
      <c r="CS74" s="197"/>
      <c r="CT74" s="197"/>
      <c r="CU74" s="634"/>
    </row>
    <row r="75" spans="1:99">
      <c r="C75">
        <v>12</v>
      </c>
      <c r="D75" s="209" t="s">
        <v>66</v>
      </c>
      <c r="E75" s="633"/>
      <c r="F75" s="197"/>
      <c r="G75" s="197"/>
      <c r="H75" s="197"/>
      <c r="I75" s="197"/>
      <c r="J75" s="197"/>
      <c r="K75" s="197"/>
      <c r="L75" s="197"/>
      <c r="M75" s="197"/>
      <c r="N75" s="197"/>
      <c r="O75" s="197"/>
      <c r="P75" s="197"/>
      <c r="Q75" s="197"/>
      <c r="R75" s="197"/>
      <c r="S75" s="197"/>
      <c r="T75" s="197"/>
      <c r="U75" s="197"/>
      <c r="V75" s="197"/>
      <c r="W75" s="634"/>
      <c r="X75" s="633"/>
      <c r="Y75" s="197"/>
      <c r="Z75" s="197"/>
      <c r="AA75" s="197">
        <f t="shared" si="27"/>
        <v>0</v>
      </c>
      <c r="AB75" s="197"/>
      <c r="AC75" s="197"/>
      <c r="AD75" s="197"/>
      <c r="AE75" s="197">
        <f t="shared" si="28"/>
        <v>0</v>
      </c>
      <c r="AF75" s="197">
        <f t="shared" si="29"/>
        <v>0</v>
      </c>
      <c r="AG75" s="197"/>
      <c r="AH75" s="197"/>
      <c r="AI75" s="197"/>
      <c r="AJ75" s="197">
        <f t="shared" si="30"/>
        <v>0</v>
      </c>
      <c r="AK75" s="197">
        <f t="shared" si="31"/>
        <v>0</v>
      </c>
      <c r="AL75" s="197">
        <v>0</v>
      </c>
      <c r="AM75" s="197"/>
      <c r="AN75" s="197"/>
      <c r="AO75" s="197">
        <f t="shared" si="32"/>
        <v>0</v>
      </c>
      <c r="AP75" s="634">
        <f t="shared" si="33"/>
        <v>0</v>
      </c>
      <c r="AQ75" s="633">
        <v>0</v>
      </c>
      <c r="AR75" s="197">
        <v>0</v>
      </c>
      <c r="AS75" s="197">
        <v>0</v>
      </c>
      <c r="AT75" s="197">
        <f t="shared" si="24"/>
        <v>0</v>
      </c>
      <c r="AU75" s="197">
        <v>0</v>
      </c>
      <c r="AV75" s="197">
        <v>0</v>
      </c>
      <c r="AW75" s="197">
        <v>0</v>
      </c>
      <c r="AX75" s="197">
        <f t="shared" si="34"/>
        <v>0</v>
      </c>
      <c r="AY75" s="197">
        <f>AT75+AX75</f>
        <v>0</v>
      </c>
      <c r="AZ75" s="197">
        <v>0</v>
      </c>
      <c r="BA75" s="197">
        <v>0</v>
      </c>
      <c r="BB75" s="197">
        <v>0</v>
      </c>
      <c r="BC75" s="197">
        <f t="shared" si="35"/>
        <v>0</v>
      </c>
      <c r="BD75" s="197">
        <f>AY75+BC75</f>
        <v>0</v>
      </c>
      <c r="BE75" s="197">
        <v>0</v>
      </c>
      <c r="BF75" s="197">
        <v>0</v>
      </c>
      <c r="BG75" s="197">
        <v>0</v>
      </c>
      <c r="BH75" s="197">
        <f t="shared" si="26"/>
        <v>0</v>
      </c>
      <c r="BI75" s="634">
        <f t="shared" si="37"/>
        <v>0</v>
      </c>
      <c r="BJ75" s="633">
        <v>0</v>
      </c>
      <c r="BK75" s="197">
        <v>0</v>
      </c>
      <c r="BL75" s="197">
        <v>0</v>
      </c>
      <c r="BM75" s="197">
        <f t="shared" si="38"/>
        <v>0</v>
      </c>
      <c r="BN75" s="197">
        <v>0</v>
      </c>
      <c r="BO75" s="197">
        <v>0</v>
      </c>
      <c r="BP75" s="197">
        <v>0</v>
      </c>
      <c r="BQ75" s="197">
        <f t="shared" si="39"/>
        <v>0</v>
      </c>
      <c r="BR75" s="197">
        <f t="shared" si="40"/>
        <v>0</v>
      </c>
      <c r="BS75" s="197">
        <v>0</v>
      </c>
      <c r="BT75" s="197">
        <v>0</v>
      </c>
      <c r="BU75" s="197">
        <v>0</v>
      </c>
      <c r="BV75" s="197">
        <f t="shared" si="41"/>
        <v>0</v>
      </c>
      <c r="BW75" s="197">
        <f t="shared" si="42"/>
        <v>0</v>
      </c>
      <c r="BX75" s="197">
        <v>0</v>
      </c>
      <c r="BY75" s="197">
        <v>0</v>
      </c>
      <c r="BZ75" s="197">
        <v>0</v>
      </c>
      <c r="CA75" s="197">
        <f t="shared" si="43"/>
        <v>0</v>
      </c>
      <c r="CB75" s="634">
        <v>0</v>
      </c>
      <c r="CC75" s="633">
        <v>0</v>
      </c>
      <c r="CD75" s="197">
        <v>0</v>
      </c>
      <c r="CE75" s="197">
        <v>0</v>
      </c>
      <c r="CF75" s="197">
        <f t="shared" si="44"/>
        <v>0</v>
      </c>
      <c r="CG75" s="197">
        <v>0</v>
      </c>
      <c r="CH75" s="197"/>
      <c r="CI75" s="197"/>
      <c r="CJ75" s="197"/>
      <c r="CK75" s="197"/>
      <c r="CL75" s="197"/>
      <c r="CM75" s="197"/>
      <c r="CN75" s="197"/>
      <c r="CO75" s="197"/>
      <c r="CP75" s="197"/>
      <c r="CQ75" s="197"/>
      <c r="CR75" s="197"/>
      <c r="CS75" s="197"/>
      <c r="CT75" s="197"/>
      <c r="CU75" s="634"/>
    </row>
    <row r="76" spans="1:99">
      <c r="C76">
        <v>13</v>
      </c>
      <c r="D76" s="209" t="s">
        <v>67</v>
      </c>
      <c r="E76" s="633"/>
      <c r="F76" s="197"/>
      <c r="G76" s="197"/>
      <c r="H76" s="197"/>
      <c r="I76" s="197"/>
      <c r="J76" s="197"/>
      <c r="K76" s="197"/>
      <c r="L76" s="197"/>
      <c r="M76" s="197"/>
      <c r="N76" s="197"/>
      <c r="O76" s="197"/>
      <c r="P76" s="197"/>
      <c r="Q76" s="197"/>
      <c r="R76" s="197"/>
      <c r="S76" s="197"/>
      <c r="T76" s="197"/>
      <c r="U76" s="197"/>
      <c r="V76" s="197"/>
      <c r="W76" s="634"/>
      <c r="X76" s="633"/>
      <c r="Y76" s="197"/>
      <c r="Z76" s="197"/>
      <c r="AA76" s="197">
        <f t="shared" si="27"/>
        <v>0</v>
      </c>
      <c r="AB76" s="197"/>
      <c r="AC76" s="197"/>
      <c r="AD76" s="197"/>
      <c r="AE76" s="197">
        <f t="shared" si="28"/>
        <v>0</v>
      </c>
      <c r="AF76" s="197">
        <f t="shared" si="29"/>
        <v>0</v>
      </c>
      <c r="AG76" s="197"/>
      <c r="AH76" s="197"/>
      <c r="AI76" s="197"/>
      <c r="AJ76" s="197">
        <f t="shared" si="30"/>
        <v>0</v>
      </c>
      <c r="AK76" s="197">
        <f t="shared" si="31"/>
        <v>0</v>
      </c>
      <c r="AL76" s="197">
        <v>0</v>
      </c>
      <c r="AM76" s="197"/>
      <c r="AN76" s="197"/>
      <c r="AO76" s="197">
        <f t="shared" si="32"/>
        <v>0</v>
      </c>
      <c r="AP76" s="634">
        <f t="shared" si="33"/>
        <v>0</v>
      </c>
      <c r="AQ76" s="633">
        <v>0</v>
      </c>
      <c r="AR76" s="197">
        <v>0</v>
      </c>
      <c r="AS76" s="197">
        <v>0</v>
      </c>
      <c r="AT76" s="197">
        <f t="shared" si="24"/>
        <v>0</v>
      </c>
      <c r="AU76" s="197">
        <v>0</v>
      </c>
      <c r="AV76" s="197">
        <v>0</v>
      </c>
      <c r="AW76" s="197">
        <v>0</v>
      </c>
      <c r="AX76" s="197">
        <f t="shared" si="34"/>
        <v>0</v>
      </c>
      <c r="AY76" s="197">
        <f>AT76+AX76</f>
        <v>0</v>
      </c>
      <c r="AZ76" s="197">
        <v>0</v>
      </c>
      <c r="BA76" s="197">
        <v>0</v>
      </c>
      <c r="BB76" s="197">
        <v>0</v>
      </c>
      <c r="BC76" s="197">
        <f t="shared" si="35"/>
        <v>0</v>
      </c>
      <c r="BD76" s="197">
        <f>AY76+BC76</f>
        <v>0</v>
      </c>
      <c r="BE76" s="197">
        <v>0</v>
      </c>
      <c r="BF76" s="197">
        <v>0</v>
      </c>
      <c r="BG76" s="197">
        <v>0</v>
      </c>
      <c r="BH76" s="197">
        <f t="shared" si="26"/>
        <v>0</v>
      </c>
      <c r="BI76" s="634">
        <f t="shared" si="37"/>
        <v>0</v>
      </c>
      <c r="BJ76" s="633">
        <v>0</v>
      </c>
      <c r="BK76" s="197">
        <v>0</v>
      </c>
      <c r="BL76" s="197">
        <v>0</v>
      </c>
      <c r="BM76" s="197">
        <f t="shared" si="38"/>
        <v>0</v>
      </c>
      <c r="BN76" s="197">
        <v>0</v>
      </c>
      <c r="BO76" s="197">
        <v>0</v>
      </c>
      <c r="BP76" s="197">
        <v>0</v>
      </c>
      <c r="BQ76" s="197">
        <f t="shared" si="39"/>
        <v>0</v>
      </c>
      <c r="BR76" s="197">
        <f t="shared" si="40"/>
        <v>0</v>
      </c>
      <c r="BS76" s="197">
        <v>0</v>
      </c>
      <c r="BT76" s="197">
        <v>0</v>
      </c>
      <c r="BU76" s="197">
        <v>0</v>
      </c>
      <c r="BV76" s="197">
        <f t="shared" si="41"/>
        <v>0</v>
      </c>
      <c r="BW76" s="197">
        <f t="shared" si="42"/>
        <v>0</v>
      </c>
      <c r="BX76" s="197">
        <v>0</v>
      </c>
      <c r="BY76" s="197">
        <v>0</v>
      </c>
      <c r="BZ76" s="197">
        <v>0</v>
      </c>
      <c r="CA76" s="197">
        <f t="shared" si="43"/>
        <v>0</v>
      </c>
      <c r="CB76" s="634">
        <v>0</v>
      </c>
      <c r="CC76" s="633">
        <v>0</v>
      </c>
      <c r="CD76" s="197">
        <v>0</v>
      </c>
      <c r="CE76" s="197">
        <v>0</v>
      </c>
      <c r="CF76" s="197">
        <f t="shared" si="44"/>
        <v>0</v>
      </c>
      <c r="CG76" s="197">
        <v>0</v>
      </c>
      <c r="CH76" s="197"/>
      <c r="CI76" s="197"/>
      <c r="CJ76" s="197"/>
      <c r="CK76" s="197"/>
      <c r="CL76" s="197"/>
      <c r="CM76" s="197"/>
      <c r="CN76" s="197"/>
      <c r="CO76" s="197"/>
      <c r="CP76" s="197"/>
      <c r="CQ76" s="197"/>
      <c r="CR76" s="197"/>
      <c r="CS76" s="197"/>
      <c r="CT76" s="197"/>
      <c r="CU76" s="634"/>
    </row>
    <row r="77" spans="1:99">
      <c r="C77">
        <v>14</v>
      </c>
      <c r="D77" s="209" t="s">
        <v>68</v>
      </c>
      <c r="E77" s="633"/>
      <c r="F77" s="197"/>
      <c r="G77" s="197"/>
      <c r="H77" s="197"/>
      <c r="I77" s="197"/>
      <c r="J77" s="197"/>
      <c r="K77" s="197"/>
      <c r="L77" s="197"/>
      <c r="M77" s="197"/>
      <c r="N77" s="197"/>
      <c r="O77" s="197"/>
      <c r="P77" s="197"/>
      <c r="Q77" s="197"/>
      <c r="R77" s="197"/>
      <c r="S77" s="197"/>
      <c r="T77" s="197"/>
      <c r="U77" s="197"/>
      <c r="V77" s="197"/>
      <c r="W77" s="634"/>
      <c r="X77" s="633"/>
      <c r="Y77" s="197"/>
      <c r="Z77" s="197"/>
      <c r="AA77" s="197">
        <f t="shared" si="27"/>
        <v>0</v>
      </c>
      <c r="AB77" s="197"/>
      <c r="AC77" s="197"/>
      <c r="AD77" s="197"/>
      <c r="AE77" s="197">
        <f t="shared" si="28"/>
        <v>0</v>
      </c>
      <c r="AF77" s="197">
        <f t="shared" si="29"/>
        <v>0</v>
      </c>
      <c r="AG77" s="197"/>
      <c r="AH77" s="197"/>
      <c r="AI77" s="197"/>
      <c r="AJ77" s="197">
        <f t="shared" si="30"/>
        <v>0</v>
      </c>
      <c r="AK77" s="197">
        <f t="shared" si="31"/>
        <v>0</v>
      </c>
      <c r="AL77" s="197">
        <v>0</v>
      </c>
      <c r="AM77" s="197"/>
      <c r="AN77" s="197"/>
      <c r="AO77" s="197">
        <f t="shared" si="32"/>
        <v>0</v>
      </c>
      <c r="AP77" s="634">
        <f t="shared" si="33"/>
        <v>0</v>
      </c>
      <c r="AQ77" s="633">
        <v>0</v>
      </c>
      <c r="AR77" s="197">
        <v>0</v>
      </c>
      <c r="AS77" s="197">
        <v>0</v>
      </c>
      <c r="AT77" s="197">
        <f t="shared" si="24"/>
        <v>0</v>
      </c>
      <c r="AU77" s="197">
        <v>0</v>
      </c>
      <c r="AV77" s="197">
        <v>0</v>
      </c>
      <c r="AW77" s="197">
        <v>0</v>
      </c>
      <c r="AX77" s="197">
        <f t="shared" si="34"/>
        <v>0</v>
      </c>
      <c r="AY77" s="197">
        <f>AT77+AX77</f>
        <v>0</v>
      </c>
      <c r="AZ77" s="197">
        <v>0</v>
      </c>
      <c r="BA77" s="197">
        <v>0</v>
      </c>
      <c r="BB77" s="197">
        <v>0</v>
      </c>
      <c r="BC77" s="197">
        <f t="shared" si="35"/>
        <v>0</v>
      </c>
      <c r="BD77" s="197">
        <f>AY77+BC77</f>
        <v>0</v>
      </c>
      <c r="BE77" s="197">
        <v>0</v>
      </c>
      <c r="BF77" s="197">
        <v>0</v>
      </c>
      <c r="BG77" s="197">
        <v>0</v>
      </c>
      <c r="BH77" s="197">
        <f t="shared" si="26"/>
        <v>0</v>
      </c>
      <c r="BI77" s="634">
        <f t="shared" si="37"/>
        <v>0</v>
      </c>
      <c r="BJ77" s="633">
        <v>0</v>
      </c>
      <c r="BK77" s="197">
        <v>0</v>
      </c>
      <c r="BL77" s="197">
        <v>0</v>
      </c>
      <c r="BM77" s="197">
        <f t="shared" si="38"/>
        <v>0</v>
      </c>
      <c r="BN77" s="197">
        <v>0</v>
      </c>
      <c r="BO77" s="197">
        <v>0</v>
      </c>
      <c r="BP77" s="197">
        <v>0</v>
      </c>
      <c r="BQ77" s="197">
        <f t="shared" si="39"/>
        <v>0</v>
      </c>
      <c r="BR77" s="197">
        <f t="shared" si="40"/>
        <v>0</v>
      </c>
      <c r="BS77" s="197">
        <v>0</v>
      </c>
      <c r="BT77" s="197">
        <v>0</v>
      </c>
      <c r="BU77" s="197">
        <v>0</v>
      </c>
      <c r="BV77" s="197">
        <f t="shared" si="41"/>
        <v>0</v>
      </c>
      <c r="BW77" s="197">
        <f t="shared" si="42"/>
        <v>0</v>
      </c>
      <c r="BX77" s="197">
        <v>0</v>
      </c>
      <c r="BY77" s="197">
        <v>0</v>
      </c>
      <c r="BZ77" s="197">
        <v>0</v>
      </c>
      <c r="CA77" s="197">
        <f t="shared" si="43"/>
        <v>0</v>
      </c>
      <c r="CB77" s="634">
        <v>0</v>
      </c>
      <c r="CC77" s="633">
        <v>0</v>
      </c>
      <c r="CD77" s="197">
        <v>0</v>
      </c>
      <c r="CE77" s="197">
        <v>0</v>
      </c>
      <c r="CF77" s="197">
        <f t="shared" si="44"/>
        <v>0</v>
      </c>
      <c r="CG77" s="197">
        <v>0</v>
      </c>
      <c r="CH77" s="197"/>
      <c r="CI77" s="197"/>
      <c r="CJ77" s="197"/>
      <c r="CK77" s="197"/>
      <c r="CL77" s="197"/>
      <c r="CM77" s="197"/>
      <c r="CN77" s="197"/>
      <c r="CO77" s="197"/>
      <c r="CP77" s="197"/>
      <c r="CQ77" s="197"/>
      <c r="CR77" s="197"/>
      <c r="CS77" s="197"/>
      <c r="CT77" s="197"/>
      <c r="CU77" s="634"/>
    </row>
    <row r="78" spans="1:99">
      <c r="C78">
        <v>15</v>
      </c>
      <c r="D78" s="209" t="s">
        <v>69</v>
      </c>
      <c r="E78" s="633">
        <v>7.5999999999999998E-2</v>
      </c>
      <c r="F78" s="197">
        <v>7.3999999999999996E-2</v>
      </c>
      <c r="G78" s="197">
        <v>6.7000000000000004E-2</v>
      </c>
      <c r="H78" s="197">
        <v>0.217</v>
      </c>
      <c r="I78" s="197">
        <v>6.3E-2</v>
      </c>
      <c r="J78" s="197">
        <v>6.5000000000000002E-2</v>
      </c>
      <c r="K78" s="197">
        <v>5.7000000000000002E-2</v>
      </c>
      <c r="L78" s="197">
        <v>0.185</v>
      </c>
      <c r="M78" s="197">
        <v>0.40200000000000002</v>
      </c>
      <c r="N78" s="197">
        <v>5.6000000000000001E-2</v>
      </c>
      <c r="O78" s="197">
        <v>5.0999999999999997E-2</v>
      </c>
      <c r="P78" s="197">
        <v>4.3999999999999997E-2</v>
      </c>
      <c r="Q78" s="197">
        <v>0.151</v>
      </c>
      <c r="R78" s="197">
        <v>0.55300000000000005</v>
      </c>
      <c r="S78" s="197">
        <v>0.04</v>
      </c>
      <c r="T78" s="197">
        <v>4.3999999999999997E-2</v>
      </c>
      <c r="U78" s="197">
        <v>5.0999999999999997E-2</v>
      </c>
      <c r="V78" s="197">
        <v>0.13499999999999998</v>
      </c>
      <c r="W78" s="634">
        <v>0.68800000000000006</v>
      </c>
      <c r="X78" s="633">
        <v>4.8000000000000001E-2</v>
      </c>
      <c r="Y78" s="197">
        <v>4.7E-2</v>
      </c>
      <c r="Z78" s="197">
        <v>4.2000000000000003E-2</v>
      </c>
      <c r="AA78" s="197">
        <f t="shared" si="27"/>
        <v>0.13700000000000001</v>
      </c>
      <c r="AB78" s="197">
        <v>4.2000000000000003E-2</v>
      </c>
      <c r="AC78" s="197">
        <v>3.9E-2</v>
      </c>
      <c r="AD78" s="197">
        <v>3.1E-2</v>
      </c>
      <c r="AE78" s="197">
        <f t="shared" si="28"/>
        <v>0.112</v>
      </c>
      <c r="AF78" s="197">
        <f t="shared" si="29"/>
        <v>0.249</v>
      </c>
      <c r="AG78" s="197">
        <v>0.03</v>
      </c>
      <c r="AH78" s="197">
        <v>2.5999999999999999E-2</v>
      </c>
      <c r="AI78" s="197">
        <v>2.7E-2</v>
      </c>
      <c r="AJ78" s="197">
        <f t="shared" si="30"/>
        <v>8.299999999999999E-2</v>
      </c>
      <c r="AK78" s="197">
        <f t="shared" si="31"/>
        <v>0.33199999999999996</v>
      </c>
      <c r="AL78" s="197">
        <v>3.1E-2</v>
      </c>
      <c r="AM78" s="197">
        <v>2.5999999999999999E-2</v>
      </c>
      <c r="AN78" s="197">
        <v>2.9000000000000001E-2</v>
      </c>
      <c r="AO78" s="197">
        <f t="shared" si="32"/>
        <v>8.5999999999999993E-2</v>
      </c>
      <c r="AP78" s="634">
        <f t="shared" si="33"/>
        <v>0.41799999999999993</v>
      </c>
      <c r="AQ78" s="633">
        <v>2.8000000000000001E-2</v>
      </c>
      <c r="AR78" s="197">
        <v>2.7E-2</v>
      </c>
      <c r="AS78" s="197">
        <v>2.1999999999999999E-2</v>
      </c>
      <c r="AT78" s="197">
        <f t="shared" si="24"/>
        <v>7.6999999999999999E-2</v>
      </c>
      <c r="AU78" s="197">
        <v>2.1999999999999999E-2</v>
      </c>
      <c r="AV78" s="197">
        <v>1.4999999999999999E-2</v>
      </c>
      <c r="AW78" s="197">
        <v>0.01</v>
      </c>
      <c r="AX78" s="197">
        <f t="shared" si="34"/>
        <v>4.7E-2</v>
      </c>
      <c r="AY78" s="197">
        <f>AT78+AX78</f>
        <v>0.124</v>
      </c>
      <c r="AZ78" s="197">
        <v>8.0000000000000002E-3</v>
      </c>
      <c r="BA78" s="197">
        <v>5.0000000000000001E-3</v>
      </c>
      <c r="BB78" s="197">
        <v>6.0000000000000001E-3</v>
      </c>
      <c r="BC78" s="197">
        <f t="shared" si="35"/>
        <v>1.9000000000000003E-2</v>
      </c>
      <c r="BD78" s="197">
        <f>AY78+BC78</f>
        <v>0.14300000000000002</v>
      </c>
      <c r="BE78" s="197">
        <v>6.0000000000000001E-3</v>
      </c>
      <c r="BF78" s="197">
        <v>6.0000000000000001E-3</v>
      </c>
      <c r="BG78" s="197">
        <v>4.0000000000000001E-3</v>
      </c>
      <c r="BH78" s="197">
        <f t="shared" si="26"/>
        <v>1.6E-2</v>
      </c>
      <c r="BI78" s="634">
        <f t="shared" si="37"/>
        <v>0.15900000000000003</v>
      </c>
      <c r="BJ78" s="633">
        <v>6.0000000000000001E-3</v>
      </c>
      <c r="BK78" s="197">
        <v>6.0000000000000001E-3</v>
      </c>
      <c r="BL78" s="197">
        <v>5.0000000000000001E-3</v>
      </c>
      <c r="BM78" s="197">
        <f t="shared" si="38"/>
        <v>1.7000000000000001E-2</v>
      </c>
      <c r="BN78" s="197">
        <v>0</v>
      </c>
      <c r="BO78" s="197">
        <v>0</v>
      </c>
      <c r="BP78" s="197">
        <v>0</v>
      </c>
      <c r="BQ78" s="197">
        <f t="shared" si="39"/>
        <v>0</v>
      </c>
      <c r="BR78" s="197">
        <f t="shared" si="40"/>
        <v>1.7000000000000001E-2</v>
      </c>
      <c r="BS78" s="197">
        <v>0</v>
      </c>
      <c r="BT78" s="197">
        <v>0</v>
      </c>
      <c r="BU78" s="197">
        <v>0</v>
      </c>
      <c r="BV78" s="197">
        <f t="shared" si="41"/>
        <v>0</v>
      </c>
      <c r="BW78" s="197">
        <f t="shared" si="42"/>
        <v>1.7000000000000001E-2</v>
      </c>
      <c r="BX78" s="197">
        <v>0</v>
      </c>
      <c r="BY78" s="197">
        <v>0</v>
      </c>
      <c r="BZ78" s="197">
        <v>0</v>
      </c>
      <c r="CA78" s="197">
        <f t="shared" si="43"/>
        <v>0</v>
      </c>
      <c r="CB78" s="634">
        <v>1.7000000000000001E-2</v>
      </c>
      <c r="CC78" s="633">
        <v>0</v>
      </c>
      <c r="CD78" s="197">
        <v>0</v>
      </c>
      <c r="CE78" s="197">
        <v>0</v>
      </c>
      <c r="CF78" s="197">
        <f t="shared" si="44"/>
        <v>0</v>
      </c>
      <c r="CG78" s="197">
        <v>0</v>
      </c>
      <c r="CH78" s="197"/>
      <c r="CI78" s="197"/>
      <c r="CJ78" s="197"/>
      <c r="CK78" s="197"/>
      <c r="CL78" s="197"/>
      <c r="CM78" s="197"/>
      <c r="CN78" s="197"/>
      <c r="CO78" s="197"/>
      <c r="CP78" s="197"/>
      <c r="CQ78" s="197"/>
      <c r="CR78" s="197"/>
      <c r="CS78" s="197"/>
      <c r="CT78" s="197"/>
      <c r="CU78" s="634"/>
    </row>
    <row r="79" spans="1:99">
      <c r="C79">
        <v>16</v>
      </c>
      <c r="D79" s="209" t="s">
        <v>70</v>
      </c>
      <c r="E79" s="633">
        <v>7.1999999999999995E-2</v>
      </c>
      <c r="F79" s="197">
        <v>7.2999999999999995E-2</v>
      </c>
      <c r="G79" s="197">
        <v>7.6999999999999999E-2</v>
      </c>
      <c r="H79" s="197">
        <v>0.22199999999999998</v>
      </c>
      <c r="I79" s="197">
        <v>7.5999999999999998E-2</v>
      </c>
      <c r="J79" s="197">
        <v>7.9000000000000001E-2</v>
      </c>
      <c r="K79" s="197">
        <v>8.6999999999999994E-2</v>
      </c>
      <c r="L79" s="197">
        <v>0.24199999999999999</v>
      </c>
      <c r="M79" s="197">
        <v>0.46399999999999997</v>
      </c>
      <c r="N79" s="197">
        <v>8.8999999999999996E-2</v>
      </c>
      <c r="O79" s="197">
        <v>8.4000000000000005E-2</v>
      </c>
      <c r="P79" s="197">
        <v>8.2000000000000003E-2</v>
      </c>
      <c r="Q79" s="197">
        <v>0.255</v>
      </c>
      <c r="R79" s="197">
        <v>0.71899999999999997</v>
      </c>
      <c r="S79" s="197">
        <v>8.2000000000000003E-2</v>
      </c>
      <c r="T79" s="197">
        <v>7.4999999999999997E-2</v>
      </c>
      <c r="U79" s="197">
        <v>7.4999999999999997E-2</v>
      </c>
      <c r="V79" s="197">
        <v>0.23199999999999998</v>
      </c>
      <c r="W79" s="634">
        <v>0.95099999999999996</v>
      </c>
      <c r="X79" s="633">
        <v>5.5E-2</v>
      </c>
      <c r="Y79" s="197">
        <v>6.4000000000000001E-2</v>
      </c>
      <c r="Z79" s="197">
        <v>7.2999999999999995E-2</v>
      </c>
      <c r="AA79" s="197">
        <f t="shared" si="27"/>
        <v>0.192</v>
      </c>
      <c r="AB79" s="197">
        <v>8.1000000000000003E-2</v>
      </c>
      <c r="AC79" s="197">
        <v>7.6999999999999999E-2</v>
      </c>
      <c r="AD79" s="197">
        <v>6.9000000000000006E-2</v>
      </c>
      <c r="AE79" s="197">
        <f t="shared" si="28"/>
        <v>0.22700000000000001</v>
      </c>
      <c r="AF79" s="197">
        <f t="shared" si="29"/>
        <v>0.41900000000000004</v>
      </c>
      <c r="AG79" s="197">
        <v>6.7000000000000004E-2</v>
      </c>
      <c r="AH79" s="197">
        <v>7.0999999999999994E-2</v>
      </c>
      <c r="AI79" s="197">
        <v>7.6999999999999999E-2</v>
      </c>
      <c r="AJ79" s="197">
        <f t="shared" si="30"/>
        <v>0.21500000000000002</v>
      </c>
      <c r="AK79" s="197">
        <f t="shared" si="31"/>
        <v>0.63400000000000012</v>
      </c>
      <c r="AL79" s="197">
        <v>7.5999999999999998E-2</v>
      </c>
      <c r="AM79" s="197">
        <v>7.2999999999999995E-2</v>
      </c>
      <c r="AN79" s="197">
        <v>0.05</v>
      </c>
      <c r="AO79" s="197">
        <f t="shared" si="32"/>
        <v>0.19900000000000001</v>
      </c>
      <c r="AP79" s="634">
        <f t="shared" si="33"/>
        <v>0.83300000000000018</v>
      </c>
      <c r="AQ79" s="633">
        <v>7.0000000000000007E-2</v>
      </c>
      <c r="AR79" s="197">
        <v>7.2999999999999995E-2</v>
      </c>
      <c r="AS79" s="197">
        <v>6.5000000000000002E-2</v>
      </c>
      <c r="AT79" s="197">
        <f t="shared" si="24"/>
        <v>0.20800000000000002</v>
      </c>
      <c r="AU79" s="197">
        <v>7.6999999999999999E-2</v>
      </c>
      <c r="AV79" s="197">
        <v>7.3999999999999996E-2</v>
      </c>
      <c r="AW79" s="197">
        <v>6.4000000000000001E-2</v>
      </c>
      <c r="AX79" s="197">
        <f t="shared" si="34"/>
        <v>0.215</v>
      </c>
      <c r="AY79" s="197">
        <f>AT79+AX79</f>
        <v>0.42300000000000004</v>
      </c>
      <c r="AZ79" s="197">
        <v>6.6000000000000003E-2</v>
      </c>
      <c r="BA79" s="197">
        <v>6.3E-2</v>
      </c>
      <c r="BB79" s="197">
        <v>7.0999999999999994E-2</v>
      </c>
      <c r="BC79" s="197">
        <f t="shared" si="35"/>
        <v>0.2</v>
      </c>
      <c r="BD79" s="197">
        <f>AY79+BC79</f>
        <v>0.623</v>
      </c>
      <c r="BE79" s="197">
        <v>8.3000000000000004E-2</v>
      </c>
      <c r="BF79" s="197">
        <v>7.5999999999999998E-2</v>
      </c>
      <c r="BG79" s="197">
        <v>7.0000000000000007E-2</v>
      </c>
      <c r="BH79" s="197">
        <f t="shared" si="26"/>
        <v>0.22900000000000001</v>
      </c>
      <c r="BI79" s="634">
        <f t="shared" si="37"/>
        <v>0.85199999999999998</v>
      </c>
      <c r="BJ79" s="633">
        <v>6.9000000000000006E-2</v>
      </c>
      <c r="BK79" s="197">
        <v>7.2999999999999995E-2</v>
      </c>
      <c r="BL79" s="197">
        <v>7.2999999999999995E-2</v>
      </c>
      <c r="BM79" s="197">
        <f t="shared" si="38"/>
        <v>0.21500000000000002</v>
      </c>
      <c r="BN79" s="197">
        <v>7.6999999999999999E-2</v>
      </c>
      <c r="BO79" s="197">
        <v>7.4999999999999997E-2</v>
      </c>
      <c r="BP79" s="197">
        <v>6.2E-2</v>
      </c>
      <c r="BQ79" s="197">
        <f t="shared" si="39"/>
        <v>0.214</v>
      </c>
      <c r="BR79" s="197">
        <f t="shared" si="40"/>
        <v>0.42900000000000005</v>
      </c>
      <c r="BS79" s="197">
        <v>6.4000000000000001E-2</v>
      </c>
      <c r="BT79" s="197">
        <v>7.2999999999999995E-2</v>
      </c>
      <c r="BU79" s="197">
        <v>7.3999999999999996E-2</v>
      </c>
      <c r="BV79" s="197">
        <f t="shared" si="41"/>
        <v>0.21100000000000002</v>
      </c>
      <c r="BW79" s="197">
        <f t="shared" si="42"/>
        <v>0.64000000000000012</v>
      </c>
      <c r="BX79" s="197">
        <v>8.2000000000000003E-2</v>
      </c>
      <c r="BY79" s="197">
        <v>6.9000000000000006E-2</v>
      </c>
      <c r="BZ79" s="197">
        <v>7.8E-2</v>
      </c>
      <c r="CA79" s="197">
        <f t="shared" si="43"/>
        <v>0.22900000000000004</v>
      </c>
      <c r="CB79" s="634">
        <v>0.86799999999999999</v>
      </c>
      <c r="CC79" s="633">
        <v>6.7000000000000004E-2</v>
      </c>
      <c r="CD79" s="197">
        <v>7.2999999999999995E-2</v>
      </c>
      <c r="CE79" s="197">
        <v>7.3999999999999996E-2</v>
      </c>
      <c r="CF79" s="197">
        <f t="shared" si="44"/>
        <v>0.21400000000000002</v>
      </c>
      <c r="CG79" s="197">
        <v>7.4999999999999997E-2</v>
      </c>
      <c r="CH79" s="197"/>
      <c r="CI79" s="197"/>
      <c r="CJ79" s="197"/>
      <c r="CK79" s="197"/>
      <c r="CL79" s="197"/>
      <c r="CM79" s="197"/>
      <c r="CN79" s="197"/>
      <c r="CO79" s="197"/>
      <c r="CP79" s="197"/>
      <c r="CQ79" s="197"/>
      <c r="CR79" s="197"/>
      <c r="CS79" s="197"/>
      <c r="CT79" s="197"/>
      <c r="CU79" s="634"/>
    </row>
    <row r="80" spans="1:99" ht="15.75" thickBot="1">
      <c r="C80">
        <v>17</v>
      </c>
      <c r="D80" s="279" t="s">
        <v>828</v>
      </c>
      <c r="E80" s="635">
        <f t="shared" ref="E80:AI80" si="45">SUM(E66:E79)</f>
        <v>0.34800000000000003</v>
      </c>
      <c r="F80" s="635">
        <f t="shared" si="45"/>
        <v>0.33400000000000002</v>
      </c>
      <c r="G80" s="635">
        <f t="shared" si="45"/>
        <v>0.31900000000000001</v>
      </c>
      <c r="H80" s="635">
        <f t="shared" si="45"/>
        <v>1.0009999999999999</v>
      </c>
      <c r="I80" s="635">
        <f t="shared" si="45"/>
        <v>0.316</v>
      </c>
      <c r="J80" s="635">
        <f t="shared" si="45"/>
        <v>0.31000000000000005</v>
      </c>
      <c r="K80" s="635">
        <f t="shared" si="45"/>
        <v>0.28800000000000003</v>
      </c>
      <c r="L80" s="635">
        <f t="shared" si="45"/>
        <v>0.91400000000000003</v>
      </c>
      <c r="M80" s="635">
        <f t="shared" si="45"/>
        <v>1.9149999999999996</v>
      </c>
      <c r="N80" s="635">
        <f t="shared" si="45"/>
        <v>0.28300000000000003</v>
      </c>
      <c r="O80" s="635">
        <f t="shared" si="45"/>
        <v>0.32500000000000001</v>
      </c>
      <c r="P80" s="635">
        <f t="shared" si="45"/>
        <v>0.33</v>
      </c>
      <c r="Q80" s="635">
        <f t="shared" si="45"/>
        <v>0.93800000000000006</v>
      </c>
      <c r="R80" s="635">
        <f t="shared" si="45"/>
        <v>2.8529999999999993</v>
      </c>
      <c r="S80" s="635">
        <f t="shared" si="45"/>
        <v>0.33500000000000002</v>
      </c>
      <c r="T80" s="635">
        <f t="shared" si="45"/>
        <v>0.314</v>
      </c>
      <c r="U80" s="635">
        <f t="shared" si="45"/>
        <v>0.32</v>
      </c>
      <c r="V80" s="635">
        <f t="shared" si="45"/>
        <v>0.96900000000000008</v>
      </c>
      <c r="W80" s="635">
        <f t="shared" si="45"/>
        <v>3.8219999999999996</v>
      </c>
      <c r="X80" s="635">
        <f t="shared" si="45"/>
        <v>0.28400000000000003</v>
      </c>
      <c r="Y80" s="635">
        <f t="shared" si="45"/>
        <v>0.28100000000000003</v>
      </c>
      <c r="Z80" s="635">
        <f t="shared" si="45"/>
        <v>0.26600000000000001</v>
      </c>
      <c r="AA80" s="635">
        <f t="shared" si="45"/>
        <v>0.83099999999999996</v>
      </c>
      <c r="AB80" s="635">
        <f t="shared" si="45"/>
        <v>0.26700000000000002</v>
      </c>
      <c r="AC80" s="635">
        <f t="shared" si="45"/>
        <v>0.28000000000000003</v>
      </c>
      <c r="AD80" s="635">
        <f t="shared" si="45"/>
        <v>0.26</v>
      </c>
      <c r="AE80" s="635">
        <f t="shared" si="45"/>
        <v>0.80700000000000005</v>
      </c>
      <c r="AF80" s="635">
        <f t="shared" si="45"/>
        <v>1.6380000000000001</v>
      </c>
      <c r="AG80" s="635">
        <f t="shared" si="45"/>
        <v>0.27100000000000002</v>
      </c>
      <c r="AH80" s="635">
        <f t="shared" si="45"/>
        <v>0.28300000000000003</v>
      </c>
      <c r="AI80" s="635">
        <f t="shared" si="45"/>
        <v>0.30499999999999999</v>
      </c>
      <c r="AJ80" s="197">
        <f t="shared" si="30"/>
        <v>0.85899999999999999</v>
      </c>
      <c r="AK80" s="197">
        <f>AF80+AJ80</f>
        <v>2.4969999999999999</v>
      </c>
      <c r="AL80" s="635">
        <f>SUM(AL66:AL79)</f>
        <v>0.30599999999999999</v>
      </c>
      <c r="AM80" s="635">
        <f>SUM(AM66:AM79)</f>
        <v>0.27999999999999997</v>
      </c>
      <c r="AN80" s="635">
        <f>SUM(AN66:AN79)</f>
        <v>0.25700000000000001</v>
      </c>
      <c r="AO80" s="635">
        <f t="shared" si="32"/>
        <v>0.84299999999999997</v>
      </c>
      <c r="AP80" s="635">
        <f t="shared" si="33"/>
        <v>3.34</v>
      </c>
      <c r="AQ80" s="635">
        <f>SUM(AQ66:AQ79)</f>
        <v>0.25700000000000001</v>
      </c>
      <c r="AR80" s="635">
        <f t="shared" ref="AR80:BB80" si="46">SUM(AR66:AR79)</f>
        <v>0.248</v>
      </c>
      <c r="AS80" s="635">
        <f t="shared" si="46"/>
        <v>0.224</v>
      </c>
      <c r="AT80" s="635">
        <f t="shared" si="46"/>
        <v>0.72900000000000009</v>
      </c>
      <c r="AU80" s="635">
        <f t="shared" si="46"/>
        <v>0.23699999999999999</v>
      </c>
      <c r="AV80" s="635">
        <f t="shared" si="46"/>
        <v>0.23700000000000004</v>
      </c>
      <c r="AW80" s="635">
        <f t="shared" si="46"/>
        <v>0.22400000000000003</v>
      </c>
      <c r="AX80" s="635">
        <f t="shared" si="46"/>
        <v>0.69800000000000006</v>
      </c>
      <c r="AY80" s="635">
        <f t="shared" si="46"/>
        <v>1.427</v>
      </c>
      <c r="AZ80" s="635">
        <f t="shared" si="46"/>
        <v>0.25</v>
      </c>
      <c r="BA80" s="635">
        <f t="shared" si="46"/>
        <v>0.25800000000000001</v>
      </c>
      <c r="BB80" s="635">
        <f t="shared" si="46"/>
        <v>0.27900000000000003</v>
      </c>
      <c r="BC80" s="635">
        <f>SUM(BC66:BC79)</f>
        <v>0.78700000000000014</v>
      </c>
      <c r="BD80" s="635">
        <f t="shared" ref="BD80:BM80" si="47">SUM(BD66:BD79)</f>
        <v>2.214</v>
      </c>
      <c r="BE80" s="635">
        <f t="shared" si="47"/>
        <v>0.27900000000000003</v>
      </c>
      <c r="BF80" s="635">
        <f t="shared" si="47"/>
        <v>0.25700000000000006</v>
      </c>
      <c r="BG80" s="635">
        <f t="shared" si="47"/>
        <v>0.26300000000000001</v>
      </c>
      <c r="BH80" s="635">
        <f t="shared" si="47"/>
        <v>0.79900000000000004</v>
      </c>
      <c r="BI80" s="634">
        <f t="shared" si="47"/>
        <v>3.0129999999999995</v>
      </c>
      <c r="BJ80" s="635">
        <f t="shared" si="47"/>
        <v>0.23200000000000004</v>
      </c>
      <c r="BK80" s="636">
        <f t="shared" si="47"/>
        <v>0.23699999999999999</v>
      </c>
      <c r="BL80" s="636">
        <f t="shared" si="47"/>
        <v>0.22800000000000004</v>
      </c>
      <c r="BM80" s="636">
        <f t="shared" si="47"/>
        <v>0.69700000000000006</v>
      </c>
      <c r="BN80" s="636">
        <f>SUM(BN66:BN79)</f>
        <v>0.21600000000000003</v>
      </c>
      <c r="BO80" s="636">
        <f>SUM(BO66:BO79)</f>
        <v>0.17799999999999999</v>
      </c>
      <c r="BP80" s="636">
        <f>SUM(BP66:BP79)</f>
        <v>0.21300000000000002</v>
      </c>
      <c r="BQ80" s="197">
        <f t="shared" si="39"/>
        <v>0.60699999999999998</v>
      </c>
      <c r="BR80" s="197">
        <f t="shared" si="40"/>
        <v>1.304</v>
      </c>
      <c r="BS80" s="636">
        <v>0.221</v>
      </c>
      <c r="BT80" s="636">
        <v>0.23899999999999999</v>
      </c>
      <c r="BU80" s="636">
        <v>0.23</v>
      </c>
      <c r="BV80" s="197">
        <f t="shared" si="41"/>
        <v>0.69</v>
      </c>
      <c r="BW80" s="197">
        <f t="shared" si="42"/>
        <v>1.994</v>
      </c>
      <c r="BX80" s="636">
        <v>0.23200000000000001</v>
      </c>
      <c r="BY80" s="636">
        <v>0.23499999999999999</v>
      </c>
      <c r="BZ80" s="636">
        <v>0.26700000000000002</v>
      </c>
      <c r="CA80" s="636">
        <f>SUM(CA66:CA79)</f>
        <v>0.73399999999999999</v>
      </c>
      <c r="CB80" s="637">
        <v>2.7629999999999999</v>
      </c>
      <c r="CC80" s="635">
        <v>0.23</v>
      </c>
      <c r="CD80" s="636">
        <v>0.23</v>
      </c>
      <c r="CE80" s="636">
        <v>0.222</v>
      </c>
      <c r="CF80" s="197">
        <f>SUM(CF66:CF79)</f>
        <v>0.68100000000000005</v>
      </c>
      <c r="CG80" s="636">
        <v>0.21299999999999999</v>
      </c>
      <c r="CH80" s="636"/>
      <c r="CI80" s="636"/>
      <c r="CJ80" s="197"/>
      <c r="CK80" s="197"/>
      <c r="CL80" s="636"/>
      <c r="CM80" s="636"/>
      <c r="CN80" s="636"/>
      <c r="CO80" s="197"/>
      <c r="CP80" s="197"/>
      <c r="CQ80" s="636"/>
      <c r="CR80" s="636"/>
      <c r="CS80" s="636"/>
      <c r="CT80" s="636"/>
      <c r="CU80" s="637"/>
    </row>
    <row r="81" spans="1:99">
      <c r="W81" s="480"/>
      <c r="AP81" s="480"/>
      <c r="BI81" s="480"/>
      <c r="CB81" s="480"/>
      <c r="CU81" s="480"/>
    </row>
    <row r="82" spans="1:99" ht="15.75" thickBot="1">
      <c r="W82" s="480"/>
      <c r="AP82" s="480"/>
      <c r="BI82" s="480"/>
      <c r="CB82" s="480"/>
      <c r="CU82" s="480"/>
    </row>
    <row r="83" spans="1:99">
      <c r="C83">
        <v>1</v>
      </c>
      <c r="E83" s="456">
        <v>202204</v>
      </c>
      <c r="F83" s="457">
        <v>202205</v>
      </c>
      <c r="G83" s="457">
        <v>202206</v>
      </c>
      <c r="H83" s="457">
        <v>222331</v>
      </c>
      <c r="I83" s="457">
        <v>202207</v>
      </c>
      <c r="J83" s="457">
        <v>202208</v>
      </c>
      <c r="K83" s="457">
        <v>202209</v>
      </c>
      <c r="L83" s="457">
        <v>222332</v>
      </c>
      <c r="M83" s="457">
        <v>222361</v>
      </c>
      <c r="N83" s="457">
        <v>202210</v>
      </c>
      <c r="O83" s="457">
        <v>202211</v>
      </c>
      <c r="P83" s="457">
        <v>202212</v>
      </c>
      <c r="Q83" s="457">
        <v>222333</v>
      </c>
      <c r="R83" s="457">
        <v>222391</v>
      </c>
      <c r="S83" s="457">
        <v>202301</v>
      </c>
      <c r="T83" s="457">
        <v>202302</v>
      </c>
      <c r="U83" s="457">
        <v>202303</v>
      </c>
      <c r="V83" s="457">
        <v>222334</v>
      </c>
      <c r="W83" s="631">
        <v>222399</v>
      </c>
      <c r="X83" s="456">
        <v>202304</v>
      </c>
      <c r="Y83" s="457">
        <v>202305</v>
      </c>
      <c r="Z83" s="457">
        <v>202306</v>
      </c>
      <c r="AA83" s="457">
        <v>232431</v>
      </c>
      <c r="AB83" s="457">
        <v>202307</v>
      </c>
      <c r="AC83" s="457">
        <v>202308</v>
      </c>
      <c r="AD83" s="457">
        <v>202309</v>
      </c>
      <c r="AE83" s="457">
        <v>232432</v>
      </c>
      <c r="AF83" s="457">
        <v>232461</v>
      </c>
      <c r="AG83" s="457">
        <v>202310</v>
      </c>
      <c r="AH83" s="457">
        <v>202311</v>
      </c>
      <c r="AI83" s="457">
        <v>202312</v>
      </c>
      <c r="AJ83" s="457">
        <v>232433</v>
      </c>
      <c r="AK83" s="457">
        <v>232491</v>
      </c>
      <c r="AL83" s="457">
        <v>202401</v>
      </c>
      <c r="AM83" s="457">
        <v>202402</v>
      </c>
      <c r="AN83" s="457">
        <v>202403</v>
      </c>
      <c r="AO83" s="457">
        <v>232434</v>
      </c>
      <c r="AP83" s="922">
        <v>232499</v>
      </c>
      <c r="AQ83" s="456">
        <v>202404</v>
      </c>
      <c r="AR83" s="457">
        <v>202405</v>
      </c>
      <c r="AS83" s="457">
        <v>202406</v>
      </c>
      <c r="AT83" s="457">
        <v>242531</v>
      </c>
      <c r="AU83" s="457">
        <v>202407</v>
      </c>
      <c r="AV83" s="457">
        <v>202408</v>
      </c>
      <c r="AW83" s="457">
        <v>202409</v>
      </c>
      <c r="AX83" s="457">
        <v>242532</v>
      </c>
      <c r="AY83" s="457">
        <v>242561</v>
      </c>
      <c r="AZ83" s="457">
        <v>202410</v>
      </c>
      <c r="BA83" s="457">
        <v>202411</v>
      </c>
      <c r="BB83" s="457">
        <v>202412</v>
      </c>
      <c r="BC83" s="457">
        <v>242533</v>
      </c>
      <c r="BD83" s="457">
        <v>242591</v>
      </c>
      <c r="BE83" s="457">
        <v>202501</v>
      </c>
      <c r="BF83" s="457">
        <v>202502</v>
      </c>
      <c r="BG83" s="457">
        <v>202503</v>
      </c>
      <c r="BH83" s="457">
        <v>242534</v>
      </c>
      <c r="BI83" s="631">
        <v>242599</v>
      </c>
      <c r="BJ83" s="457">
        <v>202504</v>
      </c>
      <c r="BK83" s="457">
        <v>202505</v>
      </c>
      <c r="BL83" s="457">
        <v>202506</v>
      </c>
      <c r="BM83" s="457">
        <v>252631</v>
      </c>
      <c r="BN83" s="457">
        <v>202507</v>
      </c>
      <c r="BO83" s="457">
        <v>202508</v>
      </c>
      <c r="BP83" s="457">
        <v>202509</v>
      </c>
      <c r="BQ83" s="457">
        <v>252632</v>
      </c>
      <c r="BR83" s="457">
        <v>252661</v>
      </c>
      <c r="BS83" s="457">
        <v>202510</v>
      </c>
      <c r="BT83" s="457">
        <v>202511</v>
      </c>
      <c r="BU83" s="457">
        <v>202512</v>
      </c>
      <c r="BV83" s="457">
        <v>252633</v>
      </c>
      <c r="BW83" s="457">
        <v>252691</v>
      </c>
      <c r="BX83" s="457">
        <v>202601</v>
      </c>
      <c r="BY83" s="457">
        <v>202602</v>
      </c>
      <c r="BZ83" s="457">
        <v>202603</v>
      </c>
      <c r="CA83" s="457">
        <v>252634</v>
      </c>
      <c r="CB83" s="631">
        <v>252699</v>
      </c>
      <c r="CC83">
        <v>202604</v>
      </c>
      <c r="CD83">
        <v>202605</v>
      </c>
      <c r="CE83">
        <v>202606</v>
      </c>
      <c r="CF83">
        <v>262731</v>
      </c>
      <c r="CG83">
        <v>202607</v>
      </c>
      <c r="CH83">
        <v>202608</v>
      </c>
      <c r="CI83">
        <v>202609</v>
      </c>
      <c r="CJ83">
        <v>262732</v>
      </c>
      <c r="CK83">
        <v>262761</v>
      </c>
      <c r="CL83">
        <v>202610</v>
      </c>
      <c r="CM83">
        <v>202611</v>
      </c>
      <c r="CN83">
        <v>202612</v>
      </c>
      <c r="CO83">
        <v>262733</v>
      </c>
      <c r="CP83">
        <v>262791</v>
      </c>
      <c r="CQ83">
        <v>202701</v>
      </c>
      <c r="CR83">
        <v>202702</v>
      </c>
      <c r="CS83">
        <v>202703</v>
      </c>
      <c r="CT83">
        <v>262734</v>
      </c>
      <c r="CU83" s="480">
        <v>262799</v>
      </c>
    </row>
    <row r="84" spans="1:99">
      <c r="C84">
        <v>2</v>
      </c>
      <c r="E84" s="459" t="s">
        <v>308</v>
      </c>
      <c r="F84" t="s">
        <v>309</v>
      </c>
      <c r="G84" t="s">
        <v>829</v>
      </c>
      <c r="H84" t="s">
        <v>392</v>
      </c>
      <c r="I84" t="s">
        <v>830</v>
      </c>
      <c r="J84" t="s">
        <v>312</v>
      </c>
      <c r="K84" t="s">
        <v>313</v>
      </c>
      <c r="L84" t="s">
        <v>393</v>
      </c>
      <c r="M84" t="s">
        <v>622</v>
      </c>
      <c r="N84" t="s">
        <v>314</v>
      </c>
      <c r="O84" t="s">
        <v>315</v>
      </c>
      <c r="P84" t="s">
        <v>316</v>
      </c>
      <c r="Q84" t="s">
        <v>394</v>
      </c>
      <c r="R84" t="s">
        <v>624</v>
      </c>
      <c r="S84" t="s">
        <v>317</v>
      </c>
      <c r="T84" t="s">
        <v>318</v>
      </c>
      <c r="U84" t="s">
        <v>319</v>
      </c>
      <c r="V84" t="s">
        <v>395</v>
      </c>
      <c r="W84" s="632" t="s">
        <v>831</v>
      </c>
      <c r="X84" s="459" t="s">
        <v>726</v>
      </c>
      <c r="Y84" t="s">
        <v>727</v>
      </c>
      <c r="Z84" t="s">
        <v>832</v>
      </c>
      <c r="AA84" t="s">
        <v>762</v>
      </c>
      <c r="AB84" t="s">
        <v>833</v>
      </c>
      <c r="AC84" t="s">
        <v>730</v>
      </c>
      <c r="AD84" t="s">
        <v>731</v>
      </c>
      <c r="AE84" t="s">
        <v>765</v>
      </c>
      <c r="AF84" t="s">
        <v>774</v>
      </c>
      <c r="AG84" t="s">
        <v>732</v>
      </c>
      <c r="AH84" t="s">
        <v>733</v>
      </c>
      <c r="AI84" t="s">
        <v>734</v>
      </c>
      <c r="AJ84" t="s">
        <v>768</v>
      </c>
      <c r="AK84" t="s">
        <v>780</v>
      </c>
      <c r="AL84" t="s">
        <v>735</v>
      </c>
      <c r="AM84" t="s">
        <v>736</v>
      </c>
      <c r="AN84" t="s">
        <v>737</v>
      </c>
      <c r="AO84" t="s">
        <v>771</v>
      </c>
      <c r="AP84" s="480" t="s">
        <v>834</v>
      </c>
      <c r="AQ84" s="459" t="s">
        <v>738</v>
      </c>
      <c r="AR84" t="s">
        <v>740</v>
      </c>
      <c r="AS84" t="s">
        <v>835</v>
      </c>
      <c r="AT84" t="s">
        <v>763</v>
      </c>
      <c r="AU84" t="s">
        <v>836</v>
      </c>
      <c r="AV84" t="s">
        <v>743</v>
      </c>
      <c r="AW84" t="s">
        <v>744</v>
      </c>
      <c r="AX84" t="s">
        <v>766</v>
      </c>
      <c r="AY84" t="s">
        <v>775</v>
      </c>
      <c r="AZ84" t="s">
        <v>745</v>
      </c>
      <c r="BA84" t="s">
        <v>746</v>
      </c>
      <c r="BB84" t="s">
        <v>747</v>
      </c>
      <c r="BC84" t="s">
        <v>769</v>
      </c>
      <c r="BD84" t="s">
        <v>781</v>
      </c>
      <c r="BE84" t="s">
        <v>748</v>
      </c>
      <c r="BF84" t="s">
        <v>749</v>
      </c>
      <c r="BG84" t="s">
        <v>750</v>
      </c>
      <c r="BH84" t="s">
        <v>772</v>
      </c>
      <c r="BI84" s="632" t="s">
        <v>837</v>
      </c>
      <c r="BJ84" t="s">
        <v>739</v>
      </c>
      <c r="BK84" t="s">
        <v>751</v>
      </c>
      <c r="BL84" t="s">
        <v>838</v>
      </c>
      <c r="BM84" t="s">
        <v>764</v>
      </c>
      <c r="BN84" t="s">
        <v>839</v>
      </c>
      <c r="BO84" t="s">
        <v>754</v>
      </c>
      <c r="BP84" t="s">
        <v>755</v>
      </c>
      <c r="BQ84" t="s">
        <v>767</v>
      </c>
      <c r="BR84" t="s">
        <v>776</v>
      </c>
      <c r="BS84" t="s">
        <v>756</v>
      </c>
      <c r="BT84" t="s">
        <v>757</v>
      </c>
      <c r="BU84" t="s">
        <v>758</v>
      </c>
      <c r="BV84" t="s">
        <v>770</v>
      </c>
      <c r="BW84" t="s">
        <v>782</v>
      </c>
      <c r="BX84" t="s">
        <v>759</v>
      </c>
      <c r="BY84" t="s">
        <v>760</v>
      </c>
      <c r="BZ84" t="s">
        <v>761</v>
      </c>
      <c r="CA84" t="s">
        <v>773</v>
      </c>
      <c r="CB84" s="632" t="s">
        <v>840</v>
      </c>
      <c r="CC84" t="s">
        <v>2268</v>
      </c>
      <c r="CD84" t="s">
        <v>2151</v>
      </c>
      <c r="CE84" t="s">
        <v>2269</v>
      </c>
      <c r="CF84" t="s">
        <v>2260</v>
      </c>
      <c r="CG84" t="s">
        <v>2270</v>
      </c>
      <c r="CH84" t="s">
        <v>2154</v>
      </c>
      <c r="CI84" t="s">
        <v>2155</v>
      </c>
      <c r="CJ84" t="s">
        <v>2261</v>
      </c>
      <c r="CK84" t="s">
        <v>2264</v>
      </c>
      <c r="CL84" t="s">
        <v>2156</v>
      </c>
      <c r="CM84" t="s">
        <v>2157</v>
      </c>
      <c r="CN84" t="s">
        <v>2158</v>
      </c>
      <c r="CO84" t="s">
        <v>2262</v>
      </c>
      <c r="CP84" t="s">
        <v>2266</v>
      </c>
      <c r="CQ84" t="s">
        <v>2159</v>
      </c>
      <c r="CR84" t="s">
        <v>2160</v>
      </c>
      <c r="CS84" t="s">
        <v>2149</v>
      </c>
      <c r="CT84" t="s">
        <v>2263</v>
      </c>
      <c r="CU84" s="480" t="s">
        <v>2271</v>
      </c>
    </row>
    <row r="85" spans="1:99">
      <c r="C85">
        <v>3</v>
      </c>
      <c r="D85" s="209" t="s">
        <v>60</v>
      </c>
      <c r="E85" s="633">
        <f t="shared" ref="E85:W98" si="48">E47+E66</f>
        <v>0.19799999999999998</v>
      </c>
      <c r="F85" s="197">
        <f t="shared" si="48"/>
        <v>7.0999999999999994E-2</v>
      </c>
      <c r="G85" s="197">
        <f t="shared" si="48"/>
        <v>4.0999999999999995E-2</v>
      </c>
      <c r="H85" s="197">
        <f t="shared" si="48"/>
        <v>0.31</v>
      </c>
      <c r="I85" s="197">
        <f t="shared" si="48"/>
        <v>3.8000000000000006E-2</v>
      </c>
      <c r="J85" s="197">
        <f t="shared" si="48"/>
        <v>2.9000000000000001E-2</v>
      </c>
      <c r="K85" s="197">
        <f t="shared" si="48"/>
        <v>1.9E-2</v>
      </c>
      <c r="L85" s="197">
        <f t="shared" si="48"/>
        <v>8.6000000000000007E-2</v>
      </c>
      <c r="M85" s="197">
        <f t="shared" si="48"/>
        <v>0.39600000000000002</v>
      </c>
      <c r="N85" s="197">
        <f t="shared" si="48"/>
        <v>2.9000000000000001E-2</v>
      </c>
      <c r="O85" s="197">
        <f t="shared" si="48"/>
        <v>0.17799999999999999</v>
      </c>
      <c r="P85" s="197">
        <f t="shared" si="48"/>
        <v>0.17599999999999999</v>
      </c>
      <c r="Q85" s="197">
        <f t="shared" si="48"/>
        <v>0.38300000000000001</v>
      </c>
      <c r="R85" s="197">
        <f t="shared" si="48"/>
        <v>0.77900000000000003</v>
      </c>
      <c r="S85" s="197">
        <f t="shared" si="48"/>
        <v>0.18099999999999999</v>
      </c>
      <c r="T85" s="197">
        <f t="shared" si="48"/>
        <v>0.21699999999999997</v>
      </c>
      <c r="U85" s="197">
        <f t="shared" si="48"/>
        <v>0.23899999999999999</v>
      </c>
      <c r="V85" s="197">
        <f t="shared" si="48"/>
        <v>0.63700000000000001</v>
      </c>
      <c r="W85" s="634">
        <f t="shared" si="48"/>
        <v>1.4159999999999999</v>
      </c>
      <c r="X85" s="633">
        <f>X47+X66</f>
        <v>0.21199999999999999</v>
      </c>
      <c r="Y85" s="197">
        <f t="shared" ref="Y85:AP85" si="49">Y47+Y66</f>
        <v>0.19400000000000001</v>
      </c>
      <c r="Z85" s="197">
        <f t="shared" si="49"/>
        <v>0.17200000000000001</v>
      </c>
      <c r="AA85" s="197">
        <f t="shared" si="49"/>
        <v>0.57800000000000007</v>
      </c>
      <c r="AB85" s="197">
        <f t="shared" si="49"/>
        <v>0.191</v>
      </c>
      <c r="AC85" s="197">
        <f t="shared" si="49"/>
        <v>0.16900000000000001</v>
      </c>
      <c r="AD85" s="197">
        <f t="shared" si="49"/>
        <v>0.16799999999999998</v>
      </c>
      <c r="AE85" s="197">
        <f t="shared" si="49"/>
        <v>0.52800000000000002</v>
      </c>
      <c r="AF85" s="197">
        <f t="shared" si="49"/>
        <v>1.1060000000000001</v>
      </c>
      <c r="AG85" s="197">
        <f t="shared" si="49"/>
        <v>0.20599999999999999</v>
      </c>
      <c r="AH85" s="197">
        <f t="shared" si="49"/>
        <v>0.21099999999999999</v>
      </c>
      <c r="AI85" s="197">
        <f t="shared" si="49"/>
        <v>0.22399999999999998</v>
      </c>
      <c r="AJ85" s="197">
        <f t="shared" si="49"/>
        <v>0.64100000000000001</v>
      </c>
      <c r="AK85" s="197">
        <f t="shared" si="49"/>
        <v>1.7470000000000001</v>
      </c>
      <c r="AL85" s="197">
        <f t="shared" si="49"/>
        <v>0.23299999999999998</v>
      </c>
      <c r="AM85" s="197">
        <f t="shared" si="49"/>
        <v>0.184</v>
      </c>
      <c r="AN85" s="197">
        <f t="shared" si="49"/>
        <v>0.22099999999999997</v>
      </c>
      <c r="AO85" s="197">
        <f t="shared" si="49"/>
        <v>0.63800000000000001</v>
      </c>
      <c r="AP85" s="197">
        <f t="shared" si="49"/>
        <v>2.3850000000000002</v>
      </c>
      <c r="AQ85" s="633">
        <f>AQ47+AQ66</f>
        <v>0.192</v>
      </c>
      <c r="AR85" s="197">
        <f t="shared" ref="AR85:BH85" si="50">AR47+AR66</f>
        <v>0.17499999999999999</v>
      </c>
      <c r="AS85" s="197">
        <f t="shared" si="50"/>
        <v>0.16400000000000001</v>
      </c>
      <c r="AT85" s="197">
        <f t="shared" si="50"/>
        <v>0.53100000000000003</v>
      </c>
      <c r="AU85" s="197">
        <f t="shared" si="50"/>
        <v>0.16599999999999998</v>
      </c>
      <c r="AV85" s="197">
        <f t="shared" si="50"/>
        <v>0.15</v>
      </c>
      <c r="AW85" s="197">
        <f t="shared" si="50"/>
        <v>0.16299999999999998</v>
      </c>
      <c r="AX85" s="197">
        <f t="shared" si="50"/>
        <v>0.47899999999999998</v>
      </c>
      <c r="AY85" s="197">
        <f t="shared" si="50"/>
        <v>1.01</v>
      </c>
      <c r="AZ85" s="197">
        <f t="shared" si="50"/>
        <v>0.183</v>
      </c>
      <c r="BA85" s="197">
        <f t="shared" si="50"/>
        <v>0.187</v>
      </c>
      <c r="BB85" s="197">
        <f t="shared" si="50"/>
        <v>0.20800000000000002</v>
      </c>
      <c r="BC85" s="197">
        <f t="shared" si="50"/>
        <v>0.57800000000000007</v>
      </c>
      <c r="BD85" s="197">
        <f t="shared" si="50"/>
        <v>1.5880000000000001</v>
      </c>
      <c r="BE85" s="197">
        <f t="shared" si="50"/>
        <v>0.21100000000000002</v>
      </c>
      <c r="BF85" s="197">
        <f t="shared" si="50"/>
        <v>0.187</v>
      </c>
      <c r="BG85" s="197">
        <f t="shared" si="50"/>
        <v>0.2</v>
      </c>
      <c r="BH85" s="197">
        <f t="shared" si="50"/>
        <v>0.59800000000000009</v>
      </c>
      <c r="BI85" s="634">
        <f t="shared" ref="BI85:BK98" si="51">SUM(BI47,BI66)</f>
        <v>2.1859999999999999</v>
      </c>
      <c r="BJ85" s="197">
        <f t="shared" si="51"/>
        <v>0.17899999999999999</v>
      </c>
      <c r="BK85" s="197">
        <f t="shared" si="51"/>
        <v>0.16700000000000001</v>
      </c>
      <c r="BL85" s="197">
        <v>0.155</v>
      </c>
      <c r="BM85" s="197">
        <f>BJ85+BK85+BL85</f>
        <v>0.501</v>
      </c>
      <c r="BN85" s="197">
        <f t="shared" ref="BN85:BP99" si="52">BN47+BN66</f>
        <v>0.14200000000000002</v>
      </c>
      <c r="BO85" s="197">
        <f t="shared" si="52"/>
        <v>3.4000000000000002E-2</v>
      </c>
      <c r="BP85" s="197">
        <f t="shared" si="52"/>
        <v>0.161</v>
      </c>
      <c r="BQ85" s="197">
        <f>BN85+BO85+BP85</f>
        <v>0.33700000000000002</v>
      </c>
      <c r="BR85" s="197">
        <f>BM85+BQ85</f>
        <v>0.83800000000000008</v>
      </c>
      <c r="BS85" s="197">
        <f t="shared" ref="BS85:BU99" si="53">BS47+BS66</f>
        <v>0.16599999999999998</v>
      </c>
      <c r="BT85" s="197">
        <f t="shared" si="53"/>
        <v>0.184</v>
      </c>
      <c r="BU85" s="197">
        <f t="shared" si="53"/>
        <v>0.17899999999999999</v>
      </c>
      <c r="BV85" s="197">
        <f>BS85+BT85+BU85</f>
        <v>0.52899999999999991</v>
      </c>
      <c r="BW85" s="197">
        <f>BM85+BQ85+BV85</f>
        <v>1.367</v>
      </c>
      <c r="BX85" s="197">
        <f>BX47+BX66</f>
        <v>0.21499999999999997</v>
      </c>
      <c r="BY85" s="197">
        <f>BY47+BY66</f>
        <v>0.20899999999999999</v>
      </c>
      <c r="BZ85" s="197">
        <f>BZ47+BZ66</f>
        <v>0.24</v>
      </c>
      <c r="CA85" s="197">
        <f>BX85+BY85+BZ85</f>
        <v>0.66399999999999992</v>
      </c>
      <c r="CB85" s="634">
        <v>2.0390000000000001</v>
      </c>
      <c r="CC85" s="197">
        <f>CC47+CC66</f>
        <v>0.21299999999999999</v>
      </c>
      <c r="CD85" s="197">
        <f>CD47+CD66</f>
        <v>0.20799999999999999</v>
      </c>
      <c r="CE85" s="197">
        <f>CE47+CE66</f>
        <v>0.18</v>
      </c>
      <c r="CF85" s="197">
        <f>CC85+CD85+CE85</f>
        <v>0.60099999999999998</v>
      </c>
      <c r="CG85" s="197">
        <f>CG47+CG66</f>
        <v>0.20400000000000001</v>
      </c>
      <c r="CH85" s="197"/>
      <c r="CI85" s="197"/>
      <c r="CJ85" s="197"/>
      <c r="CK85" s="197"/>
      <c r="CL85" s="197"/>
      <c r="CM85" s="197"/>
      <c r="CN85" s="197"/>
      <c r="CO85" s="197"/>
      <c r="CP85" s="197"/>
      <c r="CQ85" s="197"/>
      <c r="CR85" s="197"/>
      <c r="CS85" s="197"/>
      <c r="CT85" s="197"/>
      <c r="CU85" s="634"/>
    </row>
    <row r="86" spans="1:99">
      <c r="C86">
        <v>4</v>
      </c>
      <c r="D86" s="209" t="s">
        <v>61</v>
      </c>
      <c r="E86" s="633">
        <f t="shared" si="48"/>
        <v>0.32999999999999996</v>
      </c>
      <c r="F86" s="197">
        <f t="shared" si="48"/>
        <v>0.34299999999999997</v>
      </c>
      <c r="G86" s="197">
        <f t="shared" si="48"/>
        <v>0.32899999999999996</v>
      </c>
      <c r="H86" s="197">
        <f t="shared" si="48"/>
        <v>1.002</v>
      </c>
      <c r="I86" s="197">
        <f t="shared" si="48"/>
        <v>0.33599999999999997</v>
      </c>
      <c r="J86" s="197">
        <f t="shared" si="48"/>
        <v>0.32800000000000001</v>
      </c>
      <c r="K86" s="197">
        <f t="shared" si="48"/>
        <v>0.309</v>
      </c>
      <c r="L86" s="197">
        <f t="shared" si="48"/>
        <v>0.97299999999999998</v>
      </c>
      <c r="M86" s="197">
        <f t="shared" si="48"/>
        <v>1.9750000000000001</v>
      </c>
      <c r="N86" s="197">
        <f t="shared" si="48"/>
        <v>0.314</v>
      </c>
      <c r="O86" s="197">
        <f t="shared" si="48"/>
        <v>0.3</v>
      </c>
      <c r="P86" s="197">
        <f t="shared" si="48"/>
        <v>0.312</v>
      </c>
      <c r="Q86" s="197">
        <f t="shared" si="48"/>
        <v>0.92599999999999993</v>
      </c>
      <c r="R86" s="197">
        <f t="shared" si="48"/>
        <v>2.9009999999999998</v>
      </c>
      <c r="S86" s="197">
        <f t="shared" si="48"/>
        <v>0.314</v>
      </c>
      <c r="T86" s="197">
        <f t="shared" si="48"/>
        <v>0.28500000000000003</v>
      </c>
      <c r="U86" s="197">
        <f t="shared" si="48"/>
        <v>0.29900000000000004</v>
      </c>
      <c r="V86" s="197">
        <f t="shared" si="48"/>
        <v>0.89800000000000002</v>
      </c>
      <c r="W86" s="634">
        <f t="shared" si="48"/>
        <v>3.7989999999999999</v>
      </c>
      <c r="X86" s="633">
        <f t="shared" ref="X86:BH86" si="54">X48+X67</f>
        <v>0.29499999999999998</v>
      </c>
      <c r="Y86" s="197">
        <f t="shared" si="54"/>
        <v>0.30499999999999999</v>
      </c>
      <c r="Z86" s="197">
        <f t="shared" si="54"/>
        <v>0.29200000000000004</v>
      </c>
      <c r="AA86" s="197">
        <f t="shared" si="54"/>
        <v>0.89200000000000013</v>
      </c>
      <c r="AB86" s="197">
        <f t="shared" si="54"/>
        <v>0.28000000000000003</v>
      </c>
      <c r="AC86" s="197">
        <f t="shared" si="54"/>
        <v>0.30000000000000004</v>
      </c>
      <c r="AD86" s="197">
        <f t="shared" si="54"/>
        <v>0.28900000000000003</v>
      </c>
      <c r="AE86" s="197">
        <f t="shared" si="54"/>
        <v>0.86900000000000011</v>
      </c>
      <c r="AF86" s="197">
        <f t="shared" si="54"/>
        <v>1.7610000000000001</v>
      </c>
      <c r="AG86" s="197">
        <f t="shared" si="54"/>
        <v>0.29000000000000004</v>
      </c>
      <c r="AH86" s="197">
        <f t="shared" si="54"/>
        <v>0.28800000000000003</v>
      </c>
      <c r="AI86" s="197">
        <f t="shared" si="54"/>
        <v>0.29100000000000004</v>
      </c>
      <c r="AJ86" s="197">
        <f t="shared" si="54"/>
        <v>0.86899999999999999</v>
      </c>
      <c r="AK86" s="197">
        <f t="shared" si="54"/>
        <v>2.63</v>
      </c>
      <c r="AL86" s="197">
        <f t="shared" si="54"/>
        <v>0.28500000000000003</v>
      </c>
      <c r="AM86" s="197">
        <f t="shared" si="54"/>
        <v>0.26800000000000002</v>
      </c>
      <c r="AN86" s="197">
        <f t="shared" si="54"/>
        <v>0.27200000000000002</v>
      </c>
      <c r="AO86" s="197">
        <f t="shared" si="54"/>
        <v>0.82500000000000007</v>
      </c>
      <c r="AP86" s="197">
        <f t="shared" si="54"/>
        <v>3.4550000000000001</v>
      </c>
      <c r="AQ86" s="633">
        <f t="shared" si="54"/>
        <v>0.26200000000000001</v>
      </c>
      <c r="AR86" s="197">
        <f t="shared" si="54"/>
        <v>0.26900000000000002</v>
      </c>
      <c r="AS86" s="197">
        <f t="shared" si="54"/>
        <v>0.26500000000000001</v>
      </c>
      <c r="AT86" s="197">
        <f t="shared" si="54"/>
        <v>0.79600000000000004</v>
      </c>
      <c r="AU86" s="197">
        <f t="shared" si="54"/>
        <v>0.26400000000000001</v>
      </c>
      <c r="AV86" s="197">
        <f t="shared" si="54"/>
        <v>0.27400000000000002</v>
      </c>
      <c r="AW86" s="197">
        <f t="shared" si="54"/>
        <v>0.26900000000000002</v>
      </c>
      <c r="AX86" s="197">
        <f t="shared" si="54"/>
        <v>0.80700000000000005</v>
      </c>
      <c r="AY86" s="197">
        <f t="shared" si="54"/>
        <v>1.6030000000000002</v>
      </c>
      <c r="AZ86" s="197">
        <f t="shared" si="54"/>
        <v>0.27800000000000002</v>
      </c>
      <c r="BA86" s="197">
        <f t="shared" si="54"/>
        <v>0.26900000000000002</v>
      </c>
      <c r="BB86" s="197">
        <f t="shared" si="54"/>
        <v>0.28300000000000003</v>
      </c>
      <c r="BC86" s="197">
        <f t="shared" si="54"/>
        <v>0.83</v>
      </c>
      <c r="BD86" s="197">
        <f t="shared" si="54"/>
        <v>2.4329999999999998</v>
      </c>
      <c r="BE86" s="197">
        <f t="shared" si="54"/>
        <v>0.27700000000000002</v>
      </c>
      <c r="BF86" s="197">
        <f t="shared" si="54"/>
        <v>0.251</v>
      </c>
      <c r="BG86" s="197">
        <f t="shared" si="54"/>
        <v>0.27500000000000002</v>
      </c>
      <c r="BH86" s="197">
        <f t="shared" si="54"/>
        <v>0.80299999999999994</v>
      </c>
      <c r="BI86" s="634">
        <f t="shared" si="51"/>
        <v>3.2359999999999998</v>
      </c>
      <c r="BJ86" s="197">
        <f t="shared" si="51"/>
        <v>0.25700000000000001</v>
      </c>
      <c r="BK86" s="197">
        <f t="shared" si="51"/>
        <v>0.26900000000000002</v>
      </c>
      <c r="BL86" s="197">
        <v>0.25900000000000001</v>
      </c>
      <c r="BM86" s="197">
        <f t="shared" ref="BM86:BM98" si="55">BJ86+BK86+BL86</f>
        <v>0.78500000000000003</v>
      </c>
      <c r="BN86" s="197">
        <f t="shared" si="52"/>
        <v>0.26800000000000002</v>
      </c>
      <c r="BO86" s="197">
        <f t="shared" si="52"/>
        <v>0.254</v>
      </c>
      <c r="BP86" s="197">
        <f t="shared" si="52"/>
        <v>0.255</v>
      </c>
      <c r="BQ86" s="197">
        <f t="shared" ref="BQ86:BQ99" si="56">BN86+BO86+BP86</f>
        <v>0.77700000000000002</v>
      </c>
      <c r="BR86" s="197">
        <f t="shared" ref="BR86:BR99" si="57">BM86+BQ86</f>
        <v>1.5620000000000001</v>
      </c>
      <c r="BS86" s="197">
        <f t="shared" si="53"/>
        <v>0.26300000000000001</v>
      </c>
      <c r="BT86" s="197">
        <f t="shared" si="53"/>
        <v>0.253</v>
      </c>
      <c r="BU86" s="197">
        <f t="shared" si="53"/>
        <v>0.25600000000000001</v>
      </c>
      <c r="BV86" s="197">
        <f t="shared" ref="BV86:BV99" si="58">BS86+BT86+BU86</f>
        <v>0.77200000000000002</v>
      </c>
      <c r="BW86" s="197">
        <f t="shared" ref="BW86:BW99" si="59">BM86+BQ86+BV86</f>
        <v>2.3340000000000001</v>
      </c>
      <c r="BX86" s="197">
        <f t="shared" ref="BX86:BY99" si="60">BX48+BX67</f>
        <v>0.22899999999999998</v>
      </c>
      <c r="BY86" s="197">
        <f t="shared" si="60"/>
        <v>0.23099999999999998</v>
      </c>
      <c r="BZ86" s="197">
        <f t="shared" ref="BZ86:BZ98" si="61">BZ48+BZ67</f>
        <v>0.24299999999999999</v>
      </c>
      <c r="CA86" s="197">
        <f t="shared" ref="CA86:CA98" si="62">BX86+BY86+BZ86</f>
        <v>0.70299999999999996</v>
      </c>
      <c r="CB86" s="634">
        <v>3.06</v>
      </c>
      <c r="CC86" s="197">
        <f t="shared" ref="CC86:CE98" si="63">CC48+CC67</f>
        <v>0.24099999999999999</v>
      </c>
      <c r="CD86" s="197">
        <f t="shared" si="63"/>
        <v>0.249</v>
      </c>
      <c r="CE86" s="197">
        <f t="shared" si="63"/>
        <v>0.23899999999999999</v>
      </c>
      <c r="CF86" s="197">
        <f t="shared" ref="CF86:CF98" si="64">CC86+CD86+CE86</f>
        <v>0.72899999999999998</v>
      </c>
      <c r="CG86" s="197">
        <f t="shared" ref="CG86:CG98" si="65">CG48+CG67</f>
        <v>0.24</v>
      </c>
      <c r="CH86" s="197"/>
      <c r="CI86" s="197"/>
      <c r="CJ86" s="197"/>
      <c r="CK86" s="197"/>
      <c r="CL86" s="197"/>
      <c r="CM86" s="197"/>
      <c r="CN86" s="197"/>
      <c r="CO86" s="197"/>
      <c r="CP86" s="197"/>
      <c r="CQ86" s="197"/>
      <c r="CR86" s="197"/>
      <c r="CS86" s="197"/>
      <c r="CT86" s="197"/>
      <c r="CU86" s="634"/>
    </row>
    <row r="87" spans="1:99">
      <c r="C87">
        <v>5</v>
      </c>
      <c r="D87" s="209" t="s">
        <v>62</v>
      </c>
      <c r="E87" s="633">
        <f t="shared" si="48"/>
        <v>2.7E-2</v>
      </c>
      <c r="F87" s="197">
        <f t="shared" si="48"/>
        <v>2.3E-2</v>
      </c>
      <c r="G87" s="197">
        <f t="shared" si="48"/>
        <v>2.5000000000000001E-2</v>
      </c>
      <c r="H87" s="197">
        <f t="shared" si="48"/>
        <v>7.4999999999999997E-2</v>
      </c>
      <c r="I87" s="197">
        <f t="shared" si="48"/>
        <v>2.6000000000000002E-2</v>
      </c>
      <c r="J87" s="197">
        <f t="shared" si="48"/>
        <v>2.4E-2</v>
      </c>
      <c r="K87" s="197">
        <f t="shared" si="48"/>
        <v>2.3E-2</v>
      </c>
      <c r="L87" s="197">
        <f t="shared" si="48"/>
        <v>7.2999999999999995E-2</v>
      </c>
      <c r="M87" s="197">
        <f t="shared" si="48"/>
        <v>0.14799999999999999</v>
      </c>
      <c r="N87" s="197">
        <f t="shared" si="48"/>
        <v>2.5000000000000001E-2</v>
      </c>
      <c r="O87" s="197">
        <f t="shared" si="48"/>
        <v>2.4E-2</v>
      </c>
      <c r="P87" s="197">
        <f t="shared" si="48"/>
        <v>2.4E-2</v>
      </c>
      <c r="Q87" s="197">
        <f t="shared" si="48"/>
        <v>7.2999999999999995E-2</v>
      </c>
      <c r="R87" s="197">
        <f t="shared" si="48"/>
        <v>0.221</v>
      </c>
      <c r="S87" s="197">
        <f t="shared" si="48"/>
        <v>2.3E-2</v>
      </c>
      <c r="T87" s="197">
        <f t="shared" si="48"/>
        <v>2.0999999999999998E-2</v>
      </c>
      <c r="U87" s="197">
        <f t="shared" si="48"/>
        <v>2.1999999999999999E-2</v>
      </c>
      <c r="V87" s="197">
        <f t="shared" si="48"/>
        <v>6.6000000000000003E-2</v>
      </c>
      <c r="W87" s="634">
        <f t="shared" si="48"/>
        <v>0.28700000000000003</v>
      </c>
      <c r="X87" s="633">
        <f t="shared" ref="X87:BH87" si="66">X49+X68</f>
        <v>2.1999999999999999E-2</v>
      </c>
      <c r="Y87" s="197">
        <f t="shared" si="66"/>
        <v>1.9999999999999997E-2</v>
      </c>
      <c r="Z87" s="197">
        <f t="shared" si="66"/>
        <v>1.9999999999999997E-2</v>
      </c>
      <c r="AA87" s="197">
        <f t="shared" si="66"/>
        <v>6.2E-2</v>
      </c>
      <c r="AB87" s="197">
        <f t="shared" si="66"/>
        <v>2.0999999999999998E-2</v>
      </c>
      <c r="AC87" s="197">
        <f t="shared" si="66"/>
        <v>0.02</v>
      </c>
      <c r="AD87" s="197">
        <f t="shared" si="66"/>
        <v>1.8000000000000002E-2</v>
      </c>
      <c r="AE87" s="197">
        <f t="shared" si="66"/>
        <v>5.8999999999999997E-2</v>
      </c>
      <c r="AF87" s="197">
        <f t="shared" si="66"/>
        <v>0.121</v>
      </c>
      <c r="AG87" s="197">
        <f t="shared" si="66"/>
        <v>2.0999999999999998E-2</v>
      </c>
      <c r="AH87" s="197">
        <f t="shared" si="66"/>
        <v>0.02</v>
      </c>
      <c r="AI87" s="197">
        <f t="shared" si="66"/>
        <v>0.02</v>
      </c>
      <c r="AJ87" s="197">
        <f t="shared" si="66"/>
        <v>6.0999999999999999E-2</v>
      </c>
      <c r="AK87" s="197">
        <f t="shared" si="66"/>
        <v>0.182</v>
      </c>
      <c r="AL87" s="197">
        <f t="shared" si="66"/>
        <v>1.9E-2</v>
      </c>
      <c r="AM87" s="197">
        <f t="shared" si="66"/>
        <v>1.7999999999999999E-2</v>
      </c>
      <c r="AN87" s="197">
        <f t="shared" si="66"/>
        <v>1.8999999999999996E-2</v>
      </c>
      <c r="AO87" s="197">
        <f t="shared" si="66"/>
        <v>5.5999999999999994E-2</v>
      </c>
      <c r="AP87" s="197">
        <f t="shared" si="66"/>
        <v>0.23799999999999999</v>
      </c>
      <c r="AQ87" s="633">
        <f t="shared" si="66"/>
        <v>1.9E-2</v>
      </c>
      <c r="AR87" s="197">
        <f t="shared" si="66"/>
        <v>1.6E-2</v>
      </c>
      <c r="AS87" s="197">
        <f t="shared" si="66"/>
        <v>9.0000000000000011E-3</v>
      </c>
      <c r="AT87" s="197">
        <f t="shared" si="66"/>
        <v>4.3999999999999997E-2</v>
      </c>
      <c r="AU87" s="197">
        <f t="shared" si="66"/>
        <v>1.9E-2</v>
      </c>
      <c r="AV87" s="197">
        <f t="shared" si="66"/>
        <v>1.7999999999999999E-2</v>
      </c>
      <c r="AW87" s="197">
        <f t="shared" si="66"/>
        <v>1.4999999999999999E-2</v>
      </c>
      <c r="AX87" s="197">
        <f t="shared" si="66"/>
        <v>5.1999999999999998E-2</v>
      </c>
      <c r="AY87" s="197">
        <f t="shared" si="66"/>
        <v>9.6000000000000002E-2</v>
      </c>
      <c r="AZ87" s="197">
        <f t="shared" si="66"/>
        <v>1.7000000000000001E-2</v>
      </c>
      <c r="BA87" s="197">
        <f t="shared" si="66"/>
        <v>1.7000000000000001E-2</v>
      </c>
      <c r="BB87" s="197">
        <f t="shared" si="66"/>
        <v>1.7999999999999999E-2</v>
      </c>
      <c r="BC87" s="197">
        <f t="shared" si="66"/>
        <v>5.1999999999999998E-2</v>
      </c>
      <c r="BD87" s="197">
        <f t="shared" si="66"/>
        <v>0.14799999999999999</v>
      </c>
      <c r="BE87" s="197">
        <f t="shared" si="66"/>
        <v>1.7999999999999999E-2</v>
      </c>
      <c r="BF87" s="197">
        <f t="shared" si="66"/>
        <v>1.6E-2</v>
      </c>
      <c r="BG87" s="197">
        <f t="shared" si="66"/>
        <v>1.6E-2</v>
      </c>
      <c r="BH87" s="197">
        <f t="shared" si="66"/>
        <v>0.05</v>
      </c>
      <c r="BI87" s="634">
        <f t="shared" si="51"/>
        <v>0.19799999999999998</v>
      </c>
      <c r="BJ87" s="197">
        <f t="shared" si="51"/>
        <v>1.7000000000000001E-2</v>
      </c>
      <c r="BK87" s="197">
        <f t="shared" si="51"/>
        <v>1.7000000000000001E-2</v>
      </c>
      <c r="BL87" s="197">
        <v>1.4999999999999999E-2</v>
      </c>
      <c r="BM87" s="197">
        <f t="shared" si="55"/>
        <v>4.9000000000000002E-2</v>
      </c>
      <c r="BN87" s="197">
        <f t="shared" si="52"/>
        <v>1.6E-2</v>
      </c>
      <c r="BO87" s="197">
        <f t="shared" si="52"/>
        <v>1.7000000000000001E-2</v>
      </c>
      <c r="BP87" s="197">
        <f t="shared" si="52"/>
        <v>1.7000000000000001E-2</v>
      </c>
      <c r="BQ87" s="197">
        <f t="shared" si="56"/>
        <v>0.05</v>
      </c>
      <c r="BR87" s="197">
        <f t="shared" si="57"/>
        <v>9.9000000000000005E-2</v>
      </c>
      <c r="BS87" s="197">
        <f t="shared" si="53"/>
        <v>1.9E-2</v>
      </c>
      <c r="BT87" s="197">
        <f t="shared" si="53"/>
        <v>1.7999999999999999E-2</v>
      </c>
      <c r="BU87" s="197">
        <f t="shared" si="53"/>
        <v>1.7000000000000001E-2</v>
      </c>
      <c r="BV87" s="197">
        <f t="shared" si="58"/>
        <v>5.3999999999999999E-2</v>
      </c>
      <c r="BW87" s="197">
        <f t="shared" si="59"/>
        <v>0.153</v>
      </c>
      <c r="BX87" s="197">
        <f t="shared" si="60"/>
        <v>1.7000000000000001E-2</v>
      </c>
      <c r="BY87" s="197">
        <f t="shared" si="60"/>
        <v>1.4999999999999999E-2</v>
      </c>
      <c r="BZ87" s="197">
        <f t="shared" si="61"/>
        <v>1.7000000000000001E-2</v>
      </c>
      <c r="CA87" s="197">
        <f t="shared" si="62"/>
        <v>4.9000000000000002E-2</v>
      </c>
      <c r="CB87" s="634">
        <v>0.20399999999999999</v>
      </c>
      <c r="CC87" s="197">
        <f t="shared" si="63"/>
        <v>1.6E-2</v>
      </c>
      <c r="CD87" s="197">
        <f t="shared" si="63"/>
        <v>1.4E-2</v>
      </c>
      <c r="CE87" s="197">
        <f t="shared" si="63"/>
        <v>1.7000000000000001E-2</v>
      </c>
      <c r="CF87" s="197">
        <f t="shared" si="64"/>
        <v>4.7E-2</v>
      </c>
      <c r="CG87" s="197">
        <f t="shared" si="65"/>
        <v>1.4999999999999999E-2</v>
      </c>
      <c r="CH87" s="197"/>
      <c r="CI87" s="197"/>
      <c r="CJ87" s="197"/>
      <c r="CK87" s="197"/>
      <c r="CL87" s="197"/>
      <c r="CM87" s="197"/>
      <c r="CN87" s="197"/>
      <c r="CO87" s="197"/>
      <c r="CP87" s="197"/>
      <c r="CQ87" s="197"/>
      <c r="CR87" s="197"/>
      <c r="CS87" s="197"/>
      <c r="CT87" s="197"/>
      <c r="CU87" s="634"/>
    </row>
    <row r="88" spans="1:99">
      <c r="C88">
        <v>6</v>
      </c>
      <c r="D88" s="209" t="s">
        <v>57</v>
      </c>
      <c r="E88" s="633">
        <f t="shared" si="48"/>
        <v>4.9000000000000002E-2</v>
      </c>
      <c r="F88" s="197">
        <f t="shared" si="48"/>
        <v>4.9000000000000002E-2</v>
      </c>
      <c r="G88" s="197">
        <f t="shared" si="48"/>
        <v>4.1999999999999996E-2</v>
      </c>
      <c r="H88" s="197">
        <f t="shared" si="48"/>
        <v>0.13999999999999999</v>
      </c>
      <c r="I88" s="197">
        <f t="shared" si="48"/>
        <v>4.4999999999999998E-2</v>
      </c>
      <c r="J88" s="197">
        <f t="shared" si="48"/>
        <v>4.7E-2</v>
      </c>
      <c r="K88" s="197">
        <f t="shared" si="48"/>
        <v>4.1999999999999996E-2</v>
      </c>
      <c r="L88" s="197">
        <f t="shared" si="48"/>
        <v>0.13400000000000001</v>
      </c>
      <c r="M88" s="197">
        <f t="shared" si="48"/>
        <v>0.27399999999999997</v>
      </c>
      <c r="N88" s="197">
        <f t="shared" si="48"/>
        <v>4.2999999999999997E-2</v>
      </c>
      <c r="O88" s="197">
        <f t="shared" si="48"/>
        <v>4.7E-2</v>
      </c>
      <c r="P88" s="197">
        <f t="shared" si="48"/>
        <v>4.5999999999999999E-2</v>
      </c>
      <c r="Q88" s="197">
        <f t="shared" si="48"/>
        <v>0.13599999999999998</v>
      </c>
      <c r="R88" s="197">
        <f t="shared" si="48"/>
        <v>0.41</v>
      </c>
      <c r="S88" s="197">
        <f t="shared" si="48"/>
        <v>4.3999999999999997E-2</v>
      </c>
      <c r="T88" s="197">
        <f t="shared" si="48"/>
        <v>4.2000000000000003E-2</v>
      </c>
      <c r="U88" s="197">
        <f t="shared" si="48"/>
        <v>4.1999999999999996E-2</v>
      </c>
      <c r="V88" s="197">
        <f t="shared" si="48"/>
        <v>0.128</v>
      </c>
      <c r="W88" s="634">
        <f t="shared" si="48"/>
        <v>0.53799999999999992</v>
      </c>
      <c r="X88" s="633">
        <f t="shared" ref="X88:BH88" si="67">X50+X69</f>
        <v>4.2000000000000003E-2</v>
      </c>
      <c r="Y88" s="197">
        <f t="shared" si="67"/>
        <v>4.2000000000000003E-2</v>
      </c>
      <c r="Z88" s="197">
        <f t="shared" si="67"/>
        <v>0.04</v>
      </c>
      <c r="AA88" s="197">
        <f t="shared" si="67"/>
        <v>0.12400000000000001</v>
      </c>
      <c r="AB88" s="197">
        <f t="shared" si="67"/>
        <v>3.8000000000000006E-2</v>
      </c>
      <c r="AC88" s="197">
        <f t="shared" si="67"/>
        <v>4.1000000000000002E-2</v>
      </c>
      <c r="AD88" s="197">
        <f t="shared" si="67"/>
        <v>3.9E-2</v>
      </c>
      <c r="AE88" s="197">
        <f t="shared" si="67"/>
        <v>0.11800000000000001</v>
      </c>
      <c r="AF88" s="197">
        <f t="shared" si="67"/>
        <v>0.24200000000000002</v>
      </c>
      <c r="AG88" s="197">
        <f t="shared" si="67"/>
        <v>4.2000000000000003E-2</v>
      </c>
      <c r="AH88" s="197">
        <f t="shared" si="67"/>
        <v>3.7999999999999999E-2</v>
      </c>
      <c r="AI88" s="197">
        <f t="shared" si="67"/>
        <v>4.2000000000000003E-2</v>
      </c>
      <c r="AJ88" s="197">
        <f t="shared" si="67"/>
        <v>0.122</v>
      </c>
      <c r="AK88" s="197">
        <f t="shared" si="67"/>
        <v>0.36400000000000005</v>
      </c>
      <c r="AL88" s="197">
        <f t="shared" si="67"/>
        <v>3.7999999999999999E-2</v>
      </c>
      <c r="AM88" s="197">
        <f t="shared" si="67"/>
        <v>3.7999999999999999E-2</v>
      </c>
      <c r="AN88" s="197">
        <f t="shared" si="67"/>
        <v>4.2000000000000003E-2</v>
      </c>
      <c r="AO88" s="197">
        <f t="shared" si="67"/>
        <v>0.11799999999999999</v>
      </c>
      <c r="AP88" s="197">
        <f t="shared" si="67"/>
        <v>0.48200000000000004</v>
      </c>
      <c r="AQ88" s="633">
        <f t="shared" si="67"/>
        <v>3.6999999999999998E-2</v>
      </c>
      <c r="AR88" s="197">
        <f t="shared" si="67"/>
        <v>3.6999999999999998E-2</v>
      </c>
      <c r="AS88" s="197">
        <f t="shared" si="67"/>
        <v>3.7999999999999999E-2</v>
      </c>
      <c r="AT88" s="197">
        <f t="shared" si="67"/>
        <v>0.112</v>
      </c>
      <c r="AU88" s="197">
        <f t="shared" si="67"/>
        <v>0.04</v>
      </c>
      <c r="AV88" s="197">
        <f t="shared" si="67"/>
        <v>0.04</v>
      </c>
      <c r="AW88" s="197">
        <f t="shared" si="67"/>
        <v>3.9E-2</v>
      </c>
      <c r="AX88" s="197">
        <f t="shared" si="67"/>
        <v>0.11900000000000001</v>
      </c>
      <c r="AY88" s="197">
        <f t="shared" si="67"/>
        <v>0.23100000000000001</v>
      </c>
      <c r="AZ88" s="197">
        <f t="shared" si="67"/>
        <v>4.1000000000000002E-2</v>
      </c>
      <c r="BA88" s="197">
        <f t="shared" si="67"/>
        <v>0.123</v>
      </c>
      <c r="BB88" s="197">
        <f t="shared" si="67"/>
        <v>5.4999999999999993E-2</v>
      </c>
      <c r="BC88" s="197">
        <f t="shared" si="67"/>
        <v>0.21899999999999997</v>
      </c>
      <c r="BD88" s="197">
        <f t="shared" si="67"/>
        <v>0.45</v>
      </c>
      <c r="BE88" s="197">
        <f t="shared" si="67"/>
        <v>5.1999999999999998E-2</v>
      </c>
      <c r="BF88" s="197">
        <f t="shared" si="67"/>
        <v>4.9000000000000002E-2</v>
      </c>
      <c r="BG88" s="197">
        <f t="shared" si="67"/>
        <v>5.2000000000000005E-2</v>
      </c>
      <c r="BH88" s="197">
        <f t="shared" si="67"/>
        <v>0.153</v>
      </c>
      <c r="BI88" s="634">
        <f t="shared" si="51"/>
        <v>0.60299999999999998</v>
      </c>
      <c r="BJ88" s="197">
        <f t="shared" si="51"/>
        <v>4.7E-2</v>
      </c>
      <c r="BK88" s="197">
        <f t="shared" si="51"/>
        <v>4.7E-2</v>
      </c>
      <c r="BL88" s="197">
        <v>4.5999999999999999E-2</v>
      </c>
      <c r="BM88" s="197">
        <f t="shared" si="55"/>
        <v>0.14000000000000001</v>
      </c>
      <c r="BN88" s="197">
        <f t="shared" si="52"/>
        <v>4.8000000000000001E-2</v>
      </c>
      <c r="BO88" s="197">
        <f t="shared" si="52"/>
        <v>4.9000000000000002E-2</v>
      </c>
      <c r="BP88" s="197">
        <f t="shared" si="52"/>
        <v>0.05</v>
      </c>
      <c r="BQ88" s="197">
        <f t="shared" si="56"/>
        <v>0.14700000000000002</v>
      </c>
      <c r="BR88" s="197">
        <f t="shared" si="57"/>
        <v>0.28700000000000003</v>
      </c>
      <c r="BS88" s="197">
        <f t="shared" si="53"/>
        <v>5.1000000000000004E-2</v>
      </c>
      <c r="BT88" s="197">
        <f t="shared" si="53"/>
        <v>5.1000000000000004E-2</v>
      </c>
      <c r="BU88" s="197">
        <f t="shared" si="53"/>
        <v>5.3000000000000005E-2</v>
      </c>
      <c r="BV88" s="197">
        <f t="shared" si="58"/>
        <v>0.15500000000000003</v>
      </c>
      <c r="BW88" s="197">
        <f t="shared" si="59"/>
        <v>0.44200000000000006</v>
      </c>
      <c r="BX88" s="197">
        <f t="shared" si="60"/>
        <v>5.3999999999999999E-2</v>
      </c>
      <c r="BY88" s="197">
        <f t="shared" si="60"/>
        <v>4.8999999999999995E-2</v>
      </c>
      <c r="BZ88" s="197">
        <f t="shared" si="61"/>
        <v>5.2999999999999999E-2</v>
      </c>
      <c r="CA88" s="197">
        <f t="shared" si="62"/>
        <v>0.156</v>
      </c>
      <c r="CB88" s="634">
        <v>0.59899999999999998</v>
      </c>
      <c r="CC88" s="197">
        <f t="shared" si="63"/>
        <v>5.0999999999999997E-2</v>
      </c>
      <c r="CD88" s="197">
        <f t="shared" si="63"/>
        <v>5.1999999999999998E-2</v>
      </c>
      <c r="CE88" s="197">
        <f t="shared" si="63"/>
        <v>4.8000000000000001E-2</v>
      </c>
      <c r="CF88" s="197">
        <f t="shared" si="64"/>
        <v>0.151</v>
      </c>
      <c r="CG88" s="197">
        <f t="shared" si="65"/>
        <v>4.8000000000000001E-2</v>
      </c>
      <c r="CH88" s="197"/>
      <c r="CI88" s="197"/>
      <c r="CJ88" s="197"/>
      <c r="CK88" s="197"/>
      <c r="CL88" s="197"/>
      <c r="CM88" s="197"/>
      <c r="CN88" s="197"/>
      <c r="CO88" s="197"/>
      <c r="CP88" s="197"/>
      <c r="CQ88" s="197"/>
      <c r="CR88" s="197"/>
      <c r="CS88" s="197"/>
      <c r="CT88" s="197"/>
      <c r="CU88" s="634"/>
    </row>
    <row r="89" spans="1:99">
      <c r="A89" t="s">
        <v>842</v>
      </c>
      <c r="C89">
        <v>7</v>
      </c>
      <c r="D89" s="209" t="s">
        <v>58</v>
      </c>
      <c r="E89" s="633">
        <f t="shared" si="48"/>
        <v>7.0000000000000001E-3</v>
      </c>
      <c r="F89" s="197">
        <f t="shared" si="48"/>
        <v>0</v>
      </c>
      <c r="G89" s="197">
        <f t="shared" si="48"/>
        <v>1.6E-2</v>
      </c>
      <c r="H89" s="197">
        <f t="shared" si="48"/>
        <v>2.3E-2</v>
      </c>
      <c r="I89" s="197">
        <f t="shared" si="48"/>
        <v>3.1E-2</v>
      </c>
      <c r="J89" s="197">
        <f t="shared" si="48"/>
        <v>5.3999999999999999E-2</v>
      </c>
      <c r="K89" s="197">
        <f t="shared" si="48"/>
        <v>0.05</v>
      </c>
      <c r="L89" s="197">
        <f t="shared" si="48"/>
        <v>0.13500000000000001</v>
      </c>
      <c r="M89" s="197">
        <f t="shared" si="48"/>
        <v>0.158</v>
      </c>
      <c r="N89" s="197">
        <f t="shared" si="48"/>
        <v>5.6000000000000001E-2</v>
      </c>
      <c r="O89" s="197">
        <f t="shared" si="48"/>
        <v>3.4000000000000002E-2</v>
      </c>
      <c r="P89" s="197">
        <f t="shared" si="48"/>
        <v>1.6E-2</v>
      </c>
      <c r="Q89" s="197">
        <f t="shared" si="48"/>
        <v>0.106</v>
      </c>
      <c r="R89" s="197">
        <f t="shared" si="48"/>
        <v>0.26400000000000001</v>
      </c>
      <c r="S89" s="197">
        <f t="shared" si="48"/>
        <v>4.4000000000000004E-2</v>
      </c>
      <c r="T89" s="197">
        <f t="shared" si="48"/>
        <v>3.4000000000000002E-2</v>
      </c>
      <c r="U89" s="197">
        <f t="shared" si="48"/>
        <v>2.7000000000000003E-2</v>
      </c>
      <c r="V89" s="197">
        <f t="shared" si="48"/>
        <v>0.10500000000000001</v>
      </c>
      <c r="W89" s="634">
        <f t="shared" si="48"/>
        <v>0.36899999999999999</v>
      </c>
      <c r="X89" s="633">
        <f t="shared" ref="X89:BH89" si="68">X51+X70</f>
        <v>4.5000000000000005E-2</v>
      </c>
      <c r="Y89" s="197">
        <f t="shared" si="68"/>
        <v>0.03</v>
      </c>
      <c r="Z89" s="197">
        <f t="shared" si="68"/>
        <v>0.04</v>
      </c>
      <c r="AA89" s="197">
        <f t="shared" si="68"/>
        <v>0.11500000000000002</v>
      </c>
      <c r="AB89" s="197">
        <f t="shared" si="68"/>
        <v>4.7E-2</v>
      </c>
      <c r="AC89" s="197">
        <f t="shared" si="68"/>
        <v>4.4999999999999998E-2</v>
      </c>
      <c r="AD89" s="197">
        <f t="shared" si="68"/>
        <v>3.1E-2</v>
      </c>
      <c r="AE89" s="197">
        <f t="shared" si="68"/>
        <v>0.12299999999999998</v>
      </c>
      <c r="AF89" s="197">
        <f t="shared" si="68"/>
        <v>0.23799999999999999</v>
      </c>
      <c r="AG89" s="197">
        <f t="shared" si="68"/>
        <v>0</v>
      </c>
      <c r="AH89" s="197">
        <f t="shared" si="68"/>
        <v>2.6000000000000002E-2</v>
      </c>
      <c r="AI89" s="197">
        <f t="shared" si="68"/>
        <v>4.3999999999999997E-2</v>
      </c>
      <c r="AJ89" s="197">
        <f t="shared" si="68"/>
        <v>7.0000000000000007E-2</v>
      </c>
      <c r="AK89" s="197">
        <f t="shared" si="68"/>
        <v>0.30800000000000005</v>
      </c>
      <c r="AL89" s="197">
        <f t="shared" si="68"/>
        <v>0.04</v>
      </c>
      <c r="AM89" s="197">
        <f t="shared" si="68"/>
        <v>3.7999999999999999E-2</v>
      </c>
      <c r="AN89" s="197">
        <f t="shared" si="68"/>
        <v>3.3000000000000002E-2</v>
      </c>
      <c r="AO89" s="197">
        <f t="shared" si="68"/>
        <v>0.11099999999999999</v>
      </c>
      <c r="AP89" s="197">
        <f t="shared" si="68"/>
        <v>0.41900000000000004</v>
      </c>
      <c r="AQ89" s="633">
        <f t="shared" si="68"/>
        <v>2.2000000000000002E-2</v>
      </c>
      <c r="AR89" s="197">
        <f t="shared" si="68"/>
        <v>3.5000000000000003E-2</v>
      </c>
      <c r="AS89" s="197">
        <f t="shared" si="68"/>
        <v>2.8999999999999998E-2</v>
      </c>
      <c r="AT89" s="197">
        <f t="shared" si="68"/>
        <v>8.6000000000000007E-2</v>
      </c>
      <c r="AU89" s="197">
        <f t="shared" si="68"/>
        <v>3.3000000000000002E-2</v>
      </c>
      <c r="AV89" s="197">
        <f t="shared" si="68"/>
        <v>4.1000000000000002E-2</v>
      </c>
      <c r="AW89" s="197">
        <f t="shared" si="68"/>
        <v>3.3000000000000002E-2</v>
      </c>
      <c r="AX89" s="197">
        <f t="shared" si="68"/>
        <v>0.10700000000000001</v>
      </c>
      <c r="AY89" s="197">
        <f t="shared" si="68"/>
        <v>0.193</v>
      </c>
      <c r="AZ89" s="197">
        <f t="shared" si="68"/>
        <v>0.03</v>
      </c>
      <c r="BA89" s="197">
        <f t="shared" si="68"/>
        <v>0.03</v>
      </c>
      <c r="BB89" s="197">
        <f t="shared" si="68"/>
        <v>4.2000000000000003E-2</v>
      </c>
      <c r="BC89" s="197">
        <f t="shared" si="68"/>
        <v>0.10200000000000001</v>
      </c>
      <c r="BD89" s="197">
        <f t="shared" si="68"/>
        <v>0.29500000000000004</v>
      </c>
      <c r="BE89" s="197">
        <f t="shared" si="68"/>
        <v>3.7000000000000005E-2</v>
      </c>
      <c r="BF89" s="197">
        <f t="shared" si="68"/>
        <v>2.7000000000000003E-2</v>
      </c>
      <c r="BG89" s="197">
        <f t="shared" si="68"/>
        <v>3.4000000000000002E-2</v>
      </c>
      <c r="BH89" s="197">
        <f t="shared" si="68"/>
        <v>9.8000000000000004E-2</v>
      </c>
      <c r="BI89" s="634">
        <f t="shared" si="51"/>
        <v>0.39300000000000002</v>
      </c>
      <c r="BJ89" s="197">
        <f t="shared" si="51"/>
        <v>3.4000000000000002E-2</v>
      </c>
      <c r="BK89" s="197">
        <f t="shared" si="51"/>
        <v>3.8000000000000006E-2</v>
      </c>
      <c r="BL89" s="197">
        <v>4.0999999999999995E-2</v>
      </c>
      <c r="BM89" s="197">
        <f t="shared" si="55"/>
        <v>0.113</v>
      </c>
      <c r="BN89" s="197">
        <f t="shared" si="52"/>
        <v>4.0999999999999995E-2</v>
      </c>
      <c r="BO89" s="197">
        <f t="shared" si="52"/>
        <v>0.04</v>
      </c>
      <c r="BP89" s="197">
        <f t="shared" si="52"/>
        <v>3.9000000000000007E-2</v>
      </c>
      <c r="BQ89" s="197">
        <f t="shared" si="56"/>
        <v>0.12</v>
      </c>
      <c r="BR89" s="197">
        <f t="shared" si="57"/>
        <v>0.23299999999999998</v>
      </c>
      <c r="BS89" s="197">
        <f t="shared" si="53"/>
        <v>4.2999999999999997E-2</v>
      </c>
      <c r="BT89" s="197">
        <f t="shared" si="53"/>
        <v>2.4E-2</v>
      </c>
      <c r="BU89" s="197">
        <f t="shared" si="53"/>
        <v>0</v>
      </c>
      <c r="BV89" s="197">
        <f t="shared" si="58"/>
        <v>6.7000000000000004E-2</v>
      </c>
      <c r="BW89" s="197">
        <f t="shared" si="59"/>
        <v>0.3</v>
      </c>
      <c r="BX89" s="197">
        <f t="shared" si="60"/>
        <v>5.0000000000000001E-3</v>
      </c>
      <c r="BY89" s="197">
        <f t="shared" si="60"/>
        <v>3.6000000000000004E-2</v>
      </c>
      <c r="BZ89" s="197">
        <f t="shared" si="61"/>
        <v>4.5999999999999999E-2</v>
      </c>
      <c r="CA89" s="197">
        <f t="shared" si="62"/>
        <v>8.6999999999999994E-2</v>
      </c>
      <c r="CB89" s="634">
        <v>0.38700000000000001</v>
      </c>
      <c r="CC89" s="197">
        <f t="shared" si="63"/>
        <v>4.7E-2</v>
      </c>
      <c r="CD89" s="197">
        <f t="shared" si="63"/>
        <v>3.9E-2</v>
      </c>
      <c r="CE89" s="197">
        <f t="shared" si="63"/>
        <v>4.2999999999999997E-2</v>
      </c>
      <c r="CF89" s="197">
        <f t="shared" si="64"/>
        <v>0.129</v>
      </c>
      <c r="CG89" s="197">
        <f t="shared" si="65"/>
        <v>3.7000000000000005E-2</v>
      </c>
      <c r="CH89" s="197"/>
      <c r="CI89" s="197"/>
      <c r="CJ89" s="197"/>
      <c r="CK89" s="197"/>
      <c r="CL89" s="197"/>
      <c r="CM89" s="197"/>
      <c r="CN89" s="197"/>
      <c r="CO89" s="197"/>
      <c r="CP89" s="197"/>
      <c r="CQ89" s="197"/>
      <c r="CR89" s="197"/>
      <c r="CS89" s="197"/>
      <c r="CT89" s="197"/>
      <c r="CU89" s="634"/>
    </row>
    <row r="90" spans="1:99">
      <c r="C90">
        <v>8</v>
      </c>
      <c r="D90" s="209" t="s">
        <v>59</v>
      </c>
      <c r="E90" s="633">
        <f t="shared" si="48"/>
        <v>6.0000000000000001E-3</v>
      </c>
      <c r="F90" s="197">
        <f t="shared" si="48"/>
        <v>6.0000000000000001E-3</v>
      </c>
      <c r="G90" s="197">
        <f t="shared" si="48"/>
        <v>6.0000000000000001E-3</v>
      </c>
      <c r="H90" s="197">
        <f t="shared" si="48"/>
        <v>1.8000000000000002E-2</v>
      </c>
      <c r="I90" s="197">
        <f t="shared" si="48"/>
        <v>8.0000000000000002E-3</v>
      </c>
      <c r="J90" s="197">
        <f t="shared" si="48"/>
        <v>6.0000000000000001E-3</v>
      </c>
      <c r="K90" s="197">
        <f t="shared" si="48"/>
        <v>7.0000000000000001E-3</v>
      </c>
      <c r="L90" s="197">
        <f t="shared" si="48"/>
        <v>2.1000000000000001E-2</v>
      </c>
      <c r="M90" s="197">
        <f t="shared" si="48"/>
        <v>3.9000000000000007E-2</v>
      </c>
      <c r="N90" s="197">
        <f t="shared" si="48"/>
        <v>7.0000000000000001E-3</v>
      </c>
      <c r="O90" s="197">
        <f t="shared" si="48"/>
        <v>6.0000000000000001E-3</v>
      </c>
      <c r="P90" s="197">
        <f t="shared" si="48"/>
        <v>8.0000000000000002E-3</v>
      </c>
      <c r="Q90" s="197">
        <f t="shared" si="48"/>
        <v>2.1000000000000001E-2</v>
      </c>
      <c r="R90" s="197">
        <f t="shared" si="48"/>
        <v>6.0000000000000012E-2</v>
      </c>
      <c r="S90" s="197">
        <f t="shared" si="48"/>
        <v>7.0000000000000001E-3</v>
      </c>
      <c r="T90" s="197">
        <f t="shared" si="48"/>
        <v>6.0000000000000001E-3</v>
      </c>
      <c r="U90" s="197">
        <f t="shared" si="48"/>
        <v>6.0000000000000001E-3</v>
      </c>
      <c r="V90" s="197">
        <f t="shared" si="48"/>
        <v>1.9000000000000003E-2</v>
      </c>
      <c r="W90" s="634">
        <f t="shared" si="48"/>
        <v>7.9000000000000015E-2</v>
      </c>
      <c r="X90" s="633">
        <f t="shared" ref="X90:BH90" si="69">X52+X71</f>
        <v>7.0000000000000001E-3</v>
      </c>
      <c r="Y90" s="197">
        <f t="shared" si="69"/>
        <v>7.0000000000000001E-3</v>
      </c>
      <c r="Z90" s="197">
        <f t="shared" si="69"/>
        <v>7.0000000000000001E-3</v>
      </c>
      <c r="AA90" s="197">
        <f t="shared" si="69"/>
        <v>2.1000000000000001E-2</v>
      </c>
      <c r="AB90" s="197">
        <f t="shared" si="69"/>
        <v>7.0000000000000001E-3</v>
      </c>
      <c r="AC90" s="197">
        <f t="shared" si="69"/>
        <v>8.0000000000000002E-3</v>
      </c>
      <c r="AD90" s="197">
        <f t="shared" si="69"/>
        <v>6.0000000000000001E-3</v>
      </c>
      <c r="AE90" s="197">
        <f t="shared" si="69"/>
        <v>2.1000000000000001E-2</v>
      </c>
      <c r="AF90" s="197">
        <f t="shared" si="69"/>
        <v>4.2000000000000003E-2</v>
      </c>
      <c r="AG90" s="197">
        <f t="shared" si="69"/>
        <v>8.0000000000000002E-3</v>
      </c>
      <c r="AH90" s="197">
        <f t="shared" si="69"/>
        <v>7.0000000000000001E-3</v>
      </c>
      <c r="AI90" s="197">
        <f t="shared" si="69"/>
        <v>8.0000000000000002E-3</v>
      </c>
      <c r="AJ90" s="197">
        <f t="shared" si="69"/>
        <v>2.3E-2</v>
      </c>
      <c r="AK90" s="197">
        <f t="shared" si="69"/>
        <v>6.5000000000000002E-2</v>
      </c>
      <c r="AL90" s="197">
        <f t="shared" si="69"/>
        <v>8.0000000000000002E-3</v>
      </c>
      <c r="AM90" s="197">
        <f t="shared" si="69"/>
        <v>8.0000000000000002E-3</v>
      </c>
      <c r="AN90" s="197">
        <f t="shared" si="69"/>
        <v>8.0000000000000002E-3</v>
      </c>
      <c r="AO90" s="197">
        <f t="shared" si="69"/>
        <v>2.4E-2</v>
      </c>
      <c r="AP90" s="197">
        <f t="shared" si="69"/>
        <v>8.8999999999999996E-2</v>
      </c>
      <c r="AQ90" s="633">
        <f t="shared" si="69"/>
        <v>8.9999999999999993E-3</v>
      </c>
      <c r="AR90" s="197">
        <f t="shared" si="69"/>
        <v>8.9999999999999993E-3</v>
      </c>
      <c r="AS90" s="197">
        <f t="shared" si="69"/>
        <v>1.0999999999999999E-2</v>
      </c>
      <c r="AT90" s="197">
        <f t="shared" si="69"/>
        <v>2.8999999999999998E-2</v>
      </c>
      <c r="AU90" s="197">
        <f t="shared" si="69"/>
        <v>8.9999999999999993E-3</v>
      </c>
      <c r="AV90" s="197">
        <f t="shared" si="69"/>
        <v>0.01</v>
      </c>
      <c r="AW90" s="197">
        <f t="shared" si="69"/>
        <v>9.0000000000000011E-3</v>
      </c>
      <c r="AX90" s="197">
        <f t="shared" si="69"/>
        <v>2.8000000000000001E-2</v>
      </c>
      <c r="AY90" s="197">
        <f t="shared" si="69"/>
        <v>5.6999999999999995E-2</v>
      </c>
      <c r="AZ90" s="197">
        <f t="shared" si="69"/>
        <v>0.01</v>
      </c>
      <c r="BA90" s="197">
        <f t="shared" si="69"/>
        <v>9.9999999999999985E-3</v>
      </c>
      <c r="BB90" s="197">
        <f t="shared" si="69"/>
        <v>8.9999999999999993E-3</v>
      </c>
      <c r="BC90" s="197">
        <f t="shared" si="69"/>
        <v>2.8999999999999998E-2</v>
      </c>
      <c r="BD90" s="197">
        <f t="shared" si="69"/>
        <v>8.5999999999999993E-2</v>
      </c>
      <c r="BE90" s="197">
        <f t="shared" si="69"/>
        <v>1.0999999999999999E-2</v>
      </c>
      <c r="BF90" s="197">
        <f t="shared" si="69"/>
        <v>8.9999999999999993E-3</v>
      </c>
      <c r="BG90" s="197">
        <f t="shared" si="69"/>
        <v>0.01</v>
      </c>
      <c r="BH90" s="197">
        <f t="shared" si="69"/>
        <v>0.03</v>
      </c>
      <c r="BI90" s="634">
        <f t="shared" si="51"/>
        <v>0.11599999999999999</v>
      </c>
      <c r="BJ90" s="197">
        <f t="shared" si="51"/>
        <v>1.0999999999999999E-2</v>
      </c>
      <c r="BK90" s="197">
        <f t="shared" si="51"/>
        <v>1.0999999999999999E-2</v>
      </c>
      <c r="BL90" s="197">
        <v>1.0999999999999999E-2</v>
      </c>
      <c r="BM90" s="197">
        <f t="shared" si="55"/>
        <v>3.3000000000000002E-2</v>
      </c>
      <c r="BN90" s="197">
        <f t="shared" si="52"/>
        <v>1.0999999999999999E-2</v>
      </c>
      <c r="BO90" s="197">
        <f t="shared" si="52"/>
        <v>1.0999999999999999E-2</v>
      </c>
      <c r="BP90" s="197">
        <f t="shared" si="52"/>
        <v>1.0999999999999999E-2</v>
      </c>
      <c r="BQ90" s="197">
        <f t="shared" si="56"/>
        <v>3.3000000000000002E-2</v>
      </c>
      <c r="BR90" s="197">
        <f t="shared" si="57"/>
        <v>6.6000000000000003E-2</v>
      </c>
      <c r="BS90" s="197">
        <f t="shared" si="53"/>
        <v>1.3000000000000001E-2</v>
      </c>
      <c r="BT90" s="197">
        <f t="shared" si="53"/>
        <v>1.3000000000000001E-2</v>
      </c>
      <c r="BU90" s="197">
        <f t="shared" si="53"/>
        <v>1.0999999999999999E-2</v>
      </c>
      <c r="BV90" s="197">
        <f t="shared" si="58"/>
        <v>3.7000000000000005E-2</v>
      </c>
      <c r="BW90" s="197">
        <f t="shared" si="59"/>
        <v>0.10300000000000001</v>
      </c>
      <c r="BX90" s="197">
        <f t="shared" si="60"/>
        <v>0.01</v>
      </c>
      <c r="BY90" s="197">
        <f t="shared" si="60"/>
        <v>0.01</v>
      </c>
      <c r="BZ90" s="197">
        <f t="shared" si="61"/>
        <v>1.0999999999999999E-2</v>
      </c>
      <c r="CA90" s="197">
        <f t="shared" si="62"/>
        <v>3.1E-2</v>
      </c>
      <c r="CB90" s="634">
        <v>0.13300000000000001</v>
      </c>
      <c r="CC90" s="197">
        <f t="shared" si="63"/>
        <v>0.01</v>
      </c>
      <c r="CD90" s="197">
        <f t="shared" si="63"/>
        <v>0.01</v>
      </c>
      <c r="CE90" s="197">
        <f t="shared" si="63"/>
        <v>1.2E-2</v>
      </c>
      <c r="CF90" s="197">
        <f t="shared" si="64"/>
        <v>3.2000000000000001E-2</v>
      </c>
      <c r="CG90" s="197">
        <f t="shared" si="65"/>
        <v>1.0999999999999999E-2</v>
      </c>
      <c r="CH90" s="197"/>
      <c r="CI90" s="197"/>
      <c r="CJ90" s="197"/>
      <c r="CK90" s="197"/>
      <c r="CL90" s="197"/>
      <c r="CM90" s="197"/>
      <c r="CN90" s="197"/>
      <c r="CO90" s="197"/>
      <c r="CP90" s="197"/>
      <c r="CQ90" s="197"/>
      <c r="CR90" s="197"/>
      <c r="CS90" s="197"/>
      <c r="CT90" s="197"/>
      <c r="CU90" s="634"/>
    </row>
    <row r="91" spans="1:99">
      <c r="C91">
        <v>9</v>
      </c>
      <c r="D91" s="209" t="s">
        <v>63</v>
      </c>
      <c r="E91" s="633">
        <f t="shared" si="48"/>
        <v>5.8000000000000003E-2</v>
      </c>
      <c r="F91" s="197">
        <f t="shared" si="48"/>
        <v>5.8000000000000003E-2</v>
      </c>
      <c r="G91" s="197">
        <f t="shared" si="48"/>
        <v>5.8000000000000003E-2</v>
      </c>
      <c r="H91" s="197">
        <f t="shared" si="48"/>
        <v>0.17400000000000002</v>
      </c>
      <c r="I91" s="197">
        <f t="shared" si="48"/>
        <v>4.7E-2</v>
      </c>
      <c r="J91" s="197">
        <f t="shared" si="48"/>
        <v>6.0999999999999999E-2</v>
      </c>
      <c r="K91" s="197">
        <f t="shared" si="48"/>
        <v>5.5E-2</v>
      </c>
      <c r="L91" s="197">
        <f t="shared" si="48"/>
        <v>0.16300000000000001</v>
      </c>
      <c r="M91" s="197">
        <f t="shared" si="48"/>
        <v>0.33700000000000002</v>
      </c>
      <c r="N91" s="197">
        <f t="shared" si="48"/>
        <v>5.2999999999999999E-2</v>
      </c>
      <c r="O91" s="197">
        <f t="shared" si="48"/>
        <v>6.4000000000000001E-2</v>
      </c>
      <c r="P91" s="197">
        <f t="shared" si="48"/>
        <v>5.8999999999999997E-2</v>
      </c>
      <c r="Q91" s="197">
        <f t="shared" si="48"/>
        <v>0.17599999999999999</v>
      </c>
      <c r="R91" s="197">
        <f t="shared" si="48"/>
        <v>0.51300000000000001</v>
      </c>
      <c r="S91" s="197">
        <f t="shared" si="48"/>
        <v>5.3999999999999999E-2</v>
      </c>
      <c r="T91" s="197">
        <f t="shared" si="48"/>
        <v>4.8000000000000001E-2</v>
      </c>
      <c r="U91" s="197">
        <f t="shared" si="48"/>
        <v>0.04</v>
      </c>
      <c r="V91" s="197">
        <f t="shared" si="48"/>
        <v>0.14200000000000002</v>
      </c>
      <c r="W91" s="634">
        <f t="shared" si="48"/>
        <v>0.65500000000000003</v>
      </c>
      <c r="X91" s="633">
        <f t="shared" ref="X91:BH91" si="70">X53+X72</f>
        <v>5.0999999999999997E-2</v>
      </c>
      <c r="Y91" s="197">
        <f t="shared" si="70"/>
        <v>5.0999999999999997E-2</v>
      </c>
      <c r="Z91" s="197">
        <f t="shared" si="70"/>
        <v>5.0999999999999997E-2</v>
      </c>
      <c r="AA91" s="197">
        <f t="shared" si="70"/>
        <v>0.153</v>
      </c>
      <c r="AB91" s="197">
        <f t="shared" si="70"/>
        <v>5.0999999999999997E-2</v>
      </c>
      <c r="AC91" s="197">
        <f t="shared" si="70"/>
        <v>0.05</v>
      </c>
      <c r="AD91" s="197">
        <f t="shared" si="70"/>
        <v>4.7E-2</v>
      </c>
      <c r="AE91" s="197">
        <f t="shared" si="70"/>
        <v>0.14800000000000002</v>
      </c>
      <c r="AF91" s="197">
        <f t="shared" si="70"/>
        <v>0.30100000000000005</v>
      </c>
      <c r="AG91" s="197">
        <f t="shared" si="70"/>
        <v>6.7000000000000004E-2</v>
      </c>
      <c r="AH91" s="197">
        <f t="shared" si="70"/>
        <v>6.4000000000000001E-2</v>
      </c>
      <c r="AI91" s="197">
        <f t="shared" si="70"/>
        <v>6.6000000000000003E-2</v>
      </c>
      <c r="AJ91" s="197">
        <f t="shared" si="70"/>
        <v>0.19700000000000001</v>
      </c>
      <c r="AK91" s="197">
        <f t="shared" si="70"/>
        <v>0.49800000000000005</v>
      </c>
      <c r="AL91" s="197">
        <f t="shared" si="70"/>
        <v>5.1999999999999998E-2</v>
      </c>
      <c r="AM91" s="197">
        <f t="shared" si="70"/>
        <v>6.2E-2</v>
      </c>
      <c r="AN91" s="197">
        <f t="shared" si="70"/>
        <v>4.9000000000000002E-2</v>
      </c>
      <c r="AO91" s="197">
        <f t="shared" si="70"/>
        <v>0.16299999999999998</v>
      </c>
      <c r="AP91" s="197">
        <f t="shared" si="70"/>
        <v>0.66100000000000003</v>
      </c>
      <c r="AQ91" s="633">
        <f t="shared" si="70"/>
        <v>7.9000000000000001E-2</v>
      </c>
      <c r="AR91" s="197">
        <f t="shared" si="70"/>
        <v>7.0999999999999994E-2</v>
      </c>
      <c r="AS91" s="197">
        <f t="shared" si="70"/>
        <v>7.8E-2</v>
      </c>
      <c r="AT91" s="197">
        <f t="shared" si="70"/>
        <v>0.22799999999999998</v>
      </c>
      <c r="AU91" s="197">
        <f t="shared" si="70"/>
        <v>7.6999999999999999E-2</v>
      </c>
      <c r="AV91" s="197">
        <f t="shared" si="70"/>
        <v>7.3999999999999996E-2</v>
      </c>
      <c r="AW91" s="197">
        <f t="shared" si="70"/>
        <v>7.3999999999999996E-2</v>
      </c>
      <c r="AX91" s="197">
        <f t="shared" si="70"/>
        <v>0.22499999999999998</v>
      </c>
      <c r="AY91" s="197">
        <f t="shared" si="70"/>
        <v>0.45299999999999996</v>
      </c>
      <c r="AZ91" s="197">
        <f t="shared" si="70"/>
        <v>6.8000000000000005E-2</v>
      </c>
      <c r="BA91" s="197">
        <f t="shared" si="70"/>
        <v>6.4000000000000001E-2</v>
      </c>
      <c r="BB91" s="197">
        <f t="shared" si="70"/>
        <v>5.6000000000000001E-2</v>
      </c>
      <c r="BC91" s="197">
        <f t="shared" si="70"/>
        <v>0.188</v>
      </c>
      <c r="BD91" s="197">
        <f t="shared" si="70"/>
        <v>0.6409999999999999</v>
      </c>
      <c r="BE91" s="197">
        <f t="shared" si="70"/>
        <v>7.0000000000000007E-2</v>
      </c>
      <c r="BF91" s="197">
        <f t="shared" si="70"/>
        <v>5.7000000000000002E-2</v>
      </c>
      <c r="BG91" s="197">
        <f t="shared" si="70"/>
        <v>6.0999999999999999E-2</v>
      </c>
      <c r="BH91" s="197">
        <f t="shared" si="70"/>
        <v>0.188</v>
      </c>
      <c r="BI91" s="634">
        <f t="shared" si="51"/>
        <v>0.82899999999999985</v>
      </c>
      <c r="BJ91" s="197">
        <f t="shared" si="51"/>
        <v>7.0999999999999994E-2</v>
      </c>
      <c r="BK91" s="197">
        <f t="shared" si="51"/>
        <v>5.8000000000000003E-2</v>
      </c>
      <c r="BL91" s="197">
        <v>4.7E-2</v>
      </c>
      <c r="BM91" s="197">
        <f t="shared" si="55"/>
        <v>0.17599999999999999</v>
      </c>
      <c r="BN91" s="197">
        <f t="shared" si="52"/>
        <v>7.0000000000000007E-2</v>
      </c>
      <c r="BO91" s="197">
        <f t="shared" si="52"/>
        <v>7.0000000000000007E-2</v>
      </c>
      <c r="BP91" s="197">
        <f t="shared" si="52"/>
        <v>6.6000000000000003E-2</v>
      </c>
      <c r="BQ91" s="197">
        <f t="shared" si="56"/>
        <v>0.20600000000000002</v>
      </c>
      <c r="BR91" s="197">
        <f t="shared" si="57"/>
        <v>0.38200000000000001</v>
      </c>
      <c r="BS91" s="197">
        <f t="shared" si="53"/>
        <v>0.06</v>
      </c>
      <c r="BT91" s="197">
        <f t="shared" si="53"/>
        <v>5.2999999999999999E-2</v>
      </c>
      <c r="BU91" s="197">
        <f t="shared" si="53"/>
        <v>6.7000000000000004E-2</v>
      </c>
      <c r="BV91" s="197">
        <f t="shared" si="58"/>
        <v>0.18</v>
      </c>
      <c r="BW91" s="197">
        <f t="shared" si="59"/>
        <v>0.56200000000000006</v>
      </c>
      <c r="BX91" s="197">
        <f t="shared" si="60"/>
        <v>6.6000000000000003E-2</v>
      </c>
      <c r="BY91" s="197">
        <f t="shared" si="60"/>
        <v>4.2000000000000003E-2</v>
      </c>
      <c r="BZ91" s="197">
        <f t="shared" si="61"/>
        <v>6.6000000000000003E-2</v>
      </c>
      <c r="CA91" s="197">
        <f t="shared" si="62"/>
        <v>0.17400000000000002</v>
      </c>
      <c r="CB91" s="634">
        <v>0.73599999999999999</v>
      </c>
      <c r="CC91" s="197">
        <f t="shared" si="63"/>
        <v>5.1999999999999998E-2</v>
      </c>
      <c r="CD91" s="197">
        <f t="shared" si="63"/>
        <v>6.4000000000000001E-2</v>
      </c>
      <c r="CE91" s="197">
        <f t="shared" si="63"/>
        <v>6.0999999999999999E-2</v>
      </c>
      <c r="CF91" s="197">
        <f t="shared" si="64"/>
        <v>0.17699999999999999</v>
      </c>
      <c r="CG91" s="197">
        <f t="shared" si="65"/>
        <v>6.8000000000000005E-2</v>
      </c>
      <c r="CH91" s="197"/>
      <c r="CI91" s="197"/>
      <c r="CJ91" s="197"/>
      <c r="CK91" s="197"/>
      <c r="CL91" s="197"/>
      <c r="CM91" s="197"/>
      <c r="CN91" s="197"/>
      <c r="CO91" s="197"/>
      <c r="CP91" s="197"/>
      <c r="CQ91" s="197"/>
      <c r="CR91" s="197"/>
      <c r="CS91" s="197"/>
      <c r="CT91" s="197"/>
      <c r="CU91" s="634"/>
    </row>
    <row r="92" spans="1:99">
      <c r="C92">
        <v>10</v>
      </c>
      <c r="D92" s="209" t="s">
        <v>64</v>
      </c>
      <c r="E92" s="633">
        <f t="shared" si="48"/>
        <v>7.0000000000000001E-3</v>
      </c>
      <c r="F92" s="197">
        <f t="shared" si="48"/>
        <v>6.0000000000000001E-3</v>
      </c>
      <c r="G92" s="197">
        <f t="shared" si="48"/>
        <v>7.0000000000000001E-3</v>
      </c>
      <c r="H92" s="197">
        <f t="shared" si="48"/>
        <v>2.0000000000000004E-2</v>
      </c>
      <c r="I92" s="197">
        <f t="shared" si="48"/>
        <v>6.0000000000000001E-3</v>
      </c>
      <c r="J92" s="197">
        <f t="shared" si="48"/>
        <v>6.0000000000000001E-3</v>
      </c>
      <c r="K92" s="197">
        <f t="shared" si="48"/>
        <v>5.0000000000000001E-3</v>
      </c>
      <c r="L92" s="197">
        <f t="shared" si="48"/>
        <v>1.7000000000000001E-2</v>
      </c>
      <c r="M92" s="197">
        <f t="shared" si="48"/>
        <v>3.7000000000000005E-2</v>
      </c>
      <c r="N92" s="197">
        <f t="shared" si="48"/>
        <v>5.0000000000000001E-3</v>
      </c>
      <c r="O92" s="197">
        <f t="shared" si="48"/>
        <v>6.0000000000000001E-3</v>
      </c>
      <c r="P92" s="197">
        <f t="shared" si="48"/>
        <v>4.0000000000000001E-3</v>
      </c>
      <c r="Q92" s="197">
        <f t="shared" si="48"/>
        <v>1.5000000000000001E-2</v>
      </c>
      <c r="R92" s="197">
        <f t="shared" si="48"/>
        <v>5.1999999999999998E-2</v>
      </c>
      <c r="S92" s="197">
        <f t="shared" si="48"/>
        <v>5.0000000000000001E-3</v>
      </c>
      <c r="T92" s="197">
        <f t="shared" si="48"/>
        <v>4.0000000000000001E-3</v>
      </c>
      <c r="U92" s="197">
        <f t="shared" si="48"/>
        <v>4.0000000000000001E-3</v>
      </c>
      <c r="V92" s="197">
        <f t="shared" si="48"/>
        <v>1.2999999999999999E-2</v>
      </c>
      <c r="W92" s="634">
        <f t="shared" si="48"/>
        <v>6.5000000000000002E-2</v>
      </c>
      <c r="X92" s="633">
        <f t="shared" ref="X92:BH92" si="71">X54+X73</f>
        <v>5.0000000000000001E-3</v>
      </c>
      <c r="Y92" s="197">
        <f t="shared" si="71"/>
        <v>6.0000000000000001E-3</v>
      </c>
      <c r="Z92" s="197">
        <f t="shared" si="71"/>
        <v>5.0000000000000001E-3</v>
      </c>
      <c r="AA92" s="197">
        <f t="shared" si="71"/>
        <v>1.6E-2</v>
      </c>
      <c r="AB92" s="197">
        <f t="shared" si="71"/>
        <v>5.0000000000000001E-3</v>
      </c>
      <c r="AC92" s="197">
        <f t="shared" si="71"/>
        <v>6.0000000000000001E-3</v>
      </c>
      <c r="AD92" s="197">
        <f t="shared" si="71"/>
        <v>5.0000000000000001E-3</v>
      </c>
      <c r="AE92" s="197">
        <f t="shared" si="71"/>
        <v>1.6E-2</v>
      </c>
      <c r="AF92" s="197">
        <f t="shared" si="71"/>
        <v>3.2000000000000001E-2</v>
      </c>
      <c r="AG92" s="197">
        <f t="shared" si="71"/>
        <v>5.0000000000000001E-3</v>
      </c>
      <c r="AH92" s="197">
        <f t="shared" si="71"/>
        <v>6.0000000000000001E-3</v>
      </c>
      <c r="AI92" s="197">
        <f t="shared" si="71"/>
        <v>5.0000000000000001E-3</v>
      </c>
      <c r="AJ92" s="197">
        <f t="shared" si="71"/>
        <v>1.6E-2</v>
      </c>
      <c r="AK92" s="197">
        <f t="shared" si="71"/>
        <v>4.8000000000000001E-2</v>
      </c>
      <c r="AL92" s="197">
        <f t="shared" si="71"/>
        <v>5.0000000000000001E-3</v>
      </c>
      <c r="AM92" s="197">
        <f t="shared" si="71"/>
        <v>5.0000000000000001E-3</v>
      </c>
      <c r="AN92" s="197">
        <f t="shared" si="71"/>
        <v>6.0000000000000001E-3</v>
      </c>
      <c r="AO92" s="197">
        <f t="shared" si="71"/>
        <v>1.6E-2</v>
      </c>
      <c r="AP92" s="197">
        <f t="shared" si="71"/>
        <v>6.4000000000000001E-2</v>
      </c>
      <c r="AQ92" s="633">
        <f t="shared" si="71"/>
        <v>5.0000000000000001E-3</v>
      </c>
      <c r="AR92" s="197">
        <f t="shared" si="71"/>
        <v>5.0000000000000001E-3</v>
      </c>
      <c r="AS92" s="197">
        <f t="shared" si="71"/>
        <v>6.0000000000000001E-3</v>
      </c>
      <c r="AT92" s="197">
        <f t="shared" si="71"/>
        <v>1.6E-2</v>
      </c>
      <c r="AU92" s="197">
        <f t="shared" si="71"/>
        <v>5.0000000000000001E-3</v>
      </c>
      <c r="AV92" s="197">
        <f t="shared" si="71"/>
        <v>5.0000000000000001E-3</v>
      </c>
      <c r="AW92" s="197">
        <f t="shared" si="71"/>
        <v>4.0000000000000001E-3</v>
      </c>
      <c r="AX92" s="197">
        <f t="shared" si="71"/>
        <v>1.4E-2</v>
      </c>
      <c r="AY92" s="197">
        <f t="shared" si="71"/>
        <v>3.0000000000000002E-2</v>
      </c>
      <c r="AZ92" s="197">
        <f t="shared" si="71"/>
        <v>5.0000000000000001E-3</v>
      </c>
      <c r="BA92" s="197">
        <f t="shared" si="71"/>
        <v>5.0000000000000001E-3</v>
      </c>
      <c r="BB92" s="197">
        <f t="shared" si="71"/>
        <v>5.0000000000000001E-3</v>
      </c>
      <c r="BC92" s="197">
        <f t="shared" si="71"/>
        <v>1.4999999999999999E-2</v>
      </c>
      <c r="BD92" s="197">
        <f t="shared" si="71"/>
        <v>4.5000000000000005E-2</v>
      </c>
      <c r="BE92" s="197">
        <f t="shared" si="71"/>
        <v>4.0000000000000001E-3</v>
      </c>
      <c r="BF92" s="197">
        <f t="shared" si="71"/>
        <v>4.0000000000000001E-3</v>
      </c>
      <c r="BG92" s="197">
        <f t="shared" si="71"/>
        <v>4.0000000000000001E-3</v>
      </c>
      <c r="BH92" s="197">
        <f t="shared" si="71"/>
        <v>1.2E-2</v>
      </c>
      <c r="BI92" s="634">
        <f t="shared" si="51"/>
        <v>5.7000000000000002E-2</v>
      </c>
      <c r="BJ92" s="197">
        <f t="shared" si="51"/>
        <v>5.0000000000000001E-3</v>
      </c>
      <c r="BK92" s="197">
        <f t="shared" si="51"/>
        <v>5.0000000000000001E-3</v>
      </c>
      <c r="BL92" s="197">
        <v>4.0000000000000001E-3</v>
      </c>
      <c r="BM92" s="197">
        <f t="shared" si="55"/>
        <v>1.4E-2</v>
      </c>
      <c r="BN92" s="197">
        <f t="shared" si="52"/>
        <v>5.0000000000000001E-3</v>
      </c>
      <c r="BO92" s="197">
        <f t="shared" si="52"/>
        <v>4.0000000000000001E-3</v>
      </c>
      <c r="BP92" s="197">
        <f t="shared" si="52"/>
        <v>5.0000000000000001E-3</v>
      </c>
      <c r="BQ92" s="197">
        <f t="shared" si="56"/>
        <v>1.4000000000000002E-2</v>
      </c>
      <c r="BR92" s="197">
        <f t="shared" si="57"/>
        <v>2.8000000000000004E-2</v>
      </c>
      <c r="BS92" s="197">
        <f t="shared" si="53"/>
        <v>5.0000000000000001E-3</v>
      </c>
      <c r="BT92" s="197">
        <f t="shared" si="53"/>
        <v>3.0000000000000001E-3</v>
      </c>
      <c r="BU92" s="197">
        <f t="shared" si="53"/>
        <v>5.0000000000000001E-3</v>
      </c>
      <c r="BV92" s="197">
        <f t="shared" si="58"/>
        <v>1.3000000000000001E-2</v>
      </c>
      <c r="BW92" s="197">
        <f t="shared" si="59"/>
        <v>4.1000000000000009E-2</v>
      </c>
      <c r="BX92" s="197">
        <f t="shared" si="60"/>
        <v>1E-3</v>
      </c>
      <c r="BY92" s="197">
        <f t="shared" si="60"/>
        <v>4.0000000000000001E-3</v>
      </c>
      <c r="BZ92" s="197">
        <f t="shared" si="61"/>
        <v>5.0000000000000001E-3</v>
      </c>
      <c r="CA92" s="197">
        <f t="shared" si="62"/>
        <v>0.01</v>
      </c>
      <c r="CB92" s="634">
        <v>5.0999999999999997E-2</v>
      </c>
      <c r="CC92" s="197">
        <f t="shared" si="63"/>
        <v>5.0000000000000001E-3</v>
      </c>
      <c r="CD92" s="197">
        <f t="shared" si="63"/>
        <v>5.0000000000000001E-3</v>
      </c>
      <c r="CE92" s="197">
        <f t="shared" si="63"/>
        <v>4.0000000000000001E-3</v>
      </c>
      <c r="CF92" s="197">
        <f t="shared" si="64"/>
        <v>1.4E-2</v>
      </c>
      <c r="CG92" s="197">
        <f t="shared" si="65"/>
        <v>5.0000000000000001E-3</v>
      </c>
      <c r="CH92" s="197"/>
      <c r="CI92" s="197"/>
      <c r="CJ92" s="197"/>
      <c r="CK92" s="197"/>
      <c r="CL92" s="197"/>
      <c r="CM92" s="197"/>
      <c r="CN92" s="197"/>
      <c r="CO92" s="197"/>
      <c r="CP92" s="197"/>
      <c r="CQ92" s="197"/>
      <c r="CR92" s="197"/>
      <c r="CS92" s="197"/>
      <c r="CT92" s="197"/>
      <c r="CU92" s="634"/>
    </row>
    <row r="93" spans="1:99">
      <c r="C93">
        <v>11</v>
      </c>
      <c r="D93" s="209" t="s">
        <v>65</v>
      </c>
      <c r="E93" s="633">
        <f t="shared" si="48"/>
        <v>5.0000000000000001E-3</v>
      </c>
      <c r="F93" s="197">
        <f t="shared" si="48"/>
        <v>5.0000000000000001E-3</v>
      </c>
      <c r="G93" s="197">
        <f t="shared" si="48"/>
        <v>3.0000000000000001E-3</v>
      </c>
      <c r="H93" s="197">
        <f t="shared" si="48"/>
        <v>1.3000000000000001E-2</v>
      </c>
      <c r="I93" s="197">
        <f t="shared" si="48"/>
        <v>5.0000000000000001E-3</v>
      </c>
      <c r="J93" s="197">
        <f t="shared" si="48"/>
        <v>6.0000000000000001E-3</v>
      </c>
      <c r="K93" s="197">
        <f t="shared" si="48"/>
        <v>4.0000000000000001E-3</v>
      </c>
      <c r="L93" s="197">
        <f t="shared" si="48"/>
        <v>1.5000000000000001E-2</v>
      </c>
      <c r="M93" s="197">
        <f t="shared" si="48"/>
        <v>2.8000000000000001E-2</v>
      </c>
      <c r="N93" s="197">
        <f t="shared" si="48"/>
        <v>5.0000000000000001E-3</v>
      </c>
      <c r="O93" s="197">
        <f t="shared" si="48"/>
        <v>5.0000000000000001E-3</v>
      </c>
      <c r="P93" s="197">
        <f t="shared" si="48"/>
        <v>6.0000000000000001E-3</v>
      </c>
      <c r="Q93" s="197">
        <f t="shared" si="48"/>
        <v>1.6E-2</v>
      </c>
      <c r="R93" s="197">
        <f t="shared" si="48"/>
        <v>4.4000000000000004E-2</v>
      </c>
      <c r="S93" s="197">
        <f t="shared" si="48"/>
        <v>5.0000000000000001E-3</v>
      </c>
      <c r="T93" s="197">
        <f t="shared" si="48"/>
        <v>5.0000000000000001E-3</v>
      </c>
      <c r="U93" s="197">
        <f t="shared" si="48"/>
        <v>7.0000000000000001E-3</v>
      </c>
      <c r="V93" s="197">
        <f t="shared" si="48"/>
        <v>1.7000000000000001E-2</v>
      </c>
      <c r="W93" s="634">
        <f t="shared" si="48"/>
        <v>6.1000000000000006E-2</v>
      </c>
      <c r="X93" s="633">
        <f t="shared" ref="X93:BH93" si="72">X55+X74</f>
        <v>7.0000000000000001E-3</v>
      </c>
      <c r="Y93" s="197">
        <f t="shared" si="72"/>
        <v>7.0000000000000001E-3</v>
      </c>
      <c r="Z93" s="197">
        <f t="shared" si="72"/>
        <v>7.0000000000000001E-3</v>
      </c>
      <c r="AA93" s="197">
        <f t="shared" si="72"/>
        <v>2.1000000000000001E-2</v>
      </c>
      <c r="AB93" s="197">
        <f t="shared" si="72"/>
        <v>8.0000000000000002E-3</v>
      </c>
      <c r="AC93" s="197">
        <f t="shared" si="72"/>
        <v>7.0000000000000001E-3</v>
      </c>
      <c r="AD93" s="197">
        <f t="shared" si="72"/>
        <v>6.0000000000000001E-3</v>
      </c>
      <c r="AE93" s="197">
        <f t="shared" si="72"/>
        <v>2.1000000000000001E-2</v>
      </c>
      <c r="AF93" s="197">
        <f t="shared" si="72"/>
        <v>4.2000000000000003E-2</v>
      </c>
      <c r="AG93" s="197">
        <f t="shared" si="72"/>
        <v>7.0000000000000001E-3</v>
      </c>
      <c r="AH93" s="197">
        <f t="shared" si="72"/>
        <v>8.0000000000000002E-3</v>
      </c>
      <c r="AI93" s="197">
        <f t="shared" si="72"/>
        <v>8.0000000000000002E-3</v>
      </c>
      <c r="AJ93" s="197">
        <f t="shared" si="72"/>
        <v>2.3000000000000003E-2</v>
      </c>
      <c r="AK93" s="197">
        <f t="shared" si="72"/>
        <v>6.5000000000000002E-2</v>
      </c>
      <c r="AL93" s="197">
        <f t="shared" si="72"/>
        <v>8.0000000000000002E-3</v>
      </c>
      <c r="AM93" s="197">
        <f t="shared" si="72"/>
        <v>7.0000000000000001E-3</v>
      </c>
      <c r="AN93" s="197">
        <f t="shared" si="72"/>
        <v>8.0000000000000002E-3</v>
      </c>
      <c r="AO93" s="197">
        <f t="shared" si="72"/>
        <v>2.3E-2</v>
      </c>
      <c r="AP93" s="197">
        <f t="shared" si="72"/>
        <v>8.8000000000000009E-2</v>
      </c>
      <c r="AQ93" s="633">
        <f t="shared" si="72"/>
        <v>8.0000000000000002E-3</v>
      </c>
      <c r="AR93" s="197">
        <f t="shared" si="72"/>
        <v>9.0000000000000011E-3</v>
      </c>
      <c r="AS93" s="197">
        <f t="shared" si="72"/>
        <v>8.0000000000000002E-3</v>
      </c>
      <c r="AT93" s="197">
        <f t="shared" si="72"/>
        <v>2.4999999999999998E-2</v>
      </c>
      <c r="AU93" s="197">
        <f t="shared" si="72"/>
        <v>0.01</v>
      </c>
      <c r="AV93" s="197">
        <f t="shared" si="72"/>
        <v>8.0000000000000002E-3</v>
      </c>
      <c r="AW93" s="197">
        <f t="shared" si="72"/>
        <v>9.0000000000000011E-3</v>
      </c>
      <c r="AX93" s="197">
        <f t="shared" si="72"/>
        <v>2.7E-2</v>
      </c>
      <c r="AY93" s="197">
        <f t="shared" si="72"/>
        <v>5.1999999999999998E-2</v>
      </c>
      <c r="AZ93" s="197">
        <f t="shared" si="72"/>
        <v>0.01</v>
      </c>
      <c r="BA93" s="197">
        <f t="shared" si="72"/>
        <v>9.0000000000000011E-3</v>
      </c>
      <c r="BB93" s="197">
        <f t="shared" si="72"/>
        <v>0.01</v>
      </c>
      <c r="BC93" s="197">
        <f t="shared" si="72"/>
        <v>2.9000000000000001E-2</v>
      </c>
      <c r="BD93" s="197">
        <f t="shared" si="72"/>
        <v>8.1000000000000003E-2</v>
      </c>
      <c r="BE93" s="197">
        <f t="shared" si="72"/>
        <v>0.01</v>
      </c>
      <c r="BF93" s="197">
        <f t="shared" si="72"/>
        <v>8.0000000000000002E-3</v>
      </c>
      <c r="BG93" s="197">
        <f t="shared" si="72"/>
        <v>1.0999999999999999E-2</v>
      </c>
      <c r="BH93" s="197">
        <f t="shared" si="72"/>
        <v>2.9000000000000001E-2</v>
      </c>
      <c r="BI93" s="634">
        <f t="shared" si="51"/>
        <v>0.11</v>
      </c>
      <c r="BJ93" s="197">
        <f t="shared" si="51"/>
        <v>0.01</v>
      </c>
      <c r="BK93" s="197">
        <f t="shared" si="51"/>
        <v>9.9999999999999985E-3</v>
      </c>
      <c r="BL93" s="197">
        <v>9.0000000000000011E-3</v>
      </c>
      <c r="BM93" s="197">
        <f t="shared" si="55"/>
        <v>2.8999999999999998E-2</v>
      </c>
      <c r="BN93" s="197">
        <f t="shared" si="52"/>
        <v>9.9999999999999985E-3</v>
      </c>
      <c r="BO93" s="197">
        <f t="shared" si="52"/>
        <v>1.0999999999999999E-2</v>
      </c>
      <c r="BP93" s="197">
        <f t="shared" si="52"/>
        <v>9.9999999999999985E-3</v>
      </c>
      <c r="BQ93" s="197">
        <f t="shared" si="56"/>
        <v>3.0999999999999996E-2</v>
      </c>
      <c r="BR93" s="197">
        <f t="shared" si="57"/>
        <v>0.06</v>
      </c>
      <c r="BS93" s="197">
        <f t="shared" si="53"/>
        <v>9.9999999999999985E-3</v>
      </c>
      <c r="BT93" s="197">
        <f t="shared" si="53"/>
        <v>9.9999999999999985E-3</v>
      </c>
      <c r="BU93" s="197">
        <f t="shared" si="53"/>
        <v>9.9999999999999985E-3</v>
      </c>
      <c r="BV93" s="197">
        <f t="shared" si="58"/>
        <v>2.9999999999999995E-2</v>
      </c>
      <c r="BW93" s="197">
        <f t="shared" si="59"/>
        <v>0.09</v>
      </c>
      <c r="BX93" s="197">
        <f t="shared" si="60"/>
        <v>4.0000000000000001E-3</v>
      </c>
      <c r="BY93" s="197">
        <f t="shared" si="60"/>
        <v>4.0000000000000001E-3</v>
      </c>
      <c r="BZ93" s="197">
        <f t="shared" si="61"/>
        <v>7.0000000000000001E-3</v>
      </c>
      <c r="CA93" s="197">
        <f t="shared" si="62"/>
        <v>1.4999999999999999E-2</v>
      </c>
      <c r="CB93" s="634">
        <v>0.106</v>
      </c>
      <c r="CC93" s="197">
        <f t="shared" si="63"/>
        <v>9.0000000000000011E-3</v>
      </c>
      <c r="CD93" s="197">
        <f t="shared" si="63"/>
        <v>1.0999999999999999E-2</v>
      </c>
      <c r="CE93" s="197">
        <f t="shared" si="63"/>
        <v>1.0999999999999999E-2</v>
      </c>
      <c r="CF93" s="197">
        <f t="shared" si="64"/>
        <v>3.1E-2</v>
      </c>
      <c r="CG93" s="197">
        <f t="shared" si="65"/>
        <v>1.2999999999999999E-2</v>
      </c>
      <c r="CH93" s="197"/>
      <c r="CI93" s="197"/>
      <c r="CJ93" s="197"/>
      <c r="CK93" s="197"/>
      <c r="CL93" s="197"/>
      <c r="CM93" s="197"/>
      <c r="CN93" s="197"/>
      <c r="CO93" s="197"/>
      <c r="CP93" s="197"/>
      <c r="CQ93" s="197"/>
      <c r="CR93" s="197"/>
      <c r="CS93" s="197"/>
      <c r="CT93" s="197"/>
      <c r="CU93" s="634"/>
    </row>
    <row r="94" spans="1:99">
      <c r="C94">
        <v>12</v>
      </c>
      <c r="D94" s="209" t="s">
        <v>66</v>
      </c>
      <c r="E94" s="633">
        <f t="shared" si="48"/>
        <v>6.5000000000000002E-2</v>
      </c>
      <c r="F94" s="197">
        <f t="shared" si="48"/>
        <v>6.6000000000000003E-2</v>
      </c>
      <c r="G94" s="197">
        <f t="shared" si="48"/>
        <v>5.8000000000000003E-2</v>
      </c>
      <c r="H94" s="197">
        <f t="shared" si="48"/>
        <v>0.189</v>
      </c>
      <c r="I94" s="197">
        <f t="shared" si="48"/>
        <v>6.2E-2</v>
      </c>
      <c r="J94" s="197">
        <f t="shared" si="48"/>
        <v>6.6000000000000003E-2</v>
      </c>
      <c r="K94" s="197">
        <f t="shared" si="48"/>
        <v>6.6000000000000003E-2</v>
      </c>
      <c r="L94" s="197">
        <f t="shared" si="48"/>
        <v>0.19400000000000001</v>
      </c>
      <c r="M94" s="197">
        <f t="shared" si="48"/>
        <v>0.38300000000000001</v>
      </c>
      <c r="N94" s="197">
        <f t="shared" si="48"/>
        <v>6.6000000000000003E-2</v>
      </c>
      <c r="O94" s="197">
        <f t="shared" si="48"/>
        <v>6.2E-2</v>
      </c>
      <c r="P94" s="197">
        <f t="shared" si="48"/>
        <v>6.2E-2</v>
      </c>
      <c r="Q94" s="197">
        <f t="shared" si="48"/>
        <v>0.19</v>
      </c>
      <c r="R94" s="197">
        <f t="shared" si="48"/>
        <v>0.57299999999999995</v>
      </c>
      <c r="S94" s="197">
        <f t="shared" si="48"/>
        <v>6.8000000000000005E-2</v>
      </c>
      <c r="T94" s="197">
        <f t="shared" si="48"/>
        <v>4.7E-2</v>
      </c>
      <c r="U94" s="197">
        <f t="shared" si="48"/>
        <v>5.5E-2</v>
      </c>
      <c r="V94" s="197">
        <f t="shared" si="48"/>
        <v>0.17</v>
      </c>
      <c r="W94" s="634">
        <f t="shared" si="48"/>
        <v>0.74299999999999999</v>
      </c>
      <c r="X94" s="633">
        <f t="shared" ref="X94:BH94" si="73">X56+X75</f>
        <v>0.06</v>
      </c>
      <c r="Y94" s="197">
        <f t="shared" si="73"/>
        <v>5.7000000000000002E-2</v>
      </c>
      <c r="Z94" s="197">
        <f t="shared" si="73"/>
        <v>5.5E-2</v>
      </c>
      <c r="AA94" s="197">
        <f t="shared" si="73"/>
        <v>0.17199999999999999</v>
      </c>
      <c r="AB94" s="197">
        <f t="shared" si="73"/>
        <v>5.8000000000000003E-2</v>
      </c>
      <c r="AC94" s="197">
        <f t="shared" si="73"/>
        <v>5.8000000000000003E-2</v>
      </c>
      <c r="AD94" s="197">
        <f t="shared" si="73"/>
        <v>5.7000000000000002E-2</v>
      </c>
      <c r="AE94" s="197">
        <f t="shared" si="73"/>
        <v>0.17300000000000001</v>
      </c>
      <c r="AF94" s="197">
        <f t="shared" si="73"/>
        <v>0.34499999999999997</v>
      </c>
      <c r="AG94" s="197">
        <f t="shared" si="73"/>
        <v>6.2E-2</v>
      </c>
      <c r="AH94" s="197">
        <f t="shared" si="73"/>
        <v>6.0999999999999999E-2</v>
      </c>
      <c r="AI94" s="197">
        <f t="shared" si="73"/>
        <v>6.3E-2</v>
      </c>
      <c r="AJ94" s="197">
        <f t="shared" si="73"/>
        <v>0.186</v>
      </c>
      <c r="AK94" s="197">
        <f t="shared" si="73"/>
        <v>0.53099999999999992</v>
      </c>
      <c r="AL94" s="197">
        <f t="shared" si="73"/>
        <v>6.5000000000000002E-2</v>
      </c>
      <c r="AM94" s="197">
        <f t="shared" si="73"/>
        <v>0.06</v>
      </c>
      <c r="AN94" s="197">
        <f t="shared" si="73"/>
        <v>6.8000000000000005E-2</v>
      </c>
      <c r="AO94" s="197">
        <f t="shared" si="73"/>
        <v>0.193</v>
      </c>
      <c r="AP94" s="197">
        <f t="shared" si="73"/>
        <v>0.72399999999999998</v>
      </c>
      <c r="AQ94" s="633">
        <f t="shared" si="73"/>
        <v>6.4000000000000001E-2</v>
      </c>
      <c r="AR94" s="197">
        <f t="shared" si="73"/>
        <v>3.5999999999999997E-2</v>
      </c>
      <c r="AS94" s="197">
        <f t="shared" si="73"/>
        <v>6.4000000000000001E-2</v>
      </c>
      <c r="AT94" s="197">
        <f t="shared" si="73"/>
        <v>0.16400000000000001</v>
      </c>
      <c r="AU94" s="197">
        <f t="shared" si="73"/>
        <v>6.8000000000000005E-2</v>
      </c>
      <c r="AV94" s="197">
        <f t="shared" si="73"/>
        <v>6.9000000000000006E-2</v>
      </c>
      <c r="AW94" s="197">
        <f t="shared" si="73"/>
        <v>6.6000000000000003E-2</v>
      </c>
      <c r="AX94" s="197">
        <f t="shared" si="73"/>
        <v>0.20300000000000001</v>
      </c>
      <c r="AY94" s="197">
        <f t="shared" si="73"/>
        <v>0.36699999999999999</v>
      </c>
      <c r="AZ94" s="197">
        <f t="shared" si="73"/>
        <v>6.7000000000000004E-2</v>
      </c>
      <c r="BA94" s="197">
        <f t="shared" si="73"/>
        <v>6.5000000000000002E-2</v>
      </c>
      <c r="BB94" s="197">
        <f t="shared" si="73"/>
        <v>7.0000000000000007E-2</v>
      </c>
      <c r="BC94" s="197">
        <f t="shared" si="73"/>
        <v>0.20200000000000001</v>
      </c>
      <c r="BD94" s="197">
        <f t="shared" si="73"/>
        <v>0.56899999999999995</v>
      </c>
      <c r="BE94" s="197">
        <f t="shared" si="73"/>
        <v>6.7000000000000004E-2</v>
      </c>
      <c r="BF94" s="197">
        <f t="shared" si="73"/>
        <v>6.0999999999999999E-2</v>
      </c>
      <c r="BG94" s="197">
        <f t="shared" si="73"/>
        <v>6.3E-2</v>
      </c>
      <c r="BH94" s="197">
        <f t="shared" si="73"/>
        <v>0.191</v>
      </c>
      <c r="BI94" s="634">
        <f t="shared" si="51"/>
        <v>0.76</v>
      </c>
      <c r="BJ94" s="197">
        <f t="shared" si="51"/>
        <v>5.0999999999999997E-2</v>
      </c>
      <c r="BK94" s="197">
        <f t="shared" si="51"/>
        <v>6.7000000000000004E-2</v>
      </c>
      <c r="BL94" s="197">
        <v>6.7000000000000004E-2</v>
      </c>
      <c r="BM94" s="197">
        <f t="shared" si="55"/>
        <v>0.185</v>
      </c>
      <c r="BN94" s="197">
        <f t="shared" si="52"/>
        <v>6.9000000000000006E-2</v>
      </c>
      <c r="BO94" s="197">
        <f t="shared" si="52"/>
        <v>7.0999999999999994E-2</v>
      </c>
      <c r="BP94" s="197">
        <f t="shared" si="52"/>
        <v>6.6000000000000003E-2</v>
      </c>
      <c r="BQ94" s="197">
        <f t="shared" si="56"/>
        <v>0.20600000000000002</v>
      </c>
      <c r="BR94" s="197">
        <f t="shared" si="57"/>
        <v>0.39100000000000001</v>
      </c>
      <c r="BS94" s="197">
        <f t="shared" si="53"/>
        <v>6.9000000000000006E-2</v>
      </c>
      <c r="BT94" s="197">
        <f t="shared" si="53"/>
        <v>6.7000000000000004E-2</v>
      </c>
      <c r="BU94" s="197">
        <f t="shared" si="53"/>
        <v>6.6000000000000003E-2</v>
      </c>
      <c r="BV94" s="197">
        <f t="shared" si="58"/>
        <v>0.20200000000000001</v>
      </c>
      <c r="BW94" s="197">
        <f t="shared" si="59"/>
        <v>0.59299999999999997</v>
      </c>
      <c r="BX94" s="197">
        <f t="shared" si="60"/>
        <v>7.3999999999999996E-2</v>
      </c>
      <c r="BY94" s="197">
        <f t="shared" si="60"/>
        <v>6.5000000000000002E-2</v>
      </c>
      <c r="BZ94" s="197">
        <f t="shared" si="61"/>
        <v>1.7000000000000001E-2</v>
      </c>
      <c r="CA94" s="197">
        <f t="shared" si="62"/>
        <v>0.15600000000000003</v>
      </c>
      <c r="CB94" s="634">
        <v>0.748</v>
      </c>
      <c r="CC94" s="197">
        <f t="shared" si="63"/>
        <v>3.7999999999999999E-2</v>
      </c>
      <c r="CD94" s="197">
        <f t="shared" si="63"/>
        <v>4.3999999999999997E-2</v>
      </c>
      <c r="CE94" s="197">
        <f t="shared" si="63"/>
        <v>6.7000000000000004E-2</v>
      </c>
      <c r="CF94" s="197">
        <f t="shared" si="64"/>
        <v>0.14899999999999999</v>
      </c>
      <c r="CG94" s="197">
        <f t="shared" si="65"/>
        <v>5.3999999999999999E-2</v>
      </c>
      <c r="CH94" s="197"/>
      <c r="CI94" s="197"/>
      <c r="CJ94" s="197"/>
      <c r="CK94" s="197"/>
      <c r="CL94" s="197"/>
      <c r="CM94" s="197"/>
      <c r="CN94" s="197"/>
      <c r="CO94" s="197"/>
      <c r="CP94" s="197"/>
      <c r="CQ94" s="197"/>
      <c r="CR94" s="197"/>
      <c r="CS94" s="197"/>
      <c r="CT94" s="197"/>
      <c r="CU94" s="634"/>
    </row>
    <row r="95" spans="1:99">
      <c r="C95">
        <v>13</v>
      </c>
      <c r="D95" s="209" t="s">
        <v>67</v>
      </c>
      <c r="E95" s="633">
        <f t="shared" si="48"/>
        <v>3.7999999999999999E-2</v>
      </c>
      <c r="F95" s="197">
        <f t="shared" si="48"/>
        <v>4.2000000000000003E-2</v>
      </c>
      <c r="G95" s="197">
        <f t="shared" si="48"/>
        <v>4.2000000000000003E-2</v>
      </c>
      <c r="H95" s="197">
        <f t="shared" si="48"/>
        <v>0.122</v>
      </c>
      <c r="I95" s="197">
        <f t="shared" si="48"/>
        <v>4.9000000000000002E-2</v>
      </c>
      <c r="J95" s="197">
        <f t="shared" si="48"/>
        <v>4.8000000000000001E-2</v>
      </c>
      <c r="K95" s="197">
        <f t="shared" si="48"/>
        <v>4.5999999999999999E-2</v>
      </c>
      <c r="L95" s="197">
        <f t="shared" si="48"/>
        <v>0.14300000000000002</v>
      </c>
      <c r="M95" s="197">
        <f t="shared" si="48"/>
        <v>0.26500000000000001</v>
      </c>
      <c r="N95" s="197">
        <f t="shared" si="48"/>
        <v>3.5999999999999997E-2</v>
      </c>
      <c r="O95" s="197">
        <f t="shared" si="48"/>
        <v>2.9000000000000001E-2</v>
      </c>
      <c r="P95" s="197">
        <f t="shared" si="48"/>
        <v>2.8000000000000001E-2</v>
      </c>
      <c r="Q95" s="197">
        <f t="shared" si="48"/>
        <v>9.2999999999999999E-2</v>
      </c>
      <c r="R95" s="197">
        <f t="shared" si="48"/>
        <v>0.35799999999999998</v>
      </c>
      <c r="S95" s="197">
        <f t="shared" si="48"/>
        <v>2.7E-2</v>
      </c>
      <c r="T95" s="197">
        <f t="shared" si="48"/>
        <v>0.03</v>
      </c>
      <c r="U95" s="197">
        <f t="shared" si="48"/>
        <v>4.2000000000000003E-2</v>
      </c>
      <c r="V95" s="197">
        <f t="shared" si="48"/>
        <v>9.9000000000000005E-2</v>
      </c>
      <c r="W95" s="634">
        <f t="shared" si="48"/>
        <v>0.45699999999999996</v>
      </c>
      <c r="X95" s="633">
        <f t="shared" ref="X95:BH95" si="74">X57+X76</f>
        <v>4.1000000000000002E-2</v>
      </c>
      <c r="Y95" s="197">
        <f t="shared" si="74"/>
        <v>4.4999999999999998E-2</v>
      </c>
      <c r="Z95" s="197">
        <f t="shared" si="74"/>
        <v>4.5999999999999999E-2</v>
      </c>
      <c r="AA95" s="197">
        <f t="shared" si="74"/>
        <v>0.13200000000000001</v>
      </c>
      <c r="AB95" s="197">
        <f t="shared" si="74"/>
        <v>4.7E-2</v>
      </c>
      <c r="AC95" s="197">
        <f t="shared" si="74"/>
        <v>4.7E-2</v>
      </c>
      <c r="AD95" s="197">
        <f t="shared" si="74"/>
        <v>4.7E-2</v>
      </c>
      <c r="AE95" s="197">
        <f t="shared" si="74"/>
        <v>0.14100000000000001</v>
      </c>
      <c r="AF95" s="197">
        <f t="shared" si="74"/>
        <v>0.27300000000000002</v>
      </c>
      <c r="AG95" s="197">
        <f t="shared" si="74"/>
        <v>5.1999999999999998E-2</v>
      </c>
      <c r="AH95" s="197">
        <f t="shared" si="74"/>
        <v>0.05</v>
      </c>
      <c r="AI95" s="197">
        <f t="shared" si="74"/>
        <v>5.0999999999999997E-2</v>
      </c>
      <c r="AJ95" s="197">
        <f t="shared" si="74"/>
        <v>0.153</v>
      </c>
      <c r="AK95" s="197">
        <f t="shared" si="74"/>
        <v>0.42600000000000005</v>
      </c>
      <c r="AL95" s="197">
        <f t="shared" si="74"/>
        <v>5.2999999999999999E-2</v>
      </c>
      <c r="AM95" s="197">
        <f t="shared" si="74"/>
        <v>5.0999999999999997E-2</v>
      </c>
      <c r="AN95" s="197">
        <f t="shared" si="74"/>
        <v>5.2999999999999999E-2</v>
      </c>
      <c r="AO95" s="197">
        <f t="shared" si="74"/>
        <v>0.157</v>
      </c>
      <c r="AP95" s="197">
        <f t="shared" si="74"/>
        <v>0.58300000000000007</v>
      </c>
      <c r="AQ95" s="633">
        <f t="shared" si="74"/>
        <v>5.2999999999999999E-2</v>
      </c>
      <c r="AR95" s="197">
        <f t="shared" si="74"/>
        <v>5.7000000000000002E-2</v>
      </c>
      <c r="AS95" s="197">
        <f t="shared" si="74"/>
        <v>5.0999999999999997E-2</v>
      </c>
      <c r="AT95" s="197">
        <f t="shared" si="74"/>
        <v>0.161</v>
      </c>
      <c r="AU95" s="197">
        <f t="shared" si="74"/>
        <v>5.3999999999999999E-2</v>
      </c>
      <c r="AV95" s="197">
        <f t="shared" si="74"/>
        <v>5.2999999999999999E-2</v>
      </c>
      <c r="AW95" s="197">
        <f t="shared" si="74"/>
        <v>0.05</v>
      </c>
      <c r="AX95" s="197">
        <f t="shared" si="74"/>
        <v>0.157</v>
      </c>
      <c r="AY95" s="197">
        <f t="shared" si="74"/>
        <v>0.318</v>
      </c>
      <c r="AZ95" s="197">
        <f t="shared" si="74"/>
        <v>5.0999999999999997E-2</v>
      </c>
      <c r="BA95" s="197">
        <f t="shared" si="74"/>
        <v>5.0999999999999997E-2</v>
      </c>
      <c r="BB95" s="197">
        <f t="shared" si="74"/>
        <v>5.3999999999999999E-2</v>
      </c>
      <c r="BC95" s="197">
        <f t="shared" si="74"/>
        <v>0.156</v>
      </c>
      <c r="BD95" s="197">
        <f t="shared" si="74"/>
        <v>0.47399999999999998</v>
      </c>
      <c r="BE95" s="197">
        <f t="shared" si="74"/>
        <v>5.5E-2</v>
      </c>
      <c r="BF95" s="197">
        <f t="shared" si="74"/>
        <v>4.7E-2</v>
      </c>
      <c r="BG95" s="197">
        <f t="shared" si="74"/>
        <v>5.3999999999999999E-2</v>
      </c>
      <c r="BH95" s="197">
        <f t="shared" si="74"/>
        <v>0.156</v>
      </c>
      <c r="BI95" s="634">
        <f t="shared" si="51"/>
        <v>0.63</v>
      </c>
      <c r="BJ95" s="197">
        <f t="shared" si="51"/>
        <v>0.05</v>
      </c>
      <c r="BK95" s="197">
        <f t="shared" si="51"/>
        <v>5.5E-2</v>
      </c>
      <c r="BL95" s="197">
        <v>5.2999999999999999E-2</v>
      </c>
      <c r="BM95" s="197">
        <f t="shared" si="55"/>
        <v>0.158</v>
      </c>
      <c r="BN95" s="197">
        <f t="shared" si="52"/>
        <v>5.1999999999999998E-2</v>
      </c>
      <c r="BO95" s="197">
        <f t="shared" si="52"/>
        <v>5.0999999999999997E-2</v>
      </c>
      <c r="BP95" s="197">
        <f t="shared" si="52"/>
        <v>4.7E-2</v>
      </c>
      <c r="BQ95" s="197">
        <f t="shared" si="56"/>
        <v>0.15</v>
      </c>
      <c r="BR95" s="197">
        <f t="shared" si="57"/>
        <v>0.308</v>
      </c>
      <c r="BS95" s="197">
        <f t="shared" si="53"/>
        <v>5.2999999999999999E-2</v>
      </c>
      <c r="BT95" s="197">
        <f t="shared" si="53"/>
        <v>4.1000000000000002E-2</v>
      </c>
      <c r="BU95" s="197">
        <f t="shared" si="53"/>
        <v>1.2999999999999999E-2</v>
      </c>
      <c r="BV95" s="197">
        <f t="shared" si="58"/>
        <v>0.107</v>
      </c>
      <c r="BW95" s="197">
        <f t="shared" si="59"/>
        <v>0.41499999999999998</v>
      </c>
      <c r="BX95" s="197">
        <f t="shared" si="60"/>
        <v>5.3999999999999999E-2</v>
      </c>
      <c r="BY95" s="197">
        <f t="shared" si="60"/>
        <v>0.05</v>
      </c>
      <c r="BZ95" s="197">
        <f t="shared" si="61"/>
        <v>5.6000000000000001E-2</v>
      </c>
      <c r="CA95" s="197">
        <f t="shared" si="62"/>
        <v>0.16</v>
      </c>
      <c r="CB95" s="634">
        <v>0.57499999999999996</v>
      </c>
      <c r="CC95" s="197">
        <f t="shared" si="63"/>
        <v>5.5E-2</v>
      </c>
      <c r="CD95" s="197">
        <f t="shared" si="63"/>
        <v>5.7000000000000002E-2</v>
      </c>
      <c r="CE95" s="197">
        <f t="shared" si="63"/>
        <v>5.1999999999999998E-2</v>
      </c>
      <c r="CF95" s="197">
        <f t="shared" si="64"/>
        <v>0.16400000000000001</v>
      </c>
      <c r="CG95" s="197">
        <f t="shared" si="65"/>
        <v>5.8999999999999997E-2</v>
      </c>
      <c r="CH95" s="197"/>
      <c r="CI95" s="197"/>
      <c r="CJ95" s="197"/>
      <c r="CK95" s="197"/>
      <c r="CL95" s="197"/>
      <c r="CM95" s="197"/>
      <c r="CN95" s="197"/>
      <c r="CO95" s="197"/>
      <c r="CP95" s="197"/>
      <c r="CQ95" s="197"/>
      <c r="CR95" s="197"/>
      <c r="CS95" s="197"/>
      <c r="CT95" s="197"/>
      <c r="CU95" s="634"/>
    </row>
    <row r="96" spans="1:99">
      <c r="C96">
        <v>14</v>
      </c>
      <c r="D96" s="209" t="s">
        <v>68</v>
      </c>
      <c r="E96" s="633">
        <f t="shared" si="48"/>
        <v>5.0000000000000001E-3</v>
      </c>
      <c r="F96" s="197">
        <f t="shared" si="48"/>
        <v>9.9999999999999985E-3</v>
      </c>
      <c r="G96" s="197">
        <f t="shared" si="48"/>
        <v>7.0000000000000001E-3</v>
      </c>
      <c r="H96" s="197">
        <f t="shared" si="48"/>
        <v>2.1999999999999999E-2</v>
      </c>
      <c r="I96" s="197">
        <f t="shared" si="48"/>
        <v>8.9999999999999993E-3</v>
      </c>
      <c r="J96" s="197">
        <f t="shared" si="48"/>
        <v>8.0000000000000002E-3</v>
      </c>
      <c r="K96" s="197">
        <f t="shared" si="48"/>
        <v>3.0000000000000001E-3</v>
      </c>
      <c r="L96" s="197">
        <f t="shared" si="48"/>
        <v>0.02</v>
      </c>
      <c r="M96" s="197">
        <f t="shared" si="48"/>
        <v>4.1999999999999996E-2</v>
      </c>
      <c r="N96" s="197">
        <f t="shared" si="48"/>
        <v>6.0000000000000001E-3</v>
      </c>
      <c r="O96" s="197">
        <f t="shared" si="48"/>
        <v>5.0000000000000001E-3</v>
      </c>
      <c r="P96" s="197">
        <f t="shared" si="48"/>
        <v>1E-3</v>
      </c>
      <c r="Q96" s="197">
        <f t="shared" si="48"/>
        <v>1.2E-2</v>
      </c>
      <c r="R96" s="197">
        <f t="shared" si="48"/>
        <v>5.3999999999999992E-2</v>
      </c>
      <c r="S96" s="197">
        <f t="shared" si="48"/>
        <v>0</v>
      </c>
      <c r="T96" s="197">
        <f t="shared" si="48"/>
        <v>0</v>
      </c>
      <c r="U96" s="197">
        <f t="shared" si="48"/>
        <v>4.0000000000000001E-3</v>
      </c>
      <c r="V96" s="197">
        <f t="shared" si="48"/>
        <v>4.0000000000000001E-3</v>
      </c>
      <c r="W96" s="634">
        <f t="shared" si="48"/>
        <v>5.7999999999999996E-2</v>
      </c>
      <c r="X96" s="633">
        <f t="shared" ref="X96:BH96" si="75">X58+X77</f>
        <v>7.0000000000000001E-3</v>
      </c>
      <c r="Y96" s="197">
        <f t="shared" si="75"/>
        <v>0.01</v>
      </c>
      <c r="Z96" s="197">
        <f t="shared" si="75"/>
        <v>7.0000000000000001E-3</v>
      </c>
      <c r="AA96" s="197">
        <f t="shared" si="75"/>
        <v>2.4E-2</v>
      </c>
      <c r="AB96" s="197">
        <f t="shared" si="75"/>
        <v>8.0000000000000002E-3</v>
      </c>
      <c r="AC96" s="197">
        <f t="shared" si="75"/>
        <v>4.0000000000000001E-3</v>
      </c>
      <c r="AD96" s="197">
        <f t="shared" si="75"/>
        <v>8.9999999999999993E-3</v>
      </c>
      <c r="AE96" s="197">
        <f t="shared" si="75"/>
        <v>2.0999999999999998E-2</v>
      </c>
      <c r="AF96" s="197">
        <f t="shared" si="75"/>
        <v>4.4999999999999998E-2</v>
      </c>
      <c r="AG96" s="197">
        <f t="shared" si="75"/>
        <v>6.0000000000000001E-3</v>
      </c>
      <c r="AH96" s="197">
        <f t="shared" si="75"/>
        <v>6.0000000000000001E-3</v>
      </c>
      <c r="AI96" s="197">
        <f t="shared" si="75"/>
        <v>3.0000000000000001E-3</v>
      </c>
      <c r="AJ96" s="197">
        <f t="shared" si="75"/>
        <v>1.4999999999999999E-2</v>
      </c>
      <c r="AK96" s="197">
        <f t="shared" si="75"/>
        <v>0.06</v>
      </c>
      <c r="AL96" s="197">
        <f t="shared" si="75"/>
        <v>1E-3</v>
      </c>
      <c r="AM96" s="197">
        <f t="shared" si="75"/>
        <v>0</v>
      </c>
      <c r="AN96" s="197">
        <f t="shared" si="75"/>
        <v>1.4999999999999999E-2</v>
      </c>
      <c r="AO96" s="197">
        <f t="shared" si="75"/>
        <v>1.6E-2</v>
      </c>
      <c r="AP96" s="197">
        <f t="shared" si="75"/>
        <v>7.5999999999999998E-2</v>
      </c>
      <c r="AQ96" s="633">
        <f t="shared" si="75"/>
        <v>1.2999999999999999E-2</v>
      </c>
      <c r="AR96" s="197">
        <f t="shared" si="75"/>
        <v>1.7000000000000001E-2</v>
      </c>
      <c r="AS96" s="197">
        <f t="shared" si="75"/>
        <v>1.4E-2</v>
      </c>
      <c r="AT96" s="197">
        <f t="shared" si="75"/>
        <v>4.3999999999999997E-2</v>
      </c>
      <c r="AU96" s="197">
        <f t="shared" si="75"/>
        <v>1.4999999999999999E-2</v>
      </c>
      <c r="AV96" s="197">
        <f t="shared" si="75"/>
        <v>1.2999999999999999E-2</v>
      </c>
      <c r="AW96" s="197">
        <f t="shared" si="75"/>
        <v>8.9999999999999993E-3</v>
      </c>
      <c r="AX96" s="197">
        <f t="shared" si="75"/>
        <v>3.6999999999999998E-2</v>
      </c>
      <c r="AY96" s="197">
        <f t="shared" si="75"/>
        <v>8.0999999999999989E-2</v>
      </c>
      <c r="AZ96" s="197">
        <f t="shared" si="75"/>
        <v>1.0999999999999999E-2</v>
      </c>
      <c r="BA96" s="197">
        <f t="shared" si="75"/>
        <v>1.2E-2</v>
      </c>
      <c r="BB96" s="197">
        <f t="shared" si="75"/>
        <v>1.2E-2</v>
      </c>
      <c r="BC96" s="197">
        <f t="shared" si="75"/>
        <v>3.5000000000000003E-2</v>
      </c>
      <c r="BD96" s="197">
        <f t="shared" si="75"/>
        <v>0.11599999999999999</v>
      </c>
      <c r="BE96" s="197">
        <f t="shared" si="75"/>
        <v>1.0999999999999999E-2</v>
      </c>
      <c r="BF96" s="197">
        <f t="shared" si="75"/>
        <v>0.01</v>
      </c>
      <c r="BG96" s="197">
        <f t="shared" si="75"/>
        <v>0.01</v>
      </c>
      <c r="BH96" s="197">
        <f t="shared" si="75"/>
        <v>3.1E-2</v>
      </c>
      <c r="BI96" s="634">
        <f t="shared" si="51"/>
        <v>0.14699999999999999</v>
      </c>
      <c r="BJ96" s="197">
        <f t="shared" si="51"/>
        <v>1.0999999999999999E-2</v>
      </c>
      <c r="BK96" s="197">
        <f t="shared" si="51"/>
        <v>1.2E-2</v>
      </c>
      <c r="BL96" s="197">
        <v>1.2E-2</v>
      </c>
      <c r="BM96" s="197">
        <f t="shared" si="55"/>
        <v>3.5000000000000003E-2</v>
      </c>
      <c r="BN96" s="197">
        <f t="shared" si="52"/>
        <v>1.2E-2</v>
      </c>
      <c r="BO96" s="197">
        <f t="shared" si="52"/>
        <v>1.2999999999999999E-2</v>
      </c>
      <c r="BP96" s="197">
        <f t="shared" si="52"/>
        <v>0.01</v>
      </c>
      <c r="BQ96" s="197">
        <f t="shared" si="56"/>
        <v>3.5000000000000003E-2</v>
      </c>
      <c r="BR96" s="197">
        <f t="shared" si="57"/>
        <v>7.0000000000000007E-2</v>
      </c>
      <c r="BS96" s="197">
        <f t="shared" si="53"/>
        <v>1.4E-2</v>
      </c>
      <c r="BT96" s="197">
        <f t="shared" si="53"/>
        <v>1.2999999999999999E-2</v>
      </c>
      <c r="BU96" s="197">
        <f t="shared" si="53"/>
        <v>4.0000000000000001E-3</v>
      </c>
      <c r="BV96" s="197">
        <f t="shared" si="58"/>
        <v>3.1E-2</v>
      </c>
      <c r="BW96" s="197">
        <f t="shared" si="59"/>
        <v>0.10100000000000001</v>
      </c>
      <c r="BX96" s="197">
        <f t="shared" si="60"/>
        <v>0.01</v>
      </c>
      <c r="BY96" s="197">
        <f t="shared" si="60"/>
        <v>1.2999999999999999E-2</v>
      </c>
      <c r="BZ96" s="197">
        <f t="shared" si="61"/>
        <v>1.2E-2</v>
      </c>
      <c r="CA96" s="197">
        <f t="shared" si="62"/>
        <v>3.5000000000000003E-2</v>
      </c>
      <c r="CB96" s="634">
        <v>0.13600000000000001</v>
      </c>
      <c r="CC96" s="197">
        <f t="shared" si="63"/>
        <v>1.4E-2</v>
      </c>
      <c r="CD96" s="197">
        <f t="shared" si="63"/>
        <v>1.4E-2</v>
      </c>
      <c r="CE96" s="197">
        <f t="shared" si="63"/>
        <v>1.2999999999999999E-2</v>
      </c>
      <c r="CF96" s="197">
        <f t="shared" si="64"/>
        <v>4.1000000000000002E-2</v>
      </c>
      <c r="CG96" s="197">
        <f t="shared" si="65"/>
        <v>1.2999999999999999E-2</v>
      </c>
      <c r="CH96" s="197"/>
      <c r="CI96" s="197"/>
      <c r="CJ96" s="197"/>
      <c r="CK96" s="197"/>
      <c r="CL96" s="197"/>
      <c r="CM96" s="197"/>
      <c r="CN96" s="197"/>
      <c r="CO96" s="197"/>
      <c r="CP96" s="197"/>
      <c r="CQ96" s="197"/>
      <c r="CR96" s="197"/>
      <c r="CS96" s="197"/>
      <c r="CT96" s="197"/>
      <c r="CU96" s="634"/>
    </row>
    <row r="97" spans="3:99">
      <c r="C97">
        <v>15</v>
      </c>
      <c r="D97" s="209" t="s">
        <v>69</v>
      </c>
      <c r="E97" s="633">
        <f t="shared" si="48"/>
        <v>7.5999999999999998E-2</v>
      </c>
      <c r="F97" s="197">
        <f t="shared" si="48"/>
        <v>7.4999999999999997E-2</v>
      </c>
      <c r="G97" s="197">
        <f t="shared" si="48"/>
        <v>6.8000000000000005E-2</v>
      </c>
      <c r="H97" s="197">
        <f t="shared" si="48"/>
        <v>0.219</v>
      </c>
      <c r="I97" s="197">
        <f t="shared" si="48"/>
        <v>6.3E-2</v>
      </c>
      <c r="J97" s="197">
        <f t="shared" si="48"/>
        <v>6.6000000000000003E-2</v>
      </c>
      <c r="K97" s="197">
        <f t="shared" si="48"/>
        <v>5.7000000000000002E-2</v>
      </c>
      <c r="L97" s="197">
        <f t="shared" si="48"/>
        <v>0.186</v>
      </c>
      <c r="M97" s="197">
        <f t="shared" si="48"/>
        <v>0.40500000000000003</v>
      </c>
      <c r="N97" s="197">
        <f t="shared" si="48"/>
        <v>5.6000000000000001E-2</v>
      </c>
      <c r="O97" s="197">
        <f t="shared" si="48"/>
        <v>5.1999999999999998E-2</v>
      </c>
      <c r="P97" s="197">
        <f t="shared" si="48"/>
        <v>4.3999999999999997E-2</v>
      </c>
      <c r="Q97" s="197">
        <f t="shared" si="48"/>
        <v>0.152</v>
      </c>
      <c r="R97" s="197">
        <f t="shared" si="48"/>
        <v>0.55700000000000005</v>
      </c>
      <c r="S97" s="197">
        <f t="shared" si="48"/>
        <v>4.1000000000000002E-2</v>
      </c>
      <c r="T97" s="197">
        <f t="shared" si="48"/>
        <v>4.3999999999999997E-2</v>
      </c>
      <c r="U97" s="197">
        <f t="shared" si="48"/>
        <v>5.0999999999999997E-2</v>
      </c>
      <c r="V97" s="197">
        <f t="shared" si="48"/>
        <v>0.13599999999999998</v>
      </c>
      <c r="W97" s="634">
        <f t="shared" si="48"/>
        <v>0.69300000000000006</v>
      </c>
      <c r="X97" s="633">
        <f t="shared" ref="X97:BH97" si="76">X59+X78</f>
        <v>4.8000000000000001E-2</v>
      </c>
      <c r="Y97" s="197">
        <f t="shared" si="76"/>
        <v>4.8000000000000001E-2</v>
      </c>
      <c r="Z97" s="197">
        <f t="shared" si="76"/>
        <v>4.2000000000000003E-2</v>
      </c>
      <c r="AA97" s="197">
        <f t="shared" si="76"/>
        <v>0.13800000000000001</v>
      </c>
      <c r="AB97" s="197">
        <f t="shared" si="76"/>
        <v>4.2000000000000003E-2</v>
      </c>
      <c r="AC97" s="197">
        <f t="shared" si="76"/>
        <v>3.9E-2</v>
      </c>
      <c r="AD97" s="197">
        <f t="shared" si="76"/>
        <v>3.2000000000000001E-2</v>
      </c>
      <c r="AE97" s="197">
        <f t="shared" si="76"/>
        <v>0.113</v>
      </c>
      <c r="AF97" s="197">
        <f t="shared" si="76"/>
        <v>0.251</v>
      </c>
      <c r="AG97" s="197">
        <f t="shared" si="76"/>
        <v>0.03</v>
      </c>
      <c r="AH97" s="197">
        <f t="shared" si="76"/>
        <v>2.5999999999999999E-2</v>
      </c>
      <c r="AI97" s="197">
        <f t="shared" si="76"/>
        <v>2.8000000000000001E-2</v>
      </c>
      <c r="AJ97" s="197">
        <f t="shared" si="76"/>
        <v>8.3999999999999991E-2</v>
      </c>
      <c r="AK97" s="197">
        <f t="shared" si="76"/>
        <v>0.33499999999999996</v>
      </c>
      <c r="AL97" s="197">
        <f t="shared" si="76"/>
        <v>3.1E-2</v>
      </c>
      <c r="AM97" s="197">
        <f t="shared" si="76"/>
        <v>2.5999999999999999E-2</v>
      </c>
      <c r="AN97" s="197">
        <f t="shared" si="76"/>
        <v>2.9000000000000001E-2</v>
      </c>
      <c r="AO97" s="197">
        <f t="shared" si="76"/>
        <v>8.5999999999999993E-2</v>
      </c>
      <c r="AP97" s="197">
        <f t="shared" si="76"/>
        <v>0.42099999999999993</v>
      </c>
      <c r="AQ97" s="633">
        <f t="shared" si="76"/>
        <v>2.8000000000000001E-2</v>
      </c>
      <c r="AR97" s="197">
        <f t="shared" si="76"/>
        <v>2.7E-2</v>
      </c>
      <c r="AS97" s="197">
        <f t="shared" si="76"/>
        <v>2.3E-2</v>
      </c>
      <c r="AT97" s="197">
        <f t="shared" si="76"/>
        <v>7.8E-2</v>
      </c>
      <c r="AU97" s="197">
        <f t="shared" si="76"/>
        <v>2.1999999999999999E-2</v>
      </c>
      <c r="AV97" s="197">
        <f t="shared" si="76"/>
        <v>1.4999999999999999E-2</v>
      </c>
      <c r="AW97" s="197">
        <f t="shared" si="76"/>
        <v>0.01</v>
      </c>
      <c r="AX97" s="197">
        <f t="shared" si="76"/>
        <v>4.7E-2</v>
      </c>
      <c r="AY97" s="197">
        <f t="shared" si="76"/>
        <v>0.125</v>
      </c>
      <c r="AZ97" s="197">
        <f t="shared" si="76"/>
        <v>8.0000000000000002E-3</v>
      </c>
      <c r="BA97" s="197">
        <f t="shared" si="76"/>
        <v>5.0000000000000001E-3</v>
      </c>
      <c r="BB97" s="197">
        <f t="shared" si="76"/>
        <v>6.0000000000000001E-3</v>
      </c>
      <c r="BC97" s="197">
        <f t="shared" si="76"/>
        <v>1.9000000000000003E-2</v>
      </c>
      <c r="BD97" s="197">
        <f t="shared" si="76"/>
        <v>0.14400000000000002</v>
      </c>
      <c r="BE97" s="197">
        <f t="shared" si="76"/>
        <v>6.0000000000000001E-3</v>
      </c>
      <c r="BF97" s="197">
        <f t="shared" si="76"/>
        <v>7.0000000000000001E-3</v>
      </c>
      <c r="BG97" s="197">
        <f t="shared" si="76"/>
        <v>4.0000000000000001E-3</v>
      </c>
      <c r="BH97" s="197">
        <f t="shared" si="76"/>
        <v>1.7000000000000001E-2</v>
      </c>
      <c r="BI97" s="634">
        <f t="shared" si="51"/>
        <v>0.16100000000000003</v>
      </c>
      <c r="BJ97" s="197">
        <f t="shared" si="51"/>
        <v>6.0000000000000001E-3</v>
      </c>
      <c r="BK97" s="197">
        <f t="shared" si="51"/>
        <v>6.0000000000000001E-3</v>
      </c>
      <c r="BL97" s="197">
        <v>6.0000000000000001E-3</v>
      </c>
      <c r="BM97" s="197">
        <f t="shared" si="55"/>
        <v>1.8000000000000002E-2</v>
      </c>
      <c r="BN97" s="197">
        <f t="shared" si="52"/>
        <v>0</v>
      </c>
      <c r="BO97" s="197">
        <f t="shared" si="52"/>
        <v>0</v>
      </c>
      <c r="BP97" s="197">
        <f t="shared" si="52"/>
        <v>0</v>
      </c>
      <c r="BQ97" s="197">
        <f t="shared" si="56"/>
        <v>0</v>
      </c>
      <c r="BR97" s="197">
        <f t="shared" si="57"/>
        <v>1.8000000000000002E-2</v>
      </c>
      <c r="BS97" s="197">
        <f t="shared" si="53"/>
        <v>0</v>
      </c>
      <c r="BT97" s="197">
        <f t="shared" si="53"/>
        <v>0</v>
      </c>
      <c r="BU97" s="197">
        <f t="shared" si="53"/>
        <v>0</v>
      </c>
      <c r="BV97" s="197">
        <f t="shared" si="58"/>
        <v>0</v>
      </c>
      <c r="BW97" s="197">
        <f t="shared" si="59"/>
        <v>1.8000000000000002E-2</v>
      </c>
      <c r="BX97" s="197">
        <f t="shared" si="60"/>
        <v>0</v>
      </c>
      <c r="BY97" s="197">
        <f t="shared" si="60"/>
        <v>0</v>
      </c>
      <c r="BZ97" s="197">
        <f t="shared" si="61"/>
        <v>0</v>
      </c>
      <c r="CA97" s="197">
        <f t="shared" si="62"/>
        <v>0</v>
      </c>
      <c r="CB97" s="634">
        <v>1.7999999999999999E-2</v>
      </c>
      <c r="CC97" s="197">
        <f t="shared" si="63"/>
        <v>0</v>
      </c>
      <c r="CD97" s="197">
        <f t="shared" si="63"/>
        <v>0</v>
      </c>
      <c r="CE97" s="197">
        <f t="shared" si="63"/>
        <v>0</v>
      </c>
      <c r="CF97" s="197">
        <f t="shared" si="64"/>
        <v>0</v>
      </c>
      <c r="CG97" s="197">
        <f t="shared" si="65"/>
        <v>0</v>
      </c>
      <c r="CH97" s="197"/>
      <c r="CI97" s="197"/>
      <c r="CJ97" s="197"/>
      <c r="CK97" s="197"/>
      <c r="CL97" s="197"/>
      <c r="CM97" s="197"/>
      <c r="CN97" s="197"/>
      <c r="CO97" s="197"/>
      <c r="CP97" s="197"/>
      <c r="CQ97" s="197"/>
      <c r="CR97" s="197"/>
      <c r="CS97" s="197"/>
      <c r="CT97" s="197"/>
      <c r="CU97" s="634"/>
    </row>
    <row r="98" spans="3:99">
      <c r="C98">
        <v>16</v>
      </c>
      <c r="D98" s="209" t="s">
        <v>70</v>
      </c>
      <c r="E98" s="633">
        <f t="shared" si="48"/>
        <v>7.1999999999999995E-2</v>
      </c>
      <c r="F98" s="197">
        <f t="shared" si="48"/>
        <v>7.2999999999999995E-2</v>
      </c>
      <c r="G98" s="197">
        <f t="shared" si="48"/>
        <v>7.6999999999999999E-2</v>
      </c>
      <c r="H98" s="197">
        <f t="shared" si="48"/>
        <v>0.22199999999999998</v>
      </c>
      <c r="I98" s="197">
        <f t="shared" si="48"/>
        <v>7.5999999999999998E-2</v>
      </c>
      <c r="J98" s="197">
        <f t="shared" si="48"/>
        <v>7.9000000000000001E-2</v>
      </c>
      <c r="K98" s="197">
        <f t="shared" si="48"/>
        <v>8.6999999999999994E-2</v>
      </c>
      <c r="L98" s="197">
        <f t="shared" si="48"/>
        <v>0.24199999999999999</v>
      </c>
      <c r="M98" s="197">
        <f t="shared" ref="F98:BH99" si="77">M60+M79</f>
        <v>0.46399999999999997</v>
      </c>
      <c r="N98" s="197">
        <f t="shared" si="77"/>
        <v>8.8999999999999996E-2</v>
      </c>
      <c r="O98" s="197">
        <f t="shared" si="77"/>
        <v>8.4000000000000005E-2</v>
      </c>
      <c r="P98" s="197">
        <f t="shared" si="77"/>
        <v>8.2000000000000003E-2</v>
      </c>
      <c r="Q98" s="197">
        <f t="shared" si="77"/>
        <v>0.255</v>
      </c>
      <c r="R98" s="197">
        <f t="shared" si="77"/>
        <v>0.71899999999999997</v>
      </c>
      <c r="S98" s="197">
        <f t="shared" si="77"/>
        <v>8.2000000000000003E-2</v>
      </c>
      <c r="T98" s="197">
        <f t="shared" si="77"/>
        <v>7.4999999999999997E-2</v>
      </c>
      <c r="U98" s="197">
        <f t="shared" si="77"/>
        <v>7.4999999999999997E-2</v>
      </c>
      <c r="V98" s="197">
        <f t="shared" si="77"/>
        <v>0.23199999999999998</v>
      </c>
      <c r="W98" s="634">
        <f t="shared" si="77"/>
        <v>0.95099999999999996</v>
      </c>
      <c r="X98" s="633">
        <f t="shared" si="77"/>
        <v>5.5E-2</v>
      </c>
      <c r="Y98" s="197">
        <f t="shared" si="77"/>
        <v>6.4000000000000001E-2</v>
      </c>
      <c r="Z98" s="197">
        <f t="shared" si="77"/>
        <v>7.2999999999999995E-2</v>
      </c>
      <c r="AA98" s="197">
        <f t="shared" si="77"/>
        <v>0.192</v>
      </c>
      <c r="AB98" s="197">
        <f t="shared" si="77"/>
        <v>8.1000000000000003E-2</v>
      </c>
      <c r="AC98" s="197">
        <f t="shared" si="77"/>
        <v>7.6999999999999999E-2</v>
      </c>
      <c r="AD98" s="197">
        <f t="shared" si="77"/>
        <v>6.9000000000000006E-2</v>
      </c>
      <c r="AE98" s="197">
        <f t="shared" si="77"/>
        <v>0.22700000000000001</v>
      </c>
      <c r="AF98" s="197">
        <f t="shared" si="77"/>
        <v>0.41900000000000004</v>
      </c>
      <c r="AG98" s="197">
        <f t="shared" si="77"/>
        <v>6.7000000000000004E-2</v>
      </c>
      <c r="AH98" s="197">
        <f t="shared" si="77"/>
        <v>7.0999999999999994E-2</v>
      </c>
      <c r="AI98" s="197">
        <f t="shared" si="77"/>
        <v>7.6999999999999999E-2</v>
      </c>
      <c r="AJ98" s="197">
        <f t="shared" si="77"/>
        <v>0.21500000000000002</v>
      </c>
      <c r="AK98" s="197">
        <f t="shared" si="77"/>
        <v>0.63400000000000012</v>
      </c>
      <c r="AL98" s="197">
        <f t="shared" si="77"/>
        <v>7.5999999999999998E-2</v>
      </c>
      <c r="AM98" s="197">
        <f t="shared" si="77"/>
        <v>7.2999999999999995E-2</v>
      </c>
      <c r="AN98" s="197">
        <f t="shared" si="77"/>
        <v>0.05</v>
      </c>
      <c r="AO98" s="197">
        <f t="shared" si="77"/>
        <v>0.19900000000000001</v>
      </c>
      <c r="AP98" s="197">
        <f t="shared" si="77"/>
        <v>0.83300000000000018</v>
      </c>
      <c r="AQ98" s="633">
        <f t="shared" si="77"/>
        <v>7.0000000000000007E-2</v>
      </c>
      <c r="AR98" s="197">
        <f t="shared" si="77"/>
        <v>7.2999999999999995E-2</v>
      </c>
      <c r="AS98" s="197">
        <f t="shared" si="77"/>
        <v>6.5000000000000002E-2</v>
      </c>
      <c r="AT98" s="197">
        <f t="shared" si="77"/>
        <v>0.20800000000000002</v>
      </c>
      <c r="AU98" s="197">
        <f t="shared" si="77"/>
        <v>7.6999999999999999E-2</v>
      </c>
      <c r="AV98" s="197">
        <f t="shared" si="77"/>
        <v>7.3999999999999996E-2</v>
      </c>
      <c r="AW98" s="197">
        <f t="shared" si="77"/>
        <v>6.4000000000000001E-2</v>
      </c>
      <c r="AX98" s="197">
        <f t="shared" si="77"/>
        <v>0.215</v>
      </c>
      <c r="AY98" s="197">
        <f t="shared" si="77"/>
        <v>0.42300000000000004</v>
      </c>
      <c r="AZ98" s="197">
        <f t="shared" si="77"/>
        <v>6.6000000000000003E-2</v>
      </c>
      <c r="BA98" s="197">
        <f t="shared" si="77"/>
        <v>6.3E-2</v>
      </c>
      <c r="BB98" s="197">
        <f t="shared" si="77"/>
        <v>7.0999999999999994E-2</v>
      </c>
      <c r="BC98" s="197">
        <f t="shared" si="77"/>
        <v>0.2</v>
      </c>
      <c r="BD98" s="197">
        <f t="shared" si="77"/>
        <v>0.623</v>
      </c>
      <c r="BE98" s="197">
        <f t="shared" si="77"/>
        <v>8.3000000000000004E-2</v>
      </c>
      <c r="BF98" s="197">
        <f t="shared" si="77"/>
        <v>7.5999999999999998E-2</v>
      </c>
      <c r="BG98" s="197">
        <f t="shared" si="77"/>
        <v>7.0000000000000007E-2</v>
      </c>
      <c r="BH98" s="197">
        <f t="shared" si="77"/>
        <v>0.22900000000000001</v>
      </c>
      <c r="BI98" s="634">
        <f t="shared" si="51"/>
        <v>0.85199999999999998</v>
      </c>
      <c r="BJ98" s="197">
        <f t="shared" si="51"/>
        <v>6.9000000000000006E-2</v>
      </c>
      <c r="BK98" s="197">
        <f t="shared" si="51"/>
        <v>7.2999999999999995E-2</v>
      </c>
      <c r="BL98" s="197">
        <v>7.2999999999999995E-2</v>
      </c>
      <c r="BM98" s="197">
        <f t="shared" si="55"/>
        <v>0.21500000000000002</v>
      </c>
      <c r="BN98" s="197">
        <f t="shared" si="52"/>
        <v>7.6999999999999999E-2</v>
      </c>
      <c r="BO98" s="197">
        <f t="shared" si="52"/>
        <v>7.4999999999999997E-2</v>
      </c>
      <c r="BP98" s="197">
        <f t="shared" si="52"/>
        <v>6.2E-2</v>
      </c>
      <c r="BQ98" s="197">
        <f t="shared" si="56"/>
        <v>0.214</v>
      </c>
      <c r="BR98" s="197">
        <f t="shared" si="57"/>
        <v>0.42900000000000005</v>
      </c>
      <c r="BS98" s="197">
        <f t="shared" si="53"/>
        <v>6.4000000000000001E-2</v>
      </c>
      <c r="BT98" s="197">
        <f t="shared" si="53"/>
        <v>7.2999999999999995E-2</v>
      </c>
      <c r="BU98" s="197">
        <f t="shared" si="53"/>
        <v>7.3999999999999996E-2</v>
      </c>
      <c r="BV98" s="197">
        <f t="shared" si="58"/>
        <v>0.21100000000000002</v>
      </c>
      <c r="BW98" s="197">
        <f t="shared" si="59"/>
        <v>0.64000000000000012</v>
      </c>
      <c r="BX98" s="197">
        <f t="shared" si="60"/>
        <v>8.2000000000000003E-2</v>
      </c>
      <c r="BY98" s="197">
        <f t="shared" si="60"/>
        <v>6.9000000000000006E-2</v>
      </c>
      <c r="BZ98" s="197">
        <f t="shared" si="61"/>
        <v>7.8E-2</v>
      </c>
      <c r="CA98" s="197">
        <f t="shared" si="62"/>
        <v>0.22900000000000004</v>
      </c>
      <c r="CB98" s="634">
        <v>0.86799999999999999</v>
      </c>
      <c r="CC98" s="197">
        <f t="shared" si="63"/>
        <v>6.7000000000000004E-2</v>
      </c>
      <c r="CD98" s="197">
        <f t="shared" si="63"/>
        <v>7.2999999999999995E-2</v>
      </c>
      <c r="CE98" s="197">
        <f t="shared" si="63"/>
        <v>7.3999999999999996E-2</v>
      </c>
      <c r="CF98" s="197">
        <f t="shared" si="64"/>
        <v>0.21400000000000002</v>
      </c>
      <c r="CG98" s="197">
        <f t="shared" si="65"/>
        <v>7.4999999999999997E-2</v>
      </c>
      <c r="CH98" s="197"/>
      <c r="CI98" s="197"/>
      <c r="CJ98" s="197"/>
      <c r="CK98" s="197"/>
      <c r="CL98" s="197"/>
      <c r="CM98" s="197"/>
      <c r="CN98" s="197"/>
      <c r="CO98" s="197"/>
      <c r="CP98" s="197"/>
      <c r="CQ98" s="197"/>
      <c r="CR98" s="197"/>
      <c r="CS98" s="197"/>
      <c r="CT98" s="197"/>
      <c r="CU98" s="634"/>
    </row>
    <row r="99" spans="3:99" ht="15.75" thickBot="1">
      <c r="C99">
        <v>17</v>
      </c>
      <c r="D99" s="279" t="s">
        <v>828</v>
      </c>
      <c r="E99" s="635">
        <f>E61+E80</f>
        <v>0.94300000000000006</v>
      </c>
      <c r="F99" s="636">
        <f t="shared" si="77"/>
        <v>0.82699999999999996</v>
      </c>
      <c r="G99" s="636">
        <f t="shared" si="77"/>
        <v>0.77899999999999991</v>
      </c>
      <c r="H99" s="636">
        <f t="shared" si="77"/>
        <v>2.5489999999999999</v>
      </c>
      <c r="I99" s="636">
        <f t="shared" si="77"/>
        <v>0.80099999999999993</v>
      </c>
      <c r="J99" s="636">
        <f t="shared" si="77"/>
        <v>0.82800000000000007</v>
      </c>
      <c r="K99" s="636">
        <f t="shared" si="77"/>
        <v>0.77300000000000002</v>
      </c>
      <c r="L99" s="636">
        <f t="shared" si="77"/>
        <v>2.4019999999999997</v>
      </c>
      <c r="M99" s="636">
        <f t="shared" si="77"/>
        <v>4.9509999999999987</v>
      </c>
      <c r="N99" s="636">
        <f t="shared" si="77"/>
        <v>0.79</v>
      </c>
      <c r="O99" s="636">
        <f t="shared" si="77"/>
        <v>0.89600000000000013</v>
      </c>
      <c r="P99" s="636">
        <f t="shared" si="77"/>
        <v>0.8680000000000001</v>
      </c>
      <c r="Q99" s="636">
        <f t="shared" si="77"/>
        <v>2.5539999999999998</v>
      </c>
      <c r="R99" s="636">
        <f t="shared" si="77"/>
        <v>7.504999999999999</v>
      </c>
      <c r="S99" s="636">
        <f t="shared" si="77"/>
        <v>0.89500000000000002</v>
      </c>
      <c r="T99" s="636">
        <f t="shared" si="77"/>
        <v>0.8580000000000001</v>
      </c>
      <c r="U99" s="636">
        <f t="shared" si="77"/>
        <v>0.91300000000000003</v>
      </c>
      <c r="V99" s="636">
        <f t="shared" si="77"/>
        <v>2.6659999999999999</v>
      </c>
      <c r="W99" s="637">
        <f t="shared" si="77"/>
        <v>10.170999999999999</v>
      </c>
      <c r="X99" s="635">
        <f t="shared" si="77"/>
        <v>0.89700000000000002</v>
      </c>
      <c r="Y99" s="636">
        <f t="shared" si="77"/>
        <v>0.88600000000000012</v>
      </c>
      <c r="Z99" s="636">
        <f t="shared" si="77"/>
        <v>0.8570000000000001</v>
      </c>
      <c r="AA99" s="636">
        <f t="shared" si="77"/>
        <v>2.64</v>
      </c>
      <c r="AB99" s="636">
        <f t="shared" si="77"/>
        <v>0.88400000000000012</v>
      </c>
      <c r="AC99" s="636">
        <f t="shared" si="77"/>
        <v>0.87100000000000011</v>
      </c>
      <c r="AD99" s="636">
        <f t="shared" si="77"/>
        <v>0.82300000000000006</v>
      </c>
      <c r="AE99" s="636">
        <f t="shared" si="77"/>
        <v>2.5779999999999998</v>
      </c>
      <c r="AF99" s="636">
        <f t="shared" si="77"/>
        <v>5.2180000000000009</v>
      </c>
      <c r="AG99" s="636">
        <f t="shared" si="77"/>
        <v>0.8630000000000001</v>
      </c>
      <c r="AH99" s="636">
        <f t="shared" si="77"/>
        <v>0.88200000000000012</v>
      </c>
      <c r="AI99" s="636">
        <f t="shared" si="77"/>
        <v>0.93000000000000016</v>
      </c>
      <c r="AJ99" s="636">
        <f t="shared" si="77"/>
        <v>2.6750000000000003</v>
      </c>
      <c r="AK99" s="636">
        <f t="shared" si="77"/>
        <v>7.8930000000000007</v>
      </c>
      <c r="AL99" s="636">
        <f t="shared" si="77"/>
        <v>0.91400000000000015</v>
      </c>
      <c r="AM99" s="636">
        <f t="shared" si="77"/>
        <v>0.83799999999999986</v>
      </c>
      <c r="AN99" s="636">
        <f t="shared" si="77"/>
        <v>0.87300000000000011</v>
      </c>
      <c r="AO99" s="636">
        <f t="shared" si="77"/>
        <v>2.625</v>
      </c>
      <c r="AP99" s="636">
        <f t="shared" si="77"/>
        <v>10.518000000000001</v>
      </c>
      <c r="AQ99" s="635">
        <f t="shared" si="77"/>
        <v>0.8610000000000001</v>
      </c>
      <c r="AR99" s="636">
        <f t="shared" si="77"/>
        <v>0.83600000000000008</v>
      </c>
      <c r="AS99" s="636">
        <f t="shared" si="77"/>
        <v>0.82500000000000007</v>
      </c>
      <c r="AT99" s="636">
        <f t="shared" si="77"/>
        <v>2.5220000000000002</v>
      </c>
      <c r="AU99" s="636">
        <f t="shared" si="77"/>
        <v>0.8590000000000001</v>
      </c>
      <c r="AV99" s="636">
        <f t="shared" si="77"/>
        <v>0.84400000000000008</v>
      </c>
      <c r="AW99" s="636">
        <f t="shared" si="77"/>
        <v>0.81400000000000006</v>
      </c>
      <c r="AX99" s="636">
        <f t="shared" si="77"/>
        <v>2.5170000000000003</v>
      </c>
      <c r="AY99" s="636">
        <f t="shared" si="77"/>
        <v>5.0389999999999997</v>
      </c>
      <c r="AZ99" s="636">
        <f t="shared" si="77"/>
        <v>0.84500000000000008</v>
      </c>
      <c r="BA99" s="636">
        <f t="shared" si="77"/>
        <v>0.91</v>
      </c>
      <c r="BB99" s="636">
        <f t="shared" si="77"/>
        <v>0.89900000000000013</v>
      </c>
      <c r="BC99" s="636">
        <f t="shared" si="77"/>
        <v>2.6540000000000004</v>
      </c>
      <c r="BD99" s="636">
        <f t="shared" si="77"/>
        <v>7.6929999999999996</v>
      </c>
      <c r="BE99" s="636">
        <f t="shared" si="77"/>
        <v>0.91200000000000003</v>
      </c>
      <c r="BF99" s="636">
        <f t="shared" si="77"/>
        <v>0.80900000000000016</v>
      </c>
      <c r="BG99" s="636">
        <f t="shared" si="77"/>
        <v>0.8640000000000001</v>
      </c>
      <c r="BH99" s="636">
        <f t="shared" si="77"/>
        <v>2.585</v>
      </c>
      <c r="BI99" s="637">
        <f>SUM(BI85:BI98)</f>
        <v>10.278</v>
      </c>
      <c r="BJ99" s="636">
        <f>SUM(BJ85:BJ98)</f>
        <v>0.81800000000000006</v>
      </c>
      <c r="BK99" s="636">
        <f>SUM(BK85:BK98)</f>
        <v>0.8350000000000003</v>
      </c>
      <c r="BL99" s="636">
        <f>SUM(BL85:BL98)</f>
        <v>0.79800000000000015</v>
      </c>
      <c r="BM99" s="636">
        <f>SUM(BM85:BM98)</f>
        <v>2.4509999999999996</v>
      </c>
      <c r="BN99" s="636">
        <f t="shared" si="52"/>
        <v>0.82099999999999995</v>
      </c>
      <c r="BO99" s="197">
        <f t="shared" si="52"/>
        <v>0.7</v>
      </c>
      <c r="BP99" s="197">
        <f t="shared" si="52"/>
        <v>0.79900000000000015</v>
      </c>
      <c r="BQ99" s="197">
        <f t="shared" si="56"/>
        <v>2.3200000000000003</v>
      </c>
      <c r="BR99" s="197">
        <f t="shared" si="57"/>
        <v>4.7709999999999999</v>
      </c>
      <c r="BS99" s="197">
        <f t="shared" si="53"/>
        <v>0.83099999999999996</v>
      </c>
      <c r="BT99" s="197">
        <f t="shared" si="53"/>
        <v>0.80399999999999994</v>
      </c>
      <c r="BU99" s="197">
        <f t="shared" si="53"/>
        <v>0.75700000000000001</v>
      </c>
      <c r="BV99" s="197">
        <f t="shared" si="58"/>
        <v>2.3919999999999999</v>
      </c>
      <c r="BW99" s="197">
        <f t="shared" si="59"/>
        <v>7.1630000000000003</v>
      </c>
      <c r="BX99" s="197">
        <f t="shared" si="60"/>
        <v>0.82199999999999995</v>
      </c>
      <c r="BY99" s="636">
        <f>SUM(BY85:BY98)</f>
        <v>0.79700000000000015</v>
      </c>
      <c r="BZ99" s="636">
        <f>SUM(BZ85:BZ98)</f>
        <v>0.8510000000000002</v>
      </c>
      <c r="CA99" s="636">
        <f>SUM(CA85:CA98)</f>
        <v>2.4689999999999999</v>
      </c>
      <c r="CB99" s="637">
        <v>9.6709999999999994</v>
      </c>
      <c r="CC99" s="636">
        <f>SUM(CC85:CC98)</f>
        <v>0.81800000000000028</v>
      </c>
      <c r="CD99" s="636">
        <f>SUM(CD85:CD98)</f>
        <v>0.84000000000000019</v>
      </c>
      <c r="CE99" s="636">
        <f>SUM(CE85:CE98)</f>
        <v>0.82100000000000017</v>
      </c>
      <c r="CF99" s="197">
        <f>SUM(CF85:CF98)</f>
        <v>2.4790000000000001</v>
      </c>
      <c r="CG99" s="197">
        <f>SUM(CG85:CG98)</f>
        <v>0.84199999999999997</v>
      </c>
      <c r="CH99" s="197"/>
      <c r="CI99" s="197"/>
      <c r="CJ99" s="197"/>
      <c r="CK99" s="197"/>
      <c r="CL99" s="197"/>
      <c r="CM99" s="197"/>
      <c r="CN99" s="197"/>
      <c r="CO99" s="197"/>
      <c r="CP99" s="197"/>
      <c r="CQ99" s="636"/>
      <c r="CR99" s="636"/>
      <c r="CS99" s="636"/>
      <c r="CT99" s="636"/>
      <c r="CU99" s="637"/>
    </row>
    <row r="102" spans="3:99" ht="15" customHeight="1">
      <c r="E102" s="763" t="s">
        <v>1843</v>
      </c>
      <c r="F102" s="1315" t="s">
        <v>1842</v>
      </c>
      <c r="G102" s="1315"/>
      <c r="H102" s="1315"/>
      <c r="I102" s="1315"/>
      <c r="J102" s="1315"/>
      <c r="K102" s="1315"/>
      <c r="L102" s="1315"/>
      <c r="M102" s="1315"/>
      <c r="N102" s="1315"/>
      <c r="O102" s="1315"/>
      <c r="P102" s="1315"/>
      <c r="Q102" s="1315"/>
      <c r="R102" s="1315"/>
      <c r="S102" s="1315"/>
      <c r="T102" s="1315"/>
    </row>
  </sheetData>
  <sheetProtection formatCells="0" formatColumns="0" formatRows="0" insertColumns="0" insertRows="0" insertHyperlinks="0" deleteColumns="0" deleteRows="0" sort="0" autoFilter="0" pivotTables="0"/>
  <mergeCells count="1">
    <mergeCell ref="F102:T102"/>
  </mergeCell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cellIs" priority="13" operator="notEqual" id="{BF52A793-D0E5-46B4-A535-F08E6FD87610}">
            <xm:f>ROUND(Storage_Reconciled_prod_chosen!E47,3)</xm:f>
            <x14:dxf>
              <fill>
                <patternFill>
                  <bgColor theme="7"/>
                </patternFill>
              </fill>
            </x14:dxf>
          </x14:cfRule>
          <xm:sqref>BZ66:BZ74 E80:CA80 E66:BY79 BH66:CU66 E47:CU61 BI67:CU80 E85:CU99</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14:formula1>
            <xm:f>Dropdowns!$B$416:$B$419</xm:f>
          </x14:formula1>
          <xm:sqref>L20</xm:sqref>
        </x14:dataValidation>
        <x14:dataValidation type="list" allowBlank="1" showInputMessage="1" showErrorMessage="1">
          <x14:formula1>
            <xm:f>Dropdowns!$B$422:$B$434</xm:f>
          </x14:formula1>
          <xm:sqref>M20</xm:sqref>
        </x14:dataValidation>
      </x14:dataValidations>
    </ext>
  </extLst>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tabColor rgb="FFFFFF00"/>
  </sheetPr>
  <dimension ref="A1:CW107"/>
  <sheetViews>
    <sheetView topLeftCell="BT1" workbookViewId="0">
      <selection activeCell="CM6" sqref="CM6"/>
    </sheetView>
  </sheetViews>
  <sheetFormatPr defaultColWidth="8.85546875" defaultRowHeight="15"/>
  <cols>
    <col min="4" max="4" width="10.28515625" bestFit="1" customWidth="1"/>
    <col min="71" max="71" width="9.42578125" bestFit="1" customWidth="1"/>
  </cols>
  <sheetData>
    <row r="1" spans="1:10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c r="BS1">
        <v>71</v>
      </c>
      <c r="BT1">
        <v>72</v>
      </c>
      <c r="BU1">
        <v>73</v>
      </c>
      <c r="BV1">
        <v>74</v>
      </c>
      <c r="BW1">
        <v>75</v>
      </c>
      <c r="BX1">
        <v>76</v>
      </c>
      <c r="BY1">
        <v>77</v>
      </c>
      <c r="BZ1">
        <v>78</v>
      </c>
      <c r="CA1">
        <v>79</v>
      </c>
      <c r="CB1">
        <v>80</v>
      </c>
      <c r="CC1">
        <v>81</v>
      </c>
      <c r="CD1">
        <v>82</v>
      </c>
      <c r="CE1">
        <v>83</v>
      </c>
      <c r="CF1">
        <v>84</v>
      </c>
      <c r="CG1">
        <v>85</v>
      </c>
      <c r="CH1">
        <v>86</v>
      </c>
      <c r="CI1">
        <v>87</v>
      </c>
      <c r="CJ1">
        <v>88</v>
      </c>
      <c r="CK1">
        <v>89</v>
      </c>
      <c r="CL1">
        <v>90</v>
      </c>
      <c r="CM1">
        <v>91</v>
      </c>
      <c r="CN1">
        <v>92</v>
      </c>
      <c r="CO1">
        <v>93</v>
      </c>
      <c r="CP1">
        <v>94</v>
      </c>
      <c r="CQ1">
        <v>95</v>
      </c>
      <c r="CR1">
        <v>96</v>
      </c>
      <c r="CS1">
        <v>97</v>
      </c>
      <c r="CT1">
        <v>98</v>
      </c>
      <c r="CU1">
        <v>99</v>
      </c>
    </row>
    <row r="4" spans="1:101">
      <c r="E4" t="s">
        <v>1425</v>
      </c>
    </row>
    <row r="5" spans="1:101">
      <c r="E5" t="s">
        <v>1426</v>
      </c>
    </row>
    <row r="7" spans="1:101">
      <c r="C7">
        <v>1</v>
      </c>
      <c r="E7">
        <v>202204</v>
      </c>
      <c r="F7">
        <v>202205</v>
      </c>
      <c r="G7">
        <v>202206</v>
      </c>
      <c r="H7">
        <v>222331</v>
      </c>
      <c r="I7">
        <v>202207</v>
      </c>
      <c r="J7">
        <v>202208</v>
      </c>
      <c r="K7">
        <v>202209</v>
      </c>
      <c r="L7">
        <v>222332</v>
      </c>
      <c r="M7">
        <v>222361</v>
      </c>
      <c r="N7">
        <v>202210</v>
      </c>
      <c r="O7">
        <v>202211</v>
      </c>
      <c r="P7">
        <v>202212</v>
      </c>
      <c r="Q7">
        <v>222333</v>
      </c>
      <c r="R7">
        <v>222391</v>
      </c>
      <c r="S7">
        <v>202301</v>
      </c>
      <c r="T7">
        <v>202302</v>
      </c>
      <c r="U7">
        <v>202303</v>
      </c>
      <c r="V7">
        <v>222334</v>
      </c>
      <c r="W7" s="480">
        <v>222399</v>
      </c>
      <c r="X7">
        <v>202304</v>
      </c>
      <c r="Y7">
        <v>202305</v>
      </c>
      <c r="Z7">
        <v>202306</v>
      </c>
      <c r="AA7">
        <v>232431</v>
      </c>
      <c r="AB7">
        <v>202307</v>
      </c>
      <c r="AC7">
        <v>202308</v>
      </c>
      <c r="AD7">
        <v>202309</v>
      </c>
      <c r="AE7">
        <v>232432</v>
      </c>
      <c r="AF7">
        <v>232461</v>
      </c>
      <c r="AG7">
        <v>202310</v>
      </c>
      <c r="AH7">
        <v>202311</v>
      </c>
      <c r="AI7">
        <v>202312</v>
      </c>
      <c r="AJ7">
        <v>232433</v>
      </c>
      <c r="AK7">
        <v>232491</v>
      </c>
      <c r="AL7">
        <v>202401</v>
      </c>
      <c r="AM7">
        <v>202402</v>
      </c>
      <c r="AN7">
        <v>202403</v>
      </c>
      <c r="AO7">
        <v>232434</v>
      </c>
      <c r="AP7" s="480">
        <v>232499</v>
      </c>
      <c r="AQ7">
        <v>202404</v>
      </c>
      <c r="AR7">
        <v>202405</v>
      </c>
      <c r="AS7">
        <v>202406</v>
      </c>
      <c r="AT7">
        <v>242531</v>
      </c>
      <c r="AU7">
        <v>202407</v>
      </c>
      <c r="AV7">
        <v>202408</v>
      </c>
      <c r="AW7">
        <v>202409</v>
      </c>
      <c r="AX7">
        <v>242532</v>
      </c>
      <c r="AY7">
        <v>242561</v>
      </c>
      <c r="AZ7">
        <v>202410</v>
      </c>
      <c r="BA7">
        <v>202411</v>
      </c>
      <c r="BB7">
        <v>202412</v>
      </c>
      <c r="BC7">
        <v>242533</v>
      </c>
      <c r="BD7">
        <v>242591</v>
      </c>
      <c r="BE7">
        <v>202501</v>
      </c>
      <c r="BF7">
        <v>202502</v>
      </c>
      <c r="BG7">
        <v>202503</v>
      </c>
      <c r="BH7">
        <v>242534</v>
      </c>
      <c r="BI7" s="480">
        <v>242599</v>
      </c>
      <c r="BJ7">
        <v>202504</v>
      </c>
      <c r="BK7">
        <v>202505</v>
      </c>
      <c r="BL7">
        <v>202506</v>
      </c>
      <c r="BM7">
        <v>252631</v>
      </c>
      <c r="BN7">
        <v>202507</v>
      </c>
      <c r="BO7">
        <v>202508</v>
      </c>
      <c r="BP7">
        <v>202509</v>
      </c>
      <c r="BQ7">
        <v>252632</v>
      </c>
      <c r="BR7">
        <v>252661</v>
      </c>
      <c r="BS7">
        <v>202510</v>
      </c>
      <c r="BT7">
        <v>202511</v>
      </c>
      <c r="BU7">
        <v>202512</v>
      </c>
      <c r="BV7">
        <v>252633</v>
      </c>
      <c r="BW7">
        <v>252691</v>
      </c>
      <c r="BX7">
        <v>202601</v>
      </c>
      <c r="BY7">
        <v>202602</v>
      </c>
      <c r="BZ7">
        <v>202603</v>
      </c>
      <c r="CA7">
        <v>252634</v>
      </c>
      <c r="CB7" s="480">
        <v>252699</v>
      </c>
      <c r="CC7">
        <v>202604</v>
      </c>
      <c r="CD7">
        <v>202605</v>
      </c>
      <c r="CE7">
        <v>202606</v>
      </c>
      <c r="CF7">
        <v>262731</v>
      </c>
      <c r="CG7">
        <v>202607</v>
      </c>
      <c r="CH7">
        <v>202608</v>
      </c>
      <c r="CI7">
        <v>202609</v>
      </c>
      <c r="CJ7">
        <v>262732</v>
      </c>
      <c r="CK7">
        <v>262761</v>
      </c>
      <c r="CL7">
        <v>202610</v>
      </c>
      <c r="CM7">
        <v>202611</v>
      </c>
      <c r="CN7">
        <v>202612</v>
      </c>
      <c r="CO7">
        <v>262733</v>
      </c>
      <c r="CP7">
        <v>262791</v>
      </c>
      <c r="CQ7">
        <v>202701</v>
      </c>
      <c r="CR7">
        <v>202702</v>
      </c>
      <c r="CS7">
        <v>202703</v>
      </c>
      <c r="CT7">
        <v>262734</v>
      </c>
      <c r="CU7" s="480">
        <v>262799</v>
      </c>
    </row>
    <row r="8" spans="1:101">
      <c r="C8">
        <v>2</v>
      </c>
      <c r="E8" t="s">
        <v>308</v>
      </c>
      <c r="F8" t="s">
        <v>309</v>
      </c>
      <c r="G8" t="s">
        <v>829</v>
      </c>
      <c r="H8" t="s">
        <v>392</v>
      </c>
      <c r="I8" t="s">
        <v>830</v>
      </c>
      <c r="J8" t="s">
        <v>312</v>
      </c>
      <c r="K8" t="s">
        <v>313</v>
      </c>
      <c r="L8" t="s">
        <v>393</v>
      </c>
      <c r="M8" t="s">
        <v>622</v>
      </c>
      <c r="N8" t="s">
        <v>314</v>
      </c>
      <c r="O8" t="s">
        <v>315</v>
      </c>
      <c r="P8" t="s">
        <v>316</v>
      </c>
      <c r="Q8" t="s">
        <v>394</v>
      </c>
      <c r="R8" t="s">
        <v>624</v>
      </c>
      <c r="S8" t="s">
        <v>317</v>
      </c>
      <c r="T8" t="s">
        <v>318</v>
      </c>
      <c r="U8" t="s">
        <v>319</v>
      </c>
      <c r="V8" t="s">
        <v>395</v>
      </c>
      <c r="W8" s="480" t="s">
        <v>831</v>
      </c>
      <c r="X8" t="s">
        <v>726</v>
      </c>
      <c r="Y8" t="s">
        <v>727</v>
      </c>
      <c r="Z8" t="s">
        <v>832</v>
      </c>
      <c r="AA8" t="s">
        <v>762</v>
      </c>
      <c r="AB8" t="s">
        <v>833</v>
      </c>
      <c r="AC8" t="s">
        <v>730</v>
      </c>
      <c r="AD8" t="s">
        <v>731</v>
      </c>
      <c r="AE8" t="s">
        <v>765</v>
      </c>
      <c r="AF8" t="s">
        <v>774</v>
      </c>
      <c r="AG8" t="s">
        <v>732</v>
      </c>
      <c r="AH8" t="s">
        <v>733</v>
      </c>
      <c r="AI8" t="s">
        <v>734</v>
      </c>
      <c r="AJ8" t="s">
        <v>768</v>
      </c>
      <c r="AK8" t="s">
        <v>780</v>
      </c>
      <c r="AL8" t="s">
        <v>735</v>
      </c>
      <c r="AM8" t="s">
        <v>736</v>
      </c>
      <c r="AN8" t="s">
        <v>737</v>
      </c>
      <c r="AO8" t="s">
        <v>771</v>
      </c>
      <c r="AP8" s="480" t="s">
        <v>834</v>
      </c>
      <c r="AQ8" t="s">
        <v>738</v>
      </c>
      <c r="AR8" t="s">
        <v>740</v>
      </c>
      <c r="AS8" t="s">
        <v>835</v>
      </c>
      <c r="AT8" t="s">
        <v>763</v>
      </c>
      <c r="AU8" t="s">
        <v>836</v>
      </c>
      <c r="AV8" t="s">
        <v>743</v>
      </c>
      <c r="AW8" t="s">
        <v>744</v>
      </c>
      <c r="AX8" t="s">
        <v>766</v>
      </c>
      <c r="AY8" t="s">
        <v>775</v>
      </c>
      <c r="AZ8" t="s">
        <v>745</v>
      </c>
      <c r="BA8" t="s">
        <v>746</v>
      </c>
      <c r="BB8" t="s">
        <v>747</v>
      </c>
      <c r="BC8" t="s">
        <v>769</v>
      </c>
      <c r="BD8" t="s">
        <v>781</v>
      </c>
      <c r="BE8" t="s">
        <v>748</v>
      </c>
      <c r="BF8" t="s">
        <v>749</v>
      </c>
      <c r="BG8" t="s">
        <v>750</v>
      </c>
      <c r="BH8" t="s">
        <v>772</v>
      </c>
      <c r="BI8" s="480" t="s">
        <v>837</v>
      </c>
      <c r="BJ8" t="s">
        <v>739</v>
      </c>
      <c r="BK8" t="s">
        <v>751</v>
      </c>
      <c r="BL8" t="s">
        <v>838</v>
      </c>
      <c r="BM8" t="s">
        <v>764</v>
      </c>
      <c r="BN8" t="s">
        <v>839</v>
      </c>
      <c r="BO8" t="s">
        <v>754</v>
      </c>
      <c r="BP8" t="s">
        <v>755</v>
      </c>
      <c r="BQ8" t="s">
        <v>767</v>
      </c>
      <c r="BR8" t="s">
        <v>776</v>
      </c>
      <c r="BS8" t="s">
        <v>756</v>
      </c>
      <c r="BT8" t="s">
        <v>757</v>
      </c>
      <c r="BU8" t="s">
        <v>758</v>
      </c>
      <c r="BV8" t="s">
        <v>770</v>
      </c>
      <c r="BW8" t="s">
        <v>782</v>
      </c>
      <c r="BX8" t="s">
        <v>759</v>
      </c>
      <c r="BY8" t="s">
        <v>760</v>
      </c>
      <c r="BZ8" t="s">
        <v>761</v>
      </c>
      <c r="CA8" t="s">
        <v>773</v>
      </c>
      <c r="CB8" s="480" t="s">
        <v>840</v>
      </c>
      <c r="CC8" t="s">
        <v>2268</v>
      </c>
      <c r="CD8" t="s">
        <v>2151</v>
      </c>
      <c r="CE8" t="s">
        <v>2269</v>
      </c>
      <c r="CF8" t="s">
        <v>2260</v>
      </c>
      <c r="CG8" t="s">
        <v>2270</v>
      </c>
      <c r="CH8" t="s">
        <v>2154</v>
      </c>
      <c r="CI8" t="s">
        <v>2155</v>
      </c>
      <c r="CJ8" t="s">
        <v>2261</v>
      </c>
      <c r="CK8" t="s">
        <v>2264</v>
      </c>
      <c r="CL8" t="s">
        <v>2156</v>
      </c>
      <c r="CM8" t="s">
        <v>2157</v>
      </c>
      <c r="CN8" t="s">
        <v>2158</v>
      </c>
      <c r="CO8" t="s">
        <v>2262</v>
      </c>
      <c r="CP8" t="s">
        <v>2266</v>
      </c>
      <c r="CQ8" t="s">
        <v>2159</v>
      </c>
      <c r="CR8" t="s">
        <v>2160</v>
      </c>
      <c r="CS8" t="s">
        <v>2149</v>
      </c>
      <c r="CT8" t="s">
        <v>2263</v>
      </c>
      <c r="CU8" s="480" t="s">
        <v>2271</v>
      </c>
    </row>
    <row r="9" spans="1:101">
      <c r="C9">
        <v>3</v>
      </c>
      <c r="D9" s="144" t="s">
        <v>60</v>
      </c>
      <c r="E9" s="448">
        <f>Storage_Reconciled_prod!E9</f>
        <v>174086.03396666667</v>
      </c>
      <c r="F9" s="448">
        <f>Storage_Reconciled_prod!F9</f>
        <v>33172.570387096777</v>
      </c>
      <c r="G9" s="448">
        <f>Storage_Reconciled_prod!G9</f>
        <v>5974.7930666666662</v>
      </c>
      <c r="H9" s="448">
        <f>Storage_Reconciled_prod!H9</f>
        <v>70661.258164835177</v>
      </c>
      <c r="I9" s="448">
        <f>Storage_Reconciled_prod!I9</f>
        <v>5517.1026129032261</v>
      </c>
      <c r="J9" s="448">
        <f>Storage_Reconciled_prod!J9</f>
        <v>1413.4193548387098</v>
      </c>
      <c r="K9" s="448">
        <f>Storage_Reconciled_prod!K9</f>
        <v>1081.7117666666666</v>
      </c>
      <c r="L9" s="448">
        <f>Storage_Reconciled_prod!L9</f>
        <v>2688.0166739130436</v>
      </c>
      <c r="M9" s="448">
        <f>Storage_Reconciled_prod!M9</f>
        <v>36488.91818032787</v>
      </c>
      <c r="N9" s="448">
        <f>Storage_Reconciled_prod!N9</f>
        <v>19354.83870967742</v>
      </c>
      <c r="O9" s="448">
        <f>Storage_Reconciled_prod!O9</f>
        <v>140000</v>
      </c>
      <c r="P9" s="448">
        <f>Storage_Reconciled_prod!P9</f>
        <v>116129.03225806452</v>
      </c>
      <c r="Q9" s="448">
        <f>Storage_Reconciled_prod!Q9</f>
        <v>91304.34782608696</v>
      </c>
      <c r="R9" s="448">
        <f>Storage_Reconciled_prod!R9</f>
        <v>54827.171007272729</v>
      </c>
      <c r="S9" s="448">
        <f>Storage_Reconciled_prod!S9</f>
        <v>112903.22580645161</v>
      </c>
      <c r="T9" s="448">
        <f>Storage_Reconciled_prod!T9</f>
        <v>185714.28571428571</v>
      </c>
      <c r="U9" s="448">
        <f>Storage_Reconciled_prod!U9</f>
        <v>193548.38709677418</v>
      </c>
      <c r="V9" s="448">
        <f>Storage_Reconciled_prod!V9</f>
        <v>163333.33333333334</v>
      </c>
      <c r="W9" s="448">
        <f>Storage_Reconciled_prod!W9</f>
        <v>81582.115142465758</v>
      </c>
      <c r="X9" s="448">
        <f>Storage_Reconciled_prod!X9</f>
        <v>188924.63333000001</v>
      </c>
      <c r="Y9" s="448">
        <f>Storage_Reconciled_prod!Y9</f>
        <v>180618.70968</v>
      </c>
      <c r="Z9" s="448">
        <f>Storage_Reconciled_prod!Z9</f>
        <v>169132.73333000002</v>
      </c>
      <c r="AA9" s="448">
        <f>Storage_Reconciled_prod!AA9</f>
        <v>179570.34065802197</v>
      </c>
      <c r="AB9" s="448">
        <f>Storage_Reconciled_prod!AB9</f>
        <v>175688.32258000001</v>
      </c>
      <c r="AC9" s="448">
        <f>Storage_Reconciled_prod!AC9</f>
        <v>153207.35484000001</v>
      </c>
      <c r="AD9" s="448">
        <f>Storage_Reconciled_prod!AD9</f>
        <v>151770.76666999998</v>
      </c>
      <c r="AE9" s="448">
        <f>Storage_Reconciled_prod!AE9</f>
        <v>160314.01087086956</v>
      </c>
      <c r="AF9" s="448">
        <f>Storage_Reconciled_prod!AF9</f>
        <v>169889.56284153005</v>
      </c>
      <c r="AG9" s="448">
        <f>Storage_Reconciled_prod!AG9</f>
        <v>178731.77419</v>
      </c>
      <c r="AH9" s="448">
        <f>Storage_Reconciled_prod!AH9</f>
        <v>175817.73333000002</v>
      </c>
      <c r="AI9" s="448">
        <f>Storage_Reconciled_prod!AI9</f>
        <v>170230.38709677418</v>
      </c>
      <c r="AJ9" s="448">
        <f>Storage_Reconciled_prod!AJ9</f>
        <v>174916.94564989131</v>
      </c>
      <c r="AK9" s="448">
        <f>Storage_Reconciled_prod!AK9</f>
        <v>171571.45090832727</v>
      </c>
      <c r="AL9" s="448">
        <f>Storage_Reconciled_prod!AL9</f>
        <v>178234.25806451612</v>
      </c>
      <c r="AM9" s="448">
        <f>Storage_Reconciled_prod!AM9</f>
        <v>141715.0344810345</v>
      </c>
      <c r="AN9" s="448">
        <f>Storage_Reconciled_prod!AN9</f>
        <v>176256.41935516128</v>
      </c>
      <c r="AO9" s="448">
        <f>Storage_Reconciled_prod!AO9</f>
        <v>165922.49450505493</v>
      </c>
      <c r="AP9" s="448">
        <f>Storage_Reconciled_prod!AP9</f>
        <v>170166.92896106557</v>
      </c>
      <c r="AQ9" s="448">
        <f>Storage_Reconciled_prod!AQ9</f>
        <v>163723.5</v>
      </c>
      <c r="AR9" s="448">
        <f>Storage_Reconciled_prod!AR9</f>
        <v>152903</v>
      </c>
      <c r="AS9" s="448">
        <f>Storage_Reconciled_prod!AS9</f>
        <v>152695.36666666667</v>
      </c>
      <c r="AT9" s="448">
        <f>Storage_Reconciled_prod!AT9</f>
        <v>156401.74725274724</v>
      </c>
      <c r="AU9" s="448">
        <f>Storage_Reconciled_prod!AU9</f>
        <v>146714.64516129033</v>
      </c>
      <c r="AV9" s="448">
        <f>Storage_Reconciled_prod!AV9</f>
        <v>131761.16129032258</v>
      </c>
      <c r="AW9" s="448">
        <f>Storage_Reconciled_prod!AW9</f>
        <v>147180</v>
      </c>
      <c r="AX9" s="448">
        <f>Storage_Reconciled_prod!AX9</f>
        <v>141827.71739130435</v>
      </c>
      <c r="AY9" s="448">
        <f>Storage_Reconciled_prod!AY9</f>
        <v>149074.912568306</v>
      </c>
      <c r="AZ9" s="448">
        <f>Storage_Reconciled_prod!AZ9</f>
        <v>139168.19354838709</v>
      </c>
      <c r="BA9" s="448">
        <f>Storage_Reconciled_prod!BA9</f>
        <v>148376.36666666667</v>
      </c>
      <c r="BB9" s="448">
        <f>Storage_Reconciled_prod!BB9</f>
        <v>151200</v>
      </c>
      <c r="BC9" s="448">
        <f>Storage_Reconciled_prod!BC9</f>
        <v>146225.05434782608</v>
      </c>
      <c r="BD9" s="448">
        <f>Storage_Reconciled_prod!BD9</f>
        <v>148121.50545454546</v>
      </c>
      <c r="BE9" s="448">
        <f>Storage_Reconciled_prod!BE9</f>
        <v>165217.51612806451</v>
      </c>
      <c r="BF9" s="448">
        <f>Storage_Reconciled_prod!BF9</f>
        <v>157694.28571500001</v>
      </c>
      <c r="BG9" s="448">
        <f>Storage_Reconciled_prod!BG9</f>
        <v>150695.80645161291</v>
      </c>
      <c r="BH9" s="448">
        <f>Storage_Reconciled_prod!BH9</f>
        <v>157875.03333322224</v>
      </c>
      <c r="BI9" s="448">
        <f>Storage_Reconciled_prod!BI9</f>
        <v>150526.48493147947</v>
      </c>
      <c r="BJ9" s="448">
        <f>Storage_Reconciled_prod!BJ9</f>
        <v>153256.93333333332</v>
      </c>
      <c r="BK9" s="448">
        <f>Storage_Reconciled_prod!BK9</f>
        <v>138294.45161290321</v>
      </c>
      <c r="BL9" s="448">
        <f>Storage_Reconciled_prod!BL9</f>
        <v>133238.93333333332</v>
      </c>
      <c r="BM9" s="448">
        <f>Storage_Reconciled_prod!BM9</f>
        <v>141560.48351648351</v>
      </c>
      <c r="BN9" s="448">
        <f>Storage_Reconciled_prod!BN9</f>
        <v>133465.48387096773</v>
      </c>
      <c r="BO9" s="448">
        <f>Storage_Reconciled_prod!BO9</f>
        <v>31854.806451612902</v>
      </c>
      <c r="BP9" s="448">
        <f>Storage_Reconciled_prod!BP9</f>
        <v>141057.83333333334</v>
      </c>
      <c r="BQ9" s="448">
        <f>Storage_Reconciled_prod!BQ9</f>
        <v>101702.86956521739</v>
      </c>
      <c r="BR9" s="448">
        <f>Storage_Reconciled_prod!BR9</f>
        <v>121522.77595628415</v>
      </c>
      <c r="BS9" s="448">
        <f>Storage_Reconciled_prod!BS9</f>
        <v>142110.25806451612</v>
      </c>
      <c r="BT9" s="448">
        <f>Storage_Reconciled_prod!BT9</f>
        <v>150871.33333333334</v>
      </c>
      <c r="BU9" s="448">
        <f>Storage_Reconciled_prod!BU9</f>
        <v>152047.96774193548</v>
      </c>
      <c r="BV9" s="448">
        <f>Storage_Reconciled_prod!BV9</f>
        <v>148315.70652173914</v>
      </c>
      <c r="BW9" s="448">
        <f>Storage_Reconciled_prod!BW9</f>
        <v>130486.2290909091</v>
      </c>
      <c r="BX9" s="448">
        <f>Storage_Reconciled_prod!BX9</f>
        <v>174168.06451612903</v>
      </c>
      <c r="BY9" s="448">
        <f>Storage_Reconciled_prod!BY9</f>
        <v>184934.14285714287</v>
      </c>
      <c r="BZ9" s="448">
        <f>Storage_Reconciled_prod!BZ9</f>
        <v>0</v>
      </c>
      <c r="CA9" s="448">
        <f>Storage_Reconciled_prod!CA9</f>
        <v>117526.28888888888</v>
      </c>
      <c r="CB9" s="448">
        <f>Storage_Reconciled_prod!CB9</f>
        <v>127290.62739726028</v>
      </c>
      <c r="CC9" s="448">
        <f>Storage_Reconciled_prod!CC9</f>
        <v>189203.96666666667</v>
      </c>
      <c r="CD9" s="448">
        <f>Storage_Reconciled_prod!CD9</f>
        <v>184262.29032290322</v>
      </c>
      <c r="CE9" s="448">
        <f>Storage_Reconciled_prod!CE9</f>
        <v>169196.10000066666</v>
      </c>
      <c r="CF9" s="448">
        <f>Storage_Reconciled_prod!CF9</f>
        <v>180924.53846186813</v>
      </c>
      <c r="CG9" s="448">
        <f>Storage_Reconciled_prod!CG9</f>
        <v>187261.55464516129</v>
      </c>
      <c r="CH9" s="448">
        <f>Storage_Reconciled_prod!CH9</f>
        <v>0</v>
      </c>
      <c r="CI9" s="448">
        <f>Storage_Reconciled_prod!CI9</f>
        <v>0</v>
      </c>
      <c r="CJ9" s="448">
        <f>Storage_Reconciled_prod!CJ9</f>
        <v>63099.002108695655</v>
      </c>
      <c r="CK9" s="448">
        <f>Storage_Reconciled_prod!CK9</f>
        <v>121689.84259032788</v>
      </c>
      <c r="CL9" s="448">
        <f>Storage_Reconciled_prod!CL9</f>
        <v>0</v>
      </c>
      <c r="CM9" s="448">
        <f>Storage_Reconciled_prod!CM9</f>
        <v>0</v>
      </c>
      <c r="CN9" s="448">
        <f>Storage_Reconciled_prod!CN9</f>
        <v>0</v>
      </c>
      <c r="CO9" s="448">
        <f>Storage_Reconciled_prod!CO9</f>
        <v>0</v>
      </c>
      <c r="CP9" s="448">
        <f>Storage_Reconciled_prod!CP9</f>
        <v>80979.05888738182</v>
      </c>
      <c r="CQ9" s="448">
        <f>Storage_Reconciled_prod!CQ9</f>
        <v>0</v>
      </c>
      <c r="CR9" s="448">
        <f>Storage_Reconciled_prod!CR9</f>
        <v>0</v>
      </c>
      <c r="CS9" s="448">
        <f>Storage_Reconciled_prod!CS9</f>
        <v>0</v>
      </c>
      <c r="CT9" s="448">
        <f>Storage_Reconciled_prod!CT9</f>
        <v>0</v>
      </c>
      <c r="CU9" s="448">
        <f>Storage_Reconciled_prod!CU9</f>
        <v>61011.619709671235</v>
      </c>
      <c r="CV9" s="448"/>
      <c r="CW9" s="448"/>
    </row>
    <row r="10" spans="1:101">
      <c r="C10">
        <v>4</v>
      </c>
      <c r="D10" s="144" t="s">
        <v>61</v>
      </c>
      <c r="E10" s="448">
        <f>Storage_Reconciled_prod!E10</f>
        <v>196818.02511200021</v>
      </c>
      <c r="F10" s="448">
        <f>Storage_Reconciled_prod!F10</f>
        <v>199000.43735999989</v>
      </c>
      <c r="G10" s="448">
        <f>Storage_Reconciled_prod!G10</f>
        <v>198267.53749599995</v>
      </c>
      <c r="H10" s="448">
        <f>Storage_Reconciled_prod!H10</f>
        <v>198039.34545494505</v>
      </c>
      <c r="I10" s="448">
        <f>Storage_Reconciled_prod!I10</f>
        <v>196869.57384</v>
      </c>
      <c r="J10" s="448">
        <f>Storage_Reconciled_prod!J10</f>
        <v>195613.91616000005</v>
      </c>
      <c r="K10" s="448">
        <f>Storage_Reconciled_prod!K10</f>
        <v>191929.92651199986</v>
      </c>
      <c r="L10" s="448">
        <f>Storage_Reconciled_prod!L10</f>
        <v>194835.71723217386</v>
      </c>
      <c r="M10" s="448">
        <f>Storage_Reconciled_prod!M10</f>
        <v>196428.77826098356</v>
      </c>
      <c r="N10" s="448">
        <f>Storage_Reconciled_prod!N10</f>
        <v>191363.87040000013</v>
      </c>
      <c r="O10" s="448">
        <f>Storage_Reconciled_prod!O10</f>
        <v>189707.41251200001</v>
      </c>
      <c r="P10" s="448">
        <f>Storage_Reconciled_prod!P10</f>
        <v>189720.4193548387</v>
      </c>
      <c r="Q10" s="448">
        <f>Storage_Reconciled_prod!Q10</f>
        <v>190269.94954086962</v>
      </c>
      <c r="R10" s="448">
        <f>Storage_Reconciled_prod!R10</f>
        <v>194368.37010734546</v>
      </c>
      <c r="S10" s="448">
        <f>Storage_Reconciled_prod!S10</f>
        <v>190557.13607999994</v>
      </c>
      <c r="T10" s="448">
        <f>Storage_Reconciled_prod!T10</f>
        <v>191394.11957142866</v>
      </c>
      <c r="U10" s="448">
        <f>Storage_Reconciled_prod!U10</f>
        <v>186029.87088000003</v>
      </c>
      <c r="V10" s="448">
        <f>Storage_Reconciled_prod!V10</f>
        <v>189258.13959733336</v>
      </c>
      <c r="W10" s="448">
        <f>Storage_Reconciled_prod!W10</f>
        <v>193108.31326926028</v>
      </c>
      <c r="X10" s="448">
        <f>Storage_Reconciled_prod!X10</f>
        <v>184477.43600033331</v>
      </c>
      <c r="Y10" s="448">
        <f>Storage_Reconciled_prod!Y10</f>
        <v>182899.03225903225</v>
      </c>
      <c r="Z10" s="448">
        <f>Storage_Reconciled_prod!Z10</f>
        <v>185948.73333333334</v>
      </c>
      <c r="AA10" s="448">
        <f>Storage_Reconciled_prod!AA10</f>
        <v>184424.78109934067</v>
      </c>
      <c r="AB10" s="448">
        <f>Storage_Reconciled_prod!AB10</f>
        <v>182260.80645193547</v>
      </c>
      <c r="AC10" s="448">
        <f>Storage_Reconciled_prod!AC10</f>
        <v>185383.38709645162</v>
      </c>
      <c r="AD10" s="448">
        <f>Storage_Reconciled_prod!AD10</f>
        <v>184344.566666</v>
      </c>
      <c r="AE10" s="448">
        <f>Storage_Reconciled_prod!AE10</f>
        <v>183992.46739108695</v>
      </c>
      <c r="AF10" s="448">
        <f>Storage_Reconciled_prod!AF10</f>
        <v>184207.44306021856</v>
      </c>
      <c r="AG10" s="448">
        <f>Storage_Reconciled_prod!AG10</f>
        <v>177421.45161225807</v>
      </c>
      <c r="AH10" s="448">
        <f>Storage_Reconciled_prod!AH10</f>
        <v>181803.83333266666</v>
      </c>
      <c r="AI10" s="448">
        <f>Storage_Reconciled_prod!AI10</f>
        <v>179045.54838774193</v>
      </c>
      <c r="AJ10" s="448">
        <f>Storage_Reconciled_prod!AJ10</f>
        <v>179397.73913021738</v>
      </c>
      <c r="AK10" s="448">
        <f>Storage_Reconciled_prod!AK10</f>
        <v>182598.37847272726</v>
      </c>
      <c r="AL10" s="448">
        <f>Storage_Reconciled_prod!AL10</f>
        <v>175946.4516132258</v>
      </c>
      <c r="AM10" s="448">
        <f>Storage_Reconciled_prod!AM10</f>
        <v>176915.44827620688</v>
      </c>
      <c r="AN10" s="448">
        <f>Storage_Reconciled_prod!AN10</f>
        <v>177735.32258096774</v>
      </c>
      <c r="AO10" s="448">
        <f>Storage_Reconciled_prod!AO10</f>
        <v>176864.64835197802</v>
      </c>
      <c r="AP10" s="448">
        <f>Storage_Reconciled_prod!AP10</f>
        <v>181172.77890718577</v>
      </c>
      <c r="AQ10" s="448">
        <f>Storage_Reconciled_prod!AQ10</f>
        <v>172395.9</v>
      </c>
      <c r="AR10" s="448">
        <f>Storage_Reconciled_prod!AR10</f>
        <v>170992.35483870967</v>
      </c>
      <c r="AS10" s="448">
        <f>Storage_Reconciled_prod!AS10</f>
        <v>173523.26666666666</v>
      </c>
      <c r="AT10" s="448">
        <f>Storage_Reconciled_prod!AT10</f>
        <v>172289.42857142858</v>
      </c>
      <c r="AU10" s="448">
        <f>Storage_Reconciled_prod!AU10</f>
        <v>176151.06451612903</v>
      </c>
      <c r="AV10" s="448">
        <f>Storage_Reconciled_prod!AV10</f>
        <v>171974.03225806452</v>
      </c>
      <c r="AW10" s="448">
        <f>Storage_Reconciled_prod!AW10</f>
        <v>172260.86666666667</v>
      </c>
      <c r="AX10" s="448">
        <f>Storage_Reconciled_prod!AX10</f>
        <v>173475.04347826086</v>
      </c>
      <c r="AY10" s="448">
        <f>Storage_Reconciled_prod!AY10</f>
        <v>172885.47540983607</v>
      </c>
      <c r="AZ10" s="448">
        <f>Storage_Reconciled_prod!AZ10</f>
        <v>173987.70967741936</v>
      </c>
      <c r="BA10" s="448">
        <f>Storage_Reconciled_prod!BA10</f>
        <v>173310.2</v>
      </c>
      <c r="BB10" s="448">
        <f>Storage_Reconciled_prod!BB10</f>
        <v>174654.70967741936</v>
      </c>
      <c r="BC10" s="448">
        <f>Storage_Reconciled_prod!BC10</f>
        <v>173991.53260869565</v>
      </c>
      <c r="BD10" s="448">
        <f>Storage_Reconciled_prod!BD10</f>
        <v>173255.50181818183</v>
      </c>
      <c r="BE10" s="448">
        <f>Storage_Reconciled_prod!BE10</f>
        <v>172980.5306448387</v>
      </c>
      <c r="BF10" s="448">
        <f>Storage_Reconciled_prod!BF10</f>
        <v>171329.23617857142</v>
      </c>
      <c r="BG10" s="448">
        <f>Storage_Reconciled_prod!BG10</f>
        <v>169411.71887096774</v>
      </c>
      <c r="BH10" s="448">
        <f>Storage_Reconciled_prod!BH10</f>
        <v>171237.53719988887</v>
      </c>
      <c r="BI10" s="448">
        <f>Storage_Reconciled_prod!BI10</f>
        <v>172757.92150134247</v>
      </c>
      <c r="BJ10" s="448">
        <f>Storage_Reconciled_prod!BJ10</f>
        <v>169628.7</v>
      </c>
      <c r="BK10" s="448">
        <f>Storage_Reconciled_prod!BK10</f>
        <v>168812.77419354839</v>
      </c>
      <c r="BL10" s="448">
        <f>Storage_Reconciled_prod!BL10</f>
        <v>168850.03333333333</v>
      </c>
      <c r="BM10" s="448">
        <f>Storage_Reconciled_prod!BM10</f>
        <v>169094.04395604396</v>
      </c>
      <c r="BN10" s="448">
        <f>Storage_Reconciled_prod!BN10</f>
        <v>166841.80645161291</v>
      </c>
      <c r="BO10" s="448">
        <f>Storage_Reconciled_prod!BO10</f>
        <v>165807.67741935485</v>
      </c>
      <c r="BP10" s="448">
        <f>Storage_Reconciled_prod!BP10</f>
        <v>165987.66666666666</v>
      </c>
      <c r="BQ10" s="448">
        <f>Storage_Reconciled_prod!BQ10</f>
        <v>166214.82608695651</v>
      </c>
      <c r="BR10" s="448">
        <f>Storage_Reconciled_prod!BR10</f>
        <v>167646.56830601091</v>
      </c>
      <c r="BS10" s="448">
        <f>Storage_Reconciled_prod!BS10</f>
        <v>165006.4193548387</v>
      </c>
      <c r="BT10" s="448">
        <f>Storage_Reconciled_prod!BT10</f>
        <v>163985.06666666668</v>
      </c>
      <c r="BU10" s="448">
        <f>Storage_Reconciled_prod!BU10</f>
        <v>161157.12903225806</v>
      </c>
      <c r="BV10" s="448">
        <f>Storage_Reconciled_prod!BV10</f>
        <v>163376.32608695651</v>
      </c>
      <c r="BW10" s="448">
        <f>Storage_Reconciled_prod!BW10</f>
        <v>166217.97818181818</v>
      </c>
      <c r="BX10" s="448">
        <f>Storage_Reconciled_prod!BX10</f>
        <v>157926.83870967742</v>
      </c>
      <c r="BY10" s="448">
        <f>Storage_Reconciled_prod!BY10</f>
        <v>162113.60714285713</v>
      </c>
      <c r="BZ10" s="448">
        <f>Storage_Reconciled_prod!BZ10</f>
        <v>0</v>
      </c>
      <c r="CA10" s="448">
        <f>Storage_Reconciled_prod!CA10</f>
        <v>104832.36666666667</v>
      </c>
      <c r="CB10" s="448">
        <f>Storage_Reconciled_prod!CB10</f>
        <v>151081.79999999999</v>
      </c>
      <c r="CC10" s="448">
        <f>Storage_Reconciled_prod!CC10</f>
        <v>155673.12433366667</v>
      </c>
      <c r="CD10" s="448">
        <f>Storage_Reconciled_prod!CD10</f>
        <v>155546.70022645159</v>
      </c>
      <c r="CE10" s="448">
        <f>Storage_Reconciled_prod!CE10</f>
        <v>155214.86819966664</v>
      </c>
      <c r="CF10" s="448">
        <f>Storage_Reconciled_prod!CF10</f>
        <v>155478.98332989009</v>
      </c>
      <c r="CG10" s="448">
        <f>Storage_Reconciled_prod!CG10</f>
        <v>156314.0740648387</v>
      </c>
      <c r="CH10" s="448">
        <f>Storage_Reconciled_prod!CH10</f>
        <v>0</v>
      </c>
      <c r="CI10" s="448">
        <f>Storage_Reconciled_prod!CI10</f>
        <v>0</v>
      </c>
      <c r="CJ10" s="448">
        <f>Storage_Reconciled_prod!CJ10</f>
        <v>52671.046695760866</v>
      </c>
      <c r="CK10" s="448">
        <f>Storage_Reconciled_prod!CK10</f>
        <v>103794.11901109289</v>
      </c>
      <c r="CL10" s="448">
        <f>Storage_Reconciled_prod!CL10</f>
        <v>0</v>
      </c>
      <c r="CM10" s="448">
        <f>Storage_Reconciled_prod!CM10</f>
        <v>0</v>
      </c>
      <c r="CN10" s="448">
        <f>Storage_Reconciled_prod!CN10</f>
        <v>0</v>
      </c>
      <c r="CO10" s="448">
        <f>Storage_Reconciled_prod!CO10</f>
        <v>0</v>
      </c>
      <c r="CP10" s="448">
        <f>Storage_Reconciled_prod!CP10</f>
        <v>69070.268287381812</v>
      </c>
      <c r="CQ10" s="448">
        <f>Storage_Reconciled_prod!CQ10</f>
        <v>0</v>
      </c>
      <c r="CR10" s="448">
        <f>Storage_Reconciled_prod!CR10</f>
        <v>0</v>
      </c>
      <c r="CS10" s="448">
        <f>Storage_Reconciled_prod!CS10</f>
        <v>0</v>
      </c>
      <c r="CT10" s="448">
        <f>Storage_Reconciled_prod!CT10</f>
        <v>0</v>
      </c>
      <c r="CU10" s="448">
        <f>Storage_Reconciled_prod!CU10</f>
        <v>52039.243230219174</v>
      </c>
    </row>
    <row r="11" spans="1:101">
      <c r="C11">
        <v>5</v>
      </c>
      <c r="D11" s="144" t="s">
        <v>62</v>
      </c>
      <c r="E11" s="448">
        <f>Storage_Reconciled_prod!E11</f>
        <v>4375.9703333333337</v>
      </c>
      <c r="F11" s="448">
        <f>Storage_Reconciled_prod!F11</f>
        <v>3823.2051612903228</v>
      </c>
      <c r="G11" s="448">
        <f>Storage_Reconciled_prod!G11</f>
        <v>3833.9333333333334</v>
      </c>
      <c r="H11" s="448">
        <f>Storage_Reconciled_prod!H11</f>
        <v>4008.972197802198</v>
      </c>
      <c r="I11" s="448">
        <f>Storage_Reconciled_prod!I11</f>
        <v>3772.8064516129034</v>
      </c>
      <c r="J11" s="448">
        <f>Storage_Reconciled_prod!J11</f>
        <v>3690.9354838709678</v>
      </c>
      <c r="K11" s="448">
        <f>Storage_Reconciled_prod!K11</f>
        <v>3509.4</v>
      </c>
      <c r="L11" s="448">
        <f>Storage_Reconciled_prod!L11</f>
        <v>3659.3260869565215</v>
      </c>
      <c r="M11" s="448">
        <f>Storage_Reconciled_prod!M11</f>
        <v>3833.1938251366118</v>
      </c>
      <c r="N11" s="448">
        <f>Storage_Reconciled_prod!N11</f>
        <v>3539.2903225806454</v>
      </c>
      <c r="O11" s="448">
        <f>Storage_Reconciled_prod!O11</f>
        <v>3391.0789999999997</v>
      </c>
      <c r="P11" s="448">
        <f>Storage_Reconciled_prod!P11</f>
        <v>3395.4767802589627</v>
      </c>
      <c r="Q11" s="448">
        <f>Storage_Reconciled_prod!Q11</f>
        <v>3442.5016324785634</v>
      </c>
      <c r="R11" s="448">
        <f>Storage_Reconciled_prod!R11</f>
        <v>3702.4895279564648</v>
      </c>
      <c r="S11" s="448">
        <f>Storage_Reconciled_prod!S11</f>
        <v>3250.1619354838708</v>
      </c>
      <c r="T11" s="448">
        <f>Storage_Reconciled_prod!T11</f>
        <v>3235.3571428571427</v>
      </c>
      <c r="U11" s="448">
        <f>Storage_Reconciled_prod!U11</f>
        <v>2993.9916129032258</v>
      </c>
      <c r="V11" s="448">
        <f>Storage_Reconciled_prod!V11</f>
        <v>3157.3195555555558</v>
      </c>
      <c r="W11" s="448">
        <f>Storage_Reconciled_prod!W11</f>
        <v>3568.0640553096655</v>
      </c>
      <c r="X11" s="448">
        <f>Storage_Reconciled_prod!X11</f>
        <v>2958.9173346666666</v>
      </c>
      <c r="Y11" s="448">
        <f>Storage_Reconciled_prod!Y11</f>
        <v>2748.2654845161292</v>
      </c>
      <c r="Z11" s="448">
        <f>Storage_Reconciled_prod!Z11</f>
        <v>2784.7020013333331</v>
      </c>
      <c r="AA11" s="448">
        <f>Storage_Reconciled_prod!AA11</f>
        <v>2829.7231879120877</v>
      </c>
      <c r="AB11" s="448">
        <f>Storage_Reconciled_prod!AB11</f>
        <v>2753.0000009677419</v>
      </c>
      <c r="AC11" s="448">
        <f>Storage_Reconciled_prod!AC11</f>
        <v>2673.3548351612903</v>
      </c>
      <c r="AD11" s="448">
        <f>Storage_Reconciled_prod!AD11</f>
        <v>2561.5666679999999</v>
      </c>
      <c r="AE11" s="448">
        <f>Storage_Reconciled_prod!AE11</f>
        <v>2663.7391299999999</v>
      </c>
      <c r="AF11" s="448">
        <f>Storage_Reconciled_prod!AF11</f>
        <v>2746.2776506010928</v>
      </c>
      <c r="AG11" s="448">
        <f>Storage_Reconciled_prod!AG11</f>
        <v>2607.967741612903</v>
      </c>
      <c r="AH11" s="448">
        <f>Storage_Reconciled_prod!AH11</f>
        <v>2572.73333</v>
      </c>
      <c r="AI11" s="448">
        <f>Storage_Reconciled_prod!AI11</f>
        <v>2529.9354900000003</v>
      </c>
      <c r="AJ11" s="448">
        <f>Storage_Reconciled_prod!AJ11</f>
        <v>2570.1847834782607</v>
      </c>
      <c r="AK11" s="448">
        <f>Storage_Reconciled_prod!AK11</f>
        <v>2687.3665823272727</v>
      </c>
      <c r="AL11" s="448">
        <f>Storage_Reconciled_prod!AL11</f>
        <v>2485.6451700000002</v>
      </c>
      <c r="AM11" s="448">
        <f>Storage_Reconciled_prod!AM11</f>
        <v>2387.1379324137929</v>
      </c>
      <c r="AN11" s="448">
        <f>Storage_Reconciled_prod!AN11</f>
        <v>2330.645160967742</v>
      </c>
      <c r="AO11" s="448">
        <f>Storage_Reconciled_prod!AO11</f>
        <v>2401.4505527472529</v>
      </c>
      <c r="AP11" s="448">
        <f>Storage_Reconciled_prod!AP11</f>
        <v>2616.2781706010928</v>
      </c>
      <c r="AQ11" s="448">
        <f>Storage_Reconciled_prod!AQ11</f>
        <v>2505.5</v>
      </c>
      <c r="AR11" s="448">
        <f>Storage_Reconciled_prod!AR11</f>
        <v>2272.483870967742</v>
      </c>
      <c r="AS11" s="448">
        <f>Storage_Reconciled_prod!AS11</f>
        <v>1859.0333333333333</v>
      </c>
      <c r="AT11" s="448">
        <f>Storage_Reconciled_prod!AT11</f>
        <v>2213</v>
      </c>
      <c r="AU11" s="448">
        <f>Storage_Reconciled_prod!AU11</f>
        <v>2354.0967741935483</v>
      </c>
      <c r="AV11" s="448">
        <f>Storage_Reconciled_prod!AV11</f>
        <v>2320.8387096774195</v>
      </c>
      <c r="AW11" s="448">
        <f>Storage_Reconciled_prod!AW11</f>
        <v>2072.4333333333334</v>
      </c>
      <c r="AX11" s="448">
        <f>Storage_Reconciled_prod!AX11</f>
        <v>2251.0434782608695</v>
      </c>
      <c r="AY11" s="448">
        <f>Storage_Reconciled_prod!AY11</f>
        <v>2232.1256830601092</v>
      </c>
      <c r="AZ11" s="448">
        <f>Storage_Reconciled_prod!AZ11</f>
        <v>2258.1935483870966</v>
      </c>
      <c r="BA11" s="448">
        <f>Storage_Reconciled_prod!BA11</f>
        <v>2217.0333333333333</v>
      </c>
      <c r="BB11" s="448">
        <f>Storage_Reconciled_prod!BB11</f>
        <v>2293.2258064516127</v>
      </c>
      <c r="BC11" s="448">
        <f>Storage_Reconciled_prod!BC11</f>
        <v>2256.5760869565215</v>
      </c>
      <c r="BD11" s="448">
        <f>Storage_Reconciled_prod!BD11</f>
        <v>2240.3054545454547</v>
      </c>
      <c r="BE11" s="448">
        <f>Storage_Reconciled_prod!BE11</f>
        <v>2212.9032235483874</v>
      </c>
      <c r="BF11" s="448">
        <f>Storage_Reconciled_prod!BF11</f>
        <v>2238.3317857142856</v>
      </c>
      <c r="BG11" s="448">
        <f>Storage_Reconciled_prod!BG11</f>
        <v>2057.7096129032257</v>
      </c>
      <c r="BH11" s="448">
        <f>Storage_Reconciled_prod!BH11</f>
        <v>2167.3587547777779</v>
      </c>
      <c r="BI11" s="448">
        <f>Storage_Reconciled_prod!BI11</f>
        <v>2222.3185970684931</v>
      </c>
      <c r="BJ11" s="448">
        <f>Storage_Reconciled_prod!BJ11</f>
        <v>2067.0333333333333</v>
      </c>
      <c r="BK11" s="448">
        <f>Storage_Reconciled_prod!BK11</f>
        <v>2143.2258064516127</v>
      </c>
      <c r="BL11" s="448">
        <f>Storage_Reconciled_prod!BL11</f>
        <v>2071.2333333333331</v>
      </c>
      <c r="BM11" s="448">
        <f>Storage_Reconciled_prod!BM11</f>
        <v>2094.3736263736264</v>
      </c>
      <c r="BN11" s="448">
        <f>Storage_Reconciled_prod!BN11</f>
        <v>2050.5483870967741</v>
      </c>
      <c r="BO11" s="448">
        <f>Storage_Reconciled_prod!BO11</f>
        <v>2086.1290322580644</v>
      </c>
      <c r="BP11" s="448">
        <f>Storage_Reconciled_prod!BP11</f>
        <v>2161.8666666666668</v>
      </c>
      <c r="BQ11" s="448">
        <f>Storage_Reconciled_prod!BQ11</f>
        <v>2098.836956521739</v>
      </c>
      <c r="BR11" s="448">
        <f>Storage_Reconciled_prod!BR11</f>
        <v>2096.6174863387978</v>
      </c>
      <c r="BS11" s="448">
        <f>Storage_Reconciled_prod!BS11</f>
        <v>2440.6129032258063</v>
      </c>
      <c r="BT11" s="448">
        <f>Storage_Reconciled_prod!BT11</f>
        <v>2386.5333333333333</v>
      </c>
      <c r="BU11" s="448">
        <f>Storage_Reconciled_prod!BU11</f>
        <v>2263.3225806451615</v>
      </c>
      <c r="BV11" s="448">
        <f>Storage_Reconciled_prod!BV11</f>
        <v>2363.2391304347825</v>
      </c>
      <c r="BW11" s="448">
        <f>Storage_Reconciled_prod!BW11</f>
        <v>2185.8145454545456</v>
      </c>
      <c r="BX11" s="448">
        <f>Storage_Reconciled_prod!BX11</f>
        <v>2181.7419354838707</v>
      </c>
      <c r="BY11" s="448">
        <f>Storage_Reconciled_prod!BY11</f>
        <v>2115.7142857142858</v>
      </c>
      <c r="BZ11" s="448">
        <f>Storage_Reconciled_prod!BZ11</f>
        <v>0</v>
      </c>
      <c r="CA11" s="448">
        <f>Storage_Reconciled_prod!CA11</f>
        <v>1409.7111111111112</v>
      </c>
      <c r="CB11" s="448">
        <f>Storage_Reconciled_prod!CB11</f>
        <v>1994.4465753424658</v>
      </c>
      <c r="CC11" s="448">
        <f>Storage_Reconciled_prod!CC11</f>
        <v>1967.1666666666667</v>
      </c>
      <c r="CD11" s="448">
        <f>Storage_Reconciled_prod!CD11</f>
        <v>1868.8709658064517</v>
      </c>
      <c r="CE11" s="448">
        <f>Storage_Reconciled_prod!CE11</f>
        <v>1976.7666666666667</v>
      </c>
      <c r="CF11" s="448">
        <f>Storage_Reconciled_prod!CF11</f>
        <v>1936.8461531868134</v>
      </c>
      <c r="CG11" s="448">
        <f>Storage_Reconciled_prod!CG11</f>
        <v>1912.9999990322581</v>
      </c>
      <c r="CH11" s="448">
        <f>Storage_Reconciled_prod!CH11</f>
        <v>0</v>
      </c>
      <c r="CI11" s="448">
        <f>Storage_Reconciled_prod!CI11</f>
        <v>0</v>
      </c>
      <c r="CJ11" s="448">
        <f>Storage_Reconciled_prod!CJ11</f>
        <v>644.59782576086957</v>
      </c>
      <c r="CK11" s="448">
        <f>Storage_Reconciled_prod!CK11</f>
        <v>1287.191256338798</v>
      </c>
      <c r="CL11" s="448">
        <f>Storage_Reconciled_prod!CL11</f>
        <v>0</v>
      </c>
      <c r="CM11" s="448">
        <f>Storage_Reconciled_prod!CM11</f>
        <v>0</v>
      </c>
      <c r="CN11" s="448">
        <f>Storage_Reconciled_prod!CN11</f>
        <v>0</v>
      </c>
      <c r="CO11" s="448">
        <f>Storage_Reconciled_prod!CO11</f>
        <v>0</v>
      </c>
      <c r="CP11" s="448">
        <f>Storage_Reconciled_prod!CP11</f>
        <v>856.56727240000009</v>
      </c>
      <c r="CQ11" s="448">
        <f>Storage_Reconciled_prod!CQ11</f>
        <v>0</v>
      </c>
      <c r="CR11" s="448">
        <f>Storage_Reconciled_prod!CR11</f>
        <v>0</v>
      </c>
      <c r="CS11" s="448">
        <f>Storage_Reconciled_prod!CS11</f>
        <v>0</v>
      </c>
      <c r="CT11" s="448">
        <f>Storage_Reconciled_prod!CT11</f>
        <v>0</v>
      </c>
      <c r="CU11" s="448">
        <f>Storage_Reconciled_prod!CU11</f>
        <v>645.35890386301378</v>
      </c>
    </row>
    <row r="12" spans="1:101">
      <c r="C12">
        <v>6</v>
      </c>
      <c r="D12" s="144" t="s">
        <v>57</v>
      </c>
      <c r="E12" s="448">
        <f>Storage_Reconciled_prod!E12</f>
        <v>436642.43333333335</v>
      </c>
      <c r="F12" s="448">
        <f>Storage_Reconciled_prod!F12</f>
        <v>428948.38709677418</v>
      </c>
      <c r="G12" s="448">
        <f>Storage_Reconciled_prod!G12</f>
        <v>381474.13333333336</v>
      </c>
      <c r="H12" s="448">
        <f>Storage_Reconciled_prod!H12</f>
        <v>415834.03296703298</v>
      </c>
      <c r="I12" s="448">
        <f>Storage_Reconciled_prod!I12</f>
        <v>408053.67741935485</v>
      </c>
      <c r="J12" s="448">
        <f>Storage_Reconciled_prod!J12</f>
        <v>410162.3548387097</v>
      </c>
      <c r="K12" s="448">
        <f>Storage_Reconciled_prod!K12</f>
        <v>399457.78327005665</v>
      </c>
      <c r="L12" s="448">
        <f>Storage_Reconciled_prod!L12</f>
        <v>405961.2010663228</v>
      </c>
      <c r="M12" s="448">
        <f>Storage_Reconciled_prod!M12</f>
        <v>410870.64206612948</v>
      </c>
      <c r="N12" s="448">
        <f>Storage_Reconciled_prod!N12</f>
        <v>404120.19354838709</v>
      </c>
      <c r="O12" s="448">
        <f>Storage_Reconciled_prod!O12</f>
        <v>408296.42833333334</v>
      </c>
      <c r="P12" s="448">
        <f>Storage_Reconciled_prod!P12</f>
        <v>407537.26444086764</v>
      </c>
      <c r="Q12" s="448">
        <f>Storage_Reconciled_prod!Q12</f>
        <v>406633.41356159671</v>
      </c>
      <c r="R12" s="448">
        <f>Storage_Reconciled_prod!R12</f>
        <v>409453.09653006762</v>
      </c>
      <c r="S12" s="448">
        <f>Storage_Reconciled_prod!S12</f>
        <v>393338.25806451612</v>
      </c>
      <c r="T12" s="448">
        <f>Storage_Reconciled_prod!T12</f>
        <v>389640.42857142858</v>
      </c>
      <c r="U12" s="448">
        <f>Storage_Reconciled_prod!U12</f>
        <v>374434.06451612903</v>
      </c>
      <c r="V12" s="448">
        <f>Storage_Reconciled_prod!V12</f>
        <v>385676.37777777779</v>
      </c>
      <c r="W12" s="448">
        <f>Storage_Reconciled_prod!W12</f>
        <v>403590.34396100981</v>
      </c>
      <c r="X12" s="448">
        <f>Storage_Reconciled_prod!X12</f>
        <v>372099.29999000003</v>
      </c>
      <c r="Y12" s="448">
        <f>Storage_Reconciled_prod!Y12</f>
        <v>360901.90321999998</v>
      </c>
      <c r="Z12" s="448">
        <f>Storage_Reconciled_prod!Z12</f>
        <v>361661.66667000001</v>
      </c>
      <c r="AA12" s="448">
        <f>Storage_Reconciled_prod!AA12</f>
        <v>364843.8241716483</v>
      </c>
      <c r="AB12" s="448">
        <f>Storage_Reconciled_prod!AB12</f>
        <v>354781.90323</v>
      </c>
      <c r="AC12" s="448">
        <f>Storage_Reconciled_prod!AC12</f>
        <v>355944.48388000001</v>
      </c>
      <c r="AD12" s="448">
        <f>Storage_Reconciled_prod!AD12</f>
        <v>349866.06666999997</v>
      </c>
      <c r="AE12" s="448">
        <f>Storage_Reconciled_prod!AE12</f>
        <v>353570.65217945649</v>
      </c>
      <c r="AF12" s="448">
        <f>Storage_Reconciled_prod!AF12</f>
        <v>359176.43715918029</v>
      </c>
      <c r="AG12" s="448">
        <f>Storage_Reconciled_prod!AG12</f>
        <v>348219.80644999997</v>
      </c>
      <c r="AH12" s="448">
        <f>Storage_Reconciled_prod!AH12</f>
        <v>348437.33333466668</v>
      </c>
      <c r="AI12" s="448">
        <f>Storage_Reconciled_prod!AI12</f>
        <v>349048.67742193548</v>
      </c>
      <c r="AJ12" s="448">
        <f>Storage_Reconciled_prod!AJ12</f>
        <v>348570.03260945657</v>
      </c>
      <c r="AK12" s="448">
        <f>Storage_Reconciled_prod!AK12</f>
        <v>355628.11272800004</v>
      </c>
      <c r="AL12" s="448">
        <f>Storage_Reconciled_prod!AL12</f>
        <v>334926.90322677419</v>
      </c>
      <c r="AM12" s="448">
        <f>Storage_Reconciled_prod!AM12</f>
        <v>340614.82758827583</v>
      </c>
      <c r="AN12" s="448">
        <f>Storage_Reconciled_prod!AN12</f>
        <v>342368.29032161291</v>
      </c>
      <c r="AO12" s="448">
        <f>Storage_Reconciled_prod!AO12</f>
        <v>339274.51648417581</v>
      </c>
      <c r="AP12" s="448">
        <f>Storage_Reconciled_prod!AP12</f>
        <v>351562.05464551912</v>
      </c>
      <c r="AQ12" s="448">
        <f>Storage_Reconciled_prod!AQ12</f>
        <v>336813.43333333335</v>
      </c>
      <c r="AR12" s="448">
        <f>Storage_Reconciled_prod!AR12</f>
        <v>318491.38709677418</v>
      </c>
      <c r="AS12" s="448">
        <f>Storage_Reconciled_prod!AS12</f>
        <v>345536.86666666664</v>
      </c>
      <c r="AT12" s="448">
        <f>Storage_Reconciled_prod!AT12</f>
        <v>333447.71428571426</v>
      </c>
      <c r="AU12" s="448">
        <f>Storage_Reconciled_prod!AU12</f>
        <v>345628.54838709679</v>
      </c>
      <c r="AV12" s="448">
        <f>Storage_Reconciled_prod!AV12</f>
        <v>339664.74193548388</v>
      </c>
      <c r="AW12" s="448">
        <f>Storage_Reconciled_prod!AW12</f>
        <v>343885.5</v>
      </c>
      <c r="AX12" s="448">
        <f>Storage_Reconciled_prod!AX12</f>
        <v>343050.61956521741</v>
      </c>
      <c r="AY12" s="448">
        <f>Storage_Reconciled_prod!AY12</f>
        <v>338275.40437158471</v>
      </c>
      <c r="AZ12" s="448">
        <f>Storage_Reconciled_prod!AZ12</f>
        <v>349014.25806451612</v>
      </c>
      <c r="BA12" s="448">
        <f>Storage_Reconciled_prod!BA12</f>
        <v>859675.1</v>
      </c>
      <c r="BB12" s="448">
        <f>Storage_Reconciled_prod!BB12</f>
        <v>351887.6451612903</v>
      </c>
      <c r="BC12" s="448">
        <f>Storage_Reconciled_prod!BC12</f>
        <v>516502.30434782611</v>
      </c>
      <c r="BD12" s="448">
        <f>Storage_Reconciled_prod!BD12</f>
        <v>397900.40363636363</v>
      </c>
      <c r="BE12" s="448">
        <f>Storage_Reconciled_prod!BE12</f>
        <v>321749.51613129035</v>
      </c>
      <c r="BF12" s="448">
        <f>Storage_Reconciled_prod!BF12</f>
        <v>337706.1785739286</v>
      </c>
      <c r="BG12" s="448">
        <f>Storage_Reconciled_prod!BG12</f>
        <v>332461.06451612903</v>
      </c>
      <c r="BH12" s="448">
        <f>Storage_Reconciled_prod!BH12</f>
        <v>330403.344446</v>
      </c>
      <c r="BI12" s="448">
        <f>Storage_Reconciled_prod!BI12</f>
        <v>381257.2931510685</v>
      </c>
      <c r="BJ12" s="448">
        <f>Storage_Reconciled_prod!BJ12</f>
        <v>325302.40000000002</v>
      </c>
      <c r="BK12" s="448">
        <f>Storage_Reconciled_prod!BK12</f>
        <v>322067.22580645164</v>
      </c>
      <c r="BL12" s="448">
        <f>Storage_Reconciled_prod!BL12</f>
        <v>321355.33333333331</v>
      </c>
      <c r="BM12" s="448">
        <f>Storage_Reconciled_prod!BM12</f>
        <v>322899.07692307694</v>
      </c>
      <c r="BN12" s="448">
        <f>Storage_Reconciled_prod!BN12</f>
        <v>326927.80645161291</v>
      </c>
      <c r="BO12" s="448">
        <f>Storage_Reconciled_prod!BO12</f>
        <v>328463.09677419357</v>
      </c>
      <c r="BP12" s="448">
        <f>Storage_Reconciled_prod!BP12</f>
        <v>331043.5</v>
      </c>
      <c r="BQ12" s="448">
        <f>Storage_Reconciled_prod!BQ12</f>
        <v>328787.20652173914</v>
      </c>
      <c r="BR12" s="448">
        <f>Storage_Reconciled_prod!BR12</f>
        <v>325859.2295081967</v>
      </c>
      <c r="BS12" s="448">
        <f>Storage_Reconciled_prod!BS12</f>
        <v>337654.67741935485</v>
      </c>
      <c r="BT12" s="448">
        <f>Storage_Reconciled_prod!BT12</f>
        <v>336508.26666666666</v>
      </c>
      <c r="BU12" s="448">
        <f>Storage_Reconciled_prod!BU12</f>
        <v>338023.90322580643</v>
      </c>
      <c r="BV12" s="448">
        <f>Storage_Reconciled_prod!BV12</f>
        <v>337405.26086956525</v>
      </c>
      <c r="BW12" s="448">
        <f>Storage_Reconciled_prod!BW12</f>
        <v>329721.9018181818</v>
      </c>
      <c r="BX12" s="448">
        <f>Storage_Reconciled_prod!BX12</f>
        <v>319254.51612903224</v>
      </c>
      <c r="BY12" s="448">
        <f>Storage_Reconciled_prod!BY12</f>
        <v>329916.35714285716</v>
      </c>
      <c r="BZ12" s="448">
        <f>Storage_Reconciled_prod!BZ12</f>
        <v>0</v>
      </c>
      <c r="CA12" s="448">
        <f>Storage_Reconciled_prod!CA12</f>
        <v>212606.08888888889</v>
      </c>
      <c r="CB12" s="448">
        <f>Storage_Reconciled_prod!CB12</f>
        <v>300844.03013698629</v>
      </c>
      <c r="CC12" s="448">
        <f>Storage_Reconciled_prod!CC12</f>
        <v>321916.63333333336</v>
      </c>
      <c r="CD12" s="448">
        <f>Storage_Reconciled_prod!CD12</f>
        <v>318392.1935480645</v>
      </c>
      <c r="CE12" s="448">
        <f>Storage_Reconciled_prod!CE12</f>
        <v>322595.96666833333</v>
      </c>
      <c r="CF12" s="448">
        <f>Storage_Reconciled_prod!CF12</f>
        <v>320939.95604439563</v>
      </c>
      <c r="CG12" s="448">
        <f>Storage_Reconciled_prod!CG12</f>
        <v>323387.48387387092</v>
      </c>
      <c r="CH12" s="448">
        <f>Storage_Reconciled_prod!CH12</f>
        <v>0</v>
      </c>
      <c r="CI12" s="448">
        <f>Storage_Reconciled_prod!CI12</f>
        <v>0</v>
      </c>
      <c r="CJ12" s="448">
        <f>Storage_Reconciled_prod!CJ12</f>
        <v>108967.52174010868</v>
      </c>
      <c r="CK12" s="448">
        <f>Storage_Reconciled_prod!CK12</f>
        <v>214374.57923568305</v>
      </c>
      <c r="CL12" s="448">
        <f>Storage_Reconciled_prod!CL12</f>
        <v>0</v>
      </c>
      <c r="CM12" s="448">
        <f>Storage_Reconciled_prod!CM12</f>
        <v>0</v>
      </c>
      <c r="CN12" s="448">
        <f>Storage_Reconciled_prod!CN12</f>
        <v>0</v>
      </c>
      <c r="CO12" s="448">
        <f>Storage_Reconciled_prod!CO12</f>
        <v>0</v>
      </c>
      <c r="CP12" s="448">
        <f>Storage_Reconciled_prod!CP12</f>
        <v>142656.53818229091</v>
      </c>
      <c r="CQ12" s="448">
        <f>Storage_Reconciled_prod!CQ12</f>
        <v>0</v>
      </c>
      <c r="CR12" s="448">
        <f>Storage_Reconciled_prod!CR12</f>
        <v>0</v>
      </c>
      <c r="CS12" s="448">
        <f>Storage_Reconciled_prod!CS12</f>
        <v>0</v>
      </c>
      <c r="CT12" s="448">
        <f>Storage_Reconciled_prod!CT12</f>
        <v>0</v>
      </c>
      <c r="CU12" s="448">
        <f>Storage_Reconciled_prod!CU12</f>
        <v>107480.95342501369</v>
      </c>
    </row>
    <row r="13" spans="1:101">
      <c r="C13">
        <v>7</v>
      </c>
      <c r="D13" s="144" t="s">
        <v>58</v>
      </c>
      <c r="E13" s="448">
        <f>Storage_Reconciled_prod!E13</f>
        <v>6125.369314219367</v>
      </c>
      <c r="F13" s="448">
        <f>Storage_Reconciled_prod!F13</f>
        <v>0</v>
      </c>
      <c r="G13" s="448">
        <f>Storage_Reconciled_prod!G13</f>
        <v>12358.542217449785</v>
      </c>
      <c r="H13" s="448">
        <f>Storage_Reconciled_prod!H13</f>
        <v>6093.5972082425778</v>
      </c>
      <c r="I13" s="448">
        <f>Storage_Reconciled_prod!I13</f>
        <v>22767.888952422574</v>
      </c>
      <c r="J13" s="448">
        <f>Storage_Reconciled_prod!J13</f>
        <v>40698.585373450071</v>
      </c>
      <c r="K13" s="448">
        <f>Storage_Reconciled_prod!K13</f>
        <v>38084.569852305423</v>
      </c>
      <c r="L13" s="448">
        <f>Storage_Reconciled_prod!L13</f>
        <v>33804.32390946972</v>
      </c>
      <c r="M13" s="448">
        <f>Storage_Reconciled_prod!M13</f>
        <v>20024.67292689229</v>
      </c>
      <c r="N13" s="448">
        <f>Storage_Reconciled_prod!N13</f>
        <v>41813.517816887084</v>
      </c>
      <c r="O13" s="448">
        <f>Storage_Reconciled_prod!O13</f>
        <v>26288.428131184261</v>
      </c>
      <c r="P13" s="448">
        <f>Storage_Reconciled_prod!P13</f>
        <v>12042.445658436522</v>
      </c>
      <c r="Q13" s="448">
        <f>Storage_Reconciled_prod!Q13</f>
        <v>26719.431648593043</v>
      </c>
      <c r="R13" s="448">
        <f>Storage_Reconciled_prod!R13</f>
        <v>22264.374026515816</v>
      </c>
      <c r="S13" s="448">
        <f>Storage_Reconciled_prod!S13</f>
        <v>32750.642860762684</v>
      </c>
      <c r="T13" s="448">
        <f>Storage_Reconciled_prod!T13</f>
        <v>27604.991079075746</v>
      </c>
      <c r="U13" s="448">
        <f>Storage_Reconciled_prod!U13</f>
        <v>19770.724471585087</v>
      </c>
      <c r="V13" s="448">
        <f>Storage_Reconciled_prod!V13</f>
        <v>26678.912639076687</v>
      </c>
      <c r="W13" s="448">
        <f>Storage_Reconciled_prod!W13</f>
        <v>23352.890396736308</v>
      </c>
      <c r="X13" s="448">
        <f>Storage_Reconciled_prod!X13</f>
        <v>34532.858800666669</v>
      </c>
      <c r="Y13" s="448">
        <f>Storage_Reconciled_prod!Y13</f>
        <v>22176.792062903223</v>
      </c>
      <c r="Z13" s="448">
        <f>Storage_Reconciled_prod!Z13</f>
        <v>30917.190835000001</v>
      </c>
      <c r="AA13" s="448">
        <f>Storage_Reconciled_prod!AA13</f>
        <v>29131.670802417579</v>
      </c>
      <c r="AB13" s="448">
        <f>Storage_Reconciled_prod!AB13</f>
        <v>34629.99861193548</v>
      </c>
      <c r="AC13" s="448">
        <f>Storage_Reconciled_prod!AC13</f>
        <v>32676.311547741938</v>
      </c>
      <c r="AD13" s="448">
        <f>Storage_Reconciled_prod!AD13</f>
        <v>23467.046466333333</v>
      </c>
      <c r="AE13" s="448">
        <f>Storage_Reconciled_prod!AE13</f>
        <v>30331.59792326087</v>
      </c>
      <c r="AF13" s="448">
        <f>Storage_Reconciled_prod!AF13</f>
        <v>29734.912852240435</v>
      </c>
      <c r="AG13" s="448">
        <f>Storage_Reconciled_prod!AG13</f>
        <v>0</v>
      </c>
      <c r="AH13" s="448">
        <f>Storage_Reconciled_prod!AH13</f>
        <v>19543.878799666665</v>
      </c>
      <c r="AI13" s="448">
        <f>Storage_Reconciled_prod!AI13</f>
        <v>33933.336388064519</v>
      </c>
      <c r="AJ13" s="448">
        <f>Storage_Reconciled_prod!AJ13</f>
        <v>17807.06295673913</v>
      </c>
      <c r="AK13" s="448">
        <f>Storage_Reconciled_prod!AK13</f>
        <v>25744.504887199997</v>
      </c>
      <c r="AL13" s="448">
        <f>Storage_Reconciled_prod!AL13</f>
        <v>29258.104967741932</v>
      </c>
      <c r="AM13" s="448">
        <f>Storage_Reconciled_prod!AM13</f>
        <v>30247.683000344827</v>
      </c>
      <c r="AN13" s="448">
        <f>Storage_Reconciled_prod!AN13</f>
        <v>23836.645161290322</v>
      </c>
      <c r="AO13" s="448">
        <f>Storage_Reconciled_prod!AO13</f>
        <v>27726.594077032965</v>
      </c>
      <c r="AP13" s="448">
        <f>Storage_Reconciled_prod!AP13</f>
        <v>26237.319412540979</v>
      </c>
      <c r="AQ13" s="448">
        <f>Storage_Reconciled_prod!AQ13</f>
        <v>17029.533333333333</v>
      </c>
      <c r="AR13" s="448">
        <f>Storage_Reconciled_prod!AR13</f>
        <v>26341.741935483871</v>
      </c>
      <c r="AS13" s="448">
        <f>Storage_Reconciled_prod!AS13</f>
        <v>22427.933333333334</v>
      </c>
      <c r="AT13" s="448">
        <f>Storage_Reconciled_prod!AT13</f>
        <v>21981.516483516483</v>
      </c>
      <c r="AU13" s="448">
        <f>Storage_Reconciled_prod!AU13</f>
        <v>23324.774193548386</v>
      </c>
      <c r="AV13" s="448">
        <f>Storage_Reconciled_prod!AV13</f>
        <v>29859.741935483871</v>
      </c>
      <c r="AW13" s="448">
        <f>Storage_Reconciled_prod!AW13</f>
        <v>25243.733333333334</v>
      </c>
      <c r="AX13" s="448">
        <f>Storage_Reconciled_prod!AX13</f>
        <v>26152.521739130436</v>
      </c>
      <c r="AY13" s="448">
        <f>Storage_Reconciled_prod!AY13</f>
        <v>24078.415300546447</v>
      </c>
      <c r="AZ13" s="448">
        <f>Storage_Reconciled_prod!AZ13</f>
        <v>22157.193548387098</v>
      </c>
      <c r="BA13" s="448">
        <f>Storage_Reconciled_prod!BA13</f>
        <v>23016.7</v>
      </c>
      <c r="BB13" s="448">
        <f>Storage_Reconciled_prod!BB13</f>
        <v>32015.741935483871</v>
      </c>
      <c r="BC13" s="448">
        <f>Storage_Reconciled_prod!BC13</f>
        <v>25759.369565217392</v>
      </c>
      <c r="BD13" s="448">
        <f>Storage_Reconciled_prod!BD13</f>
        <v>24640.770909090908</v>
      </c>
      <c r="BE13" s="448">
        <f>Storage_Reconciled_prod!BE13</f>
        <v>28334.83870967742</v>
      </c>
      <c r="BF13" s="448">
        <f>Storage_Reconciled_prod!BF13</f>
        <v>22560.142857142859</v>
      </c>
      <c r="BG13" s="448">
        <f>Storage_Reconciled_prod!BG13</f>
        <v>25733.258064516129</v>
      </c>
      <c r="BH13" s="448">
        <f>Storage_Reconciled_prod!BH13</f>
        <v>25642.166666666668</v>
      </c>
      <c r="BI13" s="448">
        <f>Storage_Reconciled_prod!BI13</f>
        <v>24887.690410958905</v>
      </c>
      <c r="BJ13" s="448">
        <f>Storage_Reconciled_prod!BJ13</f>
        <v>26396.066666666666</v>
      </c>
      <c r="BK13" s="448">
        <f>Storage_Reconciled_prod!BK13</f>
        <v>28117.83870967742</v>
      </c>
      <c r="BL13" s="448">
        <f>Storage_Reconciled_prod!BL13</f>
        <v>30197.033333333333</v>
      </c>
      <c r="BM13" s="448">
        <f>Storage_Reconciled_prod!BM13</f>
        <v>28235.670329670331</v>
      </c>
      <c r="BN13" s="448">
        <f>Storage_Reconciled_prod!BN13</f>
        <v>29261.645161290322</v>
      </c>
      <c r="BO13" s="448">
        <f>Storage_Reconciled_prod!BO13</f>
        <v>29758.870967741936</v>
      </c>
      <c r="BP13" s="448">
        <f>Storage_Reconciled_prod!BP13</f>
        <v>28479.966666666667</v>
      </c>
      <c r="BQ13" s="448">
        <f>Storage_Reconciled_prod!BQ13</f>
        <v>29174.293478260868</v>
      </c>
      <c r="BR13" s="448">
        <f>Storage_Reconciled_prod!BR13</f>
        <v>28707.546448087433</v>
      </c>
      <c r="BS13" s="448">
        <f>Storage_Reconciled_prod!BS13</f>
        <v>31224.870967741936</v>
      </c>
      <c r="BT13" s="448">
        <f>Storage_Reconciled_prod!BT13</f>
        <v>17791.5</v>
      </c>
      <c r="BU13" s="448">
        <f>Storage_Reconciled_prod!BU13</f>
        <v>0</v>
      </c>
      <c r="BV13" s="448">
        <f>Storage_Reconciled_prod!BV13</f>
        <v>16323</v>
      </c>
      <c r="BW13" s="448">
        <f>Storage_Reconciled_prod!BW13</f>
        <v>24564.352727272726</v>
      </c>
      <c r="BX13" s="448">
        <f>Storage_Reconciled_prod!BX13</f>
        <v>4367.1290322580644</v>
      </c>
      <c r="BY13" s="448">
        <f>Storage_Reconciled_prod!BY13</f>
        <v>28956.357142857141</v>
      </c>
      <c r="BZ13" s="448">
        <f>Storage_Reconciled_prod!BZ13</f>
        <v>0</v>
      </c>
      <c r="CA13" s="448">
        <f>Storage_Reconciled_prod!CA13</f>
        <v>10512.877777777778</v>
      </c>
      <c r="CB13" s="448">
        <f>Storage_Reconciled_prod!CB13</f>
        <v>21099.605479452053</v>
      </c>
      <c r="CC13" s="448">
        <f>Storage_Reconciled_prod!CC13</f>
        <v>35545.783334333333</v>
      </c>
      <c r="CD13" s="448">
        <f>Storage_Reconciled_prod!CD13</f>
        <v>28023.939678064518</v>
      </c>
      <c r="CE13" s="448">
        <f>Storage_Reconciled_prod!CE13</f>
        <v>32279.925667666666</v>
      </c>
      <c r="CF13" s="448">
        <f>Storage_Reconciled_prod!CF13</f>
        <v>31906.740660219781</v>
      </c>
      <c r="CG13" s="448">
        <f>Storage_Reconciled_prod!CG13</f>
        <v>26900.451613225807</v>
      </c>
      <c r="CH13" s="448">
        <f>Storage_Reconciled_prod!CH13</f>
        <v>0</v>
      </c>
      <c r="CI13" s="448">
        <f>Storage_Reconciled_prod!CI13</f>
        <v>0</v>
      </c>
      <c r="CJ13" s="448">
        <f>Storage_Reconciled_prod!CJ13</f>
        <v>9064.2826088043475</v>
      </c>
      <c r="CK13" s="448">
        <f>Storage_Reconciled_prod!CK13</f>
        <v>20423.100546939892</v>
      </c>
      <c r="CL13" s="448">
        <f>Storage_Reconciled_prod!CL13</f>
        <v>0</v>
      </c>
      <c r="CM13" s="448">
        <f>Storage_Reconciled_prod!CM13</f>
        <v>0</v>
      </c>
      <c r="CN13" s="448">
        <f>Storage_Reconciled_prod!CN13</f>
        <v>0</v>
      </c>
      <c r="CO13" s="448">
        <f>Storage_Reconciled_prod!CO13</f>
        <v>0</v>
      </c>
      <c r="CP13" s="448">
        <f>Storage_Reconciled_prod!CP13</f>
        <v>13590.645091236363</v>
      </c>
      <c r="CQ13" s="448">
        <f>Storage_Reconciled_prod!CQ13</f>
        <v>0</v>
      </c>
      <c r="CR13" s="448">
        <f>Storage_Reconciled_prod!CR13</f>
        <v>0</v>
      </c>
      <c r="CS13" s="448">
        <f>Storage_Reconciled_prod!CS13</f>
        <v>0</v>
      </c>
      <c r="CT13" s="448">
        <f>Storage_Reconciled_prod!CT13</f>
        <v>0</v>
      </c>
      <c r="CU13" s="448">
        <f>Storage_Reconciled_prod!CU13</f>
        <v>10239.527123534246</v>
      </c>
    </row>
    <row r="14" spans="1:101">
      <c r="A14" t="s">
        <v>627</v>
      </c>
      <c r="C14">
        <v>8</v>
      </c>
      <c r="D14" s="144" t="s">
        <v>59</v>
      </c>
      <c r="E14" s="448">
        <f>Storage_Reconciled_prod!E14</f>
        <v>2796.5496666666668</v>
      </c>
      <c r="F14" s="448">
        <f>Storage_Reconciled_prod!F14</f>
        <v>2663.5903225806451</v>
      </c>
      <c r="G14" s="448">
        <f>Storage_Reconciled_prod!G14</f>
        <v>2782.608333333334</v>
      </c>
      <c r="H14" s="448">
        <f>Storage_Reconciled_prod!H14</f>
        <v>2746.6597802197807</v>
      </c>
      <c r="I14" s="448">
        <f>Storage_Reconciled_prod!I14</f>
        <v>2774.1025806451617</v>
      </c>
      <c r="J14" s="448">
        <f>Storage_Reconciled_prod!J14</f>
        <v>2843.3454838709681</v>
      </c>
      <c r="K14" s="448">
        <f>Storage_Reconciled_prod!K14</f>
        <v>3007.4666666666667</v>
      </c>
      <c r="L14" s="448">
        <f>Storage_Reconciled_prod!L14</f>
        <v>2873.5314130434786</v>
      </c>
      <c r="M14" s="448">
        <f>Storage_Reconciled_prod!M14</f>
        <v>2810.4422404371589</v>
      </c>
      <c r="N14" s="448">
        <f>Storage_Reconciled_prod!N14</f>
        <v>3036.630322580645</v>
      </c>
      <c r="O14" s="448">
        <f>Storage_Reconciled_prod!O14</f>
        <v>2965.8870000000002</v>
      </c>
      <c r="P14" s="448">
        <f>Storage_Reconciled_prod!P14</f>
        <v>3064.9032258064517</v>
      </c>
      <c r="Q14" s="448">
        <f>Storage_Reconciled_prod!Q14</f>
        <v>3023.0885869565218</v>
      </c>
      <c r="R14" s="448">
        <f>Storage_Reconciled_prod!R14</f>
        <v>2881.5821090909094</v>
      </c>
      <c r="S14" s="448">
        <f>Storage_Reconciled_prod!S14</f>
        <v>2828.983548387097</v>
      </c>
      <c r="T14" s="448">
        <f>Storage_Reconciled_prod!T14</f>
        <v>2835.8910714285712</v>
      </c>
      <c r="U14" s="448">
        <f>Storage_Reconciled_prod!U14</f>
        <v>2893.8341935483872</v>
      </c>
      <c r="V14" s="448">
        <f>Storage_Reconciled_prod!V14</f>
        <v>2853.47</v>
      </c>
      <c r="W14" s="448">
        <f>Storage_Reconciled_prod!W14</f>
        <v>2874.650356164384</v>
      </c>
      <c r="X14" s="448">
        <f>Storage_Reconciled_prod!X14</f>
        <v>2980.4999990000001</v>
      </c>
      <c r="Y14" s="448">
        <f>Storage_Reconciled_prod!Y14</f>
        <v>2962.0967735483869</v>
      </c>
      <c r="Z14" s="448">
        <f>Storage_Reconciled_prod!Z14</f>
        <v>3000.9333333333334</v>
      </c>
      <c r="AA14" s="448">
        <f>Storage_Reconciled_prod!AA14</f>
        <v>2980.9670324175822</v>
      </c>
      <c r="AB14" s="448">
        <f>Storage_Reconciled_prod!AB14</f>
        <v>3034.7393548387095</v>
      </c>
      <c r="AC14" s="448">
        <f>Storage_Reconciled_prod!AC14</f>
        <v>3054.2258067741936</v>
      </c>
      <c r="AD14" s="448">
        <f>Storage_Reconciled_prod!AD14</f>
        <v>2821.3333340000004</v>
      </c>
      <c r="AE14" s="448">
        <f>Storage_Reconciled_prod!AE14</f>
        <v>2971.7165220652178</v>
      </c>
      <c r="AF14" s="448">
        <f>Storage_Reconciled_prod!AF14</f>
        <v>2976.3165026229508</v>
      </c>
      <c r="AG14" s="448">
        <f>Storage_Reconciled_prod!AG14</f>
        <v>3194.4193551612902</v>
      </c>
      <c r="AH14" s="448">
        <f>Storage_Reconciled_prod!AH14</f>
        <v>3361.2333329999997</v>
      </c>
      <c r="AI14" s="448">
        <f>Storage_Reconciled_prod!AI14</f>
        <v>3527.0000003225809</v>
      </c>
      <c r="AJ14" s="448">
        <f>Storage_Reconciled_prod!AJ14</f>
        <v>3360.8804348913045</v>
      </c>
      <c r="AK14" s="448">
        <f>Storage_Reconciled_prod!AK14</f>
        <v>3104.9706181454549</v>
      </c>
      <c r="AL14" s="448">
        <f>Storage_Reconciled_prod!AL14</f>
        <v>3375.5483867741937</v>
      </c>
      <c r="AM14" s="448">
        <f>Storage_Reconciled_prod!AM14</f>
        <v>3451.8965524137934</v>
      </c>
      <c r="AN14" s="448">
        <f>Storage_Reconciled_prod!AN14</f>
        <v>3639.3548387096776</v>
      </c>
      <c r="AO14" s="448">
        <f>Storage_Reconciled_prod!AO14</f>
        <v>3489.7472528571429</v>
      </c>
      <c r="AP14" s="448">
        <f>Storage_Reconciled_prod!AP14</f>
        <v>3200.6391256830607</v>
      </c>
      <c r="AQ14" s="448">
        <f>Storage_Reconciled_prod!AQ14</f>
        <v>3929.2</v>
      </c>
      <c r="AR14" s="448">
        <f>Storage_Reconciled_prod!AR14</f>
        <v>4132.3548387096771</v>
      </c>
      <c r="AS14" s="448">
        <f>Storage_Reconciled_prod!AS14</f>
        <v>4212.0333333333338</v>
      </c>
      <c r="AT14" s="448">
        <f>Storage_Reconciled_prod!AT14</f>
        <v>4091.6483516483518</v>
      </c>
      <c r="AU14" s="448">
        <f>Storage_Reconciled_prod!AU14</f>
        <v>4236.1612903225805</v>
      </c>
      <c r="AV14" s="448">
        <f>Storage_Reconciled_prod!AV14</f>
        <v>4115.9677419354839</v>
      </c>
      <c r="AW14" s="448">
        <f>Storage_Reconciled_prod!AW14</f>
        <v>4030.6333333333332</v>
      </c>
      <c r="AX14" s="448">
        <f>Storage_Reconciled_prod!AX14</f>
        <v>4128.641304347826</v>
      </c>
      <c r="AY14" s="448">
        <f>Storage_Reconciled_prod!AY14</f>
        <v>4110.2459016393441</v>
      </c>
      <c r="AZ14" s="448">
        <f>Storage_Reconciled_prod!AZ14</f>
        <v>4044.0322580645161</v>
      </c>
      <c r="BA14" s="448">
        <f>Storage_Reconciled_prod!BA14</f>
        <v>3957.1</v>
      </c>
      <c r="BB14" s="448">
        <f>Storage_Reconciled_prod!BB14</f>
        <v>4238.677419354839</v>
      </c>
      <c r="BC14" s="448">
        <f>Storage_Reconciled_prod!BC14</f>
        <v>4081.271739130435</v>
      </c>
      <c r="BD14" s="448">
        <f>Storage_Reconciled_prod!BD14</f>
        <v>4100.5527272727277</v>
      </c>
      <c r="BE14" s="448">
        <f>Storage_Reconciled_prod!BE14</f>
        <v>4364.1935483870966</v>
      </c>
      <c r="BF14" s="448">
        <f>Storage_Reconciled_prod!BF14</f>
        <v>4100.8571428571431</v>
      </c>
      <c r="BG14" s="448">
        <f>Storage_Reconciled_prod!BG14</f>
        <v>4400.4838703225805</v>
      </c>
      <c r="BH14" s="448">
        <f>Storage_Reconciled_prod!BH14</f>
        <v>4294.7666664444441</v>
      </c>
      <c r="BI14" s="448">
        <f>Storage_Reconciled_prod!BI14</f>
        <v>4148.4410958356157</v>
      </c>
      <c r="BJ14" s="448">
        <f>Storage_Reconciled_prod!BJ14</f>
        <v>4930.0666666666666</v>
      </c>
      <c r="BK14" s="448">
        <f>Storage_Reconciled_prod!BK14</f>
        <v>4752.7419354838712</v>
      </c>
      <c r="BL14" s="448">
        <f>Storage_Reconciled_prod!BL14</f>
        <v>4544.666666666667</v>
      </c>
      <c r="BM14" s="448">
        <f>Storage_Reconciled_prod!BM14</f>
        <v>4742.6043956043959</v>
      </c>
      <c r="BN14" s="448">
        <f>Storage_Reconciled_prod!BN14</f>
        <v>4657.5806451612907</v>
      </c>
      <c r="BO14" s="448">
        <f>Storage_Reconciled_prod!BO14</f>
        <v>4993.2580645161288</v>
      </c>
      <c r="BP14" s="448">
        <f>Storage_Reconciled_prod!BP14</f>
        <v>5141.166666666667</v>
      </c>
      <c r="BQ14" s="448">
        <f>Storage_Reconciled_prod!BQ14</f>
        <v>4928.380434782609</v>
      </c>
      <c r="BR14" s="448">
        <f>Storage_Reconciled_prod!BR14</f>
        <v>4836</v>
      </c>
      <c r="BS14" s="448">
        <f>Storage_Reconciled_prod!BS14</f>
        <v>5161.322580645161</v>
      </c>
      <c r="BT14" s="448">
        <f>Storage_Reconciled_prod!BT14</f>
        <v>5223.9333333333334</v>
      </c>
      <c r="BU14" s="448">
        <f>Storage_Reconciled_prod!BU14</f>
        <v>4925.4838709677415</v>
      </c>
      <c r="BV14" s="448">
        <f>Storage_Reconciled_prod!BV14</f>
        <v>5102.271739130435</v>
      </c>
      <c r="BW14" s="448">
        <f>Storage_Reconciled_prod!BW14</f>
        <v>4925.08</v>
      </c>
      <c r="BX14" s="448">
        <f>Storage_Reconciled_prod!BX14</f>
        <v>4594.3548387096771</v>
      </c>
      <c r="BY14" s="448">
        <f>Storage_Reconciled_prod!BY14</f>
        <v>4692.3214285714284</v>
      </c>
      <c r="BZ14" s="448">
        <f>Storage_Reconciled_prod!BZ14</f>
        <v>0</v>
      </c>
      <c r="CA14" s="448">
        <f>Storage_Reconciled_prod!CA14</f>
        <v>3042.3333333333335</v>
      </c>
      <c r="CB14" s="448">
        <f>Storage_Reconciled_prod!CB14</f>
        <v>4460.8410958904105</v>
      </c>
      <c r="CC14" s="448">
        <f>Storage_Reconciled_prod!CC14</f>
        <v>4482.5666663333341</v>
      </c>
      <c r="CD14" s="448">
        <f>Storage_Reconciled_prod!CD14</f>
        <v>4449.7741938709678</v>
      </c>
      <c r="CE14" s="448">
        <f>Storage_Reconciled_prod!CE14</f>
        <v>4795.3</v>
      </c>
      <c r="CF14" s="448">
        <f>Storage_Reconciled_prod!CF14</f>
        <v>4574.4945054945056</v>
      </c>
      <c r="CG14" s="448">
        <f>Storage_Reconciled_prod!CG14</f>
        <v>4872.4838709677415</v>
      </c>
      <c r="CH14" s="448">
        <f>Storage_Reconciled_prod!CH14</f>
        <v>0</v>
      </c>
      <c r="CI14" s="448">
        <f>Storage_Reconciled_prod!CI14</f>
        <v>0</v>
      </c>
      <c r="CJ14" s="448">
        <f>Storage_Reconciled_prod!CJ14</f>
        <v>1641.8152173913043</v>
      </c>
      <c r="CK14" s="448">
        <f>Storage_Reconciled_prod!CK14</f>
        <v>3100.1420765027324</v>
      </c>
      <c r="CL14" s="448">
        <f>Storage_Reconciled_prod!CL14</f>
        <v>0</v>
      </c>
      <c r="CM14" s="448">
        <f>Storage_Reconciled_prod!CM14</f>
        <v>0</v>
      </c>
      <c r="CN14" s="448">
        <f>Storage_Reconciled_prod!CN14</f>
        <v>0</v>
      </c>
      <c r="CO14" s="448">
        <f>Storage_Reconciled_prod!CO14</f>
        <v>0</v>
      </c>
      <c r="CP14" s="448">
        <f>Storage_Reconciled_prod!CP14</f>
        <v>2063.0036363636364</v>
      </c>
      <c r="CQ14" s="448">
        <f>Storage_Reconciled_prod!CQ14</f>
        <v>0</v>
      </c>
      <c r="CR14" s="448">
        <f>Storage_Reconciled_prod!CR14</f>
        <v>0</v>
      </c>
      <c r="CS14" s="448">
        <f>Storage_Reconciled_prod!CS14</f>
        <v>0</v>
      </c>
      <c r="CT14" s="448">
        <f>Storage_Reconciled_prod!CT14</f>
        <v>0</v>
      </c>
      <c r="CU14" s="448">
        <f>Storage_Reconciled_prod!CU14</f>
        <v>1554.317808219178</v>
      </c>
    </row>
    <row r="15" spans="1:101">
      <c r="C15">
        <v>9</v>
      </c>
      <c r="D15" s="144" t="s">
        <v>63</v>
      </c>
      <c r="E15" s="448">
        <f>Storage_Reconciled_prod!E15</f>
        <v>20448.543333333335</v>
      </c>
      <c r="F15" s="448">
        <f>Storage_Reconciled_prod!F15</f>
        <v>19856.376774193548</v>
      </c>
      <c r="G15" s="448">
        <f>Storage_Reconciled_prod!G15</f>
        <v>20607.708666666666</v>
      </c>
      <c r="H15" s="448">
        <f>Storage_Reconciled_prod!H15</f>
        <v>20299.288351648353</v>
      </c>
      <c r="I15" s="448">
        <f>Storage_Reconciled_prod!I15</f>
        <v>15981.102258064517</v>
      </c>
      <c r="J15" s="448">
        <f>Storage_Reconciled_prod!J15</f>
        <v>20700.292258064521</v>
      </c>
      <c r="K15" s="448">
        <f>Storage_Reconciled_prod!K15</f>
        <v>19342.233333333334</v>
      </c>
      <c r="L15" s="448">
        <f>Storage_Reconciled_prod!L15</f>
        <v>18667.285108695654</v>
      </c>
      <c r="M15" s="448">
        <f>Storage_Reconciled_prod!M15</f>
        <v>19478.827704918032</v>
      </c>
      <c r="N15" s="448">
        <f>Storage_Reconciled_prod!N15</f>
        <v>17949.887096774193</v>
      </c>
      <c r="O15" s="448">
        <f>Storage_Reconciled_prod!O15</f>
        <v>22639.072</v>
      </c>
      <c r="P15" s="448">
        <f>Storage_Reconciled_prod!P15</f>
        <v>20193.262903225808</v>
      </c>
      <c r="Q15" s="448">
        <f>Storage_Reconciled_prod!Q15</f>
        <v>20234.889239130436</v>
      </c>
      <c r="R15" s="448">
        <f>Storage_Reconciled_prod!R15</f>
        <v>19731.764654545455</v>
      </c>
      <c r="S15" s="448">
        <f>Storage_Reconciled_prod!S15</f>
        <v>18084.40741935484</v>
      </c>
      <c r="T15" s="448">
        <f>Storage_Reconciled_prod!T15</f>
        <v>18295.057499999999</v>
      </c>
      <c r="U15" s="448">
        <f>Storage_Reconciled_prod!U15</f>
        <v>13748.78741935484</v>
      </c>
      <c r="V15" s="448">
        <f>Storage_Reconciled_prod!V15</f>
        <v>16656.562777777777</v>
      </c>
      <c r="W15" s="448">
        <f>Storage_Reconciled_prod!W15</f>
        <v>18973.495698630137</v>
      </c>
      <c r="X15" s="448">
        <f>Storage_Reconciled_prod!X15</f>
        <v>18151.499999333333</v>
      </c>
      <c r="Y15" s="448">
        <f>Storage_Reconciled_prod!Y15</f>
        <v>17396.064515483871</v>
      </c>
      <c r="Z15" s="448">
        <f>Storage_Reconciled_prod!Z15</f>
        <v>17884.799999666669</v>
      </c>
      <c r="AA15" s="448">
        <f>Storage_Reconciled_prod!AA15</f>
        <v>17806.230768681318</v>
      </c>
      <c r="AB15" s="448">
        <f>Storage_Reconciled_prod!AB15</f>
        <v>17331.225807096776</v>
      </c>
      <c r="AC15" s="448">
        <f>Storage_Reconciled_prod!AC15</f>
        <v>17027.99999967742</v>
      </c>
      <c r="AD15" s="448">
        <f>Storage_Reconciled_prod!AD15</f>
        <v>16195.766665333333</v>
      </c>
      <c r="AE15" s="448">
        <f>Storage_Reconciled_prod!AE15</f>
        <v>16858.793477934782</v>
      </c>
      <c r="AF15" s="448">
        <f>Storage_Reconciled_prod!AF15</f>
        <v>17329.923496830605</v>
      </c>
      <c r="AG15" s="448">
        <f>Storage_Reconciled_prod!AG15</f>
        <v>23062.741935806451</v>
      </c>
      <c r="AH15" s="448">
        <f>Storage_Reconciled_prod!AH15</f>
        <v>22686.666667333335</v>
      </c>
      <c r="AI15" s="448">
        <f>Storage_Reconciled_prod!AI15</f>
        <v>22425.709678709674</v>
      </c>
      <c r="AJ15" s="448">
        <f>Storage_Reconciled_prod!AJ15</f>
        <v>22725.456522500001</v>
      </c>
      <c r="AK15" s="448">
        <f>Storage_Reconciled_prod!AK15</f>
        <v>19134.974545418183</v>
      </c>
      <c r="AL15" s="448">
        <f>Storage_Reconciled_prod!AL15</f>
        <v>17644.709676774193</v>
      </c>
      <c r="AM15" s="448">
        <f>Storage_Reconciled_prod!AM15</f>
        <v>22769.206898965516</v>
      </c>
      <c r="AN15" s="448">
        <f>Storage_Reconciled_prod!AN15</f>
        <v>16599.935484516129</v>
      </c>
      <c r="AO15" s="448">
        <f>Storage_Reconciled_prod!AO15</f>
        <v>18921.879121648351</v>
      </c>
      <c r="AP15" s="448">
        <f>Storage_Reconciled_prod!AP15</f>
        <v>19081.991803442623</v>
      </c>
      <c r="AQ15" s="448">
        <f>Storage_Reconciled_prod!AQ15</f>
        <v>27869.233333333334</v>
      </c>
      <c r="AR15" s="448">
        <f>Storage_Reconciled_prod!AR15</f>
        <v>24196.516129032258</v>
      </c>
      <c r="AS15" s="448">
        <f>Storage_Reconciled_prod!AS15</f>
        <v>27217.533333333333</v>
      </c>
      <c r="AT15" s="448">
        <f>Storage_Reconciled_prod!AT15</f>
        <v>26403.241758241758</v>
      </c>
      <c r="AU15" s="448">
        <f>Storage_Reconciled_prod!AU15</f>
        <v>26243.258064516129</v>
      </c>
      <c r="AV15" s="448">
        <f>Storage_Reconciled_prod!AV15</f>
        <v>25168.451612903227</v>
      </c>
      <c r="AW15" s="448">
        <f>Storage_Reconciled_prod!AW15</f>
        <v>25804.7</v>
      </c>
      <c r="AX15" s="448">
        <f>Storage_Reconciled_prod!AX15</f>
        <v>25738.08695652174</v>
      </c>
      <c r="AY15" s="448">
        <f>Storage_Reconciled_prod!AY15</f>
        <v>26068.846994535521</v>
      </c>
      <c r="AZ15" s="448">
        <f>Storage_Reconciled_prod!AZ15</f>
        <v>23190.548387096773</v>
      </c>
      <c r="BA15" s="448">
        <f>Storage_Reconciled_prod!BA15</f>
        <v>22078.966666666667</v>
      </c>
      <c r="BB15" s="448">
        <f>Storage_Reconciled_prod!BB15</f>
        <v>18778.83870967742</v>
      </c>
      <c r="BC15" s="448">
        <f>Storage_Reconciled_prod!BC15</f>
        <v>21341.521739130436</v>
      </c>
      <c r="BD15" s="448">
        <f>Storage_Reconciled_prod!BD15</f>
        <v>24487.34181818182</v>
      </c>
      <c r="BE15" s="448">
        <f>Storage_Reconciled_prod!BE15</f>
        <v>23732.580645161292</v>
      </c>
      <c r="BF15" s="448">
        <f>Storage_Reconciled_prod!BF15</f>
        <v>21634.678570714284</v>
      </c>
      <c r="BG15" s="448">
        <f>Storage_Reconciled_prod!BG15</f>
        <v>20681.258064193549</v>
      </c>
      <c r="BH15" s="448">
        <f>Storage_Reconciled_prod!BH15</f>
        <v>22028.888888555553</v>
      </c>
      <c r="BI15" s="448">
        <f>Storage_Reconciled_prod!BI15</f>
        <v>23881.147945123288</v>
      </c>
      <c r="BJ15" s="448">
        <f>Storage_Reconciled_prod!BJ15</f>
        <v>24918.766666666666</v>
      </c>
      <c r="BK15" s="448">
        <f>Storage_Reconciled_prod!BK15</f>
        <v>19691.354838709678</v>
      </c>
      <c r="BL15" s="448">
        <f>Storage_Reconciled_prod!BL15</f>
        <v>16410.033333333333</v>
      </c>
      <c r="BM15" s="448">
        <f>Storage_Reconciled_prod!BM15</f>
        <v>20332.923076923078</v>
      </c>
      <c r="BN15" s="448">
        <f>Storage_Reconciled_prod!BN15</f>
        <v>23712.290322580644</v>
      </c>
      <c r="BO15" s="448">
        <f>Storage_Reconciled_prod!BO15</f>
        <v>23713.419354838708</v>
      </c>
      <c r="BP15" s="448">
        <f>Storage_Reconciled_prod!BP15</f>
        <v>23297.666666666668</v>
      </c>
      <c r="BQ15" s="448">
        <f>Storage_Reconciled_prod!BQ15</f>
        <v>23577.467391304348</v>
      </c>
      <c r="BR15" s="448">
        <f>Storage_Reconciled_prod!BR15</f>
        <v>21964.060109289618</v>
      </c>
      <c r="BS15" s="448">
        <f>Storage_Reconciled_prod!BS15</f>
        <v>20466.516129032258</v>
      </c>
      <c r="BT15" s="448">
        <f>Storage_Reconciled_prod!BT15</f>
        <v>18590.400000000001</v>
      </c>
      <c r="BU15" s="448">
        <f>Storage_Reconciled_prod!BU15</f>
        <v>22419.709677419356</v>
      </c>
      <c r="BV15" s="448">
        <f>Storage_Reconciled_prod!BV15</f>
        <v>20512.880434782608</v>
      </c>
      <c r="BW15" s="448">
        <f>Storage_Reconciled_prod!BW15</f>
        <v>21478.574545454547</v>
      </c>
      <c r="BX15" s="448">
        <f>Storage_Reconciled_prod!BX15</f>
        <v>22054.354838709678</v>
      </c>
      <c r="BY15" s="448">
        <f>Storage_Reconciled_prod!BY15</f>
        <v>15968.178571428571</v>
      </c>
      <c r="BZ15" s="448">
        <f>Storage_Reconciled_prod!BZ15</f>
        <v>0</v>
      </c>
      <c r="CA15" s="448">
        <f>Storage_Reconciled_prod!CA15</f>
        <v>12564.377777777778</v>
      </c>
      <c r="CB15" s="448">
        <f>Storage_Reconciled_prod!CB15</f>
        <v>19280.553424657533</v>
      </c>
      <c r="CC15" s="448">
        <f>Storage_Reconciled_prod!CC15</f>
        <v>18270.500001</v>
      </c>
      <c r="CD15" s="448">
        <f>Storage_Reconciled_prod!CD15</f>
        <v>21726.806451612902</v>
      </c>
      <c r="CE15" s="448">
        <f>Storage_Reconciled_prod!CE15</f>
        <v>21278.499999</v>
      </c>
      <c r="CF15" s="448">
        <f>Storage_Reconciled_prod!CF15</f>
        <v>20439.571428571428</v>
      </c>
      <c r="CG15" s="448">
        <f>Storage_Reconciled_prod!CG15</f>
        <v>20944.51612967742</v>
      </c>
      <c r="CH15" s="448">
        <f>Storage_Reconciled_prod!CH15</f>
        <v>0</v>
      </c>
      <c r="CI15" s="448">
        <f>Storage_Reconciled_prod!CI15</f>
        <v>0</v>
      </c>
      <c r="CJ15" s="448">
        <f>Storage_Reconciled_prod!CJ15</f>
        <v>7057.391304565218</v>
      </c>
      <c r="CK15" s="448">
        <f>Storage_Reconciled_prod!CK15</f>
        <v>13711.918032896176</v>
      </c>
      <c r="CL15" s="448">
        <f>Storage_Reconciled_prod!CL15</f>
        <v>0</v>
      </c>
      <c r="CM15" s="448">
        <f>Storage_Reconciled_prod!CM15</f>
        <v>0</v>
      </c>
      <c r="CN15" s="448">
        <f>Storage_Reconciled_prod!CN15</f>
        <v>0</v>
      </c>
      <c r="CO15" s="448">
        <f>Storage_Reconciled_prod!CO15</f>
        <v>0</v>
      </c>
      <c r="CP15" s="448">
        <f>Storage_Reconciled_prod!CP15</f>
        <v>9124.658181890909</v>
      </c>
      <c r="CQ15" s="448">
        <f>Storage_Reconciled_prod!CQ15</f>
        <v>0</v>
      </c>
      <c r="CR15" s="448">
        <f>Storage_Reconciled_prod!CR15</f>
        <v>0</v>
      </c>
      <c r="CS15" s="448">
        <f>Storage_Reconciled_prod!CS15</f>
        <v>0</v>
      </c>
      <c r="CT15" s="448">
        <f>Storage_Reconciled_prod!CT15</f>
        <v>0</v>
      </c>
      <c r="CU15" s="448">
        <f>Storage_Reconciled_prod!CU15</f>
        <v>6874.74246580822</v>
      </c>
    </row>
    <row r="16" spans="1:101">
      <c r="C16">
        <v>10</v>
      </c>
      <c r="D16" s="144" t="s">
        <v>64</v>
      </c>
      <c r="E16" s="448">
        <f>Storage_Reconciled_prod!E16</f>
        <v>11293.1</v>
      </c>
      <c r="F16" s="448">
        <f>Storage_Reconciled_prod!F16</f>
        <v>11208.354838709678</v>
      </c>
      <c r="G16" s="448">
        <f>Storage_Reconciled_prod!G16</f>
        <v>10502.966666666667</v>
      </c>
      <c r="H16" s="448">
        <f>Storage_Reconciled_prod!H16</f>
        <v>11003.747252747253</v>
      </c>
      <c r="I16" s="448">
        <f>Storage_Reconciled_prod!I16</f>
        <v>10504.741935483871</v>
      </c>
      <c r="J16" s="448">
        <f>Storage_Reconciled_prod!J16</f>
        <v>10677.935483870968</v>
      </c>
      <c r="K16" s="448">
        <f>Storage_Reconciled_prod!K16</f>
        <v>7739.2333333333336</v>
      </c>
      <c r="L16" s="448">
        <f>Storage_Reconciled_prod!L16</f>
        <v>9661.3043478260861</v>
      </c>
      <c r="M16" s="448">
        <f>Storage_Reconciled_prod!M16</f>
        <v>10328.857923497268</v>
      </c>
      <c r="N16" s="448">
        <f>Storage_Reconciled_prod!N16</f>
        <v>7719.0645161290322</v>
      </c>
      <c r="O16" s="448">
        <f>Storage_Reconciled_prod!O16</f>
        <v>9386.3333333333339</v>
      </c>
      <c r="P16" s="448">
        <f>Storage_Reconciled_prod!P16</f>
        <v>8162.7741935483873</v>
      </c>
      <c r="Q16" s="448">
        <f>Storage_Reconciled_prod!Q16</f>
        <v>8412.25</v>
      </c>
      <c r="R16" s="448">
        <f>Storage_Reconciled_prod!R16</f>
        <v>9687.6654545454548</v>
      </c>
      <c r="S16" s="448">
        <f>Storage_Reconciled_prod!S16</f>
        <v>7951.5806451612907</v>
      </c>
      <c r="T16" s="448">
        <f>Storage_Reconciled_prod!T16</f>
        <v>6696.1428571428569</v>
      </c>
      <c r="U16" s="448">
        <f>Storage_Reconciled_prod!U16</f>
        <v>6141.5483870967746</v>
      </c>
      <c r="V16" s="448">
        <f>Storage_Reconciled_prod!V16</f>
        <v>6937.5444444444447</v>
      </c>
      <c r="W16" s="448">
        <f>Storage_Reconciled_prod!W16</f>
        <v>9009.5534246575335</v>
      </c>
      <c r="X16" s="448">
        <f>Storage_Reconciled_prod!X16</f>
        <v>9198.4333339999994</v>
      </c>
      <c r="Y16" s="448">
        <f>Storage_Reconciled_prod!Y16</f>
        <v>8854.870968064517</v>
      </c>
      <c r="Z16" s="448">
        <f>Storage_Reconciled_prod!Z16</f>
        <v>8767</v>
      </c>
      <c r="AA16" s="448">
        <f>Storage_Reconciled_prod!AA16</f>
        <v>8939.1648354945046</v>
      </c>
      <c r="AB16" s="448">
        <f>Storage_Reconciled_prod!AB16</f>
        <v>8683.0967741935492</v>
      </c>
      <c r="AC16" s="448">
        <f>Storage_Reconciled_prod!AC16</f>
        <v>8676.3870967741932</v>
      </c>
      <c r="AD16" s="448">
        <f>Storage_Reconciled_prod!AD16</f>
        <v>8582.2666669999999</v>
      </c>
      <c r="AE16" s="448">
        <f>Storage_Reconciled_prod!AE16</f>
        <v>8647.9565218478256</v>
      </c>
      <c r="AF16" s="448">
        <f>Storage_Reconciled_prod!AF16</f>
        <v>8792.7650275409833</v>
      </c>
      <c r="AG16" s="448">
        <f>Storage_Reconciled_prod!AG16</f>
        <v>8312.5806448387102</v>
      </c>
      <c r="AH16" s="448">
        <f>Storage_Reconciled_prod!AH16</f>
        <v>8545.5666666666675</v>
      </c>
      <c r="AI16" s="448">
        <f>Storage_Reconciled_prod!AI16</f>
        <v>8290.4838716129034</v>
      </c>
      <c r="AJ16" s="448">
        <f>Storage_Reconciled_prod!AJ16</f>
        <v>8381.1086957608695</v>
      </c>
      <c r="AK16" s="448">
        <f>Storage_Reconciled_prod!AK16</f>
        <v>8655.0472729090907</v>
      </c>
      <c r="AL16" s="448">
        <f>Storage_Reconciled_prod!AL16</f>
        <v>8373.967741935483</v>
      </c>
      <c r="AM16" s="448">
        <f>Storage_Reconciled_prod!AM16</f>
        <v>8646.1379310344819</v>
      </c>
      <c r="AN16" s="448">
        <f>Storage_Reconciled_prod!AN16</f>
        <v>8551.0967735483882</v>
      </c>
      <c r="AO16" s="448">
        <f>Storage_Reconciled_prod!AO16</f>
        <v>8521.043955824176</v>
      </c>
      <c r="AP16" s="448">
        <f>Storage_Reconciled_prod!AP16</f>
        <v>8621.7295082786877</v>
      </c>
      <c r="AQ16" s="448">
        <f>Storage_Reconciled_prod!AQ16</f>
        <v>8298.0666666666675</v>
      </c>
      <c r="AR16" s="448">
        <f>Storage_Reconciled_prod!AR16</f>
        <v>7788.5161290322585</v>
      </c>
      <c r="AS16" s="448">
        <f>Storage_Reconciled_prod!AS16</f>
        <v>7743.7666666666664</v>
      </c>
      <c r="AT16" s="448">
        <f>Storage_Reconciled_prod!AT16</f>
        <v>7941.7472527472528</v>
      </c>
      <c r="AU16" s="448">
        <f>Storage_Reconciled_prod!AU16</f>
        <v>7863.2580645161288</v>
      </c>
      <c r="AV16" s="448">
        <f>Storage_Reconciled_prod!AV16</f>
        <v>7363.7096774193551</v>
      </c>
      <c r="AW16" s="448">
        <f>Storage_Reconciled_prod!AW16</f>
        <v>7738.7</v>
      </c>
      <c r="AX16" s="448">
        <f>Storage_Reconciled_prod!AX16</f>
        <v>7654.315217391304</v>
      </c>
      <c r="AY16" s="448">
        <f>Storage_Reconciled_prod!AY16</f>
        <v>7797.2459016393441</v>
      </c>
      <c r="AZ16" s="448">
        <f>Storage_Reconciled_prod!AZ16</f>
        <v>7305.3870967741932</v>
      </c>
      <c r="BA16" s="448">
        <f>Storage_Reconciled_prod!BA16</f>
        <v>6972.3666666666668</v>
      </c>
      <c r="BB16" s="448">
        <f>Storage_Reconciled_prod!BB16</f>
        <v>7086.1612903225805</v>
      </c>
      <c r="BC16" s="448">
        <f>Storage_Reconciled_prod!BC16</f>
        <v>7122.923913043478</v>
      </c>
      <c r="BD16" s="448">
        <f>Storage_Reconciled_prod!BD16</f>
        <v>7571.6545454545458</v>
      </c>
      <c r="BE16" s="448">
        <f>Storage_Reconciled_prod!BE16</f>
        <v>7242.7096774193551</v>
      </c>
      <c r="BF16" s="448">
        <f>Storage_Reconciled_prod!BF16</f>
        <v>7309.2857142857147</v>
      </c>
      <c r="BG16" s="448">
        <f>Storage_Reconciled_prod!BG16</f>
        <v>7174.3870967741932</v>
      </c>
      <c r="BH16" s="448">
        <f>Storage_Reconciled_prod!BH16</f>
        <v>7239.8888888888887</v>
      </c>
      <c r="BI16" s="448">
        <f>Storage_Reconciled_prod!BI16</f>
        <v>7489.8493150684935</v>
      </c>
      <c r="BJ16" s="448">
        <f>Storage_Reconciled_prod!BJ16</f>
        <v>7181.6333333333332</v>
      </c>
      <c r="BK16" s="448">
        <f>Storage_Reconciled_prod!BK16</f>
        <v>7352.1290322580644</v>
      </c>
      <c r="BL16" s="448">
        <f>Storage_Reconciled_prod!BL16</f>
        <v>6906.8</v>
      </c>
      <c r="BM16" s="448">
        <f>Storage_Reconciled_prod!BM16</f>
        <v>7149.1098901098903</v>
      </c>
      <c r="BN16" s="448">
        <f>Storage_Reconciled_prod!BN16</f>
        <v>7389.8709677419356</v>
      </c>
      <c r="BO16" s="448">
        <f>Storage_Reconciled_prod!BO16</f>
        <v>7440.4516129032254</v>
      </c>
      <c r="BP16" s="448">
        <f>Storage_Reconciled_prod!BP16</f>
        <v>7281.166666666667</v>
      </c>
      <c r="BQ16" s="448">
        <f>Storage_Reconciled_prod!BQ16</f>
        <v>7371.467391304348</v>
      </c>
      <c r="BR16" s="448">
        <f>Storage_Reconciled_prod!BR16</f>
        <v>7260.8961748633883</v>
      </c>
      <c r="BS16" s="448">
        <f>Storage_Reconciled_prod!BS16</f>
        <v>6927.3548387096771</v>
      </c>
      <c r="BT16" s="448">
        <f>Storage_Reconciled_prod!BT16</f>
        <v>7465.1333333333332</v>
      </c>
      <c r="BU16" s="448">
        <f>Storage_Reconciled_prod!BU16</f>
        <v>6593.8709677419356</v>
      </c>
      <c r="BV16" s="448">
        <f>Storage_Reconciled_prod!BV16</f>
        <v>6990.347826086957</v>
      </c>
      <c r="BW16" s="448">
        <f>Storage_Reconciled_prod!BW16</f>
        <v>7170.3854545454542</v>
      </c>
      <c r="BX16" s="448">
        <f>Storage_Reconciled_prod!BX16</f>
        <v>1980.9677419354839</v>
      </c>
      <c r="BY16" s="448">
        <f>Storage_Reconciled_prod!BY16</f>
        <v>6836.25</v>
      </c>
      <c r="BZ16" s="448">
        <f>Storage_Reconciled_prod!BZ16</f>
        <v>0</v>
      </c>
      <c r="CA16" s="448">
        <f>Storage_Reconciled_prod!CA16</f>
        <v>2809.1666666666665</v>
      </c>
      <c r="CB16" s="448">
        <f>Storage_Reconciled_prod!CB16</f>
        <v>6095.0164383561641</v>
      </c>
      <c r="CC16" s="448">
        <f>Storage_Reconciled_prod!CC16</f>
        <v>7023.0999993333335</v>
      </c>
      <c r="CD16" s="448">
        <f>Storage_Reconciled_prod!CD16</f>
        <v>6952.0645158064517</v>
      </c>
      <c r="CE16" s="448">
        <f>Storage_Reconciled_prod!CE16</f>
        <v>6969.2999993333333</v>
      </c>
      <c r="CF16" s="448">
        <f>Storage_Reconciled_prod!CF16</f>
        <v>6981.1648346153843</v>
      </c>
      <c r="CG16" s="448">
        <f>Storage_Reconciled_prod!CG16</f>
        <v>6954.8064516129034</v>
      </c>
      <c r="CH16" s="448">
        <f>Storage_Reconciled_prod!CH16</f>
        <v>0</v>
      </c>
      <c r="CI16" s="448">
        <f>Storage_Reconciled_prod!CI16</f>
        <v>0</v>
      </c>
      <c r="CJ16" s="448">
        <f>Storage_Reconciled_prod!CJ16</f>
        <v>2343.467391304348</v>
      </c>
      <c r="CK16" s="448">
        <f>Storage_Reconciled_prod!CK16</f>
        <v>4649.644808469945</v>
      </c>
      <c r="CL16" s="448">
        <f>Storage_Reconciled_prod!CL16</f>
        <v>0</v>
      </c>
      <c r="CM16" s="448">
        <f>Storage_Reconciled_prod!CM16</f>
        <v>0</v>
      </c>
      <c r="CN16" s="448">
        <f>Storage_Reconciled_prod!CN16</f>
        <v>0</v>
      </c>
      <c r="CO16" s="448">
        <f>Storage_Reconciled_prod!CO16</f>
        <v>0</v>
      </c>
      <c r="CP16" s="448">
        <f>Storage_Reconciled_prod!CP16</f>
        <v>3094.1272725454546</v>
      </c>
      <c r="CQ16" s="448">
        <f>Storage_Reconciled_prod!CQ16</f>
        <v>0</v>
      </c>
      <c r="CR16" s="448">
        <f>Storage_Reconciled_prod!CR16</f>
        <v>0</v>
      </c>
      <c r="CS16" s="448">
        <f>Storage_Reconciled_prod!CS16</f>
        <v>0</v>
      </c>
      <c r="CT16" s="448">
        <f>Storage_Reconciled_prod!CT16</f>
        <v>0</v>
      </c>
      <c r="CU16" s="448">
        <f>Storage_Reconciled_prod!CU16</f>
        <v>2331.1917806849315</v>
      </c>
    </row>
    <row r="17" spans="1:99">
      <c r="C17">
        <v>11</v>
      </c>
      <c r="D17" s="144" t="s">
        <v>65</v>
      </c>
      <c r="E17" s="448">
        <f>Storage_Reconciled_prod!E17</f>
        <v>2443</v>
      </c>
      <c r="F17" s="448">
        <f>Storage_Reconciled_prod!F17</f>
        <v>2204.7419354838707</v>
      </c>
      <c r="G17" s="448">
        <f>Storage_Reconciled_prod!G17</f>
        <v>1975.1666666666667</v>
      </c>
      <c r="H17" s="448">
        <f>Storage_Reconciled_prod!H17</f>
        <v>2207.6043956043954</v>
      </c>
      <c r="I17" s="448">
        <f>Storage_Reconciled_prod!I17</f>
        <v>2063.9677419354839</v>
      </c>
      <c r="J17" s="448">
        <f>Storage_Reconciled_prod!J17</f>
        <v>2321.1935483870966</v>
      </c>
      <c r="K17" s="448">
        <f>Storage_Reconciled_prod!K17</f>
        <v>2489.4</v>
      </c>
      <c r="L17" s="448">
        <f>Storage_Reconciled_prod!L17</f>
        <v>2289.3695652173915</v>
      </c>
      <c r="M17" s="448">
        <f>Storage_Reconciled_prod!M17</f>
        <v>2248.710382513661</v>
      </c>
      <c r="N17" s="448">
        <f>Storage_Reconciled_prod!N17</f>
        <v>2134.6129032258063</v>
      </c>
      <c r="O17" s="448">
        <f>Storage_Reconciled_prod!O17</f>
        <v>2351.4</v>
      </c>
      <c r="P17" s="448">
        <f>Storage_Reconciled_prod!P17</f>
        <v>2523.9032258064517</v>
      </c>
      <c r="Q17" s="448">
        <f>Storage_Reconciled_prod!Q17</f>
        <v>2336.478260869565</v>
      </c>
      <c r="R17" s="448">
        <f>Storage_Reconciled_prod!R17</f>
        <v>2278.0727272727272</v>
      </c>
      <c r="S17" s="448">
        <f>Storage_Reconciled_prod!S17</f>
        <v>2642.9354838709678</v>
      </c>
      <c r="T17" s="448">
        <f>Storage_Reconciled_prod!T17</f>
        <v>2505.9285714285716</v>
      </c>
      <c r="U17" s="448">
        <f>Storage_Reconciled_prod!U17</f>
        <v>2894.7741935483873</v>
      </c>
      <c r="V17" s="448">
        <f>Storage_Reconciled_prod!V17</f>
        <v>2687.0555555555557</v>
      </c>
      <c r="W17" s="448">
        <f>Storage_Reconciled_prod!W17</f>
        <v>2378.9178082191779</v>
      </c>
      <c r="X17" s="448">
        <f>Storage_Reconciled_prod!X17</f>
        <v>3115.8999996666666</v>
      </c>
      <c r="Y17" s="448">
        <f>Storage_Reconciled_prod!Y17</f>
        <v>3301.7741929032254</v>
      </c>
      <c r="Z17" s="448">
        <f>Storage_Reconciled_prod!Z17</f>
        <v>3220.333333</v>
      </c>
      <c r="AA17" s="448">
        <f>Storage_Reconciled_prod!AA17</f>
        <v>3213.6483512087912</v>
      </c>
      <c r="AB17" s="448">
        <f>Storage_Reconciled_prod!AB17</f>
        <v>3475.8387096774195</v>
      </c>
      <c r="AC17" s="448">
        <f>Storage_Reconciled_prod!AC17</f>
        <v>3422.2903229032258</v>
      </c>
      <c r="AD17" s="448">
        <f>Storage_Reconciled_prod!AD17</f>
        <v>3040.1</v>
      </c>
      <c r="AE17" s="448">
        <f>Storage_Reconciled_prod!AE17</f>
        <v>3315.7065218478265</v>
      </c>
      <c r="AF17" s="448">
        <f>Storage_Reconciled_prod!AF17</f>
        <v>3264.9562839890709</v>
      </c>
      <c r="AG17" s="448">
        <f>Storage_Reconciled_prod!AG17</f>
        <v>3245.9032258064517</v>
      </c>
      <c r="AH17" s="448">
        <f>Storage_Reconciled_prod!AH17</f>
        <v>3580.6000003333334</v>
      </c>
      <c r="AI17" s="448">
        <f>Storage_Reconciled_prod!AI17</f>
        <v>3353.2903219354835</v>
      </c>
      <c r="AJ17" s="448">
        <f>Storage_Reconciled_prod!AJ17</f>
        <v>3391.2282607608699</v>
      </c>
      <c r="AK17" s="448">
        <f>Storage_Reconciled_prod!AK17</f>
        <v>3307.1999998545457</v>
      </c>
      <c r="AL17" s="448">
        <f>Storage_Reconciled_prod!AL17</f>
        <v>3498.1935490322585</v>
      </c>
      <c r="AM17" s="448">
        <f>Storage_Reconciled_prod!AM17</f>
        <v>3415.2758620689656</v>
      </c>
      <c r="AN17" s="448">
        <f>Storage_Reconciled_prod!AN17</f>
        <v>3821.6129032258063</v>
      </c>
      <c r="AO17" s="448">
        <f>Storage_Reconciled_prod!AO17</f>
        <v>3581.9450551648356</v>
      </c>
      <c r="AP17" s="448">
        <f>Storage_Reconciled_prod!AP17</f>
        <v>3375.5109289071042</v>
      </c>
      <c r="AQ17" s="448">
        <f>Storage_Reconciled_prod!AQ17</f>
        <v>3733.0333333333333</v>
      </c>
      <c r="AR17" s="448">
        <f>Storage_Reconciled_prod!AR17</f>
        <v>4063.1935483870966</v>
      </c>
      <c r="AS17" s="448">
        <f>Storage_Reconciled_prod!AS17</f>
        <v>4044.1333333333332</v>
      </c>
      <c r="AT17" s="448">
        <f>Storage_Reconciled_prod!AT17</f>
        <v>3948.065934065934</v>
      </c>
      <c r="AU17" s="448">
        <f>Storage_Reconciled_prod!AU17</f>
        <v>4159.3870967741932</v>
      </c>
      <c r="AV17" s="448">
        <f>Storage_Reconciled_prod!AV17</f>
        <v>4062.6774193548385</v>
      </c>
      <c r="AW17" s="448">
        <f>Storage_Reconciled_prod!AW17</f>
        <v>4113.9666666666662</v>
      </c>
      <c r="AX17" s="448">
        <f>Storage_Reconciled_prod!AX17</f>
        <v>4111.989130434783</v>
      </c>
      <c r="AY17" s="448">
        <f>Storage_Reconciled_prod!AY17</f>
        <v>4030.4754098360654</v>
      </c>
      <c r="AZ17" s="448">
        <f>Storage_Reconciled_prod!AZ17</f>
        <v>4384.7741935483873</v>
      </c>
      <c r="BA17" s="448">
        <f>Storage_Reconciled_prod!BA17</f>
        <v>4463.5</v>
      </c>
      <c r="BB17" s="448">
        <f>Storage_Reconciled_prod!BB17</f>
        <v>4396.8387096774195</v>
      </c>
      <c r="BC17" s="448">
        <f>Storage_Reconciled_prod!BC17</f>
        <v>4414.510869565217</v>
      </c>
      <c r="BD17" s="448">
        <f>Storage_Reconciled_prod!BD17</f>
        <v>4158.9527272727273</v>
      </c>
      <c r="BE17" s="448">
        <f>Storage_Reconciled_prod!BE17</f>
        <v>4124.1935487096771</v>
      </c>
      <c r="BF17" s="448">
        <f>Storage_Reconciled_prod!BF17</f>
        <v>4363.6428571428569</v>
      </c>
      <c r="BG17" s="448">
        <f>Storage_Reconciled_prod!BG17</f>
        <v>4177</v>
      </c>
      <c r="BH17" s="448">
        <f>Storage_Reconciled_prod!BH17</f>
        <v>4216.8777778888889</v>
      </c>
      <c r="BI17" s="448">
        <f>Storage_Reconciled_prod!BI17</f>
        <v>4173.235616465754</v>
      </c>
      <c r="BJ17" s="448">
        <f>Storage_Reconciled_prod!BJ17</f>
        <v>4313.2666666666664</v>
      </c>
      <c r="BK17" s="448">
        <f>Storage_Reconciled_prod!BK17</f>
        <v>4499.677419354839</v>
      </c>
      <c r="BL17" s="448">
        <f>Storage_Reconciled_prod!BL17</f>
        <v>4673.7666666666664</v>
      </c>
      <c r="BM17" s="448">
        <f>Storage_Reconciled_prod!BM17</f>
        <v>4495.6153846153848</v>
      </c>
      <c r="BN17" s="448">
        <f>Storage_Reconciled_prod!BN17</f>
        <v>4907.0967741935483</v>
      </c>
      <c r="BO17" s="448">
        <f>Storage_Reconciled_prod!BO17</f>
        <v>5076.5161290322585</v>
      </c>
      <c r="BP17" s="448">
        <f>Storage_Reconciled_prod!BP17</f>
        <v>4821.8</v>
      </c>
      <c r="BQ17" s="448">
        <f>Storage_Reconciled_prod!BQ17</f>
        <v>4936.369565217391</v>
      </c>
      <c r="BR17" s="448">
        <f>Storage_Reconciled_prod!BR17</f>
        <v>4717.1967213114758</v>
      </c>
      <c r="BS17" s="448">
        <f>Storage_Reconciled_prod!BS17</f>
        <v>4631.3870967741932</v>
      </c>
      <c r="BT17" s="448">
        <f>Storage_Reconciled_prod!BT17</f>
        <v>4820.833333333333</v>
      </c>
      <c r="BU17" s="448">
        <f>Storage_Reconciled_prod!BU17</f>
        <v>5067.7096774193551</v>
      </c>
      <c r="BV17" s="448">
        <f>Storage_Reconciled_prod!BV17</f>
        <v>4840.184782608696</v>
      </c>
      <c r="BW17" s="448">
        <f>Storage_Reconciled_prod!BW17</f>
        <v>4758.3418181818179</v>
      </c>
      <c r="BX17" s="448">
        <f>Storage_Reconciled_prod!BX17</f>
        <v>2081.1290322580644</v>
      </c>
      <c r="BY17" s="448">
        <f>Storage_Reconciled_prod!BY17</f>
        <v>1985.75</v>
      </c>
      <c r="BZ17" s="448">
        <f>Storage_Reconciled_prod!BZ17</f>
        <v>0</v>
      </c>
      <c r="CA17" s="448">
        <f>Storage_Reconciled_prod!CA17</f>
        <v>1334.6222222222223</v>
      </c>
      <c r="CB17" s="448">
        <f>Storage_Reconciled_prod!CB17</f>
        <v>3914.1369863013697</v>
      </c>
      <c r="CC17" s="448">
        <f>Storage_Reconciled_prod!CC17</f>
        <v>4330.0000003333334</v>
      </c>
      <c r="CD17" s="448">
        <f>Storage_Reconciled_prod!CD17</f>
        <v>5385.1612909677424</v>
      </c>
      <c r="CE17" s="448">
        <f>Storage_Reconciled_prod!CE17</f>
        <v>5641.1333330000007</v>
      </c>
      <c r="CF17" s="448">
        <f>Storage_Reconciled_prod!CF17</f>
        <v>5121.6923079120879</v>
      </c>
      <c r="CG17" s="448">
        <f>Storage_Reconciled_prod!CG17</f>
        <v>5701.3870974193551</v>
      </c>
      <c r="CH17" s="448">
        <f>Storage_Reconciled_prod!CH17</f>
        <v>0</v>
      </c>
      <c r="CI17" s="448">
        <f>Storage_Reconciled_prod!CI17</f>
        <v>0</v>
      </c>
      <c r="CJ17" s="448">
        <f>Storage_Reconciled_prod!CJ17</f>
        <v>1921.1195654347828</v>
      </c>
      <c r="CK17" s="448">
        <f>Storage_Reconciled_prod!CK17</f>
        <v>3512.661202404372</v>
      </c>
      <c r="CL17" s="448">
        <f>Storage_Reconciled_prod!CL17</f>
        <v>0</v>
      </c>
      <c r="CM17" s="448">
        <f>Storage_Reconciled_prod!CM17</f>
        <v>0</v>
      </c>
      <c r="CN17" s="448">
        <f>Storage_Reconciled_prod!CN17</f>
        <v>0</v>
      </c>
      <c r="CO17" s="448">
        <f>Storage_Reconciled_prod!CO17</f>
        <v>0</v>
      </c>
      <c r="CP17" s="448">
        <f>Storage_Reconciled_prod!CP17</f>
        <v>2337.5163637818187</v>
      </c>
      <c r="CQ17" s="448">
        <f>Storage_Reconciled_prod!CQ17</f>
        <v>0</v>
      </c>
      <c r="CR17" s="448">
        <f>Storage_Reconciled_prod!CR17</f>
        <v>0</v>
      </c>
      <c r="CS17" s="448">
        <f>Storage_Reconciled_prod!CS17</f>
        <v>0</v>
      </c>
      <c r="CT17" s="448">
        <f>Storage_Reconciled_prod!CT17</f>
        <v>0</v>
      </c>
      <c r="CU17" s="448">
        <f>Storage_Reconciled_prod!CU17</f>
        <v>1761.142465863014</v>
      </c>
    </row>
    <row r="18" spans="1:99">
      <c r="C18">
        <v>12</v>
      </c>
      <c r="D18" s="144" t="s">
        <v>66</v>
      </c>
      <c r="E18" s="448">
        <f>Storage_Reconciled_prod!E18</f>
        <v>409743.46666666667</v>
      </c>
      <c r="F18" s="448">
        <f>Storage_Reconciled_prod!F18</f>
        <v>405131.80645161291</v>
      </c>
      <c r="G18" s="448">
        <f>Storage_Reconciled_prod!G18</f>
        <v>371400.3</v>
      </c>
      <c r="H18" s="448">
        <f>Storage_Reconciled_prod!H18</f>
        <v>395531.85714285716</v>
      </c>
      <c r="I18" s="448">
        <f>Storage_Reconciled_prod!I18</f>
        <v>381360.12903225806</v>
      </c>
      <c r="J18" s="448">
        <f>Storage_Reconciled_prod!J18</f>
        <v>402924.03225806454</v>
      </c>
      <c r="K18" s="448">
        <f>Storage_Reconciled_prod!K18</f>
        <v>422271.96666666667</v>
      </c>
      <c r="L18" s="448">
        <f>Storage_Reconciled_prod!L18</f>
        <v>401967.04347826086</v>
      </c>
      <c r="M18" s="448">
        <f>Storage_Reconciled_prod!M18</f>
        <v>398767.03278688522</v>
      </c>
      <c r="N18" s="448">
        <f>Storage_Reconciled_prod!N18</f>
        <v>408084.51612903224</v>
      </c>
      <c r="O18" s="448">
        <f>Storage_Reconciled_prod!O18</f>
        <v>392509.3</v>
      </c>
      <c r="P18" s="448">
        <f>Storage_Reconciled_prod!P18</f>
        <v>381108.41935483873</v>
      </c>
      <c r="Q18" s="448">
        <f>Storage_Reconciled_prod!Q18</f>
        <v>393915.86956521741</v>
      </c>
      <c r="R18" s="448">
        <f>Storage_Reconciled_prod!R18</f>
        <v>397144.0981818182</v>
      </c>
      <c r="S18" s="448">
        <f>Storage_Reconciled_prod!S18</f>
        <v>417063.61290322582</v>
      </c>
      <c r="T18" s="448">
        <f>Storage_Reconciled_prod!T18</f>
        <v>319820.75</v>
      </c>
      <c r="U18" s="448">
        <f>Storage_Reconciled_prod!U18</f>
        <v>335001.51612903224</v>
      </c>
      <c r="V18" s="448">
        <f>Storage_Reconciled_prod!V18</f>
        <v>358544.44444444444</v>
      </c>
      <c r="W18" s="448">
        <f>Storage_Reconciled_prod!W18</f>
        <v>387626.37534246576</v>
      </c>
      <c r="X18" s="448">
        <f>Storage_Reconciled_prod!X18</f>
        <v>381323.33333299996</v>
      </c>
      <c r="Y18" s="448">
        <f>Storage_Reconciled_prod!Y18</f>
        <v>350780.5483867742</v>
      </c>
      <c r="Z18" s="448">
        <f>Storage_Reconciled_prod!Z18</f>
        <v>350405.03333399998</v>
      </c>
      <c r="AA18" s="448">
        <f>Storage_Reconciled_prod!AA18</f>
        <v>360725.80219780217</v>
      </c>
      <c r="AB18" s="448">
        <f>Storage_Reconciled_prod!AB18</f>
        <v>355200.74193548388</v>
      </c>
      <c r="AC18" s="448">
        <f>Storage_Reconciled_prod!AC18</f>
        <v>354515.96774161287</v>
      </c>
      <c r="AD18" s="448">
        <f>Storage_Reconciled_prod!AD18</f>
        <v>361903.19999933336</v>
      </c>
      <c r="AE18" s="448">
        <f>Storage_Reconciled_prod!AE18</f>
        <v>357155.58695619571</v>
      </c>
      <c r="AF18" s="448">
        <f>Storage_Reconciled_prod!AF18</f>
        <v>358930.93989054649</v>
      </c>
      <c r="AG18" s="448">
        <f>Storage_Reconciled_prod!AG18</f>
        <v>382524.48387</v>
      </c>
      <c r="AH18" s="448">
        <f>Storage_Reconciled_prod!AH18</f>
        <v>385263.89999900002</v>
      </c>
      <c r="AI18" s="448">
        <f>Storage_Reconciled_prod!AI18</f>
        <v>387520.64516096772</v>
      </c>
      <c r="AJ18" s="448">
        <f>Storage_Reconciled_prod!AJ18</f>
        <v>385101.26086880435</v>
      </c>
      <c r="AK18" s="448">
        <f>Storage_Reconciled_prod!AK18</f>
        <v>367686.10181781824</v>
      </c>
      <c r="AL18" s="448">
        <f>Storage_Reconciled_prod!AL18</f>
        <v>398777.35483903228</v>
      </c>
      <c r="AM18" s="448">
        <f>Storage_Reconciled_prod!AM18</f>
        <v>397304.89655103453</v>
      </c>
      <c r="AN18" s="448">
        <f>Storage_Reconciled_prod!AN18</f>
        <v>414407.25806419353</v>
      </c>
      <c r="AO18" s="448">
        <f>Storage_Reconciled_prod!AO18</f>
        <v>403632.58241736266</v>
      </c>
      <c r="AP18" s="448">
        <f>Storage_Reconciled_prod!AP18</f>
        <v>376623.61475377053</v>
      </c>
      <c r="AQ18" s="448">
        <f>Storage_Reconciled_prod!AQ18</f>
        <v>403273.3</v>
      </c>
      <c r="AR18" s="448">
        <f>Storage_Reconciled_prod!AR18</f>
        <v>223180.12903225806</v>
      </c>
      <c r="AS18" s="448">
        <f>Storage_Reconciled_prod!AS18</f>
        <v>409483.73333333334</v>
      </c>
      <c r="AT18" s="448">
        <f>Storage_Reconciled_prod!AT18</f>
        <v>343970.27472527471</v>
      </c>
      <c r="AU18" s="448">
        <f>Storage_Reconciled_prod!AU18</f>
        <v>414957.48387096776</v>
      </c>
      <c r="AV18" s="448">
        <f>Storage_Reconciled_prod!AV18</f>
        <v>422514.48387096776</v>
      </c>
      <c r="AW18" s="448">
        <f>Storage_Reconciled_prod!AW18</f>
        <v>421687.86666666664</v>
      </c>
      <c r="AX18" s="448">
        <f>Storage_Reconciled_prod!AX18</f>
        <v>419698.55434782611</v>
      </c>
      <c r="AY18" s="448">
        <f>Storage_Reconciled_prod!AY18</f>
        <v>382041.32240437157</v>
      </c>
      <c r="AZ18" s="448">
        <f>Storage_Reconciled_prod!AZ18</f>
        <v>411309.70967741933</v>
      </c>
      <c r="BA18" s="448">
        <f>Storage_Reconciled_prod!BA18</f>
        <v>415602.4</v>
      </c>
      <c r="BB18" s="448">
        <f>Storage_Reconciled_prod!BB18</f>
        <v>429875.61290322582</v>
      </c>
      <c r="BC18" s="448">
        <f>Storage_Reconciled_prod!BC18</f>
        <v>418965.40217391303</v>
      </c>
      <c r="BD18" s="448">
        <f>Storage_Reconciled_prod!BD18</f>
        <v>394394.10545454547</v>
      </c>
      <c r="BE18" s="448">
        <f>Storage_Reconciled_prod!BE18</f>
        <v>410199.54838709679</v>
      </c>
      <c r="BF18" s="448">
        <f>Storage_Reconciled_prod!BF18</f>
        <v>412406.17857142858</v>
      </c>
      <c r="BG18" s="448">
        <f>Storage_Reconciled_prod!BG18</f>
        <v>388999.99999967741</v>
      </c>
      <c r="BH18" s="448">
        <f>Storage_Reconciled_prod!BH18</f>
        <v>403583.98888877779</v>
      </c>
      <c r="BI18" s="448">
        <f>Storage_Reconciled_prod!BI18</f>
        <v>396660.10410956159</v>
      </c>
      <c r="BJ18" s="448">
        <f>Storage_Reconciled_prod!BJ18</f>
        <v>322098.56666666665</v>
      </c>
      <c r="BK18" s="448">
        <f>Storage_Reconciled_prod!BK18</f>
        <v>412203.16129032261</v>
      </c>
      <c r="BL18" s="448">
        <f>Storage_Reconciled_prod!BL18</f>
        <v>426000</v>
      </c>
      <c r="BM18" s="448">
        <f>Storage_Reconciled_prod!BM18</f>
        <v>387046.75824175822</v>
      </c>
      <c r="BN18" s="448">
        <f>Storage_Reconciled_prod!BN18</f>
        <v>422958.51612903224</v>
      </c>
      <c r="BO18" s="448">
        <f>Storage_Reconciled_prod!BO18</f>
        <v>433831.32258064515</v>
      </c>
      <c r="BP18" s="448">
        <f>Storage_Reconciled_prod!BP18</f>
        <v>425918.5</v>
      </c>
      <c r="BQ18" s="448">
        <f>Storage_Reconciled_prod!BQ18</f>
        <v>427587.39130434784</v>
      </c>
      <c r="BR18" s="448">
        <f>Storage_Reconciled_prod!BR18</f>
        <v>407427.84153005463</v>
      </c>
      <c r="BS18" s="448">
        <f>Storage_Reconciled_prod!BS18</f>
        <v>425422</v>
      </c>
      <c r="BT18" s="448">
        <f>Storage_Reconciled_prod!BT18</f>
        <v>427634.66666666669</v>
      </c>
      <c r="BU18" s="448">
        <f>Storage_Reconciled_prod!BU18</f>
        <v>402175.32258064515</v>
      </c>
      <c r="BV18" s="448">
        <f>Storage_Reconciled_prod!BV18</f>
        <v>418310.40217391303</v>
      </c>
      <c r="BW18" s="448">
        <f>Storage_Reconciled_prod!BW18</f>
        <v>411068.55272727273</v>
      </c>
      <c r="BX18" s="448">
        <f>Storage_Reconciled_prod!BX18</f>
        <v>445858.41935483873</v>
      </c>
      <c r="BY18" s="448">
        <f>Storage_Reconciled_prod!BY18</f>
        <v>443148.10714285716</v>
      </c>
      <c r="BZ18" s="448">
        <f>Storage_Reconciled_prod!BZ18</f>
        <v>0</v>
      </c>
      <c r="CA18" s="448">
        <f>Storage_Reconciled_prod!CA18</f>
        <v>291441.75555555557</v>
      </c>
      <c r="CB18" s="448">
        <f>Storage_Reconciled_prod!CB18</f>
        <v>381571.53424657532</v>
      </c>
      <c r="CC18" s="448">
        <f>Storage_Reconciled_prod!CC18</f>
        <v>240539.03333333333</v>
      </c>
      <c r="CD18" s="448">
        <f>Storage_Reconciled_prod!CD18</f>
        <v>270012.38709645165</v>
      </c>
      <c r="CE18" s="448">
        <f>Storage_Reconciled_prod!CE18</f>
        <v>426928.96666666667</v>
      </c>
      <c r="CF18" s="448">
        <f>Storage_Reconciled_prod!CF18</f>
        <v>312026.63736252749</v>
      </c>
      <c r="CG18" s="448">
        <f>Storage_Reconciled_prod!CG18</f>
        <v>330226.16128967743</v>
      </c>
      <c r="CH18" s="448">
        <f>Storage_Reconciled_prod!CH18</f>
        <v>0</v>
      </c>
      <c r="CI18" s="448">
        <f>Storage_Reconciled_prod!CI18</f>
        <v>0</v>
      </c>
      <c r="CJ18" s="448">
        <f>Storage_Reconciled_prod!CJ18</f>
        <v>111271.85869543478</v>
      </c>
      <c r="CK18" s="448">
        <f>Storage_Reconciled_prod!CK18</f>
        <v>211100.73770475411</v>
      </c>
      <c r="CL18" s="448">
        <f>Storage_Reconciled_prod!CL18</f>
        <v>0</v>
      </c>
      <c r="CM18" s="448">
        <f>Storage_Reconciled_prod!CM18</f>
        <v>0</v>
      </c>
      <c r="CN18" s="448">
        <f>Storage_Reconciled_prod!CN18</f>
        <v>0</v>
      </c>
      <c r="CO18" s="448">
        <f>Storage_Reconciled_prod!CO18</f>
        <v>0</v>
      </c>
      <c r="CP18" s="448">
        <f>Storage_Reconciled_prod!CP18</f>
        <v>140477.94545443638</v>
      </c>
      <c r="CQ18" s="448">
        <f>Storage_Reconciled_prod!CQ18</f>
        <v>0</v>
      </c>
      <c r="CR18" s="448">
        <f>Storage_Reconciled_prod!CR18</f>
        <v>0</v>
      </c>
      <c r="CS18" s="448">
        <f>Storage_Reconciled_prod!CS18</f>
        <v>0</v>
      </c>
      <c r="CT18" s="448">
        <f>Storage_Reconciled_prod!CT18</f>
        <v>0</v>
      </c>
      <c r="CU18" s="448">
        <f>Storage_Reconciled_prod!CU18</f>
        <v>105839.5479451233</v>
      </c>
    </row>
    <row r="19" spans="1:99">
      <c r="C19">
        <v>13</v>
      </c>
      <c r="D19" s="144" t="s">
        <v>67</v>
      </c>
      <c r="E19" s="448">
        <f>Storage_Reconciled_prod!E19</f>
        <v>37468.166666666664</v>
      </c>
      <c r="F19" s="448">
        <f>Storage_Reconciled_prod!F19</f>
        <v>39204.93548387097</v>
      </c>
      <c r="G19" s="448">
        <f>Storage_Reconciled_prod!G19</f>
        <v>40437.066666666666</v>
      </c>
      <c r="H19" s="448">
        <f>Storage_Reconciled_prod!H19</f>
        <v>39038.571428571428</v>
      </c>
      <c r="I19" s="448">
        <f>Storage_Reconciled_prod!I19</f>
        <v>46335.516129032258</v>
      </c>
      <c r="J19" s="448">
        <f>Storage_Reconciled_prod!J19</f>
        <v>45774.903225806454</v>
      </c>
      <c r="K19" s="448">
        <f>Storage_Reconciled_prod!K19</f>
        <v>44414.566666666666</v>
      </c>
      <c r="L19" s="448">
        <f>Storage_Reconciled_prod!L19</f>
        <v>45520.217391304344</v>
      </c>
      <c r="M19" s="448">
        <f>Storage_Reconciled_prod!M19</f>
        <v>42297.103825136612</v>
      </c>
      <c r="N19" s="448">
        <f>Storage_Reconciled_prod!N19</f>
        <v>34223.870967741932</v>
      </c>
      <c r="O19" s="448">
        <f>Storage_Reconciled_prod!O19</f>
        <v>27363.266666666666</v>
      </c>
      <c r="P19" s="448">
        <f>Storage_Reconciled_prod!P19</f>
        <v>26409.064516129034</v>
      </c>
      <c r="Q19" s="448">
        <f>Storage_Reconciled_prod!Q19</f>
        <v>29353.467391304348</v>
      </c>
      <c r="R19" s="448">
        <f>Storage_Reconciled_prod!R19</f>
        <v>37966.869090909087</v>
      </c>
      <c r="S19" s="448">
        <f>Storage_Reconciled_prod!S19</f>
        <v>25533.612903225807</v>
      </c>
      <c r="T19" s="448">
        <f>Storage_Reconciled_prod!T19</f>
        <v>31922</v>
      </c>
      <c r="U19" s="448">
        <f>Storage_Reconciled_prod!U19</f>
        <v>39683.322580645159</v>
      </c>
      <c r="V19" s="448">
        <f>Storage_Reconciled_prod!V19</f>
        <v>32394.9</v>
      </c>
      <c r="W19" s="448">
        <f>Storage_Reconciled_prod!W19</f>
        <v>36592.95890410959</v>
      </c>
      <c r="X19" s="448">
        <f>Storage_Reconciled_prod!X19</f>
        <v>40142.399999000001</v>
      </c>
      <c r="Y19" s="448">
        <f>Storage_Reconciled_prod!Y19</f>
        <v>42355.161290645163</v>
      </c>
      <c r="Z19" s="448">
        <f>Storage_Reconciled_prod!Z19</f>
        <v>44900.633333333331</v>
      </c>
      <c r="AA19" s="448">
        <f>Storage_Reconciled_prod!AA19</f>
        <v>42464.846153626371</v>
      </c>
      <c r="AB19" s="448">
        <f>Storage_Reconciled_prod!AB19</f>
        <v>44430</v>
      </c>
      <c r="AC19" s="448">
        <f>Storage_Reconciled_prod!AC19</f>
        <v>43948.99999967742</v>
      </c>
      <c r="AD19" s="448">
        <f>Storage_Reconciled_prod!AD19</f>
        <v>45919.800000666663</v>
      </c>
      <c r="AE19" s="448">
        <f>Storage_Reconciled_prod!AE19</f>
        <v>44753.728260978256</v>
      </c>
      <c r="AF19" s="448">
        <f>Storage_Reconciled_prod!AF19</f>
        <v>43615.540983551909</v>
      </c>
      <c r="AG19" s="448">
        <f>Storage_Reconciled_prod!AG19</f>
        <v>48876.741935483871</v>
      </c>
      <c r="AH19" s="448">
        <f>Storage_Reconciled_prod!AH19</f>
        <v>48455.190999666665</v>
      </c>
      <c r="AI19" s="448">
        <f>Storage_Reconciled_prod!AI19</f>
        <v>47741.140775161293</v>
      </c>
      <c r="AJ19" s="448">
        <f>Storage_Reconciled_prod!AJ19</f>
        <v>48356.631456739131</v>
      </c>
      <c r="AK19" s="448">
        <f>Storage_Reconciled_prod!AK19</f>
        <v>45201.651250945455</v>
      </c>
      <c r="AL19" s="448">
        <f>Storage_Reconciled_prod!AL19</f>
        <v>50108.094193870966</v>
      </c>
      <c r="AM19" s="448">
        <f>Storage_Reconciled_prod!AM19</f>
        <v>51171.598620689656</v>
      </c>
      <c r="AN19" s="448">
        <f>Storage_Reconciled_prod!AN19</f>
        <v>49438.580644838708</v>
      </c>
      <c r="AO19" s="448">
        <f>Storage_Reconciled_prod!AO19</f>
        <v>50218.937142857132</v>
      </c>
      <c r="AP19" s="448">
        <f>Storage_Reconciled_prod!AP19</f>
        <v>46449.118508224034</v>
      </c>
      <c r="AQ19" s="448">
        <f>Storage_Reconciled_prod!AQ19</f>
        <v>51521.4</v>
      </c>
      <c r="AR19" s="448">
        <f>Storage_Reconciled_prod!AR19</f>
        <v>53455.774193548386</v>
      </c>
      <c r="AS19" s="448">
        <f>Storage_Reconciled_prod!AS19</f>
        <v>49944.966666666667</v>
      </c>
      <c r="AT19" s="448">
        <f>Storage_Reconciled_prod!AT19</f>
        <v>51660.659340659338</v>
      </c>
      <c r="AU19" s="448">
        <f>Storage_Reconciled_prod!AU19</f>
        <v>51318.645161290326</v>
      </c>
      <c r="AV19" s="448">
        <f>Storage_Reconciled_prod!AV19</f>
        <v>49674.612903225803</v>
      </c>
      <c r="AW19" s="448">
        <f>Storage_Reconciled_prod!AW19</f>
        <v>48443.1</v>
      </c>
      <c r="AX19" s="448">
        <f>Storage_Reconciled_prod!AX19</f>
        <v>49827</v>
      </c>
      <c r="AY19" s="448">
        <f>Storage_Reconciled_prod!AY19</f>
        <v>50738.819672131147</v>
      </c>
      <c r="AZ19" s="448">
        <f>Storage_Reconciled_prod!AZ19</f>
        <v>48265.096774193546</v>
      </c>
      <c r="BA19" s="448">
        <f>Storage_Reconciled_prod!BA19</f>
        <v>49693.5</v>
      </c>
      <c r="BB19" s="448">
        <f>Storage_Reconciled_prod!BB19</f>
        <v>50585.709677419356</v>
      </c>
      <c r="BC19" s="448">
        <f>Storage_Reconciled_prod!BC19</f>
        <v>49512.82608695652</v>
      </c>
      <c r="BD19" s="448">
        <f>Storage_Reconciled_prod!BD19</f>
        <v>50328.66909090909</v>
      </c>
      <c r="BE19" s="448">
        <f>Storage_Reconciled_prod!BE19</f>
        <v>51782.000000645159</v>
      </c>
      <c r="BF19" s="448">
        <f>Storage_Reconciled_prod!BF19</f>
        <v>49543.357142857145</v>
      </c>
      <c r="BG19" s="448">
        <f>Storage_Reconciled_prod!BG19</f>
        <v>50471.290321612905</v>
      </c>
      <c r="BH19" s="448">
        <f>Storage_Reconciled_prod!BH19</f>
        <v>50634.066666555562</v>
      </c>
      <c r="BI19" s="448">
        <f>Storage_Reconciled_prod!BI19</f>
        <v>50403.972602712332</v>
      </c>
      <c r="BJ19" s="448">
        <f>Storage_Reconciled_prod!BJ19</f>
        <v>48943.366666666669</v>
      </c>
      <c r="BK19" s="448">
        <f>Storage_Reconciled_prod!BK19</f>
        <v>52185</v>
      </c>
      <c r="BL19" s="448">
        <f>Storage_Reconciled_prod!BL19</f>
        <v>50723.533333333333</v>
      </c>
      <c r="BM19" s="448">
        <f>Storage_Reconciled_prod!BM19</f>
        <v>50634.527472527472</v>
      </c>
      <c r="BN19" s="448">
        <f>Storage_Reconciled_prod!BN19</f>
        <v>48627.06451612903</v>
      </c>
      <c r="BO19" s="448">
        <f>Storage_Reconciled_prod!BO19</f>
        <v>48381.774193548386</v>
      </c>
      <c r="BP19" s="448">
        <f>Storage_Reconciled_prod!BP19</f>
        <v>46215.033333333333</v>
      </c>
      <c r="BQ19" s="448">
        <f>Storage_Reconciled_prod!BQ19</f>
        <v>47757.880434782608</v>
      </c>
      <c r="BR19" s="448">
        <f>Storage_Reconciled_prod!BR19</f>
        <v>49188.344262295082</v>
      </c>
      <c r="BS19" s="448">
        <f>Storage_Reconciled_prod!BS19</f>
        <v>49474.032258064515</v>
      </c>
      <c r="BT19" s="448">
        <f>Storage_Reconciled_prod!BT19</f>
        <v>39779.23333333333</v>
      </c>
      <c r="BU19" s="448">
        <f>Storage_Reconciled_prod!BU19</f>
        <v>12211</v>
      </c>
      <c r="BV19" s="448">
        <f>Storage_Reconciled_prod!BV19</f>
        <v>33756.663043478264</v>
      </c>
      <c r="BW19" s="448">
        <f>Storage_Reconciled_prod!BW19</f>
        <v>44025.745454545453</v>
      </c>
      <c r="BX19" s="448">
        <f>Storage_Reconciled_prod!BX19</f>
        <v>51153.483870967742</v>
      </c>
      <c r="BY19" s="448">
        <f>Storage_Reconciled_prod!BY19</f>
        <v>52538.821428571428</v>
      </c>
      <c r="BZ19" s="448">
        <f>Storage_Reconciled_prod!BZ19</f>
        <v>0</v>
      </c>
      <c r="CA19" s="448">
        <f>Storage_Reconciled_prod!CA19</f>
        <v>33964.944444444445</v>
      </c>
      <c r="CB19" s="448">
        <f>Storage_Reconciled_prod!CB19</f>
        <v>41545</v>
      </c>
      <c r="CC19" s="448">
        <f>Storage_Reconciled_prod!CC19</f>
        <v>53730.633332999998</v>
      </c>
      <c r="CD19" s="448">
        <f>Storage_Reconciled_prod!CD19</f>
        <v>53451.677419032254</v>
      </c>
      <c r="CE19" s="448">
        <f>Storage_Reconciled_prod!CE19</f>
        <v>50960.200000999997</v>
      </c>
      <c r="CF19" s="448">
        <f>Storage_Reconciled_prod!CF19</f>
        <v>52722.27472538461</v>
      </c>
      <c r="CG19" s="448">
        <f>Storage_Reconciled_prod!CG19</f>
        <v>55934.419356129038</v>
      </c>
      <c r="CH19" s="448">
        <f>Storage_Reconciled_prod!CH19</f>
        <v>0</v>
      </c>
      <c r="CI19" s="448">
        <f>Storage_Reconciled_prod!CI19</f>
        <v>0</v>
      </c>
      <c r="CJ19" s="448">
        <f>Storage_Reconciled_prod!CJ19</f>
        <v>18847.46739173913</v>
      </c>
      <c r="CK19" s="448">
        <f>Storage_Reconciled_prod!CK19</f>
        <v>35692.316940163932</v>
      </c>
      <c r="CL19" s="448">
        <f>Storage_Reconciled_prod!CL19</f>
        <v>0</v>
      </c>
      <c r="CM19" s="448">
        <f>Storage_Reconciled_prod!CM19</f>
        <v>0</v>
      </c>
      <c r="CN19" s="448">
        <f>Storage_Reconciled_prod!CN19</f>
        <v>0</v>
      </c>
      <c r="CO19" s="448">
        <f>Storage_Reconciled_prod!CO19</f>
        <v>0</v>
      </c>
      <c r="CP19" s="448">
        <f>Storage_Reconciled_prod!CP19</f>
        <v>23751.614545636363</v>
      </c>
      <c r="CQ19" s="448">
        <f>Storage_Reconciled_prod!CQ19</f>
        <v>0</v>
      </c>
      <c r="CR19" s="448">
        <f>Storage_Reconciled_prod!CR19</f>
        <v>0</v>
      </c>
      <c r="CS19" s="448">
        <f>Storage_Reconciled_prod!CS19</f>
        <v>0</v>
      </c>
      <c r="CT19" s="448">
        <f>Storage_Reconciled_prod!CT19</f>
        <v>0</v>
      </c>
      <c r="CU19" s="448">
        <f>Storage_Reconciled_prod!CU19</f>
        <v>17895.052054931508</v>
      </c>
    </row>
    <row r="20" spans="1:99">
      <c r="C20">
        <v>14</v>
      </c>
      <c r="D20" s="144" t="s">
        <v>68</v>
      </c>
      <c r="E20" s="448">
        <f>Storage_Reconciled_prod!E20</f>
        <v>4308.3999999999996</v>
      </c>
      <c r="F20" s="448">
        <f>Storage_Reconciled_prod!F20</f>
        <v>9554.0967741935492</v>
      </c>
      <c r="G20" s="448">
        <f>Storage_Reconciled_prod!G20</f>
        <v>6337.9</v>
      </c>
      <c r="H20" s="448">
        <f>Storage_Reconciled_prod!H20</f>
        <v>6764.4615384615381</v>
      </c>
      <c r="I20" s="448">
        <f>Storage_Reconciled_prod!I20</f>
        <v>7935.4516129032254</v>
      </c>
      <c r="J20" s="448">
        <f>Storage_Reconciled_prod!J20</f>
        <v>7338.3870967741932</v>
      </c>
      <c r="K20" s="448">
        <f>Storage_Reconciled_prod!K20</f>
        <v>2845.7</v>
      </c>
      <c r="L20" s="448">
        <f>Storage_Reconciled_prod!L20</f>
        <v>6074.565217391304</v>
      </c>
      <c r="M20" s="448">
        <f>Storage_Reconciled_prod!M20</f>
        <v>6417.6284153005463</v>
      </c>
      <c r="N20" s="448">
        <f>Storage_Reconciled_prod!N20</f>
        <v>5426.2545161290327</v>
      </c>
      <c r="O20" s="448">
        <f>Storage_Reconciled_prod!O20</f>
        <v>5202.7333333333336</v>
      </c>
      <c r="P20" s="448">
        <f>Storage_Reconciled_prod!P20</f>
        <v>721.09677419354841</v>
      </c>
      <c r="Q20" s="448">
        <f>Storage_Reconciled_prod!Q20</f>
        <v>3767.933586956522</v>
      </c>
      <c r="R20" s="448">
        <f>Storage_Reconciled_prod!R20</f>
        <v>5531.1850545454554</v>
      </c>
      <c r="S20" s="448">
        <f>Storage_Reconciled_prod!S20</f>
        <v>96.064516129032256</v>
      </c>
      <c r="T20" s="448">
        <f>Storage_Reconciled_prod!T20</f>
        <v>0</v>
      </c>
      <c r="U20" s="448">
        <f>Storage_Reconciled_prod!U20</f>
        <v>3300.0322580645161</v>
      </c>
      <c r="V20" s="448">
        <f>Storage_Reconciled_prod!V20</f>
        <v>1169.7666666666667</v>
      </c>
      <c r="W20" s="448">
        <f>Storage_Reconciled_prod!W20</f>
        <v>4455.7668219178086</v>
      </c>
      <c r="X20" s="448">
        <f>Storage_Reconciled_prod!X20</f>
        <v>6773.4666669999997</v>
      </c>
      <c r="Y20" s="448">
        <f>Storage_Reconciled_prod!Y20</f>
        <v>8713.7419361290322</v>
      </c>
      <c r="Z20" s="448">
        <f>Storage_Reconciled_prod!Z20</f>
        <v>6597.3666659999999</v>
      </c>
      <c r="AA20" s="448">
        <f>Storage_Reconciled_prod!AA20</f>
        <v>7376.3846154945049</v>
      </c>
      <c r="AB20" s="448">
        <f>Storage_Reconciled_prod!AB20</f>
        <v>7216.8096774193555</v>
      </c>
      <c r="AC20" s="448">
        <f>Storage_Reconciled_prod!AC20</f>
        <v>3844.175483870968</v>
      </c>
      <c r="AD20" s="448">
        <f>Storage_Reconciled_prod!AD20</f>
        <v>8473.586166000001</v>
      </c>
      <c r="AE20" s="448">
        <f>Storage_Reconciled_prod!AE20</f>
        <v>6490.1970106521749</v>
      </c>
      <c r="AF20" s="448">
        <f>Storage_Reconciled_prod!AF20</f>
        <v>6930.8695354644806</v>
      </c>
      <c r="AG20" s="448">
        <f>Storage_Reconciled_prod!AG20</f>
        <v>5127.3225803225814</v>
      </c>
      <c r="AH20" s="448">
        <f>Storage_Reconciled_prod!AH20</f>
        <v>5507.833333333333</v>
      </c>
      <c r="AI20" s="448">
        <f>Storage_Reconciled_prod!AI20</f>
        <v>3462.6451612903224</v>
      </c>
      <c r="AJ20" s="448">
        <f>Storage_Reconciled_prod!AJ20</f>
        <v>4690.4782607608704</v>
      </c>
      <c r="AK20" s="448">
        <f>Storage_Reconciled_prod!AK20</f>
        <v>6181.3568181090905</v>
      </c>
      <c r="AL20" s="448">
        <f>Storage_Reconciled_prod!AL20</f>
        <v>443.70967709677421</v>
      </c>
      <c r="AM20" s="448">
        <f>Storage_Reconciled_prod!AM20</f>
        <v>0</v>
      </c>
      <c r="AN20" s="448">
        <f>Storage_Reconciled_prod!AN20</f>
        <v>13768.41935483871</v>
      </c>
      <c r="AO20" s="448">
        <f>Storage_Reconciled_prod!AO20</f>
        <v>4841.494505384615</v>
      </c>
      <c r="AP20" s="448">
        <f>Storage_Reconciled_prod!AP20</f>
        <v>5848.2216529234965</v>
      </c>
      <c r="AQ20" s="448">
        <f>Storage_Reconciled_prod!AQ20</f>
        <v>12329.933333333332</v>
      </c>
      <c r="AR20" s="448">
        <f>Storage_Reconciled_prod!AR20</f>
        <v>15005.483870967742</v>
      </c>
      <c r="AS20" s="448">
        <f>Storage_Reconciled_prod!AS20</f>
        <v>13587.633333333333</v>
      </c>
      <c r="AT20" s="448">
        <f>Storage_Reconciled_prod!AT20</f>
        <v>13656.010989010989</v>
      </c>
      <c r="AU20" s="448">
        <f>Storage_Reconciled_prod!AU20</f>
        <v>13138.709677419354</v>
      </c>
      <c r="AV20" s="448">
        <f>Storage_Reconciled_prod!AV20</f>
        <v>11917.709677419354</v>
      </c>
      <c r="AW20" s="448">
        <f>Storage_Reconciled_prod!AW20</f>
        <v>8401.1333333333332</v>
      </c>
      <c r="AX20" s="448">
        <f>Storage_Reconciled_prod!AX20</f>
        <v>11182.423913043478</v>
      </c>
      <c r="AY20" s="448">
        <f>Storage_Reconciled_prod!AY20</f>
        <v>12412.459016393443</v>
      </c>
      <c r="AZ20" s="448">
        <f>Storage_Reconciled_prod!AZ20</f>
        <v>10516.096774193549</v>
      </c>
      <c r="BA20" s="448">
        <f>Storage_Reconciled_prod!BA20</f>
        <v>11604.533333333333</v>
      </c>
      <c r="BB20" s="448">
        <f>Storage_Reconciled_prod!BB20</f>
        <v>10923.741935483871</v>
      </c>
      <c r="BC20" s="448">
        <f>Storage_Reconciled_prod!BC20</f>
        <v>11008.380434782608</v>
      </c>
      <c r="BD20" s="448">
        <f>Storage_Reconciled_prod!BD20</f>
        <v>11942.730909090909</v>
      </c>
      <c r="BE20" s="448">
        <f>Storage_Reconciled_prod!BE20</f>
        <v>10356.000000322581</v>
      </c>
      <c r="BF20" s="448">
        <f>Storage_Reconciled_prod!BF20</f>
        <v>9653.75</v>
      </c>
      <c r="BG20" s="448">
        <f>Storage_Reconciled_prod!BG20</f>
        <v>8341.8064525806458</v>
      </c>
      <c r="BH20" s="448">
        <f>Storage_Reconciled_prod!BH20</f>
        <v>9443.7444448888891</v>
      </c>
      <c r="BI20" s="448">
        <f>Storage_Reconciled_prod!BI20</f>
        <v>11326.542465863015</v>
      </c>
      <c r="BJ20" s="448">
        <f>Storage_Reconciled_prod!BJ20</f>
        <v>10561</v>
      </c>
      <c r="BK20" s="448">
        <f>Storage_Reconciled_prod!BK20</f>
        <v>10660.451612903225</v>
      </c>
      <c r="BL20" s="448">
        <f>Storage_Reconciled_prod!BL20</f>
        <v>11767.466666666667</v>
      </c>
      <c r="BM20" s="448">
        <f>Storage_Reconciled_prod!BM20</f>
        <v>10992.615384615385</v>
      </c>
      <c r="BN20" s="448">
        <f>Storage_Reconciled_prod!BN20</f>
        <v>11279.290322580646</v>
      </c>
      <c r="BO20" s="448">
        <f>Storage_Reconciled_prod!BO20</f>
        <v>11865.225806451614</v>
      </c>
      <c r="BP20" s="448">
        <f>Storage_Reconciled_prod!BP20</f>
        <v>8252.7000000000007</v>
      </c>
      <c r="BQ20" s="448">
        <f>Storage_Reconciled_prod!BQ20</f>
        <v>10489.79347826087</v>
      </c>
      <c r="BR20" s="448">
        <f>Storage_Reconciled_prod!BR20</f>
        <v>10739.830601092895</v>
      </c>
      <c r="BS20" s="448">
        <f>Storage_Reconciled_prod!BS20</f>
        <v>12756.41935483871</v>
      </c>
      <c r="BT20" s="448">
        <f>Storage_Reconciled_prod!BT20</f>
        <v>12639.866666666667</v>
      </c>
      <c r="BU20" s="448">
        <f>Storage_Reconciled_prod!BU20</f>
        <v>3968.5806451612902</v>
      </c>
      <c r="BV20" s="448">
        <f>Storage_Reconciled_prod!BV20</f>
        <v>9757.29347826087</v>
      </c>
      <c r="BW20" s="448">
        <f>Storage_Reconciled_prod!BW20</f>
        <v>10411.127272727274</v>
      </c>
      <c r="BX20" s="448">
        <f>Storage_Reconciled_prod!BX20</f>
        <v>9050.0645161290322</v>
      </c>
      <c r="BY20" s="448">
        <f>Storage_Reconciled_prod!BY20</f>
        <v>12822.928571428571</v>
      </c>
      <c r="BZ20" s="448">
        <f>Storage_Reconciled_prod!BZ20</f>
        <v>0</v>
      </c>
      <c r="CA20" s="448">
        <f>Storage_Reconciled_prod!CA20</f>
        <v>7106.6</v>
      </c>
      <c r="CB20" s="448">
        <f>Storage_Reconciled_prod!CB20</f>
        <v>9596.3123287671224</v>
      </c>
      <c r="CC20" s="448">
        <f>Storage_Reconciled_prod!CC20</f>
        <v>13140.733333</v>
      </c>
      <c r="CD20" s="448">
        <f>Storage_Reconciled_prod!CD20</f>
        <v>12289.032258387097</v>
      </c>
      <c r="CE20" s="448">
        <f>Storage_Reconciled_prod!CE20</f>
        <v>12269.733333999999</v>
      </c>
      <c r="CF20" s="448">
        <f>Storage_Reconciled_prod!CF20</f>
        <v>12563.45054967033</v>
      </c>
      <c r="CG20" s="448">
        <f>Storage_Reconciled_prod!CG20</f>
        <v>11924.967742580644</v>
      </c>
      <c r="CH20" s="448">
        <f>Storage_Reconciled_prod!CH20</f>
        <v>0</v>
      </c>
      <c r="CI20" s="448">
        <f>Storage_Reconciled_prod!CI20</f>
        <v>0</v>
      </c>
      <c r="CJ20" s="448">
        <f>Storage_Reconciled_prod!CJ20</f>
        <v>4018.1956523913041</v>
      </c>
      <c r="CK20" s="448">
        <f>Storage_Reconciled_prod!CK20</f>
        <v>8267.4754100546434</v>
      </c>
      <c r="CL20" s="448">
        <f>Storage_Reconciled_prod!CL20</f>
        <v>0</v>
      </c>
      <c r="CM20" s="448">
        <f>Storage_Reconciled_prod!CM20</f>
        <v>0</v>
      </c>
      <c r="CN20" s="448">
        <f>Storage_Reconciled_prod!CN20</f>
        <v>0</v>
      </c>
      <c r="CO20" s="448">
        <f>Storage_Reconciled_prod!CO20</f>
        <v>0</v>
      </c>
      <c r="CP20" s="448">
        <f>Storage_Reconciled_prod!CP20</f>
        <v>5501.6290910545449</v>
      </c>
      <c r="CQ20" s="448">
        <f>Storage_Reconciled_prod!CQ20</f>
        <v>0</v>
      </c>
      <c r="CR20" s="448">
        <f>Storage_Reconciled_prod!CR20</f>
        <v>0</v>
      </c>
      <c r="CS20" s="448">
        <f>Storage_Reconciled_prod!CS20</f>
        <v>0</v>
      </c>
      <c r="CT20" s="448">
        <f>Storage_Reconciled_prod!CT20</f>
        <v>0</v>
      </c>
      <c r="CU20" s="448">
        <f>Storage_Reconciled_prod!CU20</f>
        <v>4145.0630138082188</v>
      </c>
    </row>
    <row r="21" spans="1:99">
      <c r="C21">
        <v>15</v>
      </c>
      <c r="D21" s="144" t="s">
        <v>69</v>
      </c>
      <c r="E21" s="448">
        <f>Storage_Reconciled_prod!E21</f>
        <v>247.06766666666667</v>
      </c>
      <c r="F21" s="448">
        <f>Storage_Reconciled_prod!F21</f>
        <v>237.55548387096775</v>
      </c>
      <c r="G21" s="448">
        <f>Storage_Reconciled_prod!G21</f>
        <v>420.91766666666666</v>
      </c>
      <c r="H21" s="448">
        <f>Storage_Reconciled_prod!H21</f>
        <v>301.14043956043957</v>
      </c>
      <c r="I21" s="448">
        <f>Storage_Reconciled_prod!I21</f>
        <v>582.51612903225805</v>
      </c>
      <c r="J21" s="448">
        <f>Storage_Reconciled_prod!J21</f>
        <v>138.16129032258064</v>
      </c>
      <c r="K21" s="448">
        <f>Storage_Reconciled_prod!K21</f>
        <v>121.2</v>
      </c>
      <c r="L21" s="448">
        <f>Storage_Reconciled_prod!L21</f>
        <v>282.35869565217394</v>
      </c>
      <c r="M21" s="448">
        <f>Storage_Reconciled_prod!M21</f>
        <v>291.69825136612019</v>
      </c>
      <c r="N21" s="448">
        <f>Storage_Reconciled_prod!N21</f>
        <v>270.74193548387098</v>
      </c>
      <c r="O21" s="448">
        <f>Storage_Reconciled_prod!O21</f>
        <v>276.99</v>
      </c>
      <c r="P21" s="448">
        <f>Storage_Reconciled_prod!P21</f>
        <v>257.3116600645161</v>
      </c>
      <c r="Q21" s="448">
        <f>Storage_Reconciled_prod!Q21</f>
        <v>268.25392893478261</v>
      </c>
      <c r="R21" s="448">
        <f>Storage_Reconciled_prod!R21</f>
        <v>283.85505986181818</v>
      </c>
      <c r="S21" s="448">
        <f>Storage_Reconciled_prod!S21</f>
        <v>214.53290419354835</v>
      </c>
      <c r="T21" s="448">
        <f>Storage_Reconciled_prod!T21</f>
        <v>272.93688557142855</v>
      </c>
      <c r="U21" s="448">
        <f>Storage_Reconciled_prod!U21</f>
        <v>274.01615148387094</v>
      </c>
      <c r="V21" s="448">
        <f>Storage_Reconciled_prod!V21</f>
        <v>253.19170579999999</v>
      </c>
      <c r="W21" s="448">
        <f>Storage_Reconciled_prod!W21</f>
        <v>276.29423283287673</v>
      </c>
      <c r="X21" s="448">
        <f>Storage_Reconciled_prod!X21</f>
        <v>283.98666700000001</v>
      </c>
      <c r="Y21" s="448">
        <f>Storage_Reconciled_prod!Y21</f>
        <v>258.46193451612902</v>
      </c>
      <c r="Z21" s="448">
        <f>Storage_Reconciled_prod!Z21</f>
        <v>226.85199900000001</v>
      </c>
      <c r="AA21" s="448">
        <f>Storage_Reconciled_prod!AA21</f>
        <v>256.45582362637361</v>
      </c>
      <c r="AB21" s="448">
        <f>Storage_Reconciled_prod!AB21</f>
        <v>209.59225774193547</v>
      </c>
      <c r="AC21" s="448">
        <f>Storage_Reconciled_prod!AC21</f>
        <v>187.88032225806452</v>
      </c>
      <c r="AD21" s="448">
        <f>Storage_Reconciled_prod!AD21</f>
        <v>169.66733333333335</v>
      </c>
      <c r="AE21" s="448">
        <f>Storage_Reconciled_prod!AE21</f>
        <v>189.25728239130433</v>
      </c>
      <c r="AF21" s="448">
        <f>Storage_Reconciled_prod!AF21</f>
        <v>222.67295043715848</v>
      </c>
      <c r="AG21" s="448">
        <f>Storage_Reconciled_prod!AG21</f>
        <v>150.50677419354838</v>
      </c>
      <c r="AH21" s="448">
        <f>Storage_Reconciled_prod!AH21</f>
        <v>139.72366700000001</v>
      </c>
      <c r="AI21" s="448">
        <f>Storage_Reconciled_prod!AI21</f>
        <v>133.43290322580646</v>
      </c>
      <c r="AJ21" s="448">
        <f>Storage_Reconciled_prod!AJ21</f>
        <v>141.23739141304347</v>
      </c>
      <c r="AK21" s="448">
        <f>Storage_Reconciled_prod!AK21</f>
        <v>195.42905432727272</v>
      </c>
      <c r="AL21" s="448">
        <f>Storage_Reconciled_prod!AL21</f>
        <v>140.20354838709679</v>
      </c>
      <c r="AM21" s="448">
        <f>Storage_Reconciled_prod!AM21</f>
        <v>130.3448279310345</v>
      </c>
      <c r="AN21" s="448">
        <f>Storage_Reconciled_prod!AN21</f>
        <v>152.12903225806451</v>
      </c>
      <c r="AO21" s="448">
        <f>Storage_Reconciled_prod!AO21</f>
        <v>141.12428582417584</v>
      </c>
      <c r="AP21" s="448">
        <f>Storage_Reconciled_prod!AP21</f>
        <v>181.92704904371584</v>
      </c>
      <c r="AQ21" s="448">
        <f>Storage_Reconciled_prod!AQ21</f>
        <v>134.46666666666667</v>
      </c>
      <c r="AR21" s="448">
        <f>Storage_Reconciled_prod!AR21</f>
        <v>135.16129032258064</v>
      </c>
      <c r="AS21" s="448">
        <f>Storage_Reconciled_prod!AS21</f>
        <v>127.23333333333333</v>
      </c>
      <c r="AT21" s="448">
        <f>Storage_Reconciled_prod!AT21</f>
        <v>132.31868131868131</v>
      </c>
      <c r="AU21" s="448">
        <f>Storage_Reconciled_prod!AU21</f>
        <v>105.3225806451613</v>
      </c>
      <c r="AV21" s="448">
        <f>Storage_Reconciled_prod!AV21</f>
        <v>75.677419354838705</v>
      </c>
      <c r="AW21" s="448">
        <f>Storage_Reconciled_prod!AW21</f>
        <v>73.7</v>
      </c>
      <c r="AX21" s="448">
        <f>Storage_Reconciled_prod!AX21</f>
        <v>85.021739130434781</v>
      </c>
      <c r="AY21" s="448">
        <f>Storage_Reconciled_prod!AY21</f>
        <v>108.54098360655738</v>
      </c>
      <c r="AZ21" s="448">
        <f>Storage_Reconciled_prod!AZ21</f>
        <v>76.612903225806448</v>
      </c>
      <c r="BA21" s="448">
        <f>Storage_Reconciled_prod!BA21</f>
        <v>72.2</v>
      </c>
      <c r="BB21" s="448">
        <f>Storage_Reconciled_prod!BB21</f>
        <v>88.225806451612897</v>
      </c>
      <c r="BC21" s="448">
        <f>Storage_Reconciled_prod!BC21</f>
        <v>79.086956521739125</v>
      </c>
      <c r="BD21" s="448">
        <f>Storage_Reconciled_prod!BD21</f>
        <v>98.687272727272727</v>
      </c>
      <c r="BE21" s="448">
        <f>Storage_Reconciled_prod!BE21</f>
        <v>96.312903225806451</v>
      </c>
      <c r="BF21" s="448">
        <f>Storage_Reconciled_prod!BF21</f>
        <v>95.517857142857139</v>
      </c>
      <c r="BG21" s="448">
        <f>Storage_Reconciled_prod!BG21</f>
        <v>127.32258161290324</v>
      </c>
      <c r="BH21" s="448">
        <f>Storage_Reconciled_prod!BH21</f>
        <v>106.746667</v>
      </c>
      <c r="BI21" s="448">
        <f>Storage_Reconciled_prod!BI21</f>
        <v>100.67452063013698</v>
      </c>
      <c r="BJ21" s="448">
        <f>Storage_Reconciled_prod!BJ21</f>
        <v>131.4</v>
      </c>
      <c r="BK21" s="448">
        <f>Storage_Reconciled_prod!BK21</f>
        <v>132.64516129032259</v>
      </c>
      <c r="BL21" s="448">
        <f>Storage_Reconciled_prod!BL21</f>
        <v>138.4</v>
      </c>
      <c r="BM21" s="448">
        <f>Storage_Reconciled_prod!BM21</f>
        <v>134.13186813186815</v>
      </c>
      <c r="BN21" s="448">
        <f>Storage_Reconciled_prod!BN21</f>
        <v>0</v>
      </c>
      <c r="BO21" s="448">
        <f>Storage_Reconciled_prod!BO21</f>
        <v>0</v>
      </c>
      <c r="BP21" s="448">
        <f>Storage_Reconciled_prod!BP21</f>
        <v>0</v>
      </c>
      <c r="BQ21" s="448">
        <f>Storage_Reconciled_prod!BQ21</f>
        <v>0</v>
      </c>
      <c r="BR21" s="448">
        <f>Storage_Reconciled_prod!BR21</f>
        <v>66.699453551912569</v>
      </c>
      <c r="BS21" s="448">
        <f>Storage_Reconciled_prod!BS21</f>
        <v>0</v>
      </c>
      <c r="BT21" s="448">
        <f>Storage_Reconciled_prod!BT21</f>
        <v>0</v>
      </c>
      <c r="BU21" s="448">
        <f>Storage_Reconciled_prod!BU21</f>
        <v>0</v>
      </c>
      <c r="BV21" s="448">
        <f>Storage_Reconciled_prod!BV21</f>
        <v>0</v>
      </c>
      <c r="BW21" s="448">
        <f>Storage_Reconciled_prod!BW21</f>
        <v>44.385454545454543</v>
      </c>
      <c r="BX21" s="448">
        <f>Storage_Reconciled_prod!BX21</f>
        <v>0</v>
      </c>
      <c r="BY21" s="448">
        <f>Storage_Reconciled_prod!BY21</f>
        <v>0</v>
      </c>
      <c r="BZ21" s="448">
        <f>Storage_Reconciled_prod!BZ21</f>
        <v>0</v>
      </c>
      <c r="CA21" s="448">
        <f>Storage_Reconciled_prod!CA21</f>
        <v>0</v>
      </c>
      <c r="CB21" s="448">
        <f>Storage_Reconciled_prod!CB21</f>
        <v>33.441095890410956</v>
      </c>
      <c r="CC21" s="448">
        <f>Storage_Reconciled_prod!CC21</f>
        <v>0</v>
      </c>
      <c r="CD21" s="448">
        <f>Storage_Reconciled_prod!CD21</f>
        <v>0</v>
      </c>
      <c r="CE21" s="448">
        <f>Storage_Reconciled_prod!CE21</f>
        <v>0</v>
      </c>
      <c r="CF21" s="448">
        <f>Storage_Reconciled_prod!CF21</f>
        <v>0</v>
      </c>
      <c r="CG21" s="448">
        <f>Storage_Reconciled_prod!CG21</f>
        <v>0</v>
      </c>
      <c r="CH21" s="448">
        <f>Storage_Reconciled_prod!CH21</f>
        <v>0</v>
      </c>
      <c r="CI21" s="448">
        <f>Storage_Reconciled_prod!CI21</f>
        <v>0</v>
      </c>
      <c r="CJ21" s="448">
        <f>Storage_Reconciled_prod!CJ21</f>
        <v>0</v>
      </c>
      <c r="CK21" s="448">
        <f>Storage_Reconciled_prod!CK21</f>
        <v>0</v>
      </c>
      <c r="CL21" s="448">
        <f>Storage_Reconciled_prod!CL21</f>
        <v>0</v>
      </c>
      <c r="CM21" s="448">
        <f>Storage_Reconciled_prod!CM21</f>
        <v>0</v>
      </c>
      <c r="CN21" s="448">
        <f>Storage_Reconciled_prod!CN21</f>
        <v>0</v>
      </c>
      <c r="CO21" s="448">
        <f>Storage_Reconciled_prod!CO21</f>
        <v>0</v>
      </c>
      <c r="CP21" s="448">
        <f>Storage_Reconciled_prod!CP21</f>
        <v>0</v>
      </c>
      <c r="CQ21" s="448">
        <f>Storage_Reconciled_prod!CQ21</f>
        <v>0</v>
      </c>
      <c r="CR21" s="448">
        <f>Storage_Reconciled_prod!CR21</f>
        <v>0</v>
      </c>
      <c r="CS21" s="448">
        <f>Storage_Reconciled_prod!CS21</f>
        <v>0</v>
      </c>
      <c r="CT21" s="448">
        <f>Storage_Reconciled_prod!CT21</f>
        <v>0</v>
      </c>
      <c r="CU21" s="448">
        <f>Storage_Reconciled_prod!CU21</f>
        <v>0</v>
      </c>
    </row>
    <row r="22" spans="1:99">
      <c r="A22" s="1482"/>
      <c r="B22" s="1482"/>
      <c r="C22">
        <v>16</v>
      </c>
      <c r="D22" s="144" t="s">
        <v>70</v>
      </c>
      <c r="E22" s="448">
        <f>Storage_Reconciled_prod!E22</f>
        <v>0</v>
      </c>
      <c r="F22" s="448">
        <f>Storage_Reconciled_prod!F22</f>
        <v>0</v>
      </c>
      <c r="G22" s="448">
        <f>Storage_Reconciled_prod!G22</f>
        <v>0</v>
      </c>
      <c r="H22" s="448">
        <f>Storage_Reconciled_prod!H22</f>
        <v>0</v>
      </c>
      <c r="I22" s="448">
        <f>Storage_Reconciled_prod!I22</f>
        <v>0</v>
      </c>
      <c r="J22" s="448">
        <f>Storage_Reconciled_prod!J22</f>
        <v>0</v>
      </c>
      <c r="K22" s="448">
        <f>Storage_Reconciled_prod!K22</f>
        <v>0</v>
      </c>
      <c r="L22" s="448">
        <f>Storage_Reconciled_prod!L22</f>
        <v>0</v>
      </c>
      <c r="M22" s="448">
        <f>Storage_Reconciled_prod!M22</f>
        <v>0</v>
      </c>
      <c r="N22" s="448">
        <f>Storage_Reconciled_prod!N22</f>
        <v>0</v>
      </c>
      <c r="O22" s="448">
        <f>Storage_Reconciled_prod!O22</f>
        <v>0</v>
      </c>
      <c r="P22" s="448">
        <f>Storage_Reconciled_prod!P22</f>
        <v>0</v>
      </c>
      <c r="Q22" s="448">
        <f>Storage_Reconciled_prod!Q22</f>
        <v>0</v>
      </c>
      <c r="R22" s="448">
        <f>Storage_Reconciled_prod!R22</f>
        <v>0</v>
      </c>
      <c r="S22" s="448">
        <f>Storage_Reconciled_prod!S22</f>
        <v>0</v>
      </c>
      <c r="T22" s="448">
        <f>Storage_Reconciled_prod!T22</f>
        <v>0</v>
      </c>
      <c r="U22" s="448">
        <f>Storage_Reconciled_prod!U22</f>
        <v>0</v>
      </c>
      <c r="V22" s="448">
        <f>Storage_Reconciled_prod!V22</f>
        <v>0</v>
      </c>
      <c r="W22" s="448">
        <f>Storage_Reconciled_prod!W22</f>
        <v>0</v>
      </c>
      <c r="X22" s="448">
        <f>Storage_Reconciled_prod!X22</f>
        <v>0</v>
      </c>
      <c r="Y22" s="448">
        <f>Storage_Reconciled_prod!Y22</f>
        <v>0</v>
      </c>
      <c r="Z22" s="448">
        <f>Storage_Reconciled_prod!Z22</f>
        <v>0</v>
      </c>
      <c r="AA22" s="448">
        <f>Storage_Reconciled_prod!AA22</f>
        <v>0</v>
      </c>
      <c r="AB22" s="448">
        <f>Storage_Reconciled_prod!AB22</f>
        <v>0</v>
      </c>
      <c r="AC22" s="448">
        <f>Storage_Reconciled_prod!AC22</f>
        <v>0</v>
      </c>
      <c r="AD22" s="448">
        <f>Storage_Reconciled_prod!AD22</f>
        <v>0</v>
      </c>
      <c r="AE22" s="448">
        <f>Storage_Reconciled_prod!AE22</f>
        <v>0</v>
      </c>
      <c r="AF22" s="448">
        <f>Storage_Reconciled_prod!AF22</f>
        <v>0</v>
      </c>
      <c r="AG22" s="448">
        <f>Storage_Reconciled_prod!AG22</f>
        <v>0</v>
      </c>
      <c r="AH22" s="448">
        <f>Storage_Reconciled_prod!AH22</f>
        <v>0</v>
      </c>
      <c r="AI22" s="448">
        <f>Storage_Reconciled_prod!AI22</f>
        <v>0</v>
      </c>
      <c r="AJ22" s="448">
        <f>Storage_Reconciled_prod!AJ22</f>
        <v>0</v>
      </c>
      <c r="AK22" s="448">
        <f>Storage_Reconciled_prod!AK22</f>
        <v>0</v>
      </c>
      <c r="AL22" s="448">
        <f>Storage_Reconciled_prod!AL22</f>
        <v>0</v>
      </c>
      <c r="AM22" s="448">
        <f>Storage_Reconciled_prod!AM22</f>
        <v>0</v>
      </c>
      <c r="AN22" s="448">
        <f>Storage_Reconciled_prod!AN22</f>
        <v>0</v>
      </c>
      <c r="AO22" s="448">
        <f>Storage_Reconciled_prod!AO22</f>
        <v>0</v>
      </c>
      <c r="AP22" s="448">
        <f>Storage_Reconciled_prod!AP22</f>
        <v>0</v>
      </c>
      <c r="AQ22" s="448">
        <f>Storage_Reconciled_prod!AQ22</f>
        <v>0</v>
      </c>
      <c r="AR22" s="448">
        <f>Storage_Reconciled_prod!AR22</f>
        <v>0</v>
      </c>
      <c r="AS22" s="448">
        <f>Storage_Reconciled_prod!AS22</f>
        <v>0</v>
      </c>
      <c r="AT22" s="448">
        <f>Storage_Reconciled_prod!AT22</f>
        <v>0</v>
      </c>
      <c r="AU22" s="448">
        <f>Storage_Reconciled_prod!AU22</f>
        <v>0</v>
      </c>
      <c r="AV22" s="448">
        <f>Storage_Reconciled_prod!AV22</f>
        <v>0</v>
      </c>
      <c r="AW22" s="448">
        <f>Storage_Reconciled_prod!AW22</f>
        <v>0</v>
      </c>
      <c r="AX22" s="448">
        <f>Storage_Reconciled_prod!AX22</f>
        <v>0</v>
      </c>
      <c r="AY22" s="448">
        <f>Storage_Reconciled_prod!AY22</f>
        <v>0</v>
      </c>
      <c r="AZ22" s="448">
        <f>Storage_Reconciled_prod!AZ22</f>
        <v>0</v>
      </c>
      <c r="BA22" s="448">
        <f>Storage_Reconciled_prod!BA22</f>
        <v>0</v>
      </c>
      <c r="BB22" s="448">
        <f>Storage_Reconciled_prod!BB22</f>
        <v>0</v>
      </c>
      <c r="BC22" s="448">
        <f>Storage_Reconciled_prod!BC22</f>
        <v>0</v>
      </c>
      <c r="BD22" s="448">
        <f>Storage_Reconciled_prod!BD22</f>
        <v>0</v>
      </c>
      <c r="BE22" s="448">
        <f>Storage_Reconciled_prod!BE22</f>
        <v>0</v>
      </c>
      <c r="BF22" s="448">
        <f>Storage_Reconciled_prod!BF22</f>
        <v>0</v>
      </c>
      <c r="BG22" s="448">
        <f>Storage_Reconciled_prod!BG22</f>
        <v>0</v>
      </c>
      <c r="BH22" s="448">
        <f>Storage_Reconciled_prod!BH22</f>
        <v>0</v>
      </c>
      <c r="BI22" s="448">
        <f>Storage_Reconciled_prod!BI22</f>
        <v>0</v>
      </c>
      <c r="BJ22" s="448">
        <f>Storage_Reconciled_prod!BJ22</f>
        <v>0</v>
      </c>
      <c r="BK22" s="448">
        <f>Storage_Reconciled_prod!BK22</f>
        <v>0</v>
      </c>
      <c r="BL22" s="448">
        <f>Storage_Reconciled_prod!BL22</f>
        <v>0</v>
      </c>
      <c r="BM22" s="448">
        <f>Storage_Reconciled_prod!BM22</f>
        <v>0</v>
      </c>
      <c r="BN22" s="448">
        <f>Storage_Reconciled_prod!BN22</f>
        <v>0</v>
      </c>
      <c r="BO22" s="448">
        <f>Storage_Reconciled_prod!BO22</f>
        <v>0</v>
      </c>
      <c r="BP22" s="448">
        <f>Storage_Reconciled_prod!BP22</f>
        <v>0</v>
      </c>
      <c r="BQ22" s="448">
        <f>Storage_Reconciled_prod!BQ22</f>
        <v>0</v>
      </c>
      <c r="BR22" s="448">
        <f>Storage_Reconciled_prod!BR22</f>
        <v>0</v>
      </c>
      <c r="BS22" s="448">
        <f>Storage_Reconciled_prod!BS22</f>
        <v>0</v>
      </c>
      <c r="BT22" s="448">
        <f>Storage_Reconciled_prod!BT22</f>
        <v>0</v>
      </c>
      <c r="BU22" s="448">
        <f>Storage_Reconciled_prod!BU22</f>
        <v>0</v>
      </c>
      <c r="BV22" s="448">
        <f>Storage_Reconciled_prod!BV22</f>
        <v>0</v>
      </c>
      <c r="BW22" s="448">
        <f>Storage_Reconciled_prod!BW22</f>
        <v>0</v>
      </c>
      <c r="BX22" s="448">
        <f>Storage_Reconciled_prod!BX22</f>
        <v>0</v>
      </c>
      <c r="BY22" s="448">
        <f>Storage_Reconciled_prod!BY22</f>
        <v>0</v>
      </c>
      <c r="BZ22" s="448">
        <f>Storage_Reconciled_prod!BZ22</f>
        <v>0</v>
      </c>
      <c r="CA22" s="448">
        <f>Storage_Reconciled_prod!CA22</f>
        <v>0</v>
      </c>
      <c r="CB22" s="448">
        <f>Storage_Reconciled_prod!CB22</f>
        <v>0</v>
      </c>
      <c r="CC22" s="448">
        <f>Storage_Reconciled_prod!CC22</f>
        <v>0</v>
      </c>
      <c r="CD22" s="448">
        <f>Storage_Reconciled_prod!CD22</f>
        <v>0</v>
      </c>
      <c r="CE22" s="448">
        <f>Storage_Reconciled_prod!CE22</f>
        <v>0</v>
      </c>
      <c r="CF22" s="448">
        <f>Storage_Reconciled_prod!CF22</f>
        <v>0</v>
      </c>
      <c r="CG22" s="448">
        <f>Storage_Reconciled_prod!CG22</f>
        <v>0</v>
      </c>
      <c r="CH22" s="448">
        <f>Storage_Reconciled_prod!CH22</f>
        <v>0</v>
      </c>
      <c r="CI22" s="448">
        <f>Storage_Reconciled_prod!CI22</f>
        <v>0</v>
      </c>
      <c r="CJ22" s="448">
        <f>Storage_Reconciled_prod!CJ22</f>
        <v>0</v>
      </c>
      <c r="CK22" s="448">
        <f>Storage_Reconciled_prod!CK22</f>
        <v>0</v>
      </c>
      <c r="CL22" s="448">
        <f>Storage_Reconciled_prod!CL22</f>
        <v>0</v>
      </c>
      <c r="CM22" s="448">
        <f>Storage_Reconciled_prod!CM22</f>
        <v>0</v>
      </c>
      <c r="CN22" s="448">
        <f>Storage_Reconciled_prod!CN22</f>
        <v>0</v>
      </c>
      <c r="CO22" s="448">
        <f>Storage_Reconciled_prod!CO22</f>
        <v>0</v>
      </c>
      <c r="CP22" s="448">
        <f>Storage_Reconciled_prod!CP22</f>
        <v>0</v>
      </c>
      <c r="CQ22" s="448">
        <f>Storage_Reconciled_prod!CQ22</f>
        <v>0</v>
      </c>
      <c r="CR22" s="448">
        <f>Storage_Reconciled_prod!CR22</f>
        <v>0</v>
      </c>
      <c r="CS22" s="448">
        <f>Storage_Reconciled_prod!CS22</f>
        <v>0</v>
      </c>
      <c r="CT22" s="448">
        <f>Storage_Reconciled_prod!CT22</f>
        <v>0</v>
      </c>
      <c r="CU22" s="448">
        <f>Storage_Reconciled_prod!CU22</f>
        <v>0</v>
      </c>
    </row>
    <row r="23" spans="1:99" s="247" customFormat="1">
      <c r="A23" s="1482"/>
      <c r="B23" s="1482"/>
      <c r="C23" s="247">
        <v>17</v>
      </c>
      <c r="D23" s="565" t="s">
        <v>827</v>
      </c>
      <c r="E23" s="448">
        <f>Storage_Reconciled_prod!E23</f>
        <v>146945.21203062596</v>
      </c>
      <c r="F23" s="448">
        <f>Storage_Reconciled_prod!F23</f>
        <v>117870.94734747095</v>
      </c>
      <c r="G23" s="448">
        <f>Storage_Reconciled_prod!G23</f>
        <v>113173.1137993381</v>
      </c>
      <c r="H23" s="448">
        <f>Storage_Reconciled_prod!H23</f>
        <v>125907.13343593979</v>
      </c>
      <c r="I23" s="448">
        <f>Storage_Reconciled_prod!I23</f>
        <v>115205.4618720057</v>
      </c>
      <c r="J23" s="448">
        <f>Storage_Reconciled_prod!J23</f>
        <v>122704.77921372185</v>
      </c>
      <c r="K23" s="448">
        <f>Storage_Reconciled_prod!K23</f>
        <v>118763.78969178074</v>
      </c>
      <c r="L23" s="448">
        <f>Storage_Reconciled_prod!L23</f>
        <v>118892.73004794538</v>
      </c>
      <c r="M23" s="448">
        <f>Storage_Reconciled_prod!M23</f>
        <v>122380.76670536336</v>
      </c>
      <c r="N23" s="448">
        <f>Storage_Reconciled_prod!N23</f>
        <v>119886.13519722082</v>
      </c>
      <c r="O23" s="448">
        <f>Storage_Reconciled_prod!O23</f>
        <v>140468.87349303975</v>
      </c>
      <c r="P23" s="448">
        <f>Storage_Reconciled_prod!P23</f>
        <v>128325.72324429506</v>
      </c>
      <c r="Q23" s="448">
        <f>Storage_Reconciled_prod!Q23</f>
        <v>129441.67191824115</v>
      </c>
      <c r="R23" s="448">
        <f>Storage_Reconciled_prod!R23</f>
        <v>124742.96044930794</v>
      </c>
      <c r="S23" s="448">
        <f>Storage_Reconciled_prod!S23</f>
        <v>132495.53795686722</v>
      </c>
      <c r="T23" s="448">
        <f>Storage_Reconciled_prod!T23</f>
        <v>143454.31139271476</v>
      </c>
      <c r="U23" s="448">
        <f>Storage_Reconciled_prod!U23</f>
        <v>141203.83758977961</v>
      </c>
      <c r="V23" s="448">
        <f>Storage_Reconciled_prod!V23</f>
        <v>138904.45956602294</v>
      </c>
      <c r="W23" s="448">
        <f>Storage_Reconciled_prod!W23</f>
        <v>128234.83694384039</v>
      </c>
      <c r="X23" s="448">
        <f>Storage_Reconciled_prod!X23</f>
        <v>150132.25689897605</v>
      </c>
      <c r="Y23" s="448">
        <f>Storage_Reconciled_prod!Y23</f>
        <v>143541.87303124735</v>
      </c>
      <c r="Z23" s="448">
        <f>Storage_Reconciled_prod!Z23</f>
        <v>144867.33313357618</v>
      </c>
      <c r="AA23" s="448">
        <f>Storage_Reconciled_prod!AA23</f>
        <v>146151.49192247508</v>
      </c>
      <c r="AB23" s="448">
        <f>Storage_Reconciled_prod!AB23</f>
        <v>145969.64118380655</v>
      </c>
      <c r="AC23" s="448">
        <f>Storage_Reconciled_prod!AC23</f>
        <v>140509.30194680864</v>
      </c>
      <c r="AD23" s="448">
        <f>Storage_Reconciled_prod!AD23</f>
        <v>138247.78964993783</v>
      </c>
      <c r="AE23" s="448">
        <f>Storage_Reconciled_prod!AE23</f>
        <v>141611.74920160009</v>
      </c>
      <c r="AF23" s="448">
        <f>Storage_Reconciled_prod!AF23</f>
        <v>143869.21689340129</v>
      </c>
      <c r="AG23" s="448">
        <f>Storage_Reconciled_prod!AG23</f>
        <v>141306.51118125589</v>
      </c>
      <c r="AH23" s="448">
        <f>Storage_Reconciled_prod!AH23</f>
        <v>147180.5561972275</v>
      </c>
      <c r="AI23" s="448">
        <f>Storage_Reconciled_prod!AI23</f>
        <v>148399.16584514352</v>
      </c>
      <c r="AJ23" s="448">
        <f>Storage_Reconciled_prod!AJ23</f>
        <v>145611.87688842614</v>
      </c>
      <c r="AK23" s="448">
        <f>Storage_Reconciled_prod!AK23</f>
        <v>144452.21587355505</v>
      </c>
      <c r="AL23" s="448">
        <f>Storage_Reconciled_prod!AL23</f>
        <v>144522.81314492843</v>
      </c>
      <c r="AM23" s="448">
        <f>Storage_Reconciled_prod!AM23</f>
        <v>141488.56762032368</v>
      </c>
      <c r="AN23" s="448">
        <f>Storage_Reconciled_prod!AN23</f>
        <v>146372.63738557443</v>
      </c>
      <c r="AO23" s="448">
        <f>Storage_Reconciled_prod!AO23</f>
        <v>144186.01568609857</v>
      </c>
      <c r="AP23" s="448">
        <f>Storage_Reconciled_prod!AP23</f>
        <v>144386.02948814922</v>
      </c>
      <c r="AQ23" s="448">
        <f>Storage_Reconciled_prod!AQ23</f>
        <v>148376.95072666669</v>
      </c>
      <c r="AR23" s="448">
        <f>Storage_Reconciled_prod!AR23</f>
        <v>139238.31467096775</v>
      </c>
      <c r="AS23" s="448">
        <f>Storage_Reconciled_prod!AS23</f>
        <v>147380.21982833336</v>
      </c>
      <c r="AT23" s="448">
        <f>Storage_Reconciled_prod!AT23</f>
        <v>144935.19638956044</v>
      </c>
      <c r="AU23" s="448">
        <f>Storage_Reconciled_prod!AU23</f>
        <v>147440.15511290322</v>
      </c>
      <c r="AV23" s="448">
        <f>Storage_Reconciled_prod!AV23</f>
        <v>143634.11912741937</v>
      </c>
      <c r="AW23" s="448">
        <f>Storage_Reconciled_prod!AW23</f>
        <v>144669.50013333335</v>
      </c>
      <c r="AX23" s="448">
        <f>Storage_Reconciled_prod!AX23</f>
        <v>145254.21201576089</v>
      </c>
      <c r="AY23" s="448">
        <f>Storage_Reconciled_prod!AY23</f>
        <v>145095.57583005464</v>
      </c>
      <c r="AZ23" s="448">
        <f>Storage_Reconciled_prod!AZ23</f>
        <v>141276.35738548386</v>
      </c>
      <c r="BA23" s="448">
        <f>Storage_Reconciled_prod!BA23</f>
        <v>160178.70600833333</v>
      </c>
      <c r="BB23" s="448">
        <f>Storage_Reconciled_prod!BB23</f>
        <v>147199.65958870968</v>
      </c>
      <c r="BC23" s="448">
        <f>Storage_Reconciled_prod!BC23</f>
        <v>150159.31820380435</v>
      </c>
      <c r="BD23" s="448">
        <f>Storage_Reconciled_prod!BD23</f>
        <v>148174.03529272723</v>
      </c>
      <c r="BE23" s="448">
        <f>Storage_Reconciled_prod!BE23</f>
        <v>150429.41066725354</v>
      </c>
      <c r="BF23" s="448">
        <f>Storage_Reconciled_prod!BF23</f>
        <v>145290.15342400171</v>
      </c>
      <c r="BG23" s="448">
        <f>Storage_Reconciled_prod!BG23</f>
        <v>142301.06733373672</v>
      </c>
      <c r="BH23" s="448">
        <f>Storage_Reconciled_prod!BH23</f>
        <v>146030.7679322527</v>
      </c>
      <c r="BI23" s="448">
        <f>Storage_Reconciled_prod!BI23</f>
        <v>147645.55840932261</v>
      </c>
      <c r="BJ23" s="448">
        <f>Storage_Reconciled_prod!BJ23</f>
        <v>0</v>
      </c>
      <c r="BK23" s="448">
        <f>Storage_Reconciled_prod!BK23</f>
        <v>0</v>
      </c>
      <c r="BL23" s="448">
        <f>Storage_Reconciled_prod!BL23</f>
        <v>0</v>
      </c>
      <c r="BM23" s="448">
        <f>Storage_Reconciled_prod!BM23</f>
        <v>0</v>
      </c>
      <c r="BN23" s="448">
        <f>Storage_Reconciled_prod!BN23</f>
        <v>0</v>
      </c>
      <c r="BO23" s="448">
        <f>Storage_Reconciled_prod!BO23</f>
        <v>0</v>
      </c>
      <c r="BP23" s="448">
        <f>Storage_Reconciled_prod!BP23</f>
        <v>0</v>
      </c>
      <c r="BQ23" s="448">
        <f>Storage_Reconciled_prod!BQ23</f>
        <v>0</v>
      </c>
      <c r="BR23" s="448">
        <f>Storage_Reconciled_prod!BR23</f>
        <v>0</v>
      </c>
      <c r="BS23" s="448">
        <f>Storage_Reconciled_prod!BS23</f>
        <v>0</v>
      </c>
      <c r="BT23" s="448">
        <f>Storage_Reconciled_prod!BT23</f>
        <v>0</v>
      </c>
      <c r="BU23" s="448">
        <f>Storage_Reconciled_prod!BU23</f>
        <v>0</v>
      </c>
      <c r="BV23" s="448">
        <f>Storage_Reconciled_prod!BV23</f>
        <v>0</v>
      </c>
      <c r="BW23" s="448">
        <f>Storage_Reconciled_prod!BW23</f>
        <v>0</v>
      </c>
      <c r="BX23" s="448">
        <f>Storage_Reconciled_prod!BX23</f>
        <v>0</v>
      </c>
      <c r="BY23" s="448">
        <f>Storage_Reconciled_prod!BY23</f>
        <v>0</v>
      </c>
      <c r="BZ23" s="448">
        <f>Storage_Reconciled_prod!BZ23</f>
        <v>0</v>
      </c>
      <c r="CA23" s="448">
        <f>Storage_Reconciled_prod!CA23</f>
        <v>0</v>
      </c>
      <c r="CB23" s="448">
        <f>Storage_Reconciled_prod!CB23</f>
        <v>0</v>
      </c>
      <c r="CC23" s="448">
        <f>Storage_Reconciled_prod!CC23</f>
        <v>0</v>
      </c>
      <c r="CD23" s="448">
        <f>Storage_Reconciled_prod!CD23</f>
        <v>0</v>
      </c>
      <c r="CE23" s="448">
        <f>Storage_Reconciled_prod!CE23</f>
        <v>0</v>
      </c>
      <c r="CF23" s="448">
        <f>Storage_Reconciled_prod!CF23</f>
        <v>0</v>
      </c>
      <c r="CG23" s="448">
        <f>Storage_Reconciled_prod!CG23</f>
        <v>0</v>
      </c>
      <c r="CH23" s="448">
        <f>Storage_Reconciled_prod!CH23</f>
        <v>0</v>
      </c>
      <c r="CI23" s="448">
        <f>Storage_Reconciled_prod!CI23</f>
        <v>0</v>
      </c>
      <c r="CJ23" s="448">
        <f>Storage_Reconciled_prod!CJ23</f>
        <v>0</v>
      </c>
      <c r="CK23" s="448">
        <f>Storage_Reconciled_prod!CK23</f>
        <v>0</v>
      </c>
      <c r="CL23" s="448">
        <f>Storage_Reconciled_prod!CL23</f>
        <v>0</v>
      </c>
      <c r="CM23" s="448">
        <f>Storage_Reconciled_prod!CM23</f>
        <v>0</v>
      </c>
      <c r="CN23" s="448">
        <f>Storage_Reconciled_prod!CN23</f>
        <v>0</v>
      </c>
      <c r="CO23" s="448">
        <f>Storage_Reconciled_prod!CO23</f>
        <v>0</v>
      </c>
      <c r="CP23" s="448">
        <f>Storage_Reconciled_prod!CP23</f>
        <v>0</v>
      </c>
      <c r="CQ23" s="448">
        <f>Storage_Reconciled_prod!CQ23</f>
        <v>0</v>
      </c>
      <c r="CR23" s="448">
        <f>Storage_Reconciled_prod!CR23</f>
        <v>0</v>
      </c>
      <c r="CS23" s="448">
        <f>Storage_Reconciled_prod!CS23</f>
        <v>0</v>
      </c>
      <c r="CT23" s="448">
        <f>Storage_Reconciled_prod!CT23</f>
        <v>0</v>
      </c>
      <c r="CU23" s="448">
        <f>Storage_Reconciled_prod!CU23</f>
        <v>0</v>
      </c>
    </row>
    <row r="24" spans="1:99" ht="33" customHeight="1">
      <c r="A24" s="1482"/>
      <c r="B24" s="1482"/>
      <c r="W24" s="480"/>
      <c r="AP24" s="480"/>
      <c r="BI24" s="480"/>
      <c r="CB24" s="480"/>
      <c r="CU24" s="480"/>
    </row>
    <row r="25" spans="1:99">
      <c r="W25" s="480"/>
      <c r="AP25" s="480"/>
      <c r="BI25" s="480"/>
      <c r="CB25" s="480"/>
      <c r="CU25" s="480"/>
    </row>
    <row r="26" spans="1:99">
      <c r="C26">
        <v>1</v>
      </c>
      <c r="E26">
        <v>202204</v>
      </c>
      <c r="F26">
        <v>202205</v>
      </c>
      <c r="G26">
        <v>202206</v>
      </c>
      <c r="H26">
        <v>222331</v>
      </c>
      <c r="I26">
        <v>202207</v>
      </c>
      <c r="J26">
        <v>202208</v>
      </c>
      <c r="K26">
        <v>202209</v>
      </c>
      <c r="L26">
        <v>222332</v>
      </c>
      <c r="M26">
        <v>222361</v>
      </c>
      <c r="N26">
        <v>202210</v>
      </c>
      <c r="O26">
        <v>202211</v>
      </c>
      <c r="P26">
        <v>202212</v>
      </c>
      <c r="Q26">
        <v>222333</v>
      </c>
      <c r="R26">
        <v>222391</v>
      </c>
      <c r="S26">
        <v>202301</v>
      </c>
      <c r="T26">
        <v>202302</v>
      </c>
      <c r="U26">
        <v>202303</v>
      </c>
      <c r="V26">
        <v>222334</v>
      </c>
      <c r="W26" s="480">
        <v>222399</v>
      </c>
      <c r="X26">
        <v>202304</v>
      </c>
      <c r="Y26">
        <v>202305</v>
      </c>
      <c r="Z26">
        <v>202306</v>
      </c>
      <c r="AA26">
        <v>232431</v>
      </c>
      <c r="AB26">
        <v>202307</v>
      </c>
      <c r="AC26">
        <v>202308</v>
      </c>
      <c r="AD26">
        <v>202309</v>
      </c>
      <c r="AE26">
        <v>232432</v>
      </c>
      <c r="AF26">
        <v>232461</v>
      </c>
      <c r="AG26">
        <v>202310</v>
      </c>
      <c r="AH26">
        <v>202311</v>
      </c>
      <c r="AI26">
        <v>202312</v>
      </c>
      <c r="AJ26">
        <v>232433</v>
      </c>
      <c r="AK26">
        <v>232491</v>
      </c>
      <c r="AL26">
        <v>202401</v>
      </c>
      <c r="AM26">
        <v>202402</v>
      </c>
      <c r="AN26">
        <v>202403</v>
      </c>
      <c r="AO26">
        <v>232434</v>
      </c>
      <c r="AP26" s="480">
        <v>232499</v>
      </c>
      <c r="AQ26">
        <v>202404</v>
      </c>
      <c r="AR26">
        <v>202405</v>
      </c>
      <c r="AS26">
        <v>202406</v>
      </c>
      <c r="AT26">
        <v>242531</v>
      </c>
      <c r="AU26">
        <v>202407</v>
      </c>
      <c r="AV26">
        <v>202408</v>
      </c>
      <c r="AW26">
        <v>202409</v>
      </c>
      <c r="AX26">
        <v>242532</v>
      </c>
      <c r="AY26">
        <v>242561</v>
      </c>
      <c r="AZ26">
        <v>202410</v>
      </c>
      <c r="BA26">
        <v>202411</v>
      </c>
      <c r="BB26">
        <v>202412</v>
      </c>
      <c r="BC26">
        <v>242533</v>
      </c>
      <c r="BD26">
        <v>242591</v>
      </c>
      <c r="BE26">
        <v>202501</v>
      </c>
      <c r="BF26">
        <v>202502</v>
      </c>
      <c r="BG26">
        <v>202503</v>
      </c>
      <c r="BH26">
        <v>242534</v>
      </c>
      <c r="BI26" s="480">
        <v>242599</v>
      </c>
      <c r="BJ26">
        <v>202504</v>
      </c>
      <c r="BK26">
        <v>202505</v>
      </c>
      <c r="BL26">
        <v>202506</v>
      </c>
      <c r="BM26">
        <v>252631</v>
      </c>
      <c r="BN26">
        <v>202507</v>
      </c>
      <c r="BO26">
        <v>202508</v>
      </c>
      <c r="BP26">
        <v>202509</v>
      </c>
      <c r="BQ26">
        <v>252632</v>
      </c>
      <c r="BR26">
        <v>252661</v>
      </c>
      <c r="BS26">
        <v>202510</v>
      </c>
      <c r="BT26">
        <v>202511</v>
      </c>
      <c r="BU26">
        <v>202512</v>
      </c>
      <c r="BV26">
        <v>252633</v>
      </c>
      <c r="BW26">
        <v>252691</v>
      </c>
      <c r="BX26">
        <v>202601</v>
      </c>
      <c r="BY26">
        <v>202602</v>
      </c>
      <c r="BZ26">
        <v>202603</v>
      </c>
      <c r="CA26">
        <v>252634</v>
      </c>
      <c r="CB26" s="480">
        <v>252699</v>
      </c>
      <c r="CC26">
        <v>202604</v>
      </c>
      <c r="CD26">
        <v>202605</v>
      </c>
      <c r="CE26">
        <v>202606</v>
      </c>
      <c r="CF26">
        <v>262731</v>
      </c>
      <c r="CG26">
        <v>202607</v>
      </c>
      <c r="CH26">
        <v>202608</v>
      </c>
      <c r="CI26">
        <v>202609</v>
      </c>
      <c r="CJ26">
        <v>262732</v>
      </c>
      <c r="CK26">
        <v>262761</v>
      </c>
      <c r="CL26">
        <v>202610</v>
      </c>
      <c r="CM26">
        <v>202611</v>
      </c>
      <c r="CN26">
        <v>202612</v>
      </c>
      <c r="CO26">
        <v>262733</v>
      </c>
      <c r="CP26">
        <v>262791</v>
      </c>
      <c r="CQ26">
        <v>202701</v>
      </c>
      <c r="CR26">
        <v>202702</v>
      </c>
      <c r="CS26">
        <v>202703</v>
      </c>
      <c r="CT26">
        <v>262734</v>
      </c>
      <c r="CU26" s="480">
        <v>262799</v>
      </c>
    </row>
    <row r="27" spans="1:99">
      <c r="C27">
        <v>2</v>
      </c>
      <c r="E27" t="s">
        <v>308</v>
      </c>
      <c r="F27" t="s">
        <v>309</v>
      </c>
      <c r="G27" t="s">
        <v>829</v>
      </c>
      <c r="H27" t="s">
        <v>392</v>
      </c>
      <c r="I27" t="s">
        <v>830</v>
      </c>
      <c r="J27" t="s">
        <v>312</v>
      </c>
      <c r="K27" t="s">
        <v>313</v>
      </c>
      <c r="L27" t="s">
        <v>393</v>
      </c>
      <c r="M27" t="s">
        <v>622</v>
      </c>
      <c r="N27" t="s">
        <v>314</v>
      </c>
      <c r="O27" t="s">
        <v>315</v>
      </c>
      <c r="P27" t="s">
        <v>316</v>
      </c>
      <c r="Q27" t="s">
        <v>394</v>
      </c>
      <c r="R27" t="s">
        <v>624</v>
      </c>
      <c r="S27" t="s">
        <v>317</v>
      </c>
      <c r="T27" t="s">
        <v>318</v>
      </c>
      <c r="U27" t="s">
        <v>319</v>
      </c>
      <c r="V27" t="s">
        <v>395</v>
      </c>
      <c r="W27" s="480" t="s">
        <v>831</v>
      </c>
      <c r="X27" t="s">
        <v>726</v>
      </c>
      <c r="Y27" t="s">
        <v>727</v>
      </c>
      <c r="Z27" t="s">
        <v>832</v>
      </c>
      <c r="AA27" t="s">
        <v>762</v>
      </c>
      <c r="AB27" t="s">
        <v>833</v>
      </c>
      <c r="AC27" t="s">
        <v>730</v>
      </c>
      <c r="AD27" t="s">
        <v>731</v>
      </c>
      <c r="AE27" t="s">
        <v>765</v>
      </c>
      <c r="AF27" t="s">
        <v>774</v>
      </c>
      <c r="AG27" t="s">
        <v>732</v>
      </c>
      <c r="AH27" t="s">
        <v>733</v>
      </c>
      <c r="AI27" t="s">
        <v>734</v>
      </c>
      <c r="AJ27" t="s">
        <v>768</v>
      </c>
      <c r="AK27" t="s">
        <v>780</v>
      </c>
      <c r="AL27" t="s">
        <v>735</v>
      </c>
      <c r="AM27" t="s">
        <v>736</v>
      </c>
      <c r="AN27" t="s">
        <v>737</v>
      </c>
      <c r="AO27" t="s">
        <v>771</v>
      </c>
      <c r="AP27" s="480" t="s">
        <v>834</v>
      </c>
      <c r="AQ27" t="s">
        <v>738</v>
      </c>
      <c r="AR27" t="s">
        <v>740</v>
      </c>
      <c r="AS27" t="s">
        <v>835</v>
      </c>
      <c r="AT27" t="s">
        <v>763</v>
      </c>
      <c r="AU27" t="s">
        <v>836</v>
      </c>
      <c r="AV27" t="s">
        <v>743</v>
      </c>
      <c r="AW27" t="s">
        <v>744</v>
      </c>
      <c r="AX27" t="s">
        <v>766</v>
      </c>
      <c r="AY27" t="s">
        <v>775</v>
      </c>
      <c r="AZ27" t="s">
        <v>745</v>
      </c>
      <c r="BA27" t="s">
        <v>746</v>
      </c>
      <c r="BB27" t="s">
        <v>747</v>
      </c>
      <c r="BC27" t="s">
        <v>769</v>
      </c>
      <c r="BD27" t="s">
        <v>781</v>
      </c>
      <c r="BE27" t="s">
        <v>748</v>
      </c>
      <c r="BF27" t="s">
        <v>749</v>
      </c>
      <c r="BG27" t="s">
        <v>750</v>
      </c>
      <c r="BH27" t="s">
        <v>772</v>
      </c>
      <c r="BI27" s="480" t="s">
        <v>837</v>
      </c>
      <c r="BJ27" t="s">
        <v>739</v>
      </c>
      <c r="BK27" t="s">
        <v>751</v>
      </c>
      <c r="BL27" t="s">
        <v>838</v>
      </c>
      <c r="BM27" t="s">
        <v>764</v>
      </c>
      <c r="BN27" t="s">
        <v>839</v>
      </c>
      <c r="BO27" t="s">
        <v>754</v>
      </c>
      <c r="BP27" t="s">
        <v>755</v>
      </c>
      <c r="BQ27" t="s">
        <v>767</v>
      </c>
      <c r="BR27" t="s">
        <v>776</v>
      </c>
      <c r="BS27" t="s">
        <v>756</v>
      </c>
      <c r="BT27" t="s">
        <v>757</v>
      </c>
      <c r="BU27" t="s">
        <v>758</v>
      </c>
      <c r="BV27" t="s">
        <v>770</v>
      </c>
      <c r="BW27" t="s">
        <v>782</v>
      </c>
      <c r="BX27" t="s">
        <v>759</v>
      </c>
      <c r="BY27" t="s">
        <v>760</v>
      </c>
      <c r="BZ27" t="s">
        <v>761</v>
      </c>
      <c r="CA27" t="s">
        <v>773</v>
      </c>
      <c r="CB27" s="480" t="s">
        <v>840</v>
      </c>
      <c r="CC27" t="s">
        <v>2268</v>
      </c>
      <c r="CD27" t="s">
        <v>2151</v>
      </c>
      <c r="CE27" t="s">
        <v>2269</v>
      </c>
      <c r="CF27" t="s">
        <v>2260</v>
      </c>
      <c r="CG27" t="s">
        <v>2270</v>
      </c>
      <c r="CH27" t="s">
        <v>2154</v>
      </c>
      <c r="CI27" t="s">
        <v>2155</v>
      </c>
      <c r="CJ27" t="s">
        <v>2261</v>
      </c>
      <c r="CK27" t="s">
        <v>2264</v>
      </c>
      <c r="CL27" t="s">
        <v>2156</v>
      </c>
      <c r="CM27" t="s">
        <v>2157</v>
      </c>
      <c r="CN27" t="s">
        <v>2158</v>
      </c>
      <c r="CO27" t="s">
        <v>2262</v>
      </c>
      <c r="CP27" t="s">
        <v>2266</v>
      </c>
      <c r="CQ27" t="s">
        <v>2159</v>
      </c>
      <c r="CR27" t="s">
        <v>2160</v>
      </c>
      <c r="CS27" t="s">
        <v>2149</v>
      </c>
      <c r="CT27" t="s">
        <v>2263</v>
      </c>
      <c r="CU27" s="480" t="s">
        <v>2271</v>
      </c>
    </row>
    <row r="28" spans="1:99">
      <c r="C28">
        <v>3</v>
      </c>
      <c r="D28" s="209" t="s">
        <v>60</v>
      </c>
      <c r="E28" s="267">
        <f>Storage_Reconciled_prod!E28</f>
        <v>9.4501381333333327</v>
      </c>
      <c r="F28" s="267">
        <f>Storage_Reconciled_prod!F28</f>
        <v>7.0341068709677419</v>
      </c>
      <c r="G28" s="267">
        <f>Storage_Reconciled_prod!G28</f>
        <v>5.9169211333333331</v>
      </c>
      <c r="H28" s="267">
        <f>Storage_Reconciled_prod!H28</f>
        <v>7.4622977032967039</v>
      </c>
      <c r="I28" s="267">
        <f>Storage_Reconciled_prod!I28</f>
        <v>5.5662535161290316</v>
      </c>
      <c r="J28" s="267">
        <f>Storage_Reconciled_prod!J28</f>
        <v>4.3600967741935488</v>
      </c>
      <c r="K28" s="267">
        <f>Storage_Reconciled_prod!K28</f>
        <v>3.0349430333333336</v>
      </c>
      <c r="L28" s="267">
        <f>Storage_Reconciled_prod!L28</f>
        <v>4.3344038043478266</v>
      </c>
      <c r="M28" s="267">
        <f>Storage_Reconciled_prod!M28</f>
        <v>5.8898045956284157</v>
      </c>
      <c r="N28" s="267">
        <f>Storage_Reconciled_prod!N28</f>
        <v>2</v>
      </c>
      <c r="O28" s="267">
        <f>Storage_Reconciled_prod!O28</f>
        <v>10.786666666666667</v>
      </c>
      <c r="P28" s="267">
        <f>Storage_Reconciled_prod!P28</f>
        <v>12.53225806451613</v>
      </c>
      <c r="Q28" s="267">
        <f>Storage_Reconciled_prod!Q28</f>
        <v>8.4141304347826082</v>
      </c>
      <c r="R28" s="267">
        <f>Storage_Reconciled_prod!R28</f>
        <v>6.7343063309090905</v>
      </c>
      <c r="S28" s="267">
        <f>Storage_Reconciled_prod!S28</f>
        <v>13.783870967741937</v>
      </c>
      <c r="T28" s="267">
        <f>Storage_Reconciled_prod!T28</f>
        <v>13.828571428571427</v>
      </c>
      <c r="U28" s="267">
        <f>Storage_Reconciled_prod!U28</f>
        <v>12.412903225806453</v>
      </c>
      <c r="V28" s="267">
        <f>Storage_Reconciled_prod!V28</f>
        <v>13.325555555555555</v>
      </c>
      <c r="W28" s="267">
        <f>Storage_Reconciled_prod!W28</f>
        <v>8.3595458657534252</v>
      </c>
      <c r="X28" s="267">
        <f>Storage_Reconciled_prod!X28</f>
        <v>9.6999999999999993</v>
      </c>
      <c r="Y28" s="267">
        <f>Storage_Reconciled_prod!Y28</f>
        <v>6.96</v>
      </c>
      <c r="Z28" s="267">
        <f>Storage_Reconciled_prod!Z28</f>
        <v>5.67</v>
      </c>
      <c r="AA28" s="267">
        <f>Storage_Reconciled_prod!AA28</f>
        <v>7.4380219780219781</v>
      </c>
      <c r="AB28" s="267">
        <f>Storage_Reconciled_prod!AB28</f>
        <v>7.0161300000000004</v>
      </c>
      <c r="AC28" s="267">
        <f>Storage_Reconciled_prod!AC28</f>
        <v>6.5377400000000003</v>
      </c>
      <c r="AD28" s="267">
        <f>Storage_Reconciled_prod!AD28</f>
        <v>7.4123299999999999</v>
      </c>
      <c r="AE28" s="267">
        <f>Storage_Reconciled_prod!AE28</f>
        <v>6.9841290217391307</v>
      </c>
      <c r="AF28" s="267">
        <f>Storage_Reconciled_prod!AF28</f>
        <v>7.2098353551912577</v>
      </c>
      <c r="AG28" s="267">
        <f>Storage_Reconciled_prod!AG28</f>
        <v>9.0096799999999995</v>
      </c>
      <c r="AH28" s="267">
        <f>Storage_Reconciled_prod!AH28</f>
        <v>11.5657</v>
      </c>
      <c r="AI28" s="267">
        <f>Storage_Reconciled_prod!AI28</f>
        <v>13.070969999999999</v>
      </c>
      <c r="AJ28" s="267">
        <f>Storage_Reconciled_prod!AJ28</f>
        <v>11.211642934782606</v>
      </c>
      <c r="AK28" s="267">
        <f>Storage_Reconciled_prod!AK28</f>
        <v>8.5486218909090912</v>
      </c>
      <c r="AL28" s="267">
        <f>Storage_Reconciled_prod!AL28</f>
        <v>13.49555</v>
      </c>
      <c r="AM28" s="267">
        <f>Storage_Reconciled_prod!AM28</f>
        <v>12.58445</v>
      </c>
      <c r="AN28" s="267">
        <f>Storage_Reconciled_prod!AN28</f>
        <v>11.90968</v>
      </c>
      <c r="AO28" s="267">
        <f>Storage_Reconciled_prod!AO28</f>
        <v>12.664958021978022</v>
      </c>
      <c r="AP28" s="267">
        <f>Storage_Reconciled_prod!AP28</f>
        <v>9.5720825136612024</v>
      </c>
      <c r="AQ28" s="267">
        <f>Storage_Reconciled_prod!AQ28</f>
        <v>9.956666666666667</v>
      </c>
      <c r="AR28" s="267">
        <f>Storage_Reconciled_prod!AR28</f>
        <v>7.5903225806451617</v>
      </c>
      <c r="AS28" s="267">
        <f>Storage_Reconciled_prod!AS28</f>
        <v>6.77</v>
      </c>
      <c r="AT28" s="267">
        <f>Storage_Reconciled_prod!AT28</f>
        <v>8.1</v>
      </c>
      <c r="AU28" s="267">
        <f>Storage_Reconciled_prod!AU28</f>
        <v>6.9709677419354836</v>
      </c>
      <c r="AV28" s="267">
        <f>Storage_Reconciled_prod!AV28</f>
        <v>6.2483870967741932</v>
      </c>
      <c r="AW28" s="267">
        <f>Storage_Reconciled_prod!AW28</f>
        <v>7.4123333333333337</v>
      </c>
      <c r="AX28" s="267">
        <f>Storage_Reconciled_prod!AX28</f>
        <v>6.8714130434782605</v>
      </c>
      <c r="AY28" s="267">
        <f>Storage_Reconciled_prod!AY28</f>
        <v>7.482349726775956</v>
      </c>
      <c r="AZ28" s="267">
        <f>Storage_Reconciled_prod!AZ28</f>
        <v>10.610645161290323</v>
      </c>
      <c r="BA28" s="267">
        <f>Storage_Reconciled_prod!BA28</f>
        <v>11.148</v>
      </c>
      <c r="BB28" s="267">
        <f>Storage_Reconciled_prod!BB28</f>
        <v>13.070967741935483</v>
      </c>
      <c r="BC28" s="267">
        <f>Storage_Reconciled_prod!BC28</f>
        <v>11.614891304347825</v>
      </c>
      <c r="BD28" s="267">
        <f>Storage_Reconciled_prod!BD28</f>
        <v>8.8648727272727275</v>
      </c>
      <c r="BE28" s="267">
        <f>Storage_Reconciled_prod!BE28</f>
        <v>11.661290000000001</v>
      </c>
      <c r="BF28" s="267">
        <f>Storage_Reconciled_prod!BF28</f>
        <v>12.37857</v>
      </c>
      <c r="BG28" s="267">
        <f>Storage_Reconciled_prod!BG28</f>
        <v>11.909677419354839</v>
      </c>
      <c r="BH28" s="267">
        <f>Storage_Reconciled_prod!BH28</f>
        <v>11.969999444444445</v>
      </c>
      <c r="BI28" s="267">
        <f>Storage_Reconciled_prod!BI28</f>
        <v>9.6305204109589049</v>
      </c>
      <c r="BJ28" s="267">
        <f>Storage_Reconciled_prod!BJ28</f>
        <v>9.1</v>
      </c>
      <c r="BK28" s="267">
        <f>Storage_Reconciled_prod!BK28</f>
        <v>8.2548387096774203</v>
      </c>
      <c r="BL28" s="267">
        <f>Storage_Reconciled_prod!BL28</f>
        <v>7.9314999999999998</v>
      </c>
      <c r="BM28" s="267">
        <f>Storage_Reconciled_prod!BM28</f>
        <v>8.4268681318681313</v>
      </c>
      <c r="BN28" s="267">
        <f>Storage_Reconciled_prod!BN28</f>
        <v>4.7340322580645156</v>
      </c>
      <c r="BO28" s="267">
        <f>Storage_Reconciled_prod!BO28</f>
        <v>1.1774193548387097</v>
      </c>
      <c r="BP28" s="267">
        <f>Storage_Reconciled_prod!BP28</f>
        <v>7.4434333333333331</v>
      </c>
      <c r="BQ28" s="267">
        <f>Storage_Reconciled_prod!BQ28</f>
        <v>4.4191086956521737</v>
      </c>
      <c r="BR28" s="267">
        <f>Storage_Reconciled_prod!BR28</f>
        <v>6.4120382513661207</v>
      </c>
      <c r="BS28" s="267">
        <f>Storage_Reconciled_prod!BS28</f>
        <v>7.6773225806451615</v>
      </c>
      <c r="BT28" s="267">
        <f>Storage_Reconciled_prod!BT28</f>
        <v>10.15</v>
      </c>
      <c r="BU28" s="267">
        <f>Storage_Reconciled_prod!BU28</f>
        <v>8.3706129032258065</v>
      </c>
      <c r="BV28" s="267">
        <f>Storage_Reconciled_prod!BV28</f>
        <v>8.717239130434784</v>
      </c>
      <c r="BW28" s="267">
        <f>Storage_Reconciled_prod!BW28</f>
        <v>7.1832327272727277</v>
      </c>
      <c r="BX28" s="267">
        <f>Storage_Reconciled_prod!BX28</f>
        <v>12.161129032258065</v>
      </c>
      <c r="BY28" s="267">
        <f>Storage_Reconciled_prod!BY28</f>
        <v>12.244392857142858</v>
      </c>
      <c r="BZ28" s="267">
        <f>Storage_Reconciled_prod!BZ28</f>
        <v>0</v>
      </c>
      <c r="CA28" s="267">
        <f>Storage_Reconciled_prod!CA28</f>
        <v>7.9981999999999998</v>
      </c>
      <c r="CB28" s="267">
        <f>Storage_Reconciled_prod!CB28</f>
        <v>7.3841835616438356</v>
      </c>
      <c r="CC28" s="267">
        <f>Storage_Reconciled_prod!CC28</f>
        <v>9.7017673333333327</v>
      </c>
      <c r="CD28" s="267">
        <f>Storage_Reconciled_prod!CD28</f>
        <v>8.3419374193548386</v>
      </c>
      <c r="CE28" s="267">
        <f>Storage_Reconciled_prod!CE28</f>
        <v>7.6709000000000005</v>
      </c>
      <c r="CF28" s="267">
        <f>Storage_Reconciled_prod!CF28</f>
        <v>8.5690118681318683</v>
      </c>
      <c r="CG28" s="267">
        <f>Storage_Reconciled_prod!CG28</f>
        <v>7.3924512903225805</v>
      </c>
      <c r="CH28" s="267">
        <f>Storage_Reconciled_prod!CH28</f>
        <v>0</v>
      </c>
      <c r="CI28" s="267">
        <f>Storage_Reconciled_prod!CI28</f>
        <v>0</v>
      </c>
      <c r="CJ28" s="267">
        <f>Storage_Reconciled_prod!CJ28</f>
        <v>2.4909346739130434</v>
      </c>
      <c r="CK28" s="267">
        <f>Storage_Reconciled_prod!CK28</f>
        <v>5.5133665027322403</v>
      </c>
      <c r="CL28" s="267">
        <f>Storage_Reconciled_prod!CL28</f>
        <v>0</v>
      </c>
      <c r="CM28" s="267">
        <f>Storage_Reconciled_prod!CM28</f>
        <v>0</v>
      </c>
      <c r="CN28" s="267">
        <f>Storage_Reconciled_prod!CN28</f>
        <v>0</v>
      </c>
      <c r="CO28" s="267">
        <f>Storage_Reconciled_prod!CO28</f>
        <v>0</v>
      </c>
      <c r="CP28" s="267">
        <f>Storage_Reconciled_prod!CP28</f>
        <v>3.6688947999999999</v>
      </c>
      <c r="CQ28" s="267">
        <f>Storage_Reconciled_prod!CQ28</f>
        <v>0</v>
      </c>
      <c r="CR28" s="267">
        <f>Storage_Reconciled_prod!CR28</f>
        <v>0</v>
      </c>
      <c r="CS28" s="267">
        <f>Storage_Reconciled_prod!CS28</f>
        <v>0</v>
      </c>
      <c r="CT28" s="267">
        <f>Storage_Reconciled_prod!CT28</f>
        <v>0</v>
      </c>
      <c r="CU28" s="267">
        <f>Storage_Reconciled_prod!CU28</f>
        <v>2.764235808219178</v>
      </c>
    </row>
    <row r="29" spans="1:99">
      <c r="C29">
        <v>4</v>
      </c>
      <c r="D29" s="209" t="s">
        <v>61</v>
      </c>
      <c r="E29" s="267">
        <f>Storage_Reconciled_prod!E29</f>
        <v>15.935353833333334</v>
      </c>
      <c r="F29" s="267">
        <f>Storage_Reconciled_prod!F29</f>
        <v>15.684285903225806</v>
      </c>
      <c r="G29" s="267">
        <f>Storage_Reconciled_prod!G29</f>
        <v>15.547146266666667</v>
      </c>
      <c r="H29" s="267">
        <f>Storage_Reconciled_prod!H29</f>
        <v>15.721844681318684</v>
      </c>
      <c r="I29" s="267">
        <f>Storage_Reconciled_prod!I29</f>
        <v>15.194155935483872</v>
      </c>
      <c r="J29" s="267">
        <f>Storage_Reconciled_prod!J29</f>
        <v>14.471271354838711</v>
      </c>
      <c r="K29" s="267">
        <f>Storage_Reconciled_prod!K29</f>
        <v>13.819758833333333</v>
      </c>
      <c r="L29" s="267">
        <f>Storage_Reconciled_prod!L29</f>
        <v>14.502402293478262</v>
      </c>
      <c r="M29" s="267">
        <f>Storage_Reconciled_prod!M29</f>
        <v>15.108791677595629</v>
      </c>
      <c r="N29" s="267">
        <f>Storage_Reconciled_prod!N29</f>
        <v>13.172510612903226</v>
      </c>
      <c r="O29" s="267">
        <f>Storage_Reconciled_prod!O29</f>
        <v>13.077394633333334</v>
      </c>
      <c r="P29" s="267">
        <f>Storage_Reconciled_prod!P29</f>
        <v>13.11846458064516</v>
      </c>
      <c r="Q29" s="267">
        <f>Storage_Reconciled_prod!Q29</f>
        <v>13.123283369565216</v>
      </c>
      <c r="R29" s="267">
        <f>Storage_Reconciled_prod!R29</f>
        <v>14.44454889818182</v>
      </c>
      <c r="S29" s="267">
        <f>Storage_Reconciled_prod!S29</f>
        <v>13.478897064516127</v>
      </c>
      <c r="T29" s="267">
        <f>Storage_Reconciled_prod!T29</f>
        <v>13.211785392857143</v>
      </c>
      <c r="U29" s="267">
        <f>Storage_Reconciled_prod!U29</f>
        <v>12.192376612903226</v>
      </c>
      <c r="V29" s="267">
        <f>Storage_Reconciled_prod!V29</f>
        <v>12.952660833333335</v>
      </c>
      <c r="W29" s="267">
        <f>Storage_Reconciled_prod!W29</f>
        <v>14.076686087671234</v>
      </c>
      <c r="X29" s="267">
        <f>Storage_Reconciled_prod!X29</f>
        <v>13.057781666666667</v>
      </c>
      <c r="Y29" s="267">
        <f>Storage_Reconciled_prod!Y29</f>
        <v>13.159748064516128</v>
      </c>
      <c r="Z29" s="267">
        <f>Storage_Reconciled_prod!Z29</f>
        <v>12.526314000000001</v>
      </c>
      <c r="AA29" s="267">
        <f>Storage_Reconciled_prod!AA29</f>
        <v>12.917308351648352</v>
      </c>
      <c r="AB29" s="267">
        <f>Storage_Reconciled_prod!AB29</f>
        <v>10.216504838709678</v>
      </c>
      <c r="AC29" s="267">
        <f>Storage_Reconciled_prod!AC29</f>
        <v>12.318990645161291</v>
      </c>
      <c r="AD29" s="267">
        <f>Storage_Reconciled_prod!AD29</f>
        <v>12.267849333333334</v>
      </c>
      <c r="AE29" s="267">
        <f>Storage_Reconciled_prod!AE29</f>
        <v>11.593867826086955</v>
      </c>
      <c r="AF29" s="267">
        <f>Storage_Reconciled_prod!AF29</f>
        <v>12.251972131147539</v>
      </c>
      <c r="AG29" s="267">
        <f>Storage_Reconciled_prod!AG29</f>
        <v>12.21523</v>
      </c>
      <c r="AH29" s="267">
        <f>Storage_Reconciled_prod!AH29</f>
        <v>12.366689333333333</v>
      </c>
      <c r="AI29" s="267">
        <f>Storage_Reconciled_prod!AI29</f>
        <v>12.069411612903227</v>
      </c>
      <c r="AJ29" s="267">
        <f>Storage_Reconciled_prod!AJ29</f>
        <v>12.21548445652174</v>
      </c>
      <c r="AK29" s="267">
        <f>Storage_Reconciled_prod!AK29</f>
        <v>12.239765345454543</v>
      </c>
      <c r="AL29" s="267">
        <f>Storage_Reconciled_prod!AL29</f>
        <v>11.786587741935485</v>
      </c>
      <c r="AM29" s="267">
        <f>Storage_Reconciled_prod!AM29</f>
        <v>11.658192068965517</v>
      </c>
      <c r="AN29" s="267">
        <f>Storage_Reconciled_prod!AN29</f>
        <v>9.8975164516129031</v>
      </c>
      <c r="AO29" s="267">
        <f>Storage_Reconciled_prod!AO29</f>
        <v>11.102140659340661</v>
      </c>
      <c r="AP29" s="267">
        <f>Storage_Reconciled_prod!AP29</f>
        <v>11.956913306010929</v>
      </c>
      <c r="AQ29" s="267">
        <f>Storage_Reconciled_prod!AQ29</f>
        <v>10.327966666666667</v>
      </c>
      <c r="AR29" s="267">
        <f>Storage_Reconciled_prod!AR29</f>
        <v>10.430935483870966</v>
      </c>
      <c r="AS29" s="267">
        <f>Storage_Reconciled_prod!AS29</f>
        <v>10.627333333333333</v>
      </c>
      <c r="AT29" s="267">
        <f>Storage_Reconciled_prod!AT29</f>
        <v>10.461736263736263</v>
      </c>
      <c r="AU29" s="267">
        <f>Storage_Reconciled_prod!AU29</f>
        <v>9.0476129032258061</v>
      </c>
      <c r="AV29" s="267">
        <f>Storage_Reconciled_prod!AV29</f>
        <v>10.943612903225807</v>
      </c>
      <c r="AW29" s="267">
        <f>Storage_Reconciled_prod!AW29</f>
        <v>11.256599999999999</v>
      </c>
      <c r="AX29" s="267">
        <f>Storage_Reconciled_prod!AX29</f>
        <v>10.406804347826087</v>
      </c>
      <c r="AY29" s="267">
        <f>Storage_Reconciled_prod!AY29</f>
        <v>10.434120218579235</v>
      </c>
      <c r="AZ29" s="267">
        <f>Storage_Reconciled_prod!AZ29</f>
        <v>11.14516129032258</v>
      </c>
      <c r="BA29" s="267">
        <f>Storage_Reconciled_prod!BA29</f>
        <v>11.201533333333334</v>
      </c>
      <c r="BB29" s="267">
        <f>Storage_Reconciled_prod!BB29</f>
        <v>11.742000000000001</v>
      </c>
      <c r="BC29" s="267">
        <f>Storage_Reconciled_prod!BC29</f>
        <v>11.364652173913043</v>
      </c>
      <c r="BD29" s="267">
        <f>Storage_Reconciled_prod!BD29</f>
        <v>10.745425454545455</v>
      </c>
      <c r="BE29" s="267">
        <f>Storage_Reconciled_prod!BE29</f>
        <v>11.205782258064517</v>
      </c>
      <c r="BF29" s="267">
        <f>Storage_Reconciled_prod!BF29</f>
        <v>11.413071428571428</v>
      </c>
      <c r="BG29" s="267">
        <f>Storage_Reconciled_prod!BG29</f>
        <v>11.202774193548388</v>
      </c>
      <c r="BH29" s="267">
        <f>Storage_Reconciled_prod!BH29</f>
        <v>11.269236111111111</v>
      </c>
      <c r="BI29" s="267">
        <f>Storage_Reconciled_prod!BI29</f>
        <v>10.874584246575342</v>
      </c>
      <c r="BJ29" s="267">
        <f>Storage_Reconciled_prod!BJ29</f>
        <v>10.124733333333333</v>
      </c>
      <c r="BK29" s="267">
        <f>Storage_Reconciled_prod!BK29</f>
        <v>10.64083870967742</v>
      </c>
      <c r="BL29" s="267">
        <f>Storage_Reconciled_prod!BL29</f>
        <v>10.501866666666666</v>
      </c>
      <c r="BM29" s="267">
        <f>Storage_Reconciled_prod!BM29</f>
        <v>10.424879120879121</v>
      </c>
      <c r="BN29" s="267">
        <f>Storage_Reconciled_prod!BN29</f>
        <v>10.837225806451613</v>
      </c>
      <c r="BO29" s="267">
        <f>Storage_Reconciled_prod!BO29</f>
        <v>9.1157419354838716</v>
      </c>
      <c r="BP29" s="267">
        <f>Storage_Reconciled_prod!BP29</f>
        <v>10.6249</v>
      </c>
      <c r="BQ29" s="267">
        <f>Storage_Reconciled_prod!BQ29</f>
        <v>10.187923913043479</v>
      </c>
      <c r="BR29" s="267">
        <f>Storage_Reconciled_prod!BR29</f>
        <v>10.305754098360655</v>
      </c>
      <c r="BS29" s="267">
        <f>Storage_Reconciled_prod!BS29</f>
        <v>10.405806451612902</v>
      </c>
      <c r="BT29" s="267">
        <f>Storage_Reconciled_prod!BT29</f>
        <v>10.407466666666666</v>
      </c>
      <c r="BU29" s="267">
        <f>Storage_Reconciled_prod!BU29</f>
        <v>9.9532580645161293</v>
      </c>
      <c r="BV29" s="267">
        <f>Storage_Reconciled_prod!BV29</f>
        <v>10.253858695652173</v>
      </c>
      <c r="BW29" s="267">
        <f>Storage_Reconciled_prod!BW29</f>
        <v>10.288392727272727</v>
      </c>
      <c r="BX29" s="267">
        <f>Storage_Reconciled_prod!BX29</f>
        <v>10.026903225806452</v>
      </c>
      <c r="BY29" s="267">
        <f>Storage_Reconciled_prod!BY29</f>
        <v>9.928571428571429E-3</v>
      </c>
      <c r="BZ29" s="267">
        <f>Storage_Reconciled_prod!BZ29</f>
        <v>0</v>
      </c>
      <c r="CA29" s="267">
        <f>Storage_Reconciled_prod!CA29</f>
        <v>3.4568000000000003</v>
      </c>
      <c r="CB29" s="267">
        <f>Storage_Reconciled_prod!CB29</f>
        <v>8.6038904109589041</v>
      </c>
      <c r="CC29" s="267">
        <f>Storage_Reconciled_prod!CC29</f>
        <v>9.9731976666666657</v>
      </c>
      <c r="CD29" s="267">
        <f>Storage_Reconciled_prod!CD29</f>
        <v>9.9403735483870967</v>
      </c>
      <c r="CE29" s="267">
        <f>Storage_Reconciled_prod!CE29</f>
        <v>9.7900666666666663</v>
      </c>
      <c r="CF29" s="267">
        <f>Storage_Reconciled_prod!CF29</f>
        <v>9.9016429670329682</v>
      </c>
      <c r="CG29" s="267">
        <f>Storage_Reconciled_prod!CG29</f>
        <v>8.8381954838709671</v>
      </c>
      <c r="CH29" s="267">
        <f>Storage_Reconciled_prod!CH29</f>
        <v>0</v>
      </c>
      <c r="CI29" s="267">
        <f>Storage_Reconciled_prod!CI29</f>
        <v>0</v>
      </c>
      <c r="CJ29" s="267">
        <f>Storage_Reconciled_prod!CJ29</f>
        <v>2.978087608695652</v>
      </c>
      <c r="CK29" s="267">
        <f>Storage_Reconciled_prod!CK29</f>
        <v>6.4209484699453556</v>
      </c>
      <c r="CL29" s="267">
        <f>Storage_Reconciled_prod!CL29</f>
        <v>0</v>
      </c>
      <c r="CM29" s="267">
        <f>Storage_Reconciled_prod!CM29</f>
        <v>0</v>
      </c>
      <c r="CN29" s="267">
        <f>Storage_Reconciled_prod!CN29</f>
        <v>0</v>
      </c>
      <c r="CO29" s="267">
        <f>Storage_Reconciled_prod!CO29</f>
        <v>0</v>
      </c>
      <c r="CP29" s="267">
        <f>Storage_Reconciled_prod!CP29</f>
        <v>4.2728493454545458</v>
      </c>
      <c r="CQ29" s="267">
        <f>Storage_Reconciled_prod!CQ29</f>
        <v>0</v>
      </c>
      <c r="CR29" s="267">
        <f>Storage_Reconciled_prod!CR29</f>
        <v>0</v>
      </c>
      <c r="CS29" s="267">
        <f>Storage_Reconciled_prod!CS29</f>
        <v>0</v>
      </c>
      <c r="CT29" s="267">
        <f>Storage_Reconciled_prod!CT29</f>
        <v>0</v>
      </c>
      <c r="CU29" s="267">
        <f>Storage_Reconciled_prod!CU29</f>
        <v>3.2192700547945208</v>
      </c>
    </row>
    <row r="30" spans="1:99">
      <c r="C30">
        <v>5</v>
      </c>
      <c r="D30" s="209" t="s">
        <v>62</v>
      </c>
      <c r="E30" s="267">
        <f>Storage_Reconciled_prod!E30</f>
        <v>0.31855146666666667</v>
      </c>
      <c r="F30" s="267">
        <f>Storage_Reconciled_prod!F30</f>
        <v>0.27391661290322589</v>
      </c>
      <c r="G30" s="267">
        <f>Storage_Reconciled_prod!G30</f>
        <v>0.32392970000000004</v>
      </c>
      <c r="H30" s="267">
        <f>Storage_Reconciled_prod!H30</f>
        <v>0.30511923076923081</v>
      </c>
      <c r="I30" s="267">
        <f>Storage_Reconciled_prod!I30</f>
        <v>0.33120032258064519</v>
      </c>
      <c r="J30" s="267">
        <f>Storage_Reconciled_prod!J30</f>
        <v>0.32282032258064519</v>
      </c>
      <c r="K30" s="267">
        <f>Storage_Reconciled_prod!K30</f>
        <v>0.3129887666666667</v>
      </c>
      <c r="L30" s="267">
        <f>Storage_Reconciled_prod!L30</f>
        <v>0.32243807608695657</v>
      </c>
      <c r="M30" s="267">
        <f>Storage_Reconciled_prod!M30</f>
        <v>0.31382597267759565</v>
      </c>
      <c r="N30" s="267">
        <f>Storage_Reconciled_prod!N30</f>
        <v>0.33617129032258064</v>
      </c>
      <c r="O30" s="267">
        <f>Storage_Reconciled_prod!O30</f>
        <v>0.33497083333333327</v>
      </c>
      <c r="P30" s="267">
        <f>Storage_Reconciled_prod!P30</f>
        <v>0.33551345161290314</v>
      </c>
      <c r="Q30" s="267">
        <f>Storage_Reconciled_prod!Q30</f>
        <v>0.33555817391304343</v>
      </c>
      <c r="R30" s="267">
        <f>Storage_Reconciled_prod!R30</f>
        <v>0.32109638181818179</v>
      </c>
      <c r="S30" s="267">
        <f>Storage_Reconciled_prod!S30</f>
        <v>0.33088674193548384</v>
      </c>
      <c r="T30" s="267">
        <f>Storage_Reconciled_prod!T30</f>
        <v>0.32837310714285717</v>
      </c>
      <c r="U30" s="267">
        <f>Storage_Reconciled_prod!U30</f>
        <v>0.32099061290322584</v>
      </c>
      <c r="V30" s="267">
        <f>Storage_Reconciled_prod!V30</f>
        <v>0.32669605555555553</v>
      </c>
      <c r="W30" s="267">
        <f>Storage_Reconciled_prod!W30</f>
        <v>0.32247712328767125</v>
      </c>
      <c r="X30" s="267">
        <f>Storage_Reconciled_prod!X30</f>
        <v>0.32360800000000001</v>
      </c>
      <c r="Y30" s="267">
        <f>Storage_Reconciled_prod!Y30</f>
        <v>0.29483645161290323</v>
      </c>
      <c r="Z30" s="267">
        <f>Storage_Reconciled_prod!Z30</f>
        <v>0.32172699999999999</v>
      </c>
      <c r="AA30" s="267">
        <f>Storage_Reconciled_prod!AA30</f>
        <v>0.31318659340659344</v>
      </c>
      <c r="AB30" s="267">
        <f>Storage_Reconciled_prod!AB30</f>
        <v>0.31105903225806453</v>
      </c>
      <c r="AC30" s="267">
        <f>Storage_Reconciled_prod!AC30</f>
        <v>0.31587548387096775</v>
      </c>
      <c r="AD30" s="267">
        <f>Storage_Reconciled_prod!AD30</f>
        <v>0.27829800000000005</v>
      </c>
      <c r="AE30" s="267">
        <f>Storage_Reconciled_prod!AE30</f>
        <v>0.3019990217391304</v>
      </c>
      <c r="AF30" s="267">
        <f>Storage_Reconciled_prod!AF30</f>
        <v>0.30756224043715846</v>
      </c>
      <c r="AG30" s="267">
        <f>Storage_Reconciled_prod!AG30</f>
        <v>0.31993516129032257</v>
      </c>
      <c r="AH30" s="267">
        <f>Storage_Reconciled_prod!AH30</f>
        <v>0.31806999999999996</v>
      </c>
      <c r="AI30" s="267">
        <f>Storage_Reconciled_prod!AI30</f>
        <v>0.31541000000000002</v>
      </c>
      <c r="AJ30" s="267">
        <f>Storage_Reconciled_prod!AJ30</f>
        <v>0.3178021739130435</v>
      </c>
      <c r="AK30" s="267">
        <f>Storage_Reconciled_prod!AK30</f>
        <v>0.31098796363636366</v>
      </c>
      <c r="AL30" s="267">
        <f>Storage_Reconciled_prod!AL30</f>
        <v>0.31028</v>
      </c>
      <c r="AM30" s="267">
        <f>Storage_Reconciled_prod!AM30</f>
        <v>0.31208796551724133</v>
      </c>
      <c r="AN30" s="267">
        <f>Storage_Reconciled_prod!AN30</f>
        <v>0.30559564516129034</v>
      </c>
      <c r="AO30" s="267">
        <f>Storage_Reconciled_prod!AO30</f>
        <v>0.30926039560439555</v>
      </c>
      <c r="AP30" s="267">
        <f>Storage_Reconciled_prod!AP30</f>
        <v>0.31055843169398911</v>
      </c>
      <c r="AQ30" s="267">
        <f>Storage_Reconciled_prod!AQ30</f>
        <v>0.30636666666666668</v>
      </c>
      <c r="AR30" s="267">
        <f>Storage_Reconciled_prod!AR30</f>
        <v>0.22177419354838709</v>
      </c>
      <c r="AS30" s="267">
        <f>Storage_Reconciled_prod!AS30</f>
        <v>8.0166666666666664E-2</v>
      </c>
      <c r="AT30" s="267">
        <f>Storage_Reconciled_prod!AT30</f>
        <v>0.20297802197802201</v>
      </c>
      <c r="AU30" s="267">
        <f>Storage_Reconciled_prod!AU30</f>
        <v>0.28200000000000003</v>
      </c>
      <c r="AV30" s="267">
        <f>Storage_Reconciled_prod!AV30</f>
        <v>0.2860967741935484</v>
      </c>
      <c r="AW30" s="267">
        <f>Storage_Reconciled_prod!AW30</f>
        <v>0.22140000000000001</v>
      </c>
      <c r="AX30" s="267">
        <f>Storage_Reconciled_prod!AX30</f>
        <v>0.26361956521739133</v>
      </c>
      <c r="AY30" s="267">
        <f>Storage_Reconciled_prod!AY30</f>
        <v>0.23346448087431695</v>
      </c>
      <c r="AZ30" s="267">
        <f>Storage_Reconciled_prod!AZ30</f>
        <v>0.2734838709677419</v>
      </c>
      <c r="BA30" s="267">
        <f>Storage_Reconciled_prod!BA30</f>
        <v>0.27033333333333331</v>
      </c>
      <c r="BB30" s="267">
        <f>Storage_Reconciled_prod!BB30</f>
        <v>0.28064516129032258</v>
      </c>
      <c r="BC30" s="267">
        <f>Storage_Reconciled_prod!BC30</f>
        <v>0.27486956521739131</v>
      </c>
      <c r="BD30" s="267">
        <f>Storage_Reconciled_prod!BD30</f>
        <v>0.24731636363636364</v>
      </c>
      <c r="BE30" s="267">
        <f>Storage_Reconciled_prod!BE30</f>
        <v>0.28961032258064512</v>
      </c>
      <c r="BF30" s="267">
        <f>Storage_Reconciled_prod!BF30</f>
        <v>0.28646428571428573</v>
      </c>
      <c r="BG30" s="267">
        <f>Storage_Reconciled_prod!BG30</f>
        <v>0.25277419354838709</v>
      </c>
      <c r="BH30" s="267">
        <f>Storage_Reconciled_prod!BH30</f>
        <v>0.2759435555555555</v>
      </c>
      <c r="BI30" s="267">
        <f>Storage_Reconciled_prod!BI30</f>
        <v>0.2543751232876712</v>
      </c>
      <c r="BJ30" s="267">
        <f>Storage_Reconciled_prod!BJ30</f>
        <v>0.28206666666666663</v>
      </c>
      <c r="BK30" s="267">
        <f>Storage_Reconciled_prod!BK30</f>
        <v>0.25932258064516128</v>
      </c>
      <c r="BL30" s="267">
        <f>Storage_Reconciled_prod!BL30</f>
        <v>0.2641</v>
      </c>
      <c r="BM30" s="267">
        <f>Storage_Reconciled_prod!BM30</f>
        <v>0.26839560439560439</v>
      </c>
      <c r="BN30" s="267">
        <f>Storage_Reconciled_prod!BN30</f>
        <v>0.25987096774193547</v>
      </c>
      <c r="BO30" s="267">
        <f>Storage_Reconciled_prod!BO30</f>
        <v>0.27529032258064517</v>
      </c>
      <c r="BP30" s="267">
        <f>Storage_Reconciled_prod!BP30</f>
        <v>0.25303333333333333</v>
      </c>
      <c r="BQ30" s="267">
        <f>Storage_Reconciled_prod!BQ30</f>
        <v>0.26283695652173916</v>
      </c>
      <c r="BR30" s="267">
        <f>Storage_Reconciled_prod!BR30</f>
        <v>0.2656010928961749</v>
      </c>
      <c r="BS30" s="267">
        <f>Storage_Reconciled_prod!BS30</f>
        <v>0.27925806451612906</v>
      </c>
      <c r="BT30" s="267">
        <f>Storage_Reconciled_prod!BT30</f>
        <v>0.28396666666666665</v>
      </c>
      <c r="BU30" s="267">
        <f>Storage_Reconciled_prod!BU30</f>
        <v>0.28748387096774197</v>
      </c>
      <c r="BV30" s="267">
        <f>Storage_Reconciled_prod!BV30</f>
        <v>0.28356521739130436</v>
      </c>
      <c r="BW30" s="267">
        <f>Storage_Reconciled_prod!BW30</f>
        <v>0.27161090909090913</v>
      </c>
      <c r="BX30" s="267">
        <f>Storage_Reconciled_prod!BX30</f>
        <v>0.28935483870967743</v>
      </c>
      <c r="BY30" s="267">
        <f>Storage_Reconciled_prod!BY30</f>
        <v>0.28742857142857142</v>
      </c>
      <c r="BZ30" s="267">
        <f>Storage_Reconciled_prod!BZ30</f>
        <v>0</v>
      </c>
      <c r="CA30" s="267">
        <f>Storage_Reconciled_prod!CA30</f>
        <v>0.18908888888888889</v>
      </c>
      <c r="CB30" s="267">
        <f>Storage_Reconciled_prod!CB30</f>
        <v>0.25126301369863019</v>
      </c>
      <c r="CC30" s="267">
        <f>Storage_Reconciled_prod!CC30</f>
        <v>0.27867500000000001</v>
      </c>
      <c r="CD30" s="267">
        <f>Storage_Reconciled_prod!CD30</f>
        <v>0.24100064516129033</v>
      </c>
      <c r="CE30" s="267">
        <f>Storage_Reconciled_prod!CE30</f>
        <v>0.261299</v>
      </c>
      <c r="CF30" s="267">
        <f>Storage_Reconciled_prod!CF30</f>
        <v>0.26011252747252744</v>
      </c>
      <c r="CG30" s="267">
        <f>Storage_Reconciled_prod!CG30</f>
        <v>0.24090483870967741</v>
      </c>
      <c r="CH30" s="267">
        <f>Storage_Reconciled_prod!CH30</f>
        <v>0</v>
      </c>
      <c r="CI30" s="267">
        <f>Storage_Reconciled_prod!CI30</f>
        <v>0</v>
      </c>
      <c r="CJ30" s="267">
        <f>Storage_Reconciled_prod!CJ30</f>
        <v>8.117445652173913E-2</v>
      </c>
      <c r="CK30" s="267">
        <f>Storage_Reconciled_prod!CK30</f>
        <v>0.17015459016393442</v>
      </c>
      <c r="CL30" s="267">
        <f>Storage_Reconciled_prod!CL30</f>
        <v>0</v>
      </c>
      <c r="CM30" s="267">
        <f>Storage_Reconciled_prod!CM30</f>
        <v>0</v>
      </c>
      <c r="CN30" s="267">
        <f>Storage_Reconciled_prod!CN30</f>
        <v>0</v>
      </c>
      <c r="CO30" s="267">
        <f>Storage_Reconciled_prod!CO30</f>
        <v>0</v>
      </c>
      <c r="CP30" s="267">
        <f>Storage_Reconciled_prod!CP30</f>
        <v>0.11323014545454545</v>
      </c>
      <c r="CQ30" s="267">
        <f>Storage_Reconciled_prod!CQ30</f>
        <v>0</v>
      </c>
      <c r="CR30" s="267">
        <f>Storage_Reconciled_prod!CR30</f>
        <v>0</v>
      </c>
      <c r="CS30" s="267">
        <f>Storage_Reconciled_prod!CS30</f>
        <v>0</v>
      </c>
      <c r="CT30" s="267">
        <f>Storage_Reconciled_prod!CT30</f>
        <v>0</v>
      </c>
      <c r="CU30" s="267">
        <f>Storage_Reconciled_prod!CU30</f>
        <v>8.5310383561643832E-2</v>
      </c>
    </row>
    <row r="31" spans="1:99">
      <c r="C31">
        <v>6</v>
      </c>
      <c r="D31" s="209" t="s">
        <v>57</v>
      </c>
      <c r="E31" s="267">
        <f>Storage_Reconciled_prod!E31</f>
        <v>11.5099</v>
      </c>
      <c r="F31" s="267">
        <f>Storage_Reconciled_prod!F31</f>
        <v>11.495806451612903</v>
      </c>
      <c r="G31" s="267">
        <f>Storage_Reconciled_prod!G31</f>
        <v>8.0039333333333325</v>
      </c>
      <c r="H31" s="267">
        <f>Storage_Reconciled_prod!H31</f>
        <v>10.349285714285715</v>
      </c>
      <c r="I31" s="267">
        <f>Storage_Reconciled_prod!I31</f>
        <v>8.008499645161292</v>
      </c>
      <c r="J31" s="267">
        <f>Storage_Reconciled_prod!J31</f>
        <v>10.157322580645161</v>
      </c>
      <c r="K31" s="267">
        <f>Storage_Reconciled_prod!K31</f>
        <v>6.7259666666666664</v>
      </c>
      <c r="L31" s="267">
        <f>Storage_Reconciled_prod!L31</f>
        <v>8.3143422717391324</v>
      </c>
      <c r="M31" s="267">
        <f>Storage_Reconciled_prod!M31</f>
        <v>9.326254038251367</v>
      </c>
      <c r="N31" s="267">
        <f>Storage_Reconciled_prod!N31</f>
        <v>7.2083225806451612</v>
      </c>
      <c r="O31" s="267">
        <f>Storage_Reconciled_prod!O31</f>
        <v>12.007309998978474</v>
      </c>
      <c r="P31" s="267">
        <f>Storage_Reconciled_prod!P31</f>
        <v>9.092483870967742</v>
      </c>
      <c r="Q31" s="267">
        <f>Storage_Reconciled_prod!Q31</f>
        <v>9.4080902170581968</v>
      </c>
      <c r="R31" s="267">
        <f>Storage_Reconciled_prod!R31</f>
        <v>9.3536319598885616</v>
      </c>
      <c r="S31" s="267">
        <f>Storage_Reconciled_prod!S31</f>
        <v>8.4522732092206869</v>
      </c>
      <c r="T31" s="267">
        <f>Storage_Reconciled_prod!T31</f>
        <v>12.437821428571429</v>
      </c>
      <c r="U31" s="267">
        <f>Storage_Reconciled_prod!U31</f>
        <v>7.8517592656645512</v>
      </c>
      <c r="V31" s="267">
        <f>Storage_Reconciled_prod!V31</f>
        <v>9.4853778524604717</v>
      </c>
      <c r="W31" s="267">
        <f>Storage_Reconciled_prod!W31</f>
        <v>9.3861172484679365</v>
      </c>
      <c r="X31" s="267">
        <f>Storage_Reconciled_prod!X31</f>
        <v>9.9607399999999995</v>
      </c>
      <c r="Y31" s="267">
        <f>Storage_Reconciled_prod!Y31</f>
        <v>9.7814499999999995</v>
      </c>
      <c r="Z31" s="267">
        <f>Storage_Reconciled_prod!Z31</f>
        <v>7.8115700000000006</v>
      </c>
      <c r="AA31" s="267">
        <f>Storage_Reconciled_prod!AA31</f>
        <v>9.1911456043956044</v>
      </c>
      <c r="AB31" s="267">
        <f>Storage_Reconciled_prod!AB31</f>
        <v>6.9821900000000001</v>
      </c>
      <c r="AC31" s="267">
        <f>Storage_Reconciled_prod!AC31</f>
        <v>9.8602799999999995</v>
      </c>
      <c r="AD31" s="267">
        <f>Storage_Reconciled_prod!AD31</f>
        <v>8.888399999999999</v>
      </c>
      <c r="AE31" s="267">
        <f>Storage_Reconciled_prod!AE31</f>
        <v>8.5735714130434779</v>
      </c>
      <c r="AF31" s="267">
        <f>Storage_Reconciled_prod!AF31</f>
        <v>8.8806711475409834</v>
      </c>
      <c r="AG31" s="267">
        <f>Storage_Reconciled_prod!AG31</f>
        <v>11.427919999999999</v>
      </c>
      <c r="AH31" s="267">
        <f>Storage_Reconciled_prod!AH31</f>
        <v>9.4703316666666684</v>
      </c>
      <c r="AI31" s="267">
        <f>Storage_Reconciled_prod!AI31</f>
        <v>11.376289677419356</v>
      </c>
      <c r="AJ31" s="267">
        <f>Storage_Reconciled_prod!AJ31</f>
        <v>10.772178804347826</v>
      </c>
      <c r="AK31" s="267">
        <f>Storage_Reconciled_prod!AK31</f>
        <v>9.5134664363636361</v>
      </c>
      <c r="AL31" s="267">
        <f>Storage_Reconciled_prod!AL31</f>
        <v>8.5157080645161276</v>
      </c>
      <c r="AM31" s="267">
        <f>Storage_Reconciled_prod!AM31</f>
        <v>9.9129675862068964</v>
      </c>
      <c r="AN31" s="267">
        <f>Storage_Reconciled_prod!AN31</f>
        <v>12.912128709677418</v>
      </c>
      <c r="AO31" s="267">
        <f>Storage_Reconciled_prod!AO31</f>
        <v>10.458670329670328</v>
      </c>
      <c r="AP31" s="267">
        <f>Storage_Reconciled_prod!AP31</f>
        <v>9.748476147540984</v>
      </c>
      <c r="AQ31" s="267">
        <f>Storage_Reconciled_prod!AQ31</f>
        <v>8.0643999999999991</v>
      </c>
      <c r="AR31" s="267">
        <f>Storage_Reconciled_prod!AR31</f>
        <v>8.088451612903226</v>
      </c>
      <c r="AS31" s="267">
        <f>Storage_Reconciled_prod!AS31</f>
        <v>8.8848666666666656</v>
      </c>
      <c r="AT31" s="267">
        <f>Storage_Reconciled_prod!AT31</f>
        <v>8.3430769230769233</v>
      </c>
      <c r="AU31" s="267">
        <f>Storage_Reconciled_prod!AU31</f>
        <v>10.158903225806451</v>
      </c>
      <c r="AV31" s="267">
        <f>Storage_Reconciled_prod!AV31</f>
        <v>10.516</v>
      </c>
      <c r="AW31" s="267">
        <f>Storage_Reconciled_prod!AW31</f>
        <v>9.9326333333333334</v>
      </c>
      <c r="AX31" s="267">
        <f>Storage_Reconciled_prod!AX31</f>
        <v>10.205445652173914</v>
      </c>
      <c r="AY31" s="267">
        <f>Storage_Reconciled_prod!AY31</f>
        <v>9.2793497267759566</v>
      </c>
      <c r="AZ31" s="267">
        <f>Storage_Reconciled_prod!AZ31</f>
        <v>8.9802580645161285</v>
      </c>
      <c r="BA31" s="267">
        <f>Storage_Reconciled_prod!BA31</f>
        <v>25.710666666666668</v>
      </c>
      <c r="BB31" s="267">
        <f>Storage_Reconciled_prod!BB31</f>
        <v>13.43858064516129</v>
      </c>
      <c r="BC31" s="267">
        <f>Storage_Reconciled_prod!BC31</f>
        <v>15.93808695652174</v>
      </c>
      <c r="BD31" s="267">
        <f>Storage_Reconciled_prod!BD31</f>
        <v>11.507000000000001</v>
      </c>
      <c r="BE31" s="267">
        <f>Storage_Reconciled_prod!BE31</f>
        <v>13.360032903225807</v>
      </c>
      <c r="BF31" s="267">
        <f>Storage_Reconciled_prod!BF31</f>
        <v>14.603036428571428</v>
      </c>
      <c r="BG31" s="267">
        <f>Storage_Reconciled_prod!BG31</f>
        <v>12.59</v>
      </c>
      <c r="BH31" s="267">
        <f>Storage_Reconciled_prod!BH31</f>
        <v>13.481511555555555</v>
      </c>
      <c r="BI31" s="267">
        <f>Storage_Reconciled_prod!BI31</f>
        <v>11.993865863013699</v>
      </c>
      <c r="BJ31" s="267">
        <f>Storage_Reconciled_prod!BJ31</f>
        <v>10.639033333333334</v>
      </c>
      <c r="BK31" s="267">
        <f>Storage_Reconciled_prod!BK31</f>
        <v>8.9830322580645152</v>
      </c>
      <c r="BL31" s="267">
        <f>Storage_Reconciled_prod!BL31</f>
        <v>8.2010333333333332</v>
      </c>
      <c r="BM31" s="267">
        <f>Storage_Reconciled_prod!BM31</f>
        <v>9.2711648351648339</v>
      </c>
      <c r="BN31" s="267">
        <f>Storage_Reconciled_prod!BN31</f>
        <v>9.4027419354838706</v>
      </c>
      <c r="BO31" s="267">
        <f>Storage_Reconciled_prod!BO31</f>
        <v>9.4024516129032261</v>
      </c>
      <c r="BP31" s="267">
        <f>Storage_Reconciled_prod!BP31</f>
        <v>11.933400000000001</v>
      </c>
      <c r="BQ31" s="267">
        <f>Storage_Reconciled_prod!BQ31</f>
        <v>10.227858695652174</v>
      </c>
      <c r="BR31" s="267">
        <f>Storage_Reconciled_prod!BR31</f>
        <v>9.7521256830601093</v>
      </c>
      <c r="BS31" s="267">
        <f>Storage_Reconciled_prod!BS31</f>
        <v>11.031064516129033</v>
      </c>
      <c r="BT31" s="267">
        <f>Storage_Reconciled_prod!BT31</f>
        <v>12.5198</v>
      </c>
      <c r="BU31" s="267">
        <f>Storage_Reconciled_prod!BU31</f>
        <v>12.985709677419356</v>
      </c>
      <c r="BV31" s="267">
        <f>Storage_Reconciled_prod!BV31</f>
        <v>12.175152173913045</v>
      </c>
      <c r="BW31" s="267">
        <f>Storage_Reconciled_prod!BW31</f>
        <v>10.562738181818181</v>
      </c>
      <c r="BX31" s="267">
        <f>Storage_Reconciled_prod!BX31</f>
        <v>16.445258064516128</v>
      </c>
      <c r="BY31" s="267">
        <f>Storage_Reconciled_prod!BY31</f>
        <v>15.491785714285713</v>
      </c>
      <c r="BZ31" s="267">
        <f>Storage_Reconciled_prod!BZ31</f>
        <v>0</v>
      </c>
      <c r="CA31" s="267">
        <f>Storage_Reconciled_prod!CA31</f>
        <v>10.484144444444444</v>
      </c>
      <c r="CB31" s="267">
        <f>Storage_Reconciled_prod!CB31</f>
        <v>10.543358904109589</v>
      </c>
      <c r="CC31" s="267">
        <f>Storage_Reconciled_prod!CC31</f>
        <v>14.437598333333334</v>
      </c>
      <c r="CD31" s="267">
        <f>Storage_Reconciled_prod!CD31</f>
        <v>13.815902258064517</v>
      </c>
      <c r="CE31" s="267">
        <f>Storage_Reconciled_prod!CE31</f>
        <v>12.623732333333333</v>
      </c>
      <c r="CF31" s="267">
        <f>Storage_Reconciled_prod!CF31</f>
        <v>13.627833956043958</v>
      </c>
      <c r="CG31" s="267">
        <f>Storage_Reconciled_prod!CG31</f>
        <v>8.2639664516129034</v>
      </c>
      <c r="CH31" s="267">
        <f>Storage_Reconciled_prod!CH31</f>
        <v>0</v>
      </c>
      <c r="CI31" s="267">
        <f>Storage_Reconciled_prod!CI31</f>
        <v>0</v>
      </c>
      <c r="CJ31" s="267">
        <f>Storage_Reconciled_prod!CJ31</f>
        <v>2.7845973913043478</v>
      </c>
      <c r="CK31" s="267">
        <f>Storage_Reconciled_prod!CK31</f>
        <v>8.176589344262295</v>
      </c>
      <c r="CL31" s="267">
        <f>Storage_Reconciled_prod!CL31</f>
        <v>0</v>
      </c>
      <c r="CM31" s="267">
        <f>Storage_Reconciled_prod!CM31</f>
        <v>0</v>
      </c>
      <c r="CN31" s="267">
        <f>Storage_Reconciled_prod!CN31</f>
        <v>0</v>
      </c>
      <c r="CO31" s="267">
        <f>Storage_Reconciled_prod!CO31</f>
        <v>0</v>
      </c>
      <c r="CP31" s="267">
        <f>Storage_Reconciled_prod!CP31</f>
        <v>5.4411485454545456</v>
      </c>
      <c r="CQ31" s="267">
        <f>Storage_Reconciled_prod!CQ31</f>
        <v>0</v>
      </c>
      <c r="CR31" s="267">
        <f>Storage_Reconciled_prod!CR31</f>
        <v>0</v>
      </c>
      <c r="CS31" s="267">
        <f>Storage_Reconciled_prod!CS31</f>
        <v>0</v>
      </c>
      <c r="CT31" s="267">
        <f>Storage_Reconciled_prod!CT31</f>
        <v>0</v>
      </c>
      <c r="CU31" s="267">
        <f>Storage_Reconciled_prod!CU31</f>
        <v>4.0994954794520551</v>
      </c>
    </row>
    <row r="32" spans="1:99">
      <c r="A32" t="s">
        <v>628</v>
      </c>
      <c r="C32">
        <v>7</v>
      </c>
      <c r="D32" s="209" t="s">
        <v>58</v>
      </c>
      <c r="E32" s="267">
        <f>Storage_Reconciled_prod!E32</f>
        <v>6.0755242794133336E-2</v>
      </c>
      <c r="F32" s="267">
        <f>Storage_Reconciled_prod!F32</f>
        <v>0</v>
      </c>
      <c r="G32" s="267">
        <f>Storage_Reconciled_prod!G32</f>
        <v>0.10288499722853332</v>
      </c>
      <c r="H32" s="267">
        <f>Storage_Reconciled_prod!H32</f>
        <v>5.3947331875604396E-2</v>
      </c>
      <c r="I32" s="267">
        <f>Storage_Reconciled_prod!I32</f>
        <v>0.18710725419354837</v>
      </c>
      <c r="J32" s="267">
        <f>Storage_Reconciled_prod!J32</f>
        <v>0.40055015709677416</v>
      </c>
      <c r="K32" s="267">
        <f>Storage_Reconciled_prod!K32</f>
        <v>0.36791132500000001</v>
      </c>
      <c r="L32" s="267">
        <f>Storage_Reconciled_prod!L32</f>
        <v>0.31798608152173913</v>
      </c>
      <c r="M32" s="267">
        <f>Storage_Reconciled_prod!M32</f>
        <v>0.18668812404743171</v>
      </c>
      <c r="N32" s="267">
        <f>Storage_Reconciled_prod!N32</f>
        <v>0.40447664016290324</v>
      </c>
      <c r="O32" s="267">
        <f>Storage_Reconciled_prod!O32</f>
        <v>0.22709992038376667</v>
      </c>
      <c r="P32" s="267">
        <f>Storage_Reconciled_prod!P32</f>
        <v>0.12487940055741935</v>
      </c>
      <c r="Q32" s="267">
        <f>Storage_Reconciled_prod!Q32</f>
        <v>0.25242429210698913</v>
      </c>
      <c r="R32" s="267">
        <f>Storage_Reconciled_prod!R32</f>
        <v>0.20867986027099272</v>
      </c>
      <c r="S32" s="267">
        <f>Storage_Reconciled_prod!S32</f>
        <v>0.31482430210277423</v>
      </c>
      <c r="T32" s="267">
        <f>Storage_Reconciled_prod!T32</f>
        <v>0.28194346222642863</v>
      </c>
      <c r="U32" s="267">
        <f>Storage_Reconciled_prod!U32</f>
        <v>0.19154267548400003</v>
      </c>
      <c r="V32" s="267">
        <f>Storage_Reconciled_prod!V32</f>
        <v>0.26213103608366672</v>
      </c>
      <c r="W32" s="267">
        <f>Storage_Reconciled_prod!W32</f>
        <v>0.22185960225220003</v>
      </c>
      <c r="X32" s="267">
        <f>Storage_Reconciled_prod!X32</f>
        <v>0.31430399999999997</v>
      </c>
      <c r="Y32" s="267">
        <f>Storage_Reconciled_prod!Y32</f>
        <v>0.23516161290322579</v>
      </c>
      <c r="Z32" s="267">
        <f>Storage_Reconciled_prod!Z32</f>
        <v>0.30086666666666667</v>
      </c>
      <c r="AA32" s="267">
        <f>Storage_Reconciled_prod!AA32</f>
        <v>0.28291351648351648</v>
      </c>
      <c r="AB32" s="267">
        <f>Storage_Reconciled_prod!AB32</f>
        <v>0.37016064516129032</v>
      </c>
      <c r="AC32" s="267">
        <f>Storage_Reconciled_prod!AC32</f>
        <v>0.51274225806451612</v>
      </c>
      <c r="AD32" s="267">
        <f>Storage_Reconciled_prod!AD32</f>
        <v>0.33413333333333328</v>
      </c>
      <c r="AE32" s="267">
        <f>Storage_Reconciled_prod!AE32</f>
        <v>0.40645641304347829</v>
      </c>
      <c r="AF32" s="267">
        <f>Storage_Reconciled_prod!AF32</f>
        <v>0.34502251366120223</v>
      </c>
      <c r="AG32" s="267">
        <f>Storage_Reconciled_prod!AG32</f>
        <v>0</v>
      </c>
      <c r="AH32" s="267">
        <f>Storage_Reconciled_prod!AH32</f>
        <v>0.18990000000000001</v>
      </c>
      <c r="AI32" s="267">
        <f>Storage_Reconciled_prod!AI32</f>
        <v>0.34277419354838706</v>
      </c>
      <c r="AJ32" s="267">
        <f>Storage_Reconciled_prod!AJ32</f>
        <v>0.17742391304347827</v>
      </c>
      <c r="AK32" s="267">
        <f>Storage_Reconciled_prod!AK32</f>
        <v>0.28895316363636364</v>
      </c>
      <c r="AL32" s="267">
        <f>Storage_Reconciled_prod!AL32</f>
        <v>0.31703129032258065</v>
      </c>
      <c r="AM32" s="267">
        <f>Storage_Reconciled_prod!AM32</f>
        <v>0.30717137931034483</v>
      </c>
      <c r="AN32" s="267">
        <f>Storage_Reconciled_prod!AN32</f>
        <v>0.25516129032258067</v>
      </c>
      <c r="AO32" s="267">
        <f>Storage_Reconciled_prod!AO32</f>
        <v>0.29281252747252745</v>
      </c>
      <c r="AP32" s="267">
        <f>Storage_Reconciled_prod!AP32</f>
        <v>0.28991273224043712</v>
      </c>
      <c r="AQ32" s="267">
        <f>Storage_Reconciled_prod!AQ32</f>
        <v>0.16299999999999998</v>
      </c>
      <c r="AR32" s="267">
        <f>Storage_Reconciled_prod!AR32</f>
        <v>0.2783870967741936</v>
      </c>
      <c r="AS32" s="267">
        <f>Storage_Reconciled_prod!AS32</f>
        <v>0.21423333333333333</v>
      </c>
      <c r="AT32" s="267">
        <f>Storage_Reconciled_prod!AT32</f>
        <v>0.21919780219780219</v>
      </c>
      <c r="AU32" s="267">
        <f>Storage_Reconciled_prod!AU32</f>
        <v>0.33403225806451614</v>
      </c>
      <c r="AV32" s="267">
        <f>Storage_Reconciled_prod!AV32</f>
        <v>0.39238709677419353</v>
      </c>
      <c r="AW32" s="267">
        <f>Storage_Reconciled_prod!AW32</f>
        <v>0.25989999999999996</v>
      </c>
      <c r="AX32" s="267">
        <f>Storage_Reconciled_prod!AX32</f>
        <v>0.32952173913043475</v>
      </c>
      <c r="AY32" s="267">
        <f>Storage_Reconciled_prod!AY32</f>
        <v>0.27466120218579232</v>
      </c>
      <c r="AZ32" s="267">
        <f>Storage_Reconciled_prod!AZ32</f>
        <v>0.23964516129032259</v>
      </c>
      <c r="BA32" s="267">
        <f>Storage_Reconciled_prod!BA32</f>
        <v>0.24603333333333335</v>
      </c>
      <c r="BB32" s="267">
        <f>Storage_Reconciled_prod!BB32</f>
        <v>0.32580645161290323</v>
      </c>
      <c r="BC32" s="267">
        <f>Storage_Reconciled_prod!BC32</f>
        <v>0.27076086956521739</v>
      </c>
      <c r="BD32" s="267">
        <f>Storage_Reconciled_prod!BD32</f>
        <v>0.27335636363636362</v>
      </c>
      <c r="BE32" s="267">
        <f>Storage_Reconciled_prod!BE32</f>
        <v>0.30442032258064516</v>
      </c>
      <c r="BF32" s="267">
        <f>Storage_Reconciled_prod!BF32</f>
        <v>0.23550000000000001</v>
      </c>
      <c r="BG32" s="267">
        <f>Storage_Reconciled_prod!BG32</f>
        <v>0.29503225806451616</v>
      </c>
      <c r="BH32" s="267">
        <f>Storage_Reconciled_prod!BH32</f>
        <v>0.27974477777777779</v>
      </c>
      <c r="BI32" s="267">
        <f>Storage_Reconciled_prod!BI32</f>
        <v>0.27493158904109588</v>
      </c>
      <c r="BJ32" s="267">
        <f>Storage_Reconciled_prod!BJ32</f>
        <v>0.30416666666666664</v>
      </c>
      <c r="BK32" s="267">
        <f>Storage_Reconciled_prod!BK32</f>
        <v>0.35135483870967738</v>
      </c>
      <c r="BL32" s="267">
        <f>Storage_Reconciled_prod!BL32</f>
        <v>0.51133333333333331</v>
      </c>
      <c r="BM32" s="267">
        <f>Storage_Reconciled_prod!BM32</f>
        <v>0.38853846153846155</v>
      </c>
      <c r="BN32" s="267">
        <f>Storage_Reconciled_prod!BN32</f>
        <v>0.4374193548387097</v>
      </c>
      <c r="BO32" s="267">
        <f>Storage_Reconciled_prod!BO32</f>
        <v>0.36580645161290321</v>
      </c>
      <c r="BP32" s="267">
        <f>Storage_Reconciled_prod!BP32</f>
        <v>0.44400000000000001</v>
      </c>
      <c r="BQ32" s="267">
        <f>Storage_Reconciled_prod!BQ32</f>
        <v>0.41543478260869565</v>
      </c>
      <c r="BR32" s="267">
        <f>Storage_Reconciled_prod!BR32</f>
        <v>0.4020601092896175</v>
      </c>
      <c r="BS32" s="267">
        <f>Storage_Reconciled_prod!BS32</f>
        <v>0.4906451612903226</v>
      </c>
      <c r="BT32" s="267">
        <f>Storage_Reconciled_prod!BT32</f>
        <v>0.27123333333333333</v>
      </c>
      <c r="BU32" s="267">
        <f>Storage_Reconciled_prod!BU32</f>
        <v>0</v>
      </c>
      <c r="BV32" s="267">
        <f>Storage_Reconciled_prod!BV32</f>
        <v>0.25377173913043477</v>
      </c>
      <c r="BW32" s="267">
        <f>Storage_Reconciled_prod!BW32</f>
        <v>0.35245090909090909</v>
      </c>
      <c r="BX32" s="267">
        <f>Storage_Reconciled_prod!BX32</f>
        <v>4.0322580645161289E-2</v>
      </c>
      <c r="BY32" s="267">
        <f>Storage_Reconciled_prod!BY32</f>
        <v>0.31642857142857139</v>
      </c>
      <c r="BZ32" s="267">
        <f>Storage_Reconciled_prod!BZ32</f>
        <v>0</v>
      </c>
      <c r="CA32" s="267">
        <f>Storage_Reconciled_prod!CA32</f>
        <v>0.11233333333333333</v>
      </c>
      <c r="CB32" s="267">
        <f>Storage_Reconciled_prod!CB32</f>
        <v>0.29324383561643835</v>
      </c>
      <c r="CC32" s="267">
        <f>Storage_Reconciled_prod!CC32</f>
        <v>0.45333333333333331</v>
      </c>
      <c r="CD32" s="267">
        <f>Storage_Reconciled_prod!CD32</f>
        <v>0.2992258064516129</v>
      </c>
      <c r="CE32" s="267">
        <f>Storage_Reconciled_prod!CE32</f>
        <v>0.465667</v>
      </c>
      <c r="CF32" s="267">
        <f>Storage_Reconciled_prod!CF32</f>
        <v>0.40490120879120878</v>
      </c>
      <c r="CG32" s="267">
        <f>Storage_Reconciled_prod!CG32</f>
        <v>0.35741999999999996</v>
      </c>
      <c r="CH32" s="267">
        <f>Storage_Reconciled_prod!CH32</f>
        <v>0</v>
      </c>
      <c r="CI32" s="267">
        <f>Storage_Reconciled_prod!CI32</f>
        <v>0</v>
      </c>
      <c r="CJ32" s="267">
        <f>Storage_Reconciled_prod!CJ32</f>
        <v>0.12043499999999999</v>
      </c>
      <c r="CK32" s="267">
        <f>Storage_Reconciled_prod!CK32</f>
        <v>0.26189087431693986</v>
      </c>
      <c r="CL32" s="267">
        <f>Storage_Reconciled_prod!CL32</f>
        <v>0</v>
      </c>
      <c r="CM32" s="267">
        <f>Storage_Reconciled_prod!CM32</f>
        <v>0</v>
      </c>
      <c r="CN32" s="267">
        <f>Storage_Reconciled_prod!CN32</f>
        <v>0</v>
      </c>
      <c r="CO32" s="267">
        <f>Storage_Reconciled_prod!CO32</f>
        <v>0</v>
      </c>
      <c r="CP32" s="267">
        <f>Storage_Reconciled_prod!CP32</f>
        <v>0.17427647272727273</v>
      </c>
      <c r="CQ32" s="267">
        <f>Storage_Reconciled_prod!CQ32</f>
        <v>0</v>
      </c>
      <c r="CR32" s="267">
        <f>Storage_Reconciled_prod!CR32</f>
        <v>0</v>
      </c>
      <c r="CS32" s="267">
        <f>Storage_Reconciled_prod!CS32</f>
        <v>0</v>
      </c>
      <c r="CT32" s="267">
        <f>Storage_Reconciled_prod!CT32</f>
        <v>0</v>
      </c>
      <c r="CU32" s="267">
        <f>Storage_Reconciled_prod!CU32</f>
        <v>0.13130419178082192</v>
      </c>
    </row>
    <row r="33" spans="1:99">
      <c r="C33">
        <v>8</v>
      </c>
      <c r="D33" s="209" t="s">
        <v>59</v>
      </c>
      <c r="E33" s="267">
        <f>Storage_Reconciled_prod!E33</f>
        <v>1.191470785064954E-2</v>
      </c>
      <c r="F33" s="267">
        <f>Storage_Reconciled_prod!F33</f>
        <v>1.1873525755563547E-2</v>
      </c>
      <c r="G33" s="267">
        <f>Storage_Reconciled_prod!G33</f>
        <v>1.1792690673666584E-2</v>
      </c>
      <c r="H33" s="267">
        <f>Storage_Reconciled_prod!H33</f>
        <v>1.1860453342329162E-2</v>
      </c>
      <c r="I33" s="267">
        <f>Storage_Reconciled_prod!I33</f>
        <v>1.2596161865154025E-2</v>
      </c>
      <c r="J33" s="267">
        <f>Storage_Reconciled_prod!J33</f>
        <v>1.3067773933490366E-2</v>
      </c>
      <c r="K33" s="267">
        <f>Storage_Reconciled_prod!K33</f>
        <v>1.256670262902795E-2</v>
      </c>
      <c r="L33" s="267">
        <f>Storage_Reconciled_prod!L33</f>
        <v>1.2745468354661029E-2</v>
      </c>
      <c r="M33" s="267">
        <f>Storage_Reconciled_prod!M33</f>
        <v>1.2305378922299283E-2</v>
      </c>
      <c r="N33" s="267">
        <f>Storage_Reconciled_prod!N33</f>
        <v>1.2906967896774193E-2</v>
      </c>
      <c r="O33" s="267">
        <f>Storage_Reconciled_prod!O33</f>
        <v>1.2921434239999998E-2</v>
      </c>
      <c r="P33" s="267">
        <f>Storage_Reconciled_prod!P33</f>
        <v>1.2903225806451613E-2</v>
      </c>
      <c r="Q33" s="267">
        <f>Storage_Reconciled_prod!Q33</f>
        <v>1.2910424260869562E-2</v>
      </c>
      <c r="R33" s="267">
        <f>Storage_Reconciled_prod!R33</f>
        <v>1.2507794090111886E-2</v>
      </c>
      <c r="S33" s="267">
        <f>Storage_Reconciled_prod!S33</f>
        <v>1.332258064516129E-2</v>
      </c>
      <c r="T33" s="267">
        <f>Storage_Reconciled_prod!T33</f>
        <v>1.3109621314285716E-2</v>
      </c>
      <c r="U33" s="267">
        <f>Storage_Reconciled_prod!U33</f>
        <v>1.3805143923890964E-2</v>
      </c>
      <c r="V33" s="267">
        <f>Storage_Reconciled_prod!V33</f>
        <v>1.3422542871562445E-2</v>
      </c>
      <c r="W33" s="267">
        <f>Storage_Reconciled_prod!W33</f>
        <v>1.2733348584168188E-2</v>
      </c>
      <c r="X33" s="267">
        <f>Storage_Reconciled_prod!X33</f>
        <v>1.443E-2</v>
      </c>
      <c r="Y33" s="267">
        <f>Storage_Reconciled_prod!Y33</f>
        <v>1.452E-2</v>
      </c>
      <c r="Z33" s="267">
        <f>Storage_Reconciled_prod!Z33</f>
        <v>1.423E-2</v>
      </c>
      <c r="AA33" s="267">
        <f>Storage_Reconciled_prod!AA33</f>
        <v>1.4394725274725274E-2</v>
      </c>
      <c r="AB33" s="267">
        <f>Storage_Reconciled_prod!AB33</f>
        <v>1.5870000000000002E-2</v>
      </c>
      <c r="AC33" s="267">
        <f>Storage_Reconciled_prod!AC33</f>
        <v>1.719E-2</v>
      </c>
      <c r="AD33" s="267">
        <f>Storage_Reconciled_prod!AD33</f>
        <v>1.737E-2</v>
      </c>
      <c r="AE33" s="267">
        <f>Storage_Reconciled_prod!AE33</f>
        <v>1.6803913043478259E-2</v>
      </c>
      <c r="AF33" s="267">
        <f>Storage_Reconciled_prod!AF33</f>
        <v>1.5605901639344262E-2</v>
      </c>
      <c r="AG33" s="267">
        <f>Storage_Reconciled_prod!AG33</f>
        <v>1.813E-2</v>
      </c>
      <c r="AH33" s="267">
        <f>Storage_Reconciled_prod!AH33</f>
        <v>1.6469999999999999E-2</v>
      </c>
      <c r="AI33" s="267">
        <f>Storage_Reconciled_prod!AI33</f>
        <v>1.6809999999999999E-2</v>
      </c>
      <c r="AJ33" s="267">
        <f>Storage_Reconciled_prod!AJ33</f>
        <v>1.7143913043478259E-2</v>
      </c>
      <c r="AK33" s="267">
        <f>Storage_Reconciled_prod!AK33</f>
        <v>1.6120436363636362E-2</v>
      </c>
      <c r="AL33" s="267">
        <f>Storage_Reconciled_prod!AL33</f>
        <v>1.806E-2</v>
      </c>
      <c r="AM33" s="267">
        <f>Storage_Reconciled_prod!AM33</f>
        <v>1.7589999999999998E-2</v>
      </c>
      <c r="AN33" s="267">
        <f>Storage_Reconciled_prod!AN33</f>
        <v>1.7650000000000002E-2</v>
      </c>
      <c r="AO33" s="267">
        <f>Storage_Reconciled_prod!AO33</f>
        <v>1.7770549450549452E-2</v>
      </c>
      <c r="AP33" s="267">
        <f>Storage_Reconciled_prod!AP33</f>
        <v>1.653071038251366E-2</v>
      </c>
      <c r="AQ33" s="267">
        <f>Storage_Reconciled_prod!AQ33</f>
        <v>1.9566666666666666E-2</v>
      </c>
      <c r="AR33" s="267">
        <f>Storage_Reconciled_prod!AR33</f>
        <v>2.2580645161290321E-2</v>
      </c>
      <c r="AS33" s="267">
        <f>Storage_Reconciled_prod!AS33</f>
        <v>2.3133333333333332E-2</v>
      </c>
      <c r="AT33" s="267">
        <f>Storage_Reconciled_prod!AT33</f>
        <v>2.1769230769230766E-2</v>
      </c>
      <c r="AU33" s="267">
        <f>Storage_Reconciled_prod!AU33</f>
        <v>2.2193548387096772E-2</v>
      </c>
      <c r="AV33" s="267">
        <f>Storage_Reconciled_prod!AV33</f>
        <v>2.7096774193548386E-2</v>
      </c>
      <c r="AW33" s="267">
        <f>Storage_Reconciled_prod!AW33</f>
        <v>2.8633333333333334E-2</v>
      </c>
      <c r="AX33" s="267">
        <f>Storage_Reconciled_prod!AX33</f>
        <v>2.5945652173913043E-2</v>
      </c>
      <c r="AY33" s="267">
        <f>Storage_Reconciled_prod!AY33</f>
        <v>2.3868852459016394E-2</v>
      </c>
      <c r="AZ33" s="267">
        <f>Storage_Reconciled_prod!AZ33</f>
        <v>2.3E-2</v>
      </c>
      <c r="BA33" s="267">
        <f>Storage_Reconciled_prod!BA33</f>
        <v>2.3199999999999998E-2</v>
      </c>
      <c r="BB33" s="267">
        <f>Storage_Reconciled_prod!BB33</f>
        <v>2.4612903225806452E-2</v>
      </c>
      <c r="BC33" s="267">
        <f>Storage_Reconciled_prod!BC33</f>
        <v>2.3608695652173911E-2</v>
      </c>
      <c r="BD33" s="267">
        <f>Storage_Reconciled_prod!BD33</f>
        <v>2.3781818181818182E-2</v>
      </c>
      <c r="BE33" s="267">
        <f>Storage_Reconciled_prod!BE33</f>
        <v>2.2593870967741934E-2</v>
      </c>
      <c r="BF33" s="267">
        <f>Storage_Reconciled_prod!BF33</f>
        <v>2.3790000000000002E-2</v>
      </c>
      <c r="BG33" s="267">
        <f>Storage_Reconciled_prod!BG33</f>
        <v>2.2939999999999999E-2</v>
      </c>
      <c r="BH33" s="267">
        <f>Storage_Reconciled_prod!BH33</f>
        <v>2.3085222222222222E-2</v>
      </c>
      <c r="BI33" s="267">
        <f>Storage_Reconciled_prod!BI33</f>
        <v>2.3610054794520548E-2</v>
      </c>
      <c r="BJ33" s="267">
        <f>Storage_Reconciled_prod!BJ33</f>
        <v>2.7899999999999998E-2</v>
      </c>
      <c r="BK33" s="267">
        <f>Storage_Reconciled_prod!BK33</f>
        <v>2.661290322580645E-2</v>
      </c>
      <c r="BL33" s="267">
        <f>Storage_Reconciled_prod!BL33</f>
        <v>2.47E-2</v>
      </c>
      <c r="BM33" s="267">
        <f>Storage_Reconciled_prod!BM33</f>
        <v>2.6406593406593407E-2</v>
      </c>
      <c r="BN33" s="267">
        <f>Storage_Reconciled_prod!BN33</f>
        <v>2.8258064516129031E-2</v>
      </c>
      <c r="BO33" s="267">
        <f>Storage_Reconciled_prod!BO33</f>
        <v>2.9870967741935487E-2</v>
      </c>
      <c r="BP33" s="267">
        <f>Storage_Reconciled_prod!BP33</f>
        <v>3.1866666666666668E-2</v>
      </c>
      <c r="BQ33" s="267">
        <f>Storage_Reconciled_prod!BQ33</f>
        <v>2.9978260869565218E-2</v>
      </c>
      <c r="BR33" s="267">
        <f>Storage_Reconciled_prod!BR33</f>
        <v>2.8202185792349725E-2</v>
      </c>
      <c r="BS33" s="267">
        <f>Storage_Reconciled_prod!BS33</f>
        <v>3.3870967741935487E-2</v>
      </c>
      <c r="BT33" s="267">
        <f>Storage_Reconciled_prod!BT33</f>
        <v>3.39E-2</v>
      </c>
      <c r="BU33" s="267">
        <f>Storage_Reconciled_prod!BU33</f>
        <v>3.0870967741935481E-2</v>
      </c>
      <c r="BV33" s="267">
        <f>Storage_Reconciled_prod!BV33</f>
        <v>3.2869565217391303E-2</v>
      </c>
      <c r="BW33" s="267">
        <f>Storage_Reconciled_prod!BW33</f>
        <v>2.976363636363636E-2</v>
      </c>
      <c r="BX33" s="267">
        <f>Storage_Reconciled_prod!BX33</f>
        <v>2.8580645161290323E-2</v>
      </c>
      <c r="BY33" s="267">
        <f>Storage_Reconciled_prod!BY33</f>
        <v>2.8821428571428574E-2</v>
      </c>
      <c r="BZ33" s="267">
        <f>Storage_Reconciled_prod!BZ33</f>
        <v>0</v>
      </c>
      <c r="CA33" s="267">
        <f>Storage_Reconciled_prod!CA33</f>
        <v>1.8811111111111112E-2</v>
      </c>
      <c r="CB33" s="267">
        <f>Storage_Reconciled_prod!CB33</f>
        <v>2.7063013698630133E-2</v>
      </c>
      <c r="CC33" s="267">
        <f>Storage_Reconciled_prod!CC33</f>
        <v>2.8069999999999998E-2</v>
      </c>
      <c r="CD33" s="267">
        <f>Storage_Reconciled_prod!CD33</f>
        <v>2.2259999999999999E-2</v>
      </c>
      <c r="CE33" s="267">
        <f>Storage_Reconciled_prod!CE33</f>
        <v>2.563E-2</v>
      </c>
      <c r="CF33" s="267">
        <f>Storage_Reconciled_prod!CF33</f>
        <v>2.5286373626373627E-2</v>
      </c>
      <c r="CG33" s="267">
        <f>Storage_Reconciled_prod!CG33</f>
        <v>2.5769999999999998E-2</v>
      </c>
      <c r="CH33" s="267">
        <f>Storage_Reconciled_prod!CH33</f>
        <v>0</v>
      </c>
      <c r="CI33" s="267">
        <f>Storage_Reconciled_prod!CI33</f>
        <v>0</v>
      </c>
      <c r="CJ33" s="267">
        <f>Storage_Reconciled_prod!CJ33</f>
        <v>8.6833695652173918E-3</v>
      </c>
      <c r="CK33" s="267">
        <f>Storage_Reconciled_prod!CK33</f>
        <v>1.6939508196721312E-2</v>
      </c>
      <c r="CL33" s="267">
        <f>Storage_Reconciled_prod!CL33</f>
        <v>0</v>
      </c>
      <c r="CM33" s="267">
        <f>Storage_Reconciled_prod!CM33</f>
        <v>0</v>
      </c>
      <c r="CN33" s="267">
        <f>Storage_Reconciled_prod!CN33</f>
        <v>0</v>
      </c>
      <c r="CO33" s="267">
        <f>Storage_Reconciled_prod!CO33</f>
        <v>0</v>
      </c>
      <c r="CP33" s="267">
        <f>Storage_Reconciled_prod!CP33</f>
        <v>1.1272472727272727E-2</v>
      </c>
      <c r="CQ33" s="267">
        <f>Storage_Reconciled_prod!CQ33</f>
        <v>0</v>
      </c>
      <c r="CR33" s="267">
        <f>Storage_Reconciled_prod!CR33</f>
        <v>0</v>
      </c>
      <c r="CS33" s="267">
        <f>Storage_Reconciled_prod!CS33</f>
        <v>0</v>
      </c>
      <c r="CT33" s="267">
        <f>Storage_Reconciled_prod!CT33</f>
        <v>0</v>
      </c>
      <c r="CU33" s="267">
        <f>Storage_Reconciled_prod!CU33</f>
        <v>8.4929589041095894E-3</v>
      </c>
    </row>
    <row r="34" spans="1:99">
      <c r="C34">
        <v>9</v>
      </c>
      <c r="D34" s="209" t="s">
        <v>63</v>
      </c>
      <c r="E34" s="267">
        <f>Storage_Reconciled_prod!E34</f>
        <v>3.6389841435247451E-3</v>
      </c>
      <c r="F34" s="267">
        <f>Storage_Reconciled_prod!F34</f>
        <v>3.4897274341663623E-3</v>
      </c>
      <c r="G34" s="267">
        <f>Storage_Reconciled_prod!G34</f>
        <v>3.8325145052909978E-3</v>
      </c>
      <c r="H34" s="267">
        <f>Storage_Reconciled_prod!H34</f>
        <v>3.6519396694904339E-3</v>
      </c>
      <c r="I34" s="267">
        <f>Storage_Reconciled_prod!I34</f>
        <v>3.0780803424910229E-3</v>
      </c>
      <c r="J34" s="267">
        <f>Storage_Reconciled_prod!J34</f>
        <v>5.0879077405123355E-3</v>
      </c>
      <c r="K34" s="267">
        <f>Storage_Reconciled_prod!K34</f>
        <v>5.0409980357565935E-3</v>
      </c>
      <c r="L34" s="267">
        <f>Storage_Reconciled_prod!L34</f>
        <v>4.3953866483239347E-3</v>
      </c>
      <c r="M34" s="267">
        <f>Storage_Reconciled_prod!M34</f>
        <v>4.0256944348056357E-3</v>
      </c>
      <c r="N34" s="267">
        <f>Storage_Reconciled_prod!N34</f>
        <v>3.5413261607132986E-3</v>
      </c>
      <c r="O34" s="267">
        <f>Storage_Reconciled_prod!O34</f>
        <v>5.4672237529036537E-3</v>
      </c>
      <c r="P34" s="267">
        <f>Storage_Reconciled_prod!P34</f>
        <v>6.0779066964437821E-3</v>
      </c>
      <c r="Q34" s="267">
        <f>Storage_Reconciled_prod!Q34</f>
        <v>5.0240535995541204E-3</v>
      </c>
      <c r="R34" s="267">
        <f>Storage_Reconciled_prod!R34</f>
        <v>4.3596909553760381E-3</v>
      </c>
      <c r="S34" s="267">
        <f>Storage_Reconciled_prod!S34</f>
        <v>5.4445343376609036E-3</v>
      </c>
      <c r="T34" s="267">
        <f>Storage_Reconciled_prod!T34</f>
        <v>6.1618583358043133E-3</v>
      </c>
      <c r="U34" s="267">
        <f>Storage_Reconciled_prod!U34</f>
        <v>3.7117797148715462E-3</v>
      </c>
      <c r="V34" s="267">
        <f>Storage_Reconciled_prod!V34</f>
        <v>5.0708641003447416E-3</v>
      </c>
      <c r="W34" s="267">
        <f>Storage_Reconciled_prod!W34</f>
        <v>4.5350487171491429E-3</v>
      </c>
      <c r="X34" s="267">
        <f>Storage_Reconciled_prod!X34</f>
        <v>4.8673333333333338E-3</v>
      </c>
      <c r="Y34" s="267">
        <f>Storage_Reconciled_prod!Y34</f>
        <v>4.5164516129032259E-3</v>
      </c>
      <c r="Z34" s="267">
        <f>Storage_Reconciled_prod!Z34</f>
        <v>4.5669999999999999E-3</v>
      </c>
      <c r="AA34" s="267">
        <f>Storage_Reconciled_prod!AA34</f>
        <v>4.6487912087912085E-3</v>
      </c>
      <c r="AB34" s="267">
        <f>Storage_Reconciled_prod!AB34</f>
        <v>4.3545161290322581E-3</v>
      </c>
      <c r="AC34" s="267">
        <f>Storage_Reconciled_prod!AC34</f>
        <v>4.2899999999999995E-3</v>
      </c>
      <c r="AD34" s="267">
        <f>Storage_Reconciled_prod!AD34</f>
        <v>4.2336666666666668E-3</v>
      </c>
      <c r="AE34" s="267">
        <f>Storage_Reconciled_prod!AE34</f>
        <v>4.2933695652173911E-3</v>
      </c>
      <c r="AF34" s="267">
        <f>Storage_Reconciled_prod!AF34</f>
        <v>4.4701092896174861E-3</v>
      </c>
      <c r="AG34" s="267">
        <f>Storage_Reconciled_prod!AG34</f>
        <v>4.3535483870967744E-3</v>
      </c>
      <c r="AH34" s="267">
        <f>Storage_Reconciled_prod!AH34</f>
        <v>4.1009999999999996E-3</v>
      </c>
      <c r="AI34" s="267">
        <f>Storage_Reconciled_prod!AI34</f>
        <v>3.8061290322580644E-3</v>
      </c>
      <c r="AJ34" s="267">
        <f>Storage_Reconciled_prod!AJ34</f>
        <v>4.0867391304347826E-3</v>
      </c>
      <c r="AK34" s="267">
        <f>Storage_Reconciled_prod!AK34</f>
        <v>4.3418545454545453E-3</v>
      </c>
      <c r="AL34" s="267">
        <f>Storage_Reconciled_prod!AL34</f>
        <v>3.1283870967741935E-3</v>
      </c>
      <c r="AM34" s="267">
        <f>Storage_Reconciled_prod!AM34</f>
        <v>3.6206896551724136E-3</v>
      </c>
      <c r="AN34" s="267">
        <f>Storage_Reconciled_prod!AN34</f>
        <v>2.9680645161290322E-3</v>
      </c>
      <c r="AO34" s="267">
        <f>Storage_Reconciled_prod!AO34</f>
        <v>3.2306593406593405E-3</v>
      </c>
      <c r="AP34" s="267">
        <f>Storage_Reconciled_prod!AP34</f>
        <v>4.0655737704918034E-3</v>
      </c>
      <c r="AQ34" s="267">
        <f>Storage_Reconciled_prod!AQ34</f>
        <v>4.0000000000000001E-3</v>
      </c>
      <c r="AR34" s="267">
        <f>Storage_Reconciled_prod!AR34</f>
        <v>3.7741935483870969E-3</v>
      </c>
      <c r="AS34" s="267">
        <f>Storage_Reconciled_prod!AS34</f>
        <v>4.7333333333333333E-3</v>
      </c>
      <c r="AT34" s="267">
        <f>Storage_Reconciled_prod!AT34</f>
        <v>4.164835164835165E-3</v>
      </c>
      <c r="AU34" s="267">
        <f>Storage_Reconciled_prod!AU34</f>
        <v>4.8387096774193551E-3</v>
      </c>
      <c r="AV34" s="267">
        <f>Storage_Reconciled_prod!AV34</f>
        <v>4.9032258064516127E-3</v>
      </c>
      <c r="AW34" s="267">
        <f>Storage_Reconciled_prod!AW34</f>
        <v>5.1999999999999998E-3</v>
      </c>
      <c r="AX34" s="267">
        <f>Storage_Reconciled_prod!AX34</f>
        <v>4.9782608695652167E-3</v>
      </c>
      <c r="AY34" s="267">
        <f>Storage_Reconciled_prod!AY34</f>
        <v>4.5737704918032782E-3</v>
      </c>
      <c r="AZ34" s="267">
        <f>Storage_Reconciled_prod!AZ34</f>
        <v>3.6451612903225807E-3</v>
      </c>
      <c r="BA34" s="267">
        <f>Storage_Reconciled_prod!BA34</f>
        <v>2.9333333333333334E-3</v>
      </c>
      <c r="BB34" s="267">
        <f>Storage_Reconciled_prod!BB34</f>
        <v>2.3870967741935483E-3</v>
      </c>
      <c r="BC34" s="267">
        <f>Storage_Reconciled_prod!BC34</f>
        <v>2.9891304347826088E-3</v>
      </c>
      <c r="BD34" s="267">
        <f>Storage_Reconciled_prod!BD34</f>
        <v>4.0436363636363638E-3</v>
      </c>
      <c r="BE34" s="267">
        <f>Storage_Reconciled_prod!BE34</f>
        <v>3.3058064516129034E-3</v>
      </c>
      <c r="BF34" s="267">
        <f>Storage_Reconciled_prod!BF34</f>
        <v>3.8217857142857142E-3</v>
      </c>
      <c r="BG34" s="267">
        <f>Storage_Reconciled_prod!BG34</f>
        <v>3.9361290322580643E-3</v>
      </c>
      <c r="BH34" s="267">
        <f>Storage_Reconciled_prod!BH34</f>
        <v>3.6834444444444449E-3</v>
      </c>
      <c r="BI34" s="267">
        <f>Storage_Reconciled_prod!BI34</f>
        <v>3.954821917808219E-3</v>
      </c>
      <c r="BJ34" s="267">
        <f>Storage_Reconciled_prod!BJ34</f>
        <v>4.0666666666666663E-3</v>
      </c>
      <c r="BK34" s="267">
        <f>Storage_Reconciled_prod!BK34</f>
        <v>3.0645161290322582E-3</v>
      </c>
      <c r="BL34" s="267">
        <f>Storage_Reconciled_prod!BL34</f>
        <v>2.3999999999999998E-3</v>
      </c>
      <c r="BM34" s="267">
        <f>Storage_Reconciled_prod!BM34</f>
        <v>3.1758241758241758E-3</v>
      </c>
      <c r="BN34" s="267">
        <f>Storage_Reconciled_prod!BN34</f>
        <v>3.9032258064516127E-3</v>
      </c>
      <c r="BO34" s="267">
        <f>Storage_Reconciled_prod!BO34</f>
        <v>4.0322580645161289E-3</v>
      </c>
      <c r="BP34" s="267">
        <f>Storage_Reconciled_prod!BP34</f>
        <v>4.0666666666666663E-3</v>
      </c>
      <c r="BQ34" s="267">
        <f>Storage_Reconciled_prod!BQ34</f>
        <v>4.0000000000000001E-3</v>
      </c>
      <c r="BR34" s="267">
        <f>Storage_Reconciled_prod!BR34</f>
        <v>3.5901639344262295E-3</v>
      </c>
      <c r="BS34" s="267">
        <f>Storage_Reconciled_prod!BS34</f>
        <v>3.6451612903225807E-3</v>
      </c>
      <c r="BT34" s="267">
        <f>Storage_Reconciled_prod!BT34</f>
        <v>3.0999999999999999E-3</v>
      </c>
      <c r="BU34" s="267">
        <f>Storage_Reconciled_prod!BU34</f>
        <v>3.7419354838709681E-3</v>
      </c>
      <c r="BV34" s="267">
        <f>Storage_Reconciled_prod!BV34</f>
        <v>3.5000000000000001E-3</v>
      </c>
      <c r="BW34" s="267">
        <f>Storage_Reconciled_prod!BW34</f>
        <v>3.5600000000000002E-3</v>
      </c>
      <c r="BX34" s="267">
        <f>Storage_Reconciled_prod!BX34</f>
        <v>3.5483870967741938E-3</v>
      </c>
      <c r="BY34" s="267">
        <f>Storage_Reconciled_prod!BY34</f>
        <v>2.5357142857142857E-3</v>
      </c>
      <c r="BZ34" s="267">
        <f>Storage_Reconciled_prod!BZ34</f>
        <v>0</v>
      </c>
      <c r="CA34" s="267">
        <f>Storage_Reconciled_prod!CA34</f>
        <v>2.0111111111111111E-3</v>
      </c>
      <c r="CB34" s="267">
        <f>Storage_Reconciled_prod!CB34</f>
        <v>3.1780821917808222E-3</v>
      </c>
      <c r="CC34" s="267">
        <f>Storage_Reconciled_prod!CC34</f>
        <v>2.9666666666666665E-3</v>
      </c>
      <c r="CD34" s="267">
        <f>Storage_Reconciled_prod!CD34</f>
        <v>3.3861290322580642E-3</v>
      </c>
      <c r="CE34" s="267">
        <f>Storage_Reconciled_prod!CE34</f>
        <v>3.4336666666666669E-3</v>
      </c>
      <c r="CF34" s="267">
        <f>Storage_Reconciled_prod!CF34</f>
        <v>3.2635164835164831E-3</v>
      </c>
      <c r="CG34" s="267">
        <f>Storage_Reconciled_prod!CG34</f>
        <v>3.4519354838709678E-3</v>
      </c>
      <c r="CH34" s="267">
        <f>Storage_Reconciled_prod!CH34</f>
        <v>0</v>
      </c>
      <c r="CI34" s="267">
        <f>Storage_Reconciled_prod!CI34</f>
        <v>0</v>
      </c>
      <c r="CJ34" s="267">
        <f>Storage_Reconciled_prod!CJ34</f>
        <v>1.1631521739130435E-3</v>
      </c>
      <c r="CK34" s="267">
        <f>Storage_Reconciled_prod!CK34</f>
        <v>2.2075956284153004E-3</v>
      </c>
      <c r="CL34" s="267">
        <f>Storage_Reconciled_prod!CL34</f>
        <v>0</v>
      </c>
      <c r="CM34" s="267">
        <f>Storage_Reconciled_prod!CM34</f>
        <v>0</v>
      </c>
      <c r="CN34" s="267">
        <f>Storage_Reconciled_prod!CN34</f>
        <v>0</v>
      </c>
      <c r="CO34" s="267">
        <f>Storage_Reconciled_prod!CO34</f>
        <v>0</v>
      </c>
      <c r="CP34" s="267">
        <f>Storage_Reconciled_prod!CP34</f>
        <v>1.4690545454545453E-3</v>
      </c>
      <c r="CQ34" s="267">
        <f>Storage_Reconciled_prod!CQ34</f>
        <v>0</v>
      </c>
      <c r="CR34" s="267">
        <f>Storage_Reconciled_prod!CR34</f>
        <v>0</v>
      </c>
      <c r="CS34" s="267">
        <f>Storage_Reconciled_prod!CS34</f>
        <v>0</v>
      </c>
      <c r="CT34" s="267">
        <f>Storage_Reconciled_prod!CT34</f>
        <v>0</v>
      </c>
      <c r="CU34" s="267">
        <f>Storage_Reconciled_prod!CU34</f>
        <v>1.106821917808219E-3</v>
      </c>
    </row>
    <row r="35" spans="1:99">
      <c r="C35">
        <v>10</v>
      </c>
      <c r="D35" s="209" t="s">
        <v>64</v>
      </c>
      <c r="E35" s="267">
        <f>Storage_Reconciled_prod!E35</f>
        <v>0.16805476666666666</v>
      </c>
      <c r="F35" s="267">
        <f>Storage_Reconciled_prod!F35</f>
        <v>0.17582016129032257</v>
      </c>
      <c r="G35" s="267">
        <f>Storage_Reconciled_prod!G35</f>
        <v>0.1605288</v>
      </c>
      <c r="H35" s="267">
        <f>Storage_Reconciled_prod!H35</f>
        <v>0.16821903296703297</v>
      </c>
      <c r="I35" s="267">
        <f>Storage_Reconciled_prod!I35</f>
        <v>0.17434890322580646</v>
      </c>
      <c r="J35" s="267">
        <f>Storage_Reconciled_prod!J35</f>
        <v>0.18303474193548386</v>
      </c>
      <c r="K35" s="267">
        <f>Storage_Reconciled_prod!K35</f>
        <v>0.14950140000000001</v>
      </c>
      <c r="L35" s="267">
        <f>Storage_Reconciled_prod!L35</f>
        <v>0.16917320652173914</v>
      </c>
      <c r="M35" s="267">
        <f>Storage_Reconciled_prod!M35</f>
        <v>0.16869872677595629</v>
      </c>
      <c r="N35" s="267">
        <f>Storage_Reconciled_prod!N35</f>
        <v>0.15982819354838709</v>
      </c>
      <c r="O35" s="267">
        <f>Storage_Reconciled_prod!O35</f>
        <v>0.22988529999999999</v>
      </c>
      <c r="P35" s="267">
        <f>Storage_Reconciled_prod!P35</f>
        <v>0.1685552258064516</v>
      </c>
      <c r="Q35" s="267">
        <f>Storage_Reconciled_prod!Q35</f>
        <v>0.18561353260869565</v>
      </c>
      <c r="R35" s="267">
        <f>Storage_Reconciled_prod!R35</f>
        <v>0.1743574981818182</v>
      </c>
      <c r="S35" s="267">
        <f>Storage_Reconciled_prod!S35</f>
        <v>0.17564925806451612</v>
      </c>
      <c r="T35" s="267">
        <f>Storage_Reconciled_prod!T35</f>
        <v>0.12377985714285714</v>
      </c>
      <c r="U35" s="267">
        <f>Storage_Reconciled_prod!U35</f>
        <v>0.12782719354838709</v>
      </c>
      <c r="V35" s="267">
        <f>Storage_Reconciled_prod!V35</f>
        <v>0.14304006666666666</v>
      </c>
      <c r="W35" s="267">
        <f>Storage_Reconciled_prod!W35</f>
        <v>0.1666353917808219</v>
      </c>
      <c r="X35" s="267">
        <f>Storage_Reconciled_prod!X35</f>
        <v>0.160135</v>
      </c>
      <c r="Y35" s="267">
        <f>Storage_Reconciled_prod!Y35</f>
        <v>0.16116548387096774</v>
      </c>
      <c r="Z35" s="267">
        <f>Storage_Reconciled_prod!Z35</f>
        <v>0.16580966666666666</v>
      </c>
      <c r="AA35" s="267">
        <f>Storage_Reconciled_prod!AA35</f>
        <v>0.16235681318681319</v>
      </c>
      <c r="AB35" s="267">
        <f>Storage_Reconciled_prod!AB35</f>
        <v>0.19801967741935483</v>
      </c>
      <c r="AC35" s="267">
        <f>Storage_Reconciled_prod!AC35</f>
        <v>0.20512</v>
      </c>
      <c r="AD35" s="267">
        <f>Storage_Reconciled_prod!AD35</f>
        <v>0.20239166666666666</v>
      </c>
      <c r="AE35" s="267">
        <f>Storage_Reconciled_prod!AE35</f>
        <v>0.20183782608695652</v>
      </c>
      <c r="AF35" s="267">
        <f>Storage_Reconciled_prod!AF35</f>
        <v>0.1822051912568306</v>
      </c>
      <c r="AG35" s="267">
        <f>Storage_Reconciled_prod!AG35</f>
        <v>0.22386290322580646</v>
      </c>
      <c r="AH35" s="267">
        <f>Storage_Reconciled_prod!AH35</f>
        <v>0.22439466666666666</v>
      </c>
      <c r="AI35" s="267">
        <f>Storage_Reconciled_prod!AI35</f>
        <v>0.22532354838709678</v>
      </c>
      <c r="AJ35" s="267">
        <f>Storage_Reconciled_prod!AJ35</f>
        <v>0.22452847826086958</v>
      </c>
      <c r="AK35" s="267">
        <f>Storage_Reconciled_prod!AK35</f>
        <v>0.19636425454545453</v>
      </c>
      <c r="AL35" s="267">
        <f>Storage_Reconciled_prod!AL35</f>
        <v>0.24087774193548386</v>
      </c>
      <c r="AM35" s="267">
        <f>Storage_Reconciled_prod!AM35</f>
        <v>0.23634137931034485</v>
      </c>
      <c r="AN35" s="267">
        <f>Storage_Reconciled_prod!AN35</f>
        <v>0.23275451612903225</v>
      </c>
      <c r="AO35" s="267">
        <f>Storage_Reconciled_prod!AO35</f>
        <v>0.23666483516483516</v>
      </c>
      <c r="AP35" s="267">
        <f>Storage_Reconciled_prod!AP35</f>
        <v>0.20638434426229507</v>
      </c>
      <c r="AQ35" s="267">
        <f>Storage_Reconciled_prod!AQ35</f>
        <v>0.23236666666666667</v>
      </c>
      <c r="AR35" s="267">
        <f>Storage_Reconciled_prod!AR35</f>
        <v>0.22287096774193549</v>
      </c>
      <c r="AS35" s="267">
        <f>Storage_Reconciled_prod!AS35</f>
        <v>0.21476666666666666</v>
      </c>
      <c r="AT35" s="267">
        <f>Storage_Reconciled_prod!AT35</f>
        <v>0.22332967032967033</v>
      </c>
      <c r="AU35" s="267">
        <f>Storage_Reconciled_prod!AU35</f>
        <v>0.21306451612903227</v>
      </c>
      <c r="AV35" s="267">
        <f>Storage_Reconciled_prod!AV35</f>
        <v>0.2017741935483871</v>
      </c>
      <c r="AW35" s="267">
        <f>Storage_Reconciled_prod!AW35</f>
        <v>0.21493333333333334</v>
      </c>
      <c r="AX35" s="267">
        <f>Storage_Reconciled_prod!AX35</f>
        <v>0.20986956521739131</v>
      </c>
      <c r="AY35" s="267">
        <f>Storage_Reconciled_prod!AY35</f>
        <v>0.21656284153005464</v>
      </c>
      <c r="AZ35" s="267">
        <f>Storage_Reconciled_prod!AZ35</f>
        <v>0.20732258064516126</v>
      </c>
      <c r="BA35" s="267">
        <f>Storage_Reconciled_prod!BA35</f>
        <v>0.22626666666666667</v>
      </c>
      <c r="BB35" s="267">
        <f>Storage_Reconciled_prod!BB35</f>
        <v>0.23483870967741935</v>
      </c>
      <c r="BC35" s="267">
        <f>Storage_Reconciled_prod!BC35</f>
        <v>0.2227717391304348</v>
      </c>
      <c r="BD35" s="267">
        <f>Storage_Reconciled_prod!BD35</f>
        <v>0.21864000000000003</v>
      </c>
      <c r="BE35" s="267">
        <f>Storage_Reconciled_prod!BE35</f>
        <v>0.24795838709677417</v>
      </c>
      <c r="BF35" s="267">
        <f>Storage_Reconciled_prod!BF35</f>
        <v>0.21811892857142859</v>
      </c>
      <c r="BG35" s="267">
        <f>Storage_Reconciled_prod!BG35</f>
        <v>0.20601369206616924</v>
      </c>
      <c r="BH35" s="267">
        <f>Storage_Reconciled_prod!BH35</f>
        <v>0.22422738282279164</v>
      </c>
      <c r="BI35" s="267">
        <f>Storage_Reconciled_prod!BI35</f>
        <v>0.22001771083301713</v>
      </c>
      <c r="BJ35" s="267">
        <f>Storage_Reconciled_prod!BJ35</f>
        <v>0.19126666666666667</v>
      </c>
      <c r="BK35" s="267">
        <f>Storage_Reconciled_prod!BK35</f>
        <v>0.1884193548387097</v>
      </c>
      <c r="BL35" s="267">
        <f>Storage_Reconciled_prod!BL35</f>
        <v>0.18953333333333333</v>
      </c>
      <c r="BM35" s="267">
        <f>Storage_Reconciled_prod!BM35</f>
        <v>0.18972527472527473</v>
      </c>
      <c r="BN35" s="267">
        <f>Storage_Reconciled_prod!BN35</f>
        <v>0.20270967741935483</v>
      </c>
      <c r="BO35" s="267">
        <f>Storage_Reconciled_prod!BO35</f>
        <v>0.21251612903225806</v>
      </c>
      <c r="BP35" s="267">
        <f>Storage_Reconciled_prod!BP35</f>
        <v>0.1958</v>
      </c>
      <c r="BQ35" s="267">
        <f>Storage_Reconciled_prod!BQ35</f>
        <v>0.20376086956521738</v>
      </c>
      <c r="BR35" s="267">
        <f>Storage_Reconciled_prod!BR35</f>
        <v>0.1967814207650273</v>
      </c>
      <c r="BS35" s="267">
        <f>Storage_Reconciled_prod!BS35</f>
        <v>0.1984516129032258</v>
      </c>
      <c r="BT35" s="267">
        <f>Storage_Reconciled_prod!BT35</f>
        <v>0.21546666666666667</v>
      </c>
      <c r="BU35" s="267">
        <f>Storage_Reconciled_prod!BU35</f>
        <v>0.20580645161290323</v>
      </c>
      <c r="BV35" s="267">
        <f>Storage_Reconciled_prod!BV35</f>
        <v>0.20647826086956519</v>
      </c>
      <c r="BW35" s="267">
        <f>Storage_Reconciled_prod!BW35</f>
        <v>0.20002545454545451</v>
      </c>
      <c r="BX35" s="267">
        <f>Storage_Reconciled_prod!BX35</f>
        <v>0.12619354838709676</v>
      </c>
      <c r="BY35" s="267">
        <f>Storage_Reconciled_prod!BY35</f>
        <v>0.22010714285714286</v>
      </c>
      <c r="BZ35" s="267">
        <f>Storage_Reconciled_prod!BZ35</f>
        <v>0</v>
      </c>
      <c r="CA35" s="267">
        <f>Storage_Reconciled_prod!CA35</f>
        <v>0.11194444444444443</v>
      </c>
      <c r="CB35" s="267">
        <f>Storage_Reconciled_prod!CB35</f>
        <v>0.17830684931506849</v>
      </c>
      <c r="CC35" s="267">
        <f>Storage_Reconciled_prod!CC35</f>
        <v>0.20245600000000002</v>
      </c>
      <c r="CD35" s="267">
        <f>Storage_Reconciled_prod!CD35</f>
        <v>0.19437000000000001</v>
      </c>
      <c r="CE35" s="267">
        <f>Storage_Reconciled_prod!CE35</f>
        <v>0.19165266666666667</v>
      </c>
      <c r="CF35" s="267">
        <f>Storage_Reconciled_prod!CF35</f>
        <v>0.19613989010989014</v>
      </c>
      <c r="CG35" s="267">
        <f>Storage_Reconciled_prod!CG35</f>
        <v>0.19517483870967742</v>
      </c>
      <c r="CH35" s="267">
        <f>Storage_Reconciled_prod!CH35</f>
        <v>0</v>
      </c>
      <c r="CI35" s="267">
        <f>Storage_Reconciled_prod!CI35</f>
        <v>0</v>
      </c>
      <c r="CJ35" s="267">
        <f>Storage_Reconciled_prod!CJ35</f>
        <v>6.5765434782608698E-2</v>
      </c>
      <c r="CK35" s="267">
        <f>Storage_Reconciled_prod!CK35</f>
        <v>0.1305964480874317</v>
      </c>
      <c r="CL35" s="267">
        <f>Storage_Reconciled_prod!CL35</f>
        <v>0</v>
      </c>
      <c r="CM35" s="267">
        <f>Storage_Reconciled_prod!CM35</f>
        <v>0</v>
      </c>
      <c r="CN35" s="267">
        <f>Storage_Reconciled_prod!CN35</f>
        <v>0</v>
      </c>
      <c r="CO35" s="267">
        <f>Storage_Reconciled_prod!CO35</f>
        <v>0</v>
      </c>
      <c r="CP35" s="267">
        <f>Storage_Reconciled_prod!CP35</f>
        <v>8.6906000000000011E-2</v>
      </c>
      <c r="CQ35" s="267">
        <f>Storage_Reconciled_prod!CQ35</f>
        <v>0</v>
      </c>
      <c r="CR35" s="267">
        <f>Storage_Reconciled_prod!CR35</f>
        <v>0</v>
      </c>
      <c r="CS35" s="267">
        <f>Storage_Reconciled_prod!CS35</f>
        <v>0</v>
      </c>
      <c r="CT35" s="267">
        <f>Storage_Reconciled_prod!CT35</f>
        <v>0</v>
      </c>
      <c r="CU35" s="267">
        <f>Storage_Reconciled_prod!CU35</f>
        <v>6.5477123287671246E-2</v>
      </c>
    </row>
    <row r="36" spans="1:99">
      <c r="C36">
        <v>11</v>
      </c>
      <c r="D36" s="209" t="s">
        <v>65</v>
      </c>
      <c r="E36" s="267">
        <f>Storage_Reconciled_prod!E36</f>
        <v>3.1848600000000005E-2</v>
      </c>
      <c r="F36" s="267">
        <f>Storage_Reconciled_prod!F36</f>
        <v>3.6113032258064517E-2</v>
      </c>
      <c r="G36" s="267">
        <f>Storage_Reconciled_prod!G36</f>
        <v>5.1974933333333334E-2</v>
      </c>
      <c r="H36" s="267">
        <f>Storage_Reconciled_prod!H36</f>
        <v>3.9936373626373631E-2</v>
      </c>
      <c r="I36" s="267">
        <f>Storage_Reconciled_prod!I36</f>
        <v>5.0716999999999991E-2</v>
      </c>
      <c r="J36" s="267">
        <f>Storage_Reconciled_prod!J36</f>
        <v>5.3449322580645157E-2</v>
      </c>
      <c r="K36" s="267">
        <f>Storage_Reconciled_prod!K36</f>
        <v>5.1572533333333337E-2</v>
      </c>
      <c r="L36" s="267">
        <f>Storage_Reconciled_prod!L36</f>
        <v>5.1916652173913044E-2</v>
      </c>
      <c r="M36" s="267">
        <f>Storage_Reconciled_prod!M36</f>
        <v>4.5959245901639342E-2</v>
      </c>
      <c r="N36" s="267">
        <f>Storage_Reconciled_prod!N36</f>
        <v>3.8103161290322582E-2</v>
      </c>
      <c r="O36" s="267">
        <f>Storage_Reconciled_prod!O36</f>
        <v>6.5568333333333326E-2</v>
      </c>
      <c r="P36" s="267">
        <f>Storage_Reconciled_prod!P36</f>
        <v>6.1373709677419355E-2</v>
      </c>
      <c r="Q36" s="267">
        <f>Storage_Reconciled_prod!Q36</f>
        <v>5.4900358695652171E-2</v>
      </c>
      <c r="R36" s="267">
        <f>Storage_Reconciled_prod!R36</f>
        <v>4.8950454545454547E-2</v>
      </c>
      <c r="S36" s="267">
        <f>Storage_Reconciled_prod!S36</f>
        <v>6.5746935483870977E-2</v>
      </c>
      <c r="T36" s="267">
        <f>Storage_Reconciled_prod!T36</f>
        <v>7.7462392857142862E-2</v>
      </c>
      <c r="U36" s="267">
        <f>Storage_Reconciled_prod!U36</f>
        <v>8.9484387096774198E-2</v>
      </c>
      <c r="V36" s="267">
        <f>Storage_Reconciled_prod!V36</f>
        <v>7.7567977777777783E-2</v>
      </c>
      <c r="W36" s="267">
        <f>Storage_Reconciled_prod!W36</f>
        <v>5.6006830136986298E-2</v>
      </c>
      <c r="X36" s="267">
        <f>Storage_Reconciled_prod!X36</f>
        <v>8.8291666666666671E-2</v>
      </c>
      <c r="Y36" s="267">
        <f>Storage_Reconciled_prod!Y36</f>
        <v>8.6970645161290314E-2</v>
      </c>
      <c r="Z36" s="267">
        <f>Storage_Reconciled_prod!Z36</f>
        <v>8.3636000000000002E-2</v>
      </c>
      <c r="AA36" s="267">
        <f>Storage_Reconciled_prod!AA36</f>
        <v>8.6306813186813186E-2</v>
      </c>
      <c r="AB36" s="267">
        <f>Storage_Reconciled_prod!AB36</f>
        <v>8.6019032258064509E-2</v>
      </c>
      <c r="AC36" s="267">
        <f>Storage_Reconciled_prod!AC36</f>
        <v>7.6883548387096767E-2</v>
      </c>
      <c r="AD36" s="267">
        <f>Storage_Reconciled_prod!AD36</f>
        <v>7.7224333333333339E-2</v>
      </c>
      <c r="AE36" s="267">
        <f>Storage_Reconciled_prod!AE36</f>
        <v>8.0072934782608685E-2</v>
      </c>
      <c r="AF36" s="267">
        <f>Storage_Reconciled_prod!AF36</f>
        <v>8.317284153005465E-2</v>
      </c>
      <c r="AG36" s="267">
        <f>Storage_Reconciled_prod!AG36</f>
        <v>6.1642903225806449E-2</v>
      </c>
      <c r="AH36" s="267">
        <f>Storage_Reconciled_prod!AH36</f>
        <v>0.12355233333333333</v>
      </c>
      <c r="AI36" s="267">
        <f>Storage_Reconciled_prod!AI36</f>
        <v>9.7039354838709679E-2</v>
      </c>
      <c r="AJ36" s="267">
        <f>Storage_Reconciled_prod!AJ36</f>
        <v>9.3757826086956514E-2</v>
      </c>
      <c r="AK36" s="267">
        <f>Storage_Reconciled_prod!AK36</f>
        <v>8.6713999999999999E-2</v>
      </c>
      <c r="AL36" s="267">
        <f>Storage_Reconciled_prod!AL36</f>
        <v>9.6177096774193546E-2</v>
      </c>
      <c r="AM36" s="267">
        <f>Storage_Reconciled_prod!AM36</f>
        <v>9.9567586206896555E-2</v>
      </c>
      <c r="AN36" s="267">
        <f>Storage_Reconciled_prod!AN36</f>
        <v>9.8294193548387102E-2</v>
      </c>
      <c r="AO36" s="267">
        <f>Storage_Reconciled_prod!AO36</f>
        <v>9.7978791208791202E-2</v>
      </c>
      <c r="AP36" s="267">
        <f>Storage_Reconciled_prod!AP36</f>
        <v>8.9514808743169402E-2</v>
      </c>
      <c r="AQ36" s="267">
        <f>Storage_Reconciled_prod!AQ36</f>
        <v>0.10769999999999999</v>
      </c>
      <c r="AR36" s="267">
        <f>Storage_Reconciled_prod!AR36</f>
        <v>0.1137741935483871</v>
      </c>
      <c r="AS36" s="267">
        <f>Storage_Reconciled_prod!AS36</f>
        <v>6.646666666666666E-2</v>
      </c>
      <c r="AT36" s="267">
        <f>Storage_Reconciled_prod!AT36</f>
        <v>9.6175824175824182E-2</v>
      </c>
      <c r="AU36" s="267">
        <f>Storage_Reconciled_prod!AU36</f>
        <v>0.1156774193548387</v>
      </c>
      <c r="AV36" s="267">
        <f>Storage_Reconciled_prod!AV36</f>
        <v>0.12000000000000001</v>
      </c>
      <c r="AW36" s="267">
        <f>Storage_Reconciled_prod!AW36</f>
        <v>0.11313333333333334</v>
      </c>
      <c r="AX36" s="267">
        <f>Storage_Reconciled_prod!AX36</f>
        <v>0.11630434782608695</v>
      </c>
      <c r="AY36" s="267">
        <f>Storage_Reconciled_prod!AY36</f>
        <v>0.1062950819672131</v>
      </c>
      <c r="AZ36" s="267">
        <f>Storage_Reconciled_prod!AZ36</f>
        <v>0.1606774193548387</v>
      </c>
      <c r="BA36" s="267">
        <f>Storage_Reconciled_prod!BA36</f>
        <v>0.11893333333333334</v>
      </c>
      <c r="BB36" s="267">
        <f>Storage_Reconciled_prod!BB36</f>
        <v>0.11687096774193549</v>
      </c>
      <c r="BC36" s="267">
        <f>Storage_Reconciled_prod!BC36</f>
        <v>0.13230434782608697</v>
      </c>
      <c r="BD36" s="267">
        <f>Storage_Reconciled_prod!BD36</f>
        <v>0.11499636363636363</v>
      </c>
      <c r="BE36" s="267">
        <f>Storage_Reconciled_prod!BE36</f>
        <v>0.13947903225806452</v>
      </c>
      <c r="BF36" s="267">
        <f>Storage_Reconciled_prod!BF36</f>
        <v>0.11323964285714286</v>
      </c>
      <c r="BG36" s="267">
        <f>Storage_Reconciled_prod!BG36</f>
        <v>8.1906287535601002E-2</v>
      </c>
      <c r="BH36" s="267">
        <f>Storage_Reconciled_prod!BH36</f>
        <v>0.11148505459559589</v>
      </c>
      <c r="BI36" s="267">
        <f>Storage_Reconciled_prod!BI36</f>
        <v>0.11413056140713324</v>
      </c>
      <c r="BJ36" s="267">
        <f>Storage_Reconciled_prod!BJ36</f>
        <v>0.13766666666666666</v>
      </c>
      <c r="BK36" s="267">
        <f>Storage_Reconciled_prod!BK36</f>
        <v>8.2129032258064505E-2</v>
      </c>
      <c r="BL36" s="267">
        <f>Storage_Reconciled_prod!BL36</f>
        <v>6.6233333333333338E-2</v>
      </c>
      <c r="BM36" s="267">
        <f>Storage_Reconciled_prod!BM36</f>
        <v>9.5197802197802203E-2</v>
      </c>
      <c r="BN36" s="267">
        <f>Storage_Reconciled_prod!BN36</f>
        <v>7.9709677419354835E-2</v>
      </c>
      <c r="BO36" s="267">
        <f>Storage_Reconciled_prod!BO36</f>
        <v>9.1483870967741937E-2</v>
      </c>
      <c r="BP36" s="267">
        <f>Storage_Reconciled_prod!BP36</f>
        <v>9.74E-2</v>
      </c>
      <c r="BQ36" s="267">
        <f>Storage_Reconciled_prod!BQ36</f>
        <v>8.9445652173913051E-2</v>
      </c>
      <c r="BR36" s="267">
        <f>Storage_Reconciled_prod!BR36</f>
        <v>9.2306010928961763E-2</v>
      </c>
      <c r="BS36" s="267">
        <f>Storage_Reconciled_prod!BS36</f>
        <v>9.7838709677419353E-2</v>
      </c>
      <c r="BT36" s="267">
        <f>Storage_Reconciled_prod!BT36</f>
        <v>9.8033333333333333E-2</v>
      </c>
      <c r="BU36" s="267">
        <f>Storage_Reconciled_prod!BU36</f>
        <v>8.8064516129032253E-2</v>
      </c>
      <c r="BV36" s="267">
        <f>Storage_Reconciled_prod!BV36</f>
        <v>9.4608695652173919E-2</v>
      </c>
      <c r="BW36" s="267">
        <f>Storage_Reconciled_prod!BW36</f>
        <v>9.3076363636363652E-2</v>
      </c>
      <c r="BX36" s="267">
        <f>Storage_Reconciled_prod!BX36</f>
        <v>3.9225806451612902E-2</v>
      </c>
      <c r="BY36" s="267">
        <f>Storage_Reconciled_prod!BY36</f>
        <v>0.11460714285714287</v>
      </c>
      <c r="BZ36" s="267">
        <f>Storage_Reconciled_prod!BZ36</f>
        <v>0</v>
      </c>
      <c r="CA36" s="267">
        <f>Storage_Reconciled_prod!CA36</f>
        <v>4.9166666666666664E-2</v>
      </c>
      <c r="CB36" s="267">
        <f>Storage_Reconciled_prod!CB36</f>
        <v>8.2249315068493159E-2</v>
      </c>
      <c r="CC36" s="267">
        <f>Storage_Reconciled_prod!CC36</f>
        <v>9.3833E-2</v>
      </c>
      <c r="CD36" s="267">
        <f>Storage_Reconciled_prod!CD36</f>
        <v>9.2815806451612901E-2</v>
      </c>
      <c r="CE36" s="267">
        <f>Storage_Reconciled_prod!CE36</f>
        <v>8.6883666666666665E-2</v>
      </c>
      <c r="CF36" s="267">
        <f>Storage_Reconciled_prod!CF36</f>
        <v>9.1195494505494509E-2</v>
      </c>
      <c r="CG36" s="267">
        <f>Storage_Reconciled_prod!CG36</f>
        <v>9.5066774193548392E-2</v>
      </c>
      <c r="CH36" s="267">
        <f>Storage_Reconciled_prod!CH36</f>
        <v>0</v>
      </c>
      <c r="CI36" s="267">
        <f>Storage_Reconciled_prod!CI36</f>
        <v>0</v>
      </c>
      <c r="CJ36" s="267">
        <f>Storage_Reconciled_prod!CJ36</f>
        <v>3.2033369565217393E-2</v>
      </c>
      <c r="CK36" s="267">
        <f>Storage_Reconciled_prod!CK36</f>
        <v>6.1452786885245907E-2</v>
      </c>
      <c r="CL36" s="267">
        <f>Storage_Reconciled_prod!CL36</f>
        <v>0</v>
      </c>
      <c r="CM36" s="267">
        <f>Storage_Reconciled_prod!CM36</f>
        <v>0</v>
      </c>
      <c r="CN36" s="267">
        <f>Storage_Reconciled_prod!CN36</f>
        <v>0</v>
      </c>
      <c r="CO36" s="267">
        <f>Storage_Reconciled_prod!CO36</f>
        <v>0</v>
      </c>
      <c r="CP36" s="267">
        <f>Storage_Reconciled_prod!CP36</f>
        <v>4.0894036363636366E-2</v>
      </c>
      <c r="CQ36" s="267">
        <f>Storage_Reconciled_prod!CQ36</f>
        <v>0</v>
      </c>
      <c r="CR36" s="267">
        <f>Storage_Reconciled_prod!CR36</f>
        <v>0</v>
      </c>
      <c r="CS36" s="267">
        <f>Storage_Reconciled_prod!CS36</f>
        <v>0</v>
      </c>
      <c r="CT36" s="267">
        <f>Storage_Reconciled_prod!CT36</f>
        <v>0</v>
      </c>
      <c r="CU36" s="267">
        <f>Storage_Reconciled_prod!CU36</f>
        <v>3.0810575342465753E-2</v>
      </c>
    </row>
    <row r="37" spans="1:99">
      <c r="C37">
        <v>12</v>
      </c>
      <c r="D37" s="209" t="s">
        <v>66</v>
      </c>
      <c r="E37" s="267">
        <f>Storage_Reconciled_prod!E37</f>
        <v>0</v>
      </c>
      <c r="F37" s="267">
        <f>Storage_Reconciled_prod!F37</f>
        <v>0</v>
      </c>
      <c r="G37" s="267">
        <f>Storage_Reconciled_prod!G37</f>
        <v>0</v>
      </c>
      <c r="H37" s="267">
        <f>Storage_Reconciled_prod!H37</f>
        <v>0</v>
      </c>
      <c r="I37" s="267">
        <f>Storage_Reconciled_prod!I37</f>
        <v>0</v>
      </c>
      <c r="J37" s="267">
        <f>Storage_Reconciled_prod!J37</f>
        <v>0</v>
      </c>
      <c r="K37" s="267">
        <f>Storage_Reconciled_prod!K37</f>
        <v>0</v>
      </c>
      <c r="L37" s="267">
        <f>Storage_Reconciled_prod!L37</f>
        <v>0</v>
      </c>
      <c r="M37" s="267">
        <f>Storage_Reconciled_prod!M37</f>
        <v>0</v>
      </c>
      <c r="N37" s="267">
        <f>Storage_Reconciled_prod!N37</f>
        <v>0</v>
      </c>
      <c r="O37" s="267">
        <f>Storage_Reconciled_prod!O37</f>
        <v>0</v>
      </c>
      <c r="P37" s="267">
        <f>Storage_Reconciled_prod!P37</f>
        <v>0</v>
      </c>
      <c r="Q37" s="267">
        <f>Storage_Reconciled_prod!Q37</f>
        <v>0</v>
      </c>
      <c r="R37" s="267">
        <f>Storage_Reconciled_prod!R37</f>
        <v>0</v>
      </c>
      <c r="S37" s="267">
        <f>Storage_Reconciled_prod!S37</f>
        <v>0</v>
      </c>
      <c r="T37" s="267">
        <f>Storage_Reconciled_prod!T37</f>
        <v>0</v>
      </c>
      <c r="U37" s="267">
        <f>Storage_Reconciled_prod!U37</f>
        <v>0</v>
      </c>
      <c r="V37" s="267">
        <f>Storage_Reconciled_prod!V37</f>
        <v>0</v>
      </c>
      <c r="W37" s="267">
        <f>Storage_Reconciled_prod!W37</f>
        <v>0</v>
      </c>
      <c r="X37" s="267">
        <f>Storage_Reconciled_prod!X37</f>
        <v>0</v>
      </c>
      <c r="Y37" s="267">
        <f>Storage_Reconciled_prod!Y37</f>
        <v>0</v>
      </c>
      <c r="Z37" s="267">
        <f>Storage_Reconciled_prod!Z37</f>
        <v>0</v>
      </c>
      <c r="AA37" s="267">
        <f>Storage_Reconciled_prod!AA37</f>
        <v>0</v>
      </c>
      <c r="AB37" s="267">
        <f>Storage_Reconciled_prod!AB37</f>
        <v>0</v>
      </c>
      <c r="AC37" s="267">
        <f>Storage_Reconciled_prod!AC37</f>
        <v>0</v>
      </c>
      <c r="AD37" s="267">
        <f>Storage_Reconciled_prod!AD37</f>
        <v>0</v>
      </c>
      <c r="AE37" s="267">
        <f>Storage_Reconciled_prod!AE37</f>
        <v>0</v>
      </c>
      <c r="AF37" s="267">
        <f>Storage_Reconciled_prod!AF37</f>
        <v>0</v>
      </c>
      <c r="AG37" s="267">
        <f>Storage_Reconciled_prod!AG37</f>
        <v>0</v>
      </c>
      <c r="AH37" s="267">
        <f>Storage_Reconciled_prod!AH37</f>
        <v>0</v>
      </c>
      <c r="AI37" s="267">
        <f>Storage_Reconciled_prod!AI37</f>
        <v>0</v>
      </c>
      <c r="AJ37" s="267">
        <f>Storage_Reconciled_prod!AJ37</f>
        <v>0</v>
      </c>
      <c r="AK37" s="267">
        <f>Storage_Reconciled_prod!AK37</f>
        <v>0</v>
      </c>
      <c r="AL37" s="267">
        <f>Storage_Reconciled_prod!AL37</f>
        <v>0</v>
      </c>
      <c r="AM37" s="267">
        <f>Storage_Reconciled_prod!AM37</f>
        <v>0</v>
      </c>
      <c r="AN37" s="267">
        <f>Storage_Reconciled_prod!AN37</f>
        <v>0</v>
      </c>
      <c r="AO37" s="267">
        <f>Storage_Reconciled_prod!AO37</f>
        <v>0</v>
      </c>
      <c r="AP37" s="267">
        <f>Storage_Reconciled_prod!AP37</f>
        <v>0</v>
      </c>
      <c r="AQ37" s="267">
        <f>Storage_Reconciled_prod!AQ37</f>
        <v>0</v>
      </c>
      <c r="AR37" s="267">
        <f>Storage_Reconciled_prod!AR37</f>
        <v>0</v>
      </c>
      <c r="AS37" s="267">
        <f>Storage_Reconciled_prod!AS37</f>
        <v>0</v>
      </c>
      <c r="AT37" s="267">
        <f>Storage_Reconciled_prod!AT37</f>
        <v>0</v>
      </c>
      <c r="AU37" s="267">
        <f>Storage_Reconciled_prod!AU37</f>
        <v>0</v>
      </c>
      <c r="AV37" s="267">
        <f>Storage_Reconciled_prod!AV37</f>
        <v>0</v>
      </c>
      <c r="AW37" s="267">
        <f>Storage_Reconciled_prod!AW37</f>
        <v>0</v>
      </c>
      <c r="AX37" s="267">
        <f>Storage_Reconciled_prod!AX37</f>
        <v>0</v>
      </c>
      <c r="AY37" s="267">
        <f>Storage_Reconciled_prod!AY37</f>
        <v>0</v>
      </c>
      <c r="AZ37" s="267">
        <f>Storage_Reconciled_prod!AZ37</f>
        <v>0</v>
      </c>
      <c r="BA37" s="267">
        <f>Storage_Reconciled_prod!BA37</f>
        <v>0</v>
      </c>
      <c r="BB37" s="267">
        <f>Storage_Reconciled_prod!BB37</f>
        <v>0</v>
      </c>
      <c r="BC37" s="267">
        <f>Storage_Reconciled_prod!BC37</f>
        <v>0</v>
      </c>
      <c r="BD37" s="267">
        <f>Storage_Reconciled_prod!BD37</f>
        <v>0</v>
      </c>
      <c r="BE37" s="267">
        <f>Storage_Reconciled_prod!BE37</f>
        <v>0</v>
      </c>
      <c r="BF37" s="267">
        <f>Storage_Reconciled_prod!BF37</f>
        <v>0</v>
      </c>
      <c r="BG37" s="267">
        <f>Storage_Reconciled_prod!BG37</f>
        <v>0</v>
      </c>
      <c r="BH37" s="267">
        <f>Storage_Reconciled_prod!BH37</f>
        <v>0</v>
      </c>
      <c r="BI37" s="267">
        <f>Storage_Reconciled_prod!BI37</f>
        <v>0</v>
      </c>
      <c r="BJ37" s="267">
        <f>Storage_Reconciled_prod!BJ37</f>
        <v>0</v>
      </c>
      <c r="BK37" s="267">
        <f>Storage_Reconciled_prod!BK37</f>
        <v>0</v>
      </c>
      <c r="BL37" s="267">
        <f>Storage_Reconciled_prod!BL37</f>
        <v>0</v>
      </c>
      <c r="BM37" s="267">
        <f>Storage_Reconciled_prod!BM37</f>
        <v>0</v>
      </c>
      <c r="BN37" s="267">
        <f>Storage_Reconciled_prod!BN37</f>
        <v>0</v>
      </c>
      <c r="BO37" s="267">
        <f>Storage_Reconciled_prod!BO37</f>
        <v>0</v>
      </c>
      <c r="BP37" s="267">
        <f>Storage_Reconciled_prod!BP37</f>
        <v>0</v>
      </c>
      <c r="BQ37" s="267">
        <f>Storage_Reconciled_prod!BQ37</f>
        <v>0</v>
      </c>
      <c r="BR37" s="267">
        <f>Storage_Reconciled_prod!BR37</f>
        <v>0</v>
      </c>
      <c r="BS37" s="267">
        <f>Storage_Reconciled_prod!BS37</f>
        <v>0</v>
      </c>
      <c r="BT37" s="267">
        <f>Storage_Reconciled_prod!BT37</f>
        <v>0</v>
      </c>
      <c r="BU37" s="267">
        <f>Storage_Reconciled_prod!BU37</f>
        <v>0</v>
      </c>
      <c r="BV37" s="267">
        <f>Storage_Reconciled_prod!BV37</f>
        <v>0</v>
      </c>
      <c r="BW37" s="267">
        <f>Storage_Reconciled_prod!BW37</f>
        <v>0</v>
      </c>
      <c r="BX37" s="267">
        <f>Storage_Reconciled_prod!BX37</f>
        <v>0</v>
      </c>
      <c r="BY37" s="267">
        <f>Storage_Reconciled_prod!BY37</f>
        <v>0</v>
      </c>
      <c r="BZ37" s="267">
        <f>Storage_Reconciled_prod!BZ37</f>
        <v>0</v>
      </c>
      <c r="CA37" s="267">
        <f>Storage_Reconciled_prod!CA37</f>
        <v>0</v>
      </c>
      <c r="CB37" s="267">
        <f>Storage_Reconciled_prod!CB37</f>
        <v>0</v>
      </c>
      <c r="CC37" s="267">
        <f>Storage_Reconciled_prod!CC37</f>
        <v>0</v>
      </c>
      <c r="CD37" s="267">
        <f>Storage_Reconciled_prod!CD37</f>
        <v>0</v>
      </c>
      <c r="CE37" s="267">
        <f>Storage_Reconciled_prod!CE37</f>
        <v>0</v>
      </c>
      <c r="CF37" s="267">
        <f>Storage_Reconciled_prod!CF37</f>
        <v>0</v>
      </c>
      <c r="CG37" s="267">
        <f>Storage_Reconciled_prod!CG37</f>
        <v>0</v>
      </c>
      <c r="CH37" s="267">
        <f>Storage_Reconciled_prod!CH37</f>
        <v>0</v>
      </c>
      <c r="CI37" s="267">
        <f>Storage_Reconciled_prod!CI37</f>
        <v>0</v>
      </c>
      <c r="CJ37" s="267">
        <f>Storage_Reconciled_prod!CJ37</f>
        <v>0</v>
      </c>
      <c r="CK37" s="267">
        <f>Storage_Reconciled_prod!CK37</f>
        <v>0</v>
      </c>
      <c r="CL37" s="267">
        <f>Storage_Reconciled_prod!CL37</f>
        <v>0</v>
      </c>
      <c r="CM37" s="267">
        <f>Storage_Reconciled_prod!CM37</f>
        <v>0</v>
      </c>
      <c r="CN37" s="267">
        <f>Storage_Reconciled_prod!CN37</f>
        <v>0</v>
      </c>
      <c r="CO37" s="267">
        <f>Storage_Reconciled_prod!CO37</f>
        <v>0</v>
      </c>
      <c r="CP37" s="267">
        <f>Storage_Reconciled_prod!CP37</f>
        <v>0</v>
      </c>
      <c r="CQ37" s="267">
        <f>Storage_Reconciled_prod!CQ37</f>
        <v>0</v>
      </c>
      <c r="CR37" s="267">
        <f>Storage_Reconciled_prod!CR37</f>
        <v>0</v>
      </c>
      <c r="CS37" s="267">
        <f>Storage_Reconciled_prod!CS37</f>
        <v>0</v>
      </c>
      <c r="CT37" s="267">
        <f>Storage_Reconciled_prod!CT37</f>
        <v>0</v>
      </c>
      <c r="CU37" s="267">
        <f>Storage_Reconciled_prod!CU37</f>
        <v>0</v>
      </c>
    </row>
    <row r="38" spans="1:99">
      <c r="C38">
        <v>13</v>
      </c>
      <c r="D38" s="209" t="s">
        <v>67</v>
      </c>
      <c r="E38" s="267">
        <f>Storage_Reconciled_prod!E38</f>
        <v>0</v>
      </c>
      <c r="F38" s="267">
        <f>Storage_Reconciled_prod!F38</f>
        <v>0</v>
      </c>
      <c r="G38" s="267">
        <f>Storage_Reconciled_prod!G38</f>
        <v>0</v>
      </c>
      <c r="H38" s="267">
        <f>Storage_Reconciled_prod!H38</f>
        <v>0</v>
      </c>
      <c r="I38" s="267">
        <f>Storage_Reconciled_prod!I38</f>
        <v>0</v>
      </c>
      <c r="J38" s="267">
        <f>Storage_Reconciled_prod!J38</f>
        <v>0</v>
      </c>
      <c r="K38" s="267">
        <f>Storage_Reconciled_prod!K38</f>
        <v>0</v>
      </c>
      <c r="L38" s="267">
        <f>Storage_Reconciled_prod!L38</f>
        <v>0</v>
      </c>
      <c r="M38" s="267">
        <f>Storage_Reconciled_prod!M38</f>
        <v>0</v>
      </c>
      <c r="N38" s="267">
        <f>Storage_Reconciled_prod!N38</f>
        <v>0</v>
      </c>
      <c r="O38" s="267">
        <f>Storage_Reconciled_prod!O38</f>
        <v>0</v>
      </c>
      <c r="P38" s="267">
        <f>Storage_Reconciled_prod!P38</f>
        <v>0</v>
      </c>
      <c r="Q38" s="267">
        <f>Storage_Reconciled_prod!Q38</f>
        <v>0</v>
      </c>
      <c r="R38" s="267">
        <f>Storage_Reconciled_prod!R38</f>
        <v>0</v>
      </c>
      <c r="S38" s="267">
        <f>Storage_Reconciled_prod!S38</f>
        <v>0</v>
      </c>
      <c r="T38" s="267">
        <f>Storage_Reconciled_prod!T38</f>
        <v>0</v>
      </c>
      <c r="U38" s="267">
        <f>Storage_Reconciled_prod!U38</f>
        <v>0</v>
      </c>
      <c r="V38" s="267">
        <f>Storage_Reconciled_prod!V38</f>
        <v>0</v>
      </c>
      <c r="W38" s="267">
        <f>Storage_Reconciled_prod!W38</f>
        <v>0</v>
      </c>
      <c r="X38" s="267">
        <f>Storage_Reconciled_prod!X38</f>
        <v>0</v>
      </c>
      <c r="Y38" s="267">
        <f>Storage_Reconciled_prod!Y38</f>
        <v>0</v>
      </c>
      <c r="Z38" s="267">
        <f>Storage_Reconciled_prod!Z38</f>
        <v>0</v>
      </c>
      <c r="AA38" s="267">
        <f>Storage_Reconciled_prod!AA38</f>
        <v>0</v>
      </c>
      <c r="AB38" s="267">
        <f>Storage_Reconciled_prod!AB38</f>
        <v>0</v>
      </c>
      <c r="AC38" s="267">
        <f>Storage_Reconciled_prod!AC38</f>
        <v>0</v>
      </c>
      <c r="AD38" s="267">
        <f>Storage_Reconciled_prod!AD38</f>
        <v>0</v>
      </c>
      <c r="AE38" s="267">
        <f>Storage_Reconciled_prod!AE38</f>
        <v>0</v>
      </c>
      <c r="AF38" s="267">
        <f>Storage_Reconciled_prod!AF38</f>
        <v>0</v>
      </c>
      <c r="AG38" s="267">
        <f>Storage_Reconciled_prod!AG38</f>
        <v>0</v>
      </c>
      <c r="AH38" s="267">
        <f>Storage_Reconciled_prod!AH38</f>
        <v>0</v>
      </c>
      <c r="AI38" s="267">
        <f>Storage_Reconciled_prod!AI38</f>
        <v>0</v>
      </c>
      <c r="AJ38" s="267">
        <f>Storage_Reconciled_prod!AJ38</f>
        <v>0</v>
      </c>
      <c r="AK38" s="267">
        <f>Storage_Reconciled_prod!AK38</f>
        <v>0</v>
      </c>
      <c r="AL38" s="267">
        <f>Storage_Reconciled_prod!AL38</f>
        <v>0</v>
      </c>
      <c r="AM38" s="267">
        <f>Storage_Reconciled_prod!AM38</f>
        <v>0</v>
      </c>
      <c r="AN38" s="267">
        <f>Storage_Reconciled_prod!AN38</f>
        <v>0</v>
      </c>
      <c r="AO38" s="267">
        <f>Storage_Reconciled_prod!AO38</f>
        <v>0</v>
      </c>
      <c r="AP38" s="267">
        <f>Storage_Reconciled_prod!AP38</f>
        <v>0</v>
      </c>
      <c r="AQ38" s="267">
        <f>Storage_Reconciled_prod!AQ38</f>
        <v>0</v>
      </c>
      <c r="AR38" s="267">
        <f>Storage_Reconciled_prod!AR38</f>
        <v>0</v>
      </c>
      <c r="AS38" s="267">
        <f>Storage_Reconciled_prod!AS38</f>
        <v>0</v>
      </c>
      <c r="AT38" s="267">
        <f>Storage_Reconciled_prod!AT38</f>
        <v>0</v>
      </c>
      <c r="AU38" s="267">
        <f>Storage_Reconciled_prod!AU38</f>
        <v>0</v>
      </c>
      <c r="AV38" s="267">
        <f>Storage_Reconciled_prod!AV38</f>
        <v>0</v>
      </c>
      <c r="AW38" s="267">
        <f>Storage_Reconciled_prod!AW38</f>
        <v>0</v>
      </c>
      <c r="AX38" s="267">
        <f>Storage_Reconciled_prod!AX38</f>
        <v>0</v>
      </c>
      <c r="AY38" s="267">
        <f>Storage_Reconciled_prod!AY38</f>
        <v>0</v>
      </c>
      <c r="AZ38" s="267">
        <f>Storage_Reconciled_prod!AZ38</f>
        <v>0</v>
      </c>
      <c r="BA38" s="267">
        <f>Storage_Reconciled_prod!BA38</f>
        <v>0</v>
      </c>
      <c r="BB38" s="267">
        <f>Storage_Reconciled_prod!BB38</f>
        <v>0</v>
      </c>
      <c r="BC38" s="267">
        <f>Storage_Reconciled_prod!BC38</f>
        <v>0</v>
      </c>
      <c r="BD38" s="267">
        <f>Storage_Reconciled_prod!BD38</f>
        <v>0</v>
      </c>
      <c r="BE38" s="267">
        <f>Storage_Reconciled_prod!BE38</f>
        <v>0</v>
      </c>
      <c r="BF38" s="267">
        <f>Storage_Reconciled_prod!BF38</f>
        <v>0</v>
      </c>
      <c r="BG38" s="267">
        <f>Storage_Reconciled_prod!BG38</f>
        <v>0</v>
      </c>
      <c r="BH38" s="267">
        <f>Storage_Reconciled_prod!BH38</f>
        <v>0</v>
      </c>
      <c r="BI38" s="267">
        <f>Storage_Reconciled_prod!BI38</f>
        <v>0</v>
      </c>
      <c r="BJ38" s="267">
        <f>Storage_Reconciled_prod!BJ38</f>
        <v>0</v>
      </c>
      <c r="BK38" s="267">
        <f>Storage_Reconciled_prod!BK38</f>
        <v>0</v>
      </c>
      <c r="BL38" s="267">
        <f>Storage_Reconciled_prod!BL38</f>
        <v>0</v>
      </c>
      <c r="BM38" s="267">
        <f>Storage_Reconciled_prod!BM38</f>
        <v>0</v>
      </c>
      <c r="BN38" s="267">
        <f>Storage_Reconciled_prod!BN38</f>
        <v>0</v>
      </c>
      <c r="BO38" s="267">
        <f>Storage_Reconciled_prod!BO38</f>
        <v>0</v>
      </c>
      <c r="BP38" s="267">
        <f>Storage_Reconciled_prod!BP38</f>
        <v>0</v>
      </c>
      <c r="BQ38" s="267">
        <f>Storage_Reconciled_prod!BQ38</f>
        <v>0</v>
      </c>
      <c r="BR38" s="267">
        <f>Storage_Reconciled_prod!BR38</f>
        <v>0</v>
      </c>
      <c r="BS38" s="267">
        <f>Storage_Reconciled_prod!BS38</f>
        <v>0</v>
      </c>
      <c r="BT38" s="267">
        <f>Storage_Reconciled_prod!BT38</f>
        <v>0</v>
      </c>
      <c r="BU38" s="267">
        <f>Storage_Reconciled_prod!BU38</f>
        <v>0</v>
      </c>
      <c r="BV38" s="267">
        <f>Storage_Reconciled_prod!BV38</f>
        <v>0</v>
      </c>
      <c r="BW38" s="267">
        <f>Storage_Reconciled_prod!BW38</f>
        <v>0</v>
      </c>
      <c r="BX38" s="267">
        <f>Storage_Reconciled_prod!BX38</f>
        <v>0</v>
      </c>
      <c r="BY38" s="267">
        <f>Storage_Reconciled_prod!BY38</f>
        <v>0</v>
      </c>
      <c r="BZ38" s="267">
        <f>Storage_Reconciled_prod!BZ38</f>
        <v>0</v>
      </c>
      <c r="CA38" s="267">
        <f>Storage_Reconciled_prod!CA38</f>
        <v>0</v>
      </c>
      <c r="CB38" s="267">
        <f>Storage_Reconciled_prod!CB38</f>
        <v>0</v>
      </c>
      <c r="CC38" s="267">
        <f>Storage_Reconciled_prod!CC38</f>
        <v>0</v>
      </c>
      <c r="CD38" s="267">
        <f>Storage_Reconciled_prod!CD38</f>
        <v>0</v>
      </c>
      <c r="CE38" s="267">
        <f>Storage_Reconciled_prod!CE38</f>
        <v>0</v>
      </c>
      <c r="CF38" s="267">
        <f>Storage_Reconciled_prod!CF38</f>
        <v>0</v>
      </c>
      <c r="CG38" s="267">
        <f>Storage_Reconciled_prod!CG38</f>
        <v>0</v>
      </c>
      <c r="CH38" s="267">
        <f>Storage_Reconciled_prod!CH38</f>
        <v>0</v>
      </c>
      <c r="CI38" s="267">
        <f>Storage_Reconciled_prod!CI38</f>
        <v>0</v>
      </c>
      <c r="CJ38" s="267">
        <f>Storage_Reconciled_prod!CJ38</f>
        <v>0</v>
      </c>
      <c r="CK38" s="267">
        <f>Storage_Reconciled_prod!CK38</f>
        <v>0</v>
      </c>
      <c r="CL38" s="267">
        <f>Storage_Reconciled_prod!CL38</f>
        <v>0</v>
      </c>
      <c r="CM38" s="267">
        <f>Storage_Reconciled_prod!CM38</f>
        <v>0</v>
      </c>
      <c r="CN38" s="267">
        <f>Storage_Reconciled_prod!CN38</f>
        <v>0</v>
      </c>
      <c r="CO38" s="267">
        <f>Storage_Reconciled_prod!CO38</f>
        <v>0</v>
      </c>
      <c r="CP38" s="267">
        <f>Storage_Reconciled_prod!CP38</f>
        <v>0</v>
      </c>
      <c r="CQ38" s="267">
        <f>Storage_Reconciled_prod!CQ38</f>
        <v>0</v>
      </c>
      <c r="CR38" s="267">
        <f>Storage_Reconciled_prod!CR38</f>
        <v>0</v>
      </c>
      <c r="CS38" s="267">
        <f>Storage_Reconciled_prod!CS38</f>
        <v>0</v>
      </c>
      <c r="CT38" s="267">
        <f>Storage_Reconciled_prod!CT38</f>
        <v>0</v>
      </c>
      <c r="CU38" s="267">
        <f>Storage_Reconciled_prod!CU38</f>
        <v>0</v>
      </c>
    </row>
    <row r="39" spans="1:99">
      <c r="C39">
        <v>14</v>
      </c>
      <c r="D39" s="209" t="s">
        <v>68</v>
      </c>
      <c r="E39" s="267">
        <f>Storage_Reconciled_prod!E39</f>
        <v>0</v>
      </c>
      <c r="F39" s="267">
        <f>Storage_Reconciled_prod!F39</f>
        <v>0</v>
      </c>
      <c r="G39" s="267">
        <f>Storage_Reconciled_prod!G39</f>
        <v>0</v>
      </c>
      <c r="H39" s="267">
        <f>Storage_Reconciled_prod!H39</f>
        <v>0</v>
      </c>
      <c r="I39" s="267">
        <f>Storage_Reconciled_prod!I39</f>
        <v>0</v>
      </c>
      <c r="J39" s="267">
        <f>Storage_Reconciled_prod!J39</f>
        <v>0</v>
      </c>
      <c r="K39" s="267">
        <f>Storage_Reconciled_prod!K39</f>
        <v>0</v>
      </c>
      <c r="L39" s="267">
        <f>Storage_Reconciled_prod!L39</f>
        <v>0</v>
      </c>
      <c r="M39" s="267">
        <f>Storage_Reconciled_prod!M39</f>
        <v>0</v>
      </c>
      <c r="N39" s="267">
        <f>Storage_Reconciled_prod!N39</f>
        <v>0</v>
      </c>
      <c r="O39" s="267">
        <f>Storage_Reconciled_prod!O39</f>
        <v>0</v>
      </c>
      <c r="P39" s="267">
        <f>Storage_Reconciled_prod!P39</f>
        <v>0</v>
      </c>
      <c r="Q39" s="267">
        <f>Storage_Reconciled_prod!Q39</f>
        <v>0</v>
      </c>
      <c r="R39" s="267">
        <f>Storage_Reconciled_prod!R39</f>
        <v>0</v>
      </c>
      <c r="S39" s="267">
        <f>Storage_Reconciled_prod!S39</f>
        <v>0</v>
      </c>
      <c r="T39" s="267">
        <f>Storage_Reconciled_prod!T39</f>
        <v>0</v>
      </c>
      <c r="U39" s="267">
        <f>Storage_Reconciled_prod!U39</f>
        <v>0</v>
      </c>
      <c r="V39" s="267">
        <f>Storage_Reconciled_prod!V39</f>
        <v>0</v>
      </c>
      <c r="W39" s="267">
        <f>Storage_Reconciled_prod!W39</f>
        <v>0</v>
      </c>
      <c r="X39" s="267">
        <f>Storage_Reconciled_prod!X39</f>
        <v>0</v>
      </c>
      <c r="Y39" s="267">
        <f>Storage_Reconciled_prod!Y39</f>
        <v>0</v>
      </c>
      <c r="Z39" s="267">
        <f>Storage_Reconciled_prod!Z39</f>
        <v>0</v>
      </c>
      <c r="AA39" s="267">
        <f>Storage_Reconciled_prod!AA39</f>
        <v>0</v>
      </c>
      <c r="AB39" s="267">
        <f>Storage_Reconciled_prod!AB39</f>
        <v>0</v>
      </c>
      <c r="AC39" s="267">
        <f>Storage_Reconciled_prod!AC39</f>
        <v>0</v>
      </c>
      <c r="AD39" s="267">
        <f>Storage_Reconciled_prod!AD39</f>
        <v>0</v>
      </c>
      <c r="AE39" s="267">
        <f>Storage_Reconciled_prod!AE39</f>
        <v>0</v>
      </c>
      <c r="AF39" s="267">
        <f>Storage_Reconciled_prod!AF39</f>
        <v>0</v>
      </c>
      <c r="AG39" s="267">
        <f>Storage_Reconciled_prod!AG39</f>
        <v>0</v>
      </c>
      <c r="AH39" s="267">
        <f>Storage_Reconciled_prod!AH39</f>
        <v>0</v>
      </c>
      <c r="AI39" s="267">
        <f>Storage_Reconciled_prod!AI39</f>
        <v>0</v>
      </c>
      <c r="AJ39" s="267">
        <f>Storage_Reconciled_prod!AJ39</f>
        <v>0</v>
      </c>
      <c r="AK39" s="267">
        <f>Storage_Reconciled_prod!AK39</f>
        <v>0</v>
      </c>
      <c r="AL39" s="267">
        <f>Storage_Reconciled_prod!AL39</f>
        <v>0</v>
      </c>
      <c r="AM39" s="267">
        <f>Storage_Reconciled_prod!AM39</f>
        <v>0</v>
      </c>
      <c r="AN39" s="267">
        <f>Storage_Reconciled_prod!AN39</f>
        <v>0</v>
      </c>
      <c r="AO39" s="267">
        <f>Storage_Reconciled_prod!AO39</f>
        <v>0</v>
      </c>
      <c r="AP39" s="267">
        <f>Storage_Reconciled_prod!AP39</f>
        <v>0</v>
      </c>
      <c r="AQ39" s="267">
        <f>Storage_Reconciled_prod!AQ39</f>
        <v>0</v>
      </c>
      <c r="AR39" s="267">
        <f>Storage_Reconciled_prod!AR39</f>
        <v>0</v>
      </c>
      <c r="AS39" s="267">
        <f>Storage_Reconciled_prod!AS39</f>
        <v>0</v>
      </c>
      <c r="AT39" s="267">
        <f>Storage_Reconciled_prod!AT39</f>
        <v>0</v>
      </c>
      <c r="AU39" s="267">
        <f>Storage_Reconciled_prod!AU39</f>
        <v>0</v>
      </c>
      <c r="AV39" s="267">
        <f>Storage_Reconciled_prod!AV39</f>
        <v>0</v>
      </c>
      <c r="AW39" s="267">
        <f>Storage_Reconciled_prod!AW39</f>
        <v>0</v>
      </c>
      <c r="AX39" s="267">
        <f>Storage_Reconciled_prod!AX39</f>
        <v>0</v>
      </c>
      <c r="AY39" s="267">
        <f>Storage_Reconciled_prod!AY39</f>
        <v>0</v>
      </c>
      <c r="AZ39" s="267">
        <f>Storage_Reconciled_prod!AZ39</f>
        <v>0</v>
      </c>
      <c r="BA39" s="267">
        <f>Storage_Reconciled_prod!BA39</f>
        <v>0</v>
      </c>
      <c r="BB39" s="267">
        <f>Storage_Reconciled_prod!BB39</f>
        <v>0</v>
      </c>
      <c r="BC39" s="267">
        <f>Storage_Reconciled_prod!BC39</f>
        <v>0</v>
      </c>
      <c r="BD39" s="267">
        <f>Storage_Reconciled_prod!BD39</f>
        <v>0</v>
      </c>
      <c r="BE39" s="267">
        <f>Storage_Reconciled_prod!BE39</f>
        <v>0</v>
      </c>
      <c r="BF39" s="267">
        <f>Storage_Reconciled_prod!BF39</f>
        <v>0</v>
      </c>
      <c r="BG39" s="267">
        <f>Storage_Reconciled_prod!BG39</f>
        <v>0</v>
      </c>
      <c r="BH39" s="267">
        <f>Storage_Reconciled_prod!BH39</f>
        <v>0</v>
      </c>
      <c r="BI39" s="267">
        <f>Storage_Reconciled_prod!BI39</f>
        <v>0</v>
      </c>
      <c r="BJ39" s="267">
        <f>Storage_Reconciled_prod!BJ39</f>
        <v>0</v>
      </c>
      <c r="BK39" s="267">
        <f>Storage_Reconciled_prod!BK39</f>
        <v>0</v>
      </c>
      <c r="BL39" s="267">
        <f>Storage_Reconciled_prod!BL39</f>
        <v>0</v>
      </c>
      <c r="BM39" s="267">
        <f>Storage_Reconciled_prod!BM39</f>
        <v>0</v>
      </c>
      <c r="BN39" s="267">
        <f>Storage_Reconciled_prod!BN39</f>
        <v>0</v>
      </c>
      <c r="BO39" s="267">
        <f>Storage_Reconciled_prod!BO39</f>
        <v>0</v>
      </c>
      <c r="BP39" s="267">
        <f>Storage_Reconciled_prod!BP39</f>
        <v>0</v>
      </c>
      <c r="BQ39" s="267">
        <f>Storage_Reconciled_prod!BQ39</f>
        <v>0</v>
      </c>
      <c r="BR39" s="267">
        <f>Storage_Reconciled_prod!BR39</f>
        <v>0</v>
      </c>
      <c r="BS39" s="267">
        <f>Storage_Reconciled_prod!BS39</f>
        <v>0</v>
      </c>
      <c r="BT39" s="267">
        <f>Storage_Reconciled_prod!BT39</f>
        <v>0</v>
      </c>
      <c r="BU39" s="267">
        <f>Storage_Reconciled_prod!BU39</f>
        <v>0</v>
      </c>
      <c r="BV39" s="267">
        <f>Storage_Reconciled_prod!BV39</f>
        <v>0</v>
      </c>
      <c r="BW39" s="267">
        <f>Storage_Reconciled_prod!BW39</f>
        <v>0</v>
      </c>
      <c r="BX39" s="267">
        <f>Storage_Reconciled_prod!BX39</f>
        <v>0</v>
      </c>
      <c r="BY39" s="267">
        <f>Storage_Reconciled_prod!BY39</f>
        <v>0</v>
      </c>
      <c r="BZ39" s="267">
        <f>Storage_Reconciled_prod!BZ39</f>
        <v>0</v>
      </c>
      <c r="CA39" s="267">
        <f>Storage_Reconciled_prod!CA39</f>
        <v>0</v>
      </c>
      <c r="CB39" s="267">
        <f>Storage_Reconciled_prod!CB39</f>
        <v>0</v>
      </c>
      <c r="CC39" s="267">
        <f>Storage_Reconciled_prod!CC39</f>
        <v>0</v>
      </c>
      <c r="CD39" s="267">
        <f>Storage_Reconciled_prod!CD39</f>
        <v>0</v>
      </c>
      <c r="CE39" s="267">
        <f>Storage_Reconciled_prod!CE39</f>
        <v>0</v>
      </c>
      <c r="CF39" s="267">
        <f>Storage_Reconciled_prod!CF39</f>
        <v>0</v>
      </c>
      <c r="CG39" s="267">
        <f>Storage_Reconciled_prod!CG39</f>
        <v>0</v>
      </c>
      <c r="CH39" s="267">
        <f>Storage_Reconciled_prod!CH39</f>
        <v>0</v>
      </c>
      <c r="CI39" s="267">
        <f>Storage_Reconciled_prod!CI39</f>
        <v>0</v>
      </c>
      <c r="CJ39" s="267">
        <f>Storage_Reconciled_prod!CJ39</f>
        <v>0</v>
      </c>
      <c r="CK39" s="267">
        <f>Storage_Reconciled_prod!CK39</f>
        <v>0</v>
      </c>
      <c r="CL39" s="267">
        <f>Storage_Reconciled_prod!CL39</f>
        <v>0</v>
      </c>
      <c r="CM39" s="267">
        <f>Storage_Reconciled_prod!CM39</f>
        <v>0</v>
      </c>
      <c r="CN39" s="267">
        <f>Storage_Reconciled_prod!CN39</f>
        <v>0</v>
      </c>
      <c r="CO39" s="267">
        <f>Storage_Reconciled_prod!CO39</f>
        <v>0</v>
      </c>
      <c r="CP39" s="267">
        <f>Storage_Reconciled_prod!CP39</f>
        <v>0</v>
      </c>
      <c r="CQ39" s="267">
        <f>Storage_Reconciled_prod!CQ39</f>
        <v>0</v>
      </c>
      <c r="CR39" s="267">
        <f>Storage_Reconciled_prod!CR39</f>
        <v>0</v>
      </c>
      <c r="CS39" s="267">
        <f>Storage_Reconciled_prod!CS39</f>
        <v>0</v>
      </c>
      <c r="CT39" s="267">
        <f>Storage_Reconciled_prod!CT39</f>
        <v>0</v>
      </c>
      <c r="CU39" s="267">
        <f>Storage_Reconciled_prod!CU39</f>
        <v>0</v>
      </c>
    </row>
    <row r="40" spans="1:99">
      <c r="C40">
        <v>15</v>
      </c>
      <c r="D40" s="209" t="s">
        <v>69</v>
      </c>
      <c r="E40" s="267">
        <f>Storage_Reconciled_prod!E40</f>
        <v>5.6578999999999997</v>
      </c>
      <c r="F40" s="267">
        <f>Storage_Reconciled_prod!F40</f>
        <v>5.2555806451612908</v>
      </c>
      <c r="G40" s="267">
        <f>Storage_Reconciled_prod!G40</f>
        <v>4.9584000000000001</v>
      </c>
      <c r="H40" s="267">
        <f>Storage_Reconciled_prod!H40</f>
        <v>5.2902417582417582</v>
      </c>
      <c r="I40" s="267">
        <f>Storage_Reconciled_prod!I40</f>
        <v>4.5620645161290323</v>
      </c>
      <c r="J40" s="267">
        <f>Storage_Reconciled_prod!J40</f>
        <v>4.6635483870967738</v>
      </c>
      <c r="K40" s="267">
        <f>Storage_Reconciled_prod!K40</f>
        <v>4.1617333333333333</v>
      </c>
      <c r="L40" s="267">
        <f>Storage_Reconciled_prod!L40</f>
        <v>4.4657173913043477</v>
      </c>
      <c r="M40" s="267">
        <f>Storage_Reconciled_prod!M40</f>
        <v>4.8757267759562843</v>
      </c>
      <c r="N40" s="267">
        <f>Storage_Reconciled_prod!N40</f>
        <v>4.0178709677419358</v>
      </c>
      <c r="O40" s="267">
        <f>Storage_Reconciled_prod!O40</f>
        <v>3.7774000000000001</v>
      </c>
      <c r="P40" s="267">
        <f>Storage_Reconciled_prod!P40</f>
        <v>3.2011215916129032</v>
      </c>
      <c r="Q40" s="267">
        <f>Storage_Reconciled_prod!Q40</f>
        <v>3.6642474928260866</v>
      </c>
      <c r="R40" s="267">
        <f>Storage_Reconciled_prod!R40</f>
        <v>4.4704318885090908</v>
      </c>
      <c r="S40" s="267">
        <f>Storage_Reconciled_prod!S40</f>
        <v>2.8600967741935484</v>
      </c>
      <c r="T40" s="267">
        <f>Storage_Reconciled_prod!T40</f>
        <v>3.4995122235714287</v>
      </c>
      <c r="U40" s="267">
        <f>Storage_Reconciled_prod!U40</f>
        <v>3.6673225806451613</v>
      </c>
      <c r="V40" s="267">
        <f>Storage_Reconciled_prod!V40</f>
        <v>3.3370704695555555</v>
      </c>
      <c r="W40" s="267">
        <f>Storage_Reconciled_prod!W40</f>
        <v>4.1909729084931504</v>
      </c>
      <c r="X40" s="267">
        <f>Storage_Reconciled_prod!X40</f>
        <v>3.5625</v>
      </c>
      <c r="Y40" s="267">
        <f>Storage_Reconciled_prod!Y40</f>
        <v>3.3929029032258065</v>
      </c>
      <c r="Z40" s="267">
        <f>Storage_Reconciled_prod!Z40</f>
        <v>3.0993663333333337</v>
      </c>
      <c r="AA40" s="267">
        <f>Storage_Reconciled_prod!AA40</f>
        <v>3.3520437362637363</v>
      </c>
      <c r="AB40" s="267">
        <f>Storage_Reconciled_prod!AB40</f>
        <v>2.9619345161290322</v>
      </c>
      <c r="AC40" s="267">
        <f>Storage_Reconciled_prod!AC40</f>
        <v>2.7808070967741938</v>
      </c>
      <c r="AD40" s="267">
        <f>Storage_Reconciled_prod!AD40</f>
        <v>2.3466999999999998</v>
      </c>
      <c r="AE40" s="267">
        <f>Storage_Reconciled_prod!AE40</f>
        <v>2.7002825000000001</v>
      </c>
      <c r="AF40" s="267">
        <f>Storage_Reconciled_prod!AF40</f>
        <v>3.0243823497267761</v>
      </c>
      <c r="AG40" s="267">
        <f>Storage_Reconciled_prod!AG40</f>
        <v>2.1567103225806452</v>
      </c>
      <c r="AH40" s="267">
        <f>Storage_Reconciled_prod!AH40</f>
        <v>1.9052333333333331</v>
      </c>
      <c r="AI40" s="267">
        <f>Storage_Reconciled_prod!AI40</f>
        <v>1.901451935483871</v>
      </c>
      <c r="AJ40" s="267">
        <f>Storage_Reconciled_prod!AJ40</f>
        <v>1.9886959782608695</v>
      </c>
      <c r="AK40" s="267">
        <f>Storage_Reconciled_prod!AK40</f>
        <v>2.6778981818181817</v>
      </c>
      <c r="AL40" s="267">
        <f>Storage_Reconciled_prod!AL40</f>
        <v>2.1540645161290319</v>
      </c>
      <c r="AM40" s="267">
        <f>Storage_Reconciled_prod!AM40</f>
        <v>2.0772068965517239</v>
      </c>
      <c r="AN40" s="267">
        <f>Storage_Reconciled_prod!AN40</f>
        <v>2.0956132258064515</v>
      </c>
      <c r="AO40" s="267">
        <f>Storage_Reconciled_prod!AO40</f>
        <v>2.1096594505494504</v>
      </c>
      <c r="AP40" s="267">
        <f>Storage_Reconciled_prod!AP40</f>
        <v>2.5366147814207651</v>
      </c>
      <c r="AQ40" s="267">
        <f>Storage_Reconciled_prod!AQ40</f>
        <v>2.0478333333333336</v>
      </c>
      <c r="AR40" s="267">
        <f>Storage_Reconciled_prod!AR40</f>
        <v>1.931709677419355</v>
      </c>
      <c r="AS40" s="267">
        <f>Storage_Reconciled_prod!AS40</f>
        <v>1.6877333333333333</v>
      </c>
      <c r="AT40" s="267">
        <f>Storage_Reconciled_prod!AT40</f>
        <v>1.8895604395604397</v>
      </c>
      <c r="AU40" s="267">
        <f>Storage_Reconciled_prod!AU40</f>
        <v>1.5549354838709679</v>
      </c>
      <c r="AV40" s="267">
        <f>Storage_Reconciled_prod!AV40</f>
        <v>1.052483870967742</v>
      </c>
      <c r="AW40" s="267">
        <f>Storage_Reconciled_prod!AW40</f>
        <v>0.73263333333333336</v>
      </c>
      <c r="AX40" s="267">
        <f>Storage_Reconciled_prod!AX40</f>
        <v>1.1174891304347827</v>
      </c>
      <c r="AY40" s="267">
        <f>Storage_Reconciled_prod!AY40</f>
        <v>1.5014153005464481</v>
      </c>
      <c r="AZ40" s="267">
        <f>Storage_Reconciled_prod!AZ40</f>
        <v>0.5610645161290323</v>
      </c>
      <c r="BA40" s="267">
        <f>Storage_Reconciled_prod!BA40</f>
        <v>0.40906666666666669</v>
      </c>
      <c r="BB40" s="267">
        <f>Storage_Reconciled_prod!BB40</f>
        <v>0.46470967741935487</v>
      </c>
      <c r="BC40" s="267">
        <f>Storage_Reconciled_prod!BC40</f>
        <v>0.47903260869565217</v>
      </c>
      <c r="BD40" s="267">
        <f>Storage_Reconciled_prod!BD40</f>
        <v>1.1593818181818183</v>
      </c>
      <c r="BE40" s="267">
        <f>Storage_Reconciled_prod!BE40</f>
        <v>0.45890322580645165</v>
      </c>
      <c r="BF40" s="267">
        <f>Storage_Reconciled_prod!BF40</f>
        <v>0.41757178571428571</v>
      </c>
      <c r="BG40" s="267">
        <f>Storage_Reconciled_prod!BG40</f>
        <v>0.28377419354838712</v>
      </c>
      <c r="BH40" s="267">
        <f>Storage_Reconciled_prod!BH40</f>
        <v>0.38572233333333339</v>
      </c>
      <c r="BI40" s="267">
        <f>Storage_Reconciled_prod!BI40</f>
        <v>0.96861646575342475</v>
      </c>
      <c r="BJ40" s="267">
        <f>Storage_Reconciled_prod!BJ40</f>
        <v>0.48399999999999999</v>
      </c>
      <c r="BK40" s="267">
        <f>Storage_Reconciled_prod!BK40</f>
        <v>0.38096774193548388</v>
      </c>
      <c r="BL40" s="267">
        <f>Storage_Reconciled_prod!BL40</f>
        <v>0.36199999999999999</v>
      </c>
      <c r="BM40" s="267">
        <f>Storage_Reconciled_prod!BM40</f>
        <v>0.40868131868131868</v>
      </c>
      <c r="BN40" s="267">
        <f>Storage_Reconciled_prod!BN40</f>
        <v>0</v>
      </c>
      <c r="BO40" s="267">
        <f>Storage_Reconciled_prod!BO40</f>
        <v>0</v>
      </c>
      <c r="BP40" s="267">
        <f>Storage_Reconciled_prod!BP40</f>
        <v>0</v>
      </c>
      <c r="BQ40" s="267">
        <f>Storage_Reconciled_prod!BQ40</f>
        <v>0</v>
      </c>
      <c r="BR40" s="267">
        <f>Storage_Reconciled_prod!BR40</f>
        <v>0.20322404371584699</v>
      </c>
      <c r="BS40" s="267">
        <f>Storage_Reconciled_prod!BS40</f>
        <v>0</v>
      </c>
      <c r="BT40" s="267">
        <f>Storage_Reconciled_prod!BT40</f>
        <v>0</v>
      </c>
      <c r="BU40" s="267">
        <f>Storage_Reconciled_prod!BU40</f>
        <v>0</v>
      </c>
      <c r="BV40" s="267">
        <f>Storage_Reconciled_prod!BV40</f>
        <v>0</v>
      </c>
      <c r="BW40" s="267">
        <f>Storage_Reconciled_prod!BW40</f>
        <v>0.13523636363636363</v>
      </c>
      <c r="BX40" s="267">
        <f>Storage_Reconciled_prod!BX40</f>
        <v>0</v>
      </c>
      <c r="BY40" s="267">
        <f>Storage_Reconciled_prod!BY40</f>
        <v>0</v>
      </c>
      <c r="BZ40" s="267">
        <f>Storage_Reconciled_prod!BZ40</f>
        <v>0</v>
      </c>
      <c r="CA40" s="267">
        <f>Storage_Reconciled_prod!CA40</f>
        <v>0</v>
      </c>
      <c r="CB40" s="267">
        <f>Storage_Reconciled_prod!CB40</f>
        <v>0.10189041095890411</v>
      </c>
      <c r="CC40" s="267">
        <f>Storage_Reconciled_prod!CC40</f>
        <v>0</v>
      </c>
      <c r="CD40" s="267">
        <f>Storage_Reconciled_prod!CD40</f>
        <v>0</v>
      </c>
      <c r="CE40" s="267">
        <f>Storage_Reconciled_prod!CE40</f>
        <v>0</v>
      </c>
      <c r="CF40" s="267">
        <f>Storage_Reconciled_prod!CF40</f>
        <v>0</v>
      </c>
      <c r="CG40" s="267">
        <f>Storage_Reconciled_prod!CG40</f>
        <v>0</v>
      </c>
      <c r="CH40" s="267">
        <f>Storage_Reconciled_prod!CH40</f>
        <v>0</v>
      </c>
      <c r="CI40" s="267">
        <f>Storage_Reconciled_prod!CI40</f>
        <v>0</v>
      </c>
      <c r="CJ40" s="267">
        <f>Storage_Reconciled_prod!CJ40</f>
        <v>0</v>
      </c>
      <c r="CK40" s="267">
        <f>Storage_Reconciled_prod!CK40</f>
        <v>0</v>
      </c>
      <c r="CL40" s="267">
        <f>Storage_Reconciled_prod!CL40</f>
        <v>0</v>
      </c>
      <c r="CM40" s="267">
        <f>Storage_Reconciled_prod!CM40</f>
        <v>0</v>
      </c>
      <c r="CN40" s="267">
        <f>Storage_Reconciled_prod!CN40</f>
        <v>0</v>
      </c>
      <c r="CO40" s="267">
        <f>Storage_Reconciled_prod!CO40</f>
        <v>0</v>
      </c>
      <c r="CP40" s="267">
        <f>Storage_Reconciled_prod!CP40</f>
        <v>0</v>
      </c>
      <c r="CQ40" s="267">
        <f>Storage_Reconciled_prod!CQ40</f>
        <v>0</v>
      </c>
      <c r="CR40" s="267">
        <f>Storage_Reconciled_prod!CR40</f>
        <v>0</v>
      </c>
      <c r="CS40" s="267">
        <f>Storage_Reconciled_prod!CS40</f>
        <v>0</v>
      </c>
      <c r="CT40" s="267">
        <f>Storage_Reconciled_prod!CT40</f>
        <v>0</v>
      </c>
      <c r="CU40" s="267">
        <f>Storage_Reconciled_prod!CU40</f>
        <v>0</v>
      </c>
    </row>
    <row r="41" spans="1:99">
      <c r="A41" s="1482"/>
      <c r="B41" s="1482"/>
      <c r="C41">
        <v>16</v>
      </c>
      <c r="D41" s="209" t="s">
        <v>70</v>
      </c>
      <c r="E41" s="267">
        <f>Storage_Reconciled_prod!E41</f>
        <v>14.041833333333333</v>
      </c>
      <c r="F41" s="267">
        <f>Storage_Reconciled_prod!F41</f>
        <v>13.907806451612903</v>
      </c>
      <c r="G41" s="267">
        <f>Storage_Reconciled_prod!G41</f>
        <v>15.083599999999999</v>
      </c>
      <c r="H41" s="267">
        <f>Storage_Reconciled_prod!H41</f>
        <v>14.339615384615385</v>
      </c>
      <c r="I41" s="267">
        <f>Storage_Reconciled_prod!I41</f>
        <v>14.51441935483871</v>
      </c>
      <c r="J41" s="267">
        <f>Storage_Reconciled_prod!J41</f>
        <v>14.996451612903225</v>
      </c>
      <c r="K41" s="267">
        <f>Storage_Reconciled_prod!K41</f>
        <v>17.022266666666667</v>
      </c>
      <c r="L41" s="267">
        <f>Storage_Reconciled_prod!L41</f>
        <v>15.494619565217393</v>
      </c>
      <c r="M41" s="267">
        <f>Storage_Reconciled_prod!M41</f>
        <v>14.920273224043715</v>
      </c>
      <c r="N41" s="267">
        <f>Storage_Reconciled_prod!N41</f>
        <v>16.812516129032257</v>
      </c>
      <c r="O41" s="267">
        <f>Storage_Reconciled_prod!O41</f>
        <v>16.5626</v>
      </c>
      <c r="P41" s="267">
        <f>Storage_Reconciled_prod!P41</f>
        <v>15.577870967741935</v>
      </c>
      <c r="Q41" s="267">
        <f>Storage_Reconciled_prod!Q41</f>
        <v>16.315000000000001</v>
      </c>
      <c r="R41" s="267">
        <f>Storage_Reconciled_prod!R41</f>
        <v>15.386872727272726</v>
      </c>
      <c r="S41" s="267">
        <f>Storage_Reconciled_prod!S41</f>
        <v>15.419032258064517</v>
      </c>
      <c r="T41" s="267">
        <f>Storage_Reconciled_prod!T41</f>
        <v>15.840642857142857</v>
      </c>
      <c r="U41" s="267">
        <f>Storage_Reconciled_prod!U41</f>
        <v>14.257064516129033</v>
      </c>
      <c r="V41" s="267">
        <f>Storage_Reconciled_prod!V41</f>
        <v>15.149966666666668</v>
      </c>
      <c r="W41" s="267">
        <f>Storage_Reconciled_prod!W41</f>
        <v>15.328457534246574</v>
      </c>
      <c r="X41" s="267">
        <f>Storage_Reconciled_prod!X41</f>
        <v>10.761910333333333</v>
      </c>
      <c r="Y41" s="267">
        <f>Storage_Reconciled_prod!Y41</f>
        <v>12.228500322580645</v>
      </c>
      <c r="Z41" s="267">
        <f>Storage_Reconciled_prod!Z41</f>
        <v>14.277881000000001</v>
      </c>
      <c r="AA41" s="267">
        <f>Storage_Reconciled_prod!AA41</f>
        <v>12.420629120879122</v>
      </c>
      <c r="AB41" s="267">
        <f>Storage_Reconciled_prod!AB41</f>
        <v>15.340312258064516</v>
      </c>
      <c r="AC41" s="267">
        <f>Storage_Reconciled_prod!AC41</f>
        <v>14.676225161290324</v>
      </c>
      <c r="AD41" s="267">
        <f>Storage_Reconciled_prod!AD41</f>
        <v>13.487670000000001</v>
      </c>
      <c r="AE41" s="267">
        <f>Storage_Reconciled_prod!AE41</f>
        <v>14.512421304347829</v>
      </c>
      <c r="AF41" s="267">
        <f>Storage_Reconciled_prod!AF41</f>
        <v>13.47224049180328</v>
      </c>
      <c r="AG41" s="267">
        <f>Storage_Reconciled_prod!AG41</f>
        <v>12.666162580645162</v>
      </c>
      <c r="AH41" s="267">
        <f>Storage_Reconciled_prod!AH41</f>
        <v>13.979763</v>
      </c>
      <c r="AI41" s="267">
        <f>Storage_Reconciled_prod!AI41</f>
        <v>14.648439354838711</v>
      </c>
      <c r="AJ41" s="267">
        <f>Storage_Reconciled_prod!AJ41</f>
        <v>13.762451630434784</v>
      </c>
      <c r="AK41" s="267">
        <f>Storage_Reconciled_prod!AK41</f>
        <v>13.569329309090911</v>
      </c>
      <c r="AL41" s="267">
        <f>Storage_Reconciled_prod!AL41</f>
        <v>14.447132258064517</v>
      </c>
      <c r="AM41" s="267">
        <f>Storage_Reconciled_prod!AM41</f>
        <v>14.650052068965518</v>
      </c>
      <c r="AN41" s="267">
        <f>Storage_Reconciled_prod!AN41</f>
        <v>9.5663161290322574</v>
      </c>
      <c r="AO41" s="267">
        <f>Storage_Reconciled_prod!AO41</f>
        <v>12.849103406593407</v>
      </c>
      <c r="AP41" s="267">
        <f>Storage_Reconciled_prod!AP41</f>
        <v>13.390256748633881</v>
      </c>
      <c r="AQ41" s="267">
        <f>Storage_Reconciled_prod!AQ41</f>
        <v>13.777533333333334</v>
      </c>
      <c r="AR41" s="267">
        <f>Storage_Reconciled_prod!AR41</f>
        <v>13.800935483870967</v>
      </c>
      <c r="AS41" s="267">
        <f>Storage_Reconciled_prod!AS41</f>
        <v>12.741233333333334</v>
      </c>
      <c r="AT41" s="267">
        <f>Storage_Reconciled_prod!AT41</f>
        <v>13.443868131868133</v>
      </c>
      <c r="AU41" s="267">
        <f>Storage_Reconciled_prod!AU41</f>
        <v>14.665387096774193</v>
      </c>
      <c r="AV41" s="267">
        <f>Storage_Reconciled_prod!AV41</f>
        <v>13.986677419354839</v>
      </c>
      <c r="AW41" s="267">
        <f>Storage_Reconciled_prod!AW41</f>
        <v>12.514233333333333</v>
      </c>
      <c r="AX41" s="267">
        <f>Storage_Reconciled_prod!AX41</f>
        <v>13.735228260869565</v>
      </c>
      <c r="AY41" s="267">
        <f>Storage_Reconciled_prod!AY41</f>
        <v>13.590344262295083</v>
      </c>
      <c r="AZ41" s="267">
        <f>Storage_Reconciled_prod!AZ41</f>
        <v>12.613387096774193</v>
      </c>
      <c r="BA41" s="267">
        <f>Storage_Reconciled_prod!BA41</f>
        <v>12.343866666666665</v>
      </c>
      <c r="BB41" s="267">
        <f>Storage_Reconciled_prod!BB41</f>
        <v>13.453225806451613</v>
      </c>
      <c r="BC41" s="267">
        <f>Storage_Reconciled_prod!BC41</f>
        <v>12.808489130434781</v>
      </c>
      <c r="BD41" s="267">
        <f>Storage_Reconciled_prod!BD41</f>
        <v>13.328778181818183</v>
      </c>
      <c r="BE41" s="267">
        <f>Storage_Reconciled_prod!BE41</f>
        <v>15.773735483870967</v>
      </c>
      <c r="BF41" s="267">
        <f>Storage_Reconciled_prod!BF41</f>
        <v>15.874039999999999</v>
      </c>
      <c r="BG41" s="267">
        <f>Storage_Reconciled_prod!BG41</f>
        <v>13.374457419354838</v>
      </c>
      <c r="BH41" s="267">
        <f>Storage_Reconciled_prod!BH41</f>
        <v>14.978523333333333</v>
      </c>
      <c r="BI41" s="267">
        <f>Storage_Reconciled_prod!BI41</f>
        <v>13.735564657534246</v>
      </c>
      <c r="BJ41" s="267">
        <f>Storage_Reconciled_prod!BJ41</f>
        <v>13.435566666666666</v>
      </c>
      <c r="BK41" s="267">
        <f>Storage_Reconciled_prod!BK41</f>
        <v>13.915516129032257</v>
      </c>
      <c r="BL41" s="267">
        <f>Storage_Reconciled_prod!BL41</f>
        <v>14.258433333333333</v>
      </c>
      <c r="BM41" s="267">
        <f>Storage_Reconciled_prod!BM41</f>
        <v>13.870340659340659</v>
      </c>
      <c r="BN41" s="267">
        <f>Storage_Reconciled_prod!BN41</f>
        <v>14.528096774193548</v>
      </c>
      <c r="BO41" s="267">
        <f>Storage_Reconciled_prod!BO41</f>
        <v>14.26067741935484</v>
      </c>
      <c r="BP41" s="267">
        <f>Storage_Reconciled_prod!BP41</f>
        <v>12.1387</v>
      </c>
      <c r="BQ41" s="267">
        <f>Storage_Reconciled_prod!BQ41</f>
        <v>13.658836956521739</v>
      </c>
      <c r="BR41" s="267">
        <f>Storage_Reconciled_prod!BR41</f>
        <v>13.764010928961751</v>
      </c>
      <c r="BS41" s="267">
        <f>Storage_Reconciled_prod!BS41</f>
        <v>12.119483870967743</v>
      </c>
      <c r="BT41" s="267">
        <f>Storage_Reconciled_prod!BT41</f>
        <v>14.235800000000001</v>
      </c>
      <c r="BU41" s="267">
        <f>Storage_Reconciled_prod!BU41</f>
        <v>14.121032258064517</v>
      </c>
      <c r="BV41" s="267">
        <f>Storage_Reconciled_prod!BV41</f>
        <v>13.484021739130435</v>
      </c>
      <c r="BW41" s="267">
        <f>Storage_Reconciled_prod!BW41</f>
        <v>13.670341818181818</v>
      </c>
      <c r="BX41" s="267">
        <f>Storage_Reconciled_prod!BX41</f>
        <v>15.581161290322582</v>
      </c>
      <c r="BY41" s="267">
        <f>Storage_Reconciled_prod!BY41</f>
        <v>14.58882142857143</v>
      </c>
      <c r="BZ41" s="267">
        <f>Storage_Reconciled_prod!BZ41</f>
        <v>0</v>
      </c>
      <c r="CA41" s="267">
        <f>Storage_Reconciled_prod!CA41</f>
        <v>9.9055888888888894</v>
      </c>
      <c r="CB41" s="267">
        <f>Storage_Reconciled_prod!CB41</f>
        <v>12.742046575342465</v>
      </c>
      <c r="CC41" s="267">
        <f>Storage_Reconciled_prod!CC41</f>
        <v>13.193331000000001</v>
      </c>
      <c r="CD41" s="267">
        <f>Storage_Reconciled_prod!CD41</f>
        <v>13.75741935483871</v>
      </c>
      <c r="CE41" s="267">
        <f>Storage_Reconciled_prod!CE41</f>
        <v>14.452372</v>
      </c>
      <c r="CF41" s="267">
        <f>Storage_Reconciled_prod!CF41</f>
        <v>13.800561428571429</v>
      </c>
      <c r="CG41" s="267">
        <f>Storage_Reconciled_prod!CG41</f>
        <v>14.21812129032258</v>
      </c>
      <c r="CH41" s="267">
        <f>Storage_Reconciled_prod!CH41</f>
        <v>0</v>
      </c>
      <c r="CI41" s="267">
        <f>Storage_Reconciled_prod!CI41</f>
        <v>0</v>
      </c>
      <c r="CJ41" s="267">
        <f>Storage_Reconciled_prod!CJ41</f>
        <v>4.7908886956521739</v>
      </c>
      <c r="CK41" s="267">
        <f>Storage_Reconciled_prod!CK41</f>
        <v>9.2711084699453554</v>
      </c>
      <c r="CL41" s="267">
        <f>Storage_Reconciled_prod!CL41</f>
        <v>0</v>
      </c>
      <c r="CM41" s="267">
        <f>Storage_Reconciled_prod!CM41</f>
        <v>0</v>
      </c>
      <c r="CN41" s="267">
        <f>Storage_Reconciled_prod!CN41</f>
        <v>0</v>
      </c>
      <c r="CO41" s="267">
        <f>Storage_Reconciled_prod!CO41</f>
        <v>0</v>
      </c>
      <c r="CP41" s="267">
        <f>Storage_Reconciled_prod!CP41</f>
        <v>6.1695012727272722</v>
      </c>
      <c r="CQ41" s="267">
        <f>Storage_Reconciled_prod!CQ41</f>
        <v>0</v>
      </c>
      <c r="CR41" s="267">
        <f>Storage_Reconciled_prod!CR41</f>
        <v>0</v>
      </c>
      <c r="CS41" s="267">
        <f>Storage_Reconciled_prod!CS41</f>
        <v>0</v>
      </c>
      <c r="CT41" s="267">
        <f>Storage_Reconciled_prod!CT41</f>
        <v>0</v>
      </c>
      <c r="CU41" s="267">
        <f>Storage_Reconciled_prod!CU41</f>
        <v>4.6482543835616434</v>
      </c>
    </row>
    <row r="42" spans="1:99" s="247" customFormat="1">
      <c r="A42" s="1482"/>
      <c r="B42" s="1482"/>
      <c r="C42" s="247">
        <v>17</v>
      </c>
      <c r="D42" s="567" t="s">
        <v>827</v>
      </c>
      <c r="E42" s="267">
        <f>Storage_Reconciled_prod!E42</f>
        <v>11.606950469380209</v>
      </c>
      <c r="F42" s="267">
        <f>Storage_Reconciled_prod!F42</f>
        <v>10.795708840791375</v>
      </c>
      <c r="G42" s="267">
        <f>Storage_Reconciled_prod!G42</f>
        <v>10.604761012075576</v>
      </c>
      <c r="H42" s="267">
        <f>Storage_Reconciled_prod!H42</f>
        <v>11.000201302287982</v>
      </c>
      <c r="I42" s="267">
        <f>Storage_Reconciled_prod!I42</f>
        <v>10.198745108575547</v>
      </c>
      <c r="J42" s="267">
        <f>Storage_Reconciled_prod!J42</f>
        <v>9.9997554451238138</v>
      </c>
      <c r="K42" s="267">
        <f>Storage_Reconciled_prod!K42</f>
        <v>9.5812721083562113</v>
      </c>
      <c r="L42" s="267">
        <f>Storage_Reconciled_prod!L42</f>
        <v>9.930344352340942</v>
      </c>
      <c r="M42" s="267">
        <f>Storage_Reconciled_prod!M42</f>
        <v>10.46234972089384</v>
      </c>
      <c r="N42" s="267">
        <f>Storage_Reconciled_prod!N42</f>
        <v>9.1446694496209986</v>
      </c>
      <c r="O42" s="267">
        <f>Storage_Reconciled_prod!O42</f>
        <v>10.80838710089372</v>
      </c>
      <c r="P42" s="267">
        <f>Storage_Reconciled_prod!P42</f>
        <v>10.63905915809608</v>
      </c>
      <c r="Q42" s="267">
        <f>Storage_Reconciled_prod!Q42</f>
        <v>10.190730433326532</v>
      </c>
      <c r="R42" s="267">
        <f>Storage_Reconciled_prod!R42</f>
        <v>10.371480722871322</v>
      </c>
      <c r="S42" s="267">
        <f>Storage_Reconciled_prod!S42</f>
        <v>10.836795934156465</v>
      </c>
      <c r="T42" s="267">
        <f>Storage_Reconciled_prod!T42</f>
        <v>11.215748644043343</v>
      </c>
      <c r="U42" s="267">
        <f>Storage_Reconciled_prod!U42</f>
        <v>10.340033031760532</v>
      </c>
      <c r="V42" s="267">
        <f>Storage_Reconciled_prod!V42</f>
        <v>10.783585110851561</v>
      </c>
      <c r="W42" s="267">
        <f>Storage_Reconciled_prod!W42</f>
        <v>10.473095503469189</v>
      </c>
      <c r="X42" s="267">
        <f>Storage_Reconciled_prod!X42</f>
        <v>9.4697898140000003</v>
      </c>
      <c r="Y42" s="267">
        <f>Storage_Reconciled_prod!Y42</f>
        <v>9.066405417580647</v>
      </c>
      <c r="Z42" s="267">
        <f>Storage_Reconciled_prod!Z42</f>
        <v>8.8582098903333346</v>
      </c>
      <c r="AA42" s="267">
        <f>Storage_Reconciled_prod!AA42</f>
        <v>9.1307533964285721</v>
      </c>
      <c r="AB42" s="267">
        <f>Storage_Reconciled_prod!AB42</f>
        <v>8.6397048083548391</v>
      </c>
      <c r="AC42" s="267">
        <f>Storage_Reconciled_prod!AC42</f>
        <v>9.0038100196129029</v>
      </c>
      <c r="AD42" s="267">
        <f>Storage_Reconciled_prod!AD42</f>
        <v>8.6596631500000019</v>
      </c>
      <c r="AE42" s="267">
        <f>Storage_Reconciled_prod!AE42</f>
        <v>8.7689005887717393</v>
      </c>
      <c r="AF42" s="267">
        <f>Storage_Reconciled_prod!AF42</f>
        <v>8.9488383237267755</v>
      </c>
      <c r="AG42" s="267">
        <f>Storage_Reconciled_prod!AG42</f>
        <v>8.7469777616774191</v>
      </c>
      <c r="AH42" s="267">
        <f>Storage_Reconciled_prod!AH42</f>
        <v>9.4357116448333329</v>
      </c>
      <c r="AI42" s="267">
        <f>Storage_Reconciled_prod!AI42</f>
        <v>9.8435510270322588</v>
      </c>
      <c r="AJ42" s="267">
        <f>Storage_Reconciled_prod!AJ42</f>
        <v>9.3410624108152174</v>
      </c>
      <c r="AK42" s="267">
        <f>Storage_Reconciled_prod!AK42</f>
        <v>9.0800551092254533</v>
      </c>
      <c r="AL42" s="267">
        <f>Storage_Reconciled_prod!AL42</f>
        <v>9.8577428950000012</v>
      </c>
      <c r="AM42" s="267">
        <f>Storage_Reconciled_prod!AM42</f>
        <v>9.6744397512413798</v>
      </c>
      <c r="AN42" s="267">
        <f>Storage_Reconciled_prod!AN42</f>
        <v>8.2731726570645154</v>
      </c>
      <c r="AO42" s="267">
        <f>Storage_Reconciled_prod!AO42</f>
        <v>9.2595289549450541</v>
      </c>
      <c r="AP42" s="267">
        <f>Storage_Reconciled_prod!AP42</f>
        <v>9.1246783878060107</v>
      </c>
      <c r="AQ42" s="267">
        <f>Storage_Reconciled_prod!AQ42</f>
        <v>8.5581983066666663</v>
      </c>
      <c r="AR42" s="267">
        <f>Storage_Reconciled_prod!AR42</f>
        <v>8.0132758129032275</v>
      </c>
      <c r="AS42" s="267">
        <f>Storage_Reconciled_prod!AS42</f>
        <v>7.4509374200000007</v>
      </c>
      <c r="AT42" s="267">
        <f>Storage_Reconciled_prod!AT42</f>
        <v>8.0075343076923069</v>
      </c>
      <c r="AU42" s="267">
        <f>Storage_Reconciled_prod!AU42</f>
        <v>7.6304609870967735</v>
      </c>
      <c r="AV42" s="267">
        <f>Storage_Reconciled_prod!AV42</f>
        <v>7.668506374193548</v>
      </c>
      <c r="AW42" s="267">
        <f>Storage_Reconciled_prod!AW42</f>
        <v>7.4741568299999983</v>
      </c>
      <c r="AX42" s="267">
        <f>Storage_Reconciled_prod!AX42</f>
        <v>7.5923118815217396</v>
      </c>
      <c r="AY42" s="267">
        <f>Storage_Reconciled_prod!AY42</f>
        <v>7.798788607103825</v>
      </c>
      <c r="AZ42" s="267">
        <f>Storage_Reconciled_prod!AZ42</f>
        <v>8.0633858967741929</v>
      </c>
      <c r="BA42" s="267">
        <f>Storage_Reconciled_prod!BA42</f>
        <v>8.5994513333333344</v>
      </c>
      <c r="BB42" s="267">
        <f>Storage_Reconciled_prod!BB42</f>
        <v>9.0115307419354824</v>
      </c>
      <c r="BC42" s="267">
        <f>Storage_Reconciled_prod!BC42</f>
        <v>8.5762830652173925</v>
      </c>
      <c r="BD42" s="267">
        <f>Storage_Reconciled_prod!BD42</f>
        <v>8.0968720045454567</v>
      </c>
      <c r="BE42" s="267">
        <f>Storage_Reconciled_prod!BE42</f>
        <v>8.9930656785483887</v>
      </c>
      <c r="BF42" s="267">
        <f>Storage_Reconciled_prod!BF42</f>
        <v>9.1906539655357129</v>
      </c>
      <c r="BG42" s="267">
        <f>Storage_Reconciled_prod!BG42</f>
        <v>8.4663526372705515</v>
      </c>
      <c r="BH42" s="267">
        <f>Storage_Reconciled_prod!BH42</f>
        <v>8.8731142091709678</v>
      </c>
      <c r="BI42" s="267">
        <f>Storage_Reconciled_prod!BI42</f>
        <v>8.2882741919873624</v>
      </c>
      <c r="BJ42" s="267">
        <f>Storage_Reconciled_prod!BJ42</f>
        <v>0</v>
      </c>
      <c r="BK42" s="267">
        <f>Storage_Reconciled_prod!BK42</f>
        <v>0</v>
      </c>
      <c r="BL42" s="267">
        <f>Storage_Reconciled_prod!BL42</f>
        <v>0</v>
      </c>
      <c r="BM42" s="267">
        <f>Storage_Reconciled_prod!BM42</f>
        <v>0</v>
      </c>
      <c r="BN42" s="267">
        <f>Storage_Reconciled_prod!BN42</f>
        <v>0</v>
      </c>
      <c r="BO42" s="267">
        <f>Storage_Reconciled_prod!BO42</f>
        <v>0</v>
      </c>
      <c r="BP42" s="267">
        <f>Storage_Reconciled_prod!BP42</f>
        <v>0</v>
      </c>
      <c r="BQ42" s="267">
        <f>Storage_Reconciled_prod!BQ42</f>
        <v>0</v>
      </c>
      <c r="BR42" s="267">
        <f>Storage_Reconciled_prod!BR42</f>
        <v>0</v>
      </c>
      <c r="BS42" s="267">
        <f>Storage_Reconciled_prod!BS42</f>
        <v>0</v>
      </c>
      <c r="BT42" s="267">
        <f>Storage_Reconciled_prod!BT42</f>
        <v>0</v>
      </c>
      <c r="BU42" s="267">
        <f>Storage_Reconciled_prod!BU42</f>
        <v>0</v>
      </c>
      <c r="BV42" s="267">
        <f>Storage_Reconciled_prod!BV42</f>
        <v>0</v>
      </c>
      <c r="BW42" s="267">
        <f>Storage_Reconciled_prod!BW42</f>
        <v>0</v>
      </c>
      <c r="BX42" s="267">
        <f>Storage_Reconciled_prod!BX42</f>
        <v>0</v>
      </c>
      <c r="BY42" s="267">
        <f>Storage_Reconciled_prod!BY42</f>
        <v>0</v>
      </c>
      <c r="BZ42" s="267">
        <f>Storage_Reconciled_prod!BZ42</f>
        <v>0</v>
      </c>
      <c r="CA42" s="267">
        <f>Storage_Reconciled_prod!CA42</f>
        <v>0</v>
      </c>
      <c r="CB42" s="267">
        <f>Storage_Reconciled_prod!CB42</f>
        <v>0</v>
      </c>
      <c r="CC42" s="267">
        <f>Storage_Reconciled_prod!CC42</f>
        <v>0</v>
      </c>
      <c r="CD42" s="267">
        <f>Storage_Reconciled_prod!CD42</f>
        <v>0</v>
      </c>
      <c r="CE42" s="267">
        <f>Storage_Reconciled_prod!CE42</f>
        <v>0</v>
      </c>
      <c r="CF42" s="267">
        <f>Storage_Reconciled_prod!CF42</f>
        <v>0</v>
      </c>
      <c r="CG42" s="267">
        <f>Storage_Reconciled_prod!CG42</f>
        <v>0</v>
      </c>
      <c r="CH42" s="267">
        <f>Storage_Reconciled_prod!CH42</f>
        <v>0</v>
      </c>
      <c r="CI42" s="267">
        <f>Storage_Reconciled_prod!CI42</f>
        <v>0</v>
      </c>
      <c r="CJ42" s="267">
        <f>Storage_Reconciled_prod!CJ42</f>
        <v>0</v>
      </c>
      <c r="CK42" s="267">
        <f>Storage_Reconciled_prod!CK42</f>
        <v>0</v>
      </c>
      <c r="CL42" s="267">
        <f>Storage_Reconciled_prod!CL42</f>
        <v>0</v>
      </c>
      <c r="CM42" s="267">
        <f>Storage_Reconciled_prod!CM42</f>
        <v>0</v>
      </c>
      <c r="CN42" s="267">
        <f>Storage_Reconciled_prod!CN42</f>
        <v>0</v>
      </c>
      <c r="CO42" s="267">
        <f>Storage_Reconciled_prod!CO42</f>
        <v>0</v>
      </c>
      <c r="CP42" s="267">
        <f>Storage_Reconciled_prod!CP42</f>
        <v>0</v>
      </c>
      <c r="CQ42" s="267">
        <f>Storage_Reconciled_prod!CQ42</f>
        <v>0</v>
      </c>
      <c r="CR42" s="267">
        <f>Storage_Reconciled_prod!CR42</f>
        <v>0</v>
      </c>
      <c r="CS42" s="267">
        <f>Storage_Reconciled_prod!CS42</f>
        <v>0</v>
      </c>
      <c r="CT42" s="267">
        <f>Storage_Reconciled_prod!CT42</f>
        <v>0</v>
      </c>
      <c r="CU42" s="267">
        <f>Storage_Reconciled_prod!CU42</f>
        <v>0</v>
      </c>
    </row>
    <row r="43" spans="1:99" ht="30" customHeight="1">
      <c r="A43" s="1482"/>
      <c r="B43" s="1482"/>
      <c r="W43" s="480"/>
      <c r="AP43" s="480"/>
      <c r="BI43" s="480"/>
      <c r="CB43" s="480"/>
      <c r="CU43" s="480"/>
    </row>
    <row r="44" spans="1:99">
      <c r="W44" s="480"/>
      <c r="AP44" s="480"/>
      <c r="BI44" s="480"/>
      <c r="CB44" s="480"/>
      <c r="CU44" s="480"/>
    </row>
    <row r="45" spans="1:99">
      <c r="A45" t="s">
        <v>1440</v>
      </c>
      <c r="C45">
        <v>1</v>
      </c>
      <c r="E45">
        <v>202204</v>
      </c>
      <c r="F45">
        <v>202205</v>
      </c>
      <c r="G45">
        <v>202206</v>
      </c>
      <c r="H45">
        <v>222331</v>
      </c>
      <c r="I45">
        <v>202207</v>
      </c>
      <c r="J45">
        <v>202208</v>
      </c>
      <c r="K45">
        <v>202209</v>
      </c>
      <c r="L45">
        <v>222332</v>
      </c>
      <c r="M45">
        <v>222361</v>
      </c>
      <c r="N45">
        <v>202210</v>
      </c>
      <c r="O45">
        <v>202211</v>
      </c>
      <c r="P45">
        <v>202212</v>
      </c>
      <c r="Q45">
        <v>222333</v>
      </c>
      <c r="R45">
        <v>222391</v>
      </c>
      <c r="S45">
        <v>202301</v>
      </c>
      <c r="T45">
        <v>202302</v>
      </c>
      <c r="U45">
        <v>202303</v>
      </c>
      <c r="V45">
        <v>222334</v>
      </c>
      <c r="W45" s="480">
        <v>222399</v>
      </c>
      <c r="X45">
        <v>202304</v>
      </c>
      <c r="Y45">
        <v>202305</v>
      </c>
      <c r="Z45">
        <v>202306</v>
      </c>
      <c r="AA45">
        <v>232431</v>
      </c>
      <c r="AB45">
        <v>202307</v>
      </c>
      <c r="AC45">
        <v>202308</v>
      </c>
      <c r="AD45">
        <v>202309</v>
      </c>
      <c r="AE45">
        <v>232432</v>
      </c>
      <c r="AF45">
        <v>232461</v>
      </c>
      <c r="AG45">
        <v>202310</v>
      </c>
      <c r="AH45">
        <v>202311</v>
      </c>
      <c r="AI45">
        <v>202312</v>
      </c>
      <c r="AJ45">
        <v>232433</v>
      </c>
      <c r="AK45">
        <v>232491</v>
      </c>
      <c r="AL45">
        <v>202401</v>
      </c>
      <c r="AM45">
        <v>202402</v>
      </c>
      <c r="AN45">
        <v>202403</v>
      </c>
      <c r="AO45">
        <v>232434</v>
      </c>
      <c r="AP45" s="480">
        <v>232499</v>
      </c>
      <c r="AQ45">
        <v>202404</v>
      </c>
      <c r="AR45">
        <v>202405</v>
      </c>
      <c r="AS45">
        <v>202406</v>
      </c>
      <c r="AT45">
        <v>242531</v>
      </c>
      <c r="AU45">
        <v>202407</v>
      </c>
      <c r="AV45">
        <v>202408</v>
      </c>
      <c r="AW45">
        <v>202409</v>
      </c>
      <c r="AX45">
        <v>242532</v>
      </c>
      <c r="AY45">
        <v>242561</v>
      </c>
      <c r="AZ45">
        <v>202410</v>
      </c>
      <c r="BA45">
        <v>202411</v>
      </c>
      <c r="BB45">
        <v>202412</v>
      </c>
      <c r="BC45">
        <v>242533</v>
      </c>
      <c r="BD45">
        <v>242591</v>
      </c>
      <c r="BE45">
        <v>202501</v>
      </c>
      <c r="BF45">
        <v>202502</v>
      </c>
      <c r="BG45">
        <v>202503</v>
      </c>
      <c r="BH45">
        <v>242534</v>
      </c>
      <c r="BI45" s="480">
        <v>242599</v>
      </c>
      <c r="BJ45">
        <v>202504</v>
      </c>
      <c r="BK45">
        <v>202505</v>
      </c>
      <c r="BL45">
        <v>202506</v>
      </c>
      <c r="BM45">
        <v>252631</v>
      </c>
      <c r="BN45">
        <v>202507</v>
      </c>
      <c r="BO45">
        <v>202508</v>
      </c>
      <c r="BP45">
        <v>202509</v>
      </c>
      <c r="BQ45">
        <v>252632</v>
      </c>
      <c r="BR45">
        <v>252661</v>
      </c>
      <c r="BS45">
        <v>202510</v>
      </c>
      <c r="BT45">
        <v>202511</v>
      </c>
      <c r="BU45">
        <v>202512</v>
      </c>
      <c r="BV45">
        <v>252633</v>
      </c>
      <c r="BW45">
        <v>252691</v>
      </c>
      <c r="BX45">
        <v>202601</v>
      </c>
      <c r="BY45">
        <v>202602</v>
      </c>
      <c r="BZ45">
        <v>202603</v>
      </c>
      <c r="CA45">
        <v>252634</v>
      </c>
      <c r="CB45" s="480">
        <v>252699</v>
      </c>
      <c r="CC45">
        <v>202604</v>
      </c>
      <c r="CD45">
        <v>202605</v>
      </c>
      <c r="CE45">
        <v>202606</v>
      </c>
      <c r="CF45">
        <v>262731</v>
      </c>
      <c r="CG45">
        <v>202607</v>
      </c>
      <c r="CH45">
        <v>202608</v>
      </c>
      <c r="CI45">
        <v>202609</v>
      </c>
      <c r="CJ45">
        <v>262732</v>
      </c>
      <c r="CK45">
        <v>262761</v>
      </c>
      <c r="CL45">
        <v>202610</v>
      </c>
      <c r="CM45">
        <v>202611</v>
      </c>
      <c r="CN45">
        <v>202612</v>
      </c>
      <c r="CO45">
        <v>262733</v>
      </c>
      <c r="CP45">
        <v>262791</v>
      </c>
      <c r="CQ45">
        <v>202701</v>
      </c>
      <c r="CR45">
        <v>202702</v>
      </c>
      <c r="CS45">
        <v>202703</v>
      </c>
      <c r="CT45">
        <v>262734</v>
      </c>
      <c r="CU45" s="480">
        <v>262799</v>
      </c>
    </row>
    <row r="46" spans="1:99">
      <c r="A46" s="653" t="str">
        <f>Dropdowns!E406</f>
        <v>Rounded Off</v>
      </c>
      <c r="C46">
        <v>2</v>
      </c>
      <c r="E46" t="s">
        <v>308</v>
      </c>
      <c r="F46" t="s">
        <v>309</v>
      </c>
      <c r="G46" t="s">
        <v>829</v>
      </c>
      <c r="H46" t="s">
        <v>392</v>
      </c>
      <c r="I46" t="s">
        <v>830</v>
      </c>
      <c r="J46" t="s">
        <v>312</v>
      </c>
      <c r="K46" t="s">
        <v>313</v>
      </c>
      <c r="L46" t="s">
        <v>393</v>
      </c>
      <c r="M46" t="s">
        <v>622</v>
      </c>
      <c r="N46" t="s">
        <v>314</v>
      </c>
      <c r="O46" t="s">
        <v>315</v>
      </c>
      <c r="P46" t="s">
        <v>316</v>
      </c>
      <c r="Q46" t="s">
        <v>394</v>
      </c>
      <c r="R46" t="s">
        <v>624</v>
      </c>
      <c r="S46" t="s">
        <v>317</v>
      </c>
      <c r="T46" t="s">
        <v>318</v>
      </c>
      <c r="U46" t="s">
        <v>319</v>
      </c>
      <c r="V46" t="s">
        <v>395</v>
      </c>
      <c r="W46" s="480" t="s">
        <v>831</v>
      </c>
      <c r="X46" t="s">
        <v>726</v>
      </c>
      <c r="Y46" t="s">
        <v>727</v>
      </c>
      <c r="Z46" t="s">
        <v>832</v>
      </c>
      <c r="AA46" t="s">
        <v>762</v>
      </c>
      <c r="AB46" t="s">
        <v>833</v>
      </c>
      <c r="AC46" t="s">
        <v>730</v>
      </c>
      <c r="AD46" t="s">
        <v>731</v>
      </c>
      <c r="AE46" t="s">
        <v>765</v>
      </c>
      <c r="AF46" t="s">
        <v>774</v>
      </c>
      <c r="AG46" t="s">
        <v>732</v>
      </c>
      <c r="AH46" t="s">
        <v>733</v>
      </c>
      <c r="AI46" t="s">
        <v>734</v>
      </c>
      <c r="AJ46" t="s">
        <v>768</v>
      </c>
      <c r="AK46" t="s">
        <v>780</v>
      </c>
      <c r="AL46" t="s">
        <v>735</v>
      </c>
      <c r="AM46" t="s">
        <v>736</v>
      </c>
      <c r="AN46" t="s">
        <v>737</v>
      </c>
      <c r="AO46" t="s">
        <v>771</v>
      </c>
      <c r="AP46" s="480" t="s">
        <v>834</v>
      </c>
      <c r="AQ46" t="s">
        <v>738</v>
      </c>
      <c r="AR46" t="s">
        <v>740</v>
      </c>
      <c r="AS46" t="s">
        <v>835</v>
      </c>
      <c r="AT46" t="s">
        <v>763</v>
      </c>
      <c r="AU46" t="s">
        <v>836</v>
      </c>
      <c r="AV46" t="s">
        <v>743</v>
      </c>
      <c r="AW46" t="s">
        <v>744</v>
      </c>
      <c r="AX46" t="s">
        <v>766</v>
      </c>
      <c r="AY46" t="s">
        <v>775</v>
      </c>
      <c r="AZ46" t="s">
        <v>745</v>
      </c>
      <c r="BA46" t="s">
        <v>746</v>
      </c>
      <c r="BB46" t="s">
        <v>747</v>
      </c>
      <c r="BC46" t="s">
        <v>769</v>
      </c>
      <c r="BD46" t="s">
        <v>781</v>
      </c>
      <c r="BE46" t="s">
        <v>748</v>
      </c>
      <c r="BF46" t="s">
        <v>749</v>
      </c>
      <c r="BG46" t="s">
        <v>750</v>
      </c>
      <c r="BH46" t="s">
        <v>772</v>
      </c>
      <c r="BI46" s="480" t="s">
        <v>837</v>
      </c>
      <c r="BJ46" t="s">
        <v>739</v>
      </c>
      <c r="BK46" t="s">
        <v>751</v>
      </c>
      <c r="BL46" t="s">
        <v>838</v>
      </c>
      <c r="BM46" t="s">
        <v>764</v>
      </c>
      <c r="BN46" t="s">
        <v>839</v>
      </c>
      <c r="BO46" t="s">
        <v>754</v>
      </c>
      <c r="BP46" t="s">
        <v>755</v>
      </c>
      <c r="BQ46" t="s">
        <v>767</v>
      </c>
      <c r="BR46" t="s">
        <v>776</v>
      </c>
      <c r="BS46" t="s">
        <v>756</v>
      </c>
      <c r="BT46" t="s">
        <v>757</v>
      </c>
      <c r="BU46" t="s">
        <v>758</v>
      </c>
      <c r="BV46" t="s">
        <v>770</v>
      </c>
      <c r="BW46" t="s">
        <v>782</v>
      </c>
      <c r="BX46" t="s">
        <v>759</v>
      </c>
      <c r="BY46" t="s">
        <v>760</v>
      </c>
      <c r="BZ46" t="s">
        <v>761</v>
      </c>
      <c r="CA46" t="s">
        <v>773</v>
      </c>
      <c r="CB46" s="480" t="s">
        <v>840</v>
      </c>
      <c r="CC46" t="s">
        <v>2268</v>
      </c>
      <c r="CD46" t="s">
        <v>2151</v>
      </c>
      <c r="CE46" t="s">
        <v>2269</v>
      </c>
      <c r="CF46" t="s">
        <v>2260</v>
      </c>
      <c r="CG46" t="s">
        <v>2270</v>
      </c>
      <c r="CH46" t="s">
        <v>2154</v>
      </c>
      <c r="CI46" t="s">
        <v>2155</v>
      </c>
      <c r="CJ46" t="s">
        <v>2261</v>
      </c>
      <c r="CK46" t="s">
        <v>2264</v>
      </c>
      <c r="CL46" t="s">
        <v>2156</v>
      </c>
      <c r="CM46" t="s">
        <v>2157</v>
      </c>
      <c r="CN46" t="s">
        <v>2158</v>
      </c>
      <c r="CO46" t="s">
        <v>2262</v>
      </c>
      <c r="CP46" t="s">
        <v>2266</v>
      </c>
      <c r="CQ46" t="s">
        <v>2159</v>
      </c>
      <c r="CR46" t="s">
        <v>2160</v>
      </c>
      <c r="CS46" t="s">
        <v>2149</v>
      </c>
      <c r="CT46" t="s">
        <v>2263</v>
      </c>
      <c r="CU46" s="480" t="s">
        <v>2271</v>
      </c>
    </row>
    <row r="47" spans="1:99">
      <c r="C47">
        <v>3</v>
      </c>
      <c r="D47" s="209" t="s">
        <v>60</v>
      </c>
      <c r="E47" s="197">
        <f>Storage_Reconciled_prod!E47*Storage_Reconciled_prod!$A$44+Storage_rounded_off_prod!E47*Storage_rounded_off_prod!$A$44</f>
        <v>0.14099999999999999</v>
      </c>
      <c r="F47" s="197">
        <f>Storage_Reconciled_prod!F47*Storage_Reconciled_prod!$A$44+Storage_rounded_off_prod!F47*Storage_rounded_off_prod!$A$44</f>
        <v>2.8000000000000001E-2</v>
      </c>
      <c r="G47" s="197">
        <f>Storage_Reconciled_prod!G47*Storage_Reconciled_prod!$A$44+Storage_rounded_off_prod!G47*Storage_rounded_off_prod!$A$44</f>
        <v>5.0000000000000001E-3</v>
      </c>
      <c r="H47" s="197">
        <f>Storage_Reconciled_prod!H47*Storage_Reconciled_prod!$A$44+Storage_rounded_off_prod!H47*Storage_rounded_off_prod!$A$44</f>
        <v>0.17399999999999999</v>
      </c>
      <c r="I47" s="197">
        <f>Storage_Reconciled_prod!I47*Storage_Reconciled_prod!$A$44+Storage_rounded_off_prod!I47*Storage_rounded_off_prod!$A$44</f>
        <v>4.0000000000000001E-3</v>
      </c>
      <c r="J47" s="197">
        <f>Storage_Reconciled_prod!J47*Storage_Reconciled_prod!$A$44+Storage_rounded_off_prod!J47*Storage_rounded_off_prod!$A$44</f>
        <v>1E-3</v>
      </c>
      <c r="K47" s="197">
        <f>Storage_Reconciled_prod!K47*Storage_Reconciled_prod!$A$44+Storage_rounded_off_prod!K47*Storage_rounded_off_prod!$A$44</f>
        <v>1E-3</v>
      </c>
      <c r="L47" s="197">
        <f>Storage_Reconciled_prod!L47*Storage_Reconciled_prod!$A$44+Storage_rounded_off_prod!L47*Storage_rounded_off_prod!$A$44</f>
        <v>6.0000000000000001E-3</v>
      </c>
      <c r="M47" s="197">
        <f>Storage_Reconciled_prod!M47*Storage_Reconciled_prod!$A$44+Storage_rounded_off_prod!M47*Storage_rounded_off_prod!$A$44</f>
        <v>0.18</v>
      </c>
      <c r="N47" s="197">
        <f>Storage_Reconciled_prod!N47*Storage_Reconciled_prod!$A$44+Storage_rounded_off_prod!N47*Storage_rounded_off_prod!$A$44</f>
        <v>1.7000000000000001E-2</v>
      </c>
      <c r="O47" s="197">
        <f>Storage_Reconciled_prod!O47*Storage_Reconciled_prod!$A$44+Storage_rounded_off_prod!O47*Storage_rounded_off_prod!$A$44</f>
        <v>0.113</v>
      </c>
      <c r="P47" s="197">
        <f>Storage_Reconciled_prod!P47*Storage_Reconciled_prod!$A$44+Storage_rounded_off_prod!P47*Storage_rounded_off_prod!$A$44</f>
        <v>9.8000000000000004E-2</v>
      </c>
      <c r="Q47" s="197">
        <f>Storage_Reconciled_prod!Q47*Storage_Reconciled_prod!$A$44+Storage_rounded_off_prod!Q47*Storage_rounded_off_prod!$A$44</f>
        <v>0.22800000000000001</v>
      </c>
      <c r="R47" s="197">
        <f>Storage_Reconciled_prod!R47*Storage_Reconciled_prod!$A$44+Storage_rounded_off_prod!R47*Storage_rounded_off_prod!$A$44</f>
        <v>0.40800000000000003</v>
      </c>
      <c r="S47" s="197">
        <f>Storage_Reconciled_prod!S47*Storage_Reconciled_prod!$A$44+Storage_rounded_off_prod!S47*Storage_rounded_off_prod!$A$44</f>
        <v>9.6000000000000002E-2</v>
      </c>
      <c r="T47" s="197">
        <f>Storage_Reconciled_prod!T47*Storage_Reconciled_prod!$A$44+Storage_rounded_off_prod!T47*Storage_rounded_off_prod!$A$44</f>
        <v>0.13999999999999999</v>
      </c>
      <c r="U47" s="197">
        <f>Storage_Reconciled_prod!U47*Storage_Reconciled_prod!$A$44+Storage_rounded_off_prod!U47*Storage_rounded_off_prod!$A$44</f>
        <v>0.16200000000000001</v>
      </c>
      <c r="V47" s="197">
        <f>Storage_Reconciled_prod!V47*Storage_Reconciled_prod!$A$44+Storage_rounded_off_prod!V47*Storage_rounded_off_prod!$A$44</f>
        <v>0.39800000000000002</v>
      </c>
      <c r="W47" s="197">
        <f>Storage_Reconciled_prod!W47*Storage_Reconciled_prod!$A$44+Storage_rounded_off_prod!W47*Storage_rounded_off_prod!$A$44</f>
        <v>0.80600000000000005</v>
      </c>
      <c r="X47" s="197">
        <f>Storage_Reconciled_prod!X47*Storage_Reconciled_prod!$A$44+Storage_rounded_off_prod!X47*Storage_rounded_off_prod!$A$44</f>
        <v>0.154</v>
      </c>
      <c r="Y47" s="197">
        <f>Storage_Reconciled_prod!Y47*Storage_Reconciled_prod!$A$44+Storage_rounded_off_prod!Y47*Storage_rounded_off_prod!$A$44</f>
        <v>0.151</v>
      </c>
      <c r="Z47" s="197">
        <f>Storage_Reconciled_prod!Z47*Storage_Reconciled_prod!$A$44+Storage_rounded_off_prod!Z47*Storage_rounded_off_prod!$A$44</f>
        <v>0.13800000000000001</v>
      </c>
      <c r="AA47" s="197">
        <f>Storage_Reconciled_prod!AA47*Storage_Reconciled_prod!$A$44+Storage_rounded_off_prod!AA47*Storage_rounded_off_prod!$A$44</f>
        <v>0.443</v>
      </c>
      <c r="AB47" s="197">
        <f>Storage_Reconciled_prod!AB47*Storage_Reconciled_prod!$A$44+Storage_rounded_off_prod!AB47*Storage_rounded_off_prod!$A$44</f>
        <v>0.14699999999999999</v>
      </c>
      <c r="AC47" s="197">
        <f>Storage_Reconciled_prod!AC47*Storage_Reconciled_prod!$A$44+Storage_rounded_off_prod!AC47*Storage_rounded_off_prod!$A$44</f>
        <v>0.128</v>
      </c>
      <c r="AD47" s="197">
        <f>Storage_Reconciled_prod!AD47*Storage_Reconciled_prod!$A$44+Storage_rounded_off_prod!AD47*Storage_rounded_off_prod!$A$44</f>
        <v>0.124</v>
      </c>
      <c r="AE47" s="197">
        <f>Storage_Reconciled_prod!AE47*Storage_Reconciled_prod!$A$44+Storage_rounded_off_prod!AE47*Storage_rounded_off_prod!$A$44</f>
        <v>0.39900000000000002</v>
      </c>
      <c r="AF47" s="197">
        <f>Storage_Reconciled_prod!AF47*Storage_Reconciled_prod!$A$44+Storage_rounded_off_prod!AF47*Storage_rounded_off_prod!$A$44</f>
        <v>0.84200000000000008</v>
      </c>
      <c r="AG47" s="197">
        <f>Storage_Reconciled_prod!AG47*Storage_Reconciled_prod!$A$44+Storage_rounded_off_prod!AG47*Storage_rounded_off_prod!$A$44</f>
        <v>0.15</v>
      </c>
      <c r="AH47" s="197">
        <f>Storage_Reconciled_prod!AH47*Storage_Reconciled_prod!$A$44+Storage_rounded_off_prod!AH47*Storage_rounded_off_prod!$A$44</f>
        <v>0.14199999999999999</v>
      </c>
      <c r="AI47" s="197">
        <f>Storage_Reconciled_prod!AI47*Storage_Reconciled_prod!$A$44+Storage_rounded_off_prod!AI47*Storage_rounded_off_prod!$A$44</f>
        <v>0.14299999999999999</v>
      </c>
      <c r="AJ47" s="197">
        <f>Storage_Reconciled_prod!AJ47*Storage_Reconciled_prod!$A$44+Storage_rounded_off_prod!AJ47*Storage_rounded_off_prod!$A$44</f>
        <v>0.43499999999999994</v>
      </c>
      <c r="AK47" s="197">
        <f>Storage_Reconciled_prod!AK47*Storage_Reconciled_prod!$A$44+Storage_rounded_off_prod!AK47*Storage_rounded_off_prod!$A$44</f>
        <v>1.2770000000000001</v>
      </c>
      <c r="AL47" s="197">
        <f>Storage_Reconciled_prod!AL47*Storage_Reconciled_prod!$A$44+Storage_rounded_off_prod!AL47*Storage_rounded_off_prod!$A$44</f>
        <v>0.14899999999999999</v>
      </c>
      <c r="AM47" s="197">
        <f>Storage_Reconciled_prod!AM47*Storage_Reconciled_prod!$A$44+Storage_rounded_off_prod!AM47*Storage_rounded_off_prod!$A$44</f>
        <v>0.111</v>
      </c>
      <c r="AN47" s="197">
        <f>Storage_Reconciled_prod!AN47*Storage_Reconciled_prod!$A$44+Storage_rounded_off_prod!AN47*Storage_rounded_off_prod!$A$44</f>
        <v>0.14699999999999999</v>
      </c>
      <c r="AO47" s="197">
        <f>Storage_Reconciled_prod!AO47*Storage_Reconciled_prod!$A$44+Storage_rounded_off_prod!AO47*Storage_rounded_off_prod!$A$44</f>
        <v>0.40700000000000003</v>
      </c>
      <c r="AP47" s="197">
        <f>Storage_Reconciled_prod!AP47*Storage_Reconciled_prod!$A$44+Storage_rounded_off_prod!AP47*Storage_rounded_off_prod!$A$44</f>
        <v>1.6840000000000002</v>
      </c>
      <c r="AQ47" s="197">
        <f>Storage_Reconciled_prod!AQ47*Storage_Reconciled_prod!$A$44+Storage_rounded_off_prod!AQ47*Storage_rounded_off_prod!$A$44</f>
        <v>0.13200000000000001</v>
      </c>
      <c r="AR47" s="197">
        <f>Storage_Reconciled_prod!AR47*Storage_Reconciled_prod!$A$44+Storage_rounded_off_prod!AR47*Storage_rounded_off_prod!$A$44</f>
        <v>0.128</v>
      </c>
      <c r="AS47" s="197">
        <f>Storage_Reconciled_prod!AS47*Storage_Reconciled_prod!$A$44+Storage_rounded_off_prod!AS47*Storage_rounded_off_prod!$A$44</f>
        <v>0.123</v>
      </c>
      <c r="AT47" s="197">
        <f>Storage_Reconciled_prod!AT47*Storage_Reconciled_prod!$A$44+Storage_rounded_off_prod!AT47*Storage_rounded_off_prod!$A$44</f>
        <v>0.38300000000000001</v>
      </c>
      <c r="AU47" s="197">
        <f>Storage_Reconciled_prod!AU47*Storage_Reconciled_prod!$A$44+Storage_rounded_off_prod!AU47*Storage_rounded_off_prod!$A$44</f>
        <v>0.123</v>
      </c>
      <c r="AV47" s="197">
        <f>Storage_Reconciled_prod!AV47*Storage_Reconciled_prod!$A$44+Storage_rounded_off_prod!AV47*Storage_rounded_off_prod!$A$44</f>
        <v>0.111</v>
      </c>
      <c r="AW47" s="197">
        <f>Storage_Reconciled_prod!AW47*Storage_Reconciled_prod!$A$44+Storage_rounded_off_prod!AW47*Storage_rounded_off_prod!$A$44</f>
        <v>0.11899999999999999</v>
      </c>
      <c r="AX47" s="197">
        <f>Storage_Reconciled_prod!AX47*Storage_Reconciled_prod!$A$44+Storage_rounded_off_prod!AX47*Storage_rounded_off_prod!$A$44</f>
        <v>0.35299999999999998</v>
      </c>
      <c r="AY47" s="197">
        <f>Storage_Reconciled_prod!AY47*Storage_Reconciled_prod!$A$44+Storage_rounded_off_prod!AY47*Storage_rounded_off_prod!$A$44</f>
        <v>0.73599999999999999</v>
      </c>
      <c r="AZ47" s="197">
        <f>Storage_Reconciled_prod!AZ47*Storage_Reconciled_prod!$A$44+Storage_rounded_off_prod!AZ47*Storage_rounded_off_prod!$A$44</f>
        <v>0.11700000000000001</v>
      </c>
      <c r="BA47" s="197">
        <f>Storage_Reconciled_prod!BA47*Storage_Reconciled_prod!$A$44+Storage_rounded_off_prod!BA47*Storage_rounded_off_prod!$A$44</f>
        <v>0.12</v>
      </c>
      <c r="BB47" s="197">
        <f>Storage_Reconciled_prod!BB47*Storage_Reconciled_prod!$A$44+Storage_rounded_off_prod!BB47*Storage_rounded_off_prod!$A$44</f>
        <v>0.127</v>
      </c>
      <c r="BC47" s="197">
        <f>Storage_Reconciled_prod!BC47*Storage_Reconciled_prod!$A$44+Storage_rounded_off_prod!BC47*Storage_rounded_off_prod!$A$44</f>
        <v>0.36399999999999999</v>
      </c>
      <c r="BD47" s="197">
        <f>Storage_Reconciled_prod!BD47*Storage_Reconciled_prod!$A$44+Storage_rounded_off_prod!BD47*Storage_rounded_off_prod!$A$44</f>
        <v>1.1000000000000001</v>
      </c>
      <c r="BE47" s="197">
        <f>Storage_Reconciled_prod!BE47*Storage_Reconciled_prod!$A$44+Storage_rounded_off_prod!BE47*Storage_rounded_off_prod!$A$44</f>
        <v>0.13900000000000001</v>
      </c>
      <c r="BF47" s="197">
        <f>Storage_Reconciled_prod!BF47*Storage_Reconciled_prod!$A$44+Storage_rounded_off_prod!BF47*Storage_rounded_off_prod!$A$44</f>
        <v>0.11799999999999999</v>
      </c>
      <c r="BG47" s="197">
        <f>Storage_Reconciled_prod!BG47*Storage_Reconciled_prod!$A$44+Storage_rounded_off_prod!BG47*Storage_rounded_off_prod!$A$44</f>
        <v>0.126</v>
      </c>
      <c r="BH47" s="197">
        <f>Storage_Reconciled_prod!BH47*Storage_Reconciled_prod!$A$44+Storage_rounded_off_prod!BH47*Storage_rounded_off_prod!$A$44</f>
        <v>0.38300000000000001</v>
      </c>
      <c r="BI47" s="197">
        <f>Storage_Reconciled_prod!BI47*Storage_Reconciled_prod!$A$44+Storage_rounded_off_prod!BI47*Storage_rounded_off_prod!$A$44</f>
        <v>1.4830000000000001</v>
      </c>
      <c r="BJ47" s="197">
        <f>Storage_Reconciled_prod!BJ47*Storage_Reconciled_prod!$A$44+Storage_rounded_off_prod!BJ47*Storage_rounded_off_prod!$A$44</f>
        <v>0.124</v>
      </c>
      <c r="BK47" s="197">
        <f>Storage_Reconciled_prod!BK47*Storage_Reconciled_prod!$A$44+Storage_rounded_off_prod!BK47*Storage_rounded_off_prod!$A$44</f>
        <v>0.11600000000000001</v>
      </c>
      <c r="BL47" s="197">
        <f>Storage_Reconciled_prod!BL47*Storage_Reconciled_prod!$A$44+Storage_rounded_off_prod!BL47*Storage_rounded_off_prod!$A$44</f>
        <v>0.108</v>
      </c>
      <c r="BM47" s="197">
        <f>Storage_Reconciled_prod!BM47*Storage_Reconciled_prod!$A$44+Storage_rounded_off_prod!BM47*Storage_rounded_off_prod!$A$44</f>
        <v>0.34799999999999998</v>
      </c>
      <c r="BN47" s="197">
        <f>Storage_Reconciled_prod!BN47*Storage_Reconciled_prod!$A$44+Storage_rounded_off_prod!BN47*Storage_rounded_off_prod!$A$44</f>
        <v>0.112</v>
      </c>
      <c r="BO47" s="197">
        <f>Storage_Reconciled_prod!BO47*Storage_Reconciled_prod!$A$44+Storage_rounded_off_prod!BO47*Storage_rounded_off_prod!$A$44</f>
        <v>2.7E-2</v>
      </c>
      <c r="BP47" s="197">
        <f>Storage_Reconciled_prod!BP47*Storage_Reconciled_prod!$A$44+Storage_rounded_off_prod!BP47*Storage_rounded_off_prod!$A$44</f>
        <v>0.11600000000000001</v>
      </c>
      <c r="BQ47" s="197">
        <f>Storage_Reconciled_prod!BQ47*Storage_Reconciled_prod!$A$44+Storage_rounded_off_prod!BQ47*Storage_rounded_off_prod!$A$44</f>
        <v>0.255</v>
      </c>
      <c r="BR47" s="197">
        <f>Storage_Reconciled_prod!BR47*Storage_Reconciled_prod!$A$44+Storage_rounded_off_prod!BR47*Storage_rounded_off_prod!$A$44</f>
        <v>0.60299999999999998</v>
      </c>
      <c r="BS47" s="197">
        <f>Storage_Reconciled_prod!BS47*Storage_Reconciled_prod!$A$44+Storage_rounded_off_prod!BS47*Storage_rounded_off_prod!$A$44</f>
        <v>0.11899999999999999</v>
      </c>
      <c r="BT47" s="197">
        <f>Storage_Reconciled_prod!BT47*Storage_Reconciled_prod!$A$44+Storage_rounded_off_prod!BT47*Storage_rounded_off_prod!$A$44</f>
        <v>0.123</v>
      </c>
      <c r="BU47" s="197">
        <f>Storage_Reconciled_prod!BU47*Storage_Reconciled_prod!$A$44+Storage_rounded_off_prod!BU47*Storage_rounded_off_prod!$A$44</f>
        <v>0.127</v>
      </c>
      <c r="BV47" s="197">
        <f>Storage_Reconciled_prod!BV47*Storage_Reconciled_prod!$A$44+Storage_rounded_off_prod!BV47*Storage_rounded_off_prod!$A$44</f>
        <v>0.36899999999999999</v>
      </c>
      <c r="BW47" s="197">
        <f>Storage_Reconciled_prod!BW47*Storage_Reconciled_prod!$A$44+Storage_rounded_off_prod!BW47*Storage_rounded_off_prod!$A$44</f>
        <v>0.97199999999999998</v>
      </c>
      <c r="BX47" s="197">
        <f>Storage_Reconciled_prod!BX47*Storage_Reconciled_prod!$A$44+Storage_rounded_off_prod!BX47*Storage_rounded_off_prod!$A$44</f>
        <v>0.17199999999999999</v>
      </c>
      <c r="BY47" s="197">
        <f>Storage_Reconciled_prod!BY47*Storage_Reconciled_prod!$A$44+Storage_rounded_off_prod!BY47*Storage_rounded_off_prod!$A$44</f>
        <v>0.14099999999999999</v>
      </c>
      <c r="BZ47" s="197">
        <f>Storage_Reconciled_prod!BZ47*Storage_Reconciled_prod!$A$44+Storage_rounded_off_prod!BZ47*Storage_rounded_off_prod!$A$44</f>
        <v>0.156</v>
      </c>
      <c r="CA47" s="197">
        <f>Storage_Reconciled_prod!CA47*Storage_Reconciled_prod!$A$44+Storage_rounded_off_prod!CA47*Storage_rounded_off_prod!$A$44</f>
        <v>0.46899999999999997</v>
      </c>
      <c r="CB47" s="197">
        <f>Storage_Reconciled_prod!CB47*Storage_Reconciled_prod!$A$44+Storage_rounded_off_prod!CB47*Storage_rounded_off_prod!$A$44</f>
        <v>1.4159999999999999</v>
      </c>
      <c r="CC47" s="197">
        <f>Storage_Reconciled_prod!CC47*Storage_Reconciled_prod!$A$44+Storage_rounded_off_prod!CC47*Storage_rounded_off_prod!$A$44</f>
        <v>0.155</v>
      </c>
      <c r="CD47" s="197">
        <f>Storage_Reconciled_prod!CD47*Storage_Reconciled_prod!$A$44+Storage_rounded_off_prod!CD47*Storage_rounded_off_prod!$A$44</f>
        <v>0.156</v>
      </c>
      <c r="CE47" s="197">
        <f>Storage_Reconciled_prod!CE47*Storage_Reconciled_prod!$A$44+Storage_rounded_off_prod!CE47*Storage_rounded_off_prod!$A$44</f>
        <v>0.13400000000000001</v>
      </c>
      <c r="CF47" s="197">
        <f>Storage_Reconciled_prod!CF47*Storage_Reconciled_prod!$A$44+Storage_rounded_off_prod!CF47*Storage_rounded_off_prod!$A$44</f>
        <v>0.44500000000000001</v>
      </c>
      <c r="CG47" s="197">
        <f>Storage_Reconciled_prod!CG47*Storage_Reconciled_prod!$A$44+Storage_rounded_off_prod!CG47*Storage_rounded_off_prod!$A$44</f>
        <v>0.158</v>
      </c>
      <c r="CH47" s="197">
        <f>Storage_Reconciled_prod!CH47*Storage_Reconciled_prod!$A$44+Storage_rounded_off_prod!CH47*Storage_rounded_off_prod!$A$44</f>
        <v>0</v>
      </c>
      <c r="CI47" s="197">
        <f>Storage_Reconciled_prod!CI47*Storage_Reconciled_prod!$A$44+Storage_rounded_off_prod!CI47*Storage_rounded_off_prod!$A$44</f>
        <v>0</v>
      </c>
      <c r="CJ47" s="197">
        <f>Storage_Reconciled_prod!CJ47*Storage_Reconciled_prod!$A$44+Storage_rounded_off_prod!CJ47*Storage_rounded_off_prod!$A$44</f>
        <v>0</v>
      </c>
      <c r="CK47" s="197">
        <f>Storage_Reconciled_prod!CK47*Storage_Reconciled_prod!$A$44+Storage_rounded_off_prod!CK47*Storage_rounded_off_prod!$A$44</f>
        <v>0</v>
      </c>
      <c r="CL47" s="197">
        <f>Storage_Reconciled_prod!CL47*Storage_Reconciled_prod!$A$44+Storage_rounded_off_prod!CL47*Storage_rounded_off_prod!$A$44</f>
        <v>0</v>
      </c>
      <c r="CM47" s="197">
        <f>Storage_Reconciled_prod!CM47*Storage_Reconciled_prod!$A$44+Storage_rounded_off_prod!CM47*Storage_rounded_off_prod!$A$44</f>
        <v>0</v>
      </c>
      <c r="CN47" s="197">
        <f>Storage_Reconciled_prod!CN47*Storage_Reconciled_prod!$A$44+Storage_rounded_off_prod!CN47*Storage_rounded_off_prod!$A$44</f>
        <v>0</v>
      </c>
      <c r="CO47" s="197">
        <f>Storage_Reconciled_prod!CO47*Storage_Reconciled_prod!$A$44+Storage_rounded_off_prod!CO47*Storage_rounded_off_prod!$A$44</f>
        <v>0</v>
      </c>
      <c r="CP47" s="197">
        <f>Storage_Reconciled_prod!CP47*Storage_Reconciled_prod!$A$44+Storage_rounded_off_prod!CP47*Storage_rounded_off_prod!$A$44</f>
        <v>0</v>
      </c>
      <c r="CQ47" s="197">
        <f>Storage_Reconciled_prod!CQ47*Storage_Reconciled_prod!$A$44+Storage_rounded_off_prod!CQ47*Storage_rounded_off_prod!$A$44</f>
        <v>0</v>
      </c>
      <c r="CR47" s="197">
        <f>Storage_Reconciled_prod!CR47*Storage_Reconciled_prod!$A$44+Storage_rounded_off_prod!CR47*Storage_rounded_off_prod!$A$44</f>
        <v>0</v>
      </c>
      <c r="CS47" s="197">
        <f>Storage_Reconciled_prod!CS47*Storage_Reconciled_prod!$A$44+Storage_rounded_off_prod!CS47*Storage_rounded_off_prod!$A$44</f>
        <v>0</v>
      </c>
      <c r="CT47" s="197">
        <f>Storage_Reconciled_prod!CT47*Storage_Reconciled_prod!$A$44+Storage_rounded_off_prod!CT47*Storage_rounded_off_prod!$A$44</f>
        <v>0</v>
      </c>
      <c r="CU47" s="197">
        <f>Storage_Reconciled_prod!CU47*Storage_Reconciled_prod!$A$44+Storage_rounded_off_prod!CU47*Storage_rounded_off_prod!$A$44</f>
        <v>0</v>
      </c>
    </row>
    <row r="48" spans="1:99">
      <c r="C48">
        <v>4</v>
      </c>
      <c r="D48" s="209" t="s">
        <v>61</v>
      </c>
      <c r="E48" s="197">
        <f>Storage_Reconciled_prod!E48*Storage_Reconciled_prod!$A$44+Storage_rounded_off_prod!E48*Storage_rounded_off_prod!$A$44</f>
        <v>0.20599999999999999</v>
      </c>
      <c r="F48" s="197">
        <f>Storage_Reconciled_prod!F48*Storage_Reconciled_prod!$A$44+Storage_rounded_off_prod!F48*Storage_rounded_off_prod!$A$44</f>
        <v>0.216</v>
      </c>
      <c r="G48" s="197">
        <f>Storage_Reconciled_prod!G48*Storage_Reconciled_prod!$A$44+Storage_rounded_off_prod!G48*Storage_rounded_off_prod!$A$44</f>
        <v>0.20799999999999999</v>
      </c>
      <c r="H48" s="197">
        <f>Storage_Reconciled_prod!H48*Storage_Reconciled_prod!$A$44+Storage_rounded_off_prod!H48*Storage_rounded_off_prod!$A$44</f>
        <v>0.63</v>
      </c>
      <c r="I48" s="197">
        <f>Storage_Reconciled_prod!I48*Storage_Reconciled_prod!$A$44+Storage_rounded_off_prod!I48*Storage_rounded_off_prod!$A$44</f>
        <v>0.21299999999999999</v>
      </c>
      <c r="J48" s="197">
        <f>Storage_Reconciled_prod!J48*Storage_Reconciled_prod!$A$44+Storage_rounded_off_prod!J48*Storage_rounded_off_prod!$A$44</f>
        <v>0.21199999999999999</v>
      </c>
      <c r="K48" s="197">
        <f>Storage_Reconciled_prod!K48*Storage_Reconciled_prod!$A$44+Storage_rounded_off_prod!K48*Storage_rounded_off_prod!$A$44</f>
        <v>0.20100000000000001</v>
      </c>
      <c r="L48" s="197">
        <f>Storage_Reconciled_prod!L48*Storage_Reconciled_prod!$A$44+Storage_rounded_off_prod!L48*Storage_rounded_off_prod!$A$44</f>
        <v>0.626</v>
      </c>
      <c r="M48" s="197">
        <f>Storage_Reconciled_prod!M48*Storage_Reconciled_prod!$A$44+Storage_rounded_off_prod!M48*Storage_rounded_off_prod!$A$44</f>
        <v>1.256</v>
      </c>
      <c r="N48" s="197">
        <f>Storage_Reconciled_prod!N48*Storage_Reconciled_prod!$A$44+Storage_rounded_off_prod!N48*Storage_rounded_off_prod!$A$44</f>
        <v>0.20799999999999999</v>
      </c>
      <c r="O48" s="197">
        <f>Storage_Reconciled_prod!O48*Storage_Reconciled_prod!$A$44+Storage_rounded_off_prod!O48*Storage_rounded_off_prod!$A$44</f>
        <v>0.19800000000000001</v>
      </c>
      <c r="P48" s="197">
        <f>Storage_Reconciled_prod!P48*Storage_Reconciled_prod!$A$44+Storage_rounded_off_prod!P48*Storage_rounded_off_prod!$A$44</f>
        <v>0.20599999999999999</v>
      </c>
      <c r="Q48" s="197">
        <f>Storage_Reconciled_prod!Q48*Storage_Reconciled_prod!$A$44+Storage_rounded_off_prod!Q48*Storage_rounded_off_prod!$A$44</f>
        <v>0.61199999999999999</v>
      </c>
      <c r="R48" s="197">
        <f>Storage_Reconciled_prod!R48*Storage_Reconciled_prod!$A$44+Storage_rounded_off_prod!R48*Storage_rounded_off_prod!$A$44</f>
        <v>1.8679999999999999</v>
      </c>
      <c r="S48" s="197">
        <f>Storage_Reconciled_prod!S48*Storage_Reconciled_prod!$A$44+Storage_rounded_off_prod!S48*Storage_rounded_off_prod!$A$44</f>
        <v>0.20599999999999999</v>
      </c>
      <c r="T48" s="197">
        <f>Storage_Reconciled_prod!T48*Storage_Reconciled_prod!$A$44+Storage_rounded_off_prod!T48*Storage_rounded_off_prod!$A$44</f>
        <v>0.188</v>
      </c>
      <c r="U48" s="197">
        <f>Storage_Reconciled_prod!U48*Storage_Reconciled_prod!$A$44+Storage_rounded_off_prod!U48*Storage_rounded_off_prod!$A$44</f>
        <v>0.20100000000000001</v>
      </c>
      <c r="V48" s="197">
        <f>Storage_Reconciled_prod!V48*Storage_Reconciled_prod!$A$44+Storage_rounded_off_prod!V48*Storage_rounded_off_prod!$A$44</f>
        <v>0.59499999999999997</v>
      </c>
      <c r="W48" s="197">
        <f>Storage_Reconciled_prod!W48*Storage_Reconciled_prod!$A$44+Storage_rounded_off_prod!W48*Storage_rounded_off_prod!$A$44</f>
        <v>2.4630000000000001</v>
      </c>
      <c r="X48" s="197">
        <f>Storage_Reconciled_prod!X48*Storage_Reconciled_prod!$A$44+Storage_rounded_off_prod!X48*Storage_rounded_off_prod!$A$44</f>
        <v>0.193</v>
      </c>
      <c r="Y48" s="197">
        <f>Storage_Reconciled_prod!Y48*Storage_Reconciled_prod!$A$44+Storage_rounded_off_prod!Y48*Storage_rounded_off_prod!$A$44</f>
        <v>0.19900000000000001</v>
      </c>
      <c r="Z48" s="197">
        <f>Storage_Reconciled_prod!Z48*Storage_Reconciled_prod!$A$44+Storage_rounded_off_prod!Z48*Storage_rounded_off_prod!$A$44</f>
        <v>0.19400000000000001</v>
      </c>
      <c r="AA48" s="197">
        <f>Storage_Reconciled_prod!AA48*Storage_Reconciled_prod!$A$44+Storage_rounded_off_prod!AA48*Storage_rounded_off_prod!$A$44</f>
        <v>0.58600000000000008</v>
      </c>
      <c r="AB48" s="197">
        <f>Storage_Reconciled_prod!AB48*Storage_Reconciled_prod!$A$44+Storage_rounded_off_prod!AB48*Storage_rounded_off_prod!$A$44</f>
        <v>0.19800000000000001</v>
      </c>
      <c r="AC48" s="197">
        <f>Storage_Reconciled_prod!AC48*Storage_Reconciled_prod!$A$44+Storage_rounded_off_prod!AC48*Storage_rounded_off_prod!$A$44</f>
        <v>0.20100000000000001</v>
      </c>
      <c r="AD48" s="197">
        <f>Storage_Reconciled_prod!AD48*Storage_Reconciled_prod!$A$44+Storage_rounded_off_prod!AD48*Storage_rounded_off_prod!$A$44</f>
        <v>0.193</v>
      </c>
      <c r="AE48" s="197">
        <f>Storage_Reconciled_prod!AE48*Storage_Reconciled_prod!$A$44+Storage_rounded_off_prod!AE48*Storage_rounded_off_prod!$A$44</f>
        <v>0.59200000000000008</v>
      </c>
      <c r="AF48" s="197">
        <f>Storage_Reconciled_prod!AF48*Storage_Reconciled_prod!$A$44+Storage_rounded_off_prod!AF48*Storage_rounded_off_prod!$A$44</f>
        <v>1.1780000000000002</v>
      </c>
      <c r="AG48" s="197">
        <f>Storage_Reconciled_prod!AG48*Storage_Reconciled_prod!$A$44+Storage_rounded_off_prod!AG48*Storage_rounded_off_prod!$A$44</f>
        <v>0.192</v>
      </c>
      <c r="AH48" s="197">
        <f>Storage_Reconciled_prod!AH48*Storage_Reconciled_prod!$A$44+Storage_rounded_off_prod!AH48*Storage_rounded_off_prod!$A$44</f>
        <v>0.191</v>
      </c>
      <c r="AI48" s="197">
        <f>Storage_Reconciled_prod!AI48*Storage_Reconciled_prod!$A$44+Storage_rounded_off_prod!AI48*Storage_rounded_off_prod!$A$44</f>
        <v>0.19400000000000001</v>
      </c>
      <c r="AJ48" s="197">
        <f>Storage_Reconciled_prod!AJ48*Storage_Reconciled_prod!$A$44+Storage_rounded_off_prod!AJ48*Storage_rounded_off_prod!$A$44</f>
        <v>0.57699999999999996</v>
      </c>
      <c r="AK48" s="197">
        <f>Storage_Reconciled_prod!AK48*Storage_Reconciled_prod!$A$44+Storage_rounded_off_prod!AK48*Storage_rounded_off_prod!$A$44</f>
        <v>1.7550000000000001</v>
      </c>
      <c r="AL48" s="197">
        <f>Storage_Reconciled_prod!AL48*Storage_Reconciled_prod!$A$44+Storage_rounded_off_prod!AL48*Storage_rounded_off_prod!$A$44</f>
        <v>0.19</v>
      </c>
      <c r="AM48" s="197">
        <f>Storage_Reconciled_prod!AM48*Storage_Reconciled_prod!$A$44+Storage_rounded_off_prod!AM48*Storage_rounded_off_prod!$A$44</f>
        <v>0.18</v>
      </c>
      <c r="AN48" s="197">
        <f>Storage_Reconciled_prod!AN48*Storage_Reconciled_prod!$A$44+Storage_rounded_off_prod!AN48*Storage_rounded_off_prod!$A$44</f>
        <v>0.192</v>
      </c>
      <c r="AO48" s="197">
        <f>Storage_Reconciled_prod!AO48*Storage_Reconciled_prod!$A$44+Storage_rounded_off_prod!AO48*Storage_rounded_off_prod!$A$44</f>
        <v>0.56200000000000006</v>
      </c>
      <c r="AP48" s="197">
        <f>Storage_Reconciled_prod!AP48*Storage_Reconciled_prod!$A$44+Storage_rounded_off_prod!AP48*Storage_rounded_off_prod!$A$44</f>
        <v>2.3170000000000002</v>
      </c>
      <c r="AQ48" s="197">
        <f>Storage_Reconciled_prod!AQ48*Storage_Reconciled_prod!$A$44+Storage_rounded_off_prod!AQ48*Storage_rounded_off_prod!$A$44</f>
        <v>0.18099999999999999</v>
      </c>
      <c r="AR48" s="197">
        <f>Storage_Reconciled_prod!AR48*Storage_Reconciled_prod!$A$44+Storage_rounded_off_prod!AR48*Storage_rounded_off_prod!$A$44</f>
        <v>0.185</v>
      </c>
      <c r="AS48" s="197">
        <f>Storage_Reconciled_prod!AS48*Storage_Reconciled_prod!$A$44+Storage_rounded_off_prod!AS48*Storage_rounded_off_prod!$A$44</f>
        <v>0.182</v>
      </c>
      <c r="AT48" s="197">
        <f>Storage_Reconciled_prod!AT48*Storage_Reconciled_prod!$A$44+Storage_rounded_off_prod!AT48*Storage_rounded_off_prod!$A$44</f>
        <v>0.54800000000000004</v>
      </c>
      <c r="AU48" s="197">
        <f>Storage_Reconciled_prod!AU48*Storage_Reconciled_prod!$A$44+Storage_rounded_off_prod!AU48*Storage_rounded_off_prod!$A$44</f>
        <v>0.191</v>
      </c>
      <c r="AV48" s="197">
        <f>Storage_Reconciled_prod!AV48*Storage_Reconciled_prod!$A$44+Storage_rounded_off_prod!AV48*Storage_rounded_off_prod!$A$44</f>
        <v>0.186</v>
      </c>
      <c r="AW48" s="197">
        <f>Storage_Reconciled_prod!AW48*Storage_Reconciled_prod!$A$44+Storage_rounded_off_prod!AW48*Storage_rounded_off_prod!$A$44</f>
        <v>0.18099999999999999</v>
      </c>
      <c r="AX48" s="197">
        <f>Storage_Reconciled_prod!AX48*Storage_Reconciled_prod!$A$44+Storage_rounded_off_prod!AX48*Storage_rounded_off_prod!$A$44</f>
        <v>0.55800000000000005</v>
      </c>
      <c r="AY48" s="197">
        <f>Storage_Reconciled_prod!AY48*Storage_Reconciled_prod!$A$44+Storage_rounded_off_prod!AY48*Storage_rounded_off_prod!$A$44</f>
        <v>1.1060000000000001</v>
      </c>
      <c r="AZ48" s="197">
        <f>Storage_Reconciled_prod!AZ48*Storage_Reconciled_prod!$A$44+Storage_rounded_off_prod!AZ48*Storage_rounded_off_prod!$A$44</f>
        <v>0.188</v>
      </c>
      <c r="BA48" s="197">
        <f>Storage_Reconciled_prod!BA48*Storage_Reconciled_prod!$A$44+Storage_rounded_off_prod!BA48*Storage_rounded_off_prod!$A$44</f>
        <v>0.182</v>
      </c>
      <c r="BB48" s="197">
        <f>Storage_Reconciled_prod!BB48*Storage_Reconciled_prod!$A$44+Storage_rounded_off_prod!BB48*Storage_rounded_off_prod!$A$44</f>
        <v>0.189</v>
      </c>
      <c r="BC48" s="197">
        <f>Storage_Reconciled_prod!BC48*Storage_Reconciled_prod!$A$44+Storage_rounded_off_prod!BC48*Storage_rounded_off_prod!$A$44</f>
        <v>0.55899999999999994</v>
      </c>
      <c r="BD48" s="197">
        <f>Storage_Reconciled_prod!BD48*Storage_Reconciled_prod!$A$44+Storage_rounded_off_prod!BD48*Storage_rounded_off_prod!$A$44</f>
        <v>1.665</v>
      </c>
      <c r="BE48" s="197">
        <f>Storage_Reconciled_prod!BE48*Storage_Reconciled_prod!$A$44+Storage_rounded_off_prod!BE48*Storage_rounded_off_prod!$A$44</f>
        <v>0.187</v>
      </c>
      <c r="BF48" s="197">
        <f>Storage_Reconciled_prod!BF48*Storage_Reconciled_prod!$A$44+Storage_rounded_off_prod!BF48*Storage_rounded_off_prod!$A$44</f>
        <v>0.16800000000000001</v>
      </c>
      <c r="BG48" s="197">
        <f>Storage_Reconciled_prod!BG48*Storage_Reconciled_prod!$A$44+Storage_rounded_off_prod!BG48*Storage_rounded_off_prod!$A$44</f>
        <v>0.184</v>
      </c>
      <c r="BH48" s="197">
        <f>Storage_Reconciled_prod!BH48*Storage_Reconciled_prod!$A$44+Storage_rounded_off_prod!BH48*Storage_rounded_off_prod!$A$44</f>
        <v>0.53899999999999992</v>
      </c>
      <c r="BI48" s="197">
        <f>Storage_Reconciled_prod!BI48*Storage_Reconciled_prod!$A$44+Storage_rounded_off_prod!BI48*Storage_rounded_off_prod!$A$44</f>
        <v>2.2039999999999997</v>
      </c>
      <c r="BJ48" s="197">
        <f>Storage_Reconciled_prod!BJ48*Storage_Reconciled_prod!$A$44+Storage_rounded_off_prod!BJ48*Storage_rounded_off_prod!$A$44</f>
        <v>0.17799999999999999</v>
      </c>
      <c r="BK48" s="197">
        <f>Storage_Reconciled_prod!BK48*Storage_Reconciled_prod!$A$44+Storage_rounded_off_prod!BK48*Storage_rounded_off_prod!$A$44</f>
        <v>0.183</v>
      </c>
      <c r="BL48" s="197">
        <f>Storage_Reconciled_prod!BL48*Storage_Reconciled_prod!$A$44+Storage_rounded_off_prod!BL48*Storage_rounded_off_prod!$A$44</f>
        <v>0.17699999999999999</v>
      </c>
      <c r="BM48" s="197">
        <f>Storage_Reconciled_prod!BM48*Storage_Reconciled_prod!$A$44+Storage_rounded_off_prod!BM48*Storage_rounded_off_prod!$A$44</f>
        <v>0.53800000000000003</v>
      </c>
      <c r="BN48" s="197">
        <f>Storage_Reconciled_prod!BN48*Storage_Reconciled_prod!$A$44+Storage_rounded_off_prod!BN48*Storage_rounded_off_prod!$A$44</f>
        <v>0.18099999999999999</v>
      </c>
      <c r="BO48" s="197">
        <f>Storage_Reconciled_prod!BO48*Storage_Reconciled_prod!$A$44+Storage_rounded_off_prod!BO48*Storage_rounded_off_prod!$A$44</f>
        <v>0.18</v>
      </c>
      <c r="BP48" s="197">
        <f>Storage_Reconciled_prod!BP48*Storage_Reconciled_prod!$A$44+Storage_rounded_off_prod!BP48*Storage_rounded_off_prod!$A$44</f>
        <v>0.17299999999999999</v>
      </c>
      <c r="BQ48" s="197">
        <f>Storage_Reconciled_prod!BQ48*Storage_Reconciled_prod!$A$44+Storage_rounded_off_prod!BQ48*Storage_rounded_off_prod!$A$44</f>
        <v>0.53400000000000003</v>
      </c>
      <c r="BR48" s="197">
        <f>Storage_Reconciled_prod!BR48*Storage_Reconciled_prod!$A$44+Storage_rounded_off_prod!BR48*Storage_rounded_off_prod!$A$44</f>
        <v>1.0720000000000001</v>
      </c>
      <c r="BS48" s="197">
        <f>Storage_Reconciled_prod!BS48*Storage_Reconciled_prod!$A$44+Storage_rounded_off_prod!BS48*Storage_rounded_off_prod!$A$44</f>
        <v>0.17899999999999999</v>
      </c>
      <c r="BT48" s="197">
        <f>Storage_Reconciled_prod!BT48*Storage_Reconciled_prod!$A$44+Storage_rounded_off_prod!BT48*Storage_rounded_off_prod!$A$44</f>
        <v>0.17199999999999999</v>
      </c>
      <c r="BU48" s="197">
        <f>Storage_Reconciled_prod!BU48*Storage_Reconciled_prod!$A$44+Storage_rounded_off_prod!BU48*Storage_rounded_off_prod!$A$44</f>
        <v>0.17499999999999999</v>
      </c>
      <c r="BV48" s="197">
        <f>Storage_Reconciled_prod!BV48*Storage_Reconciled_prod!$A$44+Storage_rounded_off_prod!BV48*Storage_rounded_off_prod!$A$44</f>
        <v>0.52600000000000002</v>
      </c>
      <c r="BW48" s="197">
        <f>Storage_Reconciled_prod!BW48*Storage_Reconciled_prod!$A$44+Storage_rounded_off_prod!BW48*Storage_rounded_off_prod!$A$44</f>
        <v>1.5980000000000001</v>
      </c>
      <c r="BX48" s="197">
        <f>Storage_Reconciled_prod!BX48*Storage_Reconciled_prod!$A$44+Storage_rounded_off_prod!BX48*Storage_rounded_off_prod!$A$44</f>
        <v>0.14699999999999999</v>
      </c>
      <c r="BY48" s="197">
        <f>Storage_Reconciled_prod!BY48*Storage_Reconciled_prod!$A$44+Storage_rounded_off_prod!BY48*Storage_rounded_off_prod!$A$44</f>
        <v>0.159</v>
      </c>
      <c r="BZ48" s="197">
        <f>Storage_Reconciled_prod!BZ48*Storage_Reconciled_prod!$A$44+Storage_rounded_off_prod!BZ48*Storage_rounded_off_prod!$A$44</f>
        <v>0.16700000000000001</v>
      </c>
      <c r="CA48" s="197">
        <f>Storage_Reconciled_prod!CA48*Storage_Reconciled_prod!$A$44+Storage_rounded_off_prod!CA48*Storage_rounded_off_prod!$A$44</f>
        <v>0.47299999999999998</v>
      </c>
      <c r="CB48" s="197">
        <f>Storage_Reconciled_prod!CB48*Storage_Reconciled_prod!$A$44+Storage_rounded_off_prod!CB48*Storage_rounded_off_prod!$A$44</f>
        <v>2.0950000000000002</v>
      </c>
      <c r="CC48" s="197">
        <f>Storage_Reconciled_prod!CC48*Storage_Reconciled_prod!$A$44+Storage_rounded_off_prod!CC48*Storage_rounded_off_prod!$A$44</f>
        <v>0.16300000000000001</v>
      </c>
      <c r="CD48" s="197">
        <f>Storage_Reconciled_prod!CD48*Storage_Reconciled_prod!$A$44+Storage_rounded_off_prod!CD48*Storage_rounded_off_prod!$A$44</f>
        <v>0.16900000000000001</v>
      </c>
      <c r="CE48" s="197">
        <f>Storage_Reconciled_prod!CE48*Storage_Reconciled_prod!$A$44+Storage_rounded_off_prod!CE48*Storage_rounded_off_prod!$A$44</f>
        <v>0.16300000000000001</v>
      </c>
      <c r="CF48" s="197">
        <f>Storage_Reconciled_prod!CF48*Storage_Reconciled_prod!$A$44+Storage_rounded_off_prod!CF48*Storage_rounded_off_prod!$A$44</f>
        <v>0.495</v>
      </c>
      <c r="CG48" s="197">
        <f>Storage_Reconciled_prod!CG48*Storage_Reconciled_prod!$A$44+Storage_rounded_off_prod!CG48*Storage_rounded_off_prod!$A$44</f>
        <v>0.16900000000000001</v>
      </c>
      <c r="CH48" s="197">
        <f>Storage_Reconciled_prod!CH48*Storage_Reconciled_prod!$A$44+Storage_rounded_off_prod!CH48*Storage_rounded_off_prod!$A$44</f>
        <v>0</v>
      </c>
      <c r="CI48" s="197">
        <f>Storage_Reconciled_prod!CI48*Storage_Reconciled_prod!$A$44+Storage_rounded_off_prod!CI48*Storage_rounded_off_prod!$A$44</f>
        <v>0</v>
      </c>
      <c r="CJ48" s="197">
        <f>Storage_Reconciled_prod!CJ48*Storage_Reconciled_prod!$A$44+Storage_rounded_off_prod!CJ48*Storage_rounded_off_prod!$A$44</f>
        <v>0</v>
      </c>
      <c r="CK48" s="197">
        <f>Storage_Reconciled_prod!CK48*Storage_Reconciled_prod!$A$44+Storage_rounded_off_prod!CK48*Storage_rounded_off_prod!$A$44</f>
        <v>0</v>
      </c>
      <c r="CL48" s="197">
        <f>Storage_Reconciled_prod!CL48*Storage_Reconciled_prod!$A$44+Storage_rounded_off_prod!CL48*Storage_rounded_off_prod!$A$44</f>
        <v>0</v>
      </c>
      <c r="CM48" s="197">
        <f>Storage_Reconciled_prod!CM48*Storage_Reconciled_prod!$A$44+Storage_rounded_off_prod!CM48*Storage_rounded_off_prod!$A$44</f>
        <v>0</v>
      </c>
      <c r="CN48" s="197">
        <f>Storage_Reconciled_prod!CN48*Storage_Reconciled_prod!$A$44+Storage_rounded_off_prod!CN48*Storage_rounded_off_prod!$A$44</f>
        <v>0</v>
      </c>
      <c r="CO48" s="197">
        <f>Storage_Reconciled_prod!CO48*Storage_Reconciled_prod!$A$44+Storage_rounded_off_prod!CO48*Storage_rounded_off_prod!$A$44</f>
        <v>0</v>
      </c>
      <c r="CP48" s="197">
        <f>Storage_Reconciled_prod!CP48*Storage_Reconciled_prod!$A$44+Storage_rounded_off_prod!CP48*Storage_rounded_off_prod!$A$44</f>
        <v>0</v>
      </c>
      <c r="CQ48" s="197">
        <f>Storage_Reconciled_prod!CQ48*Storage_Reconciled_prod!$A$44+Storage_rounded_off_prod!CQ48*Storage_rounded_off_prod!$A$44</f>
        <v>0</v>
      </c>
      <c r="CR48" s="197">
        <f>Storage_Reconciled_prod!CR48*Storage_Reconciled_prod!$A$44+Storage_rounded_off_prod!CR48*Storage_rounded_off_prod!$A$44</f>
        <v>0</v>
      </c>
      <c r="CS48" s="197">
        <f>Storage_Reconciled_prod!CS48*Storage_Reconciled_prod!$A$44+Storage_rounded_off_prod!CS48*Storage_rounded_off_prod!$A$44</f>
        <v>0</v>
      </c>
      <c r="CT48" s="197">
        <f>Storage_Reconciled_prod!CT48*Storage_Reconciled_prod!$A$44+Storage_rounded_off_prod!CT48*Storage_rounded_off_prod!$A$44</f>
        <v>0</v>
      </c>
      <c r="CU48" s="197">
        <f>Storage_Reconciled_prod!CU48*Storage_Reconciled_prod!$A$44+Storage_rounded_off_prod!CU48*Storage_rounded_off_prod!$A$44</f>
        <v>0</v>
      </c>
    </row>
    <row r="49" spans="1:99">
      <c r="C49">
        <v>5</v>
      </c>
      <c r="D49" s="209" t="s">
        <v>62</v>
      </c>
      <c r="E49" s="197">
        <f>Storage_Reconciled_prod!E49*Storage_Reconciled_prod!$A$44+Storage_rounded_off_prod!E49*Storage_rounded_off_prod!$A$44</f>
        <v>1.7000000000000001E-2</v>
      </c>
      <c r="F49" s="197">
        <f>Storage_Reconciled_prod!F49*Storage_Reconciled_prod!$A$44+Storage_rounded_off_prod!F49*Storage_rounded_off_prod!$A$44</f>
        <v>1.4999999999999999E-2</v>
      </c>
      <c r="G49" s="197">
        <f>Storage_Reconciled_prod!G49*Storage_Reconciled_prod!$A$44+Storage_rounded_off_prod!G49*Storage_rounded_off_prod!$A$44</f>
        <v>1.4999999999999999E-2</v>
      </c>
      <c r="H49" s="197">
        <f>Storage_Reconciled_prod!H49*Storage_Reconciled_prod!$A$44+Storage_rounded_off_prod!H49*Storage_rounded_off_prod!$A$44</f>
        <v>4.7E-2</v>
      </c>
      <c r="I49" s="197">
        <f>Storage_Reconciled_prod!I49*Storage_Reconciled_prod!$A$44+Storage_rounded_off_prod!I49*Storage_rounded_off_prod!$A$44</f>
        <v>1.6E-2</v>
      </c>
      <c r="J49" s="197">
        <f>Storage_Reconciled_prod!J49*Storage_Reconciled_prod!$A$44+Storage_rounded_off_prod!J49*Storage_rounded_off_prod!$A$44</f>
        <v>1.3999999999999999E-2</v>
      </c>
      <c r="K49" s="197">
        <f>Storage_Reconciled_prod!K49*Storage_Reconciled_prod!$A$44+Storage_rounded_off_prod!K49*Storage_rounded_off_prod!$A$44</f>
        <v>1.4E-2</v>
      </c>
      <c r="L49" s="197">
        <f>Storage_Reconciled_prod!L49*Storage_Reconciled_prod!$A$44+Storage_rounded_off_prod!L49*Storage_rounded_off_prod!$A$44</f>
        <v>4.3999999999999997E-2</v>
      </c>
      <c r="M49" s="197">
        <f>Storage_Reconciled_prod!M49*Storage_Reconciled_prod!$A$44+Storage_rounded_off_prod!M49*Storage_rounded_off_prod!$A$44</f>
        <v>9.0999999999999998E-2</v>
      </c>
      <c r="N49" s="197">
        <f>Storage_Reconciled_prod!N49*Storage_Reconciled_prod!$A$44+Storage_rounded_off_prod!N49*Storage_rounded_off_prod!$A$44</f>
        <v>1.4E-2</v>
      </c>
      <c r="O49" s="197">
        <f>Storage_Reconciled_prod!O49*Storage_Reconciled_prod!$A$44+Storage_rounded_off_prod!O49*Storage_rounded_off_prod!$A$44</f>
        <v>1.3999999999999999E-2</v>
      </c>
      <c r="P49" s="197">
        <f>Storage_Reconciled_prod!P49*Storage_Reconciled_prod!$A$44+Storage_rounded_off_prod!P49*Storage_rounded_off_prod!$A$44</f>
        <v>1.3000000000000001E-2</v>
      </c>
      <c r="Q49" s="197">
        <f>Storage_Reconciled_prod!Q49*Storage_Reconciled_prod!$A$44+Storage_rounded_off_prod!Q49*Storage_rounded_off_prod!$A$44</f>
        <v>4.0999999999999995E-2</v>
      </c>
      <c r="R49" s="197">
        <f>Storage_Reconciled_prod!R49*Storage_Reconciled_prod!$A$44+Storage_rounded_off_prod!R49*Storage_rounded_off_prod!$A$44</f>
        <v>0.13200000000000001</v>
      </c>
      <c r="S49" s="197">
        <f>Storage_Reconciled_prod!S49*Storage_Reconciled_prod!$A$44+Storage_rounded_off_prod!S49*Storage_rounded_off_prod!$A$44</f>
        <v>1.2999999999999999E-2</v>
      </c>
      <c r="T49" s="197">
        <f>Storage_Reconciled_prod!T49*Storage_Reconciled_prod!$A$44+Storage_rounded_off_prod!T49*Storage_rounded_off_prod!$A$44</f>
        <v>1.2E-2</v>
      </c>
      <c r="U49" s="197">
        <f>Storage_Reconciled_prod!U49*Storage_Reconciled_prod!$A$44+Storage_rounded_off_prod!U49*Storage_rounded_off_prod!$A$44</f>
        <v>1.2E-2</v>
      </c>
      <c r="V49" s="197">
        <f>Storage_Reconciled_prod!V49*Storage_Reconciled_prod!$A$44+Storage_rounded_off_prod!V49*Storage_rounded_off_prod!$A$44</f>
        <v>3.7000000000000005E-2</v>
      </c>
      <c r="W49" s="197">
        <f>Storage_Reconciled_prod!W49*Storage_Reconciled_prod!$A$44+Storage_rounded_off_prod!W49*Storage_rounded_off_prod!$A$44</f>
        <v>0.16900000000000001</v>
      </c>
      <c r="X49" s="197">
        <f>Storage_Reconciled_prod!X49*Storage_Reconciled_prod!$A$44+Storage_rounded_off_prod!X49*Storage_rounded_off_prod!$A$44</f>
        <v>1.2E-2</v>
      </c>
      <c r="Y49" s="197">
        <f>Storage_Reconciled_prod!Y49*Storage_Reconciled_prod!$A$44+Storage_rounded_off_prod!Y49*Storage_rounded_off_prod!$A$44</f>
        <v>1.0999999999999999E-2</v>
      </c>
      <c r="Z49" s="197">
        <f>Storage_Reconciled_prod!Z49*Storage_Reconciled_prod!$A$44+Storage_rounded_off_prod!Z49*Storage_rounded_off_prod!$A$44</f>
        <v>1.0999999999999999E-2</v>
      </c>
      <c r="AA49" s="197">
        <f>Storage_Reconciled_prod!AA49*Storage_Reconciled_prod!$A$44+Storage_rounded_off_prod!AA49*Storage_rounded_off_prod!$A$44</f>
        <v>3.4000000000000002E-2</v>
      </c>
      <c r="AB49" s="197">
        <f>Storage_Reconciled_prod!AB49*Storage_Reconciled_prod!$A$44+Storage_rounded_off_prod!AB49*Storage_rounded_off_prod!$A$44</f>
        <v>1.0999999999999999E-2</v>
      </c>
      <c r="AC49" s="197">
        <f>Storage_Reconciled_prod!AC49*Storage_Reconciled_prod!$A$44+Storage_rounded_off_prod!AC49*Storage_rounded_off_prod!$A$44</f>
        <v>0.01</v>
      </c>
      <c r="AD49" s="197">
        <f>Storage_Reconciled_prod!AD49*Storage_Reconciled_prod!$A$44+Storage_rounded_off_prod!AD49*Storage_rounded_off_prod!$A$44</f>
        <v>0.01</v>
      </c>
      <c r="AE49" s="197">
        <f>Storage_Reconciled_prod!AE49*Storage_Reconciled_prod!$A$44+Storage_rounded_off_prod!AE49*Storage_rounded_off_prod!$A$44</f>
        <v>3.1E-2</v>
      </c>
      <c r="AF49" s="197">
        <f>Storage_Reconciled_prod!AF49*Storage_Reconciled_prod!$A$44+Storage_rounded_off_prod!AF49*Storage_rounded_off_prod!$A$44</f>
        <v>6.5000000000000002E-2</v>
      </c>
      <c r="AG49" s="197">
        <f>Storage_Reconciled_prod!AG49*Storage_Reconciled_prod!$A$44+Storage_rounded_off_prod!AG49*Storage_rounded_off_prod!$A$44</f>
        <v>1.0999999999999999E-2</v>
      </c>
      <c r="AH49" s="197">
        <f>Storage_Reconciled_prod!AH49*Storage_Reconciled_prod!$A$44+Storage_rounded_off_prod!AH49*Storage_rounded_off_prod!$A$44</f>
        <v>0.01</v>
      </c>
      <c r="AI49" s="197">
        <f>Storage_Reconciled_prod!AI49*Storage_Reconciled_prod!$A$44+Storage_rounded_off_prod!AI49*Storage_rounded_off_prod!$A$44</f>
        <v>0.01</v>
      </c>
      <c r="AJ49" s="197">
        <f>Storage_Reconciled_prod!AJ49*Storage_Reconciled_prod!$A$44+Storage_rounded_off_prod!AJ49*Storage_rounded_off_prod!$A$44</f>
        <v>3.1E-2</v>
      </c>
      <c r="AK49" s="197">
        <f>Storage_Reconciled_prod!AK49*Storage_Reconciled_prod!$A$44+Storage_rounded_off_prod!AK49*Storage_rounded_off_prod!$A$44</f>
        <v>9.6000000000000002E-2</v>
      </c>
      <c r="AL49" s="197">
        <f>Storage_Reconciled_prod!AL49*Storage_Reconciled_prod!$A$44+Storage_rounded_off_prod!AL49*Storage_rounded_off_prod!$A$44</f>
        <v>0.01</v>
      </c>
      <c r="AM49" s="197">
        <f>Storage_Reconciled_prod!AM49*Storage_Reconciled_prod!$A$44+Storage_rounded_off_prod!AM49*Storage_rounded_off_prod!$A$44</f>
        <v>8.9999999999999993E-3</v>
      </c>
      <c r="AN49" s="197">
        <f>Storage_Reconciled_prod!AN49*Storage_Reconciled_prod!$A$44+Storage_rounded_off_prod!AN49*Storage_rounded_off_prod!$A$44</f>
        <v>8.9999999999999993E-3</v>
      </c>
      <c r="AO49" s="197">
        <f>Storage_Reconciled_prod!AO49*Storage_Reconciled_prod!$A$44+Storage_rounded_off_prod!AO49*Storage_rounded_off_prod!$A$44</f>
        <v>2.7999999999999997E-2</v>
      </c>
      <c r="AP49" s="197">
        <f>Storage_Reconciled_prod!AP49*Storage_Reconciled_prod!$A$44+Storage_rounded_off_prod!AP49*Storage_rounded_off_prod!$A$44</f>
        <v>0.124</v>
      </c>
      <c r="AQ49" s="197">
        <f>Storage_Reconciled_prod!AQ49*Storage_Reconciled_prod!$A$44+Storage_rounded_off_prod!AQ49*Storage_rounded_off_prod!$A$44</f>
        <v>0.01</v>
      </c>
      <c r="AR49" s="197">
        <f>Storage_Reconciled_prod!AR49*Storage_Reconciled_prod!$A$44+Storage_rounded_off_prod!AR49*Storage_rounded_off_prod!$A$44</f>
        <v>8.9999999999999993E-3</v>
      </c>
      <c r="AS49" s="197">
        <f>Storage_Reconciled_prod!AS49*Storage_Reconciled_prod!$A$44+Storage_rounded_off_prod!AS49*Storage_rounded_off_prod!$A$44</f>
        <v>7.0000000000000001E-3</v>
      </c>
      <c r="AT49" s="197">
        <f>Storage_Reconciled_prod!AT49*Storage_Reconciled_prod!$A$44+Storage_rounded_off_prod!AT49*Storage_rounded_off_prod!$A$44</f>
        <v>2.5999999999999999E-2</v>
      </c>
      <c r="AU49" s="197">
        <f>Storage_Reconciled_prod!AU49*Storage_Reconciled_prod!$A$44+Storage_rounded_off_prod!AU49*Storage_rounded_off_prod!$A$44</f>
        <v>0.01</v>
      </c>
      <c r="AV49" s="197">
        <f>Storage_Reconciled_prod!AV49*Storage_Reconciled_prod!$A$44+Storage_rounded_off_prod!AV49*Storage_rounded_off_prod!$A$44</f>
        <v>8.9999999999999993E-3</v>
      </c>
      <c r="AW49" s="197">
        <f>Storage_Reconciled_prod!AW49*Storage_Reconciled_prod!$A$44+Storage_rounded_off_prod!AW49*Storage_rounded_off_prod!$A$44</f>
        <v>8.0000000000000002E-3</v>
      </c>
      <c r="AX49" s="197">
        <f>Storage_Reconciled_prod!AX49*Storage_Reconciled_prod!$A$44+Storage_rounded_off_prod!AX49*Storage_rounded_off_prod!$A$44</f>
        <v>2.7E-2</v>
      </c>
      <c r="AY49" s="197">
        <f>Storage_Reconciled_prod!AY49*Storage_Reconciled_prod!$A$44+Storage_rounded_off_prod!AY49*Storage_rounded_off_prod!$A$44</f>
        <v>5.2999999999999999E-2</v>
      </c>
      <c r="AZ49" s="197">
        <f>Storage_Reconciled_prod!AZ49*Storage_Reconciled_prod!$A$44+Storage_rounded_off_prod!AZ49*Storage_rounded_off_prod!$A$44</f>
        <v>8.9999999999999993E-3</v>
      </c>
      <c r="BA49" s="197">
        <f>Storage_Reconciled_prod!BA49*Storage_Reconciled_prod!$A$44+Storage_rounded_off_prod!BA49*Storage_rounded_off_prod!$A$44</f>
        <v>8.9999999999999993E-3</v>
      </c>
      <c r="BB49" s="197">
        <f>Storage_Reconciled_prod!BB49*Storage_Reconciled_prod!$A$44+Storage_rounded_off_prod!BB49*Storage_rounded_off_prod!$A$44</f>
        <v>8.9999999999999993E-3</v>
      </c>
      <c r="BC49" s="197">
        <f>Storage_Reconciled_prod!BC49*Storage_Reconciled_prod!$A$44+Storage_rounded_off_prod!BC49*Storage_rounded_off_prod!$A$44</f>
        <v>2.6999999999999996E-2</v>
      </c>
      <c r="BD49" s="197">
        <f>Storage_Reconciled_prod!BD49*Storage_Reconciled_prod!$A$44+Storage_rounded_off_prod!BD49*Storage_rounded_off_prod!$A$44</f>
        <v>7.9999999999999988E-2</v>
      </c>
      <c r="BE49" s="197">
        <f>Storage_Reconciled_prod!BE49*Storage_Reconciled_prod!$A$44+Storage_rounded_off_prod!BE49*Storage_rounded_off_prod!$A$44</f>
        <v>8.9999999999999993E-3</v>
      </c>
      <c r="BF49" s="197">
        <f>Storage_Reconciled_prod!BF49*Storage_Reconciled_prod!$A$44+Storage_rounded_off_prod!BF49*Storage_rounded_off_prod!$A$44</f>
        <v>8.0000000000000002E-3</v>
      </c>
      <c r="BG49" s="197">
        <f>Storage_Reconciled_prod!BG49*Storage_Reconciled_prod!$A$44+Storage_rounded_off_prod!BG49*Storage_rounded_off_prod!$A$44</f>
        <v>8.0000000000000002E-3</v>
      </c>
      <c r="BH49" s="197">
        <f>Storage_Reconciled_prod!BH49*Storage_Reconciled_prod!$A$44+Storage_rounded_off_prod!BH49*Storage_rounded_off_prod!$A$44</f>
        <v>2.5000000000000001E-2</v>
      </c>
      <c r="BI49" s="197">
        <f>Storage_Reconciled_prod!BI49*Storage_Reconciled_prod!$A$44+Storage_rounded_off_prod!BI49*Storage_rounded_off_prod!$A$44</f>
        <v>0.10499999999999998</v>
      </c>
      <c r="BJ49" s="197">
        <f>Storage_Reconciled_prod!BJ49*Storage_Reconciled_prod!$A$44+Storage_rounded_off_prod!BJ49*Storage_rounded_off_prod!$A$44</f>
        <v>8.0000000000000002E-3</v>
      </c>
      <c r="BK49" s="197">
        <f>Storage_Reconciled_prod!BK49*Storage_Reconciled_prod!$A$44+Storage_rounded_off_prod!BK49*Storage_rounded_off_prod!$A$44</f>
        <v>8.9999999999999993E-3</v>
      </c>
      <c r="BL49" s="197">
        <f>Storage_Reconciled_prod!BL49*Storage_Reconciled_prod!$A$44+Storage_rounded_off_prod!BL49*Storage_rounded_off_prod!$A$44</f>
        <v>8.0000000000000002E-3</v>
      </c>
      <c r="BM49" s="197">
        <f>Storage_Reconciled_prod!BM49*Storage_Reconciled_prod!$A$44+Storage_rounded_off_prod!BM49*Storage_rounded_off_prod!$A$44</f>
        <v>2.5000000000000001E-2</v>
      </c>
      <c r="BN49" s="197">
        <f>Storage_Reconciled_prod!BN49*Storage_Reconciled_prod!$A$44+Storage_rounded_off_prod!BN49*Storage_rounded_off_prod!$A$44</f>
        <v>8.0000000000000002E-3</v>
      </c>
      <c r="BO49" s="197">
        <f>Storage_Reconciled_prod!BO49*Storage_Reconciled_prod!$A$44+Storage_rounded_off_prod!BO49*Storage_rounded_off_prod!$A$44</f>
        <v>8.0000000000000002E-3</v>
      </c>
      <c r="BP49" s="197">
        <f>Storage_Reconciled_prod!BP49*Storage_Reconciled_prod!$A$44+Storage_rounded_off_prod!BP49*Storage_rounded_off_prod!$A$44</f>
        <v>8.9999999999999993E-3</v>
      </c>
      <c r="BQ49" s="197">
        <f>Storage_Reconciled_prod!BQ49*Storage_Reconciled_prod!$A$44+Storage_rounded_off_prod!BQ49*Storage_rounded_off_prod!$A$44</f>
        <v>2.5000000000000001E-2</v>
      </c>
      <c r="BR49" s="197">
        <f>Storage_Reconciled_prod!BR49*Storage_Reconciled_prod!$A$44+Storage_rounded_off_prod!BR49*Storage_rounded_off_prod!$A$44</f>
        <v>0.05</v>
      </c>
      <c r="BS49" s="197">
        <f>Storage_Reconciled_prod!BS49*Storage_Reconciled_prod!$A$44+Storage_rounded_off_prod!BS49*Storage_rounded_off_prod!$A$44</f>
        <v>0.01</v>
      </c>
      <c r="BT49" s="197">
        <f>Storage_Reconciled_prod!BT49*Storage_Reconciled_prod!$A$44+Storage_rounded_off_prod!BT49*Storage_rounded_off_prod!$A$44</f>
        <v>8.9999999999999993E-3</v>
      </c>
      <c r="BU49" s="197">
        <f>Storage_Reconciled_prod!BU49*Storage_Reconciled_prod!$A$44+Storage_rounded_off_prod!BU49*Storage_rounded_off_prod!$A$44</f>
        <v>8.9999999999999993E-3</v>
      </c>
      <c r="BV49" s="197">
        <f>Storage_Reconciled_prod!BV49*Storage_Reconciled_prod!$A$44+Storage_rounded_off_prod!BV49*Storage_rounded_off_prod!$A$44</f>
        <v>2.7999999999999997E-2</v>
      </c>
      <c r="BW49" s="197">
        <f>Storage_Reconciled_prod!BW49*Storage_Reconciled_prod!$A$44+Storage_rounded_off_prod!BW49*Storage_rounded_off_prod!$A$44</f>
        <v>7.8E-2</v>
      </c>
      <c r="BX49" s="197">
        <f>Storage_Reconciled_prod!BX49*Storage_Reconciled_prod!$A$44+Storage_rounded_off_prod!BX49*Storage_rounded_off_prod!$A$44</f>
        <v>8.9999999999999993E-3</v>
      </c>
      <c r="BY49" s="197">
        <f>Storage_Reconciled_prod!BY49*Storage_Reconciled_prod!$A$44+Storage_rounded_off_prod!BY49*Storage_rounded_off_prod!$A$44</f>
        <v>7.0000000000000001E-3</v>
      </c>
      <c r="BZ49" s="197">
        <f>Storage_Reconciled_prod!BZ49*Storage_Reconciled_prod!$A$44+Storage_rounded_off_prod!BZ49*Storage_rounded_off_prod!$A$44</f>
        <v>8.0000000000000002E-3</v>
      </c>
      <c r="CA49" s="197">
        <f>Storage_Reconciled_prod!CA49*Storage_Reconciled_prod!$A$44+Storage_rounded_off_prod!CA49*Storage_rounded_off_prod!$A$44</f>
        <v>2.4E-2</v>
      </c>
      <c r="CB49" s="197">
        <f>Storage_Reconciled_prod!CB49*Storage_Reconciled_prod!$A$44+Storage_rounded_off_prod!CB49*Storage_rounded_off_prod!$A$44</f>
        <v>0.10299999999999999</v>
      </c>
      <c r="CC49" s="197">
        <f>Storage_Reconciled_prod!CC49*Storage_Reconciled_prod!$A$44+Storage_rounded_off_prod!CC49*Storage_rounded_off_prod!$A$44</f>
        <v>8.0000000000000002E-3</v>
      </c>
      <c r="CD49" s="197">
        <f>Storage_Reconciled_prod!CD49*Storage_Reconciled_prod!$A$44+Storage_rounded_off_prod!CD49*Storage_rounded_off_prod!$A$44</f>
        <v>7.0000000000000001E-3</v>
      </c>
      <c r="CE49" s="197">
        <f>Storage_Reconciled_prod!CE49*Storage_Reconciled_prod!$A$44+Storage_rounded_off_prod!CE49*Storage_rounded_off_prod!$A$44</f>
        <v>8.0000000000000002E-3</v>
      </c>
      <c r="CF49" s="197">
        <f>Storage_Reconciled_prod!CF49*Storage_Reconciled_prod!$A$44+Storage_rounded_off_prod!CF49*Storage_rounded_off_prod!$A$44</f>
        <v>2.3E-2</v>
      </c>
      <c r="CG49" s="197">
        <f>Storage_Reconciled_prod!CG49*Storage_Reconciled_prod!$A$44+Storage_rounded_off_prod!CG49*Storage_rounded_off_prod!$A$44</f>
        <v>8.0000000000000002E-3</v>
      </c>
      <c r="CH49" s="197">
        <f>Storage_Reconciled_prod!CH49*Storage_Reconciled_prod!$A$44+Storage_rounded_off_prod!CH49*Storage_rounded_off_prod!$A$44</f>
        <v>0</v>
      </c>
      <c r="CI49" s="197">
        <f>Storage_Reconciled_prod!CI49*Storage_Reconciled_prod!$A$44+Storage_rounded_off_prod!CI49*Storage_rounded_off_prod!$A$44</f>
        <v>0</v>
      </c>
      <c r="CJ49" s="197">
        <f>Storage_Reconciled_prod!CJ49*Storage_Reconciled_prod!$A$44+Storage_rounded_off_prod!CJ49*Storage_rounded_off_prod!$A$44</f>
        <v>0</v>
      </c>
      <c r="CK49" s="197">
        <f>Storage_Reconciled_prod!CK49*Storage_Reconciled_prod!$A$44+Storage_rounded_off_prod!CK49*Storage_rounded_off_prod!$A$44</f>
        <v>0</v>
      </c>
      <c r="CL49" s="197">
        <f>Storage_Reconciled_prod!CL49*Storage_Reconciled_prod!$A$44+Storage_rounded_off_prod!CL49*Storage_rounded_off_prod!$A$44</f>
        <v>0</v>
      </c>
      <c r="CM49" s="197">
        <f>Storage_Reconciled_prod!CM49*Storage_Reconciled_prod!$A$44+Storage_rounded_off_prod!CM49*Storage_rounded_off_prod!$A$44</f>
        <v>0</v>
      </c>
      <c r="CN49" s="197">
        <f>Storage_Reconciled_prod!CN49*Storage_Reconciled_prod!$A$44+Storage_rounded_off_prod!CN49*Storage_rounded_off_prod!$A$44</f>
        <v>0</v>
      </c>
      <c r="CO49" s="197">
        <f>Storage_Reconciled_prod!CO49*Storage_Reconciled_prod!$A$44+Storage_rounded_off_prod!CO49*Storage_rounded_off_prod!$A$44</f>
        <v>0</v>
      </c>
      <c r="CP49" s="197">
        <f>Storage_Reconciled_prod!CP49*Storage_Reconciled_prod!$A$44+Storage_rounded_off_prod!CP49*Storage_rounded_off_prod!$A$44</f>
        <v>0</v>
      </c>
      <c r="CQ49" s="197">
        <f>Storage_Reconciled_prod!CQ49*Storage_Reconciled_prod!$A$44+Storage_rounded_off_prod!CQ49*Storage_rounded_off_prod!$A$44</f>
        <v>0</v>
      </c>
      <c r="CR49" s="197">
        <f>Storage_Reconciled_prod!CR49*Storage_Reconciled_prod!$A$44+Storage_rounded_off_prod!CR49*Storage_rounded_off_prod!$A$44</f>
        <v>0</v>
      </c>
      <c r="CS49" s="197">
        <f>Storage_Reconciled_prod!CS49*Storage_Reconciled_prod!$A$44+Storage_rounded_off_prod!CS49*Storage_rounded_off_prod!$A$44</f>
        <v>0</v>
      </c>
      <c r="CT49" s="197">
        <f>Storage_Reconciled_prod!CT49*Storage_Reconciled_prod!$A$44+Storage_rounded_off_prod!CT49*Storage_rounded_off_prod!$A$44</f>
        <v>0</v>
      </c>
      <c r="CU49" s="197">
        <f>Storage_Reconciled_prod!CU49*Storage_Reconciled_prod!$A$44+Storage_rounded_off_prod!CU49*Storage_rounded_off_prod!$A$44</f>
        <v>0</v>
      </c>
    </row>
    <row r="50" spans="1:99">
      <c r="C50">
        <v>6</v>
      </c>
      <c r="D50" s="209" t="s">
        <v>57</v>
      </c>
      <c r="E50" s="197">
        <f>Storage_Reconciled_prod!E50*Storage_Reconciled_prod!$A$44+Storage_rounded_off_prod!E50*Storage_rounded_off_prod!$A$44</f>
        <v>4.1000000000000002E-2</v>
      </c>
      <c r="F50" s="197">
        <f>Storage_Reconciled_prod!F50*Storage_Reconciled_prod!$A$44+Storage_rounded_off_prod!F50*Storage_rounded_off_prod!$A$44</f>
        <v>4.1000000000000002E-2</v>
      </c>
      <c r="G50" s="197">
        <f>Storage_Reconciled_prod!G50*Storage_Reconciled_prod!$A$44+Storage_rounded_off_prod!G50*Storage_rounded_off_prod!$A$44</f>
        <v>3.5999999999999997E-2</v>
      </c>
      <c r="H50" s="197">
        <f>Storage_Reconciled_prod!H50*Storage_Reconciled_prod!$A$44+Storage_rounded_off_prod!H50*Storage_rounded_off_prod!$A$44</f>
        <v>0.11799999999999999</v>
      </c>
      <c r="I50" s="197">
        <f>Storage_Reconciled_prod!I50*Storage_Reconciled_prod!$A$44+Storage_rounded_off_prod!I50*Storage_rounded_off_prod!$A$44</f>
        <v>3.9E-2</v>
      </c>
      <c r="J50" s="197">
        <f>Storage_Reconciled_prod!J50*Storage_Reconciled_prod!$A$44+Storage_rounded_off_prod!J50*Storage_rounded_off_prod!$A$44</f>
        <v>0.04</v>
      </c>
      <c r="K50" s="197">
        <f>Storage_Reconciled_prod!K50*Storage_Reconciled_prod!$A$44+Storage_rounded_off_prod!K50*Storage_rounded_off_prod!$A$44</f>
        <v>3.6999999999999998E-2</v>
      </c>
      <c r="L50" s="197">
        <f>Storage_Reconciled_prod!L50*Storage_Reconciled_prod!$A$44+Storage_rounded_off_prod!L50*Storage_rounded_off_prod!$A$44</f>
        <v>0.11599999999999999</v>
      </c>
      <c r="M50" s="197">
        <f>Storage_Reconciled_prod!M50*Storage_Reconciled_prod!$A$44+Storage_rounded_off_prod!M50*Storage_rounded_off_prod!$A$44</f>
        <v>0.23399999999999999</v>
      </c>
      <c r="N50" s="197">
        <f>Storage_Reconciled_prod!N50*Storage_Reconciled_prod!$A$44+Storage_rounded_off_prod!N50*Storage_rounded_off_prod!$A$44</f>
        <v>3.9E-2</v>
      </c>
      <c r="O50" s="197">
        <f>Storage_Reconciled_prod!O50*Storage_Reconciled_prod!$A$44+Storage_rounded_off_prod!O50*Storage_rounded_off_prod!$A$44</f>
        <v>3.7999999999999999E-2</v>
      </c>
      <c r="P50" s="197">
        <f>Storage_Reconciled_prod!P50*Storage_Reconciled_prod!$A$44+Storage_rounded_off_prod!P50*Storage_rounded_off_prod!$A$44</f>
        <v>0.04</v>
      </c>
      <c r="Q50" s="197">
        <f>Storage_Reconciled_prod!Q50*Storage_Reconciled_prod!$A$44+Storage_rounded_off_prod!Q50*Storage_rounded_off_prod!$A$44</f>
        <v>0.11699999999999999</v>
      </c>
      <c r="R50" s="197">
        <f>Storage_Reconciled_prod!R50*Storage_Reconciled_prod!$A$44+Storage_rounded_off_prod!R50*Storage_rounded_off_prod!$A$44</f>
        <v>0.35099999999999998</v>
      </c>
      <c r="S50" s="197">
        <f>Storage_Reconciled_prod!S50*Storage_Reconciled_prod!$A$44+Storage_rounded_off_prod!S50*Storage_rounded_off_prod!$A$44</f>
        <v>3.7999999999999999E-2</v>
      </c>
      <c r="T50" s="197">
        <f>Storage_Reconciled_prod!T50*Storage_Reconciled_prod!$A$44+Storage_rounded_off_prod!T50*Storage_rounded_off_prod!$A$44</f>
        <v>3.3000000000000002E-2</v>
      </c>
      <c r="U50" s="197">
        <f>Storage_Reconciled_prod!U50*Storage_Reconciled_prod!$A$44+Storage_rounded_off_prod!U50*Storage_rounded_off_prod!$A$44</f>
        <v>3.6999999999999998E-2</v>
      </c>
      <c r="V50" s="197">
        <f>Storage_Reconciled_prod!V50*Storage_Reconciled_prod!$A$44+Storage_rounded_off_prod!V50*Storage_rounded_off_prod!$A$44</f>
        <v>0.10800000000000001</v>
      </c>
      <c r="W50" s="197">
        <f>Storage_Reconciled_prod!W50*Storage_Reconciled_prod!$A$44+Storage_rounded_off_prod!W50*Storage_rounded_off_prod!$A$44</f>
        <v>0.45899999999999996</v>
      </c>
      <c r="X50" s="197">
        <f>Storage_Reconciled_prod!X50*Storage_Reconciled_prod!$A$44+Storage_rounded_off_prod!X50*Storage_rounded_off_prod!$A$44</f>
        <v>3.5000000000000003E-2</v>
      </c>
      <c r="Y50" s="197">
        <f>Storage_Reconciled_prod!Y50*Storage_Reconciled_prod!$A$44+Storage_rounded_off_prod!Y50*Storage_rounded_off_prod!$A$44</f>
        <v>3.5000000000000003E-2</v>
      </c>
      <c r="Z50" s="197">
        <f>Storage_Reconciled_prod!Z50*Storage_Reconciled_prod!$A$44+Storage_rounded_off_prod!Z50*Storage_rounded_off_prod!$A$44</f>
        <v>3.4000000000000002E-2</v>
      </c>
      <c r="AA50" s="197">
        <f>Storage_Reconciled_prod!AA50*Storage_Reconciled_prod!$A$44+Storage_rounded_off_prod!AA50*Storage_rounded_off_prod!$A$44</f>
        <v>0.10400000000000001</v>
      </c>
      <c r="AB50" s="197">
        <f>Storage_Reconciled_prod!AB50*Storage_Reconciled_prod!$A$44+Storage_rounded_off_prod!AB50*Storage_rounded_off_prod!$A$44</f>
        <v>3.4000000000000002E-2</v>
      </c>
      <c r="AC50" s="197">
        <f>Storage_Reconciled_prod!AC50*Storage_Reconciled_prod!$A$44+Storage_rounded_off_prod!AC50*Storage_rounded_off_prod!$A$44</f>
        <v>3.4000000000000002E-2</v>
      </c>
      <c r="AD50" s="197">
        <f>Storage_Reconciled_prod!AD50*Storage_Reconciled_prod!$A$44+Storage_rounded_off_prod!AD50*Storage_rounded_off_prod!$A$44</f>
        <v>3.3000000000000002E-2</v>
      </c>
      <c r="AE50" s="197">
        <f>Storage_Reconciled_prod!AE50*Storage_Reconciled_prod!$A$44+Storage_rounded_off_prod!AE50*Storage_rounded_off_prod!$A$44</f>
        <v>0.10100000000000001</v>
      </c>
      <c r="AF50" s="197">
        <f>Storage_Reconciled_prod!AF50*Storage_Reconciled_prod!$A$44+Storage_rounded_off_prod!AF50*Storage_rounded_off_prod!$A$44</f>
        <v>0.20500000000000002</v>
      </c>
      <c r="AG50" s="197">
        <f>Storage_Reconciled_prod!AG50*Storage_Reconciled_prod!$A$44+Storage_rounded_off_prod!AG50*Storage_rounded_off_prod!$A$44</f>
        <v>3.3000000000000002E-2</v>
      </c>
      <c r="AH50" s="197">
        <f>Storage_Reconciled_prod!AH50*Storage_Reconciled_prod!$A$44+Storage_rounded_off_prod!AH50*Storage_rounded_off_prod!$A$44</f>
        <v>3.2000000000000001E-2</v>
      </c>
      <c r="AI50" s="197">
        <f>Storage_Reconciled_prod!AI50*Storage_Reconciled_prod!$A$44+Storage_rounded_off_prod!AI50*Storage_rounded_off_prod!$A$44</f>
        <v>3.4000000000000002E-2</v>
      </c>
      <c r="AJ50" s="197">
        <f>Storage_Reconciled_prod!AJ50*Storage_Reconciled_prod!$A$44+Storage_rounded_off_prod!AJ50*Storage_rounded_off_prod!$A$44</f>
        <v>9.9000000000000005E-2</v>
      </c>
      <c r="AK50" s="197">
        <f>Storage_Reconciled_prod!AK50*Storage_Reconciled_prod!$A$44+Storage_rounded_off_prod!AK50*Storage_rounded_off_prod!$A$44</f>
        <v>0.30400000000000005</v>
      </c>
      <c r="AL50" s="197">
        <f>Storage_Reconciled_prod!AL50*Storage_Reconciled_prod!$A$44+Storage_rounded_off_prod!AL50*Storage_rounded_off_prod!$A$44</f>
        <v>3.2000000000000001E-2</v>
      </c>
      <c r="AM50" s="197">
        <f>Storage_Reconciled_prod!AM50*Storage_Reconciled_prod!$A$44+Storage_rounded_off_prod!AM50*Storage_rounded_off_prod!$A$44</f>
        <v>3.1E-2</v>
      </c>
      <c r="AN50" s="197">
        <f>Storage_Reconciled_prod!AN50*Storage_Reconciled_prod!$A$44+Storage_rounded_off_prod!AN50*Storage_rounded_off_prod!$A$44</f>
        <v>3.3000000000000002E-2</v>
      </c>
      <c r="AO50" s="197">
        <f>Storage_Reconciled_prod!AO50*Storage_Reconciled_prod!$A$44+Storage_rounded_off_prod!AO50*Storage_rounded_off_prod!$A$44</f>
        <v>9.6000000000000002E-2</v>
      </c>
      <c r="AP50" s="197">
        <f>Storage_Reconciled_prod!AP50*Storage_Reconciled_prod!$A$44+Storage_rounded_off_prod!AP50*Storage_rounded_off_prod!$A$44</f>
        <v>0.4</v>
      </c>
      <c r="AQ50" s="197">
        <f>Storage_Reconciled_prod!AQ50*Storage_Reconciled_prod!$A$44+Storage_rounded_off_prod!AQ50*Storage_rounded_off_prod!$A$44</f>
        <v>3.1E-2</v>
      </c>
      <c r="AR50" s="197">
        <f>Storage_Reconciled_prod!AR50*Storage_Reconciled_prod!$A$44+Storage_rounded_off_prod!AR50*Storage_rounded_off_prod!$A$44</f>
        <v>3.1E-2</v>
      </c>
      <c r="AS50" s="197">
        <f>Storage_Reconciled_prod!AS50*Storage_Reconciled_prod!$A$44+Storage_rounded_off_prod!AS50*Storage_rounded_off_prod!$A$44</f>
        <v>3.2000000000000001E-2</v>
      </c>
      <c r="AT50" s="197">
        <f>Storage_Reconciled_prod!AT50*Storage_Reconciled_prod!$A$44+Storage_rounded_off_prod!AT50*Storage_rounded_off_prod!$A$44</f>
        <v>9.4E-2</v>
      </c>
      <c r="AU50" s="197">
        <f>Storage_Reconciled_prod!AU50*Storage_Reconciled_prod!$A$44+Storage_rounded_off_prod!AU50*Storage_rounded_off_prod!$A$44</f>
        <v>3.3000000000000002E-2</v>
      </c>
      <c r="AV50" s="197">
        <f>Storage_Reconciled_prod!AV50*Storage_Reconciled_prod!$A$44+Storage_rounded_off_prod!AV50*Storage_rounded_off_prod!$A$44</f>
        <v>3.3000000000000002E-2</v>
      </c>
      <c r="AW50" s="197">
        <f>Storage_Reconciled_prod!AW50*Storage_Reconciled_prod!$A$44+Storage_rounded_off_prod!AW50*Storage_rounded_off_prod!$A$44</f>
        <v>3.2000000000000001E-2</v>
      </c>
      <c r="AX50" s="197">
        <f>Storage_Reconciled_prod!AX50*Storage_Reconciled_prod!$A$44+Storage_rounded_off_prod!AX50*Storage_rounded_off_prod!$A$44</f>
        <v>9.8000000000000004E-2</v>
      </c>
      <c r="AY50" s="197">
        <f>Storage_Reconciled_prod!AY50*Storage_Reconciled_prod!$A$44+Storage_rounded_off_prod!AY50*Storage_rounded_off_prod!$A$44</f>
        <v>0.192</v>
      </c>
      <c r="AZ50" s="197">
        <f>Storage_Reconciled_prod!AZ50*Storage_Reconciled_prod!$A$44+Storage_rounded_off_prod!AZ50*Storage_rounded_off_prod!$A$44</f>
        <v>3.4000000000000002E-2</v>
      </c>
      <c r="BA50" s="197">
        <f>Storage_Reconciled_prod!BA50*Storage_Reconciled_prod!$A$44+Storage_rounded_off_prod!BA50*Storage_rounded_off_prod!$A$44</f>
        <v>0.10100000000000001</v>
      </c>
      <c r="BB50" s="197">
        <f>Storage_Reconciled_prod!BB50*Storage_Reconciled_prod!$A$44+Storage_rounded_off_prod!BB50*Storage_rounded_off_prod!$A$44</f>
        <v>4.2999999999999997E-2</v>
      </c>
      <c r="BC50" s="197">
        <f>Storage_Reconciled_prod!BC50*Storage_Reconciled_prod!$A$44+Storage_rounded_off_prod!BC50*Storage_rounded_off_prod!$A$44</f>
        <v>0.17799999999999999</v>
      </c>
      <c r="BD50" s="197">
        <f>Storage_Reconciled_prod!BD50*Storage_Reconciled_prod!$A$44+Storage_rounded_off_prod!BD50*Storage_rounded_off_prod!$A$44</f>
        <v>0.37</v>
      </c>
      <c r="BE50" s="197">
        <f>Storage_Reconciled_prod!BE50*Storage_Reconciled_prod!$A$44+Storage_rounded_off_prod!BE50*Storage_rounded_off_prod!$A$44</f>
        <v>3.9E-2</v>
      </c>
      <c r="BF50" s="197">
        <f>Storage_Reconciled_prod!BF50*Storage_Reconciled_prod!$A$44+Storage_rounded_off_prod!BF50*Storage_rounded_off_prod!$A$44</f>
        <v>3.7999999999999999E-2</v>
      </c>
      <c r="BG50" s="197">
        <f>Storage_Reconciled_prod!BG50*Storage_Reconciled_prod!$A$44+Storage_rounded_off_prod!BG50*Storage_rounded_off_prod!$A$44</f>
        <v>0.04</v>
      </c>
      <c r="BH50" s="197">
        <f>Storage_Reconciled_prod!BH50*Storage_Reconciled_prod!$A$44+Storage_rounded_off_prod!BH50*Storage_rounded_off_prod!$A$44</f>
        <v>0.11699999999999999</v>
      </c>
      <c r="BI50" s="197">
        <f>Storage_Reconciled_prod!BI50*Storage_Reconciled_prod!$A$44+Storage_rounded_off_prod!BI50*Storage_rounded_off_prod!$A$44</f>
        <v>0.48699999999999999</v>
      </c>
      <c r="BJ50" s="197">
        <f>Storage_Reconciled_prod!BJ50*Storage_Reconciled_prod!$A$44+Storage_rounded_off_prod!BJ50*Storage_rounded_off_prod!$A$44</f>
        <v>3.7999999999999999E-2</v>
      </c>
      <c r="BK50" s="197">
        <f>Storage_Reconciled_prod!BK50*Storage_Reconciled_prod!$A$44+Storage_rounded_off_prod!BK50*Storage_rounded_off_prod!$A$44</f>
        <v>3.9E-2</v>
      </c>
      <c r="BL50" s="197">
        <f>Storage_Reconciled_prod!BL50*Storage_Reconciled_prod!$A$44+Storage_rounded_off_prod!BL50*Storage_rounded_off_prod!$A$44</f>
        <v>3.7999999999999999E-2</v>
      </c>
      <c r="BM50" s="197">
        <f>Storage_Reconciled_prod!BM50*Storage_Reconciled_prod!$A$44+Storage_rounded_off_prod!BM50*Storage_rounded_off_prod!$A$44</f>
        <v>0.11499999999999999</v>
      </c>
      <c r="BN50" s="197">
        <f>Storage_Reconciled_prod!BN50*Storage_Reconciled_prod!$A$44+Storage_rounded_off_prod!BN50*Storage_rounded_off_prod!$A$44</f>
        <v>0.04</v>
      </c>
      <c r="BO50" s="197">
        <f>Storage_Reconciled_prod!BO50*Storage_Reconciled_prod!$A$44+Storage_rounded_off_prod!BO50*Storage_rounded_off_prod!$A$44</f>
        <v>0.04</v>
      </c>
      <c r="BP50" s="197">
        <f>Storage_Reconciled_prod!BP50*Storage_Reconciled_prod!$A$44+Storage_rounded_off_prod!BP50*Storage_rounded_off_prod!$A$44</f>
        <v>0.04</v>
      </c>
      <c r="BQ50" s="197">
        <f>Storage_Reconciled_prod!BQ50*Storage_Reconciled_prod!$A$44+Storage_rounded_off_prod!BQ50*Storage_rounded_off_prod!$A$44</f>
        <v>0.12</v>
      </c>
      <c r="BR50" s="197">
        <f>Storage_Reconciled_prod!BR50*Storage_Reconciled_prod!$A$44+Storage_rounded_off_prod!BR50*Storage_rounded_off_prod!$A$44</f>
        <v>0.23499999999999999</v>
      </c>
      <c r="BS50" s="197">
        <f>Storage_Reconciled_prod!BS50*Storage_Reconciled_prod!$A$44+Storage_rounded_off_prod!BS50*Storage_rounded_off_prod!$A$44</f>
        <v>4.1000000000000002E-2</v>
      </c>
      <c r="BT50" s="197">
        <f>Storage_Reconciled_prod!BT50*Storage_Reconciled_prod!$A$44+Storage_rounded_off_prod!BT50*Storage_rounded_off_prod!$A$44</f>
        <v>0.04</v>
      </c>
      <c r="BU50" s="197">
        <f>Storage_Reconciled_prod!BU50*Storage_Reconciled_prod!$A$44+Storage_rounded_off_prod!BU50*Storage_rounded_off_prod!$A$44</f>
        <v>4.1000000000000002E-2</v>
      </c>
      <c r="BV50" s="197">
        <f>Storage_Reconciled_prod!BV50*Storage_Reconciled_prod!$A$44+Storage_rounded_off_prod!BV50*Storage_rounded_off_prod!$A$44</f>
        <v>0.122</v>
      </c>
      <c r="BW50" s="197">
        <f>Storage_Reconciled_prod!BW50*Storage_Reconciled_prod!$A$44+Storage_rounded_off_prod!BW50*Storage_rounded_off_prod!$A$44</f>
        <v>0.35699999999999998</v>
      </c>
      <c r="BX50" s="197">
        <f>Storage_Reconciled_prod!BX50*Storage_Reconciled_prod!$A$44+Storage_rounded_off_prod!BX50*Storage_rounded_off_prod!$A$44</f>
        <v>3.9E-2</v>
      </c>
      <c r="BY50" s="197">
        <f>Storage_Reconciled_prod!BY50*Storage_Reconciled_prod!$A$44+Storage_rounded_off_prod!BY50*Storage_rounded_off_prod!$A$44</f>
        <v>3.5999999999999997E-2</v>
      </c>
      <c r="BZ50" s="197">
        <f>Storage_Reconciled_prod!BZ50*Storage_Reconciled_prod!$A$44+Storage_rounded_off_prod!BZ50*Storage_rounded_off_prod!$A$44</f>
        <v>0.04</v>
      </c>
      <c r="CA50" s="197">
        <f>Storage_Reconciled_prod!CA50*Storage_Reconciled_prod!$A$44+Storage_rounded_off_prod!CA50*Storage_rounded_off_prod!$A$44</f>
        <v>0.11499999999999999</v>
      </c>
      <c r="CB50" s="197">
        <f>Storage_Reconciled_prod!CB50*Storage_Reconciled_prod!$A$44+Storage_rounded_off_prod!CB50*Storage_rounded_off_prod!$A$44</f>
        <v>0.47199999999999998</v>
      </c>
      <c r="CC50" s="197">
        <f>Storage_Reconciled_prod!CC50*Storage_Reconciled_prod!$A$44+Storage_rounded_off_prod!CC50*Storage_rounded_off_prod!$A$44</f>
        <v>3.7999999999999999E-2</v>
      </c>
      <c r="CD50" s="197">
        <f>Storage_Reconciled_prod!CD50*Storage_Reconciled_prod!$A$44+Storage_rounded_off_prod!CD50*Storage_rounded_off_prod!$A$44</f>
        <v>3.9E-2</v>
      </c>
      <c r="CE50" s="197">
        <f>Storage_Reconciled_prod!CE50*Storage_Reconciled_prod!$A$44+Storage_rounded_off_prod!CE50*Storage_rounded_off_prod!$A$44</f>
        <v>3.7999999999999999E-2</v>
      </c>
      <c r="CF50" s="197">
        <f>Storage_Reconciled_prod!CF50*Storage_Reconciled_prod!$A$44+Storage_rounded_off_prod!CF50*Storage_rounded_off_prod!$A$44</f>
        <v>0.11499999999999999</v>
      </c>
      <c r="CG50" s="197">
        <f>Storage_Reconciled_prod!CG50*Storage_Reconciled_prod!$A$44+Storage_rounded_off_prod!CG50*Storage_rounded_off_prod!$A$44</f>
        <v>0.04</v>
      </c>
      <c r="CH50" s="197">
        <f>Storage_Reconciled_prod!CH50*Storage_Reconciled_prod!$A$44+Storage_rounded_off_prod!CH50*Storage_rounded_off_prod!$A$44</f>
        <v>0</v>
      </c>
      <c r="CI50" s="197">
        <f>Storage_Reconciled_prod!CI50*Storage_Reconciled_prod!$A$44+Storage_rounded_off_prod!CI50*Storage_rounded_off_prod!$A$44</f>
        <v>0</v>
      </c>
      <c r="CJ50" s="197">
        <f>Storage_Reconciled_prod!CJ50*Storage_Reconciled_prod!$A$44+Storage_rounded_off_prod!CJ50*Storage_rounded_off_prod!$A$44</f>
        <v>0</v>
      </c>
      <c r="CK50" s="197">
        <f>Storage_Reconciled_prod!CK50*Storage_Reconciled_prod!$A$44+Storage_rounded_off_prod!CK50*Storage_rounded_off_prod!$A$44</f>
        <v>0</v>
      </c>
      <c r="CL50" s="197">
        <f>Storage_Reconciled_prod!CL50*Storage_Reconciled_prod!$A$44+Storage_rounded_off_prod!CL50*Storage_rounded_off_prod!$A$44</f>
        <v>0</v>
      </c>
      <c r="CM50" s="197">
        <f>Storage_Reconciled_prod!CM50*Storage_Reconciled_prod!$A$44+Storage_rounded_off_prod!CM50*Storage_rounded_off_prod!$A$44</f>
        <v>0</v>
      </c>
      <c r="CN50" s="197">
        <f>Storage_Reconciled_prod!CN50*Storage_Reconciled_prod!$A$44+Storage_rounded_off_prod!CN50*Storage_rounded_off_prod!$A$44</f>
        <v>0</v>
      </c>
      <c r="CO50" s="197">
        <f>Storage_Reconciled_prod!CO50*Storage_Reconciled_prod!$A$44+Storage_rounded_off_prod!CO50*Storage_rounded_off_prod!$A$44</f>
        <v>0</v>
      </c>
      <c r="CP50" s="197">
        <f>Storage_Reconciled_prod!CP50*Storage_Reconciled_prod!$A$44+Storage_rounded_off_prod!CP50*Storage_rounded_off_prod!$A$44</f>
        <v>0</v>
      </c>
      <c r="CQ50" s="197">
        <f>Storage_Reconciled_prod!CQ50*Storage_Reconciled_prod!$A$44+Storage_rounded_off_prod!CQ50*Storage_rounded_off_prod!$A$44</f>
        <v>0</v>
      </c>
      <c r="CR50" s="197">
        <f>Storage_Reconciled_prod!CR50*Storage_Reconciled_prod!$A$44+Storage_rounded_off_prod!CR50*Storage_rounded_off_prod!$A$44</f>
        <v>0</v>
      </c>
      <c r="CS50" s="197">
        <f>Storage_Reconciled_prod!CS50*Storage_Reconciled_prod!$A$44+Storage_rounded_off_prod!CS50*Storage_rounded_off_prod!$A$44</f>
        <v>0</v>
      </c>
      <c r="CT50" s="197">
        <f>Storage_Reconciled_prod!CT50*Storage_Reconciled_prod!$A$44+Storage_rounded_off_prod!CT50*Storage_rounded_off_prod!$A$44</f>
        <v>0</v>
      </c>
      <c r="CU50" s="197">
        <f>Storage_Reconciled_prod!CU50*Storage_Reconciled_prod!$A$44+Storage_rounded_off_prod!CU50*Storage_rounded_off_prod!$A$44</f>
        <v>0</v>
      </c>
    </row>
    <row r="51" spans="1:99">
      <c r="A51" t="s">
        <v>293</v>
      </c>
      <c r="C51">
        <v>7</v>
      </c>
      <c r="D51" s="209" t="s">
        <v>58</v>
      </c>
      <c r="E51" s="197">
        <f>Storage_Reconciled_prod!E51*Storage_Reconciled_prod!$A$44+Storage_rounded_off_prod!E51*Storage_rounded_off_prod!$A$44</f>
        <v>7.0000000000000001E-3</v>
      </c>
      <c r="F51" s="197">
        <f>Storage_Reconciled_prod!F51*Storage_Reconciled_prod!$A$44+Storage_rounded_off_prod!F51*Storage_rounded_off_prod!$A$44</f>
        <v>0</v>
      </c>
      <c r="G51" s="197">
        <f>Storage_Reconciled_prod!G51*Storage_Reconciled_prod!$A$44+Storage_rounded_off_prod!G51*Storage_rounded_off_prod!$A$44</f>
        <v>1.4999999999999999E-2</v>
      </c>
      <c r="H51" s="197">
        <f>Storage_Reconciled_prod!H51*Storage_Reconciled_prod!$A$44+Storage_rounded_off_prod!H51*Storage_rounded_off_prod!$A$44</f>
        <v>2.1999999999999999E-2</v>
      </c>
      <c r="I51" s="197">
        <f>Storage_Reconciled_prod!I51*Storage_Reconciled_prod!$A$44+Storage_rounded_off_prod!I51*Storage_rounded_off_prod!$A$44</f>
        <v>2.9000000000000001E-2</v>
      </c>
      <c r="J51" s="197">
        <f>Storage_Reconciled_prod!J51*Storage_Reconciled_prod!$A$44+Storage_rounded_off_prod!J51*Storage_rounded_off_prod!$A$44</f>
        <v>5.0999999999999997E-2</v>
      </c>
      <c r="K51" s="197">
        <f>Storage_Reconciled_prod!K51*Storage_Reconciled_prod!$A$44+Storage_rounded_off_prod!K51*Storage_rounded_off_prod!$A$44</f>
        <v>4.7E-2</v>
      </c>
      <c r="L51" s="197">
        <f>Storage_Reconciled_prod!L51*Storage_Reconciled_prod!$A$44+Storage_rounded_off_prod!L51*Storage_rounded_off_prod!$A$44</f>
        <v>0.127</v>
      </c>
      <c r="M51" s="197">
        <f>Storage_Reconciled_prod!M51*Storage_Reconciled_prod!$A$44+Storage_rounded_off_prod!M51*Storage_rounded_off_prod!$A$44</f>
        <v>0.14899999999999999</v>
      </c>
      <c r="N51" s="197">
        <f>Storage_Reconciled_prod!N51*Storage_Reconciled_prod!$A$44+Storage_rounded_off_prod!N51*Storage_rounded_off_prod!$A$44</f>
        <v>5.2999999999999999E-2</v>
      </c>
      <c r="O51" s="197">
        <f>Storage_Reconciled_prod!O51*Storage_Reconciled_prod!$A$44+Storage_rounded_off_prod!O51*Storage_rounded_off_prod!$A$44</f>
        <v>3.2000000000000001E-2</v>
      </c>
      <c r="P51" s="197">
        <f>Storage_Reconciled_prod!P51*Storage_Reconciled_prod!$A$44+Storage_rounded_off_prod!P51*Storage_rounded_off_prod!$A$44</f>
        <v>1.4999999999999999E-2</v>
      </c>
      <c r="Q51" s="197">
        <f>Storage_Reconciled_prod!Q51*Storage_Reconciled_prod!$A$44+Storage_rounded_off_prod!Q51*Storage_rounded_off_prod!$A$44</f>
        <v>9.9999999999999992E-2</v>
      </c>
      <c r="R51" s="197">
        <f>Storage_Reconciled_prod!R51*Storage_Reconciled_prod!$A$44+Storage_rounded_off_prod!R51*Storage_rounded_off_prod!$A$44</f>
        <v>0.249</v>
      </c>
      <c r="S51" s="197">
        <f>Storage_Reconciled_prod!S51*Storage_Reconciled_prod!$A$44+Storage_rounded_off_prod!S51*Storage_rounded_off_prod!$A$44</f>
        <v>4.1000000000000002E-2</v>
      </c>
      <c r="T51" s="197">
        <f>Storage_Reconciled_prod!T51*Storage_Reconciled_prod!$A$44+Storage_rounded_off_prod!T51*Storage_rounded_off_prod!$A$44</f>
        <v>3.2000000000000001E-2</v>
      </c>
      <c r="U51" s="197">
        <f>Storage_Reconciled_prod!U51*Storage_Reconciled_prod!$A$44+Storage_rounded_off_prod!U51*Storage_rounded_off_prod!$A$44</f>
        <v>2.5000000000000001E-2</v>
      </c>
      <c r="V51" s="197">
        <f>Storage_Reconciled_prod!V51*Storage_Reconciled_prod!$A$44+Storage_rounded_off_prod!V51*Storage_rounded_off_prod!$A$44</f>
        <v>9.8000000000000004E-2</v>
      </c>
      <c r="W51" s="197">
        <f>Storage_Reconciled_prod!W51*Storage_Reconciled_prod!$A$44+Storage_rounded_off_prod!W51*Storage_rounded_off_prod!$A$44</f>
        <v>0.34699999999999998</v>
      </c>
      <c r="X51" s="197">
        <f>Storage_Reconciled_prod!X51*Storage_Reconciled_prod!$A$44+Storage_rounded_off_prod!X51*Storage_rounded_off_prod!$A$44</f>
        <v>4.2000000000000003E-2</v>
      </c>
      <c r="Y51" s="197">
        <f>Storage_Reconciled_prod!Y51*Storage_Reconciled_prod!$A$44+Storage_rounded_off_prod!Y51*Storage_rounded_off_prod!$A$44</f>
        <v>2.8000000000000001E-2</v>
      </c>
      <c r="Z51" s="197">
        <f>Storage_Reconciled_prod!Z51*Storage_Reconciled_prod!$A$44+Storage_rounded_off_prod!Z51*Storage_rounded_off_prod!$A$44</f>
        <v>3.7999999999999999E-2</v>
      </c>
      <c r="AA51" s="197">
        <f>Storage_Reconciled_prod!AA51*Storage_Reconciled_prod!$A$44+Storage_rounded_off_prod!AA51*Storage_rounded_off_prod!$A$44</f>
        <v>0.10800000000000001</v>
      </c>
      <c r="AB51" s="197">
        <f>Storage_Reconciled_prod!AB51*Storage_Reconciled_prod!$A$44+Storage_rounded_off_prod!AB51*Storage_rounded_off_prod!$A$44</f>
        <v>4.3999999999999997E-2</v>
      </c>
      <c r="AC51" s="197">
        <f>Storage_Reconciled_prod!AC51*Storage_Reconciled_prod!$A$44+Storage_rounded_off_prod!AC51*Storage_rounded_off_prod!$A$44</f>
        <v>4.1000000000000002E-2</v>
      </c>
      <c r="AD51" s="197">
        <f>Storage_Reconciled_prod!AD51*Storage_Reconciled_prod!$A$44+Storage_rounded_off_prod!AD51*Storage_rounded_off_prod!$A$44</f>
        <v>2.8000000000000001E-2</v>
      </c>
      <c r="AE51" s="197">
        <f>Storage_Reconciled_prod!AE51*Storage_Reconciled_prod!$A$44+Storage_rounded_off_prod!AE51*Storage_rounded_off_prod!$A$44</f>
        <v>0.11299999999999999</v>
      </c>
      <c r="AF51" s="197">
        <f>Storage_Reconciled_prod!AF51*Storage_Reconciled_prod!$A$44+Storage_rounded_off_prod!AF51*Storage_rounded_off_prod!$A$44</f>
        <v>0.221</v>
      </c>
      <c r="AG51" s="197">
        <f>Storage_Reconciled_prod!AG51*Storage_Reconciled_prod!$A$44+Storage_rounded_off_prod!AG51*Storage_rounded_off_prod!$A$44</f>
        <v>0</v>
      </c>
      <c r="AH51" s="197">
        <f>Storage_Reconciled_prod!AH51*Storage_Reconciled_prod!$A$44+Storage_rounded_off_prod!AH51*Storage_rounded_off_prod!$A$44</f>
        <v>2.4E-2</v>
      </c>
      <c r="AI51" s="197">
        <f>Storage_Reconciled_prod!AI51*Storage_Reconciled_prod!$A$44+Storage_rounded_off_prod!AI51*Storage_rounded_off_prod!$A$44</f>
        <v>4.1999999999999996E-2</v>
      </c>
      <c r="AJ51" s="197">
        <f>Storage_Reconciled_prod!AJ51*Storage_Reconciled_prod!$A$44+Storage_rounded_off_prod!AJ51*Storage_rounded_off_prod!$A$44</f>
        <v>6.6000000000000003E-2</v>
      </c>
      <c r="AK51" s="197">
        <f>Storage_Reconciled_prod!AK51*Storage_Reconciled_prod!$A$44+Storage_rounded_off_prod!AK51*Storage_rounded_off_prod!$A$44</f>
        <v>0.28700000000000003</v>
      </c>
      <c r="AL51" s="197">
        <f>Storage_Reconciled_prod!AL51*Storage_Reconciled_prod!$A$44+Storage_rounded_off_prod!AL51*Storage_rounded_off_prod!$A$44</f>
        <v>3.6999999999999998E-2</v>
      </c>
      <c r="AM51" s="197">
        <f>Storage_Reconciled_prod!AM51*Storage_Reconciled_prod!$A$44+Storage_rounded_off_prod!AM51*Storage_rounded_off_prod!$A$44</f>
        <v>3.5999999999999997E-2</v>
      </c>
      <c r="AN51" s="197">
        <f>Storage_Reconciled_prod!AN51*Storage_Reconciled_prod!$A$44+Storage_rounded_off_prod!AN51*Storage_rounded_off_prod!$A$44</f>
        <v>0.03</v>
      </c>
      <c r="AO51" s="197">
        <f>Storage_Reconciled_prod!AO51*Storage_Reconciled_prod!$A$44+Storage_rounded_off_prod!AO51*Storage_rounded_off_prod!$A$44</f>
        <v>0.10299999999999999</v>
      </c>
      <c r="AP51" s="197">
        <f>Storage_Reconciled_prod!AP51*Storage_Reconciled_prod!$A$44+Storage_rounded_off_prod!AP51*Storage_rounded_off_prod!$A$44</f>
        <v>0.39</v>
      </c>
      <c r="AQ51" s="197">
        <f>Storage_Reconciled_prod!AQ51*Storage_Reconciled_prod!$A$44+Storage_rounded_off_prod!AQ51*Storage_rounded_off_prod!$A$44</f>
        <v>2.1000000000000001E-2</v>
      </c>
      <c r="AR51" s="197">
        <f>Storage_Reconciled_prod!AR51*Storage_Reconciled_prod!$A$44+Storage_rounded_off_prod!AR51*Storage_rounded_off_prod!$A$44</f>
        <v>3.3000000000000002E-2</v>
      </c>
      <c r="AS51" s="197">
        <f>Storage_Reconciled_prod!AS51*Storage_Reconciled_prod!$A$44+Storage_rounded_off_prod!AS51*Storage_rounded_off_prod!$A$44</f>
        <v>2.7E-2</v>
      </c>
      <c r="AT51" s="197">
        <f>Storage_Reconciled_prod!AT51*Storage_Reconciled_prod!$A$44+Storage_rounded_off_prod!AT51*Storage_rounded_off_prod!$A$44</f>
        <v>8.1000000000000003E-2</v>
      </c>
      <c r="AU51" s="197">
        <f>Storage_Reconciled_prod!AU51*Storage_Reconciled_prod!$A$44+Storage_rounded_off_prod!AU51*Storage_rounded_off_prod!$A$44</f>
        <v>0.03</v>
      </c>
      <c r="AV51" s="197">
        <f>Storage_Reconciled_prod!AV51*Storage_Reconciled_prod!$A$44+Storage_rounded_off_prod!AV51*Storage_rounded_off_prod!$A$44</f>
        <v>3.7999999999999999E-2</v>
      </c>
      <c r="AW51" s="197">
        <f>Storage_Reconciled_prod!AW51*Storage_Reconciled_prod!$A$44+Storage_rounded_off_prod!AW51*Storage_rounded_off_prod!$A$44</f>
        <v>3.1E-2</v>
      </c>
      <c r="AX51" s="197">
        <f>Storage_Reconciled_prod!AX51*Storage_Reconciled_prod!$A$44+Storage_rounded_off_prod!AX51*Storage_rounded_off_prod!$A$44</f>
        <v>9.9000000000000005E-2</v>
      </c>
      <c r="AY51" s="197">
        <f>Storage_Reconciled_prod!AY51*Storage_Reconciled_prod!$A$44+Storage_rounded_off_prod!AY51*Storage_rounded_off_prod!$A$44</f>
        <v>0.18</v>
      </c>
      <c r="AZ51" s="197">
        <f>Storage_Reconciled_prod!AZ51*Storage_Reconciled_prod!$A$44+Storage_rounded_off_prod!AZ51*Storage_rounded_off_prod!$A$44</f>
        <v>2.8000000000000001E-2</v>
      </c>
      <c r="BA51" s="197">
        <f>Storage_Reconciled_prod!BA51*Storage_Reconciled_prod!$A$44+Storage_rounded_off_prod!BA51*Storage_rounded_off_prod!$A$44</f>
        <v>2.8000000000000001E-2</v>
      </c>
      <c r="BB51" s="197">
        <f>Storage_Reconciled_prod!BB51*Storage_Reconciled_prod!$A$44+Storage_rounded_off_prod!BB51*Storage_rounded_off_prod!$A$44</f>
        <v>3.9E-2</v>
      </c>
      <c r="BC51" s="197">
        <f>Storage_Reconciled_prod!BC51*Storage_Reconciled_prod!$A$44+Storage_rounded_off_prod!BC51*Storage_rounded_off_prod!$A$44</f>
        <v>9.5000000000000001E-2</v>
      </c>
      <c r="BD51" s="197">
        <f>Storage_Reconciled_prod!BD51*Storage_Reconciled_prod!$A$44+Storage_rounded_off_prod!BD51*Storage_rounded_off_prod!$A$44</f>
        <v>0.27500000000000002</v>
      </c>
      <c r="BE51" s="197">
        <f>Storage_Reconciled_prod!BE51*Storage_Reconciled_prod!$A$44+Storage_rounded_off_prod!BE51*Storage_rounded_off_prod!$A$44</f>
        <v>3.4000000000000002E-2</v>
      </c>
      <c r="BF51" s="197">
        <f>Storage_Reconciled_prod!BF51*Storage_Reconciled_prod!$A$44+Storage_rounded_off_prod!BF51*Storage_rounded_off_prod!$A$44</f>
        <v>2.5000000000000001E-2</v>
      </c>
      <c r="BG51" s="197">
        <f>Storage_Reconciled_prod!BG51*Storage_Reconciled_prod!$A$44+Storage_rounded_off_prod!BG51*Storage_rounded_off_prod!$A$44</f>
        <v>3.2000000000000001E-2</v>
      </c>
      <c r="BH51" s="197">
        <f>Storage_Reconciled_prod!BH51*Storage_Reconciled_prod!$A$44+Storage_rounded_off_prod!BH51*Storage_rounded_off_prod!$A$44</f>
        <v>9.0999999999999998E-2</v>
      </c>
      <c r="BI51" s="197">
        <f>Storage_Reconciled_prod!BI51*Storage_Reconciled_prod!$A$44+Storage_rounded_off_prod!BI51*Storage_rounded_off_prod!$A$44</f>
        <v>0.36599999999999999</v>
      </c>
      <c r="BJ51" s="197">
        <f>Storage_Reconciled_prod!BJ51*Storage_Reconciled_prod!$A$44+Storage_rounded_off_prod!BJ51*Storage_rounded_off_prod!$A$44</f>
        <v>3.2000000000000001E-2</v>
      </c>
      <c r="BK51" s="197">
        <f>Storage_Reconciled_prod!BK51*Storage_Reconciled_prod!$A$44+Storage_rounded_off_prod!BK51*Storage_rounded_off_prod!$A$44</f>
        <v>3.5000000000000003E-2</v>
      </c>
      <c r="BL51" s="197">
        <f>Storage_Reconciled_prod!BL51*Storage_Reconciled_prod!$A$44+Storage_rounded_off_prod!BL51*Storage_rounded_off_prod!$A$44</f>
        <v>3.6999999999999998E-2</v>
      </c>
      <c r="BM51" s="197">
        <f>Storage_Reconciled_prod!BM51*Storage_Reconciled_prod!$A$44+Storage_rounded_off_prod!BM51*Storage_rounded_off_prod!$A$44</f>
        <v>0.10400000000000001</v>
      </c>
      <c r="BN51" s="197">
        <f>Storage_Reconciled_prod!BN51*Storage_Reconciled_prod!$A$44+Storage_rounded_off_prod!BN51*Storage_rounded_off_prod!$A$44</f>
        <v>3.6999999999999998E-2</v>
      </c>
      <c r="BO51" s="197">
        <f>Storage_Reconciled_prod!BO51*Storage_Reconciled_prod!$A$44+Storage_rounded_off_prod!BO51*Storage_rounded_off_prod!$A$44</f>
        <v>3.6999999999999998E-2</v>
      </c>
      <c r="BP51" s="197">
        <f>Storage_Reconciled_prod!BP51*Storage_Reconciled_prod!$A$44+Storage_rounded_off_prod!BP51*Storage_rounded_off_prod!$A$44</f>
        <v>3.5000000000000003E-2</v>
      </c>
      <c r="BQ51" s="197">
        <f>Storage_Reconciled_prod!BQ51*Storage_Reconciled_prod!$A$44+Storage_rounded_off_prod!BQ51*Storage_rounded_off_prod!$A$44</f>
        <v>0.109</v>
      </c>
      <c r="BR51" s="197">
        <f>Storage_Reconciled_prod!BR51*Storage_Reconciled_prod!$A$44+Storage_rounded_off_prod!BR51*Storage_rounded_off_prod!$A$44</f>
        <v>0.21300000000000002</v>
      </c>
      <c r="BS51" s="197">
        <f>Storage_Reconciled_prod!BS51*Storage_Reconciled_prod!$A$44+Storage_rounded_off_prod!BS51*Storage_rounded_off_prod!$A$44</f>
        <v>3.9E-2</v>
      </c>
      <c r="BT51" s="197">
        <f>Storage_Reconciled_prod!BT51*Storage_Reconciled_prod!$A$44+Storage_rounded_off_prod!BT51*Storage_rounded_off_prod!$A$44</f>
        <v>2.1999999999999999E-2</v>
      </c>
      <c r="BU51" s="197">
        <f>Storage_Reconciled_prod!BU51*Storage_Reconciled_prod!$A$44+Storage_rounded_off_prod!BU51*Storage_rounded_off_prod!$A$44</f>
        <v>0</v>
      </c>
      <c r="BV51" s="197">
        <f>Storage_Reconciled_prod!BV51*Storage_Reconciled_prod!$A$44+Storage_rounded_off_prod!BV51*Storage_rounded_off_prod!$A$44</f>
        <v>6.0999999999999999E-2</v>
      </c>
      <c r="BW51" s="197">
        <f>Storage_Reconciled_prod!BW51*Storage_Reconciled_prod!$A$44+Storage_rounded_off_prod!BW51*Storage_rounded_off_prod!$A$44</f>
        <v>0.27400000000000002</v>
      </c>
      <c r="BX51" s="197">
        <f>Storage_Reconciled_prod!BX51*Storage_Reconciled_prod!$A$44+Storage_rounded_off_prod!BX51*Storage_rounded_off_prod!$A$44</f>
        <v>5.0000000000000001E-3</v>
      </c>
      <c r="BY51" s="197">
        <f>Storage_Reconciled_prod!BY51*Storage_Reconciled_prod!$A$44+Storage_rounded_off_prod!BY51*Storage_rounded_off_prod!$A$44</f>
        <v>3.3000000000000002E-2</v>
      </c>
      <c r="BZ51" s="197">
        <f>Storage_Reconciled_prod!BZ51*Storage_Reconciled_prod!$A$44+Storage_rounded_off_prod!BZ51*Storage_rounded_off_prod!$A$44</f>
        <v>4.2000000000000003E-2</v>
      </c>
      <c r="CA51" s="197">
        <f>Storage_Reconciled_prod!CA51*Storage_Reconciled_prod!$A$44+Storage_rounded_off_prod!CA51*Storage_rounded_off_prod!$A$44</f>
        <v>0.08</v>
      </c>
      <c r="CB51" s="197">
        <f>Storage_Reconciled_prod!CB51*Storage_Reconciled_prod!$A$44+Storage_rounded_off_prod!CB51*Storage_rounded_off_prod!$A$44</f>
        <v>0.35399999999999998</v>
      </c>
      <c r="CC51" s="197">
        <f>Storage_Reconciled_prod!CC51*Storage_Reconciled_prod!$A$44+Storage_rounded_off_prod!CC51*Storage_rounded_off_prod!$A$44</f>
        <v>4.2999999999999997E-2</v>
      </c>
      <c r="CD51" s="197">
        <f>Storage_Reconciled_prod!CD51*Storage_Reconciled_prod!$A$44+Storage_rounded_off_prod!CD51*Storage_rounded_off_prod!$A$44</f>
        <v>3.6999999999999998E-2</v>
      </c>
      <c r="CE51" s="197">
        <f>Storage_Reconciled_prod!CE51*Storage_Reconciled_prod!$A$44+Storage_rounded_off_prod!CE51*Storage_rounded_off_prod!$A$44</f>
        <v>3.9E-2</v>
      </c>
      <c r="CF51" s="197">
        <f>Storage_Reconciled_prod!CF51*Storage_Reconciled_prod!$A$44+Storage_rounded_off_prod!CF51*Storage_rounded_off_prod!$A$44</f>
        <v>0.11899999999999999</v>
      </c>
      <c r="CG51" s="197">
        <f>Storage_Reconciled_prod!CG51*Storage_Reconciled_prod!$A$44+Storage_rounded_off_prod!CG51*Storage_rounded_off_prod!$A$44</f>
        <v>3.4000000000000002E-2</v>
      </c>
      <c r="CH51" s="197">
        <f>Storage_Reconciled_prod!CH51*Storage_Reconciled_prod!$A$44+Storage_rounded_off_prod!CH51*Storage_rounded_off_prod!$A$44</f>
        <v>0</v>
      </c>
      <c r="CI51" s="197">
        <f>Storage_Reconciled_prod!CI51*Storage_Reconciled_prod!$A$44+Storage_rounded_off_prod!CI51*Storage_rounded_off_prod!$A$44</f>
        <v>0</v>
      </c>
      <c r="CJ51" s="197">
        <f>Storage_Reconciled_prod!CJ51*Storage_Reconciled_prod!$A$44+Storage_rounded_off_prod!CJ51*Storage_rounded_off_prod!$A$44</f>
        <v>0</v>
      </c>
      <c r="CK51" s="197">
        <f>Storage_Reconciled_prod!CK51*Storage_Reconciled_prod!$A$44+Storage_rounded_off_prod!CK51*Storage_rounded_off_prod!$A$44</f>
        <v>0</v>
      </c>
      <c r="CL51" s="197">
        <f>Storage_Reconciled_prod!CL51*Storage_Reconciled_prod!$A$44+Storage_rounded_off_prod!CL51*Storage_rounded_off_prod!$A$44</f>
        <v>0</v>
      </c>
      <c r="CM51" s="197">
        <f>Storage_Reconciled_prod!CM51*Storage_Reconciled_prod!$A$44+Storage_rounded_off_prod!CM51*Storage_rounded_off_prod!$A$44</f>
        <v>0</v>
      </c>
      <c r="CN51" s="197">
        <f>Storage_Reconciled_prod!CN51*Storage_Reconciled_prod!$A$44+Storage_rounded_off_prod!CN51*Storage_rounded_off_prod!$A$44</f>
        <v>0</v>
      </c>
      <c r="CO51" s="197">
        <f>Storage_Reconciled_prod!CO51*Storage_Reconciled_prod!$A$44+Storage_rounded_off_prod!CO51*Storage_rounded_off_prod!$A$44</f>
        <v>0</v>
      </c>
      <c r="CP51" s="197">
        <f>Storage_Reconciled_prod!CP51*Storage_Reconciled_prod!$A$44+Storage_rounded_off_prod!CP51*Storage_rounded_off_prod!$A$44</f>
        <v>0</v>
      </c>
      <c r="CQ51" s="197">
        <f>Storage_Reconciled_prod!CQ51*Storage_Reconciled_prod!$A$44+Storage_rounded_off_prod!CQ51*Storage_rounded_off_prod!$A$44</f>
        <v>0</v>
      </c>
      <c r="CR51" s="197">
        <f>Storage_Reconciled_prod!CR51*Storage_Reconciled_prod!$A$44+Storage_rounded_off_prod!CR51*Storage_rounded_off_prod!$A$44</f>
        <v>0</v>
      </c>
      <c r="CS51" s="197">
        <f>Storage_Reconciled_prod!CS51*Storage_Reconciled_prod!$A$44+Storage_rounded_off_prod!CS51*Storage_rounded_off_prod!$A$44</f>
        <v>0</v>
      </c>
      <c r="CT51" s="197">
        <f>Storage_Reconciled_prod!CT51*Storage_Reconciled_prod!$A$44+Storage_rounded_off_prod!CT51*Storage_rounded_off_prod!$A$44</f>
        <v>0</v>
      </c>
      <c r="CU51" s="197">
        <f>Storage_Reconciled_prod!CU51*Storage_Reconciled_prod!$A$44+Storage_rounded_off_prod!CU51*Storage_rounded_off_prod!$A$44</f>
        <v>0</v>
      </c>
    </row>
    <row r="52" spans="1:99">
      <c r="C52">
        <v>8</v>
      </c>
      <c r="D52" s="209" t="s">
        <v>59</v>
      </c>
      <c r="E52" s="197">
        <f>Storage_Reconciled_prod!E52*Storage_Reconciled_prod!$A$44+Storage_rounded_off_prod!E52*Storage_rounded_off_prod!$A$44</f>
        <v>6.0000000000000001E-3</v>
      </c>
      <c r="F52" s="197">
        <f>Storage_Reconciled_prod!F52*Storage_Reconciled_prod!$A$44+Storage_rounded_off_prod!F52*Storage_rounded_off_prod!$A$44</f>
        <v>6.0000000000000001E-3</v>
      </c>
      <c r="G52" s="197">
        <f>Storage_Reconciled_prod!G52*Storage_Reconciled_prod!$A$44+Storage_rounded_off_prod!G52*Storage_rounded_off_prod!$A$44</f>
        <v>6.0000000000000001E-3</v>
      </c>
      <c r="H52" s="197">
        <f>Storage_Reconciled_prod!H52*Storage_Reconciled_prod!$A$44+Storage_rounded_off_prod!H52*Storage_rounded_off_prod!$A$44</f>
        <v>1.8000000000000002E-2</v>
      </c>
      <c r="I52" s="197">
        <f>Storage_Reconciled_prod!I52*Storage_Reconciled_prod!$A$44+Storage_rounded_off_prod!I52*Storage_rounded_off_prod!$A$44</f>
        <v>7.0000000000000001E-3</v>
      </c>
      <c r="J52" s="197">
        <f>Storage_Reconciled_prod!J52*Storage_Reconciled_prod!$A$44+Storage_rounded_off_prod!J52*Storage_rounded_off_prod!$A$44</f>
        <v>6.0000000000000001E-3</v>
      </c>
      <c r="K52" s="197">
        <f>Storage_Reconciled_prod!K52*Storage_Reconciled_prod!$A$44+Storage_rounded_off_prod!K52*Storage_rounded_off_prod!$A$44</f>
        <v>7.0000000000000001E-3</v>
      </c>
      <c r="L52" s="197">
        <f>Storage_Reconciled_prod!L52*Storage_Reconciled_prod!$A$44+Storage_rounded_off_prod!L52*Storage_rounded_off_prod!$A$44</f>
        <v>0.02</v>
      </c>
      <c r="M52" s="197">
        <f>Storage_Reconciled_prod!M52*Storage_Reconciled_prod!$A$44+Storage_rounded_off_prod!M52*Storage_rounded_off_prod!$A$44</f>
        <v>3.8000000000000006E-2</v>
      </c>
      <c r="N52" s="197">
        <f>Storage_Reconciled_prod!N52*Storage_Reconciled_prod!$A$44+Storage_rounded_off_prod!N52*Storage_rounded_off_prod!$A$44</f>
        <v>7.0000000000000001E-3</v>
      </c>
      <c r="O52" s="197">
        <f>Storage_Reconciled_prod!O52*Storage_Reconciled_prod!$A$44+Storage_rounded_off_prod!O52*Storage_rounded_off_prod!$A$44</f>
        <v>6.0000000000000001E-3</v>
      </c>
      <c r="P52" s="197">
        <f>Storage_Reconciled_prod!P52*Storage_Reconciled_prod!$A$44+Storage_rounded_off_prod!P52*Storage_rounded_off_prod!$A$44</f>
        <v>7.0000000000000001E-3</v>
      </c>
      <c r="Q52" s="197">
        <f>Storage_Reconciled_prod!Q52*Storage_Reconciled_prod!$A$44+Storage_rounded_off_prod!Q52*Storage_rounded_off_prod!$A$44</f>
        <v>0.02</v>
      </c>
      <c r="R52" s="197">
        <f>Storage_Reconciled_prod!R52*Storage_Reconciled_prod!$A$44+Storage_rounded_off_prod!R52*Storage_rounded_off_prod!$A$44</f>
        <v>5.800000000000001E-2</v>
      </c>
      <c r="S52" s="197">
        <f>Storage_Reconciled_prod!S52*Storage_Reconciled_prod!$A$44+Storage_rounded_off_prod!S52*Storage_rounded_off_prod!$A$44</f>
        <v>7.0000000000000001E-3</v>
      </c>
      <c r="T52" s="197">
        <f>Storage_Reconciled_prod!T52*Storage_Reconciled_prod!$A$44+Storage_rounded_off_prod!T52*Storage_rounded_off_prod!$A$44</f>
        <v>6.0000000000000001E-3</v>
      </c>
      <c r="U52" s="197">
        <f>Storage_Reconciled_prod!U52*Storage_Reconciled_prod!$A$44+Storage_rounded_off_prod!U52*Storage_rounded_off_prod!$A$44</f>
        <v>6.0000000000000001E-3</v>
      </c>
      <c r="V52" s="197">
        <f>Storage_Reconciled_prod!V52*Storage_Reconciled_prod!$A$44+Storage_rounded_off_prod!V52*Storage_rounded_off_prod!$A$44</f>
        <v>1.9000000000000003E-2</v>
      </c>
      <c r="W52" s="197">
        <f>Storage_Reconciled_prod!W52*Storage_Reconciled_prod!$A$44+Storage_rounded_off_prod!W52*Storage_rounded_off_prod!$A$44</f>
        <v>7.7000000000000013E-2</v>
      </c>
      <c r="X52" s="197">
        <f>Storage_Reconciled_prod!X52*Storage_Reconciled_prod!$A$44+Storage_rounded_off_prod!X52*Storage_rounded_off_prod!$A$44</f>
        <v>7.0000000000000001E-3</v>
      </c>
      <c r="Y52" s="197">
        <f>Storage_Reconciled_prod!Y52*Storage_Reconciled_prod!$A$44+Storage_rounded_off_prod!Y52*Storage_rounded_off_prod!$A$44</f>
        <v>6.0000000000000001E-3</v>
      </c>
      <c r="Z52" s="197">
        <f>Storage_Reconciled_prod!Z52*Storage_Reconciled_prod!$A$44+Storage_rounded_off_prod!Z52*Storage_rounded_off_prod!$A$44</f>
        <v>7.0000000000000001E-3</v>
      </c>
      <c r="AA52" s="197">
        <f>Storage_Reconciled_prod!AA52*Storage_Reconciled_prod!$A$44+Storage_rounded_off_prod!AA52*Storage_rounded_off_prod!$A$44</f>
        <v>0.02</v>
      </c>
      <c r="AB52" s="197">
        <f>Storage_Reconciled_prod!AB52*Storage_Reconciled_prod!$A$44+Storage_rounded_off_prod!AB52*Storage_rounded_off_prod!$A$44</f>
        <v>7.0000000000000001E-3</v>
      </c>
      <c r="AC52" s="197">
        <f>Storage_Reconciled_prod!AC52*Storage_Reconciled_prod!$A$44+Storage_rounded_off_prod!AC52*Storage_rounded_off_prod!$A$44</f>
        <v>7.0000000000000001E-3</v>
      </c>
      <c r="AD52" s="197">
        <f>Storage_Reconciled_prod!AD52*Storage_Reconciled_prod!$A$44+Storage_rounded_off_prod!AD52*Storage_rounded_off_prod!$A$44</f>
        <v>6.0000000000000001E-3</v>
      </c>
      <c r="AE52" s="197">
        <f>Storage_Reconciled_prod!AE52*Storage_Reconciled_prod!$A$44+Storage_rounded_off_prod!AE52*Storage_rounded_off_prod!$A$44</f>
        <v>0.02</v>
      </c>
      <c r="AF52" s="197">
        <f>Storage_Reconciled_prod!AF52*Storage_Reconciled_prod!$A$44+Storage_rounded_off_prod!AF52*Storage_rounded_off_prod!$A$44</f>
        <v>0.04</v>
      </c>
      <c r="AG52" s="197">
        <f>Storage_Reconciled_prod!AG52*Storage_Reconciled_prod!$A$44+Storage_rounded_off_prod!AG52*Storage_rounded_off_prod!$A$44</f>
        <v>8.0000000000000002E-3</v>
      </c>
      <c r="AH52" s="197">
        <f>Storage_Reconciled_prod!AH52*Storage_Reconciled_prod!$A$44+Storage_rounded_off_prod!AH52*Storage_rounded_off_prod!$A$44</f>
        <v>7.0000000000000001E-3</v>
      </c>
      <c r="AI52" s="197">
        <f>Storage_Reconciled_prod!AI52*Storage_Reconciled_prod!$A$44+Storage_rounded_off_prod!AI52*Storage_rounded_off_prod!$A$44</f>
        <v>8.0000000000000002E-3</v>
      </c>
      <c r="AJ52" s="197">
        <f>Storage_Reconciled_prod!AJ52*Storage_Reconciled_prod!$A$44+Storage_rounded_off_prod!AJ52*Storage_rounded_off_prod!$A$44</f>
        <v>2.3E-2</v>
      </c>
      <c r="AK52" s="197">
        <f>Storage_Reconciled_prod!AK52*Storage_Reconciled_prod!$A$44+Storage_rounded_off_prod!AK52*Storage_rounded_off_prod!$A$44</f>
        <v>6.3E-2</v>
      </c>
      <c r="AL52" s="197">
        <f>Storage_Reconciled_prod!AL52*Storage_Reconciled_prod!$A$44+Storage_rounded_off_prod!AL52*Storage_rounded_off_prod!$A$44</f>
        <v>8.0000000000000002E-3</v>
      </c>
      <c r="AM52" s="197">
        <f>Storage_Reconciled_prod!AM52*Storage_Reconciled_prod!$A$44+Storage_rounded_off_prod!AM52*Storage_rounded_off_prod!$A$44</f>
        <v>7.0000000000000001E-3</v>
      </c>
      <c r="AN52" s="197">
        <f>Storage_Reconciled_prod!AN52*Storage_Reconciled_prod!$A$44+Storage_rounded_off_prod!AN52*Storage_rounded_off_prod!$A$44</f>
        <v>8.0000000000000002E-3</v>
      </c>
      <c r="AO52" s="197">
        <f>Storage_Reconciled_prod!AO52*Storage_Reconciled_prod!$A$44+Storage_rounded_off_prod!AO52*Storage_rounded_off_prod!$A$44</f>
        <v>2.3E-2</v>
      </c>
      <c r="AP52" s="197">
        <f>Storage_Reconciled_prod!AP52*Storage_Reconciled_prod!$A$44+Storage_rounded_off_prod!AP52*Storage_rounded_off_prod!$A$44</f>
        <v>8.5999999999999993E-2</v>
      </c>
      <c r="AQ52" s="197">
        <f>Storage_Reconciled_prod!AQ52*Storage_Reconciled_prod!$A$44+Storage_rounded_off_prod!AQ52*Storage_rounded_off_prod!$A$44</f>
        <v>8.9999999999999993E-3</v>
      </c>
      <c r="AR52" s="197">
        <f>Storage_Reconciled_prod!AR52*Storage_Reconciled_prod!$A$44+Storage_rounded_off_prod!AR52*Storage_rounded_off_prod!$A$44</f>
        <v>8.9999999999999993E-3</v>
      </c>
      <c r="AS52" s="197">
        <f>Storage_Reconciled_prod!AS52*Storage_Reconciled_prod!$A$44+Storage_rounded_off_prod!AS52*Storage_rounded_off_prod!$A$44</f>
        <v>0.01</v>
      </c>
      <c r="AT52" s="197">
        <f>Storage_Reconciled_prod!AT52*Storage_Reconciled_prod!$A$44+Storage_rounded_off_prod!AT52*Storage_rounded_off_prod!$A$44</f>
        <v>2.7999999999999997E-2</v>
      </c>
      <c r="AU52" s="197">
        <f>Storage_Reconciled_prod!AU52*Storage_Reconciled_prod!$A$44+Storage_rounded_off_prod!AU52*Storage_rounded_off_prod!$A$44</f>
        <v>8.9999999999999993E-3</v>
      </c>
      <c r="AV52" s="197">
        <f>Storage_Reconciled_prod!AV52*Storage_Reconciled_prod!$A$44+Storage_rounded_off_prod!AV52*Storage_rounded_off_prod!$A$44</f>
        <v>0.01</v>
      </c>
      <c r="AW52" s="197">
        <f>Storage_Reconciled_prod!AW52*Storage_Reconciled_prod!$A$44+Storage_rounded_off_prod!AW52*Storage_rounded_off_prod!$A$44</f>
        <v>8.0000000000000002E-3</v>
      </c>
      <c r="AX52" s="197">
        <f>Storage_Reconciled_prod!AX52*Storage_Reconciled_prod!$A$44+Storage_rounded_off_prod!AX52*Storage_rounded_off_prod!$A$44</f>
        <v>2.7E-2</v>
      </c>
      <c r="AY52" s="197">
        <f>Storage_Reconciled_prod!AY52*Storage_Reconciled_prod!$A$44+Storage_rounded_off_prod!AY52*Storage_rounded_off_prod!$A$44</f>
        <v>5.4999999999999993E-2</v>
      </c>
      <c r="AZ52" s="197">
        <f>Storage_Reconciled_prod!AZ52*Storage_Reconciled_prod!$A$44+Storage_rounded_off_prod!AZ52*Storage_rounded_off_prod!$A$44</f>
        <v>0.01</v>
      </c>
      <c r="BA52" s="197">
        <f>Storage_Reconciled_prod!BA52*Storage_Reconciled_prod!$A$44+Storage_rounded_off_prod!BA52*Storage_rounded_off_prod!$A$44</f>
        <v>8.9999999999999993E-3</v>
      </c>
      <c r="BB52" s="197">
        <f>Storage_Reconciled_prod!BB52*Storage_Reconciled_prod!$A$44+Storage_rounded_off_prod!BB52*Storage_rounded_off_prod!$A$44</f>
        <v>8.9999999999999993E-3</v>
      </c>
      <c r="BC52" s="197">
        <f>Storage_Reconciled_prod!BC52*Storage_Reconciled_prod!$A$44+Storage_rounded_off_prod!BC52*Storage_rounded_off_prod!$A$44</f>
        <v>2.7999999999999997E-2</v>
      </c>
      <c r="BD52" s="197">
        <f>Storage_Reconciled_prod!BD52*Storage_Reconciled_prod!$A$44+Storage_rounded_off_prod!BD52*Storage_rounded_off_prod!$A$44</f>
        <v>8.299999999999999E-2</v>
      </c>
      <c r="BE52" s="197">
        <f>Storage_Reconciled_prod!BE52*Storage_Reconciled_prod!$A$44+Storage_rounded_off_prod!BE52*Storage_rounded_off_prod!$A$44</f>
        <v>0.01</v>
      </c>
      <c r="BF52" s="197">
        <f>Storage_Reconciled_prod!BF52*Storage_Reconciled_prod!$A$44+Storage_rounded_off_prod!BF52*Storage_rounded_off_prod!$A$44</f>
        <v>8.9999999999999993E-3</v>
      </c>
      <c r="BG52" s="197">
        <f>Storage_Reconciled_prod!BG52*Storage_Reconciled_prod!$A$44+Storage_rounded_off_prod!BG52*Storage_rounded_off_prod!$A$44</f>
        <v>0.01</v>
      </c>
      <c r="BH52" s="197">
        <f>Storage_Reconciled_prod!BH52*Storage_Reconciled_prod!$A$44+Storage_rounded_off_prod!BH52*Storage_rounded_off_prod!$A$44</f>
        <v>2.8999999999999998E-2</v>
      </c>
      <c r="BI52" s="197">
        <f>Storage_Reconciled_prod!BI52*Storage_Reconciled_prod!$A$44+Storage_rounded_off_prod!BI52*Storage_rounded_off_prod!$A$44</f>
        <v>0.11199999999999999</v>
      </c>
      <c r="BJ52" s="197">
        <f>Storage_Reconciled_prod!BJ52*Storage_Reconciled_prod!$A$44+Storage_rounded_off_prod!BJ52*Storage_rounded_off_prod!$A$44</f>
        <v>1.0999999999999999E-2</v>
      </c>
      <c r="BK52" s="197">
        <f>Storage_Reconciled_prod!BK52*Storage_Reconciled_prod!$A$44+Storage_rounded_off_prod!BK52*Storage_rounded_off_prod!$A$44</f>
        <v>1.0999999999999999E-2</v>
      </c>
      <c r="BL52" s="197">
        <f>Storage_Reconciled_prod!BL52*Storage_Reconciled_prod!$A$44+Storage_rounded_off_prod!BL52*Storage_rounded_off_prod!$A$44</f>
        <v>0.01</v>
      </c>
      <c r="BM52" s="197">
        <f>Storage_Reconciled_prod!BM52*Storage_Reconciled_prod!$A$44+Storage_rounded_off_prod!BM52*Storage_rounded_off_prod!$A$44</f>
        <v>3.2000000000000001E-2</v>
      </c>
      <c r="BN52" s="197">
        <f>Storage_Reconciled_prod!BN52*Storage_Reconciled_prod!$A$44+Storage_rounded_off_prod!BN52*Storage_rounded_off_prod!$A$44</f>
        <v>1.0999999999999999E-2</v>
      </c>
      <c r="BO52" s="197">
        <f>Storage_Reconciled_prod!BO52*Storage_Reconciled_prod!$A$44+Storage_rounded_off_prod!BO52*Storage_rounded_off_prod!$A$44</f>
        <v>1.0999999999999999E-2</v>
      </c>
      <c r="BP52" s="197">
        <f>Storage_Reconciled_prod!BP52*Storage_Reconciled_prod!$A$44+Storage_rounded_off_prod!BP52*Storage_rounded_off_prod!$A$44</f>
        <v>1.0999999999999999E-2</v>
      </c>
      <c r="BQ52" s="197">
        <f>Storage_Reconciled_prod!BQ52*Storage_Reconciled_prod!$A$44+Storage_rounded_off_prod!BQ52*Storage_rounded_off_prod!$A$44</f>
        <v>3.3000000000000002E-2</v>
      </c>
      <c r="BR52" s="197">
        <f>Storage_Reconciled_prod!BR52*Storage_Reconciled_prod!$A$44+Storage_rounded_off_prod!BR52*Storage_rounded_off_prod!$A$44</f>
        <v>6.5000000000000002E-2</v>
      </c>
      <c r="BS52" s="197">
        <f>Storage_Reconciled_prod!BS52*Storage_Reconciled_prod!$A$44+Storage_rounded_off_prod!BS52*Storage_rounded_off_prod!$A$44</f>
        <v>1.2E-2</v>
      </c>
      <c r="BT52" s="197">
        <f>Storage_Reconciled_prod!BT52*Storage_Reconciled_prod!$A$44+Storage_rounded_off_prod!BT52*Storage_rounded_off_prod!$A$44</f>
        <v>1.2E-2</v>
      </c>
      <c r="BU52" s="197">
        <f>Storage_Reconciled_prod!BU52*Storage_Reconciled_prod!$A$44+Storage_rounded_off_prod!BU52*Storage_rounded_off_prod!$A$44</f>
        <v>1.0999999999999999E-2</v>
      </c>
      <c r="BV52" s="197">
        <f>Storage_Reconciled_prod!BV52*Storage_Reconciled_prod!$A$44+Storage_rounded_off_prod!BV52*Storage_rounded_off_prod!$A$44</f>
        <v>3.5000000000000003E-2</v>
      </c>
      <c r="BW52" s="197">
        <f>Storage_Reconciled_prod!BW52*Storage_Reconciled_prod!$A$44+Storage_rounded_off_prod!BW52*Storage_rounded_off_prod!$A$44</f>
        <v>0.1</v>
      </c>
      <c r="BX52" s="197">
        <f>Storage_Reconciled_prod!BX52*Storage_Reconciled_prod!$A$44+Storage_rounded_off_prod!BX52*Storage_rounded_off_prod!$A$44</f>
        <v>0.01</v>
      </c>
      <c r="BY52" s="197">
        <f>Storage_Reconciled_prod!BY52*Storage_Reconciled_prod!$A$44+Storage_rounded_off_prod!BY52*Storage_rounded_off_prod!$A$44</f>
        <v>0.01</v>
      </c>
      <c r="BZ52" s="197">
        <f>Storage_Reconciled_prod!BZ52*Storage_Reconciled_prod!$A$44+Storage_rounded_off_prod!BZ52*Storage_rounded_off_prod!$A$44</f>
        <v>0.01</v>
      </c>
      <c r="CA52" s="197">
        <f>Storage_Reconciled_prod!CA52*Storage_Reconciled_prod!$A$44+Storage_rounded_off_prod!CA52*Storage_rounded_off_prod!$A$44</f>
        <v>0.03</v>
      </c>
      <c r="CB52" s="197">
        <f>Storage_Reconciled_prod!CB52*Storage_Reconciled_prod!$A$44+Storage_rounded_off_prod!CB52*Storage_rounded_off_prod!$A$44</f>
        <v>0.13</v>
      </c>
      <c r="CC52" s="197">
        <f>Storage_Reconciled_prod!CC52*Storage_Reconciled_prod!$A$44+Storage_rounded_off_prod!CC52*Storage_rounded_off_prod!$A$44</f>
        <v>0.01</v>
      </c>
      <c r="CD52" s="197">
        <f>Storage_Reconciled_prod!CD52*Storage_Reconciled_prod!$A$44+Storage_rounded_off_prod!CD52*Storage_rounded_off_prod!$A$44</f>
        <v>0.01</v>
      </c>
      <c r="CE52" s="197">
        <f>Storage_Reconciled_prod!CE52*Storage_Reconciled_prod!$A$44+Storage_rounded_off_prod!CE52*Storage_rounded_off_prod!$A$44</f>
        <v>1.0999999999999999E-2</v>
      </c>
      <c r="CF52" s="197">
        <f>Storage_Reconciled_prod!CF52*Storage_Reconciled_prod!$A$44+Storage_rounded_off_prod!CF52*Storage_rounded_off_prod!$A$44</f>
        <v>3.1E-2</v>
      </c>
      <c r="CG52" s="197">
        <f>Storage_Reconciled_prod!CG52*Storage_Reconciled_prod!$A$44+Storage_rounded_off_prod!CG52*Storage_rounded_off_prod!$A$44</f>
        <v>1.0999999999999999E-2</v>
      </c>
      <c r="CH52" s="197">
        <f>Storage_Reconciled_prod!CH52*Storage_Reconciled_prod!$A$44+Storage_rounded_off_prod!CH52*Storage_rounded_off_prod!$A$44</f>
        <v>0</v>
      </c>
      <c r="CI52" s="197">
        <f>Storage_Reconciled_prod!CI52*Storage_Reconciled_prod!$A$44+Storage_rounded_off_prod!CI52*Storage_rounded_off_prod!$A$44</f>
        <v>0</v>
      </c>
      <c r="CJ52" s="197">
        <f>Storage_Reconciled_prod!CJ52*Storage_Reconciled_prod!$A$44+Storage_rounded_off_prod!CJ52*Storage_rounded_off_prod!$A$44</f>
        <v>0</v>
      </c>
      <c r="CK52" s="197">
        <f>Storage_Reconciled_prod!CK52*Storage_Reconciled_prod!$A$44+Storage_rounded_off_prod!CK52*Storage_rounded_off_prod!$A$44</f>
        <v>0</v>
      </c>
      <c r="CL52" s="197">
        <f>Storage_Reconciled_prod!CL52*Storage_Reconciled_prod!$A$44+Storage_rounded_off_prod!CL52*Storage_rounded_off_prod!$A$44</f>
        <v>0</v>
      </c>
      <c r="CM52" s="197">
        <f>Storage_Reconciled_prod!CM52*Storage_Reconciled_prod!$A$44+Storage_rounded_off_prod!CM52*Storage_rounded_off_prod!$A$44</f>
        <v>0</v>
      </c>
      <c r="CN52" s="197">
        <f>Storage_Reconciled_prod!CN52*Storage_Reconciled_prod!$A$44+Storage_rounded_off_prod!CN52*Storage_rounded_off_prod!$A$44</f>
        <v>0</v>
      </c>
      <c r="CO52" s="197">
        <f>Storage_Reconciled_prod!CO52*Storage_Reconciled_prod!$A$44+Storage_rounded_off_prod!CO52*Storage_rounded_off_prod!$A$44</f>
        <v>0</v>
      </c>
      <c r="CP52" s="197">
        <f>Storage_Reconciled_prod!CP52*Storage_Reconciled_prod!$A$44+Storage_rounded_off_prod!CP52*Storage_rounded_off_prod!$A$44</f>
        <v>0</v>
      </c>
      <c r="CQ52" s="197">
        <f>Storage_Reconciled_prod!CQ52*Storage_Reconciled_prod!$A$44+Storage_rounded_off_prod!CQ52*Storage_rounded_off_prod!$A$44</f>
        <v>0</v>
      </c>
      <c r="CR52" s="197">
        <f>Storage_Reconciled_prod!CR52*Storage_Reconciled_prod!$A$44+Storage_rounded_off_prod!CR52*Storage_rounded_off_prod!$A$44</f>
        <v>0</v>
      </c>
      <c r="CS52" s="197">
        <f>Storage_Reconciled_prod!CS52*Storage_Reconciled_prod!$A$44+Storage_rounded_off_prod!CS52*Storage_rounded_off_prod!$A$44</f>
        <v>0</v>
      </c>
      <c r="CT52" s="197">
        <f>Storage_Reconciled_prod!CT52*Storage_Reconciled_prod!$A$44+Storage_rounded_off_prod!CT52*Storage_rounded_off_prod!$A$44</f>
        <v>0</v>
      </c>
      <c r="CU52" s="197">
        <f>Storage_Reconciled_prod!CU52*Storage_Reconciled_prod!$A$44+Storage_rounded_off_prod!CU52*Storage_rounded_off_prod!$A$44</f>
        <v>0</v>
      </c>
    </row>
    <row r="53" spans="1:99">
      <c r="C53">
        <v>9</v>
      </c>
      <c r="D53" s="209" t="s">
        <v>63</v>
      </c>
      <c r="E53" s="197">
        <f>Storage_Reconciled_prod!E53*Storage_Reconciled_prod!$A$44+Storage_rounded_off_prod!E53*Storage_rounded_off_prod!$A$44</f>
        <v>5.8000000000000003E-2</v>
      </c>
      <c r="F53" s="197">
        <f>Storage_Reconciled_prod!F53*Storage_Reconciled_prod!$A$44+Storage_rounded_off_prod!F53*Storage_rounded_off_prod!$A$44</f>
        <v>5.8000000000000003E-2</v>
      </c>
      <c r="G53" s="197">
        <f>Storage_Reconciled_prod!G53*Storage_Reconciled_prod!$A$44+Storage_rounded_off_prod!G53*Storage_rounded_off_prod!$A$44</f>
        <v>5.8000000000000003E-2</v>
      </c>
      <c r="H53" s="197">
        <f>Storage_Reconciled_prod!H53*Storage_Reconciled_prod!$A$44+Storage_rounded_off_prod!H53*Storage_rounded_off_prod!$A$44</f>
        <v>0.17400000000000002</v>
      </c>
      <c r="I53" s="197">
        <f>Storage_Reconciled_prod!I53*Storage_Reconciled_prod!$A$44+Storage_rounded_off_prod!I53*Storage_rounded_off_prod!$A$44</f>
        <v>4.7E-2</v>
      </c>
      <c r="J53" s="197">
        <f>Storage_Reconciled_prod!J53*Storage_Reconciled_prod!$A$44+Storage_rounded_off_prod!J53*Storage_rounded_off_prod!$A$44</f>
        <v>6.0999999999999999E-2</v>
      </c>
      <c r="K53" s="197">
        <f>Storage_Reconciled_prod!K53*Storage_Reconciled_prod!$A$44+Storage_rounded_off_prod!K53*Storage_rounded_off_prod!$A$44</f>
        <v>5.3999999999999999E-2</v>
      </c>
      <c r="L53" s="197">
        <f>Storage_Reconciled_prod!L53*Storage_Reconciled_prod!$A$44+Storage_rounded_off_prod!L53*Storage_rounded_off_prod!$A$44</f>
        <v>0.16200000000000001</v>
      </c>
      <c r="M53" s="197">
        <f>Storage_Reconciled_prod!M53*Storage_Reconciled_prod!$A$44+Storage_rounded_off_prod!M53*Storage_rounded_off_prod!$A$44</f>
        <v>0.33600000000000002</v>
      </c>
      <c r="N53" s="197">
        <f>Storage_Reconciled_prod!N53*Storage_Reconciled_prod!$A$44+Storage_rounded_off_prod!N53*Storage_rounded_off_prod!$A$44</f>
        <v>5.2999999999999999E-2</v>
      </c>
      <c r="O53" s="197">
        <f>Storage_Reconciled_prod!O53*Storage_Reconciled_prod!$A$44+Storage_rounded_off_prod!O53*Storage_rounded_off_prod!$A$44</f>
        <v>6.4000000000000001E-2</v>
      </c>
      <c r="P53" s="197">
        <f>Storage_Reconciled_prod!P53*Storage_Reconciled_prod!$A$44+Storage_rounded_off_prod!P53*Storage_rounded_off_prod!$A$44</f>
        <v>5.8999999999999997E-2</v>
      </c>
      <c r="Q53" s="197">
        <f>Storage_Reconciled_prod!Q53*Storage_Reconciled_prod!$A$44+Storage_rounded_off_prod!Q53*Storage_rounded_off_prod!$A$44</f>
        <v>0.17599999999999999</v>
      </c>
      <c r="R53" s="197">
        <f>Storage_Reconciled_prod!R53*Storage_Reconciled_prod!$A$44+Storage_rounded_off_prod!R53*Storage_rounded_off_prod!$A$44</f>
        <v>0.51200000000000001</v>
      </c>
      <c r="S53" s="197">
        <f>Storage_Reconciled_prod!S53*Storage_Reconciled_prod!$A$44+Storage_rounded_off_prod!S53*Storage_rounded_off_prod!$A$44</f>
        <v>5.3999999999999999E-2</v>
      </c>
      <c r="T53" s="197">
        <f>Storage_Reconciled_prod!T53*Storage_Reconciled_prod!$A$44+Storage_rounded_off_prod!T53*Storage_rounded_off_prod!$A$44</f>
        <v>4.8000000000000001E-2</v>
      </c>
      <c r="U53" s="197">
        <f>Storage_Reconciled_prod!U53*Storage_Reconciled_prod!$A$44+Storage_rounded_off_prod!U53*Storage_rounded_off_prod!$A$44</f>
        <v>0.04</v>
      </c>
      <c r="V53" s="197">
        <f>Storage_Reconciled_prod!V53*Storage_Reconciled_prod!$A$44+Storage_rounded_off_prod!V53*Storage_rounded_off_prod!$A$44</f>
        <v>0.14200000000000002</v>
      </c>
      <c r="W53" s="197">
        <f>Storage_Reconciled_prod!W53*Storage_Reconciled_prod!$A$44+Storage_rounded_off_prod!W53*Storage_rounded_off_prod!$A$44</f>
        <v>0.65400000000000003</v>
      </c>
      <c r="X53" s="197">
        <f>Storage_Reconciled_prod!X53*Storage_Reconciled_prod!$A$44+Storage_rounded_off_prod!X53*Storage_rounded_off_prod!$A$44</f>
        <v>5.0999999999999997E-2</v>
      </c>
      <c r="Y53" s="197">
        <f>Storage_Reconciled_prod!Y53*Storage_Reconciled_prod!$A$44+Storage_rounded_off_prod!Y53*Storage_rounded_off_prod!$A$44</f>
        <v>5.0999999999999997E-2</v>
      </c>
      <c r="Z53" s="197">
        <f>Storage_Reconciled_prod!Z53*Storage_Reconciled_prod!$A$44+Storage_rounded_off_prod!Z53*Storage_rounded_off_prod!$A$44</f>
        <v>5.0999999999999997E-2</v>
      </c>
      <c r="AA53" s="197">
        <f>Storage_Reconciled_prod!AA53*Storage_Reconciled_prod!$A$44+Storage_rounded_off_prod!AA53*Storage_rounded_off_prod!$A$44</f>
        <v>0.153</v>
      </c>
      <c r="AB53" s="197">
        <f>Storage_Reconciled_prod!AB53*Storage_Reconciled_prod!$A$44+Storage_rounded_off_prod!AB53*Storage_rounded_off_prod!$A$44</f>
        <v>5.0999999999999997E-2</v>
      </c>
      <c r="AC53" s="197">
        <f>Storage_Reconciled_prod!AC53*Storage_Reconciled_prod!$A$44+Storage_rounded_off_prod!AC53*Storage_rounded_off_prod!$A$44</f>
        <v>0.05</v>
      </c>
      <c r="AD53" s="197">
        <f>Storage_Reconciled_prod!AD53*Storage_Reconciled_prod!$A$44+Storage_rounded_off_prod!AD53*Storage_rounded_off_prod!$A$44</f>
        <v>4.5999999999999999E-2</v>
      </c>
      <c r="AE53" s="197">
        <f>Storage_Reconciled_prod!AE53*Storage_Reconciled_prod!$A$44+Storage_rounded_off_prod!AE53*Storage_rounded_off_prod!$A$44</f>
        <v>0.14700000000000002</v>
      </c>
      <c r="AF53" s="197">
        <f>Storage_Reconciled_prod!AF53*Storage_Reconciled_prod!$A$44+Storage_rounded_off_prod!AF53*Storage_rounded_off_prod!$A$44</f>
        <v>0.30000000000000004</v>
      </c>
      <c r="AG53" s="197">
        <f>Storage_Reconciled_prod!AG53*Storage_Reconciled_prod!$A$44+Storage_rounded_off_prod!AG53*Storage_rounded_off_prod!$A$44</f>
        <v>6.7000000000000004E-2</v>
      </c>
      <c r="AH53" s="197">
        <f>Storage_Reconciled_prod!AH53*Storage_Reconciled_prod!$A$44+Storage_rounded_off_prod!AH53*Storage_rounded_off_prod!$A$44</f>
        <v>6.4000000000000001E-2</v>
      </c>
      <c r="AI53" s="197">
        <f>Storage_Reconciled_prod!AI53*Storage_Reconciled_prod!$A$44+Storage_rounded_off_prod!AI53*Storage_rounded_off_prod!$A$44</f>
        <v>6.6000000000000003E-2</v>
      </c>
      <c r="AJ53" s="197">
        <f>Storage_Reconciled_prod!AJ53*Storage_Reconciled_prod!$A$44+Storage_rounded_off_prod!AJ53*Storage_rounded_off_prod!$A$44</f>
        <v>0.19700000000000001</v>
      </c>
      <c r="AK53" s="197">
        <f>Storage_Reconciled_prod!AK53*Storage_Reconciled_prod!$A$44+Storage_rounded_off_prod!AK53*Storage_rounded_off_prod!$A$44</f>
        <v>0.49700000000000005</v>
      </c>
      <c r="AL53" s="197">
        <f>Storage_Reconciled_prod!AL53*Storage_Reconciled_prod!$A$44+Storage_rounded_off_prod!AL53*Storage_rounded_off_prod!$A$44</f>
        <v>5.1999999999999998E-2</v>
      </c>
      <c r="AM53" s="197">
        <f>Storage_Reconciled_prod!AM53*Storage_Reconciled_prod!$A$44+Storage_rounded_off_prod!AM53*Storage_rounded_off_prod!$A$44</f>
        <v>6.2E-2</v>
      </c>
      <c r="AN53" s="197">
        <f>Storage_Reconciled_prod!AN53*Storage_Reconciled_prod!$A$44+Storage_rounded_off_prod!AN53*Storage_rounded_off_prod!$A$44</f>
        <v>4.9000000000000002E-2</v>
      </c>
      <c r="AO53" s="197">
        <f>Storage_Reconciled_prod!AO53*Storage_Reconciled_prod!$A$44+Storage_rounded_off_prod!AO53*Storage_rounded_off_prod!$A$44</f>
        <v>0.16299999999999998</v>
      </c>
      <c r="AP53" s="197">
        <f>Storage_Reconciled_prod!AP53*Storage_Reconciled_prod!$A$44+Storage_rounded_off_prod!AP53*Storage_rounded_off_prod!$A$44</f>
        <v>0.66</v>
      </c>
      <c r="AQ53" s="197">
        <f>Storage_Reconciled_prod!AQ53*Storage_Reconciled_prod!$A$44+Storage_rounded_off_prod!AQ53*Storage_rounded_off_prod!$A$44</f>
        <v>7.9000000000000001E-2</v>
      </c>
      <c r="AR53" s="197">
        <f>Storage_Reconciled_prod!AR53*Storage_Reconciled_prod!$A$44+Storage_rounded_off_prod!AR53*Storage_rounded_off_prod!$A$44</f>
        <v>7.0999999999999994E-2</v>
      </c>
      <c r="AS53" s="197">
        <f>Storage_Reconciled_prod!AS53*Storage_Reconciled_prod!$A$44+Storage_rounded_off_prod!AS53*Storage_rounded_off_prod!$A$44</f>
        <v>7.8E-2</v>
      </c>
      <c r="AT53" s="197">
        <f>Storage_Reconciled_prod!AT53*Storage_Reconciled_prod!$A$44+Storage_rounded_off_prod!AT53*Storage_rounded_off_prod!$A$44</f>
        <v>0.22799999999999998</v>
      </c>
      <c r="AU53" s="197">
        <f>Storage_Reconciled_prod!AU53*Storage_Reconciled_prod!$A$44+Storage_rounded_off_prod!AU53*Storage_rounded_off_prod!$A$44</f>
        <v>7.6999999999999999E-2</v>
      </c>
      <c r="AV53" s="197">
        <f>Storage_Reconciled_prod!AV53*Storage_Reconciled_prod!$A$44+Storage_rounded_off_prod!AV53*Storage_rounded_off_prod!$A$44</f>
        <v>7.3999999999999996E-2</v>
      </c>
      <c r="AW53" s="197">
        <f>Storage_Reconciled_prod!AW53*Storage_Reconciled_prod!$A$44+Storage_rounded_off_prod!AW53*Storage_rounded_off_prod!$A$44</f>
        <v>7.3999999999999996E-2</v>
      </c>
      <c r="AX53" s="197">
        <f>Storage_Reconciled_prod!AX53*Storage_Reconciled_prod!$A$44+Storage_rounded_off_prod!AX53*Storage_rounded_off_prod!$A$44</f>
        <v>0.22499999999999998</v>
      </c>
      <c r="AY53" s="197">
        <f>Storage_Reconciled_prod!AY53*Storage_Reconciled_prod!$A$44+Storage_rounded_off_prod!AY53*Storage_rounded_off_prod!$A$44</f>
        <v>0.45299999999999996</v>
      </c>
      <c r="AZ53" s="197">
        <f>Storage_Reconciled_prod!AZ53*Storage_Reconciled_prod!$A$44+Storage_rounded_off_prod!AZ53*Storage_rounded_off_prod!$A$44</f>
        <v>6.8000000000000005E-2</v>
      </c>
      <c r="BA53" s="197">
        <f>Storage_Reconciled_prod!BA53*Storage_Reconciled_prod!$A$44+Storage_rounded_off_prod!BA53*Storage_rounded_off_prod!$A$44</f>
        <v>6.3E-2</v>
      </c>
      <c r="BB53" s="197">
        <f>Storage_Reconciled_prod!BB53*Storage_Reconciled_prod!$A$44+Storage_rounded_off_prod!BB53*Storage_rounded_off_prod!$A$44</f>
        <v>5.6000000000000001E-2</v>
      </c>
      <c r="BC53" s="197">
        <f>Storage_Reconciled_prod!BC53*Storage_Reconciled_prod!$A$44+Storage_rounded_off_prod!BC53*Storage_rounded_off_prod!$A$44</f>
        <v>0.187</v>
      </c>
      <c r="BD53" s="197">
        <f>Storage_Reconciled_prod!BD53*Storage_Reconciled_prod!$A$44+Storage_rounded_off_prod!BD53*Storage_rounded_off_prod!$A$44</f>
        <v>0.6399999999999999</v>
      </c>
      <c r="BE53" s="197">
        <f>Storage_Reconciled_prod!BE53*Storage_Reconciled_prod!$A$44+Storage_rounded_off_prod!BE53*Storage_rounded_off_prod!$A$44</f>
        <v>7.0000000000000007E-2</v>
      </c>
      <c r="BF53" s="197">
        <f>Storage_Reconciled_prod!BF53*Storage_Reconciled_prod!$A$44+Storage_rounded_off_prod!BF53*Storage_rounded_off_prod!$A$44</f>
        <v>5.7000000000000002E-2</v>
      </c>
      <c r="BG53" s="197">
        <f>Storage_Reconciled_prod!BG53*Storage_Reconciled_prod!$A$44+Storage_rounded_off_prod!BG53*Storage_rounded_off_prod!$A$44</f>
        <v>6.0999999999999999E-2</v>
      </c>
      <c r="BH53" s="197">
        <f>Storage_Reconciled_prod!BH53*Storage_Reconciled_prod!$A$44+Storage_rounded_off_prod!BH53*Storage_rounded_off_prod!$A$44</f>
        <v>0.188</v>
      </c>
      <c r="BI53" s="197">
        <f>Storage_Reconciled_prod!BI53*Storage_Reconciled_prod!$A$44+Storage_rounded_off_prod!BI53*Storage_rounded_off_prod!$A$44</f>
        <v>0.82799999999999985</v>
      </c>
      <c r="BJ53" s="197">
        <f>Storage_Reconciled_prod!BJ53*Storage_Reconciled_prod!$A$44+Storage_rounded_off_prod!BJ53*Storage_rounded_off_prod!$A$44</f>
        <v>7.0999999999999994E-2</v>
      </c>
      <c r="BK53" s="197">
        <f>Storage_Reconciled_prod!BK53*Storage_Reconciled_prod!$A$44+Storage_rounded_off_prod!BK53*Storage_rounded_off_prod!$A$44</f>
        <v>5.8000000000000003E-2</v>
      </c>
      <c r="BL53" s="197">
        <f>Storage_Reconciled_prod!BL53*Storage_Reconciled_prod!$A$44+Storage_rounded_off_prod!BL53*Storage_rounded_off_prod!$A$44</f>
        <v>4.7E-2</v>
      </c>
      <c r="BM53" s="197">
        <f>Storage_Reconciled_prod!BM53*Storage_Reconciled_prod!$A$44+Storage_rounded_off_prod!BM53*Storage_rounded_off_prod!$A$44</f>
        <v>0.17599999999999999</v>
      </c>
      <c r="BN53" s="197">
        <f>Storage_Reconciled_prod!BN53*Storage_Reconciled_prod!$A$44+Storage_rounded_off_prod!BN53*Storage_rounded_off_prod!$A$44</f>
        <v>7.0000000000000007E-2</v>
      </c>
      <c r="BO53" s="197">
        <f>Storage_Reconciled_prod!BO53*Storage_Reconciled_prod!$A$44+Storage_rounded_off_prod!BO53*Storage_rounded_off_prod!$A$44</f>
        <v>7.0000000000000007E-2</v>
      </c>
      <c r="BP53" s="197">
        <f>Storage_Reconciled_prod!BP53*Storage_Reconciled_prod!$A$44+Storage_rounded_off_prod!BP53*Storage_rounded_off_prod!$A$44</f>
        <v>6.6000000000000003E-2</v>
      </c>
      <c r="BQ53" s="197">
        <f>Storage_Reconciled_prod!BQ53*Storage_Reconciled_prod!$A$44+Storage_rounded_off_prod!BQ53*Storage_rounded_off_prod!$A$44</f>
        <v>0.20600000000000002</v>
      </c>
      <c r="BR53" s="197">
        <f>Storage_Reconciled_prod!BR53*Storage_Reconciled_prod!$A$44+Storage_rounded_off_prod!BR53*Storage_rounded_off_prod!$A$44</f>
        <v>0.38200000000000001</v>
      </c>
      <c r="BS53" s="197">
        <f>Storage_Reconciled_prod!BS53*Storage_Reconciled_prod!$A$44+Storage_rounded_off_prod!BS53*Storage_rounded_off_prod!$A$44</f>
        <v>0.06</v>
      </c>
      <c r="BT53" s="197">
        <f>Storage_Reconciled_prod!BT53*Storage_Reconciled_prod!$A$44+Storage_rounded_off_prod!BT53*Storage_rounded_off_prod!$A$44</f>
        <v>5.2999999999999999E-2</v>
      </c>
      <c r="BU53" s="197">
        <f>Storage_Reconciled_prod!BU53*Storage_Reconciled_prod!$A$44+Storage_rounded_off_prod!BU53*Storage_rounded_off_prod!$A$44</f>
        <v>6.6000000000000003E-2</v>
      </c>
      <c r="BV53" s="197">
        <f>Storage_Reconciled_prod!BV53*Storage_Reconciled_prod!$A$44+Storage_rounded_off_prod!BV53*Storage_rounded_off_prod!$A$44</f>
        <v>0.17899999999999999</v>
      </c>
      <c r="BW53" s="197">
        <f>Storage_Reconciled_prod!BW53*Storage_Reconciled_prod!$A$44+Storage_rounded_off_prod!BW53*Storage_rounded_off_prod!$A$44</f>
        <v>0.56099999999999994</v>
      </c>
      <c r="BX53" s="197">
        <f>Storage_Reconciled_prod!BX53*Storage_Reconciled_prod!$A$44+Storage_rounded_off_prod!BX53*Storage_rounded_off_prod!$A$44</f>
        <v>6.5000000000000002E-2</v>
      </c>
      <c r="BY53" s="197">
        <f>Storage_Reconciled_prod!BY53*Storage_Reconciled_prod!$A$44+Storage_rounded_off_prod!BY53*Storage_rounded_off_prod!$A$44</f>
        <v>4.2000000000000003E-2</v>
      </c>
      <c r="BZ53" s="197">
        <f>Storage_Reconciled_prod!BZ53*Storage_Reconciled_prod!$A$44+Storage_rounded_off_prod!BZ53*Storage_rounded_off_prod!$A$44</f>
        <v>6.6000000000000003E-2</v>
      </c>
      <c r="CA53" s="197">
        <f>Storage_Reconciled_prod!CA53*Storage_Reconciled_prod!$A$44+Storage_rounded_off_prod!CA53*Storage_rounded_off_prod!$A$44</f>
        <v>0.17300000000000001</v>
      </c>
      <c r="CB53" s="197">
        <f>Storage_Reconciled_prod!CB53*Storage_Reconciled_prod!$A$44+Storage_rounded_off_prod!CB53*Storage_rounded_off_prod!$A$44</f>
        <v>0.73399999999999999</v>
      </c>
      <c r="CC53" s="197">
        <f>Storage_Reconciled_prod!CC53*Storage_Reconciled_prod!$A$44+Storage_rounded_off_prod!CC53*Storage_rounded_off_prod!$A$44</f>
        <v>5.1999999999999998E-2</v>
      </c>
      <c r="CD53" s="197">
        <f>Storage_Reconciled_prod!CD53*Storage_Reconciled_prod!$A$44+Storage_rounded_off_prod!CD53*Storage_rounded_off_prod!$A$44</f>
        <v>6.4000000000000001E-2</v>
      </c>
      <c r="CE53" s="197">
        <f>Storage_Reconciled_prod!CE53*Storage_Reconciled_prod!$A$44+Storage_rounded_off_prod!CE53*Storage_rounded_off_prod!$A$44</f>
        <v>6.0999999999999999E-2</v>
      </c>
      <c r="CF53" s="197">
        <f>Storage_Reconciled_prod!CF53*Storage_Reconciled_prod!$A$44+Storage_rounded_off_prod!CF53*Storage_rounded_off_prod!$A$44</f>
        <v>0.17699999999999999</v>
      </c>
      <c r="CG53" s="197">
        <f>Storage_Reconciled_prod!CG53*Storage_Reconciled_prod!$A$44+Storage_rounded_off_prod!CG53*Storage_rounded_off_prod!$A$44</f>
        <v>0.06</v>
      </c>
      <c r="CH53" s="197">
        <f>Storage_Reconciled_prod!CH53*Storage_Reconciled_prod!$A$44+Storage_rounded_off_prod!CH53*Storage_rounded_off_prod!$A$44</f>
        <v>0</v>
      </c>
      <c r="CI53" s="197">
        <f>Storage_Reconciled_prod!CI53*Storage_Reconciled_prod!$A$44+Storage_rounded_off_prod!CI53*Storage_rounded_off_prod!$A$44</f>
        <v>0</v>
      </c>
      <c r="CJ53" s="197">
        <f>Storage_Reconciled_prod!CJ53*Storage_Reconciled_prod!$A$44+Storage_rounded_off_prod!CJ53*Storage_rounded_off_prod!$A$44</f>
        <v>0</v>
      </c>
      <c r="CK53" s="197">
        <f>Storage_Reconciled_prod!CK53*Storage_Reconciled_prod!$A$44+Storage_rounded_off_prod!CK53*Storage_rounded_off_prod!$A$44</f>
        <v>0</v>
      </c>
      <c r="CL53" s="197">
        <f>Storage_Reconciled_prod!CL53*Storage_Reconciled_prod!$A$44+Storage_rounded_off_prod!CL53*Storage_rounded_off_prod!$A$44</f>
        <v>0</v>
      </c>
      <c r="CM53" s="197">
        <f>Storage_Reconciled_prod!CM53*Storage_Reconciled_prod!$A$44+Storage_rounded_off_prod!CM53*Storage_rounded_off_prod!$A$44</f>
        <v>0</v>
      </c>
      <c r="CN53" s="197">
        <f>Storage_Reconciled_prod!CN53*Storage_Reconciled_prod!$A$44+Storage_rounded_off_prod!CN53*Storage_rounded_off_prod!$A$44</f>
        <v>0</v>
      </c>
      <c r="CO53" s="197">
        <f>Storage_Reconciled_prod!CO53*Storage_Reconciled_prod!$A$44+Storage_rounded_off_prod!CO53*Storage_rounded_off_prod!$A$44</f>
        <v>0</v>
      </c>
      <c r="CP53" s="197">
        <f>Storage_Reconciled_prod!CP53*Storage_Reconciled_prod!$A$44+Storage_rounded_off_prod!CP53*Storage_rounded_off_prod!$A$44</f>
        <v>0</v>
      </c>
      <c r="CQ53" s="197">
        <f>Storage_Reconciled_prod!CQ53*Storage_Reconciled_prod!$A$44+Storage_rounded_off_prod!CQ53*Storage_rounded_off_prod!$A$44</f>
        <v>0</v>
      </c>
      <c r="CR53" s="197">
        <f>Storage_Reconciled_prod!CR53*Storage_Reconciled_prod!$A$44+Storage_rounded_off_prod!CR53*Storage_rounded_off_prod!$A$44</f>
        <v>0</v>
      </c>
      <c r="CS53" s="197">
        <f>Storage_Reconciled_prod!CS53*Storage_Reconciled_prod!$A$44+Storage_rounded_off_prod!CS53*Storage_rounded_off_prod!$A$44</f>
        <v>0</v>
      </c>
      <c r="CT53" s="197">
        <f>Storage_Reconciled_prod!CT53*Storage_Reconciled_prod!$A$44+Storage_rounded_off_prod!CT53*Storage_rounded_off_prod!$A$44</f>
        <v>0</v>
      </c>
      <c r="CU53" s="197">
        <f>Storage_Reconciled_prod!CU53*Storage_Reconciled_prod!$A$44+Storage_rounded_off_prod!CU53*Storage_rounded_off_prod!$A$44</f>
        <v>0</v>
      </c>
    </row>
    <row r="54" spans="1:99">
      <c r="C54">
        <v>10</v>
      </c>
      <c r="D54" s="209" t="s">
        <v>64</v>
      </c>
      <c r="E54" s="197">
        <f>Storage_Reconciled_prod!E54*Storage_Reconciled_prod!$A$44+Storage_rounded_off_prod!E54*Storage_rounded_off_prod!$A$44</f>
        <v>6.0000000000000001E-3</v>
      </c>
      <c r="F54" s="197">
        <f>Storage_Reconciled_prod!F54*Storage_Reconciled_prod!$A$44+Storage_rounded_off_prod!F54*Storage_rounded_off_prod!$A$44</f>
        <v>6.0000000000000001E-3</v>
      </c>
      <c r="G54" s="197">
        <f>Storage_Reconciled_prod!G54*Storage_Reconciled_prod!$A$44+Storage_rounded_off_prod!G54*Storage_rounded_off_prod!$A$44</f>
        <v>6.0000000000000001E-3</v>
      </c>
      <c r="H54" s="197">
        <f>Storage_Reconciled_prod!H54*Storage_Reconciled_prod!$A$44+Storage_rounded_off_prod!H54*Storage_rounded_off_prod!$A$44</f>
        <v>1.8000000000000002E-2</v>
      </c>
      <c r="I54" s="197">
        <f>Storage_Reconciled_prod!I54*Storage_Reconciled_prod!$A$44+Storage_rounded_off_prod!I54*Storage_rounded_off_prod!$A$44</f>
        <v>6.0000000000000001E-3</v>
      </c>
      <c r="J54" s="197">
        <f>Storage_Reconciled_prod!J54*Storage_Reconciled_prod!$A$44+Storage_rounded_off_prod!J54*Storage_rounded_off_prod!$A$44</f>
        <v>5.0000000000000001E-3</v>
      </c>
      <c r="K54" s="197">
        <f>Storage_Reconciled_prod!K54*Storage_Reconciled_prod!$A$44+Storage_rounded_off_prod!K54*Storage_rounded_off_prod!$A$44</f>
        <v>5.0000000000000001E-3</v>
      </c>
      <c r="L54" s="197">
        <f>Storage_Reconciled_prod!L54*Storage_Reconciled_prod!$A$44+Storage_rounded_off_prod!L54*Storage_rounded_off_prod!$A$44</f>
        <v>1.6E-2</v>
      </c>
      <c r="M54" s="197">
        <f>Storage_Reconciled_prod!M54*Storage_Reconciled_prod!$A$44+Storage_rounded_off_prod!M54*Storage_rounded_off_prod!$A$44</f>
        <v>3.4000000000000002E-2</v>
      </c>
      <c r="N54" s="197">
        <f>Storage_Reconciled_prod!N54*Storage_Reconciled_prod!$A$44+Storage_rounded_off_prod!N54*Storage_rounded_off_prod!$A$44</f>
        <v>4.0000000000000001E-3</v>
      </c>
      <c r="O54" s="197">
        <f>Storage_Reconciled_prod!O54*Storage_Reconciled_prod!$A$44+Storage_rounded_off_prod!O54*Storage_rounded_off_prod!$A$44</f>
        <v>5.0000000000000001E-3</v>
      </c>
      <c r="P54" s="197">
        <f>Storage_Reconciled_prod!P54*Storage_Reconciled_prod!$A$44+Storage_rounded_off_prod!P54*Storage_rounded_off_prod!$A$44</f>
        <v>4.0000000000000001E-3</v>
      </c>
      <c r="Q54" s="197">
        <f>Storage_Reconciled_prod!Q54*Storage_Reconciled_prod!$A$44+Storage_rounded_off_prod!Q54*Storage_rounded_off_prod!$A$44</f>
        <v>1.3000000000000001E-2</v>
      </c>
      <c r="R54" s="197">
        <f>Storage_Reconciled_prod!R54*Storage_Reconciled_prod!$A$44+Storage_rounded_off_prod!R54*Storage_rounded_off_prod!$A$44</f>
        <v>4.7E-2</v>
      </c>
      <c r="S54" s="197">
        <f>Storage_Reconciled_prod!S54*Storage_Reconciled_prod!$A$44+Storage_rounded_off_prod!S54*Storage_rounded_off_prod!$A$44</f>
        <v>4.0000000000000001E-3</v>
      </c>
      <c r="T54" s="197">
        <f>Storage_Reconciled_prod!T54*Storage_Reconciled_prod!$A$44+Storage_rounded_off_prod!T54*Storage_rounded_off_prod!$A$44</f>
        <v>4.0000000000000001E-3</v>
      </c>
      <c r="U54" s="197">
        <f>Storage_Reconciled_prod!U54*Storage_Reconciled_prod!$A$44+Storage_rounded_off_prod!U54*Storage_rounded_off_prod!$A$44</f>
        <v>3.0000000000000001E-3</v>
      </c>
      <c r="V54" s="197">
        <f>Storage_Reconciled_prod!V54*Storage_Reconciled_prod!$A$44+Storage_rounded_off_prod!V54*Storage_rounded_off_prod!$A$44</f>
        <v>1.0999999999999999E-2</v>
      </c>
      <c r="W54" s="197">
        <f>Storage_Reconciled_prod!W54*Storage_Reconciled_prod!$A$44+Storage_rounded_off_prod!W54*Storage_rounded_off_prod!$A$44</f>
        <v>5.7999999999999996E-2</v>
      </c>
      <c r="X54" s="197">
        <f>Storage_Reconciled_prod!X54*Storage_Reconciled_prod!$A$44+Storage_rounded_off_prod!X54*Storage_rounded_off_prod!$A$44</f>
        <v>5.0000000000000001E-3</v>
      </c>
      <c r="Y54" s="197">
        <f>Storage_Reconciled_prod!Y54*Storage_Reconciled_prod!$A$44+Storage_rounded_off_prod!Y54*Storage_rounded_off_prod!$A$44</f>
        <v>5.0000000000000001E-3</v>
      </c>
      <c r="Z54" s="197">
        <f>Storage_Reconciled_prod!Z54*Storage_Reconciled_prod!$A$44+Storage_rounded_off_prod!Z54*Storage_rounded_off_prod!$A$44</f>
        <v>4.0000000000000001E-3</v>
      </c>
      <c r="AA54" s="197">
        <f>Storage_Reconciled_prod!AA54*Storage_Reconciled_prod!$A$44+Storage_rounded_off_prod!AA54*Storage_rounded_off_prod!$A$44</f>
        <v>1.4E-2</v>
      </c>
      <c r="AB54" s="197">
        <f>Storage_Reconciled_prod!AB54*Storage_Reconciled_prod!$A$44+Storage_rounded_off_prod!AB54*Storage_rounded_off_prod!$A$44</f>
        <v>5.0000000000000001E-3</v>
      </c>
      <c r="AC54" s="197">
        <f>Storage_Reconciled_prod!AC54*Storage_Reconciled_prod!$A$44+Storage_rounded_off_prod!AC54*Storage_rounded_off_prod!$A$44</f>
        <v>5.0000000000000001E-3</v>
      </c>
      <c r="AD54" s="197">
        <f>Storage_Reconciled_prod!AD54*Storage_Reconciled_prod!$A$44+Storage_rounded_off_prod!AD54*Storage_rounded_off_prod!$A$44</f>
        <v>4.0000000000000001E-3</v>
      </c>
      <c r="AE54" s="197">
        <f>Storage_Reconciled_prod!AE54*Storage_Reconciled_prod!$A$44+Storage_rounded_off_prod!AE54*Storage_rounded_off_prod!$A$44</f>
        <v>1.4E-2</v>
      </c>
      <c r="AF54" s="197">
        <f>Storage_Reconciled_prod!AF54*Storage_Reconciled_prod!$A$44+Storage_rounded_off_prod!AF54*Storage_rounded_off_prod!$A$44</f>
        <v>2.8000000000000001E-2</v>
      </c>
      <c r="AG54" s="197">
        <f>Storage_Reconciled_prod!AG54*Storage_Reconciled_prod!$A$44+Storage_rounded_off_prod!AG54*Storage_rounded_off_prod!$A$44</f>
        <v>5.0000000000000001E-3</v>
      </c>
      <c r="AH54" s="197">
        <f>Storage_Reconciled_prod!AH54*Storage_Reconciled_prod!$A$44+Storage_rounded_off_prod!AH54*Storage_rounded_off_prod!$A$44</f>
        <v>5.0000000000000001E-3</v>
      </c>
      <c r="AI54" s="197">
        <f>Storage_Reconciled_prod!AI54*Storage_Reconciled_prod!$A$44+Storage_rounded_off_prod!AI54*Storage_rounded_off_prod!$A$44</f>
        <v>4.0000000000000001E-3</v>
      </c>
      <c r="AJ54" s="197">
        <f>Storage_Reconciled_prod!AJ54*Storage_Reconciled_prod!$A$44+Storage_rounded_off_prod!AJ54*Storage_rounded_off_prod!$A$44</f>
        <v>1.4E-2</v>
      </c>
      <c r="AK54" s="197">
        <f>Storage_Reconciled_prod!AK54*Storage_Reconciled_prod!$A$44+Storage_rounded_off_prod!AK54*Storage_rounded_off_prod!$A$44</f>
        <v>4.2000000000000003E-2</v>
      </c>
      <c r="AL54" s="197">
        <f>Storage_Reconciled_prod!AL54*Storage_Reconciled_prod!$A$44+Storage_rounded_off_prod!AL54*Storage_rounded_off_prod!$A$44</f>
        <v>4.0000000000000001E-3</v>
      </c>
      <c r="AM54" s="197">
        <f>Storage_Reconciled_prod!AM54*Storage_Reconciled_prod!$A$44+Storage_rounded_off_prod!AM54*Storage_rounded_off_prod!$A$44</f>
        <v>5.0000000000000001E-3</v>
      </c>
      <c r="AN54" s="197">
        <f>Storage_Reconciled_prod!AN54*Storage_Reconciled_prod!$A$44+Storage_rounded_off_prod!AN54*Storage_rounded_off_prod!$A$44</f>
        <v>5.0000000000000001E-3</v>
      </c>
      <c r="AO54" s="197">
        <f>Storage_Reconciled_prod!AO54*Storage_Reconciled_prod!$A$44+Storage_rounded_off_prod!AO54*Storage_rounded_off_prod!$A$44</f>
        <v>1.4000000000000002E-2</v>
      </c>
      <c r="AP54" s="197">
        <f>Storage_Reconciled_prod!AP54*Storage_Reconciled_prod!$A$44+Storage_rounded_off_prod!AP54*Storage_rounded_off_prod!$A$44</f>
        <v>5.6000000000000008E-2</v>
      </c>
      <c r="AQ54" s="197">
        <f>Storage_Reconciled_prod!AQ54*Storage_Reconciled_prod!$A$44+Storage_rounded_off_prod!AQ54*Storage_rounded_off_prod!$A$44</f>
        <v>4.0000000000000001E-3</v>
      </c>
      <c r="AR54" s="197">
        <f>Storage_Reconciled_prod!AR54*Storage_Reconciled_prod!$A$44+Storage_rounded_off_prod!AR54*Storage_rounded_off_prod!$A$44</f>
        <v>4.0000000000000001E-3</v>
      </c>
      <c r="AS54" s="197">
        <f>Storage_Reconciled_prod!AS54*Storage_Reconciled_prod!$A$44+Storage_rounded_off_prod!AS54*Storage_rounded_off_prod!$A$44</f>
        <v>5.0000000000000001E-3</v>
      </c>
      <c r="AT54" s="197">
        <f>Storage_Reconciled_prod!AT54*Storage_Reconciled_prod!$A$44+Storage_rounded_off_prod!AT54*Storage_rounded_off_prod!$A$44</f>
        <v>1.3000000000000001E-2</v>
      </c>
      <c r="AU54" s="197">
        <f>Storage_Reconciled_prod!AU54*Storage_Reconciled_prod!$A$44+Storage_rounded_off_prod!AU54*Storage_rounded_off_prod!$A$44</f>
        <v>4.0000000000000001E-3</v>
      </c>
      <c r="AV54" s="197">
        <f>Storage_Reconciled_prod!AV54*Storage_Reconciled_prod!$A$44+Storage_rounded_off_prod!AV54*Storage_rounded_off_prod!$A$44</f>
        <v>4.0000000000000001E-3</v>
      </c>
      <c r="AW54" s="197">
        <f>Storage_Reconciled_prod!AW54*Storage_Reconciled_prod!$A$44+Storage_rounded_off_prod!AW54*Storage_rounded_off_prod!$A$44</f>
        <v>4.0000000000000001E-3</v>
      </c>
      <c r="AX54" s="197">
        <f>Storage_Reconciled_prod!AX54*Storage_Reconciled_prod!$A$44+Storage_rounded_off_prod!AX54*Storage_rounded_off_prod!$A$44</f>
        <v>1.2E-2</v>
      </c>
      <c r="AY54" s="197">
        <f>Storage_Reconciled_prod!AY54*Storage_Reconciled_prod!$A$44+Storage_rounded_off_prod!AY54*Storage_rounded_off_prod!$A$44</f>
        <v>2.5000000000000001E-2</v>
      </c>
      <c r="AZ54" s="197">
        <f>Storage_Reconciled_prod!AZ54*Storage_Reconciled_prod!$A$44+Storage_rounded_off_prod!AZ54*Storage_rounded_off_prod!$A$44</f>
        <v>4.0000000000000001E-3</v>
      </c>
      <c r="BA54" s="197">
        <f>Storage_Reconciled_prod!BA54*Storage_Reconciled_prod!$A$44+Storage_rounded_off_prod!BA54*Storage_rounded_off_prod!$A$44</f>
        <v>4.0000000000000001E-3</v>
      </c>
      <c r="BB54" s="197">
        <f>Storage_Reconciled_prod!BB54*Storage_Reconciled_prod!$A$44+Storage_rounded_off_prod!BB54*Storage_rounded_off_prod!$A$44</f>
        <v>4.0000000000000001E-3</v>
      </c>
      <c r="BC54" s="197">
        <f>Storage_Reconciled_prod!BC54*Storage_Reconciled_prod!$A$44+Storage_rounded_off_prod!BC54*Storage_rounded_off_prod!$A$44</f>
        <v>1.2E-2</v>
      </c>
      <c r="BD54" s="197">
        <f>Storage_Reconciled_prod!BD54*Storage_Reconciled_prod!$A$44+Storage_rounded_off_prod!BD54*Storage_rounded_off_prod!$A$44</f>
        <v>3.7000000000000005E-2</v>
      </c>
      <c r="BE54" s="197">
        <f>Storage_Reconciled_prod!BE54*Storage_Reconciled_prod!$A$44+Storage_rounded_off_prod!BE54*Storage_rounded_off_prod!$A$44</f>
        <v>4.0000000000000001E-3</v>
      </c>
      <c r="BF54" s="197">
        <f>Storage_Reconciled_prod!BF54*Storage_Reconciled_prod!$A$44+Storage_rounded_off_prod!BF54*Storage_rounded_off_prod!$A$44</f>
        <v>3.0000000000000001E-3</v>
      </c>
      <c r="BG54" s="197">
        <f>Storage_Reconciled_prod!BG54*Storage_Reconciled_prod!$A$44+Storage_rounded_off_prod!BG54*Storage_rounded_off_prod!$A$44</f>
        <v>4.0000000000000001E-3</v>
      </c>
      <c r="BH54" s="197">
        <f>Storage_Reconciled_prod!BH54*Storage_Reconciled_prod!$A$44+Storage_rounded_off_prod!BH54*Storage_rounded_off_prod!$A$44</f>
        <v>1.0999999999999999E-2</v>
      </c>
      <c r="BI54" s="197">
        <f>Storage_Reconciled_prod!BI54*Storage_Reconciled_prod!$A$44+Storage_rounded_off_prod!BI54*Storage_rounded_off_prod!$A$44</f>
        <v>4.8000000000000001E-2</v>
      </c>
      <c r="BJ54" s="197">
        <f>Storage_Reconciled_prod!BJ54*Storage_Reconciled_prod!$A$44+Storage_rounded_off_prod!BJ54*Storage_rounded_off_prod!$A$44</f>
        <v>4.0000000000000001E-3</v>
      </c>
      <c r="BK54" s="197">
        <f>Storage_Reconciled_prod!BK54*Storage_Reconciled_prod!$A$44+Storage_rounded_off_prod!BK54*Storage_rounded_off_prod!$A$44</f>
        <v>4.0000000000000001E-3</v>
      </c>
      <c r="BL54" s="197">
        <f>Storage_Reconciled_prod!BL54*Storage_Reconciled_prod!$A$44+Storage_rounded_off_prod!BL54*Storage_rounded_off_prod!$A$44</f>
        <v>4.0000000000000001E-3</v>
      </c>
      <c r="BM54" s="197">
        <f>Storage_Reconciled_prod!BM54*Storage_Reconciled_prod!$A$44+Storage_rounded_off_prod!BM54*Storage_rounded_off_prod!$A$44</f>
        <v>1.2E-2</v>
      </c>
      <c r="BN54" s="197">
        <f>Storage_Reconciled_prod!BN54*Storage_Reconciled_prod!$A$44+Storage_rounded_off_prod!BN54*Storage_rounded_off_prod!$A$44</f>
        <v>4.0000000000000001E-3</v>
      </c>
      <c r="BO54" s="197">
        <f>Storage_Reconciled_prod!BO54*Storage_Reconciled_prod!$A$44+Storage_rounded_off_prod!BO54*Storage_rounded_off_prod!$A$44</f>
        <v>4.0000000000000001E-3</v>
      </c>
      <c r="BP54" s="197">
        <f>Storage_Reconciled_prod!BP54*Storage_Reconciled_prod!$A$44+Storage_rounded_off_prod!BP54*Storage_rounded_off_prod!$A$44</f>
        <v>4.0000000000000001E-3</v>
      </c>
      <c r="BQ54" s="197">
        <f>Storage_Reconciled_prod!BQ54*Storage_Reconciled_prod!$A$44+Storage_rounded_off_prod!BQ54*Storage_rounded_off_prod!$A$44</f>
        <v>1.2E-2</v>
      </c>
      <c r="BR54" s="197">
        <f>Storage_Reconciled_prod!BR54*Storage_Reconciled_prod!$A$44+Storage_rounded_off_prod!BR54*Storage_rounded_off_prod!$A$44</f>
        <v>2.4E-2</v>
      </c>
      <c r="BS54" s="197">
        <f>Storage_Reconciled_prod!BS54*Storage_Reconciled_prod!$A$44+Storage_rounded_off_prod!BS54*Storage_rounded_off_prod!$A$44</f>
        <v>4.0000000000000001E-3</v>
      </c>
      <c r="BT54" s="197">
        <f>Storage_Reconciled_prod!BT54*Storage_Reconciled_prod!$A$44+Storage_rounded_off_prod!BT54*Storage_rounded_off_prod!$A$44</f>
        <v>3.0000000000000001E-3</v>
      </c>
      <c r="BU54" s="197">
        <f>Storage_Reconciled_prod!BU54*Storage_Reconciled_prod!$A$44+Storage_rounded_off_prod!BU54*Storage_rounded_off_prod!$A$44</f>
        <v>4.0000000000000001E-3</v>
      </c>
      <c r="BV54" s="197">
        <f>Storage_Reconciled_prod!BV54*Storage_Reconciled_prod!$A$44+Storage_rounded_off_prod!BV54*Storage_rounded_off_prod!$A$44</f>
        <v>1.0999999999999999E-2</v>
      </c>
      <c r="BW54" s="197">
        <f>Storage_Reconciled_prod!BW54*Storage_Reconciled_prod!$A$44+Storage_rounded_off_prod!BW54*Storage_rounded_off_prod!$A$44</f>
        <v>3.5000000000000003E-2</v>
      </c>
      <c r="BX54" s="197">
        <f>Storage_Reconciled_prod!BX54*Storage_Reconciled_prod!$A$44+Storage_rounded_off_prod!BX54*Storage_rounded_off_prod!$A$44</f>
        <v>1E-3</v>
      </c>
      <c r="BY54" s="197">
        <f>Storage_Reconciled_prod!BY54*Storage_Reconciled_prod!$A$44+Storage_rounded_off_prod!BY54*Storage_rounded_off_prod!$A$44</f>
        <v>3.0000000000000001E-3</v>
      </c>
      <c r="BZ54" s="197">
        <f>Storage_Reconciled_prod!BZ54*Storage_Reconciled_prod!$A$44+Storage_rounded_off_prod!BZ54*Storage_rounded_off_prod!$A$44</f>
        <v>4.0000000000000001E-3</v>
      </c>
      <c r="CA54" s="197">
        <f>Storage_Reconciled_prod!CA54*Storage_Reconciled_prod!$A$44+Storage_rounded_off_prod!CA54*Storage_rounded_off_prod!$A$44</f>
        <v>8.0000000000000002E-3</v>
      </c>
      <c r="CB54" s="197">
        <f>Storage_Reconciled_prod!CB54*Storage_Reconciled_prod!$A$44+Storage_rounded_off_prod!CB54*Storage_rounded_off_prod!$A$44</f>
        <v>4.2999999999999997E-2</v>
      </c>
      <c r="CC54" s="197">
        <f>Storage_Reconciled_prod!CC54*Storage_Reconciled_prod!$A$44+Storage_rounded_off_prod!CC54*Storage_rounded_off_prod!$A$44</f>
        <v>4.0000000000000001E-3</v>
      </c>
      <c r="CD54" s="197">
        <f>Storage_Reconciled_prod!CD54*Storage_Reconciled_prod!$A$44+Storage_rounded_off_prod!CD54*Storage_rounded_off_prod!$A$44</f>
        <v>4.0000000000000001E-3</v>
      </c>
      <c r="CE54" s="197">
        <f>Storage_Reconciled_prod!CE54*Storage_Reconciled_prod!$A$44+Storage_rounded_off_prod!CE54*Storage_rounded_off_prod!$A$44</f>
        <v>3.0000000000000001E-3</v>
      </c>
      <c r="CF54" s="197">
        <f>Storage_Reconciled_prod!CF54*Storage_Reconciled_prod!$A$44+Storage_rounded_off_prod!CF54*Storage_rounded_off_prod!$A$44</f>
        <v>1.0999999999999999E-2</v>
      </c>
      <c r="CG54" s="197">
        <f>Storage_Reconciled_prod!CG54*Storage_Reconciled_prod!$A$44+Storage_rounded_off_prod!CG54*Storage_rounded_off_prod!$A$44</f>
        <v>4.0000000000000001E-3</v>
      </c>
      <c r="CH54" s="197">
        <f>Storage_Reconciled_prod!CH54*Storage_Reconciled_prod!$A$44+Storage_rounded_off_prod!CH54*Storage_rounded_off_prod!$A$44</f>
        <v>0</v>
      </c>
      <c r="CI54" s="197">
        <f>Storage_Reconciled_prod!CI54*Storage_Reconciled_prod!$A$44+Storage_rounded_off_prod!CI54*Storage_rounded_off_prod!$A$44</f>
        <v>0</v>
      </c>
      <c r="CJ54" s="197">
        <f>Storage_Reconciled_prod!CJ54*Storage_Reconciled_prod!$A$44+Storage_rounded_off_prod!CJ54*Storage_rounded_off_prod!$A$44</f>
        <v>0</v>
      </c>
      <c r="CK54" s="197">
        <f>Storage_Reconciled_prod!CK54*Storage_Reconciled_prod!$A$44+Storage_rounded_off_prod!CK54*Storage_rounded_off_prod!$A$44</f>
        <v>0</v>
      </c>
      <c r="CL54" s="197">
        <f>Storage_Reconciled_prod!CL54*Storage_Reconciled_prod!$A$44+Storage_rounded_off_prod!CL54*Storage_rounded_off_prod!$A$44</f>
        <v>0</v>
      </c>
      <c r="CM54" s="197">
        <f>Storage_Reconciled_prod!CM54*Storage_Reconciled_prod!$A$44+Storage_rounded_off_prod!CM54*Storage_rounded_off_prod!$A$44</f>
        <v>0</v>
      </c>
      <c r="CN54" s="197">
        <f>Storage_Reconciled_prod!CN54*Storage_Reconciled_prod!$A$44+Storage_rounded_off_prod!CN54*Storage_rounded_off_prod!$A$44</f>
        <v>0</v>
      </c>
      <c r="CO54" s="197">
        <f>Storage_Reconciled_prod!CO54*Storage_Reconciled_prod!$A$44+Storage_rounded_off_prod!CO54*Storage_rounded_off_prod!$A$44</f>
        <v>0</v>
      </c>
      <c r="CP54" s="197">
        <f>Storage_Reconciled_prod!CP54*Storage_Reconciled_prod!$A$44+Storage_rounded_off_prod!CP54*Storage_rounded_off_prod!$A$44</f>
        <v>0</v>
      </c>
      <c r="CQ54" s="197">
        <f>Storage_Reconciled_prod!CQ54*Storage_Reconciled_prod!$A$44+Storage_rounded_off_prod!CQ54*Storage_rounded_off_prod!$A$44</f>
        <v>0</v>
      </c>
      <c r="CR54" s="197">
        <f>Storage_Reconciled_prod!CR54*Storage_Reconciled_prod!$A$44+Storage_rounded_off_prod!CR54*Storage_rounded_off_prod!$A$44</f>
        <v>0</v>
      </c>
      <c r="CS54" s="197">
        <f>Storage_Reconciled_prod!CS54*Storage_Reconciled_prod!$A$44+Storage_rounded_off_prod!CS54*Storage_rounded_off_prod!$A$44</f>
        <v>0</v>
      </c>
      <c r="CT54" s="197">
        <f>Storage_Reconciled_prod!CT54*Storage_Reconciled_prod!$A$44+Storage_rounded_off_prod!CT54*Storage_rounded_off_prod!$A$44</f>
        <v>0</v>
      </c>
      <c r="CU54" s="197">
        <f>Storage_Reconciled_prod!CU54*Storage_Reconciled_prod!$A$44+Storage_rounded_off_prod!CU54*Storage_rounded_off_prod!$A$44</f>
        <v>0</v>
      </c>
    </row>
    <row r="55" spans="1:99">
      <c r="C55">
        <v>11</v>
      </c>
      <c r="D55" s="209" t="s">
        <v>65</v>
      </c>
      <c r="E55" s="197">
        <f>Storage_Reconciled_prod!E55*Storage_Reconciled_prod!$A$44+Storage_rounded_off_prod!E55*Storage_rounded_off_prod!$A$44</f>
        <v>5.0000000000000001E-3</v>
      </c>
      <c r="F55" s="197">
        <f>Storage_Reconciled_prod!F55*Storage_Reconciled_prod!$A$44+Storage_rounded_off_prod!F55*Storage_rounded_off_prod!$A$44</f>
        <v>4.0000000000000001E-3</v>
      </c>
      <c r="G55" s="197">
        <f>Storage_Reconciled_prod!G55*Storage_Reconciled_prod!$A$44+Storage_rounded_off_prod!G55*Storage_rounded_off_prod!$A$44</f>
        <v>3.0000000000000001E-3</v>
      </c>
      <c r="H55" s="197">
        <f>Storage_Reconciled_prod!H55*Storage_Reconciled_prod!$A$44+Storage_rounded_off_prod!H55*Storage_rounded_off_prod!$A$44</f>
        <v>1.2E-2</v>
      </c>
      <c r="I55" s="197">
        <f>Storage_Reconciled_prod!I55*Storage_Reconciled_prod!$A$44+Storage_rounded_off_prod!I55*Storage_rounded_off_prod!$A$44</f>
        <v>4.0000000000000001E-3</v>
      </c>
      <c r="J55" s="197">
        <f>Storage_Reconciled_prod!J55*Storage_Reconciled_prod!$A$44+Storage_rounded_off_prod!J55*Storage_rounded_off_prod!$A$44</f>
        <v>5.0000000000000001E-3</v>
      </c>
      <c r="K55" s="197">
        <f>Storage_Reconciled_prod!K55*Storage_Reconciled_prod!$A$44+Storage_rounded_off_prod!K55*Storage_rounded_off_prod!$A$44</f>
        <v>4.0000000000000001E-3</v>
      </c>
      <c r="L55" s="197">
        <f>Storage_Reconciled_prod!L55*Storage_Reconciled_prod!$A$44+Storage_rounded_off_prod!L55*Storage_rounded_off_prod!$A$44</f>
        <v>1.3000000000000001E-2</v>
      </c>
      <c r="M55" s="197">
        <f>Storage_Reconciled_prod!M55*Storage_Reconciled_prod!$A$44+Storage_rounded_off_prod!M55*Storage_rounded_off_prod!$A$44</f>
        <v>2.5000000000000001E-2</v>
      </c>
      <c r="N55" s="197">
        <f>Storage_Reconciled_prod!N55*Storage_Reconciled_prod!$A$44+Storage_rounded_off_prod!N55*Storage_rounded_off_prod!$A$44</f>
        <v>4.0000000000000001E-3</v>
      </c>
      <c r="O55" s="197">
        <f>Storage_Reconciled_prod!O55*Storage_Reconciled_prod!$A$44+Storage_rounded_off_prod!O55*Storage_rounded_off_prod!$A$44</f>
        <v>4.0000000000000001E-3</v>
      </c>
      <c r="P55" s="197">
        <f>Storage_Reconciled_prod!P55*Storage_Reconciled_prod!$A$44+Storage_rounded_off_prod!P55*Storage_rounded_off_prod!$A$44</f>
        <v>5.0000000000000001E-3</v>
      </c>
      <c r="Q55" s="197">
        <f>Storage_Reconciled_prod!Q55*Storage_Reconciled_prod!$A$44+Storage_rounded_off_prod!Q55*Storage_rounded_off_prod!$A$44</f>
        <v>1.3000000000000001E-2</v>
      </c>
      <c r="R55" s="197">
        <f>Storage_Reconciled_prod!R55*Storage_Reconciled_prod!$A$44+Storage_rounded_off_prod!R55*Storage_rounded_off_prod!$A$44</f>
        <v>3.8000000000000006E-2</v>
      </c>
      <c r="S55" s="197">
        <f>Storage_Reconciled_prod!S55*Storage_Reconciled_prod!$A$44+Storage_rounded_off_prod!S55*Storage_rounded_off_prod!$A$44</f>
        <v>5.0000000000000001E-3</v>
      </c>
      <c r="T55" s="197">
        <f>Storage_Reconciled_prod!T55*Storage_Reconciled_prod!$A$44+Storage_rounded_off_prod!T55*Storage_rounded_off_prod!$A$44</f>
        <v>4.0000000000000001E-3</v>
      </c>
      <c r="U55" s="197">
        <f>Storage_Reconciled_prod!U55*Storage_Reconciled_prod!$A$44+Storage_rounded_off_prod!U55*Storage_rounded_off_prod!$A$44</f>
        <v>6.0000000000000001E-3</v>
      </c>
      <c r="V55" s="197">
        <f>Storage_Reconciled_prod!V55*Storage_Reconciled_prod!$A$44+Storage_rounded_off_prod!V55*Storage_rounded_off_prod!$A$44</f>
        <v>1.5000000000000001E-2</v>
      </c>
      <c r="W55" s="197">
        <f>Storage_Reconciled_prod!W55*Storage_Reconciled_prod!$A$44+Storage_rounded_off_prod!W55*Storage_rounded_off_prod!$A$44</f>
        <v>5.3000000000000005E-2</v>
      </c>
      <c r="X55" s="197">
        <f>Storage_Reconciled_prod!X55*Storage_Reconciled_prod!$A$44+Storage_rounded_off_prod!X55*Storage_rounded_off_prod!$A$44</f>
        <v>6.0000000000000001E-3</v>
      </c>
      <c r="Y55" s="197">
        <f>Storage_Reconciled_prod!Y55*Storage_Reconciled_prod!$A$44+Storage_rounded_off_prod!Y55*Storage_rounded_off_prod!$A$44</f>
        <v>6.0000000000000001E-3</v>
      </c>
      <c r="Z55" s="197">
        <f>Storage_Reconciled_prod!Z55*Storage_Reconciled_prod!$A$44+Storage_rounded_off_prod!Z55*Storage_rounded_off_prod!$A$44</f>
        <v>6.0000000000000001E-3</v>
      </c>
      <c r="AA55" s="197">
        <f>Storage_Reconciled_prod!AA55*Storage_Reconciled_prod!$A$44+Storage_rounded_off_prod!AA55*Storage_rounded_off_prod!$A$44</f>
        <v>1.8000000000000002E-2</v>
      </c>
      <c r="AB55" s="197">
        <f>Storage_Reconciled_prod!AB55*Storage_Reconciled_prod!$A$44+Storage_rounded_off_prod!AB55*Storage_rounded_off_prod!$A$44</f>
        <v>7.0000000000000001E-3</v>
      </c>
      <c r="AC55" s="197">
        <f>Storage_Reconciled_prod!AC55*Storage_Reconciled_prod!$A$44+Storage_rounded_off_prod!AC55*Storage_rounded_off_prod!$A$44</f>
        <v>6.0000000000000001E-3</v>
      </c>
      <c r="AD55" s="197">
        <f>Storage_Reconciled_prod!AD55*Storage_Reconciled_prod!$A$44+Storage_rounded_off_prod!AD55*Storage_rounded_off_prod!$A$44</f>
        <v>5.0000000000000001E-3</v>
      </c>
      <c r="AE55" s="197">
        <f>Storage_Reconciled_prod!AE55*Storage_Reconciled_prod!$A$44+Storage_rounded_off_prod!AE55*Storage_rounded_off_prod!$A$44</f>
        <v>1.8000000000000002E-2</v>
      </c>
      <c r="AF55" s="197">
        <f>Storage_Reconciled_prod!AF55*Storage_Reconciled_prod!$A$44+Storage_rounded_off_prod!AF55*Storage_rounded_off_prod!$A$44</f>
        <v>3.6000000000000004E-2</v>
      </c>
      <c r="AG55" s="197">
        <f>Storage_Reconciled_prod!AG55*Storage_Reconciled_prod!$A$44+Storage_rounded_off_prod!AG55*Storage_rounded_off_prod!$A$44</f>
        <v>6.0000000000000001E-3</v>
      </c>
      <c r="AH55" s="197">
        <f>Storage_Reconciled_prod!AH55*Storage_Reconciled_prod!$A$44+Storage_rounded_off_prod!AH55*Storage_rounded_off_prod!$A$44</f>
        <v>7.0000000000000001E-3</v>
      </c>
      <c r="AI55" s="197">
        <f>Storage_Reconciled_prod!AI55*Storage_Reconciled_prod!$A$44+Storage_rounded_off_prod!AI55*Storage_rounded_off_prod!$A$44</f>
        <v>6.0000000000000001E-3</v>
      </c>
      <c r="AJ55" s="197">
        <f>Storage_Reconciled_prod!AJ55*Storage_Reconciled_prod!$A$44+Storage_rounded_off_prod!AJ55*Storage_rounded_off_prod!$A$44</f>
        <v>1.9000000000000003E-2</v>
      </c>
      <c r="AK55" s="197">
        <f>Storage_Reconciled_prod!AK55*Storage_Reconciled_prod!$A$44+Storage_rounded_off_prod!AK55*Storage_rounded_off_prod!$A$44</f>
        <v>5.5000000000000007E-2</v>
      </c>
      <c r="AL55" s="197">
        <f>Storage_Reconciled_prod!AL55*Storage_Reconciled_prod!$A$44+Storage_rounded_off_prod!AL55*Storage_rounded_off_prod!$A$44</f>
        <v>7.0000000000000001E-3</v>
      </c>
      <c r="AM55" s="197">
        <f>Storage_Reconciled_prod!AM55*Storage_Reconciled_prod!$A$44+Storage_rounded_off_prod!AM55*Storage_rounded_off_prod!$A$44</f>
        <v>6.0000000000000001E-3</v>
      </c>
      <c r="AN55" s="197">
        <f>Storage_Reconciled_prod!AN55*Storage_Reconciled_prod!$A$44+Storage_rounded_off_prod!AN55*Storage_rounded_off_prod!$A$44</f>
        <v>7.0000000000000001E-3</v>
      </c>
      <c r="AO55" s="197">
        <f>Storage_Reconciled_prod!AO55*Storage_Reconciled_prod!$A$44+Storage_rounded_off_prod!AO55*Storage_rounded_off_prod!$A$44</f>
        <v>0.02</v>
      </c>
      <c r="AP55" s="197">
        <f>Storage_Reconciled_prod!AP55*Storage_Reconciled_prod!$A$44+Storage_rounded_off_prod!AP55*Storage_rounded_off_prod!$A$44</f>
        <v>7.5000000000000011E-2</v>
      </c>
      <c r="AQ55" s="197">
        <f>Storage_Reconciled_prod!AQ55*Storage_Reconciled_prod!$A$44+Storage_rounded_off_prod!AQ55*Storage_rounded_off_prod!$A$44</f>
        <v>7.0000000000000001E-3</v>
      </c>
      <c r="AR55" s="197">
        <f>Storage_Reconciled_prod!AR55*Storage_Reconciled_prod!$A$44+Storage_rounded_off_prod!AR55*Storage_rounded_off_prod!$A$44</f>
        <v>8.0000000000000002E-3</v>
      </c>
      <c r="AS55" s="197">
        <f>Storage_Reconciled_prod!AS55*Storage_Reconciled_prod!$A$44+Storage_rounded_off_prod!AS55*Storage_rounded_off_prod!$A$44</f>
        <v>7.0000000000000001E-3</v>
      </c>
      <c r="AT55" s="197">
        <f>Storage_Reconciled_prod!AT55*Storage_Reconciled_prod!$A$44+Storage_rounded_off_prod!AT55*Storage_rounded_off_prod!$A$44</f>
        <v>2.1999999999999999E-2</v>
      </c>
      <c r="AU55" s="197">
        <f>Storage_Reconciled_prod!AU55*Storage_Reconciled_prod!$A$44+Storage_rounded_off_prod!AU55*Storage_rounded_off_prod!$A$44</f>
        <v>8.0000000000000002E-3</v>
      </c>
      <c r="AV55" s="197">
        <f>Storage_Reconciled_prod!AV55*Storage_Reconciled_prod!$A$44+Storage_rounded_off_prod!AV55*Storage_rounded_off_prod!$A$44</f>
        <v>7.0000000000000001E-3</v>
      </c>
      <c r="AW55" s="197">
        <f>Storage_Reconciled_prod!AW55*Storage_Reconciled_prod!$A$44+Storage_rounded_off_prod!AW55*Storage_rounded_off_prod!$A$44</f>
        <v>8.0000000000000002E-3</v>
      </c>
      <c r="AX55" s="197">
        <f>Storage_Reconciled_prod!AX55*Storage_Reconciled_prod!$A$44+Storage_rounded_off_prod!AX55*Storage_rounded_off_prod!$A$44</f>
        <v>2.3E-2</v>
      </c>
      <c r="AY55" s="197">
        <f>Storage_Reconciled_prod!AY55*Storage_Reconciled_prod!$A$44+Storage_rounded_off_prod!AY55*Storage_rounded_off_prod!$A$44</f>
        <v>4.4999999999999998E-2</v>
      </c>
      <c r="AZ55" s="197">
        <f>Storage_Reconciled_prod!AZ55*Storage_Reconciled_prod!$A$44+Storage_rounded_off_prod!AZ55*Storage_rounded_off_prod!$A$44</f>
        <v>8.0000000000000002E-3</v>
      </c>
      <c r="BA55" s="197">
        <f>Storage_Reconciled_prod!BA55*Storage_Reconciled_prod!$A$44+Storage_rounded_off_prod!BA55*Storage_rounded_off_prod!$A$44</f>
        <v>8.0000000000000002E-3</v>
      </c>
      <c r="BB55" s="197">
        <f>Storage_Reconciled_prod!BB55*Storage_Reconciled_prod!$A$44+Storage_rounded_off_prod!BB55*Storage_rounded_off_prod!$A$44</f>
        <v>8.0000000000000002E-3</v>
      </c>
      <c r="BC55" s="197">
        <f>Storage_Reconciled_prod!BC55*Storage_Reconciled_prod!$A$44+Storage_rounded_off_prod!BC55*Storage_rounded_off_prod!$A$44</f>
        <v>2.4E-2</v>
      </c>
      <c r="BD55" s="197">
        <f>Storage_Reconciled_prod!BD55*Storage_Reconciled_prod!$A$44+Storage_rounded_off_prod!BD55*Storage_rounded_off_prod!$A$44</f>
        <v>6.9000000000000006E-2</v>
      </c>
      <c r="BE55" s="197">
        <f>Storage_Reconciled_prod!BE55*Storage_Reconciled_prod!$A$44+Storage_rounded_off_prod!BE55*Storage_rounded_off_prod!$A$44</f>
        <v>8.0000000000000002E-3</v>
      </c>
      <c r="BF55" s="197">
        <f>Storage_Reconciled_prod!BF55*Storage_Reconciled_prod!$A$44+Storage_rounded_off_prod!BF55*Storage_rounded_off_prod!$A$44</f>
        <v>7.0000000000000001E-3</v>
      </c>
      <c r="BG55" s="197">
        <f>Storage_Reconciled_prod!BG55*Storage_Reconciled_prod!$A$44+Storage_rounded_off_prod!BG55*Storage_rounded_off_prod!$A$44</f>
        <v>8.9999999999999993E-3</v>
      </c>
      <c r="BH55" s="197">
        <f>Storage_Reconciled_prod!BH55*Storage_Reconciled_prod!$A$44+Storage_rounded_off_prod!BH55*Storage_rounded_off_prod!$A$44</f>
        <v>2.4E-2</v>
      </c>
      <c r="BI55" s="197">
        <f>Storage_Reconciled_prod!BI55*Storage_Reconciled_prod!$A$44+Storage_rounded_off_prod!BI55*Storage_rounded_off_prod!$A$44</f>
        <v>9.2999999999999999E-2</v>
      </c>
      <c r="BJ55" s="197">
        <f>Storage_Reconciled_prod!BJ55*Storage_Reconciled_prod!$A$44+Storage_rounded_off_prod!BJ55*Storage_rounded_off_prod!$A$44</f>
        <v>8.0000000000000002E-3</v>
      </c>
      <c r="BK55" s="197">
        <f>Storage_Reconciled_prod!BK55*Storage_Reconciled_prod!$A$44+Storage_rounded_off_prod!BK55*Storage_rounded_off_prod!$A$44</f>
        <v>8.9999999999999993E-3</v>
      </c>
      <c r="BL55" s="197">
        <f>Storage_Reconciled_prod!BL55*Storage_Reconciled_prod!$A$44+Storage_rounded_off_prod!BL55*Storage_rounded_off_prod!$A$44</f>
        <v>8.0000000000000002E-3</v>
      </c>
      <c r="BM55" s="197">
        <f>Storage_Reconciled_prod!BM55*Storage_Reconciled_prod!$A$44+Storage_rounded_off_prod!BM55*Storage_rounded_off_prod!$A$44</f>
        <v>2.5000000000000001E-2</v>
      </c>
      <c r="BN55" s="197">
        <f>Storage_Reconciled_prod!BN55*Storage_Reconciled_prod!$A$44+Storage_rounded_off_prod!BN55*Storage_rounded_off_prod!$A$44</f>
        <v>8.9999999999999993E-3</v>
      </c>
      <c r="BO55" s="197">
        <f>Storage_Reconciled_prod!BO55*Storage_Reconciled_prod!$A$44+Storage_rounded_off_prod!BO55*Storage_rounded_off_prod!$A$44</f>
        <v>0.01</v>
      </c>
      <c r="BP55" s="197">
        <f>Storage_Reconciled_prod!BP55*Storage_Reconciled_prod!$A$44+Storage_rounded_off_prod!BP55*Storage_rounded_off_prod!$A$44</f>
        <v>8.9999999999999993E-3</v>
      </c>
      <c r="BQ55" s="197">
        <f>Storage_Reconciled_prod!BQ55*Storage_Reconciled_prod!$A$44+Storage_rounded_off_prod!BQ55*Storage_rounded_off_prod!$A$44</f>
        <v>2.7999999999999997E-2</v>
      </c>
      <c r="BR55" s="197">
        <f>Storage_Reconciled_prod!BR55*Storage_Reconciled_prod!$A$44+Storage_rounded_off_prod!BR55*Storage_rounded_off_prod!$A$44</f>
        <v>5.2999999999999999E-2</v>
      </c>
      <c r="BS55" s="197">
        <f>Storage_Reconciled_prod!BS55*Storage_Reconciled_prod!$A$44+Storage_rounded_off_prod!BS55*Storage_rounded_off_prod!$A$44</f>
        <v>8.9999999999999993E-3</v>
      </c>
      <c r="BT55" s="197">
        <f>Storage_Reconciled_prod!BT55*Storage_Reconciled_prod!$A$44+Storage_rounded_off_prod!BT55*Storage_rounded_off_prod!$A$44</f>
        <v>8.9999999999999993E-3</v>
      </c>
      <c r="BU55" s="197">
        <f>Storage_Reconciled_prod!BU55*Storage_Reconciled_prod!$A$44+Storage_rounded_off_prod!BU55*Storage_rounded_off_prod!$A$44</f>
        <v>8.9999999999999993E-3</v>
      </c>
      <c r="BV55" s="197">
        <f>Storage_Reconciled_prod!BV55*Storage_Reconciled_prod!$A$44+Storage_rounded_off_prod!BV55*Storage_rounded_off_prod!$A$44</f>
        <v>2.6999999999999996E-2</v>
      </c>
      <c r="BW55" s="197">
        <f>Storage_Reconciled_prod!BW55*Storage_Reconciled_prod!$A$44+Storage_rounded_off_prod!BW55*Storage_rounded_off_prod!$A$44</f>
        <v>7.9999999999999988E-2</v>
      </c>
      <c r="BX55" s="197">
        <f>Storage_Reconciled_prod!BX55*Storage_Reconciled_prod!$A$44+Storage_rounded_off_prod!BX55*Storage_rounded_off_prod!$A$44</f>
        <v>3.0000000000000001E-3</v>
      </c>
      <c r="BY55" s="197">
        <f>Storage_Reconciled_prod!BY55*Storage_Reconciled_prod!$A$44+Storage_rounded_off_prod!BY55*Storage_rounded_off_prod!$A$44</f>
        <v>3.0000000000000001E-3</v>
      </c>
      <c r="BZ55" s="197">
        <f>Storage_Reconciled_prod!BZ55*Storage_Reconciled_prod!$A$44+Storage_rounded_off_prod!BZ55*Storage_rounded_off_prod!$A$44</f>
        <v>6.0000000000000001E-3</v>
      </c>
      <c r="CA55" s="197">
        <f>Storage_Reconciled_prod!CA55*Storage_Reconciled_prod!$A$44+Storage_rounded_off_prod!CA55*Storage_rounded_off_prod!$A$44</f>
        <v>1.2E-2</v>
      </c>
      <c r="CB55" s="197">
        <f>Storage_Reconciled_prod!CB55*Storage_Reconciled_prod!$A$44+Storage_rounded_off_prod!CB55*Storage_rounded_off_prod!$A$44</f>
        <v>9.2999999999999999E-2</v>
      </c>
      <c r="CC55" s="197">
        <f>Storage_Reconciled_prod!CC55*Storage_Reconciled_prod!$A$44+Storage_rounded_off_prod!CC55*Storage_rounded_off_prod!$A$44</f>
        <v>8.0000000000000002E-3</v>
      </c>
      <c r="CD55" s="197">
        <f>Storage_Reconciled_prod!CD55*Storage_Reconciled_prod!$A$44+Storage_rounded_off_prod!CD55*Storage_rounded_off_prod!$A$44</f>
        <v>0.01</v>
      </c>
      <c r="CE55" s="197">
        <f>Storage_Reconciled_prod!CE55*Storage_Reconciled_prod!$A$44+Storage_rounded_off_prod!CE55*Storage_rounded_off_prod!$A$44</f>
        <v>0.01</v>
      </c>
      <c r="CF55" s="197">
        <f>Storage_Reconciled_prod!CF55*Storage_Reconciled_prod!$A$44+Storage_rounded_off_prod!CF55*Storage_rounded_off_prod!$A$44</f>
        <v>2.8000000000000004E-2</v>
      </c>
      <c r="CG55" s="197">
        <f>Storage_Reconciled_prod!CG55*Storage_Reconciled_prod!$A$44+Storage_rounded_off_prod!CG55*Storage_rounded_off_prod!$A$44</f>
        <v>1.0999999999999999E-2</v>
      </c>
      <c r="CH55" s="197">
        <f>Storage_Reconciled_prod!CH55*Storage_Reconciled_prod!$A$44+Storage_rounded_off_prod!CH55*Storage_rounded_off_prod!$A$44</f>
        <v>0</v>
      </c>
      <c r="CI55" s="197">
        <f>Storage_Reconciled_prod!CI55*Storage_Reconciled_prod!$A$44+Storage_rounded_off_prod!CI55*Storage_rounded_off_prod!$A$44</f>
        <v>0</v>
      </c>
      <c r="CJ55" s="197">
        <f>Storage_Reconciled_prod!CJ55*Storage_Reconciled_prod!$A$44+Storage_rounded_off_prod!CJ55*Storage_rounded_off_prod!$A$44</f>
        <v>0</v>
      </c>
      <c r="CK55" s="197">
        <f>Storage_Reconciled_prod!CK55*Storage_Reconciled_prod!$A$44+Storage_rounded_off_prod!CK55*Storage_rounded_off_prod!$A$44</f>
        <v>0</v>
      </c>
      <c r="CL55" s="197">
        <f>Storage_Reconciled_prod!CL55*Storage_Reconciled_prod!$A$44+Storage_rounded_off_prod!CL55*Storage_rounded_off_prod!$A$44</f>
        <v>0</v>
      </c>
      <c r="CM55" s="197">
        <f>Storage_Reconciled_prod!CM55*Storage_Reconciled_prod!$A$44+Storage_rounded_off_prod!CM55*Storage_rounded_off_prod!$A$44</f>
        <v>0</v>
      </c>
      <c r="CN55" s="197">
        <f>Storage_Reconciled_prod!CN55*Storage_Reconciled_prod!$A$44+Storage_rounded_off_prod!CN55*Storage_rounded_off_prod!$A$44</f>
        <v>0</v>
      </c>
      <c r="CO55" s="197">
        <f>Storage_Reconciled_prod!CO55*Storage_Reconciled_prod!$A$44+Storage_rounded_off_prod!CO55*Storage_rounded_off_prod!$A$44</f>
        <v>0</v>
      </c>
      <c r="CP55" s="197">
        <f>Storage_Reconciled_prod!CP55*Storage_Reconciled_prod!$A$44+Storage_rounded_off_prod!CP55*Storage_rounded_off_prod!$A$44</f>
        <v>0</v>
      </c>
      <c r="CQ55" s="197">
        <f>Storage_Reconciled_prod!CQ55*Storage_Reconciled_prod!$A$44+Storage_rounded_off_prod!CQ55*Storage_rounded_off_prod!$A$44</f>
        <v>0</v>
      </c>
      <c r="CR55" s="197">
        <f>Storage_Reconciled_prod!CR55*Storage_Reconciled_prod!$A$44+Storage_rounded_off_prod!CR55*Storage_rounded_off_prod!$A$44</f>
        <v>0</v>
      </c>
      <c r="CS55" s="197">
        <f>Storage_Reconciled_prod!CS55*Storage_Reconciled_prod!$A$44+Storage_rounded_off_prod!CS55*Storage_rounded_off_prod!$A$44</f>
        <v>0</v>
      </c>
      <c r="CT55" s="197">
        <f>Storage_Reconciled_prod!CT55*Storage_Reconciled_prod!$A$44+Storage_rounded_off_prod!CT55*Storage_rounded_off_prod!$A$44</f>
        <v>0</v>
      </c>
      <c r="CU55" s="197">
        <f>Storage_Reconciled_prod!CU55*Storage_Reconciled_prod!$A$44+Storage_rounded_off_prod!CU55*Storage_rounded_off_prod!$A$44</f>
        <v>0</v>
      </c>
    </row>
    <row r="56" spans="1:99">
      <c r="C56">
        <v>12</v>
      </c>
      <c r="D56" s="209" t="s">
        <v>66</v>
      </c>
      <c r="E56" s="197">
        <f>Storage_Reconciled_prod!E56*Storage_Reconciled_prod!$A$44+Storage_rounded_off_prod!E56*Storage_rounded_off_prod!$A$44</f>
        <v>6.5000000000000002E-2</v>
      </c>
      <c r="F56" s="197">
        <f>Storage_Reconciled_prod!F56*Storage_Reconciled_prod!$A$44+Storage_rounded_off_prod!F56*Storage_rounded_off_prod!$A$44</f>
        <v>6.6000000000000003E-2</v>
      </c>
      <c r="G56" s="197">
        <f>Storage_Reconciled_prod!G56*Storage_Reconciled_prod!$A$44+Storage_rounded_off_prod!G56*Storage_rounded_off_prod!$A$44</f>
        <v>5.8000000000000003E-2</v>
      </c>
      <c r="H56" s="197">
        <f>Storage_Reconciled_prod!H56*Storage_Reconciled_prod!$A$44+Storage_rounded_off_prod!H56*Storage_rounded_off_prod!$A$44</f>
        <v>0.189</v>
      </c>
      <c r="I56" s="197">
        <f>Storage_Reconciled_prod!I56*Storage_Reconciled_prod!$A$44+Storage_rounded_off_prod!I56*Storage_rounded_off_prod!$A$44</f>
        <v>6.2E-2</v>
      </c>
      <c r="J56" s="197">
        <f>Storage_Reconciled_prod!J56*Storage_Reconciled_prod!$A$44+Storage_rounded_off_prod!J56*Storage_rounded_off_prod!$A$44</f>
        <v>6.6000000000000003E-2</v>
      </c>
      <c r="K56" s="197">
        <f>Storage_Reconciled_prod!K56*Storage_Reconciled_prod!$A$44+Storage_rounded_off_prod!K56*Storage_rounded_off_prod!$A$44</f>
        <v>6.6000000000000003E-2</v>
      </c>
      <c r="L56" s="197">
        <f>Storage_Reconciled_prod!L56*Storage_Reconciled_prod!$A$44+Storage_rounded_off_prod!L56*Storage_rounded_off_prod!$A$44</f>
        <v>0.19400000000000001</v>
      </c>
      <c r="M56" s="197">
        <f>Storage_Reconciled_prod!M56*Storage_Reconciled_prod!$A$44+Storage_rounded_off_prod!M56*Storage_rounded_off_prod!$A$44</f>
        <v>0.38300000000000001</v>
      </c>
      <c r="N56" s="197">
        <f>Storage_Reconciled_prod!N56*Storage_Reconciled_prod!$A$44+Storage_rounded_off_prod!N56*Storage_rounded_off_prod!$A$44</f>
        <v>6.6000000000000003E-2</v>
      </c>
      <c r="O56" s="197">
        <f>Storage_Reconciled_prod!O56*Storage_Reconciled_prod!$A$44+Storage_rounded_off_prod!O56*Storage_rounded_off_prod!$A$44</f>
        <v>6.2E-2</v>
      </c>
      <c r="P56" s="197">
        <f>Storage_Reconciled_prod!P56*Storage_Reconciled_prod!$A$44+Storage_rounded_off_prod!P56*Storage_rounded_off_prod!$A$44</f>
        <v>6.2E-2</v>
      </c>
      <c r="Q56" s="197">
        <f>Storage_Reconciled_prod!Q56*Storage_Reconciled_prod!$A$44+Storage_rounded_off_prod!Q56*Storage_rounded_off_prod!$A$44</f>
        <v>0.19</v>
      </c>
      <c r="R56" s="197">
        <f>Storage_Reconciled_prod!R56*Storage_Reconciled_prod!$A$44+Storage_rounded_off_prod!R56*Storage_rounded_off_prod!$A$44</f>
        <v>0.57299999999999995</v>
      </c>
      <c r="S56" s="197">
        <f>Storage_Reconciled_prod!S56*Storage_Reconciled_prod!$A$44+Storage_rounded_off_prod!S56*Storage_rounded_off_prod!$A$44</f>
        <v>6.8000000000000005E-2</v>
      </c>
      <c r="T56" s="197">
        <f>Storage_Reconciled_prod!T56*Storage_Reconciled_prod!$A$44+Storage_rounded_off_prod!T56*Storage_rounded_off_prod!$A$44</f>
        <v>4.7E-2</v>
      </c>
      <c r="U56" s="197">
        <f>Storage_Reconciled_prod!U56*Storage_Reconciled_prod!$A$44+Storage_rounded_off_prod!U56*Storage_rounded_off_prod!$A$44</f>
        <v>5.5E-2</v>
      </c>
      <c r="V56" s="197">
        <f>Storage_Reconciled_prod!V56*Storage_Reconciled_prod!$A$44+Storage_rounded_off_prod!V56*Storage_rounded_off_prod!$A$44</f>
        <v>0.17</v>
      </c>
      <c r="W56" s="197">
        <f>Storage_Reconciled_prod!W56*Storage_Reconciled_prod!$A$44+Storage_rounded_off_prod!W56*Storage_rounded_off_prod!$A$44</f>
        <v>0.74299999999999999</v>
      </c>
      <c r="X56" s="197">
        <f>Storage_Reconciled_prod!X56*Storage_Reconciled_prod!$A$44+Storage_rounded_off_prod!X56*Storage_rounded_off_prod!$A$44</f>
        <v>0.06</v>
      </c>
      <c r="Y56" s="197">
        <f>Storage_Reconciled_prod!Y56*Storage_Reconciled_prod!$A$44+Storage_rounded_off_prod!Y56*Storage_rounded_off_prod!$A$44</f>
        <v>5.7000000000000002E-2</v>
      </c>
      <c r="Z56" s="197">
        <f>Storage_Reconciled_prod!Z56*Storage_Reconciled_prod!$A$44+Storage_rounded_off_prod!Z56*Storage_rounded_off_prod!$A$44</f>
        <v>5.5E-2</v>
      </c>
      <c r="AA56" s="197">
        <f>Storage_Reconciled_prod!AA56*Storage_Reconciled_prod!$A$44+Storage_rounded_off_prod!AA56*Storage_rounded_off_prod!$A$44</f>
        <v>0.17199999999999999</v>
      </c>
      <c r="AB56" s="197">
        <f>Storage_Reconciled_prod!AB56*Storage_Reconciled_prod!$A$44+Storage_rounded_off_prod!AB56*Storage_rounded_off_prod!$A$44</f>
        <v>5.8000000000000003E-2</v>
      </c>
      <c r="AC56" s="197">
        <f>Storage_Reconciled_prod!AC56*Storage_Reconciled_prod!$A$44+Storage_rounded_off_prod!AC56*Storage_rounded_off_prod!$A$44</f>
        <v>5.8000000000000003E-2</v>
      </c>
      <c r="AD56" s="197">
        <f>Storage_Reconciled_prod!AD56*Storage_Reconciled_prod!$A$44+Storage_rounded_off_prod!AD56*Storage_rounded_off_prod!$A$44</f>
        <v>5.7000000000000002E-2</v>
      </c>
      <c r="AE56" s="197">
        <f>Storage_Reconciled_prod!AE56*Storage_Reconciled_prod!$A$44+Storage_rounded_off_prod!AE56*Storage_rounded_off_prod!$A$44</f>
        <v>0.17300000000000001</v>
      </c>
      <c r="AF56" s="197">
        <f>Storage_Reconciled_prod!AF56*Storage_Reconciled_prod!$A$44+Storage_rounded_off_prod!AF56*Storage_rounded_off_prod!$A$44</f>
        <v>0.34499999999999997</v>
      </c>
      <c r="AG56" s="197">
        <f>Storage_Reconciled_prod!AG56*Storage_Reconciled_prod!$A$44+Storage_rounded_off_prod!AG56*Storage_rounded_off_prod!$A$44</f>
        <v>6.2E-2</v>
      </c>
      <c r="AH56" s="197">
        <f>Storage_Reconciled_prod!AH56*Storage_Reconciled_prod!$A$44+Storage_rounded_off_prod!AH56*Storage_rounded_off_prod!$A$44</f>
        <v>6.0999999999999999E-2</v>
      </c>
      <c r="AI56" s="197">
        <f>Storage_Reconciled_prod!AI56*Storage_Reconciled_prod!$A$44+Storage_rounded_off_prod!AI56*Storage_rounded_off_prod!$A$44</f>
        <v>6.3E-2</v>
      </c>
      <c r="AJ56" s="197">
        <f>Storage_Reconciled_prod!AJ56*Storage_Reconciled_prod!$A$44+Storage_rounded_off_prod!AJ56*Storage_rounded_off_prod!$A$44</f>
        <v>0.186</v>
      </c>
      <c r="AK56" s="197">
        <f>Storage_Reconciled_prod!AK56*Storage_Reconciled_prod!$A$44+Storage_rounded_off_prod!AK56*Storage_rounded_off_prod!$A$44</f>
        <v>0.53099999999999992</v>
      </c>
      <c r="AL56" s="197">
        <f>Storage_Reconciled_prod!AL56*Storage_Reconciled_prod!$A$44+Storage_rounded_off_prod!AL56*Storage_rounded_off_prod!$A$44</f>
        <v>6.5000000000000002E-2</v>
      </c>
      <c r="AM56" s="197">
        <f>Storage_Reconciled_prod!AM56*Storage_Reconciled_prod!$A$44+Storage_rounded_off_prod!AM56*Storage_rounded_off_prod!$A$44</f>
        <v>0.06</v>
      </c>
      <c r="AN56" s="197">
        <f>Storage_Reconciled_prod!AN56*Storage_Reconciled_prod!$A$44+Storage_rounded_off_prod!AN56*Storage_rounded_off_prod!$A$44</f>
        <v>6.8000000000000005E-2</v>
      </c>
      <c r="AO56" s="197">
        <f>Storage_Reconciled_prod!AO56*Storage_Reconciled_prod!$A$44+Storage_rounded_off_prod!AO56*Storage_rounded_off_prod!$A$44</f>
        <v>0.193</v>
      </c>
      <c r="AP56" s="197">
        <f>Storage_Reconciled_prod!AP56*Storage_Reconciled_prod!$A$44+Storage_rounded_off_prod!AP56*Storage_rounded_off_prod!$A$44</f>
        <v>0.72399999999999998</v>
      </c>
      <c r="AQ56" s="197">
        <f>Storage_Reconciled_prod!AQ56*Storage_Reconciled_prod!$A$44+Storage_rounded_off_prod!AQ56*Storage_rounded_off_prod!$A$44</f>
        <v>6.4000000000000001E-2</v>
      </c>
      <c r="AR56" s="197">
        <f>Storage_Reconciled_prod!AR56*Storage_Reconciled_prod!$A$44+Storage_rounded_off_prod!AR56*Storage_rounded_off_prod!$A$44</f>
        <v>3.5999999999999997E-2</v>
      </c>
      <c r="AS56" s="197">
        <f>Storage_Reconciled_prod!AS56*Storage_Reconciled_prod!$A$44+Storage_rounded_off_prod!AS56*Storage_rounded_off_prod!$A$44</f>
        <v>6.4000000000000001E-2</v>
      </c>
      <c r="AT56" s="197">
        <f>Storage_Reconciled_prod!AT56*Storage_Reconciled_prod!$A$44+Storage_rounded_off_prod!AT56*Storage_rounded_off_prod!$A$44</f>
        <v>0.16400000000000001</v>
      </c>
      <c r="AU56" s="197">
        <f>Storage_Reconciled_prod!AU56*Storage_Reconciled_prod!$A$44+Storage_rounded_off_prod!AU56*Storage_rounded_off_prod!$A$44</f>
        <v>6.8000000000000005E-2</v>
      </c>
      <c r="AV56" s="197">
        <f>Storage_Reconciled_prod!AV56*Storage_Reconciled_prod!$A$44+Storage_rounded_off_prod!AV56*Storage_rounded_off_prod!$A$44</f>
        <v>6.9000000000000006E-2</v>
      </c>
      <c r="AW56" s="197">
        <f>Storage_Reconciled_prod!AW56*Storage_Reconciled_prod!$A$44+Storage_rounded_off_prod!AW56*Storage_rounded_off_prod!$A$44</f>
        <v>6.6000000000000003E-2</v>
      </c>
      <c r="AX56" s="197">
        <f>Storage_Reconciled_prod!AX56*Storage_Reconciled_prod!$A$44+Storage_rounded_off_prod!AX56*Storage_rounded_off_prod!$A$44</f>
        <v>0.20300000000000001</v>
      </c>
      <c r="AY56" s="197">
        <f>Storage_Reconciled_prod!AY56*Storage_Reconciled_prod!$A$44+Storage_rounded_off_prod!AY56*Storage_rounded_off_prod!$A$44</f>
        <v>0.36699999999999999</v>
      </c>
      <c r="AZ56" s="197">
        <f>Storage_Reconciled_prod!AZ56*Storage_Reconciled_prod!$A$44+Storage_rounded_off_prod!AZ56*Storage_rounded_off_prod!$A$44</f>
        <v>6.7000000000000004E-2</v>
      </c>
      <c r="BA56" s="197">
        <f>Storage_Reconciled_prod!BA56*Storage_Reconciled_prod!$A$44+Storage_rounded_off_prod!BA56*Storage_rounded_off_prod!$A$44</f>
        <v>6.5000000000000002E-2</v>
      </c>
      <c r="BB56" s="197">
        <f>Storage_Reconciled_prod!BB56*Storage_Reconciled_prod!$A$44+Storage_rounded_off_prod!BB56*Storage_rounded_off_prod!$A$44</f>
        <v>7.0000000000000007E-2</v>
      </c>
      <c r="BC56" s="197">
        <f>Storage_Reconciled_prod!BC56*Storage_Reconciled_prod!$A$44+Storage_rounded_off_prod!BC56*Storage_rounded_off_prod!$A$44</f>
        <v>0.20200000000000001</v>
      </c>
      <c r="BD56" s="197">
        <f>Storage_Reconciled_prod!BD56*Storage_Reconciled_prod!$A$44+Storage_rounded_off_prod!BD56*Storage_rounded_off_prod!$A$44</f>
        <v>0.56899999999999995</v>
      </c>
      <c r="BE56" s="197">
        <f>Storage_Reconciled_prod!BE56*Storage_Reconciled_prod!$A$44+Storage_rounded_off_prod!BE56*Storage_rounded_off_prod!$A$44</f>
        <v>6.7000000000000004E-2</v>
      </c>
      <c r="BF56" s="197">
        <f>Storage_Reconciled_prod!BF56*Storage_Reconciled_prod!$A$44+Storage_rounded_off_prod!BF56*Storage_rounded_off_prod!$A$44</f>
        <v>6.0999999999999999E-2</v>
      </c>
      <c r="BG56" s="197">
        <f>Storage_Reconciled_prod!BG56*Storage_Reconciled_prod!$A$44+Storage_rounded_off_prod!BG56*Storage_rounded_off_prod!$A$44</f>
        <v>6.3E-2</v>
      </c>
      <c r="BH56" s="197">
        <f>Storage_Reconciled_prod!BH56*Storage_Reconciled_prod!$A$44+Storage_rounded_off_prod!BH56*Storage_rounded_off_prod!$A$44</f>
        <v>0.191</v>
      </c>
      <c r="BI56" s="197">
        <f>Storage_Reconciled_prod!BI56*Storage_Reconciled_prod!$A$44+Storage_rounded_off_prod!BI56*Storage_rounded_off_prod!$A$44</f>
        <v>0.76</v>
      </c>
      <c r="BJ56" s="197">
        <f>Storage_Reconciled_prod!BJ56*Storage_Reconciled_prod!$A$44+Storage_rounded_off_prod!BJ56*Storage_rounded_off_prod!$A$44</f>
        <v>5.0999999999999997E-2</v>
      </c>
      <c r="BK56" s="197">
        <f>Storage_Reconciled_prod!BK56*Storage_Reconciled_prod!$A$44+Storage_rounded_off_prod!BK56*Storage_rounded_off_prod!$A$44</f>
        <v>6.7000000000000004E-2</v>
      </c>
      <c r="BL56" s="197">
        <f>Storage_Reconciled_prod!BL56*Storage_Reconciled_prod!$A$44+Storage_rounded_off_prod!BL56*Storage_rounded_off_prod!$A$44</f>
        <v>6.7000000000000004E-2</v>
      </c>
      <c r="BM56" s="197">
        <f>Storage_Reconciled_prod!BM56*Storage_Reconciled_prod!$A$44+Storage_rounded_off_prod!BM56*Storage_rounded_off_prod!$A$44</f>
        <v>0.185</v>
      </c>
      <c r="BN56" s="197">
        <f>Storage_Reconciled_prod!BN56*Storage_Reconciled_prod!$A$44+Storage_rounded_off_prod!BN56*Storage_rounded_off_prod!$A$44</f>
        <v>6.9000000000000006E-2</v>
      </c>
      <c r="BO56" s="197">
        <f>Storage_Reconciled_prod!BO56*Storage_Reconciled_prod!$A$44+Storage_rounded_off_prod!BO56*Storage_rounded_off_prod!$A$44</f>
        <v>7.0999999999999994E-2</v>
      </c>
      <c r="BP56" s="197">
        <f>Storage_Reconciled_prod!BP56*Storage_Reconciled_prod!$A$44+Storage_rounded_off_prod!BP56*Storage_rounded_off_prod!$A$44</f>
        <v>6.6000000000000003E-2</v>
      </c>
      <c r="BQ56" s="197">
        <f>Storage_Reconciled_prod!BQ56*Storage_Reconciled_prod!$A$44+Storage_rounded_off_prod!BQ56*Storage_rounded_off_prod!$A$44</f>
        <v>0.20600000000000002</v>
      </c>
      <c r="BR56" s="197">
        <f>Storage_Reconciled_prod!BR56*Storage_Reconciled_prod!$A$44+Storage_rounded_off_prod!BR56*Storage_rounded_off_prod!$A$44</f>
        <v>0.39100000000000001</v>
      </c>
      <c r="BS56" s="197">
        <f>Storage_Reconciled_prod!BS56*Storage_Reconciled_prod!$A$44+Storage_rounded_off_prod!BS56*Storage_rounded_off_prod!$A$44</f>
        <v>6.9000000000000006E-2</v>
      </c>
      <c r="BT56" s="197">
        <f>Storage_Reconciled_prod!BT56*Storage_Reconciled_prod!$A$44+Storage_rounded_off_prod!BT56*Storage_rounded_off_prod!$A$44</f>
        <v>6.7000000000000004E-2</v>
      </c>
      <c r="BU56" s="197">
        <f>Storage_Reconciled_prod!BU56*Storage_Reconciled_prod!$A$44+Storage_rounded_off_prod!BU56*Storage_rounded_off_prod!$A$44</f>
        <v>6.6000000000000003E-2</v>
      </c>
      <c r="BV56" s="197">
        <f>Storage_Reconciled_prod!BV56*Storage_Reconciled_prod!$A$44+Storage_rounded_off_prod!BV56*Storage_rounded_off_prod!$A$44</f>
        <v>0.20200000000000001</v>
      </c>
      <c r="BW56" s="197">
        <f>Storage_Reconciled_prod!BW56*Storage_Reconciled_prod!$A$44+Storage_rounded_off_prod!BW56*Storage_rounded_off_prod!$A$44</f>
        <v>0.59299999999999997</v>
      </c>
      <c r="BX56" s="197">
        <f>Storage_Reconciled_prod!BX56*Storage_Reconciled_prod!$A$44+Storage_rounded_off_prod!BX56*Storage_rounded_off_prod!$A$44</f>
        <v>7.3999999999999996E-2</v>
      </c>
      <c r="BY56" s="197">
        <f>Storage_Reconciled_prod!BY56*Storage_Reconciled_prod!$A$44+Storage_rounded_off_prod!BY56*Storage_rounded_off_prod!$A$44</f>
        <v>6.5000000000000002E-2</v>
      </c>
      <c r="BZ56" s="197">
        <f>Storage_Reconciled_prod!BZ56*Storage_Reconciled_prod!$A$44+Storage_rounded_off_prod!BZ56*Storage_rounded_off_prod!$A$44</f>
        <v>1.7000000000000001E-2</v>
      </c>
      <c r="CA56" s="197">
        <f>Storage_Reconciled_prod!CA56*Storage_Reconciled_prod!$A$44+Storage_rounded_off_prod!CA56*Storage_rounded_off_prod!$A$44</f>
        <v>0.15600000000000003</v>
      </c>
      <c r="CB56" s="197">
        <f>Storage_Reconciled_prod!CB56*Storage_Reconciled_prod!$A$44+Storage_rounded_off_prod!CB56*Storage_rounded_off_prod!$A$44</f>
        <v>0.748</v>
      </c>
      <c r="CC56" s="197">
        <f>Storage_Reconciled_prod!CC56*Storage_Reconciled_prod!$A$44+Storage_rounded_off_prod!CC56*Storage_rounded_off_prod!$A$44</f>
        <v>3.7999999999999999E-2</v>
      </c>
      <c r="CD56" s="197">
        <f>Storage_Reconciled_prod!CD56*Storage_Reconciled_prod!$A$44+Storage_rounded_off_prod!CD56*Storage_rounded_off_prod!$A$44</f>
        <v>4.3999999999999997E-2</v>
      </c>
      <c r="CE56" s="197">
        <f>Storage_Reconciled_prod!CE56*Storage_Reconciled_prod!$A$44+Storage_rounded_off_prod!CE56*Storage_rounded_off_prod!$A$44</f>
        <v>6.7000000000000004E-2</v>
      </c>
      <c r="CF56" s="197">
        <f>Storage_Reconciled_prod!CF56*Storage_Reconciled_prod!$A$44+Storage_rounded_off_prod!CF56*Storage_rounded_off_prod!$A$44</f>
        <v>0.14899999999999999</v>
      </c>
      <c r="CG56" s="197">
        <f>Storage_Reconciled_prod!CG56*Storage_Reconciled_prod!$A$44+Storage_rounded_off_prod!CG56*Storage_rounded_off_prod!$A$44</f>
        <v>5.3999999999999999E-2</v>
      </c>
      <c r="CH56" s="197">
        <f>Storage_Reconciled_prod!CH56*Storage_Reconciled_prod!$A$44+Storage_rounded_off_prod!CH56*Storage_rounded_off_prod!$A$44</f>
        <v>0</v>
      </c>
      <c r="CI56" s="197">
        <f>Storage_Reconciled_prod!CI56*Storage_Reconciled_prod!$A$44+Storage_rounded_off_prod!CI56*Storage_rounded_off_prod!$A$44</f>
        <v>0</v>
      </c>
      <c r="CJ56" s="197">
        <f>Storage_Reconciled_prod!CJ56*Storage_Reconciled_prod!$A$44+Storage_rounded_off_prod!CJ56*Storage_rounded_off_prod!$A$44</f>
        <v>0</v>
      </c>
      <c r="CK56" s="197">
        <f>Storage_Reconciled_prod!CK56*Storage_Reconciled_prod!$A$44+Storage_rounded_off_prod!CK56*Storage_rounded_off_prod!$A$44</f>
        <v>0</v>
      </c>
      <c r="CL56" s="197">
        <f>Storage_Reconciled_prod!CL56*Storage_Reconciled_prod!$A$44+Storage_rounded_off_prod!CL56*Storage_rounded_off_prod!$A$44</f>
        <v>0</v>
      </c>
      <c r="CM56" s="197">
        <f>Storage_Reconciled_prod!CM56*Storage_Reconciled_prod!$A$44+Storage_rounded_off_prod!CM56*Storage_rounded_off_prod!$A$44</f>
        <v>0</v>
      </c>
      <c r="CN56" s="197">
        <f>Storage_Reconciled_prod!CN56*Storage_Reconciled_prod!$A$44+Storage_rounded_off_prod!CN56*Storage_rounded_off_prod!$A$44</f>
        <v>0</v>
      </c>
      <c r="CO56" s="197">
        <f>Storage_Reconciled_prod!CO56*Storage_Reconciled_prod!$A$44+Storage_rounded_off_prod!CO56*Storage_rounded_off_prod!$A$44</f>
        <v>0</v>
      </c>
      <c r="CP56" s="197">
        <f>Storage_Reconciled_prod!CP56*Storage_Reconciled_prod!$A$44+Storage_rounded_off_prod!CP56*Storage_rounded_off_prod!$A$44</f>
        <v>0</v>
      </c>
      <c r="CQ56" s="197">
        <f>Storage_Reconciled_prod!CQ56*Storage_Reconciled_prod!$A$44+Storage_rounded_off_prod!CQ56*Storage_rounded_off_prod!$A$44</f>
        <v>0</v>
      </c>
      <c r="CR56" s="197">
        <f>Storage_Reconciled_prod!CR56*Storage_Reconciled_prod!$A$44+Storage_rounded_off_prod!CR56*Storage_rounded_off_prod!$A$44</f>
        <v>0</v>
      </c>
      <c r="CS56" s="197">
        <f>Storage_Reconciled_prod!CS56*Storage_Reconciled_prod!$A$44+Storage_rounded_off_prod!CS56*Storage_rounded_off_prod!$A$44</f>
        <v>0</v>
      </c>
      <c r="CT56" s="197">
        <f>Storage_Reconciled_prod!CT56*Storage_Reconciled_prod!$A$44+Storage_rounded_off_prod!CT56*Storage_rounded_off_prod!$A$44</f>
        <v>0</v>
      </c>
      <c r="CU56" s="197">
        <f>Storage_Reconciled_prod!CU56*Storage_Reconciled_prod!$A$44+Storage_rounded_off_prod!CU56*Storage_rounded_off_prod!$A$44</f>
        <v>0</v>
      </c>
    </row>
    <row r="57" spans="1:99">
      <c r="C57">
        <v>13</v>
      </c>
      <c r="D57" s="209" t="s">
        <v>67</v>
      </c>
      <c r="E57" s="197">
        <f>Storage_Reconciled_prod!E57*Storage_Reconciled_prod!$A$44+Storage_rounded_off_prod!E57*Storage_rounded_off_prod!$A$44</f>
        <v>3.7999999999999999E-2</v>
      </c>
      <c r="F57" s="197">
        <f>Storage_Reconciled_prod!F57*Storage_Reconciled_prod!$A$44+Storage_rounded_off_prod!F57*Storage_rounded_off_prod!$A$44</f>
        <v>4.2000000000000003E-2</v>
      </c>
      <c r="G57" s="197">
        <f>Storage_Reconciled_prod!G57*Storage_Reconciled_prod!$A$44+Storage_rounded_off_prod!G57*Storage_rounded_off_prod!$A$44</f>
        <v>4.2000000000000003E-2</v>
      </c>
      <c r="H57" s="197">
        <f>Storage_Reconciled_prod!H57*Storage_Reconciled_prod!$A$44+Storage_rounded_off_prod!H57*Storage_rounded_off_prod!$A$44</f>
        <v>0.122</v>
      </c>
      <c r="I57" s="197">
        <f>Storage_Reconciled_prod!I57*Storage_Reconciled_prod!$A$44+Storage_rounded_off_prod!I57*Storage_rounded_off_prod!$A$44</f>
        <v>4.9000000000000002E-2</v>
      </c>
      <c r="J57" s="197">
        <f>Storage_Reconciled_prod!J57*Storage_Reconciled_prod!$A$44+Storage_rounded_off_prod!J57*Storage_rounded_off_prod!$A$44</f>
        <v>4.8000000000000001E-2</v>
      </c>
      <c r="K57" s="197">
        <f>Storage_Reconciled_prod!K57*Storage_Reconciled_prod!$A$44+Storage_rounded_off_prod!K57*Storage_rounded_off_prod!$A$44</f>
        <v>4.5999999999999999E-2</v>
      </c>
      <c r="L57" s="197">
        <f>Storage_Reconciled_prod!L57*Storage_Reconciled_prod!$A$44+Storage_rounded_off_prod!L57*Storage_rounded_off_prod!$A$44</f>
        <v>0.14300000000000002</v>
      </c>
      <c r="M57" s="197">
        <f>Storage_Reconciled_prod!M57*Storage_Reconciled_prod!$A$44+Storage_rounded_off_prod!M57*Storage_rounded_off_prod!$A$44</f>
        <v>0.26500000000000001</v>
      </c>
      <c r="N57" s="197">
        <f>Storage_Reconciled_prod!N57*Storage_Reconciled_prod!$A$44+Storage_rounded_off_prod!N57*Storage_rounded_off_prod!$A$44</f>
        <v>3.5999999999999997E-2</v>
      </c>
      <c r="O57" s="197">
        <f>Storage_Reconciled_prod!O57*Storage_Reconciled_prod!$A$44+Storage_rounded_off_prod!O57*Storage_rounded_off_prod!$A$44</f>
        <v>2.9000000000000001E-2</v>
      </c>
      <c r="P57" s="197">
        <f>Storage_Reconciled_prod!P57*Storage_Reconciled_prod!$A$44+Storage_rounded_off_prod!P57*Storage_rounded_off_prod!$A$44</f>
        <v>2.8000000000000001E-2</v>
      </c>
      <c r="Q57" s="197">
        <f>Storage_Reconciled_prod!Q57*Storage_Reconciled_prod!$A$44+Storage_rounded_off_prod!Q57*Storage_rounded_off_prod!$A$44</f>
        <v>9.2999999999999999E-2</v>
      </c>
      <c r="R57" s="197">
        <f>Storage_Reconciled_prod!R57*Storage_Reconciled_prod!$A$44+Storage_rounded_off_prod!R57*Storage_rounded_off_prod!$A$44</f>
        <v>0.35799999999999998</v>
      </c>
      <c r="S57" s="197">
        <f>Storage_Reconciled_prod!S57*Storage_Reconciled_prod!$A$44+Storage_rounded_off_prod!S57*Storage_rounded_off_prod!$A$44</f>
        <v>2.7E-2</v>
      </c>
      <c r="T57" s="197">
        <f>Storage_Reconciled_prod!T57*Storage_Reconciled_prod!$A$44+Storage_rounded_off_prod!T57*Storage_rounded_off_prod!$A$44</f>
        <v>0.03</v>
      </c>
      <c r="U57" s="197">
        <f>Storage_Reconciled_prod!U57*Storage_Reconciled_prod!$A$44+Storage_rounded_off_prod!U57*Storage_rounded_off_prod!$A$44</f>
        <v>4.2000000000000003E-2</v>
      </c>
      <c r="V57" s="197">
        <f>Storage_Reconciled_prod!V57*Storage_Reconciled_prod!$A$44+Storage_rounded_off_prod!V57*Storage_rounded_off_prod!$A$44</f>
        <v>9.9000000000000005E-2</v>
      </c>
      <c r="W57" s="197">
        <f>Storage_Reconciled_prod!W57*Storage_Reconciled_prod!$A$44+Storage_rounded_off_prod!W57*Storage_rounded_off_prod!$A$44</f>
        <v>0.45699999999999996</v>
      </c>
      <c r="X57" s="197">
        <f>Storage_Reconciled_prod!X57*Storage_Reconciled_prod!$A$44+Storage_rounded_off_prod!X57*Storage_rounded_off_prod!$A$44</f>
        <v>4.1000000000000002E-2</v>
      </c>
      <c r="Y57" s="197">
        <f>Storage_Reconciled_prod!Y57*Storage_Reconciled_prod!$A$44+Storage_rounded_off_prod!Y57*Storage_rounded_off_prod!$A$44</f>
        <v>4.4999999999999998E-2</v>
      </c>
      <c r="Z57" s="197">
        <f>Storage_Reconciled_prod!Z57*Storage_Reconciled_prod!$A$44+Storage_rounded_off_prod!Z57*Storage_rounded_off_prod!$A$44</f>
        <v>4.5999999999999999E-2</v>
      </c>
      <c r="AA57" s="197">
        <f>Storage_Reconciled_prod!AA57*Storage_Reconciled_prod!$A$44+Storage_rounded_off_prod!AA57*Storage_rounded_off_prod!$A$44</f>
        <v>0.13200000000000001</v>
      </c>
      <c r="AB57" s="197">
        <f>Storage_Reconciled_prod!AB57*Storage_Reconciled_prod!$A$44+Storage_rounded_off_prod!AB57*Storage_rounded_off_prod!$A$44</f>
        <v>4.7E-2</v>
      </c>
      <c r="AC57" s="197">
        <f>Storage_Reconciled_prod!AC57*Storage_Reconciled_prod!$A$44+Storage_rounded_off_prod!AC57*Storage_rounded_off_prod!$A$44</f>
        <v>4.7E-2</v>
      </c>
      <c r="AD57" s="197">
        <f>Storage_Reconciled_prod!AD57*Storage_Reconciled_prod!$A$44+Storage_rounded_off_prod!AD57*Storage_rounded_off_prod!$A$44</f>
        <v>4.7E-2</v>
      </c>
      <c r="AE57" s="197">
        <f>Storage_Reconciled_prod!AE57*Storage_Reconciled_prod!$A$44+Storage_rounded_off_prod!AE57*Storage_rounded_off_prod!$A$44</f>
        <v>0.14100000000000001</v>
      </c>
      <c r="AF57" s="197">
        <f>Storage_Reconciled_prod!AF57*Storage_Reconciled_prod!$A$44+Storage_rounded_off_prod!AF57*Storage_rounded_off_prod!$A$44</f>
        <v>0.27300000000000002</v>
      </c>
      <c r="AG57" s="197">
        <f>Storage_Reconciled_prod!AG57*Storage_Reconciled_prod!$A$44+Storage_rounded_off_prod!AG57*Storage_rounded_off_prod!$A$44</f>
        <v>5.1999999999999998E-2</v>
      </c>
      <c r="AH57" s="197">
        <f>Storage_Reconciled_prod!AH57*Storage_Reconciled_prod!$A$44+Storage_rounded_off_prod!AH57*Storage_rounded_off_prod!$A$44</f>
        <v>0.05</v>
      </c>
      <c r="AI57" s="197">
        <f>Storage_Reconciled_prod!AI57*Storage_Reconciled_prod!$A$44+Storage_rounded_off_prod!AI57*Storage_rounded_off_prod!$A$44</f>
        <v>5.0999999999999997E-2</v>
      </c>
      <c r="AJ57" s="197">
        <f>Storage_Reconciled_prod!AJ57*Storage_Reconciled_prod!$A$44+Storage_rounded_off_prod!AJ57*Storage_rounded_off_prod!$A$44</f>
        <v>0.153</v>
      </c>
      <c r="AK57" s="197">
        <f>Storage_Reconciled_prod!AK57*Storage_Reconciled_prod!$A$44+Storage_rounded_off_prod!AK57*Storage_rounded_off_prod!$A$44</f>
        <v>0.42600000000000005</v>
      </c>
      <c r="AL57" s="197">
        <f>Storage_Reconciled_prod!AL57*Storage_Reconciled_prod!$A$44+Storage_rounded_off_prod!AL57*Storage_rounded_off_prod!$A$44</f>
        <v>5.2999999999999999E-2</v>
      </c>
      <c r="AM57" s="197">
        <f>Storage_Reconciled_prod!AM57*Storage_Reconciled_prod!$A$44+Storage_rounded_off_prod!AM57*Storage_rounded_off_prod!$A$44</f>
        <v>5.0999999999999997E-2</v>
      </c>
      <c r="AN57" s="197">
        <f>Storage_Reconciled_prod!AN57*Storage_Reconciled_prod!$A$44+Storage_rounded_off_prod!AN57*Storage_rounded_off_prod!$A$44</f>
        <v>5.2999999999999999E-2</v>
      </c>
      <c r="AO57" s="197">
        <f>Storage_Reconciled_prod!AO57*Storage_Reconciled_prod!$A$44+Storage_rounded_off_prod!AO57*Storage_rounded_off_prod!$A$44</f>
        <v>0.157</v>
      </c>
      <c r="AP57" s="197">
        <f>Storage_Reconciled_prod!AP57*Storage_Reconciled_prod!$A$44+Storage_rounded_off_prod!AP57*Storage_rounded_off_prod!$A$44</f>
        <v>0.58300000000000007</v>
      </c>
      <c r="AQ57" s="197">
        <f>Storage_Reconciled_prod!AQ57*Storage_Reconciled_prod!$A$44+Storage_rounded_off_prod!AQ57*Storage_rounded_off_prod!$A$44</f>
        <v>5.2999999999999999E-2</v>
      </c>
      <c r="AR57" s="197">
        <f>Storage_Reconciled_prod!AR57*Storage_Reconciled_prod!$A$44+Storage_rounded_off_prod!AR57*Storage_rounded_off_prod!$A$44</f>
        <v>5.7000000000000002E-2</v>
      </c>
      <c r="AS57" s="197">
        <f>Storage_Reconciled_prod!AS57*Storage_Reconciled_prod!$A$44+Storage_rounded_off_prod!AS57*Storage_rounded_off_prod!$A$44</f>
        <v>5.0999999999999997E-2</v>
      </c>
      <c r="AT57" s="197">
        <f>Storage_Reconciled_prod!AT57*Storage_Reconciled_prod!$A$44+Storage_rounded_off_prod!AT57*Storage_rounded_off_prod!$A$44</f>
        <v>0.161</v>
      </c>
      <c r="AU57" s="197">
        <f>Storage_Reconciled_prod!AU57*Storage_Reconciled_prod!$A$44+Storage_rounded_off_prod!AU57*Storage_rounded_off_prod!$A$44</f>
        <v>5.3999999999999999E-2</v>
      </c>
      <c r="AV57" s="197">
        <f>Storage_Reconciled_prod!AV57*Storage_Reconciled_prod!$A$44+Storage_rounded_off_prod!AV57*Storage_rounded_off_prod!$A$44</f>
        <v>5.2999999999999999E-2</v>
      </c>
      <c r="AW57" s="197">
        <f>Storage_Reconciled_prod!AW57*Storage_Reconciled_prod!$A$44+Storage_rounded_off_prod!AW57*Storage_rounded_off_prod!$A$44</f>
        <v>0.05</v>
      </c>
      <c r="AX57" s="197">
        <f>Storage_Reconciled_prod!AX57*Storage_Reconciled_prod!$A$44+Storage_rounded_off_prod!AX57*Storage_rounded_off_prod!$A$44</f>
        <v>0.157</v>
      </c>
      <c r="AY57" s="197">
        <f>Storage_Reconciled_prod!AY57*Storage_Reconciled_prod!$A$44+Storage_rounded_off_prod!AY57*Storage_rounded_off_prod!$A$44</f>
        <v>0.318</v>
      </c>
      <c r="AZ57" s="197">
        <f>Storage_Reconciled_prod!AZ57*Storage_Reconciled_prod!$A$44+Storage_rounded_off_prod!AZ57*Storage_rounded_off_prod!$A$44</f>
        <v>5.0999999999999997E-2</v>
      </c>
      <c r="BA57" s="197">
        <f>Storage_Reconciled_prod!BA57*Storage_Reconciled_prod!$A$44+Storage_rounded_off_prod!BA57*Storage_rounded_off_prod!$A$44</f>
        <v>5.0999999999999997E-2</v>
      </c>
      <c r="BB57" s="197">
        <f>Storage_Reconciled_prod!BB57*Storage_Reconciled_prod!$A$44+Storage_rounded_off_prod!BB57*Storage_rounded_off_prod!$A$44</f>
        <v>5.3999999999999999E-2</v>
      </c>
      <c r="BC57" s="197">
        <f>Storage_Reconciled_prod!BC57*Storage_Reconciled_prod!$A$44+Storage_rounded_off_prod!BC57*Storage_rounded_off_prod!$A$44</f>
        <v>0.156</v>
      </c>
      <c r="BD57" s="197">
        <f>Storage_Reconciled_prod!BD57*Storage_Reconciled_prod!$A$44+Storage_rounded_off_prod!BD57*Storage_rounded_off_prod!$A$44</f>
        <v>0.47399999999999998</v>
      </c>
      <c r="BE57" s="197">
        <f>Storage_Reconciled_prod!BE57*Storage_Reconciled_prod!$A$44+Storage_rounded_off_prod!BE57*Storage_rounded_off_prod!$A$44</f>
        <v>5.5E-2</v>
      </c>
      <c r="BF57" s="197">
        <f>Storage_Reconciled_prod!BF57*Storage_Reconciled_prod!$A$44+Storage_rounded_off_prod!BF57*Storage_rounded_off_prod!$A$44</f>
        <v>4.7E-2</v>
      </c>
      <c r="BG57" s="197">
        <f>Storage_Reconciled_prod!BG57*Storage_Reconciled_prod!$A$44+Storage_rounded_off_prod!BG57*Storage_rounded_off_prod!$A$44</f>
        <v>5.3999999999999999E-2</v>
      </c>
      <c r="BH57" s="197">
        <f>Storage_Reconciled_prod!BH57*Storage_Reconciled_prod!$A$44+Storage_rounded_off_prod!BH57*Storage_rounded_off_prod!$A$44</f>
        <v>0.156</v>
      </c>
      <c r="BI57" s="197">
        <f>Storage_Reconciled_prod!BI57*Storage_Reconciled_prod!$A$44+Storage_rounded_off_prod!BI57*Storage_rounded_off_prod!$A$44</f>
        <v>0.63</v>
      </c>
      <c r="BJ57" s="197">
        <f>Storage_Reconciled_prod!BJ57*Storage_Reconciled_prod!$A$44+Storage_rounded_off_prod!BJ57*Storage_rounded_off_prod!$A$44</f>
        <v>0.05</v>
      </c>
      <c r="BK57" s="197">
        <f>Storage_Reconciled_prod!BK57*Storage_Reconciled_prod!$A$44+Storage_rounded_off_prod!BK57*Storage_rounded_off_prod!$A$44</f>
        <v>5.5E-2</v>
      </c>
      <c r="BL57" s="197">
        <f>Storage_Reconciled_prod!BL57*Storage_Reconciled_prod!$A$44+Storage_rounded_off_prod!BL57*Storage_rounded_off_prod!$A$44</f>
        <v>5.2999999999999999E-2</v>
      </c>
      <c r="BM57" s="197">
        <f>Storage_Reconciled_prod!BM57*Storage_Reconciled_prod!$A$44+Storage_rounded_off_prod!BM57*Storage_rounded_off_prod!$A$44</f>
        <v>0.158</v>
      </c>
      <c r="BN57" s="197">
        <f>Storage_Reconciled_prod!BN57*Storage_Reconciled_prod!$A$44+Storage_rounded_off_prod!BN57*Storage_rounded_off_prod!$A$44</f>
        <v>5.1999999999999998E-2</v>
      </c>
      <c r="BO57" s="197">
        <f>Storage_Reconciled_prod!BO57*Storage_Reconciled_prod!$A$44+Storage_rounded_off_prod!BO57*Storage_rounded_off_prod!$A$44</f>
        <v>5.0999999999999997E-2</v>
      </c>
      <c r="BP57" s="197">
        <f>Storage_Reconciled_prod!BP57*Storage_Reconciled_prod!$A$44+Storage_rounded_off_prod!BP57*Storage_rounded_off_prod!$A$44</f>
        <v>4.7E-2</v>
      </c>
      <c r="BQ57" s="197">
        <f>Storage_Reconciled_prod!BQ57*Storage_Reconciled_prod!$A$44+Storage_rounded_off_prod!BQ57*Storage_rounded_off_prod!$A$44</f>
        <v>0.15</v>
      </c>
      <c r="BR57" s="197">
        <f>Storage_Reconciled_prod!BR57*Storage_Reconciled_prod!$A$44+Storage_rounded_off_prod!BR57*Storage_rounded_off_prod!$A$44</f>
        <v>0.308</v>
      </c>
      <c r="BS57" s="197">
        <f>Storage_Reconciled_prod!BS57*Storage_Reconciled_prod!$A$44+Storage_rounded_off_prod!BS57*Storage_rounded_off_prod!$A$44</f>
        <v>5.2999999999999999E-2</v>
      </c>
      <c r="BT57" s="197">
        <f>Storage_Reconciled_prod!BT57*Storage_Reconciled_prod!$A$44+Storage_rounded_off_prod!BT57*Storage_rounded_off_prod!$A$44</f>
        <v>4.1000000000000002E-2</v>
      </c>
      <c r="BU57" s="197">
        <f>Storage_Reconciled_prod!BU57*Storage_Reconciled_prod!$A$44+Storage_rounded_off_prod!BU57*Storage_rounded_off_prod!$A$44</f>
        <v>1.2999999999999999E-2</v>
      </c>
      <c r="BV57" s="197">
        <f>Storage_Reconciled_prod!BV57*Storage_Reconciled_prod!$A$44+Storage_rounded_off_prod!BV57*Storage_rounded_off_prod!$A$44</f>
        <v>0.107</v>
      </c>
      <c r="BW57" s="197">
        <f>Storage_Reconciled_prod!BW57*Storage_Reconciled_prod!$A$44+Storage_rounded_off_prod!BW57*Storage_rounded_off_prod!$A$44</f>
        <v>0.41499999999999998</v>
      </c>
      <c r="BX57" s="197">
        <f>Storage_Reconciled_prod!BX57*Storage_Reconciled_prod!$A$44+Storage_rounded_off_prod!BX57*Storage_rounded_off_prod!$A$44</f>
        <v>5.3999999999999999E-2</v>
      </c>
      <c r="BY57" s="197">
        <f>Storage_Reconciled_prod!BY57*Storage_Reconciled_prod!$A$44+Storage_rounded_off_prod!BY57*Storage_rounded_off_prod!$A$44</f>
        <v>0.05</v>
      </c>
      <c r="BZ57" s="197">
        <f>Storage_Reconciled_prod!BZ57*Storage_Reconciled_prod!$A$44+Storage_rounded_off_prod!BZ57*Storage_rounded_off_prod!$A$44</f>
        <v>5.6000000000000001E-2</v>
      </c>
      <c r="CA57" s="197">
        <f>Storage_Reconciled_prod!CA57*Storage_Reconciled_prod!$A$44+Storage_rounded_off_prod!CA57*Storage_rounded_off_prod!$A$44</f>
        <v>0.16</v>
      </c>
      <c r="CB57" s="197">
        <f>Storage_Reconciled_prod!CB57*Storage_Reconciled_prod!$A$44+Storage_rounded_off_prod!CB57*Storage_rounded_off_prod!$A$44</f>
        <v>0.57499999999999996</v>
      </c>
      <c r="CC57" s="197">
        <f>Storage_Reconciled_prod!CC57*Storage_Reconciled_prod!$A$44+Storage_rounded_off_prod!CC57*Storage_rounded_off_prod!$A$44</f>
        <v>5.5E-2</v>
      </c>
      <c r="CD57" s="197">
        <f>Storage_Reconciled_prod!CD57*Storage_Reconciled_prod!$A$44+Storage_rounded_off_prod!CD57*Storage_rounded_off_prod!$A$44</f>
        <v>5.7000000000000002E-2</v>
      </c>
      <c r="CE57" s="197">
        <f>Storage_Reconciled_prod!CE57*Storage_Reconciled_prod!$A$44+Storage_rounded_off_prod!CE57*Storage_rounded_off_prod!$A$44</f>
        <v>5.1999999999999998E-2</v>
      </c>
      <c r="CF57" s="197">
        <f>Storage_Reconciled_prod!CF57*Storage_Reconciled_prod!$A$44+Storage_rounded_off_prod!CF57*Storage_rounded_off_prod!$A$44</f>
        <v>0.16400000000000001</v>
      </c>
      <c r="CG57" s="197">
        <f>Storage_Reconciled_prod!CG57*Storage_Reconciled_prod!$A$44+Storage_rounded_off_prod!CG57*Storage_rounded_off_prod!$A$44</f>
        <v>5.8999999999999997E-2</v>
      </c>
      <c r="CH57" s="197">
        <f>Storage_Reconciled_prod!CH57*Storage_Reconciled_prod!$A$44+Storage_rounded_off_prod!CH57*Storage_rounded_off_prod!$A$44</f>
        <v>0</v>
      </c>
      <c r="CI57" s="197">
        <f>Storage_Reconciled_prod!CI57*Storage_Reconciled_prod!$A$44+Storage_rounded_off_prod!CI57*Storage_rounded_off_prod!$A$44</f>
        <v>0</v>
      </c>
      <c r="CJ57" s="197">
        <f>Storage_Reconciled_prod!CJ57*Storage_Reconciled_prod!$A$44+Storage_rounded_off_prod!CJ57*Storage_rounded_off_prod!$A$44</f>
        <v>0</v>
      </c>
      <c r="CK57" s="197">
        <f>Storage_Reconciled_prod!CK57*Storage_Reconciled_prod!$A$44+Storage_rounded_off_prod!CK57*Storage_rounded_off_prod!$A$44</f>
        <v>0</v>
      </c>
      <c r="CL57" s="197">
        <f>Storage_Reconciled_prod!CL57*Storage_Reconciled_prod!$A$44+Storage_rounded_off_prod!CL57*Storage_rounded_off_prod!$A$44</f>
        <v>0</v>
      </c>
      <c r="CM57" s="197">
        <f>Storage_Reconciled_prod!CM57*Storage_Reconciled_prod!$A$44+Storage_rounded_off_prod!CM57*Storage_rounded_off_prod!$A$44</f>
        <v>0</v>
      </c>
      <c r="CN57" s="197">
        <f>Storage_Reconciled_prod!CN57*Storage_Reconciled_prod!$A$44+Storage_rounded_off_prod!CN57*Storage_rounded_off_prod!$A$44</f>
        <v>0</v>
      </c>
      <c r="CO57" s="197">
        <f>Storage_Reconciled_prod!CO57*Storage_Reconciled_prod!$A$44+Storage_rounded_off_prod!CO57*Storage_rounded_off_prod!$A$44</f>
        <v>0</v>
      </c>
      <c r="CP57" s="197">
        <f>Storage_Reconciled_prod!CP57*Storage_Reconciled_prod!$A$44+Storage_rounded_off_prod!CP57*Storage_rounded_off_prod!$A$44</f>
        <v>0</v>
      </c>
      <c r="CQ57" s="197">
        <f>Storage_Reconciled_prod!CQ57*Storage_Reconciled_prod!$A$44+Storage_rounded_off_prod!CQ57*Storage_rounded_off_prod!$A$44</f>
        <v>0</v>
      </c>
      <c r="CR57" s="197">
        <f>Storage_Reconciled_prod!CR57*Storage_Reconciled_prod!$A$44+Storage_rounded_off_prod!CR57*Storage_rounded_off_prod!$A$44</f>
        <v>0</v>
      </c>
      <c r="CS57" s="197">
        <f>Storage_Reconciled_prod!CS57*Storage_Reconciled_prod!$A$44+Storage_rounded_off_prod!CS57*Storage_rounded_off_prod!$A$44</f>
        <v>0</v>
      </c>
      <c r="CT57" s="197">
        <f>Storage_Reconciled_prod!CT57*Storage_Reconciled_prod!$A$44+Storage_rounded_off_prod!CT57*Storage_rounded_off_prod!$A$44</f>
        <v>0</v>
      </c>
      <c r="CU57" s="197">
        <f>Storage_Reconciled_prod!CU57*Storage_Reconciled_prod!$A$44+Storage_rounded_off_prod!CU57*Storage_rounded_off_prod!$A$44</f>
        <v>0</v>
      </c>
    </row>
    <row r="58" spans="1:99">
      <c r="C58">
        <v>14</v>
      </c>
      <c r="D58" s="209" t="s">
        <v>68</v>
      </c>
      <c r="E58" s="197">
        <f>Storage_Reconciled_prod!E58*Storage_Reconciled_prod!$A$44+Storage_rounded_off_prod!E58*Storage_rounded_off_prod!$A$44</f>
        <v>5.0000000000000001E-3</v>
      </c>
      <c r="F58" s="197">
        <f>Storage_Reconciled_prod!F58*Storage_Reconciled_prod!$A$44+Storage_rounded_off_prod!F58*Storage_rounded_off_prod!$A$44</f>
        <v>9.9999999999999985E-3</v>
      </c>
      <c r="G58" s="197">
        <f>Storage_Reconciled_prod!G58*Storage_Reconciled_prod!$A$44+Storage_rounded_off_prod!G58*Storage_rounded_off_prod!$A$44</f>
        <v>7.0000000000000001E-3</v>
      </c>
      <c r="H58" s="197">
        <f>Storage_Reconciled_prod!H58*Storage_Reconciled_prod!$A$44+Storage_rounded_off_prod!H58*Storage_rounded_off_prod!$A$44</f>
        <v>2.1999999999999999E-2</v>
      </c>
      <c r="I58" s="197">
        <f>Storage_Reconciled_prod!I58*Storage_Reconciled_prod!$A$44+Storage_rounded_off_prod!I58*Storage_rounded_off_prod!$A$44</f>
        <v>8.9999999999999993E-3</v>
      </c>
      <c r="J58" s="197">
        <f>Storage_Reconciled_prod!J58*Storage_Reconciled_prod!$A$44+Storage_rounded_off_prod!J58*Storage_rounded_off_prod!$A$44</f>
        <v>8.0000000000000002E-3</v>
      </c>
      <c r="K58" s="197">
        <f>Storage_Reconciled_prod!K58*Storage_Reconciled_prod!$A$44+Storage_rounded_off_prod!K58*Storage_rounded_off_prod!$A$44</f>
        <v>3.0000000000000001E-3</v>
      </c>
      <c r="L58" s="197">
        <f>Storage_Reconciled_prod!L58*Storage_Reconciled_prod!$A$44+Storage_rounded_off_prod!L58*Storage_rounded_off_prod!$A$44</f>
        <v>0.02</v>
      </c>
      <c r="M58" s="197">
        <f>Storage_Reconciled_prod!M58*Storage_Reconciled_prod!$A$44+Storage_rounded_off_prod!M58*Storage_rounded_off_prod!$A$44</f>
        <v>4.1999999999999996E-2</v>
      </c>
      <c r="N58" s="197">
        <f>Storage_Reconciled_prod!N58*Storage_Reconciled_prod!$A$44+Storage_rounded_off_prod!N58*Storage_rounded_off_prod!$A$44</f>
        <v>6.0000000000000001E-3</v>
      </c>
      <c r="O58" s="197">
        <f>Storage_Reconciled_prod!O58*Storage_Reconciled_prod!$A$44+Storage_rounded_off_prod!O58*Storage_rounded_off_prod!$A$44</f>
        <v>5.0000000000000001E-3</v>
      </c>
      <c r="P58" s="197">
        <f>Storage_Reconciled_prod!P58*Storage_Reconciled_prod!$A$44+Storage_rounded_off_prod!P58*Storage_rounded_off_prod!$A$44</f>
        <v>1E-3</v>
      </c>
      <c r="Q58" s="197">
        <f>Storage_Reconciled_prod!Q58*Storage_Reconciled_prod!$A$44+Storage_rounded_off_prod!Q58*Storage_rounded_off_prod!$A$44</f>
        <v>1.2E-2</v>
      </c>
      <c r="R58" s="197">
        <f>Storage_Reconciled_prod!R58*Storage_Reconciled_prod!$A$44+Storage_rounded_off_prod!R58*Storage_rounded_off_prod!$A$44</f>
        <v>5.3999999999999992E-2</v>
      </c>
      <c r="S58" s="197">
        <f>Storage_Reconciled_prod!S58*Storage_Reconciled_prod!$A$44+Storage_rounded_off_prod!S58*Storage_rounded_off_prod!$A$44</f>
        <v>0</v>
      </c>
      <c r="T58" s="197">
        <f>Storage_Reconciled_prod!T58*Storage_Reconciled_prod!$A$44+Storage_rounded_off_prod!T58*Storage_rounded_off_prod!$A$44</f>
        <v>0</v>
      </c>
      <c r="U58" s="197">
        <f>Storage_Reconciled_prod!U58*Storage_Reconciled_prod!$A$44+Storage_rounded_off_prod!U58*Storage_rounded_off_prod!$A$44</f>
        <v>4.0000000000000001E-3</v>
      </c>
      <c r="V58" s="197">
        <f>Storage_Reconciled_prod!V58*Storage_Reconciled_prod!$A$44+Storage_rounded_off_prod!V58*Storage_rounded_off_prod!$A$44</f>
        <v>4.0000000000000001E-3</v>
      </c>
      <c r="W58" s="197">
        <f>Storage_Reconciled_prod!W58*Storage_Reconciled_prod!$A$44+Storage_rounded_off_prod!W58*Storage_rounded_off_prod!$A$44</f>
        <v>5.7999999999999996E-2</v>
      </c>
      <c r="X58" s="197">
        <f>Storage_Reconciled_prod!X58*Storage_Reconciled_prod!$A$44+Storage_rounded_off_prod!X58*Storage_rounded_off_prod!$A$44</f>
        <v>7.0000000000000001E-3</v>
      </c>
      <c r="Y58" s="197">
        <f>Storage_Reconciled_prod!Y58*Storage_Reconciled_prod!$A$44+Storage_rounded_off_prod!Y58*Storage_rounded_off_prod!$A$44</f>
        <v>0.01</v>
      </c>
      <c r="Z58" s="197">
        <f>Storage_Reconciled_prod!Z58*Storage_Reconciled_prod!$A$44+Storage_rounded_off_prod!Z58*Storage_rounded_off_prod!$A$44</f>
        <v>7.0000000000000001E-3</v>
      </c>
      <c r="AA58" s="197">
        <f>Storage_Reconciled_prod!AA58*Storage_Reconciled_prod!$A$44+Storage_rounded_off_prod!AA58*Storage_rounded_off_prod!$A$44</f>
        <v>2.4E-2</v>
      </c>
      <c r="AB58" s="197">
        <f>Storage_Reconciled_prod!AB58*Storage_Reconciled_prod!$A$44+Storage_rounded_off_prod!AB58*Storage_rounded_off_prod!$A$44</f>
        <v>8.0000000000000002E-3</v>
      </c>
      <c r="AC58" s="197">
        <f>Storage_Reconciled_prod!AC58*Storage_Reconciled_prod!$A$44+Storage_rounded_off_prod!AC58*Storage_rounded_off_prod!$A$44</f>
        <v>4.0000000000000001E-3</v>
      </c>
      <c r="AD58" s="197">
        <f>Storage_Reconciled_prod!AD58*Storage_Reconciled_prod!$A$44+Storage_rounded_off_prod!AD58*Storage_rounded_off_prod!$A$44</f>
        <v>8.9999999999999993E-3</v>
      </c>
      <c r="AE58" s="197">
        <f>Storage_Reconciled_prod!AE58*Storage_Reconciled_prod!$A$44+Storage_rounded_off_prod!AE58*Storage_rounded_off_prod!$A$44</f>
        <v>2.0999999999999998E-2</v>
      </c>
      <c r="AF58" s="197">
        <f>Storage_Reconciled_prod!AF58*Storage_Reconciled_prod!$A$44+Storage_rounded_off_prod!AF58*Storage_rounded_off_prod!$A$44</f>
        <v>4.4999999999999998E-2</v>
      </c>
      <c r="AG58" s="197">
        <f>Storage_Reconciled_prod!AG58*Storage_Reconciled_prod!$A$44+Storage_rounded_off_prod!AG58*Storage_rounded_off_prod!$A$44</f>
        <v>6.0000000000000001E-3</v>
      </c>
      <c r="AH58" s="197">
        <f>Storage_Reconciled_prod!AH58*Storage_Reconciled_prod!$A$44+Storage_rounded_off_prod!AH58*Storage_rounded_off_prod!$A$44</f>
        <v>6.0000000000000001E-3</v>
      </c>
      <c r="AI58" s="197">
        <f>Storage_Reconciled_prod!AI58*Storage_Reconciled_prod!$A$44+Storage_rounded_off_prod!AI58*Storage_rounded_off_prod!$A$44</f>
        <v>3.0000000000000001E-3</v>
      </c>
      <c r="AJ58" s="197">
        <f>Storage_Reconciled_prod!AJ58*Storage_Reconciled_prod!$A$44+Storage_rounded_off_prod!AJ58*Storage_rounded_off_prod!$A$44</f>
        <v>1.4999999999999999E-2</v>
      </c>
      <c r="AK58" s="197">
        <f>Storage_Reconciled_prod!AK58*Storage_Reconciled_prod!$A$44+Storage_rounded_off_prod!AK58*Storage_rounded_off_prod!$A$44</f>
        <v>0.06</v>
      </c>
      <c r="AL58" s="197">
        <f>Storage_Reconciled_prod!AL58*Storage_Reconciled_prod!$A$44+Storage_rounded_off_prod!AL58*Storage_rounded_off_prod!$A$44</f>
        <v>1E-3</v>
      </c>
      <c r="AM58" s="197">
        <f>Storage_Reconciled_prod!AM58*Storage_Reconciled_prod!$A$44+Storage_rounded_off_prod!AM58*Storage_rounded_off_prod!$A$44</f>
        <v>0</v>
      </c>
      <c r="AN58" s="197">
        <f>Storage_Reconciled_prod!AN58*Storage_Reconciled_prod!$A$44+Storage_rounded_off_prod!AN58*Storage_rounded_off_prod!$A$44</f>
        <v>1.4999999999999999E-2</v>
      </c>
      <c r="AO58" s="197">
        <f>Storage_Reconciled_prod!AO58*Storage_Reconciled_prod!$A$44+Storage_rounded_off_prod!AO58*Storage_rounded_off_prod!$A$44</f>
        <v>1.6E-2</v>
      </c>
      <c r="AP58" s="197">
        <f>Storage_Reconciled_prod!AP58*Storage_Reconciled_prod!$A$44+Storage_rounded_off_prod!AP58*Storage_rounded_off_prod!$A$44</f>
        <v>7.5999999999999998E-2</v>
      </c>
      <c r="AQ58" s="197">
        <f>Storage_Reconciled_prod!AQ58*Storage_Reconciled_prod!$A$44+Storage_rounded_off_prod!AQ58*Storage_rounded_off_prod!$A$44</f>
        <v>1.2999999999999999E-2</v>
      </c>
      <c r="AR58" s="197">
        <f>Storage_Reconciled_prod!AR58*Storage_Reconciled_prod!$A$44+Storage_rounded_off_prod!AR58*Storage_rounded_off_prod!$A$44</f>
        <v>1.7000000000000001E-2</v>
      </c>
      <c r="AS58" s="197">
        <f>Storage_Reconciled_prod!AS58*Storage_Reconciled_prod!$A$44+Storage_rounded_off_prod!AS58*Storage_rounded_off_prod!$A$44</f>
        <v>1.4E-2</v>
      </c>
      <c r="AT58" s="197">
        <f>Storage_Reconciled_prod!AT58*Storage_Reconciled_prod!$A$44+Storage_rounded_off_prod!AT58*Storage_rounded_off_prod!$A$44</f>
        <v>4.3999999999999997E-2</v>
      </c>
      <c r="AU58" s="197">
        <f>Storage_Reconciled_prod!AU58*Storage_Reconciled_prod!$A$44+Storage_rounded_off_prod!AU58*Storage_rounded_off_prod!$A$44</f>
        <v>1.4999999999999999E-2</v>
      </c>
      <c r="AV58" s="197">
        <f>Storage_Reconciled_prod!AV58*Storage_Reconciled_prod!$A$44+Storage_rounded_off_prod!AV58*Storage_rounded_off_prod!$A$44</f>
        <v>1.2999999999999999E-2</v>
      </c>
      <c r="AW58" s="197">
        <f>Storage_Reconciled_prod!AW58*Storage_Reconciled_prod!$A$44+Storage_rounded_off_prod!AW58*Storage_rounded_off_prod!$A$44</f>
        <v>8.9999999999999993E-3</v>
      </c>
      <c r="AX58" s="197">
        <f>Storage_Reconciled_prod!AX58*Storage_Reconciled_prod!$A$44+Storage_rounded_off_prod!AX58*Storage_rounded_off_prod!$A$44</f>
        <v>3.6999999999999998E-2</v>
      </c>
      <c r="AY58" s="197">
        <f>Storage_Reconciled_prod!AY58*Storage_Reconciled_prod!$A$44+Storage_rounded_off_prod!AY58*Storage_rounded_off_prod!$A$44</f>
        <v>8.0999999999999989E-2</v>
      </c>
      <c r="AZ58" s="197">
        <f>Storage_Reconciled_prod!AZ58*Storage_Reconciled_prod!$A$44+Storage_rounded_off_prod!AZ58*Storage_rounded_off_prod!$A$44</f>
        <v>1.0999999999999999E-2</v>
      </c>
      <c r="BA58" s="197">
        <f>Storage_Reconciled_prod!BA58*Storage_Reconciled_prod!$A$44+Storage_rounded_off_prod!BA58*Storage_rounded_off_prod!$A$44</f>
        <v>1.2E-2</v>
      </c>
      <c r="BB58" s="197">
        <f>Storage_Reconciled_prod!BB58*Storage_Reconciled_prod!$A$44+Storage_rounded_off_prod!BB58*Storage_rounded_off_prod!$A$44</f>
        <v>1.2E-2</v>
      </c>
      <c r="BC58" s="197">
        <f>Storage_Reconciled_prod!BC58*Storage_Reconciled_prod!$A$44+Storage_rounded_off_prod!BC58*Storage_rounded_off_prod!$A$44</f>
        <v>3.5000000000000003E-2</v>
      </c>
      <c r="BD58" s="197">
        <f>Storage_Reconciled_prod!BD58*Storage_Reconciled_prod!$A$44+Storage_rounded_off_prod!BD58*Storage_rounded_off_prod!$A$44</f>
        <v>0.11599999999999999</v>
      </c>
      <c r="BE58" s="197">
        <f>Storage_Reconciled_prod!BE58*Storage_Reconciled_prod!$A$44+Storage_rounded_off_prod!BE58*Storage_rounded_off_prod!$A$44</f>
        <v>1.0999999999999999E-2</v>
      </c>
      <c r="BF58" s="197">
        <f>Storage_Reconciled_prod!BF58*Storage_Reconciled_prod!$A$44+Storage_rounded_off_prod!BF58*Storage_rounded_off_prod!$A$44</f>
        <v>0.01</v>
      </c>
      <c r="BG58" s="197">
        <f>Storage_Reconciled_prod!BG58*Storage_Reconciled_prod!$A$44+Storage_rounded_off_prod!BG58*Storage_rounded_off_prod!$A$44</f>
        <v>0.01</v>
      </c>
      <c r="BH58" s="197">
        <f>Storage_Reconciled_prod!BH58*Storage_Reconciled_prod!$A$44+Storage_rounded_off_prod!BH58*Storage_rounded_off_prod!$A$44</f>
        <v>3.1E-2</v>
      </c>
      <c r="BI58" s="197">
        <f>Storage_Reconciled_prod!BI58*Storage_Reconciled_prod!$A$44+Storage_rounded_off_prod!BI58*Storage_rounded_off_prod!$A$44</f>
        <v>0.14699999999999999</v>
      </c>
      <c r="BJ58" s="197">
        <f>Storage_Reconciled_prod!BJ58*Storage_Reconciled_prod!$A$44+Storage_rounded_off_prod!BJ58*Storage_rounded_off_prod!$A$44</f>
        <v>1.0999999999999999E-2</v>
      </c>
      <c r="BK58" s="197">
        <f>Storage_Reconciled_prod!BK58*Storage_Reconciled_prod!$A$44+Storage_rounded_off_prod!BK58*Storage_rounded_off_prod!$A$44</f>
        <v>1.2E-2</v>
      </c>
      <c r="BL58" s="197">
        <f>Storage_Reconciled_prod!BL58*Storage_Reconciled_prod!$A$44+Storage_rounded_off_prod!BL58*Storage_rounded_off_prod!$A$44</f>
        <v>1.2E-2</v>
      </c>
      <c r="BM58" s="197">
        <f>Storage_Reconciled_prod!BM58*Storage_Reconciled_prod!$A$44+Storage_rounded_off_prod!BM58*Storage_rounded_off_prod!$A$44</f>
        <v>3.5000000000000003E-2</v>
      </c>
      <c r="BN58" s="197">
        <f>Storage_Reconciled_prod!BN58*Storage_Reconciled_prod!$A$44+Storage_rounded_off_prod!BN58*Storage_rounded_off_prod!$A$44</f>
        <v>1.2E-2</v>
      </c>
      <c r="BO58" s="197">
        <f>Storage_Reconciled_prod!BO58*Storage_Reconciled_prod!$A$44+Storage_rounded_off_prod!BO58*Storage_rounded_off_prod!$A$44</f>
        <v>1.2999999999999999E-2</v>
      </c>
      <c r="BP58" s="197">
        <f>Storage_Reconciled_prod!BP58*Storage_Reconciled_prod!$A$44+Storage_rounded_off_prod!BP58*Storage_rounded_off_prod!$A$44</f>
        <v>0.01</v>
      </c>
      <c r="BQ58" s="197">
        <f>Storage_Reconciled_prod!BQ58*Storage_Reconciled_prod!$A$44+Storage_rounded_off_prod!BQ58*Storage_rounded_off_prod!$A$44</f>
        <v>3.5000000000000003E-2</v>
      </c>
      <c r="BR58" s="197">
        <f>Storage_Reconciled_prod!BR58*Storage_Reconciled_prod!$A$44+Storage_rounded_off_prod!BR58*Storage_rounded_off_prod!$A$44</f>
        <v>7.0000000000000007E-2</v>
      </c>
      <c r="BS58" s="197">
        <f>Storage_Reconciled_prod!BS58*Storage_Reconciled_prod!$A$44+Storage_rounded_off_prod!BS58*Storage_rounded_off_prod!$A$44</f>
        <v>1.4E-2</v>
      </c>
      <c r="BT58" s="197">
        <f>Storage_Reconciled_prod!BT58*Storage_Reconciled_prod!$A$44+Storage_rounded_off_prod!BT58*Storage_rounded_off_prod!$A$44</f>
        <v>1.2999999999999999E-2</v>
      </c>
      <c r="BU58" s="197">
        <f>Storage_Reconciled_prod!BU58*Storage_Reconciled_prod!$A$44+Storage_rounded_off_prod!BU58*Storage_rounded_off_prod!$A$44</f>
        <v>4.0000000000000001E-3</v>
      </c>
      <c r="BV58" s="197">
        <f>Storage_Reconciled_prod!BV58*Storage_Reconciled_prod!$A$44+Storage_rounded_off_prod!BV58*Storage_rounded_off_prod!$A$44</f>
        <v>3.1E-2</v>
      </c>
      <c r="BW58" s="197">
        <f>Storage_Reconciled_prod!BW58*Storage_Reconciled_prod!$A$44+Storage_rounded_off_prod!BW58*Storage_rounded_off_prod!$A$44</f>
        <v>0.10100000000000001</v>
      </c>
      <c r="BX58" s="197">
        <f>Storage_Reconciled_prod!BX58*Storage_Reconciled_prod!$A$44+Storage_rounded_off_prod!BX58*Storage_rounded_off_prod!$A$44</f>
        <v>0.01</v>
      </c>
      <c r="BY58" s="197">
        <f>Storage_Reconciled_prod!BY58*Storage_Reconciled_prod!$A$44+Storage_rounded_off_prod!BY58*Storage_rounded_off_prod!$A$44</f>
        <v>1.2999999999999999E-2</v>
      </c>
      <c r="BZ58" s="197">
        <f>Storage_Reconciled_prod!BZ58*Storage_Reconciled_prod!$A$44+Storage_rounded_off_prod!BZ58*Storage_rounded_off_prod!$A$44</f>
        <v>1.2E-2</v>
      </c>
      <c r="CA58" s="197">
        <f>Storage_Reconciled_prod!CA58*Storage_Reconciled_prod!$A$44+Storage_rounded_off_prod!CA58*Storage_rounded_off_prod!$A$44</f>
        <v>3.5000000000000003E-2</v>
      </c>
      <c r="CB58" s="197">
        <f>Storage_Reconciled_prod!CB58*Storage_Reconciled_prod!$A$44+Storage_rounded_off_prod!CB58*Storage_rounded_off_prod!$A$44</f>
        <v>0.13600000000000001</v>
      </c>
      <c r="CC58" s="197">
        <f>Storage_Reconciled_prod!CC58*Storage_Reconciled_prod!$A$44+Storage_rounded_off_prod!CC58*Storage_rounded_off_prod!$A$44</f>
        <v>1.4E-2</v>
      </c>
      <c r="CD58" s="197">
        <f>Storage_Reconciled_prod!CD58*Storage_Reconciled_prod!$A$44+Storage_rounded_off_prod!CD58*Storage_rounded_off_prod!$A$44</f>
        <v>1.4E-2</v>
      </c>
      <c r="CE58" s="197">
        <f>Storage_Reconciled_prod!CE58*Storage_Reconciled_prod!$A$44+Storage_rounded_off_prod!CE58*Storage_rounded_off_prod!$A$44</f>
        <v>1.2999999999999999E-2</v>
      </c>
      <c r="CF58" s="197">
        <f>Storage_Reconciled_prod!CF58*Storage_Reconciled_prod!$A$44+Storage_rounded_off_prod!CF58*Storage_rounded_off_prod!$A$44</f>
        <v>4.1000000000000002E-2</v>
      </c>
      <c r="CG58" s="197">
        <f>Storage_Reconciled_prod!CG58*Storage_Reconciled_prod!$A$44+Storage_rounded_off_prod!CG58*Storage_rounded_off_prod!$A$44</f>
        <v>1.2999999999999999E-2</v>
      </c>
      <c r="CH58" s="197">
        <f>Storage_Reconciled_prod!CH58*Storage_Reconciled_prod!$A$44+Storage_rounded_off_prod!CH58*Storage_rounded_off_prod!$A$44</f>
        <v>0</v>
      </c>
      <c r="CI58" s="197">
        <f>Storage_Reconciled_prod!CI58*Storage_Reconciled_prod!$A$44+Storage_rounded_off_prod!CI58*Storage_rounded_off_prod!$A$44</f>
        <v>0</v>
      </c>
      <c r="CJ58" s="197">
        <f>Storage_Reconciled_prod!CJ58*Storage_Reconciled_prod!$A$44+Storage_rounded_off_prod!CJ58*Storage_rounded_off_prod!$A$44</f>
        <v>0</v>
      </c>
      <c r="CK58" s="197">
        <f>Storage_Reconciled_prod!CK58*Storage_Reconciled_prod!$A$44+Storage_rounded_off_prod!CK58*Storage_rounded_off_prod!$A$44</f>
        <v>0</v>
      </c>
      <c r="CL58" s="197">
        <f>Storage_Reconciled_prod!CL58*Storage_Reconciled_prod!$A$44+Storage_rounded_off_prod!CL58*Storage_rounded_off_prod!$A$44</f>
        <v>0</v>
      </c>
      <c r="CM58" s="197">
        <f>Storage_Reconciled_prod!CM58*Storage_Reconciled_prod!$A$44+Storage_rounded_off_prod!CM58*Storage_rounded_off_prod!$A$44</f>
        <v>0</v>
      </c>
      <c r="CN58" s="197">
        <f>Storage_Reconciled_prod!CN58*Storage_Reconciled_prod!$A$44+Storage_rounded_off_prod!CN58*Storage_rounded_off_prod!$A$44</f>
        <v>0</v>
      </c>
      <c r="CO58" s="197">
        <f>Storage_Reconciled_prod!CO58*Storage_Reconciled_prod!$A$44+Storage_rounded_off_prod!CO58*Storage_rounded_off_prod!$A$44</f>
        <v>0</v>
      </c>
      <c r="CP58" s="197">
        <f>Storage_Reconciled_prod!CP58*Storage_Reconciled_prod!$A$44+Storage_rounded_off_prod!CP58*Storage_rounded_off_prod!$A$44</f>
        <v>0</v>
      </c>
      <c r="CQ58" s="197">
        <f>Storage_Reconciled_prod!CQ58*Storage_Reconciled_prod!$A$44+Storage_rounded_off_prod!CQ58*Storage_rounded_off_prod!$A$44</f>
        <v>0</v>
      </c>
      <c r="CR58" s="197">
        <f>Storage_Reconciled_prod!CR58*Storage_Reconciled_prod!$A$44+Storage_rounded_off_prod!CR58*Storage_rounded_off_prod!$A$44</f>
        <v>0</v>
      </c>
      <c r="CS58" s="197">
        <f>Storage_Reconciled_prod!CS58*Storage_Reconciled_prod!$A$44+Storage_rounded_off_prod!CS58*Storage_rounded_off_prod!$A$44</f>
        <v>0</v>
      </c>
      <c r="CT58" s="197">
        <f>Storage_Reconciled_prod!CT58*Storage_Reconciled_prod!$A$44+Storage_rounded_off_prod!CT58*Storage_rounded_off_prod!$A$44</f>
        <v>0</v>
      </c>
      <c r="CU58" s="197">
        <f>Storage_Reconciled_prod!CU58*Storage_Reconciled_prod!$A$44+Storage_rounded_off_prod!CU58*Storage_rounded_off_prod!$A$44</f>
        <v>0</v>
      </c>
    </row>
    <row r="59" spans="1:99">
      <c r="C59">
        <v>15</v>
      </c>
      <c r="D59" s="209" t="s">
        <v>69</v>
      </c>
      <c r="E59" s="197">
        <f>Storage_Reconciled_prod!E59*Storage_Reconciled_prod!$A$44+Storage_rounded_off_prod!E59*Storage_rounded_off_prod!$A$44</f>
        <v>0</v>
      </c>
      <c r="F59" s="197">
        <f>Storage_Reconciled_prod!F59*Storage_Reconciled_prod!$A$44+Storage_rounded_off_prod!F59*Storage_rounded_off_prod!$A$44</f>
        <v>1E-3</v>
      </c>
      <c r="G59" s="197">
        <f>Storage_Reconciled_prod!G59*Storage_Reconciled_prod!$A$44+Storage_rounded_off_prod!G59*Storage_rounded_off_prod!$A$44</f>
        <v>1E-3</v>
      </c>
      <c r="H59" s="197">
        <f>Storage_Reconciled_prod!H59*Storage_Reconciled_prod!$A$44+Storage_rounded_off_prod!H59*Storage_rounded_off_prod!$A$44</f>
        <v>2E-3</v>
      </c>
      <c r="I59" s="197">
        <f>Storage_Reconciled_prod!I59*Storage_Reconciled_prod!$A$44+Storage_rounded_off_prod!I59*Storage_rounded_off_prod!$A$44</f>
        <v>0</v>
      </c>
      <c r="J59" s="197">
        <f>Storage_Reconciled_prod!J59*Storage_Reconciled_prod!$A$44+Storage_rounded_off_prod!J59*Storage_rounded_off_prod!$A$44</f>
        <v>1E-3</v>
      </c>
      <c r="K59" s="197">
        <f>Storage_Reconciled_prod!K59*Storage_Reconciled_prod!$A$44+Storage_rounded_off_prod!K59*Storage_rounded_off_prod!$A$44</f>
        <v>0</v>
      </c>
      <c r="L59" s="197">
        <f>Storage_Reconciled_prod!L59*Storage_Reconciled_prod!$A$44+Storage_rounded_off_prod!L59*Storage_rounded_off_prod!$A$44</f>
        <v>1E-3</v>
      </c>
      <c r="M59" s="197">
        <f>Storage_Reconciled_prod!M59*Storage_Reconciled_prod!$A$44+Storage_rounded_off_prod!M59*Storage_rounded_off_prod!$A$44</f>
        <v>3.0000000000000001E-3</v>
      </c>
      <c r="N59" s="197">
        <f>Storage_Reconciled_prod!N59*Storage_Reconciled_prod!$A$44+Storage_rounded_off_prod!N59*Storage_rounded_off_prod!$A$44</f>
        <v>0</v>
      </c>
      <c r="O59" s="197">
        <f>Storage_Reconciled_prod!O59*Storage_Reconciled_prod!$A$44+Storage_rounded_off_prod!O59*Storage_rounded_off_prod!$A$44</f>
        <v>1E-3</v>
      </c>
      <c r="P59" s="197">
        <f>Storage_Reconciled_prod!P59*Storage_Reconciled_prod!$A$44+Storage_rounded_off_prod!P59*Storage_rounded_off_prod!$A$44</f>
        <v>0</v>
      </c>
      <c r="Q59" s="197">
        <f>Storage_Reconciled_prod!Q59*Storage_Reconciled_prod!$A$44+Storage_rounded_off_prod!Q59*Storage_rounded_off_prod!$A$44</f>
        <v>1E-3</v>
      </c>
      <c r="R59" s="197">
        <f>Storage_Reconciled_prod!R59*Storage_Reconciled_prod!$A$44+Storage_rounded_off_prod!R59*Storage_rounded_off_prod!$A$44</f>
        <v>4.0000000000000001E-3</v>
      </c>
      <c r="S59" s="197">
        <f>Storage_Reconciled_prod!S59*Storage_Reconciled_prod!$A$44+Storage_rounded_off_prod!S59*Storage_rounded_off_prod!$A$44</f>
        <v>1E-3</v>
      </c>
      <c r="T59" s="197">
        <f>Storage_Reconciled_prod!T59*Storage_Reconciled_prod!$A$44+Storage_rounded_off_prod!T59*Storage_rounded_off_prod!$A$44</f>
        <v>0</v>
      </c>
      <c r="U59" s="197">
        <f>Storage_Reconciled_prod!U59*Storage_Reconciled_prod!$A$44+Storage_rounded_off_prod!U59*Storage_rounded_off_prod!$A$44</f>
        <v>0</v>
      </c>
      <c r="V59" s="197">
        <f>Storage_Reconciled_prod!V59*Storage_Reconciled_prod!$A$44+Storage_rounded_off_prod!V59*Storage_rounded_off_prod!$A$44</f>
        <v>1E-3</v>
      </c>
      <c r="W59" s="197">
        <f>Storage_Reconciled_prod!W59*Storage_Reconciled_prod!$A$44+Storage_rounded_off_prod!W59*Storage_rounded_off_prod!$A$44</f>
        <v>5.0000000000000001E-3</v>
      </c>
      <c r="X59" s="197">
        <f>Storage_Reconciled_prod!X59*Storage_Reconciled_prod!$A$44+Storage_rounded_off_prod!X59*Storage_rounded_off_prod!$A$44</f>
        <v>0</v>
      </c>
      <c r="Y59" s="197">
        <f>Storage_Reconciled_prod!Y59*Storage_Reconciled_prod!$A$44+Storage_rounded_off_prod!Y59*Storage_rounded_off_prod!$A$44</f>
        <v>1E-3</v>
      </c>
      <c r="Z59" s="197">
        <f>Storage_Reconciled_prod!Z59*Storage_Reconciled_prod!$A$44+Storage_rounded_off_prod!Z59*Storage_rounded_off_prod!$A$44</f>
        <v>0</v>
      </c>
      <c r="AA59" s="197">
        <f>Storage_Reconciled_prod!AA59*Storage_Reconciled_prod!$A$44+Storage_rounded_off_prod!AA59*Storage_rounded_off_prod!$A$44</f>
        <v>1E-3</v>
      </c>
      <c r="AB59" s="197">
        <f>Storage_Reconciled_prod!AB59*Storage_Reconciled_prod!$A$44+Storage_rounded_off_prod!AB59*Storage_rounded_off_prod!$A$44</f>
        <v>0</v>
      </c>
      <c r="AC59" s="197">
        <f>Storage_Reconciled_prod!AC59*Storage_Reconciled_prod!$A$44+Storage_rounded_off_prod!AC59*Storage_rounded_off_prod!$A$44</f>
        <v>0</v>
      </c>
      <c r="AD59" s="197">
        <f>Storage_Reconciled_prod!AD59*Storage_Reconciled_prod!$A$44+Storage_rounded_off_prod!AD59*Storage_rounded_off_prod!$A$44</f>
        <v>1E-3</v>
      </c>
      <c r="AE59" s="197">
        <f>Storage_Reconciled_prod!AE59*Storage_Reconciled_prod!$A$44+Storage_rounded_off_prod!AE59*Storage_rounded_off_prod!$A$44</f>
        <v>1E-3</v>
      </c>
      <c r="AF59" s="197">
        <f>Storage_Reconciled_prod!AF59*Storage_Reconciled_prod!$A$44+Storage_rounded_off_prod!AF59*Storage_rounded_off_prod!$A$44</f>
        <v>2E-3</v>
      </c>
      <c r="AG59" s="197">
        <f>Storage_Reconciled_prod!AG59*Storage_Reconciled_prod!$A$44+Storage_rounded_off_prod!AG59*Storage_rounded_off_prod!$A$44</f>
        <v>0</v>
      </c>
      <c r="AH59" s="197">
        <f>Storage_Reconciled_prod!AH59*Storage_Reconciled_prod!$A$44+Storage_rounded_off_prod!AH59*Storage_rounded_off_prod!$A$44</f>
        <v>0</v>
      </c>
      <c r="AI59" s="197">
        <f>Storage_Reconciled_prod!AI59*Storage_Reconciled_prod!$A$44+Storage_rounded_off_prod!AI59*Storage_rounded_off_prod!$A$44</f>
        <v>1E-3</v>
      </c>
      <c r="AJ59" s="197">
        <f>Storage_Reconciled_prod!AJ59*Storage_Reconciled_prod!$A$44+Storage_rounded_off_prod!AJ59*Storage_rounded_off_prod!$A$44</f>
        <v>1E-3</v>
      </c>
      <c r="AK59" s="197">
        <f>Storage_Reconciled_prod!AK59*Storage_Reconciled_prod!$A$44+Storage_rounded_off_prod!AK59*Storage_rounded_off_prod!$A$44</f>
        <v>3.0000000000000001E-3</v>
      </c>
      <c r="AL59" s="197">
        <f>Storage_Reconciled_prod!AL59*Storage_Reconciled_prod!$A$44+Storage_rounded_off_prod!AL59*Storage_rounded_off_prod!$A$44</f>
        <v>0</v>
      </c>
      <c r="AM59" s="197">
        <f>Storage_Reconciled_prod!AM59*Storage_Reconciled_prod!$A$44+Storage_rounded_off_prod!AM59*Storage_rounded_off_prod!$A$44</f>
        <v>0</v>
      </c>
      <c r="AN59" s="197">
        <f>Storage_Reconciled_prod!AN59*Storage_Reconciled_prod!$A$44+Storage_rounded_off_prod!AN59*Storage_rounded_off_prod!$A$44</f>
        <v>0</v>
      </c>
      <c r="AO59" s="197">
        <f>Storage_Reconciled_prod!AO59*Storage_Reconciled_prod!$A$44+Storage_rounded_off_prod!AO59*Storage_rounded_off_prod!$A$44</f>
        <v>0</v>
      </c>
      <c r="AP59" s="197">
        <f>Storage_Reconciled_prod!AP59*Storage_Reconciled_prod!$A$44+Storage_rounded_off_prod!AP59*Storage_rounded_off_prod!$A$44</f>
        <v>3.0000000000000001E-3</v>
      </c>
      <c r="AQ59" s="197">
        <f>Storage_Reconciled_prod!AQ59*Storage_Reconciled_prod!$A$44+Storage_rounded_off_prod!AQ59*Storage_rounded_off_prod!$A$44</f>
        <v>0</v>
      </c>
      <c r="AR59" s="197">
        <f>Storage_Reconciled_prod!AR59*Storage_Reconciled_prod!$A$44+Storage_rounded_off_prod!AR59*Storage_rounded_off_prod!$A$44</f>
        <v>0</v>
      </c>
      <c r="AS59" s="197">
        <f>Storage_Reconciled_prod!AS59*Storage_Reconciled_prod!$A$44+Storage_rounded_off_prod!AS59*Storage_rounded_off_prod!$A$44</f>
        <v>1E-3</v>
      </c>
      <c r="AT59" s="197">
        <f>Storage_Reconciled_prod!AT59*Storage_Reconciled_prod!$A$44+Storage_rounded_off_prod!AT59*Storage_rounded_off_prod!$A$44</f>
        <v>1E-3</v>
      </c>
      <c r="AU59" s="197">
        <f>Storage_Reconciled_prod!AU59*Storage_Reconciled_prod!$A$44+Storage_rounded_off_prod!AU59*Storage_rounded_off_prod!$A$44</f>
        <v>0</v>
      </c>
      <c r="AV59" s="197">
        <f>Storage_Reconciled_prod!AV59*Storage_Reconciled_prod!$A$44+Storage_rounded_off_prod!AV59*Storage_rounded_off_prod!$A$44</f>
        <v>0</v>
      </c>
      <c r="AW59" s="197">
        <f>Storage_Reconciled_prod!AW59*Storage_Reconciled_prod!$A$44+Storage_rounded_off_prod!AW59*Storage_rounded_off_prod!$A$44</f>
        <v>0</v>
      </c>
      <c r="AX59" s="197">
        <f>Storage_Reconciled_prod!AX59*Storage_Reconciled_prod!$A$44+Storage_rounded_off_prod!AX59*Storage_rounded_off_prod!$A$44</f>
        <v>0</v>
      </c>
      <c r="AY59" s="197">
        <f>Storage_Reconciled_prod!AY59*Storage_Reconciled_prod!$A$44+Storage_rounded_off_prod!AY59*Storage_rounded_off_prod!$A$44</f>
        <v>1E-3</v>
      </c>
      <c r="AZ59" s="197">
        <f>Storage_Reconciled_prod!AZ59*Storage_Reconciled_prod!$A$44+Storage_rounded_off_prod!AZ59*Storage_rounded_off_prod!$A$44</f>
        <v>0</v>
      </c>
      <c r="BA59" s="197">
        <f>Storage_Reconciled_prod!BA59*Storage_Reconciled_prod!$A$44+Storage_rounded_off_prod!BA59*Storage_rounded_off_prod!$A$44</f>
        <v>0</v>
      </c>
      <c r="BB59" s="197">
        <f>Storage_Reconciled_prod!BB59*Storage_Reconciled_prod!$A$44+Storage_rounded_off_prod!BB59*Storage_rounded_off_prod!$A$44</f>
        <v>0</v>
      </c>
      <c r="BC59" s="197">
        <f>Storage_Reconciled_prod!BC59*Storage_Reconciled_prod!$A$44+Storage_rounded_off_prod!BC59*Storage_rounded_off_prod!$A$44</f>
        <v>0</v>
      </c>
      <c r="BD59" s="197">
        <f>Storage_Reconciled_prod!BD59*Storage_Reconciled_prod!$A$44+Storage_rounded_off_prod!BD59*Storage_rounded_off_prod!$A$44</f>
        <v>1E-3</v>
      </c>
      <c r="BE59" s="197">
        <f>Storage_Reconciled_prod!BE59*Storage_Reconciled_prod!$A$44+Storage_rounded_off_prod!BE59*Storage_rounded_off_prod!$A$44</f>
        <v>0</v>
      </c>
      <c r="BF59" s="197">
        <f>Storage_Reconciled_prod!BF59*Storage_Reconciled_prod!$A$44+Storage_rounded_off_prod!BF59*Storage_rounded_off_prod!$A$44</f>
        <v>1E-3</v>
      </c>
      <c r="BG59" s="197">
        <f>Storage_Reconciled_prod!BG59*Storage_Reconciled_prod!$A$44+Storage_rounded_off_prod!BG59*Storage_rounded_off_prod!$A$44</f>
        <v>0</v>
      </c>
      <c r="BH59" s="197">
        <f>Storage_Reconciled_prod!BH59*Storage_Reconciled_prod!$A$44+Storage_rounded_off_prod!BH59*Storage_rounded_off_prod!$A$44</f>
        <v>1E-3</v>
      </c>
      <c r="BI59" s="197">
        <f>Storage_Reconciled_prod!BI59*Storage_Reconciled_prod!$A$44+Storage_rounded_off_prod!BI59*Storage_rounded_off_prod!$A$44</f>
        <v>2E-3</v>
      </c>
      <c r="BJ59" s="197">
        <f>Storage_Reconciled_prod!BJ59*Storage_Reconciled_prod!$A$44+Storage_rounded_off_prod!BJ59*Storage_rounded_off_prod!$A$44</f>
        <v>0</v>
      </c>
      <c r="BK59" s="197">
        <f>Storage_Reconciled_prod!BK59*Storage_Reconciled_prod!$A$44+Storage_rounded_off_prod!BK59*Storage_rounded_off_prod!$A$44</f>
        <v>0</v>
      </c>
      <c r="BL59" s="197">
        <f>Storage_Reconciled_prod!BL59*Storage_Reconciled_prod!$A$44+Storage_rounded_off_prod!BL59*Storage_rounded_off_prod!$A$44</f>
        <v>1E-3</v>
      </c>
      <c r="BM59" s="197">
        <f>Storage_Reconciled_prod!BM59*Storage_Reconciled_prod!$A$44+Storage_rounded_off_prod!BM59*Storage_rounded_off_prod!$A$44</f>
        <v>1E-3</v>
      </c>
      <c r="BN59" s="197">
        <f>Storage_Reconciled_prod!BN59*Storage_Reconciled_prod!$A$44+Storage_rounded_off_prod!BN59*Storage_rounded_off_prod!$A$44</f>
        <v>0</v>
      </c>
      <c r="BO59" s="197">
        <f>Storage_Reconciled_prod!BO59*Storage_Reconciled_prod!$A$44+Storage_rounded_off_prod!BO59*Storage_rounded_off_prod!$A$44</f>
        <v>0</v>
      </c>
      <c r="BP59" s="197">
        <f>Storage_Reconciled_prod!BP59*Storage_Reconciled_prod!$A$44+Storage_rounded_off_prod!BP59*Storage_rounded_off_prod!$A$44</f>
        <v>0</v>
      </c>
      <c r="BQ59" s="197">
        <f>Storage_Reconciled_prod!BQ59*Storage_Reconciled_prod!$A$44+Storage_rounded_off_prod!BQ59*Storage_rounded_off_prod!$A$44</f>
        <v>0</v>
      </c>
      <c r="BR59" s="197">
        <f>Storage_Reconciled_prod!BR59*Storage_Reconciled_prod!$A$44+Storage_rounded_off_prod!BR59*Storage_rounded_off_prod!$A$44</f>
        <v>1E-3</v>
      </c>
      <c r="BS59" s="197">
        <f>Storage_Reconciled_prod!BS59*Storage_Reconciled_prod!$A$44+Storage_rounded_off_prod!BS59*Storage_rounded_off_prod!$A$44</f>
        <v>0</v>
      </c>
      <c r="BT59" s="197">
        <f>Storage_Reconciled_prod!BT59*Storage_Reconciled_prod!$A$44+Storage_rounded_off_prod!BT59*Storage_rounded_off_prod!$A$44</f>
        <v>0</v>
      </c>
      <c r="BU59" s="197">
        <f>Storage_Reconciled_prod!BU59*Storage_Reconciled_prod!$A$44+Storage_rounded_off_prod!BU59*Storage_rounded_off_prod!$A$44</f>
        <v>0</v>
      </c>
      <c r="BV59" s="197">
        <f>Storage_Reconciled_prod!BV59*Storage_Reconciled_prod!$A$44+Storage_rounded_off_prod!BV59*Storage_rounded_off_prod!$A$44</f>
        <v>0</v>
      </c>
      <c r="BW59" s="197">
        <f>Storage_Reconciled_prod!BW59*Storage_Reconciled_prod!$A$44+Storage_rounded_off_prod!BW59*Storage_rounded_off_prod!$A$44</f>
        <v>1E-3</v>
      </c>
      <c r="BX59" s="197">
        <f>Storage_Reconciled_prod!BX59*Storage_Reconciled_prod!$A$44+Storage_rounded_off_prod!BX59*Storage_rounded_off_prod!$A$44</f>
        <v>0</v>
      </c>
      <c r="BY59" s="197">
        <f>Storage_Reconciled_prod!BY59*Storage_Reconciled_prod!$A$44+Storage_rounded_off_prod!BY59*Storage_rounded_off_prod!$A$44</f>
        <v>0</v>
      </c>
      <c r="BZ59" s="197">
        <f>Storage_Reconciled_prod!BZ59*Storage_Reconciled_prod!$A$44+Storage_rounded_off_prod!BZ59*Storage_rounded_off_prod!$A$44</f>
        <v>0</v>
      </c>
      <c r="CA59" s="197">
        <f>Storage_Reconciled_prod!CA59*Storage_Reconciled_prod!$A$44+Storage_rounded_off_prod!CA59*Storage_rounded_off_prod!$A$44</f>
        <v>0</v>
      </c>
      <c r="CB59" s="197">
        <f>Storage_Reconciled_prod!CB59*Storage_Reconciled_prod!$A$44+Storage_rounded_off_prod!CB59*Storage_rounded_off_prod!$A$44</f>
        <v>1E-3</v>
      </c>
      <c r="CC59" s="197">
        <f>Storage_Reconciled_prod!CC59*Storage_Reconciled_prod!$A$44+Storage_rounded_off_prod!CC59*Storage_rounded_off_prod!$A$44</f>
        <v>0</v>
      </c>
      <c r="CD59" s="197">
        <f>Storage_Reconciled_prod!CD59*Storage_Reconciled_prod!$A$44+Storage_rounded_off_prod!CD59*Storage_rounded_off_prod!$A$44</f>
        <v>0</v>
      </c>
      <c r="CE59" s="197">
        <f>Storage_Reconciled_prod!CE59*Storage_Reconciled_prod!$A$44+Storage_rounded_off_prod!CE59*Storage_rounded_off_prod!$A$44</f>
        <v>0</v>
      </c>
      <c r="CF59" s="197">
        <f>Storage_Reconciled_prod!CF59*Storage_Reconciled_prod!$A$44+Storage_rounded_off_prod!CF59*Storage_rounded_off_prod!$A$44</f>
        <v>0</v>
      </c>
      <c r="CG59" s="197">
        <f>Storage_Reconciled_prod!CG59*Storage_Reconciled_prod!$A$44+Storage_rounded_off_prod!CG59*Storage_rounded_off_prod!$A$44</f>
        <v>0</v>
      </c>
      <c r="CH59" s="197">
        <f>Storage_Reconciled_prod!CH59*Storage_Reconciled_prod!$A$44+Storage_rounded_off_prod!CH59*Storage_rounded_off_prod!$A$44</f>
        <v>0</v>
      </c>
      <c r="CI59" s="197">
        <f>Storage_Reconciled_prod!CI59*Storage_Reconciled_prod!$A$44+Storage_rounded_off_prod!CI59*Storage_rounded_off_prod!$A$44</f>
        <v>0</v>
      </c>
      <c r="CJ59" s="197">
        <f>Storage_Reconciled_prod!CJ59*Storage_Reconciled_prod!$A$44+Storage_rounded_off_prod!CJ59*Storage_rounded_off_prod!$A$44</f>
        <v>0</v>
      </c>
      <c r="CK59" s="197">
        <f>Storage_Reconciled_prod!CK59*Storage_Reconciled_prod!$A$44+Storage_rounded_off_prod!CK59*Storage_rounded_off_prod!$A$44</f>
        <v>0</v>
      </c>
      <c r="CL59" s="197">
        <f>Storage_Reconciled_prod!CL59*Storage_Reconciled_prod!$A$44+Storage_rounded_off_prod!CL59*Storage_rounded_off_prod!$A$44</f>
        <v>0</v>
      </c>
      <c r="CM59" s="197">
        <f>Storage_Reconciled_prod!CM59*Storage_Reconciled_prod!$A$44+Storage_rounded_off_prod!CM59*Storage_rounded_off_prod!$A$44</f>
        <v>0</v>
      </c>
      <c r="CN59" s="197">
        <f>Storage_Reconciled_prod!CN59*Storage_Reconciled_prod!$A$44+Storage_rounded_off_prod!CN59*Storage_rounded_off_prod!$A$44</f>
        <v>0</v>
      </c>
      <c r="CO59" s="197">
        <f>Storage_Reconciled_prod!CO59*Storage_Reconciled_prod!$A$44+Storage_rounded_off_prod!CO59*Storage_rounded_off_prod!$A$44</f>
        <v>0</v>
      </c>
      <c r="CP59" s="197">
        <f>Storage_Reconciled_prod!CP59*Storage_Reconciled_prod!$A$44+Storage_rounded_off_prod!CP59*Storage_rounded_off_prod!$A$44</f>
        <v>0</v>
      </c>
      <c r="CQ59" s="197">
        <f>Storage_Reconciled_prod!CQ59*Storage_Reconciled_prod!$A$44+Storage_rounded_off_prod!CQ59*Storage_rounded_off_prod!$A$44</f>
        <v>0</v>
      </c>
      <c r="CR59" s="197">
        <f>Storage_Reconciled_prod!CR59*Storage_Reconciled_prod!$A$44+Storage_rounded_off_prod!CR59*Storage_rounded_off_prod!$A$44</f>
        <v>0</v>
      </c>
      <c r="CS59" s="197">
        <f>Storage_Reconciled_prod!CS59*Storage_Reconciled_prod!$A$44+Storage_rounded_off_prod!CS59*Storage_rounded_off_prod!$A$44</f>
        <v>0</v>
      </c>
      <c r="CT59" s="197">
        <f>Storage_Reconciled_prod!CT59*Storage_Reconciled_prod!$A$44+Storage_rounded_off_prod!CT59*Storage_rounded_off_prod!$A$44</f>
        <v>0</v>
      </c>
      <c r="CU59" s="197">
        <f>Storage_Reconciled_prod!CU59*Storage_Reconciled_prod!$A$44+Storage_rounded_off_prod!CU59*Storage_rounded_off_prod!$A$44</f>
        <v>0</v>
      </c>
    </row>
    <row r="60" spans="1:99">
      <c r="C60">
        <v>16</v>
      </c>
      <c r="D60" s="209" t="s">
        <v>70</v>
      </c>
      <c r="E60" s="197">
        <f>Storage_Reconciled_prod!E60*Storage_Reconciled_prod!$A$44+Storage_rounded_off_prod!E60*Storage_rounded_off_prod!$A$44</f>
        <v>0</v>
      </c>
      <c r="F60" s="197">
        <f>Storage_Reconciled_prod!F60*Storage_Reconciled_prod!$A$44+Storage_rounded_off_prod!F60*Storage_rounded_off_prod!$A$44</f>
        <v>0</v>
      </c>
      <c r="G60" s="197">
        <f>Storage_Reconciled_prod!G60*Storage_Reconciled_prod!$A$44+Storage_rounded_off_prod!G60*Storage_rounded_off_prod!$A$44</f>
        <v>0</v>
      </c>
      <c r="H60" s="197">
        <f>Storage_Reconciled_prod!H60*Storage_Reconciled_prod!$A$44+Storage_rounded_off_prod!H60*Storage_rounded_off_prod!$A$44</f>
        <v>0</v>
      </c>
      <c r="I60" s="197">
        <f>Storage_Reconciled_prod!I60*Storage_Reconciled_prod!$A$44+Storage_rounded_off_prod!I60*Storage_rounded_off_prod!$A$44</f>
        <v>0</v>
      </c>
      <c r="J60" s="197">
        <f>Storage_Reconciled_prod!J60*Storage_Reconciled_prod!$A$44+Storage_rounded_off_prod!J60*Storage_rounded_off_prod!$A$44</f>
        <v>0</v>
      </c>
      <c r="K60" s="197">
        <f>Storage_Reconciled_prod!K60*Storage_Reconciled_prod!$A$44+Storage_rounded_off_prod!K60*Storage_rounded_off_prod!$A$44</f>
        <v>0</v>
      </c>
      <c r="L60" s="197">
        <f>Storage_Reconciled_prod!L60*Storage_Reconciled_prod!$A$44+Storage_rounded_off_prod!L60*Storage_rounded_off_prod!$A$44</f>
        <v>0</v>
      </c>
      <c r="M60" s="197">
        <f>Storage_Reconciled_prod!M60*Storage_Reconciled_prod!$A$44+Storage_rounded_off_prod!M60*Storage_rounded_off_prod!$A$44</f>
        <v>0</v>
      </c>
      <c r="N60" s="197">
        <f>Storage_Reconciled_prod!N60*Storage_Reconciled_prod!$A$44+Storage_rounded_off_prod!N60*Storage_rounded_off_prod!$A$44</f>
        <v>0</v>
      </c>
      <c r="O60" s="197">
        <f>Storage_Reconciled_prod!O60*Storage_Reconciled_prod!$A$44+Storage_rounded_off_prod!O60*Storage_rounded_off_prod!$A$44</f>
        <v>0</v>
      </c>
      <c r="P60" s="197">
        <f>Storage_Reconciled_prod!P60*Storage_Reconciled_prod!$A$44+Storage_rounded_off_prod!P60*Storage_rounded_off_prod!$A$44</f>
        <v>0</v>
      </c>
      <c r="Q60" s="197">
        <f>Storage_Reconciled_prod!Q60*Storage_Reconciled_prod!$A$44+Storage_rounded_off_prod!Q60*Storage_rounded_off_prod!$A$44</f>
        <v>0</v>
      </c>
      <c r="R60" s="197">
        <f>Storage_Reconciled_prod!R60*Storage_Reconciled_prod!$A$44+Storage_rounded_off_prod!R60*Storage_rounded_off_prod!$A$44</f>
        <v>0</v>
      </c>
      <c r="S60" s="197">
        <f>Storage_Reconciled_prod!S60*Storage_Reconciled_prod!$A$44+Storage_rounded_off_prod!S60*Storage_rounded_off_prod!$A$44</f>
        <v>0</v>
      </c>
      <c r="T60" s="197">
        <f>Storage_Reconciled_prod!T60*Storage_Reconciled_prod!$A$44+Storage_rounded_off_prod!T60*Storage_rounded_off_prod!$A$44</f>
        <v>0</v>
      </c>
      <c r="U60" s="197">
        <f>Storage_Reconciled_prod!U60*Storage_Reconciled_prod!$A$44+Storage_rounded_off_prod!U60*Storage_rounded_off_prod!$A$44</f>
        <v>0</v>
      </c>
      <c r="V60" s="197">
        <f>Storage_Reconciled_prod!V60*Storage_Reconciled_prod!$A$44+Storage_rounded_off_prod!V60*Storage_rounded_off_prod!$A$44</f>
        <v>0</v>
      </c>
      <c r="W60" s="197">
        <f>Storage_Reconciled_prod!W60*Storage_Reconciled_prod!$A$44+Storage_rounded_off_prod!W60*Storage_rounded_off_prod!$A$44</f>
        <v>0</v>
      </c>
      <c r="X60" s="197">
        <f>Storage_Reconciled_prod!X60*Storage_Reconciled_prod!$A$44+Storage_rounded_off_prod!X60*Storage_rounded_off_prod!$A$44</f>
        <v>0</v>
      </c>
      <c r="Y60" s="197">
        <f>Storage_Reconciled_prod!Y60*Storage_Reconciled_prod!$A$44+Storage_rounded_off_prod!Y60*Storage_rounded_off_prod!$A$44</f>
        <v>0</v>
      </c>
      <c r="Z60" s="197">
        <f>Storage_Reconciled_prod!Z60*Storage_Reconciled_prod!$A$44+Storage_rounded_off_prod!Z60*Storage_rounded_off_prod!$A$44</f>
        <v>0</v>
      </c>
      <c r="AA60" s="197">
        <f>Storage_Reconciled_prod!AA60*Storage_Reconciled_prod!$A$44+Storage_rounded_off_prod!AA60*Storage_rounded_off_prod!$A$44</f>
        <v>0</v>
      </c>
      <c r="AB60" s="197">
        <f>Storage_Reconciled_prod!AB60*Storage_Reconciled_prod!$A$44+Storage_rounded_off_prod!AB60*Storage_rounded_off_prod!$A$44</f>
        <v>0</v>
      </c>
      <c r="AC60" s="197">
        <f>Storage_Reconciled_prod!AC60*Storage_Reconciled_prod!$A$44+Storage_rounded_off_prod!AC60*Storage_rounded_off_prod!$A$44</f>
        <v>0</v>
      </c>
      <c r="AD60" s="197">
        <f>Storage_Reconciled_prod!AD60*Storage_Reconciled_prod!$A$44+Storage_rounded_off_prod!AD60*Storage_rounded_off_prod!$A$44</f>
        <v>0</v>
      </c>
      <c r="AE60" s="197">
        <f>Storage_Reconciled_prod!AE60*Storage_Reconciled_prod!$A$44+Storage_rounded_off_prod!AE60*Storage_rounded_off_prod!$A$44</f>
        <v>0</v>
      </c>
      <c r="AF60" s="197">
        <f>Storage_Reconciled_prod!AF60*Storage_Reconciled_prod!$A$44+Storage_rounded_off_prod!AF60*Storage_rounded_off_prod!$A$44</f>
        <v>0</v>
      </c>
      <c r="AG60" s="197">
        <f>Storage_Reconciled_prod!AG60*Storage_Reconciled_prod!$A$44+Storage_rounded_off_prod!AG60*Storage_rounded_off_prod!$A$44</f>
        <v>0</v>
      </c>
      <c r="AH60" s="197">
        <f>Storage_Reconciled_prod!AH60*Storage_Reconciled_prod!$A$44+Storage_rounded_off_prod!AH60*Storage_rounded_off_prod!$A$44</f>
        <v>0</v>
      </c>
      <c r="AI60" s="197">
        <f>Storage_Reconciled_prod!AI60*Storage_Reconciled_prod!$A$44+Storage_rounded_off_prod!AI60*Storage_rounded_off_prod!$A$44</f>
        <v>0</v>
      </c>
      <c r="AJ60" s="197">
        <f>Storage_Reconciled_prod!AJ60*Storage_Reconciled_prod!$A$44+Storage_rounded_off_prod!AJ60*Storage_rounded_off_prod!$A$44</f>
        <v>0</v>
      </c>
      <c r="AK60" s="197">
        <f>Storage_Reconciled_prod!AK60*Storage_Reconciled_prod!$A$44+Storage_rounded_off_prod!AK60*Storage_rounded_off_prod!$A$44</f>
        <v>0</v>
      </c>
      <c r="AL60" s="197">
        <f>Storage_Reconciled_prod!AL60*Storage_Reconciled_prod!$A$44+Storage_rounded_off_prod!AL60*Storage_rounded_off_prod!$A$44</f>
        <v>0</v>
      </c>
      <c r="AM60" s="197">
        <f>Storage_Reconciled_prod!AM60*Storage_Reconciled_prod!$A$44+Storage_rounded_off_prod!AM60*Storage_rounded_off_prod!$A$44</f>
        <v>0</v>
      </c>
      <c r="AN60" s="197">
        <f>Storage_Reconciled_prod!AN60*Storage_Reconciled_prod!$A$44+Storage_rounded_off_prod!AN60*Storage_rounded_off_prod!$A$44</f>
        <v>0</v>
      </c>
      <c r="AO60" s="197">
        <f>Storage_Reconciled_prod!AO60*Storage_Reconciled_prod!$A$44+Storage_rounded_off_prod!AO60*Storage_rounded_off_prod!$A$44</f>
        <v>0</v>
      </c>
      <c r="AP60" s="197">
        <f>Storage_Reconciled_prod!AP60*Storage_Reconciled_prod!$A$44+Storage_rounded_off_prod!AP60*Storage_rounded_off_prod!$A$44</f>
        <v>0</v>
      </c>
      <c r="AQ60" s="197">
        <f>Storage_Reconciled_prod!AQ60*Storage_Reconciled_prod!$A$44+Storage_rounded_off_prod!AQ60*Storage_rounded_off_prod!$A$44</f>
        <v>0</v>
      </c>
      <c r="AR60" s="197">
        <f>Storage_Reconciled_prod!AR60*Storage_Reconciled_prod!$A$44+Storage_rounded_off_prod!AR60*Storage_rounded_off_prod!$A$44</f>
        <v>0</v>
      </c>
      <c r="AS60" s="197">
        <f>Storage_Reconciled_prod!AS60*Storage_Reconciled_prod!$A$44+Storage_rounded_off_prod!AS60*Storage_rounded_off_prod!$A$44</f>
        <v>0</v>
      </c>
      <c r="AT60" s="197">
        <f>Storage_Reconciled_prod!AT60*Storage_Reconciled_prod!$A$44+Storage_rounded_off_prod!AT60*Storage_rounded_off_prod!$A$44</f>
        <v>0</v>
      </c>
      <c r="AU60" s="197">
        <f>Storage_Reconciled_prod!AU60*Storage_Reconciled_prod!$A$44+Storage_rounded_off_prod!AU60*Storage_rounded_off_prod!$A$44</f>
        <v>0</v>
      </c>
      <c r="AV60" s="197">
        <f>Storage_Reconciled_prod!AV60*Storage_Reconciled_prod!$A$44+Storage_rounded_off_prod!AV60*Storage_rounded_off_prod!$A$44</f>
        <v>0</v>
      </c>
      <c r="AW60" s="197">
        <f>Storage_Reconciled_prod!AW60*Storage_Reconciled_prod!$A$44+Storage_rounded_off_prod!AW60*Storage_rounded_off_prod!$A$44</f>
        <v>0</v>
      </c>
      <c r="AX60" s="197">
        <f>Storage_Reconciled_prod!AX60*Storage_Reconciled_prod!$A$44+Storage_rounded_off_prod!AX60*Storage_rounded_off_prod!$A$44</f>
        <v>0</v>
      </c>
      <c r="AY60" s="197">
        <f>Storage_Reconciled_prod!AY60*Storage_Reconciled_prod!$A$44+Storage_rounded_off_prod!AY60*Storage_rounded_off_prod!$A$44</f>
        <v>0</v>
      </c>
      <c r="AZ60" s="197">
        <f>Storage_Reconciled_prod!AZ60*Storage_Reconciled_prod!$A$44+Storage_rounded_off_prod!AZ60*Storage_rounded_off_prod!$A$44</f>
        <v>0</v>
      </c>
      <c r="BA60" s="197">
        <f>Storage_Reconciled_prod!BA60*Storage_Reconciled_prod!$A$44+Storage_rounded_off_prod!BA60*Storage_rounded_off_prod!$A$44</f>
        <v>0</v>
      </c>
      <c r="BB60" s="197">
        <f>Storage_Reconciled_prod!BB60*Storage_Reconciled_prod!$A$44+Storage_rounded_off_prod!BB60*Storage_rounded_off_prod!$A$44</f>
        <v>0</v>
      </c>
      <c r="BC60" s="197">
        <f>Storage_Reconciled_prod!BC60*Storage_Reconciled_prod!$A$44+Storage_rounded_off_prod!BC60*Storage_rounded_off_prod!$A$44</f>
        <v>0</v>
      </c>
      <c r="BD60" s="197">
        <f>Storage_Reconciled_prod!BD60*Storage_Reconciled_prod!$A$44+Storage_rounded_off_prod!BD60*Storage_rounded_off_prod!$A$44</f>
        <v>0</v>
      </c>
      <c r="BE60" s="197">
        <f>Storage_Reconciled_prod!BE60*Storage_Reconciled_prod!$A$44+Storage_rounded_off_prod!BE60*Storage_rounded_off_prod!$A$44</f>
        <v>0</v>
      </c>
      <c r="BF60" s="197">
        <f>Storage_Reconciled_prod!BF60*Storage_Reconciled_prod!$A$44+Storage_rounded_off_prod!BF60*Storage_rounded_off_prod!$A$44</f>
        <v>0</v>
      </c>
      <c r="BG60" s="197">
        <f>Storage_Reconciled_prod!BG60*Storage_Reconciled_prod!$A$44+Storage_rounded_off_prod!BG60*Storage_rounded_off_prod!$A$44</f>
        <v>0</v>
      </c>
      <c r="BH60" s="197">
        <f>Storage_Reconciled_prod!BH60*Storage_Reconciled_prod!$A$44+Storage_rounded_off_prod!BH60*Storage_rounded_off_prod!$A$44</f>
        <v>0</v>
      </c>
      <c r="BI60" s="197">
        <f>Storage_Reconciled_prod!BI60*Storage_Reconciled_prod!$A$44+Storage_rounded_off_prod!BI60*Storage_rounded_off_prod!$A$44</f>
        <v>0</v>
      </c>
      <c r="BJ60" s="197">
        <f>Storage_Reconciled_prod!BJ60*Storage_Reconciled_prod!$A$44+Storage_rounded_off_prod!BJ60*Storage_rounded_off_prod!$A$44</f>
        <v>0</v>
      </c>
      <c r="BK60" s="197">
        <f>Storage_Reconciled_prod!BK60*Storage_Reconciled_prod!$A$44+Storage_rounded_off_prod!BK60*Storage_rounded_off_prod!$A$44</f>
        <v>0</v>
      </c>
      <c r="BL60" s="197">
        <f>Storage_Reconciled_prod!BL60*Storage_Reconciled_prod!$A$44+Storage_rounded_off_prod!BL60*Storage_rounded_off_prod!$A$44</f>
        <v>0</v>
      </c>
      <c r="BM60" s="197">
        <f>Storage_Reconciled_prod!BM60*Storage_Reconciled_prod!$A$44+Storage_rounded_off_prod!BM60*Storage_rounded_off_prod!$A$44</f>
        <v>0</v>
      </c>
      <c r="BN60" s="197">
        <f>Storage_Reconciled_prod!BN60*Storage_Reconciled_prod!$A$44+Storage_rounded_off_prod!BN60*Storage_rounded_off_prod!$A$44</f>
        <v>0</v>
      </c>
      <c r="BO60" s="197">
        <f>Storage_Reconciled_prod!BO60*Storage_Reconciled_prod!$A$44+Storage_rounded_off_prod!BO60*Storage_rounded_off_prod!$A$44</f>
        <v>0</v>
      </c>
      <c r="BP60" s="197">
        <f>Storage_Reconciled_prod!BP60*Storage_Reconciled_prod!$A$44+Storage_rounded_off_prod!BP60*Storage_rounded_off_prod!$A$44</f>
        <v>0</v>
      </c>
      <c r="BQ60" s="197">
        <f>Storage_Reconciled_prod!BQ60*Storage_Reconciled_prod!$A$44+Storage_rounded_off_prod!BQ60*Storage_rounded_off_prod!$A$44</f>
        <v>0</v>
      </c>
      <c r="BR60" s="197">
        <f>Storage_Reconciled_prod!BR60*Storage_Reconciled_prod!$A$44+Storage_rounded_off_prod!BR60*Storage_rounded_off_prod!$A$44</f>
        <v>0</v>
      </c>
      <c r="BS60" s="197">
        <f>Storage_Reconciled_prod!BS60*Storage_Reconciled_prod!$A$44+Storage_rounded_off_prod!BS60*Storage_rounded_off_prod!$A$44</f>
        <v>0</v>
      </c>
      <c r="BT60" s="197">
        <f>Storage_Reconciled_prod!BT60*Storage_Reconciled_prod!$A$44+Storage_rounded_off_prod!BT60*Storage_rounded_off_prod!$A$44</f>
        <v>0</v>
      </c>
      <c r="BU60" s="197">
        <f>Storage_Reconciled_prod!BU60*Storage_Reconciled_prod!$A$44+Storage_rounded_off_prod!BU60*Storage_rounded_off_prod!$A$44</f>
        <v>0</v>
      </c>
      <c r="BV60" s="197">
        <f>Storage_Reconciled_prod!BV60*Storage_Reconciled_prod!$A$44+Storage_rounded_off_prod!BV60*Storage_rounded_off_prod!$A$44</f>
        <v>0</v>
      </c>
      <c r="BW60" s="197">
        <f>Storage_Reconciled_prod!BW60*Storage_Reconciled_prod!$A$44+Storage_rounded_off_prod!BW60*Storage_rounded_off_prod!$A$44</f>
        <v>0</v>
      </c>
      <c r="BX60" s="197">
        <f>Storage_Reconciled_prod!BX60*Storage_Reconciled_prod!$A$44+Storage_rounded_off_prod!BX60*Storage_rounded_off_prod!$A$44</f>
        <v>0</v>
      </c>
      <c r="BY60" s="197">
        <f>Storage_Reconciled_prod!BY60*Storage_Reconciled_prod!$A$44+Storage_rounded_off_prod!BY60*Storage_rounded_off_prod!$A$44</f>
        <v>0</v>
      </c>
      <c r="BZ60" s="197">
        <f>Storage_Reconciled_prod!BZ60*Storage_Reconciled_prod!$A$44+Storage_rounded_off_prod!BZ60*Storage_rounded_off_prod!$A$44</f>
        <v>0</v>
      </c>
      <c r="CA60" s="197">
        <f>Storage_Reconciled_prod!CA60*Storage_Reconciled_prod!$A$44+Storage_rounded_off_prod!CA60*Storage_rounded_off_prod!$A$44</f>
        <v>0</v>
      </c>
      <c r="CB60" s="197">
        <f>Storage_Reconciled_prod!CB60*Storage_Reconciled_prod!$A$44+Storage_rounded_off_prod!CB60*Storage_rounded_off_prod!$A$44</f>
        <v>0</v>
      </c>
      <c r="CC60" s="197">
        <f>Storage_Reconciled_prod!CC60*Storage_Reconciled_prod!$A$44+Storage_rounded_off_prod!CC60*Storage_rounded_off_prod!$A$44</f>
        <v>0</v>
      </c>
      <c r="CD60" s="197">
        <f>Storage_Reconciled_prod!CD60*Storage_Reconciled_prod!$A$44+Storage_rounded_off_prod!CD60*Storage_rounded_off_prod!$A$44</f>
        <v>0</v>
      </c>
      <c r="CE60" s="197">
        <f>Storage_Reconciled_prod!CE60*Storage_Reconciled_prod!$A$44+Storage_rounded_off_prod!CE60*Storage_rounded_off_prod!$A$44</f>
        <v>0</v>
      </c>
      <c r="CF60" s="197">
        <f>Storage_Reconciled_prod!CF60*Storage_Reconciled_prod!$A$44+Storage_rounded_off_prod!CF60*Storage_rounded_off_prod!$A$44</f>
        <v>0</v>
      </c>
      <c r="CG60" s="197">
        <f>Storage_Reconciled_prod!CG60*Storage_Reconciled_prod!$A$44+Storage_rounded_off_prod!CG60*Storage_rounded_off_prod!$A$44</f>
        <v>0</v>
      </c>
      <c r="CH60" s="197">
        <f>Storage_Reconciled_prod!CH60*Storage_Reconciled_prod!$A$44+Storage_rounded_off_prod!CH60*Storage_rounded_off_prod!$A$44</f>
        <v>0</v>
      </c>
      <c r="CI60" s="197">
        <f>Storage_Reconciled_prod!CI60*Storage_Reconciled_prod!$A$44+Storage_rounded_off_prod!CI60*Storage_rounded_off_prod!$A$44</f>
        <v>0</v>
      </c>
      <c r="CJ60" s="197">
        <f>Storage_Reconciled_prod!CJ60*Storage_Reconciled_prod!$A$44+Storage_rounded_off_prod!CJ60*Storage_rounded_off_prod!$A$44</f>
        <v>0</v>
      </c>
      <c r="CK60" s="197">
        <f>Storage_Reconciled_prod!CK60*Storage_Reconciled_prod!$A$44+Storage_rounded_off_prod!CK60*Storage_rounded_off_prod!$A$44</f>
        <v>0</v>
      </c>
      <c r="CL60" s="197">
        <f>Storage_Reconciled_prod!CL60*Storage_Reconciled_prod!$A$44+Storage_rounded_off_prod!CL60*Storage_rounded_off_prod!$A$44</f>
        <v>0</v>
      </c>
      <c r="CM60" s="197">
        <f>Storage_Reconciled_prod!CM60*Storage_Reconciled_prod!$A$44+Storage_rounded_off_prod!CM60*Storage_rounded_off_prod!$A$44</f>
        <v>0</v>
      </c>
      <c r="CN60" s="197">
        <f>Storage_Reconciled_prod!CN60*Storage_Reconciled_prod!$A$44+Storage_rounded_off_prod!CN60*Storage_rounded_off_prod!$A$44</f>
        <v>0</v>
      </c>
      <c r="CO60" s="197">
        <f>Storage_Reconciled_prod!CO60*Storage_Reconciled_prod!$A$44+Storage_rounded_off_prod!CO60*Storage_rounded_off_prod!$A$44</f>
        <v>0</v>
      </c>
      <c r="CP60" s="197">
        <f>Storage_Reconciled_prod!CP60*Storage_Reconciled_prod!$A$44+Storage_rounded_off_prod!CP60*Storage_rounded_off_prod!$A$44</f>
        <v>0</v>
      </c>
      <c r="CQ60" s="197">
        <f>Storage_Reconciled_prod!CQ60*Storage_Reconciled_prod!$A$44+Storage_rounded_off_prod!CQ60*Storage_rounded_off_prod!$A$44</f>
        <v>0</v>
      </c>
      <c r="CR60" s="197">
        <f>Storage_Reconciled_prod!CR60*Storage_Reconciled_prod!$A$44+Storage_rounded_off_prod!CR60*Storage_rounded_off_prod!$A$44</f>
        <v>0</v>
      </c>
      <c r="CS60" s="197">
        <f>Storage_Reconciled_prod!CS60*Storage_Reconciled_prod!$A$44+Storage_rounded_off_prod!CS60*Storage_rounded_off_prod!$A$44</f>
        <v>0</v>
      </c>
      <c r="CT60" s="197">
        <f>Storage_Reconciled_prod!CT60*Storage_Reconciled_prod!$A$44+Storage_rounded_off_prod!CT60*Storage_rounded_off_prod!$A$44</f>
        <v>0</v>
      </c>
      <c r="CU60" s="197">
        <f>Storage_Reconciled_prod!CU60*Storage_Reconciled_prod!$A$44+Storage_rounded_off_prod!CU60*Storage_rounded_off_prod!$A$44</f>
        <v>0</v>
      </c>
    </row>
    <row r="61" spans="1:99">
      <c r="C61">
        <v>17</v>
      </c>
      <c r="D61" s="279" t="s">
        <v>828</v>
      </c>
      <c r="E61" s="197">
        <f>Storage_Reconciled_prod!E61*Storage_Reconciled_prod!$A$44+Storage_rounded_off_prod!E61*Storage_rounded_off_prod!$A$44</f>
        <v>0.59500000000000008</v>
      </c>
      <c r="F61" s="197">
        <f>Storage_Reconciled_prod!F61*Storage_Reconciled_prod!$A$44+Storage_rounded_off_prod!F61*Storage_rounded_off_prod!$A$44</f>
        <v>0.49299999999999999</v>
      </c>
      <c r="G61" s="197">
        <f>Storage_Reconciled_prod!G61*Storage_Reconciled_prod!$A$44+Storage_rounded_off_prod!G61*Storage_rounded_off_prod!$A$44</f>
        <v>0.45999999999999996</v>
      </c>
      <c r="H61" s="197">
        <f>Storage_Reconciled_prod!H61*Storage_Reconciled_prod!$A$44+Storage_rounded_off_prod!H61*Storage_rounded_off_prod!$A$44</f>
        <v>1.548</v>
      </c>
      <c r="I61" s="197">
        <f>Storage_Reconciled_prod!I61*Storage_Reconciled_prod!$A$44+Storage_rounded_off_prod!I61*Storage_rounded_off_prod!$A$44</f>
        <v>0.48499999999999999</v>
      </c>
      <c r="J61" s="197">
        <f>Storage_Reconciled_prod!J61*Storage_Reconciled_prod!$A$44+Storage_rounded_off_prod!J61*Storage_rounded_off_prod!$A$44</f>
        <v>0.51800000000000002</v>
      </c>
      <c r="K61" s="197">
        <f>Storage_Reconciled_prod!K61*Storage_Reconciled_prod!$A$44+Storage_rounded_off_prod!K61*Storage_rounded_off_prod!$A$44</f>
        <v>0.48499999999999999</v>
      </c>
      <c r="L61" s="197">
        <f>Storage_Reconciled_prod!L61*Storage_Reconciled_prod!$A$44+Storage_rounded_off_prod!L61*Storage_rounded_off_prod!$A$44</f>
        <v>1.4879999999999998</v>
      </c>
      <c r="M61" s="197">
        <f>Storage_Reconciled_prod!M61*Storage_Reconciled_prod!$A$44+Storage_rounded_off_prod!M61*Storage_rounded_off_prod!$A$44</f>
        <v>3.0359999999999996</v>
      </c>
      <c r="N61" s="197">
        <f>Storage_Reconciled_prod!N61*Storage_Reconciled_prod!$A$44+Storage_rounded_off_prod!N61*Storage_rounded_off_prod!$A$44</f>
        <v>0.50700000000000001</v>
      </c>
      <c r="O61" s="197">
        <f>Storage_Reconciled_prod!O61*Storage_Reconciled_prod!$A$44+Storage_rounded_off_prod!O61*Storage_rounded_off_prod!$A$44</f>
        <v>0.57100000000000006</v>
      </c>
      <c r="P61" s="197">
        <f>Storage_Reconciled_prod!P61*Storage_Reconciled_prod!$A$44+Storage_rounded_off_prod!P61*Storage_rounded_off_prod!$A$44</f>
        <v>0.53800000000000003</v>
      </c>
      <c r="Q61" s="197">
        <f>Storage_Reconciled_prod!Q61*Storage_Reconciled_prod!$A$44+Storage_rounded_off_prod!Q61*Storage_rounded_off_prod!$A$44</f>
        <v>1.6159999999999997</v>
      </c>
      <c r="R61" s="197">
        <f>Storage_Reconciled_prod!R61*Storage_Reconciled_prod!$A$44+Storage_rounded_off_prod!R61*Storage_rounded_off_prod!$A$44</f>
        <v>4.6519999999999992</v>
      </c>
      <c r="S61" s="197">
        <f>Storage_Reconciled_prod!S61*Storage_Reconciled_prod!$A$44+Storage_rounded_off_prod!S61*Storage_rounded_off_prod!$A$44</f>
        <v>0.56000000000000005</v>
      </c>
      <c r="T61" s="197">
        <f>Storage_Reconciled_prod!T61*Storage_Reconciled_prod!$A$44+Storage_rounded_off_prod!T61*Storage_rounded_off_prod!$A$44</f>
        <v>0.54400000000000004</v>
      </c>
      <c r="U61" s="197">
        <f>Storage_Reconciled_prod!U61*Storage_Reconciled_prod!$A$44+Storage_rounded_off_prod!U61*Storage_rounded_off_prod!$A$44</f>
        <v>0.59300000000000008</v>
      </c>
      <c r="V61" s="197">
        <f>Storage_Reconciled_prod!V61*Storage_Reconciled_prod!$A$44+Storage_rounded_off_prod!V61*Storage_rounded_off_prod!$A$44</f>
        <v>1.6969999999999998</v>
      </c>
      <c r="W61" s="197">
        <f>Storage_Reconciled_prod!W61*Storage_Reconciled_prod!$A$44+Storage_rounded_off_prod!W61*Storage_rounded_off_prod!$A$44</f>
        <v>6.3489999999999993</v>
      </c>
      <c r="X61" s="197">
        <f>Storage_Reconciled_prod!X61*Storage_Reconciled_prod!$A$44+Storage_rounded_off_prod!X61*Storage_rounded_off_prod!$A$44</f>
        <v>0.61299999999999999</v>
      </c>
      <c r="Y61" s="197">
        <f>Storage_Reconciled_prod!Y61*Storage_Reconciled_prod!$A$44+Storage_rounded_off_prod!Y61*Storage_rounded_off_prod!$A$44</f>
        <v>0.60500000000000009</v>
      </c>
      <c r="Z61" s="197">
        <f>Storage_Reconciled_prod!Z61*Storage_Reconciled_prod!$A$44+Storage_rounded_off_prod!Z61*Storage_rounded_off_prod!$A$44</f>
        <v>0.59100000000000008</v>
      </c>
      <c r="AA61" s="197">
        <f>Storage_Reconciled_prod!AA61*Storage_Reconciled_prod!$A$44+Storage_rounded_off_prod!AA61*Storage_rounded_off_prod!$A$44</f>
        <v>1.8090000000000002</v>
      </c>
      <c r="AB61" s="197">
        <f>Storage_Reconciled_prod!AB61*Storage_Reconciled_prod!$A$44+Storage_rounded_off_prod!AB61*Storage_rounded_off_prod!$A$44</f>
        <v>0.6170000000000001</v>
      </c>
      <c r="AC61" s="197">
        <f>Storage_Reconciled_prod!AC61*Storage_Reconciled_prod!$A$44+Storage_rounded_off_prod!AC61*Storage_rounded_off_prod!$A$44</f>
        <v>0.59100000000000008</v>
      </c>
      <c r="AD61" s="197">
        <f>Storage_Reconciled_prod!AD61*Storage_Reconciled_prod!$A$44+Storage_rounded_off_prod!AD61*Storage_rounded_off_prod!$A$44</f>
        <v>0.56300000000000006</v>
      </c>
      <c r="AE61" s="197">
        <f>Storage_Reconciled_prod!AE61*Storage_Reconciled_prod!$A$44+Storage_rounded_off_prod!AE61*Storage_rounded_off_prod!$A$44</f>
        <v>1.7709999999999999</v>
      </c>
      <c r="AF61" s="197">
        <f>Storage_Reconciled_prod!AF61*Storage_Reconciled_prod!$A$44+Storage_rounded_off_prod!AF61*Storage_rounded_off_prod!$A$44</f>
        <v>3.5800000000000005</v>
      </c>
      <c r="AG61" s="197">
        <f>Storage_Reconciled_prod!AG61*Storage_Reconciled_prod!$A$44+Storage_rounded_off_prod!AG61*Storage_rounded_off_prod!$A$44</f>
        <v>0.59200000000000008</v>
      </c>
      <c r="AH61" s="197">
        <f>Storage_Reconciled_prod!AH61*Storage_Reconciled_prod!$A$44+Storage_rounded_off_prod!AH61*Storage_rounded_off_prod!$A$44</f>
        <v>0.59900000000000009</v>
      </c>
      <c r="AI61" s="197">
        <f>Storage_Reconciled_prod!AI61*Storage_Reconciled_prod!$A$44+Storage_rounded_off_prod!AI61*Storage_rounded_off_prod!$A$44</f>
        <v>0.62500000000000011</v>
      </c>
      <c r="AJ61" s="197">
        <f>Storage_Reconciled_prod!AJ61*Storage_Reconciled_prod!$A$44+Storage_rounded_off_prod!AJ61*Storage_rounded_off_prod!$A$44</f>
        <v>1.8160000000000003</v>
      </c>
      <c r="AK61" s="197">
        <f>Storage_Reconciled_prod!AK61*Storage_Reconciled_prod!$A$44+Storage_rounded_off_prod!AK61*Storage_rounded_off_prod!$A$44</f>
        <v>5.3960000000000008</v>
      </c>
      <c r="AL61" s="197">
        <f>Storage_Reconciled_prod!AL61*Storage_Reconciled_prod!$A$44+Storage_rounded_off_prod!AL61*Storage_rounded_off_prod!$A$44</f>
        <v>0.6080000000000001</v>
      </c>
      <c r="AM61" s="197">
        <f>Storage_Reconciled_prod!AM61*Storage_Reconciled_prod!$A$44+Storage_rounded_off_prod!AM61*Storage_rounded_off_prod!$A$44</f>
        <v>0.55799999999999994</v>
      </c>
      <c r="AN61" s="197">
        <f>Storage_Reconciled_prod!AN61*Storage_Reconciled_prod!$A$44+Storage_rounded_off_prod!AN61*Storage_rounded_off_prod!$A$44</f>
        <v>0.6160000000000001</v>
      </c>
      <c r="AO61" s="197">
        <f>Storage_Reconciled_prod!AO61*Storage_Reconciled_prod!$A$44+Storage_rounded_off_prod!AO61*Storage_rounded_off_prod!$A$44</f>
        <v>1.782</v>
      </c>
      <c r="AP61" s="197">
        <f>Storage_Reconciled_prod!AP61*Storage_Reconciled_prod!$A$44+Storage_rounded_off_prod!AP61*Storage_rounded_off_prod!$A$44</f>
        <v>7.1780000000000008</v>
      </c>
      <c r="AQ61" s="197">
        <f>Storage_Reconciled_prod!AQ61*Storage_Reconciled_prod!$A$44+Storage_rounded_off_prod!AQ61*Storage_rounded_off_prod!$A$44</f>
        <v>0.60400000000000009</v>
      </c>
      <c r="AR61" s="197">
        <f>Storage_Reconciled_prod!AR61*Storage_Reconciled_prod!$A$44+Storage_rounded_off_prod!AR61*Storage_rounded_off_prod!$A$44</f>
        <v>0.58800000000000008</v>
      </c>
      <c r="AS61" s="197">
        <f>Storage_Reconciled_prod!AS61*Storage_Reconciled_prod!$A$44+Storage_rounded_off_prod!AS61*Storage_rounded_off_prod!$A$44</f>
        <v>0.60100000000000009</v>
      </c>
      <c r="AT61" s="197">
        <f>Storage_Reconciled_prod!AT61*Storage_Reconciled_prod!$A$44+Storage_rounded_off_prod!AT61*Storage_rounded_off_prod!$A$44</f>
        <v>1.7930000000000001</v>
      </c>
      <c r="AU61" s="197">
        <f>Storage_Reconciled_prod!AU61*Storage_Reconciled_prod!$A$44+Storage_rounded_off_prod!AU61*Storage_rounded_off_prod!$A$44</f>
        <v>0.62200000000000011</v>
      </c>
      <c r="AV61" s="197">
        <f>Storage_Reconciled_prod!AV61*Storage_Reconciled_prod!$A$44+Storage_rounded_off_prod!AV61*Storage_rounded_off_prod!$A$44</f>
        <v>0.60699999999999998</v>
      </c>
      <c r="AW61" s="197">
        <f>Storage_Reconciled_prod!AW61*Storage_Reconciled_prod!$A$44+Storage_rounded_off_prod!AW61*Storage_rounded_off_prod!$A$44</f>
        <v>0.59000000000000008</v>
      </c>
      <c r="AX61" s="197">
        <f>Storage_Reconciled_prod!AX61*Storage_Reconciled_prod!$A$44+Storage_rounded_off_prod!AX61*Storage_rounded_off_prod!$A$44</f>
        <v>1.8190000000000002</v>
      </c>
      <c r="AY61" s="197">
        <f>Storage_Reconciled_prod!AY61*Storage_Reconciled_prod!$A$44+Storage_rounded_off_prod!AY61*Storage_rounded_off_prod!$A$44</f>
        <v>3.6120000000000001</v>
      </c>
      <c r="AZ61" s="197">
        <f>Storage_Reconciled_prod!AZ61*Storage_Reconciled_prod!$A$44+Storage_rounded_off_prod!AZ61*Storage_rounded_off_prod!$A$44</f>
        <v>0.59500000000000008</v>
      </c>
      <c r="BA61" s="197">
        <f>Storage_Reconciled_prod!BA61*Storage_Reconciled_prod!$A$44+Storage_rounded_off_prod!BA61*Storage_rounded_off_prod!$A$44</f>
        <v>0.65200000000000002</v>
      </c>
      <c r="BB61" s="197">
        <f>Storage_Reconciled_prod!BB61*Storage_Reconciled_prod!$A$44+Storage_rounded_off_prod!BB61*Storage_rounded_off_prod!$A$44</f>
        <v>0.62000000000000011</v>
      </c>
      <c r="BC61" s="197">
        <f>Storage_Reconciled_prod!BC61*Storage_Reconciled_prod!$A$44+Storage_rounded_off_prod!BC61*Storage_rounded_off_prod!$A$44</f>
        <v>1.8670000000000002</v>
      </c>
      <c r="BD61" s="197">
        <f>Storage_Reconciled_prod!BD61*Storage_Reconciled_prod!$A$44+Storage_rounded_off_prod!BD61*Storage_rounded_off_prod!$A$44</f>
        <v>5.4790000000000001</v>
      </c>
      <c r="BE61" s="197">
        <f>Storage_Reconciled_prod!BE61*Storage_Reconciled_prod!$A$44+Storage_rounded_off_prod!BE61*Storage_rounded_off_prod!$A$44</f>
        <v>0.63300000000000001</v>
      </c>
      <c r="BF61" s="197">
        <f>Storage_Reconciled_prod!BF61*Storage_Reconciled_prod!$A$44+Storage_rounded_off_prod!BF61*Storage_rounded_off_prod!$A$44</f>
        <v>0.55200000000000005</v>
      </c>
      <c r="BG61" s="197">
        <f>Storage_Reconciled_prod!BG61*Storage_Reconciled_prod!$A$44+Storage_rounded_off_prod!BG61*Storage_rounded_off_prod!$A$44</f>
        <v>0.60100000000000009</v>
      </c>
      <c r="BH61" s="197">
        <f>Storage_Reconciled_prod!BH61*Storage_Reconciled_prod!$A$44+Storage_rounded_off_prod!BH61*Storage_rounded_off_prod!$A$44</f>
        <v>1.786</v>
      </c>
      <c r="BI61" s="197">
        <f>Storage_Reconciled_prod!BI61*Storage_Reconciled_prod!$A$44+Storage_rounded_off_prod!BI61*Storage_rounded_off_prod!$A$44</f>
        <v>7.2650000000000006</v>
      </c>
      <c r="BJ61" s="197">
        <f>Storage_Reconciled_prod!BJ61*Storage_Reconciled_prod!$A$44+Storage_rounded_off_prod!BJ61*Storage_rounded_off_prod!$A$44</f>
        <v>0.58600000000000008</v>
      </c>
      <c r="BK61" s="197">
        <f>Storage_Reconciled_prod!BK61*Storage_Reconciled_prod!$A$44+Storage_rounded_off_prod!BK61*Storage_rounded_off_prod!$A$44</f>
        <v>0.59800000000000009</v>
      </c>
      <c r="BL61" s="197">
        <f>Storage_Reconciled_prod!BL61*Storage_Reconciled_prod!$A$44+Storage_rounded_off_prod!BL61*Storage_rounded_off_prod!$A$44</f>
        <v>0.57000000000000006</v>
      </c>
      <c r="BM61" s="197">
        <f>Storage_Reconciled_prod!BM61*Storage_Reconciled_prod!$A$44+Storage_rounded_off_prod!BM61*Storage_rounded_off_prod!$A$44</f>
        <v>1.7539999999999998</v>
      </c>
      <c r="BN61" s="197">
        <f>Storage_Reconciled_prod!BN61*Storage_Reconciled_prod!$A$44+Storage_rounded_off_prod!BN61*Storage_rounded_off_prod!$A$44</f>
        <v>0.60499999999999998</v>
      </c>
      <c r="BO61" s="197">
        <f>Storage_Reconciled_prod!BO61*Storage_Reconciled_prod!$A$44+Storage_rounded_off_prod!BO61*Storage_rounded_off_prod!$A$44</f>
        <v>0.52200000000000002</v>
      </c>
      <c r="BP61" s="197">
        <f>Storage_Reconciled_prod!BP61*Storage_Reconciled_prod!$A$44+Storage_rounded_off_prod!BP61*Storage_rounded_off_prod!$A$44</f>
        <v>0.58600000000000008</v>
      </c>
      <c r="BQ61" s="197">
        <f>Storage_Reconciled_prod!BQ61*Storage_Reconciled_prod!$A$44+Storage_rounded_off_prod!BQ61*Storage_rounded_off_prod!$A$44</f>
        <v>1.7130000000000001</v>
      </c>
      <c r="BR61" s="197">
        <f>Storage_Reconciled_prod!BR61*Storage_Reconciled_prod!$A$44+Storage_rounded_off_prod!BR61*Storage_rounded_off_prod!$A$44</f>
        <v>3.4669999999999996</v>
      </c>
      <c r="BS61" s="197">
        <f>Storage_Reconciled_prod!BS61*Storage_Reconciled_prod!$A$44+Storage_rounded_off_prod!BS61*Storage_rounded_off_prod!$A$44</f>
        <v>0.61</v>
      </c>
      <c r="BT61" s="197">
        <f>Storage_Reconciled_prod!BT61*Storage_Reconciled_prod!$A$44+Storage_rounded_off_prod!BT61*Storage_rounded_off_prod!$A$44</f>
        <v>0.56499999999999995</v>
      </c>
      <c r="BU61" s="197">
        <f>Storage_Reconciled_prod!BU61*Storage_Reconciled_prod!$A$44+Storage_rounded_off_prod!BU61*Storage_rounded_off_prod!$A$44</f>
        <v>0.52700000000000002</v>
      </c>
      <c r="BV61" s="197">
        <f>Storage_Reconciled_prod!BV61*Storage_Reconciled_prod!$A$44+Storage_rounded_off_prod!BV61*Storage_rounded_off_prod!$A$44</f>
        <v>1.702</v>
      </c>
      <c r="BW61" s="197">
        <f>Storage_Reconciled_prod!BW61*Storage_Reconciled_prod!$A$44+Storage_rounded_off_prod!BW61*Storage_rounded_off_prod!$A$44</f>
        <v>5.1689999999999996</v>
      </c>
      <c r="BX61" s="197">
        <f>Storage_Reconciled_prod!BX61*Storage_Reconciled_prod!$A$44+Storage_rounded_off_prod!BX61*Storage_rounded_off_prod!$A$44</f>
        <v>0.59</v>
      </c>
      <c r="BY61" s="197">
        <f>Storage_Reconciled_prod!BY61*Storage_Reconciled_prod!$A$44+Storage_rounded_off_prod!BY61*Storage_rounded_off_prod!$A$44</f>
        <v>0.56299999999999994</v>
      </c>
      <c r="BZ61" s="197">
        <f>Storage_Reconciled_prod!BZ61*Storage_Reconciled_prod!$A$44+Storage_rounded_off_prod!BZ61*Storage_rounded_off_prod!$A$44</f>
        <v>0.58499999999999996</v>
      </c>
      <c r="CA61" s="197">
        <f>Storage_Reconciled_prod!CA61*Storage_Reconciled_prod!$A$44+Storage_rounded_off_prod!CA61*Storage_rounded_off_prod!$A$44</f>
        <v>1.7349999999999999</v>
      </c>
      <c r="CB61" s="197">
        <f>Storage_Reconciled_prod!CB61*Storage_Reconciled_prod!$A$44+Storage_rounded_off_prod!CB61*Storage_rounded_off_prod!$A$44</f>
        <v>6.9080000000000004</v>
      </c>
      <c r="CC61" s="197">
        <f>Storage_Reconciled_prod!CC61*Storage_Reconciled_prod!$A$44+Storage_rounded_off_prod!CC61*Storage_rounded_off_prod!$A$44</f>
        <v>0.58899999999999997</v>
      </c>
      <c r="CD61" s="197">
        <f>Storage_Reconciled_prod!CD61*Storage_Reconciled_prod!$A$44+Storage_rounded_off_prod!CD61*Storage_rounded_off_prod!$A$44</f>
        <v>0.61199999999999999</v>
      </c>
      <c r="CE61" s="197">
        <f>Storage_Reconciled_prod!CE61*Storage_Reconciled_prod!$A$44+Storage_rounded_off_prod!CE61*Storage_rounded_off_prod!$A$44</f>
        <v>0.6</v>
      </c>
      <c r="CF61" s="197">
        <f>Storage_Reconciled_prod!CF61*Storage_Reconciled_prod!$A$44+Storage_rounded_off_prod!CF61*Storage_rounded_off_prod!$A$44</f>
        <v>1.7979999999999996</v>
      </c>
      <c r="CG61" s="197">
        <f>Storage_Reconciled_prod!CG61*Storage_Reconciled_prod!$A$44+Storage_rounded_off_prod!CG61*Storage_rounded_off_prod!$A$44</f>
        <v>0.622</v>
      </c>
      <c r="CH61" s="197">
        <f>Storage_Reconciled_prod!CH61*Storage_Reconciled_prod!$A$44+Storage_rounded_off_prod!CH61*Storage_rounded_off_prod!$A$44</f>
        <v>0</v>
      </c>
      <c r="CI61" s="197">
        <f>Storage_Reconciled_prod!CI61*Storage_Reconciled_prod!$A$44+Storage_rounded_off_prod!CI61*Storage_rounded_off_prod!$A$44</f>
        <v>0</v>
      </c>
      <c r="CJ61" s="197">
        <f>Storage_Reconciled_prod!CJ61*Storage_Reconciled_prod!$A$44+Storage_rounded_off_prod!CJ61*Storage_rounded_off_prod!$A$44</f>
        <v>0</v>
      </c>
      <c r="CK61" s="197">
        <f>Storage_Reconciled_prod!CK61*Storage_Reconciled_prod!$A$44+Storage_rounded_off_prod!CK61*Storage_rounded_off_prod!$A$44</f>
        <v>0</v>
      </c>
      <c r="CL61" s="197">
        <f>Storage_Reconciled_prod!CL61*Storage_Reconciled_prod!$A$44+Storage_rounded_off_prod!CL61*Storage_rounded_off_prod!$A$44</f>
        <v>0</v>
      </c>
      <c r="CM61" s="197">
        <f>Storage_Reconciled_prod!CM61*Storage_Reconciled_prod!$A$44+Storage_rounded_off_prod!CM61*Storage_rounded_off_prod!$A$44</f>
        <v>0</v>
      </c>
      <c r="CN61" s="197">
        <f>Storage_Reconciled_prod!CN61*Storage_Reconciled_prod!$A$44+Storage_rounded_off_prod!CN61*Storage_rounded_off_prod!$A$44</f>
        <v>0</v>
      </c>
      <c r="CO61" s="197">
        <f>Storage_Reconciled_prod!CO61*Storage_Reconciled_prod!$A$44+Storage_rounded_off_prod!CO61*Storage_rounded_off_prod!$A$44</f>
        <v>0</v>
      </c>
      <c r="CP61" s="197">
        <f>Storage_Reconciled_prod!CP61*Storage_Reconciled_prod!$A$44+Storage_rounded_off_prod!CP61*Storage_rounded_off_prod!$A$44</f>
        <v>0</v>
      </c>
      <c r="CQ61" s="197">
        <f>Storage_Reconciled_prod!CQ61*Storage_Reconciled_prod!$A$44+Storage_rounded_off_prod!CQ61*Storage_rounded_off_prod!$A$44</f>
        <v>0</v>
      </c>
      <c r="CR61" s="197">
        <f>Storage_Reconciled_prod!CR61*Storage_Reconciled_prod!$A$44+Storage_rounded_off_prod!CR61*Storage_rounded_off_prod!$A$44</f>
        <v>0</v>
      </c>
      <c r="CS61" s="197">
        <f>Storage_Reconciled_prod!CS61*Storage_Reconciled_prod!$A$44+Storage_rounded_off_prod!CS61*Storage_rounded_off_prod!$A$44</f>
        <v>0</v>
      </c>
      <c r="CT61" s="197">
        <f>Storage_Reconciled_prod!CT61*Storage_Reconciled_prod!$A$44+Storage_rounded_off_prod!CT61*Storage_rounded_off_prod!$A$44</f>
        <v>0</v>
      </c>
      <c r="CU61" s="197">
        <f>Storage_Reconciled_prod!CU61*Storage_Reconciled_prod!$A$44+Storage_rounded_off_prod!CU61*Storage_rounded_off_prod!$A$44</f>
        <v>0</v>
      </c>
    </row>
    <row r="62" spans="1:99">
      <c r="W62" s="480"/>
      <c r="AP62" s="480"/>
      <c r="BI62" s="480"/>
      <c r="CB62" s="480"/>
      <c r="CU62" s="480"/>
    </row>
    <row r="63" spans="1:99">
      <c r="W63" s="480"/>
      <c r="AP63" s="480"/>
      <c r="BI63" s="480"/>
      <c r="CB63" s="480"/>
      <c r="CU63" s="480"/>
    </row>
    <row r="64" spans="1:99">
      <c r="C64">
        <v>1</v>
      </c>
      <c r="E64">
        <v>202204</v>
      </c>
      <c r="F64">
        <v>202205</v>
      </c>
      <c r="G64">
        <v>202206</v>
      </c>
      <c r="H64">
        <v>222331</v>
      </c>
      <c r="I64">
        <v>202207</v>
      </c>
      <c r="J64">
        <v>202208</v>
      </c>
      <c r="K64">
        <v>202209</v>
      </c>
      <c r="L64">
        <v>222332</v>
      </c>
      <c r="M64">
        <v>222361</v>
      </c>
      <c r="N64">
        <v>202210</v>
      </c>
      <c r="O64">
        <v>202211</v>
      </c>
      <c r="P64">
        <v>202212</v>
      </c>
      <c r="Q64">
        <v>222333</v>
      </c>
      <c r="R64">
        <v>222391</v>
      </c>
      <c r="S64">
        <v>202301</v>
      </c>
      <c r="T64">
        <v>202302</v>
      </c>
      <c r="U64">
        <v>202303</v>
      </c>
      <c r="V64">
        <v>222334</v>
      </c>
      <c r="W64" s="480">
        <v>222399</v>
      </c>
      <c r="X64">
        <v>202304</v>
      </c>
      <c r="Y64">
        <v>202305</v>
      </c>
      <c r="Z64">
        <v>202306</v>
      </c>
      <c r="AA64">
        <v>232431</v>
      </c>
      <c r="AB64">
        <v>202307</v>
      </c>
      <c r="AC64">
        <v>202308</v>
      </c>
      <c r="AD64">
        <v>202309</v>
      </c>
      <c r="AE64">
        <v>232432</v>
      </c>
      <c r="AF64">
        <v>232461</v>
      </c>
      <c r="AG64">
        <v>202310</v>
      </c>
      <c r="AH64">
        <v>202311</v>
      </c>
      <c r="AI64">
        <v>202312</v>
      </c>
      <c r="AJ64">
        <v>232433</v>
      </c>
      <c r="AK64">
        <v>232491</v>
      </c>
      <c r="AL64">
        <v>202401</v>
      </c>
      <c r="AM64">
        <v>202402</v>
      </c>
      <c r="AN64">
        <v>202403</v>
      </c>
      <c r="AO64">
        <v>232434</v>
      </c>
      <c r="AP64" s="480">
        <v>232499</v>
      </c>
      <c r="AQ64">
        <v>202404</v>
      </c>
      <c r="AR64">
        <v>202405</v>
      </c>
      <c r="AS64">
        <v>202406</v>
      </c>
      <c r="AT64">
        <v>242531</v>
      </c>
      <c r="AU64">
        <v>202407</v>
      </c>
      <c r="AV64">
        <v>202408</v>
      </c>
      <c r="AW64">
        <v>202409</v>
      </c>
      <c r="AX64">
        <v>242532</v>
      </c>
      <c r="AY64">
        <v>242561</v>
      </c>
      <c r="AZ64">
        <v>202410</v>
      </c>
      <c r="BA64">
        <v>202411</v>
      </c>
      <c r="BB64">
        <v>202412</v>
      </c>
      <c r="BC64">
        <v>242533</v>
      </c>
      <c r="BD64">
        <v>242591</v>
      </c>
      <c r="BE64">
        <v>202501</v>
      </c>
      <c r="BF64">
        <v>202502</v>
      </c>
      <c r="BG64">
        <v>202503</v>
      </c>
      <c r="BH64">
        <v>242534</v>
      </c>
      <c r="BI64" s="480">
        <v>242599</v>
      </c>
      <c r="BJ64">
        <v>202504</v>
      </c>
      <c r="BK64">
        <v>202505</v>
      </c>
      <c r="BL64">
        <v>202506</v>
      </c>
      <c r="BM64">
        <v>252631</v>
      </c>
      <c r="BN64">
        <v>202507</v>
      </c>
      <c r="BO64">
        <v>202508</v>
      </c>
      <c r="BP64">
        <v>202509</v>
      </c>
      <c r="BQ64">
        <v>252632</v>
      </c>
      <c r="BR64">
        <v>252661</v>
      </c>
      <c r="BS64">
        <v>202510</v>
      </c>
      <c r="BT64">
        <v>202511</v>
      </c>
      <c r="BU64">
        <v>202512</v>
      </c>
      <c r="BV64">
        <v>252633</v>
      </c>
      <c r="BW64">
        <v>252691</v>
      </c>
      <c r="BX64">
        <v>202601</v>
      </c>
      <c r="BY64">
        <v>202602</v>
      </c>
      <c r="BZ64">
        <v>202603</v>
      </c>
      <c r="CA64">
        <v>252634</v>
      </c>
      <c r="CB64" s="480">
        <v>252699</v>
      </c>
      <c r="CC64">
        <v>202604</v>
      </c>
      <c r="CD64">
        <v>202605</v>
      </c>
      <c r="CE64">
        <v>202606</v>
      </c>
      <c r="CF64">
        <v>262731</v>
      </c>
      <c r="CG64">
        <v>202607</v>
      </c>
      <c r="CH64">
        <v>202608</v>
      </c>
      <c r="CI64">
        <v>202609</v>
      </c>
      <c r="CJ64">
        <v>262732</v>
      </c>
      <c r="CK64">
        <v>262761</v>
      </c>
      <c r="CL64">
        <v>202610</v>
      </c>
      <c r="CM64">
        <v>202611</v>
      </c>
      <c r="CN64">
        <v>202612</v>
      </c>
      <c r="CO64">
        <v>262733</v>
      </c>
      <c r="CP64">
        <v>262791</v>
      </c>
      <c r="CQ64">
        <v>202701</v>
      </c>
      <c r="CR64">
        <v>202702</v>
      </c>
      <c r="CS64">
        <v>202703</v>
      </c>
      <c r="CT64">
        <v>262734</v>
      </c>
      <c r="CU64" s="480">
        <v>262799</v>
      </c>
    </row>
    <row r="65" spans="1:99">
      <c r="C65">
        <v>2</v>
      </c>
      <c r="E65" t="s">
        <v>308</v>
      </c>
      <c r="F65" t="s">
        <v>309</v>
      </c>
      <c r="G65" t="s">
        <v>829</v>
      </c>
      <c r="H65" t="s">
        <v>392</v>
      </c>
      <c r="I65" t="s">
        <v>830</v>
      </c>
      <c r="J65" t="s">
        <v>312</v>
      </c>
      <c r="K65" t="s">
        <v>313</v>
      </c>
      <c r="L65" t="s">
        <v>393</v>
      </c>
      <c r="M65" t="s">
        <v>622</v>
      </c>
      <c r="N65" t="s">
        <v>314</v>
      </c>
      <c r="O65" t="s">
        <v>315</v>
      </c>
      <c r="P65" t="s">
        <v>316</v>
      </c>
      <c r="Q65" t="s">
        <v>394</v>
      </c>
      <c r="R65" t="s">
        <v>624</v>
      </c>
      <c r="S65" t="s">
        <v>317</v>
      </c>
      <c r="T65" t="s">
        <v>318</v>
      </c>
      <c r="U65" t="s">
        <v>319</v>
      </c>
      <c r="V65" t="s">
        <v>395</v>
      </c>
      <c r="W65" s="480" t="s">
        <v>831</v>
      </c>
      <c r="X65" t="s">
        <v>726</v>
      </c>
      <c r="Y65" t="s">
        <v>727</v>
      </c>
      <c r="Z65" t="s">
        <v>832</v>
      </c>
      <c r="AA65" t="s">
        <v>762</v>
      </c>
      <c r="AB65" t="s">
        <v>833</v>
      </c>
      <c r="AC65" t="s">
        <v>730</v>
      </c>
      <c r="AD65" t="s">
        <v>731</v>
      </c>
      <c r="AE65" t="s">
        <v>765</v>
      </c>
      <c r="AF65" t="s">
        <v>774</v>
      </c>
      <c r="AG65" t="s">
        <v>732</v>
      </c>
      <c r="AH65" t="s">
        <v>733</v>
      </c>
      <c r="AI65" t="s">
        <v>734</v>
      </c>
      <c r="AJ65" t="s">
        <v>768</v>
      </c>
      <c r="AK65" t="s">
        <v>780</v>
      </c>
      <c r="AL65" t="s">
        <v>735</v>
      </c>
      <c r="AM65" t="s">
        <v>736</v>
      </c>
      <c r="AN65" t="s">
        <v>737</v>
      </c>
      <c r="AO65" t="s">
        <v>771</v>
      </c>
      <c r="AP65" s="480" t="s">
        <v>834</v>
      </c>
      <c r="AQ65" t="s">
        <v>738</v>
      </c>
      <c r="AR65" t="s">
        <v>740</v>
      </c>
      <c r="AS65" t="s">
        <v>835</v>
      </c>
      <c r="AT65" t="s">
        <v>763</v>
      </c>
      <c r="AU65" t="s">
        <v>836</v>
      </c>
      <c r="AV65" t="s">
        <v>743</v>
      </c>
      <c r="AW65" t="s">
        <v>744</v>
      </c>
      <c r="AX65" t="s">
        <v>766</v>
      </c>
      <c r="AY65" t="s">
        <v>775</v>
      </c>
      <c r="AZ65" t="s">
        <v>745</v>
      </c>
      <c r="BA65" t="s">
        <v>746</v>
      </c>
      <c r="BB65" t="s">
        <v>747</v>
      </c>
      <c r="BC65" t="s">
        <v>769</v>
      </c>
      <c r="BD65" t="s">
        <v>781</v>
      </c>
      <c r="BE65" t="s">
        <v>748</v>
      </c>
      <c r="BF65" t="s">
        <v>749</v>
      </c>
      <c r="BG65" t="s">
        <v>750</v>
      </c>
      <c r="BH65" t="s">
        <v>772</v>
      </c>
      <c r="BI65" s="480" t="s">
        <v>837</v>
      </c>
      <c r="BJ65" t="s">
        <v>739</v>
      </c>
      <c r="BK65" t="s">
        <v>751</v>
      </c>
      <c r="BL65" t="s">
        <v>838</v>
      </c>
      <c r="BM65" t="s">
        <v>764</v>
      </c>
      <c r="BN65" t="s">
        <v>839</v>
      </c>
      <c r="BO65" t="s">
        <v>754</v>
      </c>
      <c r="BP65" t="s">
        <v>755</v>
      </c>
      <c r="BQ65" t="s">
        <v>767</v>
      </c>
      <c r="BR65" t="s">
        <v>776</v>
      </c>
      <c r="BS65" t="s">
        <v>756</v>
      </c>
      <c r="BT65" t="s">
        <v>757</v>
      </c>
      <c r="BU65" t="s">
        <v>758</v>
      </c>
      <c r="BV65" t="s">
        <v>770</v>
      </c>
      <c r="BW65" t="s">
        <v>782</v>
      </c>
      <c r="BX65" t="s">
        <v>759</v>
      </c>
      <c r="BY65" t="s">
        <v>760</v>
      </c>
      <c r="BZ65" t="s">
        <v>761</v>
      </c>
      <c r="CA65" t="s">
        <v>773</v>
      </c>
      <c r="CB65" s="480" t="s">
        <v>840</v>
      </c>
      <c r="CC65" t="s">
        <v>2268</v>
      </c>
      <c r="CD65" t="s">
        <v>2151</v>
      </c>
      <c r="CE65" t="s">
        <v>2269</v>
      </c>
      <c r="CF65" t="s">
        <v>2260</v>
      </c>
      <c r="CG65" t="s">
        <v>2270</v>
      </c>
      <c r="CH65" t="s">
        <v>2154</v>
      </c>
      <c r="CI65" t="s">
        <v>2155</v>
      </c>
      <c r="CJ65" t="s">
        <v>2261</v>
      </c>
      <c r="CK65" t="s">
        <v>2264</v>
      </c>
      <c r="CL65" t="s">
        <v>2156</v>
      </c>
      <c r="CM65" t="s">
        <v>2157</v>
      </c>
      <c r="CN65" t="s">
        <v>2158</v>
      </c>
      <c r="CO65" t="s">
        <v>2262</v>
      </c>
      <c r="CP65" t="s">
        <v>2266</v>
      </c>
      <c r="CQ65" t="s">
        <v>2159</v>
      </c>
      <c r="CR65" t="s">
        <v>2160</v>
      </c>
      <c r="CS65" t="s">
        <v>2149</v>
      </c>
      <c r="CT65" t="s">
        <v>2263</v>
      </c>
      <c r="CU65" s="480" t="s">
        <v>2271</v>
      </c>
    </row>
    <row r="66" spans="1:99">
      <c r="C66">
        <v>3</v>
      </c>
      <c r="D66" s="209" t="s">
        <v>60</v>
      </c>
      <c r="E66" s="197">
        <f>Storage_Reconciled_prod!E66*Storage_Reconciled_prod!$A$44+Storage_rounded_off_prod!E66*Storage_rounded_off_prod!$A$44</f>
        <v>5.7000000000000002E-2</v>
      </c>
      <c r="F66" s="197">
        <f>Storage_Reconciled_prod!F66*Storage_Reconciled_prod!$A$44+Storage_rounded_off_prod!F66*Storage_rounded_off_prod!$A$44</f>
        <v>4.2999999999999997E-2</v>
      </c>
      <c r="G66" s="197">
        <f>Storage_Reconciled_prod!G66*Storage_Reconciled_prod!$A$44+Storage_rounded_off_prod!G66*Storage_rounded_off_prod!$A$44</f>
        <v>3.5999999999999997E-2</v>
      </c>
      <c r="H66" s="197">
        <f>Storage_Reconciled_prod!H66*Storage_Reconciled_prod!$A$44+Storage_rounded_off_prod!H66*Storage_rounded_off_prod!$A$44</f>
        <v>0.13600000000000001</v>
      </c>
      <c r="I66" s="197">
        <f>Storage_Reconciled_prod!I66*Storage_Reconciled_prod!$A$44+Storage_rounded_off_prod!I66*Storage_rounded_off_prod!$A$44</f>
        <v>3.4000000000000002E-2</v>
      </c>
      <c r="J66" s="197">
        <f>Storage_Reconciled_prod!J66*Storage_Reconciled_prod!$A$44+Storage_rounded_off_prod!J66*Storage_rounded_off_prod!$A$44</f>
        <v>2.8000000000000001E-2</v>
      </c>
      <c r="K66" s="197">
        <f>Storage_Reconciled_prod!K66*Storage_Reconciled_prod!$A$44+Storage_rounded_off_prod!K66*Storage_rounded_off_prod!$A$44</f>
        <v>1.7999999999999999E-2</v>
      </c>
      <c r="L66" s="197">
        <f>Storage_Reconciled_prod!L66*Storage_Reconciled_prod!$A$44+Storage_rounded_off_prod!L66*Storage_rounded_off_prod!$A$44</f>
        <v>0.08</v>
      </c>
      <c r="M66" s="197">
        <f>Storage_Reconciled_prod!M66*Storage_Reconciled_prod!$A$44+Storage_rounded_off_prod!M66*Storage_rounded_off_prod!$A$44</f>
        <v>0.21600000000000003</v>
      </c>
      <c r="N66" s="197">
        <f>Storage_Reconciled_prod!N66*Storage_Reconciled_prod!$A$44+Storage_rounded_off_prod!N66*Storage_rounded_off_prod!$A$44</f>
        <v>1.2E-2</v>
      </c>
      <c r="O66" s="197">
        <f>Storage_Reconciled_prod!O66*Storage_Reconciled_prod!$A$44+Storage_rounded_off_prod!O66*Storage_rounded_off_prod!$A$44</f>
        <v>6.5000000000000002E-2</v>
      </c>
      <c r="P66" s="197">
        <f>Storage_Reconciled_prod!P66*Storage_Reconciled_prod!$A$44+Storage_rounded_off_prod!P66*Storage_rounded_off_prod!$A$44</f>
        <v>7.8E-2</v>
      </c>
      <c r="Q66" s="197">
        <f>Storage_Reconciled_prod!Q66*Storage_Reconciled_prod!$A$44+Storage_rounded_off_prod!Q66*Storage_rounded_off_prod!$A$44</f>
        <v>0.155</v>
      </c>
      <c r="R66" s="197">
        <f>Storage_Reconciled_prod!R66*Storage_Reconciled_prod!$A$44+Storage_rounded_off_prod!R66*Storage_rounded_off_prod!$A$44</f>
        <v>0.371</v>
      </c>
      <c r="S66" s="197">
        <f>Storage_Reconciled_prod!S66*Storage_Reconciled_prod!$A$44+Storage_rounded_off_prod!S66*Storage_rounded_off_prod!$A$44</f>
        <v>8.5000000000000006E-2</v>
      </c>
      <c r="T66" s="197">
        <f>Storage_Reconciled_prod!T66*Storage_Reconciled_prod!$A$44+Storage_rounded_off_prod!T66*Storage_rounded_off_prod!$A$44</f>
        <v>7.6999999999999999E-2</v>
      </c>
      <c r="U66" s="197">
        <f>Storage_Reconciled_prod!U66*Storage_Reconciled_prod!$A$44+Storage_rounded_off_prod!U66*Storage_rounded_off_prod!$A$44</f>
        <v>7.6999999999999999E-2</v>
      </c>
      <c r="V66" s="197">
        <f>Storage_Reconciled_prod!V66*Storage_Reconciled_prod!$A$44+Storage_rounded_off_prod!V66*Storage_rounded_off_prod!$A$44</f>
        <v>0.23899999999999999</v>
      </c>
      <c r="W66" s="197">
        <f>Storage_Reconciled_prod!W66*Storage_Reconciled_prod!$A$44+Storage_rounded_off_prod!W66*Storage_rounded_off_prod!$A$44</f>
        <v>0.61</v>
      </c>
      <c r="X66" s="197">
        <f>Storage_Reconciled_prod!X66*Storage_Reconciled_prod!$A$44+Storage_rounded_off_prod!X66*Storage_rounded_off_prod!$A$44</f>
        <v>5.8000000000000003E-2</v>
      </c>
      <c r="Y66" s="197">
        <f>Storage_Reconciled_prod!Y66*Storage_Reconciled_prod!$A$44+Storage_rounded_off_prod!Y66*Storage_rounded_off_prod!$A$44</f>
        <v>4.2999999999999997E-2</v>
      </c>
      <c r="Z66" s="197">
        <f>Storage_Reconciled_prod!Z66*Storage_Reconciled_prod!$A$44+Storage_rounded_off_prod!Z66*Storage_rounded_off_prod!$A$44</f>
        <v>3.4000000000000002E-2</v>
      </c>
      <c r="AA66" s="197">
        <f>Storage_Reconciled_prod!AA66*Storage_Reconciled_prod!$A$44+Storage_rounded_off_prod!AA66*Storage_rounded_off_prod!$A$44</f>
        <v>0.13500000000000001</v>
      </c>
      <c r="AB66" s="197">
        <f>Storage_Reconciled_prod!AB66*Storage_Reconciled_prod!$A$44+Storage_rounded_off_prod!AB66*Storage_rounded_off_prod!$A$44</f>
        <v>4.3999999999999997E-2</v>
      </c>
      <c r="AC66" s="197">
        <f>Storage_Reconciled_prod!AC66*Storage_Reconciled_prod!$A$44+Storage_rounded_off_prod!AC66*Storage_rounded_off_prod!$A$44</f>
        <v>4.1000000000000002E-2</v>
      </c>
      <c r="AD66" s="197">
        <f>Storage_Reconciled_prod!AD66*Storage_Reconciled_prod!$A$44+Storage_rounded_off_prod!AD66*Storage_rounded_off_prod!$A$44</f>
        <v>4.3999999999999997E-2</v>
      </c>
      <c r="AE66" s="197">
        <f>Storage_Reconciled_prod!AE66*Storage_Reconciled_prod!$A$44+Storage_rounded_off_prod!AE66*Storage_rounded_off_prod!$A$44</f>
        <v>0.129</v>
      </c>
      <c r="AF66" s="197">
        <f>Storage_Reconciled_prod!AF66*Storage_Reconciled_prod!$A$44+Storage_rounded_off_prod!AF66*Storage_rounded_off_prod!$A$44</f>
        <v>0.26400000000000001</v>
      </c>
      <c r="AG66" s="197">
        <f>Storage_Reconciled_prod!AG66*Storage_Reconciled_prod!$A$44+Storage_rounded_off_prod!AG66*Storage_rounded_off_prod!$A$44</f>
        <v>5.6000000000000001E-2</v>
      </c>
      <c r="AH66" s="197">
        <f>Storage_Reconciled_prod!AH66*Storage_Reconciled_prod!$A$44+Storage_rounded_off_prod!AH66*Storage_rounded_off_prod!$A$44</f>
        <v>6.9000000000000006E-2</v>
      </c>
      <c r="AI66" s="197">
        <f>Storage_Reconciled_prod!AI66*Storage_Reconciled_prod!$A$44+Storage_rounded_off_prod!AI66*Storage_rounded_off_prod!$A$44</f>
        <v>8.1000000000000003E-2</v>
      </c>
      <c r="AJ66" s="197">
        <f>Storage_Reconciled_prod!AJ66*Storage_Reconciled_prod!$A$44+Storage_rounded_off_prod!AJ66*Storage_rounded_off_prod!$A$44</f>
        <v>0.20600000000000002</v>
      </c>
      <c r="AK66" s="197">
        <f>Storage_Reconciled_prod!AK66*Storage_Reconciled_prod!$A$44+Storage_rounded_off_prod!AK66*Storage_rounded_off_prod!$A$44</f>
        <v>0.47000000000000003</v>
      </c>
      <c r="AL66" s="197">
        <f>Storage_Reconciled_prod!AL66*Storage_Reconciled_prod!$A$44+Storage_rounded_off_prod!AL66*Storage_rounded_off_prod!$A$44</f>
        <v>8.4000000000000005E-2</v>
      </c>
      <c r="AM66" s="197">
        <f>Storage_Reconciled_prod!AM66*Storage_Reconciled_prod!$A$44+Storage_rounded_off_prod!AM66*Storage_rounded_off_prod!$A$44</f>
        <v>7.2999999999999995E-2</v>
      </c>
      <c r="AN66" s="197">
        <f>Storage_Reconciled_prod!AN66*Storage_Reconciled_prod!$A$44+Storage_rounded_off_prod!AN66*Storage_rounded_off_prod!$A$44</f>
        <v>7.3999999999999996E-2</v>
      </c>
      <c r="AO66" s="197">
        <f>Storage_Reconciled_prod!AO66*Storage_Reconciled_prod!$A$44+Storage_rounded_off_prod!AO66*Storage_rounded_off_prod!$A$44</f>
        <v>0.23099999999999998</v>
      </c>
      <c r="AP66" s="197">
        <f>Storage_Reconciled_prod!AP66*Storage_Reconciled_prod!$A$44+Storage_rounded_off_prod!AP66*Storage_rounded_off_prod!$A$44</f>
        <v>0.70100000000000007</v>
      </c>
      <c r="AQ66" s="197">
        <f>Storage_Reconciled_prod!AQ66*Storage_Reconciled_prod!$A$44+Storage_rounded_off_prod!AQ66*Storage_rounded_off_prod!$A$44</f>
        <v>0.06</v>
      </c>
      <c r="AR66" s="197">
        <f>Storage_Reconciled_prod!AR66*Storage_Reconciled_prod!$A$44+Storage_rounded_off_prod!AR66*Storage_rounded_off_prod!$A$44</f>
        <v>4.7E-2</v>
      </c>
      <c r="AS66" s="197">
        <f>Storage_Reconciled_prod!AS66*Storage_Reconciled_prod!$A$44+Storage_rounded_off_prod!AS66*Storage_rounded_off_prod!$A$44</f>
        <v>4.1000000000000002E-2</v>
      </c>
      <c r="AT66" s="197">
        <f>Storage_Reconciled_prod!AT66*Storage_Reconciled_prod!$A$44+Storage_rounded_off_prod!AT66*Storage_rounded_off_prod!$A$44</f>
        <v>0.14799999999999999</v>
      </c>
      <c r="AU66" s="197">
        <f>Storage_Reconciled_prod!AU66*Storage_Reconciled_prod!$A$44+Storage_rounded_off_prod!AU66*Storage_rounded_off_prod!$A$44</f>
        <v>4.2999999999999997E-2</v>
      </c>
      <c r="AV66" s="197">
        <f>Storage_Reconciled_prod!AV66*Storage_Reconciled_prod!$A$44+Storage_rounded_off_prod!AV66*Storage_rounded_off_prod!$A$44</f>
        <v>3.9E-2</v>
      </c>
      <c r="AW66" s="197">
        <f>Storage_Reconciled_prod!AW66*Storage_Reconciled_prod!$A$44+Storage_rounded_off_prod!AW66*Storage_rounded_off_prod!$A$44</f>
        <v>4.3999999999999997E-2</v>
      </c>
      <c r="AX66" s="197">
        <f>Storage_Reconciled_prod!AX66*Storage_Reconciled_prod!$A$44+Storage_rounded_off_prod!AX66*Storage_rounded_off_prod!$A$44</f>
        <v>0.126</v>
      </c>
      <c r="AY66" s="197">
        <f>Storage_Reconciled_prod!AY66*Storage_Reconciled_prod!$A$44+Storage_rounded_off_prod!AY66*Storage_rounded_off_prod!$A$44</f>
        <v>0.27400000000000002</v>
      </c>
      <c r="AZ66" s="197">
        <f>Storage_Reconciled_prod!AZ66*Storage_Reconciled_prod!$A$44+Storage_rounded_off_prod!AZ66*Storage_rounded_off_prod!$A$44</f>
        <v>6.6000000000000003E-2</v>
      </c>
      <c r="BA66" s="197">
        <f>Storage_Reconciled_prod!BA66*Storage_Reconciled_prod!$A$44+Storage_rounded_off_prod!BA66*Storage_rounded_off_prod!$A$44</f>
        <v>6.7000000000000004E-2</v>
      </c>
      <c r="BB66" s="197">
        <f>Storage_Reconciled_prod!BB66*Storage_Reconciled_prod!$A$44+Storage_rounded_off_prod!BB66*Storage_rounded_off_prod!$A$44</f>
        <v>8.1000000000000003E-2</v>
      </c>
      <c r="BC66" s="197">
        <f>Storage_Reconciled_prod!BC66*Storage_Reconciled_prod!$A$44+Storage_rounded_off_prod!BC66*Storage_rounded_off_prod!$A$44</f>
        <v>0.21400000000000002</v>
      </c>
      <c r="BD66" s="197">
        <f>Storage_Reconciled_prod!BD66*Storage_Reconciled_prod!$A$44+Storage_rounded_off_prod!BD66*Storage_rounded_off_prod!$A$44</f>
        <v>0.48800000000000004</v>
      </c>
      <c r="BE66" s="197">
        <f>Storage_Reconciled_prod!BE66*Storage_Reconciled_prod!$A$44+Storage_rounded_off_prod!BE66*Storage_rounded_off_prod!$A$44</f>
        <v>7.1999999999999995E-2</v>
      </c>
      <c r="BF66" s="197">
        <f>Storage_Reconciled_prod!BF66*Storage_Reconciled_prod!$A$44+Storage_rounded_off_prod!BF66*Storage_rounded_off_prod!$A$44</f>
        <v>6.9000000000000006E-2</v>
      </c>
      <c r="BG66" s="197">
        <f>Storage_Reconciled_prod!BG66*Storage_Reconciled_prod!$A$44+Storage_rounded_off_prod!BG66*Storage_rounded_off_prod!$A$44</f>
        <v>7.3999999999999996E-2</v>
      </c>
      <c r="BH66" s="197">
        <f>Storage_Reconciled_prod!BH66*Storage_Reconciled_prod!$A$44+Storage_rounded_off_prod!BH66*Storage_rounded_off_prod!$A$44</f>
        <v>0.21500000000000002</v>
      </c>
      <c r="BI66" s="197">
        <f>Storage_Reconciled_prod!BI66*Storage_Reconciled_prod!$A$44+Storage_rounded_off_prod!BI66*Storage_rounded_off_prod!$A$44</f>
        <v>0.70300000000000007</v>
      </c>
      <c r="BJ66" s="197">
        <f>Storage_Reconciled_prod!BJ66*Storage_Reconciled_prod!$A$44+Storage_rounded_off_prod!BJ66*Storage_rounded_off_prod!$A$44</f>
        <v>5.5E-2</v>
      </c>
      <c r="BK66" s="197">
        <f>Storage_Reconciled_prod!BK66*Storage_Reconciled_prod!$A$44+Storage_rounded_off_prod!BK66*Storage_rounded_off_prod!$A$44</f>
        <v>5.0999999999999997E-2</v>
      </c>
      <c r="BL66" s="197">
        <f>Storage_Reconciled_prod!BL66*Storage_Reconciled_prod!$A$44+Storage_rounded_off_prod!BL66*Storage_rounded_off_prod!$A$44</f>
        <v>4.7E-2</v>
      </c>
      <c r="BM66" s="197">
        <f>Storage_Reconciled_prod!BM66*Storage_Reconciled_prod!$A$44+Storage_rounded_off_prod!BM66*Storage_rounded_off_prod!$A$44</f>
        <v>0.153</v>
      </c>
      <c r="BN66" s="197">
        <f>Storage_Reconciled_prod!BN66*Storage_Reconciled_prod!$A$44+Storage_rounded_off_prod!BN66*Storage_rounded_off_prod!$A$44</f>
        <v>0.03</v>
      </c>
      <c r="BO66" s="197">
        <f>Storage_Reconciled_prod!BO66*Storage_Reconciled_prod!$A$44+Storage_rounded_off_prod!BO66*Storage_rounded_off_prod!$A$44</f>
        <v>7.0000000000000001E-3</v>
      </c>
      <c r="BP66" s="197">
        <f>Storage_Reconciled_prod!BP66*Storage_Reconciled_prod!$A$44+Storage_rounded_off_prod!BP66*Storage_rounded_off_prod!$A$44</f>
        <v>4.4999999999999998E-2</v>
      </c>
      <c r="BQ66" s="197">
        <f>Storage_Reconciled_prod!BQ66*Storage_Reconciled_prod!$A$44+Storage_rounded_off_prod!BQ66*Storage_rounded_off_prod!$A$44</f>
        <v>8.199999999999999E-2</v>
      </c>
      <c r="BR66" s="197">
        <f>Storage_Reconciled_prod!BR66*Storage_Reconciled_prod!$A$44+Storage_rounded_off_prod!BR66*Storage_rounded_off_prod!$A$44</f>
        <v>0.23499999999999999</v>
      </c>
      <c r="BS66" s="197">
        <f>Storage_Reconciled_prod!BS66*Storage_Reconciled_prod!$A$44+Storage_rounded_off_prod!BS66*Storage_rounded_off_prod!$A$44</f>
        <v>4.7E-2</v>
      </c>
      <c r="BT66" s="197">
        <f>Storage_Reconciled_prod!BT66*Storage_Reconciled_prod!$A$44+Storage_rounded_off_prod!BT66*Storage_rounded_off_prod!$A$44</f>
        <v>6.0999999999999999E-2</v>
      </c>
      <c r="BU66" s="197">
        <f>Storage_Reconciled_prod!BU66*Storage_Reconciled_prod!$A$44+Storage_rounded_off_prod!BU66*Storage_rounded_off_prod!$A$44</f>
        <v>5.1999999999999998E-2</v>
      </c>
      <c r="BV66" s="197">
        <f>Storage_Reconciled_prod!BV66*Storage_Reconciled_prod!$A$44+Storage_rounded_off_prod!BV66*Storage_rounded_off_prod!$A$44</f>
        <v>0.16</v>
      </c>
      <c r="BW66" s="197">
        <f>Storage_Reconciled_prod!BW66*Storage_Reconciled_prod!$A$44+Storage_rounded_off_prod!BW66*Storage_rounded_off_prod!$A$44</f>
        <v>0.39500000000000002</v>
      </c>
      <c r="BX66" s="197">
        <f>Storage_Reconciled_prod!BX66*Storage_Reconciled_prod!$A$44+Storage_rounded_off_prod!BX66*Storage_rounded_off_prod!$A$44</f>
        <v>4.2999999999999997E-2</v>
      </c>
      <c r="BY66" s="197">
        <f>Storage_Reconciled_prod!BY66*Storage_Reconciled_prod!$A$44+Storage_rounded_off_prod!BY66*Storage_rounded_off_prod!$A$44</f>
        <v>6.8000000000000005E-2</v>
      </c>
      <c r="BZ66" s="197">
        <f>Storage_Reconciled_prod!BZ66*Storage_Reconciled_prod!$A$44+Storage_rounded_off_prod!BZ66*Storage_rounded_off_prod!$A$44</f>
        <v>8.4000000000000005E-2</v>
      </c>
      <c r="CA66" s="197">
        <f>Storage_Reconciled_prod!CA66*Storage_Reconciled_prod!$A$44+Storage_rounded_off_prod!CA66*Storage_rounded_off_prod!$A$44</f>
        <v>0.19500000000000001</v>
      </c>
      <c r="CB66" s="197">
        <f>Storage_Reconciled_prod!CB66*Storage_Reconciled_prod!$A$44+Storage_rounded_off_prod!CB66*Storage_rounded_off_prod!$A$44</f>
        <v>0.623</v>
      </c>
      <c r="CC66" s="197">
        <f>Storage_Reconciled_prod!CC66*Storage_Reconciled_prod!$A$44+Storage_rounded_off_prod!CC66*Storage_rounded_off_prod!$A$44</f>
        <v>5.8000000000000003E-2</v>
      </c>
      <c r="CD66" s="197">
        <f>Storage_Reconciled_prod!CD66*Storage_Reconciled_prod!$A$44+Storage_rounded_off_prod!CD66*Storage_rounded_off_prod!$A$44</f>
        <v>5.1999999999999998E-2</v>
      </c>
      <c r="CE66" s="197">
        <f>Storage_Reconciled_prod!CE66*Storage_Reconciled_prod!$A$44+Storage_rounded_off_prod!CE66*Storage_rounded_off_prod!$A$44</f>
        <v>4.5999999999999999E-2</v>
      </c>
      <c r="CF66" s="197">
        <f>Storage_Reconciled_prod!CF66*Storage_Reconciled_prod!$A$44+Storage_rounded_off_prod!CF66*Storage_rounded_off_prod!$A$44</f>
        <v>0.156</v>
      </c>
      <c r="CG66" s="197">
        <f>Storage_Reconciled_prod!CG66*Storage_Reconciled_prod!$A$44+Storage_rounded_off_prod!CG66*Storage_rounded_off_prod!$A$44</f>
        <v>4.5999999999999999E-2</v>
      </c>
      <c r="CH66" s="197">
        <f>Storage_Reconciled_prod!CH66*Storage_Reconciled_prod!$A$44+Storage_rounded_off_prod!CH66*Storage_rounded_off_prod!$A$44</f>
        <v>0</v>
      </c>
      <c r="CI66" s="197">
        <f>Storage_Reconciled_prod!CI66*Storage_Reconciled_prod!$A$44+Storage_rounded_off_prod!CI66*Storage_rounded_off_prod!$A$44</f>
        <v>0</v>
      </c>
      <c r="CJ66" s="197">
        <f>Storage_Reconciled_prod!CJ66*Storage_Reconciled_prod!$A$44+Storage_rounded_off_prod!CJ66*Storage_rounded_off_prod!$A$44</f>
        <v>0</v>
      </c>
      <c r="CK66" s="197">
        <f>Storage_Reconciled_prod!CK66*Storage_Reconciled_prod!$A$44+Storage_rounded_off_prod!CK66*Storage_rounded_off_prod!$A$44</f>
        <v>0</v>
      </c>
      <c r="CL66" s="197">
        <f>Storage_Reconciled_prod!CL66*Storage_Reconciled_prod!$A$44+Storage_rounded_off_prod!CL66*Storage_rounded_off_prod!$A$44</f>
        <v>0</v>
      </c>
      <c r="CM66" s="197">
        <f>Storage_Reconciled_prod!CM66*Storage_Reconciled_prod!$A$44+Storage_rounded_off_prod!CM66*Storage_rounded_off_prod!$A$44</f>
        <v>0</v>
      </c>
      <c r="CN66" s="197">
        <f>Storage_Reconciled_prod!CN66*Storage_Reconciled_prod!$A$44+Storage_rounded_off_prod!CN66*Storage_rounded_off_prod!$A$44</f>
        <v>0</v>
      </c>
      <c r="CO66" s="197">
        <f>Storage_Reconciled_prod!CO66*Storage_Reconciled_prod!$A$44+Storage_rounded_off_prod!CO66*Storage_rounded_off_prod!$A$44</f>
        <v>0</v>
      </c>
      <c r="CP66" s="197">
        <f>Storage_Reconciled_prod!CP66*Storage_Reconciled_prod!$A$44+Storage_rounded_off_prod!CP66*Storage_rounded_off_prod!$A$44</f>
        <v>0</v>
      </c>
      <c r="CQ66" s="197">
        <f>Storage_Reconciled_prod!CQ66*Storage_Reconciled_prod!$A$44+Storage_rounded_off_prod!CQ66*Storage_rounded_off_prod!$A$44</f>
        <v>0</v>
      </c>
      <c r="CR66" s="197">
        <f>Storage_Reconciled_prod!CR66*Storage_Reconciled_prod!$A$44+Storage_rounded_off_prod!CR66*Storage_rounded_off_prod!$A$44</f>
        <v>0</v>
      </c>
      <c r="CS66" s="197">
        <f>Storage_Reconciled_prod!CS66*Storage_Reconciled_prod!$A$44+Storage_rounded_off_prod!CS66*Storage_rounded_off_prod!$A$44</f>
        <v>0</v>
      </c>
      <c r="CT66" s="197">
        <f>Storage_Reconciled_prod!CT66*Storage_Reconciled_prod!$A$44+Storage_rounded_off_prod!CT66*Storage_rounded_off_prod!$A$44</f>
        <v>0</v>
      </c>
      <c r="CU66" s="197">
        <f>Storage_Reconciled_prod!CU66*Storage_Reconciled_prod!$A$44+Storage_rounded_off_prod!CU66*Storage_rounded_off_prod!$A$44</f>
        <v>0</v>
      </c>
    </row>
    <row r="67" spans="1:99">
      <c r="C67">
        <v>4</v>
      </c>
      <c r="D67" s="209" t="s">
        <v>61</v>
      </c>
      <c r="E67" s="197">
        <f>Storage_Reconciled_prod!E67*Storage_Reconciled_prod!$A$44+Storage_rounded_off_prod!E67*Storage_rounded_off_prod!$A$44</f>
        <v>0.124</v>
      </c>
      <c r="F67" s="197">
        <f>Storage_Reconciled_prod!F67*Storage_Reconciled_prod!$A$44+Storage_rounded_off_prod!F67*Storage_rounded_off_prod!$A$44</f>
        <v>0.127</v>
      </c>
      <c r="G67" s="197">
        <f>Storage_Reconciled_prod!G67*Storage_Reconciled_prod!$A$44+Storage_rounded_off_prod!G67*Storage_rounded_off_prod!$A$44</f>
        <v>0.121</v>
      </c>
      <c r="H67" s="197">
        <f>Storage_Reconciled_prod!H67*Storage_Reconciled_prod!$A$44+Storage_rounded_off_prod!H67*Storage_rounded_off_prod!$A$44</f>
        <v>0.372</v>
      </c>
      <c r="I67" s="197">
        <f>Storage_Reconciled_prod!I67*Storage_Reconciled_prod!$A$44+Storage_rounded_off_prod!I67*Storage_rounded_off_prod!$A$44</f>
        <v>0.123</v>
      </c>
      <c r="J67" s="197">
        <f>Storage_Reconciled_prod!J67*Storage_Reconciled_prod!$A$44+Storage_rounded_off_prod!J67*Storage_rounded_off_prod!$A$44</f>
        <v>0.11600000000000001</v>
      </c>
      <c r="K67" s="197">
        <f>Storage_Reconciled_prod!K67*Storage_Reconciled_prod!$A$44+Storage_rounded_off_prod!K67*Storage_rounded_off_prod!$A$44</f>
        <v>0.108</v>
      </c>
      <c r="L67" s="197">
        <f>Storage_Reconciled_prod!L67*Storage_Reconciled_prod!$A$44+Storage_rounded_off_prod!L67*Storage_rounded_off_prod!$A$44</f>
        <v>0.34699999999999998</v>
      </c>
      <c r="M67" s="197">
        <f>Storage_Reconciled_prod!M67*Storage_Reconciled_prod!$A$44+Storage_rounded_off_prod!M67*Storage_rounded_off_prod!$A$44</f>
        <v>0.71899999999999997</v>
      </c>
      <c r="N67" s="197">
        <f>Storage_Reconciled_prod!N67*Storage_Reconciled_prod!$A$44+Storage_rounded_off_prod!N67*Storage_rounded_off_prod!$A$44</f>
        <v>0.106</v>
      </c>
      <c r="O67" s="197">
        <f>Storage_Reconciled_prod!O67*Storage_Reconciled_prod!$A$44+Storage_rounded_off_prod!O67*Storage_rounded_off_prod!$A$44</f>
        <v>0.10199999999999999</v>
      </c>
      <c r="P67" s="197">
        <f>Storage_Reconciled_prod!P67*Storage_Reconciled_prod!$A$44+Storage_rounded_off_prod!P67*Storage_rounded_off_prod!$A$44</f>
        <v>0.106</v>
      </c>
      <c r="Q67" s="197">
        <f>Storage_Reconciled_prod!Q67*Storage_Reconciled_prod!$A$44+Storage_rounded_off_prod!Q67*Storage_rounded_off_prod!$A$44</f>
        <v>0.314</v>
      </c>
      <c r="R67" s="197">
        <f>Storage_Reconciled_prod!R67*Storage_Reconciled_prod!$A$44+Storage_rounded_off_prod!R67*Storage_rounded_off_prod!$A$44</f>
        <v>1.0329999999999999</v>
      </c>
      <c r="S67" s="197">
        <f>Storage_Reconciled_prod!S67*Storage_Reconciled_prod!$A$44+Storage_rounded_off_prod!S67*Storage_rounded_off_prod!$A$44</f>
        <v>0.108</v>
      </c>
      <c r="T67" s="197">
        <f>Storage_Reconciled_prod!T67*Storage_Reconciled_prod!$A$44+Storage_rounded_off_prod!T67*Storage_rounded_off_prod!$A$44</f>
        <v>9.7000000000000003E-2</v>
      </c>
      <c r="U67" s="197">
        <f>Storage_Reconciled_prod!U67*Storage_Reconciled_prod!$A$44+Storage_rounded_off_prod!U67*Storage_rounded_off_prod!$A$44</f>
        <v>9.8000000000000004E-2</v>
      </c>
      <c r="V67" s="197">
        <f>Storage_Reconciled_prod!V67*Storage_Reconciled_prod!$A$44+Storage_rounded_off_prod!V67*Storage_rounded_off_prod!$A$44</f>
        <v>0.30300000000000005</v>
      </c>
      <c r="W67" s="197">
        <f>Storage_Reconciled_prod!W67*Storage_Reconciled_prod!$A$44+Storage_rounded_off_prod!W67*Storage_rounded_off_prod!$A$44</f>
        <v>1.3359999999999999</v>
      </c>
      <c r="X67" s="197">
        <f>Storage_Reconciled_prod!X67*Storage_Reconciled_prod!$A$44+Storage_rounded_off_prod!X67*Storage_rounded_off_prod!$A$44</f>
        <v>0.10199999999999999</v>
      </c>
      <c r="Y67" s="197">
        <f>Storage_Reconciled_prod!Y67*Storage_Reconciled_prod!$A$44+Storage_rounded_off_prod!Y67*Storage_rounded_off_prod!$A$44</f>
        <v>0.106</v>
      </c>
      <c r="Z67" s="197">
        <f>Storage_Reconciled_prod!Z67*Storage_Reconciled_prod!$A$44+Storage_rounded_off_prod!Z67*Storage_rounded_off_prod!$A$44</f>
        <v>9.8000000000000004E-2</v>
      </c>
      <c r="AA67" s="197">
        <f>Storage_Reconciled_prod!AA67*Storage_Reconciled_prod!$A$44+Storage_rounded_off_prod!AA67*Storage_rounded_off_prod!$A$44</f>
        <v>0.30599999999999999</v>
      </c>
      <c r="AB67" s="197">
        <f>Storage_Reconciled_prod!AB67*Storage_Reconciled_prod!$A$44+Storage_rounded_off_prod!AB67*Storage_rounded_off_prod!$A$44</f>
        <v>8.2000000000000003E-2</v>
      </c>
      <c r="AC67" s="197">
        <f>Storage_Reconciled_prod!AC67*Storage_Reconciled_prod!$A$44+Storage_rounded_off_prod!AC67*Storage_rounded_off_prod!$A$44</f>
        <v>9.9000000000000005E-2</v>
      </c>
      <c r="AD67" s="197">
        <f>Storage_Reconciled_prod!AD67*Storage_Reconciled_prod!$A$44+Storage_rounded_off_prod!AD67*Storage_rounded_off_prod!$A$44</f>
        <v>9.6000000000000002E-2</v>
      </c>
      <c r="AE67" s="197">
        <f>Storage_Reconciled_prod!AE67*Storage_Reconciled_prod!$A$44+Storage_rounded_off_prod!AE67*Storage_rounded_off_prod!$A$44</f>
        <v>0.27700000000000002</v>
      </c>
      <c r="AF67" s="197">
        <f>Storage_Reconciled_prod!AF67*Storage_Reconciled_prod!$A$44+Storage_rounded_off_prod!AF67*Storage_rounded_off_prod!$A$44</f>
        <v>0.58299999999999996</v>
      </c>
      <c r="AG67" s="197">
        <f>Storage_Reconciled_prod!AG67*Storage_Reconciled_prod!$A$44+Storage_rounded_off_prod!AG67*Storage_rounded_off_prod!$A$44</f>
        <v>9.8000000000000004E-2</v>
      </c>
      <c r="AH67" s="197">
        <f>Storage_Reconciled_prod!AH67*Storage_Reconciled_prod!$A$44+Storage_rounded_off_prod!AH67*Storage_rounded_off_prod!$A$44</f>
        <v>9.7000000000000003E-2</v>
      </c>
      <c r="AI67" s="197">
        <f>Storage_Reconciled_prod!AI67*Storage_Reconciled_prod!$A$44+Storage_rounded_off_prod!AI67*Storage_rounded_off_prod!$A$44</f>
        <v>9.7000000000000003E-2</v>
      </c>
      <c r="AJ67" s="197">
        <f>Storage_Reconciled_prod!AJ67*Storage_Reconciled_prod!$A$44+Storage_rounded_off_prod!AJ67*Storage_rounded_off_prod!$A$44</f>
        <v>0.29200000000000004</v>
      </c>
      <c r="AK67" s="197">
        <f>Storage_Reconciled_prod!AK67*Storage_Reconciled_prod!$A$44+Storage_rounded_off_prod!AK67*Storage_rounded_off_prod!$A$44</f>
        <v>0.875</v>
      </c>
      <c r="AL67" s="197">
        <f>Storage_Reconciled_prod!AL67*Storage_Reconciled_prod!$A$44+Storage_rounded_off_prod!AL67*Storage_rounded_off_prod!$A$44</f>
        <v>9.5000000000000001E-2</v>
      </c>
      <c r="AM67" s="197">
        <f>Storage_Reconciled_prod!AM67*Storage_Reconciled_prod!$A$44+Storage_rounded_off_prod!AM67*Storage_rounded_off_prod!$A$44</f>
        <v>8.7999999999999995E-2</v>
      </c>
      <c r="AN67" s="197">
        <f>Storage_Reconciled_prod!AN67*Storage_Reconciled_prod!$A$44+Storage_rounded_off_prod!AN67*Storage_rounded_off_prod!$A$44</f>
        <v>0.08</v>
      </c>
      <c r="AO67" s="197">
        <f>Storage_Reconciled_prod!AO67*Storage_Reconciled_prod!$A$44+Storage_rounded_off_prod!AO67*Storage_rounded_off_prod!$A$44</f>
        <v>0.26300000000000001</v>
      </c>
      <c r="AP67" s="197">
        <f>Storage_Reconciled_prod!AP67*Storage_Reconciled_prod!$A$44+Storage_rounded_off_prod!AP67*Storage_rounded_off_prod!$A$44</f>
        <v>1.1379999999999999</v>
      </c>
      <c r="AQ67" s="197">
        <f>Storage_Reconciled_prod!AQ67*Storage_Reconciled_prod!$A$44+Storage_rounded_off_prod!AQ67*Storage_rounded_off_prod!$A$44</f>
        <v>8.1000000000000003E-2</v>
      </c>
      <c r="AR67" s="197">
        <f>Storage_Reconciled_prod!AR67*Storage_Reconciled_prod!$A$44+Storage_rounded_off_prod!AR67*Storage_rounded_off_prod!$A$44</f>
        <v>8.4000000000000005E-2</v>
      </c>
      <c r="AS67" s="197">
        <f>Storage_Reconciled_prod!AS67*Storage_Reconciled_prod!$A$44+Storage_rounded_off_prod!AS67*Storage_rounded_off_prod!$A$44</f>
        <v>8.3000000000000004E-2</v>
      </c>
      <c r="AT67" s="197">
        <f>Storage_Reconciled_prod!AT67*Storage_Reconciled_prod!$A$44+Storage_rounded_off_prod!AT67*Storage_rounded_off_prod!$A$44</f>
        <v>0.248</v>
      </c>
      <c r="AU67" s="197">
        <f>Storage_Reconciled_prod!AU67*Storage_Reconciled_prod!$A$44+Storage_rounded_off_prod!AU67*Storage_rounded_off_prod!$A$44</f>
        <v>7.2999999999999995E-2</v>
      </c>
      <c r="AV67" s="197">
        <f>Storage_Reconciled_prod!AV67*Storage_Reconciled_prod!$A$44+Storage_rounded_off_prod!AV67*Storage_rounded_off_prod!$A$44</f>
        <v>8.7999999999999995E-2</v>
      </c>
      <c r="AW67" s="197">
        <f>Storage_Reconciled_prod!AW67*Storage_Reconciled_prod!$A$44+Storage_rounded_off_prod!AW67*Storage_rounded_off_prod!$A$44</f>
        <v>8.7999999999999995E-2</v>
      </c>
      <c r="AX67" s="197">
        <f>Storage_Reconciled_prod!AX67*Storage_Reconciled_prod!$A$44+Storage_rounded_off_prod!AX67*Storage_rounded_off_prod!$A$44</f>
        <v>0.24899999999999997</v>
      </c>
      <c r="AY67" s="197">
        <f>Storage_Reconciled_prod!AY67*Storage_Reconciled_prod!$A$44+Storage_rounded_off_prod!AY67*Storage_rounded_off_prod!$A$44</f>
        <v>0.497</v>
      </c>
      <c r="AZ67" s="197">
        <f>Storage_Reconciled_prod!AZ67*Storage_Reconciled_prod!$A$44+Storage_rounded_off_prod!AZ67*Storage_rounded_off_prod!$A$44</f>
        <v>0.09</v>
      </c>
      <c r="BA67" s="197">
        <f>Storage_Reconciled_prod!BA67*Storage_Reconciled_prod!$A$44+Storage_rounded_off_prod!BA67*Storage_rounded_off_prod!$A$44</f>
        <v>8.6999999999999994E-2</v>
      </c>
      <c r="BB67" s="197">
        <f>Storage_Reconciled_prod!BB67*Storage_Reconciled_prod!$A$44+Storage_rounded_off_prod!BB67*Storage_rounded_off_prod!$A$44</f>
        <v>9.4E-2</v>
      </c>
      <c r="BC67" s="197">
        <f>Storage_Reconciled_prod!BC67*Storage_Reconciled_prod!$A$44+Storage_rounded_off_prod!BC67*Storage_rounded_off_prod!$A$44</f>
        <v>0.27100000000000002</v>
      </c>
      <c r="BD67" s="197">
        <f>Storage_Reconciled_prod!BD67*Storage_Reconciled_prod!$A$44+Storage_rounded_off_prod!BD67*Storage_rounded_off_prod!$A$44</f>
        <v>0.76800000000000002</v>
      </c>
      <c r="BE67" s="197">
        <f>Storage_Reconciled_prod!BE67*Storage_Reconciled_prod!$A$44+Storage_rounded_off_prod!BE67*Storage_rounded_off_prod!$A$44</f>
        <v>0.09</v>
      </c>
      <c r="BF67" s="197">
        <f>Storage_Reconciled_prod!BF67*Storage_Reconciled_prod!$A$44+Storage_rounded_off_prod!BF67*Storage_rounded_off_prod!$A$44</f>
        <v>8.3000000000000004E-2</v>
      </c>
      <c r="BG67" s="197">
        <f>Storage_Reconciled_prod!BG67*Storage_Reconciled_prod!$A$44+Storage_rounded_off_prod!BG67*Storage_rounded_off_prod!$A$44</f>
        <v>9.0999999999999998E-2</v>
      </c>
      <c r="BH67" s="197">
        <f>Storage_Reconciled_prod!BH67*Storage_Reconciled_prod!$A$44+Storage_rounded_off_prod!BH67*Storage_rounded_off_prod!$A$44</f>
        <v>0.26400000000000001</v>
      </c>
      <c r="BI67" s="197">
        <f>Storage_Reconciled_prod!BI67*Storage_Reconciled_prod!$A$44+Storage_rounded_off_prod!BI67*Storage_rounded_off_prod!$A$44</f>
        <v>1.032</v>
      </c>
      <c r="BJ67" s="197">
        <f>Storage_Reconciled_prod!BJ67*Storage_Reconciled_prod!$A$44+Storage_rounded_off_prod!BJ67*Storage_rounded_off_prod!$A$44</f>
        <v>7.9000000000000001E-2</v>
      </c>
      <c r="BK67" s="197">
        <f>Storage_Reconciled_prod!BK67*Storage_Reconciled_prod!$A$44+Storage_rounded_off_prod!BK67*Storage_rounded_off_prod!$A$44</f>
        <v>8.5999999999999993E-2</v>
      </c>
      <c r="BL67" s="197">
        <f>Storage_Reconciled_prod!BL67*Storage_Reconciled_prod!$A$44+Storage_rounded_off_prod!BL67*Storage_rounded_off_prod!$A$44</f>
        <v>8.2000000000000003E-2</v>
      </c>
      <c r="BM67" s="197">
        <f>Storage_Reconciled_prod!BM67*Storage_Reconciled_prod!$A$44+Storage_rounded_off_prod!BM67*Storage_rounded_off_prod!$A$44</f>
        <v>0.247</v>
      </c>
      <c r="BN67" s="197">
        <f>Storage_Reconciled_prod!BN67*Storage_Reconciled_prod!$A$44+Storage_rounded_off_prod!BN67*Storage_rounded_off_prod!$A$44</f>
        <v>8.6999999999999994E-2</v>
      </c>
      <c r="BO67" s="197">
        <f>Storage_Reconciled_prod!BO67*Storage_Reconciled_prod!$A$44+Storage_rounded_off_prod!BO67*Storage_rounded_off_prod!$A$44</f>
        <v>7.3999999999999996E-2</v>
      </c>
      <c r="BP67" s="197">
        <f>Storage_Reconciled_prod!BP67*Storage_Reconciled_prod!$A$44+Storage_rounded_off_prod!BP67*Storage_rounded_off_prod!$A$44</f>
        <v>8.2000000000000003E-2</v>
      </c>
      <c r="BQ67" s="197">
        <f>Storage_Reconciled_prod!BQ67*Storage_Reconciled_prod!$A$44+Storage_rounded_off_prod!BQ67*Storage_rounded_off_prod!$A$44</f>
        <v>0.24299999999999999</v>
      </c>
      <c r="BR67" s="197">
        <f>Storage_Reconciled_prod!BR67*Storage_Reconciled_prod!$A$44+Storage_rounded_off_prod!BR67*Storage_rounded_off_prod!$A$44</f>
        <v>0.49</v>
      </c>
      <c r="BS67" s="197">
        <f>Storage_Reconciled_prod!BS67*Storage_Reconciled_prod!$A$44+Storage_rounded_off_prod!BS67*Storage_rounded_off_prod!$A$44</f>
        <v>8.4000000000000005E-2</v>
      </c>
      <c r="BT67" s="197">
        <f>Storage_Reconciled_prod!BT67*Storage_Reconciled_prod!$A$44+Storage_rounded_off_prod!BT67*Storage_rounded_off_prod!$A$44</f>
        <v>8.1000000000000003E-2</v>
      </c>
      <c r="BU67" s="197">
        <f>Storage_Reconciled_prod!BU67*Storage_Reconciled_prod!$A$44+Storage_rounded_off_prod!BU67*Storage_rounded_off_prod!$A$44</f>
        <v>8.1000000000000003E-2</v>
      </c>
      <c r="BV67" s="197">
        <f>Storage_Reconciled_prod!BV67*Storage_Reconciled_prod!$A$44+Storage_rounded_off_prod!BV67*Storage_rounded_off_prod!$A$44</f>
        <v>0.246</v>
      </c>
      <c r="BW67" s="197">
        <f>Storage_Reconciled_prod!BW67*Storage_Reconciled_prod!$A$44+Storage_rounded_off_prod!BW67*Storage_rounded_off_prod!$A$44</f>
        <v>0.73599999999999999</v>
      </c>
      <c r="BX67" s="197">
        <f>Storage_Reconciled_prod!BX67*Storage_Reconciled_prod!$A$44+Storage_rounded_off_prod!BX67*Storage_rounded_off_prod!$A$44</f>
        <v>8.2000000000000003E-2</v>
      </c>
      <c r="BY67" s="197">
        <f>Storage_Reconciled_prod!BY67*Storage_Reconciled_prod!$A$44+Storage_rounded_off_prod!BY67*Storage_rounded_off_prod!$A$44</f>
        <v>7.1999999999999995E-2</v>
      </c>
      <c r="BZ67" s="197">
        <f>Storage_Reconciled_prod!BZ67*Storage_Reconciled_prod!$A$44+Storage_rounded_off_prod!BZ67*Storage_rounded_off_prod!$A$44</f>
        <v>7.5999999999999998E-2</v>
      </c>
      <c r="CA67" s="197">
        <f>Storage_Reconciled_prod!CA67*Storage_Reconciled_prod!$A$44+Storage_rounded_off_prod!CA67*Storage_rounded_off_prod!$A$44</f>
        <v>0.22999999999999998</v>
      </c>
      <c r="CB67" s="197">
        <f>Storage_Reconciled_prod!CB67*Storage_Reconciled_prod!$A$44+Storage_rounded_off_prod!CB67*Storage_rounded_off_prod!$A$44</f>
        <v>0.96499999999999997</v>
      </c>
      <c r="CC67" s="197">
        <f>Storage_Reconciled_prod!CC67*Storage_Reconciled_prod!$A$44+Storage_rounded_off_prod!CC67*Storage_rounded_off_prod!$A$44</f>
        <v>7.8E-2</v>
      </c>
      <c r="CD67" s="197">
        <f>Storage_Reconciled_prod!CD67*Storage_Reconciled_prod!$A$44+Storage_rounded_off_prod!CD67*Storage_rounded_off_prod!$A$44</f>
        <v>0.08</v>
      </c>
      <c r="CE67" s="197">
        <f>Storage_Reconciled_prod!CE67*Storage_Reconciled_prod!$A$44+Storage_rounded_off_prod!CE67*Storage_rounded_off_prod!$A$44</f>
        <v>7.5999999999999998E-2</v>
      </c>
      <c r="CF67" s="197">
        <f>Storage_Reconciled_prod!CF67*Storage_Reconciled_prod!$A$44+Storage_rounded_off_prod!CF67*Storage_rounded_off_prod!$A$44</f>
        <v>0.23399999999999999</v>
      </c>
      <c r="CG67" s="197">
        <f>Storage_Reconciled_prod!CG67*Storage_Reconciled_prod!$A$44+Storage_rounded_off_prod!CG67*Storage_rounded_off_prod!$A$44</f>
        <v>7.0999999999999994E-2</v>
      </c>
      <c r="CH67" s="197">
        <f>Storage_Reconciled_prod!CH67*Storage_Reconciled_prod!$A$44+Storage_rounded_off_prod!CH67*Storage_rounded_off_prod!$A$44</f>
        <v>0</v>
      </c>
      <c r="CI67" s="197">
        <f>Storage_Reconciled_prod!CI67*Storage_Reconciled_prod!$A$44+Storage_rounded_off_prod!CI67*Storage_rounded_off_prod!$A$44</f>
        <v>0</v>
      </c>
      <c r="CJ67" s="197">
        <f>Storage_Reconciled_prod!CJ67*Storage_Reconciled_prod!$A$44+Storage_rounded_off_prod!CJ67*Storage_rounded_off_prod!$A$44</f>
        <v>0</v>
      </c>
      <c r="CK67" s="197">
        <f>Storage_Reconciled_prod!CK67*Storage_Reconciled_prod!$A$44+Storage_rounded_off_prod!CK67*Storage_rounded_off_prod!$A$44</f>
        <v>0</v>
      </c>
      <c r="CL67" s="197">
        <f>Storage_Reconciled_prod!CL67*Storage_Reconciled_prod!$A$44+Storage_rounded_off_prod!CL67*Storage_rounded_off_prod!$A$44</f>
        <v>0</v>
      </c>
      <c r="CM67" s="197">
        <f>Storage_Reconciled_prod!CM67*Storage_Reconciled_prod!$A$44+Storage_rounded_off_prod!CM67*Storage_rounded_off_prod!$A$44</f>
        <v>0</v>
      </c>
      <c r="CN67" s="197">
        <f>Storage_Reconciled_prod!CN67*Storage_Reconciled_prod!$A$44+Storage_rounded_off_prod!CN67*Storage_rounded_off_prod!$A$44</f>
        <v>0</v>
      </c>
      <c r="CO67" s="197">
        <f>Storage_Reconciled_prod!CO67*Storage_Reconciled_prod!$A$44+Storage_rounded_off_prod!CO67*Storage_rounded_off_prod!$A$44</f>
        <v>0</v>
      </c>
      <c r="CP67" s="197">
        <f>Storage_Reconciled_prod!CP67*Storage_Reconciled_prod!$A$44+Storage_rounded_off_prod!CP67*Storage_rounded_off_prod!$A$44</f>
        <v>0</v>
      </c>
      <c r="CQ67" s="197">
        <f>Storage_Reconciled_prod!CQ67*Storage_Reconciled_prod!$A$44+Storage_rounded_off_prod!CQ67*Storage_rounded_off_prod!$A$44</f>
        <v>0</v>
      </c>
      <c r="CR67" s="197">
        <f>Storage_Reconciled_prod!CR67*Storage_Reconciled_prod!$A$44+Storage_rounded_off_prod!CR67*Storage_rounded_off_prod!$A$44</f>
        <v>0</v>
      </c>
      <c r="CS67" s="197">
        <f>Storage_Reconciled_prod!CS67*Storage_Reconciled_prod!$A$44+Storage_rounded_off_prod!CS67*Storage_rounded_off_prod!$A$44</f>
        <v>0</v>
      </c>
      <c r="CT67" s="197">
        <f>Storage_Reconciled_prod!CT67*Storage_Reconciled_prod!$A$44+Storage_rounded_off_prod!CT67*Storage_rounded_off_prod!$A$44</f>
        <v>0</v>
      </c>
      <c r="CU67" s="197">
        <f>Storage_Reconciled_prod!CU67*Storage_Reconciled_prod!$A$44+Storage_rounded_off_prod!CU67*Storage_rounded_off_prod!$A$44</f>
        <v>0</v>
      </c>
    </row>
    <row r="68" spans="1:99">
      <c r="C68">
        <v>5</v>
      </c>
      <c r="D68" s="209" t="s">
        <v>62</v>
      </c>
      <c r="E68" s="197">
        <f>Storage_Reconciled_prod!E68*Storage_Reconciled_prod!$A$44+Storage_rounded_off_prod!E68*Storage_rounded_off_prod!$A$44</f>
        <v>9.9999999999999985E-3</v>
      </c>
      <c r="F68" s="197">
        <f>Storage_Reconciled_prod!F68*Storage_Reconciled_prod!$A$44+Storage_rounded_off_prod!F68*Storage_rounded_off_prod!$A$44</f>
        <v>8.0000000000000002E-3</v>
      </c>
      <c r="G68" s="197">
        <f>Storage_Reconciled_prod!G68*Storage_Reconciled_prod!$A$44+Storage_rounded_off_prod!G68*Storage_rounded_off_prod!$A$44</f>
        <v>0.01</v>
      </c>
      <c r="H68" s="197">
        <f>Storage_Reconciled_prod!H68*Storage_Reconciled_prod!$A$44+Storage_rounded_off_prod!H68*Storage_rounded_off_prod!$A$44</f>
        <v>2.7999999999999997E-2</v>
      </c>
      <c r="I68" s="197">
        <f>Storage_Reconciled_prod!I68*Storage_Reconciled_prod!$A$44+Storage_rounded_off_prod!I68*Storage_rounded_off_prod!$A$44</f>
        <v>0.01</v>
      </c>
      <c r="J68" s="197">
        <f>Storage_Reconciled_prod!J68*Storage_Reconciled_prod!$A$44+Storage_rounded_off_prod!J68*Storage_rounded_off_prod!$A$44</f>
        <v>0.01</v>
      </c>
      <c r="K68" s="197">
        <f>Storage_Reconciled_prod!K68*Storage_Reconciled_prod!$A$44+Storage_rounded_off_prod!K68*Storage_rounded_off_prod!$A$44</f>
        <v>9.0000000000000011E-3</v>
      </c>
      <c r="L68" s="197">
        <f>Storage_Reconciled_prod!L68*Storage_Reconciled_prod!$A$44+Storage_rounded_off_prod!L68*Storage_rounded_off_prod!$A$44</f>
        <v>2.9000000000000001E-2</v>
      </c>
      <c r="M68" s="197">
        <f>Storage_Reconciled_prod!M68*Storage_Reconciled_prod!$A$44+Storage_rounded_off_prod!M68*Storage_rounded_off_prod!$A$44</f>
        <v>5.6999999999999995E-2</v>
      </c>
      <c r="N68" s="197">
        <f>Storage_Reconciled_prod!N68*Storage_Reconciled_prod!$A$44+Storage_rounded_off_prod!N68*Storage_rounded_off_prod!$A$44</f>
        <v>1.0999999999999999E-2</v>
      </c>
      <c r="O68" s="197">
        <f>Storage_Reconciled_prod!O68*Storage_Reconciled_prod!$A$44+Storage_rounded_off_prod!O68*Storage_rounded_off_prod!$A$44</f>
        <v>0.01</v>
      </c>
      <c r="P68" s="197">
        <f>Storage_Reconciled_prod!P68*Storage_Reconciled_prod!$A$44+Storage_rounded_off_prod!P68*Storage_rounded_off_prod!$A$44</f>
        <v>1.0999999999999999E-2</v>
      </c>
      <c r="Q68" s="197">
        <f>Storage_Reconciled_prod!Q68*Storage_Reconciled_prod!$A$44+Storage_rounded_off_prod!Q68*Storage_rounded_off_prod!$A$44</f>
        <v>3.2000000000000001E-2</v>
      </c>
      <c r="R68" s="197">
        <f>Storage_Reconciled_prod!R68*Storage_Reconciled_prod!$A$44+Storage_rounded_off_prod!R68*Storage_rounded_off_prod!$A$44</f>
        <v>8.8999999999999996E-2</v>
      </c>
      <c r="S68" s="197">
        <f>Storage_Reconciled_prod!S68*Storage_Reconciled_prod!$A$44+Storage_rounded_off_prod!S68*Storage_rounded_off_prod!$A$44</f>
        <v>0.01</v>
      </c>
      <c r="T68" s="197">
        <f>Storage_Reconciled_prod!T68*Storage_Reconciled_prod!$A$44+Storage_rounded_off_prod!T68*Storage_rounded_off_prod!$A$44</f>
        <v>8.9999999999999993E-3</v>
      </c>
      <c r="U68" s="197">
        <f>Storage_Reconciled_prod!U68*Storage_Reconciled_prod!$A$44+Storage_rounded_off_prod!U68*Storage_rounded_off_prod!$A$44</f>
        <v>0.01</v>
      </c>
      <c r="V68" s="197">
        <f>Storage_Reconciled_prod!V68*Storage_Reconciled_prod!$A$44+Storage_rounded_off_prod!V68*Storage_rounded_off_prod!$A$44</f>
        <v>2.8999999999999998E-2</v>
      </c>
      <c r="W68" s="197">
        <f>Storage_Reconciled_prod!W68*Storage_Reconciled_prod!$A$44+Storage_rounded_off_prod!W68*Storage_rounded_off_prod!$A$44</f>
        <v>0.11799999999999999</v>
      </c>
      <c r="X68" s="197">
        <f>Storage_Reconciled_prod!X68*Storage_Reconciled_prod!$A$44+Storage_rounded_off_prod!X68*Storage_rounded_off_prod!$A$44</f>
        <v>0.01</v>
      </c>
      <c r="Y68" s="197">
        <f>Storage_Reconciled_prod!Y68*Storage_Reconciled_prod!$A$44+Storage_rounded_off_prod!Y68*Storage_rounded_off_prod!$A$44</f>
        <v>8.9999999999999993E-3</v>
      </c>
      <c r="Z68" s="197">
        <f>Storage_Reconciled_prod!Z68*Storage_Reconciled_prod!$A$44+Storage_rounded_off_prod!Z68*Storage_rounded_off_prod!$A$44</f>
        <v>8.9999999999999993E-3</v>
      </c>
      <c r="AA68" s="197">
        <f>Storage_Reconciled_prod!AA68*Storage_Reconciled_prod!$A$44+Storage_rounded_off_prod!AA68*Storage_rounded_off_prod!$A$44</f>
        <v>2.7999999999999997E-2</v>
      </c>
      <c r="AB68" s="197">
        <f>Storage_Reconciled_prod!AB68*Storage_Reconciled_prod!$A$44+Storage_rounded_off_prod!AB68*Storage_rounded_off_prod!$A$44</f>
        <v>0.01</v>
      </c>
      <c r="AC68" s="197">
        <f>Storage_Reconciled_prod!AC68*Storage_Reconciled_prod!$A$44+Storage_rounded_off_prod!AC68*Storage_rounded_off_prod!$A$44</f>
        <v>0.01</v>
      </c>
      <c r="AD68" s="197">
        <f>Storage_Reconciled_prod!AD68*Storage_Reconciled_prod!$A$44+Storage_rounded_off_prod!AD68*Storage_rounded_off_prod!$A$44</f>
        <v>8.0000000000000002E-3</v>
      </c>
      <c r="AE68" s="197">
        <f>Storage_Reconciled_prod!AE68*Storage_Reconciled_prod!$A$44+Storage_rounded_off_prod!AE68*Storage_rounded_off_prod!$A$44</f>
        <v>2.8000000000000001E-2</v>
      </c>
      <c r="AF68" s="197">
        <f>Storage_Reconciled_prod!AF68*Storage_Reconciled_prod!$A$44+Storage_rounded_off_prod!AF68*Storage_rounded_off_prod!$A$44</f>
        <v>5.5999999999999994E-2</v>
      </c>
      <c r="AG68" s="197">
        <f>Storage_Reconciled_prod!AG68*Storage_Reconciled_prod!$A$44+Storage_rounded_off_prod!AG68*Storage_rounded_off_prod!$A$44</f>
        <v>0.01</v>
      </c>
      <c r="AH68" s="197">
        <f>Storage_Reconciled_prod!AH68*Storage_Reconciled_prod!$A$44+Storage_rounded_off_prod!AH68*Storage_rounded_off_prod!$A$44</f>
        <v>0.01</v>
      </c>
      <c r="AI68" s="197">
        <f>Storage_Reconciled_prod!AI68*Storage_Reconciled_prod!$A$44+Storage_rounded_off_prod!AI68*Storage_rounded_off_prod!$A$44</f>
        <v>0.01</v>
      </c>
      <c r="AJ68" s="197">
        <f>Storage_Reconciled_prod!AJ68*Storage_Reconciled_prod!$A$44+Storage_rounded_off_prod!AJ68*Storage_rounded_off_prod!$A$44</f>
        <v>0.03</v>
      </c>
      <c r="AK68" s="197">
        <f>Storage_Reconciled_prod!AK68*Storage_Reconciled_prod!$A$44+Storage_rounded_off_prod!AK68*Storage_rounded_off_prod!$A$44</f>
        <v>8.5999999999999993E-2</v>
      </c>
      <c r="AL68" s="197">
        <f>Storage_Reconciled_prod!AL68*Storage_Reconciled_prod!$A$44+Storage_rounded_off_prod!AL68*Storage_rounded_off_prod!$A$44</f>
        <v>8.9999999999999993E-3</v>
      </c>
      <c r="AM68" s="197">
        <f>Storage_Reconciled_prod!AM68*Storage_Reconciled_prod!$A$44+Storage_rounded_off_prod!AM68*Storage_rounded_off_prod!$A$44</f>
        <v>8.9999999999999993E-3</v>
      </c>
      <c r="AN68" s="197">
        <f>Storage_Reconciled_prod!AN68*Storage_Reconciled_prod!$A$44+Storage_rounded_off_prod!AN68*Storage_rounded_off_prod!$A$44</f>
        <v>9.9999999999999985E-3</v>
      </c>
      <c r="AO68" s="197">
        <f>Storage_Reconciled_prod!AO68*Storage_Reconciled_prod!$A$44+Storage_rounded_off_prod!AO68*Storage_rounded_off_prod!$A$44</f>
        <v>2.7999999999999997E-2</v>
      </c>
      <c r="AP68" s="197">
        <f>Storage_Reconciled_prod!AP68*Storage_Reconciled_prod!$A$44+Storage_rounded_off_prod!AP68*Storage_rounded_off_prod!$A$44</f>
        <v>0.11399999999999999</v>
      </c>
      <c r="AQ68" s="197">
        <f>Storage_Reconciled_prod!AQ68*Storage_Reconciled_prod!$A$44+Storage_rounded_off_prod!AQ68*Storage_rounded_off_prod!$A$44</f>
        <v>8.9999999999999993E-3</v>
      </c>
      <c r="AR68" s="197">
        <f>Storage_Reconciled_prod!AR68*Storage_Reconciled_prod!$A$44+Storage_rounded_off_prod!AR68*Storage_rounded_off_prod!$A$44</f>
        <v>7.0000000000000001E-3</v>
      </c>
      <c r="AS68" s="197">
        <f>Storage_Reconciled_prod!AS68*Storage_Reconciled_prod!$A$44+Storage_rounded_off_prod!AS68*Storage_rounded_off_prod!$A$44</f>
        <v>2E-3</v>
      </c>
      <c r="AT68" s="197">
        <f>Storage_Reconciled_prod!AT68*Storage_Reconciled_prod!$A$44+Storage_rounded_off_prod!AT68*Storage_rounded_off_prod!$A$44</f>
        <v>1.8000000000000002E-2</v>
      </c>
      <c r="AU68" s="197">
        <f>Storage_Reconciled_prod!AU68*Storage_Reconciled_prod!$A$44+Storage_rounded_off_prod!AU68*Storage_rounded_off_prod!$A$44</f>
        <v>8.9999999999999993E-3</v>
      </c>
      <c r="AV68" s="197">
        <f>Storage_Reconciled_prod!AV68*Storage_Reconciled_prod!$A$44+Storage_rounded_off_prod!AV68*Storage_rounded_off_prod!$A$44</f>
        <v>8.9999999999999993E-3</v>
      </c>
      <c r="AW68" s="197">
        <f>Storage_Reconciled_prod!AW68*Storage_Reconciled_prod!$A$44+Storage_rounded_off_prod!AW68*Storage_rounded_off_prod!$A$44</f>
        <v>7.0000000000000001E-3</v>
      </c>
      <c r="AX68" s="197">
        <f>Storage_Reconciled_prod!AX68*Storage_Reconciled_prod!$A$44+Storage_rounded_off_prod!AX68*Storage_rounded_off_prod!$A$44</f>
        <v>2.4999999999999998E-2</v>
      </c>
      <c r="AY68" s="197">
        <f>Storage_Reconciled_prod!AY68*Storage_Reconciled_prod!$A$44+Storage_rounded_off_prod!AY68*Storage_rounded_off_prod!$A$44</f>
        <v>4.2999999999999997E-2</v>
      </c>
      <c r="AZ68" s="197">
        <f>Storage_Reconciled_prod!AZ68*Storage_Reconciled_prod!$A$44+Storage_rounded_off_prod!AZ68*Storage_rounded_off_prod!$A$44</f>
        <v>8.0000000000000002E-3</v>
      </c>
      <c r="BA68" s="197">
        <f>Storage_Reconciled_prod!BA68*Storage_Reconciled_prod!$A$44+Storage_rounded_off_prod!BA68*Storage_rounded_off_prod!$A$44</f>
        <v>8.0000000000000002E-3</v>
      </c>
      <c r="BB68" s="197">
        <f>Storage_Reconciled_prod!BB68*Storage_Reconciled_prod!$A$44+Storage_rounded_off_prod!BB68*Storage_rounded_off_prod!$A$44</f>
        <v>8.9999999999999993E-3</v>
      </c>
      <c r="BC68" s="197">
        <f>Storage_Reconciled_prod!BC68*Storage_Reconciled_prod!$A$44+Storage_rounded_off_prod!BC68*Storage_rounded_off_prod!$A$44</f>
        <v>2.5000000000000001E-2</v>
      </c>
      <c r="BD68" s="197">
        <f>Storage_Reconciled_prod!BD68*Storage_Reconciled_prod!$A$44+Storage_rounded_off_prod!BD68*Storage_rounded_off_prod!$A$44</f>
        <v>6.8000000000000005E-2</v>
      </c>
      <c r="BE68" s="197">
        <f>Storage_Reconciled_prod!BE68*Storage_Reconciled_prod!$A$44+Storage_rounded_off_prod!BE68*Storage_rounded_off_prod!$A$44</f>
        <v>8.9999999999999993E-3</v>
      </c>
      <c r="BF68" s="197">
        <f>Storage_Reconciled_prod!BF68*Storage_Reconciled_prod!$A$44+Storage_rounded_off_prod!BF68*Storage_rounded_off_prod!$A$44</f>
        <v>8.0000000000000002E-3</v>
      </c>
      <c r="BG68" s="197">
        <f>Storage_Reconciled_prod!BG68*Storage_Reconciled_prod!$A$44+Storage_rounded_off_prod!BG68*Storage_rounded_off_prod!$A$44</f>
        <v>8.0000000000000002E-3</v>
      </c>
      <c r="BH68" s="197">
        <f>Storage_Reconciled_prod!BH68*Storage_Reconciled_prod!$A$44+Storage_rounded_off_prod!BH68*Storage_rounded_off_prod!$A$44</f>
        <v>2.5000000000000001E-2</v>
      </c>
      <c r="BI68" s="197">
        <f>Storage_Reconciled_prod!BI68*Storage_Reconciled_prod!$A$44+Storage_rounded_off_prod!BI68*Storage_rounded_off_prod!$A$44</f>
        <v>9.2999999999999999E-2</v>
      </c>
      <c r="BJ68" s="197">
        <f>Storage_Reconciled_prod!BJ68*Storage_Reconciled_prod!$A$44+Storage_rounded_off_prod!BJ68*Storage_rounded_off_prod!$A$44</f>
        <v>8.9999999999999993E-3</v>
      </c>
      <c r="BK68" s="197">
        <f>Storage_Reconciled_prod!BK68*Storage_Reconciled_prod!$A$44+Storage_rounded_off_prod!BK68*Storage_rounded_off_prod!$A$44</f>
        <v>8.0000000000000002E-3</v>
      </c>
      <c r="BL68" s="197">
        <f>Storage_Reconciled_prod!BL68*Storage_Reconciled_prod!$A$44+Storage_rounded_off_prod!BL68*Storage_rounded_off_prod!$A$44</f>
        <v>7.0000000000000001E-3</v>
      </c>
      <c r="BM68" s="197">
        <f>Storage_Reconciled_prod!BM68*Storage_Reconciled_prod!$A$44+Storage_rounded_off_prod!BM68*Storage_rounded_off_prod!$A$44</f>
        <v>2.4E-2</v>
      </c>
      <c r="BN68" s="197">
        <f>Storage_Reconciled_prod!BN68*Storage_Reconciled_prod!$A$44+Storage_rounded_off_prod!BN68*Storage_rounded_off_prod!$A$44</f>
        <v>8.0000000000000002E-3</v>
      </c>
      <c r="BO68" s="197">
        <f>Storage_Reconciled_prod!BO68*Storage_Reconciled_prod!$A$44+Storage_rounded_off_prod!BO68*Storage_rounded_off_prod!$A$44</f>
        <v>8.9999999999999993E-3</v>
      </c>
      <c r="BP68" s="197">
        <f>Storage_Reconciled_prod!BP68*Storage_Reconciled_prod!$A$44+Storage_rounded_off_prod!BP68*Storage_rounded_off_prod!$A$44</f>
        <v>8.0000000000000002E-3</v>
      </c>
      <c r="BQ68" s="197">
        <f>Storage_Reconciled_prod!BQ68*Storage_Reconciled_prod!$A$44+Storage_rounded_off_prod!BQ68*Storage_rounded_off_prod!$A$44</f>
        <v>2.5000000000000001E-2</v>
      </c>
      <c r="BR68" s="197">
        <f>Storage_Reconciled_prod!BR68*Storage_Reconciled_prod!$A$44+Storage_rounded_off_prod!BR68*Storage_rounded_off_prod!$A$44</f>
        <v>4.9000000000000002E-2</v>
      </c>
      <c r="BS68" s="197">
        <f>Storage_Reconciled_prod!BS68*Storage_Reconciled_prod!$A$44+Storage_rounded_off_prod!BS68*Storage_rounded_off_prod!$A$44</f>
        <v>8.9999999999999993E-3</v>
      </c>
      <c r="BT68" s="197">
        <f>Storage_Reconciled_prod!BT68*Storage_Reconciled_prod!$A$44+Storage_rounded_off_prod!BT68*Storage_rounded_off_prod!$A$44</f>
        <v>8.9999999999999993E-3</v>
      </c>
      <c r="BU68" s="197">
        <f>Storage_Reconciled_prod!BU68*Storage_Reconciled_prod!$A$44+Storage_rounded_off_prod!BU68*Storage_rounded_off_prod!$A$44</f>
        <v>8.0000000000000002E-3</v>
      </c>
      <c r="BV68" s="197">
        <f>Storage_Reconciled_prod!BV68*Storage_Reconciled_prod!$A$44+Storage_rounded_off_prod!BV68*Storage_rounded_off_prod!$A$44</f>
        <v>2.5999999999999999E-2</v>
      </c>
      <c r="BW68" s="197">
        <f>Storage_Reconciled_prod!BW68*Storage_Reconciled_prod!$A$44+Storage_rounded_off_prod!BW68*Storage_rounded_off_prod!$A$44</f>
        <v>7.4999999999999997E-2</v>
      </c>
      <c r="BX68" s="197">
        <f>Storage_Reconciled_prod!BX68*Storage_Reconciled_prod!$A$44+Storage_rounded_off_prod!BX68*Storage_rounded_off_prod!$A$44</f>
        <v>8.0000000000000002E-3</v>
      </c>
      <c r="BY68" s="197">
        <f>Storage_Reconciled_prod!BY68*Storage_Reconciled_prod!$A$44+Storage_rounded_off_prod!BY68*Storage_rounded_off_prod!$A$44</f>
        <v>8.0000000000000002E-3</v>
      </c>
      <c r="BZ68" s="197">
        <f>Storage_Reconciled_prod!BZ68*Storage_Reconciled_prod!$A$44+Storage_rounded_off_prod!BZ68*Storage_rounded_off_prod!$A$44</f>
        <v>8.9999999999999993E-3</v>
      </c>
      <c r="CA68" s="197">
        <f>Storage_Reconciled_prod!CA68*Storage_Reconciled_prod!$A$44+Storage_rounded_off_prod!CA68*Storage_rounded_off_prod!$A$44</f>
        <v>2.5000000000000001E-2</v>
      </c>
      <c r="CB68" s="197">
        <f>Storage_Reconciled_prod!CB68*Storage_Reconciled_prod!$A$44+Storage_rounded_off_prod!CB68*Storage_rounded_off_prod!$A$44</f>
        <v>0.10100000000000001</v>
      </c>
      <c r="CC68" s="197">
        <f>Storage_Reconciled_prod!CC68*Storage_Reconciled_prod!$A$44+Storage_rounded_off_prod!CC68*Storage_rounded_off_prod!$A$44</f>
        <v>8.0000000000000002E-3</v>
      </c>
      <c r="CD68" s="197">
        <f>Storage_Reconciled_prod!CD68*Storage_Reconciled_prod!$A$44+Storage_rounded_off_prod!CD68*Storage_rounded_off_prod!$A$44</f>
        <v>7.0000000000000001E-3</v>
      </c>
      <c r="CE68" s="197">
        <f>Storage_Reconciled_prod!CE68*Storage_Reconciled_prod!$A$44+Storage_rounded_off_prod!CE68*Storage_rounded_off_prod!$A$44</f>
        <v>8.9999999999999993E-3</v>
      </c>
      <c r="CF68" s="197">
        <f>Storage_Reconciled_prod!CF68*Storage_Reconciled_prod!$A$44+Storage_rounded_off_prod!CF68*Storage_rounded_off_prod!$A$44</f>
        <v>2.4E-2</v>
      </c>
      <c r="CG68" s="197">
        <f>Storage_Reconciled_prod!CG68*Storage_Reconciled_prod!$A$44+Storage_rounded_off_prod!CG68*Storage_rounded_off_prod!$A$44</f>
        <v>7.0000000000000001E-3</v>
      </c>
      <c r="CH68" s="197">
        <f>Storage_Reconciled_prod!CH68*Storage_Reconciled_prod!$A$44+Storage_rounded_off_prod!CH68*Storage_rounded_off_prod!$A$44</f>
        <v>0</v>
      </c>
      <c r="CI68" s="197">
        <f>Storage_Reconciled_prod!CI68*Storage_Reconciled_prod!$A$44+Storage_rounded_off_prod!CI68*Storage_rounded_off_prod!$A$44</f>
        <v>0</v>
      </c>
      <c r="CJ68" s="197">
        <f>Storage_Reconciled_prod!CJ68*Storage_Reconciled_prod!$A$44+Storage_rounded_off_prod!CJ68*Storage_rounded_off_prod!$A$44</f>
        <v>0</v>
      </c>
      <c r="CK68" s="197">
        <f>Storage_Reconciled_prod!CK68*Storage_Reconciled_prod!$A$44+Storage_rounded_off_prod!CK68*Storage_rounded_off_prod!$A$44</f>
        <v>0</v>
      </c>
      <c r="CL68" s="197">
        <f>Storage_Reconciled_prod!CL68*Storage_Reconciled_prod!$A$44+Storage_rounded_off_prod!CL68*Storage_rounded_off_prod!$A$44</f>
        <v>0</v>
      </c>
      <c r="CM68" s="197">
        <f>Storage_Reconciled_prod!CM68*Storage_Reconciled_prod!$A$44+Storage_rounded_off_prod!CM68*Storage_rounded_off_prod!$A$44</f>
        <v>0</v>
      </c>
      <c r="CN68" s="197">
        <f>Storage_Reconciled_prod!CN68*Storage_Reconciled_prod!$A$44+Storage_rounded_off_prod!CN68*Storage_rounded_off_prod!$A$44</f>
        <v>0</v>
      </c>
      <c r="CO68" s="197">
        <f>Storage_Reconciled_prod!CO68*Storage_Reconciled_prod!$A$44+Storage_rounded_off_prod!CO68*Storage_rounded_off_prod!$A$44</f>
        <v>0</v>
      </c>
      <c r="CP68" s="197">
        <f>Storage_Reconciled_prod!CP68*Storage_Reconciled_prod!$A$44+Storage_rounded_off_prod!CP68*Storage_rounded_off_prod!$A$44</f>
        <v>0</v>
      </c>
      <c r="CQ68" s="197">
        <f>Storage_Reconciled_prod!CQ68*Storage_Reconciled_prod!$A$44+Storage_rounded_off_prod!CQ68*Storage_rounded_off_prod!$A$44</f>
        <v>0</v>
      </c>
      <c r="CR68" s="197">
        <f>Storage_Reconciled_prod!CR68*Storage_Reconciled_prod!$A$44+Storage_rounded_off_prod!CR68*Storage_rounded_off_prod!$A$44</f>
        <v>0</v>
      </c>
      <c r="CS68" s="197">
        <f>Storage_Reconciled_prod!CS68*Storage_Reconciled_prod!$A$44+Storage_rounded_off_prod!CS68*Storage_rounded_off_prod!$A$44</f>
        <v>0</v>
      </c>
      <c r="CT68" s="197">
        <f>Storage_Reconciled_prod!CT68*Storage_Reconciled_prod!$A$44+Storage_rounded_off_prod!CT68*Storage_rounded_off_prod!$A$44</f>
        <v>0</v>
      </c>
      <c r="CU68" s="197">
        <f>Storage_Reconciled_prod!CU68*Storage_Reconciled_prod!$A$44+Storage_rounded_off_prod!CU68*Storage_rounded_off_prod!$A$44</f>
        <v>0</v>
      </c>
    </row>
    <row r="69" spans="1:99">
      <c r="C69">
        <v>6</v>
      </c>
      <c r="D69" s="209" t="s">
        <v>57</v>
      </c>
      <c r="E69" s="197">
        <f>Storage_Reconciled_prod!E69*Storage_Reconciled_prod!$A$44+Storage_rounded_off_prod!E69*Storage_rounded_off_prod!$A$44</f>
        <v>8.0000000000000002E-3</v>
      </c>
      <c r="F69" s="197">
        <f>Storage_Reconciled_prod!F69*Storage_Reconciled_prod!$A$44+Storage_rounded_off_prod!F69*Storage_rounded_off_prod!$A$44</f>
        <v>8.0000000000000002E-3</v>
      </c>
      <c r="G69" s="197">
        <f>Storage_Reconciled_prod!G69*Storage_Reconciled_prod!$A$44+Storage_rounded_off_prod!G69*Storage_rounded_off_prod!$A$44</f>
        <v>6.0000000000000001E-3</v>
      </c>
      <c r="H69" s="197">
        <f>Storage_Reconciled_prod!H69*Storage_Reconciled_prod!$A$44+Storage_rounded_off_prod!H69*Storage_rounded_off_prod!$A$44</f>
        <v>2.1999999999999999E-2</v>
      </c>
      <c r="I69" s="197">
        <f>Storage_Reconciled_prod!I69*Storage_Reconciled_prod!$A$44+Storage_rounded_off_prod!I69*Storage_rounded_off_prod!$A$44</f>
        <v>6.0000000000000001E-3</v>
      </c>
      <c r="J69" s="197">
        <f>Storage_Reconciled_prod!J69*Storage_Reconciled_prod!$A$44+Storage_rounded_off_prod!J69*Storage_rounded_off_prod!$A$44</f>
        <v>7.0000000000000001E-3</v>
      </c>
      <c r="K69" s="197">
        <f>Storage_Reconciled_prod!K69*Storage_Reconciled_prod!$A$44+Storage_rounded_off_prod!K69*Storage_rounded_off_prod!$A$44</f>
        <v>5.0000000000000001E-3</v>
      </c>
      <c r="L69" s="197">
        <f>Storage_Reconciled_prod!L69*Storage_Reconciled_prod!$A$44+Storage_rounded_off_prod!L69*Storage_rounded_off_prod!$A$44</f>
        <v>1.8000000000000002E-2</v>
      </c>
      <c r="M69" s="197">
        <f>Storage_Reconciled_prod!M69*Storage_Reconciled_prod!$A$44+Storage_rounded_off_prod!M69*Storage_rounded_off_prod!$A$44</f>
        <v>0.04</v>
      </c>
      <c r="N69" s="197">
        <f>Storage_Reconciled_prod!N69*Storage_Reconciled_prod!$A$44+Storage_rounded_off_prod!N69*Storage_rounded_off_prod!$A$44</f>
        <v>4.0000000000000001E-3</v>
      </c>
      <c r="O69" s="197">
        <f>Storage_Reconciled_prod!O69*Storage_Reconciled_prod!$A$44+Storage_rounded_off_prod!O69*Storage_rounded_off_prod!$A$44</f>
        <v>8.9999999999999993E-3</v>
      </c>
      <c r="P69" s="197">
        <f>Storage_Reconciled_prod!P69*Storage_Reconciled_prod!$A$44+Storage_rounded_off_prod!P69*Storage_rounded_off_prod!$A$44</f>
        <v>5.9999999999999993E-3</v>
      </c>
      <c r="Q69" s="197">
        <f>Storage_Reconciled_prod!Q69*Storage_Reconciled_prod!$A$44+Storage_rounded_off_prod!Q69*Storage_rounded_off_prod!$A$44</f>
        <v>1.9E-2</v>
      </c>
      <c r="R69" s="197">
        <f>Storage_Reconciled_prod!R69*Storage_Reconciled_prod!$A$44+Storage_rounded_off_prod!R69*Storage_rounded_off_prod!$A$44</f>
        <v>5.8999999999999997E-2</v>
      </c>
      <c r="S69" s="197">
        <f>Storage_Reconciled_prod!S69*Storage_Reconciled_prod!$A$44+Storage_rounded_off_prod!S69*Storage_rounded_off_prod!$A$44</f>
        <v>6.0000000000000001E-3</v>
      </c>
      <c r="T69" s="197">
        <f>Storage_Reconciled_prod!T69*Storage_Reconciled_prod!$A$44+Storage_rounded_off_prod!T69*Storage_rounded_off_prod!$A$44</f>
        <v>9.0000000000000011E-3</v>
      </c>
      <c r="U69" s="197">
        <f>Storage_Reconciled_prod!U69*Storage_Reconciled_prod!$A$44+Storage_rounded_off_prod!U69*Storage_rounded_off_prod!$A$44</f>
        <v>5.0000000000000001E-3</v>
      </c>
      <c r="V69" s="197">
        <f>Storage_Reconciled_prod!V69*Storage_Reconciled_prod!$A$44+Storage_rounded_off_prod!V69*Storage_rounded_off_prod!$A$44</f>
        <v>0.02</v>
      </c>
      <c r="W69" s="197">
        <f>Storage_Reconciled_prod!W69*Storage_Reconciled_prod!$A$44+Storage_rounded_off_prod!W69*Storage_rounded_off_prod!$A$44</f>
        <v>7.9000000000000001E-2</v>
      </c>
      <c r="X69" s="197">
        <f>Storage_Reconciled_prod!X69*Storage_Reconciled_prod!$A$44+Storage_rounded_off_prod!X69*Storage_rounded_off_prod!$A$44</f>
        <v>7.0000000000000001E-3</v>
      </c>
      <c r="Y69" s="197">
        <f>Storage_Reconciled_prod!Y69*Storage_Reconciled_prod!$A$44+Storage_rounded_off_prod!Y69*Storage_rounded_off_prod!$A$44</f>
        <v>7.0000000000000001E-3</v>
      </c>
      <c r="Z69" s="197">
        <f>Storage_Reconciled_prod!Z69*Storage_Reconciled_prod!$A$44+Storage_rounded_off_prod!Z69*Storage_rounded_off_prod!$A$44</f>
        <v>6.0000000000000001E-3</v>
      </c>
      <c r="AA69" s="197">
        <f>Storage_Reconciled_prod!AA69*Storage_Reconciled_prod!$A$44+Storage_rounded_off_prod!AA69*Storage_rounded_off_prod!$A$44</f>
        <v>0.02</v>
      </c>
      <c r="AB69" s="197">
        <f>Storage_Reconciled_prod!AB69*Storage_Reconciled_prod!$A$44+Storage_rounded_off_prod!AB69*Storage_rounded_off_prod!$A$44</f>
        <v>4.0000000000000001E-3</v>
      </c>
      <c r="AC69" s="197">
        <f>Storage_Reconciled_prod!AC69*Storage_Reconciled_prod!$A$44+Storage_rounded_off_prod!AC69*Storage_rounded_off_prod!$A$44</f>
        <v>7.0000000000000001E-3</v>
      </c>
      <c r="AD69" s="197">
        <f>Storage_Reconciled_prod!AD69*Storage_Reconciled_prod!$A$44+Storage_rounded_off_prod!AD69*Storage_rounded_off_prod!$A$44</f>
        <v>6.0000000000000001E-3</v>
      </c>
      <c r="AE69" s="197">
        <f>Storage_Reconciled_prod!AE69*Storage_Reconciled_prod!$A$44+Storage_rounded_off_prod!AE69*Storage_rounded_off_prod!$A$44</f>
        <v>1.7000000000000001E-2</v>
      </c>
      <c r="AF69" s="197">
        <f>Storage_Reconciled_prod!AF69*Storage_Reconciled_prod!$A$44+Storage_rounded_off_prod!AF69*Storage_rounded_off_prod!$A$44</f>
        <v>3.7000000000000005E-2</v>
      </c>
      <c r="AG69" s="197">
        <f>Storage_Reconciled_prod!AG69*Storage_Reconciled_prod!$A$44+Storage_rounded_off_prod!AG69*Storage_rounded_off_prod!$A$44</f>
        <v>9.0000000000000011E-3</v>
      </c>
      <c r="AH69" s="197">
        <f>Storage_Reconciled_prod!AH69*Storage_Reconciled_prod!$A$44+Storage_rounded_off_prod!AH69*Storage_rounded_off_prod!$A$44</f>
        <v>6.0000000000000001E-3</v>
      </c>
      <c r="AI69" s="197">
        <f>Storage_Reconciled_prod!AI69*Storage_Reconciled_prod!$A$44+Storage_rounded_off_prod!AI69*Storage_rounded_off_prod!$A$44</f>
        <v>8.0000000000000002E-3</v>
      </c>
      <c r="AJ69" s="197">
        <f>Storage_Reconciled_prod!AJ69*Storage_Reconciled_prod!$A$44+Storage_rounded_off_prod!AJ69*Storage_rounded_off_prod!$A$44</f>
        <v>2.3E-2</v>
      </c>
      <c r="AK69" s="197">
        <f>Storage_Reconciled_prod!AK69*Storage_Reconciled_prod!$A$44+Storage_rounded_off_prod!AK69*Storage_rounded_off_prod!$A$44</f>
        <v>6.0000000000000005E-2</v>
      </c>
      <c r="AL69" s="197">
        <f>Storage_Reconciled_prod!AL69*Storage_Reconciled_prod!$A$44+Storage_rounded_off_prod!AL69*Storage_rounded_off_prod!$A$44</f>
        <v>6.0000000000000001E-3</v>
      </c>
      <c r="AM69" s="197">
        <f>Storage_Reconciled_prod!AM69*Storage_Reconciled_prod!$A$44+Storage_rounded_off_prod!AM69*Storage_rounded_off_prod!$A$44</f>
        <v>7.0000000000000001E-3</v>
      </c>
      <c r="AN69" s="197">
        <f>Storage_Reconciled_prod!AN69*Storage_Reconciled_prod!$A$44+Storage_rounded_off_prod!AN69*Storage_rounded_off_prod!$A$44</f>
        <v>8.9999999999999993E-3</v>
      </c>
      <c r="AO69" s="197">
        <f>Storage_Reconciled_prod!AO69*Storage_Reconciled_prod!$A$44+Storage_rounded_off_prod!AO69*Storage_rounded_off_prod!$A$44</f>
        <v>2.1999999999999999E-2</v>
      </c>
      <c r="AP69" s="197">
        <f>Storage_Reconciled_prod!AP69*Storage_Reconciled_prod!$A$44+Storage_rounded_off_prod!AP69*Storage_rounded_off_prod!$A$44</f>
        <v>8.2000000000000003E-2</v>
      </c>
      <c r="AQ69" s="197">
        <f>Storage_Reconciled_prod!AQ69*Storage_Reconciled_prod!$A$44+Storage_rounded_off_prod!AQ69*Storage_rounded_off_prod!$A$44</f>
        <v>6.0000000000000001E-3</v>
      </c>
      <c r="AR69" s="197">
        <f>Storage_Reconciled_prod!AR69*Storage_Reconciled_prod!$A$44+Storage_rounded_off_prod!AR69*Storage_rounded_off_prod!$A$44</f>
        <v>6.0000000000000001E-3</v>
      </c>
      <c r="AS69" s="197">
        <f>Storage_Reconciled_prod!AS69*Storage_Reconciled_prod!$A$44+Storage_rounded_off_prod!AS69*Storage_rounded_off_prod!$A$44</f>
        <v>6.0000000000000001E-3</v>
      </c>
      <c r="AT69" s="197">
        <f>Storage_Reconciled_prod!AT69*Storage_Reconciled_prod!$A$44+Storage_rounded_off_prod!AT69*Storage_rounded_off_prod!$A$44</f>
        <v>1.8000000000000002E-2</v>
      </c>
      <c r="AU69" s="197">
        <f>Storage_Reconciled_prod!AU69*Storage_Reconciled_prod!$A$44+Storage_rounded_off_prod!AU69*Storage_rounded_off_prod!$A$44</f>
        <v>7.0000000000000001E-3</v>
      </c>
      <c r="AV69" s="197">
        <f>Storage_Reconciled_prod!AV69*Storage_Reconciled_prod!$A$44+Storage_rounded_off_prod!AV69*Storage_rounded_off_prod!$A$44</f>
        <v>7.0000000000000001E-3</v>
      </c>
      <c r="AW69" s="197">
        <f>Storage_Reconciled_prod!AW69*Storage_Reconciled_prod!$A$44+Storage_rounded_off_prod!AW69*Storage_rounded_off_prod!$A$44</f>
        <v>7.0000000000000001E-3</v>
      </c>
      <c r="AX69" s="197">
        <f>Storage_Reconciled_prod!AX69*Storage_Reconciled_prod!$A$44+Storage_rounded_off_prod!AX69*Storage_rounded_off_prod!$A$44</f>
        <v>2.1000000000000001E-2</v>
      </c>
      <c r="AY69" s="197">
        <f>Storage_Reconciled_prod!AY69*Storage_Reconciled_prod!$A$44+Storage_rounded_off_prod!AY69*Storage_rounded_off_prod!$A$44</f>
        <v>3.9000000000000007E-2</v>
      </c>
      <c r="AZ69" s="197">
        <f>Storage_Reconciled_prod!AZ69*Storage_Reconciled_prod!$A$44+Storage_rounded_off_prod!AZ69*Storage_rounded_off_prod!$A$44</f>
        <v>7.0000000000000001E-3</v>
      </c>
      <c r="BA69" s="197">
        <f>Storage_Reconciled_prod!BA69*Storage_Reconciled_prod!$A$44+Storage_rounded_off_prod!BA69*Storage_rounded_off_prod!$A$44</f>
        <v>2.1999999999999999E-2</v>
      </c>
      <c r="BB69" s="197">
        <f>Storage_Reconciled_prod!BB69*Storage_Reconciled_prod!$A$44+Storage_rounded_off_prod!BB69*Storage_rounded_off_prod!$A$44</f>
        <v>1.2E-2</v>
      </c>
      <c r="BC69" s="197">
        <f>Storage_Reconciled_prod!BC69*Storage_Reconciled_prod!$A$44+Storage_rounded_off_prod!BC69*Storage_rounded_off_prod!$A$44</f>
        <v>4.0999999999999995E-2</v>
      </c>
      <c r="BD69" s="197">
        <f>Storage_Reconciled_prod!BD69*Storage_Reconciled_prod!$A$44+Storage_rounded_off_prod!BD69*Storage_rounded_off_prod!$A$44</f>
        <v>0.08</v>
      </c>
      <c r="BE69" s="197">
        <f>Storage_Reconciled_prod!BE69*Storage_Reconciled_prod!$A$44+Storage_rounded_off_prod!BE69*Storage_rounded_off_prod!$A$44</f>
        <v>1.2999999999999999E-2</v>
      </c>
      <c r="BF69" s="197">
        <f>Storage_Reconciled_prod!BF69*Storage_Reconciled_prod!$A$44+Storage_rounded_off_prod!BF69*Storage_rounded_off_prod!$A$44</f>
        <v>1.0999999999999999E-2</v>
      </c>
      <c r="BG69" s="197">
        <f>Storage_Reconciled_prod!BG69*Storage_Reconciled_prod!$A$44+Storage_rounded_off_prod!BG69*Storage_rounded_off_prod!$A$44</f>
        <v>1.2E-2</v>
      </c>
      <c r="BH69" s="197">
        <f>Storage_Reconciled_prod!BH69*Storage_Reconciled_prod!$A$44+Storage_rounded_off_prod!BH69*Storage_rounded_off_prod!$A$44</f>
        <v>3.6000000000000004E-2</v>
      </c>
      <c r="BI69" s="197">
        <f>Storage_Reconciled_prod!BI69*Storage_Reconciled_prod!$A$44+Storage_rounded_off_prod!BI69*Storage_rounded_off_prod!$A$44</f>
        <v>0.11600000000000001</v>
      </c>
      <c r="BJ69" s="197">
        <f>Storage_Reconciled_prod!BJ69*Storage_Reconciled_prod!$A$44+Storage_rounded_off_prod!BJ69*Storage_rounded_off_prod!$A$44</f>
        <v>8.9999999999999993E-3</v>
      </c>
      <c r="BK69" s="197">
        <f>Storage_Reconciled_prod!BK69*Storage_Reconciled_prod!$A$44+Storage_rounded_off_prod!BK69*Storage_rounded_off_prod!$A$44</f>
        <v>8.0000000000000002E-3</v>
      </c>
      <c r="BL69" s="197">
        <f>Storage_Reconciled_prod!BL69*Storage_Reconciled_prod!$A$44+Storage_rounded_off_prod!BL69*Storage_rounded_off_prod!$A$44</f>
        <v>8.0000000000000002E-3</v>
      </c>
      <c r="BM69" s="197">
        <f>Storage_Reconciled_prod!BM69*Storage_Reconciled_prod!$A$44+Storage_rounded_off_prod!BM69*Storage_rounded_off_prod!$A$44</f>
        <v>2.5000000000000001E-2</v>
      </c>
      <c r="BN69" s="197">
        <f>Storage_Reconciled_prod!BN69*Storage_Reconciled_prod!$A$44+Storage_rounded_off_prod!BN69*Storage_rounded_off_prod!$A$44</f>
        <v>8.0000000000000002E-3</v>
      </c>
      <c r="BO69" s="197">
        <f>Storage_Reconciled_prod!BO69*Storage_Reconciled_prod!$A$44+Storage_rounded_off_prod!BO69*Storage_rounded_off_prod!$A$44</f>
        <v>8.9999999999999993E-3</v>
      </c>
      <c r="BP69" s="197">
        <f>Storage_Reconciled_prod!BP69*Storage_Reconciled_prod!$A$44+Storage_rounded_off_prod!BP69*Storage_rounded_off_prod!$A$44</f>
        <v>0.01</v>
      </c>
      <c r="BQ69" s="197">
        <f>Storage_Reconciled_prod!BQ69*Storage_Reconciled_prod!$A$44+Storage_rounded_off_prod!BQ69*Storage_rounded_off_prod!$A$44</f>
        <v>2.7000000000000003E-2</v>
      </c>
      <c r="BR69" s="197">
        <f>Storage_Reconciled_prod!BR69*Storage_Reconciled_prod!$A$44+Storage_rounded_off_prod!BR69*Storage_rounded_off_prod!$A$44</f>
        <v>5.2000000000000005E-2</v>
      </c>
      <c r="BS69" s="197">
        <f>Storage_Reconciled_prod!BS69*Storage_Reconciled_prod!$A$44+Storage_rounded_off_prod!BS69*Storage_rounded_off_prod!$A$44</f>
        <v>0.01</v>
      </c>
      <c r="BT69" s="197">
        <f>Storage_Reconciled_prod!BT69*Storage_Reconciled_prod!$A$44+Storage_rounded_off_prod!BT69*Storage_rounded_off_prod!$A$44</f>
        <v>1.0999999999999999E-2</v>
      </c>
      <c r="BU69" s="197">
        <f>Storage_Reconciled_prod!BU69*Storage_Reconciled_prod!$A$44+Storage_rounded_off_prod!BU69*Storage_rounded_off_prod!$A$44</f>
        <v>1.2E-2</v>
      </c>
      <c r="BV69" s="197">
        <f>Storage_Reconciled_prod!BV69*Storage_Reconciled_prod!$A$44+Storage_rounded_off_prod!BV69*Storage_rounded_off_prod!$A$44</f>
        <v>3.3000000000000002E-2</v>
      </c>
      <c r="BW69" s="197">
        <f>Storage_Reconciled_prod!BW69*Storage_Reconciled_prod!$A$44+Storage_rounded_off_prod!BW69*Storage_rounded_off_prod!$A$44</f>
        <v>8.5000000000000006E-2</v>
      </c>
      <c r="BX69" s="197">
        <f>Storage_Reconciled_prod!BX69*Storage_Reconciled_prod!$A$44+Storage_rounded_off_prod!BX69*Storage_rounded_off_prod!$A$44</f>
        <v>1.4999999999999999E-2</v>
      </c>
      <c r="BY69" s="197">
        <f>Storage_Reconciled_prod!BY69*Storage_Reconciled_prod!$A$44+Storage_rounded_off_prod!BY69*Storage_rounded_off_prod!$A$44</f>
        <v>1.2999999999999999E-2</v>
      </c>
      <c r="BZ69" s="197">
        <f>Storage_Reconciled_prod!BZ69*Storage_Reconciled_prod!$A$44+Storage_rounded_off_prod!BZ69*Storage_rounded_off_prod!$A$44</f>
        <v>1.2999999999999999E-2</v>
      </c>
      <c r="CA69" s="197">
        <f>Storage_Reconciled_prod!CA69*Storage_Reconciled_prod!$A$44+Storage_rounded_off_prod!CA69*Storage_rounded_off_prod!$A$44</f>
        <v>4.0999999999999995E-2</v>
      </c>
      <c r="CB69" s="197">
        <f>Storage_Reconciled_prod!CB69*Storage_Reconciled_prod!$A$44+Storage_rounded_off_prod!CB69*Storage_rounded_off_prod!$A$44</f>
        <v>0.127</v>
      </c>
      <c r="CC69" s="197">
        <f>Storage_Reconciled_prod!CC69*Storage_Reconciled_prod!$A$44+Storage_rounded_off_prod!CC69*Storage_rounded_off_prod!$A$44</f>
        <v>1.2999999999999999E-2</v>
      </c>
      <c r="CD69" s="197">
        <f>Storage_Reconciled_prod!CD69*Storage_Reconciled_prod!$A$44+Storage_rounded_off_prod!CD69*Storage_rounded_off_prod!$A$44</f>
        <v>1.2999999999999999E-2</v>
      </c>
      <c r="CE69" s="197">
        <f>Storage_Reconciled_prod!CE69*Storage_Reconciled_prod!$A$44+Storage_rounded_off_prod!CE69*Storage_rounded_off_prod!$A$44</f>
        <v>0.01</v>
      </c>
      <c r="CF69" s="197">
        <f>Storage_Reconciled_prod!CF69*Storage_Reconciled_prod!$A$44+Storage_rounded_off_prod!CF69*Storage_rounded_off_prod!$A$44</f>
        <v>3.5999999999999997E-2</v>
      </c>
      <c r="CG69" s="197">
        <f>Storage_Reconciled_prod!CG69*Storage_Reconciled_prod!$A$44+Storage_rounded_off_prod!CG69*Storage_rounded_off_prod!$A$44</f>
        <v>8.0000000000000002E-3</v>
      </c>
      <c r="CH69" s="197">
        <f>Storage_Reconciled_prod!CH69*Storage_Reconciled_prod!$A$44+Storage_rounded_off_prod!CH69*Storage_rounded_off_prod!$A$44</f>
        <v>0</v>
      </c>
      <c r="CI69" s="197">
        <f>Storage_Reconciled_prod!CI69*Storage_Reconciled_prod!$A$44+Storage_rounded_off_prod!CI69*Storage_rounded_off_prod!$A$44</f>
        <v>0</v>
      </c>
      <c r="CJ69" s="197">
        <f>Storage_Reconciled_prod!CJ69*Storage_Reconciled_prod!$A$44+Storage_rounded_off_prod!CJ69*Storage_rounded_off_prod!$A$44</f>
        <v>0</v>
      </c>
      <c r="CK69" s="197">
        <f>Storage_Reconciled_prod!CK69*Storage_Reconciled_prod!$A$44+Storage_rounded_off_prod!CK69*Storage_rounded_off_prod!$A$44</f>
        <v>0</v>
      </c>
      <c r="CL69" s="197">
        <f>Storage_Reconciled_prod!CL69*Storage_Reconciled_prod!$A$44+Storage_rounded_off_prod!CL69*Storage_rounded_off_prod!$A$44</f>
        <v>0</v>
      </c>
      <c r="CM69" s="197">
        <f>Storage_Reconciled_prod!CM69*Storage_Reconciled_prod!$A$44+Storage_rounded_off_prod!CM69*Storage_rounded_off_prod!$A$44</f>
        <v>0</v>
      </c>
      <c r="CN69" s="197">
        <f>Storage_Reconciled_prod!CN69*Storage_Reconciled_prod!$A$44+Storage_rounded_off_prod!CN69*Storage_rounded_off_prod!$A$44</f>
        <v>0</v>
      </c>
      <c r="CO69" s="197">
        <f>Storage_Reconciled_prod!CO69*Storage_Reconciled_prod!$A$44+Storage_rounded_off_prod!CO69*Storage_rounded_off_prod!$A$44</f>
        <v>0</v>
      </c>
      <c r="CP69" s="197">
        <f>Storage_Reconciled_prod!CP69*Storage_Reconciled_prod!$A$44+Storage_rounded_off_prod!CP69*Storage_rounded_off_prod!$A$44</f>
        <v>0</v>
      </c>
      <c r="CQ69" s="197">
        <f>Storage_Reconciled_prod!CQ69*Storage_Reconciled_prod!$A$44+Storage_rounded_off_prod!CQ69*Storage_rounded_off_prod!$A$44</f>
        <v>0</v>
      </c>
      <c r="CR69" s="197">
        <f>Storage_Reconciled_prod!CR69*Storage_Reconciled_prod!$A$44+Storage_rounded_off_prod!CR69*Storage_rounded_off_prod!$A$44</f>
        <v>0</v>
      </c>
      <c r="CS69" s="197">
        <f>Storage_Reconciled_prod!CS69*Storage_Reconciled_prod!$A$44+Storage_rounded_off_prod!CS69*Storage_rounded_off_prod!$A$44</f>
        <v>0</v>
      </c>
      <c r="CT69" s="197">
        <f>Storage_Reconciled_prod!CT69*Storage_Reconciled_prod!$A$44+Storage_rounded_off_prod!CT69*Storage_rounded_off_prod!$A$44</f>
        <v>0</v>
      </c>
      <c r="CU69" s="197">
        <f>Storage_Reconciled_prod!CU69*Storage_Reconciled_prod!$A$44+Storage_rounded_off_prod!CU69*Storage_rounded_off_prod!$A$44</f>
        <v>0</v>
      </c>
    </row>
    <row r="70" spans="1:99">
      <c r="C70">
        <v>7</v>
      </c>
      <c r="D70" s="209" t="s">
        <v>58</v>
      </c>
      <c r="E70" s="197">
        <f>Storage_Reconciled_prod!E70*Storage_Reconciled_prod!$A$44+Storage_rounded_off_prod!E70*Storage_rounded_off_prod!$A$44</f>
        <v>0</v>
      </c>
      <c r="F70" s="197">
        <f>Storage_Reconciled_prod!F70*Storage_Reconciled_prod!$A$44+Storage_rounded_off_prod!F70*Storage_rounded_off_prod!$A$44</f>
        <v>0</v>
      </c>
      <c r="G70" s="197">
        <f>Storage_Reconciled_prod!G70*Storage_Reconciled_prod!$A$44+Storage_rounded_off_prod!G70*Storage_rounded_off_prod!$A$44</f>
        <v>1E-3</v>
      </c>
      <c r="H70" s="197">
        <f>Storage_Reconciled_prod!H70*Storage_Reconciled_prod!$A$44+Storage_rounded_off_prod!H70*Storage_rounded_off_prod!$A$44</f>
        <v>1E-3</v>
      </c>
      <c r="I70" s="197">
        <f>Storage_Reconciled_prod!I70*Storage_Reconciled_prod!$A$44+Storage_rounded_off_prod!I70*Storage_rounded_off_prod!$A$44</f>
        <v>2E-3</v>
      </c>
      <c r="J70" s="197">
        <f>Storage_Reconciled_prod!J70*Storage_Reconciled_prod!$A$44+Storage_rounded_off_prod!J70*Storage_rounded_off_prod!$A$44</f>
        <v>2.9999999999999996E-3</v>
      </c>
      <c r="K70" s="197">
        <f>Storage_Reconciled_prod!K70*Storage_Reconciled_prod!$A$44+Storage_rounded_off_prod!K70*Storage_rounded_off_prod!$A$44</f>
        <v>3.0000000000000001E-3</v>
      </c>
      <c r="L70" s="197">
        <f>Storage_Reconciled_prod!L70*Storage_Reconciled_prod!$A$44+Storage_rounded_off_prod!L70*Storage_rounded_off_prod!$A$44</f>
        <v>8.0000000000000002E-3</v>
      </c>
      <c r="M70" s="197">
        <f>Storage_Reconciled_prod!M70*Storage_Reconciled_prod!$A$44+Storage_rounded_off_prod!M70*Storage_rounded_off_prod!$A$44</f>
        <v>9.0000000000000011E-3</v>
      </c>
      <c r="N70" s="197">
        <f>Storage_Reconciled_prod!N70*Storage_Reconciled_prod!$A$44+Storage_rounded_off_prod!N70*Storage_rounded_off_prod!$A$44</f>
        <v>2.9999999999999996E-3</v>
      </c>
      <c r="O70" s="197">
        <f>Storage_Reconciled_prod!O70*Storage_Reconciled_prod!$A$44+Storage_rounded_off_prod!O70*Storage_rounded_off_prod!$A$44</f>
        <v>2E-3</v>
      </c>
      <c r="P70" s="197">
        <f>Storage_Reconciled_prod!P70*Storage_Reconciled_prod!$A$44+Storage_rounded_off_prod!P70*Storage_rounded_off_prod!$A$44</f>
        <v>1E-3</v>
      </c>
      <c r="Q70" s="197">
        <f>Storage_Reconciled_prod!Q70*Storage_Reconciled_prod!$A$44+Storage_rounded_off_prod!Q70*Storage_rounded_off_prod!$A$44</f>
        <v>5.9999999999999993E-3</v>
      </c>
      <c r="R70" s="197">
        <f>Storage_Reconciled_prod!R70*Storage_Reconciled_prod!$A$44+Storage_rounded_off_prod!R70*Storage_rounded_off_prod!$A$44</f>
        <v>1.4999999999999999E-2</v>
      </c>
      <c r="S70" s="197">
        <f>Storage_Reconciled_prod!S70*Storage_Reconciled_prod!$A$44+Storage_rounded_off_prod!S70*Storage_rounded_off_prod!$A$44</f>
        <v>3.0000000000000001E-3</v>
      </c>
      <c r="T70" s="197">
        <f>Storage_Reconciled_prod!T70*Storage_Reconciled_prod!$A$44+Storage_rounded_off_prod!T70*Storage_rounded_off_prod!$A$44</f>
        <v>2E-3</v>
      </c>
      <c r="U70" s="197">
        <f>Storage_Reconciled_prod!U70*Storage_Reconciled_prod!$A$44+Storage_rounded_off_prod!U70*Storage_rounded_off_prod!$A$44</f>
        <v>2E-3</v>
      </c>
      <c r="V70" s="197">
        <f>Storage_Reconciled_prod!V70*Storage_Reconciled_prod!$A$44+Storage_rounded_off_prod!V70*Storage_rounded_off_prod!$A$44</f>
        <v>7.0000000000000001E-3</v>
      </c>
      <c r="W70" s="197">
        <f>Storage_Reconciled_prod!W70*Storage_Reconciled_prod!$A$44+Storage_rounded_off_prod!W70*Storage_rounded_off_prod!$A$44</f>
        <v>2.1999999999999999E-2</v>
      </c>
      <c r="X70" s="197">
        <f>Storage_Reconciled_prod!X70*Storage_Reconciled_prod!$A$44+Storage_rounded_off_prod!X70*Storage_rounded_off_prod!$A$44</f>
        <v>3.0000000000000001E-3</v>
      </c>
      <c r="Y70" s="197">
        <f>Storage_Reconciled_prod!Y70*Storage_Reconciled_prod!$A$44+Storage_rounded_off_prod!Y70*Storage_rounded_off_prod!$A$44</f>
        <v>2E-3</v>
      </c>
      <c r="Z70" s="197">
        <f>Storage_Reconciled_prod!Z70*Storage_Reconciled_prod!$A$44+Storage_rounded_off_prod!Z70*Storage_rounded_off_prod!$A$44</f>
        <v>2E-3</v>
      </c>
      <c r="AA70" s="197">
        <f>Storage_Reconciled_prod!AA70*Storage_Reconciled_prod!$A$44+Storage_rounded_off_prod!AA70*Storage_rounded_off_prod!$A$44</f>
        <v>7.0000000000000001E-3</v>
      </c>
      <c r="AB70" s="197">
        <f>Storage_Reconciled_prod!AB70*Storage_Reconciled_prod!$A$44+Storage_rounded_off_prod!AB70*Storage_rounded_off_prod!$A$44</f>
        <v>3.0000000000000001E-3</v>
      </c>
      <c r="AC70" s="197">
        <f>Storage_Reconciled_prod!AC70*Storage_Reconciled_prod!$A$44+Storage_rounded_off_prod!AC70*Storage_rounded_off_prod!$A$44</f>
        <v>4.0000000000000001E-3</v>
      </c>
      <c r="AD70" s="197">
        <f>Storage_Reconciled_prod!AD70*Storage_Reconciled_prod!$A$44+Storage_rounded_off_prod!AD70*Storage_rounded_off_prod!$A$44</f>
        <v>3.0000000000000001E-3</v>
      </c>
      <c r="AE70" s="197">
        <f>Storage_Reconciled_prod!AE70*Storage_Reconciled_prod!$A$44+Storage_rounded_off_prod!AE70*Storage_rounded_off_prod!$A$44</f>
        <v>0.01</v>
      </c>
      <c r="AF70" s="197">
        <f>Storage_Reconciled_prod!AF70*Storage_Reconciled_prod!$A$44+Storage_rounded_off_prod!AF70*Storage_rounded_off_prod!$A$44</f>
        <v>1.7000000000000001E-2</v>
      </c>
      <c r="AG70" s="197">
        <f>Storage_Reconciled_prod!AG70*Storage_Reconciled_prod!$A$44+Storage_rounded_off_prod!AG70*Storage_rounded_off_prod!$A$44</f>
        <v>0</v>
      </c>
      <c r="AH70" s="197">
        <f>Storage_Reconciled_prod!AH70*Storage_Reconciled_prod!$A$44+Storage_rounded_off_prod!AH70*Storage_rounded_off_prod!$A$44</f>
        <v>2E-3</v>
      </c>
      <c r="AI70" s="197">
        <f>Storage_Reconciled_prod!AI70*Storage_Reconciled_prod!$A$44+Storage_rounded_off_prod!AI70*Storage_rounded_off_prod!$A$44</f>
        <v>2E-3</v>
      </c>
      <c r="AJ70" s="197">
        <f>Storage_Reconciled_prod!AJ70*Storage_Reconciled_prod!$A$44+Storage_rounded_off_prod!AJ70*Storage_rounded_off_prod!$A$44</f>
        <v>4.0000000000000001E-3</v>
      </c>
      <c r="AK70" s="197">
        <f>Storage_Reconciled_prod!AK70*Storage_Reconciled_prod!$A$44+Storage_rounded_off_prod!AK70*Storage_rounded_off_prod!$A$44</f>
        <v>2.1000000000000001E-2</v>
      </c>
      <c r="AL70" s="197">
        <f>Storage_Reconciled_prod!AL70*Storage_Reconciled_prod!$A$44+Storage_rounded_off_prod!AL70*Storage_rounded_off_prod!$A$44</f>
        <v>3.0000000000000001E-3</v>
      </c>
      <c r="AM70" s="197">
        <f>Storage_Reconciled_prod!AM70*Storage_Reconciled_prod!$A$44+Storage_rounded_off_prod!AM70*Storage_rounded_off_prod!$A$44</f>
        <v>2E-3</v>
      </c>
      <c r="AN70" s="197">
        <f>Storage_Reconciled_prod!AN70*Storage_Reconciled_prod!$A$44+Storage_rounded_off_prod!AN70*Storage_rounded_off_prod!$A$44</f>
        <v>3.0000000000000001E-3</v>
      </c>
      <c r="AO70" s="197">
        <f>Storage_Reconciled_prod!AO70*Storage_Reconciled_prod!$A$44+Storage_rounded_off_prod!AO70*Storage_rounded_off_prod!$A$44</f>
        <v>8.0000000000000002E-3</v>
      </c>
      <c r="AP70" s="197">
        <f>Storage_Reconciled_prod!AP70*Storage_Reconciled_prod!$A$44+Storage_rounded_off_prod!AP70*Storage_rounded_off_prod!$A$44</f>
        <v>2.9000000000000001E-2</v>
      </c>
      <c r="AQ70" s="197">
        <f>Storage_Reconciled_prod!AQ70*Storage_Reconciled_prod!$A$44+Storage_rounded_off_prod!AQ70*Storage_rounded_off_prod!$A$44</f>
        <v>1E-3</v>
      </c>
      <c r="AR70" s="197">
        <f>Storage_Reconciled_prod!AR70*Storage_Reconciled_prod!$A$44+Storage_rounded_off_prod!AR70*Storage_rounded_off_prod!$A$44</f>
        <v>2E-3</v>
      </c>
      <c r="AS70" s="197">
        <f>Storage_Reconciled_prod!AS70*Storage_Reconciled_prod!$A$44+Storage_rounded_off_prod!AS70*Storage_rounded_off_prod!$A$44</f>
        <v>2E-3</v>
      </c>
      <c r="AT70" s="197">
        <f>Storage_Reconciled_prod!AT70*Storage_Reconciled_prod!$A$44+Storage_rounded_off_prod!AT70*Storage_rounded_off_prod!$A$44</f>
        <v>5.0000000000000001E-3</v>
      </c>
      <c r="AU70" s="197">
        <f>Storage_Reconciled_prod!AU70*Storage_Reconciled_prod!$A$44+Storage_rounded_off_prod!AU70*Storage_rounded_off_prod!$A$44</f>
        <v>3.0000000000000001E-3</v>
      </c>
      <c r="AV70" s="197">
        <f>Storage_Reconciled_prod!AV70*Storage_Reconciled_prod!$A$44+Storage_rounded_off_prod!AV70*Storage_rounded_off_prod!$A$44</f>
        <v>3.0000000000000001E-3</v>
      </c>
      <c r="AW70" s="197">
        <f>Storage_Reconciled_prod!AW70*Storage_Reconciled_prod!$A$44+Storage_rounded_off_prod!AW70*Storage_rounded_off_prod!$A$44</f>
        <v>2E-3</v>
      </c>
      <c r="AX70" s="197">
        <f>Storage_Reconciled_prod!AX70*Storage_Reconciled_prod!$A$44+Storage_rounded_off_prod!AX70*Storage_rounded_off_prod!$A$44</f>
        <v>8.0000000000000002E-3</v>
      </c>
      <c r="AY70" s="197">
        <f>Storage_Reconciled_prod!AY70*Storage_Reconciled_prod!$A$44+Storage_rounded_off_prod!AY70*Storage_rounded_off_prod!$A$44</f>
        <v>1.3000000000000001E-2</v>
      </c>
      <c r="AZ70" s="197">
        <f>Storage_Reconciled_prod!AZ70*Storage_Reconciled_prod!$A$44+Storage_rounded_off_prod!AZ70*Storage_rounded_off_prod!$A$44</f>
        <v>2E-3</v>
      </c>
      <c r="BA70" s="197">
        <f>Storage_Reconciled_prod!BA70*Storage_Reconciled_prod!$A$44+Storage_rounded_off_prod!BA70*Storage_rounded_off_prod!$A$44</f>
        <v>2E-3</v>
      </c>
      <c r="BB70" s="197">
        <f>Storage_Reconciled_prod!BB70*Storage_Reconciled_prod!$A$44+Storage_rounded_off_prod!BB70*Storage_rounded_off_prod!$A$44</f>
        <v>3.0000000000000001E-3</v>
      </c>
      <c r="BC70" s="197">
        <f>Storage_Reconciled_prod!BC70*Storage_Reconciled_prod!$A$44+Storage_rounded_off_prod!BC70*Storage_rounded_off_prod!$A$44</f>
        <v>7.0000000000000001E-3</v>
      </c>
      <c r="BD70" s="197">
        <f>Storage_Reconciled_prod!BD70*Storage_Reconciled_prod!$A$44+Storage_rounded_off_prod!BD70*Storage_rounded_off_prod!$A$44</f>
        <v>0.02</v>
      </c>
      <c r="BE70" s="197">
        <f>Storage_Reconciled_prod!BE70*Storage_Reconciled_prod!$A$44+Storage_rounded_off_prod!BE70*Storage_rounded_off_prod!$A$44</f>
        <v>3.0000000000000001E-3</v>
      </c>
      <c r="BF70" s="197">
        <f>Storage_Reconciled_prod!BF70*Storage_Reconciled_prod!$A$44+Storage_rounded_off_prod!BF70*Storage_rounded_off_prod!$A$44</f>
        <v>2E-3</v>
      </c>
      <c r="BG70" s="197">
        <f>Storage_Reconciled_prod!BG70*Storage_Reconciled_prod!$A$44+Storage_rounded_off_prod!BG70*Storage_rounded_off_prod!$A$44</f>
        <v>2E-3</v>
      </c>
      <c r="BH70" s="197">
        <f>Storage_Reconciled_prod!BH70*Storage_Reconciled_prod!$A$44+Storage_rounded_off_prod!BH70*Storage_rounded_off_prod!$A$44</f>
        <v>7.0000000000000001E-3</v>
      </c>
      <c r="BI70" s="197">
        <f>Storage_Reconciled_prod!BI70*Storage_Reconciled_prod!$A$44+Storage_rounded_off_prod!BI70*Storage_rounded_off_prod!$A$44</f>
        <v>2.7E-2</v>
      </c>
      <c r="BJ70" s="197">
        <f>Storage_Reconciled_prod!BJ70*Storage_Reconciled_prod!$A$44+Storage_rounded_off_prod!BJ70*Storage_rounded_off_prod!$A$44</f>
        <v>2E-3</v>
      </c>
      <c r="BK70" s="197">
        <f>Storage_Reconciled_prod!BK70*Storage_Reconciled_prod!$A$44+Storage_rounded_off_prod!BK70*Storage_rounded_off_prod!$A$44</f>
        <v>3.0000000000000001E-3</v>
      </c>
      <c r="BL70" s="197">
        <f>Storage_Reconciled_prod!BL70*Storage_Reconciled_prod!$A$44+Storage_rounded_off_prod!BL70*Storage_rounded_off_prod!$A$44</f>
        <v>4.0000000000000001E-3</v>
      </c>
      <c r="BM70" s="197">
        <f>Storage_Reconciled_prod!BM70*Storage_Reconciled_prod!$A$44+Storage_rounded_off_prod!BM70*Storage_rounded_off_prod!$A$44</f>
        <v>9.0000000000000011E-3</v>
      </c>
      <c r="BN70" s="197">
        <f>Storage_Reconciled_prod!BN70*Storage_Reconciled_prod!$A$44+Storage_rounded_off_prod!BN70*Storage_rounded_off_prod!$A$44</f>
        <v>4.0000000000000001E-3</v>
      </c>
      <c r="BO70" s="197">
        <f>Storage_Reconciled_prod!BO70*Storage_Reconciled_prod!$A$44+Storage_rounded_off_prod!BO70*Storage_rounded_off_prod!$A$44</f>
        <v>3.0000000000000001E-3</v>
      </c>
      <c r="BP70" s="197">
        <f>Storage_Reconciled_prod!BP70*Storage_Reconciled_prod!$A$44+Storage_rounded_off_prod!BP70*Storage_rounded_off_prod!$A$44</f>
        <v>4.0000000000000001E-3</v>
      </c>
      <c r="BQ70" s="197">
        <f>Storage_Reconciled_prod!BQ70*Storage_Reconciled_prod!$A$44+Storage_rounded_off_prod!BQ70*Storage_rounded_off_prod!$A$44</f>
        <v>1.0999999999999999E-2</v>
      </c>
      <c r="BR70" s="197">
        <f>Storage_Reconciled_prod!BR70*Storage_Reconciled_prod!$A$44+Storage_rounded_off_prod!BR70*Storage_rounded_off_prod!$A$44</f>
        <v>0.02</v>
      </c>
      <c r="BS70" s="197">
        <f>Storage_Reconciled_prod!BS70*Storage_Reconciled_prod!$A$44+Storage_rounded_off_prod!BS70*Storage_rounded_off_prod!$A$44</f>
        <v>4.0000000000000001E-3</v>
      </c>
      <c r="BT70" s="197">
        <f>Storage_Reconciled_prod!BT70*Storage_Reconciled_prod!$A$44+Storage_rounded_off_prod!BT70*Storage_rounded_off_prod!$A$44</f>
        <v>2E-3</v>
      </c>
      <c r="BU70" s="197">
        <f>Storage_Reconciled_prod!BU70*Storage_Reconciled_prod!$A$44+Storage_rounded_off_prod!BU70*Storage_rounded_off_prod!$A$44</f>
        <v>0</v>
      </c>
      <c r="BV70" s="197">
        <f>Storage_Reconciled_prod!BV70*Storage_Reconciled_prod!$A$44+Storage_rounded_off_prod!BV70*Storage_rounded_off_prod!$A$44</f>
        <v>6.0000000000000001E-3</v>
      </c>
      <c r="BW70" s="197">
        <f>Storage_Reconciled_prod!BW70*Storage_Reconciled_prod!$A$44+Storage_rounded_off_prod!BW70*Storage_rounded_off_prod!$A$44</f>
        <v>2.6000000000000002E-2</v>
      </c>
      <c r="BX70" s="197">
        <f>Storage_Reconciled_prod!BX70*Storage_Reconciled_prod!$A$44+Storage_rounded_off_prod!BX70*Storage_rounded_off_prod!$A$44</f>
        <v>0</v>
      </c>
      <c r="BY70" s="197">
        <f>Storage_Reconciled_prod!BY70*Storage_Reconciled_prod!$A$44+Storage_rounded_off_prod!BY70*Storage_rounded_off_prod!$A$44</f>
        <v>3.0000000000000001E-3</v>
      </c>
      <c r="BZ70" s="197">
        <f>Storage_Reconciled_prod!BZ70*Storage_Reconciled_prod!$A$44+Storage_rounded_off_prod!BZ70*Storage_rounded_off_prod!$A$44</f>
        <v>4.0000000000000001E-3</v>
      </c>
      <c r="CA70" s="197">
        <f>Storage_Reconciled_prod!CA70*Storage_Reconciled_prod!$A$44+Storage_rounded_off_prod!CA70*Storage_rounded_off_prod!$A$44</f>
        <v>7.0000000000000001E-3</v>
      </c>
      <c r="CB70" s="197">
        <f>Storage_Reconciled_prod!CB70*Storage_Reconciled_prod!$A$44+Storage_rounded_off_prod!CB70*Storage_rounded_off_prod!$A$44</f>
        <v>3.3000000000000002E-2</v>
      </c>
      <c r="CC70" s="197">
        <f>Storage_Reconciled_prod!CC70*Storage_Reconciled_prod!$A$44+Storage_rounded_off_prod!CC70*Storage_rounded_off_prod!$A$44</f>
        <v>4.0000000000000001E-3</v>
      </c>
      <c r="CD70" s="197">
        <f>Storage_Reconciled_prod!CD70*Storage_Reconciled_prod!$A$44+Storage_rounded_off_prod!CD70*Storage_rounded_off_prod!$A$44</f>
        <v>2E-3</v>
      </c>
      <c r="CE70" s="197">
        <f>Storage_Reconciled_prod!CE70*Storage_Reconciled_prod!$A$44+Storage_rounded_off_prod!CE70*Storage_rounded_off_prod!$A$44</f>
        <v>4.0000000000000001E-3</v>
      </c>
      <c r="CF70" s="197">
        <f>Storage_Reconciled_prod!CF70*Storage_Reconciled_prod!$A$44+Storage_rounded_off_prod!CF70*Storage_rounded_off_prod!$A$44</f>
        <v>0.01</v>
      </c>
      <c r="CG70" s="197">
        <f>Storage_Reconciled_prod!CG70*Storage_Reconciled_prod!$A$44+Storage_rounded_off_prod!CG70*Storage_rounded_off_prod!$A$44</f>
        <v>3.0000000000000001E-3</v>
      </c>
      <c r="CH70" s="197">
        <f>Storage_Reconciled_prod!CH70*Storage_Reconciled_prod!$A$44+Storage_rounded_off_prod!CH70*Storage_rounded_off_prod!$A$44</f>
        <v>0</v>
      </c>
      <c r="CI70" s="197">
        <f>Storage_Reconciled_prod!CI70*Storage_Reconciled_prod!$A$44+Storage_rounded_off_prod!CI70*Storage_rounded_off_prod!$A$44</f>
        <v>0</v>
      </c>
      <c r="CJ70" s="197">
        <f>Storage_Reconciled_prod!CJ70*Storage_Reconciled_prod!$A$44+Storage_rounded_off_prod!CJ70*Storage_rounded_off_prod!$A$44</f>
        <v>0</v>
      </c>
      <c r="CK70" s="197">
        <f>Storage_Reconciled_prod!CK70*Storage_Reconciled_prod!$A$44+Storage_rounded_off_prod!CK70*Storage_rounded_off_prod!$A$44</f>
        <v>0</v>
      </c>
      <c r="CL70" s="197">
        <f>Storage_Reconciled_prod!CL70*Storage_Reconciled_prod!$A$44+Storage_rounded_off_prod!CL70*Storage_rounded_off_prod!$A$44</f>
        <v>0</v>
      </c>
      <c r="CM70" s="197">
        <f>Storage_Reconciled_prod!CM70*Storage_Reconciled_prod!$A$44+Storage_rounded_off_prod!CM70*Storage_rounded_off_prod!$A$44</f>
        <v>0</v>
      </c>
      <c r="CN70" s="197">
        <f>Storage_Reconciled_prod!CN70*Storage_Reconciled_prod!$A$44+Storage_rounded_off_prod!CN70*Storage_rounded_off_prod!$A$44</f>
        <v>0</v>
      </c>
      <c r="CO70" s="197">
        <f>Storage_Reconciled_prod!CO70*Storage_Reconciled_prod!$A$44+Storage_rounded_off_prod!CO70*Storage_rounded_off_prod!$A$44</f>
        <v>0</v>
      </c>
      <c r="CP70" s="197">
        <f>Storage_Reconciled_prod!CP70*Storage_Reconciled_prod!$A$44+Storage_rounded_off_prod!CP70*Storage_rounded_off_prod!$A$44</f>
        <v>0</v>
      </c>
      <c r="CQ70" s="197">
        <f>Storage_Reconciled_prod!CQ70*Storage_Reconciled_prod!$A$44+Storage_rounded_off_prod!CQ70*Storage_rounded_off_prod!$A$44</f>
        <v>0</v>
      </c>
      <c r="CR70" s="197">
        <f>Storage_Reconciled_prod!CR70*Storage_Reconciled_prod!$A$44+Storage_rounded_off_prod!CR70*Storage_rounded_off_prod!$A$44</f>
        <v>0</v>
      </c>
      <c r="CS70" s="197">
        <f>Storage_Reconciled_prod!CS70*Storage_Reconciled_prod!$A$44+Storage_rounded_off_prod!CS70*Storage_rounded_off_prod!$A$44</f>
        <v>0</v>
      </c>
      <c r="CT70" s="197">
        <f>Storage_Reconciled_prod!CT70*Storage_Reconciled_prod!$A$44+Storage_rounded_off_prod!CT70*Storage_rounded_off_prod!$A$44</f>
        <v>0</v>
      </c>
      <c r="CU70" s="197">
        <f>Storage_Reconciled_prod!CU70*Storage_Reconciled_prod!$A$44+Storage_rounded_off_prod!CU70*Storage_rounded_off_prod!$A$44</f>
        <v>0</v>
      </c>
    </row>
    <row r="71" spans="1:99">
      <c r="A71" t="s">
        <v>841</v>
      </c>
      <c r="C71">
        <v>8</v>
      </c>
      <c r="D71" s="209" t="s">
        <v>59</v>
      </c>
      <c r="E71" s="197">
        <f>Storage_Reconciled_prod!E71*Storage_Reconciled_prod!$A$44+Storage_rounded_off_prod!E71*Storage_rounded_off_prod!$A$44</f>
        <v>0</v>
      </c>
      <c r="F71" s="197">
        <f>Storage_Reconciled_prod!F71*Storage_Reconciled_prod!$A$44+Storage_rounded_off_prod!F71*Storage_rounded_off_prod!$A$44</f>
        <v>0</v>
      </c>
      <c r="G71" s="197">
        <f>Storage_Reconciled_prod!G71*Storage_Reconciled_prod!$A$44+Storage_rounded_off_prod!G71*Storage_rounded_off_prod!$A$44</f>
        <v>0</v>
      </c>
      <c r="H71" s="197">
        <f>Storage_Reconciled_prod!H71*Storage_Reconciled_prod!$A$44+Storage_rounded_off_prod!H71*Storage_rounded_off_prod!$A$44</f>
        <v>0</v>
      </c>
      <c r="I71" s="197">
        <f>Storage_Reconciled_prod!I71*Storage_Reconciled_prod!$A$44+Storage_rounded_off_prod!I71*Storage_rounded_off_prod!$A$44</f>
        <v>1E-3</v>
      </c>
      <c r="J71" s="197">
        <f>Storage_Reconciled_prod!J71*Storage_Reconciled_prod!$A$44+Storage_rounded_off_prod!J71*Storage_rounded_off_prod!$A$44</f>
        <v>0</v>
      </c>
      <c r="K71" s="197">
        <f>Storage_Reconciled_prod!K71*Storage_Reconciled_prod!$A$44+Storage_rounded_off_prod!K71*Storage_rounded_off_prod!$A$44</f>
        <v>0</v>
      </c>
      <c r="L71" s="197">
        <f>Storage_Reconciled_prod!L71*Storage_Reconciled_prod!$A$44+Storage_rounded_off_prod!L71*Storage_rounded_off_prod!$A$44</f>
        <v>1E-3</v>
      </c>
      <c r="M71" s="197">
        <f>Storage_Reconciled_prod!M71*Storage_Reconciled_prod!$A$44+Storage_rounded_off_prod!M71*Storage_rounded_off_prod!$A$44</f>
        <v>1E-3</v>
      </c>
      <c r="N71" s="197">
        <f>Storage_Reconciled_prod!N71*Storage_Reconciled_prod!$A$44+Storage_rounded_off_prod!N71*Storage_rounded_off_prod!$A$44</f>
        <v>0</v>
      </c>
      <c r="O71" s="197">
        <f>Storage_Reconciled_prod!O71*Storage_Reconciled_prod!$A$44+Storage_rounded_off_prod!O71*Storage_rounded_off_prod!$A$44</f>
        <v>0</v>
      </c>
      <c r="P71" s="197">
        <f>Storage_Reconciled_prod!P71*Storage_Reconciled_prod!$A$44+Storage_rounded_off_prod!P71*Storage_rounded_off_prod!$A$44</f>
        <v>1E-3</v>
      </c>
      <c r="Q71" s="197">
        <f>Storage_Reconciled_prod!Q71*Storage_Reconciled_prod!$A$44+Storage_rounded_off_prod!Q71*Storage_rounded_off_prod!$A$44</f>
        <v>1E-3</v>
      </c>
      <c r="R71" s="197">
        <f>Storage_Reconciled_prod!R71*Storage_Reconciled_prod!$A$44+Storage_rounded_off_prod!R71*Storage_rounded_off_prod!$A$44</f>
        <v>2E-3</v>
      </c>
      <c r="S71" s="197">
        <f>Storage_Reconciled_prod!S71*Storage_Reconciled_prod!$A$44+Storage_rounded_off_prod!S71*Storage_rounded_off_prod!$A$44</f>
        <v>0</v>
      </c>
      <c r="T71" s="197">
        <f>Storage_Reconciled_prod!T71*Storage_Reconciled_prod!$A$44+Storage_rounded_off_prod!T71*Storage_rounded_off_prod!$A$44</f>
        <v>0</v>
      </c>
      <c r="U71" s="197">
        <f>Storage_Reconciled_prod!U71*Storage_Reconciled_prod!$A$44+Storage_rounded_off_prod!U71*Storage_rounded_off_prod!$A$44</f>
        <v>0</v>
      </c>
      <c r="V71" s="197">
        <f>Storage_Reconciled_prod!V71*Storage_Reconciled_prod!$A$44+Storage_rounded_off_prod!V71*Storage_rounded_off_prod!$A$44</f>
        <v>0</v>
      </c>
      <c r="W71" s="197">
        <f>Storage_Reconciled_prod!W71*Storage_Reconciled_prod!$A$44+Storage_rounded_off_prod!W71*Storage_rounded_off_prod!$A$44</f>
        <v>2E-3</v>
      </c>
      <c r="X71" s="197">
        <f>Storage_Reconciled_prod!X71*Storage_Reconciled_prod!$A$44+Storage_rounded_off_prod!X71*Storage_rounded_off_prod!$A$44</f>
        <v>0</v>
      </c>
      <c r="Y71" s="197">
        <f>Storage_Reconciled_prod!Y71*Storage_Reconciled_prod!$A$44+Storage_rounded_off_prod!Y71*Storage_rounded_off_prod!$A$44</f>
        <v>1E-3</v>
      </c>
      <c r="Z71" s="197">
        <f>Storage_Reconciled_prod!Z71*Storage_Reconciled_prod!$A$44+Storage_rounded_off_prod!Z71*Storage_rounded_off_prod!$A$44</f>
        <v>0</v>
      </c>
      <c r="AA71" s="197">
        <f>Storage_Reconciled_prod!AA71*Storage_Reconciled_prod!$A$44+Storage_rounded_off_prod!AA71*Storage_rounded_off_prod!$A$44</f>
        <v>1E-3</v>
      </c>
      <c r="AB71" s="197">
        <f>Storage_Reconciled_prod!AB71*Storage_Reconciled_prod!$A$44+Storage_rounded_off_prod!AB71*Storage_rounded_off_prod!$A$44</f>
        <v>0</v>
      </c>
      <c r="AC71" s="197">
        <f>Storage_Reconciled_prod!AC71*Storage_Reconciled_prod!$A$44+Storage_rounded_off_prod!AC71*Storage_rounded_off_prod!$A$44</f>
        <v>1E-3</v>
      </c>
      <c r="AD71" s="197">
        <f>Storage_Reconciled_prod!AD71*Storage_Reconciled_prod!$A$44+Storage_rounded_off_prod!AD71*Storage_rounded_off_prod!$A$44</f>
        <v>0</v>
      </c>
      <c r="AE71" s="197">
        <f>Storage_Reconciled_prod!AE71*Storage_Reconciled_prod!$A$44+Storage_rounded_off_prod!AE71*Storage_rounded_off_prod!$A$44</f>
        <v>1E-3</v>
      </c>
      <c r="AF71" s="197">
        <f>Storage_Reconciled_prod!AF71*Storage_Reconciled_prod!$A$44+Storage_rounded_off_prod!AF71*Storage_rounded_off_prod!$A$44</f>
        <v>2E-3</v>
      </c>
      <c r="AG71" s="197">
        <f>Storage_Reconciled_prod!AG71*Storage_Reconciled_prod!$A$44+Storage_rounded_off_prod!AG71*Storage_rounded_off_prod!$A$44</f>
        <v>0</v>
      </c>
      <c r="AH71" s="197">
        <f>Storage_Reconciled_prod!AH71*Storage_Reconciled_prod!$A$44+Storage_rounded_off_prod!AH71*Storage_rounded_off_prod!$A$44</f>
        <v>0</v>
      </c>
      <c r="AI71" s="197">
        <f>Storage_Reconciled_prod!AI71*Storage_Reconciled_prod!$A$44+Storage_rounded_off_prod!AI71*Storage_rounded_off_prod!$A$44</f>
        <v>0</v>
      </c>
      <c r="AJ71" s="197">
        <f>Storage_Reconciled_prod!AJ71*Storage_Reconciled_prod!$A$44+Storage_rounded_off_prod!AJ71*Storage_rounded_off_prod!$A$44</f>
        <v>0</v>
      </c>
      <c r="AK71" s="197">
        <f>Storage_Reconciled_prod!AK71*Storage_Reconciled_prod!$A$44+Storage_rounded_off_prod!AK71*Storage_rounded_off_prod!$A$44</f>
        <v>2E-3</v>
      </c>
      <c r="AL71" s="197">
        <f>Storage_Reconciled_prod!AL71*Storage_Reconciled_prod!$A$44+Storage_rounded_off_prod!AL71*Storage_rounded_off_prod!$A$44</f>
        <v>0</v>
      </c>
      <c r="AM71" s="197">
        <f>Storage_Reconciled_prod!AM71*Storage_Reconciled_prod!$A$44+Storage_rounded_off_prod!AM71*Storage_rounded_off_prod!$A$44</f>
        <v>1E-3</v>
      </c>
      <c r="AN71" s="197">
        <f>Storage_Reconciled_prod!AN71*Storage_Reconciled_prod!$A$44+Storage_rounded_off_prod!AN71*Storage_rounded_off_prod!$A$44</f>
        <v>0</v>
      </c>
      <c r="AO71" s="197">
        <f>Storage_Reconciled_prod!AO71*Storage_Reconciled_prod!$A$44+Storage_rounded_off_prod!AO71*Storage_rounded_off_prod!$A$44</f>
        <v>1E-3</v>
      </c>
      <c r="AP71" s="197">
        <f>Storage_Reconciled_prod!AP71*Storage_Reconciled_prod!$A$44+Storage_rounded_off_prod!AP71*Storage_rounded_off_prod!$A$44</f>
        <v>3.0000000000000001E-3</v>
      </c>
      <c r="AQ71" s="197">
        <f>Storage_Reconciled_prod!AQ71*Storage_Reconciled_prod!$A$44+Storage_rounded_off_prod!AQ71*Storage_rounded_off_prod!$A$44</f>
        <v>0</v>
      </c>
      <c r="AR71" s="197">
        <f>Storage_Reconciled_prod!AR71*Storage_Reconciled_prod!$A$44+Storage_rounded_off_prod!AR71*Storage_rounded_off_prod!$A$44</f>
        <v>0</v>
      </c>
      <c r="AS71" s="197">
        <f>Storage_Reconciled_prod!AS71*Storage_Reconciled_prod!$A$44+Storage_rounded_off_prod!AS71*Storage_rounded_off_prod!$A$44</f>
        <v>1E-3</v>
      </c>
      <c r="AT71" s="197">
        <f>Storage_Reconciled_prod!AT71*Storage_Reconciled_prod!$A$44+Storage_rounded_off_prod!AT71*Storage_rounded_off_prod!$A$44</f>
        <v>1E-3</v>
      </c>
      <c r="AU71" s="197">
        <f>Storage_Reconciled_prod!AU71*Storage_Reconciled_prod!$A$44+Storage_rounded_off_prod!AU71*Storage_rounded_off_prod!$A$44</f>
        <v>0</v>
      </c>
      <c r="AV71" s="197">
        <f>Storage_Reconciled_prod!AV71*Storage_Reconciled_prod!$A$44+Storage_rounded_off_prod!AV71*Storage_rounded_off_prod!$A$44</f>
        <v>0</v>
      </c>
      <c r="AW71" s="197">
        <f>Storage_Reconciled_prod!AW71*Storage_Reconciled_prod!$A$44+Storage_rounded_off_prod!AW71*Storage_rounded_off_prod!$A$44</f>
        <v>1E-3</v>
      </c>
      <c r="AX71" s="197">
        <f>Storage_Reconciled_prod!AX71*Storage_Reconciled_prod!$A$44+Storage_rounded_off_prod!AX71*Storage_rounded_off_prod!$A$44</f>
        <v>1E-3</v>
      </c>
      <c r="AY71" s="197">
        <f>Storage_Reconciled_prod!AY71*Storage_Reconciled_prod!$A$44+Storage_rounded_off_prod!AY71*Storage_rounded_off_prod!$A$44</f>
        <v>2E-3</v>
      </c>
      <c r="AZ71" s="197">
        <f>Storage_Reconciled_prod!AZ71*Storage_Reconciled_prod!$A$44+Storage_rounded_off_prod!AZ71*Storage_rounded_off_prod!$A$44</f>
        <v>0</v>
      </c>
      <c r="BA71" s="197">
        <f>Storage_Reconciled_prod!BA71*Storage_Reconciled_prod!$A$44+Storage_rounded_off_prod!BA71*Storage_rounded_off_prod!$A$44</f>
        <v>1E-3</v>
      </c>
      <c r="BB71" s="197">
        <f>Storage_Reconciled_prod!BB71*Storage_Reconciled_prod!$A$44+Storage_rounded_off_prod!BB71*Storage_rounded_off_prod!$A$44</f>
        <v>0</v>
      </c>
      <c r="BC71" s="197">
        <f>Storage_Reconciled_prod!BC71*Storage_Reconciled_prod!$A$44+Storage_rounded_off_prod!BC71*Storage_rounded_off_prod!$A$44</f>
        <v>1E-3</v>
      </c>
      <c r="BD71" s="197">
        <f>Storage_Reconciled_prod!BD71*Storage_Reconciled_prod!$A$44+Storage_rounded_off_prod!BD71*Storage_rounded_off_prod!$A$44</f>
        <v>3.0000000000000001E-3</v>
      </c>
      <c r="BE71" s="197">
        <f>Storage_Reconciled_prod!BE71*Storage_Reconciled_prod!$A$44+Storage_rounded_off_prod!BE71*Storage_rounded_off_prod!$A$44</f>
        <v>1E-3</v>
      </c>
      <c r="BF71" s="197">
        <f>Storage_Reconciled_prod!BF71*Storage_Reconciled_prod!$A$44+Storage_rounded_off_prod!BF71*Storage_rounded_off_prod!$A$44</f>
        <v>0</v>
      </c>
      <c r="BG71" s="197">
        <f>Storage_Reconciled_prod!BG71*Storage_Reconciled_prod!$A$44+Storage_rounded_off_prod!BG71*Storage_rounded_off_prod!$A$44</f>
        <v>0</v>
      </c>
      <c r="BH71" s="197">
        <f>Storage_Reconciled_prod!BH71*Storage_Reconciled_prod!$A$44+Storage_rounded_off_prod!BH71*Storage_rounded_off_prod!$A$44</f>
        <v>1E-3</v>
      </c>
      <c r="BI71" s="197">
        <f>Storage_Reconciled_prod!BI71*Storage_Reconciled_prod!$A$44+Storage_rounded_off_prod!BI71*Storage_rounded_off_prod!$A$44</f>
        <v>4.0000000000000001E-3</v>
      </c>
      <c r="BJ71" s="197">
        <f>Storage_Reconciled_prod!BJ71*Storage_Reconciled_prod!$A$44+Storage_rounded_off_prod!BJ71*Storage_rounded_off_prod!$A$44</f>
        <v>0</v>
      </c>
      <c r="BK71" s="197">
        <f>Storage_Reconciled_prod!BK71*Storage_Reconciled_prod!$A$44+Storage_rounded_off_prod!BK71*Storage_rounded_off_prod!$A$44</f>
        <v>0</v>
      </c>
      <c r="BL71" s="197">
        <f>Storage_Reconciled_prod!BL71*Storage_Reconciled_prod!$A$44+Storage_rounded_off_prod!BL71*Storage_rounded_off_prod!$A$44</f>
        <v>1E-3</v>
      </c>
      <c r="BM71" s="197">
        <f>Storage_Reconciled_prod!BM71*Storage_Reconciled_prod!$A$44+Storage_rounded_off_prod!BM71*Storage_rounded_off_prod!$A$44</f>
        <v>1E-3</v>
      </c>
      <c r="BN71" s="197">
        <f>Storage_Reconciled_prod!BN71*Storage_Reconciled_prod!$A$44+Storage_rounded_off_prod!BN71*Storage_rounded_off_prod!$A$44</f>
        <v>0</v>
      </c>
      <c r="BO71" s="197">
        <f>Storage_Reconciled_prod!BO71*Storage_Reconciled_prod!$A$44+Storage_rounded_off_prod!BO71*Storage_rounded_off_prod!$A$44</f>
        <v>0</v>
      </c>
      <c r="BP71" s="197">
        <f>Storage_Reconciled_prod!BP71*Storage_Reconciled_prod!$A$44+Storage_rounded_off_prod!BP71*Storage_rounded_off_prod!$A$44</f>
        <v>0</v>
      </c>
      <c r="BQ71" s="197">
        <f>Storage_Reconciled_prod!BQ71*Storage_Reconciled_prod!$A$44+Storage_rounded_off_prod!BQ71*Storage_rounded_off_prod!$A$44</f>
        <v>0</v>
      </c>
      <c r="BR71" s="197">
        <f>Storage_Reconciled_prod!BR71*Storage_Reconciled_prod!$A$44+Storage_rounded_off_prod!BR71*Storage_rounded_off_prod!$A$44</f>
        <v>1E-3</v>
      </c>
      <c r="BS71" s="197">
        <f>Storage_Reconciled_prod!BS71*Storage_Reconciled_prod!$A$44+Storage_rounded_off_prod!BS71*Storage_rounded_off_prod!$A$44</f>
        <v>1E-3</v>
      </c>
      <c r="BT71" s="197">
        <f>Storage_Reconciled_prod!BT71*Storage_Reconciled_prod!$A$44+Storage_rounded_off_prod!BT71*Storage_rounded_off_prod!$A$44</f>
        <v>1E-3</v>
      </c>
      <c r="BU71" s="197">
        <f>Storage_Reconciled_prod!BU71*Storage_Reconciled_prod!$A$44+Storage_rounded_off_prod!BU71*Storage_rounded_off_prod!$A$44</f>
        <v>0</v>
      </c>
      <c r="BV71" s="197">
        <f>Storage_Reconciled_prod!BV71*Storage_Reconciled_prod!$A$44+Storage_rounded_off_prod!BV71*Storage_rounded_off_prod!$A$44</f>
        <v>2E-3</v>
      </c>
      <c r="BW71" s="197">
        <f>Storage_Reconciled_prod!BW71*Storage_Reconciled_prod!$A$44+Storage_rounded_off_prod!BW71*Storage_rounded_off_prod!$A$44</f>
        <v>3.0000000000000001E-3</v>
      </c>
      <c r="BX71" s="197">
        <f>Storage_Reconciled_prod!BX71*Storage_Reconciled_prod!$A$44+Storage_rounded_off_prod!BX71*Storage_rounded_off_prod!$A$44</f>
        <v>0</v>
      </c>
      <c r="BY71" s="197">
        <f>Storage_Reconciled_prod!BY71*Storage_Reconciled_prod!$A$44+Storage_rounded_off_prod!BY71*Storage_rounded_off_prod!$A$44</f>
        <v>0</v>
      </c>
      <c r="BZ71" s="197">
        <f>Storage_Reconciled_prod!BZ71*Storage_Reconciled_prod!$A$44+Storage_rounded_off_prod!BZ71*Storage_rounded_off_prod!$A$44</f>
        <v>1E-3</v>
      </c>
      <c r="CA71" s="197">
        <f>Storage_Reconciled_prod!CA71*Storage_Reconciled_prod!$A$44+Storage_rounded_off_prod!CA71*Storage_rounded_off_prod!$A$44</f>
        <v>1E-3</v>
      </c>
      <c r="CB71" s="197">
        <f>Storage_Reconciled_prod!CB71*Storage_Reconciled_prod!$A$44+Storage_rounded_off_prod!CB71*Storage_rounded_off_prod!$A$44</f>
        <v>3.0000000000000001E-3</v>
      </c>
      <c r="CC71" s="197">
        <f>Storage_Reconciled_prod!CC71*Storage_Reconciled_prod!$A$44+Storage_rounded_off_prod!CC71*Storage_rounded_off_prod!$A$44</f>
        <v>0</v>
      </c>
      <c r="CD71" s="197">
        <f>Storage_Reconciled_prod!CD71*Storage_Reconciled_prod!$A$44+Storage_rounded_off_prod!CD71*Storage_rounded_off_prod!$A$44</f>
        <v>0</v>
      </c>
      <c r="CE71" s="197">
        <f>Storage_Reconciled_prod!CE71*Storage_Reconciled_prod!$A$44+Storage_rounded_off_prod!CE71*Storage_rounded_off_prod!$A$44</f>
        <v>1E-3</v>
      </c>
      <c r="CF71" s="197">
        <f>Storage_Reconciled_prod!CF71*Storage_Reconciled_prod!$A$44+Storage_rounded_off_prod!CF71*Storage_rounded_off_prod!$A$44</f>
        <v>1E-3</v>
      </c>
      <c r="CG71" s="197">
        <f>Storage_Reconciled_prod!CG71*Storage_Reconciled_prod!$A$44+Storage_rounded_off_prod!CG71*Storage_rounded_off_prod!$A$44</f>
        <v>0</v>
      </c>
      <c r="CH71" s="197">
        <f>Storage_Reconciled_prod!CH71*Storage_Reconciled_prod!$A$44+Storage_rounded_off_prod!CH71*Storage_rounded_off_prod!$A$44</f>
        <v>0</v>
      </c>
      <c r="CI71" s="197">
        <f>Storage_Reconciled_prod!CI71*Storage_Reconciled_prod!$A$44+Storage_rounded_off_prod!CI71*Storage_rounded_off_prod!$A$44</f>
        <v>0</v>
      </c>
      <c r="CJ71" s="197">
        <f>Storage_Reconciled_prod!CJ71*Storage_Reconciled_prod!$A$44+Storage_rounded_off_prod!CJ71*Storage_rounded_off_prod!$A$44</f>
        <v>0</v>
      </c>
      <c r="CK71" s="197">
        <f>Storage_Reconciled_prod!CK71*Storage_Reconciled_prod!$A$44+Storage_rounded_off_prod!CK71*Storage_rounded_off_prod!$A$44</f>
        <v>0</v>
      </c>
      <c r="CL71" s="197">
        <f>Storage_Reconciled_prod!CL71*Storage_Reconciled_prod!$A$44+Storage_rounded_off_prod!CL71*Storage_rounded_off_prod!$A$44</f>
        <v>0</v>
      </c>
      <c r="CM71" s="197">
        <f>Storage_Reconciled_prod!CM71*Storage_Reconciled_prod!$A$44+Storage_rounded_off_prod!CM71*Storage_rounded_off_prod!$A$44</f>
        <v>0</v>
      </c>
      <c r="CN71" s="197">
        <f>Storage_Reconciled_prod!CN71*Storage_Reconciled_prod!$A$44+Storage_rounded_off_prod!CN71*Storage_rounded_off_prod!$A$44</f>
        <v>0</v>
      </c>
      <c r="CO71" s="197">
        <f>Storage_Reconciled_prod!CO71*Storage_Reconciled_prod!$A$44+Storage_rounded_off_prod!CO71*Storage_rounded_off_prod!$A$44</f>
        <v>0</v>
      </c>
      <c r="CP71" s="197">
        <f>Storage_Reconciled_prod!CP71*Storage_Reconciled_prod!$A$44+Storage_rounded_off_prod!CP71*Storage_rounded_off_prod!$A$44</f>
        <v>0</v>
      </c>
      <c r="CQ71" s="197">
        <f>Storage_Reconciled_prod!CQ71*Storage_Reconciled_prod!$A$44+Storage_rounded_off_prod!CQ71*Storage_rounded_off_prod!$A$44</f>
        <v>0</v>
      </c>
      <c r="CR71" s="197">
        <f>Storage_Reconciled_prod!CR71*Storage_Reconciled_prod!$A$44+Storage_rounded_off_prod!CR71*Storage_rounded_off_prod!$A$44</f>
        <v>0</v>
      </c>
      <c r="CS71" s="197">
        <f>Storage_Reconciled_prod!CS71*Storage_Reconciled_prod!$A$44+Storage_rounded_off_prod!CS71*Storage_rounded_off_prod!$A$44</f>
        <v>0</v>
      </c>
      <c r="CT71" s="197">
        <f>Storage_Reconciled_prod!CT71*Storage_Reconciled_prod!$A$44+Storage_rounded_off_prod!CT71*Storage_rounded_off_prod!$A$44</f>
        <v>0</v>
      </c>
      <c r="CU71" s="197">
        <f>Storage_Reconciled_prod!CU71*Storage_Reconciled_prod!$A$44+Storage_rounded_off_prod!CU71*Storage_rounded_off_prod!$A$44</f>
        <v>0</v>
      </c>
    </row>
    <row r="72" spans="1:99">
      <c r="C72">
        <v>9</v>
      </c>
      <c r="D72" s="209" t="s">
        <v>63</v>
      </c>
      <c r="E72" s="197">
        <f>Storage_Reconciled_prod!E72*Storage_Reconciled_prod!$A$44+Storage_rounded_off_prod!E72*Storage_rounded_off_prod!$A$44</f>
        <v>0</v>
      </c>
      <c r="F72" s="197">
        <f>Storage_Reconciled_prod!F72*Storage_Reconciled_prod!$A$44+Storage_rounded_off_prod!F72*Storage_rounded_off_prod!$A$44</f>
        <v>0</v>
      </c>
      <c r="G72" s="197">
        <f>Storage_Reconciled_prod!G72*Storage_Reconciled_prod!$A$44+Storage_rounded_off_prod!G72*Storage_rounded_off_prod!$A$44</f>
        <v>0</v>
      </c>
      <c r="H72" s="197">
        <f>Storage_Reconciled_prod!H72*Storage_Reconciled_prod!$A$44+Storage_rounded_off_prod!H72*Storage_rounded_off_prod!$A$44</f>
        <v>0</v>
      </c>
      <c r="I72" s="197">
        <f>Storage_Reconciled_prod!I72*Storage_Reconciled_prod!$A$44+Storage_rounded_off_prod!I72*Storage_rounded_off_prod!$A$44</f>
        <v>0</v>
      </c>
      <c r="J72" s="197">
        <f>Storage_Reconciled_prod!J72*Storage_Reconciled_prod!$A$44+Storage_rounded_off_prod!J72*Storage_rounded_off_prod!$A$44</f>
        <v>0</v>
      </c>
      <c r="K72" s="197">
        <f>Storage_Reconciled_prod!K72*Storage_Reconciled_prod!$A$44+Storage_rounded_off_prod!K72*Storage_rounded_off_prod!$A$44</f>
        <v>1E-3</v>
      </c>
      <c r="L72" s="197">
        <f>Storage_Reconciled_prod!L72*Storage_Reconciled_prod!$A$44+Storage_rounded_off_prod!L72*Storage_rounded_off_prod!$A$44</f>
        <v>1E-3</v>
      </c>
      <c r="M72" s="197">
        <f>Storage_Reconciled_prod!M72*Storage_Reconciled_prod!$A$44+Storage_rounded_off_prod!M72*Storage_rounded_off_prod!$A$44</f>
        <v>1E-3</v>
      </c>
      <c r="N72" s="197">
        <f>Storage_Reconciled_prod!N72*Storage_Reconciled_prod!$A$44+Storage_rounded_off_prod!N72*Storage_rounded_off_prod!$A$44</f>
        <v>0</v>
      </c>
      <c r="O72" s="197">
        <f>Storage_Reconciled_prod!O72*Storage_Reconciled_prod!$A$44+Storage_rounded_off_prod!O72*Storage_rounded_off_prod!$A$44</f>
        <v>0</v>
      </c>
      <c r="P72" s="197">
        <f>Storage_Reconciled_prod!P72*Storage_Reconciled_prod!$A$44+Storage_rounded_off_prod!P72*Storage_rounded_off_prod!$A$44</f>
        <v>0</v>
      </c>
      <c r="Q72" s="197">
        <f>Storage_Reconciled_prod!Q72*Storage_Reconciled_prod!$A$44+Storage_rounded_off_prod!Q72*Storage_rounded_off_prod!$A$44</f>
        <v>0</v>
      </c>
      <c r="R72" s="197">
        <f>Storage_Reconciled_prod!R72*Storage_Reconciled_prod!$A$44+Storage_rounded_off_prod!R72*Storage_rounded_off_prod!$A$44</f>
        <v>1E-3</v>
      </c>
      <c r="S72" s="197">
        <f>Storage_Reconciled_prod!S72*Storage_Reconciled_prod!$A$44+Storage_rounded_off_prod!S72*Storage_rounded_off_prod!$A$44</f>
        <v>0</v>
      </c>
      <c r="T72" s="197">
        <f>Storage_Reconciled_prod!T72*Storage_Reconciled_prod!$A$44+Storage_rounded_off_prod!T72*Storage_rounded_off_prod!$A$44</f>
        <v>0</v>
      </c>
      <c r="U72" s="197">
        <f>Storage_Reconciled_prod!U72*Storage_Reconciled_prod!$A$44+Storage_rounded_off_prod!U72*Storage_rounded_off_prod!$A$44</f>
        <v>0</v>
      </c>
      <c r="V72" s="197">
        <f>Storage_Reconciled_prod!V72*Storage_Reconciled_prod!$A$44+Storage_rounded_off_prod!V72*Storage_rounded_off_prod!$A$44</f>
        <v>0</v>
      </c>
      <c r="W72" s="197">
        <f>Storage_Reconciled_prod!W72*Storage_Reconciled_prod!$A$44+Storage_rounded_off_prod!W72*Storage_rounded_off_prod!$A$44</f>
        <v>1E-3</v>
      </c>
      <c r="X72" s="197">
        <f>Storage_Reconciled_prod!X72*Storage_Reconciled_prod!$A$44+Storage_rounded_off_prod!X72*Storage_rounded_off_prod!$A$44</f>
        <v>0</v>
      </c>
      <c r="Y72" s="197">
        <f>Storage_Reconciled_prod!Y72*Storage_Reconciled_prod!$A$44+Storage_rounded_off_prod!Y72*Storage_rounded_off_prod!$A$44</f>
        <v>0</v>
      </c>
      <c r="Z72" s="197">
        <f>Storage_Reconciled_prod!Z72*Storage_Reconciled_prod!$A$44+Storage_rounded_off_prod!Z72*Storage_rounded_off_prod!$A$44</f>
        <v>0</v>
      </c>
      <c r="AA72" s="197">
        <f>Storage_Reconciled_prod!AA72*Storage_Reconciled_prod!$A$44+Storage_rounded_off_prod!AA72*Storage_rounded_off_prod!$A$44</f>
        <v>0</v>
      </c>
      <c r="AB72" s="197">
        <f>Storage_Reconciled_prod!AB72*Storage_Reconciled_prod!$A$44+Storage_rounded_off_prod!AB72*Storage_rounded_off_prod!$A$44</f>
        <v>0</v>
      </c>
      <c r="AC72" s="197">
        <f>Storage_Reconciled_prod!AC72*Storage_Reconciled_prod!$A$44+Storage_rounded_off_prod!AC72*Storage_rounded_off_prod!$A$44</f>
        <v>0</v>
      </c>
      <c r="AD72" s="197">
        <f>Storage_Reconciled_prod!AD72*Storage_Reconciled_prod!$A$44+Storage_rounded_off_prod!AD72*Storage_rounded_off_prod!$A$44</f>
        <v>1E-3</v>
      </c>
      <c r="AE72" s="197">
        <f>Storage_Reconciled_prod!AE72*Storage_Reconciled_prod!$A$44+Storage_rounded_off_prod!AE72*Storage_rounded_off_prod!$A$44</f>
        <v>1E-3</v>
      </c>
      <c r="AF72" s="197">
        <f>Storage_Reconciled_prod!AF72*Storage_Reconciled_prod!$A$44+Storage_rounded_off_prod!AF72*Storage_rounded_off_prod!$A$44</f>
        <v>1E-3</v>
      </c>
      <c r="AG72" s="197">
        <f>Storage_Reconciled_prod!AG72*Storage_Reconciled_prod!$A$44+Storage_rounded_off_prod!AG72*Storage_rounded_off_prod!$A$44</f>
        <v>0</v>
      </c>
      <c r="AH72" s="197">
        <f>Storage_Reconciled_prod!AH72*Storage_Reconciled_prod!$A$44+Storage_rounded_off_prod!AH72*Storage_rounded_off_prod!$A$44</f>
        <v>0</v>
      </c>
      <c r="AI72" s="197">
        <f>Storage_Reconciled_prod!AI72*Storage_Reconciled_prod!$A$44+Storage_rounded_off_prod!AI72*Storage_rounded_off_prod!$A$44</f>
        <v>0</v>
      </c>
      <c r="AJ72" s="197">
        <f>Storage_Reconciled_prod!AJ72*Storage_Reconciled_prod!$A$44+Storage_rounded_off_prod!AJ72*Storage_rounded_off_prod!$A$44</f>
        <v>0</v>
      </c>
      <c r="AK72" s="197">
        <f>Storage_Reconciled_prod!AK72*Storage_Reconciled_prod!$A$44+Storage_rounded_off_prod!AK72*Storage_rounded_off_prod!$A$44</f>
        <v>1E-3</v>
      </c>
      <c r="AL72" s="197">
        <f>Storage_Reconciled_prod!AL72*Storage_Reconciled_prod!$A$44+Storage_rounded_off_prod!AL72*Storage_rounded_off_prod!$A$44</f>
        <v>0</v>
      </c>
      <c r="AM72" s="197">
        <f>Storage_Reconciled_prod!AM72*Storage_Reconciled_prod!$A$44+Storage_rounded_off_prod!AM72*Storage_rounded_off_prod!$A$44</f>
        <v>0</v>
      </c>
      <c r="AN72" s="197">
        <f>Storage_Reconciled_prod!AN72*Storage_Reconciled_prod!$A$44+Storage_rounded_off_prod!AN72*Storage_rounded_off_prod!$A$44</f>
        <v>0</v>
      </c>
      <c r="AO72" s="197">
        <f>Storage_Reconciled_prod!AO72*Storage_Reconciled_prod!$A$44+Storage_rounded_off_prod!AO72*Storage_rounded_off_prod!$A$44</f>
        <v>0</v>
      </c>
      <c r="AP72" s="197">
        <f>Storage_Reconciled_prod!AP72*Storage_Reconciled_prod!$A$44+Storage_rounded_off_prod!AP72*Storage_rounded_off_prod!$A$44</f>
        <v>1E-3</v>
      </c>
      <c r="AQ72" s="197">
        <f>Storage_Reconciled_prod!AQ72*Storage_Reconciled_prod!$A$44+Storage_rounded_off_prod!AQ72*Storage_rounded_off_prod!$A$44</f>
        <v>0</v>
      </c>
      <c r="AR72" s="197">
        <f>Storage_Reconciled_prod!AR72*Storage_Reconciled_prod!$A$44+Storage_rounded_off_prod!AR72*Storage_rounded_off_prod!$A$44</f>
        <v>0</v>
      </c>
      <c r="AS72" s="197">
        <f>Storage_Reconciled_prod!AS72*Storage_Reconciled_prod!$A$44+Storage_rounded_off_prod!AS72*Storage_rounded_off_prod!$A$44</f>
        <v>0</v>
      </c>
      <c r="AT72" s="197">
        <f>Storage_Reconciled_prod!AT72*Storage_Reconciled_prod!$A$44+Storage_rounded_off_prod!AT72*Storage_rounded_off_prod!$A$44</f>
        <v>0</v>
      </c>
      <c r="AU72" s="197">
        <f>Storage_Reconciled_prod!AU72*Storage_Reconciled_prod!$A$44+Storage_rounded_off_prod!AU72*Storage_rounded_off_prod!$A$44</f>
        <v>0</v>
      </c>
      <c r="AV72" s="197">
        <f>Storage_Reconciled_prod!AV72*Storage_Reconciled_prod!$A$44+Storage_rounded_off_prod!AV72*Storage_rounded_off_prod!$A$44</f>
        <v>0</v>
      </c>
      <c r="AW72" s="197">
        <f>Storage_Reconciled_prod!AW72*Storage_Reconciled_prod!$A$44+Storage_rounded_off_prod!AW72*Storage_rounded_off_prod!$A$44</f>
        <v>0</v>
      </c>
      <c r="AX72" s="197">
        <f>Storage_Reconciled_prod!AX72*Storage_Reconciled_prod!$A$44+Storage_rounded_off_prod!AX72*Storage_rounded_off_prod!$A$44</f>
        <v>0</v>
      </c>
      <c r="AY72" s="197">
        <f>Storage_Reconciled_prod!AY72*Storage_Reconciled_prod!$A$44+Storage_rounded_off_prod!AY72*Storage_rounded_off_prod!$A$44</f>
        <v>0</v>
      </c>
      <c r="AZ72" s="197">
        <f>Storage_Reconciled_prod!AZ72*Storage_Reconciled_prod!$A$44+Storage_rounded_off_prod!AZ72*Storage_rounded_off_prod!$A$44</f>
        <v>0</v>
      </c>
      <c r="BA72" s="197">
        <f>Storage_Reconciled_prod!BA72*Storage_Reconciled_prod!$A$44+Storage_rounded_off_prod!BA72*Storage_rounded_off_prod!$A$44</f>
        <v>1E-3</v>
      </c>
      <c r="BB72" s="197">
        <f>Storage_Reconciled_prod!BB72*Storage_Reconciled_prod!$A$44+Storage_rounded_off_prod!BB72*Storage_rounded_off_prod!$A$44</f>
        <v>0</v>
      </c>
      <c r="BC72" s="197">
        <f>Storage_Reconciled_prod!BC72*Storage_Reconciled_prod!$A$44+Storage_rounded_off_prod!BC72*Storage_rounded_off_prod!$A$44</f>
        <v>1E-3</v>
      </c>
      <c r="BD72" s="197">
        <f>Storage_Reconciled_prod!BD72*Storage_Reconciled_prod!$A$44+Storage_rounded_off_prod!BD72*Storage_rounded_off_prod!$A$44</f>
        <v>1E-3</v>
      </c>
      <c r="BE72" s="197">
        <f>Storage_Reconciled_prod!BE72*Storage_Reconciled_prod!$A$44+Storage_rounded_off_prod!BE72*Storage_rounded_off_prod!$A$44</f>
        <v>0</v>
      </c>
      <c r="BF72" s="197">
        <f>Storage_Reconciled_prod!BF72*Storage_Reconciled_prod!$A$44+Storage_rounded_off_prod!BF72*Storage_rounded_off_prod!$A$44</f>
        <v>0</v>
      </c>
      <c r="BG72" s="197">
        <f>Storage_Reconciled_prod!BG72*Storage_Reconciled_prod!$A$44+Storage_rounded_off_prod!BG72*Storage_rounded_off_prod!$A$44</f>
        <v>0</v>
      </c>
      <c r="BH72" s="197">
        <f>Storage_Reconciled_prod!BH72*Storage_Reconciled_prod!$A$44+Storage_rounded_off_prod!BH72*Storage_rounded_off_prod!$A$44</f>
        <v>0</v>
      </c>
      <c r="BI72" s="197">
        <f>Storage_Reconciled_prod!BI72*Storage_Reconciled_prod!$A$44+Storage_rounded_off_prod!BI72*Storage_rounded_off_prod!$A$44</f>
        <v>1E-3</v>
      </c>
      <c r="BJ72" s="197">
        <f>Storage_Reconciled_prod!BJ72*Storage_Reconciled_prod!$A$44+Storage_rounded_off_prod!BJ72*Storage_rounded_off_prod!$A$44</f>
        <v>0</v>
      </c>
      <c r="BK72" s="197">
        <f>Storage_Reconciled_prod!BK72*Storage_Reconciled_prod!$A$44+Storage_rounded_off_prod!BK72*Storage_rounded_off_prod!$A$44</f>
        <v>0</v>
      </c>
      <c r="BL72" s="197">
        <f>Storage_Reconciled_prod!BL72*Storage_Reconciled_prod!$A$44+Storage_rounded_off_prod!BL72*Storage_rounded_off_prod!$A$44</f>
        <v>0</v>
      </c>
      <c r="BM72" s="197">
        <f>Storage_Reconciled_prod!BM72*Storage_Reconciled_prod!$A$44+Storage_rounded_off_prod!BM72*Storage_rounded_off_prod!$A$44</f>
        <v>0</v>
      </c>
      <c r="BN72" s="197">
        <f>Storage_Reconciled_prod!BN72*Storage_Reconciled_prod!$A$44+Storage_rounded_off_prod!BN72*Storage_rounded_off_prod!$A$44</f>
        <v>0</v>
      </c>
      <c r="BO72" s="197">
        <f>Storage_Reconciled_prod!BO72*Storage_Reconciled_prod!$A$44+Storage_rounded_off_prod!BO72*Storage_rounded_off_prod!$A$44</f>
        <v>0</v>
      </c>
      <c r="BP72" s="197">
        <f>Storage_Reconciled_prod!BP72*Storage_Reconciled_prod!$A$44+Storage_rounded_off_prod!BP72*Storage_rounded_off_prod!$A$44</f>
        <v>0</v>
      </c>
      <c r="BQ72" s="197">
        <f>Storage_Reconciled_prod!BQ72*Storage_Reconciled_prod!$A$44+Storage_rounded_off_prod!BQ72*Storage_rounded_off_prod!$A$44</f>
        <v>0</v>
      </c>
      <c r="BR72" s="197">
        <f>Storage_Reconciled_prod!BR72*Storage_Reconciled_prod!$A$44+Storage_rounded_off_prod!BR72*Storage_rounded_off_prod!$A$44</f>
        <v>0</v>
      </c>
      <c r="BS72" s="197">
        <f>Storage_Reconciled_prod!BS72*Storage_Reconciled_prod!$A$44+Storage_rounded_off_prod!BS72*Storage_rounded_off_prod!$A$44</f>
        <v>0</v>
      </c>
      <c r="BT72" s="197">
        <f>Storage_Reconciled_prod!BT72*Storage_Reconciled_prod!$A$44+Storage_rounded_off_prod!BT72*Storage_rounded_off_prod!$A$44</f>
        <v>0</v>
      </c>
      <c r="BU72" s="197">
        <f>Storage_Reconciled_prod!BU72*Storage_Reconciled_prod!$A$44+Storage_rounded_off_prod!BU72*Storage_rounded_off_prod!$A$44</f>
        <v>1E-3</v>
      </c>
      <c r="BV72" s="197">
        <f>Storage_Reconciled_prod!BV72*Storage_Reconciled_prod!$A$44+Storage_rounded_off_prod!BV72*Storage_rounded_off_prod!$A$44</f>
        <v>1E-3</v>
      </c>
      <c r="BW72" s="197">
        <f>Storage_Reconciled_prod!BW72*Storage_Reconciled_prod!$A$44+Storage_rounded_off_prod!BW72*Storage_rounded_off_prod!$A$44</f>
        <v>1E-3</v>
      </c>
      <c r="BX72" s="197">
        <f>Storage_Reconciled_prod!BX72*Storage_Reconciled_prod!$A$44+Storage_rounded_off_prod!BX72*Storage_rounded_off_prod!$A$44</f>
        <v>1E-3</v>
      </c>
      <c r="BY72" s="197">
        <f>Storage_Reconciled_prod!BY72*Storage_Reconciled_prod!$A$44+Storage_rounded_off_prod!BY72*Storage_rounded_off_prod!$A$44</f>
        <v>0</v>
      </c>
      <c r="BZ72" s="197">
        <f>Storage_Reconciled_prod!BZ72*Storage_Reconciled_prod!$A$44+Storage_rounded_off_prod!BZ72*Storage_rounded_off_prod!$A$44</f>
        <v>0</v>
      </c>
      <c r="CA72" s="197">
        <f>Storage_Reconciled_prod!CA72*Storage_Reconciled_prod!$A$44+Storage_rounded_off_prod!CA72*Storage_rounded_off_prod!$A$44</f>
        <v>1E-3</v>
      </c>
      <c r="CB72" s="197">
        <f>Storage_Reconciled_prod!CB72*Storage_Reconciled_prod!$A$44+Storage_rounded_off_prod!CB72*Storage_rounded_off_prod!$A$44</f>
        <v>2E-3</v>
      </c>
      <c r="CC72" s="197">
        <f>Storage_Reconciled_prod!CC72*Storage_Reconciled_prod!$A$44+Storage_rounded_off_prod!CC72*Storage_rounded_off_prod!$A$44</f>
        <v>0</v>
      </c>
      <c r="CD72" s="197">
        <f>Storage_Reconciled_prod!CD72*Storage_Reconciled_prod!$A$44+Storage_rounded_off_prod!CD72*Storage_rounded_off_prod!$A$44</f>
        <v>0</v>
      </c>
      <c r="CE72" s="197">
        <f>Storage_Reconciled_prod!CE72*Storage_Reconciled_prod!$A$44+Storage_rounded_off_prod!CE72*Storage_rounded_off_prod!$A$44</f>
        <v>0</v>
      </c>
      <c r="CF72" s="197">
        <f>Storage_Reconciled_prod!CF72*Storage_Reconciled_prod!$A$44+Storage_rounded_off_prod!CF72*Storage_rounded_off_prod!$A$44</f>
        <v>0</v>
      </c>
      <c r="CG72" s="197">
        <f>Storage_Reconciled_prod!CG72*Storage_Reconciled_prod!$A$44+Storage_rounded_off_prod!CG72*Storage_rounded_off_prod!$A$44</f>
        <v>8.0000000000000002E-3</v>
      </c>
      <c r="CH72" s="197">
        <f>Storage_Reconciled_prod!CH72*Storage_Reconciled_prod!$A$44+Storage_rounded_off_prod!CH72*Storage_rounded_off_prod!$A$44</f>
        <v>0</v>
      </c>
      <c r="CI72" s="197">
        <f>Storage_Reconciled_prod!CI72*Storage_Reconciled_prod!$A$44+Storage_rounded_off_prod!CI72*Storage_rounded_off_prod!$A$44</f>
        <v>0</v>
      </c>
      <c r="CJ72" s="197">
        <f>Storage_Reconciled_prod!CJ72*Storage_Reconciled_prod!$A$44+Storage_rounded_off_prod!CJ72*Storage_rounded_off_prod!$A$44</f>
        <v>0</v>
      </c>
      <c r="CK72" s="197">
        <f>Storage_Reconciled_prod!CK72*Storage_Reconciled_prod!$A$44+Storage_rounded_off_prod!CK72*Storage_rounded_off_prod!$A$44</f>
        <v>0</v>
      </c>
      <c r="CL72" s="197">
        <f>Storage_Reconciled_prod!CL72*Storage_Reconciled_prod!$A$44+Storage_rounded_off_prod!CL72*Storage_rounded_off_prod!$A$44</f>
        <v>0</v>
      </c>
      <c r="CM72" s="197">
        <f>Storage_Reconciled_prod!CM72*Storage_Reconciled_prod!$A$44+Storage_rounded_off_prod!CM72*Storage_rounded_off_prod!$A$44</f>
        <v>0</v>
      </c>
      <c r="CN72" s="197">
        <f>Storage_Reconciled_prod!CN72*Storage_Reconciled_prod!$A$44+Storage_rounded_off_prod!CN72*Storage_rounded_off_prod!$A$44</f>
        <v>0</v>
      </c>
      <c r="CO72" s="197">
        <f>Storage_Reconciled_prod!CO72*Storage_Reconciled_prod!$A$44+Storage_rounded_off_prod!CO72*Storage_rounded_off_prod!$A$44</f>
        <v>0</v>
      </c>
      <c r="CP72" s="197">
        <f>Storage_Reconciled_prod!CP72*Storage_Reconciled_prod!$A$44+Storage_rounded_off_prod!CP72*Storage_rounded_off_prod!$A$44</f>
        <v>0</v>
      </c>
      <c r="CQ72" s="197">
        <f>Storage_Reconciled_prod!CQ72*Storage_Reconciled_prod!$A$44+Storage_rounded_off_prod!CQ72*Storage_rounded_off_prod!$A$44</f>
        <v>0</v>
      </c>
      <c r="CR72" s="197">
        <f>Storage_Reconciled_prod!CR72*Storage_Reconciled_prod!$A$44+Storage_rounded_off_prod!CR72*Storage_rounded_off_prod!$A$44</f>
        <v>0</v>
      </c>
      <c r="CS72" s="197">
        <f>Storage_Reconciled_prod!CS72*Storage_Reconciled_prod!$A$44+Storage_rounded_off_prod!CS72*Storage_rounded_off_prod!$A$44</f>
        <v>0</v>
      </c>
      <c r="CT72" s="197">
        <f>Storage_Reconciled_prod!CT72*Storage_Reconciled_prod!$A$44+Storage_rounded_off_prod!CT72*Storage_rounded_off_prod!$A$44</f>
        <v>0</v>
      </c>
      <c r="CU72" s="197">
        <f>Storage_Reconciled_prod!CU72*Storage_Reconciled_prod!$A$44+Storage_rounded_off_prod!CU72*Storage_rounded_off_prod!$A$44</f>
        <v>0</v>
      </c>
    </row>
    <row r="73" spans="1:99">
      <c r="C73">
        <v>10</v>
      </c>
      <c r="D73" s="209" t="s">
        <v>64</v>
      </c>
      <c r="E73" s="197">
        <f>Storage_Reconciled_prod!E73*Storage_Reconciled_prod!$A$44+Storage_rounded_off_prod!E73*Storage_rounded_off_prod!$A$44</f>
        <v>1E-3</v>
      </c>
      <c r="F73" s="197">
        <f>Storage_Reconciled_prod!F73*Storage_Reconciled_prod!$A$44+Storage_rounded_off_prod!F73*Storage_rounded_off_prod!$A$44</f>
        <v>0</v>
      </c>
      <c r="G73" s="197">
        <f>Storage_Reconciled_prod!G73*Storage_Reconciled_prod!$A$44+Storage_rounded_off_prod!G73*Storage_rounded_off_prod!$A$44</f>
        <v>1E-3</v>
      </c>
      <c r="H73" s="197">
        <f>Storage_Reconciled_prod!H73*Storage_Reconciled_prod!$A$44+Storage_rounded_off_prod!H73*Storage_rounded_off_prod!$A$44</f>
        <v>2E-3</v>
      </c>
      <c r="I73" s="197">
        <f>Storage_Reconciled_prod!I73*Storage_Reconciled_prod!$A$44+Storage_rounded_off_prod!I73*Storage_rounded_off_prod!$A$44</f>
        <v>0</v>
      </c>
      <c r="J73" s="197">
        <f>Storage_Reconciled_prod!J73*Storage_Reconciled_prod!$A$44+Storage_rounded_off_prod!J73*Storage_rounded_off_prod!$A$44</f>
        <v>1E-3</v>
      </c>
      <c r="K73" s="197">
        <f>Storage_Reconciled_prod!K73*Storage_Reconciled_prod!$A$44+Storage_rounded_off_prod!K73*Storage_rounded_off_prod!$A$44</f>
        <v>0</v>
      </c>
      <c r="L73" s="197">
        <f>Storage_Reconciled_prod!L73*Storage_Reconciled_prod!$A$44+Storage_rounded_off_prod!L73*Storage_rounded_off_prod!$A$44</f>
        <v>1E-3</v>
      </c>
      <c r="M73" s="197">
        <f>Storage_Reconciled_prod!M73*Storage_Reconciled_prod!$A$44+Storage_rounded_off_prod!M73*Storage_rounded_off_prod!$A$44</f>
        <v>3.0000000000000001E-3</v>
      </c>
      <c r="N73" s="197">
        <f>Storage_Reconciled_prod!N73*Storage_Reconciled_prod!$A$44+Storage_rounded_off_prod!N73*Storage_rounded_off_prod!$A$44</f>
        <v>1E-3</v>
      </c>
      <c r="O73" s="197">
        <f>Storage_Reconciled_prod!O73*Storage_Reconciled_prod!$A$44+Storage_rounded_off_prod!O73*Storage_rounded_off_prod!$A$44</f>
        <v>1E-3</v>
      </c>
      <c r="P73" s="197">
        <f>Storage_Reconciled_prod!P73*Storage_Reconciled_prod!$A$44+Storage_rounded_off_prod!P73*Storage_rounded_off_prod!$A$44</f>
        <v>0</v>
      </c>
      <c r="Q73" s="197">
        <f>Storage_Reconciled_prod!Q73*Storage_Reconciled_prod!$A$44+Storage_rounded_off_prod!Q73*Storage_rounded_off_prod!$A$44</f>
        <v>2E-3</v>
      </c>
      <c r="R73" s="197">
        <f>Storage_Reconciled_prod!R73*Storage_Reconciled_prod!$A$44+Storage_rounded_off_prod!R73*Storage_rounded_off_prod!$A$44</f>
        <v>5.0000000000000001E-3</v>
      </c>
      <c r="S73" s="197">
        <f>Storage_Reconciled_prod!S73*Storage_Reconciled_prod!$A$44+Storage_rounded_off_prod!S73*Storage_rounded_off_prod!$A$44</f>
        <v>1E-3</v>
      </c>
      <c r="T73" s="197">
        <f>Storage_Reconciled_prod!T73*Storage_Reconciled_prod!$A$44+Storage_rounded_off_prod!T73*Storage_rounded_off_prod!$A$44</f>
        <v>0</v>
      </c>
      <c r="U73" s="197">
        <f>Storage_Reconciled_prod!U73*Storage_Reconciled_prod!$A$44+Storage_rounded_off_prod!U73*Storage_rounded_off_prod!$A$44</f>
        <v>1E-3</v>
      </c>
      <c r="V73" s="197">
        <f>Storage_Reconciled_prod!V73*Storage_Reconciled_prod!$A$44+Storage_rounded_off_prod!V73*Storage_rounded_off_prod!$A$44</f>
        <v>2E-3</v>
      </c>
      <c r="W73" s="197">
        <f>Storage_Reconciled_prod!W73*Storage_Reconciled_prod!$A$44+Storage_rounded_off_prod!W73*Storage_rounded_off_prod!$A$44</f>
        <v>7.0000000000000001E-3</v>
      </c>
      <c r="X73" s="197">
        <f>Storage_Reconciled_prod!X73*Storage_Reconciled_prod!$A$44+Storage_rounded_off_prod!X73*Storage_rounded_off_prod!$A$44</f>
        <v>0</v>
      </c>
      <c r="Y73" s="197">
        <f>Storage_Reconciled_prod!Y73*Storage_Reconciled_prod!$A$44+Storage_rounded_off_prod!Y73*Storage_rounded_off_prod!$A$44</f>
        <v>1E-3</v>
      </c>
      <c r="Z73" s="197">
        <f>Storage_Reconciled_prod!Z73*Storage_Reconciled_prod!$A$44+Storage_rounded_off_prod!Z73*Storage_rounded_off_prod!$A$44</f>
        <v>1E-3</v>
      </c>
      <c r="AA73" s="197">
        <f>Storage_Reconciled_prod!AA73*Storage_Reconciled_prod!$A$44+Storage_rounded_off_prod!AA73*Storage_rounded_off_prod!$A$44</f>
        <v>2E-3</v>
      </c>
      <c r="AB73" s="197">
        <f>Storage_Reconciled_prod!AB73*Storage_Reconciled_prod!$A$44+Storage_rounded_off_prod!AB73*Storage_rounded_off_prod!$A$44</f>
        <v>0</v>
      </c>
      <c r="AC73" s="197">
        <f>Storage_Reconciled_prod!AC73*Storage_Reconciled_prod!$A$44+Storage_rounded_off_prod!AC73*Storage_rounded_off_prod!$A$44</f>
        <v>1E-3</v>
      </c>
      <c r="AD73" s="197">
        <f>Storage_Reconciled_prod!AD73*Storage_Reconciled_prod!$A$44+Storage_rounded_off_prod!AD73*Storage_rounded_off_prod!$A$44</f>
        <v>1E-3</v>
      </c>
      <c r="AE73" s="197">
        <f>Storage_Reconciled_prod!AE73*Storage_Reconciled_prod!$A$44+Storage_rounded_off_prod!AE73*Storage_rounded_off_prod!$A$44</f>
        <v>2E-3</v>
      </c>
      <c r="AF73" s="197">
        <f>Storage_Reconciled_prod!AF73*Storage_Reconciled_prod!$A$44+Storage_rounded_off_prod!AF73*Storage_rounded_off_prod!$A$44</f>
        <v>4.0000000000000001E-3</v>
      </c>
      <c r="AG73" s="197">
        <f>Storage_Reconciled_prod!AG73*Storage_Reconciled_prod!$A$44+Storage_rounded_off_prod!AG73*Storage_rounded_off_prod!$A$44</f>
        <v>0</v>
      </c>
      <c r="AH73" s="197">
        <f>Storage_Reconciled_prod!AH73*Storage_Reconciled_prod!$A$44+Storage_rounded_off_prod!AH73*Storage_rounded_off_prod!$A$44</f>
        <v>1E-3</v>
      </c>
      <c r="AI73" s="197">
        <f>Storage_Reconciled_prod!AI73*Storage_Reconciled_prod!$A$44+Storage_rounded_off_prod!AI73*Storage_rounded_off_prod!$A$44</f>
        <v>1E-3</v>
      </c>
      <c r="AJ73" s="197">
        <f>Storage_Reconciled_prod!AJ73*Storage_Reconciled_prod!$A$44+Storage_rounded_off_prod!AJ73*Storage_rounded_off_prod!$A$44</f>
        <v>2E-3</v>
      </c>
      <c r="AK73" s="197">
        <f>Storage_Reconciled_prod!AK73*Storage_Reconciled_prod!$A$44+Storage_rounded_off_prod!AK73*Storage_rounded_off_prod!$A$44</f>
        <v>6.0000000000000001E-3</v>
      </c>
      <c r="AL73" s="197">
        <f>Storage_Reconciled_prod!AL73*Storage_Reconciled_prod!$A$44+Storage_rounded_off_prod!AL73*Storage_rounded_off_prod!$A$44</f>
        <v>1E-3</v>
      </c>
      <c r="AM73" s="197">
        <f>Storage_Reconciled_prod!AM73*Storage_Reconciled_prod!$A$44+Storage_rounded_off_prod!AM73*Storage_rounded_off_prod!$A$44</f>
        <v>0</v>
      </c>
      <c r="AN73" s="197">
        <f>Storage_Reconciled_prod!AN73*Storage_Reconciled_prod!$A$44+Storage_rounded_off_prod!AN73*Storage_rounded_off_prod!$A$44</f>
        <v>1E-3</v>
      </c>
      <c r="AO73" s="197">
        <f>Storage_Reconciled_prod!AO73*Storage_Reconciled_prod!$A$44+Storage_rounded_off_prod!AO73*Storage_rounded_off_prod!$A$44</f>
        <v>2E-3</v>
      </c>
      <c r="AP73" s="197">
        <f>Storage_Reconciled_prod!AP73*Storage_Reconciled_prod!$A$44+Storage_rounded_off_prod!AP73*Storage_rounded_off_prod!$A$44</f>
        <v>8.0000000000000002E-3</v>
      </c>
      <c r="AQ73" s="197">
        <f>Storage_Reconciled_prod!AQ73*Storage_Reconciled_prod!$A$44+Storage_rounded_off_prod!AQ73*Storage_rounded_off_prod!$A$44</f>
        <v>1E-3</v>
      </c>
      <c r="AR73" s="197">
        <f>Storage_Reconciled_prod!AR73*Storage_Reconciled_prod!$A$44+Storage_rounded_off_prod!AR73*Storage_rounded_off_prod!$A$44</f>
        <v>1E-3</v>
      </c>
      <c r="AS73" s="197">
        <f>Storage_Reconciled_prod!AS73*Storage_Reconciled_prod!$A$44+Storage_rounded_off_prod!AS73*Storage_rounded_off_prod!$A$44</f>
        <v>1E-3</v>
      </c>
      <c r="AT73" s="197">
        <f>Storage_Reconciled_prod!AT73*Storage_Reconciled_prod!$A$44+Storage_rounded_off_prod!AT73*Storage_rounded_off_prod!$A$44</f>
        <v>3.0000000000000001E-3</v>
      </c>
      <c r="AU73" s="197">
        <f>Storage_Reconciled_prod!AU73*Storage_Reconciled_prod!$A$44+Storage_rounded_off_prod!AU73*Storage_rounded_off_prod!$A$44</f>
        <v>1E-3</v>
      </c>
      <c r="AV73" s="197">
        <f>Storage_Reconciled_prod!AV73*Storage_Reconciled_prod!$A$44+Storage_rounded_off_prod!AV73*Storage_rounded_off_prod!$A$44</f>
        <v>1E-3</v>
      </c>
      <c r="AW73" s="197">
        <f>Storage_Reconciled_prod!AW73*Storage_Reconciled_prod!$A$44+Storage_rounded_off_prod!AW73*Storage_rounded_off_prod!$A$44</f>
        <v>0</v>
      </c>
      <c r="AX73" s="197">
        <f>Storage_Reconciled_prod!AX73*Storage_Reconciled_prod!$A$44+Storage_rounded_off_prod!AX73*Storage_rounded_off_prod!$A$44</f>
        <v>2E-3</v>
      </c>
      <c r="AY73" s="197">
        <f>Storage_Reconciled_prod!AY73*Storage_Reconciled_prod!$A$44+Storage_rounded_off_prod!AY73*Storage_rounded_off_prod!$A$44</f>
        <v>5.0000000000000001E-3</v>
      </c>
      <c r="AZ73" s="197">
        <f>Storage_Reconciled_prod!AZ73*Storage_Reconciled_prod!$A$44+Storage_rounded_off_prod!AZ73*Storage_rounded_off_prod!$A$44</f>
        <v>1E-3</v>
      </c>
      <c r="BA73" s="197">
        <f>Storage_Reconciled_prod!BA73*Storage_Reconciled_prod!$A$44+Storage_rounded_off_prod!BA73*Storage_rounded_off_prod!$A$44</f>
        <v>1E-3</v>
      </c>
      <c r="BB73" s="197">
        <f>Storage_Reconciled_prod!BB73*Storage_Reconciled_prod!$A$44+Storage_rounded_off_prod!BB73*Storage_rounded_off_prod!$A$44</f>
        <v>1E-3</v>
      </c>
      <c r="BC73" s="197">
        <f>Storage_Reconciled_prod!BC73*Storage_Reconciled_prod!$A$44+Storage_rounded_off_prod!BC73*Storage_rounded_off_prod!$A$44</f>
        <v>3.0000000000000001E-3</v>
      </c>
      <c r="BD73" s="197">
        <f>Storage_Reconciled_prod!BD73*Storage_Reconciled_prod!$A$44+Storage_rounded_off_prod!BD73*Storage_rounded_off_prod!$A$44</f>
        <v>8.0000000000000002E-3</v>
      </c>
      <c r="BE73" s="197">
        <f>Storage_Reconciled_prod!BE73*Storage_Reconciled_prod!$A$44+Storage_rounded_off_prod!BE73*Storage_rounded_off_prod!$A$44</f>
        <v>0</v>
      </c>
      <c r="BF73" s="197">
        <f>Storage_Reconciled_prod!BF73*Storage_Reconciled_prod!$A$44+Storage_rounded_off_prod!BF73*Storage_rounded_off_prod!$A$44</f>
        <v>1E-3</v>
      </c>
      <c r="BG73" s="197">
        <f>Storage_Reconciled_prod!BG73*Storage_Reconciled_prod!$A$44+Storage_rounded_off_prod!BG73*Storage_rounded_off_prod!$A$44</f>
        <v>0</v>
      </c>
      <c r="BH73" s="197">
        <f>Storage_Reconciled_prod!BH73*Storage_Reconciled_prod!$A$44+Storage_rounded_off_prod!BH73*Storage_rounded_off_prod!$A$44</f>
        <v>1E-3</v>
      </c>
      <c r="BI73" s="197">
        <f>Storage_Reconciled_prod!BI73*Storage_Reconciled_prod!$A$44+Storage_rounded_off_prod!BI73*Storage_rounded_off_prod!$A$44</f>
        <v>9.0000000000000011E-3</v>
      </c>
      <c r="BJ73" s="197">
        <f>Storage_Reconciled_prod!BJ73*Storage_Reconciled_prod!$A$44+Storage_rounded_off_prod!BJ73*Storage_rounded_off_prod!$A$44</f>
        <v>1E-3</v>
      </c>
      <c r="BK73" s="197">
        <f>Storage_Reconciled_prod!BK73*Storage_Reconciled_prod!$A$44+Storage_rounded_off_prod!BK73*Storage_rounded_off_prod!$A$44</f>
        <v>1E-3</v>
      </c>
      <c r="BL73" s="197">
        <f>Storage_Reconciled_prod!BL73*Storage_Reconciled_prod!$A$44+Storage_rounded_off_prod!BL73*Storage_rounded_off_prod!$A$44</f>
        <v>0</v>
      </c>
      <c r="BM73" s="197">
        <f>Storage_Reconciled_prod!BM73*Storage_Reconciled_prod!$A$44+Storage_rounded_off_prod!BM73*Storage_rounded_off_prod!$A$44</f>
        <v>2E-3</v>
      </c>
      <c r="BN73" s="197">
        <f>Storage_Reconciled_prod!BN73*Storage_Reconciled_prod!$A$44+Storage_rounded_off_prod!BN73*Storage_rounded_off_prod!$A$44</f>
        <v>1E-3</v>
      </c>
      <c r="BO73" s="197">
        <f>Storage_Reconciled_prod!BO73*Storage_Reconciled_prod!$A$44+Storage_rounded_off_prod!BO73*Storage_rounded_off_prod!$A$44</f>
        <v>0</v>
      </c>
      <c r="BP73" s="197">
        <f>Storage_Reconciled_prod!BP73*Storage_Reconciled_prod!$A$44+Storage_rounded_off_prod!BP73*Storage_rounded_off_prod!$A$44</f>
        <v>1E-3</v>
      </c>
      <c r="BQ73" s="197">
        <f>Storage_Reconciled_prod!BQ73*Storage_Reconciled_prod!$A$44+Storage_rounded_off_prod!BQ73*Storage_rounded_off_prod!$A$44</f>
        <v>2E-3</v>
      </c>
      <c r="BR73" s="197">
        <f>Storage_Reconciled_prod!BR73*Storage_Reconciled_prod!$A$44+Storage_rounded_off_prod!BR73*Storage_rounded_off_prod!$A$44</f>
        <v>4.0000000000000001E-3</v>
      </c>
      <c r="BS73" s="197">
        <f>Storage_Reconciled_prod!BS73*Storage_Reconciled_prod!$A$44+Storage_rounded_off_prod!BS73*Storage_rounded_off_prod!$A$44</f>
        <v>1E-3</v>
      </c>
      <c r="BT73" s="197">
        <f>Storage_Reconciled_prod!BT73*Storage_Reconciled_prod!$A$44+Storage_rounded_off_prod!BT73*Storage_rounded_off_prod!$A$44</f>
        <v>0</v>
      </c>
      <c r="BU73" s="197">
        <f>Storage_Reconciled_prod!BU73*Storage_Reconciled_prod!$A$44+Storage_rounded_off_prod!BU73*Storage_rounded_off_prod!$A$44</f>
        <v>1E-3</v>
      </c>
      <c r="BV73" s="197">
        <f>Storage_Reconciled_prod!BV73*Storage_Reconciled_prod!$A$44+Storage_rounded_off_prod!BV73*Storage_rounded_off_prod!$A$44</f>
        <v>2E-3</v>
      </c>
      <c r="BW73" s="197">
        <f>Storage_Reconciled_prod!BW73*Storage_Reconciled_prod!$A$44+Storage_rounded_off_prod!BW73*Storage_rounded_off_prod!$A$44</f>
        <v>6.0000000000000001E-3</v>
      </c>
      <c r="BX73" s="197">
        <f>Storage_Reconciled_prod!BX73*Storage_Reconciled_prod!$A$44+Storage_rounded_off_prod!BX73*Storage_rounded_off_prod!$A$44</f>
        <v>0</v>
      </c>
      <c r="BY73" s="197">
        <f>Storage_Reconciled_prod!BY73*Storage_Reconciled_prod!$A$44+Storage_rounded_off_prod!BY73*Storage_rounded_off_prod!$A$44</f>
        <v>1E-3</v>
      </c>
      <c r="BZ73" s="197">
        <f>Storage_Reconciled_prod!BZ73*Storage_Reconciled_prod!$A$44+Storage_rounded_off_prod!BZ73*Storage_rounded_off_prod!$A$44</f>
        <v>1E-3</v>
      </c>
      <c r="CA73" s="197">
        <f>Storage_Reconciled_prod!CA73*Storage_Reconciled_prod!$A$44+Storage_rounded_off_prod!CA73*Storage_rounded_off_prod!$A$44</f>
        <v>2E-3</v>
      </c>
      <c r="CB73" s="197">
        <f>Storage_Reconciled_prod!CB73*Storage_Reconciled_prod!$A$44+Storage_rounded_off_prod!CB73*Storage_rounded_off_prod!$A$44</f>
        <v>8.0000000000000002E-3</v>
      </c>
      <c r="CC73" s="197">
        <f>Storage_Reconciled_prod!CC73*Storage_Reconciled_prod!$A$44+Storage_rounded_off_prod!CC73*Storage_rounded_off_prod!$A$44</f>
        <v>1E-3</v>
      </c>
      <c r="CD73" s="197">
        <f>Storage_Reconciled_prod!CD73*Storage_Reconciled_prod!$A$44+Storage_rounded_off_prod!CD73*Storage_rounded_off_prod!$A$44</f>
        <v>1E-3</v>
      </c>
      <c r="CE73" s="197">
        <f>Storage_Reconciled_prod!CE73*Storage_Reconciled_prod!$A$44+Storage_rounded_off_prod!CE73*Storage_rounded_off_prod!$A$44</f>
        <v>1E-3</v>
      </c>
      <c r="CF73" s="197">
        <f>Storage_Reconciled_prod!CF73*Storage_Reconciled_prod!$A$44+Storage_rounded_off_prod!CF73*Storage_rounded_off_prod!$A$44</f>
        <v>3.0000000000000001E-3</v>
      </c>
      <c r="CG73" s="197">
        <f>Storage_Reconciled_prod!CG73*Storage_Reconciled_prod!$A$44+Storage_rounded_off_prod!CG73*Storage_rounded_off_prod!$A$44</f>
        <v>1E-3</v>
      </c>
      <c r="CH73" s="197">
        <f>Storage_Reconciled_prod!CH73*Storage_Reconciled_prod!$A$44+Storage_rounded_off_prod!CH73*Storage_rounded_off_prod!$A$44</f>
        <v>0</v>
      </c>
      <c r="CI73" s="197">
        <f>Storage_Reconciled_prod!CI73*Storage_Reconciled_prod!$A$44+Storage_rounded_off_prod!CI73*Storage_rounded_off_prod!$A$44</f>
        <v>0</v>
      </c>
      <c r="CJ73" s="197">
        <f>Storage_Reconciled_prod!CJ73*Storage_Reconciled_prod!$A$44+Storage_rounded_off_prod!CJ73*Storage_rounded_off_prod!$A$44</f>
        <v>0</v>
      </c>
      <c r="CK73" s="197">
        <f>Storage_Reconciled_prod!CK73*Storage_Reconciled_prod!$A$44+Storage_rounded_off_prod!CK73*Storage_rounded_off_prod!$A$44</f>
        <v>0</v>
      </c>
      <c r="CL73" s="197">
        <f>Storage_Reconciled_prod!CL73*Storage_Reconciled_prod!$A$44+Storage_rounded_off_prod!CL73*Storage_rounded_off_prod!$A$44</f>
        <v>0</v>
      </c>
      <c r="CM73" s="197">
        <f>Storage_Reconciled_prod!CM73*Storage_Reconciled_prod!$A$44+Storage_rounded_off_prod!CM73*Storage_rounded_off_prod!$A$44</f>
        <v>0</v>
      </c>
      <c r="CN73" s="197">
        <f>Storage_Reconciled_prod!CN73*Storage_Reconciled_prod!$A$44+Storage_rounded_off_prod!CN73*Storage_rounded_off_prod!$A$44</f>
        <v>0</v>
      </c>
      <c r="CO73" s="197">
        <f>Storage_Reconciled_prod!CO73*Storage_Reconciled_prod!$A$44+Storage_rounded_off_prod!CO73*Storage_rounded_off_prod!$A$44</f>
        <v>0</v>
      </c>
      <c r="CP73" s="197">
        <f>Storage_Reconciled_prod!CP73*Storage_Reconciled_prod!$A$44+Storage_rounded_off_prod!CP73*Storage_rounded_off_prod!$A$44</f>
        <v>0</v>
      </c>
      <c r="CQ73" s="197">
        <f>Storage_Reconciled_prod!CQ73*Storage_Reconciled_prod!$A$44+Storage_rounded_off_prod!CQ73*Storage_rounded_off_prod!$A$44</f>
        <v>0</v>
      </c>
      <c r="CR73" s="197">
        <f>Storage_Reconciled_prod!CR73*Storage_Reconciled_prod!$A$44+Storage_rounded_off_prod!CR73*Storage_rounded_off_prod!$A$44</f>
        <v>0</v>
      </c>
      <c r="CS73" s="197">
        <f>Storage_Reconciled_prod!CS73*Storage_Reconciled_prod!$A$44+Storage_rounded_off_prod!CS73*Storage_rounded_off_prod!$A$44</f>
        <v>0</v>
      </c>
      <c r="CT73" s="197">
        <f>Storage_Reconciled_prod!CT73*Storage_Reconciled_prod!$A$44+Storage_rounded_off_prod!CT73*Storage_rounded_off_prod!$A$44</f>
        <v>0</v>
      </c>
      <c r="CU73" s="197">
        <f>Storage_Reconciled_prod!CU73*Storage_Reconciled_prod!$A$44+Storage_rounded_off_prod!CU73*Storage_rounded_off_prod!$A$44</f>
        <v>0</v>
      </c>
    </row>
    <row r="74" spans="1:99">
      <c r="C74">
        <v>11</v>
      </c>
      <c r="D74" s="209" t="s">
        <v>65</v>
      </c>
      <c r="E74" s="197">
        <f>Storage_Reconciled_prod!E74*Storage_Reconciled_prod!$A$44+Storage_rounded_off_prod!E74*Storage_rounded_off_prod!$A$44</f>
        <v>0</v>
      </c>
      <c r="F74" s="197">
        <f>Storage_Reconciled_prod!F74*Storage_Reconciled_prod!$A$44+Storage_rounded_off_prod!F74*Storage_rounded_off_prod!$A$44</f>
        <v>1E-3</v>
      </c>
      <c r="G74" s="197">
        <f>Storage_Reconciled_prod!G74*Storage_Reconciled_prod!$A$44+Storage_rounded_off_prod!G74*Storage_rounded_off_prod!$A$44</f>
        <v>0</v>
      </c>
      <c r="H74" s="197">
        <f>Storage_Reconciled_prod!H74*Storage_Reconciled_prod!$A$44+Storage_rounded_off_prod!H74*Storage_rounded_off_prod!$A$44</f>
        <v>1E-3</v>
      </c>
      <c r="I74" s="197">
        <f>Storage_Reconciled_prod!I74*Storage_Reconciled_prod!$A$44+Storage_rounded_off_prod!I74*Storage_rounded_off_prod!$A$44</f>
        <v>1E-3</v>
      </c>
      <c r="J74" s="197">
        <f>Storage_Reconciled_prod!J74*Storage_Reconciled_prod!$A$44+Storage_rounded_off_prod!J74*Storage_rounded_off_prod!$A$44</f>
        <v>1E-3</v>
      </c>
      <c r="K74" s="197">
        <f>Storage_Reconciled_prod!K74*Storage_Reconciled_prod!$A$44+Storage_rounded_off_prod!K74*Storage_rounded_off_prod!$A$44</f>
        <v>0</v>
      </c>
      <c r="L74" s="197">
        <f>Storage_Reconciled_prod!L74*Storage_Reconciled_prod!$A$44+Storage_rounded_off_prod!L74*Storage_rounded_off_prod!$A$44</f>
        <v>2E-3</v>
      </c>
      <c r="M74" s="197">
        <f>Storage_Reconciled_prod!M74*Storage_Reconciled_prod!$A$44+Storage_rounded_off_prod!M74*Storage_rounded_off_prod!$A$44</f>
        <v>3.0000000000000001E-3</v>
      </c>
      <c r="N74" s="197">
        <f>Storage_Reconciled_prod!N74*Storage_Reconciled_prod!$A$44+Storage_rounded_off_prod!N74*Storage_rounded_off_prod!$A$44</f>
        <v>1E-3</v>
      </c>
      <c r="O74" s="197">
        <f>Storage_Reconciled_prod!O74*Storage_Reconciled_prod!$A$44+Storage_rounded_off_prod!O74*Storage_rounded_off_prod!$A$44</f>
        <v>1E-3</v>
      </c>
      <c r="P74" s="197">
        <f>Storage_Reconciled_prod!P74*Storage_Reconciled_prod!$A$44+Storage_rounded_off_prod!P74*Storage_rounded_off_prod!$A$44</f>
        <v>1E-3</v>
      </c>
      <c r="Q74" s="197">
        <f>Storage_Reconciled_prod!Q74*Storage_Reconciled_prod!$A$44+Storage_rounded_off_prod!Q74*Storage_rounded_off_prod!$A$44</f>
        <v>3.0000000000000001E-3</v>
      </c>
      <c r="R74" s="197">
        <f>Storage_Reconciled_prod!R74*Storage_Reconciled_prod!$A$44+Storage_rounded_off_prod!R74*Storage_rounded_off_prod!$A$44</f>
        <v>6.0000000000000001E-3</v>
      </c>
      <c r="S74" s="197">
        <f>Storage_Reconciled_prod!S74*Storage_Reconciled_prod!$A$44+Storage_rounded_off_prod!S74*Storage_rounded_off_prod!$A$44</f>
        <v>0</v>
      </c>
      <c r="T74" s="197">
        <f>Storage_Reconciled_prod!T74*Storage_Reconciled_prod!$A$44+Storage_rounded_off_prod!T74*Storage_rounded_off_prod!$A$44</f>
        <v>1E-3</v>
      </c>
      <c r="U74" s="197">
        <f>Storage_Reconciled_prod!U74*Storage_Reconciled_prod!$A$44+Storage_rounded_off_prod!U74*Storage_rounded_off_prod!$A$44</f>
        <v>1E-3</v>
      </c>
      <c r="V74" s="197">
        <f>Storage_Reconciled_prod!V74*Storage_Reconciled_prod!$A$44+Storage_rounded_off_prod!V74*Storage_rounded_off_prod!$A$44</f>
        <v>2E-3</v>
      </c>
      <c r="W74" s="197">
        <f>Storage_Reconciled_prod!W74*Storage_Reconciled_prod!$A$44+Storage_rounded_off_prod!W74*Storage_rounded_off_prod!$A$44</f>
        <v>8.0000000000000002E-3</v>
      </c>
      <c r="X74" s="197">
        <f>Storage_Reconciled_prod!X74*Storage_Reconciled_prod!$A$44+Storage_rounded_off_prod!X74*Storage_rounded_off_prod!$A$44</f>
        <v>1E-3</v>
      </c>
      <c r="Y74" s="197">
        <f>Storage_Reconciled_prod!Y74*Storage_Reconciled_prod!$A$44+Storage_rounded_off_prod!Y74*Storage_rounded_off_prod!$A$44</f>
        <v>1E-3</v>
      </c>
      <c r="Z74" s="197">
        <f>Storage_Reconciled_prod!Z74*Storage_Reconciled_prod!$A$44+Storage_rounded_off_prod!Z74*Storage_rounded_off_prod!$A$44</f>
        <v>1E-3</v>
      </c>
      <c r="AA74" s="197">
        <f>Storage_Reconciled_prod!AA74*Storage_Reconciled_prod!$A$44+Storage_rounded_off_prod!AA74*Storage_rounded_off_prod!$A$44</f>
        <v>3.0000000000000001E-3</v>
      </c>
      <c r="AB74" s="197">
        <f>Storage_Reconciled_prod!AB74*Storage_Reconciled_prod!$A$44+Storage_rounded_off_prod!AB74*Storage_rounded_off_prod!$A$44</f>
        <v>1E-3</v>
      </c>
      <c r="AC74" s="197">
        <f>Storage_Reconciled_prod!AC74*Storage_Reconciled_prod!$A$44+Storage_rounded_off_prod!AC74*Storage_rounded_off_prod!$A$44</f>
        <v>1E-3</v>
      </c>
      <c r="AD74" s="197">
        <f>Storage_Reconciled_prod!AD74*Storage_Reconciled_prod!$A$44+Storage_rounded_off_prod!AD74*Storage_rounded_off_prod!$A$44</f>
        <v>1E-3</v>
      </c>
      <c r="AE74" s="197">
        <f>Storage_Reconciled_prod!AE74*Storage_Reconciled_prod!$A$44+Storage_rounded_off_prod!AE74*Storage_rounded_off_prod!$A$44</f>
        <v>3.0000000000000001E-3</v>
      </c>
      <c r="AF74" s="197">
        <f>Storage_Reconciled_prod!AF74*Storage_Reconciled_prod!$A$44+Storage_rounded_off_prod!AF74*Storage_rounded_off_prod!$A$44</f>
        <v>6.0000000000000001E-3</v>
      </c>
      <c r="AG74" s="197">
        <f>Storage_Reconciled_prod!AG74*Storage_Reconciled_prod!$A$44+Storage_rounded_off_prod!AG74*Storage_rounded_off_prod!$A$44</f>
        <v>1E-3</v>
      </c>
      <c r="AH74" s="197">
        <f>Storage_Reconciled_prod!AH74*Storage_Reconciled_prod!$A$44+Storage_rounded_off_prod!AH74*Storage_rounded_off_prod!$A$44</f>
        <v>1E-3</v>
      </c>
      <c r="AI74" s="197">
        <f>Storage_Reconciled_prod!AI74*Storage_Reconciled_prod!$A$44+Storage_rounded_off_prod!AI74*Storage_rounded_off_prod!$A$44</f>
        <v>2E-3</v>
      </c>
      <c r="AJ74" s="197">
        <f>Storage_Reconciled_prod!AJ74*Storage_Reconciled_prod!$A$44+Storage_rounded_off_prod!AJ74*Storage_rounded_off_prod!$A$44</f>
        <v>4.0000000000000001E-3</v>
      </c>
      <c r="AK74" s="197">
        <f>Storage_Reconciled_prod!AK74*Storage_Reconciled_prod!$A$44+Storage_rounded_off_prod!AK74*Storage_rounded_off_prod!$A$44</f>
        <v>0.01</v>
      </c>
      <c r="AL74" s="197">
        <f>Storage_Reconciled_prod!AL74*Storage_Reconciled_prod!$A$44+Storage_rounded_off_prod!AL74*Storage_rounded_off_prod!$A$44</f>
        <v>1E-3</v>
      </c>
      <c r="AM74" s="197">
        <f>Storage_Reconciled_prod!AM74*Storage_Reconciled_prod!$A$44+Storage_rounded_off_prod!AM74*Storage_rounded_off_prod!$A$44</f>
        <v>1E-3</v>
      </c>
      <c r="AN74" s="197">
        <f>Storage_Reconciled_prod!AN74*Storage_Reconciled_prod!$A$44+Storage_rounded_off_prod!AN74*Storage_rounded_off_prod!$A$44</f>
        <v>1E-3</v>
      </c>
      <c r="AO74" s="197">
        <f>Storage_Reconciled_prod!AO74*Storage_Reconciled_prod!$A$44+Storage_rounded_off_prod!AO74*Storage_rounded_off_prod!$A$44</f>
        <v>3.0000000000000001E-3</v>
      </c>
      <c r="AP74" s="197">
        <f>Storage_Reconciled_prod!AP74*Storage_Reconciled_prod!$A$44+Storage_rounded_off_prod!AP74*Storage_rounded_off_prod!$A$44</f>
        <v>1.3000000000000001E-2</v>
      </c>
      <c r="AQ74" s="197">
        <f>Storage_Reconciled_prod!AQ74*Storage_Reconciled_prod!$A$44+Storage_rounded_off_prod!AQ74*Storage_rounded_off_prod!$A$44</f>
        <v>1E-3</v>
      </c>
      <c r="AR74" s="197">
        <f>Storage_Reconciled_prod!AR74*Storage_Reconciled_prod!$A$44+Storage_rounded_off_prod!AR74*Storage_rounded_off_prod!$A$44</f>
        <v>1E-3</v>
      </c>
      <c r="AS74" s="197">
        <f>Storage_Reconciled_prod!AS74*Storage_Reconciled_prod!$A$44+Storage_rounded_off_prod!AS74*Storage_rounded_off_prod!$A$44</f>
        <v>1E-3</v>
      </c>
      <c r="AT74" s="197">
        <f>Storage_Reconciled_prod!AT74*Storage_Reconciled_prod!$A$44+Storage_rounded_off_prod!AT74*Storage_rounded_off_prod!$A$44</f>
        <v>3.0000000000000001E-3</v>
      </c>
      <c r="AU74" s="197">
        <f>Storage_Reconciled_prod!AU74*Storage_Reconciled_prod!$A$44+Storage_rounded_off_prod!AU74*Storage_rounded_off_prod!$A$44</f>
        <v>2E-3</v>
      </c>
      <c r="AV74" s="197">
        <f>Storage_Reconciled_prod!AV74*Storage_Reconciled_prod!$A$44+Storage_rounded_off_prod!AV74*Storage_rounded_off_prod!$A$44</f>
        <v>1E-3</v>
      </c>
      <c r="AW74" s="197">
        <f>Storage_Reconciled_prod!AW74*Storage_Reconciled_prod!$A$44+Storage_rounded_off_prod!AW74*Storage_rounded_off_prod!$A$44</f>
        <v>1E-3</v>
      </c>
      <c r="AX74" s="197">
        <f>Storage_Reconciled_prod!AX74*Storage_Reconciled_prod!$A$44+Storage_rounded_off_prod!AX74*Storage_rounded_off_prod!$A$44</f>
        <v>4.0000000000000001E-3</v>
      </c>
      <c r="AY74" s="197">
        <f>Storage_Reconciled_prod!AY74*Storage_Reconciled_prod!$A$44+Storage_rounded_off_prod!AY74*Storage_rounded_off_prod!$A$44</f>
        <v>7.0000000000000001E-3</v>
      </c>
      <c r="AZ74" s="197">
        <f>Storage_Reconciled_prod!AZ74*Storage_Reconciled_prod!$A$44+Storage_rounded_off_prod!AZ74*Storage_rounded_off_prod!$A$44</f>
        <v>2E-3</v>
      </c>
      <c r="BA74" s="197">
        <f>Storage_Reconciled_prod!BA74*Storage_Reconciled_prod!$A$44+Storage_rounded_off_prod!BA74*Storage_rounded_off_prod!$A$44</f>
        <v>1E-3</v>
      </c>
      <c r="BB74" s="197">
        <f>Storage_Reconciled_prod!BB74*Storage_Reconciled_prod!$A$44+Storage_rounded_off_prod!BB74*Storage_rounded_off_prod!$A$44</f>
        <v>2E-3</v>
      </c>
      <c r="BC74" s="197">
        <f>Storage_Reconciled_prod!BC74*Storage_Reconciled_prod!$A$44+Storage_rounded_off_prod!BC74*Storage_rounded_off_prod!$A$44</f>
        <v>5.0000000000000001E-3</v>
      </c>
      <c r="BD74" s="197">
        <f>Storage_Reconciled_prod!BD74*Storage_Reconciled_prod!$A$44+Storage_rounded_off_prod!BD74*Storage_rounded_off_prod!$A$44</f>
        <v>1.2E-2</v>
      </c>
      <c r="BE74" s="197">
        <f>Storage_Reconciled_prod!BE74*Storage_Reconciled_prod!$A$44+Storage_rounded_off_prod!BE74*Storage_rounded_off_prod!$A$44</f>
        <v>2E-3</v>
      </c>
      <c r="BF74" s="197">
        <f>Storage_Reconciled_prod!BF74*Storage_Reconciled_prod!$A$44+Storage_rounded_off_prod!BF74*Storage_rounded_off_prod!$A$44</f>
        <v>1E-3</v>
      </c>
      <c r="BG74" s="197">
        <f>Storage_Reconciled_prod!BG74*Storage_Reconciled_prod!$A$44+Storage_rounded_off_prod!BG74*Storage_rounded_off_prod!$A$44</f>
        <v>2E-3</v>
      </c>
      <c r="BH74" s="197">
        <f>Storage_Reconciled_prod!BH74*Storage_Reconciled_prod!$A$44+Storage_rounded_off_prod!BH74*Storage_rounded_off_prod!$A$44</f>
        <v>5.0000000000000001E-3</v>
      </c>
      <c r="BI74" s="197">
        <f>Storage_Reconciled_prod!BI74*Storage_Reconciled_prod!$A$44+Storage_rounded_off_prod!BI74*Storage_rounded_off_prod!$A$44</f>
        <v>1.7000000000000001E-2</v>
      </c>
      <c r="BJ74" s="197">
        <f>Storage_Reconciled_prod!BJ74*Storage_Reconciled_prod!$A$44+Storage_rounded_off_prod!BJ74*Storage_rounded_off_prod!$A$44</f>
        <v>2E-3</v>
      </c>
      <c r="BK74" s="197">
        <f>Storage_Reconciled_prod!BK74*Storage_Reconciled_prod!$A$44+Storage_rounded_off_prod!BK74*Storage_rounded_off_prod!$A$44</f>
        <v>1E-3</v>
      </c>
      <c r="BL74" s="197">
        <f>Storage_Reconciled_prod!BL74*Storage_Reconciled_prod!$A$44+Storage_rounded_off_prod!BL74*Storage_rounded_off_prod!$A$44</f>
        <v>1E-3</v>
      </c>
      <c r="BM74" s="197">
        <f>Storage_Reconciled_prod!BM74*Storage_Reconciled_prod!$A$44+Storage_rounded_off_prod!BM74*Storage_rounded_off_prod!$A$44</f>
        <v>4.0000000000000001E-3</v>
      </c>
      <c r="BN74" s="197">
        <f>Storage_Reconciled_prod!BN74*Storage_Reconciled_prod!$A$44+Storage_rounded_off_prod!BN74*Storage_rounded_off_prod!$A$44</f>
        <v>1E-3</v>
      </c>
      <c r="BO74" s="197">
        <f>Storage_Reconciled_prod!BO74*Storage_Reconciled_prod!$A$44+Storage_rounded_off_prod!BO74*Storage_rounded_off_prod!$A$44</f>
        <v>1E-3</v>
      </c>
      <c r="BP74" s="197">
        <f>Storage_Reconciled_prod!BP74*Storage_Reconciled_prod!$A$44+Storage_rounded_off_prod!BP74*Storage_rounded_off_prod!$A$44</f>
        <v>1E-3</v>
      </c>
      <c r="BQ74" s="197">
        <f>Storage_Reconciled_prod!BQ74*Storage_Reconciled_prod!$A$44+Storage_rounded_off_prod!BQ74*Storage_rounded_off_prod!$A$44</f>
        <v>3.0000000000000001E-3</v>
      </c>
      <c r="BR74" s="197">
        <f>Storage_Reconciled_prod!BR74*Storage_Reconciled_prod!$A$44+Storage_rounded_off_prod!BR74*Storage_rounded_off_prod!$A$44</f>
        <v>7.0000000000000001E-3</v>
      </c>
      <c r="BS74" s="197">
        <f>Storage_Reconciled_prod!BS74*Storage_Reconciled_prod!$A$44+Storage_rounded_off_prod!BS74*Storage_rounded_off_prod!$A$44</f>
        <v>1E-3</v>
      </c>
      <c r="BT74" s="197">
        <f>Storage_Reconciled_prod!BT74*Storage_Reconciled_prod!$A$44+Storage_rounded_off_prod!BT74*Storage_rounded_off_prod!$A$44</f>
        <v>1E-3</v>
      </c>
      <c r="BU74" s="197">
        <f>Storage_Reconciled_prod!BU74*Storage_Reconciled_prod!$A$44+Storage_rounded_off_prod!BU74*Storage_rounded_off_prod!$A$44</f>
        <v>1E-3</v>
      </c>
      <c r="BV74" s="197">
        <f>Storage_Reconciled_prod!BV74*Storage_Reconciled_prod!$A$44+Storage_rounded_off_prod!BV74*Storage_rounded_off_prod!$A$44</f>
        <v>3.0000000000000001E-3</v>
      </c>
      <c r="BW74" s="197">
        <f>Storage_Reconciled_prod!BW74*Storage_Reconciled_prod!$A$44+Storage_rounded_off_prod!BW74*Storage_rounded_off_prod!$A$44</f>
        <v>0.01</v>
      </c>
      <c r="BX74" s="197">
        <f>Storage_Reconciled_prod!BX74*Storage_Reconciled_prod!$A$44+Storage_rounded_off_prod!BX74*Storage_rounded_off_prod!$A$44</f>
        <v>1E-3</v>
      </c>
      <c r="BY74" s="197">
        <f>Storage_Reconciled_prod!BY74*Storage_Reconciled_prod!$A$44+Storage_rounded_off_prod!BY74*Storage_rounded_off_prod!$A$44</f>
        <v>1E-3</v>
      </c>
      <c r="BZ74" s="197">
        <f>Storage_Reconciled_prod!BZ74*Storage_Reconciled_prod!$A$44+Storage_rounded_off_prod!BZ74*Storage_rounded_off_prod!$A$44</f>
        <v>1E-3</v>
      </c>
      <c r="CA74" s="197">
        <f>Storage_Reconciled_prod!CA74*Storage_Reconciled_prod!$A$44+Storage_rounded_off_prod!CA74*Storage_rounded_off_prod!$A$44</f>
        <v>3.0000000000000001E-3</v>
      </c>
      <c r="CB74" s="197">
        <f>Storage_Reconciled_prod!CB74*Storage_Reconciled_prod!$A$44+Storage_rounded_off_prod!CB74*Storage_rounded_off_prod!$A$44</f>
        <v>1.2999999999999999E-2</v>
      </c>
      <c r="CC74" s="197">
        <f>Storage_Reconciled_prod!CC74*Storage_Reconciled_prod!$A$44+Storage_rounded_off_prod!CC74*Storage_rounded_off_prod!$A$44</f>
        <v>1E-3</v>
      </c>
      <c r="CD74" s="197">
        <f>Storage_Reconciled_prod!CD74*Storage_Reconciled_prod!$A$44+Storage_rounded_off_prod!CD74*Storage_rounded_off_prod!$A$44</f>
        <v>1E-3</v>
      </c>
      <c r="CE74" s="197">
        <f>Storage_Reconciled_prod!CE74*Storage_Reconciled_prod!$A$44+Storage_rounded_off_prod!CE74*Storage_rounded_off_prod!$A$44</f>
        <v>1E-3</v>
      </c>
      <c r="CF74" s="197">
        <f>Storage_Reconciled_prod!CF74*Storage_Reconciled_prod!$A$44+Storage_rounded_off_prod!CF74*Storage_rounded_off_prod!$A$44</f>
        <v>3.0000000000000001E-3</v>
      </c>
      <c r="CG74" s="197">
        <f>Storage_Reconciled_prod!CG74*Storage_Reconciled_prod!$A$44+Storage_rounded_off_prod!CG74*Storage_rounded_off_prod!$A$44</f>
        <v>2E-3</v>
      </c>
      <c r="CH74" s="197">
        <f>Storage_Reconciled_prod!CH74*Storage_Reconciled_prod!$A$44+Storage_rounded_off_prod!CH74*Storage_rounded_off_prod!$A$44</f>
        <v>0</v>
      </c>
      <c r="CI74" s="197">
        <f>Storage_Reconciled_prod!CI74*Storage_Reconciled_prod!$A$44+Storage_rounded_off_prod!CI74*Storage_rounded_off_prod!$A$44</f>
        <v>0</v>
      </c>
      <c r="CJ74" s="197">
        <f>Storage_Reconciled_prod!CJ74*Storage_Reconciled_prod!$A$44+Storage_rounded_off_prod!CJ74*Storage_rounded_off_prod!$A$44</f>
        <v>0</v>
      </c>
      <c r="CK74" s="197">
        <f>Storage_Reconciled_prod!CK74*Storage_Reconciled_prod!$A$44+Storage_rounded_off_prod!CK74*Storage_rounded_off_prod!$A$44</f>
        <v>0</v>
      </c>
      <c r="CL74" s="197">
        <f>Storage_Reconciled_prod!CL74*Storage_Reconciled_prod!$A$44+Storage_rounded_off_prod!CL74*Storage_rounded_off_prod!$A$44</f>
        <v>0</v>
      </c>
      <c r="CM74" s="197">
        <f>Storage_Reconciled_prod!CM74*Storage_Reconciled_prod!$A$44+Storage_rounded_off_prod!CM74*Storage_rounded_off_prod!$A$44</f>
        <v>0</v>
      </c>
      <c r="CN74" s="197">
        <f>Storage_Reconciled_prod!CN74*Storage_Reconciled_prod!$A$44+Storage_rounded_off_prod!CN74*Storage_rounded_off_prod!$A$44</f>
        <v>0</v>
      </c>
      <c r="CO74" s="197">
        <f>Storage_Reconciled_prod!CO74*Storage_Reconciled_prod!$A$44+Storage_rounded_off_prod!CO74*Storage_rounded_off_prod!$A$44</f>
        <v>0</v>
      </c>
      <c r="CP74" s="197">
        <f>Storage_Reconciled_prod!CP74*Storage_Reconciled_prod!$A$44+Storage_rounded_off_prod!CP74*Storage_rounded_off_prod!$A$44</f>
        <v>0</v>
      </c>
      <c r="CQ74" s="197">
        <f>Storage_Reconciled_prod!CQ74*Storage_Reconciled_prod!$A$44+Storage_rounded_off_prod!CQ74*Storage_rounded_off_prod!$A$44</f>
        <v>0</v>
      </c>
      <c r="CR74" s="197">
        <f>Storage_Reconciled_prod!CR74*Storage_Reconciled_prod!$A$44+Storage_rounded_off_prod!CR74*Storage_rounded_off_prod!$A$44</f>
        <v>0</v>
      </c>
      <c r="CS74" s="197">
        <f>Storage_Reconciled_prod!CS74*Storage_Reconciled_prod!$A$44+Storage_rounded_off_prod!CS74*Storage_rounded_off_prod!$A$44</f>
        <v>0</v>
      </c>
      <c r="CT74" s="197">
        <f>Storage_Reconciled_prod!CT74*Storage_Reconciled_prod!$A$44+Storage_rounded_off_prod!CT74*Storage_rounded_off_prod!$A$44</f>
        <v>0</v>
      </c>
      <c r="CU74" s="197">
        <f>Storage_Reconciled_prod!CU74*Storage_Reconciled_prod!$A$44+Storage_rounded_off_prod!CU74*Storage_rounded_off_prod!$A$44</f>
        <v>0</v>
      </c>
    </row>
    <row r="75" spans="1:99">
      <c r="C75">
        <v>12</v>
      </c>
      <c r="D75" s="209" t="s">
        <v>66</v>
      </c>
      <c r="E75" s="197">
        <f>Storage_Reconciled_prod!E75*Storage_Reconciled_prod!$A$44+Storage_rounded_off_prod!E75*Storage_rounded_off_prod!$A$44</f>
        <v>0</v>
      </c>
      <c r="F75" s="197">
        <f>Storage_Reconciled_prod!F75*Storage_Reconciled_prod!$A$44+Storage_rounded_off_prod!F75*Storage_rounded_off_prod!$A$44</f>
        <v>0</v>
      </c>
      <c r="G75" s="197">
        <f>Storage_Reconciled_prod!G75*Storage_Reconciled_prod!$A$44+Storage_rounded_off_prod!G75*Storage_rounded_off_prod!$A$44</f>
        <v>0</v>
      </c>
      <c r="H75" s="197">
        <f>Storage_Reconciled_prod!H75*Storage_Reconciled_prod!$A$44+Storage_rounded_off_prod!H75*Storage_rounded_off_prod!$A$44</f>
        <v>0</v>
      </c>
      <c r="I75" s="197">
        <f>Storage_Reconciled_prod!I75*Storage_Reconciled_prod!$A$44+Storage_rounded_off_prod!I75*Storage_rounded_off_prod!$A$44</f>
        <v>0</v>
      </c>
      <c r="J75" s="197">
        <f>Storage_Reconciled_prod!J75*Storage_Reconciled_prod!$A$44+Storage_rounded_off_prod!J75*Storage_rounded_off_prod!$A$44</f>
        <v>0</v>
      </c>
      <c r="K75" s="197">
        <f>Storage_Reconciled_prod!K75*Storage_Reconciled_prod!$A$44+Storage_rounded_off_prod!K75*Storage_rounded_off_prod!$A$44</f>
        <v>0</v>
      </c>
      <c r="L75" s="197">
        <f>Storage_Reconciled_prod!L75*Storage_Reconciled_prod!$A$44+Storage_rounded_off_prod!L75*Storage_rounded_off_prod!$A$44</f>
        <v>0</v>
      </c>
      <c r="M75" s="197">
        <f>Storage_Reconciled_prod!M75*Storage_Reconciled_prod!$A$44+Storage_rounded_off_prod!M75*Storage_rounded_off_prod!$A$44</f>
        <v>0</v>
      </c>
      <c r="N75" s="197">
        <f>Storage_Reconciled_prod!N75*Storage_Reconciled_prod!$A$44+Storage_rounded_off_prod!N75*Storage_rounded_off_prod!$A$44</f>
        <v>0</v>
      </c>
      <c r="O75" s="197">
        <f>Storage_Reconciled_prod!O75*Storage_Reconciled_prod!$A$44+Storage_rounded_off_prod!O75*Storage_rounded_off_prod!$A$44</f>
        <v>0</v>
      </c>
      <c r="P75" s="197">
        <f>Storage_Reconciled_prod!P75*Storage_Reconciled_prod!$A$44+Storage_rounded_off_prod!P75*Storage_rounded_off_prod!$A$44</f>
        <v>0</v>
      </c>
      <c r="Q75" s="197">
        <f>Storage_Reconciled_prod!Q75*Storage_Reconciled_prod!$A$44+Storage_rounded_off_prod!Q75*Storage_rounded_off_prod!$A$44</f>
        <v>0</v>
      </c>
      <c r="R75" s="197">
        <f>Storage_Reconciled_prod!R75*Storage_Reconciled_prod!$A$44+Storage_rounded_off_prod!R75*Storage_rounded_off_prod!$A$44</f>
        <v>0</v>
      </c>
      <c r="S75" s="197">
        <f>Storage_Reconciled_prod!S75*Storage_Reconciled_prod!$A$44+Storage_rounded_off_prod!S75*Storage_rounded_off_prod!$A$44</f>
        <v>0</v>
      </c>
      <c r="T75" s="197">
        <f>Storage_Reconciled_prod!T75*Storage_Reconciled_prod!$A$44+Storage_rounded_off_prod!T75*Storage_rounded_off_prod!$A$44</f>
        <v>0</v>
      </c>
      <c r="U75" s="197">
        <f>Storage_Reconciled_prod!U75*Storage_Reconciled_prod!$A$44+Storage_rounded_off_prod!U75*Storage_rounded_off_prod!$A$44</f>
        <v>0</v>
      </c>
      <c r="V75" s="197">
        <f>Storage_Reconciled_prod!V75*Storage_Reconciled_prod!$A$44+Storage_rounded_off_prod!V75*Storage_rounded_off_prod!$A$44</f>
        <v>0</v>
      </c>
      <c r="W75" s="197">
        <f>Storage_Reconciled_prod!W75*Storage_Reconciled_prod!$A$44+Storage_rounded_off_prod!W75*Storage_rounded_off_prod!$A$44</f>
        <v>0</v>
      </c>
      <c r="X75" s="197">
        <f>Storage_Reconciled_prod!X75*Storage_Reconciled_prod!$A$44+Storage_rounded_off_prod!X75*Storage_rounded_off_prod!$A$44</f>
        <v>0</v>
      </c>
      <c r="Y75" s="197">
        <f>Storage_Reconciled_prod!Y75*Storage_Reconciled_prod!$A$44+Storage_rounded_off_prod!Y75*Storage_rounded_off_prod!$A$44</f>
        <v>0</v>
      </c>
      <c r="Z75" s="197">
        <f>Storage_Reconciled_prod!Z75*Storage_Reconciled_prod!$A$44+Storage_rounded_off_prod!Z75*Storage_rounded_off_prod!$A$44</f>
        <v>0</v>
      </c>
      <c r="AA75" s="197">
        <f>Storage_Reconciled_prod!AA75*Storage_Reconciled_prod!$A$44+Storage_rounded_off_prod!AA75*Storage_rounded_off_prod!$A$44</f>
        <v>0</v>
      </c>
      <c r="AB75" s="197">
        <f>Storage_Reconciled_prod!AB75*Storage_Reconciled_prod!$A$44+Storage_rounded_off_prod!AB75*Storage_rounded_off_prod!$A$44</f>
        <v>0</v>
      </c>
      <c r="AC75" s="197">
        <f>Storage_Reconciled_prod!AC75*Storage_Reconciled_prod!$A$44+Storage_rounded_off_prod!AC75*Storage_rounded_off_prod!$A$44</f>
        <v>0</v>
      </c>
      <c r="AD75" s="197">
        <f>Storage_Reconciled_prod!AD75*Storage_Reconciled_prod!$A$44+Storage_rounded_off_prod!AD75*Storage_rounded_off_prod!$A$44</f>
        <v>0</v>
      </c>
      <c r="AE75" s="197">
        <f>Storage_Reconciled_prod!AE75*Storage_Reconciled_prod!$A$44+Storage_rounded_off_prod!AE75*Storage_rounded_off_prod!$A$44</f>
        <v>0</v>
      </c>
      <c r="AF75" s="197">
        <f>Storage_Reconciled_prod!AF75*Storage_Reconciled_prod!$A$44+Storage_rounded_off_prod!AF75*Storage_rounded_off_prod!$A$44</f>
        <v>0</v>
      </c>
      <c r="AG75" s="197">
        <f>Storage_Reconciled_prod!AG75*Storage_Reconciled_prod!$A$44+Storage_rounded_off_prod!AG75*Storage_rounded_off_prod!$A$44</f>
        <v>0</v>
      </c>
      <c r="AH75" s="197">
        <f>Storage_Reconciled_prod!AH75*Storage_Reconciled_prod!$A$44+Storage_rounded_off_prod!AH75*Storage_rounded_off_prod!$A$44</f>
        <v>0</v>
      </c>
      <c r="AI75" s="197">
        <f>Storage_Reconciled_prod!AI75*Storage_Reconciled_prod!$A$44+Storage_rounded_off_prod!AI75*Storage_rounded_off_prod!$A$44</f>
        <v>0</v>
      </c>
      <c r="AJ75" s="197">
        <f>Storage_Reconciled_prod!AJ75*Storage_Reconciled_prod!$A$44+Storage_rounded_off_prod!AJ75*Storage_rounded_off_prod!$A$44</f>
        <v>0</v>
      </c>
      <c r="AK75" s="197">
        <f>Storage_Reconciled_prod!AK75*Storage_Reconciled_prod!$A$44+Storage_rounded_off_prod!AK75*Storage_rounded_off_prod!$A$44</f>
        <v>0</v>
      </c>
      <c r="AL75" s="197">
        <f>Storage_Reconciled_prod!AL75*Storage_Reconciled_prod!$A$44+Storage_rounded_off_prod!AL75*Storage_rounded_off_prod!$A$44</f>
        <v>0</v>
      </c>
      <c r="AM75" s="197">
        <f>Storage_Reconciled_prod!AM75*Storage_Reconciled_prod!$A$44+Storage_rounded_off_prod!AM75*Storage_rounded_off_prod!$A$44</f>
        <v>0</v>
      </c>
      <c r="AN75" s="197">
        <f>Storage_Reconciled_prod!AN75*Storage_Reconciled_prod!$A$44+Storage_rounded_off_prod!AN75*Storage_rounded_off_prod!$A$44</f>
        <v>0</v>
      </c>
      <c r="AO75" s="197">
        <f>Storage_Reconciled_prod!AO75*Storage_Reconciled_prod!$A$44+Storage_rounded_off_prod!AO75*Storage_rounded_off_prod!$A$44</f>
        <v>0</v>
      </c>
      <c r="AP75" s="197">
        <f>Storage_Reconciled_prod!AP75*Storage_Reconciled_prod!$A$44+Storage_rounded_off_prod!AP75*Storage_rounded_off_prod!$A$44</f>
        <v>0</v>
      </c>
      <c r="AQ75" s="197">
        <f>Storage_Reconciled_prod!AQ75*Storage_Reconciled_prod!$A$44+Storage_rounded_off_prod!AQ75*Storage_rounded_off_prod!$A$44</f>
        <v>0</v>
      </c>
      <c r="AR75" s="197">
        <f>Storage_Reconciled_prod!AR75*Storage_Reconciled_prod!$A$44+Storage_rounded_off_prod!AR75*Storage_rounded_off_prod!$A$44</f>
        <v>0</v>
      </c>
      <c r="AS75" s="197">
        <f>Storage_Reconciled_prod!AS75*Storage_Reconciled_prod!$A$44+Storage_rounded_off_prod!AS75*Storage_rounded_off_prod!$A$44</f>
        <v>0</v>
      </c>
      <c r="AT75" s="197">
        <f>Storage_Reconciled_prod!AT75*Storage_Reconciled_prod!$A$44+Storage_rounded_off_prod!AT75*Storage_rounded_off_prod!$A$44</f>
        <v>0</v>
      </c>
      <c r="AU75" s="197">
        <f>Storage_Reconciled_prod!AU75*Storage_Reconciled_prod!$A$44+Storage_rounded_off_prod!AU75*Storage_rounded_off_prod!$A$44</f>
        <v>0</v>
      </c>
      <c r="AV75" s="197">
        <f>Storage_Reconciled_prod!AV75*Storage_Reconciled_prod!$A$44+Storage_rounded_off_prod!AV75*Storage_rounded_off_prod!$A$44</f>
        <v>0</v>
      </c>
      <c r="AW75" s="197">
        <f>Storage_Reconciled_prod!AW75*Storage_Reconciled_prod!$A$44+Storage_rounded_off_prod!AW75*Storage_rounded_off_prod!$A$44</f>
        <v>0</v>
      </c>
      <c r="AX75" s="197">
        <f>Storage_Reconciled_prod!AX75*Storage_Reconciled_prod!$A$44+Storage_rounded_off_prod!AX75*Storage_rounded_off_prod!$A$44</f>
        <v>0</v>
      </c>
      <c r="AY75" s="197">
        <f>Storage_Reconciled_prod!AY75*Storage_Reconciled_prod!$A$44+Storage_rounded_off_prod!AY75*Storage_rounded_off_prod!$A$44</f>
        <v>0</v>
      </c>
      <c r="AZ75" s="197">
        <f>Storage_Reconciled_prod!AZ75*Storage_Reconciled_prod!$A$44+Storage_rounded_off_prod!AZ75*Storage_rounded_off_prod!$A$44</f>
        <v>0</v>
      </c>
      <c r="BA75" s="197">
        <f>Storage_Reconciled_prod!BA75*Storage_Reconciled_prod!$A$44+Storage_rounded_off_prod!BA75*Storage_rounded_off_prod!$A$44</f>
        <v>0</v>
      </c>
      <c r="BB75" s="197">
        <f>Storage_Reconciled_prod!BB75*Storage_Reconciled_prod!$A$44+Storage_rounded_off_prod!BB75*Storage_rounded_off_prod!$A$44</f>
        <v>0</v>
      </c>
      <c r="BC75" s="197">
        <f>Storage_Reconciled_prod!BC75*Storage_Reconciled_prod!$A$44+Storage_rounded_off_prod!BC75*Storage_rounded_off_prod!$A$44</f>
        <v>0</v>
      </c>
      <c r="BD75" s="197">
        <f>Storage_Reconciled_prod!BD75*Storage_Reconciled_prod!$A$44+Storage_rounded_off_prod!BD75*Storage_rounded_off_prod!$A$44</f>
        <v>0</v>
      </c>
      <c r="BE75" s="197">
        <f>Storage_Reconciled_prod!BE75*Storage_Reconciled_prod!$A$44+Storage_rounded_off_prod!BE75*Storage_rounded_off_prod!$A$44</f>
        <v>0</v>
      </c>
      <c r="BF75" s="197">
        <f>Storage_Reconciled_prod!BF75*Storage_Reconciled_prod!$A$44+Storage_rounded_off_prod!BF75*Storage_rounded_off_prod!$A$44</f>
        <v>0</v>
      </c>
      <c r="BG75" s="197">
        <f>Storage_Reconciled_prod!BG75*Storage_Reconciled_prod!$A$44+Storage_rounded_off_prod!BG75*Storage_rounded_off_prod!$A$44</f>
        <v>0</v>
      </c>
      <c r="BH75" s="197">
        <f>Storage_Reconciled_prod!BH75*Storage_Reconciled_prod!$A$44+Storage_rounded_off_prod!BH75*Storage_rounded_off_prod!$A$44</f>
        <v>0</v>
      </c>
      <c r="BI75" s="197">
        <f>Storage_Reconciled_prod!BI75*Storage_Reconciled_prod!$A$44+Storage_rounded_off_prod!BI75*Storage_rounded_off_prod!$A$44</f>
        <v>0</v>
      </c>
      <c r="BJ75" s="197">
        <f>Storage_Reconciled_prod!BJ75*Storage_Reconciled_prod!$A$44+Storage_rounded_off_prod!BJ75*Storage_rounded_off_prod!$A$44</f>
        <v>0</v>
      </c>
      <c r="BK75" s="197">
        <f>Storage_Reconciled_prod!BK75*Storage_Reconciled_prod!$A$44+Storage_rounded_off_prod!BK75*Storage_rounded_off_prod!$A$44</f>
        <v>0</v>
      </c>
      <c r="BL75" s="197">
        <f>Storage_Reconciled_prod!BL75*Storage_Reconciled_prod!$A$44+Storage_rounded_off_prod!BL75*Storage_rounded_off_prod!$A$44</f>
        <v>0</v>
      </c>
      <c r="BM75" s="197">
        <f>Storage_Reconciled_prod!BM75*Storage_Reconciled_prod!$A$44+Storage_rounded_off_prod!BM75*Storage_rounded_off_prod!$A$44</f>
        <v>0</v>
      </c>
      <c r="BN75" s="197">
        <f>Storage_Reconciled_prod!BN75*Storage_Reconciled_prod!$A$44+Storage_rounded_off_prod!BN75*Storage_rounded_off_prod!$A$44</f>
        <v>0</v>
      </c>
      <c r="BO75" s="197">
        <f>Storage_Reconciled_prod!BO75*Storage_Reconciled_prod!$A$44+Storage_rounded_off_prod!BO75*Storage_rounded_off_prod!$A$44</f>
        <v>0</v>
      </c>
      <c r="BP75" s="197">
        <f>Storage_Reconciled_prod!BP75*Storage_Reconciled_prod!$A$44+Storage_rounded_off_prod!BP75*Storage_rounded_off_prod!$A$44</f>
        <v>0</v>
      </c>
      <c r="BQ75" s="197">
        <f>Storage_Reconciled_prod!BQ75*Storage_Reconciled_prod!$A$44+Storage_rounded_off_prod!BQ75*Storage_rounded_off_prod!$A$44</f>
        <v>0</v>
      </c>
      <c r="BR75" s="197">
        <f>Storage_Reconciled_prod!BR75*Storage_Reconciled_prod!$A$44+Storage_rounded_off_prod!BR75*Storage_rounded_off_prod!$A$44</f>
        <v>0</v>
      </c>
      <c r="BS75" s="197">
        <f>Storage_Reconciled_prod!BS75*Storage_Reconciled_prod!$A$44+Storage_rounded_off_prod!BS75*Storage_rounded_off_prod!$A$44</f>
        <v>0</v>
      </c>
      <c r="BT75" s="197">
        <f>Storage_Reconciled_prod!BT75*Storage_Reconciled_prod!$A$44+Storage_rounded_off_prod!BT75*Storage_rounded_off_prod!$A$44</f>
        <v>0</v>
      </c>
      <c r="BU75" s="197">
        <f>Storage_Reconciled_prod!BU75*Storage_Reconciled_prod!$A$44+Storage_rounded_off_prod!BU75*Storage_rounded_off_prod!$A$44</f>
        <v>0</v>
      </c>
      <c r="BV75" s="197">
        <f>Storage_Reconciled_prod!BV75*Storage_Reconciled_prod!$A$44+Storage_rounded_off_prod!BV75*Storage_rounded_off_prod!$A$44</f>
        <v>0</v>
      </c>
      <c r="BW75" s="197">
        <f>Storage_Reconciled_prod!BW75*Storage_Reconciled_prod!$A$44+Storage_rounded_off_prod!BW75*Storage_rounded_off_prod!$A$44</f>
        <v>0</v>
      </c>
      <c r="BX75" s="197">
        <f>Storage_Reconciled_prod!BX75*Storage_Reconciled_prod!$A$44+Storage_rounded_off_prod!BX75*Storage_rounded_off_prod!$A$44</f>
        <v>0</v>
      </c>
      <c r="BY75" s="197">
        <f>Storage_Reconciled_prod!BY75*Storage_Reconciled_prod!$A$44+Storage_rounded_off_prod!BY75*Storage_rounded_off_prod!$A$44</f>
        <v>0</v>
      </c>
      <c r="BZ75" s="197">
        <f>Storage_Reconciled_prod!BZ75*Storage_Reconciled_prod!$A$44+Storage_rounded_off_prod!BZ75*Storage_rounded_off_prod!$A$44</f>
        <v>0</v>
      </c>
      <c r="CA75" s="197">
        <f>Storage_Reconciled_prod!CA75*Storage_Reconciled_prod!$A$44+Storage_rounded_off_prod!CA75*Storage_rounded_off_prod!$A$44</f>
        <v>0</v>
      </c>
      <c r="CB75" s="197">
        <f>Storage_Reconciled_prod!CB75*Storage_Reconciled_prod!$A$44+Storage_rounded_off_prod!CB75*Storage_rounded_off_prod!$A$44</f>
        <v>0</v>
      </c>
      <c r="CC75" s="197">
        <f>Storage_Reconciled_prod!CC75*Storage_Reconciled_prod!$A$44+Storage_rounded_off_prod!CC75*Storage_rounded_off_prod!$A$44</f>
        <v>0</v>
      </c>
      <c r="CD75" s="197">
        <f>Storage_Reconciled_prod!CD75*Storage_Reconciled_prod!$A$44+Storage_rounded_off_prod!CD75*Storage_rounded_off_prod!$A$44</f>
        <v>0</v>
      </c>
      <c r="CE75" s="197">
        <f>Storage_Reconciled_prod!CE75*Storage_Reconciled_prod!$A$44+Storage_rounded_off_prod!CE75*Storage_rounded_off_prod!$A$44</f>
        <v>0</v>
      </c>
      <c r="CF75" s="197">
        <f>Storage_Reconciled_prod!CF75*Storage_Reconciled_prod!$A$44+Storage_rounded_off_prod!CF75*Storage_rounded_off_prod!$A$44</f>
        <v>0</v>
      </c>
      <c r="CG75" s="197">
        <f>Storage_Reconciled_prod!CG75*Storage_Reconciled_prod!$A$44+Storage_rounded_off_prod!CG75*Storage_rounded_off_prod!$A$44</f>
        <v>0</v>
      </c>
      <c r="CH75" s="197">
        <f>Storage_Reconciled_prod!CH75*Storage_Reconciled_prod!$A$44+Storage_rounded_off_prod!CH75*Storage_rounded_off_prod!$A$44</f>
        <v>0</v>
      </c>
      <c r="CI75" s="197">
        <f>Storage_Reconciled_prod!CI75*Storage_Reconciled_prod!$A$44+Storage_rounded_off_prod!CI75*Storage_rounded_off_prod!$A$44</f>
        <v>0</v>
      </c>
      <c r="CJ75" s="197">
        <f>Storage_Reconciled_prod!CJ75*Storage_Reconciled_prod!$A$44+Storage_rounded_off_prod!CJ75*Storage_rounded_off_prod!$A$44</f>
        <v>0</v>
      </c>
      <c r="CK75" s="197">
        <f>Storage_Reconciled_prod!CK75*Storage_Reconciled_prod!$A$44+Storage_rounded_off_prod!CK75*Storage_rounded_off_prod!$A$44</f>
        <v>0</v>
      </c>
      <c r="CL75" s="197">
        <f>Storage_Reconciled_prod!CL75*Storage_Reconciled_prod!$A$44+Storage_rounded_off_prod!CL75*Storage_rounded_off_prod!$A$44</f>
        <v>0</v>
      </c>
      <c r="CM75" s="197">
        <f>Storage_Reconciled_prod!CM75*Storage_Reconciled_prod!$A$44+Storage_rounded_off_prod!CM75*Storage_rounded_off_prod!$A$44</f>
        <v>0</v>
      </c>
      <c r="CN75" s="197">
        <f>Storage_Reconciled_prod!CN75*Storage_Reconciled_prod!$A$44+Storage_rounded_off_prod!CN75*Storage_rounded_off_prod!$A$44</f>
        <v>0</v>
      </c>
      <c r="CO75" s="197">
        <f>Storage_Reconciled_prod!CO75*Storage_Reconciled_prod!$A$44+Storage_rounded_off_prod!CO75*Storage_rounded_off_prod!$A$44</f>
        <v>0</v>
      </c>
      <c r="CP75" s="197">
        <f>Storage_Reconciled_prod!CP75*Storage_Reconciled_prod!$A$44+Storage_rounded_off_prod!CP75*Storage_rounded_off_prod!$A$44</f>
        <v>0</v>
      </c>
      <c r="CQ75" s="197">
        <f>Storage_Reconciled_prod!CQ75*Storage_Reconciled_prod!$A$44+Storage_rounded_off_prod!CQ75*Storage_rounded_off_prod!$A$44</f>
        <v>0</v>
      </c>
      <c r="CR75" s="197">
        <f>Storage_Reconciled_prod!CR75*Storage_Reconciled_prod!$A$44+Storage_rounded_off_prod!CR75*Storage_rounded_off_prod!$A$44</f>
        <v>0</v>
      </c>
      <c r="CS75" s="197">
        <f>Storage_Reconciled_prod!CS75*Storage_Reconciled_prod!$A$44+Storage_rounded_off_prod!CS75*Storage_rounded_off_prod!$A$44</f>
        <v>0</v>
      </c>
      <c r="CT75" s="197">
        <f>Storage_Reconciled_prod!CT75*Storage_Reconciled_prod!$A$44+Storage_rounded_off_prod!CT75*Storage_rounded_off_prod!$A$44</f>
        <v>0</v>
      </c>
      <c r="CU75" s="197">
        <f>Storage_Reconciled_prod!CU75*Storage_Reconciled_prod!$A$44+Storage_rounded_off_prod!CU75*Storage_rounded_off_prod!$A$44</f>
        <v>0</v>
      </c>
    </row>
    <row r="76" spans="1:99">
      <c r="C76">
        <v>13</v>
      </c>
      <c r="D76" s="209" t="s">
        <v>67</v>
      </c>
      <c r="E76" s="197">
        <f>Storage_Reconciled_prod!E76*Storage_Reconciled_prod!$A$44+Storage_rounded_off_prod!E76*Storage_rounded_off_prod!$A$44</f>
        <v>0</v>
      </c>
      <c r="F76" s="197">
        <f>Storage_Reconciled_prod!F76*Storage_Reconciled_prod!$A$44+Storage_rounded_off_prod!F76*Storage_rounded_off_prod!$A$44</f>
        <v>0</v>
      </c>
      <c r="G76" s="197">
        <f>Storage_Reconciled_prod!G76*Storage_Reconciled_prod!$A$44+Storage_rounded_off_prod!G76*Storage_rounded_off_prod!$A$44</f>
        <v>0</v>
      </c>
      <c r="H76" s="197">
        <f>Storage_Reconciled_prod!H76*Storage_Reconciled_prod!$A$44+Storage_rounded_off_prod!H76*Storage_rounded_off_prod!$A$44</f>
        <v>0</v>
      </c>
      <c r="I76" s="197">
        <f>Storage_Reconciled_prod!I76*Storage_Reconciled_prod!$A$44+Storage_rounded_off_prod!I76*Storage_rounded_off_prod!$A$44</f>
        <v>0</v>
      </c>
      <c r="J76" s="197">
        <f>Storage_Reconciled_prod!J76*Storage_Reconciled_prod!$A$44+Storage_rounded_off_prod!J76*Storage_rounded_off_prod!$A$44</f>
        <v>0</v>
      </c>
      <c r="K76" s="197">
        <f>Storage_Reconciled_prod!K76*Storage_Reconciled_prod!$A$44+Storage_rounded_off_prod!K76*Storage_rounded_off_prod!$A$44</f>
        <v>0</v>
      </c>
      <c r="L76" s="197">
        <f>Storage_Reconciled_prod!L76*Storage_Reconciled_prod!$A$44+Storage_rounded_off_prod!L76*Storage_rounded_off_prod!$A$44</f>
        <v>0</v>
      </c>
      <c r="M76" s="197">
        <f>Storage_Reconciled_prod!M76*Storage_Reconciled_prod!$A$44+Storage_rounded_off_prod!M76*Storage_rounded_off_prod!$A$44</f>
        <v>0</v>
      </c>
      <c r="N76" s="197">
        <f>Storage_Reconciled_prod!N76*Storage_Reconciled_prod!$A$44+Storage_rounded_off_prod!N76*Storage_rounded_off_prod!$A$44</f>
        <v>0</v>
      </c>
      <c r="O76" s="197">
        <f>Storage_Reconciled_prod!O76*Storage_Reconciled_prod!$A$44+Storage_rounded_off_prod!O76*Storage_rounded_off_prod!$A$44</f>
        <v>0</v>
      </c>
      <c r="P76" s="197">
        <f>Storage_Reconciled_prod!P76*Storage_Reconciled_prod!$A$44+Storage_rounded_off_prod!P76*Storage_rounded_off_prod!$A$44</f>
        <v>0</v>
      </c>
      <c r="Q76" s="197">
        <f>Storage_Reconciled_prod!Q76*Storage_Reconciled_prod!$A$44+Storage_rounded_off_prod!Q76*Storage_rounded_off_prod!$A$44</f>
        <v>0</v>
      </c>
      <c r="R76" s="197">
        <f>Storage_Reconciled_prod!R76*Storage_Reconciled_prod!$A$44+Storage_rounded_off_prod!R76*Storage_rounded_off_prod!$A$44</f>
        <v>0</v>
      </c>
      <c r="S76" s="197">
        <f>Storage_Reconciled_prod!S76*Storage_Reconciled_prod!$A$44+Storage_rounded_off_prod!S76*Storage_rounded_off_prod!$A$44</f>
        <v>0</v>
      </c>
      <c r="T76" s="197">
        <f>Storage_Reconciled_prod!T76*Storage_Reconciled_prod!$A$44+Storage_rounded_off_prod!T76*Storage_rounded_off_prod!$A$44</f>
        <v>0</v>
      </c>
      <c r="U76" s="197">
        <f>Storage_Reconciled_prod!U76*Storage_Reconciled_prod!$A$44+Storage_rounded_off_prod!U76*Storage_rounded_off_prod!$A$44</f>
        <v>0</v>
      </c>
      <c r="V76" s="197">
        <f>Storage_Reconciled_prod!V76*Storage_Reconciled_prod!$A$44+Storage_rounded_off_prod!V76*Storage_rounded_off_prod!$A$44</f>
        <v>0</v>
      </c>
      <c r="W76" s="197">
        <f>Storage_Reconciled_prod!W76*Storage_Reconciled_prod!$A$44+Storage_rounded_off_prod!W76*Storage_rounded_off_prod!$A$44</f>
        <v>0</v>
      </c>
      <c r="X76" s="197">
        <f>Storage_Reconciled_prod!X76*Storage_Reconciled_prod!$A$44+Storage_rounded_off_prod!X76*Storage_rounded_off_prod!$A$44</f>
        <v>0</v>
      </c>
      <c r="Y76" s="197">
        <f>Storage_Reconciled_prod!Y76*Storage_Reconciled_prod!$A$44+Storage_rounded_off_prod!Y76*Storage_rounded_off_prod!$A$44</f>
        <v>0</v>
      </c>
      <c r="Z76" s="197">
        <f>Storage_Reconciled_prod!Z76*Storage_Reconciled_prod!$A$44+Storage_rounded_off_prod!Z76*Storage_rounded_off_prod!$A$44</f>
        <v>0</v>
      </c>
      <c r="AA76" s="197">
        <f>Storage_Reconciled_prod!AA76*Storage_Reconciled_prod!$A$44+Storage_rounded_off_prod!AA76*Storage_rounded_off_prod!$A$44</f>
        <v>0</v>
      </c>
      <c r="AB76" s="197">
        <f>Storage_Reconciled_prod!AB76*Storage_Reconciled_prod!$A$44+Storage_rounded_off_prod!AB76*Storage_rounded_off_prod!$A$44</f>
        <v>0</v>
      </c>
      <c r="AC76" s="197">
        <f>Storage_Reconciled_prod!AC76*Storage_Reconciled_prod!$A$44+Storage_rounded_off_prod!AC76*Storage_rounded_off_prod!$A$44</f>
        <v>0</v>
      </c>
      <c r="AD76" s="197">
        <f>Storage_Reconciled_prod!AD76*Storage_Reconciled_prod!$A$44+Storage_rounded_off_prod!AD76*Storage_rounded_off_prod!$A$44</f>
        <v>0</v>
      </c>
      <c r="AE76" s="197">
        <f>Storage_Reconciled_prod!AE76*Storage_Reconciled_prod!$A$44+Storage_rounded_off_prod!AE76*Storage_rounded_off_prod!$A$44</f>
        <v>0</v>
      </c>
      <c r="AF76" s="197">
        <f>Storage_Reconciled_prod!AF76*Storage_Reconciled_prod!$A$44+Storage_rounded_off_prod!AF76*Storage_rounded_off_prod!$A$44</f>
        <v>0</v>
      </c>
      <c r="AG76" s="197">
        <f>Storage_Reconciled_prod!AG76*Storage_Reconciled_prod!$A$44+Storage_rounded_off_prod!AG76*Storage_rounded_off_prod!$A$44</f>
        <v>0</v>
      </c>
      <c r="AH76" s="197">
        <f>Storage_Reconciled_prod!AH76*Storage_Reconciled_prod!$A$44+Storage_rounded_off_prod!AH76*Storage_rounded_off_prod!$A$44</f>
        <v>0</v>
      </c>
      <c r="AI76" s="197">
        <f>Storage_Reconciled_prod!AI76*Storage_Reconciled_prod!$A$44+Storage_rounded_off_prod!AI76*Storage_rounded_off_prod!$A$44</f>
        <v>0</v>
      </c>
      <c r="AJ76" s="197">
        <f>Storage_Reconciled_prod!AJ76*Storage_Reconciled_prod!$A$44+Storage_rounded_off_prod!AJ76*Storage_rounded_off_prod!$A$44</f>
        <v>0</v>
      </c>
      <c r="AK76" s="197">
        <f>Storage_Reconciled_prod!AK76*Storage_Reconciled_prod!$A$44+Storage_rounded_off_prod!AK76*Storage_rounded_off_prod!$A$44</f>
        <v>0</v>
      </c>
      <c r="AL76" s="197">
        <f>Storage_Reconciled_prod!AL76*Storage_Reconciled_prod!$A$44+Storage_rounded_off_prod!AL76*Storage_rounded_off_prod!$A$44</f>
        <v>0</v>
      </c>
      <c r="AM76" s="197">
        <f>Storage_Reconciled_prod!AM76*Storage_Reconciled_prod!$A$44+Storage_rounded_off_prod!AM76*Storage_rounded_off_prod!$A$44</f>
        <v>0</v>
      </c>
      <c r="AN76" s="197">
        <f>Storage_Reconciled_prod!AN76*Storage_Reconciled_prod!$A$44+Storage_rounded_off_prod!AN76*Storage_rounded_off_prod!$A$44</f>
        <v>0</v>
      </c>
      <c r="AO76" s="197">
        <f>Storage_Reconciled_prod!AO76*Storage_Reconciled_prod!$A$44+Storage_rounded_off_prod!AO76*Storage_rounded_off_prod!$A$44</f>
        <v>0</v>
      </c>
      <c r="AP76" s="197">
        <f>Storage_Reconciled_prod!AP76*Storage_Reconciled_prod!$A$44+Storage_rounded_off_prod!AP76*Storage_rounded_off_prod!$A$44</f>
        <v>0</v>
      </c>
      <c r="AQ76" s="197">
        <f>Storage_Reconciled_prod!AQ76*Storage_Reconciled_prod!$A$44+Storage_rounded_off_prod!AQ76*Storage_rounded_off_prod!$A$44</f>
        <v>0</v>
      </c>
      <c r="AR76" s="197">
        <f>Storage_Reconciled_prod!AR76*Storage_Reconciled_prod!$A$44+Storage_rounded_off_prod!AR76*Storage_rounded_off_prod!$A$44</f>
        <v>0</v>
      </c>
      <c r="AS76" s="197">
        <f>Storage_Reconciled_prod!AS76*Storage_Reconciled_prod!$A$44+Storage_rounded_off_prod!AS76*Storage_rounded_off_prod!$A$44</f>
        <v>0</v>
      </c>
      <c r="AT76" s="197">
        <f>Storage_Reconciled_prod!AT76*Storage_Reconciled_prod!$A$44+Storage_rounded_off_prod!AT76*Storage_rounded_off_prod!$A$44</f>
        <v>0</v>
      </c>
      <c r="AU76" s="197">
        <f>Storage_Reconciled_prod!AU76*Storage_Reconciled_prod!$A$44+Storage_rounded_off_prod!AU76*Storage_rounded_off_prod!$A$44</f>
        <v>0</v>
      </c>
      <c r="AV76" s="197">
        <f>Storage_Reconciled_prod!AV76*Storage_Reconciled_prod!$A$44+Storage_rounded_off_prod!AV76*Storage_rounded_off_prod!$A$44</f>
        <v>0</v>
      </c>
      <c r="AW76" s="197">
        <f>Storage_Reconciled_prod!AW76*Storage_Reconciled_prod!$A$44+Storage_rounded_off_prod!AW76*Storage_rounded_off_prod!$A$44</f>
        <v>0</v>
      </c>
      <c r="AX76" s="197">
        <f>Storage_Reconciled_prod!AX76*Storage_Reconciled_prod!$A$44+Storage_rounded_off_prod!AX76*Storage_rounded_off_prod!$A$44</f>
        <v>0</v>
      </c>
      <c r="AY76" s="197">
        <f>Storage_Reconciled_prod!AY76*Storage_Reconciled_prod!$A$44+Storage_rounded_off_prod!AY76*Storage_rounded_off_prod!$A$44</f>
        <v>0</v>
      </c>
      <c r="AZ76" s="197">
        <f>Storage_Reconciled_prod!AZ76*Storage_Reconciled_prod!$A$44+Storage_rounded_off_prod!AZ76*Storage_rounded_off_prod!$A$44</f>
        <v>0</v>
      </c>
      <c r="BA76" s="197">
        <f>Storage_Reconciled_prod!BA76*Storage_Reconciled_prod!$A$44+Storage_rounded_off_prod!BA76*Storage_rounded_off_prod!$A$44</f>
        <v>0</v>
      </c>
      <c r="BB76" s="197">
        <f>Storage_Reconciled_prod!BB76*Storage_Reconciled_prod!$A$44+Storage_rounded_off_prod!BB76*Storage_rounded_off_prod!$A$44</f>
        <v>0</v>
      </c>
      <c r="BC76" s="197">
        <f>Storage_Reconciled_prod!BC76*Storage_Reconciled_prod!$A$44+Storage_rounded_off_prod!BC76*Storage_rounded_off_prod!$A$44</f>
        <v>0</v>
      </c>
      <c r="BD76" s="197">
        <f>Storage_Reconciled_prod!BD76*Storage_Reconciled_prod!$A$44+Storage_rounded_off_prod!BD76*Storage_rounded_off_prod!$A$44</f>
        <v>0</v>
      </c>
      <c r="BE76" s="197">
        <f>Storage_Reconciled_prod!BE76*Storage_Reconciled_prod!$A$44+Storage_rounded_off_prod!BE76*Storage_rounded_off_prod!$A$44</f>
        <v>0</v>
      </c>
      <c r="BF76" s="197">
        <f>Storage_Reconciled_prod!BF76*Storage_Reconciled_prod!$A$44+Storage_rounded_off_prod!BF76*Storage_rounded_off_prod!$A$44</f>
        <v>0</v>
      </c>
      <c r="BG76" s="197">
        <f>Storage_Reconciled_prod!BG76*Storage_Reconciled_prod!$A$44+Storage_rounded_off_prod!BG76*Storage_rounded_off_prod!$A$44</f>
        <v>0</v>
      </c>
      <c r="BH76" s="197">
        <f>Storage_Reconciled_prod!BH76*Storage_Reconciled_prod!$A$44+Storage_rounded_off_prod!BH76*Storage_rounded_off_prod!$A$44</f>
        <v>0</v>
      </c>
      <c r="BI76" s="197">
        <f>Storage_Reconciled_prod!BI76*Storage_Reconciled_prod!$A$44+Storage_rounded_off_prod!BI76*Storage_rounded_off_prod!$A$44</f>
        <v>0</v>
      </c>
      <c r="BJ76" s="197">
        <f>Storage_Reconciled_prod!BJ76*Storage_Reconciled_prod!$A$44+Storage_rounded_off_prod!BJ76*Storage_rounded_off_prod!$A$44</f>
        <v>0</v>
      </c>
      <c r="BK76" s="197">
        <f>Storage_Reconciled_prod!BK76*Storage_Reconciled_prod!$A$44+Storage_rounded_off_prod!BK76*Storage_rounded_off_prod!$A$44</f>
        <v>0</v>
      </c>
      <c r="BL76" s="197">
        <f>Storage_Reconciled_prod!BL76*Storage_Reconciled_prod!$A$44+Storage_rounded_off_prod!BL76*Storage_rounded_off_prod!$A$44</f>
        <v>0</v>
      </c>
      <c r="BM76" s="197">
        <f>Storage_Reconciled_prod!BM76*Storage_Reconciled_prod!$A$44+Storage_rounded_off_prod!BM76*Storage_rounded_off_prod!$A$44</f>
        <v>0</v>
      </c>
      <c r="BN76" s="197">
        <f>Storage_Reconciled_prod!BN76*Storage_Reconciled_prod!$A$44+Storage_rounded_off_prod!BN76*Storage_rounded_off_prod!$A$44</f>
        <v>0</v>
      </c>
      <c r="BO76" s="197">
        <f>Storage_Reconciled_prod!BO76*Storage_Reconciled_prod!$A$44+Storage_rounded_off_prod!BO76*Storage_rounded_off_prod!$A$44</f>
        <v>0</v>
      </c>
      <c r="BP76" s="197">
        <f>Storage_Reconciled_prod!BP76*Storage_Reconciled_prod!$A$44+Storage_rounded_off_prod!BP76*Storage_rounded_off_prod!$A$44</f>
        <v>0</v>
      </c>
      <c r="BQ76" s="197">
        <f>Storage_Reconciled_prod!BQ76*Storage_Reconciled_prod!$A$44+Storage_rounded_off_prod!BQ76*Storage_rounded_off_prod!$A$44</f>
        <v>0</v>
      </c>
      <c r="BR76" s="197">
        <f>Storage_Reconciled_prod!BR76*Storage_Reconciled_prod!$A$44+Storage_rounded_off_prod!BR76*Storage_rounded_off_prod!$A$44</f>
        <v>0</v>
      </c>
      <c r="BS76" s="197">
        <f>Storage_Reconciled_prod!BS76*Storage_Reconciled_prod!$A$44+Storage_rounded_off_prod!BS76*Storage_rounded_off_prod!$A$44</f>
        <v>0</v>
      </c>
      <c r="BT76" s="197">
        <f>Storage_Reconciled_prod!BT76*Storage_Reconciled_prod!$A$44+Storage_rounded_off_prod!BT76*Storage_rounded_off_prod!$A$44</f>
        <v>0</v>
      </c>
      <c r="BU76" s="197">
        <f>Storage_Reconciled_prod!BU76*Storage_Reconciled_prod!$A$44+Storage_rounded_off_prod!BU76*Storage_rounded_off_prod!$A$44</f>
        <v>0</v>
      </c>
      <c r="BV76" s="197">
        <f>Storage_Reconciled_prod!BV76*Storage_Reconciled_prod!$A$44+Storage_rounded_off_prod!BV76*Storage_rounded_off_prod!$A$44</f>
        <v>0</v>
      </c>
      <c r="BW76" s="197">
        <f>Storage_Reconciled_prod!BW76*Storage_Reconciled_prod!$A$44+Storage_rounded_off_prod!BW76*Storage_rounded_off_prod!$A$44</f>
        <v>0</v>
      </c>
      <c r="BX76" s="197">
        <f>Storage_Reconciled_prod!BX76*Storage_Reconciled_prod!$A$44+Storage_rounded_off_prod!BX76*Storage_rounded_off_prod!$A$44</f>
        <v>0</v>
      </c>
      <c r="BY76" s="197">
        <f>Storage_Reconciled_prod!BY76*Storage_Reconciled_prod!$A$44+Storage_rounded_off_prod!BY76*Storage_rounded_off_prod!$A$44</f>
        <v>0</v>
      </c>
      <c r="BZ76" s="197">
        <f>Storage_Reconciled_prod!BZ76*Storage_Reconciled_prod!$A$44+Storage_rounded_off_prod!BZ76*Storage_rounded_off_prod!$A$44</f>
        <v>0</v>
      </c>
      <c r="CA76" s="197">
        <f>Storage_Reconciled_prod!CA76*Storage_Reconciled_prod!$A$44+Storage_rounded_off_prod!CA76*Storage_rounded_off_prod!$A$44</f>
        <v>0</v>
      </c>
      <c r="CB76" s="197">
        <f>Storage_Reconciled_prod!CB76*Storage_Reconciled_prod!$A$44+Storage_rounded_off_prod!CB76*Storage_rounded_off_prod!$A$44</f>
        <v>0</v>
      </c>
      <c r="CC76" s="197">
        <f>Storage_Reconciled_prod!CC76*Storage_Reconciled_prod!$A$44+Storage_rounded_off_prod!CC76*Storage_rounded_off_prod!$A$44</f>
        <v>0</v>
      </c>
      <c r="CD76" s="197">
        <f>Storage_Reconciled_prod!CD76*Storage_Reconciled_prod!$A$44+Storage_rounded_off_prod!CD76*Storage_rounded_off_prod!$A$44</f>
        <v>0</v>
      </c>
      <c r="CE76" s="197">
        <f>Storage_Reconciled_prod!CE76*Storage_Reconciled_prod!$A$44+Storage_rounded_off_prod!CE76*Storage_rounded_off_prod!$A$44</f>
        <v>0</v>
      </c>
      <c r="CF76" s="197">
        <f>Storage_Reconciled_prod!CF76*Storage_Reconciled_prod!$A$44+Storage_rounded_off_prod!CF76*Storage_rounded_off_prod!$A$44</f>
        <v>0</v>
      </c>
      <c r="CG76" s="197">
        <f>Storage_Reconciled_prod!CG76*Storage_Reconciled_prod!$A$44+Storage_rounded_off_prod!CG76*Storage_rounded_off_prod!$A$44</f>
        <v>0</v>
      </c>
      <c r="CH76" s="197">
        <f>Storage_Reconciled_prod!CH76*Storage_Reconciled_prod!$A$44+Storage_rounded_off_prod!CH76*Storage_rounded_off_prod!$A$44</f>
        <v>0</v>
      </c>
      <c r="CI76" s="197">
        <f>Storage_Reconciled_prod!CI76*Storage_Reconciled_prod!$A$44+Storage_rounded_off_prod!CI76*Storage_rounded_off_prod!$A$44</f>
        <v>0</v>
      </c>
      <c r="CJ76" s="197">
        <f>Storage_Reconciled_prod!CJ76*Storage_Reconciled_prod!$A$44+Storage_rounded_off_prod!CJ76*Storage_rounded_off_prod!$A$44</f>
        <v>0</v>
      </c>
      <c r="CK76" s="197">
        <f>Storage_Reconciled_prod!CK76*Storage_Reconciled_prod!$A$44+Storage_rounded_off_prod!CK76*Storage_rounded_off_prod!$A$44</f>
        <v>0</v>
      </c>
      <c r="CL76" s="197">
        <f>Storage_Reconciled_prod!CL76*Storage_Reconciled_prod!$A$44+Storage_rounded_off_prod!CL76*Storage_rounded_off_prod!$A$44</f>
        <v>0</v>
      </c>
      <c r="CM76" s="197">
        <f>Storage_Reconciled_prod!CM76*Storage_Reconciled_prod!$A$44+Storage_rounded_off_prod!CM76*Storage_rounded_off_prod!$A$44</f>
        <v>0</v>
      </c>
      <c r="CN76" s="197">
        <f>Storage_Reconciled_prod!CN76*Storage_Reconciled_prod!$A$44+Storage_rounded_off_prod!CN76*Storage_rounded_off_prod!$A$44</f>
        <v>0</v>
      </c>
      <c r="CO76" s="197">
        <f>Storage_Reconciled_prod!CO76*Storage_Reconciled_prod!$A$44+Storage_rounded_off_prod!CO76*Storage_rounded_off_prod!$A$44</f>
        <v>0</v>
      </c>
      <c r="CP76" s="197">
        <f>Storage_Reconciled_prod!CP76*Storage_Reconciled_prod!$A$44+Storage_rounded_off_prod!CP76*Storage_rounded_off_prod!$A$44</f>
        <v>0</v>
      </c>
      <c r="CQ76" s="197">
        <f>Storage_Reconciled_prod!CQ76*Storage_Reconciled_prod!$A$44+Storage_rounded_off_prod!CQ76*Storage_rounded_off_prod!$A$44</f>
        <v>0</v>
      </c>
      <c r="CR76" s="197">
        <f>Storage_Reconciled_prod!CR76*Storage_Reconciled_prod!$A$44+Storage_rounded_off_prod!CR76*Storage_rounded_off_prod!$A$44</f>
        <v>0</v>
      </c>
      <c r="CS76" s="197">
        <f>Storage_Reconciled_prod!CS76*Storage_Reconciled_prod!$A$44+Storage_rounded_off_prod!CS76*Storage_rounded_off_prod!$A$44</f>
        <v>0</v>
      </c>
      <c r="CT76" s="197">
        <f>Storage_Reconciled_prod!CT76*Storage_Reconciled_prod!$A$44+Storage_rounded_off_prod!CT76*Storage_rounded_off_prod!$A$44</f>
        <v>0</v>
      </c>
      <c r="CU76" s="197">
        <f>Storage_Reconciled_prod!CU76*Storage_Reconciled_prod!$A$44+Storage_rounded_off_prod!CU76*Storage_rounded_off_prod!$A$44</f>
        <v>0</v>
      </c>
    </row>
    <row r="77" spans="1:99">
      <c r="C77">
        <v>14</v>
      </c>
      <c r="D77" s="209" t="s">
        <v>68</v>
      </c>
      <c r="E77" s="197">
        <f>Storage_Reconciled_prod!E77*Storage_Reconciled_prod!$A$44+Storage_rounded_off_prod!E77*Storage_rounded_off_prod!$A$44</f>
        <v>0</v>
      </c>
      <c r="F77" s="197">
        <f>Storage_Reconciled_prod!F77*Storage_Reconciled_prod!$A$44+Storage_rounded_off_prod!F77*Storage_rounded_off_prod!$A$44</f>
        <v>0</v>
      </c>
      <c r="G77" s="197">
        <f>Storage_Reconciled_prod!G77*Storage_Reconciled_prod!$A$44+Storage_rounded_off_prod!G77*Storage_rounded_off_prod!$A$44</f>
        <v>0</v>
      </c>
      <c r="H77" s="197">
        <f>Storage_Reconciled_prod!H77*Storage_Reconciled_prod!$A$44+Storage_rounded_off_prod!H77*Storage_rounded_off_prod!$A$44</f>
        <v>0</v>
      </c>
      <c r="I77" s="197">
        <f>Storage_Reconciled_prod!I77*Storage_Reconciled_prod!$A$44+Storage_rounded_off_prod!I77*Storage_rounded_off_prod!$A$44</f>
        <v>0</v>
      </c>
      <c r="J77" s="197">
        <f>Storage_Reconciled_prod!J77*Storage_Reconciled_prod!$A$44+Storage_rounded_off_prod!J77*Storage_rounded_off_prod!$A$44</f>
        <v>0</v>
      </c>
      <c r="K77" s="197">
        <f>Storage_Reconciled_prod!K77*Storage_Reconciled_prod!$A$44+Storage_rounded_off_prod!K77*Storage_rounded_off_prod!$A$44</f>
        <v>0</v>
      </c>
      <c r="L77" s="197">
        <f>Storage_Reconciled_prod!L77*Storage_Reconciled_prod!$A$44+Storage_rounded_off_prod!L77*Storage_rounded_off_prod!$A$44</f>
        <v>0</v>
      </c>
      <c r="M77" s="197">
        <f>Storage_Reconciled_prod!M77*Storage_Reconciled_prod!$A$44+Storage_rounded_off_prod!M77*Storage_rounded_off_prod!$A$44</f>
        <v>0</v>
      </c>
      <c r="N77" s="197">
        <f>Storage_Reconciled_prod!N77*Storage_Reconciled_prod!$A$44+Storage_rounded_off_prod!N77*Storage_rounded_off_prod!$A$44</f>
        <v>0</v>
      </c>
      <c r="O77" s="197">
        <f>Storage_Reconciled_prod!O77*Storage_Reconciled_prod!$A$44+Storage_rounded_off_prod!O77*Storage_rounded_off_prod!$A$44</f>
        <v>0</v>
      </c>
      <c r="P77" s="197">
        <f>Storage_Reconciled_prod!P77*Storage_Reconciled_prod!$A$44+Storage_rounded_off_prod!P77*Storage_rounded_off_prod!$A$44</f>
        <v>0</v>
      </c>
      <c r="Q77" s="197">
        <f>Storage_Reconciled_prod!Q77*Storage_Reconciled_prod!$A$44+Storage_rounded_off_prod!Q77*Storage_rounded_off_prod!$A$44</f>
        <v>0</v>
      </c>
      <c r="R77" s="197">
        <f>Storage_Reconciled_prod!R77*Storage_Reconciled_prod!$A$44+Storage_rounded_off_prod!R77*Storage_rounded_off_prod!$A$44</f>
        <v>0</v>
      </c>
      <c r="S77" s="197">
        <f>Storage_Reconciled_prod!S77*Storage_Reconciled_prod!$A$44+Storage_rounded_off_prod!S77*Storage_rounded_off_prod!$A$44</f>
        <v>0</v>
      </c>
      <c r="T77" s="197">
        <f>Storage_Reconciled_prod!T77*Storage_Reconciled_prod!$A$44+Storage_rounded_off_prod!T77*Storage_rounded_off_prod!$A$44</f>
        <v>0</v>
      </c>
      <c r="U77" s="197">
        <f>Storage_Reconciled_prod!U77*Storage_Reconciled_prod!$A$44+Storage_rounded_off_prod!U77*Storage_rounded_off_prod!$A$44</f>
        <v>0</v>
      </c>
      <c r="V77" s="197">
        <f>Storage_Reconciled_prod!V77*Storage_Reconciled_prod!$A$44+Storage_rounded_off_prod!V77*Storage_rounded_off_prod!$A$44</f>
        <v>0</v>
      </c>
      <c r="W77" s="197">
        <f>Storage_Reconciled_prod!W77*Storage_Reconciled_prod!$A$44+Storage_rounded_off_prod!W77*Storage_rounded_off_prod!$A$44</f>
        <v>0</v>
      </c>
      <c r="X77" s="197">
        <f>Storage_Reconciled_prod!X77*Storage_Reconciled_prod!$A$44+Storage_rounded_off_prod!X77*Storage_rounded_off_prod!$A$44</f>
        <v>0</v>
      </c>
      <c r="Y77" s="197">
        <f>Storage_Reconciled_prod!Y77*Storage_Reconciled_prod!$A$44+Storage_rounded_off_prod!Y77*Storage_rounded_off_prod!$A$44</f>
        <v>0</v>
      </c>
      <c r="Z77" s="197">
        <f>Storage_Reconciled_prod!Z77*Storage_Reconciled_prod!$A$44+Storage_rounded_off_prod!Z77*Storage_rounded_off_prod!$A$44</f>
        <v>0</v>
      </c>
      <c r="AA77" s="197">
        <f>Storage_Reconciled_prod!AA77*Storage_Reconciled_prod!$A$44+Storage_rounded_off_prod!AA77*Storage_rounded_off_prod!$A$44</f>
        <v>0</v>
      </c>
      <c r="AB77" s="197">
        <f>Storage_Reconciled_prod!AB77*Storage_Reconciled_prod!$A$44+Storage_rounded_off_prod!AB77*Storage_rounded_off_prod!$A$44</f>
        <v>0</v>
      </c>
      <c r="AC77" s="197">
        <f>Storage_Reconciled_prod!AC77*Storage_Reconciled_prod!$A$44+Storage_rounded_off_prod!AC77*Storage_rounded_off_prod!$A$44</f>
        <v>0</v>
      </c>
      <c r="AD77" s="197">
        <f>Storage_Reconciled_prod!AD77*Storage_Reconciled_prod!$A$44+Storage_rounded_off_prod!AD77*Storage_rounded_off_prod!$A$44</f>
        <v>0</v>
      </c>
      <c r="AE77" s="197">
        <f>Storage_Reconciled_prod!AE77*Storage_Reconciled_prod!$A$44+Storage_rounded_off_prod!AE77*Storage_rounded_off_prod!$A$44</f>
        <v>0</v>
      </c>
      <c r="AF77" s="197">
        <f>Storage_Reconciled_prod!AF77*Storage_Reconciled_prod!$A$44+Storage_rounded_off_prod!AF77*Storage_rounded_off_prod!$A$44</f>
        <v>0</v>
      </c>
      <c r="AG77" s="197">
        <f>Storage_Reconciled_prod!AG77*Storage_Reconciled_prod!$A$44+Storage_rounded_off_prod!AG77*Storage_rounded_off_prod!$A$44</f>
        <v>0</v>
      </c>
      <c r="AH77" s="197">
        <f>Storage_Reconciled_prod!AH77*Storage_Reconciled_prod!$A$44+Storage_rounded_off_prod!AH77*Storage_rounded_off_prod!$A$44</f>
        <v>0</v>
      </c>
      <c r="AI77" s="197">
        <f>Storage_Reconciled_prod!AI77*Storage_Reconciled_prod!$A$44+Storage_rounded_off_prod!AI77*Storage_rounded_off_prod!$A$44</f>
        <v>0</v>
      </c>
      <c r="AJ77" s="197">
        <f>Storage_Reconciled_prod!AJ77*Storage_Reconciled_prod!$A$44+Storage_rounded_off_prod!AJ77*Storage_rounded_off_prod!$A$44</f>
        <v>0</v>
      </c>
      <c r="AK77" s="197">
        <f>Storage_Reconciled_prod!AK77*Storage_Reconciled_prod!$A$44+Storage_rounded_off_prod!AK77*Storage_rounded_off_prod!$A$44</f>
        <v>0</v>
      </c>
      <c r="AL77" s="197">
        <f>Storage_Reconciled_prod!AL77*Storage_Reconciled_prod!$A$44+Storage_rounded_off_prod!AL77*Storage_rounded_off_prod!$A$44</f>
        <v>0</v>
      </c>
      <c r="AM77" s="197">
        <f>Storage_Reconciled_prod!AM77*Storage_Reconciled_prod!$A$44+Storage_rounded_off_prod!AM77*Storage_rounded_off_prod!$A$44</f>
        <v>0</v>
      </c>
      <c r="AN77" s="197">
        <f>Storage_Reconciled_prod!AN77*Storage_Reconciled_prod!$A$44+Storage_rounded_off_prod!AN77*Storage_rounded_off_prod!$A$44</f>
        <v>0</v>
      </c>
      <c r="AO77" s="197">
        <f>Storage_Reconciled_prod!AO77*Storage_Reconciled_prod!$A$44+Storage_rounded_off_prod!AO77*Storage_rounded_off_prod!$A$44</f>
        <v>0</v>
      </c>
      <c r="AP77" s="197">
        <f>Storage_Reconciled_prod!AP77*Storage_Reconciled_prod!$A$44+Storage_rounded_off_prod!AP77*Storage_rounded_off_prod!$A$44</f>
        <v>0</v>
      </c>
      <c r="AQ77" s="197">
        <f>Storage_Reconciled_prod!AQ77*Storage_Reconciled_prod!$A$44+Storage_rounded_off_prod!AQ77*Storage_rounded_off_prod!$A$44</f>
        <v>0</v>
      </c>
      <c r="AR77" s="197">
        <f>Storage_Reconciled_prod!AR77*Storage_Reconciled_prod!$A$44+Storage_rounded_off_prod!AR77*Storage_rounded_off_prod!$A$44</f>
        <v>0</v>
      </c>
      <c r="AS77" s="197">
        <f>Storage_Reconciled_prod!AS77*Storage_Reconciled_prod!$A$44+Storage_rounded_off_prod!AS77*Storage_rounded_off_prod!$A$44</f>
        <v>0</v>
      </c>
      <c r="AT77" s="197">
        <f>Storage_Reconciled_prod!AT77*Storage_Reconciled_prod!$A$44+Storage_rounded_off_prod!AT77*Storage_rounded_off_prod!$A$44</f>
        <v>0</v>
      </c>
      <c r="AU77" s="197">
        <f>Storage_Reconciled_prod!AU77*Storage_Reconciled_prod!$A$44+Storage_rounded_off_prod!AU77*Storage_rounded_off_prod!$A$44</f>
        <v>0</v>
      </c>
      <c r="AV77" s="197">
        <f>Storage_Reconciled_prod!AV77*Storage_Reconciled_prod!$A$44+Storage_rounded_off_prod!AV77*Storage_rounded_off_prod!$A$44</f>
        <v>0</v>
      </c>
      <c r="AW77" s="197">
        <f>Storage_Reconciled_prod!AW77*Storage_Reconciled_prod!$A$44+Storage_rounded_off_prod!AW77*Storage_rounded_off_prod!$A$44</f>
        <v>0</v>
      </c>
      <c r="AX77" s="197">
        <f>Storage_Reconciled_prod!AX77*Storage_Reconciled_prod!$A$44+Storage_rounded_off_prod!AX77*Storage_rounded_off_prod!$A$44</f>
        <v>0</v>
      </c>
      <c r="AY77" s="197">
        <f>Storage_Reconciled_prod!AY77*Storage_Reconciled_prod!$A$44+Storage_rounded_off_prod!AY77*Storage_rounded_off_prod!$A$44</f>
        <v>0</v>
      </c>
      <c r="AZ77" s="197">
        <f>Storage_Reconciled_prod!AZ77*Storage_Reconciled_prod!$A$44+Storage_rounded_off_prod!AZ77*Storage_rounded_off_prod!$A$44</f>
        <v>0</v>
      </c>
      <c r="BA77" s="197">
        <f>Storage_Reconciled_prod!BA77*Storage_Reconciled_prod!$A$44+Storage_rounded_off_prod!BA77*Storage_rounded_off_prod!$A$44</f>
        <v>0</v>
      </c>
      <c r="BB77" s="197">
        <f>Storage_Reconciled_prod!BB77*Storage_Reconciled_prod!$A$44+Storage_rounded_off_prod!BB77*Storage_rounded_off_prod!$A$44</f>
        <v>0</v>
      </c>
      <c r="BC77" s="197">
        <f>Storage_Reconciled_prod!BC77*Storage_Reconciled_prod!$A$44+Storage_rounded_off_prod!BC77*Storage_rounded_off_prod!$A$44</f>
        <v>0</v>
      </c>
      <c r="BD77" s="197">
        <f>Storage_Reconciled_prod!BD77*Storage_Reconciled_prod!$A$44+Storage_rounded_off_prod!BD77*Storage_rounded_off_prod!$A$44</f>
        <v>0</v>
      </c>
      <c r="BE77" s="197">
        <f>Storage_Reconciled_prod!BE77*Storage_Reconciled_prod!$A$44+Storage_rounded_off_prod!BE77*Storage_rounded_off_prod!$A$44</f>
        <v>0</v>
      </c>
      <c r="BF77" s="197">
        <f>Storage_Reconciled_prod!BF77*Storage_Reconciled_prod!$A$44+Storage_rounded_off_prod!BF77*Storage_rounded_off_prod!$A$44</f>
        <v>0</v>
      </c>
      <c r="BG77" s="197">
        <f>Storage_Reconciled_prod!BG77*Storage_Reconciled_prod!$A$44+Storage_rounded_off_prod!BG77*Storage_rounded_off_prod!$A$44</f>
        <v>0</v>
      </c>
      <c r="BH77" s="197">
        <f>Storage_Reconciled_prod!BH77*Storage_Reconciled_prod!$A$44+Storage_rounded_off_prod!BH77*Storage_rounded_off_prod!$A$44</f>
        <v>0</v>
      </c>
      <c r="BI77" s="197">
        <f>Storage_Reconciled_prod!BI77*Storage_Reconciled_prod!$A$44+Storage_rounded_off_prod!BI77*Storage_rounded_off_prod!$A$44</f>
        <v>0</v>
      </c>
      <c r="BJ77" s="197">
        <f>Storage_Reconciled_prod!BJ77*Storage_Reconciled_prod!$A$44+Storage_rounded_off_prod!BJ77*Storage_rounded_off_prod!$A$44</f>
        <v>0</v>
      </c>
      <c r="BK77" s="197">
        <f>Storage_Reconciled_prod!BK77*Storage_Reconciled_prod!$A$44+Storage_rounded_off_prod!BK77*Storage_rounded_off_prod!$A$44</f>
        <v>0</v>
      </c>
      <c r="BL77" s="197">
        <f>Storage_Reconciled_prod!BL77*Storage_Reconciled_prod!$A$44+Storage_rounded_off_prod!BL77*Storage_rounded_off_prod!$A$44</f>
        <v>0</v>
      </c>
      <c r="BM77" s="197">
        <f>Storage_Reconciled_prod!BM77*Storage_Reconciled_prod!$A$44+Storage_rounded_off_prod!BM77*Storage_rounded_off_prod!$A$44</f>
        <v>0</v>
      </c>
      <c r="BN77" s="197">
        <f>Storage_Reconciled_prod!BN77*Storage_Reconciled_prod!$A$44+Storage_rounded_off_prod!BN77*Storage_rounded_off_prod!$A$44</f>
        <v>0</v>
      </c>
      <c r="BO77" s="197">
        <f>Storage_Reconciled_prod!BO77*Storage_Reconciled_prod!$A$44+Storage_rounded_off_prod!BO77*Storage_rounded_off_prod!$A$44</f>
        <v>0</v>
      </c>
      <c r="BP77" s="197">
        <f>Storage_Reconciled_prod!BP77*Storage_Reconciled_prod!$A$44+Storage_rounded_off_prod!BP77*Storage_rounded_off_prod!$A$44</f>
        <v>0</v>
      </c>
      <c r="BQ77" s="197">
        <f>Storage_Reconciled_prod!BQ77*Storage_Reconciled_prod!$A$44+Storage_rounded_off_prod!BQ77*Storage_rounded_off_prod!$A$44</f>
        <v>0</v>
      </c>
      <c r="BR77" s="197">
        <f>Storage_Reconciled_prod!BR77*Storage_Reconciled_prod!$A$44+Storage_rounded_off_prod!BR77*Storage_rounded_off_prod!$A$44</f>
        <v>0</v>
      </c>
      <c r="BS77" s="197">
        <f>Storage_Reconciled_prod!BS77*Storage_Reconciled_prod!$A$44+Storage_rounded_off_prod!BS77*Storage_rounded_off_prod!$A$44</f>
        <v>0</v>
      </c>
      <c r="BT77" s="197">
        <f>Storage_Reconciled_prod!BT77*Storage_Reconciled_prod!$A$44+Storage_rounded_off_prod!BT77*Storage_rounded_off_prod!$A$44</f>
        <v>0</v>
      </c>
      <c r="BU77" s="197">
        <f>Storage_Reconciled_prod!BU77*Storage_Reconciled_prod!$A$44+Storage_rounded_off_prod!BU77*Storage_rounded_off_prod!$A$44</f>
        <v>0</v>
      </c>
      <c r="BV77" s="197">
        <f>Storage_Reconciled_prod!BV77*Storage_Reconciled_prod!$A$44+Storage_rounded_off_prod!BV77*Storage_rounded_off_prod!$A$44</f>
        <v>0</v>
      </c>
      <c r="BW77" s="197">
        <f>Storage_Reconciled_prod!BW77*Storage_Reconciled_prod!$A$44+Storage_rounded_off_prod!BW77*Storage_rounded_off_prod!$A$44</f>
        <v>0</v>
      </c>
      <c r="BX77" s="197">
        <f>Storage_Reconciled_prod!BX77*Storage_Reconciled_prod!$A$44+Storage_rounded_off_prod!BX77*Storage_rounded_off_prod!$A$44</f>
        <v>0</v>
      </c>
      <c r="BY77" s="197">
        <f>Storage_Reconciled_prod!BY77*Storage_Reconciled_prod!$A$44+Storage_rounded_off_prod!BY77*Storage_rounded_off_prod!$A$44</f>
        <v>0</v>
      </c>
      <c r="BZ77" s="197">
        <f>Storage_Reconciled_prod!BZ77*Storage_Reconciled_prod!$A$44+Storage_rounded_off_prod!BZ77*Storage_rounded_off_prod!$A$44</f>
        <v>0</v>
      </c>
      <c r="CA77" s="197">
        <f>Storage_Reconciled_prod!CA77*Storage_Reconciled_prod!$A$44+Storage_rounded_off_prod!CA77*Storage_rounded_off_prod!$A$44</f>
        <v>0</v>
      </c>
      <c r="CB77" s="197">
        <f>Storage_Reconciled_prod!CB77*Storage_Reconciled_prod!$A$44+Storage_rounded_off_prod!CB77*Storage_rounded_off_prod!$A$44</f>
        <v>0</v>
      </c>
      <c r="CC77" s="197">
        <f>Storage_Reconciled_prod!CC77*Storage_Reconciled_prod!$A$44+Storage_rounded_off_prod!CC77*Storage_rounded_off_prod!$A$44</f>
        <v>0</v>
      </c>
      <c r="CD77" s="197">
        <f>Storage_Reconciled_prod!CD77*Storage_Reconciled_prod!$A$44+Storage_rounded_off_prod!CD77*Storage_rounded_off_prod!$A$44</f>
        <v>0</v>
      </c>
      <c r="CE77" s="197">
        <f>Storage_Reconciled_prod!CE77*Storage_Reconciled_prod!$A$44+Storage_rounded_off_prod!CE77*Storage_rounded_off_prod!$A$44</f>
        <v>0</v>
      </c>
      <c r="CF77" s="197">
        <f>Storage_Reconciled_prod!CF77*Storage_Reconciled_prod!$A$44+Storage_rounded_off_prod!CF77*Storage_rounded_off_prod!$A$44</f>
        <v>0</v>
      </c>
      <c r="CG77" s="197">
        <f>Storage_Reconciled_prod!CG77*Storage_Reconciled_prod!$A$44+Storage_rounded_off_prod!CG77*Storage_rounded_off_prod!$A$44</f>
        <v>0</v>
      </c>
      <c r="CH77" s="197">
        <f>Storage_Reconciled_prod!CH77*Storage_Reconciled_prod!$A$44+Storage_rounded_off_prod!CH77*Storage_rounded_off_prod!$A$44</f>
        <v>0</v>
      </c>
      <c r="CI77" s="197">
        <f>Storage_Reconciled_prod!CI77*Storage_Reconciled_prod!$A$44+Storage_rounded_off_prod!CI77*Storage_rounded_off_prod!$A$44</f>
        <v>0</v>
      </c>
      <c r="CJ77" s="197">
        <f>Storage_Reconciled_prod!CJ77*Storage_Reconciled_prod!$A$44+Storage_rounded_off_prod!CJ77*Storage_rounded_off_prod!$A$44</f>
        <v>0</v>
      </c>
      <c r="CK77" s="197">
        <f>Storage_Reconciled_prod!CK77*Storage_Reconciled_prod!$A$44+Storage_rounded_off_prod!CK77*Storage_rounded_off_prod!$A$44</f>
        <v>0</v>
      </c>
      <c r="CL77" s="197">
        <f>Storage_Reconciled_prod!CL77*Storage_Reconciled_prod!$A$44+Storage_rounded_off_prod!CL77*Storage_rounded_off_prod!$A$44</f>
        <v>0</v>
      </c>
      <c r="CM77" s="197">
        <f>Storage_Reconciled_prod!CM77*Storage_Reconciled_prod!$A$44+Storage_rounded_off_prod!CM77*Storage_rounded_off_prod!$A$44</f>
        <v>0</v>
      </c>
      <c r="CN77" s="197">
        <f>Storage_Reconciled_prod!CN77*Storage_Reconciled_prod!$A$44+Storage_rounded_off_prod!CN77*Storage_rounded_off_prod!$A$44</f>
        <v>0</v>
      </c>
      <c r="CO77" s="197">
        <f>Storage_Reconciled_prod!CO77*Storage_Reconciled_prod!$A$44+Storage_rounded_off_prod!CO77*Storage_rounded_off_prod!$A$44</f>
        <v>0</v>
      </c>
      <c r="CP77" s="197">
        <f>Storage_Reconciled_prod!CP77*Storage_Reconciled_prod!$A$44+Storage_rounded_off_prod!CP77*Storage_rounded_off_prod!$A$44</f>
        <v>0</v>
      </c>
      <c r="CQ77" s="197">
        <f>Storage_Reconciled_prod!CQ77*Storage_Reconciled_prod!$A$44+Storage_rounded_off_prod!CQ77*Storage_rounded_off_prod!$A$44</f>
        <v>0</v>
      </c>
      <c r="CR77" s="197">
        <f>Storage_Reconciled_prod!CR77*Storage_Reconciled_prod!$A$44+Storage_rounded_off_prod!CR77*Storage_rounded_off_prod!$A$44</f>
        <v>0</v>
      </c>
      <c r="CS77" s="197">
        <f>Storage_Reconciled_prod!CS77*Storage_Reconciled_prod!$A$44+Storage_rounded_off_prod!CS77*Storage_rounded_off_prod!$A$44</f>
        <v>0</v>
      </c>
      <c r="CT77" s="197">
        <f>Storage_Reconciled_prod!CT77*Storage_Reconciled_prod!$A$44+Storage_rounded_off_prod!CT77*Storage_rounded_off_prod!$A$44</f>
        <v>0</v>
      </c>
      <c r="CU77" s="197">
        <f>Storage_Reconciled_prod!CU77*Storage_Reconciled_prod!$A$44+Storage_rounded_off_prod!CU77*Storage_rounded_off_prod!$A$44</f>
        <v>0</v>
      </c>
    </row>
    <row r="78" spans="1:99">
      <c r="C78">
        <v>15</v>
      </c>
      <c r="D78" s="209" t="s">
        <v>69</v>
      </c>
      <c r="E78" s="197">
        <f>Storage_Reconciled_prod!E78*Storage_Reconciled_prod!$A$44+Storage_rounded_off_prod!E78*Storage_rounded_off_prod!$A$44</f>
        <v>7.5999999999999998E-2</v>
      </c>
      <c r="F78" s="197">
        <f>Storage_Reconciled_prod!F78*Storage_Reconciled_prod!$A$44+Storage_rounded_off_prod!F78*Storage_rounded_off_prod!$A$44</f>
        <v>7.3999999999999996E-2</v>
      </c>
      <c r="G78" s="197">
        <f>Storage_Reconciled_prod!G78*Storage_Reconciled_prod!$A$44+Storage_rounded_off_prod!G78*Storage_rounded_off_prod!$A$44</f>
        <v>6.7000000000000004E-2</v>
      </c>
      <c r="H78" s="197">
        <f>Storage_Reconciled_prod!H78*Storage_Reconciled_prod!$A$44+Storage_rounded_off_prod!H78*Storage_rounded_off_prod!$A$44</f>
        <v>0.217</v>
      </c>
      <c r="I78" s="197">
        <f>Storage_Reconciled_prod!I78*Storage_Reconciled_prod!$A$44+Storage_rounded_off_prod!I78*Storage_rounded_off_prod!$A$44</f>
        <v>6.3E-2</v>
      </c>
      <c r="J78" s="197">
        <f>Storage_Reconciled_prod!J78*Storage_Reconciled_prod!$A$44+Storage_rounded_off_prod!J78*Storage_rounded_off_prod!$A$44</f>
        <v>6.5000000000000002E-2</v>
      </c>
      <c r="K78" s="197">
        <f>Storage_Reconciled_prod!K78*Storage_Reconciled_prod!$A$44+Storage_rounded_off_prod!K78*Storage_rounded_off_prod!$A$44</f>
        <v>5.7000000000000002E-2</v>
      </c>
      <c r="L78" s="197">
        <f>Storage_Reconciled_prod!L78*Storage_Reconciled_prod!$A$44+Storage_rounded_off_prod!L78*Storage_rounded_off_prod!$A$44</f>
        <v>0.185</v>
      </c>
      <c r="M78" s="197">
        <f>Storage_Reconciled_prod!M78*Storage_Reconciled_prod!$A$44+Storage_rounded_off_prod!M78*Storage_rounded_off_prod!$A$44</f>
        <v>0.40200000000000002</v>
      </c>
      <c r="N78" s="197">
        <f>Storage_Reconciled_prod!N78*Storage_Reconciled_prod!$A$44+Storage_rounded_off_prod!N78*Storage_rounded_off_prod!$A$44</f>
        <v>5.6000000000000001E-2</v>
      </c>
      <c r="O78" s="197">
        <f>Storage_Reconciled_prod!O78*Storage_Reconciled_prod!$A$44+Storage_rounded_off_prod!O78*Storage_rounded_off_prod!$A$44</f>
        <v>5.0999999999999997E-2</v>
      </c>
      <c r="P78" s="197">
        <f>Storage_Reconciled_prod!P78*Storage_Reconciled_prod!$A$44+Storage_rounded_off_prod!P78*Storage_rounded_off_prod!$A$44</f>
        <v>4.3999999999999997E-2</v>
      </c>
      <c r="Q78" s="197">
        <f>Storage_Reconciled_prod!Q78*Storage_Reconciled_prod!$A$44+Storage_rounded_off_prod!Q78*Storage_rounded_off_prod!$A$44</f>
        <v>0.151</v>
      </c>
      <c r="R78" s="197">
        <f>Storage_Reconciled_prod!R78*Storage_Reconciled_prod!$A$44+Storage_rounded_off_prod!R78*Storage_rounded_off_prod!$A$44</f>
        <v>0.55300000000000005</v>
      </c>
      <c r="S78" s="197">
        <f>Storage_Reconciled_prod!S78*Storage_Reconciled_prod!$A$44+Storage_rounded_off_prod!S78*Storage_rounded_off_prod!$A$44</f>
        <v>0.04</v>
      </c>
      <c r="T78" s="197">
        <f>Storage_Reconciled_prod!T78*Storage_Reconciled_prod!$A$44+Storage_rounded_off_prod!T78*Storage_rounded_off_prod!$A$44</f>
        <v>4.3999999999999997E-2</v>
      </c>
      <c r="U78" s="197">
        <f>Storage_Reconciled_prod!U78*Storage_Reconciled_prod!$A$44+Storage_rounded_off_prod!U78*Storage_rounded_off_prod!$A$44</f>
        <v>5.0999999999999997E-2</v>
      </c>
      <c r="V78" s="197">
        <f>Storage_Reconciled_prod!V78*Storage_Reconciled_prod!$A$44+Storage_rounded_off_prod!V78*Storage_rounded_off_prod!$A$44</f>
        <v>0.13499999999999998</v>
      </c>
      <c r="W78" s="197">
        <f>Storage_Reconciled_prod!W78*Storage_Reconciled_prod!$A$44+Storage_rounded_off_prod!W78*Storage_rounded_off_prod!$A$44</f>
        <v>0.68800000000000006</v>
      </c>
      <c r="X78" s="197">
        <f>Storage_Reconciled_prod!X78*Storage_Reconciled_prod!$A$44+Storage_rounded_off_prod!X78*Storage_rounded_off_prod!$A$44</f>
        <v>4.8000000000000001E-2</v>
      </c>
      <c r="Y78" s="197">
        <f>Storage_Reconciled_prod!Y78*Storage_Reconciled_prod!$A$44+Storage_rounded_off_prod!Y78*Storage_rounded_off_prod!$A$44</f>
        <v>4.7E-2</v>
      </c>
      <c r="Z78" s="197">
        <f>Storage_Reconciled_prod!Z78*Storage_Reconciled_prod!$A$44+Storage_rounded_off_prod!Z78*Storage_rounded_off_prod!$A$44</f>
        <v>4.2000000000000003E-2</v>
      </c>
      <c r="AA78" s="197">
        <f>Storage_Reconciled_prod!AA78*Storage_Reconciled_prod!$A$44+Storage_rounded_off_prod!AA78*Storage_rounded_off_prod!$A$44</f>
        <v>0.13700000000000001</v>
      </c>
      <c r="AB78" s="197">
        <f>Storage_Reconciled_prod!AB78*Storage_Reconciled_prod!$A$44+Storage_rounded_off_prod!AB78*Storage_rounded_off_prod!$A$44</f>
        <v>4.2000000000000003E-2</v>
      </c>
      <c r="AC78" s="197">
        <f>Storage_Reconciled_prod!AC78*Storage_Reconciled_prod!$A$44+Storage_rounded_off_prod!AC78*Storage_rounded_off_prod!$A$44</f>
        <v>3.9E-2</v>
      </c>
      <c r="AD78" s="197">
        <f>Storage_Reconciled_prod!AD78*Storage_Reconciled_prod!$A$44+Storage_rounded_off_prod!AD78*Storage_rounded_off_prod!$A$44</f>
        <v>3.1E-2</v>
      </c>
      <c r="AE78" s="197">
        <f>Storage_Reconciled_prod!AE78*Storage_Reconciled_prod!$A$44+Storage_rounded_off_prod!AE78*Storage_rounded_off_prod!$A$44</f>
        <v>0.112</v>
      </c>
      <c r="AF78" s="197">
        <f>Storage_Reconciled_prod!AF78*Storage_Reconciled_prod!$A$44+Storage_rounded_off_prod!AF78*Storage_rounded_off_prod!$A$44</f>
        <v>0.249</v>
      </c>
      <c r="AG78" s="197">
        <f>Storage_Reconciled_prod!AG78*Storage_Reconciled_prod!$A$44+Storage_rounded_off_prod!AG78*Storage_rounded_off_prod!$A$44</f>
        <v>0.03</v>
      </c>
      <c r="AH78" s="197">
        <f>Storage_Reconciled_prod!AH78*Storage_Reconciled_prod!$A$44+Storage_rounded_off_prod!AH78*Storage_rounded_off_prod!$A$44</f>
        <v>2.5999999999999999E-2</v>
      </c>
      <c r="AI78" s="197">
        <f>Storage_Reconciled_prod!AI78*Storage_Reconciled_prod!$A$44+Storage_rounded_off_prod!AI78*Storage_rounded_off_prod!$A$44</f>
        <v>2.7E-2</v>
      </c>
      <c r="AJ78" s="197">
        <f>Storage_Reconciled_prod!AJ78*Storage_Reconciled_prod!$A$44+Storage_rounded_off_prod!AJ78*Storage_rounded_off_prod!$A$44</f>
        <v>8.299999999999999E-2</v>
      </c>
      <c r="AK78" s="197">
        <f>Storage_Reconciled_prod!AK78*Storage_Reconciled_prod!$A$44+Storage_rounded_off_prod!AK78*Storage_rounded_off_prod!$A$44</f>
        <v>0.33199999999999996</v>
      </c>
      <c r="AL78" s="197">
        <f>Storage_Reconciled_prod!AL78*Storage_Reconciled_prod!$A$44+Storage_rounded_off_prod!AL78*Storage_rounded_off_prod!$A$44</f>
        <v>3.1E-2</v>
      </c>
      <c r="AM78" s="197">
        <f>Storage_Reconciled_prod!AM78*Storage_Reconciled_prod!$A$44+Storage_rounded_off_prod!AM78*Storage_rounded_off_prod!$A$44</f>
        <v>2.5999999999999999E-2</v>
      </c>
      <c r="AN78" s="197">
        <f>Storage_Reconciled_prod!AN78*Storage_Reconciled_prod!$A$44+Storage_rounded_off_prod!AN78*Storage_rounded_off_prod!$A$44</f>
        <v>2.9000000000000001E-2</v>
      </c>
      <c r="AO78" s="197">
        <f>Storage_Reconciled_prod!AO78*Storage_Reconciled_prod!$A$44+Storage_rounded_off_prod!AO78*Storage_rounded_off_prod!$A$44</f>
        <v>8.5999999999999993E-2</v>
      </c>
      <c r="AP78" s="197">
        <f>Storage_Reconciled_prod!AP78*Storage_Reconciled_prod!$A$44+Storage_rounded_off_prod!AP78*Storage_rounded_off_prod!$A$44</f>
        <v>0.41799999999999993</v>
      </c>
      <c r="AQ78" s="197">
        <f>Storage_Reconciled_prod!AQ78*Storage_Reconciled_prod!$A$44+Storage_rounded_off_prod!AQ78*Storage_rounded_off_prod!$A$44</f>
        <v>2.8000000000000001E-2</v>
      </c>
      <c r="AR78" s="197">
        <f>Storage_Reconciled_prod!AR78*Storage_Reconciled_prod!$A$44+Storage_rounded_off_prod!AR78*Storage_rounded_off_prod!$A$44</f>
        <v>2.7E-2</v>
      </c>
      <c r="AS78" s="197">
        <f>Storage_Reconciled_prod!AS78*Storage_Reconciled_prod!$A$44+Storage_rounded_off_prod!AS78*Storage_rounded_off_prod!$A$44</f>
        <v>2.1999999999999999E-2</v>
      </c>
      <c r="AT78" s="197">
        <f>Storage_Reconciled_prod!AT78*Storage_Reconciled_prod!$A$44+Storage_rounded_off_prod!AT78*Storage_rounded_off_prod!$A$44</f>
        <v>7.6999999999999999E-2</v>
      </c>
      <c r="AU78" s="197">
        <f>Storage_Reconciled_prod!AU78*Storage_Reconciled_prod!$A$44+Storage_rounded_off_prod!AU78*Storage_rounded_off_prod!$A$44</f>
        <v>2.1999999999999999E-2</v>
      </c>
      <c r="AV78" s="197">
        <f>Storage_Reconciled_prod!AV78*Storage_Reconciled_prod!$A$44+Storage_rounded_off_prod!AV78*Storage_rounded_off_prod!$A$44</f>
        <v>1.4999999999999999E-2</v>
      </c>
      <c r="AW78" s="197">
        <f>Storage_Reconciled_prod!AW78*Storage_Reconciled_prod!$A$44+Storage_rounded_off_prod!AW78*Storage_rounded_off_prod!$A$44</f>
        <v>0.01</v>
      </c>
      <c r="AX78" s="197">
        <f>Storage_Reconciled_prod!AX78*Storage_Reconciled_prod!$A$44+Storage_rounded_off_prod!AX78*Storage_rounded_off_prod!$A$44</f>
        <v>4.7E-2</v>
      </c>
      <c r="AY78" s="197">
        <f>Storage_Reconciled_prod!AY78*Storage_Reconciled_prod!$A$44+Storage_rounded_off_prod!AY78*Storage_rounded_off_prod!$A$44</f>
        <v>0.124</v>
      </c>
      <c r="AZ78" s="197">
        <f>Storage_Reconciled_prod!AZ78*Storage_Reconciled_prod!$A$44+Storage_rounded_off_prod!AZ78*Storage_rounded_off_prod!$A$44</f>
        <v>8.0000000000000002E-3</v>
      </c>
      <c r="BA78" s="197">
        <f>Storage_Reconciled_prod!BA78*Storage_Reconciled_prod!$A$44+Storage_rounded_off_prod!BA78*Storage_rounded_off_prod!$A$44</f>
        <v>5.0000000000000001E-3</v>
      </c>
      <c r="BB78" s="197">
        <f>Storage_Reconciled_prod!BB78*Storage_Reconciled_prod!$A$44+Storage_rounded_off_prod!BB78*Storage_rounded_off_prod!$A$44</f>
        <v>6.0000000000000001E-3</v>
      </c>
      <c r="BC78" s="197">
        <f>Storage_Reconciled_prod!BC78*Storage_Reconciled_prod!$A$44+Storage_rounded_off_prod!BC78*Storage_rounded_off_prod!$A$44</f>
        <v>1.9000000000000003E-2</v>
      </c>
      <c r="BD78" s="197">
        <f>Storage_Reconciled_prod!BD78*Storage_Reconciled_prod!$A$44+Storage_rounded_off_prod!BD78*Storage_rounded_off_prod!$A$44</f>
        <v>0.14300000000000002</v>
      </c>
      <c r="BE78" s="197">
        <f>Storage_Reconciled_prod!BE78*Storage_Reconciled_prod!$A$44+Storage_rounded_off_prod!BE78*Storage_rounded_off_prod!$A$44</f>
        <v>6.0000000000000001E-3</v>
      </c>
      <c r="BF78" s="197">
        <f>Storage_Reconciled_prod!BF78*Storage_Reconciled_prod!$A$44+Storage_rounded_off_prod!BF78*Storage_rounded_off_prod!$A$44</f>
        <v>6.0000000000000001E-3</v>
      </c>
      <c r="BG78" s="197">
        <f>Storage_Reconciled_prod!BG78*Storage_Reconciled_prod!$A$44+Storage_rounded_off_prod!BG78*Storage_rounded_off_prod!$A$44</f>
        <v>4.0000000000000001E-3</v>
      </c>
      <c r="BH78" s="197">
        <f>Storage_Reconciled_prod!BH78*Storage_Reconciled_prod!$A$44+Storage_rounded_off_prod!BH78*Storage_rounded_off_prod!$A$44</f>
        <v>1.6E-2</v>
      </c>
      <c r="BI78" s="197">
        <f>Storage_Reconciled_prod!BI78*Storage_Reconciled_prod!$A$44+Storage_rounded_off_prod!BI78*Storage_rounded_off_prod!$A$44</f>
        <v>0.15900000000000003</v>
      </c>
      <c r="BJ78" s="197">
        <f>Storage_Reconciled_prod!BJ78*Storage_Reconciled_prod!$A$44+Storage_rounded_off_prod!BJ78*Storage_rounded_off_prod!$A$44</f>
        <v>6.0000000000000001E-3</v>
      </c>
      <c r="BK78" s="197">
        <f>Storage_Reconciled_prod!BK78*Storage_Reconciled_prod!$A$44+Storage_rounded_off_prod!BK78*Storage_rounded_off_prod!$A$44</f>
        <v>6.0000000000000001E-3</v>
      </c>
      <c r="BL78" s="197">
        <f>Storage_Reconciled_prod!BL78*Storage_Reconciled_prod!$A$44+Storage_rounded_off_prod!BL78*Storage_rounded_off_prod!$A$44</f>
        <v>5.0000000000000001E-3</v>
      </c>
      <c r="BM78" s="197">
        <f>Storage_Reconciled_prod!BM78*Storage_Reconciled_prod!$A$44+Storage_rounded_off_prod!BM78*Storage_rounded_off_prod!$A$44</f>
        <v>1.7000000000000001E-2</v>
      </c>
      <c r="BN78" s="197">
        <f>Storage_Reconciled_prod!BN78*Storage_Reconciled_prod!$A$44+Storage_rounded_off_prod!BN78*Storage_rounded_off_prod!$A$44</f>
        <v>0</v>
      </c>
      <c r="BO78" s="197">
        <f>Storage_Reconciled_prod!BO78*Storage_Reconciled_prod!$A$44+Storage_rounded_off_prod!BO78*Storage_rounded_off_prod!$A$44</f>
        <v>0</v>
      </c>
      <c r="BP78" s="197">
        <f>Storage_Reconciled_prod!BP78*Storage_Reconciled_prod!$A$44+Storage_rounded_off_prod!BP78*Storage_rounded_off_prod!$A$44</f>
        <v>0</v>
      </c>
      <c r="BQ78" s="197">
        <f>Storage_Reconciled_prod!BQ78*Storage_Reconciled_prod!$A$44+Storage_rounded_off_prod!BQ78*Storage_rounded_off_prod!$A$44</f>
        <v>0</v>
      </c>
      <c r="BR78" s="197">
        <f>Storage_Reconciled_prod!BR78*Storage_Reconciled_prod!$A$44+Storage_rounded_off_prod!BR78*Storage_rounded_off_prod!$A$44</f>
        <v>1.7000000000000001E-2</v>
      </c>
      <c r="BS78" s="197">
        <f>Storage_Reconciled_prod!BS78*Storage_Reconciled_prod!$A$44+Storage_rounded_off_prod!BS78*Storage_rounded_off_prod!$A$44</f>
        <v>0</v>
      </c>
      <c r="BT78" s="197">
        <f>Storage_Reconciled_prod!BT78*Storage_Reconciled_prod!$A$44+Storage_rounded_off_prod!BT78*Storage_rounded_off_prod!$A$44</f>
        <v>0</v>
      </c>
      <c r="BU78" s="197">
        <f>Storage_Reconciled_prod!BU78*Storage_Reconciled_prod!$A$44+Storage_rounded_off_prod!BU78*Storage_rounded_off_prod!$A$44</f>
        <v>0</v>
      </c>
      <c r="BV78" s="197">
        <f>Storage_Reconciled_prod!BV78*Storage_Reconciled_prod!$A$44+Storage_rounded_off_prod!BV78*Storage_rounded_off_prod!$A$44</f>
        <v>0</v>
      </c>
      <c r="BW78" s="197">
        <f>Storage_Reconciled_prod!BW78*Storage_Reconciled_prod!$A$44+Storage_rounded_off_prod!BW78*Storage_rounded_off_prod!$A$44</f>
        <v>1.7000000000000001E-2</v>
      </c>
      <c r="BX78" s="197">
        <f>Storage_Reconciled_prod!BX78*Storage_Reconciled_prod!$A$44+Storage_rounded_off_prod!BX78*Storage_rounded_off_prod!$A$44</f>
        <v>0</v>
      </c>
      <c r="BY78" s="197">
        <f>Storage_Reconciled_prod!BY78*Storage_Reconciled_prod!$A$44+Storage_rounded_off_prod!BY78*Storage_rounded_off_prod!$A$44</f>
        <v>0</v>
      </c>
      <c r="BZ78" s="197">
        <f>Storage_Reconciled_prod!BZ78*Storage_Reconciled_prod!$A$44+Storage_rounded_off_prod!BZ78*Storage_rounded_off_prod!$A$44</f>
        <v>0</v>
      </c>
      <c r="CA78" s="197">
        <f>Storage_Reconciled_prod!CA78*Storage_Reconciled_prod!$A$44+Storage_rounded_off_prod!CA78*Storage_rounded_off_prod!$A$44</f>
        <v>0</v>
      </c>
      <c r="CB78" s="197">
        <f>Storage_Reconciled_prod!CB78*Storage_Reconciled_prod!$A$44+Storage_rounded_off_prod!CB78*Storage_rounded_off_prod!$A$44</f>
        <v>1.7000000000000001E-2</v>
      </c>
      <c r="CC78" s="197">
        <f>Storage_Reconciled_prod!CC78*Storage_Reconciled_prod!$A$44+Storage_rounded_off_prod!CC78*Storage_rounded_off_prod!$A$44</f>
        <v>0</v>
      </c>
      <c r="CD78" s="197">
        <f>Storage_Reconciled_prod!CD78*Storage_Reconciled_prod!$A$44+Storage_rounded_off_prod!CD78*Storage_rounded_off_prod!$A$44</f>
        <v>0</v>
      </c>
      <c r="CE78" s="197">
        <f>Storage_Reconciled_prod!CE78*Storage_Reconciled_prod!$A$44+Storage_rounded_off_prod!CE78*Storage_rounded_off_prod!$A$44</f>
        <v>0</v>
      </c>
      <c r="CF78" s="197">
        <f>Storage_Reconciled_prod!CF78*Storage_Reconciled_prod!$A$44+Storage_rounded_off_prod!CF78*Storage_rounded_off_prod!$A$44</f>
        <v>0</v>
      </c>
      <c r="CG78" s="197">
        <f>Storage_Reconciled_prod!CG78*Storage_Reconciled_prod!$A$44+Storage_rounded_off_prod!CG78*Storage_rounded_off_prod!$A$44</f>
        <v>0</v>
      </c>
      <c r="CH78" s="197">
        <f>Storage_Reconciled_prod!CH78*Storage_Reconciled_prod!$A$44+Storage_rounded_off_prod!CH78*Storage_rounded_off_prod!$A$44</f>
        <v>0</v>
      </c>
      <c r="CI78" s="197">
        <f>Storage_Reconciled_prod!CI78*Storage_Reconciled_prod!$A$44+Storage_rounded_off_prod!CI78*Storage_rounded_off_prod!$A$44</f>
        <v>0</v>
      </c>
      <c r="CJ78" s="197">
        <f>Storage_Reconciled_prod!CJ78*Storage_Reconciled_prod!$A$44+Storage_rounded_off_prod!CJ78*Storage_rounded_off_prod!$A$44</f>
        <v>0</v>
      </c>
      <c r="CK78" s="197">
        <f>Storage_Reconciled_prod!CK78*Storage_Reconciled_prod!$A$44+Storage_rounded_off_prod!CK78*Storage_rounded_off_prod!$A$44</f>
        <v>0</v>
      </c>
      <c r="CL78" s="197">
        <f>Storage_Reconciled_prod!CL78*Storage_Reconciled_prod!$A$44+Storage_rounded_off_prod!CL78*Storage_rounded_off_prod!$A$44</f>
        <v>0</v>
      </c>
      <c r="CM78" s="197">
        <f>Storage_Reconciled_prod!CM78*Storage_Reconciled_prod!$A$44+Storage_rounded_off_prod!CM78*Storage_rounded_off_prod!$A$44</f>
        <v>0</v>
      </c>
      <c r="CN78" s="197">
        <f>Storage_Reconciled_prod!CN78*Storage_Reconciled_prod!$A$44+Storage_rounded_off_prod!CN78*Storage_rounded_off_prod!$A$44</f>
        <v>0</v>
      </c>
      <c r="CO78" s="197">
        <f>Storage_Reconciled_prod!CO78*Storage_Reconciled_prod!$A$44+Storage_rounded_off_prod!CO78*Storage_rounded_off_prod!$A$44</f>
        <v>0</v>
      </c>
      <c r="CP78" s="197">
        <f>Storage_Reconciled_prod!CP78*Storage_Reconciled_prod!$A$44+Storage_rounded_off_prod!CP78*Storage_rounded_off_prod!$A$44</f>
        <v>0</v>
      </c>
      <c r="CQ78" s="197">
        <f>Storage_Reconciled_prod!CQ78*Storage_Reconciled_prod!$A$44+Storage_rounded_off_prod!CQ78*Storage_rounded_off_prod!$A$44</f>
        <v>0</v>
      </c>
      <c r="CR78" s="197">
        <f>Storage_Reconciled_prod!CR78*Storage_Reconciled_prod!$A$44+Storage_rounded_off_prod!CR78*Storage_rounded_off_prod!$A$44</f>
        <v>0</v>
      </c>
      <c r="CS78" s="197">
        <f>Storage_Reconciled_prod!CS78*Storage_Reconciled_prod!$A$44+Storage_rounded_off_prod!CS78*Storage_rounded_off_prod!$A$44</f>
        <v>0</v>
      </c>
      <c r="CT78" s="197">
        <f>Storage_Reconciled_prod!CT78*Storage_Reconciled_prod!$A$44+Storage_rounded_off_prod!CT78*Storage_rounded_off_prod!$A$44</f>
        <v>0</v>
      </c>
      <c r="CU78" s="197">
        <f>Storage_Reconciled_prod!CU78*Storage_Reconciled_prod!$A$44+Storage_rounded_off_prod!CU78*Storage_rounded_off_prod!$A$44</f>
        <v>0</v>
      </c>
    </row>
    <row r="79" spans="1:99">
      <c r="C79">
        <v>16</v>
      </c>
      <c r="D79" s="209" t="s">
        <v>70</v>
      </c>
      <c r="E79" s="197">
        <f>Storage_Reconciled_prod!E79*Storage_Reconciled_prod!$A$44+Storage_rounded_off_prod!E79*Storage_rounded_off_prod!$A$44</f>
        <v>7.1999999999999995E-2</v>
      </c>
      <c r="F79" s="197">
        <f>Storage_Reconciled_prod!F79*Storage_Reconciled_prod!$A$44+Storage_rounded_off_prod!F79*Storage_rounded_off_prod!$A$44</f>
        <v>7.2999999999999995E-2</v>
      </c>
      <c r="G79" s="197">
        <f>Storage_Reconciled_prod!G79*Storage_Reconciled_prod!$A$44+Storage_rounded_off_prod!G79*Storage_rounded_off_prod!$A$44</f>
        <v>7.6999999999999999E-2</v>
      </c>
      <c r="H79" s="197">
        <f>Storage_Reconciled_prod!H79*Storage_Reconciled_prod!$A$44+Storage_rounded_off_prod!H79*Storage_rounded_off_prod!$A$44</f>
        <v>0.22199999999999998</v>
      </c>
      <c r="I79" s="197">
        <f>Storage_Reconciled_prod!I79*Storage_Reconciled_prod!$A$44+Storage_rounded_off_prod!I79*Storage_rounded_off_prod!$A$44</f>
        <v>7.5999999999999998E-2</v>
      </c>
      <c r="J79" s="197">
        <f>Storage_Reconciled_prod!J79*Storage_Reconciled_prod!$A$44+Storage_rounded_off_prod!J79*Storage_rounded_off_prod!$A$44</f>
        <v>7.9000000000000001E-2</v>
      </c>
      <c r="K79" s="197">
        <f>Storage_Reconciled_prod!K79*Storage_Reconciled_prod!$A$44+Storage_rounded_off_prod!K79*Storage_rounded_off_prod!$A$44</f>
        <v>8.6999999999999994E-2</v>
      </c>
      <c r="L79" s="197">
        <f>Storage_Reconciled_prod!L79*Storage_Reconciled_prod!$A$44+Storage_rounded_off_prod!L79*Storage_rounded_off_prod!$A$44</f>
        <v>0.24199999999999999</v>
      </c>
      <c r="M79" s="197">
        <f>Storage_Reconciled_prod!M79*Storage_Reconciled_prod!$A$44+Storage_rounded_off_prod!M79*Storage_rounded_off_prod!$A$44</f>
        <v>0.46399999999999997</v>
      </c>
      <c r="N79" s="197">
        <f>Storage_Reconciled_prod!N79*Storage_Reconciled_prod!$A$44+Storage_rounded_off_prod!N79*Storage_rounded_off_prod!$A$44</f>
        <v>8.8999999999999996E-2</v>
      </c>
      <c r="O79" s="197">
        <f>Storage_Reconciled_prod!O79*Storage_Reconciled_prod!$A$44+Storage_rounded_off_prod!O79*Storage_rounded_off_prod!$A$44</f>
        <v>8.4000000000000005E-2</v>
      </c>
      <c r="P79" s="197">
        <f>Storage_Reconciled_prod!P79*Storage_Reconciled_prod!$A$44+Storage_rounded_off_prod!P79*Storage_rounded_off_prod!$A$44</f>
        <v>8.2000000000000003E-2</v>
      </c>
      <c r="Q79" s="197">
        <f>Storage_Reconciled_prod!Q79*Storage_Reconciled_prod!$A$44+Storage_rounded_off_prod!Q79*Storage_rounded_off_prod!$A$44</f>
        <v>0.255</v>
      </c>
      <c r="R79" s="197">
        <f>Storage_Reconciled_prod!R79*Storage_Reconciled_prod!$A$44+Storage_rounded_off_prod!R79*Storage_rounded_off_prod!$A$44</f>
        <v>0.71899999999999997</v>
      </c>
      <c r="S79" s="197">
        <f>Storage_Reconciled_prod!S79*Storage_Reconciled_prod!$A$44+Storage_rounded_off_prod!S79*Storage_rounded_off_prod!$A$44</f>
        <v>8.2000000000000003E-2</v>
      </c>
      <c r="T79" s="197">
        <f>Storage_Reconciled_prod!T79*Storage_Reconciled_prod!$A$44+Storage_rounded_off_prod!T79*Storage_rounded_off_prod!$A$44</f>
        <v>7.4999999999999997E-2</v>
      </c>
      <c r="U79" s="197">
        <f>Storage_Reconciled_prod!U79*Storage_Reconciled_prod!$A$44+Storage_rounded_off_prod!U79*Storage_rounded_off_prod!$A$44</f>
        <v>7.4999999999999997E-2</v>
      </c>
      <c r="V79" s="197">
        <f>Storage_Reconciled_prod!V79*Storage_Reconciled_prod!$A$44+Storage_rounded_off_prod!V79*Storage_rounded_off_prod!$A$44</f>
        <v>0.23199999999999998</v>
      </c>
      <c r="W79" s="197">
        <f>Storage_Reconciled_prod!W79*Storage_Reconciled_prod!$A$44+Storage_rounded_off_prod!W79*Storage_rounded_off_prod!$A$44</f>
        <v>0.95099999999999996</v>
      </c>
      <c r="X79" s="197">
        <f>Storage_Reconciled_prod!X79*Storage_Reconciled_prod!$A$44+Storage_rounded_off_prod!X79*Storage_rounded_off_prod!$A$44</f>
        <v>5.5E-2</v>
      </c>
      <c r="Y79" s="197">
        <f>Storage_Reconciled_prod!Y79*Storage_Reconciled_prod!$A$44+Storage_rounded_off_prod!Y79*Storage_rounded_off_prod!$A$44</f>
        <v>6.4000000000000001E-2</v>
      </c>
      <c r="Z79" s="197">
        <f>Storage_Reconciled_prod!Z79*Storage_Reconciled_prod!$A$44+Storage_rounded_off_prod!Z79*Storage_rounded_off_prod!$A$44</f>
        <v>7.2999999999999995E-2</v>
      </c>
      <c r="AA79" s="197">
        <f>Storage_Reconciled_prod!AA79*Storage_Reconciled_prod!$A$44+Storage_rounded_off_prod!AA79*Storage_rounded_off_prod!$A$44</f>
        <v>0.192</v>
      </c>
      <c r="AB79" s="197">
        <f>Storage_Reconciled_prod!AB79*Storage_Reconciled_prod!$A$44+Storage_rounded_off_prod!AB79*Storage_rounded_off_prod!$A$44</f>
        <v>8.1000000000000003E-2</v>
      </c>
      <c r="AC79" s="197">
        <f>Storage_Reconciled_prod!AC79*Storage_Reconciled_prod!$A$44+Storage_rounded_off_prod!AC79*Storage_rounded_off_prod!$A$44</f>
        <v>7.6999999999999999E-2</v>
      </c>
      <c r="AD79" s="197">
        <f>Storage_Reconciled_prod!AD79*Storage_Reconciled_prod!$A$44+Storage_rounded_off_prod!AD79*Storage_rounded_off_prod!$A$44</f>
        <v>6.9000000000000006E-2</v>
      </c>
      <c r="AE79" s="197">
        <f>Storage_Reconciled_prod!AE79*Storage_Reconciled_prod!$A$44+Storage_rounded_off_prod!AE79*Storage_rounded_off_prod!$A$44</f>
        <v>0.22700000000000001</v>
      </c>
      <c r="AF79" s="197">
        <f>Storage_Reconciled_prod!AF79*Storage_Reconciled_prod!$A$44+Storage_rounded_off_prod!AF79*Storage_rounded_off_prod!$A$44</f>
        <v>0.41900000000000004</v>
      </c>
      <c r="AG79" s="197">
        <f>Storage_Reconciled_prod!AG79*Storage_Reconciled_prod!$A$44+Storage_rounded_off_prod!AG79*Storage_rounded_off_prod!$A$44</f>
        <v>6.7000000000000004E-2</v>
      </c>
      <c r="AH79" s="197">
        <f>Storage_Reconciled_prod!AH79*Storage_Reconciled_prod!$A$44+Storage_rounded_off_prod!AH79*Storage_rounded_off_prod!$A$44</f>
        <v>7.0999999999999994E-2</v>
      </c>
      <c r="AI79" s="197">
        <f>Storage_Reconciled_prod!AI79*Storage_Reconciled_prod!$A$44+Storage_rounded_off_prod!AI79*Storage_rounded_off_prod!$A$44</f>
        <v>7.6999999999999999E-2</v>
      </c>
      <c r="AJ79" s="197">
        <f>Storage_Reconciled_prod!AJ79*Storage_Reconciled_prod!$A$44+Storage_rounded_off_prod!AJ79*Storage_rounded_off_prod!$A$44</f>
        <v>0.21500000000000002</v>
      </c>
      <c r="AK79" s="197">
        <f>Storage_Reconciled_prod!AK79*Storage_Reconciled_prod!$A$44+Storage_rounded_off_prod!AK79*Storage_rounded_off_prod!$A$44</f>
        <v>0.63400000000000012</v>
      </c>
      <c r="AL79" s="197">
        <f>Storage_Reconciled_prod!AL79*Storage_Reconciled_prod!$A$44+Storage_rounded_off_prod!AL79*Storage_rounded_off_prod!$A$44</f>
        <v>7.5999999999999998E-2</v>
      </c>
      <c r="AM79" s="197">
        <f>Storage_Reconciled_prod!AM79*Storage_Reconciled_prod!$A$44+Storage_rounded_off_prod!AM79*Storage_rounded_off_prod!$A$44</f>
        <v>7.2999999999999995E-2</v>
      </c>
      <c r="AN79" s="197">
        <f>Storage_Reconciled_prod!AN79*Storage_Reconciled_prod!$A$44+Storage_rounded_off_prod!AN79*Storage_rounded_off_prod!$A$44</f>
        <v>0.05</v>
      </c>
      <c r="AO79" s="197">
        <f>Storage_Reconciled_prod!AO79*Storage_Reconciled_prod!$A$44+Storage_rounded_off_prod!AO79*Storage_rounded_off_prod!$A$44</f>
        <v>0.19900000000000001</v>
      </c>
      <c r="AP79" s="197">
        <f>Storage_Reconciled_prod!AP79*Storage_Reconciled_prod!$A$44+Storage_rounded_off_prod!AP79*Storage_rounded_off_prod!$A$44</f>
        <v>0.83300000000000018</v>
      </c>
      <c r="AQ79" s="197">
        <f>Storage_Reconciled_prod!AQ79*Storage_Reconciled_prod!$A$44+Storage_rounded_off_prod!AQ79*Storage_rounded_off_prod!$A$44</f>
        <v>7.0000000000000007E-2</v>
      </c>
      <c r="AR79" s="197">
        <f>Storage_Reconciled_prod!AR79*Storage_Reconciled_prod!$A$44+Storage_rounded_off_prod!AR79*Storage_rounded_off_prod!$A$44</f>
        <v>7.2999999999999995E-2</v>
      </c>
      <c r="AS79" s="197">
        <f>Storage_Reconciled_prod!AS79*Storage_Reconciled_prod!$A$44+Storage_rounded_off_prod!AS79*Storage_rounded_off_prod!$A$44</f>
        <v>6.5000000000000002E-2</v>
      </c>
      <c r="AT79" s="197">
        <f>Storage_Reconciled_prod!AT79*Storage_Reconciled_prod!$A$44+Storage_rounded_off_prod!AT79*Storage_rounded_off_prod!$A$44</f>
        <v>0.20800000000000002</v>
      </c>
      <c r="AU79" s="197">
        <f>Storage_Reconciled_prod!AU79*Storage_Reconciled_prod!$A$44+Storage_rounded_off_prod!AU79*Storage_rounded_off_prod!$A$44</f>
        <v>7.6999999999999999E-2</v>
      </c>
      <c r="AV79" s="197">
        <f>Storage_Reconciled_prod!AV79*Storage_Reconciled_prod!$A$44+Storage_rounded_off_prod!AV79*Storage_rounded_off_prod!$A$44</f>
        <v>7.3999999999999996E-2</v>
      </c>
      <c r="AW79" s="197">
        <f>Storage_Reconciled_prod!AW79*Storage_Reconciled_prod!$A$44+Storage_rounded_off_prod!AW79*Storage_rounded_off_prod!$A$44</f>
        <v>6.4000000000000001E-2</v>
      </c>
      <c r="AX79" s="197">
        <f>Storage_Reconciled_prod!AX79*Storage_Reconciled_prod!$A$44+Storage_rounded_off_prod!AX79*Storage_rounded_off_prod!$A$44</f>
        <v>0.215</v>
      </c>
      <c r="AY79" s="197">
        <f>Storage_Reconciled_prod!AY79*Storage_Reconciled_prod!$A$44+Storage_rounded_off_prod!AY79*Storage_rounded_off_prod!$A$44</f>
        <v>0.42300000000000004</v>
      </c>
      <c r="AZ79" s="197">
        <f>Storage_Reconciled_prod!AZ79*Storage_Reconciled_prod!$A$44+Storage_rounded_off_prod!AZ79*Storage_rounded_off_prod!$A$44</f>
        <v>6.6000000000000003E-2</v>
      </c>
      <c r="BA79" s="197">
        <f>Storage_Reconciled_prod!BA79*Storage_Reconciled_prod!$A$44+Storage_rounded_off_prod!BA79*Storage_rounded_off_prod!$A$44</f>
        <v>6.3E-2</v>
      </c>
      <c r="BB79" s="197">
        <f>Storage_Reconciled_prod!BB79*Storage_Reconciled_prod!$A$44+Storage_rounded_off_prod!BB79*Storage_rounded_off_prod!$A$44</f>
        <v>7.0999999999999994E-2</v>
      </c>
      <c r="BC79" s="197">
        <f>Storage_Reconciled_prod!BC79*Storage_Reconciled_prod!$A$44+Storage_rounded_off_prod!BC79*Storage_rounded_off_prod!$A$44</f>
        <v>0.2</v>
      </c>
      <c r="BD79" s="197">
        <f>Storage_Reconciled_prod!BD79*Storage_Reconciled_prod!$A$44+Storage_rounded_off_prod!BD79*Storage_rounded_off_prod!$A$44</f>
        <v>0.623</v>
      </c>
      <c r="BE79" s="197">
        <f>Storage_Reconciled_prod!BE79*Storage_Reconciled_prod!$A$44+Storage_rounded_off_prod!BE79*Storage_rounded_off_prod!$A$44</f>
        <v>8.3000000000000004E-2</v>
      </c>
      <c r="BF79" s="197">
        <f>Storage_Reconciled_prod!BF79*Storage_Reconciled_prod!$A$44+Storage_rounded_off_prod!BF79*Storage_rounded_off_prod!$A$44</f>
        <v>7.5999999999999998E-2</v>
      </c>
      <c r="BG79" s="197">
        <f>Storage_Reconciled_prod!BG79*Storage_Reconciled_prod!$A$44+Storage_rounded_off_prod!BG79*Storage_rounded_off_prod!$A$44</f>
        <v>7.0000000000000007E-2</v>
      </c>
      <c r="BH79" s="197">
        <f>Storage_Reconciled_prod!BH79*Storage_Reconciled_prod!$A$44+Storage_rounded_off_prod!BH79*Storage_rounded_off_prod!$A$44</f>
        <v>0.22900000000000001</v>
      </c>
      <c r="BI79" s="197">
        <f>Storage_Reconciled_prod!BI79*Storage_Reconciled_prod!$A$44+Storage_rounded_off_prod!BI79*Storage_rounded_off_prod!$A$44</f>
        <v>0.85199999999999998</v>
      </c>
      <c r="BJ79" s="197">
        <f>Storage_Reconciled_prod!BJ79*Storage_Reconciled_prod!$A$44+Storage_rounded_off_prod!BJ79*Storage_rounded_off_prod!$A$44</f>
        <v>6.9000000000000006E-2</v>
      </c>
      <c r="BK79" s="197">
        <f>Storage_Reconciled_prod!BK79*Storage_Reconciled_prod!$A$44+Storage_rounded_off_prod!BK79*Storage_rounded_off_prod!$A$44</f>
        <v>7.2999999999999995E-2</v>
      </c>
      <c r="BL79" s="197">
        <f>Storage_Reconciled_prod!BL79*Storage_Reconciled_prod!$A$44+Storage_rounded_off_prod!BL79*Storage_rounded_off_prod!$A$44</f>
        <v>7.2999999999999995E-2</v>
      </c>
      <c r="BM79" s="197">
        <f>Storage_Reconciled_prod!BM79*Storage_Reconciled_prod!$A$44+Storage_rounded_off_prod!BM79*Storage_rounded_off_prod!$A$44</f>
        <v>0.21500000000000002</v>
      </c>
      <c r="BN79" s="197">
        <f>Storage_Reconciled_prod!BN79*Storage_Reconciled_prod!$A$44+Storage_rounded_off_prod!BN79*Storage_rounded_off_prod!$A$44</f>
        <v>7.6999999999999999E-2</v>
      </c>
      <c r="BO79" s="197">
        <f>Storage_Reconciled_prod!BO79*Storage_Reconciled_prod!$A$44+Storage_rounded_off_prod!BO79*Storage_rounded_off_prod!$A$44</f>
        <v>7.4999999999999997E-2</v>
      </c>
      <c r="BP79" s="197">
        <f>Storage_Reconciled_prod!BP79*Storage_Reconciled_prod!$A$44+Storage_rounded_off_prod!BP79*Storage_rounded_off_prod!$A$44</f>
        <v>6.2E-2</v>
      </c>
      <c r="BQ79" s="197">
        <f>Storage_Reconciled_prod!BQ79*Storage_Reconciled_prod!$A$44+Storage_rounded_off_prod!BQ79*Storage_rounded_off_prod!$A$44</f>
        <v>0.214</v>
      </c>
      <c r="BR79" s="197">
        <f>Storage_Reconciled_prod!BR79*Storage_Reconciled_prod!$A$44+Storage_rounded_off_prod!BR79*Storage_rounded_off_prod!$A$44</f>
        <v>0.42900000000000005</v>
      </c>
      <c r="BS79" s="197">
        <f>Storage_Reconciled_prod!BS79*Storage_Reconciled_prod!$A$44+Storage_rounded_off_prod!BS79*Storage_rounded_off_prod!$A$44</f>
        <v>6.4000000000000001E-2</v>
      </c>
      <c r="BT79" s="197">
        <f>Storage_Reconciled_prod!BT79*Storage_Reconciled_prod!$A$44+Storage_rounded_off_prod!BT79*Storage_rounded_off_prod!$A$44</f>
        <v>7.2999999999999995E-2</v>
      </c>
      <c r="BU79" s="197">
        <f>Storage_Reconciled_prod!BU79*Storage_Reconciled_prod!$A$44+Storage_rounded_off_prod!BU79*Storage_rounded_off_prod!$A$44</f>
        <v>7.3999999999999996E-2</v>
      </c>
      <c r="BV79" s="197">
        <f>Storage_Reconciled_prod!BV79*Storage_Reconciled_prod!$A$44+Storage_rounded_off_prod!BV79*Storage_rounded_off_prod!$A$44</f>
        <v>0.21100000000000002</v>
      </c>
      <c r="BW79" s="197">
        <f>Storage_Reconciled_prod!BW79*Storage_Reconciled_prod!$A$44+Storage_rounded_off_prod!BW79*Storage_rounded_off_prod!$A$44</f>
        <v>0.64000000000000012</v>
      </c>
      <c r="BX79" s="197">
        <f>Storage_Reconciled_prod!BX79*Storage_Reconciled_prod!$A$44+Storage_rounded_off_prod!BX79*Storage_rounded_off_prod!$A$44</f>
        <v>8.2000000000000003E-2</v>
      </c>
      <c r="BY79" s="197">
        <f>Storage_Reconciled_prod!BY79*Storage_Reconciled_prod!$A$44+Storage_rounded_off_prod!BY79*Storage_rounded_off_prod!$A$44</f>
        <v>6.9000000000000006E-2</v>
      </c>
      <c r="BZ79" s="197">
        <f>Storage_Reconciled_prod!BZ79*Storage_Reconciled_prod!$A$44+Storage_rounded_off_prod!BZ79*Storage_rounded_off_prod!$A$44</f>
        <v>7.8E-2</v>
      </c>
      <c r="CA79" s="197">
        <f>Storage_Reconciled_prod!CA79*Storage_Reconciled_prod!$A$44+Storage_rounded_off_prod!CA79*Storage_rounded_off_prod!$A$44</f>
        <v>0.22900000000000004</v>
      </c>
      <c r="CB79" s="197">
        <f>Storage_Reconciled_prod!CB79*Storage_Reconciled_prod!$A$44+Storage_rounded_off_prod!CB79*Storage_rounded_off_prod!$A$44</f>
        <v>0.86799999999999999</v>
      </c>
      <c r="CC79" s="197">
        <f>Storage_Reconciled_prod!CC79*Storage_Reconciled_prod!$A$44+Storage_rounded_off_prod!CC79*Storage_rounded_off_prod!$A$44</f>
        <v>6.7000000000000004E-2</v>
      </c>
      <c r="CD79" s="197">
        <f>Storage_Reconciled_prod!CD79*Storage_Reconciled_prod!$A$44+Storage_rounded_off_prod!CD79*Storage_rounded_off_prod!$A$44</f>
        <v>7.2999999999999995E-2</v>
      </c>
      <c r="CE79" s="197">
        <f>Storage_Reconciled_prod!CE79*Storage_Reconciled_prod!$A$44+Storage_rounded_off_prod!CE79*Storage_rounded_off_prod!$A$44</f>
        <v>7.3999999999999996E-2</v>
      </c>
      <c r="CF79" s="197">
        <f>Storage_Reconciled_prod!CF79*Storage_Reconciled_prod!$A$44+Storage_rounded_off_prod!CF79*Storage_rounded_off_prod!$A$44</f>
        <v>0.21400000000000002</v>
      </c>
      <c r="CG79" s="197">
        <f>Storage_Reconciled_prod!CG79*Storage_Reconciled_prod!$A$44+Storage_rounded_off_prod!CG79*Storage_rounded_off_prod!$A$44</f>
        <v>7.4999999999999997E-2</v>
      </c>
      <c r="CH79" s="197">
        <f>Storage_Reconciled_prod!CH79*Storage_Reconciled_prod!$A$44+Storage_rounded_off_prod!CH79*Storage_rounded_off_prod!$A$44</f>
        <v>0</v>
      </c>
      <c r="CI79" s="197">
        <f>Storage_Reconciled_prod!CI79*Storage_Reconciled_prod!$A$44+Storage_rounded_off_prod!CI79*Storage_rounded_off_prod!$A$44</f>
        <v>0</v>
      </c>
      <c r="CJ79" s="197">
        <f>Storage_Reconciled_prod!CJ79*Storage_Reconciled_prod!$A$44+Storage_rounded_off_prod!CJ79*Storage_rounded_off_prod!$A$44</f>
        <v>0</v>
      </c>
      <c r="CK79" s="197">
        <f>Storage_Reconciled_prod!CK79*Storage_Reconciled_prod!$A$44+Storage_rounded_off_prod!CK79*Storage_rounded_off_prod!$A$44</f>
        <v>0</v>
      </c>
      <c r="CL79" s="197">
        <f>Storage_Reconciled_prod!CL79*Storage_Reconciled_prod!$A$44+Storage_rounded_off_prod!CL79*Storage_rounded_off_prod!$A$44</f>
        <v>0</v>
      </c>
      <c r="CM79" s="197">
        <f>Storage_Reconciled_prod!CM79*Storage_Reconciled_prod!$A$44+Storage_rounded_off_prod!CM79*Storage_rounded_off_prod!$A$44</f>
        <v>0</v>
      </c>
      <c r="CN79" s="197">
        <f>Storage_Reconciled_prod!CN79*Storage_Reconciled_prod!$A$44+Storage_rounded_off_prod!CN79*Storage_rounded_off_prod!$A$44</f>
        <v>0</v>
      </c>
      <c r="CO79" s="197">
        <f>Storage_Reconciled_prod!CO79*Storage_Reconciled_prod!$A$44+Storage_rounded_off_prod!CO79*Storage_rounded_off_prod!$A$44</f>
        <v>0</v>
      </c>
      <c r="CP79" s="197">
        <f>Storage_Reconciled_prod!CP79*Storage_Reconciled_prod!$A$44+Storage_rounded_off_prod!CP79*Storage_rounded_off_prod!$A$44</f>
        <v>0</v>
      </c>
      <c r="CQ79" s="197">
        <f>Storage_Reconciled_prod!CQ79*Storage_Reconciled_prod!$A$44+Storage_rounded_off_prod!CQ79*Storage_rounded_off_prod!$A$44</f>
        <v>0</v>
      </c>
      <c r="CR79" s="197">
        <f>Storage_Reconciled_prod!CR79*Storage_Reconciled_prod!$A$44+Storage_rounded_off_prod!CR79*Storage_rounded_off_prod!$A$44</f>
        <v>0</v>
      </c>
      <c r="CS79" s="197">
        <f>Storage_Reconciled_prod!CS79*Storage_Reconciled_prod!$A$44+Storage_rounded_off_prod!CS79*Storage_rounded_off_prod!$A$44</f>
        <v>0</v>
      </c>
      <c r="CT79" s="197">
        <f>Storage_Reconciled_prod!CT79*Storage_Reconciled_prod!$A$44+Storage_rounded_off_prod!CT79*Storage_rounded_off_prod!$A$44</f>
        <v>0</v>
      </c>
      <c r="CU79" s="197">
        <f>Storage_Reconciled_prod!CU79*Storage_Reconciled_prod!$A$44+Storage_rounded_off_prod!CU79*Storage_rounded_off_prod!$A$44</f>
        <v>0</v>
      </c>
    </row>
    <row r="80" spans="1:99">
      <c r="C80">
        <v>17</v>
      </c>
      <c r="D80" s="279" t="s">
        <v>828</v>
      </c>
      <c r="E80" s="197">
        <f>Storage_Reconciled_prod!E80*Storage_Reconciled_prod!$A$44+Storage_rounded_off_prod!E80*Storage_rounded_off_prod!$A$44</f>
        <v>0.34800000000000003</v>
      </c>
      <c r="F80" s="197">
        <f>Storage_Reconciled_prod!F80*Storage_Reconciled_prod!$A$44+Storage_rounded_off_prod!F80*Storage_rounded_off_prod!$A$44</f>
        <v>0.33400000000000002</v>
      </c>
      <c r="G80" s="197">
        <f>Storage_Reconciled_prod!G80*Storage_Reconciled_prod!$A$44+Storage_rounded_off_prod!G80*Storage_rounded_off_prod!$A$44</f>
        <v>0.31900000000000001</v>
      </c>
      <c r="H80" s="197">
        <f>Storage_Reconciled_prod!H80*Storage_Reconciled_prod!$A$44+Storage_rounded_off_prod!H80*Storage_rounded_off_prod!$A$44</f>
        <v>1.0009999999999999</v>
      </c>
      <c r="I80" s="197">
        <f>Storage_Reconciled_prod!I80*Storage_Reconciled_prod!$A$44+Storage_rounded_off_prod!I80*Storage_rounded_off_prod!$A$44</f>
        <v>0.316</v>
      </c>
      <c r="J80" s="197">
        <f>Storage_Reconciled_prod!J80*Storage_Reconciled_prod!$A$44+Storage_rounded_off_prod!J80*Storage_rounded_off_prod!$A$44</f>
        <v>0.31000000000000005</v>
      </c>
      <c r="K80" s="197">
        <f>Storage_Reconciled_prod!K80*Storage_Reconciled_prod!$A$44+Storage_rounded_off_prod!K80*Storage_rounded_off_prod!$A$44</f>
        <v>0.28800000000000003</v>
      </c>
      <c r="L80" s="197">
        <f>Storage_Reconciled_prod!L80*Storage_Reconciled_prod!$A$44+Storage_rounded_off_prod!L80*Storage_rounded_off_prod!$A$44</f>
        <v>0.91400000000000003</v>
      </c>
      <c r="M80" s="197">
        <f>Storage_Reconciled_prod!M80*Storage_Reconciled_prod!$A$44+Storage_rounded_off_prod!M80*Storage_rounded_off_prod!$A$44</f>
        <v>1.9149999999999996</v>
      </c>
      <c r="N80" s="197">
        <f>Storage_Reconciled_prod!N80*Storage_Reconciled_prod!$A$44+Storage_rounded_off_prod!N80*Storage_rounded_off_prod!$A$44</f>
        <v>0.28300000000000003</v>
      </c>
      <c r="O80" s="197">
        <f>Storage_Reconciled_prod!O80*Storage_Reconciled_prod!$A$44+Storage_rounded_off_prod!O80*Storage_rounded_off_prod!$A$44</f>
        <v>0.32500000000000001</v>
      </c>
      <c r="P80" s="197">
        <f>Storage_Reconciled_prod!P80*Storage_Reconciled_prod!$A$44+Storage_rounded_off_prod!P80*Storage_rounded_off_prod!$A$44</f>
        <v>0.33</v>
      </c>
      <c r="Q80" s="197">
        <f>Storage_Reconciled_prod!Q80*Storage_Reconciled_prod!$A$44+Storage_rounded_off_prod!Q80*Storage_rounded_off_prod!$A$44</f>
        <v>0.93800000000000006</v>
      </c>
      <c r="R80" s="197">
        <f>Storage_Reconciled_prod!R80*Storage_Reconciled_prod!$A$44+Storage_rounded_off_prod!R80*Storage_rounded_off_prod!$A$44</f>
        <v>2.8529999999999993</v>
      </c>
      <c r="S80" s="197">
        <f>Storage_Reconciled_prod!S80*Storage_Reconciled_prod!$A$44+Storage_rounded_off_prod!S80*Storage_rounded_off_prod!$A$44</f>
        <v>0.33500000000000002</v>
      </c>
      <c r="T80" s="197">
        <f>Storage_Reconciled_prod!T80*Storage_Reconciled_prod!$A$44+Storage_rounded_off_prod!T80*Storage_rounded_off_prod!$A$44</f>
        <v>0.314</v>
      </c>
      <c r="U80" s="197">
        <f>Storage_Reconciled_prod!U80*Storage_Reconciled_prod!$A$44+Storage_rounded_off_prod!U80*Storage_rounded_off_prod!$A$44</f>
        <v>0.32</v>
      </c>
      <c r="V80" s="197">
        <f>Storage_Reconciled_prod!V80*Storage_Reconciled_prod!$A$44+Storage_rounded_off_prod!V80*Storage_rounded_off_prod!$A$44</f>
        <v>0.96900000000000008</v>
      </c>
      <c r="W80" s="197">
        <f>Storage_Reconciled_prod!W80*Storage_Reconciled_prod!$A$44+Storage_rounded_off_prod!W80*Storage_rounded_off_prod!$A$44</f>
        <v>3.8219999999999996</v>
      </c>
      <c r="X80" s="197">
        <f>Storage_Reconciled_prod!X80*Storage_Reconciled_prod!$A$44+Storage_rounded_off_prod!X80*Storage_rounded_off_prod!$A$44</f>
        <v>0.28400000000000003</v>
      </c>
      <c r="Y80" s="197">
        <f>Storage_Reconciled_prod!Y80*Storage_Reconciled_prod!$A$44+Storage_rounded_off_prod!Y80*Storage_rounded_off_prod!$A$44</f>
        <v>0.28100000000000003</v>
      </c>
      <c r="Z80" s="197">
        <f>Storage_Reconciled_prod!Z80*Storage_Reconciled_prod!$A$44+Storage_rounded_off_prod!Z80*Storage_rounded_off_prod!$A$44</f>
        <v>0.26600000000000001</v>
      </c>
      <c r="AA80" s="197">
        <f>Storage_Reconciled_prod!AA80*Storage_Reconciled_prod!$A$44+Storage_rounded_off_prod!AA80*Storage_rounded_off_prod!$A$44</f>
        <v>0.83099999999999996</v>
      </c>
      <c r="AB80" s="197">
        <f>Storage_Reconciled_prod!AB80*Storage_Reconciled_prod!$A$44+Storage_rounded_off_prod!AB80*Storage_rounded_off_prod!$A$44</f>
        <v>0.26700000000000002</v>
      </c>
      <c r="AC80" s="197">
        <f>Storage_Reconciled_prod!AC80*Storage_Reconciled_prod!$A$44+Storage_rounded_off_prod!AC80*Storage_rounded_off_prod!$A$44</f>
        <v>0.28000000000000003</v>
      </c>
      <c r="AD80" s="197">
        <f>Storage_Reconciled_prod!AD80*Storage_Reconciled_prod!$A$44+Storage_rounded_off_prod!AD80*Storage_rounded_off_prod!$A$44</f>
        <v>0.26</v>
      </c>
      <c r="AE80" s="197">
        <f>Storage_Reconciled_prod!AE80*Storage_Reconciled_prod!$A$44+Storage_rounded_off_prod!AE80*Storage_rounded_off_prod!$A$44</f>
        <v>0.80700000000000005</v>
      </c>
      <c r="AF80" s="197">
        <f>Storage_Reconciled_prod!AF80*Storage_Reconciled_prod!$A$44+Storage_rounded_off_prod!AF80*Storage_rounded_off_prod!$A$44</f>
        <v>1.6380000000000001</v>
      </c>
      <c r="AG80" s="197">
        <f>Storage_Reconciled_prod!AG80*Storage_Reconciled_prod!$A$44+Storage_rounded_off_prod!AG80*Storage_rounded_off_prod!$A$44</f>
        <v>0.27100000000000002</v>
      </c>
      <c r="AH80" s="197">
        <f>Storage_Reconciled_prod!AH80*Storage_Reconciled_prod!$A$44+Storage_rounded_off_prod!AH80*Storage_rounded_off_prod!$A$44</f>
        <v>0.28300000000000003</v>
      </c>
      <c r="AI80" s="197">
        <f>Storage_Reconciled_prod!AI80*Storage_Reconciled_prod!$A$44+Storage_rounded_off_prod!AI80*Storage_rounded_off_prod!$A$44</f>
        <v>0.30499999999999999</v>
      </c>
      <c r="AJ80" s="197">
        <f>Storage_Reconciled_prod!AJ80*Storage_Reconciled_prod!$A$44+Storage_rounded_off_prod!AJ80*Storage_rounded_off_prod!$A$44</f>
        <v>0.85899999999999999</v>
      </c>
      <c r="AK80" s="197">
        <f>Storage_Reconciled_prod!AK80*Storage_Reconciled_prod!$A$44+Storage_rounded_off_prod!AK80*Storage_rounded_off_prod!$A$44</f>
        <v>2.4969999999999999</v>
      </c>
      <c r="AL80" s="197">
        <f>Storage_Reconciled_prod!AL80*Storage_Reconciled_prod!$A$44+Storage_rounded_off_prod!AL80*Storage_rounded_off_prod!$A$44</f>
        <v>0.30599999999999999</v>
      </c>
      <c r="AM80" s="197">
        <f>Storage_Reconciled_prod!AM80*Storage_Reconciled_prod!$A$44+Storage_rounded_off_prod!AM80*Storage_rounded_off_prod!$A$44</f>
        <v>0.27999999999999997</v>
      </c>
      <c r="AN80" s="197">
        <f>Storage_Reconciled_prod!AN80*Storage_Reconciled_prod!$A$44+Storage_rounded_off_prod!AN80*Storage_rounded_off_prod!$A$44</f>
        <v>0.25700000000000001</v>
      </c>
      <c r="AO80" s="197">
        <f>Storage_Reconciled_prod!AO80*Storage_Reconciled_prod!$A$44+Storage_rounded_off_prod!AO80*Storage_rounded_off_prod!$A$44</f>
        <v>0.84299999999999997</v>
      </c>
      <c r="AP80" s="197">
        <f>Storage_Reconciled_prod!AP80*Storage_Reconciled_prod!$A$44+Storage_rounded_off_prod!AP80*Storage_rounded_off_prod!$A$44</f>
        <v>3.34</v>
      </c>
      <c r="AQ80" s="197">
        <f>Storage_Reconciled_prod!AQ80*Storage_Reconciled_prod!$A$44+Storage_rounded_off_prod!AQ80*Storage_rounded_off_prod!$A$44</f>
        <v>0.25700000000000001</v>
      </c>
      <c r="AR80" s="197">
        <f>Storage_Reconciled_prod!AR80*Storage_Reconciled_prod!$A$44+Storage_rounded_off_prod!AR80*Storage_rounded_off_prod!$A$44</f>
        <v>0.248</v>
      </c>
      <c r="AS80" s="197">
        <f>Storage_Reconciled_prod!AS80*Storage_Reconciled_prod!$A$44+Storage_rounded_off_prod!AS80*Storage_rounded_off_prod!$A$44</f>
        <v>0.224</v>
      </c>
      <c r="AT80" s="197">
        <f>Storage_Reconciled_prod!AT80*Storage_Reconciled_prod!$A$44+Storage_rounded_off_prod!AT80*Storage_rounded_off_prod!$A$44</f>
        <v>0.72900000000000009</v>
      </c>
      <c r="AU80" s="197">
        <f>Storage_Reconciled_prod!AU80*Storage_Reconciled_prod!$A$44+Storage_rounded_off_prod!AU80*Storage_rounded_off_prod!$A$44</f>
        <v>0.23699999999999999</v>
      </c>
      <c r="AV80" s="197">
        <f>Storage_Reconciled_prod!AV80*Storage_Reconciled_prod!$A$44+Storage_rounded_off_prod!AV80*Storage_rounded_off_prod!$A$44</f>
        <v>0.23700000000000004</v>
      </c>
      <c r="AW80" s="197">
        <f>Storage_Reconciled_prod!AW80*Storage_Reconciled_prod!$A$44+Storage_rounded_off_prod!AW80*Storage_rounded_off_prod!$A$44</f>
        <v>0.22400000000000003</v>
      </c>
      <c r="AX80" s="197">
        <f>Storage_Reconciled_prod!AX80*Storage_Reconciled_prod!$A$44+Storage_rounded_off_prod!AX80*Storage_rounded_off_prod!$A$44</f>
        <v>0.69800000000000006</v>
      </c>
      <c r="AY80" s="197">
        <f>Storage_Reconciled_prod!AY80*Storage_Reconciled_prod!$A$44+Storage_rounded_off_prod!AY80*Storage_rounded_off_prod!$A$44</f>
        <v>1.427</v>
      </c>
      <c r="AZ80" s="197">
        <f>Storage_Reconciled_prod!AZ80*Storage_Reconciled_prod!$A$44+Storage_rounded_off_prod!AZ80*Storage_rounded_off_prod!$A$44</f>
        <v>0.25</v>
      </c>
      <c r="BA80" s="197">
        <f>Storage_Reconciled_prod!BA80*Storage_Reconciled_prod!$A$44+Storage_rounded_off_prod!BA80*Storage_rounded_off_prod!$A$44</f>
        <v>0.25800000000000001</v>
      </c>
      <c r="BB80" s="197">
        <f>Storage_Reconciled_prod!BB80*Storage_Reconciled_prod!$A$44+Storage_rounded_off_prod!BB80*Storage_rounded_off_prod!$A$44</f>
        <v>0.27900000000000003</v>
      </c>
      <c r="BC80" s="197">
        <f>Storage_Reconciled_prod!BC80*Storage_Reconciled_prod!$A$44+Storage_rounded_off_prod!BC80*Storage_rounded_off_prod!$A$44</f>
        <v>0.78700000000000014</v>
      </c>
      <c r="BD80" s="197">
        <f>Storage_Reconciled_prod!BD80*Storage_Reconciled_prod!$A$44+Storage_rounded_off_prod!BD80*Storage_rounded_off_prod!$A$44</f>
        <v>2.214</v>
      </c>
      <c r="BE80" s="197">
        <f>Storage_Reconciled_prod!BE80*Storage_Reconciled_prod!$A$44+Storage_rounded_off_prod!BE80*Storage_rounded_off_prod!$A$44</f>
        <v>0.27900000000000003</v>
      </c>
      <c r="BF80" s="197">
        <f>Storage_Reconciled_prod!BF80*Storage_Reconciled_prod!$A$44+Storage_rounded_off_prod!BF80*Storage_rounded_off_prod!$A$44</f>
        <v>0.25700000000000006</v>
      </c>
      <c r="BG80" s="197">
        <f>Storage_Reconciled_prod!BG80*Storage_Reconciled_prod!$A$44+Storage_rounded_off_prod!BG80*Storage_rounded_off_prod!$A$44</f>
        <v>0.26300000000000001</v>
      </c>
      <c r="BH80" s="197">
        <f>Storage_Reconciled_prod!BH80*Storage_Reconciled_prod!$A$44+Storage_rounded_off_prod!BH80*Storage_rounded_off_prod!$A$44</f>
        <v>0.79900000000000004</v>
      </c>
      <c r="BI80" s="197">
        <f>Storage_Reconciled_prod!BI80*Storage_Reconciled_prod!$A$44+Storage_rounded_off_prod!BI80*Storage_rounded_off_prod!$A$44</f>
        <v>3.0129999999999995</v>
      </c>
      <c r="BJ80" s="197">
        <f>Storage_Reconciled_prod!BJ80*Storage_Reconciled_prod!$A$44+Storage_rounded_off_prod!BJ80*Storage_rounded_off_prod!$A$44</f>
        <v>0.23200000000000004</v>
      </c>
      <c r="BK80" s="197">
        <f>Storage_Reconciled_prod!BK80*Storage_Reconciled_prod!$A$44+Storage_rounded_off_prod!BK80*Storage_rounded_off_prod!$A$44</f>
        <v>0.23699999999999999</v>
      </c>
      <c r="BL80" s="197">
        <f>Storage_Reconciled_prod!BL80*Storage_Reconciled_prod!$A$44+Storage_rounded_off_prod!BL80*Storage_rounded_off_prod!$A$44</f>
        <v>0.22800000000000004</v>
      </c>
      <c r="BM80" s="197">
        <f>Storage_Reconciled_prod!BM80*Storage_Reconciled_prod!$A$44+Storage_rounded_off_prod!BM80*Storage_rounded_off_prod!$A$44</f>
        <v>0.69700000000000006</v>
      </c>
      <c r="BN80" s="197">
        <f>Storage_Reconciled_prod!BN80*Storage_Reconciled_prod!$A$44+Storage_rounded_off_prod!BN80*Storage_rounded_off_prod!$A$44</f>
        <v>0.21600000000000003</v>
      </c>
      <c r="BO80" s="197">
        <f>Storage_Reconciled_prod!BO80*Storage_Reconciled_prod!$A$44+Storage_rounded_off_prod!BO80*Storage_rounded_off_prod!$A$44</f>
        <v>0.17799999999999999</v>
      </c>
      <c r="BP80" s="197">
        <f>Storage_Reconciled_prod!BP80*Storage_Reconciled_prod!$A$44+Storage_rounded_off_prod!BP80*Storage_rounded_off_prod!$A$44</f>
        <v>0.21300000000000002</v>
      </c>
      <c r="BQ80" s="197">
        <f>Storage_Reconciled_prod!BQ80*Storage_Reconciled_prod!$A$44+Storage_rounded_off_prod!BQ80*Storage_rounded_off_prod!$A$44</f>
        <v>0.60699999999999998</v>
      </c>
      <c r="BR80" s="197">
        <f>Storage_Reconciled_prod!BR80*Storage_Reconciled_prod!$A$44+Storage_rounded_off_prod!BR80*Storage_rounded_off_prod!$A$44</f>
        <v>1.304</v>
      </c>
      <c r="BS80" s="197">
        <f>Storage_Reconciled_prod!BS80*Storage_Reconciled_prod!$A$44+Storage_rounded_off_prod!BS80*Storage_rounded_off_prod!$A$44</f>
        <v>0.221</v>
      </c>
      <c r="BT80" s="197">
        <f>Storage_Reconciled_prod!BT80*Storage_Reconciled_prod!$A$44+Storage_rounded_off_prod!BT80*Storage_rounded_off_prod!$A$44</f>
        <v>0.23899999999999999</v>
      </c>
      <c r="BU80" s="197">
        <f>Storage_Reconciled_prod!BU80*Storage_Reconciled_prod!$A$44+Storage_rounded_off_prod!BU80*Storage_rounded_off_prod!$A$44</f>
        <v>0.23</v>
      </c>
      <c r="BV80" s="197">
        <f>Storage_Reconciled_prod!BV80*Storage_Reconciled_prod!$A$44+Storage_rounded_off_prod!BV80*Storage_rounded_off_prod!$A$44</f>
        <v>0.69</v>
      </c>
      <c r="BW80" s="197">
        <f>Storage_Reconciled_prod!BW80*Storage_Reconciled_prod!$A$44+Storage_rounded_off_prod!BW80*Storage_rounded_off_prod!$A$44</f>
        <v>1.994</v>
      </c>
      <c r="BX80" s="197">
        <f>Storage_Reconciled_prod!BX80*Storage_Reconciled_prod!$A$44+Storage_rounded_off_prod!BX80*Storage_rounded_off_prod!$A$44</f>
        <v>0.23200000000000001</v>
      </c>
      <c r="BY80" s="197">
        <f>Storage_Reconciled_prod!BY80*Storage_Reconciled_prod!$A$44+Storage_rounded_off_prod!BY80*Storage_rounded_off_prod!$A$44</f>
        <v>0.23499999999999999</v>
      </c>
      <c r="BZ80" s="197">
        <f>Storage_Reconciled_prod!BZ80*Storage_Reconciled_prod!$A$44+Storage_rounded_off_prod!BZ80*Storage_rounded_off_prod!$A$44</f>
        <v>0.26700000000000002</v>
      </c>
      <c r="CA80" s="197">
        <f>Storage_Reconciled_prod!CA80*Storage_Reconciled_prod!$A$44+Storage_rounded_off_prod!CA80*Storage_rounded_off_prod!$A$44</f>
        <v>0.73399999999999999</v>
      </c>
      <c r="CB80" s="197">
        <f>Storage_Reconciled_prod!CB80*Storage_Reconciled_prod!$A$44+Storage_rounded_off_prod!CB80*Storage_rounded_off_prod!$A$44</f>
        <v>2.7629999999999999</v>
      </c>
      <c r="CC80" s="197">
        <f>Storage_Reconciled_prod!CC80*Storage_Reconciled_prod!$A$44+Storage_rounded_off_prod!CC80*Storage_rounded_off_prod!$A$44</f>
        <v>0.23</v>
      </c>
      <c r="CD80" s="197">
        <f>Storage_Reconciled_prod!CD80*Storage_Reconciled_prod!$A$44+Storage_rounded_off_prod!CD80*Storage_rounded_off_prod!$A$44</f>
        <v>0.23</v>
      </c>
      <c r="CE80" s="197">
        <f>Storage_Reconciled_prod!CE80*Storage_Reconciled_prod!$A$44+Storage_rounded_off_prod!CE80*Storage_rounded_off_prod!$A$44</f>
        <v>0.222</v>
      </c>
      <c r="CF80" s="197">
        <f>Storage_Reconciled_prod!CF80*Storage_Reconciled_prod!$A$44+Storage_rounded_off_prod!CF80*Storage_rounded_off_prod!$A$44</f>
        <v>0.68100000000000005</v>
      </c>
      <c r="CG80" s="197">
        <f>Storage_Reconciled_prod!CG80*Storage_Reconciled_prod!$A$44+Storage_rounded_off_prod!CG80*Storage_rounded_off_prod!$A$44</f>
        <v>0.21299999999999999</v>
      </c>
      <c r="CH80" s="197">
        <f>Storage_Reconciled_prod!CH80*Storage_Reconciled_prod!$A$44+Storage_rounded_off_prod!CH80*Storage_rounded_off_prod!$A$44</f>
        <v>0</v>
      </c>
      <c r="CI80" s="197">
        <f>Storage_Reconciled_prod!CI80*Storage_Reconciled_prod!$A$44+Storage_rounded_off_prod!CI80*Storage_rounded_off_prod!$A$44</f>
        <v>0</v>
      </c>
      <c r="CJ80" s="197">
        <f>Storage_Reconciled_prod!CJ80*Storage_Reconciled_prod!$A$44+Storage_rounded_off_prod!CJ80*Storage_rounded_off_prod!$A$44</f>
        <v>0</v>
      </c>
      <c r="CK80" s="197">
        <f>Storage_Reconciled_prod!CK80*Storage_Reconciled_prod!$A$44+Storage_rounded_off_prod!CK80*Storage_rounded_off_prod!$A$44</f>
        <v>0</v>
      </c>
      <c r="CL80" s="197">
        <f>Storage_Reconciled_prod!CL80*Storage_Reconciled_prod!$A$44+Storage_rounded_off_prod!CL80*Storage_rounded_off_prod!$A$44</f>
        <v>0</v>
      </c>
      <c r="CM80" s="197">
        <f>Storage_Reconciled_prod!CM80*Storage_Reconciled_prod!$A$44+Storage_rounded_off_prod!CM80*Storage_rounded_off_prod!$A$44</f>
        <v>0</v>
      </c>
      <c r="CN80" s="197">
        <f>Storage_Reconciled_prod!CN80*Storage_Reconciled_prod!$A$44+Storage_rounded_off_prod!CN80*Storage_rounded_off_prod!$A$44</f>
        <v>0</v>
      </c>
      <c r="CO80" s="197">
        <f>Storage_Reconciled_prod!CO80*Storage_Reconciled_prod!$A$44+Storage_rounded_off_prod!CO80*Storage_rounded_off_prod!$A$44</f>
        <v>0</v>
      </c>
      <c r="CP80" s="197">
        <f>Storage_Reconciled_prod!CP80*Storage_Reconciled_prod!$A$44+Storage_rounded_off_prod!CP80*Storage_rounded_off_prod!$A$44</f>
        <v>0</v>
      </c>
      <c r="CQ80" s="197">
        <f>Storage_Reconciled_prod!CQ80*Storage_Reconciled_prod!$A$44+Storage_rounded_off_prod!CQ80*Storage_rounded_off_prod!$A$44</f>
        <v>0</v>
      </c>
      <c r="CR80" s="197">
        <f>Storage_Reconciled_prod!CR80*Storage_Reconciled_prod!$A$44+Storage_rounded_off_prod!CR80*Storage_rounded_off_prod!$A$44</f>
        <v>0</v>
      </c>
      <c r="CS80" s="197">
        <f>Storage_Reconciled_prod!CS80*Storage_Reconciled_prod!$A$44+Storage_rounded_off_prod!CS80*Storage_rounded_off_prod!$A$44</f>
        <v>0</v>
      </c>
      <c r="CT80" s="197">
        <f>Storage_Reconciled_prod!CT80*Storage_Reconciled_prod!$A$44+Storage_rounded_off_prod!CT80*Storage_rounded_off_prod!$A$44</f>
        <v>0</v>
      </c>
      <c r="CU80" s="197">
        <f>Storage_Reconciled_prod!CU80*Storage_Reconciled_prod!$A$44+Storage_rounded_off_prod!CU80*Storage_rounded_off_prod!$A$44</f>
        <v>0</v>
      </c>
    </row>
    <row r="81" spans="1:99">
      <c r="W81" s="480"/>
      <c r="AP81" s="480"/>
      <c r="BI81" s="480"/>
      <c r="CB81" s="480"/>
      <c r="CU81" s="480"/>
    </row>
    <row r="82" spans="1:99">
      <c r="W82" s="480"/>
      <c r="AP82" s="480"/>
      <c r="BI82" s="480"/>
      <c r="CB82" s="480"/>
      <c r="CU82" s="480"/>
    </row>
    <row r="83" spans="1:99">
      <c r="C83">
        <v>1</v>
      </c>
      <c r="E83">
        <v>202204</v>
      </c>
      <c r="F83">
        <v>202205</v>
      </c>
      <c r="G83">
        <v>202206</v>
      </c>
      <c r="H83">
        <v>222331</v>
      </c>
      <c r="I83">
        <v>202207</v>
      </c>
      <c r="J83">
        <v>202208</v>
      </c>
      <c r="K83">
        <v>202209</v>
      </c>
      <c r="L83">
        <v>222332</v>
      </c>
      <c r="M83">
        <v>222361</v>
      </c>
      <c r="N83">
        <v>202210</v>
      </c>
      <c r="O83">
        <v>202211</v>
      </c>
      <c r="P83">
        <v>202212</v>
      </c>
      <c r="Q83">
        <v>222333</v>
      </c>
      <c r="R83">
        <v>222391</v>
      </c>
      <c r="S83">
        <v>202301</v>
      </c>
      <c r="T83">
        <v>202302</v>
      </c>
      <c r="U83">
        <v>202303</v>
      </c>
      <c r="V83">
        <v>222334</v>
      </c>
      <c r="W83" s="480">
        <v>222399</v>
      </c>
      <c r="X83">
        <v>202304</v>
      </c>
      <c r="Y83">
        <v>202305</v>
      </c>
      <c r="Z83">
        <v>202306</v>
      </c>
      <c r="AA83">
        <v>232431</v>
      </c>
      <c r="AB83">
        <v>202307</v>
      </c>
      <c r="AC83">
        <v>202308</v>
      </c>
      <c r="AD83">
        <v>202309</v>
      </c>
      <c r="AE83">
        <v>232432</v>
      </c>
      <c r="AF83">
        <v>232461</v>
      </c>
      <c r="AG83">
        <v>202310</v>
      </c>
      <c r="AH83">
        <v>202311</v>
      </c>
      <c r="AI83">
        <v>202312</v>
      </c>
      <c r="AJ83">
        <v>232433</v>
      </c>
      <c r="AK83">
        <v>232491</v>
      </c>
      <c r="AL83">
        <v>202401</v>
      </c>
      <c r="AM83">
        <v>202402</v>
      </c>
      <c r="AN83">
        <v>202403</v>
      </c>
      <c r="AO83">
        <v>232434</v>
      </c>
      <c r="AP83" s="480">
        <v>232499</v>
      </c>
      <c r="AQ83">
        <v>202404</v>
      </c>
      <c r="AR83">
        <v>202405</v>
      </c>
      <c r="AS83">
        <v>202406</v>
      </c>
      <c r="AT83">
        <v>242531</v>
      </c>
      <c r="AU83">
        <v>202407</v>
      </c>
      <c r="AV83">
        <v>202408</v>
      </c>
      <c r="AW83">
        <v>202409</v>
      </c>
      <c r="AX83">
        <v>242532</v>
      </c>
      <c r="AY83">
        <v>242561</v>
      </c>
      <c r="AZ83">
        <v>202410</v>
      </c>
      <c r="BA83">
        <v>202411</v>
      </c>
      <c r="BB83">
        <v>202412</v>
      </c>
      <c r="BC83">
        <v>242533</v>
      </c>
      <c r="BD83">
        <v>242591</v>
      </c>
      <c r="BE83">
        <v>202501</v>
      </c>
      <c r="BF83">
        <v>202502</v>
      </c>
      <c r="BG83">
        <v>202503</v>
      </c>
      <c r="BH83">
        <v>242534</v>
      </c>
      <c r="BI83" s="480">
        <v>242599</v>
      </c>
      <c r="BJ83">
        <v>202504</v>
      </c>
      <c r="BK83">
        <v>202505</v>
      </c>
      <c r="BL83">
        <v>202506</v>
      </c>
      <c r="BM83">
        <v>252631</v>
      </c>
      <c r="BN83">
        <v>202507</v>
      </c>
      <c r="BO83">
        <v>202508</v>
      </c>
      <c r="BP83">
        <v>202509</v>
      </c>
      <c r="BQ83">
        <v>252632</v>
      </c>
      <c r="BR83">
        <v>252661</v>
      </c>
      <c r="BS83">
        <v>202510</v>
      </c>
      <c r="BT83">
        <v>202511</v>
      </c>
      <c r="BU83">
        <v>202512</v>
      </c>
      <c r="BV83">
        <v>252633</v>
      </c>
      <c r="BW83">
        <v>252691</v>
      </c>
      <c r="BX83">
        <v>202601</v>
      </c>
      <c r="BY83">
        <v>202602</v>
      </c>
      <c r="BZ83">
        <v>202603</v>
      </c>
      <c r="CA83">
        <v>252634</v>
      </c>
      <c r="CB83" s="480">
        <v>252699</v>
      </c>
      <c r="CC83">
        <v>202604</v>
      </c>
      <c r="CD83">
        <v>202605</v>
      </c>
      <c r="CE83">
        <v>202606</v>
      </c>
      <c r="CF83">
        <v>262731</v>
      </c>
      <c r="CG83">
        <v>202607</v>
      </c>
      <c r="CH83">
        <v>202608</v>
      </c>
      <c r="CI83">
        <v>202609</v>
      </c>
      <c r="CJ83">
        <v>262732</v>
      </c>
      <c r="CK83">
        <v>262761</v>
      </c>
      <c r="CL83">
        <v>202610</v>
      </c>
      <c r="CM83">
        <v>202611</v>
      </c>
      <c r="CN83">
        <v>202612</v>
      </c>
      <c r="CO83">
        <v>262733</v>
      </c>
      <c r="CP83">
        <v>262791</v>
      </c>
      <c r="CQ83">
        <v>202701</v>
      </c>
      <c r="CR83">
        <v>202702</v>
      </c>
      <c r="CS83">
        <v>202703</v>
      </c>
      <c r="CT83">
        <v>262734</v>
      </c>
      <c r="CU83" s="480">
        <v>262799</v>
      </c>
    </row>
    <row r="84" spans="1:99">
      <c r="C84">
        <v>2</v>
      </c>
      <c r="E84" t="s">
        <v>308</v>
      </c>
      <c r="F84" t="s">
        <v>309</v>
      </c>
      <c r="G84" t="s">
        <v>829</v>
      </c>
      <c r="H84" t="s">
        <v>392</v>
      </c>
      <c r="I84" t="s">
        <v>830</v>
      </c>
      <c r="J84" t="s">
        <v>312</v>
      </c>
      <c r="K84" t="s">
        <v>313</v>
      </c>
      <c r="L84" t="s">
        <v>393</v>
      </c>
      <c r="M84" t="s">
        <v>622</v>
      </c>
      <c r="N84" t="s">
        <v>314</v>
      </c>
      <c r="O84" t="s">
        <v>315</v>
      </c>
      <c r="P84" t="s">
        <v>316</v>
      </c>
      <c r="Q84" t="s">
        <v>394</v>
      </c>
      <c r="R84" t="s">
        <v>624</v>
      </c>
      <c r="S84" t="s">
        <v>317</v>
      </c>
      <c r="T84" t="s">
        <v>318</v>
      </c>
      <c r="U84" t="s">
        <v>319</v>
      </c>
      <c r="V84" t="s">
        <v>395</v>
      </c>
      <c r="W84" s="480" t="s">
        <v>831</v>
      </c>
      <c r="X84" t="s">
        <v>726</v>
      </c>
      <c r="Y84" t="s">
        <v>727</v>
      </c>
      <c r="Z84" t="s">
        <v>832</v>
      </c>
      <c r="AA84" t="s">
        <v>762</v>
      </c>
      <c r="AB84" t="s">
        <v>833</v>
      </c>
      <c r="AC84" t="s">
        <v>730</v>
      </c>
      <c r="AD84" t="s">
        <v>731</v>
      </c>
      <c r="AE84" t="s">
        <v>765</v>
      </c>
      <c r="AF84" t="s">
        <v>774</v>
      </c>
      <c r="AG84" t="s">
        <v>732</v>
      </c>
      <c r="AH84" t="s">
        <v>733</v>
      </c>
      <c r="AI84" t="s">
        <v>734</v>
      </c>
      <c r="AJ84" t="s">
        <v>768</v>
      </c>
      <c r="AK84" t="s">
        <v>780</v>
      </c>
      <c r="AL84" t="s">
        <v>735</v>
      </c>
      <c r="AM84" t="s">
        <v>736</v>
      </c>
      <c r="AN84" t="s">
        <v>737</v>
      </c>
      <c r="AO84" t="s">
        <v>771</v>
      </c>
      <c r="AP84" s="480" t="s">
        <v>834</v>
      </c>
      <c r="AQ84" t="s">
        <v>738</v>
      </c>
      <c r="AR84" t="s">
        <v>740</v>
      </c>
      <c r="AS84" t="s">
        <v>835</v>
      </c>
      <c r="AT84" t="s">
        <v>763</v>
      </c>
      <c r="AU84" t="s">
        <v>836</v>
      </c>
      <c r="AV84" t="s">
        <v>743</v>
      </c>
      <c r="AW84" t="s">
        <v>744</v>
      </c>
      <c r="AX84" t="s">
        <v>766</v>
      </c>
      <c r="AY84" t="s">
        <v>775</v>
      </c>
      <c r="AZ84" t="s">
        <v>745</v>
      </c>
      <c r="BA84" t="s">
        <v>746</v>
      </c>
      <c r="BB84" t="s">
        <v>747</v>
      </c>
      <c r="BC84" t="s">
        <v>769</v>
      </c>
      <c r="BD84" t="s">
        <v>781</v>
      </c>
      <c r="BE84" t="s">
        <v>748</v>
      </c>
      <c r="BF84" t="s">
        <v>749</v>
      </c>
      <c r="BG84" t="s">
        <v>750</v>
      </c>
      <c r="BH84" t="s">
        <v>772</v>
      </c>
      <c r="BI84" s="480" t="s">
        <v>837</v>
      </c>
      <c r="BJ84" t="s">
        <v>739</v>
      </c>
      <c r="BK84" t="s">
        <v>751</v>
      </c>
      <c r="BL84" t="s">
        <v>838</v>
      </c>
      <c r="BM84" t="s">
        <v>764</v>
      </c>
      <c r="BN84" t="s">
        <v>839</v>
      </c>
      <c r="BO84" t="s">
        <v>754</v>
      </c>
      <c r="BP84" t="s">
        <v>755</v>
      </c>
      <c r="BQ84" t="s">
        <v>767</v>
      </c>
      <c r="BR84" t="s">
        <v>776</v>
      </c>
      <c r="BS84" t="s">
        <v>756</v>
      </c>
      <c r="BT84" t="s">
        <v>757</v>
      </c>
      <c r="BU84" t="s">
        <v>758</v>
      </c>
      <c r="BV84" t="s">
        <v>770</v>
      </c>
      <c r="BW84" t="s">
        <v>782</v>
      </c>
      <c r="BX84" t="s">
        <v>759</v>
      </c>
      <c r="BY84" t="s">
        <v>760</v>
      </c>
      <c r="BZ84" t="s">
        <v>761</v>
      </c>
      <c r="CA84" t="s">
        <v>773</v>
      </c>
      <c r="CB84" s="480" t="s">
        <v>840</v>
      </c>
      <c r="CC84" t="s">
        <v>2268</v>
      </c>
      <c r="CD84" t="s">
        <v>2151</v>
      </c>
      <c r="CE84" t="s">
        <v>2269</v>
      </c>
      <c r="CF84" t="s">
        <v>2260</v>
      </c>
      <c r="CG84" t="s">
        <v>2270</v>
      </c>
      <c r="CH84" t="s">
        <v>2154</v>
      </c>
      <c r="CI84" t="s">
        <v>2155</v>
      </c>
      <c r="CJ84" t="s">
        <v>2261</v>
      </c>
      <c r="CK84" t="s">
        <v>2264</v>
      </c>
      <c r="CL84" t="s">
        <v>2156</v>
      </c>
      <c r="CM84" t="s">
        <v>2157</v>
      </c>
      <c r="CN84" t="s">
        <v>2158</v>
      </c>
      <c r="CO84" t="s">
        <v>2262</v>
      </c>
      <c r="CP84" t="s">
        <v>2266</v>
      </c>
      <c r="CQ84" t="s">
        <v>2159</v>
      </c>
      <c r="CR84" t="s">
        <v>2160</v>
      </c>
      <c r="CS84" t="s">
        <v>2149</v>
      </c>
      <c r="CT84" t="s">
        <v>2263</v>
      </c>
      <c r="CU84" s="480" t="s">
        <v>2271</v>
      </c>
    </row>
    <row r="85" spans="1:99">
      <c r="C85">
        <v>3</v>
      </c>
      <c r="D85" s="209" t="s">
        <v>60</v>
      </c>
      <c r="E85" s="197">
        <f>Storage_Reconciled_prod!E85*Storage_Reconciled_prod!$A$44+Storage_rounded_off_prod!E85*Storage_rounded_off_prod!$A$44</f>
        <v>0.19799999999999998</v>
      </c>
      <c r="F85" s="197">
        <f>Storage_Reconciled_prod!F85*Storage_Reconciled_prod!$A$44+Storage_rounded_off_prod!F85*Storage_rounded_off_prod!$A$44</f>
        <v>7.0999999999999994E-2</v>
      </c>
      <c r="G85" s="197">
        <f>Storage_Reconciled_prod!G85*Storage_Reconciled_prod!$A$44+Storage_rounded_off_prod!G85*Storage_rounded_off_prod!$A$44</f>
        <v>4.0999999999999995E-2</v>
      </c>
      <c r="H85" s="197">
        <f>Storage_Reconciled_prod!H85*Storage_Reconciled_prod!$A$44+Storage_rounded_off_prod!H85*Storage_rounded_off_prod!$A$44</f>
        <v>0.31</v>
      </c>
      <c r="I85" s="197">
        <f>Storage_Reconciled_prod!I85*Storage_Reconciled_prod!$A$44+Storage_rounded_off_prod!I85*Storage_rounded_off_prod!$A$44</f>
        <v>3.8000000000000006E-2</v>
      </c>
      <c r="J85" s="197">
        <f>Storage_Reconciled_prod!J85*Storage_Reconciled_prod!$A$44+Storage_rounded_off_prod!J85*Storage_rounded_off_prod!$A$44</f>
        <v>2.9000000000000001E-2</v>
      </c>
      <c r="K85" s="197">
        <f>Storage_Reconciled_prod!K85*Storage_Reconciled_prod!$A$44+Storage_rounded_off_prod!K85*Storage_rounded_off_prod!$A$44</f>
        <v>1.9E-2</v>
      </c>
      <c r="L85" s="197">
        <f>Storage_Reconciled_prod!L85*Storage_Reconciled_prod!$A$44+Storage_rounded_off_prod!L85*Storage_rounded_off_prod!$A$44</f>
        <v>8.6000000000000007E-2</v>
      </c>
      <c r="M85" s="197">
        <f>Storage_Reconciled_prod!M85*Storage_Reconciled_prod!$A$44+Storage_rounded_off_prod!M85*Storage_rounded_off_prod!$A$44</f>
        <v>0.39600000000000002</v>
      </c>
      <c r="N85" s="197">
        <f>Storage_Reconciled_prod!N85*Storage_Reconciled_prod!$A$44+Storage_rounded_off_prod!N85*Storage_rounded_off_prod!$A$44</f>
        <v>2.9000000000000001E-2</v>
      </c>
      <c r="O85" s="197">
        <f>Storage_Reconciled_prod!O85*Storage_Reconciled_prod!$A$44+Storage_rounded_off_prod!O85*Storage_rounded_off_prod!$A$44</f>
        <v>0.17799999999999999</v>
      </c>
      <c r="P85" s="197">
        <f>Storage_Reconciled_prod!P85*Storage_Reconciled_prod!$A$44+Storage_rounded_off_prod!P85*Storage_rounded_off_prod!$A$44</f>
        <v>0.17599999999999999</v>
      </c>
      <c r="Q85" s="197">
        <f>Storage_Reconciled_prod!Q85*Storage_Reconciled_prod!$A$44+Storage_rounded_off_prod!Q85*Storage_rounded_off_prod!$A$44</f>
        <v>0.38300000000000001</v>
      </c>
      <c r="R85" s="197">
        <f>Storage_Reconciled_prod!R85*Storage_Reconciled_prod!$A$44+Storage_rounded_off_prod!R85*Storage_rounded_off_prod!$A$44</f>
        <v>0.77900000000000003</v>
      </c>
      <c r="S85" s="197">
        <f>Storage_Reconciled_prod!S85*Storage_Reconciled_prod!$A$44+Storage_rounded_off_prod!S85*Storage_rounded_off_prod!$A$44</f>
        <v>0.18099999999999999</v>
      </c>
      <c r="T85" s="197">
        <f>Storage_Reconciled_prod!T85*Storage_Reconciled_prod!$A$44+Storage_rounded_off_prod!T85*Storage_rounded_off_prod!$A$44</f>
        <v>0.21699999999999997</v>
      </c>
      <c r="U85" s="197">
        <f>Storage_Reconciled_prod!U85*Storage_Reconciled_prod!$A$44+Storage_rounded_off_prod!U85*Storage_rounded_off_prod!$A$44</f>
        <v>0.23899999999999999</v>
      </c>
      <c r="V85" s="197">
        <f>Storage_Reconciled_prod!V85*Storage_Reconciled_prod!$A$44+Storage_rounded_off_prod!V85*Storage_rounded_off_prod!$A$44</f>
        <v>0.63700000000000001</v>
      </c>
      <c r="W85" s="197">
        <f>Storage_Reconciled_prod!W85*Storage_Reconciled_prod!$A$44+Storage_rounded_off_prod!W85*Storage_rounded_off_prod!$A$44</f>
        <v>1.4159999999999999</v>
      </c>
      <c r="X85" s="197">
        <f>Storage_Reconciled_prod!X85*Storage_Reconciled_prod!$A$44+Storage_rounded_off_prod!X85*Storage_rounded_off_prod!$A$44</f>
        <v>0.21199999999999999</v>
      </c>
      <c r="Y85" s="197">
        <f>Storage_Reconciled_prod!Y85*Storage_Reconciled_prod!$A$44+Storage_rounded_off_prod!Y85*Storage_rounded_off_prod!$A$44</f>
        <v>0.19400000000000001</v>
      </c>
      <c r="Z85" s="197">
        <f>Storage_Reconciled_prod!Z85*Storage_Reconciled_prod!$A$44+Storage_rounded_off_prod!Z85*Storage_rounded_off_prod!$A$44</f>
        <v>0.17200000000000001</v>
      </c>
      <c r="AA85" s="197">
        <f>Storage_Reconciled_prod!AA85*Storage_Reconciled_prod!$A$44+Storage_rounded_off_prod!AA85*Storage_rounded_off_prod!$A$44</f>
        <v>0.57800000000000007</v>
      </c>
      <c r="AB85" s="197">
        <f>Storage_Reconciled_prod!AB85*Storage_Reconciled_prod!$A$44+Storage_rounded_off_prod!AB85*Storage_rounded_off_prod!$A$44</f>
        <v>0.191</v>
      </c>
      <c r="AC85" s="197">
        <f>Storage_Reconciled_prod!AC85*Storage_Reconciled_prod!$A$44+Storage_rounded_off_prod!AC85*Storage_rounded_off_prod!$A$44</f>
        <v>0.16900000000000001</v>
      </c>
      <c r="AD85" s="197">
        <f>Storage_Reconciled_prod!AD85*Storage_Reconciled_prod!$A$44+Storage_rounded_off_prod!AD85*Storage_rounded_off_prod!$A$44</f>
        <v>0.16799999999999998</v>
      </c>
      <c r="AE85" s="197">
        <f>Storage_Reconciled_prod!AE85*Storage_Reconciled_prod!$A$44+Storage_rounded_off_prod!AE85*Storage_rounded_off_prod!$A$44</f>
        <v>0.52800000000000002</v>
      </c>
      <c r="AF85" s="197">
        <f>Storage_Reconciled_prod!AF85*Storage_Reconciled_prod!$A$44+Storage_rounded_off_prod!AF85*Storage_rounded_off_prod!$A$44</f>
        <v>1.1060000000000001</v>
      </c>
      <c r="AG85" s="197">
        <f>Storage_Reconciled_prod!AG85*Storage_Reconciled_prod!$A$44+Storage_rounded_off_prod!AG85*Storage_rounded_off_prod!$A$44</f>
        <v>0.20599999999999999</v>
      </c>
      <c r="AH85" s="197">
        <f>Storage_Reconciled_prod!AH85*Storage_Reconciled_prod!$A$44+Storage_rounded_off_prod!AH85*Storage_rounded_off_prod!$A$44</f>
        <v>0.21099999999999999</v>
      </c>
      <c r="AI85" s="197">
        <f>Storage_Reconciled_prod!AI85*Storage_Reconciled_prod!$A$44+Storage_rounded_off_prod!AI85*Storage_rounded_off_prod!$A$44</f>
        <v>0.22399999999999998</v>
      </c>
      <c r="AJ85" s="197">
        <f>Storage_Reconciled_prod!AJ85*Storage_Reconciled_prod!$A$44+Storage_rounded_off_prod!AJ85*Storage_rounded_off_prod!$A$44</f>
        <v>0.64100000000000001</v>
      </c>
      <c r="AK85" s="197">
        <f>Storage_Reconciled_prod!AK85*Storage_Reconciled_prod!$A$44+Storage_rounded_off_prod!AK85*Storage_rounded_off_prod!$A$44</f>
        <v>1.7470000000000001</v>
      </c>
      <c r="AL85" s="197">
        <f>Storage_Reconciled_prod!AL85*Storage_Reconciled_prod!$A$44+Storage_rounded_off_prod!AL85*Storage_rounded_off_prod!$A$44</f>
        <v>0.23299999999999998</v>
      </c>
      <c r="AM85" s="197">
        <f>Storage_Reconciled_prod!AM85*Storage_Reconciled_prod!$A$44+Storage_rounded_off_prod!AM85*Storage_rounded_off_prod!$A$44</f>
        <v>0.184</v>
      </c>
      <c r="AN85" s="197">
        <f>Storage_Reconciled_prod!AN85*Storage_Reconciled_prod!$A$44+Storage_rounded_off_prod!AN85*Storage_rounded_off_prod!$A$44</f>
        <v>0.22099999999999997</v>
      </c>
      <c r="AO85" s="197">
        <f>Storage_Reconciled_prod!AO85*Storage_Reconciled_prod!$A$44+Storage_rounded_off_prod!AO85*Storage_rounded_off_prod!$A$44</f>
        <v>0.63800000000000001</v>
      </c>
      <c r="AP85" s="197">
        <f>Storage_Reconciled_prod!AP85*Storage_Reconciled_prod!$A$44+Storage_rounded_off_prod!AP85*Storage_rounded_off_prod!$A$44</f>
        <v>2.3850000000000002</v>
      </c>
      <c r="AQ85" s="197">
        <f>Storage_Reconciled_prod!AQ85*Storage_Reconciled_prod!$A$44+Storage_rounded_off_prod!AQ85*Storage_rounded_off_prod!$A$44</f>
        <v>0.192</v>
      </c>
      <c r="AR85" s="197">
        <f>Storage_Reconciled_prod!AR85*Storage_Reconciled_prod!$A$44+Storage_rounded_off_prod!AR85*Storage_rounded_off_prod!$A$44</f>
        <v>0.17499999999999999</v>
      </c>
      <c r="AS85" s="197">
        <f>Storage_Reconciled_prod!AS85*Storage_Reconciled_prod!$A$44+Storage_rounded_off_prod!AS85*Storage_rounded_off_prod!$A$44</f>
        <v>0.16400000000000001</v>
      </c>
      <c r="AT85" s="197">
        <f>Storage_Reconciled_prod!AT85*Storage_Reconciled_prod!$A$44+Storage_rounded_off_prod!AT85*Storage_rounded_off_prod!$A$44</f>
        <v>0.53100000000000003</v>
      </c>
      <c r="AU85" s="197">
        <f>Storage_Reconciled_prod!AU85*Storage_Reconciled_prod!$A$44+Storage_rounded_off_prod!AU85*Storage_rounded_off_prod!$A$44</f>
        <v>0.16599999999999998</v>
      </c>
      <c r="AV85" s="197">
        <f>Storage_Reconciled_prod!AV85*Storage_Reconciled_prod!$A$44+Storage_rounded_off_prod!AV85*Storage_rounded_off_prod!$A$44</f>
        <v>0.15</v>
      </c>
      <c r="AW85" s="197">
        <f>Storage_Reconciled_prod!AW85*Storage_Reconciled_prod!$A$44+Storage_rounded_off_prod!AW85*Storage_rounded_off_prod!$A$44</f>
        <v>0.16299999999999998</v>
      </c>
      <c r="AX85" s="197">
        <f>Storage_Reconciled_prod!AX85*Storage_Reconciled_prod!$A$44+Storage_rounded_off_prod!AX85*Storage_rounded_off_prod!$A$44</f>
        <v>0.47899999999999998</v>
      </c>
      <c r="AY85" s="197">
        <f>Storage_Reconciled_prod!AY85*Storage_Reconciled_prod!$A$44+Storage_rounded_off_prod!AY85*Storage_rounded_off_prod!$A$44</f>
        <v>1.01</v>
      </c>
      <c r="AZ85" s="197">
        <f>Storage_Reconciled_prod!AZ85*Storage_Reconciled_prod!$A$44+Storage_rounded_off_prod!AZ85*Storage_rounded_off_prod!$A$44</f>
        <v>0.183</v>
      </c>
      <c r="BA85" s="197">
        <f>Storage_Reconciled_prod!BA85*Storage_Reconciled_prod!$A$44+Storage_rounded_off_prod!BA85*Storage_rounded_off_prod!$A$44</f>
        <v>0.187</v>
      </c>
      <c r="BB85" s="197">
        <f>Storage_Reconciled_prod!BB85*Storage_Reconciled_prod!$A$44+Storage_rounded_off_prod!BB85*Storage_rounded_off_prod!$A$44</f>
        <v>0.20800000000000002</v>
      </c>
      <c r="BC85" s="197">
        <f>Storage_Reconciled_prod!BC85*Storage_Reconciled_prod!$A$44+Storage_rounded_off_prod!BC85*Storage_rounded_off_prod!$A$44</f>
        <v>0.57800000000000007</v>
      </c>
      <c r="BD85" s="197">
        <f>Storage_Reconciled_prod!BD85*Storage_Reconciled_prod!$A$44+Storage_rounded_off_prod!BD85*Storage_rounded_off_prod!$A$44</f>
        <v>1.5880000000000001</v>
      </c>
      <c r="BE85" s="197">
        <f>Storage_Reconciled_prod!BE85*Storage_Reconciled_prod!$A$44+Storage_rounded_off_prod!BE85*Storage_rounded_off_prod!$A$44</f>
        <v>0.21100000000000002</v>
      </c>
      <c r="BF85" s="197">
        <f>Storage_Reconciled_prod!BF85*Storage_Reconciled_prod!$A$44+Storage_rounded_off_prod!BF85*Storage_rounded_off_prod!$A$44</f>
        <v>0.187</v>
      </c>
      <c r="BG85" s="197">
        <f>Storage_Reconciled_prod!BG85*Storage_Reconciled_prod!$A$44+Storage_rounded_off_prod!BG85*Storage_rounded_off_prod!$A$44</f>
        <v>0.2</v>
      </c>
      <c r="BH85" s="197">
        <f>Storage_Reconciled_prod!BH85*Storage_Reconciled_prod!$A$44+Storage_rounded_off_prod!BH85*Storage_rounded_off_prod!$A$44</f>
        <v>0.59800000000000009</v>
      </c>
      <c r="BI85" s="197">
        <f>Storage_Reconciled_prod!BI85*Storage_Reconciled_prod!$A$44+Storage_rounded_off_prod!BI85*Storage_rounded_off_prod!$A$44</f>
        <v>2.1859999999999999</v>
      </c>
      <c r="BJ85" s="197">
        <f>Storage_Reconciled_prod!BJ85*Storage_Reconciled_prod!$A$44+Storage_rounded_off_prod!BJ85*Storage_rounded_off_prod!$A$44</f>
        <v>0.17899999999999999</v>
      </c>
      <c r="BK85" s="197">
        <f>Storage_Reconciled_prod!BK85*Storage_Reconciled_prod!$A$44+Storage_rounded_off_prod!BK85*Storage_rounded_off_prod!$A$44</f>
        <v>0.16700000000000001</v>
      </c>
      <c r="BL85" s="197">
        <f>Storage_Reconciled_prod!BL85*Storage_Reconciled_prod!$A$44+Storage_rounded_off_prod!BL85*Storage_rounded_off_prod!$A$44</f>
        <v>0.155</v>
      </c>
      <c r="BM85" s="197">
        <f>Storage_Reconciled_prod!BM85*Storage_Reconciled_prod!$A$44+Storage_rounded_off_prod!BM85*Storage_rounded_off_prod!$A$44</f>
        <v>0.501</v>
      </c>
      <c r="BN85" s="197">
        <f>Storage_Reconciled_prod!BN85*Storage_Reconciled_prod!$A$44+Storage_rounded_off_prod!BN85*Storage_rounded_off_prod!$A$44</f>
        <v>0.14200000000000002</v>
      </c>
      <c r="BO85" s="197">
        <f>Storage_Reconciled_prod!BO85*Storage_Reconciled_prod!$A$44+Storage_rounded_off_prod!BO85*Storage_rounded_off_prod!$A$44</f>
        <v>3.4000000000000002E-2</v>
      </c>
      <c r="BP85" s="197">
        <f>Storage_Reconciled_prod!BP85*Storage_Reconciled_prod!$A$44+Storage_rounded_off_prod!BP85*Storage_rounded_off_prod!$A$44</f>
        <v>0.161</v>
      </c>
      <c r="BQ85" s="197">
        <f>Storage_Reconciled_prod!BQ85*Storage_Reconciled_prod!$A$44+Storage_rounded_off_prod!BQ85*Storage_rounded_off_prod!$A$44</f>
        <v>0.33700000000000002</v>
      </c>
      <c r="BR85" s="197">
        <f>Storage_Reconciled_prod!BR85*Storage_Reconciled_prod!$A$44+Storage_rounded_off_prod!BR85*Storage_rounded_off_prod!$A$44</f>
        <v>0.83800000000000008</v>
      </c>
      <c r="BS85" s="197">
        <f>Storage_Reconciled_prod!BS85*Storage_Reconciled_prod!$A$44+Storage_rounded_off_prod!BS85*Storage_rounded_off_prod!$A$44</f>
        <v>0.16599999999999998</v>
      </c>
      <c r="BT85" s="197">
        <f>Storage_Reconciled_prod!BT85*Storage_Reconciled_prod!$A$44+Storage_rounded_off_prod!BT85*Storage_rounded_off_prod!$A$44</f>
        <v>0.184</v>
      </c>
      <c r="BU85" s="197">
        <f>Storage_Reconciled_prod!BU85*Storage_Reconciled_prod!$A$44+Storage_rounded_off_prod!BU85*Storage_rounded_off_prod!$A$44</f>
        <v>0.17899999999999999</v>
      </c>
      <c r="BV85" s="197">
        <f>Storage_Reconciled_prod!BV85*Storage_Reconciled_prod!$A$44+Storage_rounded_off_prod!BV85*Storage_rounded_off_prod!$A$44</f>
        <v>0.52899999999999991</v>
      </c>
      <c r="BW85" s="197">
        <f>Storage_Reconciled_prod!BW85*Storage_Reconciled_prod!$A$44+Storage_rounded_off_prod!BW85*Storage_rounded_off_prod!$A$44</f>
        <v>1.367</v>
      </c>
      <c r="BX85" s="197">
        <f>Storage_Reconciled_prod!BX85*Storage_Reconciled_prod!$A$44+Storage_rounded_off_prod!BX85*Storage_rounded_off_prod!$A$44</f>
        <v>0.21499999999999997</v>
      </c>
      <c r="BY85" s="197">
        <f>Storage_Reconciled_prod!BY85*Storage_Reconciled_prod!$A$44+Storage_rounded_off_prod!BY85*Storage_rounded_off_prod!$A$44</f>
        <v>0.20899999999999999</v>
      </c>
      <c r="BZ85" s="197">
        <f>Storage_Reconciled_prod!BZ85*Storage_Reconciled_prod!$A$44+Storage_rounded_off_prod!BZ85*Storage_rounded_off_prod!$A$44</f>
        <v>0.24</v>
      </c>
      <c r="CA85" s="197">
        <f>Storage_Reconciled_prod!CA85*Storage_Reconciled_prod!$A$44+Storage_rounded_off_prod!CA85*Storage_rounded_off_prod!$A$44</f>
        <v>0.66399999999999992</v>
      </c>
      <c r="CB85" s="197">
        <f>Storage_Reconciled_prod!CB85*Storage_Reconciled_prod!$A$44+Storage_rounded_off_prod!CB85*Storage_rounded_off_prod!$A$44</f>
        <v>2.0390000000000001</v>
      </c>
      <c r="CC85" s="197">
        <f>Storage_Reconciled_prod!CC85*Storage_Reconciled_prod!$A$44+Storage_rounded_off_prod!CC85*Storage_rounded_off_prod!$A$44</f>
        <v>0.21299999999999999</v>
      </c>
      <c r="CD85" s="197">
        <f>Storage_Reconciled_prod!CD85*Storage_Reconciled_prod!$A$44+Storage_rounded_off_prod!CD85*Storage_rounded_off_prod!$A$44</f>
        <v>0.20799999999999999</v>
      </c>
      <c r="CE85" s="197">
        <f>Storage_Reconciled_prod!CE85*Storage_Reconciled_prod!$A$44+Storage_rounded_off_prod!CE85*Storage_rounded_off_prod!$A$44</f>
        <v>0.18</v>
      </c>
      <c r="CF85" s="197">
        <f>Storage_Reconciled_prod!CF85*Storage_Reconciled_prod!$A$44+Storage_rounded_off_prod!CF85*Storage_rounded_off_prod!$A$44</f>
        <v>0.60099999999999998</v>
      </c>
      <c r="CG85" s="197">
        <f>Storage_Reconciled_prod!CG85*Storage_Reconciled_prod!$A$44+Storage_rounded_off_prod!CG85*Storage_rounded_off_prod!$A$44</f>
        <v>0.20400000000000001</v>
      </c>
      <c r="CH85" s="197">
        <f>Storage_Reconciled_prod!CH85*Storage_Reconciled_prod!$A$44+Storage_rounded_off_prod!CH85*Storage_rounded_off_prod!$A$44</f>
        <v>0</v>
      </c>
      <c r="CI85" s="197">
        <f>Storage_Reconciled_prod!CI85*Storage_Reconciled_prod!$A$44+Storage_rounded_off_prod!CI85*Storage_rounded_off_prod!$A$44</f>
        <v>0</v>
      </c>
      <c r="CJ85" s="197">
        <f>Storage_Reconciled_prod!CJ85*Storage_Reconciled_prod!$A$44+Storage_rounded_off_prod!CJ85*Storage_rounded_off_prod!$A$44</f>
        <v>0</v>
      </c>
      <c r="CK85" s="197">
        <f>Storage_Reconciled_prod!CK85*Storage_Reconciled_prod!$A$44+Storage_rounded_off_prod!CK85*Storage_rounded_off_prod!$A$44</f>
        <v>0</v>
      </c>
      <c r="CL85" s="197">
        <f>Storage_Reconciled_prod!CL85*Storage_Reconciled_prod!$A$44+Storage_rounded_off_prod!CL85*Storage_rounded_off_prod!$A$44</f>
        <v>0</v>
      </c>
      <c r="CM85" s="197">
        <f>Storage_Reconciled_prod!CM85*Storage_Reconciled_prod!$A$44+Storage_rounded_off_prod!CM85*Storage_rounded_off_prod!$A$44</f>
        <v>0</v>
      </c>
      <c r="CN85" s="197">
        <f>Storage_Reconciled_prod!CN85*Storage_Reconciled_prod!$A$44+Storage_rounded_off_prod!CN85*Storage_rounded_off_prod!$A$44</f>
        <v>0</v>
      </c>
      <c r="CO85" s="197">
        <f>Storage_Reconciled_prod!CO85*Storage_Reconciled_prod!$A$44+Storage_rounded_off_prod!CO85*Storage_rounded_off_prod!$A$44</f>
        <v>0</v>
      </c>
      <c r="CP85" s="197">
        <f>Storage_Reconciled_prod!CP85*Storage_Reconciled_prod!$A$44+Storage_rounded_off_prod!CP85*Storage_rounded_off_prod!$A$44</f>
        <v>0</v>
      </c>
      <c r="CQ85" s="197">
        <f>Storage_Reconciled_prod!CQ85*Storage_Reconciled_prod!$A$44+Storage_rounded_off_prod!CQ85*Storage_rounded_off_prod!$A$44</f>
        <v>0</v>
      </c>
      <c r="CR85" s="197">
        <f>Storage_Reconciled_prod!CR85*Storage_Reconciled_prod!$A$44+Storage_rounded_off_prod!CR85*Storage_rounded_off_prod!$A$44</f>
        <v>0</v>
      </c>
      <c r="CS85" s="197">
        <f>Storage_Reconciled_prod!CS85*Storage_Reconciled_prod!$A$44+Storage_rounded_off_prod!CS85*Storage_rounded_off_prod!$A$44</f>
        <v>0</v>
      </c>
      <c r="CT85" s="197">
        <f>Storage_Reconciled_prod!CT85*Storage_Reconciled_prod!$A$44+Storage_rounded_off_prod!CT85*Storage_rounded_off_prod!$A$44</f>
        <v>0</v>
      </c>
      <c r="CU85" s="197">
        <f>Storage_Reconciled_prod!CU85*Storage_Reconciled_prod!$A$44+Storage_rounded_off_prod!CU85*Storage_rounded_off_prod!$A$44</f>
        <v>0</v>
      </c>
    </row>
    <row r="86" spans="1:99">
      <c r="C86">
        <v>4</v>
      </c>
      <c r="D86" s="209" t="s">
        <v>61</v>
      </c>
      <c r="E86" s="197">
        <f>Storage_Reconciled_prod!E86*Storage_Reconciled_prod!$A$44+Storage_rounded_off_prod!E86*Storage_rounded_off_prod!$A$44</f>
        <v>0.32999999999999996</v>
      </c>
      <c r="F86" s="197">
        <f>Storage_Reconciled_prod!F86*Storage_Reconciled_prod!$A$44+Storage_rounded_off_prod!F86*Storage_rounded_off_prod!$A$44</f>
        <v>0.34299999999999997</v>
      </c>
      <c r="G86" s="197">
        <f>Storage_Reconciled_prod!G86*Storage_Reconciled_prod!$A$44+Storage_rounded_off_prod!G86*Storage_rounded_off_prod!$A$44</f>
        <v>0.32899999999999996</v>
      </c>
      <c r="H86" s="197">
        <f>Storage_Reconciled_prod!H86*Storage_Reconciled_prod!$A$44+Storage_rounded_off_prod!H86*Storage_rounded_off_prod!$A$44</f>
        <v>1.002</v>
      </c>
      <c r="I86" s="197">
        <f>Storage_Reconciled_prod!I86*Storage_Reconciled_prod!$A$44+Storage_rounded_off_prod!I86*Storage_rounded_off_prod!$A$44</f>
        <v>0.33599999999999997</v>
      </c>
      <c r="J86" s="197">
        <f>Storage_Reconciled_prod!J86*Storage_Reconciled_prod!$A$44+Storage_rounded_off_prod!J86*Storage_rounded_off_prod!$A$44</f>
        <v>0.32800000000000001</v>
      </c>
      <c r="K86" s="197">
        <f>Storage_Reconciled_prod!K86*Storage_Reconciled_prod!$A$44+Storage_rounded_off_prod!K86*Storage_rounded_off_prod!$A$44</f>
        <v>0.309</v>
      </c>
      <c r="L86" s="197">
        <f>Storage_Reconciled_prod!L86*Storage_Reconciled_prod!$A$44+Storage_rounded_off_prod!L86*Storage_rounded_off_prod!$A$44</f>
        <v>0.97299999999999998</v>
      </c>
      <c r="M86" s="197">
        <f>Storage_Reconciled_prod!M86*Storage_Reconciled_prod!$A$44+Storage_rounded_off_prod!M86*Storage_rounded_off_prod!$A$44</f>
        <v>1.9750000000000001</v>
      </c>
      <c r="N86" s="197">
        <f>Storage_Reconciled_prod!N86*Storage_Reconciled_prod!$A$44+Storage_rounded_off_prod!N86*Storage_rounded_off_prod!$A$44</f>
        <v>0.314</v>
      </c>
      <c r="O86" s="197">
        <f>Storage_Reconciled_prod!O86*Storage_Reconciled_prod!$A$44+Storage_rounded_off_prod!O86*Storage_rounded_off_prod!$A$44</f>
        <v>0.3</v>
      </c>
      <c r="P86" s="197">
        <f>Storage_Reconciled_prod!P86*Storage_Reconciled_prod!$A$44+Storage_rounded_off_prod!P86*Storage_rounded_off_prod!$A$44</f>
        <v>0.312</v>
      </c>
      <c r="Q86" s="197">
        <f>Storage_Reconciled_prod!Q86*Storage_Reconciled_prod!$A$44+Storage_rounded_off_prod!Q86*Storage_rounded_off_prod!$A$44</f>
        <v>0.92599999999999993</v>
      </c>
      <c r="R86" s="197">
        <f>Storage_Reconciled_prod!R86*Storage_Reconciled_prod!$A$44+Storage_rounded_off_prod!R86*Storage_rounded_off_prod!$A$44</f>
        <v>2.9009999999999998</v>
      </c>
      <c r="S86" s="197">
        <f>Storage_Reconciled_prod!S86*Storage_Reconciled_prod!$A$44+Storage_rounded_off_prod!S86*Storage_rounded_off_prod!$A$44</f>
        <v>0.314</v>
      </c>
      <c r="T86" s="197">
        <f>Storage_Reconciled_prod!T86*Storage_Reconciled_prod!$A$44+Storage_rounded_off_prod!T86*Storage_rounded_off_prod!$A$44</f>
        <v>0.28500000000000003</v>
      </c>
      <c r="U86" s="197">
        <f>Storage_Reconciled_prod!U86*Storage_Reconciled_prod!$A$44+Storage_rounded_off_prod!U86*Storage_rounded_off_prod!$A$44</f>
        <v>0.29900000000000004</v>
      </c>
      <c r="V86" s="197">
        <f>Storage_Reconciled_prod!V86*Storage_Reconciled_prod!$A$44+Storage_rounded_off_prod!V86*Storage_rounded_off_prod!$A$44</f>
        <v>0.89800000000000002</v>
      </c>
      <c r="W86" s="197">
        <f>Storage_Reconciled_prod!W86*Storage_Reconciled_prod!$A$44+Storage_rounded_off_prod!W86*Storage_rounded_off_prod!$A$44</f>
        <v>3.7989999999999999</v>
      </c>
      <c r="X86" s="197">
        <f>Storage_Reconciled_prod!X86*Storage_Reconciled_prod!$A$44+Storage_rounded_off_prod!X86*Storage_rounded_off_prod!$A$44</f>
        <v>0.29499999999999998</v>
      </c>
      <c r="Y86" s="197">
        <f>Storage_Reconciled_prod!Y86*Storage_Reconciled_prod!$A$44+Storage_rounded_off_prod!Y86*Storage_rounded_off_prod!$A$44</f>
        <v>0.30499999999999999</v>
      </c>
      <c r="Z86" s="197">
        <f>Storage_Reconciled_prod!Z86*Storage_Reconciled_prod!$A$44+Storage_rounded_off_prod!Z86*Storage_rounded_off_prod!$A$44</f>
        <v>0.29200000000000004</v>
      </c>
      <c r="AA86" s="197">
        <f>Storage_Reconciled_prod!AA86*Storage_Reconciled_prod!$A$44+Storage_rounded_off_prod!AA86*Storage_rounded_off_prod!$A$44</f>
        <v>0.89200000000000013</v>
      </c>
      <c r="AB86" s="197">
        <f>Storage_Reconciled_prod!AB86*Storage_Reconciled_prod!$A$44+Storage_rounded_off_prod!AB86*Storage_rounded_off_prod!$A$44</f>
        <v>0.28000000000000003</v>
      </c>
      <c r="AC86" s="197">
        <f>Storage_Reconciled_prod!AC86*Storage_Reconciled_prod!$A$44+Storage_rounded_off_prod!AC86*Storage_rounded_off_prod!$A$44</f>
        <v>0.30000000000000004</v>
      </c>
      <c r="AD86" s="197">
        <f>Storage_Reconciled_prod!AD86*Storage_Reconciled_prod!$A$44+Storage_rounded_off_prod!AD86*Storage_rounded_off_prod!$A$44</f>
        <v>0.28900000000000003</v>
      </c>
      <c r="AE86" s="197">
        <f>Storage_Reconciled_prod!AE86*Storage_Reconciled_prod!$A$44+Storage_rounded_off_prod!AE86*Storage_rounded_off_prod!$A$44</f>
        <v>0.86900000000000011</v>
      </c>
      <c r="AF86" s="197">
        <f>Storage_Reconciled_prod!AF86*Storage_Reconciled_prod!$A$44+Storage_rounded_off_prod!AF86*Storage_rounded_off_prod!$A$44</f>
        <v>1.7610000000000001</v>
      </c>
      <c r="AG86" s="197">
        <f>Storage_Reconciled_prod!AG86*Storage_Reconciled_prod!$A$44+Storage_rounded_off_prod!AG86*Storage_rounded_off_prod!$A$44</f>
        <v>0.29000000000000004</v>
      </c>
      <c r="AH86" s="197">
        <f>Storage_Reconciled_prod!AH86*Storage_Reconciled_prod!$A$44+Storage_rounded_off_prod!AH86*Storage_rounded_off_prod!$A$44</f>
        <v>0.28800000000000003</v>
      </c>
      <c r="AI86" s="197">
        <f>Storage_Reconciled_prod!AI86*Storage_Reconciled_prod!$A$44+Storage_rounded_off_prod!AI86*Storage_rounded_off_prod!$A$44</f>
        <v>0.29100000000000004</v>
      </c>
      <c r="AJ86" s="197">
        <f>Storage_Reconciled_prod!AJ86*Storage_Reconciled_prod!$A$44+Storage_rounded_off_prod!AJ86*Storage_rounded_off_prod!$A$44</f>
        <v>0.86899999999999999</v>
      </c>
      <c r="AK86" s="197">
        <f>Storage_Reconciled_prod!AK86*Storage_Reconciled_prod!$A$44+Storage_rounded_off_prod!AK86*Storage_rounded_off_prod!$A$44</f>
        <v>2.63</v>
      </c>
      <c r="AL86" s="197">
        <f>Storage_Reconciled_prod!AL86*Storage_Reconciled_prod!$A$44+Storage_rounded_off_prod!AL86*Storage_rounded_off_prod!$A$44</f>
        <v>0.28500000000000003</v>
      </c>
      <c r="AM86" s="197">
        <f>Storage_Reconciled_prod!AM86*Storage_Reconciled_prod!$A$44+Storage_rounded_off_prod!AM86*Storage_rounded_off_prod!$A$44</f>
        <v>0.26800000000000002</v>
      </c>
      <c r="AN86" s="197">
        <f>Storage_Reconciled_prod!AN86*Storage_Reconciled_prod!$A$44+Storage_rounded_off_prod!AN86*Storage_rounded_off_prod!$A$44</f>
        <v>0.27200000000000002</v>
      </c>
      <c r="AO86" s="197">
        <f>Storage_Reconciled_prod!AO86*Storage_Reconciled_prod!$A$44+Storage_rounded_off_prod!AO86*Storage_rounded_off_prod!$A$44</f>
        <v>0.82500000000000007</v>
      </c>
      <c r="AP86" s="197">
        <f>Storage_Reconciled_prod!AP86*Storage_Reconciled_prod!$A$44+Storage_rounded_off_prod!AP86*Storage_rounded_off_prod!$A$44</f>
        <v>3.4550000000000001</v>
      </c>
      <c r="AQ86" s="197">
        <f>Storage_Reconciled_prod!AQ86*Storage_Reconciled_prod!$A$44+Storage_rounded_off_prod!AQ86*Storage_rounded_off_prod!$A$44</f>
        <v>0.26200000000000001</v>
      </c>
      <c r="AR86" s="197">
        <f>Storage_Reconciled_prod!AR86*Storage_Reconciled_prod!$A$44+Storage_rounded_off_prod!AR86*Storage_rounded_off_prod!$A$44</f>
        <v>0.26900000000000002</v>
      </c>
      <c r="AS86" s="197">
        <f>Storage_Reconciled_prod!AS86*Storage_Reconciled_prod!$A$44+Storage_rounded_off_prod!AS86*Storage_rounded_off_prod!$A$44</f>
        <v>0.26500000000000001</v>
      </c>
      <c r="AT86" s="197">
        <f>Storage_Reconciled_prod!AT86*Storage_Reconciled_prod!$A$44+Storage_rounded_off_prod!AT86*Storage_rounded_off_prod!$A$44</f>
        <v>0.79600000000000004</v>
      </c>
      <c r="AU86" s="197">
        <f>Storage_Reconciled_prod!AU86*Storage_Reconciled_prod!$A$44+Storage_rounded_off_prod!AU86*Storage_rounded_off_prod!$A$44</f>
        <v>0.26400000000000001</v>
      </c>
      <c r="AV86" s="197">
        <f>Storage_Reconciled_prod!AV86*Storage_Reconciled_prod!$A$44+Storage_rounded_off_prod!AV86*Storage_rounded_off_prod!$A$44</f>
        <v>0.27400000000000002</v>
      </c>
      <c r="AW86" s="197">
        <f>Storage_Reconciled_prod!AW86*Storage_Reconciled_prod!$A$44+Storage_rounded_off_prod!AW86*Storage_rounded_off_prod!$A$44</f>
        <v>0.26900000000000002</v>
      </c>
      <c r="AX86" s="197">
        <f>Storage_Reconciled_prod!AX86*Storage_Reconciled_prod!$A$44+Storage_rounded_off_prod!AX86*Storage_rounded_off_prod!$A$44</f>
        <v>0.80700000000000005</v>
      </c>
      <c r="AY86" s="197">
        <f>Storage_Reconciled_prod!AY86*Storage_Reconciled_prod!$A$44+Storage_rounded_off_prod!AY86*Storage_rounded_off_prod!$A$44</f>
        <v>1.6030000000000002</v>
      </c>
      <c r="AZ86" s="197">
        <f>Storage_Reconciled_prod!AZ86*Storage_Reconciled_prod!$A$44+Storage_rounded_off_prod!AZ86*Storage_rounded_off_prod!$A$44</f>
        <v>0.27800000000000002</v>
      </c>
      <c r="BA86" s="197">
        <f>Storage_Reconciled_prod!BA86*Storage_Reconciled_prod!$A$44+Storage_rounded_off_prod!BA86*Storage_rounded_off_prod!$A$44</f>
        <v>0.26900000000000002</v>
      </c>
      <c r="BB86" s="197">
        <f>Storage_Reconciled_prod!BB86*Storage_Reconciled_prod!$A$44+Storage_rounded_off_prod!BB86*Storage_rounded_off_prod!$A$44</f>
        <v>0.28300000000000003</v>
      </c>
      <c r="BC86" s="197">
        <f>Storage_Reconciled_prod!BC86*Storage_Reconciled_prod!$A$44+Storage_rounded_off_prod!BC86*Storage_rounded_off_prod!$A$44</f>
        <v>0.83</v>
      </c>
      <c r="BD86" s="197">
        <f>Storage_Reconciled_prod!BD86*Storage_Reconciled_prod!$A$44+Storage_rounded_off_prod!BD86*Storage_rounded_off_prod!$A$44</f>
        <v>2.4329999999999998</v>
      </c>
      <c r="BE86" s="197">
        <f>Storage_Reconciled_prod!BE86*Storage_Reconciled_prod!$A$44+Storage_rounded_off_prod!BE86*Storage_rounded_off_prod!$A$44</f>
        <v>0.27700000000000002</v>
      </c>
      <c r="BF86" s="197">
        <f>Storage_Reconciled_prod!BF86*Storage_Reconciled_prod!$A$44+Storage_rounded_off_prod!BF86*Storage_rounded_off_prod!$A$44</f>
        <v>0.251</v>
      </c>
      <c r="BG86" s="197">
        <f>Storage_Reconciled_prod!BG86*Storage_Reconciled_prod!$A$44+Storage_rounded_off_prod!BG86*Storage_rounded_off_prod!$A$44</f>
        <v>0.27500000000000002</v>
      </c>
      <c r="BH86" s="197">
        <f>Storage_Reconciled_prod!BH86*Storage_Reconciled_prod!$A$44+Storage_rounded_off_prod!BH86*Storage_rounded_off_prod!$A$44</f>
        <v>0.80299999999999994</v>
      </c>
      <c r="BI86" s="197">
        <f>Storage_Reconciled_prod!BI86*Storage_Reconciled_prod!$A$44+Storage_rounded_off_prod!BI86*Storage_rounded_off_prod!$A$44</f>
        <v>3.2359999999999998</v>
      </c>
      <c r="BJ86" s="197">
        <f>Storage_Reconciled_prod!BJ86*Storage_Reconciled_prod!$A$44+Storage_rounded_off_prod!BJ86*Storage_rounded_off_prod!$A$44</f>
        <v>0.25700000000000001</v>
      </c>
      <c r="BK86" s="197">
        <f>Storage_Reconciled_prod!BK86*Storage_Reconciled_prod!$A$44+Storage_rounded_off_prod!BK86*Storage_rounded_off_prod!$A$44</f>
        <v>0.26900000000000002</v>
      </c>
      <c r="BL86" s="197">
        <f>Storage_Reconciled_prod!BL86*Storage_Reconciled_prod!$A$44+Storage_rounded_off_prod!BL86*Storage_rounded_off_prod!$A$44</f>
        <v>0.25900000000000001</v>
      </c>
      <c r="BM86" s="197">
        <f>Storage_Reconciled_prod!BM86*Storage_Reconciled_prod!$A$44+Storage_rounded_off_prod!BM86*Storage_rounded_off_prod!$A$44</f>
        <v>0.78500000000000003</v>
      </c>
      <c r="BN86" s="197">
        <f>Storage_Reconciled_prod!BN86*Storage_Reconciled_prod!$A$44+Storage_rounded_off_prod!BN86*Storage_rounded_off_prod!$A$44</f>
        <v>0.26800000000000002</v>
      </c>
      <c r="BO86" s="197">
        <f>Storage_Reconciled_prod!BO86*Storage_Reconciled_prod!$A$44+Storage_rounded_off_prod!BO86*Storage_rounded_off_prod!$A$44</f>
        <v>0.254</v>
      </c>
      <c r="BP86" s="197">
        <f>Storage_Reconciled_prod!BP86*Storage_Reconciled_prod!$A$44+Storage_rounded_off_prod!BP86*Storage_rounded_off_prod!$A$44</f>
        <v>0.255</v>
      </c>
      <c r="BQ86" s="197">
        <f>Storage_Reconciled_prod!BQ86*Storage_Reconciled_prod!$A$44+Storage_rounded_off_prod!BQ86*Storage_rounded_off_prod!$A$44</f>
        <v>0.77700000000000002</v>
      </c>
      <c r="BR86" s="197">
        <f>Storage_Reconciled_prod!BR86*Storage_Reconciled_prod!$A$44+Storage_rounded_off_prod!BR86*Storage_rounded_off_prod!$A$44</f>
        <v>1.5620000000000001</v>
      </c>
      <c r="BS86" s="197">
        <f>Storage_Reconciled_prod!BS86*Storage_Reconciled_prod!$A$44+Storage_rounded_off_prod!BS86*Storage_rounded_off_prod!$A$44</f>
        <v>0.26300000000000001</v>
      </c>
      <c r="BT86" s="197">
        <f>Storage_Reconciled_prod!BT86*Storage_Reconciled_prod!$A$44+Storage_rounded_off_prod!BT86*Storage_rounded_off_prod!$A$44</f>
        <v>0.253</v>
      </c>
      <c r="BU86" s="197">
        <f>Storage_Reconciled_prod!BU86*Storage_Reconciled_prod!$A$44+Storage_rounded_off_prod!BU86*Storage_rounded_off_prod!$A$44</f>
        <v>0.25600000000000001</v>
      </c>
      <c r="BV86" s="197">
        <f>Storage_Reconciled_prod!BV86*Storage_Reconciled_prod!$A$44+Storage_rounded_off_prod!BV86*Storage_rounded_off_prod!$A$44</f>
        <v>0.77200000000000002</v>
      </c>
      <c r="BW86" s="197">
        <f>Storage_Reconciled_prod!BW86*Storage_Reconciled_prod!$A$44+Storage_rounded_off_prod!BW86*Storage_rounded_off_prod!$A$44</f>
        <v>2.3340000000000001</v>
      </c>
      <c r="BX86" s="197">
        <f>Storage_Reconciled_prod!BX86*Storage_Reconciled_prod!$A$44+Storage_rounded_off_prod!BX86*Storage_rounded_off_prod!$A$44</f>
        <v>0.22899999999999998</v>
      </c>
      <c r="BY86" s="197">
        <f>Storage_Reconciled_prod!BY86*Storage_Reconciled_prod!$A$44+Storage_rounded_off_prod!BY86*Storage_rounded_off_prod!$A$44</f>
        <v>0.23099999999999998</v>
      </c>
      <c r="BZ86" s="197">
        <f>Storage_Reconciled_prod!BZ86*Storage_Reconciled_prod!$A$44+Storage_rounded_off_prod!BZ86*Storage_rounded_off_prod!$A$44</f>
        <v>0.24299999999999999</v>
      </c>
      <c r="CA86" s="197">
        <f>Storage_Reconciled_prod!CA86*Storage_Reconciled_prod!$A$44+Storage_rounded_off_prod!CA86*Storage_rounded_off_prod!$A$44</f>
        <v>0.70299999999999996</v>
      </c>
      <c r="CB86" s="197">
        <f>Storage_Reconciled_prod!CB86*Storage_Reconciled_prod!$A$44+Storage_rounded_off_prod!CB86*Storage_rounded_off_prod!$A$44</f>
        <v>3.06</v>
      </c>
      <c r="CC86" s="197">
        <f>Storage_Reconciled_prod!CC86*Storage_Reconciled_prod!$A$44+Storage_rounded_off_prod!CC86*Storage_rounded_off_prod!$A$44</f>
        <v>0.24099999999999999</v>
      </c>
      <c r="CD86" s="197">
        <f>Storage_Reconciled_prod!CD86*Storage_Reconciled_prod!$A$44+Storage_rounded_off_prod!CD86*Storage_rounded_off_prod!$A$44</f>
        <v>0.249</v>
      </c>
      <c r="CE86" s="197">
        <f>Storage_Reconciled_prod!CE86*Storage_Reconciled_prod!$A$44+Storage_rounded_off_prod!CE86*Storage_rounded_off_prod!$A$44</f>
        <v>0.23899999999999999</v>
      </c>
      <c r="CF86" s="197">
        <f>Storage_Reconciled_prod!CF86*Storage_Reconciled_prod!$A$44+Storage_rounded_off_prod!CF86*Storage_rounded_off_prod!$A$44</f>
        <v>0.72899999999999998</v>
      </c>
      <c r="CG86" s="197">
        <f>Storage_Reconciled_prod!CG86*Storage_Reconciled_prod!$A$44+Storage_rounded_off_prod!CG86*Storage_rounded_off_prod!$A$44</f>
        <v>0.24</v>
      </c>
      <c r="CH86" s="197">
        <f>Storage_Reconciled_prod!CH86*Storage_Reconciled_prod!$A$44+Storage_rounded_off_prod!CH86*Storage_rounded_off_prod!$A$44</f>
        <v>0</v>
      </c>
      <c r="CI86" s="197">
        <f>Storage_Reconciled_prod!CI86*Storage_Reconciled_prod!$A$44+Storage_rounded_off_prod!CI86*Storage_rounded_off_prod!$A$44</f>
        <v>0</v>
      </c>
      <c r="CJ86" s="197">
        <f>Storage_Reconciled_prod!CJ86*Storage_Reconciled_prod!$A$44+Storage_rounded_off_prod!CJ86*Storage_rounded_off_prod!$A$44</f>
        <v>0</v>
      </c>
      <c r="CK86" s="197">
        <f>Storage_Reconciled_prod!CK86*Storage_Reconciled_prod!$A$44+Storage_rounded_off_prod!CK86*Storage_rounded_off_prod!$A$44</f>
        <v>0</v>
      </c>
      <c r="CL86" s="197">
        <f>Storage_Reconciled_prod!CL86*Storage_Reconciled_prod!$A$44+Storage_rounded_off_prod!CL86*Storage_rounded_off_prod!$A$44</f>
        <v>0</v>
      </c>
      <c r="CM86" s="197">
        <f>Storage_Reconciled_prod!CM86*Storage_Reconciled_prod!$A$44+Storage_rounded_off_prod!CM86*Storage_rounded_off_prod!$A$44</f>
        <v>0</v>
      </c>
      <c r="CN86" s="197">
        <f>Storage_Reconciled_prod!CN86*Storage_Reconciled_prod!$A$44+Storage_rounded_off_prod!CN86*Storage_rounded_off_prod!$A$44</f>
        <v>0</v>
      </c>
      <c r="CO86" s="197">
        <f>Storage_Reconciled_prod!CO86*Storage_Reconciled_prod!$A$44+Storage_rounded_off_prod!CO86*Storage_rounded_off_prod!$A$44</f>
        <v>0</v>
      </c>
      <c r="CP86" s="197">
        <f>Storage_Reconciled_prod!CP86*Storage_Reconciled_prod!$A$44+Storage_rounded_off_prod!CP86*Storage_rounded_off_prod!$A$44</f>
        <v>0</v>
      </c>
      <c r="CQ86" s="197">
        <f>Storage_Reconciled_prod!CQ86*Storage_Reconciled_prod!$A$44+Storage_rounded_off_prod!CQ86*Storage_rounded_off_prod!$A$44</f>
        <v>0</v>
      </c>
      <c r="CR86" s="197">
        <f>Storage_Reconciled_prod!CR86*Storage_Reconciled_prod!$A$44+Storage_rounded_off_prod!CR86*Storage_rounded_off_prod!$A$44</f>
        <v>0</v>
      </c>
      <c r="CS86" s="197">
        <f>Storage_Reconciled_prod!CS86*Storage_Reconciled_prod!$A$44+Storage_rounded_off_prod!CS86*Storage_rounded_off_prod!$A$44</f>
        <v>0</v>
      </c>
      <c r="CT86" s="197">
        <f>Storage_Reconciled_prod!CT86*Storage_Reconciled_prod!$A$44+Storage_rounded_off_prod!CT86*Storage_rounded_off_prod!$A$44</f>
        <v>0</v>
      </c>
      <c r="CU86" s="197">
        <f>Storage_Reconciled_prod!CU86*Storage_Reconciled_prod!$A$44+Storage_rounded_off_prod!CU86*Storage_rounded_off_prod!$A$44</f>
        <v>0</v>
      </c>
    </row>
    <row r="87" spans="1:99">
      <c r="C87">
        <v>5</v>
      </c>
      <c r="D87" s="209" t="s">
        <v>62</v>
      </c>
      <c r="E87" s="197">
        <f>Storage_Reconciled_prod!E87*Storage_Reconciled_prod!$A$44+Storage_rounded_off_prod!E87*Storage_rounded_off_prod!$A$44</f>
        <v>2.7E-2</v>
      </c>
      <c r="F87" s="197">
        <f>Storage_Reconciled_prod!F87*Storage_Reconciled_prod!$A$44+Storage_rounded_off_prod!F87*Storage_rounded_off_prod!$A$44</f>
        <v>2.3E-2</v>
      </c>
      <c r="G87" s="197">
        <f>Storage_Reconciled_prod!G87*Storage_Reconciled_prod!$A$44+Storage_rounded_off_prod!G87*Storage_rounded_off_prod!$A$44</f>
        <v>2.5000000000000001E-2</v>
      </c>
      <c r="H87" s="197">
        <f>Storage_Reconciled_prod!H87*Storage_Reconciled_prod!$A$44+Storage_rounded_off_prod!H87*Storage_rounded_off_prod!$A$44</f>
        <v>7.4999999999999997E-2</v>
      </c>
      <c r="I87" s="197">
        <f>Storage_Reconciled_prod!I87*Storage_Reconciled_prod!$A$44+Storage_rounded_off_prod!I87*Storage_rounded_off_prod!$A$44</f>
        <v>2.6000000000000002E-2</v>
      </c>
      <c r="J87" s="197">
        <f>Storage_Reconciled_prod!J87*Storage_Reconciled_prod!$A$44+Storage_rounded_off_prod!J87*Storage_rounded_off_prod!$A$44</f>
        <v>2.4E-2</v>
      </c>
      <c r="K87" s="197">
        <f>Storage_Reconciled_prod!K87*Storage_Reconciled_prod!$A$44+Storage_rounded_off_prod!K87*Storage_rounded_off_prod!$A$44</f>
        <v>2.3E-2</v>
      </c>
      <c r="L87" s="197">
        <f>Storage_Reconciled_prod!L87*Storage_Reconciled_prod!$A$44+Storage_rounded_off_prod!L87*Storage_rounded_off_prod!$A$44</f>
        <v>7.2999999999999995E-2</v>
      </c>
      <c r="M87" s="197">
        <f>Storage_Reconciled_prod!M87*Storage_Reconciled_prod!$A$44+Storage_rounded_off_prod!M87*Storage_rounded_off_prod!$A$44</f>
        <v>0.14799999999999999</v>
      </c>
      <c r="N87" s="197">
        <f>Storage_Reconciled_prod!N87*Storage_Reconciled_prod!$A$44+Storage_rounded_off_prod!N87*Storage_rounded_off_prod!$A$44</f>
        <v>2.5000000000000001E-2</v>
      </c>
      <c r="O87" s="197">
        <f>Storage_Reconciled_prod!O87*Storage_Reconciled_prod!$A$44+Storage_rounded_off_prod!O87*Storage_rounded_off_prod!$A$44</f>
        <v>2.4E-2</v>
      </c>
      <c r="P87" s="197">
        <f>Storage_Reconciled_prod!P87*Storage_Reconciled_prod!$A$44+Storage_rounded_off_prod!P87*Storage_rounded_off_prod!$A$44</f>
        <v>2.4E-2</v>
      </c>
      <c r="Q87" s="197">
        <f>Storage_Reconciled_prod!Q87*Storage_Reconciled_prod!$A$44+Storage_rounded_off_prod!Q87*Storage_rounded_off_prod!$A$44</f>
        <v>7.2999999999999995E-2</v>
      </c>
      <c r="R87" s="197">
        <f>Storage_Reconciled_prod!R87*Storage_Reconciled_prod!$A$44+Storage_rounded_off_prod!R87*Storage_rounded_off_prod!$A$44</f>
        <v>0.221</v>
      </c>
      <c r="S87" s="197">
        <f>Storage_Reconciled_prod!S87*Storage_Reconciled_prod!$A$44+Storage_rounded_off_prod!S87*Storage_rounded_off_prod!$A$44</f>
        <v>2.3E-2</v>
      </c>
      <c r="T87" s="197">
        <f>Storage_Reconciled_prod!T87*Storage_Reconciled_prod!$A$44+Storage_rounded_off_prod!T87*Storage_rounded_off_prod!$A$44</f>
        <v>2.0999999999999998E-2</v>
      </c>
      <c r="U87" s="197">
        <f>Storage_Reconciled_prod!U87*Storage_Reconciled_prod!$A$44+Storage_rounded_off_prod!U87*Storage_rounded_off_prod!$A$44</f>
        <v>2.1999999999999999E-2</v>
      </c>
      <c r="V87" s="197">
        <f>Storage_Reconciled_prod!V87*Storage_Reconciled_prod!$A$44+Storage_rounded_off_prod!V87*Storage_rounded_off_prod!$A$44</f>
        <v>6.6000000000000003E-2</v>
      </c>
      <c r="W87" s="197">
        <f>Storage_Reconciled_prod!W87*Storage_Reconciled_prod!$A$44+Storage_rounded_off_prod!W87*Storage_rounded_off_prod!$A$44</f>
        <v>0.28700000000000003</v>
      </c>
      <c r="X87" s="197">
        <f>Storage_Reconciled_prod!X87*Storage_Reconciled_prod!$A$44+Storage_rounded_off_prod!X87*Storage_rounded_off_prod!$A$44</f>
        <v>2.1999999999999999E-2</v>
      </c>
      <c r="Y87" s="197">
        <f>Storage_Reconciled_prod!Y87*Storage_Reconciled_prod!$A$44+Storage_rounded_off_prod!Y87*Storage_rounded_off_prod!$A$44</f>
        <v>1.9999999999999997E-2</v>
      </c>
      <c r="Z87" s="197">
        <f>Storage_Reconciled_prod!Z87*Storage_Reconciled_prod!$A$44+Storage_rounded_off_prod!Z87*Storage_rounded_off_prod!$A$44</f>
        <v>1.9999999999999997E-2</v>
      </c>
      <c r="AA87" s="197">
        <f>Storage_Reconciled_prod!AA87*Storage_Reconciled_prod!$A$44+Storage_rounded_off_prod!AA87*Storage_rounded_off_prod!$A$44</f>
        <v>6.2E-2</v>
      </c>
      <c r="AB87" s="197">
        <f>Storage_Reconciled_prod!AB87*Storage_Reconciled_prod!$A$44+Storage_rounded_off_prod!AB87*Storage_rounded_off_prod!$A$44</f>
        <v>2.0999999999999998E-2</v>
      </c>
      <c r="AC87" s="197">
        <f>Storage_Reconciled_prod!AC87*Storage_Reconciled_prod!$A$44+Storage_rounded_off_prod!AC87*Storage_rounded_off_prod!$A$44</f>
        <v>0.02</v>
      </c>
      <c r="AD87" s="197">
        <f>Storage_Reconciled_prod!AD87*Storage_Reconciled_prod!$A$44+Storage_rounded_off_prod!AD87*Storage_rounded_off_prod!$A$44</f>
        <v>1.8000000000000002E-2</v>
      </c>
      <c r="AE87" s="197">
        <f>Storage_Reconciled_prod!AE87*Storage_Reconciled_prod!$A$44+Storage_rounded_off_prod!AE87*Storage_rounded_off_prod!$A$44</f>
        <v>5.8999999999999997E-2</v>
      </c>
      <c r="AF87" s="197">
        <f>Storage_Reconciled_prod!AF87*Storage_Reconciled_prod!$A$44+Storage_rounded_off_prod!AF87*Storage_rounded_off_prod!$A$44</f>
        <v>0.121</v>
      </c>
      <c r="AG87" s="197">
        <f>Storage_Reconciled_prod!AG87*Storage_Reconciled_prod!$A$44+Storage_rounded_off_prod!AG87*Storage_rounded_off_prod!$A$44</f>
        <v>2.0999999999999998E-2</v>
      </c>
      <c r="AH87" s="197">
        <f>Storage_Reconciled_prod!AH87*Storage_Reconciled_prod!$A$44+Storage_rounded_off_prod!AH87*Storage_rounded_off_prod!$A$44</f>
        <v>0.02</v>
      </c>
      <c r="AI87" s="197">
        <f>Storage_Reconciled_prod!AI87*Storage_Reconciled_prod!$A$44+Storage_rounded_off_prod!AI87*Storage_rounded_off_prod!$A$44</f>
        <v>0.02</v>
      </c>
      <c r="AJ87" s="197">
        <f>Storage_Reconciled_prod!AJ87*Storage_Reconciled_prod!$A$44+Storage_rounded_off_prod!AJ87*Storage_rounded_off_prod!$A$44</f>
        <v>6.0999999999999999E-2</v>
      </c>
      <c r="AK87" s="197">
        <f>Storage_Reconciled_prod!AK87*Storage_Reconciled_prod!$A$44+Storage_rounded_off_prod!AK87*Storage_rounded_off_prod!$A$44</f>
        <v>0.182</v>
      </c>
      <c r="AL87" s="197">
        <f>Storage_Reconciled_prod!AL87*Storage_Reconciled_prod!$A$44+Storage_rounded_off_prod!AL87*Storage_rounded_off_prod!$A$44</f>
        <v>1.9E-2</v>
      </c>
      <c r="AM87" s="197">
        <f>Storage_Reconciled_prod!AM87*Storage_Reconciled_prod!$A$44+Storage_rounded_off_prod!AM87*Storage_rounded_off_prod!$A$44</f>
        <v>1.7999999999999999E-2</v>
      </c>
      <c r="AN87" s="197">
        <f>Storage_Reconciled_prod!AN87*Storage_Reconciled_prod!$A$44+Storage_rounded_off_prod!AN87*Storage_rounded_off_prod!$A$44</f>
        <v>1.8999999999999996E-2</v>
      </c>
      <c r="AO87" s="197">
        <f>Storage_Reconciled_prod!AO87*Storage_Reconciled_prod!$A$44+Storage_rounded_off_prod!AO87*Storage_rounded_off_prod!$A$44</f>
        <v>5.5999999999999994E-2</v>
      </c>
      <c r="AP87" s="197">
        <f>Storage_Reconciled_prod!AP87*Storage_Reconciled_prod!$A$44+Storage_rounded_off_prod!AP87*Storage_rounded_off_prod!$A$44</f>
        <v>0.23799999999999999</v>
      </c>
      <c r="AQ87" s="197">
        <f>Storage_Reconciled_prod!AQ87*Storage_Reconciled_prod!$A$44+Storage_rounded_off_prod!AQ87*Storage_rounded_off_prod!$A$44</f>
        <v>1.9E-2</v>
      </c>
      <c r="AR87" s="197">
        <f>Storage_Reconciled_prod!AR87*Storage_Reconciled_prod!$A$44+Storage_rounded_off_prod!AR87*Storage_rounded_off_prod!$A$44</f>
        <v>1.6E-2</v>
      </c>
      <c r="AS87" s="197">
        <f>Storage_Reconciled_prod!AS87*Storage_Reconciled_prod!$A$44+Storage_rounded_off_prod!AS87*Storage_rounded_off_prod!$A$44</f>
        <v>9.0000000000000011E-3</v>
      </c>
      <c r="AT87" s="197">
        <f>Storage_Reconciled_prod!AT87*Storage_Reconciled_prod!$A$44+Storage_rounded_off_prod!AT87*Storage_rounded_off_prod!$A$44</f>
        <v>4.3999999999999997E-2</v>
      </c>
      <c r="AU87" s="197">
        <f>Storage_Reconciled_prod!AU87*Storage_Reconciled_prod!$A$44+Storage_rounded_off_prod!AU87*Storage_rounded_off_prod!$A$44</f>
        <v>1.9E-2</v>
      </c>
      <c r="AV87" s="197">
        <f>Storage_Reconciled_prod!AV87*Storage_Reconciled_prod!$A$44+Storage_rounded_off_prod!AV87*Storage_rounded_off_prod!$A$44</f>
        <v>1.7999999999999999E-2</v>
      </c>
      <c r="AW87" s="197">
        <f>Storage_Reconciled_prod!AW87*Storage_Reconciled_prod!$A$44+Storage_rounded_off_prod!AW87*Storage_rounded_off_prod!$A$44</f>
        <v>1.4999999999999999E-2</v>
      </c>
      <c r="AX87" s="197">
        <f>Storage_Reconciled_prod!AX87*Storage_Reconciled_prod!$A$44+Storage_rounded_off_prod!AX87*Storage_rounded_off_prod!$A$44</f>
        <v>5.1999999999999998E-2</v>
      </c>
      <c r="AY87" s="197">
        <f>Storage_Reconciled_prod!AY87*Storage_Reconciled_prod!$A$44+Storage_rounded_off_prod!AY87*Storage_rounded_off_prod!$A$44</f>
        <v>9.6000000000000002E-2</v>
      </c>
      <c r="AZ87" s="197">
        <f>Storage_Reconciled_prod!AZ87*Storage_Reconciled_prod!$A$44+Storage_rounded_off_prod!AZ87*Storage_rounded_off_prod!$A$44</f>
        <v>1.7000000000000001E-2</v>
      </c>
      <c r="BA87" s="197">
        <f>Storage_Reconciled_prod!BA87*Storage_Reconciled_prod!$A$44+Storage_rounded_off_prod!BA87*Storage_rounded_off_prod!$A$44</f>
        <v>1.7000000000000001E-2</v>
      </c>
      <c r="BB87" s="197">
        <f>Storage_Reconciled_prod!BB87*Storage_Reconciled_prod!$A$44+Storage_rounded_off_prod!BB87*Storage_rounded_off_prod!$A$44</f>
        <v>1.7999999999999999E-2</v>
      </c>
      <c r="BC87" s="197">
        <f>Storage_Reconciled_prod!BC87*Storage_Reconciled_prod!$A$44+Storage_rounded_off_prod!BC87*Storage_rounded_off_prod!$A$44</f>
        <v>5.1999999999999998E-2</v>
      </c>
      <c r="BD87" s="197">
        <f>Storage_Reconciled_prod!BD87*Storage_Reconciled_prod!$A$44+Storage_rounded_off_prod!BD87*Storage_rounded_off_prod!$A$44</f>
        <v>0.14799999999999999</v>
      </c>
      <c r="BE87" s="197">
        <f>Storage_Reconciled_prod!BE87*Storage_Reconciled_prod!$A$44+Storage_rounded_off_prod!BE87*Storage_rounded_off_prod!$A$44</f>
        <v>1.7999999999999999E-2</v>
      </c>
      <c r="BF87" s="197">
        <f>Storage_Reconciled_prod!BF87*Storage_Reconciled_prod!$A$44+Storage_rounded_off_prod!BF87*Storage_rounded_off_prod!$A$44</f>
        <v>1.6E-2</v>
      </c>
      <c r="BG87" s="197">
        <f>Storage_Reconciled_prod!BG87*Storage_Reconciled_prod!$A$44+Storage_rounded_off_prod!BG87*Storage_rounded_off_prod!$A$44</f>
        <v>1.6E-2</v>
      </c>
      <c r="BH87" s="197">
        <f>Storage_Reconciled_prod!BH87*Storage_Reconciled_prod!$A$44+Storage_rounded_off_prod!BH87*Storage_rounded_off_prod!$A$44</f>
        <v>0.05</v>
      </c>
      <c r="BI87" s="197">
        <f>Storage_Reconciled_prod!BI87*Storage_Reconciled_prod!$A$44+Storage_rounded_off_prod!BI87*Storage_rounded_off_prod!$A$44</f>
        <v>0.19799999999999998</v>
      </c>
      <c r="BJ87" s="197">
        <f>Storage_Reconciled_prod!BJ87*Storage_Reconciled_prod!$A$44+Storage_rounded_off_prod!BJ87*Storage_rounded_off_prod!$A$44</f>
        <v>1.7000000000000001E-2</v>
      </c>
      <c r="BK87" s="197">
        <f>Storage_Reconciled_prod!BK87*Storage_Reconciled_prod!$A$44+Storage_rounded_off_prod!BK87*Storage_rounded_off_prod!$A$44</f>
        <v>1.7000000000000001E-2</v>
      </c>
      <c r="BL87" s="197">
        <f>Storage_Reconciled_prod!BL87*Storage_Reconciled_prod!$A$44+Storage_rounded_off_prod!BL87*Storage_rounded_off_prod!$A$44</f>
        <v>1.4999999999999999E-2</v>
      </c>
      <c r="BM87" s="197">
        <f>Storage_Reconciled_prod!BM87*Storage_Reconciled_prod!$A$44+Storage_rounded_off_prod!BM87*Storage_rounded_off_prod!$A$44</f>
        <v>4.9000000000000002E-2</v>
      </c>
      <c r="BN87" s="197">
        <f>Storage_Reconciled_prod!BN87*Storage_Reconciled_prod!$A$44+Storage_rounded_off_prod!BN87*Storage_rounded_off_prod!$A$44</f>
        <v>1.6E-2</v>
      </c>
      <c r="BO87" s="197">
        <f>Storage_Reconciled_prod!BO87*Storage_Reconciled_prod!$A$44+Storage_rounded_off_prod!BO87*Storage_rounded_off_prod!$A$44</f>
        <v>1.7000000000000001E-2</v>
      </c>
      <c r="BP87" s="197">
        <f>Storage_Reconciled_prod!BP87*Storage_Reconciled_prod!$A$44+Storage_rounded_off_prod!BP87*Storage_rounded_off_prod!$A$44</f>
        <v>1.7000000000000001E-2</v>
      </c>
      <c r="BQ87" s="197">
        <f>Storage_Reconciled_prod!BQ87*Storage_Reconciled_prod!$A$44+Storage_rounded_off_prod!BQ87*Storage_rounded_off_prod!$A$44</f>
        <v>0.05</v>
      </c>
      <c r="BR87" s="197">
        <f>Storage_Reconciled_prod!BR87*Storage_Reconciled_prod!$A$44+Storage_rounded_off_prod!BR87*Storage_rounded_off_prod!$A$44</f>
        <v>9.9000000000000005E-2</v>
      </c>
      <c r="BS87" s="197">
        <f>Storage_Reconciled_prod!BS87*Storage_Reconciled_prod!$A$44+Storage_rounded_off_prod!BS87*Storage_rounded_off_prod!$A$44</f>
        <v>1.9E-2</v>
      </c>
      <c r="BT87" s="197">
        <f>Storage_Reconciled_prod!BT87*Storage_Reconciled_prod!$A$44+Storage_rounded_off_prod!BT87*Storage_rounded_off_prod!$A$44</f>
        <v>1.7999999999999999E-2</v>
      </c>
      <c r="BU87" s="197">
        <f>Storage_Reconciled_prod!BU87*Storage_Reconciled_prod!$A$44+Storage_rounded_off_prod!BU87*Storage_rounded_off_prod!$A$44</f>
        <v>1.7000000000000001E-2</v>
      </c>
      <c r="BV87" s="197">
        <f>Storage_Reconciled_prod!BV87*Storage_Reconciled_prod!$A$44+Storage_rounded_off_prod!BV87*Storage_rounded_off_prod!$A$44</f>
        <v>5.3999999999999999E-2</v>
      </c>
      <c r="BW87" s="197">
        <f>Storage_Reconciled_prod!BW87*Storage_Reconciled_prod!$A$44+Storage_rounded_off_prod!BW87*Storage_rounded_off_prod!$A$44</f>
        <v>0.153</v>
      </c>
      <c r="BX87" s="197">
        <f>Storage_Reconciled_prod!BX87*Storage_Reconciled_prod!$A$44+Storage_rounded_off_prod!BX87*Storage_rounded_off_prod!$A$44</f>
        <v>1.7000000000000001E-2</v>
      </c>
      <c r="BY87" s="197">
        <f>Storage_Reconciled_prod!BY87*Storage_Reconciled_prod!$A$44+Storage_rounded_off_prod!BY87*Storage_rounded_off_prod!$A$44</f>
        <v>1.4999999999999999E-2</v>
      </c>
      <c r="BZ87" s="197">
        <f>Storage_Reconciled_prod!BZ87*Storage_Reconciled_prod!$A$44+Storage_rounded_off_prod!BZ87*Storage_rounded_off_prod!$A$44</f>
        <v>1.7000000000000001E-2</v>
      </c>
      <c r="CA87" s="197">
        <f>Storage_Reconciled_prod!CA87*Storage_Reconciled_prod!$A$44+Storage_rounded_off_prod!CA87*Storage_rounded_off_prod!$A$44</f>
        <v>4.9000000000000002E-2</v>
      </c>
      <c r="CB87" s="197">
        <f>Storage_Reconciled_prod!CB87*Storage_Reconciled_prod!$A$44+Storage_rounded_off_prod!CB87*Storage_rounded_off_prod!$A$44</f>
        <v>0.20399999999999999</v>
      </c>
      <c r="CC87" s="197">
        <f>Storage_Reconciled_prod!CC87*Storage_Reconciled_prod!$A$44+Storage_rounded_off_prod!CC87*Storage_rounded_off_prod!$A$44</f>
        <v>1.6E-2</v>
      </c>
      <c r="CD87" s="197">
        <f>Storage_Reconciled_prod!CD87*Storage_Reconciled_prod!$A$44+Storage_rounded_off_prod!CD87*Storage_rounded_off_prod!$A$44</f>
        <v>1.4E-2</v>
      </c>
      <c r="CE87" s="197">
        <f>Storage_Reconciled_prod!CE87*Storage_Reconciled_prod!$A$44+Storage_rounded_off_prod!CE87*Storage_rounded_off_prod!$A$44</f>
        <v>1.7000000000000001E-2</v>
      </c>
      <c r="CF87" s="197">
        <f>Storage_Reconciled_prod!CF87*Storage_Reconciled_prod!$A$44+Storage_rounded_off_prod!CF87*Storage_rounded_off_prod!$A$44</f>
        <v>4.7E-2</v>
      </c>
      <c r="CG87" s="197">
        <f>Storage_Reconciled_prod!CG87*Storage_Reconciled_prod!$A$44+Storage_rounded_off_prod!CG87*Storage_rounded_off_prod!$A$44</f>
        <v>1.4999999999999999E-2</v>
      </c>
      <c r="CH87" s="197">
        <f>Storage_Reconciled_prod!CH87*Storage_Reconciled_prod!$A$44+Storage_rounded_off_prod!CH87*Storage_rounded_off_prod!$A$44</f>
        <v>0</v>
      </c>
      <c r="CI87" s="197">
        <f>Storage_Reconciled_prod!CI87*Storage_Reconciled_prod!$A$44+Storage_rounded_off_prod!CI87*Storage_rounded_off_prod!$A$44</f>
        <v>0</v>
      </c>
      <c r="CJ87" s="197">
        <f>Storage_Reconciled_prod!CJ87*Storage_Reconciled_prod!$A$44+Storage_rounded_off_prod!CJ87*Storage_rounded_off_prod!$A$44</f>
        <v>0</v>
      </c>
      <c r="CK87" s="197">
        <f>Storage_Reconciled_prod!CK87*Storage_Reconciled_prod!$A$44+Storage_rounded_off_prod!CK87*Storage_rounded_off_prod!$A$44</f>
        <v>0</v>
      </c>
      <c r="CL87" s="197">
        <f>Storage_Reconciled_prod!CL87*Storage_Reconciled_prod!$A$44+Storage_rounded_off_prod!CL87*Storage_rounded_off_prod!$A$44</f>
        <v>0</v>
      </c>
      <c r="CM87" s="197">
        <f>Storage_Reconciled_prod!CM87*Storage_Reconciled_prod!$A$44+Storage_rounded_off_prod!CM87*Storage_rounded_off_prod!$A$44</f>
        <v>0</v>
      </c>
      <c r="CN87" s="197">
        <f>Storage_Reconciled_prod!CN87*Storage_Reconciled_prod!$A$44+Storage_rounded_off_prod!CN87*Storage_rounded_off_prod!$A$44</f>
        <v>0</v>
      </c>
      <c r="CO87" s="197">
        <f>Storage_Reconciled_prod!CO87*Storage_Reconciled_prod!$A$44+Storage_rounded_off_prod!CO87*Storage_rounded_off_prod!$A$44</f>
        <v>0</v>
      </c>
      <c r="CP87" s="197">
        <f>Storage_Reconciled_prod!CP87*Storage_Reconciled_prod!$A$44+Storage_rounded_off_prod!CP87*Storage_rounded_off_prod!$A$44</f>
        <v>0</v>
      </c>
      <c r="CQ87" s="197">
        <f>Storage_Reconciled_prod!CQ87*Storage_Reconciled_prod!$A$44+Storage_rounded_off_prod!CQ87*Storage_rounded_off_prod!$A$44</f>
        <v>0</v>
      </c>
      <c r="CR87" s="197">
        <f>Storage_Reconciled_prod!CR87*Storage_Reconciled_prod!$A$44+Storage_rounded_off_prod!CR87*Storage_rounded_off_prod!$A$44</f>
        <v>0</v>
      </c>
      <c r="CS87" s="197">
        <f>Storage_Reconciled_prod!CS87*Storage_Reconciled_prod!$A$44+Storage_rounded_off_prod!CS87*Storage_rounded_off_prod!$A$44</f>
        <v>0</v>
      </c>
      <c r="CT87" s="197">
        <f>Storage_Reconciled_prod!CT87*Storage_Reconciled_prod!$A$44+Storage_rounded_off_prod!CT87*Storage_rounded_off_prod!$A$44</f>
        <v>0</v>
      </c>
      <c r="CU87" s="197">
        <f>Storage_Reconciled_prod!CU87*Storage_Reconciled_prod!$A$44+Storage_rounded_off_prod!CU87*Storage_rounded_off_prod!$A$44</f>
        <v>0</v>
      </c>
    </row>
    <row r="88" spans="1:99">
      <c r="C88">
        <v>6</v>
      </c>
      <c r="D88" s="209" t="s">
        <v>57</v>
      </c>
      <c r="E88" s="197">
        <f>Storage_Reconciled_prod!E88*Storage_Reconciled_prod!$A$44+Storage_rounded_off_prod!E88*Storage_rounded_off_prod!$A$44</f>
        <v>4.9000000000000002E-2</v>
      </c>
      <c r="F88" s="197">
        <f>Storage_Reconciled_prod!F88*Storage_Reconciled_prod!$A$44+Storage_rounded_off_prod!F88*Storage_rounded_off_prod!$A$44</f>
        <v>4.9000000000000002E-2</v>
      </c>
      <c r="G88" s="197">
        <f>Storage_Reconciled_prod!G88*Storage_Reconciled_prod!$A$44+Storage_rounded_off_prod!G88*Storage_rounded_off_prod!$A$44</f>
        <v>4.1999999999999996E-2</v>
      </c>
      <c r="H88" s="197">
        <f>Storage_Reconciled_prod!H88*Storage_Reconciled_prod!$A$44+Storage_rounded_off_prod!H88*Storage_rounded_off_prod!$A$44</f>
        <v>0.13999999999999999</v>
      </c>
      <c r="I88" s="197">
        <f>Storage_Reconciled_prod!I88*Storage_Reconciled_prod!$A$44+Storage_rounded_off_prod!I88*Storage_rounded_off_prod!$A$44</f>
        <v>4.4999999999999998E-2</v>
      </c>
      <c r="J88" s="197">
        <f>Storage_Reconciled_prod!J88*Storage_Reconciled_prod!$A$44+Storage_rounded_off_prod!J88*Storage_rounded_off_prod!$A$44</f>
        <v>4.7E-2</v>
      </c>
      <c r="K88" s="197">
        <f>Storage_Reconciled_prod!K88*Storage_Reconciled_prod!$A$44+Storage_rounded_off_prod!K88*Storage_rounded_off_prod!$A$44</f>
        <v>4.1999999999999996E-2</v>
      </c>
      <c r="L88" s="197">
        <f>Storage_Reconciled_prod!L88*Storage_Reconciled_prod!$A$44+Storage_rounded_off_prod!L88*Storage_rounded_off_prod!$A$44</f>
        <v>0.13400000000000001</v>
      </c>
      <c r="M88" s="197">
        <f>Storage_Reconciled_prod!M88*Storage_Reconciled_prod!$A$44+Storage_rounded_off_prod!M88*Storage_rounded_off_prod!$A$44</f>
        <v>0.27399999999999997</v>
      </c>
      <c r="N88" s="197">
        <f>Storage_Reconciled_prod!N88*Storage_Reconciled_prod!$A$44+Storage_rounded_off_prod!N88*Storage_rounded_off_prod!$A$44</f>
        <v>4.2999999999999997E-2</v>
      </c>
      <c r="O88" s="197">
        <f>Storage_Reconciled_prod!O88*Storage_Reconciled_prod!$A$44+Storage_rounded_off_prod!O88*Storage_rounded_off_prod!$A$44</f>
        <v>4.7E-2</v>
      </c>
      <c r="P88" s="197">
        <f>Storage_Reconciled_prod!P88*Storage_Reconciled_prod!$A$44+Storage_rounded_off_prod!P88*Storage_rounded_off_prod!$A$44</f>
        <v>4.5999999999999999E-2</v>
      </c>
      <c r="Q88" s="197">
        <f>Storage_Reconciled_prod!Q88*Storage_Reconciled_prod!$A$44+Storage_rounded_off_prod!Q88*Storage_rounded_off_prod!$A$44</f>
        <v>0.13599999999999998</v>
      </c>
      <c r="R88" s="197">
        <f>Storage_Reconciled_prod!R88*Storage_Reconciled_prod!$A$44+Storage_rounded_off_prod!R88*Storage_rounded_off_prod!$A$44</f>
        <v>0.41</v>
      </c>
      <c r="S88" s="197">
        <f>Storage_Reconciled_prod!S88*Storage_Reconciled_prod!$A$44+Storage_rounded_off_prod!S88*Storage_rounded_off_prod!$A$44</f>
        <v>4.3999999999999997E-2</v>
      </c>
      <c r="T88" s="197">
        <f>Storage_Reconciled_prod!T88*Storage_Reconciled_prod!$A$44+Storage_rounded_off_prod!T88*Storage_rounded_off_prod!$A$44</f>
        <v>4.2000000000000003E-2</v>
      </c>
      <c r="U88" s="197">
        <f>Storage_Reconciled_prod!U88*Storage_Reconciled_prod!$A$44+Storage_rounded_off_prod!U88*Storage_rounded_off_prod!$A$44</f>
        <v>4.1999999999999996E-2</v>
      </c>
      <c r="V88" s="197">
        <f>Storage_Reconciled_prod!V88*Storage_Reconciled_prod!$A$44+Storage_rounded_off_prod!V88*Storage_rounded_off_prod!$A$44</f>
        <v>0.128</v>
      </c>
      <c r="W88" s="197">
        <f>Storage_Reconciled_prod!W88*Storage_Reconciled_prod!$A$44+Storage_rounded_off_prod!W88*Storage_rounded_off_prod!$A$44</f>
        <v>0.53799999999999992</v>
      </c>
      <c r="X88" s="197">
        <f>Storage_Reconciled_prod!X88*Storage_Reconciled_prod!$A$44+Storage_rounded_off_prod!X88*Storage_rounded_off_prod!$A$44</f>
        <v>4.2000000000000003E-2</v>
      </c>
      <c r="Y88" s="197">
        <f>Storage_Reconciled_prod!Y88*Storage_Reconciled_prod!$A$44+Storage_rounded_off_prod!Y88*Storage_rounded_off_prod!$A$44</f>
        <v>4.2000000000000003E-2</v>
      </c>
      <c r="Z88" s="197">
        <f>Storage_Reconciled_prod!Z88*Storage_Reconciled_prod!$A$44+Storage_rounded_off_prod!Z88*Storage_rounded_off_prod!$A$44</f>
        <v>0.04</v>
      </c>
      <c r="AA88" s="197">
        <f>Storage_Reconciled_prod!AA88*Storage_Reconciled_prod!$A$44+Storage_rounded_off_prod!AA88*Storage_rounded_off_prod!$A$44</f>
        <v>0.12400000000000001</v>
      </c>
      <c r="AB88" s="197">
        <f>Storage_Reconciled_prod!AB88*Storage_Reconciled_prod!$A$44+Storage_rounded_off_prod!AB88*Storage_rounded_off_prod!$A$44</f>
        <v>3.8000000000000006E-2</v>
      </c>
      <c r="AC88" s="197">
        <f>Storage_Reconciled_prod!AC88*Storage_Reconciled_prod!$A$44+Storage_rounded_off_prod!AC88*Storage_rounded_off_prod!$A$44</f>
        <v>4.1000000000000002E-2</v>
      </c>
      <c r="AD88" s="197">
        <f>Storage_Reconciled_prod!AD88*Storage_Reconciled_prod!$A$44+Storage_rounded_off_prod!AD88*Storage_rounded_off_prod!$A$44</f>
        <v>3.9E-2</v>
      </c>
      <c r="AE88" s="197">
        <f>Storage_Reconciled_prod!AE88*Storage_Reconciled_prod!$A$44+Storage_rounded_off_prod!AE88*Storage_rounded_off_prod!$A$44</f>
        <v>0.11800000000000001</v>
      </c>
      <c r="AF88" s="197">
        <f>Storage_Reconciled_prod!AF88*Storage_Reconciled_prod!$A$44+Storage_rounded_off_prod!AF88*Storage_rounded_off_prod!$A$44</f>
        <v>0.24200000000000002</v>
      </c>
      <c r="AG88" s="197">
        <f>Storage_Reconciled_prod!AG88*Storage_Reconciled_prod!$A$44+Storage_rounded_off_prod!AG88*Storage_rounded_off_prod!$A$44</f>
        <v>4.2000000000000003E-2</v>
      </c>
      <c r="AH88" s="197">
        <f>Storage_Reconciled_prod!AH88*Storage_Reconciled_prod!$A$44+Storage_rounded_off_prod!AH88*Storage_rounded_off_prod!$A$44</f>
        <v>3.7999999999999999E-2</v>
      </c>
      <c r="AI88" s="197">
        <f>Storage_Reconciled_prod!AI88*Storage_Reconciled_prod!$A$44+Storage_rounded_off_prod!AI88*Storage_rounded_off_prod!$A$44</f>
        <v>4.2000000000000003E-2</v>
      </c>
      <c r="AJ88" s="197">
        <f>Storage_Reconciled_prod!AJ88*Storage_Reconciled_prod!$A$44+Storage_rounded_off_prod!AJ88*Storage_rounded_off_prod!$A$44</f>
        <v>0.122</v>
      </c>
      <c r="AK88" s="197">
        <f>Storage_Reconciled_prod!AK88*Storage_Reconciled_prod!$A$44+Storage_rounded_off_prod!AK88*Storage_rounded_off_prod!$A$44</f>
        <v>0.36400000000000005</v>
      </c>
      <c r="AL88" s="197">
        <f>Storage_Reconciled_prod!AL88*Storage_Reconciled_prod!$A$44+Storage_rounded_off_prod!AL88*Storage_rounded_off_prod!$A$44</f>
        <v>3.7999999999999999E-2</v>
      </c>
      <c r="AM88" s="197">
        <f>Storage_Reconciled_prod!AM88*Storage_Reconciled_prod!$A$44+Storage_rounded_off_prod!AM88*Storage_rounded_off_prod!$A$44</f>
        <v>3.7999999999999999E-2</v>
      </c>
      <c r="AN88" s="197">
        <f>Storage_Reconciled_prod!AN88*Storage_Reconciled_prod!$A$44+Storage_rounded_off_prod!AN88*Storage_rounded_off_prod!$A$44</f>
        <v>4.2000000000000003E-2</v>
      </c>
      <c r="AO88" s="197">
        <f>Storage_Reconciled_prod!AO88*Storage_Reconciled_prod!$A$44+Storage_rounded_off_prod!AO88*Storage_rounded_off_prod!$A$44</f>
        <v>0.11799999999999999</v>
      </c>
      <c r="AP88" s="197">
        <f>Storage_Reconciled_prod!AP88*Storage_Reconciled_prod!$A$44+Storage_rounded_off_prod!AP88*Storage_rounded_off_prod!$A$44</f>
        <v>0.48200000000000004</v>
      </c>
      <c r="AQ88" s="197">
        <f>Storage_Reconciled_prod!AQ88*Storage_Reconciled_prod!$A$44+Storage_rounded_off_prod!AQ88*Storage_rounded_off_prod!$A$44</f>
        <v>3.6999999999999998E-2</v>
      </c>
      <c r="AR88" s="197">
        <f>Storage_Reconciled_prod!AR88*Storage_Reconciled_prod!$A$44+Storage_rounded_off_prod!AR88*Storage_rounded_off_prod!$A$44</f>
        <v>3.6999999999999998E-2</v>
      </c>
      <c r="AS88" s="197">
        <f>Storage_Reconciled_prod!AS88*Storage_Reconciled_prod!$A$44+Storage_rounded_off_prod!AS88*Storage_rounded_off_prod!$A$44</f>
        <v>3.7999999999999999E-2</v>
      </c>
      <c r="AT88" s="197">
        <f>Storage_Reconciled_prod!AT88*Storage_Reconciled_prod!$A$44+Storage_rounded_off_prod!AT88*Storage_rounded_off_prod!$A$44</f>
        <v>0.112</v>
      </c>
      <c r="AU88" s="197">
        <f>Storage_Reconciled_prod!AU88*Storage_Reconciled_prod!$A$44+Storage_rounded_off_prod!AU88*Storage_rounded_off_prod!$A$44</f>
        <v>0.04</v>
      </c>
      <c r="AV88" s="197">
        <f>Storage_Reconciled_prod!AV88*Storage_Reconciled_prod!$A$44+Storage_rounded_off_prod!AV88*Storage_rounded_off_prod!$A$44</f>
        <v>0.04</v>
      </c>
      <c r="AW88" s="197">
        <f>Storage_Reconciled_prod!AW88*Storage_Reconciled_prod!$A$44+Storage_rounded_off_prod!AW88*Storage_rounded_off_prod!$A$44</f>
        <v>3.9E-2</v>
      </c>
      <c r="AX88" s="197">
        <f>Storage_Reconciled_prod!AX88*Storage_Reconciled_prod!$A$44+Storage_rounded_off_prod!AX88*Storage_rounded_off_prod!$A$44</f>
        <v>0.11900000000000001</v>
      </c>
      <c r="AY88" s="197">
        <f>Storage_Reconciled_prod!AY88*Storage_Reconciled_prod!$A$44+Storage_rounded_off_prod!AY88*Storage_rounded_off_prod!$A$44</f>
        <v>0.23100000000000001</v>
      </c>
      <c r="AZ88" s="197">
        <f>Storage_Reconciled_prod!AZ88*Storage_Reconciled_prod!$A$44+Storage_rounded_off_prod!AZ88*Storage_rounded_off_prod!$A$44</f>
        <v>4.1000000000000002E-2</v>
      </c>
      <c r="BA88" s="197">
        <f>Storage_Reconciled_prod!BA88*Storage_Reconciled_prod!$A$44+Storage_rounded_off_prod!BA88*Storage_rounded_off_prod!$A$44</f>
        <v>0.123</v>
      </c>
      <c r="BB88" s="197">
        <f>Storage_Reconciled_prod!BB88*Storage_Reconciled_prod!$A$44+Storage_rounded_off_prod!BB88*Storage_rounded_off_prod!$A$44</f>
        <v>5.4999999999999993E-2</v>
      </c>
      <c r="BC88" s="197">
        <f>Storage_Reconciled_prod!BC88*Storage_Reconciled_prod!$A$44+Storage_rounded_off_prod!BC88*Storage_rounded_off_prod!$A$44</f>
        <v>0.21899999999999997</v>
      </c>
      <c r="BD88" s="197">
        <f>Storage_Reconciled_prod!BD88*Storage_Reconciled_prod!$A$44+Storage_rounded_off_prod!BD88*Storage_rounded_off_prod!$A$44</f>
        <v>0.45</v>
      </c>
      <c r="BE88" s="197">
        <f>Storage_Reconciled_prod!BE88*Storage_Reconciled_prod!$A$44+Storage_rounded_off_prod!BE88*Storage_rounded_off_prod!$A$44</f>
        <v>5.1999999999999998E-2</v>
      </c>
      <c r="BF88" s="197">
        <f>Storage_Reconciled_prod!BF88*Storage_Reconciled_prod!$A$44+Storage_rounded_off_prod!BF88*Storage_rounded_off_prod!$A$44</f>
        <v>4.9000000000000002E-2</v>
      </c>
      <c r="BG88" s="197">
        <f>Storage_Reconciled_prod!BG88*Storage_Reconciled_prod!$A$44+Storage_rounded_off_prod!BG88*Storage_rounded_off_prod!$A$44</f>
        <v>5.2000000000000005E-2</v>
      </c>
      <c r="BH88" s="197">
        <f>Storage_Reconciled_prod!BH88*Storage_Reconciled_prod!$A$44+Storage_rounded_off_prod!BH88*Storage_rounded_off_prod!$A$44</f>
        <v>0.153</v>
      </c>
      <c r="BI88" s="197">
        <f>Storage_Reconciled_prod!BI88*Storage_Reconciled_prod!$A$44+Storage_rounded_off_prod!BI88*Storage_rounded_off_prod!$A$44</f>
        <v>0.60299999999999998</v>
      </c>
      <c r="BJ88" s="197">
        <f>Storage_Reconciled_prod!BJ88*Storage_Reconciled_prod!$A$44+Storage_rounded_off_prod!BJ88*Storage_rounded_off_prod!$A$44</f>
        <v>4.7E-2</v>
      </c>
      <c r="BK88" s="197">
        <f>Storage_Reconciled_prod!BK88*Storage_Reconciled_prod!$A$44+Storage_rounded_off_prod!BK88*Storage_rounded_off_prod!$A$44</f>
        <v>4.7E-2</v>
      </c>
      <c r="BL88" s="197">
        <f>Storage_Reconciled_prod!BL88*Storage_Reconciled_prod!$A$44+Storage_rounded_off_prod!BL88*Storage_rounded_off_prod!$A$44</f>
        <v>4.5999999999999999E-2</v>
      </c>
      <c r="BM88" s="197">
        <f>Storage_Reconciled_prod!BM88*Storage_Reconciled_prod!$A$44+Storage_rounded_off_prod!BM88*Storage_rounded_off_prod!$A$44</f>
        <v>0.14000000000000001</v>
      </c>
      <c r="BN88" s="197">
        <f>Storage_Reconciled_prod!BN88*Storage_Reconciled_prod!$A$44+Storage_rounded_off_prod!BN88*Storage_rounded_off_prod!$A$44</f>
        <v>4.8000000000000001E-2</v>
      </c>
      <c r="BO88" s="197">
        <f>Storage_Reconciled_prod!BO88*Storage_Reconciled_prod!$A$44+Storage_rounded_off_prod!BO88*Storage_rounded_off_prod!$A$44</f>
        <v>4.9000000000000002E-2</v>
      </c>
      <c r="BP88" s="197">
        <f>Storage_Reconciled_prod!BP88*Storage_Reconciled_prod!$A$44+Storage_rounded_off_prod!BP88*Storage_rounded_off_prod!$A$44</f>
        <v>0.05</v>
      </c>
      <c r="BQ88" s="197">
        <f>Storage_Reconciled_prod!BQ88*Storage_Reconciled_prod!$A$44+Storage_rounded_off_prod!BQ88*Storage_rounded_off_prod!$A$44</f>
        <v>0.14700000000000002</v>
      </c>
      <c r="BR88" s="197">
        <f>Storage_Reconciled_prod!BR88*Storage_Reconciled_prod!$A$44+Storage_rounded_off_prod!BR88*Storage_rounded_off_prod!$A$44</f>
        <v>0.28700000000000003</v>
      </c>
      <c r="BS88" s="197">
        <f>Storage_Reconciled_prod!BS88*Storage_Reconciled_prod!$A$44+Storage_rounded_off_prod!BS88*Storage_rounded_off_prod!$A$44</f>
        <v>5.1000000000000004E-2</v>
      </c>
      <c r="BT88" s="197">
        <f>Storage_Reconciled_prod!BT88*Storage_Reconciled_prod!$A$44+Storage_rounded_off_prod!BT88*Storage_rounded_off_prod!$A$44</f>
        <v>5.1000000000000004E-2</v>
      </c>
      <c r="BU88" s="197">
        <f>Storage_Reconciled_prod!BU88*Storage_Reconciled_prod!$A$44+Storage_rounded_off_prod!BU88*Storage_rounded_off_prod!$A$44</f>
        <v>5.3000000000000005E-2</v>
      </c>
      <c r="BV88" s="197">
        <f>Storage_Reconciled_prod!BV88*Storage_Reconciled_prod!$A$44+Storage_rounded_off_prod!BV88*Storage_rounded_off_prod!$A$44</f>
        <v>0.15500000000000003</v>
      </c>
      <c r="BW88" s="197">
        <f>Storage_Reconciled_prod!BW88*Storage_Reconciled_prod!$A$44+Storage_rounded_off_prod!BW88*Storage_rounded_off_prod!$A$44</f>
        <v>0.44200000000000006</v>
      </c>
      <c r="BX88" s="197">
        <f>Storage_Reconciled_prod!BX88*Storage_Reconciled_prod!$A$44+Storage_rounded_off_prod!BX88*Storage_rounded_off_prod!$A$44</f>
        <v>5.3999999999999999E-2</v>
      </c>
      <c r="BY88" s="197">
        <f>Storage_Reconciled_prod!BY88*Storage_Reconciled_prod!$A$44+Storage_rounded_off_prod!BY88*Storage_rounded_off_prod!$A$44</f>
        <v>4.8999999999999995E-2</v>
      </c>
      <c r="BZ88" s="197">
        <f>Storage_Reconciled_prod!BZ88*Storage_Reconciled_prod!$A$44+Storage_rounded_off_prod!BZ88*Storage_rounded_off_prod!$A$44</f>
        <v>5.2999999999999999E-2</v>
      </c>
      <c r="CA88" s="197">
        <f>Storage_Reconciled_prod!CA88*Storage_Reconciled_prod!$A$44+Storage_rounded_off_prod!CA88*Storage_rounded_off_prod!$A$44</f>
        <v>0.156</v>
      </c>
      <c r="CB88" s="197">
        <f>Storage_Reconciled_prod!CB88*Storage_Reconciled_prod!$A$44+Storage_rounded_off_prod!CB88*Storage_rounded_off_prod!$A$44</f>
        <v>0.59899999999999998</v>
      </c>
      <c r="CC88" s="197">
        <f>Storage_Reconciled_prod!CC88*Storage_Reconciled_prod!$A$44+Storage_rounded_off_prod!CC88*Storage_rounded_off_prod!$A$44</f>
        <v>5.0999999999999997E-2</v>
      </c>
      <c r="CD88" s="197">
        <f>Storage_Reconciled_prod!CD88*Storage_Reconciled_prod!$A$44+Storage_rounded_off_prod!CD88*Storage_rounded_off_prod!$A$44</f>
        <v>5.1999999999999998E-2</v>
      </c>
      <c r="CE88" s="197">
        <f>Storage_Reconciled_prod!CE88*Storage_Reconciled_prod!$A$44+Storage_rounded_off_prod!CE88*Storage_rounded_off_prod!$A$44</f>
        <v>4.8000000000000001E-2</v>
      </c>
      <c r="CF88" s="197">
        <f>Storage_Reconciled_prod!CF88*Storage_Reconciled_prod!$A$44+Storage_rounded_off_prod!CF88*Storage_rounded_off_prod!$A$44</f>
        <v>0.151</v>
      </c>
      <c r="CG88" s="197">
        <f>Storage_Reconciled_prod!CG88*Storage_Reconciled_prod!$A$44+Storage_rounded_off_prod!CG88*Storage_rounded_off_prod!$A$44</f>
        <v>4.8000000000000001E-2</v>
      </c>
      <c r="CH88" s="197">
        <f>Storage_Reconciled_prod!CH88*Storage_Reconciled_prod!$A$44+Storage_rounded_off_prod!CH88*Storage_rounded_off_prod!$A$44</f>
        <v>0</v>
      </c>
      <c r="CI88" s="197">
        <f>Storage_Reconciled_prod!CI88*Storage_Reconciled_prod!$A$44+Storage_rounded_off_prod!CI88*Storage_rounded_off_prod!$A$44</f>
        <v>0</v>
      </c>
      <c r="CJ88" s="197">
        <f>Storage_Reconciled_prod!CJ88*Storage_Reconciled_prod!$A$44+Storage_rounded_off_prod!CJ88*Storage_rounded_off_prod!$A$44</f>
        <v>0</v>
      </c>
      <c r="CK88" s="197">
        <f>Storage_Reconciled_prod!CK88*Storage_Reconciled_prod!$A$44+Storage_rounded_off_prod!CK88*Storage_rounded_off_prod!$A$44</f>
        <v>0</v>
      </c>
      <c r="CL88" s="197">
        <f>Storage_Reconciled_prod!CL88*Storage_Reconciled_prod!$A$44+Storage_rounded_off_prod!CL88*Storage_rounded_off_prod!$A$44</f>
        <v>0</v>
      </c>
      <c r="CM88" s="197">
        <f>Storage_Reconciled_prod!CM88*Storage_Reconciled_prod!$A$44+Storage_rounded_off_prod!CM88*Storage_rounded_off_prod!$A$44</f>
        <v>0</v>
      </c>
      <c r="CN88" s="197">
        <f>Storage_Reconciled_prod!CN88*Storage_Reconciled_prod!$A$44+Storage_rounded_off_prod!CN88*Storage_rounded_off_prod!$A$44</f>
        <v>0</v>
      </c>
      <c r="CO88" s="197">
        <f>Storage_Reconciled_prod!CO88*Storage_Reconciled_prod!$A$44+Storage_rounded_off_prod!CO88*Storage_rounded_off_prod!$A$44</f>
        <v>0</v>
      </c>
      <c r="CP88" s="197">
        <f>Storage_Reconciled_prod!CP88*Storage_Reconciled_prod!$A$44+Storage_rounded_off_prod!CP88*Storage_rounded_off_prod!$A$44</f>
        <v>0</v>
      </c>
      <c r="CQ88" s="197">
        <f>Storage_Reconciled_prod!CQ88*Storage_Reconciled_prod!$A$44+Storage_rounded_off_prod!CQ88*Storage_rounded_off_prod!$A$44</f>
        <v>0</v>
      </c>
      <c r="CR88" s="197">
        <f>Storage_Reconciled_prod!CR88*Storage_Reconciled_prod!$A$44+Storage_rounded_off_prod!CR88*Storage_rounded_off_prod!$A$44</f>
        <v>0</v>
      </c>
      <c r="CS88" s="197">
        <f>Storage_Reconciled_prod!CS88*Storage_Reconciled_prod!$A$44+Storage_rounded_off_prod!CS88*Storage_rounded_off_prod!$A$44</f>
        <v>0</v>
      </c>
      <c r="CT88" s="197">
        <f>Storage_Reconciled_prod!CT88*Storage_Reconciled_prod!$A$44+Storage_rounded_off_prod!CT88*Storage_rounded_off_prod!$A$44</f>
        <v>0</v>
      </c>
      <c r="CU88" s="197">
        <f>Storage_Reconciled_prod!CU88*Storage_Reconciled_prod!$A$44+Storage_rounded_off_prod!CU88*Storage_rounded_off_prod!$A$44</f>
        <v>0</v>
      </c>
    </row>
    <row r="89" spans="1:99">
      <c r="A89" t="s">
        <v>842</v>
      </c>
      <c r="C89">
        <v>7</v>
      </c>
      <c r="D89" s="209" t="s">
        <v>58</v>
      </c>
      <c r="E89" s="197">
        <f>Storage_Reconciled_prod!E89*Storage_Reconciled_prod!$A$44+Storage_rounded_off_prod!E89*Storage_rounded_off_prod!$A$44</f>
        <v>7.0000000000000001E-3</v>
      </c>
      <c r="F89" s="197">
        <f>Storage_Reconciled_prod!F89*Storage_Reconciled_prod!$A$44+Storage_rounded_off_prod!F89*Storage_rounded_off_prod!$A$44</f>
        <v>0</v>
      </c>
      <c r="G89" s="197">
        <f>Storage_Reconciled_prod!G89*Storage_Reconciled_prod!$A$44+Storage_rounded_off_prod!G89*Storage_rounded_off_prod!$A$44</f>
        <v>1.6E-2</v>
      </c>
      <c r="H89" s="197">
        <f>Storage_Reconciled_prod!H89*Storage_Reconciled_prod!$A$44+Storage_rounded_off_prod!H89*Storage_rounded_off_prod!$A$44</f>
        <v>2.3E-2</v>
      </c>
      <c r="I89" s="197">
        <f>Storage_Reconciled_prod!I89*Storage_Reconciled_prod!$A$44+Storage_rounded_off_prod!I89*Storage_rounded_off_prod!$A$44</f>
        <v>3.1E-2</v>
      </c>
      <c r="J89" s="197">
        <f>Storage_Reconciled_prod!J89*Storage_Reconciled_prod!$A$44+Storage_rounded_off_prod!J89*Storage_rounded_off_prod!$A$44</f>
        <v>5.3999999999999999E-2</v>
      </c>
      <c r="K89" s="197">
        <f>Storage_Reconciled_prod!K89*Storage_Reconciled_prod!$A$44+Storage_rounded_off_prod!K89*Storage_rounded_off_prod!$A$44</f>
        <v>0.05</v>
      </c>
      <c r="L89" s="197">
        <f>Storage_Reconciled_prod!L89*Storage_Reconciled_prod!$A$44+Storage_rounded_off_prod!L89*Storage_rounded_off_prod!$A$44</f>
        <v>0.13500000000000001</v>
      </c>
      <c r="M89" s="197">
        <f>Storage_Reconciled_prod!M89*Storage_Reconciled_prod!$A$44+Storage_rounded_off_prod!M89*Storage_rounded_off_prod!$A$44</f>
        <v>0.158</v>
      </c>
      <c r="N89" s="197">
        <f>Storage_Reconciled_prod!N89*Storage_Reconciled_prod!$A$44+Storage_rounded_off_prod!N89*Storage_rounded_off_prod!$A$44</f>
        <v>5.6000000000000001E-2</v>
      </c>
      <c r="O89" s="197">
        <f>Storage_Reconciled_prod!O89*Storage_Reconciled_prod!$A$44+Storage_rounded_off_prod!O89*Storage_rounded_off_prod!$A$44</f>
        <v>3.4000000000000002E-2</v>
      </c>
      <c r="P89" s="197">
        <f>Storage_Reconciled_prod!P89*Storage_Reconciled_prod!$A$44+Storage_rounded_off_prod!P89*Storage_rounded_off_prod!$A$44</f>
        <v>1.6E-2</v>
      </c>
      <c r="Q89" s="197">
        <f>Storage_Reconciled_prod!Q89*Storage_Reconciled_prod!$A$44+Storage_rounded_off_prod!Q89*Storage_rounded_off_prod!$A$44</f>
        <v>0.106</v>
      </c>
      <c r="R89" s="197">
        <f>Storage_Reconciled_prod!R89*Storage_Reconciled_prod!$A$44+Storage_rounded_off_prod!R89*Storage_rounded_off_prod!$A$44</f>
        <v>0.26400000000000001</v>
      </c>
      <c r="S89" s="197">
        <f>Storage_Reconciled_prod!S89*Storage_Reconciled_prod!$A$44+Storage_rounded_off_prod!S89*Storage_rounded_off_prod!$A$44</f>
        <v>4.4000000000000004E-2</v>
      </c>
      <c r="T89" s="197">
        <f>Storage_Reconciled_prod!T89*Storage_Reconciled_prod!$A$44+Storage_rounded_off_prod!T89*Storage_rounded_off_prod!$A$44</f>
        <v>3.4000000000000002E-2</v>
      </c>
      <c r="U89" s="197">
        <f>Storage_Reconciled_prod!U89*Storage_Reconciled_prod!$A$44+Storage_rounded_off_prod!U89*Storage_rounded_off_prod!$A$44</f>
        <v>2.7000000000000003E-2</v>
      </c>
      <c r="V89" s="197">
        <f>Storage_Reconciled_prod!V89*Storage_Reconciled_prod!$A$44+Storage_rounded_off_prod!V89*Storage_rounded_off_prod!$A$44</f>
        <v>0.10500000000000001</v>
      </c>
      <c r="W89" s="197">
        <f>Storage_Reconciled_prod!W89*Storage_Reconciled_prod!$A$44+Storage_rounded_off_prod!W89*Storage_rounded_off_prod!$A$44</f>
        <v>0.36899999999999999</v>
      </c>
      <c r="X89" s="197">
        <f>Storage_Reconciled_prod!X89*Storage_Reconciled_prod!$A$44+Storage_rounded_off_prod!X89*Storage_rounded_off_prod!$A$44</f>
        <v>4.5000000000000005E-2</v>
      </c>
      <c r="Y89" s="197">
        <f>Storage_Reconciled_prod!Y89*Storage_Reconciled_prod!$A$44+Storage_rounded_off_prod!Y89*Storage_rounded_off_prod!$A$44</f>
        <v>0.03</v>
      </c>
      <c r="Z89" s="197">
        <f>Storage_Reconciled_prod!Z89*Storage_Reconciled_prod!$A$44+Storage_rounded_off_prod!Z89*Storage_rounded_off_prod!$A$44</f>
        <v>0.04</v>
      </c>
      <c r="AA89" s="197">
        <f>Storage_Reconciled_prod!AA89*Storage_Reconciled_prod!$A$44+Storage_rounded_off_prod!AA89*Storage_rounded_off_prod!$A$44</f>
        <v>0.11500000000000002</v>
      </c>
      <c r="AB89" s="197">
        <f>Storage_Reconciled_prod!AB89*Storage_Reconciled_prod!$A$44+Storage_rounded_off_prod!AB89*Storage_rounded_off_prod!$A$44</f>
        <v>4.7E-2</v>
      </c>
      <c r="AC89" s="197">
        <f>Storage_Reconciled_prod!AC89*Storage_Reconciled_prod!$A$44+Storage_rounded_off_prod!AC89*Storage_rounded_off_prod!$A$44</f>
        <v>4.4999999999999998E-2</v>
      </c>
      <c r="AD89" s="197">
        <f>Storage_Reconciled_prod!AD89*Storage_Reconciled_prod!$A$44+Storage_rounded_off_prod!AD89*Storage_rounded_off_prod!$A$44</f>
        <v>3.1E-2</v>
      </c>
      <c r="AE89" s="197">
        <f>Storage_Reconciled_prod!AE89*Storage_Reconciled_prod!$A$44+Storage_rounded_off_prod!AE89*Storage_rounded_off_prod!$A$44</f>
        <v>0.12299999999999998</v>
      </c>
      <c r="AF89" s="197">
        <f>Storage_Reconciled_prod!AF89*Storage_Reconciled_prod!$A$44+Storage_rounded_off_prod!AF89*Storage_rounded_off_prod!$A$44</f>
        <v>0.23799999999999999</v>
      </c>
      <c r="AG89" s="197">
        <f>Storage_Reconciled_prod!AG89*Storage_Reconciled_prod!$A$44+Storage_rounded_off_prod!AG89*Storage_rounded_off_prod!$A$44</f>
        <v>0</v>
      </c>
      <c r="AH89" s="197">
        <f>Storage_Reconciled_prod!AH89*Storage_Reconciled_prod!$A$44+Storage_rounded_off_prod!AH89*Storage_rounded_off_prod!$A$44</f>
        <v>2.6000000000000002E-2</v>
      </c>
      <c r="AI89" s="197">
        <f>Storage_Reconciled_prod!AI89*Storage_Reconciled_prod!$A$44+Storage_rounded_off_prod!AI89*Storage_rounded_off_prod!$A$44</f>
        <v>4.3999999999999997E-2</v>
      </c>
      <c r="AJ89" s="197">
        <f>Storage_Reconciled_prod!AJ89*Storage_Reconciled_prod!$A$44+Storage_rounded_off_prod!AJ89*Storage_rounded_off_prod!$A$44</f>
        <v>7.0000000000000007E-2</v>
      </c>
      <c r="AK89" s="197">
        <f>Storage_Reconciled_prod!AK89*Storage_Reconciled_prod!$A$44+Storage_rounded_off_prod!AK89*Storage_rounded_off_prod!$A$44</f>
        <v>0.30800000000000005</v>
      </c>
      <c r="AL89" s="197">
        <f>Storage_Reconciled_prod!AL89*Storage_Reconciled_prod!$A$44+Storage_rounded_off_prod!AL89*Storage_rounded_off_prod!$A$44</f>
        <v>0.04</v>
      </c>
      <c r="AM89" s="197">
        <f>Storage_Reconciled_prod!AM89*Storage_Reconciled_prod!$A$44+Storage_rounded_off_prod!AM89*Storage_rounded_off_prod!$A$44</f>
        <v>3.7999999999999999E-2</v>
      </c>
      <c r="AN89" s="197">
        <f>Storage_Reconciled_prod!AN89*Storage_Reconciled_prod!$A$44+Storage_rounded_off_prod!AN89*Storage_rounded_off_prod!$A$44</f>
        <v>3.3000000000000002E-2</v>
      </c>
      <c r="AO89" s="197">
        <f>Storage_Reconciled_prod!AO89*Storage_Reconciled_prod!$A$44+Storage_rounded_off_prod!AO89*Storage_rounded_off_prod!$A$44</f>
        <v>0.11099999999999999</v>
      </c>
      <c r="AP89" s="197">
        <f>Storage_Reconciled_prod!AP89*Storage_Reconciled_prod!$A$44+Storage_rounded_off_prod!AP89*Storage_rounded_off_prod!$A$44</f>
        <v>0.41900000000000004</v>
      </c>
      <c r="AQ89" s="197">
        <f>Storage_Reconciled_prod!AQ89*Storage_Reconciled_prod!$A$44+Storage_rounded_off_prod!AQ89*Storage_rounded_off_prod!$A$44</f>
        <v>2.2000000000000002E-2</v>
      </c>
      <c r="AR89" s="197">
        <f>Storage_Reconciled_prod!AR89*Storage_Reconciled_prod!$A$44+Storage_rounded_off_prod!AR89*Storage_rounded_off_prod!$A$44</f>
        <v>3.5000000000000003E-2</v>
      </c>
      <c r="AS89" s="197">
        <f>Storage_Reconciled_prod!AS89*Storage_Reconciled_prod!$A$44+Storage_rounded_off_prod!AS89*Storage_rounded_off_prod!$A$44</f>
        <v>2.8999999999999998E-2</v>
      </c>
      <c r="AT89" s="197">
        <f>Storage_Reconciled_prod!AT89*Storage_Reconciled_prod!$A$44+Storage_rounded_off_prod!AT89*Storage_rounded_off_prod!$A$44</f>
        <v>8.6000000000000007E-2</v>
      </c>
      <c r="AU89" s="197">
        <f>Storage_Reconciled_prod!AU89*Storage_Reconciled_prod!$A$44+Storage_rounded_off_prod!AU89*Storage_rounded_off_prod!$A$44</f>
        <v>3.3000000000000002E-2</v>
      </c>
      <c r="AV89" s="197">
        <f>Storage_Reconciled_prod!AV89*Storage_Reconciled_prod!$A$44+Storage_rounded_off_prod!AV89*Storage_rounded_off_prod!$A$44</f>
        <v>4.1000000000000002E-2</v>
      </c>
      <c r="AW89" s="197">
        <f>Storage_Reconciled_prod!AW89*Storage_Reconciled_prod!$A$44+Storage_rounded_off_prod!AW89*Storage_rounded_off_prod!$A$44</f>
        <v>3.3000000000000002E-2</v>
      </c>
      <c r="AX89" s="197">
        <f>Storage_Reconciled_prod!AX89*Storage_Reconciled_prod!$A$44+Storage_rounded_off_prod!AX89*Storage_rounded_off_prod!$A$44</f>
        <v>0.10700000000000001</v>
      </c>
      <c r="AY89" s="197">
        <f>Storage_Reconciled_prod!AY89*Storage_Reconciled_prod!$A$44+Storage_rounded_off_prod!AY89*Storage_rounded_off_prod!$A$44</f>
        <v>0.193</v>
      </c>
      <c r="AZ89" s="197">
        <f>Storage_Reconciled_prod!AZ89*Storage_Reconciled_prod!$A$44+Storage_rounded_off_prod!AZ89*Storage_rounded_off_prod!$A$44</f>
        <v>0.03</v>
      </c>
      <c r="BA89" s="197">
        <f>Storage_Reconciled_prod!BA89*Storage_Reconciled_prod!$A$44+Storage_rounded_off_prod!BA89*Storage_rounded_off_prod!$A$44</f>
        <v>0.03</v>
      </c>
      <c r="BB89" s="197">
        <f>Storage_Reconciled_prod!BB89*Storage_Reconciled_prod!$A$44+Storage_rounded_off_prod!BB89*Storage_rounded_off_prod!$A$44</f>
        <v>4.2000000000000003E-2</v>
      </c>
      <c r="BC89" s="197">
        <f>Storage_Reconciled_prod!BC89*Storage_Reconciled_prod!$A$44+Storage_rounded_off_prod!BC89*Storage_rounded_off_prod!$A$44</f>
        <v>0.10200000000000001</v>
      </c>
      <c r="BD89" s="197">
        <f>Storage_Reconciled_prod!BD89*Storage_Reconciled_prod!$A$44+Storage_rounded_off_prod!BD89*Storage_rounded_off_prod!$A$44</f>
        <v>0.29500000000000004</v>
      </c>
      <c r="BE89" s="197">
        <f>Storage_Reconciled_prod!BE89*Storage_Reconciled_prod!$A$44+Storage_rounded_off_prod!BE89*Storage_rounded_off_prod!$A$44</f>
        <v>3.7000000000000005E-2</v>
      </c>
      <c r="BF89" s="197">
        <f>Storage_Reconciled_prod!BF89*Storage_Reconciled_prod!$A$44+Storage_rounded_off_prod!BF89*Storage_rounded_off_prod!$A$44</f>
        <v>2.7000000000000003E-2</v>
      </c>
      <c r="BG89" s="197">
        <f>Storage_Reconciled_prod!BG89*Storage_Reconciled_prod!$A$44+Storage_rounded_off_prod!BG89*Storage_rounded_off_prod!$A$44</f>
        <v>3.4000000000000002E-2</v>
      </c>
      <c r="BH89" s="197">
        <f>Storage_Reconciled_prod!BH89*Storage_Reconciled_prod!$A$44+Storage_rounded_off_prod!BH89*Storage_rounded_off_prod!$A$44</f>
        <v>9.8000000000000004E-2</v>
      </c>
      <c r="BI89" s="197">
        <f>Storage_Reconciled_prod!BI89*Storage_Reconciled_prod!$A$44+Storage_rounded_off_prod!BI89*Storage_rounded_off_prod!$A$44</f>
        <v>0.39300000000000002</v>
      </c>
      <c r="BJ89" s="197">
        <f>Storage_Reconciled_prod!BJ89*Storage_Reconciled_prod!$A$44+Storage_rounded_off_prod!BJ89*Storage_rounded_off_prod!$A$44</f>
        <v>3.4000000000000002E-2</v>
      </c>
      <c r="BK89" s="197">
        <f>Storage_Reconciled_prod!BK89*Storage_Reconciled_prod!$A$44+Storage_rounded_off_prod!BK89*Storage_rounded_off_prod!$A$44</f>
        <v>3.8000000000000006E-2</v>
      </c>
      <c r="BL89" s="197">
        <f>Storage_Reconciled_prod!BL89*Storage_Reconciled_prod!$A$44+Storage_rounded_off_prod!BL89*Storage_rounded_off_prod!$A$44</f>
        <v>4.0999999999999995E-2</v>
      </c>
      <c r="BM89" s="197">
        <f>Storage_Reconciled_prod!BM89*Storage_Reconciled_prod!$A$44+Storage_rounded_off_prod!BM89*Storage_rounded_off_prod!$A$44</f>
        <v>0.113</v>
      </c>
      <c r="BN89" s="197">
        <f>Storage_Reconciled_prod!BN89*Storage_Reconciled_prod!$A$44+Storage_rounded_off_prod!BN89*Storage_rounded_off_prod!$A$44</f>
        <v>4.0999999999999995E-2</v>
      </c>
      <c r="BO89" s="197">
        <f>Storage_Reconciled_prod!BO89*Storage_Reconciled_prod!$A$44+Storage_rounded_off_prod!BO89*Storage_rounded_off_prod!$A$44</f>
        <v>0.04</v>
      </c>
      <c r="BP89" s="197">
        <f>Storage_Reconciled_prod!BP89*Storage_Reconciled_prod!$A$44+Storage_rounded_off_prod!BP89*Storage_rounded_off_prod!$A$44</f>
        <v>3.9000000000000007E-2</v>
      </c>
      <c r="BQ89" s="197">
        <f>Storage_Reconciled_prod!BQ89*Storage_Reconciled_prod!$A$44+Storage_rounded_off_prod!BQ89*Storage_rounded_off_prod!$A$44</f>
        <v>0.12</v>
      </c>
      <c r="BR89" s="197">
        <f>Storage_Reconciled_prod!BR89*Storage_Reconciled_prod!$A$44+Storage_rounded_off_prod!BR89*Storage_rounded_off_prod!$A$44</f>
        <v>0.23299999999999998</v>
      </c>
      <c r="BS89" s="197">
        <f>Storage_Reconciled_prod!BS89*Storage_Reconciled_prod!$A$44+Storage_rounded_off_prod!BS89*Storage_rounded_off_prod!$A$44</f>
        <v>4.2999999999999997E-2</v>
      </c>
      <c r="BT89" s="197">
        <f>Storage_Reconciled_prod!BT89*Storage_Reconciled_prod!$A$44+Storage_rounded_off_prod!BT89*Storage_rounded_off_prod!$A$44</f>
        <v>2.4E-2</v>
      </c>
      <c r="BU89" s="197">
        <f>Storage_Reconciled_prod!BU89*Storage_Reconciled_prod!$A$44+Storage_rounded_off_prod!BU89*Storage_rounded_off_prod!$A$44</f>
        <v>0</v>
      </c>
      <c r="BV89" s="197">
        <f>Storage_Reconciled_prod!BV89*Storage_Reconciled_prod!$A$44+Storage_rounded_off_prod!BV89*Storage_rounded_off_prod!$A$44</f>
        <v>6.7000000000000004E-2</v>
      </c>
      <c r="BW89" s="197">
        <f>Storage_Reconciled_prod!BW89*Storage_Reconciled_prod!$A$44+Storage_rounded_off_prod!BW89*Storage_rounded_off_prod!$A$44</f>
        <v>0.3</v>
      </c>
      <c r="BX89" s="197">
        <f>Storage_Reconciled_prod!BX89*Storage_Reconciled_prod!$A$44+Storage_rounded_off_prod!BX89*Storage_rounded_off_prod!$A$44</f>
        <v>5.0000000000000001E-3</v>
      </c>
      <c r="BY89" s="197">
        <f>Storage_Reconciled_prod!BY89*Storage_Reconciled_prod!$A$44+Storage_rounded_off_prod!BY89*Storage_rounded_off_prod!$A$44</f>
        <v>3.6000000000000004E-2</v>
      </c>
      <c r="BZ89" s="197">
        <f>Storage_Reconciled_prod!BZ89*Storage_Reconciled_prod!$A$44+Storage_rounded_off_prod!BZ89*Storage_rounded_off_prod!$A$44</f>
        <v>4.5999999999999999E-2</v>
      </c>
      <c r="CA89" s="197">
        <f>Storage_Reconciled_prod!CA89*Storage_Reconciled_prod!$A$44+Storage_rounded_off_prod!CA89*Storage_rounded_off_prod!$A$44</f>
        <v>8.6999999999999994E-2</v>
      </c>
      <c r="CB89" s="197">
        <f>Storage_Reconciled_prod!CB89*Storage_Reconciled_prod!$A$44+Storage_rounded_off_prod!CB89*Storage_rounded_off_prod!$A$44</f>
        <v>0.38700000000000001</v>
      </c>
      <c r="CC89" s="197">
        <f>Storage_Reconciled_prod!CC89*Storage_Reconciled_prod!$A$44+Storage_rounded_off_prod!CC89*Storage_rounded_off_prod!$A$44</f>
        <v>4.7E-2</v>
      </c>
      <c r="CD89" s="197">
        <f>Storage_Reconciled_prod!CD89*Storage_Reconciled_prod!$A$44+Storage_rounded_off_prod!CD89*Storage_rounded_off_prod!$A$44</f>
        <v>3.9E-2</v>
      </c>
      <c r="CE89" s="197">
        <f>Storage_Reconciled_prod!CE89*Storage_Reconciled_prod!$A$44+Storage_rounded_off_prod!CE89*Storage_rounded_off_prod!$A$44</f>
        <v>4.2999999999999997E-2</v>
      </c>
      <c r="CF89" s="197">
        <f>Storage_Reconciled_prod!CF89*Storage_Reconciled_prod!$A$44+Storage_rounded_off_prod!CF89*Storage_rounded_off_prod!$A$44</f>
        <v>0.129</v>
      </c>
      <c r="CG89" s="197">
        <f>Storage_Reconciled_prod!CG89*Storage_Reconciled_prod!$A$44+Storage_rounded_off_prod!CG89*Storage_rounded_off_prod!$A$44</f>
        <v>3.7000000000000005E-2</v>
      </c>
      <c r="CH89" s="197">
        <f>Storage_Reconciled_prod!CH89*Storage_Reconciled_prod!$A$44+Storage_rounded_off_prod!CH89*Storage_rounded_off_prod!$A$44</f>
        <v>0</v>
      </c>
      <c r="CI89" s="197">
        <f>Storage_Reconciled_prod!CI89*Storage_Reconciled_prod!$A$44+Storage_rounded_off_prod!CI89*Storage_rounded_off_prod!$A$44</f>
        <v>0</v>
      </c>
      <c r="CJ89" s="197">
        <f>Storage_Reconciled_prod!CJ89*Storage_Reconciled_prod!$A$44+Storage_rounded_off_prod!CJ89*Storage_rounded_off_prod!$A$44</f>
        <v>0</v>
      </c>
      <c r="CK89" s="197">
        <f>Storage_Reconciled_prod!CK89*Storage_Reconciled_prod!$A$44+Storage_rounded_off_prod!CK89*Storage_rounded_off_prod!$A$44</f>
        <v>0</v>
      </c>
      <c r="CL89" s="197">
        <f>Storage_Reconciled_prod!CL89*Storage_Reconciled_prod!$A$44+Storage_rounded_off_prod!CL89*Storage_rounded_off_prod!$A$44</f>
        <v>0</v>
      </c>
      <c r="CM89" s="197">
        <f>Storage_Reconciled_prod!CM89*Storage_Reconciled_prod!$A$44+Storage_rounded_off_prod!CM89*Storage_rounded_off_prod!$A$44</f>
        <v>0</v>
      </c>
      <c r="CN89" s="197">
        <f>Storage_Reconciled_prod!CN89*Storage_Reconciled_prod!$A$44+Storage_rounded_off_prod!CN89*Storage_rounded_off_prod!$A$44</f>
        <v>0</v>
      </c>
      <c r="CO89" s="197">
        <f>Storage_Reconciled_prod!CO89*Storage_Reconciled_prod!$A$44+Storage_rounded_off_prod!CO89*Storage_rounded_off_prod!$A$44</f>
        <v>0</v>
      </c>
      <c r="CP89" s="197">
        <f>Storage_Reconciled_prod!CP89*Storage_Reconciled_prod!$A$44+Storage_rounded_off_prod!CP89*Storage_rounded_off_prod!$A$44</f>
        <v>0</v>
      </c>
      <c r="CQ89" s="197">
        <f>Storage_Reconciled_prod!CQ89*Storage_Reconciled_prod!$A$44+Storage_rounded_off_prod!CQ89*Storage_rounded_off_prod!$A$44</f>
        <v>0</v>
      </c>
      <c r="CR89" s="197">
        <f>Storage_Reconciled_prod!CR89*Storage_Reconciled_prod!$A$44+Storage_rounded_off_prod!CR89*Storage_rounded_off_prod!$A$44</f>
        <v>0</v>
      </c>
      <c r="CS89" s="197">
        <f>Storage_Reconciled_prod!CS89*Storage_Reconciled_prod!$A$44+Storage_rounded_off_prod!CS89*Storage_rounded_off_prod!$A$44</f>
        <v>0</v>
      </c>
      <c r="CT89" s="197">
        <f>Storage_Reconciled_prod!CT89*Storage_Reconciled_prod!$A$44+Storage_rounded_off_prod!CT89*Storage_rounded_off_prod!$A$44</f>
        <v>0</v>
      </c>
      <c r="CU89" s="197">
        <f>Storage_Reconciled_prod!CU89*Storage_Reconciled_prod!$A$44+Storage_rounded_off_prod!CU89*Storage_rounded_off_prod!$A$44</f>
        <v>0</v>
      </c>
    </row>
    <row r="90" spans="1:99">
      <c r="C90">
        <v>8</v>
      </c>
      <c r="D90" s="209" t="s">
        <v>59</v>
      </c>
      <c r="E90" s="197">
        <f>Storage_Reconciled_prod!E90*Storage_Reconciled_prod!$A$44+Storage_rounded_off_prod!E90*Storage_rounded_off_prod!$A$44</f>
        <v>6.0000000000000001E-3</v>
      </c>
      <c r="F90" s="197">
        <f>Storage_Reconciled_prod!F90*Storage_Reconciled_prod!$A$44+Storage_rounded_off_prod!F90*Storage_rounded_off_prod!$A$44</f>
        <v>6.0000000000000001E-3</v>
      </c>
      <c r="G90" s="197">
        <f>Storage_Reconciled_prod!G90*Storage_Reconciled_prod!$A$44+Storage_rounded_off_prod!G90*Storage_rounded_off_prod!$A$44</f>
        <v>6.0000000000000001E-3</v>
      </c>
      <c r="H90" s="197">
        <f>Storage_Reconciled_prod!H90*Storage_Reconciled_prod!$A$44+Storage_rounded_off_prod!H90*Storage_rounded_off_prod!$A$44</f>
        <v>1.8000000000000002E-2</v>
      </c>
      <c r="I90" s="197">
        <f>Storage_Reconciled_prod!I90*Storage_Reconciled_prod!$A$44+Storage_rounded_off_prod!I90*Storage_rounded_off_prod!$A$44</f>
        <v>8.0000000000000002E-3</v>
      </c>
      <c r="J90" s="197">
        <f>Storage_Reconciled_prod!J90*Storage_Reconciled_prod!$A$44+Storage_rounded_off_prod!J90*Storage_rounded_off_prod!$A$44</f>
        <v>6.0000000000000001E-3</v>
      </c>
      <c r="K90" s="197">
        <f>Storage_Reconciled_prod!K90*Storage_Reconciled_prod!$A$44+Storage_rounded_off_prod!K90*Storage_rounded_off_prod!$A$44</f>
        <v>7.0000000000000001E-3</v>
      </c>
      <c r="L90" s="197">
        <f>Storage_Reconciled_prod!L90*Storage_Reconciled_prod!$A$44+Storage_rounded_off_prod!L90*Storage_rounded_off_prod!$A$44</f>
        <v>2.1000000000000001E-2</v>
      </c>
      <c r="M90" s="197">
        <f>Storage_Reconciled_prod!M90*Storage_Reconciled_prod!$A$44+Storage_rounded_off_prod!M90*Storage_rounded_off_prod!$A$44</f>
        <v>3.9000000000000007E-2</v>
      </c>
      <c r="N90" s="197">
        <f>Storage_Reconciled_prod!N90*Storage_Reconciled_prod!$A$44+Storage_rounded_off_prod!N90*Storage_rounded_off_prod!$A$44</f>
        <v>7.0000000000000001E-3</v>
      </c>
      <c r="O90" s="197">
        <f>Storage_Reconciled_prod!O90*Storage_Reconciled_prod!$A$44+Storage_rounded_off_prod!O90*Storage_rounded_off_prod!$A$44</f>
        <v>6.0000000000000001E-3</v>
      </c>
      <c r="P90" s="197">
        <f>Storage_Reconciled_prod!P90*Storage_Reconciled_prod!$A$44+Storage_rounded_off_prod!P90*Storage_rounded_off_prod!$A$44</f>
        <v>8.0000000000000002E-3</v>
      </c>
      <c r="Q90" s="197">
        <f>Storage_Reconciled_prod!Q90*Storage_Reconciled_prod!$A$44+Storage_rounded_off_prod!Q90*Storage_rounded_off_prod!$A$44</f>
        <v>2.1000000000000001E-2</v>
      </c>
      <c r="R90" s="197">
        <f>Storage_Reconciled_prod!R90*Storage_Reconciled_prod!$A$44+Storage_rounded_off_prod!R90*Storage_rounded_off_prod!$A$44</f>
        <v>6.0000000000000012E-2</v>
      </c>
      <c r="S90" s="197">
        <f>Storage_Reconciled_prod!S90*Storage_Reconciled_prod!$A$44+Storage_rounded_off_prod!S90*Storage_rounded_off_prod!$A$44</f>
        <v>7.0000000000000001E-3</v>
      </c>
      <c r="T90" s="197">
        <f>Storage_Reconciled_prod!T90*Storage_Reconciled_prod!$A$44+Storage_rounded_off_prod!T90*Storage_rounded_off_prod!$A$44</f>
        <v>6.0000000000000001E-3</v>
      </c>
      <c r="U90" s="197">
        <f>Storage_Reconciled_prod!U90*Storage_Reconciled_prod!$A$44+Storage_rounded_off_prod!U90*Storage_rounded_off_prod!$A$44</f>
        <v>6.0000000000000001E-3</v>
      </c>
      <c r="V90" s="197">
        <f>Storage_Reconciled_prod!V90*Storage_Reconciled_prod!$A$44+Storage_rounded_off_prod!V90*Storage_rounded_off_prod!$A$44</f>
        <v>1.9000000000000003E-2</v>
      </c>
      <c r="W90" s="197">
        <f>Storage_Reconciled_prod!W90*Storage_Reconciled_prod!$A$44+Storage_rounded_off_prod!W90*Storage_rounded_off_prod!$A$44</f>
        <v>7.9000000000000015E-2</v>
      </c>
      <c r="X90" s="197">
        <f>Storage_Reconciled_prod!X90*Storage_Reconciled_prod!$A$44+Storage_rounded_off_prod!X90*Storage_rounded_off_prod!$A$44</f>
        <v>7.0000000000000001E-3</v>
      </c>
      <c r="Y90" s="197">
        <f>Storage_Reconciled_prod!Y90*Storage_Reconciled_prod!$A$44+Storage_rounded_off_prod!Y90*Storage_rounded_off_prod!$A$44</f>
        <v>7.0000000000000001E-3</v>
      </c>
      <c r="Z90" s="197">
        <f>Storage_Reconciled_prod!Z90*Storage_Reconciled_prod!$A$44+Storage_rounded_off_prod!Z90*Storage_rounded_off_prod!$A$44</f>
        <v>7.0000000000000001E-3</v>
      </c>
      <c r="AA90" s="197">
        <f>Storage_Reconciled_prod!AA90*Storage_Reconciled_prod!$A$44+Storage_rounded_off_prod!AA90*Storage_rounded_off_prod!$A$44</f>
        <v>2.1000000000000001E-2</v>
      </c>
      <c r="AB90" s="197">
        <f>Storage_Reconciled_prod!AB90*Storage_Reconciled_prod!$A$44+Storage_rounded_off_prod!AB90*Storage_rounded_off_prod!$A$44</f>
        <v>7.0000000000000001E-3</v>
      </c>
      <c r="AC90" s="197">
        <f>Storage_Reconciled_prod!AC90*Storage_Reconciled_prod!$A$44+Storage_rounded_off_prod!AC90*Storage_rounded_off_prod!$A$44</f>
        <v>8.0000000000000002E-3</v>
      </c>
      <c r="AD90" s="197">
        <f>Storage_Reconciled_prod!AD90*Storage_Reconciled_prod!$A$44+Storage_rounded_off_prod!AD90*Storage_rounded_off_prod!$A$44</f>
        <v>6.0000000000000001E-3</v>
      </c>
      <c r="AE90" s="197">
        <f>Storage_Reconciled_prod!AE90*Storage_Reconciled_prod!$A$44+Storage_rounded_off_prod!AE90*Storage_rounded_off_prod!$A$44</f>
        <v>2.1000000000000001E-2</v>
      </c>
      <c r="AF90" s="197">
        <f>Storage_Reconciled_prod!AF90*Storage_Reconciled_prod!$A$44+Storage_rounded_off_prod!AF90*Storage_rounded_off_prod!$A$44</f>
        <v>4.2000000000000003E-2</v>
      </c>
      <c r="AG90" s="197">
        <f>Storage_Reconciled_prod!AG90*Storage_Reconciled_prod!$A$44+Storage_rounded_off_prod!AG90*Storage_rounded_off_prod!$A$44</f>
        <v>8.0000000000000002E-3</v>
      </c>
      <c r="AH90" s="197">
        <f>Storage_Reconciled_prod!AH90*Storage_Reconciled_prod!$A$44+Storage_rounded_off_prod!AH90*Storage_rounded_off_prod!$A$44</f>
        <v>7.0000000000000001E-3</v>
      </c>
      <c r="AI90" s="197">
        <f>Storage_Reconciled_prod!AI90*Storage_Reconciled_prod!$A$44+Storage_rounded_off_prod!AI90*Storage_rounded_off_prod!$A$44</f>
        <v>8.0000000000000002E-3</v>
      </c>
      <c r="AJ90" s="197">
        <f>Storage_Reconciled_prod!AJ90*Storage_Reconciled_prod!$A$44+Storage_rounded_off_prod!AJ90*Storage_rounded_off_prod!$A$44</f>
        <v>2.3E-2</v>
      </c>
      <c r="AK90" s="197">
        <f>Storage_Reconciled_prod!AK90*Storage_Reconciled_prod!$A$44+Storage_rounded_off_prod!AK90*Storage_rounded_off_prod!$A$44</f>
        <v>6.5000000000000002E-2</v>
      </c>
      <c r="AL90" s="197">
        <f>Storage_Reconciled_prod!AL90*Storage_Reconciled_prod!$A$44+Storage_rounded_off_prod!AL90*Storage_rounded_off_prod!$A$44</f>
        <v>8.0000000000000002E-3</v>
      </c>
      <c r="AM90" s="197">
        <f>Storage_Reconciled_prod!AM90*Storage_Reconciled_prod!$A$44+Storage_rounded_off_prod!AM90*Storage_rounded_off_prod!$A$44</f>
        <v>8.0000000000000002E-3</v>
      </c>
      <c r="AN90" s="197">
        <f>Storage_Reconciled_prod!AN90*Storage_Reconciled_prod!$A$44+Storage_rounded_off_prod!AN90*Storage_rounded_off_prod!$A$44</f>
        <v>8.0000000000000002E-3</v>
      </c>
      <c r="AO90" s="197">
        <f>Storage_Reconciled_prod!AO90*Storage_Reconciled_prod!$A$44+Storage_rounded_off_prod!AO90*Storage_rounded_off_prod!$A$44</f>
        <v>2.4E-2</v>
      </c>
      <c r="AP90" s="197">
        <f>Storage_Reconciled_prod!AP90*Storage_Reconciled_prod!$A$44+Storage_rounded_off_prod!AP90*Storage_rounded_off_prod!$A$44</f>
        <v>8.8999999999999996E-2</v>
      </c>
      <c r="AQ90" s="197">
        <f>Storage_Reconciled_prod!AQ90*Storage_Reconciled_prod!$A$44+Storage_rounded_off_prod!AQ90*Storage_rounded_off_prod!$A$44</f>
        <v>8.9999999999999993E-3</v>
      </c>
      <c r="AR90" s="197">
        <f>Storage_Reconciled_prod!AR90*Storage_Reconciled_prod!$A$44+Storage_rounded_off_prod!AR90*Storage_rounded_off_prod!$A$44</f>
        <v>8.9999999999999993E-3</v>
      </c>
      <c r="AS90" s="197">
        <f>Storage_Reconciled_prod!AS90*Storage_Reconciled_prod!$A$44+Storage_rounded_off_prod!AS90*Storage_rounded_off_prod!$A$44</f>
        <v>1.0999999999999999E-2</v>
      </c>
      <c r="AT90" s="197">
        <f>Storage_Reconciled_prod!AT90*Storage_Reconciled_prod!$A$44+Storage_rounded_off_prod!AT90*Storage_rounded_off_prod!$A$44</f>
        <v>2.8999999999999998E-2</v>
      </c>
      <c r="AU90" s="197">
        <f>Storage_Reconciled_prod!AU90*Storage_Reconciled_prod!$A$44+Storage_rounded_off_prod!AU90*Storage_rounded_off_prod!$A$44</f>
        <v>8.9999999999999993E-3</v>
      </c>
      <c r="AV90" s="197">
        <f>Storage_Reconciled_prod!AV90*Storage_Reconciled_prod!$A$44+Storage_rounded_off_prod!AV90*Storage_rounded_off_prod!$A$44</f>
        <v>0.01</v>
      </c>
      <c r="AW90" s="197">
        <f>Storage_Reconciled_prod!AW90*Storage_Reconciled_prod!$A$44+Storage_rounded_off_prod!AW90*Storage_rounded_off_prod!$A$44</f>
        <v>9.0000000000000011E-3</v>
      </c>
      <c r="AX90" s="197">
        <f>Storage_Reconciled_prod!AX90*Storage_Reconciled_prod!$A$44+Storage_rounded_off_prod!AX90*Storage_rounded_off_prod!$A$44</f>
        <v>2.8000000000000001E-2</v>
      </c>
      <c r="AY90" s="197">
        <f>Storage_Reconciled_prod!AY90*Storage_Reconciled_prod!$A$44+Storage_rounded_off_prod!AY90*Storage_rounded_off_prod!$A$44</f>
        <v>5.6999999999999995E-2</v>
      </c>
      <c r="AZ90" s="197">
        <f>Storage_Reconciled_prod!AZ90*Storage_Reconciled_prod!$A$44+Storage_rounded_off_prod!AZ90*Storage_rounded_off_prod!$A$44</f>
        <v>0.01</v>
      </c>
      <c r="BA90" s="197">
        <f>Storage_Reconciled_prod!BA90*Storage_Reconciled_prod!$A$44+Storage_rounded_off_prod!BA90*Storage_rounded_off_prod!$A$44</f>
        <v>9.9999999999999985E-3</v>
      </c>
      <c r="BB90" s="197">
        <f>Storage_Reconciled_prod!BB90*Storage_Reconciled_prod!$A$44+Storage_rounded_off_prod!BB90*Storage_rounded_off_prod!$A$44</f>
        <v>8.9999999999999993E-3</v>
      </c>
      <c r="BC90" s="197">
        <f>Storage_Reconciled_prod!BC90*Storage_Reconciled_prod!$A$44+Storage_rounded_off_prod!BC90*Storage_rounded_off_prod!$A$44</f>
        <v>2.8999999999999998E-2</v>
      </c>
      <c r="BD90" s="197">
        <f>Storage_Reconciled_prod!BD90*Storage_Reconciled_prod!$A$44+Storage_rounded_off_prod!BD90*Storage_rounded_off_prod!$A$44</f>
        <v>8.5999999999999993E-2</v>
      </c>
      <c r="BE90" s="197">
        <f>Storage_Reconciled_prod!BE90*Storage_Reconciled_prod!$A$44+Storage_rounded_off_prod!BE90*Storage_rounded_off_prod!$A$44</f>
        <v>1.0999999999999999E-2</v>
      </c>
      <c r="BF90" s="197">
        <f>Storage_Reconciled_prod!BF90*Storage_Reconciled_prod!$A$44+Storage_rounded_off_prod!BF90*Storage_rounded_off_prod!$A$44</f>
        <v>8.9999999999999993E-3</v>
      </c>
      <c r="BG90" s="197">
        <f>Storage_Reconciled_prod!BG90*Storage_Reconciled_prod!$A$44+Storage_rounded_off_prod!BG90*Storage_rounded_off_prod!$A$44</f>
        <v>0.01</v>
      </c>
      <c r="BH90" s="197">
        <f>Storage_Reconciled_prod!BH90*Storage_Reconciled_prod!$A$44+Storage_rounded_off_prod!BH90*Storage_rounded_off_prod!$A$44</f>
        <v>0.03</v>
      </c>
      <c r="BI90" s="197">
        <f>Storage_Reconciled_prod!BI90*Storage_Reconciled_prod!$A$44+Storage_rounded_off_prod!BI90*Storage_rounded_off_prod!$A$44</f>
        <v>0.11599999999999999</v>
      </c>
      <c r="BJ90" s="197">
        <f>Storage_Reconciled_prod!BJ90*Storage_Reconciled_prod!$A$44+Storage_rounded_off_prod!BJ90*Storage_rounded_off_prod!$A$44</f>
        <v>1.0999999999999999E-2</v>
      </c>
      <c r="BK90" s="197">
        <f>Storage_Reconciled_prod!BK90*Storage_Reconciled_prod!$A$44+Storage_rounded_off_prod!BK90*Storage_rounded_off_prod!$A$44</f>
        <v>1.0999999999999999E-2</v>
      </c>
      <c r="BL90" s="197">
        <f>Storage_Reconciled_prod!BL90*Storage_Reconciled_prod!$A$44+Storage_rounded_off_prod!BL90*Storage_rounded_off_prod!$A$44</f>
        <v>1.0999999999999999E-2</v>
      </c>
      <c r="BM90" s="197">
        <f>Storage_Reconciled_prod!BM90*Storage_Reconciled_prod!$A$44+Storage_rounded_off_prod!BM90*Storage_rounded_off_prod!$A$44</f>
        <v>3.3000000000000002E-2</v>
      </c>
      <c r="BN90" s="197">
        <f>Storage_Reconciled_prod!BN90*Storage_Reconciled_prod!$A$44+Storage_rounded_off_prod!BN90*Storage_rounded_off_prod!$A$44</f>
        <v>1.0999999999999999E-2</v>
      </c>
      <c r="BO90" s="197">
        <f>Storage_Reconciled_prod!BO90*Storage_Reconciled_prod!$A$44+Storage_rounded_off_prod!BO90*Storage_rounded_off_prod!$A$44</f>
        <v>1.0999999999999999E-2</v>
      </c>
      <c r="BP90" s="197">
        <f>Storage_Reconciled_prod!BP90*Storage_Reconciled_prod!$A$44+Storage_rounded_off_prod!BP90*Storage_rounded_off_prod!$A$44</f>
        <v>1.0999999999999999E-2</v>
      </c>
      <c r="BQ90" s="197">
        <f>Storage_Reconciled_prod!BQ90*Storage_Reconciled_prod!$A$44+Storage_rounded_off_prod!BQ90*Storage_rounded_off_prod!$A$44</f>
        <v>3.3000000000000002E-2</v>
      </c>
      <c r="BR90" s="197">
        <f>Storage_Reconciled_prod!BR90*Storage_Reconciled_prod!$A$44+Storage_rounded_off_prod!BR90*Storage_rounded_off_prod!$A$44</f>
        <v>6.6000000000000003E-2</v>
      </c>
      <c r="BS90" s="197">
        <f>Storage_Reconciled_prod!BS90*Storage_Reconciled_prod!$A$44+Storage_rounded_off_prod!BS90*Storage_rounded_off_prod!$A$44</f>
        <v>1.3000000000000001E-2</v>
      </c>
      <c r="BT90" s="197">
        <f>Storage_Reconciled_prod!BT90*Storage_Reconciled_prod!$A$44+Storage_rounded_off_prod!BT90*Storage_rounded_off_prod!$A$44</f>
        <v>1.3000000000000001E-2</v>
      </c>
      <c r="BU90" s="197">
        <f>Storage_Reconciled_prod!BU90*Storage_Reconciled_prod!$A$44+Storage_rounded_off_prod!BU90*Storage_rounded_off_prod!$A$44</f>
        <v>1.0999999999999999E-2</v>
      </c>
      <c r="BV90" s="197">
        <f>Storage_Reconciled_prod!BV90*Storage_Reconciled_prod!$A$44+Storage_rounded_off_prod!BV90*Storage_rounded_off_prod!$A$44</f>
        <v>3.7000000000000005E-2</v>
      </c>
      <c r="BW90" s="197">
        <f>Storage_Reconciled_prod!BW90*Storage_Reconciled_prod!$A$44+Storage_rounded_off_prod!BW90*Storage_rounded_off_prod!$A$44</f>
        <v>0.10300000000000001</v>
      </c>
      <c r="BX90" s="197">
        <f>Storage_Reconciled_prod!BX90*Storage_Reconciled_prod!$A$44+Storage_rounded_off_prod!BX90*Storage_rounded_off_prod!$A$44</f>
        <v>0.01</v>
      </c>
      <c r="BY90" s="197">
        <f>Storage_Reconciled_prod!BY90*Storage_Reconciled_prod!$A$44+Storage_rounded_off_prod!BY90*Storage_rounded_off_prod!$A$44</f>
        <v>0.01</v>
      </c>
      <c r="BZ90" s="197">
        <f>Storage_Reconciled_prod!BZ90*Storage_Reconciled_prod!$A$44+Storage_rounded_off_prod!BZ90*Storage_rounded_off_prod!$A$44</f>
        <v>1.0999999999999999E-2</v>
      </c>
      <c r="CA90" s="197">
        <f>Storage_Reconciled_prod!CA90*Storage_Reconciled_prod!$A$44+Storage_rounded_off_prod!CA90*Storage_rounded_off_prod!$A$44</f>
        <v>3.1E-2</v>
      </c>
      <c r="CB90" s="197">
        <f>Storage_Reconciled_prod!CB90*Storage_Reconciled_prod!$A$44+Storage_rounded_off_prod!CB90*Storage_rounded_off_prod!$A$44</f>
        <v>0.13300000000000001</v>
      </c>
      <c r="CC90" s="197">
        <f>Storage_Reconciled_prod!CC90*Storage_Reconciled_prod!$A$44+Storage_rounded_off_prod!CC90*Storage_rounded_off_prod!$A$44</f>
        <v>0.01</v>
      </c>
      <c r="CD90" s="197">
        <f>Storage_Reconciled_prod!CD90*Storage_Reconciled_prod!$A$44+Storage_rounded_off_prod!CD90*Storage_rounded_off_prod!$A$44</f>
        <v>0.01</v>
      </c>
      <c r="CE90" s="197">
        <f>Storage_Reconciled_prod!CE90*Storage_Reconciled_prod!$A$44+Storage_rounded_off_prod!CE90*Storage_rounded_off_prod!$A$44</f>
        <v>1.2E-2</v>
      </c>
      <c r="CF90" s="197">
        <f>Storage_Reconciled_prod!CF90*Storage_Reconciled_prod!$A$44+Storage_rounded_off_prod!CF90*Storage_rounded_off_prod!$A$44</f>
        <v>3.2000000000000001E-2</v>
      </c>
      <c r="CG90" s="197">
        <f>Storage_Reconciled_prod!CG90*Storage_Reconciled_prod!$A$44+Storage_rounded_off_prod!CG90*Storage_rounded_off_prod!$A$44</f>
        <v>1.0999999999999999E-2</v>
      </c>
      <c r="CH90" s="197">
        <f>Storage_Reconciled_prod!CH90*Storage_Reconciled_prod!$A$44+Storage_rounded_off_prod!CH90*Storage_rounded_off_prod!$A$44</f>
        <v>0</v>
      </c>
      <c r="CI90" s="197">
        <f>Storage_Reconciled_prod!CI90*Storage_Reconciled_prod!$A$44+Storage_rounded_off_prod!CI90*Storage_rounded_off_prod!$A$44</f>
        <v>0</v>
      </c>
      <c r="CJ90" s="197">
        <f>Storage_Reconciled_prod!CJ90*Storage_Reconciled_prod!$A$44+Storage_rounded_off_prod!CJ90*Storage_rounded_off_prod!$A$44</f>
        <v>0</v>
      </c>
      <c r="CK90" s="197">
        <f>Storage_Reconciled_prod!CK90*Storage_Reconciled_prod!$A$44+Storage_rounded_off_prod!CK90*Storage_rounded_off_prod!$A$44</f>
        <v>0</v>
      </c>
      <c r="CL90" s="197">
        <f>Storage_Reconciled_prod!CL90*Storage_Reconciled_prod!$A$44+Storage_rounded_off_prod!CL90*Storage_rounded_off_prod!$A$44</f>
        <v>0</v>
      </c>
      <c r="CM90" s="197">
        <f>Storage_Reconciled_prod!CM90*Storage_Reconciled_prod!$A$44+Storage_rounded_off_prod!CM90*Storage_rounded_off_prod!$A$44</f>
        <v>0</v>
      </c>
      <c r="CN90" s="197">
        <f>Storage_Reconciled_prod!CN90*Storage_Reconciled_prod!$A$44+Storage_rounded_off_prod!CN90*Storage_rounded_off_prod!$A$44</f>
        <v>0</v>
      </c>
      <c r="CO90" s="197">
        <f>Storage_Reconciled_prod!CO90*Storage_Reconciled_prod!$A$44+Storage_rounded_off_prod!CO90*Storage_rounded_off_prod!$A$44</f>
        <v>0</v>
      </c>
      <c r="CP90" s="197">
        <f>Storage_Reconciled_prod!CP90*Storage_Reconciled_prod!$A$44+Storage_rounded_off_prod!CP90*Storage_rounded_off_prod!$A$44</f>
        <v>0</v>
      </c>
      <c r="CQ90" s="197">
        <f>Storage_Reconciled_prod!CQ90*Storage_Reconciled_prod!$A$44+Storage_rounded_off_prod!CQ90*Storage_rounded_off_prod!$A$44</f>
        <v>0</v>
      </c>
      <c r="CR90" s="197">
        <f>Storage_Reconciled_prod!CR90*Storage_Reconciled_prod!$A$44+Storage_rounded_off_prod!CR90*Storage_rounded_off_prod!$A$44</f>
        <v>0</v>
      </c>
      <c r="CS90" s="197">
        <f>Storage_Reconciled_prod!CS90*Storage_Reconciled_prod!$A$44+Storage_rounded_off_prod!CS90*Storage_rounded_off_prod!$A$44</f>
        <v>0</v>
      </c>
      <c r="CT90" s="197">
        <f>Storage_Reconciled_prod!CT90*Storage_Reconciled_prod!$A$44+Storage_rounded_off_prod!CT90*Storage_rounded_off_prod!$A$44</f>
        <v>0</v>
      </c>
      <c r="CU90" s="197">
        <f>Storage_Reconciled_prod!CU90*Storage_Reconciled_prod!$A$44+Storage_rounded_off_prod!CU90*Storage_rounded_off_prod!$A$44</f>
        <v>0</v>
      </c>
    </row>
    <row r="91" spans="1:99">
      <c r="C91">
        <v>9</v>
      </c>
      <c r="D91" s="209" t="s">
        <v>63</v>
      </c>
      <c r="E91" s="197">
        <f>Storage_Reconciled_prod!E91*Storage_Reconciled_prod!$A$44+Storage_rounded_off_prod!E91*Storage_rounded_off_prod!$A$44</f>
        <v>5.8000000000000003E-2</v>
      </c>
      <c r="F91" s="197">
        <f>Storage_Reconciled_prod!F91*Storage_Reconciled_prod!$A$44+Storage_rounded_off_prod!F91*Storage_rounded_off_prod!$A$44</f>
        <v>5.8000000000000003E-2</v>
      </c>
      <c r="G91" s="197">
        <f>Storage_Reconciled_prod!G91*Storage_Reconciled_prod!$A$44+Storage_rounded_off_prod!G91*Storage_rounded_off_prod!$A$44</f>
        <v>5.8000000000000003E-2</v>
      </c>
      <c r="H91" s="197">
        <f>Storage_Reconciled_prod!H91*Storage_Reconciled_prod!$A$44+Storage_rounded_off_prod!H91*Storage_rounded_off_prod!$A$44</f>
        <v>0.17400000000000002</v>
      </c>
      <c r="I91" s="197">
        <f>Storage_Reconciled_prod!I91*Storage_Reconciled_prod!$A$44+Storage_rounded_off_prod!I91*Storage_rounded_off_prod!$A$44</f>
        <v>4.7E-2</v>
      </c>
      <c r="J91" s="197">
        <f>Storage_Reconciled_prod!J91*Storage_Reconciled_prod!$A$44+Storage_rounded_off_prod!J91*Storage_rounded_off_prod!$A$44</f>
        <v>6.0999999999999999E-2</v>
      </c>
      <c r="K91" s="197">
        <f>Storage_Reconciled_prod!K91*Storage_Reconciled_prod!$A$44+Storage_rounded_off_prod!K91*Storage_rounded_off_prod!$A$44</f>
        <v>5.5E-2</v>
      </c>
      <c r="L91" s="197">
        <f>Storage_Reconciled_prod!L91*Storage_Reconciled_prod!$A$44+Storage_rounded_off_prod!L91*Storage_rounded_off_prod!$A$44</f>
        <v>0.16300000000000001</v>
      </c>
      <c r="M91" s="197">
        <f>Storage_Reconciled_prod!M91*Storage_Reconciled_prod!$A$44+Storage_rounded_off_prod!M91*Storage_rounded_off_prod!$A$44</f>
        <v>0.33700000000000002</v>
      </c>
      <c r="N91" s="197">
        <f>Storage_Reconciled_prod!N91*Storage_Reconciled_prod!$A$44+Storage_rounded_off_prod!N91*Storage_rounded_off_prod!$A$44</f>
        <v>5.2999999999999999E-2</v>
      </c>
      <c r="O91" s="197">
        <f>Storage_Reconciled_prod!O91*Storage_Reconciled_prod!$A$44+Storage_rounded_off_prod!O91*Storage_rounded_off_prod!$A$44</f>
        <v>6.4000000000000001E-2</v>
      </c>
      <c r="P91" s="197">
        <f>Storage_Reconciled_prod!P91*Storage_Reconciled_prod!$A$44+Storage_rounded_off_prod!P91*Storage_rounded_off_prod!$A$44</f>
        <v>5.8999999999999997E-2</v>
      </c>
      <c r="Q91" s="197">
        <f>Storage_Reconciled_prod!Q91*Storage_Reconciled_prod!$A$44+Storage_rounded_off_prod!Q91*Storage_rounded_off_prod!$A$44</f>
        <v>0.17599999999999999</v>
      </c>
      <c r="R91" s="197">
        <f>Storage_Reconciled_prod!R91*Storage_Reconciled_prod!$A$44+Storage_rounded_off_prod!R91*Storage_rounded_off_prod!$A$44</f>
        <v>0.51300000000000001</v>
      </c>
      <c r="S91" s="197">
        <f>Storage_Reconciled_prod!S91*Storage_Reconciled_prod!$A$44+Storage_rounded_off_prod!S91*Storage_rounded_off_prod!$A$44</f>
        <v>5.3999999999999999E-2</v>
      </c>
      <c r="T91" s="197">
        <f>Storage_Reconciled_prod!T91*Storage_Reconciled_prod!$A$44+Storage_rounded_off_prod!T91*Storage_rounded_off_prod!$A$44</f>
        <v>4.8000000000000001E-2</v>
      </c>
      <c r="U91" s="197">
        <f>Storage_Reconciled_prod!U91*Storage_Reconciled_prod!$A$44+Storage_rounded_off_prod!U91*Storage_rounded_off_prod!$A$44</f>
        <v>0.04</v>
      </c>
      <c r="V91" s="197">
        <f>Storage_Reconciled_prod!V91*Storage_Reconciled_prod!$A$44+Storage_rounded_off_prod!V91*Storage_rounded_off_prod!$A$44</f>
        <v>0.14200000000000002</v>
      </c>
      <c r="W91" s="197">
        <f>Storage_Reconciled_prod!W91*Storage_Reconciled_prod!$A$44+Storage_rounded_off_prod!W91*Storage_rounded_off_prod!$A$44</f>
        <v>0.65500000000000003</v>
      </c>
      <c r="X91" s="197">
        <f>Storage_Reconciled_prod!X91*Storage_Reconciled_prod!$A$44+Storage_rounded_off_prod!X91*Storage_rounded_off_prod!$A$44</f>
        <v>5.0999999999999997E-2</v>
      </c>
      <c r="Y91" s="197">
        <f>Storage_Reconciled_prod!Y91*Storage_Reconciled_prod!$A$44+Storage_rounded_off_prod!Y91*Storage_rounded_off_prod!$A$44</f>
        <v>5.0999999999999997E-2</v>
      </c>
      <c r="Z91" s="197">
        <f>Storage_Reconciled_prod!Z91*Storage_Reconciled_prod!$A$44+Storage_rounded_off_prod!Z91*Storage_rounded_off_prod!$A$44</f>
        <v>5.0999999999999997E-2</v>
      </c>
      <c r="AA91" s="197">
        <f>Storage_Reconciled_prod!AA91*Storage_Reconciled_prod!$A$44+Storage_rounded_off_prod!AA91*Storage_rounded_off_prod!$A$44</f>
        <v>0.153</v>
      </c>
      <c r="AB91" s="197">
        <f>Storage_Reconciled_prod!AB91*Storage_Reconciled_prod!$A$44+Storage_rounded_off_prod!AB91*Storage_rounded_off_prod!$A$44</f>
        <v>5.0999999999999997E-2</v>
      </c>
      <c r="AC91" s="197">
        <f>Storage_Reconciled_prod!AC91*Storage_Reconciled_prod!$A$44+Storage_rounded_off_prod!AC91*Storage_rounded_off_prod!$A$44</f>
        <v>0.05</v>
      </c>
      <c r="AD91" s="197">
        <f>Storage_Reconciled_prod!AD91*Storage_Reconciled_prod!$A$44+Storage_rounded_off_prod!AD91*Storage_rounded_off_prod!$A$44</f>
        <v>4.7E-2</v>
      </c>
      <c r="AE91" s="197">
        <f>Storage_Reconciled_prod!AE91*Storage_Reconciled_prod!$A$44+Storage_rounded_off_prod!AE91*Storage_rounded_off_prod!$A$44</f>
        <v>0.14800000000000002</v>
      </c>
      <c r="AF91" s="197">
        <f>Storage_Reconciled_prod!AF91*Storage_Reconciled_prod!$A$44+Storage_rounded_off_prod!AF91*Storage_rounded_off_prod!$A$44</f>
        <v>0.30100000000000005</v>
      </c>
      <c r="AG91" s="197">
        <f>Storage_Reconciled_prod!AG91*Storage_Reconciled_prod!$A$44+Storage_rounded_off_prod!AG91*Storage_rounded_off_prod!$A$44</f>
        <v>6.7000000000000004E-2</v>
      </c>
      <c r="AH91" s="197">
        <f>Storage_Reconciled_prod!AH91*Storage_Reconciled_prod!$A$44+Storage_rounded_off_prod!AH91*Storage_rounded_off_prod!$A$44</f>
        <v>6.4000000000000001E-2</v>
      </c>
      <c r="AI91" s="197">
        <f>Storage_Reconciled_prod!AI91*Storage_Reconciled_prod!$A$44+Storage_rounded_off_prod!AI91*Storage_rounded_off_prod!$A$44</f>
        <v>6.6000000000000003E-2</v>
      </c>
      <c r="AJ91" s="197">
        <f>Storage_Reconciled_prod!AJ91*Storage_Reconciled_prod!$A$44+Storage_rounded_off_prod!AJ91*Storage_rounded_off_prod!$A$44</f>
        <v>0.19700000000000001</v>
      </c>
      <c r="AK91" s="197">
        <f>Storage_Reconciled_prod!AK91*Storage_Reconciled_prod!$A$44+Storage_rounded_off_prod!AK91*Storage_rounded_off_prod!$A$44</f>
        <v>0.49800000000000005</v>
      </c>
      <c r="AL91" s="197">
        <f>Storage_Reconciled_prod!AL91*Storage_Reconciled_prod!$A$44+Storage_rounded_off_prod!AL91*Storage_rounded_off_prod!$A$44</f>
        <v>5.1999999999999998E-2</v>
      </c>
      <c r="AM91" s="197">
        <f>Storage_Reconciled_prod!AM91*Storage_Reconciled_prod!$A$44+Storage_rounded_off_prod!AM91*Storage_rounded_off_prod!$A$44</f>
        <v>6.2E-2</v>
      </c>
      <c r="AN91" s="197">
        <f>Storage_Reconciled_prod!AN91*Storage_Reconciled_prod!$A$44+Storage_rounded_off_prod!AN91*Storage_rounded_off_prod!$A$44</f>
        <v>4.9000000000000002E-2</v>
      </c>
      <c r="AO91" s="197">
        <f>Storage_Reconciled_prod!AO91*Storage_Reconciled_prod!$A$44+Storage_rounded_off_prod!AO91*Storage_rounded_off_prod!$A$44</f>
        <v>0.16299999999999998</v>
      </c>
      <c r="AP91" s="197">
        <f>Storage_Reconciled_prod!AP91*Storage_Reconciled_prod!$A$44+Storage_rounded_off_prod!AP91*Storage_rounded_off_prod!$A$44</f>
        <v>0.66100000000000003</v>
      </c>
      <c r="AQ91" s="197">
        <f>Storage_Reconciled_prod!AQ91*Storage_Reconciled_prod!$A$44+Storage_rounded_off_prod!AQ91*Storage_rounded_off_prod!$A$44</f>
        <v>7.9000000000000001E-2</v>
      </c>
      <c r="AR91" s="197">
        <f>Storage_Reconciled_prod!AR91*Storage_Reconciled_prod!$A$44+Storage_rounded_off_prod!AR91*Storage_rounded_off_prod!$A$44</f>
        <v>7.0999999999999994E-2</v>
      </c>
      <c r="AS91" s="197">
        <f>Storage_Reconciled_prod!AS91*Storage_Reconciled_prod!$A$44+Storage_rounded_off_prod!AS91*Storage_rounded_off_prod!$A$44</f>
        <v>7.8E-2</v>
      </c>
      <c r="AT91" s="197">
        <f>Storage_Reconciled_prod!AT91*Storage_Reconciled_prod!$A$44+Storage_rounded_off_prod!AT91*Storage_rounded_off_prod!$A$44</f>
        <v>0.22799999999999998</v>
      </c>
      <c r="AU91" s="197">
        <f>Storage_Reconciled_prod!AU91*Storage_Reconciled_prod!$A$44+Storage_rounded_off_prod!AU91*Storage_rounded_off_prod!$A$44</f>
        <v>7.6999999999999999E-2</v>
      </c>
      <c r="AV91" s="197">
        <f>Storage_Reconciled_prod!AV91*Storage_Reconciled_prod!$A$44+Storage_rounded_off_prod!AV91*Storage_rounded_off_prod!$A$44</f>
        <v>7.3999999999999996E-2</v>
      </c>
      <c r="AW91" s="197">
        <f>Storage_Reconciled_prod!AW91*Storage_Reconciled_prod!$A$44+Storage_rounded_off_prod!AW91*Storage_rounded_off_prod!$A$44</f>
        <v>7.3999999999999996E-2</v>
      </c>
      <c r="AX91" s="197">
        <f>Storage_Reconciled_prod!AX91*Storage_Reconciled_prod!$A$44+Storage_rounded_off_prod!AX91*Storage_rounded_off_prod!$A$44</f>
        <v>0.22499999999999998</v>
      </c>
      <c r="AY91" s="197">
        <f>Storage_Reconciled_prod!AY91*Storage_Reconciled_prod!$A$44+Storage_rounded_off_prod!AY91*Storage_rounded_off_prod!$A$44</f>
        <v>0.45299999999999996</v>
      </c>
      <c r="AZ91" s="197">
        <f>Storage_Reconciled_prod!AZ91*Storage_Reconciled_prod!$A$44+Storage_rounded_off_prod!AZ91*Storage_rounded_off_prod!$A$44</f>
        <v>6.8000000000000005E-2</v>
      </c>
      <c r="BA91" s="197">
        <f>Storage_Reconciled_prod!BA91*Storage_Reconciled_prod!$A$44+Storage_rounded_off_prod!BA91*Storage_rounded_off_prod!$A$44</f>
        <v>6.4000000000000001E-2</v>
      </c>
      <c r="BB91" s="197">
        <f>Storage_Reconciled_prod!BB91*Storage_Reconciled_prod!$A$44+Storage_rounded_off_prod!BB91*Storage_rounded_off_prod!$A$44</f>
        <v>5.6000000000000001E-2</v>
      </c>
      <c r="BC91" s="197">
        <f>Storage_Reconciled_prod!BC91*Storage_Reconciled_prod!$A$44+Storage_rounded_off_prod!BC91*Storage_rounded_off_prod!$A$44</f>
        <v>0.188</v>
      </c>
      <c r="BD91" s="197">
        <f>Storage_Reconciled_prod!BD91*Storage_Reconciled_prod!$A$44+Storage_rounded_off_prod!BD91*Storage_rounded_off_prod!$A$44</f>
        <v>0.6409999999999999</v>
      </c>
      <c r="BE91" s="197">
        <f>Storage_Reconciled_prod!BE91*Storage_Reconciled_prod!$A$44+Storage_rounded_off_prod!BE91*Storage_rounded_off_prod!$A$44</f>
        <v>7.0000000000000007E-2</v>
      </c>
      <c r="BF91" s="197">
        <f>Storage_Reconciled_prod!BF91*Storage_Reconciled_prod!$A$44+Storage_rounded_off_prod!BF91*Storage_rounded_off_prod!$A$44</f>
        <v>5.7000000000000002E-2</v>
      </c>
      <c r="BG91" s="197">
        <f>Storage_Reconciled_prod!BG91*Storage_Reconciled_prod!$A$44+Storage_rounded_off_prod!BG91*Storage_rounded_off_prod!$A$44</f>
        <v>6.0999999999999999E-2</v>
      </c>
      <c r="BH91" s="197">
        <f>Storage_Reconciled_prod!BH91*Storage_Reconciled_prod!$A$44+Storage_rounded_off_prod!BH91*Storage_rounded_off_prod!$A$44</f>
        <v>0.188</v>
      </c>
      <c r="BI91" s="197">
        <f>Storage_Reconciled_prod!BI91*Storage_Reconciled_prod!$A$44+Storage_rounded_off_prod!BI91*Storage_rounded_off_prod!$A$44</f>
        <v>0.82899999999999985</v>
      </c>
      <c r="BJ91" s="197">
        <f>Storage_Reconciled_prod!BJ91*Storage_Reconciled_prod!$A$44+Storage_rounded_off_prod!BJ91*Storage_rounded_off_prod!$A$44</f>
        <v>7.0999999999999994E-2</v>
      </c>
      <c r="BK91" s="197">
        <f>Storage_Reconciled_prod!BK91*Storage_Reconciled_prod!$A$44+Storage_rounded_off_prod!BK91*Storage_rounded_off_prod!$A$44</f>
        <v>5.8000000000000003E-2</v>
      </c>
      <c r="BL91" s="197">
        <f>Storage_Reconciled_prod!BL91*Storage_Reconciled_prod!$A$44+Storage_rounded_off_prod!BL91*Storage_rounded_off_prod!$A$44</f>
        <v>4.7E-2</v>
      </c>
      <c r="BM91" s="197">
        <f>Storage_Reconciled_prod!BM91*Storage_Reconciled_prod!$A$44+Storage_rounded_off_prod!BM91*Storage_rounded_off_prod!$A$44</f>
        <v>0.17599999999999999</v>
      </c>
      <c r="BN91" s="197">
        <f>Storage_Reconciled_prod!BN91*Storage_Reconciled_prod!$A$44+Storage_rounded_off_prod!BN91*Storage_rounded_off_prod!$A$44</f>
        <v>7.0000000000000007E-2</v>
      </c>
      <c r="BO91" s="197">
        <f>Storage_Reconciled_prod!BO91*Storage_Reconciled_prod!$A$44+Storage_rounded_off_prod!BO91*Storage_rounded_off_prod!$A$44</f>
        <v>7.0000000000000007E-2</v>
      </c>
      <c r="BP91" s="197">
        <f>Storage_Reconciled_prod!BP91*Storage_Reconciled_prod!$A$44+Storage_rounded_off_prod!BP91*Storage_rounded_off_prod!$A$44</f>
        <v>6.6000000000000003E-2</v>
      </c>
      <c r="BQ91" s="197">
        <f>Storage_Reconciled_prod!BQ91*Storage_Reconciled_prod!$A$44+Storage_rounded_off_prod!BQ91*Storage_rounded_off_prod!$A$44</f>
        <v>0.20600000000000002</v>
      </c>
      <c r="BR91" s="197">
        <f>Storage_Reconciled_prod!BR91*Storage_Reconciled_prod!$A$44+Storage_rounded_off_prod!BR91*Storage_rounded_off_prod!$A$44</f>
        <v>0.38200000000000001</v>
      </c>
      <c r="BS91" s="197">
        <f>Storage_Reconciled_prod!BS91*Storage_Reconciled_prod!$A$44+Storage_rounded_off_prod!BS91*Storage_rounded_off_prod!$A$44</f>
        <v>0.06</v>
      </c>
      <c r="BT91" s="197">
        <f>Storage_Reconciled_prod!BT91*Storage_Reconciled_prod!$A$44+Storage_rounded_off_prod!BT91*Storage_rounded_off_prod!$A$44</f>
        <v>5.2999999999999999E-2</v>
      </c>
      <c r="BU91" s="197">
        <f>Storage_Reconciled_prod!BU91*Storage_Reconciled_prod!$A$44+Storage_rounded_off_prod!BU91*Storage_rounded_off_prod!$A$44</f>
        <v>6.7000000000000004E-2</v>
      </c>
      <c r="BV91" s="197">
        <f>Storage_Reconciled_prod!BV91*Storage_Reconciled_prod!$A$44+Storage_rounded_off_prod!BV91*Storage_rounded_off_prod!$A$44</f>
        <v>0.18</v>
      </c>
      <c r="BW91" s="197">
        <f>Storage_Reconciled_prod!BW91*Storage_Reconciled_prod!$A$44+Storage_rounded_off_prod!BW91*Storage_rounded_off_prod!$A$44</f>
        <v>0.56200000000000006</v>
      </c>
      <c r="BX91" s="197">
        <f>Storage_Reconciled_prod!BX91*Storage_Reconciled_prod!$A$44+Storage_rounded_off_prod!BX91*Storage_rounded_off_prod!$A$44</f>
        <v>6.6000000000000003E-2</v>
      </c>
      <c r="BY91" s="197">
        <f>Storage_Reconciled_prod!BY91*Storage_Reconciled_prod!$A$44+Storage_rounded_off_prod!BY91*Storage_rounded_off_prod!$A$44</f>
        <v>4.2000000000000003E-2</v>
      </c>
      <c r="BZ91" s="197">
        <f>Storage_Reconciled_prod!BZ91*Storage_Reconciled_prod!$A$44+Storage_rounded_off_prod!BZ91*Storage_rounded_off_prod!$A$44</f>
        <v>6.6000000000000003E-2</v>
      </c>
      <c r="CA91" s="197">
        <f>Storage_Reconciled_prod!CA91*Storage_Reconciled_prod!$A$44+Storage_rounded_off_prod!CA91*Storage_rounded_off_prod!$A$44</f>
        <v>0.17400000000000002</v>
      </c>
      <c r="CB91" s="197">
        <f>Storage_Reconciled_prod!CB91*Storage_Reconciled_prod!$A$44+Storage_rounded_off_prod!CB91*Storage_rounded_off_prod!$A$44</f>
        <v>0.73599999999999999</v>
      </c>
      <c r="CC91" s="197">
        <f>Storage_Reconciled_prod!CC91*Storage_Reconciled_prod!$A$44+Storage_rounded_off_prod!CC91*Storage_rounded_off_prod!$A$44</f>
        <v>5.1999999999999998E-2</v>
      </c>
      <c r="CD91" s="197">
        <f>Storage_Reconciled_prod!CD91*Storage_Reconciled_prod!$A$44+Storage_rounded_off_prod!CD91*Storage_rounded_off_prod!$A$44</f>
        <v>6.4000000000000001E-2</v>
      </c>
      <c r="CE91" s="197">
        <f>Storage_Reconciled_prod!CE91*Storage_Reconciled_prod!$A$44+Storage_rounded_off_prod!CE91*Storage_rounded_off_prod!$A$44</f>
        <v>6.0999999999999999E-2</v>
      </c>
      <c r="CF91" s="197">
        <f>Storage_Reconciled_prod!CF91*Storage_Reconciled_prod!$A$44+Storage_rounded_off_prod!CF91*Storage_rounded_off_prod!$A$44</f>
        <v>0.17699999999999999</v>
      </c>
      <c r="CG91" s="197">
        <f>Storage_Reconciled_prod!CG91*Storage_Reconciled_prod!$A$44+Storage_rounded_off_prod!CG91*Storage_rounded_off_prod!$A$44</f>
        <v>6.8000000000000005E-2</v>
      </c>
      <c r="CH91" s="197">
        <f>Storage_Reconciled_prod!CH91*Storage_Reconciled_prod!$A$44+Storage_rounded_off_prod!CH91*Storage_rounded_off_prod!$A$44</f>
        <v>0</v>
      </c>
      <c r="CI91" s="197">
        <f>Storage_Reconciled_prod!CI91*Storage_Reconciled_prod!$A$44+Storage_rounded_off_prod!CI91*Storage_rounded_off_prod!$A$44</f>
        <v>0</v>
      </c>
      <c r="CJ91" s="197">
        <f>Storage_Reconciled_prod!CJ91*Storage_Reconciled_prod!$A$44+Storage_rounded_off_prod!CJ91*Storage_rounded_off_prod!$A$44</f>
        <v>0</v>
      </c>
      <c r="CK91" s="197">
        <f>Storage_Reconciled_prod!CK91*Storage_Reconciled_prod!$A$44+Storage_rounded_off_prod!CK91*Storage_rounded_off_prod!$A$44</f>
        <v>0</v>
      </c>
      <c r="CL91" s="197">
        <f>Storage_Reconciled_prod!CL91*Storage_Reconciled_prod!$A$44+Storage_rounded_off_prod!CL91*Storage_rounded_off_prod!$A$44</f>
        <v>0</v>
      </c>
      <c r="CM91" s="197">
        <f>Storage_Reconciled_prod!CM91*Storage_Reconciled_prod!$A$44+Storage_rounded_off_prod!CM91*Storage_rounded_off_prod!$A$44</f>
        <v>0</v>
      </c>
      <c r="CN91" s="197">
        <f>Storage_Reconciled_prod!CN91*Storage_Reconciled_prod!$A$44+Storage_rounded_off_prod!CN91*Storage_rounded_off_prod!$A$44</f>
        <v>0</v>
      </c>
      <c r="CO91" s="197">
        <f>Storage_Reconciled_prod!CO91*Storage_Reconciled_prod!$A$44+Storage_rounded_off_prod!CO91*Storage_rounded_off_prod!$A$44</f>
        <v>0</v>
      </c>
      <c r="CP91" s="197">
        <f>Storage_Reconciled_prod!CP91*Storage_Reconciled_prod!$A$44+Storage_rounded_off_prod!CP91*Storage_rounded_off_prod!$A$44</f>
        <v>0</v>
      </c>
      <c r="CQ91" s="197">
        <f>Storage_Reconciled_prod!CQ91*Storage_Reconciled_prod!$A$44+Storage_rounded_off_prod!CQ91*Storage_rounded_off_prod!$A$44</f>
        <v>0</v>
      </c>
      <c r="CR91" s="197">
        <f>Storage_Reconciled_prod!CR91*Storage_Reconciled_prod!$A$44+Storage_rounded_off_prod!CR91*Storage_rounded_off_prod!$A$44</f>
        <v>0</v>
      </c>
      <c r="CS91" s="197">
        <f>Storage_Reconciled_prod!CS91*Storage_Reconciled_prod!$A$44+Storage_rounded_off_prod!CS91*Storage_rounded_off_prod!$A$44</f>
        <v>0</v>
      </c>
      <c r="CT91" s="197">
        <f>Storage_Reconciled_prod!CT91*Storage_Reconciled_prod!$A$44+Storage_rounded_off_prod!CT91*Storage_rounded_off_prod!$A$44</f>
        <v>0</v>
      </c>
      <c r="CU91" s="197">
        <f>Storage_Reconciled_prod!CU91*Storage_Reconciled_prod!$A$44+Storage_rounded_off_prod!CU91*Storage_rounded_off_prod!$A$44</f>
        <v>0</v>
      </c>
    </row>
    <row r="92" spans="1:99">
      <c r="C92">
        <v>10</v>
      </c>
      <c r="D92" s="209" t="s">
        <v>64</v>
      </c>
      <c r="E92" s="197">
        <f>Storage_Reconciled_prod!E92*Storage_Reconciled_prod!$A$44+Storage_rounded_off_prod!E92*Storage_rounded_off_prod!$A$44</f>
        <v>7.0000000000000001E-3</v>
      </c>
      <c r="F92" s="197">
        <f>Storage_Reconciled_prod!F92*Storage_Reconciled_prod!$A$44+Storage_rounded_off_prod!F92*Storage_rounded_off_prod!$A$44</f>
        <v>6.0000000000000001E-3</v>
      </c>
      <c r="G92" s="197">
        <f>Storage_Reconciled_prod!G92*Storage_Reconciled_prod!$A$44+Storage_rounded_off_prod!G92*Storage_rounded_off_prod!$A$44</f>
        <v>7.0000000000000001E-3</v>
      </c>
      <c r="H92" s="197">
        <f>Storage_Reconciled_prod!H92*Storage_Reconciled_prod!$A$44+Storage_rounded_off_prod!H92*Storage_rounded_off_prod!$A$44</f>
        <v>2.0000000000000004E-2</v>
      </c>
      <c r="I92" s="197">
        <f>Storage_Reconciled_prod!I92*Storage_Reconciled_prod!$A$44+Storage_rounded_off_prod!I92*Storage_rounded_off_prod!$A$44</f>
        <v>6.0000000000000001E-3</v>
      </c>
      <c r="J92" s="197">
        <f>Storage_Reconciled_prod!J92*Storage_Reconciled_prod!$A$44+Storage_rounded_off_prod!J92*Storage_rounded_off_prod!$A$44</f>
        <v>6.0000000000000001E-3</v>
      </c>
      <c r="K92" s="197">
        <f>Storage_Reconciled_prod!K92*Storage_Reconciled_prod!$A$44+Storage_rounded_off_prod!K92*Storage_rounded_off_prod!$A$44</f>
        <v>5.0000000000000001E-3</v>
      </c>
      <c r="L92" s="197">
        <f>Storage_Reconciled_prod!L92*Storage_Reconciled_prod!$A$44+Storage_rounded_off_prod!L92*Storage_rounded_off_prod!$A$44</f>
        <v>1.7000000000000001E-2</v>
      </c>
      <c r="M92" s="197">
        <f>Storage_Reconciled_prod!M92*Storage_Reconciled_prod!$A$44+Storage_rounded_off_prod!M92*Storage_rounded_off_prod!$A$44</f>
        <v>3.7000000000000005E-2</v>
      </c>
      <c r="N92" s="197">
        <f>Storage_Reconciled_prod!N92*Storage_Reconciled_prod!$A$44+Storage_rounded_off_prod!N92*Storage_rounded_off_prod!$A$44</f>
        <v>5.0000000000000001E-3</v>
      </c>
      <c r="O92" s="197">
        <f>Storage_Reconciled_prod!O92*Storage_Reconciled_prod!$A$44+Storage_rounded_off_prod!O92*Storage_rounded_off_prod!$A$44</f>
        <v>6.0000000000000001E-3</v>
      </c>
      <c r="P92" s="197">
        <f>Storage_Reconciled_prod!P92*Storage_Reconciled_prod!$A$44+Storage_rounded_off_prod!P92*Storage_rounded_off_prod!$A$44</f>
        <v>4.0000000000000001E-3</v>
      </c>
      <c r="Q92" s="197">
        <f>Storage_Reconciled_prod!Q92*Storage_Reconciled_prod!$A$44+Storage_rounded_off_prod!Q92*Storage_rounded_off_prod!$A$44</f>
        <v>1.5000000000000001E-2</v>
      </c>
      <c r="R92" s="197">
        <f>Storage_Reconciled_prod!R92*Storage_Reconciled_prod!$A$44+Storage_rounded_off_prod!R92*Storage_rounded_off_prod!$A$44</f>
        <v>5.1999999999999998E-2</v>
      </c>
      <c r="S92" s="197">
        <f>Storage_Reconciled_prod!S92*Storage_Reconciled_prod!$A$44+Storage_rounded_off_prod!S92*Storage_rounded_off_prod!$A$44</f>
        <v>5.0000000000000001E-3</v>
      </c>
      <c r="T92" s="197">
        <f>Storage_Reconciled_prod!T92*Storage_Reconciled_prod!$A$44+Storage_rounded_off_prod!T92*Storage_rounded_off_prod!$A$44</f>
        <v>4.0000000000000001E-3</v>
      </c>
      <c r="U92" s="197">
        <f>Storage_Reconciled_prod!U92*Storage_Reconciled_prod!$A$44+Storage_rounded_off_prod!U92*Storage_rounded_off_prod!$A$44</f>
        <v>4.0000000000000001E-3</v>
      </c>
      <c r="V92" s="197">
        <f>Storage_Reconciled_prod!V92*Storage_Reconciled_prod!$A$44+Storage_rounded_off_prod!V92*Storage_rounded_off_prod!$A$44</f>
        <v>1.2999999999999999E-2</v>
      </c>
      <c r="W92" s="197">
        <f>Storage_Reconciled_prod!W92*Storage_Reconciled_prod!$A$44+Storage_rounded_off_prod!W92*Storage_rounded_off_prod!$A$44</f>
        <v>6.5000000000000002E-2</v>
      </c>
      <c r="X92" s="197">
        <f>Storage_Reconciled_prod!X92*Storage_Reconciled_prod!$A$44+Storage_rounded_off_prod!X92*Storage_rounded_off_prod!$A$44</f>
        <v>5.0000000000000001E-3</v>
      </c>
      <c r="Y92" s="197">
        <f>Storage_Reconciled_prod!Y92*Storage_Reconciled_prod!$A$44+Storage_rounded_off_prod!Y92*Storage_rounded_off_prod!$A$44</f>
        <v>6.0000000000000001E-3</v>
      </c>
      <c r="Z92" s="197">
        <f>Storage_Reconciled_prod!Z92*Storage_Reconciled_prod!$A$44+Storage_rounded_off_prod!Z92*Storage_rounded_off_prod!$A$44</f>
        <v>5.0000000000000001E-3</v>
      </c>
      <c r="AA92" s="197">
        <f>Storage_Reconciled_prod!AA92*Storage_Reconciled_prod!$A$44+Storage_rounded_off_prod!AA92*Storage_rounded_off_prod!$A$44</f>
        <v>1.6E-2</v>
      </c>
      <c r="AB92" s="197">
        <f>Storage_Reconciled_prod!AB92*Storage_Reconciled_prod!$A$44+Storage_rounded_off_prod!AB92*Storage_rounded_off_prod!$A$44</f>
        <v>5.0000000000000001E-3</v>
      </c>
      <c r="AC92" s="197">
        <f>Storage_Reconciled_prod!AC92*Storage_Reconciled_prod!$A$44+Storage_rounded_off_prod!AC92*Storage_rounded_off_prod!$A$44</f>
        <v>6.0000000000000001E-3</v>
      </c>
      <c r="AD92" s="197">
        <f>Storage_Reconciled_prod!AD92*Storage_Reconciled_prod!$A$44+Storage_rounded_off_prod!AD92*Storage_rounded_off_prod!$A$44</f>
        <v>5.0000000000000001E-3</v>
      </c>
      <c r="AE92" s="197">
        <f>Storage_Reconciled_prod!AE92*Storage_Reconciled_prod!$A$44+Storage_rounded_off_prod!AE92*Storage_rounded_off_prod!$A$44</f>
        <v>1.6E-2</v>
      </c>
      <c r="AF92" s="197">
        <f>Storage_Reconciled_prod!AF92*Storage_Reconciled_prod!$A$44+Storage_rounded_off_prod!AF92*Storage_rounded_off_prod!$A$44</f>
        <v>3.2000000000000001E-2</v>
      </c>
      <c r="AG92" s="197">
        <f>Storage_Reconciled_prod!AG92*Storage_Reconciled_prod!$A$44+Storage_rounded_off_prod!AG92*Storage_rounded_off_prod!$A$44</f>
        <v>5.0000000000000001E-3</v>
      </c>
      <c r="AH92" s="197">
        <f>Storage_Reconciled_prod!AH92*Storage_Reconciled_prod!$A$44+Storage_rounded_off_prod!AH92*Storage_rounded_off_prod!$A$44</f>
        <v>6.0000000000000001E-3</v>
      </c>
      <c r="AI92" s="197">
        <f>Storage_Reconciled_prod!AI92*Storage_Reconciled_prod!$A$44+Storage_rounded_off_prod!AI92*Storage_rounded_off_prod!$A$44</f>
        <v>5.0000000000000001E-3</v>
      </c>
      <c r="AJ92" s="197">
        <f>Storage_Reconciled_prod!AJ92*Storage_Reconciled_prod!$A$44+Storage_rounded_off_prod!AJ92*Storage_rounded_off_prod!$A$44</f>
        <v>1.6E-2</v>
      </c>
      <c r="AK92" s="197">
        <f>Storage_Reconciled_prod!AK92*Storage_Reconciled_prod!$A$44+Storage_rounded_off_prod!AK92*Storage_rounded_off_prod!$A$44</f>
        <v>4.8000000000000001E-2</v>
      </c>
      <c r="AL92" s="197">
        <f>Storage_Reconciled_prod!AL92*Storage_Reconciled_prod!$A$44+Storage_rounded_off_prod!AL92*Storage_rounded_off_prod!$A$44</f>
        <v>5.0000000000000001E-3</v>
      </c>
      <c r="AM92" s="197">
        <f>Storage_Reconciled_prod!AM92*Storage_Reconciled_prod!$A$44+Storage_rounded_off_prod!AM92*Storage_rounded_off_prod!$A$44</f>
        <v>5.0000000000000001E-3</v>
      </c>
      <c r="AN92" s="197">
        <f>Storage_Reconciled_prod!AN92*Storage_Reconciled_prod!$A$44+Storage_rounded_off_prod!AN92*Storage_rounded_off_prod!$A$44</f>
        <v>6.0000000000000001E-3</v>
      </c>
      <c r="AO92" s="197">
        <f>Storage_Reconciled_prod!AO92*Storage_Reconciled_prod!$A$44+Storage_rounded_off_prod!AO92*Storage_rounded_off_prod!$A$44</f>
        <v>1.6E-2</v>
      </c>
      <c r="AP92" s="197">
        <f>Storage_Reconciled_prod!AP92*Storage_Reconciled_prod!$A$44+Storage_rounded_off_prod!AP92*Storage_rounded_off_prod!$A$44</f>
        <v>6.4000000000000001E-2</v>
      </c>
      <c r="AQ92" s="197">
        <f>Storage_Reconciled_prod!AQ92*Storage_Reconciled_prod!$A$44+Storage_rounded_off_prod!AQ92*Storage_rounded_off_prod!$A$44</f>
        <v>5.0000000000000001E-3</v>
      </c>
      <c r="AR92" s="197">
        <f>Storage_Reconciled_prod!AR92*Storage_Reconciled_prod!$A$44+Storage_rounded_off_prod!AR92*Storage_rounded_off_prod!$A$44</f>
        <v>5.0000000000000001E-3</v>
      </c>
      <c r="AS92" s="197">
        <f>Storage_Reconciled_prod!AS92*Storage_Reconciled_prod!$A$44+Storage_rounded_off_prod!AS92*Storage_rounded_off_prod!$A$44</f>
        <v>6.0000000000000001E-3</v>
      </c>
      <c r="AT92" s="197">
        <f>Storage_Reconciled_prod!AT92*Storage_Reconciled_prod!$A$44+Storage_rounded_off_prod!AT92*Storage_rounded_off_prod!$A$44</f>
        <v>1.6E-2</v>
      </c>
      <c r="AU92" s="197">
        <f>Storage_Reconciled_prod!AU92*Storage_Reconciled_prod!$A$44+Storage_rounded_off_prod!AU92*Storage_rounded_off_prod!$A$44</f>
        <v>5.0000000000000001E-3</v>
      </c>
      <c r="AV92" s="197">
        <f>Storage_Reconciled_prod!AV92*Storage_Reconciled_prod!$A$44+Storage_rounded_off_prod!AV92*Storage_rounded_off_prod!$A$44</f>
        <v>5.0000000000000001E-3</v>
      </c>
      <c r="AW92" s="197">
        <f>Storage_Reconciled_prod!AW92*Storage_Reconciled_prod!$A$44+Storage_rounded_off_prod!AW92*Storage_rounded_off_prod!$A$44</f>
        <v>4.0000000000000001E-3</v>
      </c>
      <c r="AX92" s="197">
        <f>Storage_Reconciled_prod!AX92*Storage_Reconciled_prod!$A$44+Storage_rounded_off_prod!AX92*Storage_rounded_off_prod!$A$44</f>
        <v>1.4E-2</v>
      </c>
      <c r="AY92" s="197">
        <f>Storage_Reconciled_prod!AY92*Storage_Reconciled_prod!$A$44+Storage_rounded_off_prod!AY92*Storage_rounded_off_prod!$A$44</f>
        <v>3.0000000000000002E-2</v>
      </c>
      <c r="AZ92" s="197">
        <f>Storage_Reconciled_prod!AZ92*Storage_Reconciled_prod!$A$44+Storage_rounded_off_prod!AZ92*Storage_rounded_off_prod!$A$44</f>
        <v>5.0000000000000001E-3</v>
      </c>
      <c r="BA92" s="197">
        <f>Storage_Reconciled_prod!BA92*Storage_Reconciled_prod!$A$44+Storage_rounded_off_prod!BA92*Storage_rounded_off_prod!$A$44</f>
        <v>5.0000000000000001E-3</v>
      </c>
      <c r="BB92" s="197">
        <f>Storage_Reconciled_prod!BB92*Storage_Reconciled_prod!$A$44+Storage_rounded_off_prod!BB92*Storage_rounded_off_prod!$A$44</f>
        <v>5.0000000000000001E-3</v>
      </c>
      <c r="BC92" s="197">
        <f>Storage_Reconciled_prod!BC92*Storage_Reconciled_prod!$A$44+Storage_rounded_off_prod!BC92*Storage_rounded_off_prod!$A$44</f>
        <v>1.4999999999999999E-2</v>
      </c>
      <c r="BD92" s="197">
        <f>Storage_Reconciled_prod!BD92*Storage_Reconciled_prod!$A$44+Storage_rounded_off_prod!BD92*Storage_rounded_off_prod!$A$44</f>
        <v>4.5000000000000005E-2</v>
      </c>
      <c r="BE92" s="197">
        <f>Storage_Reconciled_prod!BE92*Storage_Reconciled_prod!$A$44+Storage_rounded_off_prod!BE92*Storage_rounded_off_prod!$A$44</f>
        <v>4.0000000000000001E-3</v>
      </c>
      <c r="BF92" s="197">
        <f>Storage_Reconciled_prod!BF92*Storage_Reconciled_prod!$A$44+Storage_rounded_off_prod!BF92*Storage_rounded_off_prod!$A$44</f>
        <v>4.0000000000000001E-3</v>
      </c>
      <c r="BG92" s="197">
        <f>Storage_Reconciled_prod!BG92*Storage_Reconciled_prod!$A$44+Storage_rounded_off_prod!BG92*Storage_rounded_off_prod!$A$44</f>
        <v>4.0000000000000001E-3</v>
      </c>
      <c r="BH92" s="197">
        <f>Storage_Reconciled_prod!BH92*Storage_Reconciled_prod!$A$44+Storage_rounded_off_prod!BH92*Storage_rounded_off_prod!$A$44</f>
        <v>1.2E-2</v>
      </c>
      <c r="BI92" s="197">
        <f>Storage_Reconciled_prod!BI92*Storage_Reconciled_prod!$A$44+Storage_rounded_off_prod!BI92*Storage_rounded_off_prod!$A$44</f>
        <v>5.7000000000000002E-2</v>
      </c>
      <c r="BJ92" s="197">
        <f>Storage_Reconciled_prod!BJ92*Storage_Reconciled_prod!$A$44+Storage_rounded_off_prod!BJ92*Storage_rounded_off_prod!$A$44</f>
        <v>5.0000000000000001E-3</v>
      </c>
      <c r="BK92" s="197">
        <f>Storage_Reconciled_prod!BK92*Storage_Reconciled_prod!$A$44+Storage_rounded_off_prod!BK92*Storage_rounded_off_prod!$A$44</f>
        <v>5.0000000000000001E-3</v>
      </c>
      <c r="BL92" s="197">
        <f>Storage_Reconciled_prod!BL92*Storage_Reconciled_prod!$A$44+Storage_rounded_off_prod!BL92*Storage_rounded_off_prod!$A$44</f>
        <v>4.0000000000000001E-3</v>
      </c>
      <c r="BM92" s="197">
        <f>Storage_Reconciled_prod!BM92*Storage_Reconciled_prod!$A$44+Storage_rounded_off_prod!BM92*Storage_rounded_off_prod!$A$44</f>
        <v>1.4E-2</v>
      </c>
      <c r="BN92" s="197">
        <f>Storage_Reconciled_prod!BN92*Storage_Reconciled_prod!$A$44+Storage_rounded_off_prod!BN92*Storage_rounded_off_prod!$A$44</f>
        <v>5.0000000000000001E-3</v>
      </c>
      <c r="BO92" s="197">
        <f>Storage_Reconciled_prod!BO92*Storage_Reconciled_prod!$A$44+Storage_rounded_off_prod!BO92*Storage_rounded_off_prod!$A$44</f>
        <v>4.0000000000000001E-3</v>
      </c>
      <c r="BP92" s="197">
        <f>Storage_Reconciled_prod!BP92*Storage_Reconciled_prod!$A$44+Storage_rounded_off_prod!BP92*Storage_rounded_off_prod!$A$44</f>
        <v>5.0000000000000001E-3</v>
      </c>
      <c r="BQ92" s="197">
        <f>Storage_Reconciled_prod!BQ92*Storage_Reconciled_prod!$A$44+Storage_rounded_off_prod!BQ92*Storage_rounded_off_prod!$A$44</f>
        <v>1.4000000000000002E-2</v>
      </c>
      <c r="BR92" s="197">
        <f>Storage_Reconciled_prod!BR92*Storage_Reconciled_prod!$A$44+Storage_rounded_off_prod!BR92*Storage_rounded_off_prod!$A$44</f>
        <v>2.8000000000000004E-2</v>
      </c>
      <c r="BS92" s="197">
        <f>Storage_Reconciled_prod!BS92*Storage_Reconciled_prod!$A$44+Storage_rounded_off_prod!BS92*Storage_rounded_off_prod!$A$44</f>
        <v>5.0000000000000001E-3</v>
      </c>
      <c r="BT92" s="197">
        <f>Storage_Reconciled_prod!BT92*Storage_Reconciled_prod!$A$44+Storage_rounded_off_prod!BT92*Storage_rounded_off_prod!$A$44</f>
        <v>3.0000000000000001E-3</v>
      </c>
      <c r="BU92" s="197">
        <f>Storage_Reconciled_prod!BU92*Storage_Reconciled_prod!$A$44+Storage_rounded_off_prod!BU92*Storage_rounded_off_prod!$A$44</f>
        <v>5.0000000000000001E-3</v>
      </c>
      <c r="BV92" s="197">
        <f>Storage_Reconciled_prod!BV92*Storage_Reconciled_prod!$A$44+Storage_rounded_off_prod!BV92*Storage_rounded_off_prod!$A$44</f>
        <v>1.3000000000000001E-2</v>
      </c>
      <c r="BW92" s="197">
        <f>Storage_Reconciled_prod!BW92*Storage_Reconciled_prod!$A$44+Storage_rounded_off_prod!BW92*Storage_rounded_off_prod!$A$44</f>
        <v>4.1000000000000009E-2</v>
      </c>
      <c r="BX92" s="197">
        <f>Storage_Reconciled_prod!BX92*Storage_Reconciled_prod!$A$44+Storage_rounded_off_prod!BX92*Storage_rounded_off_prod!$A$44</f>
        <v>1E-3</v>
      </c>
      <c r="BY92" s="197">
        <f>Storage_Reconciled_prod!BY92*Storage_Reconciled_prod!$A$44+Storage_rounded_off_prod!BY92*Storage_rounded_off_prod!$A$44</f>
        <v>4.0000000000000001E-3</v>
      </c>
      <c r="BZ92" s="197">
        <f>Storage_Reconciled_prod!BZ92*Storage_Reconciled_prod!$A$44+Storage_rounded_off_prod!BZ92*Storage_rounded_off_prod!$A$44</f>
        <v>5.0000000000000001E-3</v>
      </c>
      <c r="CA92" s="197">
        <f>Storage_Reconciled_prod!CA92*Storage_Reconciled_prod!$A$44+Storage_rounded_off_prod!CA92*Storage_rounded_off_prod!$A$44</f>
        <v>0.01</v>
      </c>
      <c r="CB92" s="197">
        <f>Storage_Reconciled_prod!CB92*Storage_Reconciled_prod!$A$44+Storage_rounded_off_prod!CB92*Storage_rounded_off_prod!$A$44</f>
        <v>5.0999999999999997E-2</v>
      </c>
      <c r="CC92" s="197">
        <f>Storage_Reconciled_prod!CC92*Storage_Reconciled_prod!$A$44+Storage_rounded_off_prod!CC92*Storage_rounded_off_prod!$A$44</f>
        <v>5.0000000000000001E-3</v>
      </c>
      <c r="CD92" s="197">
        <f>Storage_Reconciled_prod!CD92*Storage_Reconciled_prod!$A$44+Storage_rounded_off_prod!CD92*Storage_rounded_off_prod!$A$44</f>
        <v>5.0000000000000001E-3</v>
      </c>
      <c r="CE92" s="197">
        <f>Storage_Reconciled_prod!CE92*Storage_Reconciled_prod!$A$44+Storage_rounded_off_prod!CE92*Storage_rounded_off_prod!$A$44</f>
        <v>4.0000000000000001E-3</v>
      </c>
      <c r="CF92" s="197">
        <f>Storage_Reconciled_prod!CF92*Storage_Reconciled_prod!$A$44+Storage_rounded_off_prod!CF92*Storage_rounded_off_prod!$A$44</f>
        <v>1.4E-2</v>
      </c>
      <c r="CG92" s="197">
        <f>Storage_Reconciled_prod!CG92*Storage_Reconciled_prod!$A$44+Storage_rounded_off_prod!CG92*Storage_rounded_off_prod!$A$44</f>
        <v>5.0000000000000001E-3</v>
      </c>
      <c r="CH92" s="197">
        <f>Storage_Reconciled_prod!CH92*Storage_Reconciled_prod!$A$44+Storage_rounded_off_prod!CH92*Storage_rounded_off_prod!$A$44</f>
        <v>0</v>
      </c>
      <c r="CI92" s="197">
        <f>Storage_Reconciled_prod!CI92*Storage_Reconciled_prod!$A$44+Storage_rounded_off_prod!CI92*Storage_rounded_off_prod!$A$44</f>
        <v>0</v>
      </c>
      <c r="CJ92" s="197">
        <f>Storage_Reconciled_prod!CJ92*Storage_Reconciled_prod!$A$44+Storage_rounded_off_prod!CJ92*Storage_rounded_off_prod!$A$44</f>
        <v>0</v>
      </c>
      <c r="CK92" s="197">
        <f>Storage_Reconciled_prod!CK92*Storage_Reconciled_prod!$A$44+Storage_rounded_off_prod!CK92*Storage_rounded_off_prod!$A$44</f>
        <v>0</v>
      </c>
      <c r="CL92" s="197">
        <f>Storage_Reconciled_prod!CL92*Storage_Reconciled_prod!$A$44+Storage_rounded_off_prod!CL92*Storage_rounded_off_prod!$A$44</f>
        <v>0</v>
      </c>
      <c r="CM92" s="197">
        <f>Storage_Reconciled_prod!CM92*Storage_Reconciled_prod!$A$44+Storage_rounded_off_prod!CM92*Storage_rounded_off_prod!$A$44</f>
        <v>0</v>
      </c>
      <c r="CN92" s="197">
        <f>Storage_Reconciled_prod!CN92*Storage_Reconciled_prod!$A$44+Storage_rounded_off_prod!CN92*Storage_rounded_off_prod!$A$44</f>
        <v>0</v>
      </c>
      <c r="CO92" s="197">
        <f>Storage_Reconciled_prod!CO92*Storage_Reconciled_prod!$A$44+Storage_rounded_off_prod!CO92*Storage_rounded_off_prod!$A$44</f>
        <v>0</v>
      </c>
      <c r="CP92" s="197">
        <f>Storage_Reconciled_prod!CP92*Storage_Reconciled_prod!$A$44+Storage_rounded_off_prod!CP92*Storage_rounded_off_prod!$A$44</f>
        <v>0</v>
      </c>
      <c r="CQ92" s="197">
        <f>Storage_Reconciled_prod!CQ92*Storage_Reconciled_prod!$A$44+Storage_rounded_off_prod!CQ92*Storage_rounded_off_prod!$A$44</f>
        <v>0</v>
      </c>
      <c r="CR92" s="197">
        <f>Storage_Reconciled_prod!CR92*Storage_Reconciled_prod!$A$44+Storage_rounded_off_prod!CR92*Storage_rounded_off_prod!$A$44</f>
        <v>0</v>
      </c>
      <c r="CS92" s="197">
        <f>Storage_Reconciled_prod!CS92*Storage_Reconciled_prod!$A$44+Storage_rounded_off_prod!CS92*Storage_rounded_off_prod!$A$44</f>
        <v>0</v>
      </c>
      <c r="CT92" s="197">
        <f>Storage_Reconciled_prod!CT92*Storage_Reconciled_prod!$A$44+Storage_rounded_off_prod!CT92*Storage_rounded_off_prod!$A$44</f>
        <v>0</v>
      </c>
      <c r="CU92" s="197">
        <f>Storage_Reconciled_prod!CU92*Storage_Reconciled_prod!$A$44+Storage_rounded_off_prod!CU92*Storage_rounded_off_prod!$A$44</f>
        <v>0</v>
      </c>
    </row>
    <row r="93" spans="1:99">
      <c r="C93">
        <v>11</v>
      </c>
      <c r="D93" s="209" t="s">
        <v>65</v>
      </c>
      <c r="E93" s="197">
        <f>Storage_Reconciled_prod!E93*Storage_Reconciled_prod!$A$44+Storage_rounded_off_prod!E93*Storage_rounded_off_prod!$A$44</f>
        <v>5.0000000000000001E-3</v>
      </c>
      <c r="F93" s="197">
        <f>Storage_Reconciled_prod!F93*Storage_Reconciled_prod!$A$44+Storage_rounded_off_prod!F93*Storage_rounded_off_prod!$A$44</f>
        <v>5.0000000000000001E-3</v>
      </c>
      <c r="G93" s="197">
        <f>Storage_Reconciled_prod!G93*Storage_Reconciled_prod!$A$44+Storage_rounded_off_prod!G93*Storage_rounded_off_prod!$A$44</f>
        <v>3.0000000000000001E-3</v>
      </c>
      <c r="H93" s="197">
        <f>Storage_Reconciled_prod!H93*Storage_Reconciled_prod!$A$44+Storage_rounded_off_prod!H93*Storage_rounded_off_prod!$A$44</f>
        <v>1.3000000000000001E-2</v>
      </c>
      <c r="I93" s="197">
        <f>Storage_Reconciled_prod!I93*Storage_Reconciled_prod!$A$44+Storage_rounded_off_prod!I93*Storage_rounded_off_prod!$A$44</f>
        <v>5.0000000000000001E-3</v>
      </c>
      <c r="J93" s="197">
        <f>Storage_Reconciled_prod!J93*Storage_Reconciled_prod!$A$44+Storage_rounded_off_prod!J93*Storage_rounded_off_prod!$A$44</f>
        <v>6.0000000000000001E-3</v>
      </c>
      <c r="K93" s="197">
        <f>Storage_Reconciled_prod!K93*Storage_Reconciled_prod!$A$44+Storage_rounded_off_prod!K93*Storage_rounded_off_prod!$A$44</f>
        <v>4.0000000000000001E-3</v>
      </c>
      <c r="L93" s="197">
        <f>Storage_Reconciled_prod!L93*Storage_Reconciled_prod!$A$44+Storage_rounded_off_prod!L93*Storage_rounded_off_prod!$A$44</f>
        <v>1.5000000000000001E-2</v>
      </c>
      <c r="M93" s="197">
        <f>Storage_Reconciled_prod!M93*Storage_Reconciled_prod!$A$44+Storage_rounded_off_prod!M93*Storage_rounded_off_prod!$A$44</f>
        <v>2.8000000000000001E-2</v>
      </c>
      <c r="N93" s="197">
        <f>Storage_Reconciled_prod!N93*Storage_Reconciled_prod!$A$44+Storage_rounded_off_prod!N93*Storage_rounded_off_prod!$A$44</f>
        <v>5.0000000000000001E-3</v>
      </c>
      <c r="O93" s="197">
        <f>Storage_Reconciled_prod!O93*Storage_Reconciled_prod!$A$44+Storage_rounded_off_prod!O93*Storage_rounded_off_prod!$A$44</f>
        <v>5.0000000000000001E-3</v>
      </c>
      <c r="P93" s="197">
        <f>Storage_Reconciled_prod!P93*Storage_Reconciled_prod!$A$44+Storage_rounded_off_prod!P93*Storage_rounded_off_prod!$A$44</f>
        <v>6.0000000000000001E-3</v>
      </c>
      <c r="Q93" s="197">
        <f>Storage_Reconciled_prod!Q93*Storage_Reconciled_prod!$A$44+Storage_rounded_off_prod!Q93*Storage_rounded_off_prod!$A$44</f>
        <v>1.6E-2</v>
      </c>
      <c r="R93" s="197">
        <f>Storage_Reconciled_prod!R93*Storage_Reconciled_prod!$A$44+Storage_rounded_off_prod!R93*Storage_rounded_off_prod!$A$44</f>
        <v>4.4000000000000004E-2</v>
      </c>
      <c r="S93" s="197">
        <f>Storage_Reconciled_prod!S93*Storage_Reconciled_prod!$A$44+Storage_rounded_off_prod!S93*Storage_rounded_off_prod!$A$44</f>
        <v>5.0000000000000001E-3</v>
      </c>
      <c r="T93" s="197">
        <f>Storage_Reconciled_prod!T93*Storage_Reconciled_prod!$A$44+Storage_rounded_off_prod!T93*Storage_rounded_off_prod!$A$44</f>
        <v>5.0000000000000001E-3</v>
      </c>
      <c r="U93" s="197">
        <f>Storage_Reconciled_prod!U93*Storage_Reconciled_prod!$A$44+Storage_rounded_off_prod!U93*Storage_rounded_off_prod!$A$44</f>
        <v>7.0000000000000001E-3</v>
      </c>
      <c r="V93" s="197">
        <f>Storage_Reconciled_prod!V93*Storage_Reconciled_prod!$A$44+Storage_rounded_off_prod!V93*Storage_rounded_off_prod!$A$44</f>
        <v>1.7000000000000001E-2</v>
      </c>
      <c r="W93" s="197">
        <f>Storage_Reconciled_prod!W93*Storage_Reconciled_prod!$A$44+Storage_rounded_off_prod!W93*Storage_rounded_off_prod!$A$44</f>
        <v>6.1000000000000006E-2</v>
      </c>
      <c r="X93" s="197">
        <f>Storage_Reconciled_prod!X93*Storage_Reconciled_prod!$A$44+Storage_rounded_off_prod!X93*Storage_rounded_off_prod!$A$44</f>
        <v>7.0000000000000001E-3</v>
      </c>
      <c r="Y93" s="197">
        <f>Storage_Reconciled_prod!Y93*Storage_Reconciled_prod!$A$44+Storage_rounded_off_prod!Y93*Storage_rounded_off_prod!$A$44</f>
        <v>7.0000000000000001E-3</v>
      </c>
      <c r="Z93" s="197">
        <f>Storage_Reconciled_prod!Z93*Storage_Reconciled_prod!$A$44+Storage_rounded_off_prod!Z93*Storage_rounded_off_prod!$A$44</f>
        <v>7.0000000000000001E-3</v>
      </c>
      <c r="AA93" s="197">
        <f>Storage_Reconciled_prod!AA93*Storage_Reconciled_prod!$A$44+Storage_rounded_off_prod!AA93*Storage_rounded_off_prod!$A$44</f>
        <v>2.1000000000000001E-2</v>
      </c>
      <c r="AB93" s="197">
        <f>Storage_Reconciled_prod!AB93*Storage_Reconciled_prod!$A$44+Storage_rounded_off_prod!AB93*Storage_rounded_off_prod!$A$44</f>
        <v>8.0000000000000002E-3</v>
      </c>
      <c r="AC93" s="197">
        <f>Storage_Reconciled_prod!AC93*Storage_Reconciled_prod!$A$44+Storage_rounded_off_prod!AC93*Storage_rounded_off_prod!$A$44</f>
        <v>7.0000000000000001E-3</v>
      </c>
      <c r="AD93" s="197">
        <f>Storage_Reconciled_prod!AD93*Storage_Reconciled_prod!$A$44+Storage_rounded_off_prod!AD93*Storage_rounded_off_prod!$A$44</f>
        <v>6.0000000000000001E-3</v>
      </c>
      <c r="AE93" s="197">
        <f>Storage_Reconciled_prod!AE93*Storage_Reconciled_prod!$A$44+Storage_rounded_off_prod!AE93*Storage_rounded_off_prod!$A$44</f>
        <v>2.1000000000000001E-2</v>
      </c>
      <c r="AF93" s="197">
        <f>Storage_Reconciled_prod!AF93*Storage_Reconciled_prod!$A$44+Storage_rounded_off_prod!AF93*Storage_rounded_off_prod!$A$44</f>
        <v>4.2000000000000003E-2</v>
      </c>
      <c r="AG93" s="197">
        <f>Storage_Reconciled_prod!AG93*Storage_Reconciled_prod!$A$44+Storage_rounded_off_prod!AG93*Storage_rounded_off_prod!$A$44</f>
        <v>7.0000000000000001E-3</v>
      </c>
      <c r="AH93" s="197">
        <f>Storage_Reconciled_prod!AH93*Storage_Reconciled_prod!$A$44+Storage_rounded_off_prod!AH93*Storage_rounded_off_prod!$A$44</f>
        <v>8.0000000000000002E-3</v>
      </c>
      <c r="AI93" s="197">
        <f>Storage_Reconciled_prod!AI93*Storage_Reconciled_prod!$A$44+Storage_rounded_off_prod!AI93*Storage_rounded_off_prod!$A$44</f>
        <v>8.0000000000000002E-3</v>
      </c>
      <c r="AJ93" s="197">
        <f>Storage_Reconciled_prod!AJ93*Storage_Reconciled_prod!$A$44+Storage_rounded_off_prod!AJ93*Storage_rounded_off_prod!$A$44</f>
        <v>2.3000000000000003E-2</v>
      </c>
      <c r="AK93" s="197">
        <f>Storage_Reconciled_prod!AK93*Storage_Reconciled_prod!$A$44+Storage_rounded_off_prod!AK93*Storage_rounded_off_prod!$A$44</f>
        <v>6.5000000000000002E-2</v>
      </c>
      <c r="AL93" s="197">
        <f>Storage_Reconciled_prod!AL93*Storage_Reconciled_prod!$A$44+Storage_rounded_off_prod!AL93*Storage_rounded_off_prod!$A$44</f>
        <v>8.0000000000000002E-3</v>
      </c>
      <c r="AM93" s="197">
        <f>Storage_Reconciled_prod!AM93*Storage_Reconciled_prod!$A$44+Storage_rounded_off_prod!AM93*Storage_rounded_off_prod!$A$44</f>
        <v>7.0000000000000001E-3</v>
      </c>
      <c r="AN93" s="197">
        <f>Storage_Reconciled_prod!AN93*Storage_Reconciled_prod!$A$44+Storage_rounded_off_prod!AN93*Storage_rounded_off_prod!$A$44</f>
        <v>8.0000000000000002E-3</v>
      </c>
      <c r="AO93" s="197">
        <f>Storage_Reconciled_prod!AO93*Storage_Reconciled_prod!$A$44+Storage_rounded_off_prod!AO93*Storage_rounded_off_prod!$A$44</f>
        <v>2.3E-2</v>
      </c>
      <c r="AP93" s="197">
        <f>Storage_Reconciled_prod!AP93*Storage_Reconciled_prod!$A$44+Storage_rounded_off_prod!AP93*Storage_rounded_off_prod!$A$44</f>
        <v>8.8000000000000009E-2</v>
      </c>
      <c r="AQ93" s="197">
        <f>Storage_Reconciled_prod!AQ93*Storage_Reconciled_prod!$A$44+Storage_rounded_off_prod!AQ93*Storage_rounded_off_prod!$A$44</f>
        <v>8.0000000000000002E-3</v>
      </c>
      <c r="AR93" s="197">
        <f>Storage_Reconciled_prod!AR93*Storage_Reconciled_prod!$A$44+Storage_rounded_off_prod!AR93*Storage_rounded_off_prod!$A$44</f>
        <v>9.0000000000000011E-3</v>
      </c>
      <c r="AS93" s="197">
        <f>Storage_Reconciled_prod!AS93*Storage_Reconciled_prod!$A$44+Storage_rounded_off_prod!AS93*Storage_rounded_off_prod!$A$44</f>
        <v>8.0000000000000002E-3</v>
      </c>
      <c r="AT93" s="197">
        <f>Storage_Reconciled_prod!AT93*Storage_Reconciled_prod!$A$44+Storage_rounded_off_prod!AT93*Storage_rounded_off_prod!$A$44</f>
        <v>2.4999999999999998E-2</v>
      </c>
      <c r="AU93" s="197">
        <f>Storage_Reconciled_prod!AU93*Storage_Reconciled_prod!$A$44+Storage_rounded_off_prod!AU93*Storage_rounded_off_prod!$A$44</f>
        <v>0.01</v>
      </c>
      <c r="AV93" s="197">
        <f>Storage_Reconciled_prod!AV93*Storage_Reconciled_prod!$A$44+Storage_rounded_off_prod!AV93*Storage_rounded_off_prod!$A$44</f>
        <v>8.0000000000000002E-3</v>
      </c>
      <c r="AW93" s="197">
        <f>Storage_Reconciled_prod!AW93*Storage_Reconciled_prod!$A$44+Storage_rounded_off_prod!AW93*Storage_rounded_off_prod!$A$44</f>
        <v>9.0000000000000011E-3</v>
      </c>
      <c r="AX93" s="197">
        <f>Storage_Reconciled_prod!AX93*Storage_Reconciled_prod!$A$44+Storage_rounded_off_prod!AX93*Storage_rounded_off_prod!$A$44</f>
        <v>2.7E-2</v>
      </c>
      <c r="AY93" s="197">
        <f>Storage_Reconciled_prod!AY93*Storage_Reconciled_prod!$A$44+Storage_rounded_off_prod!AY93*Storage_rounded_off_prod!$A$44</f>
        <v>5.1999999999999998E-2</v>
      </c>
      <c r="AZ93" s="197">
        <f>Storage_Reconciled_prod!AZ93*Storage_Reconciled_prod!$A$44+Storage_rounded_off_prod!AZ93*Storage_rounded_off_prod!$A$44</f>
        <v>0.01</v>
      </c>
      <c r="BA93" s="197">
        <f>Storage_Reconciled_prod!BA93*Storage_Reconciled_prod!$A$44+Storage_rounded_off_prod!BA93*Storage_rounded_off_prod!$A$44</f>
        <v>9.0000000000000011E-3</v>
      </c>
      <c r="BB93" s="197">
        <f>Storage_Reconciled_prod!BB93*Storage_Reconciled_prod!$A$44+Storage_rounded_off_prod!BB93*Storage_rounded_off_prod!$A$44</f>
        <v>0.01</v>
      </c>
      <c r="BC93" s="197">
        <f>Storage_Reconciled_prod!BC93*Storage_Reconciled_prod!$A$44+Storage_rounded_off_prod!BC93*Storage_rounded_off_prod!$A$44</f>
        <v>2.9000000000000001E-2</v>
      </c>
      <c r="BD93" s="197">
        <f>Storage_Reconciled_prod!BD93*Storage_Reconciled_prod!$A$44+Storage_rounded_off_prod!BD93*Storage_rounded_off_prod!$A$44</f>
        <v>8.1000000000000003E-2</v>
      </c>
      <c r="BE93" s="197">
        <f>Storage_Reconciled_prod!BE93*Storage_Reconciled_prod!$A$44+Storage_rounded_off_prod!BE93*Storage_rounded_off_prod!$A$44</f>
        <v>0.01</v>
      </c>
      <c r="BF93" s="197">
        <f>Storage_Reconciled_prod!BF93*Storage_Reconciled_prod!$A$44+Storage_rounded_off_prod!BF93*Storage_rounded_off_prod!$A$44</f>
        <v>8.0000000000000002E-3</v>
      </c>
      <c r="BG93" s="197">
        <f>Storage_Reconciled_prod!BG93*Storage_Reconciled_prod!$A$44+Storage_rounded_off_prod!BG93*Storage_rounded_off_prod!$A$44</f>
        <v>1.0999999999999999E-2</v>
      </c>
      <c r="BH93" s="197">
        <f>Storage_Reconciled_prod!BH93*Storage_Reconciled_prod!$A$44+Storage_rounded_off_prod!BH93*Storage_rounded_off_prod!$A$44</f>
        <v>2.9000000000000001E-2</v>
      </c>
      <c r="BI93" s="197">
        <f>Storage_Reconciled_prod!BI93*Storage_Reconciled_prod!$A$44+Storage_rounded_off_prod!BI93*Storage_rounded_off_prod!$A$44</f>
        <v>0.11</v>
      </c>
      <c r="BJ93" s="197">
        <f>Storage_Reconciled_prod!BJ93*Storage_Reconciled_prod!$A$44+Storage_rounded_off_prod!BJ93*Storage_rounded_off_prod!$A$44</f>
        <v>0.01</v>
      </c>
      <c r="BK93" s="197">
        <f>Storage_Reconciled_prod!BK93*Storage_Reconciled_prod!$A$44+Storage_rounded_off_prod!BK93*Storage_rounded_off_prod!$A$44</f>
        <v>9.9999999999999985E-3</v>
      </c>
      <c r="BL93" s="197">
        <f>Storage_Reconciled_prod!BL93*Storage_Reconciled_prod!$A$44+Storage_rounded_off_prod!BL93*Storage_rounded_off_prod!$A$44</f>
        <v>9.0000000000000011E-3</v>
      </c>
      <c r="BM93" s="197">
        <f>Storage_Reconciled_prod!BM93*Storage_Reconciled_prod!$A$44+Storage_rounded_off_prod!BM93*Storage_rounded_off_prod!$A$44</f>
        <v>2.8999999999999998E-2</v>
      </c>
      <c r="BN93" s="197">
        <f>Storage_Reconciled_prod!BN93*Storage_Reconciled_prod!$A$44+Storage_rounded_off_prod!BN93*Storage_rounded_off_prod!$A$44</f>
        <v>9.9999999999999985E-3</v>
      </c>
      <c r="BO93" s="197">
        <f>Storage_Reconciled_prod!BO93*Storage_Reconciled_prod!$A$44+Storage_rounded_off_prod!BO93*Storage_rounded_off_prod!$A$44</f>
        <v>1.0999999999999999E-2</v>
      </c>
      <c r="BP93" s="197">
        <f>Storage_Reconciled_prod!BP93*Storage_Reconciled_prod!$A$44+Storage_rounded_off_prod!BP93*Storage_rounded_off_prod!$A$44</f>
        <v>9.9999999999999985E-3</v>
      </c>
      <c r="BQ93" s="197">
        <f>Storage_Reconciled_prod!BQ93*Storage_Reconciled_prod!$A$44+Storage_rounded_off_prod!BQ93*Storage_rounded_off_prod!$A$44</f>
        <v>3.0999999999999996E-2</v>
      </c>
      <c r="BR93" s="197">
        <f>Storage_Reconciled_prod!BR93*Storage_Reconciled_prod!$A$44+Storage_rounded_off_prod!BR93*Storage_rounded_off_prod!$A$44</f>
        <v>0.06</v>
      </c>
      <c r="BS93" s="197">
        <f>Storage_Reconciled_prod!BS93*Storage_Reconciled_prod!$A$44+Storage_rounded_off_prod!BS93*Storage_rounded_off_prod!$A$44</f>
        <v>9.9999999999999985E-3</v>
      </c>
      <c r="BT93" s="197">
        <f>Storage_Reconciled_prod!BT93*Storage_Reconciled_prod!$A$44+Storage_rounded_off_prod!BT93*Storage_rounded_off_prod!$A$44</f>
        <v>9.9999999999999985E-3</v>
      </c>
      <c r="BU93" s="197">
        <f>Storage_Reconciled_prod!BU93*Storage_Reconciled_prod!$A$44+Storage_rounded_off_prod!BU93*Storage_rounded_off_prod!$A$44</f>
        <v>9.9999999999999985E-3</v>
      </c>
      <c r="BV93" s="197">
        <f>Storage_Reconciled_prod!BV93*Storage_Reconciled_prod!$A$44+Storage_rounded_off_prod!BV93*Storage_rounded_off_prod!$A$44</f>
        <v>2.9999999999999995E-2</v>
      </c>
      <c r="BW93" s="197">
        <f>Storage_Reconciled_prod!BW93*Storage_Reconciled_prod!$A$44+Storage_rounded_off_prod!BW93*Storage_rounded_off_prod!$A$44</f>
        <v>0.09</v>
      </c>
      <c r="BX93" s="197">
        <f>Storage_Reconciled_prod!BX93*Storage_Reconciled_prod!$A$44+Storage_rounded_off_prod!BX93*Storage_rounded_off_prod!$A$44</f>
        <v>4.0000000000000001E-3</v>
      </c>
      <c r="BY93" s="197">
        <f>Storage_Reconciled_prod!BY93*Storage_Reconciled_prod!$A$44+Storage_rounded_off_prod!BY93*Storage_rounded_off_prod!$A$44</f>
        <v>4.0000000000000001E-3</v>
      </c>
      <c r="BZ93" s="197">
        <f>Storage_Reconciled_prod!BZ93*Storage_Reconciled_prod!$A$44+Storage_rounded_off_prod!BZ93*Storage_rounded_off_prod!$A$44</f>
        <v>7.0000000000000001E-3</v>
      </c>
      <c r="CA93" s="197">
        <f>Storage_Reconciled_prod!CA93*Storage_Reconciled_prod!$A$44+Storage_rounded_off_prod!CA93*Storage_rounded_off_prod!$A$44</f>
        <v>1.4999999999999999E-2</v>
      </c>
      <c r="CB93" s="197">
        <f>Storage_Reconciled_prod!CB93*Storage_Reconciled_prod!$A$44+Storage_rounded_off_prod!CB93*Storage_rounded_off_prod!$A$44</f>
        <v>0.106</v>
      </c>
      <c r="CC93" s="197">
        <f>Storage_Reconciled_prod!CC93*Storage_Reconciled_prod!$A$44+Storage_rounded_off_prod!CC93*Storage_rounded_off_prod!$A$44</f>
        <v>9.0000000000000011E-3</v>
      </c>
      <c r="CD93" s="197">
        <f>Storage_Reconciled_prod!CD93*Storage_Reconciled_prod!$A$44+Storage_rounded_off_prod!CD93*Storage_rounded_off_prod!$A$44</f>
        <v>1.0999999999999999E-2</v>
      </c>
      <c r="CE93" s="197">
        <f>Storage_Reconciled_prod!CE93*Storage_Reconciled_prod!$A$44+Storage_rounded_off_prod!CE93*Storage_rounded_off_prod!$A$44</f>
        <v>1.0999999999999999E-2</v>
      </c>
      <c r="CF93" s="197">
        <f>Storage_Reconciled_prod!CF93*Storage_Reconciled_prod!$A$44+Storage_rounded_off_prod!CF93*Storage_rounded_off_prod!$A$44</f>
        <v>3.1E-2</v>
      </c>
      <c r="CG93" s="197">
        <f>Storage_Reconciled_prod!CG93*Storage_Reconciled_prod!$A$44+Storage_rounded_off_prod!CG93*Storage_rounded_off_prod!$A$44</f>
        <v>1.2999999999999999E-2</v>
      </c>
      <c r="CH93" s="197">
        <f>Storage_Reconciled_prod!CH93*Storage_Reconciled_prod!$A$44+Storage_rounded_off_prod!CH93*Storage_rounded_off_prod!$A$44</f>
        <v>0</v>
      </c>
      <c r="CI93" s="197">
        <f>Storage_Reconciled_prod!CI93*Storage_Reconciled_prod!$A$44+Storage_rounded_off_prod!CI93*Storage_rounded_off_prod!$A$44</f>
        <v>0</v>
      </c>
      <c r="CJ93" s="197">
        <f>Storage_Reconciled_prod!CJ93*Storage_Reconciled_prod!$A$44+Storage_rounded_off_prod!CJ93*Storage_rounded_off_prod!$A$44</f>
        <v>0</v>
      </c>
      <c r="CK93" s="197">
        <f>Storage_Reconciled_prod!CK93*Storage_Reconciled_prod!$A$44+Storage_rounded_off_prod!CK93*Storage_rounded_off_prod!$A$44</f>
        <v>0</v>
      </c>
      <c r="CL93" s="197">
        <f>Storage_Reconciled_prod!CL93*Storage_Reconciled_prod!$A$44+Storage_rounded_off_prod!CL93*Storage_rounded_off_prod!$A$44</f>
        <v>0</v>
      </c>
      <c r="CM93" s="197">
        <f>Storage_Reconciled_prod!CM93*Storage_Reconciled_prod!$A$44+Storage_rounded_off_prod!CM93*Storage_rounded_off_prod!$A$44</f>
        <v>0</v>
      </c>
      <c r="CN93" s="197">
        <f>Storage_Reconciled_prod!CN93*Storage_Reconciled_prod!$A$44+Storage_rounded_off_prod!CN93*Storage_rounded_off_prod!$A$44</f>
        <v>0</v>
      </c>
      <c r="CO93" s="197">
        <f>Storage_Reconciled_prod!CO93*Storage_Reconciled_prod!$A$44+Storage_rounded_off_prod!CO93*Storage_rounded_off_prod!$A$44</f>
        <v>0</v>
      </c>
      <c r="CP93" s="197">
        <f>Storage_Reconciled_prod!CP93*Storage_Reconciled_prod!$A$44+Storage_rounded_off_prod!CP93*Storage_rounded_off_prod!$A$44</f>
        <v>0</v>
      </c>
      <c r="CQ93" s="197">
        <f>Storage_Reconciled_prod!CQ93*Storage_Reconciled_prod!$A$44+Storage_rounded_off_prod!CQ93*Storage_rounded_off_prod!$A$44</f>
        <v>0</v>
      </c>
      <c r="CR93" s="197">
        <f>Storage_Reconciled_prod!CR93*Storage_Reconciled_prod!$A$44+Storage_rounded_off_prod!CR93*Storage_rounded_off_prod!$A$44</f>
        <v>0</v>
      </c>
      <c r="CS93" s="197">
        <f>Storage_Reconciled_prod!CS93*Storage_Reconciled_prod!$A$44+Storage_rounded_off_prod!CS93*Storage_rounded_off_prod!$A$44</f>
        <v>0</v>
      </c>
      <c r="CT93" s="197">
        <f>Storage_Reconciled_prod!CT93*Storage_Reconciled_prod!$A$44+Storage_rounded_off_prod!CT93*Storage_rounded_off_prod!$A$44</f>
        <v>0</v>
      </c>
      <c r="CU93" s="197">
        <f>Storage_Reconciled_prod!CU93*Storage_Reconciled_prod!$A$44+Storage_rounded_off_prod!CU93*Storage_rounded_off_prod!$A$44</f>
        <v>0</v>
      </c>
    </row>
    <row r="94" spans="1:99">
      <c r="C94">
        <v>12</v>
      </c>
      <c r="D94" s="209" t="s">
        <v>66</v>
      </c>
      <c r="E94" s="197">
        <f>Storage_Reconciled_prod!E94*Storage_Reconciled_prod!$A$44+Storage_rounded_off_prod!E94*Storage_rounded_off_prod!$A$44</f>
        <v>6.5000000000000002E-2</v>
      </c>
      <c r="F94" s="197">
        <f>Storage_Reconciled_prod!F94*Storage_Reconciled_prod!$A$44+Storage_rounded_off_prod!F94*Storage_rounded_off_prod!$A$44</f>
        <v>6.6000000000000003E-2</v>
      </c>
      <c r="G94" s="197">
        <f>Storage_Reconciled_prod!G94*Storage_Reconciled_prod!$A$44+Storage_rounded_off_prod!G94*Storage_rounded_off_prod!$A$44</f>
        <v>5.8000000000000003E-2</v>
      </c>
      <c r="H94" s="197">
        <f>Storage_Reconciled_prod!H94*Storage_Reconciled_prod!$A$44+Storage_rounded_off_prod!H94*Storage_rounded_off_prod!$A$44</f>
        <v>0.189</v>
      </c>
      <c r="I94" s="197">
        <f>Storage_Reconciled_prod!I94*Storage_Reconciled_prod!$A$44+Storage_rounded_off_prod!I94*Storage_rounded_off_prod!$A$44</f>
        <v>6.2E-2</v>
      </c>
      <c r="J94" s="197">
        <f>Storage_Reconciled_prod!J94*Storage_Reconciled_prod!$A$44+Storage_rounded_off_prod!J94*Storage_rounded_off_prod!$A$44</f>
        <v>6.6000000000000003E-2</v>
      </c>
      <c r="K94" s="197">
        <f>Storage_Reconciled_prod!K94*Storage_Reconciled_prod!$A$44+Storage_rounded_off_prod!K94*Storage_rounded_off_prod!$A$44</f>
        <v>6.6000000000000003E-2</v>
      </c>
      <c r="L94" s="197">
        <f>Storage_Reconciled_prod!L94*Storage_Reconciled_prod!$A$44+Storage_rounded_off_prod!L94*Storage_rounded_off_prod!$A$44</f>
        <v>0.19400000000000001</v>
      </c>
      <c r="M94" s="197">
        <f>Storage_Reconciled_prod!M94*Storage_Reconciled_prod!$A$44+Storage_rounded_off_prod!M94*Storage_rounded_off_prod!$A$44</f>
        <v>0.38300000000000001</v>
      </c>
      <c r="N94" s="197">
        <f>Storage_Reconciled_prod!N94*Storage_Reconciled_prod!$A$44+Storage_rounded_off_prod!N94*Storage_rounded_off_prod!$A$44</f>
        <v>6.6000000000000003E-2</v>
      </c>
      <c r="O94" s="197">
        <f>Storage_Reconciled_prod!O94*Storage_Reconciled_prod!$A$44+Storage_rounded_off_prod!O94*Storage_rounded_off_prod!$A$44</f>
        <v>6.2E-2</v>
      </c>
      <c r="P94" s="197">
        <f>Storage_Reconciled_prod!P94*Storage_Reconciled_prod!$A$44+Storage_rounded_off_prod!P94*Storage_rounded_off_prod!$A$44</f>
        <v>6.2E-2</v>
      </c>
      <c r="Q94" s="197">
        <f>Storage_Reconciled_prod!Q94*Storage_Reconciled_prod!$A$44+Storage_rounded_off_prod!Q94*Storage_rounded_off_prod!$A$44</f>
        <v>0.19</v>
      </c>
      <c r="R94" s="197">
        <f>Storage_Reconciled_prod!R94*Storage_Reconciled_prod!$A$44+Storage_rounded_off_prod!R94*Storage_rounded_off_prod!$A$44</f>
        <v>0.57299999999999995</v>
      </c>
      <c r="S94" s="197">
        <f>Storage_Reconciled_prod!S94*Storage_Reconciled_prod!$A$44+Storage_rounded_off_prod!S94*Storage_rounded_off_prod!$A$44</f>
        <v>6.8000000000000005E-2</v>
      </c>
      <c r="T94" s="197">
        <f>Storage_Reconciled_prod!T94*Storage_Reconciled_prod!$A$44+Storage_rounded_off_prod!T94*Storage_rounded_off_prod!$A$44</f>
        <v>4.7E-2</v>
      </c>
      <c r="U94" s="197">
        <f>Storage_Reconciled_prod!U94*Storage_Reconciled_prod!$A$44+Storage_rounded_off_prod!U94*Storage_rounded_off_prod!$A$44</f>
        <v>5.5E-2</v>
      </c>
      <c r="V94" s="197">
        <f>Storage_Reconciled_prod!V94*Storage_Reconciled_prod!$A$44+Storage_rounded_off_prod!V94*Storage_rounded_off_prod!$A$44</f>
        <v>0.17</v>
      </c>
      <c r="W94" s="197">
        <f>Storage_Reconciled_prod!W94*Storage_Reconciled_prod!$A$44+Storage_rounded_off_prod!W94*Storage_rounded_off_prod!$A$44</f>
        <v>0.74299999999999999</v>
      </c>
      <c r="X94" s="197">
        <f>Storage_Reconciled_prod!X94*Storage_Reconciled_prod!$A$44+Storage_rounded_off_prod!X94*Storage_rounded_off_prod!$A$44</f>
        <v>0.06</v>
      </c>
      <c r="Y94" s="197">
        <f>Storage_Reconciled_prod!Y94*Storage_Reconciled_prod!$A$44+Storage_rounded_off_prod!Y94*Storage_rounded_off_prod!$A$44</f>
        <v>5.7000000000000002E-2</v>
      </c>
      <c r="Z94" s="197">
        <f>Storage_Reconciled_prod!Z94*Storage_Reconciled_prod!$A$44+Storage_rounded_off_prod!Z94*Storage_rounded_off_prod!$A$44</f>
        <v>5.5E-2</v>
      </c>
      <c r="AA94" s="197">
        <f>Storage_Reconciled_prod!AA94*Storage_Reconciled_prod!$A$44+Storage_rounded_off_prod!AA94*Storage_rounded_off_prod!$A$44</f>
        <v>0.17199999999999999</v>
      </c>
      <c r="AB94" s="197">
        <f>Storage_Reconciled_prod!AB94*Storage_Reconciled_prod!$A$44+Storage_rounded_off_prod!AB94*Storage_rounded_off_prod!$A$44</f>
        <v>5.8000000000000003E-2</v>
      </c>
      <c r="AC94" s="197">
        <f>Storage_Reconciled_prod!AC94*Storage_Reconciled_prod!$A$44+Storage_rounded_off_prod!AC94*Storage_rounded_off_prod!$A$44</f>
        <v>5.8000000000000003E-2</v>
      </c>
      <c r="AD94" s="197">
        <f>Storage_Reconciled_prod!AD94*Storage_Reconciled_prod!$A$44+Storage_rounded_off_prod!AD94*Storage_rounded_off_prod!$A$44</f>
        <v>5.7000000000000002E-2</v>
      </c>
      <c r="AE94" s="197">
        <f>Storage_Reconciled_prod!AE94*Storage_Reconciled_prod!$A$44+Storage_rounded_off_prod!AE94*Storage_rounded_off_prod!$A$44</f>
        <v>0.17300000000000001</v>
      </c>
      <c r="AF94" s="197">
        <f>Storage_Reconciled_prod!AF94*Storage_Reconciled_prod!$A$44+Storage_rounded_off_prod!AF94*Storage_rounded_off_prod!$A$44</f>
        <v>0.34499999999999997</v>
      </c>
      <c r="AG94" s="197">
        <f>Storage_Reconciled_prod!AG94*Storage_Reconciled_prod!$A$44+Storage_rounded_off_prod!AG94*Storage_rounded_off_prod!$A$44</f>
        <v>6.2E-2</v>
      </c>
      <c r="AH94" s="197">
        <f>Storage_Reconciled_prod!AH94*Storage_Reconciled_prod!$A$44+Storage_rounded_off_prod!AH94*Storage_rounded_off_prod!$A$44</f>
        <v>6.0999999999999999E-2</v>
      </c>
      <c r="AI94" s="197">
        <f>Storage_Reconciled_prod!AI94*Storage_Reconciled_prod!$A$44+Storage_rounded_off_prod!AI94*Storage_rounded_off_prod!$A$44</f>
        <v>6.3E-2</v>
      </c>
      <c r="AJ94" s="197">
        <f>Storage_Reconciled_prod!AJ94*Storage_Reconciled_prod!$A$44+Storage_rounded_off_prod!AJ94*Storage_rounded_off_prod!$A$44</f>
        <v>0.186</v>
      </c>
      <c r="AK94" s="197">
        <f>Storage_Reconciled_prod!AK94*Storage_Reconciled_prod!$A$44+Storage_rounded_off_prod!AK94*Storage_rounded_off_prod!$A$44</f>
        <v>0.53099999999999992</v>
      </c>
      <c r="AL94" s="197">
        <f>Storage_Reconciled_prod!AL94*Storage_Reconciled_prod!$A$44+Storage_rounded_off_prod!AL94*Storage_rounded_off_prod!$A$44</f>
        <v>6.5000000000000002E-2</v>
      </c>
      <c r="AM94" s="197">
        <f>Storage_Reconciled_prod!AM94*Storage_Reconciled_prod!$A$44+Storage_rounded_off_prod!AM94*Storage_rounded_off_prod!$A$44</f>
        <v>0.06</v>
      </c>
      <c r="AN94" s="197">
        <f>Storage_Reconciled_prod!AN94*Storage_Reconciled_prod!$A$44+Storage_rounded_off_prod!AN94*Storage_rounded_off_prod!$A$44</f>
        <v>6.8000000000000005E-2</v>
      </c>
      <c r="AO94" s="197">
        <f>Storage_Reconciled_prod!AO94*Storage_Reconciled_prod!$A$44+Storage_rounded_off_prod!AO94*Storage_rounded_off_prod!$A$44</f>
        <v>0.193</v>
      </c>
      <c r="AP94" s="197">
        <f>Storage_Reconciled_prod!AP94*Storage_Reconciled_prod!$A$44+Storage_rounded_off_prod!AP94*Storage_rounded_off_prod!$A$44</f>
        <v>0.72399999999999998</v>
      </c>
      <c r="AQ94" s="197">
        <f>Storage_Reconciled_prod!AQ94*Storage_Reconciled_prod!$A$44+Storage_rounded_off_prod!AQ94*Storage_rounded_off_prod!$A$44</f>
        <v>6.4000000000000001E-2</v>
      </c>
      <c r="AR94" s="197">
        <f>Storage_Reconciled_prod!AR94*Storage_Reconciled_prod!$A$44+Storage_rounded_off_prod!AR94*Storage_rounded_off_prod!$A$44</f>
        <v>3.5999999999999997E-2</v>
      </c>
      <c r="AS94" s="197">
        <f>Storage_Reconciled_prod!AS94*Storage_Reconciled_prod!$A$44+Storage_rounded_off_prod!AS94*Storage_rounded_off_prod!$A$44</f>
        <v>6.4000000000000001E-2</v>
      </c>
      <c r="AT94" s="197">
        <f>Storage_Reconciled_prod!AT94*Storage_Reconciled_prod!$A$44+Storage_rounded_off_prod!AT94*Storage_rounded_off_prod!$A$44</f>
        <v>0.16400000000000001</v>
      </c>
      <c r="AU94" s="197">
        <f>Storage_Reconciled_prod!AU94*Storage_Reconciled_prod!$A$44+Storage_rounded_off_prod!AU94*Storage_rounded_off_prod!$A$44</f>
        <v>6.8000000000000005E-2</v>
      </c>
      <c r="AV94" s="197">
        <f>Storage_Reconciled_prod!AV94*Storage_Reconciled_prod!$A$44+Storage_rounded_off_prod!AV94*Storage_rounded_off_prod!$A$44</f>
        <v>6.9000000000000006E-2</v>
      </c>
      <c r="AW94" s="197">
        <f>Storage_Reconciled_prod!AW94*Storage_Reconciled_prod!$A$44+Storage_rounded_off_prod!AW94*Storage_rounded_off_prod!$A$44</f>
        <v>6.6000000000000003E-2</v>
      </c>
      <c r="AX94" s="197">
        <f>Storage_Reconciled_prod!AX94*Storage_Reconciled_prod!$A$44+Storage_rounded_off_prod!AX94*Storage_rounded_off_prod!$A$44</f>
        <v>0.20300000000000001</v>
      </c>
      <c r="AY94" s="197">
        <f>Storage_Reconciled_prod!AY94*Storage_Reconciled_prod!$A$44+Storage_rounded_off_prod!AY94*Storage_rounded_off_prod!$A$44</f>
        <v>0.36699999999999999</v>
      </c>
      <c r="AZ94" s="197">
        <f>Storage_Reconciled_prod!AZ94*Storage_Reconciled_prod!$A$44+Storage_rounded_off_prod!AZ94*Storage_rounded_off_prod!$A$44</f>
        <v>6.7000000000000004E-2</v>
      </c>
      <c r="BA94" s="197">
        <f>Storage_Reconciled_prod!BA94*Storage_Reconciled_prod!$A$44+Storage_rounded_off_prod!BA94*Storage_rounded_off_prod!$A$44</f>
        <v>6.5000000000000002E-2</v>
      </c>
      <c r="BB94" s="197">
        <f>Storage_Reconciled_prod!BB94*Storage_Reconciled_prod!$A$44+Storage_rounded_off_prod!BB94*Storage_rounded_off_prod!$A$44</f>
        <v>7.0000000000000007E-2</v>
      </c>
      <c r="BC94" s="197">
        <f>Storage_Reconciled_prod!BC94*Storage_Reconciled_prod!$A$44+Storage_rounded_off_prod!BC94*Storage_rounded_off_prod!$A$44</f>
        <v>0.20200000000000001</v>
      </c>
      <c r="BD94" s="197">
        <f>Storage_Reconciled_prod!BD94*Storage_Reconciled_prod!$A$44+Storage_rounded_off_prod!BD94*Storage_rounded_off_prod!$A$44</f>
        <v>0.56899999999999995</v>
      </c>
      <c r="BE94" s="197">
        <f>Storage_Reconciled_prod!BE94*Storage_Reconciled_prod!$A$44+Storage_rounded_off_prod!BE94*Storage_rounded_off_prod!$A$44</f>
        <v>6.7000000000000004E-2</v>
      </c>
      <c r="BF94" s="197">
        <f>Storage_Reconciled_prod!BF94*Storage_Reconciled_prod!$A$44+Storage_rounded_off_prod!BF94*Storage_rounded_off_prod!$A$44</f>
        <v>6.0999999999999999E-2</v>
      </c>
      <c r="BG94" s="197">
        <f>Storage_Reconciled_prod!BG94*Storage_Reconciled_prod!$A$44+Storage_rounded_off_prod!BG94*Storage_rounded_off_prod!$A$44</f>
        <v>6.3E-2</v>
      </c>
      <c r="BH94" s="197">
        <f>Storage_Reconciled_prod!BH94*Storage_Reconciled_prod!$A$44+Storage_rounded_off_prod!BH94*Storage_rounded_off_prod!$A$44</f>
        <v>0.191</v>
      </c>
      <c r="BI94" s="197">
        <f>Storage_Reconciled_prod!BI94*Storage_Reconciled_prod!$A$44+Storage_rounded_off_prod!BI94*Storage_rounded_off_prod!$A$44</f>
        <v>0.76</v>
      </c>
      <c r="BJ94" s="197">
        <f>Storage_Reconciled_prod!BJ94*Storage_Reconciled_prod!$A$44+Storage_rounded_off_prod!BJ94*Storage_rounded_off_prod!$A$44</f>
        <v>5.0999999999999997E-2</v>
      </c>
      <c r="BK94" s="197">
        <f>Storage_Reconciled_prod!BK94*Storage_Reconciled_prod!$A$44+Storage_rounded_off_prod!BK94*Storage_rounded_off_prod!$A$44</f>
        <v>6.7000000000000004E-2</v>
      </c>
      <c r="BL94" s="197">
        <f>Storage_Reconciled_prod!BL94*Storage_Reconciled_prod!$A$44+Storage_rounded_off_prod!BL94*Storage_rounded_off_prod!$A$44</f>
        <v>6.7000000000000004E-2</v>
      </c>
      <c r="BM94" s="197">
        <f>Storage_Reconciled_prod!BM94*Storage_Reconciled_prod!$A$44+Storage_rounded_off_prod!BM94*Storage_rounded_off_prod!$A$44</f>
        <v>0.185</v>
      </c>
      <c r="BN94" s="197">
        <f>Storage_Reconciled_prod!BN94*Storage_Reconciled_prod!$A$44+Storage_rounded_off_prod!BN94*Storage_rounded_off_prod!$A$44</f>
        <v>6.9000000000000006E-2</v>
      </c>
      <c r="BO94" s="197">
        <f>Storage_Reconciled_prod!BO94*Storage_Reconciled_prod!$A$44+Storage_rounded_off_prod!BO94*Storage_rounded_off_prod!$A$44</f>
        <v>7.0999999999999994E-2</v>
      </c>
      <c r="BP94" s="197">
        <f>Storage_Reconciled_prod!BP94*Storage_Reconciled_prod!$A$44+Storage_rounded_off_prod!BP94*Storage_rounded_off_prod!$A$44</f>
        <v>6.6000000000000003E-2</v>
      </c>
      <c r="BQ94" s="197">
        <f>Storage_Reconciled_prod!BQ94*Storage_Reconciled_prod!$A$44+Storage_rounded_off_prod!BQ94*Storage_rounded_off_prod!$A$44</f>
        <v>0.20600000000000002</v>
      </c>
      <c r="BR94" s="197">
        <f>Storage_Reconciled_prod!BR94*Storage_Reconciled_prod!$A$44+Storage_rounded_off_prod!BR94*Storage_rounded_off_prod!$A$44</f>
        <v>0.39100000000000001</v>
      </c>
      <c r="BS94" s="197">
        <f>Storage_Reconciled_prod!BS94*Storage_Reconciled_prod!$A$44+Storage_rounded_off_prod!BS94*Storage_rounded_off_prod!$A$44</f>
        <v>6.9000000000000006E-2</v>
      </c>
      <c r="BT94" s="197">
        <f>Storage_Reconciled_prod!BT94*Storage_Reconciled_prod!$A$44+Storage_rounded_off_prod!BT94*Storage_rounded_off_prod!$A$44</f>
        <v>6.7000000000000004E-2</v>
      </c>
      <c r="BU94" s="197">
        <f>Storage_Reconciled_prod!BU94*Storage_Reconciled_prod!$A$44+Storage_rounded_off_prod!BU94*Storage_rounded_off_prod!$A$44</f>
        <v>6.6000000000000003E-2</v>
      </c>
      <c r="BV94" s="197">
        <f>Storage_Reconciled_prod!BV94*Storage_Reconciled_prod!$A$44+Storage_rounded_off_prod!BV94*Storage_rounded_off_prod!$A$44</f>
        <v>0.20200000000000001</v>
      </c>
      <c r="BW94" s="197">
        <f>Storage_Reconciled_prod!BW94*Storage_Reconciled_prod!$A$44+Storage_rounded_off_prod!BW94*Storage_rounded_off_prod!$A$44</f>
        <v>0.59299999999999997</v>
      </c>
      <c r="BX94" s="197">
        <f>Storage_Reconciled_prod!BX94*Storage_Reconciled_prod!$A$44+Storage_rounded_off_prod!BX94*Storage_rounded_off_prod!$A$44</f>
        <v>7.3999999999999996E-2</v>
      </c>
      <c r="BY94" s="197">
        <f>Storage_Reconciled_prod!BY94*Storage_Reconciled_prod!$A$44+Storage_rounded_off_prod!BY94*Storage_rounded_off_prod!$A$44</f>
        <v>6.5000000000000002E-2</v>
      </c>
      <c r="BZ94" s="197">
        <f>Storage_Reconciled_prod!BZ94*Storage_Reconciled_prod!$A$44+Storage_rounded_off_prod!BZ94*Storage_rounded_off_prod!$A$44</f>
        <v>1.7000000000000001E-2</v>
      </c>
      <c r="CA94" s="197">
        <f>Storage_Reconciled_prod!CA94*Storage_Reconciled_prod!$A$44+Storage_rounded_off_prod!CA94*Storage_rounded_off_prod!$A$44</f>
        <v>0.15600000000000003</v>
      </c>
      <c r="CB94" s="197">
        <f>Storage_Reconciled_prod!CB94*Storage_Reconciled_prod!$A$44+Storage_rounded_off_prod!CB94*Storage_rounded_off_prod!$A$44</f>
        <v>0.748</v>
      </c>
      <c r="CC94" s="197">
        <f>Storage_Reconciled_prod!CC94*Storage_Reconciled_prod!$A$44+Storage_rounded_off_prod!CC94*Storage_rounded_off_prod!$A$44</f>
        <v>3.7999999999999999E-2</v>
      </c>
      <c r="CD94" s="197">
        <f>Storage_Reconciled_prod!CD94*Storage_Reconciled_prod!$A$44+Storage_rounded_off_prod!CD94*Storage_rounded_off_prod!$A$44</f>
        <v>4.3999999999999997E-2</v>
      </c>
      <c r="CE94" s="197">
        <f>Storage_Reconciled_prod!CE94*Storage_Reconciled_prod!$A$44+Storage_rounded_off_prod!CE94*Storage_rounded_off_prod!$A$44</f>
        <v>6.7000000000000004E-2</v>
      </c>
      <c r="CF94" s="197">
        <f>Storage_Reconciled_prod!CF94*Storage_Reconciled_prod!$A$44+Storage_rounded_off_prod!CF94*Storage_rounded_off_prod!$A$44</f>
        <v>0.14899999999999999</v>
      </c>
      <c r="CG94" s="197">
        <f>Storage_Reconciled_prod!CG94*Storage_Reconciled_prod!$A$44+Storage_rounded_off_prod!CG94*Storage_rounded_off_prod!$A$44</f>
        <v>5.3999999999999999E-2</v>
      </c>
      <c r="CH94" s="197">
        <f>Storage_Reconciled_prod!CH94*Storage_Reconciled_prod!$A$44+Storage_rounded_off_prod!CH94*Storage_rounded_off_prod!$A$44</f>
        <v>0</v>
      </c>
      <c r="CI94" s="197">
        <f>Storage_Reconciled_prod!CI94*Storage_Reconciled_prod!$A$44+Storage_rounded_off_prod!CI94*Storage_rounded_off_prod!$A$44</f>
        <v>0</v>
      </c>
      <c r="CJ94" s="197">
        <f>Storage_Reconciled_prod!CJ94*Storage_Reconciled_prod!$A$44+Storage_rounded_off_prod!CJ94*Storage_rounded_off_prod!$A$44</f>
        <v>0</v>
      </c>
      <c r="CK94" s="197">
        <f>Storage_Reconciled_prod!CK94*Storage_Reconciled_prod!$A$44+Storage_rounded_off_prod!CK94*Storage_rounded_off_prod!$A$44</f>
        <v>0</v>
      </c>
      <c r="CL94" s="197">
        <f>Storage_Reconciled_prod!CL94*Storage_Reconciled_prod!$A$44+Storage_rounded_off_prod!CL94*Storage_rounded_off_prod!$A$44</f>
        <v>0</v>
      </c>
      <c r="CM94" s="197">
        <f>Storage_Reconciled_prod!CM94*Storage_Reconciled_prod!$A$44+Storage_rounded_off_prod!CM94*Storage_rounded_off_prod!$A$44</f>
        <v>0</v>
      </c>
      <c r="CN94" s="197">
        <f>Storage_Reconciled_prod!CN94*Storage_Reconciled_prod!$A$44+Storage_rounded_off_prod!CN94*Storage_rounded_off_prod!$A$44</f>
        <v>0</v>
      </c>
      <c r="CO94" s="197">
        <f>Storage_Reconciled_prod!CO94*Storage_Reconciled_prod!$A$44+Storage_rounded_off_prod!CO94*Storage_rounded_off_prod!$A$44</f>
        <v>0</v>
      </c>
      <c r="CP94" s="197">
        <f>Storage_Reconciled_prod!CP94*Storage_Reconciled_prod!$A$44+Storage_rounded_off_prod!CP94*Storage_rounded_off_prod!$A$44</f>
        <v>0</v>
      </c>
      <c r="CQ94" s="197">
        <f>Storage_Reconciled_prod!CQ94*Storage_Reconciled_prod!$A$44+Storage_rounded_off_prod!CQ94*Storage_rounded_off_prod!$A$44</f>
        <v>0</v>
      </c>
      <c r="CR94" s="197">
        <f>Storage_Reconciled_prod!CR94*Storage_Reconciled_prod!$A$44+Storage_rounded_off_prod!CR94*Storage_rounded_off_prod!$A$44</f>
        <v>0</v>
      </c>
      <c r="CS94" s="197">
        <f>Storage_Reconciled_prod!CS94*Storage_Reconciled_prod!$A$44+Storage_rounded_off_prod!CS94*Storage_rounded_off_prod!$A$44</f>
        <v>0</v>
      </c>
      <c r="CT94" s="197">
        <f>Storage_Reconciled_prod!CT94*Storage_Reconciled_prod!$A$44+Storage_rounded_off_prod!CT94*Storage_rounded_off_prod!$A$44</f>
        <v>0</v>
      </c>
      <c r="CU94" s="197">
        <f>Storage_Reconciled_prod!CU94*Storage_Reconciled_prod!$A$44+Storage_rounded_off_prod!CU94*Storage_rounded_off_prod!$A$44</f>
        <v>0</v>
      </c>
    </row>
    <row r="95" spans="1:99">
      <c r="C95">
        <v>13</v>
      </c>
      <c r="D95" s="209" t="s">
        <v>67</v>
      </c>
      <c r="E95" s="197">
        <f>Storage_Reconciled_prod!E95*Storage_Reconciled_prod!$A$44+Storage_rounded_off_prod!E95*Storage_rounded_off_prod!$A$44</f>
        <v>3.7999999999999999E-2</v>
      </c>
      <c r="F95" s="197">
        <f>Storage_Reconciled_prod!F95*Storage_Reconciled_prod!$A$44+Storage_rounded_off_prod!F95*Storage_rounded_off_prod!$A$44</f>
        <v>4.2000000000000003E-2</v>
      </c>
      <c r="G95" s="197">
        <f>Storage_Reconciled_prod!G95*Storage_Reconciled_prod!$A$44+Storage_rounded_off_prod!G95*Storage_rounded_off_prod!$A$44</f>
        <v>4.2000000000000003E-2</v>
      </c>
      <c r="H95" s="197">
        <f>Storage_Reconciled_prod!H95*Storage_Reconciled_prod!$A$44+Storage_rounded_off_prod!H95*Storage_rounded_off_prod!$A$44</f>
        <v>0.122</v>
      </c>
      <c r="I95" s="197">
        <f>Storage_Reconciled_prod!I95*Storage_Reconciled_prod!$A$44+Storage_rounded_off_prod!I95*Storage_rounded_off_prod!$A$44</f>
        <v>4.9000000000000002E-2</v>
      </c>
      <c r="J95" s="197">
        <f>Storage_Reconciled_prod!J95*Storage_Reconciled_prod!$A$44+Storage_rounded_off_prod!J95*Storage_rounded_off_prod!$A$44</f>
        <v>4.8000000000000001E-2</v>
      </c>
      <c r="K95" s="197">
        <f>Storage_Reconciled_prod!K95*Storage_Reconciled_prod!$A$44+Storage_rounded_off_prod!K95*Storage_rounded_off_prod!$A$44</f>
        <v>4.5999999999999999E-2</v>
      </c>
      <c r="L95" s="197">
        <f>Storage_Reconciled_prod!L95*Storage_Reconciled_prod!$A$44+Storage_rounded_off_prod!L95*Storage_rounded_off_prod!$A$44</f>
        <v>0.14300000000000002</v>
      </c>
      <c r="M95" s="197">
        <f>Storage_Reconciled_prod!M95*Storage_Reconciled_prod!$A$44+Storage_rounded_off_prod!M95*Storage_rounded_off_prod!$A$44</f>
        <v>0.26500000000000001</v>
      </c>
      <c r="N95" s="197">
        <f>Storage_Reconciled_prod!N95*Storage_Reconciled_prod!$A$44+Storage_rounded_off_prod!N95*Storage_rounded_off_prod!$A$44</f>
        <v>3.5999999999999997E-2</v>
      </c>
      <c r="O95" s="197">
        <f>Storage_Reconciled_prod!O95*Storage_Reconciled_prod!$A$44+Storage_rounded_off_prod!O95*Storage_rounded_off_prod!$A$44</f>
        <v>2.9000000000000001E-2</v>
      </c>
      <c r="P95" s="197">
        <f>Storage_Reconciled_prod!P95*Storage_Reconciled_prod!$A$44+Storage_rounded_off_prod!P95*Storage_rounded_off_prod!$A$44</f>
        <v>2.8000000000000001E-2</v>
      </c>
      <c r="Q95" s="197">
        <f>Storage_Reconciled_prod!Q95*Storage_Reconciled_prod!$A$44+Storage_rounded_off_prod!Q95*Storage_rounded_off_prod!$A$44</f>
        <v>9.2999999999999999E-2</v>
      </c>
      <c r="R95" s="197">
        <f>Storage_Reconciled_prod!R95*Storage_Reconciled_prod!$A$44+Storage_rounded_off_prod!R95*Storage_rounded_off_prod!$A$44</f>
        <v>0.35799999999999998</v>
      </c>
      <c r="S95" s="197">
        <f>Storage_Reconciled_prod!S95*Storage_Reconciled_prod!$A$44+Storage_rounded_off_prod!S95*Storage_rounded_off_prod!$A$44</f>
        <v>2.7E-2</v>
      </c>
      <c r="T95" s="197">
        <f>Storage_Reconciled_prod!T95*Storage_Reconciled_prod!$A$44+Storage_rounded_off_prod!T95*Storage_rounded_off_prod!$A$44</f>
        <v>0.03</v>
      </c>
      <c r="U95" s="197">
        <f>Storage_Reconciled_prod!U95*Storage_Reconciled_prod!$A$44+Storage_rounded_off_prod!U95*Storage_rounded_off_prod!$A$44</f>
        <v>4.2000000000000003E-2</v>
      </c>
      <c r="V95" s="197">
        <f>Storage_Reconciled_prod!V95*Storage_Reconciled_prod!$A$44+Storage_rounded_off_prod!V95*Storage_rounded_off_prod!$A$44</f>
        <v>9.9000000000000005E-2</v>
      </c>
      <c r="W95" s="197">
        <f>Storage_Reconciled_prod!W95*Storage_Reconciled_prod!$A$44+Storage_rounded_off_prod!W95*Storage_rounded_off_prod!$A$44</f>
        <v>0.45699999999999996</v>
      </c>
      <c r="X95" s="197">
        <f>Storage_Reconciled_prod!X95*Storage_Reconciled_prod!$A$44+Storage_rounded_off_prod!X95*Storage_rounded_off_prod!$A$44</f>
        <v>4.1000000000000002E-2</v>
      </c>
      <c r="Y95" s="197">
        <f>Storage_Reconciled_prod!Y95*Storage_Reconciled_prod!$A$44+Storage_rounded_off_prod!Y95*Storage_rounded_off_prod!$A$44</f>
        <v>4.4999999999999998E-2</v>
      </c>
      <c r="Z95" s="197">
        <f>Storage_Reconciled_prod!Z95*Storage_Reconciled_prod!$A$44+Storage_rounded_off_prod!Z95*Storage_rounded_off_prod!$A$44</f>
        <v>4.5999999999999999E-2</v>
      </c>
      <c r="AA95" s="197">
        <f>Storage_Reconciled_prod!AA95*Storage_Reconciled_prod!$A$44+Storage_rounded_off_prod!AA95*Storage_rounded_off_prod!$A$44</f>
        <v>0.13200000000000001</v>
      </c>
      <c r="AB95" s="197">
        <f>Storage_Reconciled_prod!AB95*Storage_Reconciled_prod!$A$44+Storage_rounded_off_prod!AB95*Storage_rounded_off_prod!$A$44</f>
        <v>4.7E-2</v>
      </c>
      <c r="AC95" s="197">
        <f>Storage_Reconciled_prod!AC95*Storage_Reconciled_prod!$A$44+Storage_rounded_off_prod!AC95*Storage_rounded_off_prod!$A$44</f>
        <v>4.7E-2</v>
      </c>
      <c r="AD95" s="197">
        <f>Storage_Reconciled_prod!AD95*Storage_Reconciled_prod!$A$44+Storage_rounded_off_prod!AD95*Storage_rounded_off_prod!$A$44</f>
        <v>4.7E-2</v>
      </c>
      <c r="AE95" s="197">
        <f>Storage_Reconciled_prod!AE95*Storage_Reconciled_prod!$A$44+Storage_rounded_off_prod!AE95*Storage_rounded_off_prod!$A$44</f>
        <v>0.14100000000000001</v>
      </c>
      <c r="AF95" s="197">
        <f>Storage_Reconciled_prod!AF95*Storage_Reconciled_prod!$A$44+Storage_rounded_off_prod!AF95*Storage_rounded_off_prod!$A$44</f>
        <v>0.27300000000000002</v>
      </c>
      <c r="AG95" s="197">
        <f>Storage_Reconciled_prod!AG95*Storage_Reconciled_prod!$A$44+Storage_rounded_off_prod!AG95*Storage_rounded_off_prod!$A$44</f>
        <v>5.1999999999999998E-2</v>
      </c>
      <c r="AH95" s="197">
        <f>Storage_Reconciled_prod!AH95*Storage_Reconciled_prod!$A$44+Storage_rounded_off_prod!AH95*Storage_rounded_off_prod!$A$44</f>
        <v>0.05</v>
      </c>
      <c r="AI95" s="197">
        <f>Storage_Reconciled_prod!AI95*Storage_Reconciled_prod!$A$44+Storage_rounded_off_prod!AI95*Storage_rounded_off_prod!$A$44</f>
        <v>5.0999999999999997E-2</v>
      </c>
      <c r="AJ95" s="197">
        <f>Storage_Reconciled_prod!AJ95*Storage_Reconciled_prod!$A$44+Storage_rounded_off_prod!AJ95*Storage_rounded_off_prod!$A$44</f>
        <v>0.153</v>
      </c>
      <c r="AK95" s="197">
        <f>Storage_Reconciled_prod!AK95*Storage_Reconciled_prod!$A$44+Storage_rounded_off_prod!AK95*Storage_rounded_off_prod!$A$44</f>
        <v>0.42600000000000005</v>
      </c>
      <c r="AL95" s="197">
        <f>Storage_Reconciled_prod!AL95*Storage_Reconciled_prod!$A$44+Storage_rounded_off_prod!AL95*Storage_rounded_off_prod!$A$44</f>
        <v>5.2999999999999999E-2</v>
      </c>
      <c r="AM95" s="197">
        <f>Storage_Reconciled_prod!AM95*Storage_Reconciled_prod!$A$44+Storage_rounded_off_prod!AM95*Storage_rounded_off_prod!$A$44</f>
        <v>5.0999999999999997E-2</v>
      </c>
      <c r="AN95" s="197">
        <f>Storage_Reconciled_prod!AN95*Storage_Reconciled_prod!$A$44+Storage_rounded_off_prod!AN95*Storage_rounded_off_prod!$A$44</f>
        <v>5.2999999999999999E-2</v>
      </c>
      <c r="AO95" s="197">
        <f>Storage_Reconciled_prod!AO95*Storage_Reconciled_prod!$A$44+Storage_rounded_off_prod!AO95*Storage_rounded_off_prod!$A$44</f>
        <v>0.157</v>
      </c>
      <c r="AP95" s="197">
        <f>Storage_Reconciled_prod!AP95*Storage_Reconciled_prod!$A$44+Storage_rounded_off_prod!AP95*Storage_rounded_off_prod!$A$44</f>
        <v>0.58300000000000007</v>
      </c>
      <c r="AQ95" s="197">
        <f>Storage_Reconciled_prod!AQ95*Storage_Reconciled_prod!$A$44+Storage_rounded_off_prod!AQ95*Storage_rounded_off_prod!$A$44</f>
        <v>5.2999999999999999E-2</v>
      </c>
      <c r="AR95" s="197">
        <f>Storage_Reconciled_prod!AR95*Storage_Reconciled_prod!$A$44+Storage_rounded_off_prod!AR95*Storage_rounded_off_prod!$A$44</f>
        <v>5.7000000000000002E-2</v>
      </c>
      <c r="AS95" s="197">
        <f>Storage_Reconciled_prod!AS95*Storage_Reconciled_prod!$A$44+Storage_rounded_off_prod!AS95*Storage_rounded_off_prod!$A$44</f>
        <v>5.0999999999999997E-2</v>
      </c>
      <c r="AT95" s="197">
        <f>Storage_Reconciled_prod!AT95*Storage_Reconciled_prod!$A$44+Storage_rounded_off_prod!AT95*Storage_rounded_off_prod!$A$44</f>
        <v>0.161</v>
      </c>
      <c r="AU95" s="197">
        <f>Storage_Reconciled_prod!AU95*Storage_Reconciled_prod!$A$44+Storage_rounded_off_prod!AU95*Storage_rounded_off_prod!$A$44</f>
        <v>5.3999999999999999E-2</v>
      </c>
      <c r="AV95" s="197">
        <f>Storage_Reconciled_prod!AV95*Storage_Reconciled_prod!$A$44+Storage_rounded_off_prod!AV95*Storage_rounded_off_prod!$A$44</f>
        <v>5.2999999999999999E-2</v>
      </c>
      <c r="AW95" s="197">
        <f>Storage_Reconciled_prod!AW95*Storage_Reconciled_prod!$A$44+Storage_rounded_off_prod!AW95*Storage_rounded_off_prod!$A$44</f>
        <v>0.05</v>
      </c>
      <c r="AX95" s="197">
        <f>Storage_Reconciled_prod!AX95*Storage_Reconciled_prod!$A$44+Storage_rounded_off_prod!AX95*Storage_rounded_off_prod!$A$44</f>
        <v>0.157</v>
      </c>
      <c r="AY95" s="197">
        <f>Storage_Reconciled_prod!AY95*Storage_Reconciled_prod!$A$44+Storage_rounded_off_prod!AY95*Storage_rounded_off_prod!$A$44</f>
        <v>0.318</v>
      </c>
      <c r="AZ95" s="197">
        <f>Storage_Reconciled_prod!AZ95*Storage_Reconciled_prod!$A$44+Storage_rounded_off_prod!AZ95*Storage_rounded_off_prod!$A$44</f>
        <v>5.0999999999999997E-2</v>
      </c>
      <c r="BA95" s="197">
        <f>Storage_Reconciled_prod!BA95*Storage_Reconciled_prod!$A$44+Storage_rounded_off_prod!BA95*Storage_rounded_off_prod!$A$44</f>
        <v>5.0999999999999997E-2</v>
      </c>
      <c r="BB95" s="197">
        <f>Storage_Reconciled_prod!BB95*Storage_Reconciled_prod!$A$44+Storage_rounded_off_prod!BB95*Storage_rounded_off_prod!$A$44</f>
        <v>5.3999999999999999E-2</v>
      </c>
      <c r="BC95" s="197">
        <f>Storage_Reconciled_prod!BC95*Storage_Reconciled_prod!$A$44+Storage_rounded_off_prod!BC95*Storage_rounded_off_prod!$A$44</f>
        <v>0.156</v>
      </c>
      <c r="BD95" s="197">
        <f>Storage_Reconciled_prod!BD95*Storage_Reconciled_prod!$A$44+Storage_rounded_off_prod!BD95*Storage_rounded_off_prod!$A$44</f>
        <v>0.47399999999999998</v>
      </c>
      <c r="BE95" s="197">
        <f>Storage_Reconciled_prod!BE95*Storage_Reconciled_prod!$A$44+Storage_rounded_off_prod!BE95*Storage_rounded_off_prod!$A$44</f>
        <v>5.5E-2</v>
      </c>
      <c r="BF95" s="197">
        <f>Storage_Reconciled_prod!BF95*Storage_Reconciled_prod!$A$44+Storage_rounded_off_prod!BF95*Storage_rounded_off_prod!$A$44</f>
        <v>4.7E-2</v>
      </c>
      <c r="BG95" s="197">
        <f>Storage_Reconciled_prod!BG95*Storage_Reconciled_prod!$A$44+Storage_rounded_off_prod!BG95*Storage_rounded_off_prod!$A$44</f>
        <v>5.3999999999999999E-2</v>
      </c>
      <c r="BH95" s="197">
        <f>Storage_Reconciled_prod!BH95*Storage_Reconciled_prod!$A$44+Storage_rounded_off_prod!BH95*Storage_rounded_off_prod!$A$44</f>
        <v>0.156</v>
      </c>
      <c r="BI95" s="197">
        <f>Storage_Reconciled_prod!BI95*Storage_Reconciled_prod!$A$44+Storage_rounded_off_prod!BI95*Storage_rounded_off_prod!$A$44</f>
        <v>0.63</v>
      </c>
      <c r="BJ95" s="197">
        <f>Storage_Reconciled_prod!BJ95*Storage_Reconciled_prod!$A$44+Storage_rounded_off_prod!BJ95*Storage_rounded_off_prod!$A$44</f>
        <v>0.05</v>
      </c>
      <c r="BK95" s="197">
        <f>Storage_Reconciled_prod!BK95*Storage_Reconciled_prod!$A$44+Storage_rounded_off_prod!BK95*Storage_rounded_off_prod!$A$44</f>
        <v>5.5E-2</v>
      </c>
      <c r="BL95" s="197">
        <f>Storage_Reconciled_prod!BL95*Storage_Reconciled_prod!$A$44+Storage_rounded_off_prod!BL95*Storage_rounded_off_prod!$A$44</f>
        <v>5.2999999999999999E-2</v>
      </c>
      <c r="BM95" s="197">
        <f>Storage_Reconciled_prod!BM95*Storage_Reconciled_prod!$A$44+Storage_rounded_off_prod!BM95*Storage_rounded_off_prod!$A$44</f>
        <v>0.158</v>
      </c>
      <c r="BN95" s="197">
        <f>Storage_Reconciled_prod!BN95*Storage_Reconciled_prod!$A$44+Storage_rounded_off_prod!BN95*Storage_rounded_off_prod!$A$44</f>
        <v>5.1999999999999998E-2</v>
      </c>
      <c r="BO95" s="197">
        <f>Storage_Reconciled_prod!BO95*Storage_Reconciled_prod!$A$44+Storage_rounded_off_prod!BO95*Storage_rounded_off_prod!$A$44</f>
        <v>5.0999999999999997E-2</v>
      </c>
      <c r="BP95" s="197">
        <f>Storage_Reconciled_prod!BP95*Storage_Reconciled_prod!$A$44+Storage_rounded_off_prod!BP95*Storage_rounded_off_prod!$A$44</f>
        <v>4.7E-2</v>
      </c>
      <c r="BQ95" s="197">
        <f>Storage_Reconciled_prod!BQ95*Storage_Reconciled_prod!$A$44+Storage_rounded_off_prod!BQ95*Storage_rounded_off_prod!$A$44</f>
        <v>0.15</v>
      </c>
      <c r="BR95" s="197">
        <f>Storage_Reconciled_prod!BR95*Storage_Reconciled_prod!$A$44+Storage_rounded_off_prod!BR95*Storage_rounded_off_prod!$A$44</f>
        <v>0.308</v>
      </c>
      <c r="BS95" s="197">
        <f>Storage_Reconciled_prod!BS95*Storage_Reconciled_prod!$A$44+Storage_rounded_off_prod!BS95*Storage_rounded_off_prod!$A$44</f>
        <v>5.2999999999999999E-2</v>
      </c>
      <c r="BT95" s="197">
        <f>Storage_Reconciled_prod!BT95*Storage_Reconciled_prod!$A$44+Storage_rounded_off_prod!BT95*Storage_rounded_off_prod!$A$44</f>
        <v>4.1000000000000002E-2</v>
      </c>
      <c r="BU95" s="197">
        <f>Storage_Reconciled_prod!BU95*Storage_Reconciled_prod!$A$44+Storage_rounded_off_prod!BU95*Storage_rounded_off_prod!$A$44</f>
        <v>1.2999999999999999E-2</v>
      </c>
      <c r="BV95" s="197">
        <f>Storage_Reconciled_prod!BV95*Storage_Reconciled_prod!$A$44+Storage_rounded_off_prod!BV95*Storage_rounded_off_prod!$A$44</f>
        <v>0.107</v>
      </c>
      <c r="BW95" s="197">
        <f>Storage_Reconciled_prod!BW95*Storage_Reconciled_prod!$A$44+Storage_rounded_off_prod!BW95*Storage_rounded_off_prod!$A$44</f>
        <v>0.41499999999999998</v>
      </c>
      <c r="BX95" s="197">
        <f>Storage_Reconciled_prod!BX95*Storage_Reconciled_prod!$A$44+Storage_rounded_off_prod!BX95*Storage_rounded_off_prod!$A$44</f>
        <v>5.3999999999999999E-2</v>
      </c>
      <c r="BY95" s="197">
        <f>Storage_Reconciled_prod!BY95*Storage_Reconciled_prod!$A$44+Storage_rounded_off_prod!BY95*Storage_rounded_off_prod!$A$44</f>
        <v>0.05</v>
      </c>
      <c r="BZ95" s="197">
        <f>Storage_Reconciled_prod!BZ95*Storage_Reconciled_prod!$A$44+Storage_rounded_off_prod!BZ95*Storage_rounded_off_prod!$A$44</f>
        <v>5.6000000000000001E-2</v>
      </c>
      <c r="CA95" s="197">
        <f>Storage_Reconciled_prod!CA95*Storage_Reconciled_prod!$A$44+Storage_rounded_off_prod!CA95*Storage_rounded_off_prod!$A$44</f>
        <v>0.16</v>
      </c>
      <c r="CB95" s="197">
        <f>Storage_Reconciled_prod!CB95*Storage_Reconciled_prod!$A$44+Storage_rounded_off_prod!CB95*Storage_rounded_off_prod!$A$44</f>
        <v>0.57499999999999996</v>
      </c>
      <c r="CC95" s="197">
        <f>Storage_Reconciled_prod!CC95*Storage_Reconciled_prod!$A$44+Storage_rounded_off_prod!CC95*Storage_rounded_off_prod!$A$44</f>
        <v>5.5E-2</v>
      </c>
      <c r="CD95" s="197">
        <f>Storage_Reconciled_prod!CD95*Storage_Reconciled_prod!$A$44+Storage_rounded_off_prod!CD95*Storage_rounded_off_prod!$A$44</f>
        <v>5.7000000000000002E-2</v>
      </c>
      <c r="CE95" s="197">
        <f>Storage_Reconciled_prod!CE95*Storage_Reconciled_prod!$A$44+Storage_rounded_off_prod!CE95*Storage_rounded_off_prod!$A$44</f>
        <v>5.1999999999999998E-2</v>
      </c>
      <c r="CF95" s="197">
        <f>Storage_Reconciled_prod!CF95*Storage_Reconciled_prod!$A$44+Storage_rounded_off_prod!CF95*Storage_rounded_off_prod!$A$44</f>
        <v>0.16400000000000001</v>
      </c>
      <c r="CG95" s="197">
        <f>Storage_Reconciled_prod!CG95*Storage_Reconciled_prod!$A$44+Storage_rounded_off_prod!CG95*Storage_rounded_off_prod!$A$44</f>
        <v>5.8999999999999997E-2</v>
      </c>
      <c r="CH95" s="197">
        <f>Storage_Reconciled_prod!CH95*Storage_Reconciled_prod!$A$44+Storage_rounded_off_prod!CH95*Storage_rounded_off_prod!$A$44</f>
        <v>0</v>
      </c>
      <c r="CI95" s="197">
        <f>Storage_Reconciled_prod!CI95*Storage_Reconciled_prod!$A$44+Storage_rounded_off_prod!CI95*Storage_rounded_off_prod!$A$44</f>
        <v>0</v>
      </c>
      <c r="CJ95" s="197">
        <f>Storage_Reconciled_prod!CJ95*Storage_Reconciled_prod!$A$44+Storage_rounded_off_prod!CJ95*Storage_rounded_off_prod!$A$44</f>
        <v>0</v>
      </c>
      <c r="CK95" s="197">
        <f>Storage_Reconciled_prod!CK95*Storage_Reconciled_prod!$A$44+Storage_rounded_off_prod!CK95*Storage_rounded_off_prod!$A$44</f>
        <v>0</v>
      </c>
      <c r="CL95" s="197">
        <f>Storage_Reconciled_prod!CL95*Storage_Reconciled_prod!$A$44+Storage_rounded_off_prod!CL95*Storage_rounded_off_prod!$A$44</f>
        <v>0</v>
      </c>
      <c r="CM95" s="197">
        <f>Storage_Reconciled_prod!CM95*Storage_Reconciled_prod!$A$44+Storage_rounded_off_prod!CM95*Storage_rounded_off_prod!$A$44</f>
        <v>0</v>
      </c>
      <c r="CN95" s="197">
        <f>Storage_Reconciled_prod!CN95*Storage_Reconciled_prod!$A$44+Storage_rounded_off_prod!CN95*Storage_rounded_off_prod!$A$44</f>
        <v>0</v>
      </c>
      <c r="CO95" s="197">
        <f>Storage_Reconciled_prod!CO95*Storage_Reconciled_prod!$A$44+Storage_rounded_off_prod!CO95*Storage_rounded_off_prod!$A$44</f>
        <v>0</v>
      </c>
      <c r="CP95" s="197">
        <f>Storage_Reconciled_prod!CP95*Storage_Reconciled_prod!$A$44+Storage_rounded_off_prod!CP95*Storage_rounded_off_prod!$A$44</f>
        <v>0</v>
      </c>
      <c r="CQ95" s="197">
        <f>Storage_Reconciled_prod!CQ95*Storage_Reconciled_prod!$A$44+Storage_rounded_off_prod!CQ95*Storage_rounded_off_prod!$A$44</f>
        <v>0</v>
      </c>
      <c r="CR95" s="197">
        <f>Storage_Reconciled_prod!CR95*Storage_Reconciled_prod!$A$44+Storage_rounded_off_prod!CR95*Storage_rounded_off_prod!$A$44</f>
        <v>0</v>
      </c>
      <c r="CS95" s="197">
        <f>Storage_Reconciled_prod!CS95*Storage_Reconciled_prod!$A$44+Storage_rounded_off_prod!CS95*Storage_rounded_off_prod!$A$44</f>
        <v>0</v>
      </c>
      <c r="CT95" s="197">
        <f>Storage_Reconciled_prod!CT95*Storage_Reconciled_prod!$A$44+Storage_rounded_off_prod!CT95*Storage_rounded_off_prod!$A$44</f>
        <v>0</v>
      </c>
      <c r="CU95" s="197">
        <f>Storage_Reconciled_prod!CU95*Storage_Reconciled_prod!$A$44+Storage_rounded_off_prod!CU95*Storage_rounded_off_prod!$A$44</f>
        <v>0</v>
      </c>
    </row>
    <row r="96" spans="1:99">
      <c r="C96">
        <v>14</v>
      </c>
      <c r="D96" s="209" t="s">
        <v>68</v>
      </c>
      <c r="E96" s="197">
        <f>Storage_Reconciled_prod!E96*Storage_Reconciled_prod!$A$44+Storage_rounded_off_prod!E96*Storage_rounded_off_prod!$A$44</f>
        <v>5.0000000000000001E-3</v>
      </c>
      <c r="F96" s="197">
        <f>Storage_Reconciled_prod!F96*Storage_Reconciled_prod!$A$44+Storage_rounded_off_prod!F96*Storage_rounded_off_prod!$A$44</f>
        <v>9.9999999999999985E-3</v>
      </c>
      <c r="G96" s="197">
        <f>Storage_Reconciled_prod!G96*Storage_Reconciled_prod!$A$44+Storage_rounded_off_prod!G96*Storage_rounded_off_prod!$A$44</f>
        <v>7.0000000000000001E-3</v>
      </c>
      <c r="H96" s="197">
        <f>Storage_Reconciled_prod!H96*Storage_Reconciled_prod!$A$44+Storage_rounded_off_prod!H96*Storage_rounded_off_prod!$A$44</f>
        <v>2.1999999999999999E-2</v>
      </c>
      <c r="I96" s="197">
        <f>Storage_Reconciled_prod!I96*Storage_Reconciled_prod!$A$44+Storage_rounded_off_prod!I96*Storage_rounded_off_prod!$A$44</f>
        <v>8.9999999999999993E-3</v>
      </c>
      <c r="J96" s="197">
        <f>Storage_Reconciled_prod!J96*Storage_Reconciled_prod!$A$44+Storage_rounded_off_prod!J96*Storage_rounded_off_prod!$A$44</f>
        <v>8.0000000000000002E-3</v>
      </c>
      <c r="K96" s="197">
        <f>Storage_Reconciled_prod!K96*Storage_Reconciled_prod!$A$44+Storage_rounded_off_prod!K96*Storage_rounded_off_prod!$A$44</f>
        <v>3.0000000000000001E-3</v>
      </c>
      <c r="L96" s="197">
        <f>Storage_Reconciled_prod!L96*Storage_Reconciled_prod!$A$44+Storage_rounded_off_prod!L96*Storage_rounded_off_prod!$A$44</f>
        <v>0.02</v>
      </c>
      <c r="M96" s="197">
        <f>Storage_Reconciled_prod!M96*Storage_Reconciled_prod!$A$44+Storage_rounded_off_prod!M96*Storage_rounded_off_prod!$A$44</f>
        <v>4.1999999999999996E-2</v>
      </c>
      <c r="N96" s="197">
        <f>Storage_Reconciled_prod!N96*Storage_Reconciled_prod!$A$44+Storage_rounded_off_prod!N96*Storage_rounded_off_prod!$A$44</f>
        <v>6.0000000000000001E-3</v>
      </c>
      <c r="O96" s="197">
        <f>Storage_Reconciled_prod!O96*Storage_Reconciled_prod!$A$44+Storage_rounded_off_prod!O96*Storage_rounded_off_prod!$A$44</f>
        <v>5.0000000000000001E-3</v>
      </c>
      <c r="P96" s="197">
        <f>Storage_Reconciled_prod!P96*Storage_Reconciled_prod!$A$44+Storage_rounded_off_prod!P96*Storage_rounded_off_prod!$A$44</f>
        <v>1E-3</v>
      </c>
      <c r="Q96" s="197">
        <f>Storage_Reconciled_prod!Q96*Storage_Reconciled_prod!$A$44+Storage_rounded_off_prod!Q96*Storage_rounded_off_prod!$A$44</f>
        <v>1.2E-2</v>
      </c>
      <c r="R96" s="197">
        <f>Storage_Reconciled_prod!R96*Storage_Reconciled_prod!$A$44+Storage_rounded_off_prod!R96*Storage_rounded_off_prod!$A$44</f>
        <v>5.3999999999999992E-2</v>
      </c>
      <c r="S96" s="197">
        <f>Storage_Reconciled_prod!S96*Storage_Reconciled_prod!$A$44+Storage_rounded_off_prod!S96*Storage_rounded_off_prod!$A$44</f>
        <v>0</v>
      </c>
      <c r="T96" s="197">
        <f>Storage_Reconciled_prod!T96*Storage_Reconciled_prod!$A$44+Storage_rounded_off_prod!T96*Storage_rounded_off_prod!$A$44</f>
        <v>0</v>
      </c>
      <c r="U96" s="197">
        <f>Storage_Reconciled_prod!U96*Storage_Reconciled_prod!$A$44+Storage_rounded_off_prod!U96*Storage_rounded_off_prod!$A$44</f>
        <v>4.0000000000000001E-3</v>
      </c>
      <c r="V96" s="197">
        <f>Storage_Reconciled_prod!V96*Storage_Reconciled_prod!$A$44+Storage_rounded_off_prod!V96*Storage_rounded_off_prod!$A$44</f>
        <v>4.0000000000000001E-3</v>
      </c>
      <c r="W96" s="197">
        <f>Storage_Reconciled_prod!W96*Storage_Reconciled_prod!$A$44+Storage_rounded_off_prod!W96*Storage_rounded_off_prod!$A$44</f>
        <v>5.7999999999999996E-2</v>
      </c>
      <c r="X96" s="197">
        <f>Storage_Reconciled_prod!X96*Storage_Reconciled_prod!$A$44+Storage_rounded_off_prod!X96*Storage_rounded_off_prod!$A$44</f>
        <v>7.0000000000000001E-3</v>
      </c>
      <c r="Y96" s="197">
        <f>Storage_Reconciled_prod!Y96*Storage_Reconciled_prod!$A$44+Storage_rounded_off_prod!Y96*Storage_rounded_off_prod!$A$44</f>
        <v>0.01</v>
      </c>
      <c r="Z96" s="197">
        <f>Storage_Reconciled_prod!Z96*Storage_Reconciled_prod!$A$44+Storage_rounded_off_prod!Z96*Storage_rounded_off_prod!$A$44</f>
        <v>7.0000000000000001E-3</v>
      </c>
      <c r="AA96" s="197">
        <f>Storage_Reconciled_prod!AA96*Storage_Reconciled_prod!$A$44+Storage_rounded_off_prod!AA96*Storage_rounded_off_prod!$A$44</f>
        <v>2.4E-2</v>
      </c>
      <c r="AB96" s="197">
        <f>Storage_Reconciled_prod!AB96*Storage_Reconciled_prod!$A$44+Storage_rounded_off_prod!AB96*Storage_rounded_off_prod!$A$44</f>
        <v>8.0000000000000002E-3</v>
      </c>
      <c r="AC96" s="197">
        <f>Storage_Reconciled_prod!AC96*Storage_Reconciled_prod!$A$44+Storage_rounded_off_prod!AC96*Storage_rounded_off_prod!$A$44</f>
        <v>4.0000000000000001E-3</v>
      </c>
      <c r="AD96" s="197">
        <f>Storage_Reconciled_prod!AD96*Storage_Reconciled_prod!$A$44+Storage_rounded_off_prod!AD96*Storage_rounded_off_prod!$A$44</f>
        <v>8.9999999999999993E-3</v>
      </c>
      <c r="AE96" s="197">
        <f>Storage_Reconciled_prod!AE96*Storage_Reconciled_prod!$A$44+Storage_rounded_off_prod!AE96*Storage_rounded_off_prod!$A$44</f>
        <v>2.0999999999999998E-2</v>
      </c>
      <c r="AF96" s="197">
        <f>Storage_Reconciled_prod!AF96*Storage_Reconciled_prod!$A$44+Storage_rounded_off_prod!AF96*Storage_rounded_off_prod!$A$44</f>
        <v>4.4999999999999998E-2</v>
      </c>
      <c r="AG96" s="197">
        <f>Storage_Reconciled_prod!AG96*Storage_Reconciled_prod!$A$44+Storage_rounded_off_prod!AG96*Storage_rounded_off_prod!$A$44</f>
        <v>6.0000000000000001E-3</v>
      </c>
      <c r="AH96" s="197">
        <f>Storage_Reconciled_prod!AH96*Storage_Reconciled_prod!$A$44+Storage_rounded_off_prod!AH96*Storage_rounded_off_prod!$A$44</f>
        <v>6.0000000000000001E-3</v>
      </c>
      <c r="AI96" s="197">
        <f>Storage_Reconciled_prod!AI96*Storage_Reconciled_prod!$A$44+Storage_rounded_off_prod!AI96*Storage_rounded_off_prod!$A$44</f>
        <v>3.0000000000000001E-3</v>
      </c>
      <c r="AJ96" s="197">
        <f>Storage_Reconciled_prod!AJ96*Storage_Reconciled_prod!$A$44+Storage_rounded_off_prod!AJ96*Storage_rounded_off_prod!$A$44</f>
        <v>1.4999999999999999E-2</v>
      </c>
      <c r="AK96" s="197">
        <f>Storage_Reconciled_prod!AK96*Storage_Reconciled_prod!$A$44+Storage_rounded_off_prod!AK96*Storage_rounded_off_prod!$A$44</f>
        <v>0.06</v>
      </c>
      <c r="AL96" s="197">
        <f>Storage_Reconciled_prod!AL96*Storage_Reconciled_prod!$A$44+Storage_rounded_off_prod!AL96*Storage_rounded_off_prod!$A$44</f>
        <v>1E-3</v>
      </c>
      <c r="AM96" s="197">
        <f>Storage_Reconciled_prod!AM96*Storage_Reconciled_prod!$A$44+Storage_rounded_off_prod!AM96*Storage_rounded_off_prod!$A$44</f>
        <v>0</v>
      </c>
      <c r="AN96" s="197">
        <f>Storage_Reconciled_prod!AN96*Storage_Reconciled_prod!$A$44+Storage_rounded_off_prod!AN96*Storage_rounded_off_prod!$A$44</f>
        <v>1.4999999999999999E-2</v>
      </c>
      <c r="AO96" s="197">
        <f>Storage_Reconciled_prod!AO96*Storage_Reconciled_prod!$A$44+Storage_rounded_off_prod!AO96*Storage_rounded_off_prod!$A$44</f>
        <v>1.6E-2</v>
      </c>
      <c r="AP96" s="197">
        <f>Storage_Reconciled_prod!AP96*Storage_Reconciled_prod!$A$44+Storage_rounded_off_prod!AP96*Storage_rounded_off_prod!$A$44</f>
        <v>7.5999999999999998E-2</v>
      </c>
      <c r="AQ96" s="197">
        <f>Storage_Reconciled_prod!AQ96*Storage_Reconciled_prod!$A$44+Storage_rounded_off_prod!AQ96*Storage_rounded_off_prod!$A$44</f>
        <v>1.2999999999999999E-2</v>
      </c>
      <c r="AR96" s="197">
        <f>Storage_Reconciled_prod!AR96*Storage_Reconciled_prod!$A$44+Storage_rounded_off_prod!AR96*Storage_rounded_off_prod!$A$44</f>
        <v>1.7000000000000001E-2</v>
      </c>
      <c r="AS96" s="197">
        <f>Storage_Reconciled_prod!AS96*Storage_Reconciled_prod!$A$44+Storage_rounded_off_prod!AS96*Storage_rounded_off_prod!$A$44</f>
        <v>1.4E-2</v>
      </c>
      <c r="AT96" s="197">
        <f>Storage_Reconciled_prod!AT96*Storage_Reconciled_prod!$A$44+Storage_rounded_off_prod!AT96*Storage_rounded_off_prod!$A$44</f>
        <v>4.3999999999999997E-2</v>
      </c>
      <c r="AU96" s="197">
        <f>Storage_Reconciled_prod!AU96*Storage_Reconciled_prod!$A$44+Storage_rounded_off_prod!AU96*Storage_rounded_off_prod!$A$44</f>
        <v>1.4999999999999999E-2</v>
      </c>
      <c r="AV96" s="197">
        <f>Storage_Reconciled_prod!AV96*Storage_Reconciled_prod!$A$44+Storage_rounded_off_prod!AV96*Storage_rounded_off_prod!$A$44</f>
        <v>1.2999999999999999E-2</v>
      </c>
      <c r="AW96" s="197">
        <f>Storage_Reconciled_prod!AW96*Storage_Reconciled_prod!$A$44+Storage_rounded_off_prod!AW96*Storage_rounded_off_prod!$A$44</f>
        <v>8.9999999999999993E-3</v>
      </c>
      <c r="AX96" s="197">
        <f>Storage_Reconciled_prod!AX96*Storage_Reconciled_prod!$A$44+Storage_rounded_off_prod!AX96*Storage_rounded_off_prod!$A$44</f>
        <v>3.6999999999999998E-2</v>
      </c>
      <c r="AY96" s="197">
        <f>Storage_Reconciled_prod!AY96*Storage_Reconciled_prod!$A$44+Storage_rounded_off_prod!AY96*Storage_rounded_off_prod!$A$44</f>
        <v>8.0999999999999989E-2</v>
      </c>
      <c r="AZ96" s="197">
        <f>Storage_Reconciled_prod!AZ96*Storage_Reconciled_prod!$A$44+Storage_rounded_off_prod!AZ96*Storage_rounded_off_prod!$A$44</f>
        <v>1.0999999999999999E-2</v>
      </c>
      <c r="BA96" s="197">
        <f>Storage_Reconciled_prod!BA96*Storage_Reconciled_prod!$A$44+Storage_rounded_off_prod!BA96*Storage_rounded_off_prod!$A$44</f>
        <v>1.2E-2</v>
      </c>
      <c r="BB96" s="197">
        <f>Storage_Reconciled_prod!BB96*Storage_Reconciled_prod!$A$44+Storage_rounded_off_prod!BB96*Storage_rounded_off_prod!$A$44</f>
        <v>1.2E-2</v>
      </c>
      <c r="BC96" s="197">
        <f>Storage_Reconciled_prod!BC96*Storage_Reconciled_prod!$A$44+Storage_rounded_off_prod!BC96*Storage_rounded_off_prod!$A$44</f>
        <v>3.5000000000000003E-2</v>
      </c>
      <c r="BD96" s="197">
        <f>Storage_Reconciled_prod!BD96*Storage_Reconciled_prod!$A$44+Storage_rounded_off_prod!BD96*Storage_rounded_off_prod!$A$44</f>
        <v>0.11599999999999999</v>
      </c>
      <c r="BE96" s="197">
        <f>Storage_Reconciled_prod!BE96*Storage_Reconciled_prod!$A$44+Storage_rounded_off_prod!BE96*Storage_rounded_off_prod!$A$44</f>
        <v>1.0999999999999999E-2</v>
      </c>
      <c r="BF96" s="197">
        <f>Storage_Reconciled_prod!BF96*Storage_Reconciled_prod!$A$44+Storage_rounded_off_prod!BF96*Storage_rounded_off_prod!$A$44</f>
        <v>0.01</v>
      </c>
      <c r="BG96" s="197">
        <f>Storage_Reconciled_prod!BG96*Storage_Reconciled_prod!$A$44+Storage_rounded_off_prod!BG96*Storage_rounded_off_prod!$A$44</f>
        <v>0.01</v>
      </c>
      <c r="BH96" s="197">
        <f>Storage_Reconciled_prod!BH96*Storage_Reconciled_prod!$A$44+Storage_rounded_off_prod!BH96*Storage_rounded_off_prod!$A$44</f>
        <v>3.1E-2</v>
      </c>
      <c r="BI96" s="197">
        <f>Storage_Reconciled_prod!BI96*Storage_Reconciled_prod!$A$44+Storage_rounded_off_prod!BI96*Storage_rounded_off_prod!$A$44</f>
        <v>0.14699999999999999</v>
      </c>
      <c r="BJ96" s="197">
        <f>Storage_Reconciled_prod!BJ96*Storage_Reconciled_prod!$A$44+Storage_rounded_off_prod!BJ96*Storage_rounded_off_prod!$A$44</f>
        <v>1.0999999999999999E-2</v>
      </c>
      <c r="BK96" s="197">
        <f>Storage_Reconciled_prod!BK96*Storage_Reconciled_prod!$A$44+Storage_rounded_off_prod!BK96*Storage_rounded_off_prod!$A$44</f>
        <v>1.2E-2</v>
      </c>
      <c r="BL96" s="197">
        <f>Storage_Reconciled_prod!BL96*Storage_Reconciled_prod!$A$44+Storage_rounded_off_prod!BL96*Storage_rounded_off_prod!$A$44</f>
        <v>1.2E-2</v>
      </c>
      <c r="BM96" s="197">
        <f>Storage_Reconciled_prod!BM96*Storage_Reconciled_prod!$A$44+Storage_rounded_off_prod!BM96*Storage_rounded_off_prod!$A$44</f>
        <v>3.5000000000000003E-2</v>
      </c>
      <c r="BN96" s="197">
        <f>Storage_Reconciled_prod!BN96*Storage_Reconciled_prod!$A$44+Storage_rounded_off_prod!BN96*Storage_rounded_off_prod!$A$44</f>
        <v>1.2E-2</v>
      </c>
      <c r="BO96" s="197">
        <f>Storage_Reconciled_prod!BO96*Storage_Reconciled_prod!$A$44+Storage_rounded_off_prod!BO96*Storage_rounded_off_prod!$A$44</f>
        <v>1.2999999999999999E-2</v>
      </c>
      <c r="BP96" s="197">
        <f>Storage_Reconciled_prod!BP96*Storage_Reconciled_prod!$A$44+Storage_rounded_off_prod!BP96*Storage_rounded_off_prod!$A$44</f>
        <v>0.01</v>
      </c>
      <c r="BQ96" s="197">
        <f>Storage_Reconciled_prod!BQ96*Storage_Reconciled_prod!$A$44+Storage_rounded_off_prod!BQ96*Storage_rounded_off_prod!$A$44</f>
        <v>3.5000000000000003E-2</v>
      </c>
      <c r="BR96" s="197">
        <f>Storage_Reconciled_prod!BR96*Storage_Reconciled_prod!$A$44+Storage_rounded_off_prod!BR96*Storage_rounded_off_prod!$A$44</f>
        <v>7.0000000000000007E-2</v>
      </c>
      <c r="BS96" s="197">
        <f>Storage_Reconciled_prod!BS96*Storage_Reconciled_prod!$A$44+Storage_rounded_off_prod!BS96*Storage_rounded_off_prod!$A$44</f>
        <v>1.4E-2</v>
      </c>
      <c r="BT96" s="197">
        <f>Storage_Reconciled_prod!BT96*Storage_Reconciled_prod!$A$44+Storage_rounded_off_prod!BT96*Storage_rounded_off_prod!$A$44</f>
        <v>1.2999999999999999E-2</v>
      </c>
      <c r="BU96" s="197">
        <f>Storage_Reconciled_prod!BU96*Storage_Reconciled_prod!$A$44+Storage_rounded_off_prod!BU96*Storage_rounded_off_prod!$A$44</f>
        <v>4.0000000000000001E-3</v>
      </c>
      <c r="BV96" s="197">
        <f>Storage_Reconciled_prod!BV96*Storage_Reconciled_prod!$A$44+Storage_rounded_off_prod!BV96*Storage_rounded_off_prod!$A$44</f>
        <v>3.1E-2</v>
      </c>
      <c r="BW96" s="197">
        <f>Storage_Reconciled_prod!BW96*Storage_Reconciled_prod!$A$44+Storage_rounded_off_prod!BW96*Storage_rounded_off_prod!$A$44</f>
        <v>0.10100000000000001</v>
      </c>
      <c r="BX96" s="197">
        <f>Storage_Reconciled_prod!BX96*Storage_Reconciled_prod!$A$44+Storage_rounded_off_prod!BX96*Storage_rounded_off_prod!$A$44</f>
        <v>0.01</v>
      </c>
      <c r="BY96" s="197">
        <f>Storage_Reconciled_prod!BY96*Storage_Reconciled_prod!$A$44+Storage_rounded_off_prod!BY96*Storage_rounded_off_prod!$A$44</f>
        <v>1.2999999999999999E-2</v>
      </c>
      <c r="BZ96" s="197">
        <f>Storage_Reconciled_prod!BZ96*Storage_Reconciled_prod!$A$44+Storage_rounded_off_prod!BZ96*Storage_rounded_off_prod!$A$44</f>
        <v>1.2E-2</v>
      </c>
      <c r="CA96" s="197">
        <f>Storage_Reconciled_prod!CA96*Storage_Reconciled_prod!$A$44+Storage_rounded_off_prod!CA96*Storage_rounded_off_prod!$A$44</f>
        <v>3.5000000000000003E-2</v>
      </c>
      <c r="CB96" s="197">
        <f>Storage_Reconciled_prod!CB96*Storage_Reconciled_prod!$A$44+Storage_rounded_off_prod!CB96*Storage_rounded_off_prod!$A$44</f>
        <v>0.13600000000000001</v>
      </c>
      <c r="CC96" s="197">
        <f>Storage_Reconciled_prod!CC96*Storage_Reconciled_prod!$A$44+Storage_rounded_off_prod!CC96*Storage_rounded_off_prod!$A$44</f>
        <v>1.4E-2</v>
      </c>
      <c r="CD96" s="197">
        <f>Storage_Reconciled_prod!CD96*Storage_Reconciled_prod!$A$44+Storage_rounded_off_prod!CD96*Storage_rounded_off_prod!$A$44</f>
        <v>1.4E-2</v>
      </c>
      <c r="CE96" s="197">
        <f>Storage_Reconciled_prod!CE96*Storage_Reconciled_prod!$A$44+Storage_rounded_off_prod!CE96*Storage_rounded_off_prod!$A$44</f>
        <v>1.2999999999999999E-2</v>
      </c>
      <c r="CF96" s="197">
        <f>Storage_Reconciled_prod!CF96*Storage_Reconciled_prod!$A$44+Storage_rounded_off_prod!CF96*Storage_rounded_off_prod!$A$44</f>
        <v>4.1000000000000002E-2</v>
      </c>
      <c r="CG96" s="197">
        <f>Storage_Reconciled_prod!CG96*Storage_Reconciled_prod!$A$44+Storage_rounded_off_prod!CG96*Storage_rounded_off_prod!$A$44</f>
        <v>1.2999999999999999E-2</v>
      </c>
      <c r="CH96" s="197">
        <f>Storage_Reconciled_prod!CH96*Storage_Reconciled_prod!$A$44+Storage_rounded_off_prod!CH96*Storage_rounded_off_prod!$A$44</f>
        <v>0</v>
      </c>
      <c r="CI96" s="197">
        <f>Storage_Reconciled_prod!CI96*Storage_Reconciled_prod!$A$44+Storage_rounded_off_prod!CI96*Storage_rounded_off_prod!$A$44</f>
        <v>0</v>
      </c>
      <c r="CJ96" s="197">
        <f>Storage_Reconciled_prod!CJ96*Storage_Reconciled_prod!$A$44+Storage_rounded_off_prod!CJ96*Storage_rounded_off_prod!$A$44</f>
        <v>0</v>
      </c>
      <c r="CK96" s="197">
        <f>Storage_Reconciled_prod!CK96*Storage_Reconciled_prod!$A$44+Storage_rounded_off_prod!CK96*Storage_rounded_off_prod!$A$44</f>
        <v>0</v>
      </c>
      <c r="CL96" s="197">
        <f>Storage_Reconciled_prod!CL96*Storage_Reconciled_prod!$A$44+Storage_rounded_off_prod!CL96*Storage_rounded_off_prod!$A$44</f>
        <v>0</v>
      </c>
      <c r="CM96" s="197">
        <f>Storage_Reconciled_prod!CM96*Storage_Reconciled_prod!$A$44+Storage_rounded_off_prod!CM96*Storage_rounded_off_prod!$A$44</f>
        <v>0</v>
      </c>
      <c r="CN96" s="197">
        <f>Storage_Reconciled_prod!CN96*Storage_Reconciled_prod!$A$44+Storage_rounded_off_prod!CN96*Storage_rounded_off_prod!$A$44</f>
        <v>0</v>
      </c>
      <c r="CO96" s="197">
        <f>Storage_Reconciled_prod!CO96*Storage_Reconciled_prod!$A$44+Storage_rounded_off_prod!CO96*Storage_rounded_off_prod!$A$44</f>
        <v>0</v>
      </c>
      <c r="CP96" s="197">
        <f>Storage_Reconciled_prod!CP96*Storage_Reconciled_prod!$A$44+Storage_rounded_off_prod!CP96*Storage_rounded_off_prod!$A$44</f>
        <v>0</v>
      </c>
      <c r="CQ96" s="197">
        <f>Storage_Reconciled_prod!CQ96*Storage_Reconciled_prod!$A$44+Storage_rounded_off_prod!CQ96*Storage_rounded_off_prod!$A$44</f>
        <v>0</v>
      </c>
      <c r="CR96" s="197">
        <f>Storage_Reconciled_prod!CR96*Storage_Reconciled_prod!$A$44+Storage_rounded_off_prod!CR96*Storage_rounded_off_prod!$A$44</f>
        <v>0</v>
      </c>
      <c r="CS96" s="197">
        <f>Storage_Reconciled_prod!CS96*Storage_Reconciled_prod!$A$44+Storage_rounded_off_prod!CS96*Storage_rounded_off_prod!$A$44</f>
        <v>0</v>
      </c>
      <c r="CT96" s="197">
        <f>Storage_Reconciled_prod!CT96*Storage_Reconciled_prod!$A$44+Storage_rounded_off_prod!CT96*Storage_rounded_off_prod!$A$44</f>
        <v>0</v>
      </c>
      <c r="CU96" s="197">
        <f>Storage_Reconciled_prod!CU96*Storage_Reconciled_prod!$A$44+Storage_rounded_off_prod!CU96*Storage_rounded_off_prod!$A$44</f>
        <v>0</v>
      </c>
    </row>
    <row r="97" spans="3:99">
      <c r="C97">
        <v>15</v>
      </c>
      <c r="D97" s="209" t="s">
        <v>69</v>
      </c>
      <c r="E97" s="197">
        <f>Storage_Reconciled_prod!E97*Storage_Reconciled_prod!$A$44+Storage_rounded_off_prod!E97*Storage_rounded_off_prod!$A$44</f>
        <v>7.5999999999999998E-2</v>
      </c>
      <c r="F97" s="197">
        <f>Storage_Reconciled_prod!F97*Storage_Reconciled_prod!$A$44+Storage_rounded_off_prod!F97*Storage_rounded_off_prod!$A$44</f>
        <v>7.4999999999999997E-2</v>
      </c>
      <c r="G97" s="197">
        <f>Storage_Reconciled_prod!G97*Storage_Reconciled_prod!$A$44+Storage_rounded_off_prod!G97*Storage_rounded_off_prod!$A$44</f>
        <v>6.8000000000000005E-2</v>
      </c>
      <c r="H97" s="197">
        <f>Storage_Reconciled_prod!H97*Storage_Reconciled_prod!$A$44+Storage_rounded_off_prod!H97*Storage_rounded_off_prod!$A$44</f>
        <v>0.219</v>
      </c>
      <c r="I97" s="197">
        <f>Storage_Reconciled_prod!I97*Storage_Reconciled_prod!$A$44+Storage_rounded_off_prod!I97*Storage_rounded_off_prod!$A$44</f>
        <v>6.3E-2</v>
      </c>
      <c r="J97" s="197">
        <f>Storage_Reconciled_prod!J97*Storage_Reconciled_prod!$A$44+Storage_rounded_off_prod!J97*Storage_rounded_off_prod!$A$44</f>
        <v>6.6000000000000003E-2</v>
      </c>
      <c r="K97" s="197">
        <f>Storage_Reconciled_prod!K97*Storage_Reconciled_prod!$A$44+Storage_rounded_off_prod!K97*Storage_rounded_off_prod!$A$44</f>
        <v>5.7000000000000002E-2</v>
      </c>
      <c r="L97" s="197">
        <f>Storage_Reconciled_prod!L97*Storage_Reconciled_prod!$A$44+Storage_rounded_off_prod!L97*Storage_rounded_off_prod!$A$44</f>
        <v>0.186</v>
      </c>
      <c r="M97" s="197">
        <f>Storage_Reconciled_prod!M97*Storage_Reconciled_prod!$A$44+Storage_rounded_off_prod!M97*Storage_rounded_off_prod!$A$44</f>
        <v>0.40500000000000003</v>
      </c>
      <c r="N97" s="197">
        <f>Storage_Reconciled_prod!N97*Storage_Reconciled_prod!$A$44+Storage_rounded_off_prod!N97*Storage_rounded_off_prod!$A$44</f>
        <v>5.6000000000000001E-2</v>
      </c>
      <c r="O97" s="197">
        <f>Storage_Reconciled_prod!O97*Storage_Reconciled_prod!$A$44+Storage_rounded_off_prod!O97*Storage_rounded_off_prod!$A$44</f>
        <v>5.1999999999999998E-2</v>
      </c>
      <c r="P97" s="197">
        <f>Storage_Reconciled_prod!P97*Storage_Reconciled_prod!$A$44+Storage_rounded_off_prod!P97*Storage_rounded_off_prod!$A$44</f>
        <v>4.3999999999999997E-2</v>
      </c>
      <c r="Q97" s="197">
        <f>Storage_Reconciled_prod!Q97*Storage_Reconciled_prod!$A$44+Storage_rounded_off_prod!Q97*Storage_rounded_off_prod!$A$44</f>
        <v>0.152</v>
      </c>
      <c r="R97" s="197">
        <f>Storage_Reconciled_prod!R97*Storage_Reconciled_prod!$A$44+Storage_rounded_off_prod!R97*Storage_rounded_off_prod!$A$44</f>
        <v>0.55700000000000005</v>
      </c>
      <c r="S97" s="197">
        <f>Storage_Reconciled_prod!S97*Storage_Reconciled_prod!$A$44+Storage_rounded_off_prod!S97*Storage_rounded_off_prod!$A$44</f>
        <v>4.1000000000000002E-2</v>
      </c>
      <c r="T97" s="197">
        <f>Storage_Reconciled_prod!T97*Storage_Reconciled_prod!$A$44+Storage_rounded_off_prod!T97*Storage_rounded_off_prod!$A$44</f>
        <v>4.3999999999999997E-2</v>
      </c>
      <c r="U97" s="197">
        <f>Storage_Reconciled_prod!U97*Storage_Reconciled_prod!$A$44+Storage_rounded_off_prod!U97*Storage_rounded_off_prod!$A$44</f>
        <v>5.0999999999999997E-2</v>
      </c>
      <c r="V97" s="197">
        <f>Storage_Reconciled_prod!V97*Storage_Reconciled_prod!$A$44+Storage_rounded_off_prod!V97*Storage_rounded_off_prod!$A$44</f>
        <v>0.13599999999999998</v>
      </c>
      <c r="W97" s="197">
        <f>Storage_Reconciled_prod!W97*Storage_Reconciled_prod!$A$44+Storage_rounded_off_prod!W97*Storage_rounded_off_prod!$A$44</f>
        <v>0.69300000000000006</v>
      </c>
      <c r="X97" s="197">
        <f>Storage_Reconciled_prod!X97*Storage_Reconciled_prod!$A$44+Storage_rounded_off_prod!X97*Storage_rounded_off_prod!$A$44</f>
        <v>4.8000000000000001E-2</v>
      </c>
      <c r="Y97" s="197">
        <f>Storage_Reconciled_prod!Y97*Storage_Reconciled_prod!$A$44+Storage_rounded_off_prod!Y97*Storage_rounded_off_prod!$A$44</f>
        <v>4.8000000000000001E-2</v>
      </c>
      <c r="Z97" s="197">
        <f>Storage_Reconciled_prod!Z97*Storage_Reconciled_prod!$A$44+Storage_rounded_off_prod!Z97*Storage_rounded_off_prod!$A$44</f>
        <v>4.2000000000000003E-2</v>
      </c>
      <c r="AA97" s="197">
        <f>Storage_Reconciled_prod!AA97*Storage_Reconciled_prod!$A$44+Storage_rounded_off_prod!AA97*Storage_rounded_off_prod!$A$44</f>
        <v>0.13800000000000001</v>
      </c>
      <c r="AB97" s="197">
        <f>Storage_Reconciled_prod!AB97*Storage_Reconciled_prod!$A$44+Storage_rounded_off_prod!AB97*Storage_rounded_off_prod!$A$44</f>
        <v>4.2000000000000003E-2</v>
      </c>
      <c r="AC97" s="197">
        <f>Storage_Reconciled_prod!AC97*Storage_Reconciled_prod!$A$44+Storage_rounded_off_prod!AC97*Storage_rounded_off_prod!$A$44</f>
        <v>3.9E-2</v>
      </c>
      <c r="AD97" s="197">
        <f>Storage_Reconciled_prod!AD97*Storage_Reconciled_prod!$A$44+Storage_rounded_off_prod!AD97*Storage_rounded_off_prod!$A$44</f>
        <v>3.2000000000000001E-2</v>
      </c>
      <c r="AE97" s="197">
        <f>Storage_Reconciled_prod!AE97*Storage_Reconciled_prod!$A$44+Storage_rounded_off_prod!AE97*Storage_rounded_off_prod!$A$44</f>
        <v>0.113</v>
      </c>
      <c r="AF97" s="197">
        <f>Storage_Reconciled_prod!AF97*Storage_Reconciled_prod!$A$44+Storage_rounded_off_prod!AF97*Storage_rounded_off_prod!$A$44</f>
        <v>0.251</v>
      </c>
      <c r="AG97" s="197">
        <f>Storage_Reconciled_prod!AG97*Storage_Reconciled_prod!$A$44+Storage_rounded_off_prod!AG97*Storage_rounded_off_prod!$A$44</f>
        <v>0.03</v>
      </c>
      <c r="AH97" s="197">
        <f>Storage_Reconciled_prod!AH97*Storage_Reconciled_prod!$A$44+Storage_rounded_off_prod!AH97*Storage_rounded_off_prod!$A$44</f>
        <v>2.5999999999999999E-2</v>
      </c>
      <c r="AI97" s="197">
        <f>Storage_Reconciled_prod!AI97*Storage_Reconciled_prod!$A$44+Storage_rounded_off_prod!AI97*Storage_rounded_off_prod!$A$44</f>
        <v>2.8000000000000001E-2</v>
      </c>
      <c r="AJ97" s="197">
        <f>Storage_Reconciled_prod!AJ97*Storage_Reconciled_prod!$A$44+Storage_rounded_off_prod!AJ97*Storage_rounded_off_prod!$A$44</f>
        <v>8.3999999999999991E-2</v>
      </c>
      <c r="AK97" s="197">
        <f>Storage_Reconciled_prod!AK97*Storage_Reconciled_prod!$A$44+Storage_rounded_off_prod!AK97*Storage_rounded_off_prod!$A$44</f>
        <v>0.33499999999999996</v>
      </c>
      <c r="AL97" s="197">
        <f>Storage_Reconciled_prod!AL97*Storage_Reconciled_prod!$A$44+Storage_rounded_off_prod!AL97*Storage_rounded_off_prod!$A$44</f>
        <v>3.1E-2</v>
      </c>
      <c r="AM97" s="197">
        <f>Storage_Reconciled_prod!AM97*Storage_Reconciled_prod!$A$44+Storage_rounded_off_prod!AM97*Storage_rounded_off_prod!$A$44</f>
        <v>2.5999999999999999E-2</v>
      </c>
      <c r="AN97" s="197">
        <f>Storage_Reconciled_prod!AN97*Storage_Reconciled_prod!$A$44+Storage_rounded_off_prod!AN97*Storage_rounded_off_prod!$A$44</f>
        <v>2.9000000000000001E-2</v>
      </c>
      <c r="AO97" s="197">
        <f>Storage_Reconciled_prod!AO97*Storage_Reconciled_prod!$A$44+Storage_rounded_off_prod!AO97*Storage_rounded_off_prod!$A$44</f>
        <v>8.5999999999999993E-2</v>
      </c>
      <c r="AP97" s="197">
        <f>Storage_Reconciled_prod!AP97*Storage_Reconciled_prod!$A$44+Storage_rounded_off_prod!AP97*Storage_rounded_off_prod!$A$44</f>
        <v>0.42099999999999993</v>
      </c>
      <c r="AQ97" s="197">
        <f>Storage_Reconciled_prod!AQ97*Storage_Reconciled_prod!$A$44+Storage_rounded_off_prod!AQ97*Storage_rounded_off_prod!$A$44</f>
        <v>2.8000000000000001E-2</v>
      </c>
      <c r="AR97" s="197">
        <f>Storage_Reconciled_prod!AR97*Storage_Reconciled_prod!$A$44+Storage_rounded_off_prod!AR97*Storage_rounded_off_prod!$A$44</f>
        <v>2.7E-2</v>
      </c>
      <c r="AS97" s="197">
        <f>Storage_Reconciled_prod!AS97*Storage_Reconciled_prod!$A$44+Storage_rounded_off_prod!AS97*Storage_rounded_off_prod!$A$44</f>
        <v>2.3E-2</v>
      </c>
      <c r="AT97" s="197">
        <f>Storage_Reconciled_prod!AT97*Storage_Reconciled_prod!$A$44+Storage_rounded_off_prod!AT97*Storage_rounded_off_prod!$A$44</f>
        <v>7.8E-2</v>
      </c>
      <c r="AU97" s="197">
        <f>Storage_Reconciled_prod!AU97*Storage_Reconciled_prod!$A$44+Storage_rounded_off_prod!AU97*Storage_rounded_off_prod!$A$44</f>
        <v>2.1999999999999999E-2</v>
      </c>
      <c r="AV97" s="197">
        <f>Storage_Reconciled_prod!AV97*Storage_Reconciled_prod!$A$44+Storage_rounded_off_prod!AV97*Storage_rounded_off_prod!$A$44</f>
        <v>1.4999999999999999E-2</v>
      </c>
      <c r="AW97" s="197">
        <f>Storage_Reconciled_prod!AW97*Storage_Reconciled_prod!$A$44+Storage_rounded_off_prod!AW97*Storage_rounded_off_prod!$A$44</f>
        <v>0.01</v>
      </c>
      <c r="AX97" s="197">
        <f>Storage_Reconciled_prod!AX97*Storage_Reconciled_prod!$A$44+Storage_rounded_off_prod!AX97*Storage_rounded_off_prod!$A$44</f>
        <v>4.7E-2</v>
      </c>
      <c r="AY97" s="197">
        <f>Storage_Reconciled_prod!AY97*Storage_Reconciled_prod!$A$44+Storage_rounded_off_prod!AY97*Storage_rounded_off_prod!$A$44</f>
        <v>0.125</v>
      </c>
      <c r="AZ97" s="197">
        <f>Storage_Reconciled_prod!AZ97*Storage_Reconciled_prod!$A$44+Storage_rounded_off_prod!AZ97*Storage_rounded_off_prod!$A$44</f>
        <v>8.0000000000000002E-3</v>
      </c>
      <c r="BA97" s="197">
        <f>Storage_Reconciled_prod!BA97*Storage_Reconciled_prod!$A$44+Storage_rounded_off_prod!BA97*Storage_rounded_off_prod!$A$44</f>
        <v>5.0000000000000001E-3</v>
      </c>
      <c r="BB97" s="197">
        <f>Storage_Reconciled_prod!BB97*Storage_Reconciled_prod!$A$44+Storage_rounded_off_prod!BB97*Storage_rounded_off_prod!$A$44</f>
        <v>6.0000000000000001E-3</v>
      </c>
      <c r="BC97" s="197">
        <f>Storage_Reconciled_prod!BC97*Storage_Reconciled_prod!$A$44+Storage_rounded_off_prod!BC97*Storage_rounded_off_prod!$A$44</f>
        <v>1.9000000000000003E-2</v>
      </c>
      <c r="BD97" s="197">
        <f>Storage_Reconciled_prod!BD97*Storage_Reconciled_prod!$A$44+Storage_rounded_off_prod!BD97*Storage_rounded_off_prod!$A$44</f>
        <v>0.14400000000000002</v>
      </c>
      <c r="BE97" s="197">
        <f>Storage_Reconciled_prod!BE97*Storage_Reconciled_prod!$A$44+Storage_rounded_off_prod!BE97*Storage_rounded_off_prod!$A$44</f>
        <v>6.0000000000000001E-3</v>
      </c>
      <c r="BF97" s="197">
        <f>Storage_Reconciled_prod!BF97*Storage_Reconciled_prod!$A$44+Storage_rounded_off_prod!BF97*Storage_rounded_off_prod!$A$44</f>
        <v>7.0000000000000001E-3</v>
      </c>
      <c r="BG97" s="197">
        <f>Storage_Reconciled_prod!BG97*Storage_Reconciled_prod!$A$44+Storage_rounded_off_prod!BG97*Storage_rounded_off_prod!$A$44</f>
        <v>4.0000000000000001E-3</v>
      </c>
      <c r="BH97" s="197">
        <f>Storage_Reconciled_prod!BH97*Storage_Reconciled_prod!$A$44+Storage_rounded_off_prod!BH97*Storage_rounded_off_prod!$A$44</f>
        <v>1.7000000000000001E-2</v>
      </c>
      <c r="BI97" s="197">
        <f>Storage_Reconciled_prod!BI97*Storage_Reconciled_prod!$A$44+Storage_rounded_off_prod!BI97*Storage_rounded_off_prod!$A$44</f>
        <v>0.16100000000000003</v>
      </c>
      <c r="BJ97" s="197">
        <f>Storage_Reconciled_prod!BJ97*Storage_Reconciled_prod!$A$44+Storage_rounded_off_prod!BJ97*Storage_rounded_off_prod!$A$44</f>
        <v>6.0000000000000001E-3</v>
      </c>
      <c r="BK97" s="197">
        <f>Storage_Reconciled_prod!BK97*Storage_Reconciled_prod!$A$44+Storage_rounded_off_prod!BK97*Storage_rounded_off_prod!$A$44</f>
        <v>6.0000000000000001E-3</v>
      </c>
      <c r="BL97" s="197">
        <f>Storage_Reconciled_prod!BL97*Storage_Reconciled_prod!$A$44+Storage_rounded_off_prod!BL97*Storage_rounded_off_prod!$A$44</f>
        <v>6.0000000000000001E-3</v>
      </c>
      <c r="BM97" s="197">
        <f>Storage_Reconciled_prod!BM97*Storage_Reconciled_prod!$A$44+Storage_rounded_off_prod!BM97*Storage_rounded_off_prod!$A$44</f>
        <v>1.8000000000000002E-2</v>
      </c>
      <c r="BN97" s="197">
        <f>Storage_Reconciled_prod!BN97*Storage_Reconciled_prod!$A$44+Storage_rounded_off_prod!BN97*Storage_rounded_off_prod!$A$44</f>
        <v>0</v>
      </c>
      <c r="BO97" s="197">
        <f>Storage_Reconciled_prod!BO97*Storage_Reconciled_prod!$A$44+Storage_rounded_off_prod!BO97*Storage_rounded_off_prod!$A$44</f>
        <v>0</v>
      </c>
      <c r="BP97" s="197">
        <f>Storage_Reconciled_prod!BP97*Storage_Reconciled_prod!$A$44+Storage_rounded_off_prod!BP97*Storage_rounded_off_prod!$A$44</f>
        <v>0</v>
      </c>
      <c r="BQ97" s="197">
        <f>Storage_Reconciled_prod!BQ97*Storage_Reconciled_prod!$A$44+Storage_rounded_off_prod!BQ97*Storage_rounded_off_prod!$A$44</f>
        <v>0</v>
      </c>
      <c r="BR97" s="197">
        <f>Storage_Reconciled_prod!BR97*Storage_Reconciled_prod!$A$44+Storage_rounded_off_prod!BR97*Storage_rounded_off_prod!$A$44</f>
        <v>1.8000000000000002E-2</v>
      </c>
      <c r="BS97" s="197">
        <f>Storage_Reconciled_prod!BS97*Storage_Reconciled_prod!$A$44+Storage_rounded_off_prod!BS97*Storage_rounded_off_prod!$A$44</f>
        <v>0</v>
      </c>
      <c r="BT97" s="197">
        <f>Storage_Reconciled_prod!BT97*Storage_Reconciled_prod!$A$44+Storage_rounded_off_prod!BT97*Storage_rounded_off_prod!$A$44</f>
        <v>0</v>
      </c>
      <c r="BU97" s="197">
        <f>Storage_Reconciled_prod!BU97*Storage_Reconciled_prod!$A$44+Storage_rounded_off_prod!BU97*Storage_rounded_off_prod!$A$44</f>
        <v>0</v>
      </c>
      <c r="BV97" s="197">
        <f>Storage_Reconciled_prod!BV97*Storage_Reconciled_prod!$A$44+Storage_rounded_off_prod!BV97*Storage_rounded_off_prod!$A$44</f>
        <v>0</v>
      </c>
      <c r="BW97" s="197">
        <f>Storage_Reconciled_prod!BW97*Storage_Reconciled_prod!$A$44+Storage_rounded_off_prod!BW97*Storage_rounded_off_prod!$A$44</f>
        <v>1.8000000000000002E-2</v>
      </c>
      <c r="BX97" s="197">
        <f>Storage_Reconciled_prod!BX97*Storage_Reconciled_prod!$A$44+Storage_rounded_off_prod!BX97*Storage_rounded_off_prod!$A$44</f>
        <v>0</v>
      </c>
      <c r="BY97" s="197">
        <f>Storage_Reconciled_prod!BY97*Storage_Reconciled_prod!$A$44+Storage_rounded_off_prod!BY97*Storage_rounded_off_prod!$A$44</f>
        <v>0</v>
      </c>
      <c r="BZ97" s="197">
        <f>Storage_Reconciled_prod!BZ97*Storage_Reconciled_prod!$A$44+Storage_rounded_off_prod!BZ97*Storage_rounded_off_prod!$A$44</f>
        <v>0</v>
      </c>
      <c r="CA97" s="197">
        <f>Storage_Reconciled_prod!CA97*Storage_Reconciled_prod!$A$44+Storage_rounded_off_prod!CA97*Storage_rounded_off_prod!$A$44</f>
        <v>0</v>
      </c>
      <c r="CB97" s="197">
        <f>Storage_Reconciled_prod!CB97*Storage_Reconciled_prod!$A$44+Storage_rounded_off_prod!CB97*Storage_rounded_off_prod!$A$44</f>
        <v>1.7999999999999999E-2</v>
      </c>
      <c r="CC97" s="197">
        <f>Storage_Reconciled_prod!CC97*Storage_Reconciled_prod!$A$44+Storage_rounded_off_prod!CC97*Storage_rounded_off_prod!$A$44</f>
        <v>0</v>
      </c>
      <c r="CD97" s="197">
        <f>Storage_Reconciled_prod!CD97*Storage_Reconciled_prod!$A$44+Storage_rounded_off_prod!CD97*Storage_rounded_off_prod!$A$44</f>
        <v>0</v>
      </c>
      <c r="CE97" s="197">
        <f>Storage_Reconciled_prod!CE97*Storage_Reconciled_prod!$A$44+Storage_rounded_off_prod!CE97*Storage_rounded_off_prod!$A$44</f>
        <v>0</v>
      </c>
      <c r="CF97" s="197">
        <f>Storage_Reconciled_prod!CF97*Storage_Reconciled_prod!$A$44+Storage_rounded_off_prod!CF97*Storage_rounded_off_prod!$A$44</f>
        <v>0</v>
      </c>
      <c r="CG97" s="197">
        <f>Storage_Reconciled_prod!CG97*Storage_Reconciled_prod!$A$44+Storage_rounded_off_prod!CG97*Storage_rounded_off_prod!$A$44</f>
        <v>0</v>
      </c>
      <c r="CH97" s="197">
        <f>Storage_Reconciled_prod!CH97*Storage_Reconciled_prod!$A$44+Storage_rounded_off_prod!CH97*Storage_rounded_off_prod!$A$44</f>
        <v>0</v>
      </c>
      <c r="CI97" s="197">
        <f>Storage_Reconciled_prod!CI97*Storage_Reconciled_prod!$A$44+Storage_rounded_off_prod!CI97*Storage_rounded_off_prod!$A$44</f>
        <v>0</v>
      </c>
      <c r="CJ97" s="197">
        <f>Storage_Reconciled_prod!CJ97*Storage_Reconciled_prod!$A$44+Storage_rounded_off_prod!CJ97*Storage_rounded_off_prod!$A$44</f>
        <v>0</v>
      </c>
      <c r="CK97" s="197">
        <f>Storage_Reconciled_prod!CK97*Storage_Reconciled_prod!$A$44+Storage_rounded_off_prod!CK97*Storage_rounded_off_prod!$A$44</f>
        <v>0</v>
      </c>
      <c r="CL97" s="197">
        <f>Storage_Reconciled_prod!CL97*Storage_Reconciled_prod!$A$44+Storage_rounded_off_prod!CL97*Storage_rounded_off_prod!$A$44</f>
        <v>0</v>
      </c>
      <c r="CM97" s="197">
        <f>Storage_Reconciled_prod!CM97*Storage_Reconciled_prod!$A$44+Storage_rounded_off_prod!CM97*Storage_rounded_off_prod!$A$44</f>
        <v>0</v>
      </c>
      <c r="CN97" s="197">
        <f>Storage_Reconciled_prod!CN97*Storage_Reconciled_prod!$A$44+Storage_rounded_off_prod!CN97*Storage_rounded_off_prod!$A$44</f>
        <v>0</v>
      </c>
      <c r="CO97" s="197">
        <f>Storage_Reconciled_prod!CO97*Storage_Reconciled_prod!$A$44+Storage_rounded_off_prod!CO97*Storage_rounded_off_prod!$A$44</f>
        <v>0</v>
      </c>
      <c r="CP97" s="197">
        <f>Storage_Reconciled_prod!CP97*Storage_Reconciled_prod!$A$44+Storage_rounded_off_prod!CP97*Storage_rounded_off_prod!$A$44</f>
        <v>0</v>
      </c>
      <c r="CQ97" s="197">
        <f>Storage_Reconciled_prod!CQ97*Storage_Reconciled_prod!$A$44+Storage_rounded_off_prod!CQ97*Storage_rounded_off_prod!$A$44</f>
        <v>0</v>
      </c>
      <c r="CR97" s="197">
        <f>Storage_Reconciled_prod!CR97*Storage_Reconciled_prod!$A$44+Storage_rounded_off_prod!CR97*Storage_rounded_off_prod!$A$44</f>
        <v>0</v>
      </c>
      <c r="CS97" s="197">
        <f>Storage_Reconciled_prod!CS97*Storage_Reconciled_prod!$A$44+Storage_rounded_off_prod!CS97*Storage_rounded_off_prod!$A$44</f>
        <v>0</v>
      </c>
      <c r="CT97" s="197">
        <f>Storage_Reconciled_prod!CT97*Storage_Reconciled_prod!$A$44+Storage_rounded_off_prod!CT97*Storage_rounded_off_prod!$A$44</f>
        <v>0</v>
      </c>
      <c r="CU97" s="197">
        <f>Storage_Reconciled_prod!CU97*Storage_Reconciled_prod!$A$44+Storage_rounded_off_prod!CU97*Storage_rounded_off_prod!$A$44</f>
        <v>0</v>
      </c>
    </row>
    <row r="98" spans="3:99">
      <c r="C98">
        <v>16</v>
      </c>
      <c r="D98" s="209" t="s">
        <v>70</v>
      </c>
      <c r="E98" s="197">
        <f>Storage_Reconciled_prod!E98*Storage_Reconciled_prod!$A$44+Storage_rounded_off_prod!E98*Storage_rounded_off_prod!$A$44</f>
        <v>7.1999999999999995E-2</v>
      </c>
      <c r="F98" s="197">
        <f>Storage_Reconciled_prod!F98*Storage_Reconciled_prod!$A$44+Storage_rounded_off_prod!F98*Storage_rounded_off_prod!$A$44</f>
        <v>7.2999999999999995E-2</v>
      </c>
      <c r="G98" s="197">
        <f>Storage_Reconciled_prod!G98*Storage_Reconciled_prod!$A$44+Storage_rounded_off_prod!G98*Storage_rounded_off_prod!$A$44</f>
        <v>7.6999999999999999E-2</v>
      </c>
      <c r="H98" s="197">
        <f>Storage_Reconciled_prod!H98*Storage_Reconciled_prod!$A$44+Storage_rounded_off_prod!H98*Storage_rounded_off_prod!$A$44</f>
        <v>0.22199999999999998</v>
      </c>
      <c r="I98" s="197">
        <f>Storage_Reconciled_prod!I98*Storage_Reconciled_prod!$A$44+Storage_rounded_off_prod!I98*Storage_rounded_off_prod!$A$44</f>
        <v>7.5999999999999998E-2</v>
      </c>
      <c r="J98" s="197">
        <f>Storage_Reconciled_prod!J98*Storage_Reconciled_prod!$A$44+Storage_rounded_off_prod!J98*Storage_rounded_off_prod!$A$44</f>
        <v>7.9000000000000001E-2</v>
      </c>
      <c r="K98" s="197">
        <f>Storage_Reconciled_prod!K98*Storage_Reconciled_prod!$A$44+Storage_rounded_off_prod!K98*Storage_rounded_off_prod!$A$44</f>
        <v>8.6999999999999994E-2</v>
      </c>
      <c r="L98" s="197">
        <f>Storage_Reconciled_prod!L98*Storage_Reconciled_prod!$A$44+Storage_rounded_off_prod!L98*Storage_rounded_off_prod!$A$44</f>
        <v>0.24199999999999999</v>
      </c>
      <c r="M98" s="197">
        <f>Storage_Reconciled_prod!M98*Storage_Reconciled_prod!$A$44+Storage_rounded_off_prod!M98*Storage_rounded_off_prod!$A$44</f>
        <v>0.46399999999999997</v>
      </c>
      <c r="N98" s="197">
        <f>Storage_Reconciled_prod!N98*Storage_Reconciled_prod!$A$44+Storage_rounded_off_prod!N98*Storage_rounded_off_prod!$A$44</f>
        <v>8.8999999999999996E-2</v>
      </c>
      <c r="O98" s="197">
        <f>Storage_Reconciled_prod!O98*Storage_Reconciled_prod!$A$44+Storage_rounded_off_prod!O98*Storage_rounded_off_prod!$A$44</f>
        <v>8.4000000000000005E-2</v>
      </c>
      <c r="P98" s="197">
        <f>Storage_Reconciled_prod!P98*Storage_Reconciled_prod!$A$44+Storage_rounded_off_prod!P98*Storage_rounded_off_prod!$A$44</f>
        <v>8.2000000000000003E-2</v>
      </c>
      <c r="Q98" s="197">
        <f>Storage_Reconciled_prod!Q98*Storage_Reconciled_prod!$A$44+Storage_rounded_off_prod!Q98*Storage_rounded_off_prod!$A$44</f>
        <v>0.255</v>
      </c>
      <c r="R98" s="197">
        <f>Storage_Reconciled_prod!R98*Storage_Reconciled_prod!$A$44+Storage_rounded_off_prod!R98*Storage_rounded_off_prod!$A$44</f>
        <v>0.71899999999999997</v>
      </c>
      <c r="S98" s="197">
        <f>Storage_Reconciled_prod!S98*Storage_Reconciled_prod!$A$44+Storage_rounded_off_prod!S98*Storage_rounded_off_prod!$A$44</f>
        <v>8.2000000000000003E-2</v>
      </c>
      <c r="T98" s="197">
        <f>Storage_Reconciled_prod!T98*Storage_Reconciled_prod!$A$44+Storage_rounded_off_prod!T98*Storage_rounded_off_prod!$A$44</f>
        <v>7.4999999999999997E-2</v>
      </c>
      <c r="U98" s="197">
        <f>Storage_Reconciled_prod!U98*Storage_Reconciled_prod!$A$44+Storage_rounded_off_prod!U98*Storage_rounded_off_prod!$A$44</f>
        <v>7.4999999999999997E-2</v>
      </c>
      <c r="V98" s="197">
        <f>Storage_Reconciled_prod!V98*Storage_Reconciled_prod!$A$44+Storage_rounded_off_prod!V98*Storage_rounded_off_prod!$A$44</f>
        <v>0.23199999999999998</v>
      </c>
      <c r="W98" s="197">
        <f>Storage_Reconciled_prod!W98*Storage_Reconciled_prod!$A$44+Storage_rounded_off_prod!W98*Storage_rounded_off_prod!$A$44</f>
        <v>0.95099999999999996</v>
      </c>
      <c r="X98" s="197">
        <f>Storage_Reconciled_prod!X98*Storage_Reconciled_prod!$A$44+Storage_rounded_off_prod!X98*Storage_rounded_off_prod!$A$44</f>
        <v>5.5E-2</v>
      </c>
      <c r="Y98" s="197">
        <f>Storage_Reconciled_prod!Y98*Storage_Reconciled_prod!$A$44+Storage_rounded_off_prod!Y98*Storage_rounded_off_prod!$A$44</f>
        <v>6.4000000000000001E-2</v>
      </c>
      <c r="Z98" s="197">
        <f>Storage_Reconciled_prod!Z98*Storage_Reconciled_prod!$A$44+Storage_rounded_off_prod!Z98*Storage_rounded_off_prod!$A$44</f>
        <v>7.2999999999999995E-2</v>
      </c>
      <c r="AA98" s="197">
        <f>Storage_Reconciled_prod!AA98*Storage_Reconciled_prod!$A$44+Storage_rounded_off_prod!AA98*Storage_rounded_off_prod!$A$44</f>
        <v>0.192</v>
      </c>
      <c r="AB98" s="197">
        <f>Storage_Reconciled_prod!AB98*Storage_Reconciled_prod!$A$44+Storage_rounded_off_prod!AB98*Storage_rounded_off_prod!$A$44</f>
        <v>8.1000000000000003E-2</v>
      </c>
      <c r="AC98" s="197">
        <f>Storage_Reconciled_prod!AC98*Storage_Reconciled_prod!$A$44+Storage_rounded_off_prod!AC98*Storage_rounded_off_prod!$A$44</f>
        <v>7.6999999999999999E-2</v>
      </c>
      <c r="AD98" s="197">
        <f>Storage_Reconciled_prod!AD98*Storage_Reconciled_prod!$A$44+Storage_rounded_off_prod!AD98*Storage_rounded_off_prod!$A$44</f>
        <v>6.9000000000000006E-2</v>
      </c>
      <c r="AE98" s="197">
        <f>Storage_Reconciled_prod!AE98*Storage_Reconciled_prod!$A$44+Storage_rounded_off_prod!AE98*Storage_rounded_off_prod!$A$44</f>
        <v>0.22700000000000001</v>
      </c>
      <c r="AF98" s="197">
        <f>Storage_Reconciled_prod!AF98*Storage_Reconciled_prod!$A$44+Storage_rounded_off_prod!AF98*Storage_rounded_off_prod!$A$44</f>
        <v>0.41900000000000004</v>
      </c>
      <c r="AG98" s="197">
        <f>Storage_Reconciled_prod!AG98*Storage_Reconciled_prod!$A$44+Storage_rounded_off_prod!AG98*Storage_rounded_off_prod!$A$44</f>
        <v>6.7000000000000004E-2</v>
      </c>
      <c r="AH98" s="197">
        <f>Storage_Reconciled_prod!AH98*Storage_Reconciled_prod!$A$44+Storage_rounded_off_prod!AH98*Storage_rounded_off_prod!$A$44</f>
        <v>7.0999999999999994E-2</v>
      </c>
      <c r="AI98" s="197">
        <f>Storage_Reconciled_prod!AI98*Storage_Reconciled_prod!$A$44+Storage_rounded_off_prod!AI98*Storage_rounded_off_prod!$A$44</f>
        <v>7.6999999999999999E-2</v>
      </c>
      <c r="AJ98" s="197">
        <f>Storage_Reconciled_prod!AJ98*Storage_Reconciled_prod!$A$44+Storage_rounded_off_prod!AJ98*Storage_rounded_off_prod!$A$44</f>
        <v>0.21500000000000002</v>
      </c>
      <c r="AK98" s="197">
        <f>Storage_Reconciled_prod!AK98*Storage_Reconciled_prod!$A$44+Storage_rounded_off_prod!AK98*Storage_rounded_off_prod!$A$44</f>
        <v>0.63400000000000012</v>
      </c>
      <c r="AL98" s="197">
        <f>Storage_Reconciled_prod!AL98*Storage_Reconciled_prod!$A$44+Storage_rounded_off_prod!AL98*Storage_rounded_off_prod!$A$44</f>
        <v>7.5999999999999998E-2</v>
      </c>
      <c r="AM98" s="197">
        <f>Storage_Reconciled_prod!AM98*Storage_Reconciled_prod!$A$44+Storage_rounded_off_prod!AM98*Storage_rounded_off_prod!$A$44</f>
        <v>7.2999999999999995E-2</v>
      </c>
      <c r="AN98" s="197">
        <f>Storage_Reconciled_prod!AN98*Storage_Reconciled_prod!$A$44+Storage_rounded_off_prod!AN98*Storage_rounded_off_prod!$A$44</f>
        <v>0.05</v>
      </c>
      <c r="AO98" s="197">
        <f>Storage_Reconciled_prod!AO98*Storage_Reconciled_prod!$A$44+Storage_rounded_off_prod!AO98*Storage_rounded_off_prod!$A$44</f>
        <v>0.19900000000000001</v>
      </c>
      <c r="AP98" s="197">
        <f>Storage_Reconciled_prod!AP98*Storage_Reconciled_prod!$A$44+Storage_rounded_off_prod!AP98*Storage_rounded_off_prod!$A$44</f>
        <v>0.83300000000000018</v>
      </c>
      <c r="AQ98" s="197">
        <f>Storage_Reconciled_prod!AQ98*Storage_Reconciled_prod!$A$44+Storage_rounded_off_prod!AQ98*Storage_rounded_off_prod!$A$44</f>
        <v>7.0000000000000007E-2</v>
      </c>
      <c r="AR98" s="197">
        <f>Storage_Reconciled_prod!AR98*Storage_Reconciled_prod!$A$44+Storage_rounded_off_prod!AR98*Storage_rounded_off_prod!$A$44</f>
        <v>7.2999999999999995E-2</v>
      </c>
      <c r="AS98" s="197">
        <f>Storage_Reconciled_prod!AS98*Storage_Reconciled_prod!$A$44+Storage_rounded_off_prod!AS98*Storage_rounded_off_prod!$A$44</f>
        <v>6.5000000000000002E-2</v>
      </c>
      <c r="AT98" s="197">
        <f>Storage_Reconciled_prod!AT98*Storage_Reconciled_prod!$A$44+Storage_rounded_off_prod!AT98*Storage_rounded_off_prod!$A$44</f>
        <v>0.20800000000000002</v>
      </c>
      <c r="AU98" s="197">
        <f>Storage_Reconciled_prod!AU98*Storage_Reconciled_prod!$A$44+Storage_rounded_off_prod!AU98*Storage_rounded_off_prod!$A$44</f>
        <v>7.6999999999999999E-2</v>
      </c>
      <c r="AV98" s="197">
        <f>Storage_Reconciled_prod!AV98*Storage_Reconciled_prod!$A$44+Storage_rounded_off_prod!AV98*Storage_rounded_off_prod!$A$44</f>
        <v>7.3999999999999996E-2</v>
      </c>
      <c r="AW98" s="197">
        <f>Storage_Reconciled_prod!AW98*Storage_Reconciled_prod!$A$44+Storage_rounded_off_prod!AW98*Storage_rounded_off_prod!$A$44</f>
        <v>6.4000000000000001E-2</v>
      </c>
      <c r="AX98" s="197">
        <f>Storage_Reconciled_prod!AX98*Storage_Reconciled_prod!$A$44+Storage_rounded_off_prod!AX98*Storage_rounded_off_prod!$A$44</f>
        <v>0.215</v>
      </c>
      <c r="AY98" s="197">
        <f>Storage_Reconciled_prod!AY98*Storage_Reconciled_prod!$A$44+Storage_rounded_off_prod!AY98*Storage_rounded_off_prod!$A$44</f>
        <v>0.42300000000000004</v>
      </c>
      <c r="AZ98" s="197">
        <f>Storage_Reconciled_prod!AZ98*Storage_Reconciled_prod!$A$44+Storage_rounded_off_prod!AZ98*Storage_rounded_off_prod!$A$44</f>
        <v>6.6000000000000003E-2</v>
      </c>
      <c r="BA98" s="197">
        <f>Storage_Reconciled_prod!BA98*Storage_Reconciled_prod!$A$44+Storage_rounded_off_prod!BA98*Storage_rounded_off_prod!$A$44</f>
        <v>6.3E-2</v>
      </c>
      <c r="BB98" s="197">
        <f>Storage_Reconciled_prod!BB98*Storage_Reconciled_prod!$A$44+Storage_rounded_off_prod!BB98*Storage_rounded_off_prod!$A$44</f>
        <v>7.0999999999999994E-2</v>
      </c>
      <c r="BC98" s="197">
        <f>Storage_Reconciled_prod!BC98*Storage_Reconciled_prod!$A$44+Storage_rounded_off_prod!BC98*Storage_rounded_off_prod!$A$44</f>
        <v>0.2</v>
      </c>
      <c r="BD98" s="197">
        <f>Storage_Reconciled_prod!BD98*Storage_Reconciled_prod!$A$44+Storage_rounded_off_prod!BD98*Storage_rounded_off_prod!$A$44</f>
        <v>0.623</v>
      </c>
      <c r="BE98" s="197">
        <f>Storage_Reconciled_prod!BE98*Storage_Reconciled_prod!$A$44+Storage_rounded_off_prod!BE98*Storage_rounded_off_prod!$A$44</f>
        <v>8.3000000000000004E-2</v>
      </c>
      <c r="BF98" s="197">
        <f>Storage_Reconciled_prod!BF98*Storage_Reconciled_prod!$A$44+Storage_rounded_off_prod!BF98*Storage_rounded_off_prod!$A$44</f>
        <v>7.5999999999999998E-2</v>
      </c>
      <c r="BG98" s="197">
        <f>Storage_Reconciled_prod!BG98*Storage_Reconciled_prod!$A$44+Storage_rounded_off_prod!BG98*Storage_rounded_off_prod!$A$44</f>
        <v>7.0000000000000007E-2</v>
      </c>
      <c r="BH98" s="197">
        <f>Storage_Reconciled_prod!BH98*Storage_Reconciled_prod!$A$44+Storage_rounded_off_prod!BH98*Storage_rounded_off_prod!$A$44</f>
        <v>0.22900000000000001</v>
      </c>
      <c r="BI98" s="197">
        <f>Storage_Reconciled_prod!BI98*Storage_Reconciled_prod!$A$44+Storage_rounded_off_prod!BI98*Storage_rounded_off_prod!$A$44</f>
        <v>0.85199999999999998</v>
      </c>
      <c r="BJ98" s="197">
        <f>Storage_Reconciled_prod!BJ98*Storage_Reconciled_prod!$A$44+Storage_rounded_off_prod!BJ98*Storage_rounded_off_prod!$A$44</f>
        <v>6.9000000000000006E-2</v>
      </c>
      <c r="BK98" s="197">
        <f>Storage_Reconciled_prod!BK98*Storage_Reconciled_prod!$A$44+Storage_rounded_off_prod!BK98*Storage_rounded_off_prod!$A$44</f>
        <v>7.2999999999999995E-2</v>
      </c>
      <c r="BL98" s="197">
        <f>Storage_Reconciled_prod!BL98*Storage_Reconciled_prod!$A$44+Storage_rounded_off_prod!BL98*Storage_rounded_off_prod!$A$44</f>
        <v>7.2999999999999995E-2</v>
      </c>
      <c r="BM98" s="197">
        <f>Storage_Reconciled_prod!BM98*Storage_Reconciled_prod!$A$44+Storage_rounded_off_prod!BM98*Storage_rounded_off_prod!$A$44</f>
        <v>0.21500000000000002</v>
      </c>
      <c r="BN98" s="197">
        <f>Storage_Reconciled_prod!BN98*Storage_Reconciled_prod!$A$44+Storage_rounded_off_prod!BN98*Storage_rounded_off_prod!$A$44</f>
        <v>7.6999999999999999E-2</v>
      </c>
      <c r="BO98" s="197">
        <f>Storage_Reconciled_prod!BO98*Storage_Reconciled_prod!$A$44+Storage_rounded_off_prod!BO98*Storage_rounded_off_prod!$A$44</f>
        <v>7.4999999999999997E-2</v>
      </c>
      <c r="BP98" s="197">
        <f>Storage_Reconciled_prod!BP98*Storage_Reconciled_prod!$A$44+Storage_rounded_off_prod!BP98*Storage_rounded_off_prod!$A$44</f>
        <v>6.2E-2</v>
      </c>
      <c r="BQ98" s="197">
        <f>Storage_Reconciled_prod!BQ98*Storage_Reconciled_prod!$A$44+Storage_rounded_off_prod!BQ98*Storage_rounded_off_prod!$A$44</f>
        <v>0.214</v>
      </c>
      <c r="BR98" s="197">
        <f>Storage_Reconciled_prod!BR98*Storage_Reconciled_prod!$A$44+Storage_rounded_off_prod!BR98*Storage_rounded_off_prod!$A$44</f>
        <v>0.42900000000000005</v>
      </c>
      <c r="BS98" s="197">
        <f>Storage_Reconciled_prod!BS98*Storage_Reconciled_prod!$A$44+Storage_rounded_off_prod!BS98*Storage_rounded_off_prod!$A$44</f>
        <v>6.4000000000000001E-2</v>
      </c>
      <c r="BT98" s="197">
        <f>Storage_Reconciled_prod!BT98*Storage_Reconciled_prod!$A$44+Storage_rounded_off_prod!BT98*Storage_rounded_off_prod!$A$44</f>
        <v>7.2999999999999995E-2</v>
      </c>
      <c r="BU98" s="197">
        <f>Storage_Reconciled_prod!BU98*Storage_Reconciled_prod!$A$44+Storage_rounded_off_prod!BU98*Storage_rounded_off_prod!$A$44</f>
        <v>7.3999999999999996E-2</v>
      </c>
      <c r="BV98" s="197">
        <f>Storage_Reconciled_prod!BV98*Storage_Reconciled_prod!$A$44+Storage_rounded_off_prod!BV98*Storage_rounded_off_prod!$A$44</f>
        <v>0.21100000000000002</v>
      </c>
      <c r="BW98" s="197">
        <f>Storage_Reconciled_prod!BW98*Storage_Reconciled_prod!$A$44+Storage_rounded_off_prod!BW98*Storage_rounded_off_prod!$A$44</f>
        <v>0.64000000000000012</v>
      </c>
      <c r="BX98" s="197">
        <f>Storage_Reconciled_prod!BX98*Storage_Reconciled_prod!$A$44+Storage_rounded_off_prod!BX98*Storage_rounded_off_prod!$A$44</f>
        <v>8.2000000000000003E-2</v>
      </c>
      <c r="BY98" s="197">
        <f>Storage_Reconciled_prod!BY98*Storage_Reconciled_prod!$A$44+Storage_rounded_off_prod!BY98*Storage_rounded_off_prod!$A$44</f>
        <v>6.9000000000000006E-2</v>
      </c>
      <c r="BZ98" s="197">
        <f>Storage_Reconciled_prod!BZ98*Storage_Reconciled_prod!$A$44+Storage_rounded_off_prod!BZ98*Storage_rounded_off_prod!$A$44</f>
        <v>7.8E-2</v>
      </c>
      <c r="CA98" s="197">
        <f>Storage_Reconciled_prod!CA98*Storage_Reconciled_prod!$A$44+Storage_rounded_off_prod!CA98*Storage_rounded_off_prod!$A$44</f>
        <v>0.22900000000000004</v>
      </c>
      <c r="CB98" s="197">
        <f>Storage_Reconciled_prod!CB98*Storage_Reconciled_prod!$A$44+Storage_rounded_off_prod!CB98*Storage_rounded_off_prod!$A$44</f>
        <v>0.86799999999999999</v>
      </c>
      <c r="CC98" s="197">
        <f>Storage_Reconciled_prod!CC98*Storage_Reconciled_prod!$A$44+Storage_rounded_off_prod!CC98*Storage_rounded_off_prod!$A$44</f>
        <v>6.7000000000000004E-2</v>
      </c>
      <c r="CD98" s="197">
        <f>Storage_Reconciled_prod!CD98*Storage_Reconciled_prod!$A$44+Storage_rounded_off_prod!CD98*Storage_rounded_off_prod!$A$44</f>
        <v>7.2999999999999995E-2</v>
      </c>
      <c r="CE98" s="197">
        <f>Storage_Reconciled_prod!CE98*Storage_Reconciled_prod!$A$44+Storage_rounded_off_prod!CE98*Storage_rounded_off_prod!$A$44</f>
        <v>7.3999999999999996E-2</v>
      </c>
      <c r="CF98" s="197">
        <f>Storage_Reconciled_prod!CF98*Storage_Reconciled_prod!$A$44+Storage_rounded_off_prod!CF98*Storage_rounded_off_prod!$A$44</f>
        <v>0.21400000000000002</v>
      </c>
      <c r="CG98" s="197">
        <f>Storage_Reconciled_prod!CG98*Storage_Reconciled_prod!$A$44+Storage_rounded_off_prod!CG98*Storage_rounded_off_prod!$A$44</f>
        <v>7.4999999999999997E-2</v>
      </c>
      <c r="CH98" s="197">
        <f>Storage_Reconciled_prod!CH98*Storage_Reconciled_prod!$A$44+Storage_rounded_off_prod!CH98*Storage_rounded_off_prod!$A$44</f>
        <v>0</v>
      </c>
      <c r="CI98" s="197">
        <f>Storage_Reconciled_prod!CI98*Storage_Reconciled_prod!$A$44+Storage_rounded_off_prod!CI98*Storage_rounded_off_prod!$A$44</f>
        <v>0</v>
      </c>
      <c r="CJ98" s="197">
        <f>Storage_Reconciled_prod!CJ98*Storage_Reconciled_prod!$A$44+Storage_rounded_off_prod!CJ98*Storage_rounded_off_prod!$A$44</f>
        <v>0</v>
      </c>
      <c r="CK98" s="197">
        <f>Storage_Reconciled_prod!CK98*Storage_Reconciled_prod!$A$44+Storage_rounded_off_prod!CK98*Storage_rounded_off_prod!$A$44</f>
        <v>0</v>
      </c>
      <c r="CL98" s="197">
        <f>Storage_Reconciled_prod!CL98*Storage_Reconciled_prod!$A$44+Storage_rounded_off_prod!CL98*Storage_rounded_off_prod!$A$44</f>
        <v>0</v>
      </c>
      <c r="CM98" s="197">
        <f>Storage_Reconciled_prod!CM98*Storage_Reconciled_prod!$A$44+Storage_rounded_off_prod!CM98*Storage_rounded_off_prod!$A$44</f>
        <v>0</v>
      </c>
      <c r="CN98" s="197">
        <f>Storage_Reconciled_prod!CN98*Storage_Reconciled_prod!$A$44+Storage_rounded_off_prod!CN98*Storage_rounded_off_prod!$A$44</f>
        <v>0</v>
      </c>
      <c r="CO98" s="197">
        <f>Storage_Reconciled_prod!CO98*Storage_Reconciled_prod!$A$44+Storage_rounded_off_prod!CO98*Storage_rounded_off_prod!$A$44</f>
        <v>0</v>
      </c>
      <c r="CP98" s="197">
        <f>Storage_Reconciled_prod!CP98*Storage_Reconciled_prod!$A$44+Storage_rounded_off_prod!CP98*Storage_rounded_off_prod!$A$44</f>
        <v>0</v>
      </c>
      <c r="CQ98" s="197">
        <f>Storage_Reconciled_prod!CQ98*Storage_Reconciled_prod!$A$44+Storage_rounded_off_prod!CQ98*Storage_rounded_off_prod!$A$44</f>
        <v>0</v>
      </c>
      <c r="CR98" s="197">
        <f>Storage_Reconciled_prod!CR98*Storage_Reconciled_prod!$A$44+Storage_rounded_off_prod!CR98*Storage_rounded_off_prod!$A$44</f>
        <v>0</v>
      </c>
      <c r="CS98" s="197">
        <f>Storage_Reconciled_prod!CS98*Storage_Reconciled_prod!$A$44+Storage_rounded_off_prod!CS98*Storage_rounded_off_prod!$A$44</f>
        <v>0</v>
      </c>
      <c r="CT98" s="197">
        <f>Storage_Reconciled_prod!CT98*Storage_Reconciled_prod!$A$44+Storage_rounded_off_prod!CT98*Storage_rounded_off_prod!$A$44</f>
        <v>0</v>
      </c>
      <c r="CU98" s="197">
        <f>Storage_Reconciled_prod!CU98*Storage_Reconciled_prod!$A$44+Storage_rounded_off_prod!CU98*Storage_rounded_off_prod!$A$44</f>
        <v>0</v>
      </c>
    </row>
    <row r="99" spans="3:99">
      <c r="C99">
        <v>17</v>
      </c>
      <c r="D99" s="279" t="s">
        <v>828</v>
      </c>
      <c r="E99" s="197">
        <f>Storage_Reconciled_prod!E99*Storage_Reconciled_prod!$A$44+Storage_rounded_off_prod!E99*Storage_rounded_off_prod!$A$44</f>
        <v>0.94300000000000006</v>
      </c>
      <c r="F99" s="197">
        <f>Storage_Reconciled_prod!F99*Storage_Reconciled_prod!$A$44+Storage_rounded_off_prod!F99*Storage_rounded_off_prod!$A$44</f>
        <v>0.82699999999999996</v>
      </c>
      <c r="G99" s="197">
        <f>Storage_Reconciled_prod!G99*Storage_Reconciled_prod!$A$44+Storage_rounded_off_prod!G99*Storage_rounded_off_prod!$A$44</f>
        <v>0.77899999999999991</v>
      </c>
      <c r="H99" s="197">
        <f>Storage_Reconciled_prod!H99*Storage_Reconciled_prod!$A$44+Storage_rounded_off_prod!H99*Storage_rounded_off_prod!$A$44</f>
        <v>2.5489999999999999</v>
      </c>
      <c r="I99" s="197">
        <f>Storage_Reconciled_prod!I99*Storage_Reconciled_prod!$A$44+Storage_rounded_off_prod!I99*Storage_rounded_off_prod!$A$44</f>
        <v>0.80099999999999993</v>
      </c>
      <c r="J99" s="197">
        <f>Storage_Reconciled_prod!J99*Storage_Reconciled_prod!$A$44+Storage_rounded_off_prod!J99*Storage_rounded_off_prod!$A$44</f>
        <v>0.82800000000000007</v>
      </c>
      <c r="K99" s="197">
        <f>Storage_Reconciled_prod!K99*Storage_Reconciled_prod!$A$44+Storage_rounded_off_prod!K99*Storage_rounded_off_prod!$A$44</f>
        <v>0.77300000000000002</v>
      </c>
      <c r="L99" s="197">
        <f>Storage_Reconciled_prod!L99*Storage_Reconciled_prod!$A$44+Storage_rounded_off_prod!L99*Storage_rounded_off_prod!$A$44</f>
        <v>2.4019999999999997</v>
      </c>
      <c r="M99" s="197">
        <f>Storage_Reconciled_prod!M99*Storage_Reconciled_prod!$A$44+Storage_rounded_off_prod!M99*Storage_rounded_off_prod!$A$44</f>
        <v>4.9509999999999987</v>
      </c>
      <c r="N99" s="197">
        <f>Storage_Reconciled_prod!N99*Storage_Reconciled_prod!$A$44+Storage_rounded_off_prod!N99*Storage_rounded_off_prod!$A$44</f>
        <v>0.79</v>
      </c>
      <c r="O99" s="197">
        <f>Storage_Reconciled_prod!O99*Storage_Reconciled_prod!$A$44+Storage_rounded_off_prod!O99*Storage_rounded_off_prod!$A$44</f>
        <v>0.89600000000000013</v>
      </c>
      <c r="P99" s="197">
        <f>Storage_Reconciled_prod!P99*Storage_Reconciled_prod!$A$44+Storage_rounded_off_prod!P99*Storage_rounded_off_prod!$A$44</f>
        <v>0.8680000000000001</v>
      </c>
      <c r="Q99" s="197">
        <f>Storage_Reconciled_prod!Q99*Storage_Reconciled_prod!$A$44+Storage_rounded_off_prod!Q99*Storage_rounded_off_prod!$A$44</f>
        <v>2.5539999999999998</v>
      </c>
      <c r="R99" s="197">
        <f>Storage_Reconciled_prod!R99*Storage_Reconciled_prod!$A$44+Storage_rounded_off_prod!R99*Storage_rounded_off_prod!$A$44</f>
        <v>7.504999999999999</v>
      </c>
      <c r="S99" s="197">
        <f>Storage_Reconciled_prod!S99*Storage_Reconciled_prod!$A$44+Storage_rounded_off_prod!S99*Storage_rounded_off_prod!$A$44</f>
        <v>0.89500000000000002</v>
      </c>
      <c r="T99" s="197">
        <f>Storage_Reconciled_prod!T99*Storage_Reconciled_prod!$A$44+Storage_rounded_off_prod!T99*Storage_rounded_off_prod!$A$44</f>
        <v>0.8580000000000001</v>
      </c>
      <c r="U99" s="197">
        <f>Storage_Reconciled_prod!U99*Storage_Reconciled_prod!$A$44+Storage_rounded_off_prod!U99*Storage_rounded_off_prod!$A$44</f>
        <v>0.91300000000000003</v>
      </c>
      <c r="V99" s="197">
        <f>Storage_Reconciled_prod!V99*Storage_Reconciled_prod!$A$44+Storage_rounded_off_prod!V99*Storage_rounded_off_prod!$A$44</f>
        <v>2.6659999999999999</v>
      </c>
      <c r="W99" s="197">
        <f>Storage_Reconciled_prod!W99*Storage_Reconciled_prod!$A$44+Storage_rounded_off_prod!W99*Storage_rounded_off_prod!$A$44</f>
        <v>10.170999999999999</v>
      </c>
      <c r="X99" s="197">
        <f>Storage_Reconciled_prod!X99*Storage_Reconciled_prod!$A$44+Storage_rounded_off_prod!X99*Storage_rounded_off_prod!$A$44</f>
        <v>0.89700000000000002</v>
      </c>
      <c r="Y99" s="197">
        <f>Storage_Reconciled_prod!Y99*Storage_Reconciled_prod!$A$44+Storage_rounded_off_prod!Y99*Storage_rounded_off_prod!$A$44</f>
        <v>0.88600000000000012</v>
      </c>
      <c r="Z99" s="197">
        <f>Storage_Reconciled_prod!Z99*Storage_Reconciled_prod!$A$44+Storage_rounded_off_prod!Z99*Storage_rounded_off_prod!$A$44</f>
        <v>0.8570000000000001</v>
      </c>
      <c r="AA99" s="197">
        <f>Storage_Reconciled_prod!AA99*Storage_Reconciled_prod!$A$44+Storage_rounded_off_prod!AA99*Storage_rounded_off_prod!$A$44</f>
        <v>2.64</v>
      </c>
      <c r="AB99" s="197">
        <f>Storage_Reconciled_prod!AB99*Storage_Reconciled_prod!$A$44+Storage_rounded_off_prod!AB99*Storage_rounded_off_prod!$A$44</f>
        <v>0.88400000000000012</v>
      </c>
      <c r="AC99" s="197">
        <f>Storage_Reconciled_prod!AC99*Storage_Reconciled_prod!$A$44+Storage_rounded_off_prod!AC99*Storage_rounded_off_prod!$A$44</f>
        <v>0.87100000000000011</v>
      </c>
      <c r="AD99" s="197">
        <f>Storage_Reconciled_prod!AD99*Storage_Reconciled_prod!$A$44+Storage_rounded_off_prod!AD99*Storage_rounded_off_prod!$A$44</f>
        <v>0.82300000000000006</v>
      </c>
      <c r="AE99" s="197">
        <f>Storage_Reconciled_prod!AE99*Storage_Reconciled_prod!$A$44+Storage_rounded_off_prod!AE99*Storage_rounded_off_prod!$A$44</f>
        <v>2.5779999999999998</v>
      </c>
      <c r="AF99" s="197">
        <f>Storage_Reconciled_prod!AF99*Storage_Reconciled_prod!$A$44+Storage_rounded_off_prod!AF99*Storage_rounded_off_prod!$A$44</f>
        <v>5.2180000000000009</v>
      </c>
      <c r="AG99" s="197">
        <f>Storage_Reconciled_prod!AG99*Storage_Reconciled_prod!$A$44+Storage_rounded_off_prod!AG99*Storage_rounded_off_prod!$A$44</f>
        <v>0.8630000000000001</v>
      </c>
      <c r="AH99" s="197">
        <f>Storage_Reconciled_prod!AH99*Storage_Reconciled_prod!$A$44+Storage_rounded_off_prod!AH99*Storage_rounded_off_prod!$A$44</f>
        <v>0.88200000000000012</v>
      </c>
      <c r="AI99" s="197">
        <f>Storage_Reconciled_prod!AI99*Storage_Reconciled_prod!$A$44+Storage_rounded_off_prod!AI99*Storage_rounded_off_prod!$A$44</f>
        <v>0.93000000000000016</v>
      </c>
      <c r="AJ99" s="197">
        <f>Storage_Reconciled_prod!AJ99*Storage_Reconciled_prod!$A$44+Storage_rounded_off_prod!AJ99*Storage_rounded_off_prod!$A$44</f>
        <v>2.6750000000000003</v>
      </c>
      <c r="AK99" s="197">
        <f>Storage_Reconciled_prod!AK99*Storage_Reconciled_prod!$A$44+Storage_rounded_off_prod!AK99*Storage_rounded_off_prod!$A$44</f>
        <v>7.8930000000000007</v>
      </c>
      <c r="AL99" s="197">
        <f>Storage_Reconciled_prod!AL99*Storage_Reconciled_prod!$A$44+Storage_rounded_off_prod!AL99*Storage_rounded_off_prod!$A$44</f>
        <v>0.91400000000000015</v>
      </c>
      <c r="AM99" s="197">
        <f>Storage_Reconciled_prod!AM99*Storage_Reconciled_prod!$A$44+Storage_rounded_off_prod!AM99*Storage_rounded_off_prod!$A$44</f>
        <v>0.83799999999999986</v>
      </c>
      <c r="AN99" s="197">
        <f>Storage_Reconciled_prod!AN99*Storage_Reconciled_prod!$A$44+Storage_rounded_off_prod!AN99*Storage_rounded_off_prod!$A$44</f>
        <v>0.87300000000000011</v>
      </c>
      <c r="AO99" s="197">
        <f>Storage_Reconciled_prod!AO99*Storage_Reconciled_prod!$A$44+Storage_rounded_off_prod!AO99*Storage_rounded_off_prod!$A$44</f>
        <v>2.625</v>
      </c>
      <c r="AP99" s="197">
        <f>Storage_Reconciled_prod!AP99*Storage_Reconciled_prod!$A$44+Storage_rounded_off_prod!AP99*Storage_rounded_off_prod!$A$44</f>
        <v>10.518000000000001</v>
      </c>
      <c r="AQ99" s="197">
        <f>Storage_Reconciled_prod!AQ99*Storage_Reconciled_prod!$A$44+Storage_rounded_off_prod!AQ99*Storage_rounded_off_prod!$A$44</f>
        <v>0.8610000000000001</v>
      </c>
      <c r="AR99" s="197">
        <f>Storage_Reconciled_prod!AR99*Storage_Reconciled_prod!$A$44+Storage_rounded_off_prod!AR99*Storage_rounded_off_prod!$A$44</f>
        <v>0.83600000000000008</v>
      </c>
      <c r="AS99" s="197">
        <f>Storage_Reconciled_prod!AS99*Storage_Reconciled_prod!$A$44+Storage_rounded_off_prod!AS99*Storage_rounded_off_prod!$A$44</f>
        <v>0.82500000000000007</v>
      </c>
      <c r="AT99" s="197">
        <f>Storage_Reconciled_prod!AT99*Storage_Reconciled_prod!$A$44+Storage_rounded_off_prod!AT99*Storage_rounded_off_prod!$A$44</f>
        <v>2.5220000000000002</v>
      </c>
      <c r="AU99" s="197">
        <f>Storage_Reconciled_prod!AU99*Storage_Reconciled_prod!$A$44+Storage_rounded_off_prod!AU99*Storage_rounded_off_prod!$A$44</f>
        <v>0.8590000000000001</v>
      </c>
      <c r="AV99" s="197">
        <f>Storage_Reconciled_prod!AV99*Storage_Reconciled_prod!$A$44+Storage_rounded_off_prod!AV99*Storage_rounded_off_prod!$A$44</f>
        <v>0.84400000000000008</v>
      </c>
      <c r="AW99" s="197">
        <f>Storage_Reconciled_prod!AW99*Storage_Reconciled_prod!$A$44+Storage_rounded_off_prod!AW99*Storage_rounded_off_prod!$A$44</f>
        <v>0.81400000000000006</v>
      </c>
      <c r="AX99" s="197">
        <f>Storage_Reconciled_prod!AX99*Storage_Reconciled_prod!$A$44+Storage_rounded_off_prod!AX99*Storage_rounded_off_prod!$A$44</f>
        <v>2.5170000000000003</v>
      </c>
      <c r="AY99" s="197">
        <f>Storage_Reconciled_prod!AY99*Storage_Reconciled_prod!$A$44+Storage_rounded_off_prod!AY99*Storage_rounded_off_prod!$A$44</f>
        <v>5.0389999999999997</v>
      </c>
      <c r="AZ99" s="197">
        <f>Storage_Reconciled_prod!AZ99*Storage_Reconciled_prod!$A$44+Storage_rounded_off_prod!AZ99*Storage_rounded_off_prod!$A$44</f>
        <v>0.84500000000000008</v>
      </c>
      <c r="BA99" s="197">
        <f>Storage_Reconciled_prod!BA99*Storage_Reconciled_prod!$A$44+Storage_rounded_off_prod!BA99*Storage_rounded_off_prod!$A$44</f>
        <v>0.91</v>
      </c>
      <c r="BB99" s="197">
        <f>Storage_Reconciled_prod!BB99*Storage_Reconciled_prod!$A$44+Storage_rounded_off_prod!BB99*Storage_rounded_off_prod!$A$44</f>
        <v>0.89900000000000013</v>
      </c>
      <c r="BC99" s="197">
        <f>Storage_Reconciled_prod!BC99*Storage_Reconciled_prod!$A$44+Storage_rounded_off_prod!BC99*Storage_rounded_off_prod!$A$44</f>
        <v>2.6540000000000004</v>
      </c>
      <c r="BD99" s="197">
        <f>Storage_Reconciled_prod!BD99*Storage_Reconciled_prod!$A$44+Storage_rounded_off_prod!BD99*Storage_rounded_off_prod!$A$44</f>
        <v>7.6929999999999996</v>
      </c>
      <c r="BE99" s="197">
        <f>Storage_Reconciled_prod!BE99*Storage_Reconciled_prod!$A$44+Storage_rounded_off_prod!BE99*Storage_rounded_off_prod!$A$44</f>
        <v>0.91200000000000003</v>
      </c>
      <c r="BF99" s="197">
        <f>Storage_Reconciled_prod!BF99*Storage_Reconciled_prod!$A$44+Storage_rounded_off_prod!BF99*Storage_rounded_off_prod!$A$44</f>
        <v>0.80900000000000016</v>
      </c>
      <c r="BG99" s="197">
        <f>Storage_Reconciled_prod!BG99*Storage_Reconciled_prod!$A$44+Storage_rounded_off_prod!BG99*Storage_rounded_off_prod!$A$44</f>
        <v>0.8640000000000001</v>
      </c>
      <c r="BH99" s="197">
        <f>Storage_Reconciled_prod!BH99*Storage_Reconciled_prod!$A$44+Storage_rounded_off_prod!BH99*Storage_rounded_off_prod!$A$44</f>
        <v>2.585</v>
      </c>
      <c r="BI99" s="197">
        <f>Storage_Reconciled_prod!BI99*Storage_Reconciled_prod!$A$44+Storage_rounded_off_prod!BI99*Storage_rounded_off_prod!$A$44</f>
        <v>10.278</v>
      </c>
      <c r="BJ99" s="197">
        <f>Storage_Reconciled_prod!BJ99*Storage_Reconciled_prod!$A$44+Storage_rounded_off_prod!BJ99*Storage_rounded_off_prod!$A$44</f>
        <v>0.81800000000000006</v>
      </c>
      <c r="BK99" s="197">
        <f>Storage_Reconciled_prod!BK99*Storage_Reconciled_prod!$A$44+Storage_rounded_off_prod!BK99*Storage_rounded_off_prod!$A$44</f>
        <v>0.8350000000000003</v>
      </c>
      <c r="BL99" s="197">
        <f>Storage_Reconciled_prod!BL99*Storage_Reconciled_prod!$A$44+Storage_rounded_off_prod!BL99*Storage_rounded_off_prod!$A$44</f>
        <v>0.79800000000000015</v>
      </c>
      <c r="BM99" s="197">
        <f>Storage_Reconciled_prod!BM99*Storage_Reconciled_prod!$A$44+Storage_rounded_off_prod!BM99*Storage_rounded_off_prod!$A$44</f>
        <v>2.4509999999999996</v>
      </c>
      <c r="BN99" s="197">
        <f>Storage_Reconciled_prod!BN99*Storage_Reconciled_prod!$A$44+Storage_rounded_off_prod!BN99*Storage_rounded_off_prod!$A$44</f>
        <v>0.82099999999999995</v>
      </c>
      <c r="BO99" s="197">
        <f>Storage_Reconciled_prod!BO99*Storage_Reconciled_prod!$A$44+Storage_rounded_off_prod!BO99*Storage_rounded_off_prod!$A$44</f>
        <v>0.7</v>
      </c>
      <c r="BP99" s="197">
        <f>Storage_Reconciled_prod!BP99*Storage_Reconciled_prod!$A$44+Storage_rounded_off_prod!BP99*Storage_rounded_off_prod!$A$44</f>
        <v>0.79900000000000015</v>
      </c>
      <c r="BQ99" s="197">
        <f>Storage_Reconciled_prod!BQ99*Storage_Reconciled_prod!$A$44+Storage_rounded_off_prod!BQ99*Storage_rounded_off_prod!$A$44</f>
        <v>2.3200000000000003</v>
      </c>
      <c r="BR99" s="197">
        <f>Storage_Reconciled_prod!BR99*Storage_Reconciled_prod!$A$44+Storage_rounded_off_prod!BR99*Storage_rounded_off_prod!$A$44</f>
        <v>4.7709999999999999</v>
      </c>
      <c r="BS99" s="197">
        <f>Storage_Reconciled_prod!BS99*Storage_Reconciled_prod!$A$44+Storage_rounded_off_prod!BS99*Storage_rounded_off_prod!$A$44</f>
        <v>0.83099999999999996</v>
      </c>
      <c r="BT99" s="197">
        <f>Storage_Reconciled_prod!BT99*Storage_Reconciled_prod!$A$44+Storage_rounded_off_prod!BT99*Storage_rounded_off_prod!$A$44</f>
        <v>0.80399999999999994</v>
      </c>
      <c r="BU99" s="197">
        <f>Storage_Reconciled_prod!BU99*Storage_Reconciled_prod!$A$44+Storage_rounded_off_prod!BU99*Storage_rounded_off_prod!$A$44</f>
        <v>0.75700000000000001</v>
      </c>
      <c r="BV99" s="197">
        <f>Storage_Reconciled_prod!BV99*Storage_Reconciled_prod!$A$44+Storage_rounded_off_prod!BV99*Storage_rounded_off_prod!$A$44</f>
        <v>2.3919999999999999</v>
      </c>
      <c r="BW99" s="197">
        <f>Storage_Reconciled_prod!BW99*Storage_Reconciled_prod!$A$44+Storage_rounded_off_prod!BW99*Storage_rounded_off_prod!$A$44</f>
        <v>7.1630000000000003</v>
      </c>
      <c r="BX99" s="197">
        <f>Storage_Reconciled_prod!BX99*Storage_Reconciled_prod!$A$44+Storage_rounded_off_prod!BX99*Storage_rounded_off_prod!$A$44</f>
        <v>0.82199999999999995</v>
      </c>
      <c r="BY99" s="197">
        <f>Storage_Reconciled_prod!BY99*Storage_Reconciled_prod!$A$44+Storage_rounded_off_prod!BY99*Storage_rounded_off_prod!$A$44</f>
        <v>0.79700000000000015</v>
      </c>
      <c r="BZ99" s="197">
        <f>Storage_Reconciled_prod!BZ99*Storage_Reconciled_prod!$A$44+Storage_rounded_off_prod!BZ99*Storage_rounded_off_prod!$A$44</f>
        <v>0.8510000000000002</v>
      </c>
      <c r="CA99" s="197">
        <f>Storage_Reconciled_prod!CA99*Storage_Reconciled_prod!$A$44+Storage_rounded_off_prod!CA99*Storage_rounded_off_prod!$A$44</f>
        <v>2.4689999999999999</v>
      </c>
      <c r="CB99" s="197">
        <f>Storage_Reconciled_prod!CB99*Storage_Reconciled_prod!$A$44+Storage_rounded_off_prod!CB99*Storage_rounded_off_prod!$A$44</f>
        <v>9.6709999999999994</v>
      </c>
      <c r="CC99" s="197">
        <f>Storage_Reconciled_prod!CC99*Storage_Reconciled_prod!$A$44+Storage_rounded_off_prod!CC99*Storage_rounded_off_prod!$A$44</f>
        <v>0.81800000000000028</v>
      </c>
      <c r="CD99" s="197">
        <f>Storage_Reconciled_prod!CD99*Storage_Reconciled_prod!$A$44+Storage_rounded_off_prod!CD99*Storage_rounded_off_prod!$A$44</f>
        <v>0.84000000000000019</v>
      </c>
      <c r="CE99" s="197">
        <f>Storage_Reconciled_prod!CE99*Storage_Reconciled_prod!$A$44+Storage_rounded_off_prod!CE99*Storage_rounded_off_prod!$A$44</f>
        <v>0.82100000000000017</v>
      </c>
      <c r="CF99" s="197">
        <f>Storage_Reconciled_prod!CF99*Storage_Reconciled_prod!$A$44+Storage_rounded_off_prod!CF99*Storage_rounded_off_prod!$A$44</f>
        <v>2.4790000000000001</v>
      </c>
      <c r="CG99" s="197">
        <f>Storage_Reconciled_prod!CG99*Storage_Reconciled_prod!$A$44+Storage_rounded_off_prod!CG99*Storage_rounded_off_prod!$A$44</f>
        <v>0.84199999999999997</v>
      </c>
      <c r="CH99" s="197">
        <f>Storage_Reconciled_prod!CH99*Storage_Reconciled_prod!$A$44+Storage_rounded_off_prod!CH99*Storage_rounded_off_prod!$A$44</f>
        <v>0</v>
      </c>
      <c r="CI99" s="197">
        <f>Storage_Reconciled_prod!CI99*Storage_Reconciled_prod!$A$44+Storage_rounded_off_prod!CI99*Storage_rounded_off_prod!$A$44</f>
        <v>0</v>
      </c>
      <c r="CJ99" s="197">
        <f>Storage_Reconciled_prod!CJ99*Storage_Reconciled_prod!$A$44+Storage_rounded_off_prod!CJ99*Storage_rounded_off_prod!$A$44</f>
        <v>0</v>
      </c>
      <c r="CK99" s="197">
        <f>Storage_Reconciled_prod!CK99*Storage_Reconciled_prod!$A$44+Storage_rounded_off_prod!CK99*Storage_rounded_off_prod!$A$44</f>
        <v>0</v>
      </c>
      <c r="CL99" s="197">
        <f>Storage_Reconciled_prod!CL99*Storage_Reconciled_prod!$A$44+Storage_rounded_off_prod!CL99*Storage_rounded_off_prod!$A$44</f>
        <v>0</v>
      </c>
      <c r="CM99" s="197">
        <f>Storage_Reconciled_prod!CM99*Storage_Reconciled_prod!$A$44+Storage_rounded_off_prod!CM99*Storage_rounded_off_prod!$A$44</f>
        <v>0</v>
      </c>
      <c r="CN99" s="197">
        <f>Storage_Reconciled_prod!CN99*Storage_Reconciled_prod!$A$44+Storage_rounded_off_prod!CN99*Storage_rounded_off_prod!$A$44</f>
        <v>0</v>
      </c>
      <c r="CO99" s="197">
        <f>Storage_Reconciled_prod!CO99*Storage_Reconciled_prod!$A$44+Storage_rounded_off_prod!CO99*Storage_rounded_off_prod!$A$44</f>
        <v>0</v>
      </c>
      <c r="CP99" s="197">
        <f>Storage_Reconciled_prod!CP99*Storage_Reconciled_prod!$A$44+Storage_rounded_off_prod!CP99*Storage_rounded_off_prod!$A$44</f>
        <v>0</v>
      </c>
      <c r="CQ99" s="197">
        <f>Storage_Reconciled_prod!CQ99*Storage_Reconciled_prod!$A$44+Storage_rounded_off_prod!CQ99*Storage_rounded_off_prod!$A$44</f>
        <v>0</v>
      </c>
      <c r="CR99" s="197">
        <f>Storage_Reconciled_prod!CR99*Storage_Reconciled_prod!$A$44+Storage_rounded_off_prod!CR99*Storage_rounded_off_prod!$A$44</f>
        <v>0</v>
      </c>
      <c r="CS99" s="197">
        <f>Storage_Reconciled_prod!CS99*Storage_Reconciled_prod!$A$44+Storage_rounded_off_prod!CS99*Storage_rounded_off_prod!$A$44</f>
        <v>0</v>
      </c>
      <c r="CT99" s="197">
        <f>Storage_Reconciled_prod!CT99*Storage_Reconciled_prod!$A$44+Storage_rounded_off_prod!CT99*Storage_rounded_off_prod!$A$44</f>
        <v>0</v>
      </c>
      <c r="CU99" s="197">
        <f>Storage_Reconciled_prod!CU99*Storage_Reconciled_prod!$A$44+Storage_rounded_off_prod!CU99*Storage_rounded_off_prod!$A$44</f>
        <v>0</v>
      </c>
    </row>
    <row r="107" spans="3:99">
      <c r="E107" t="s">
        <v>861</v>
      </c>
    </row>
  </sheetData>
  <sheetProtection formatColumns="0" formatRows="0"/>
  <mergeCells count="2">
    <mergeCell ref="A41:B43"/>
    <mergeCell ref="A22:B24"/>
  </mergeCells>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rgb="FF7030A0"/>
  </sheetPr>
  <dimension ref="A2:P435"/>
  <sheetViews>
    <sheetView workbookViewId="0"/>
  </sheetViews>
  <sheetFormatPr defaultColWidth="8.85546875" defaultRowHeight="15"/>
  <cols>
    <col min="2" max="2" width="24.7109375" customWidth="1"/>
    <col min="3" max="3" width="35" customWidth="1"/>
    <col min="4" max="4" width="33.42578125" customWidth="1"/>
    <col min="5" max="5" width="36.7109375" bestFit="1" customWidth="1"/>
    <col min="7" max="7" width="22.7109375" customWidth="1"/>
    <col min="8" max="8" width="13.28515625" bestFit="1" customWidth="1"/>
    <col min="11" max="11" width="27.28515625" bestFit="1" customWidth="1"/>
  </cols>
  <sheetData>
    <row r="2" spans="2:5" ht="28.5">
      <c r="B2" s="517" t="s">
        <v>884</v>
      </c>
    </row>
    <row r="5" spans="2:5">
      <c r="C5" s="309"/>
    </row>
    <row r="15" spans="2:5">
      <c r="B15" s="280" t="s">
        <v>819</v>
      </c>
      <c r="C15" s="270"/>
      <c r="D15" s="270"/>
      <c r="E15" s="271"/>
    </row>
    <row r="16" spans="2:5">
      <c r="B16" s="272" t="s">
        <v>852</v>
      </c>
      <c r="C16" s="482" t="str">
        <f>interFY_transition!D26</f>
        <v>Apr'26</v>
      </c>
      <c r="D16">
        <v>1</v>
      </c>
      <c r="E16" s="273"/>
    </row>
    <row r="17" spans="2:6">
      <c r="B17" s="272" t="s">
        <v>912</v>
      </c>
      <c r="C17" s="482" t="str">
        <f>interFY_transition!D27</f>
        <v>May'26</v>
      </c>
      <c r="D17">
        <v>2</v>
      </c>
      <c r="E17" s="273"/>
    </row>
    <row r="18" spans="2:6">
      <c r="B18" s="272"/>
      <c r="C18" s="482" t="str">
        <f>interFY_transition!D28</f>
        <v>June'26</v>
      </c>
      <c r="D18">
        <v>3</v>
      </c>
      <c r="E18" s="273"/>
    </row>
    <row r="19" spans="2:6">
      <c r="B19" s="272"/>
      <c r="C19" s="482" t="str">
        <f>interFY_transition!D29</f>
        <v>July'26</v>
      </c>
      <c r="D19">
        <v>4</v>
      </c>
      <c r="E19" s="273"/>
    </row>
    <row r="20" spans="2:6">
      <c r="B20" s="272"/>
      <c r="C20" s="482" t="str">
        <f>interFY_transition!D30</f>
        <v>Aug'26</v>
      </c>
      <c r="D20">
        <v>5</v>
      </c>
      <c r="E20" s="273"/>
    </row>
    <row r="21" spans="2:6">
      <c r="B21" s="272"/>
      <c r="C21" s="482" t="str">
        <f>interFY_transition!D31</f>
        <v>Sep'26</v>
      </c>
      <c r="D21">
        <v>6</v>
      </c>
      <c r="E21" s="273"/>
    </row>
    <row r="22" spans="2:6">
      <c r="B22" s="272"/>
      <c r="C22" s="482" t="str">
        <f>interFY_transition!D32</f>
        <v>Oct'26</v>
      </c>
      <c r="D22">
        <v>7</v>
      </c>
      <c r="E22" s="273"/>
    </row>
    <row r="23" spans="2:6">
      <c r="B23" s="272"/>
      <c r="C23" s="482" t="str">
        <f>interFY_transition!D33</f>
        <v>Nov'26</v>
      </c>
      <c r="D23">
        <v>8</v>
      </c>
      <c r="E23" s="273"/>
    </row>
    <row r="24" spans="2:6">
      <c r="B24" s="272"/>
      <c r="C24" s="482" t="str">
        <f>interFY_transition!D34</f>
        <v>Dec'26</v>
      </c>
      <c r="D24">
        <v>9</v>
      </c>
      <c r="E24" s="273"/>
    </row>
    <row r="25" spans="2:6">
      <c r="B25" s="272"/>
      <c r="C25" s="482" t="str">
        <f>interFY_transition!D35</f>
        <v>Jan'27</v>
      </c>
      <c r="D25">
        <v>10</v>
      </c>
      <c r="E25" s="273"/>
    </row>
    <row r="26" spans="2:6">
      <c r="B26" s="272"/>
      <c r="C26" s="482" t="str">
        <f>interFY_transition!D36</f>
        <v>Feb'27</v>
      </c>
      <c r="D26">
        <v>11</v>
      </c>
      <c r="E26" s="273"/>
    </row>
    <row r="27" spans="2:6">
      <c r="B27" s="272"/>
      <c r="C27" s="482" t="str">
        <f>interFY_transition!D37</f>
        <v>Mar'27</v>
      </c>
      <c r="D27">
        <v>12</v>
      </c>
      <c r="E27" s="273"/>
    </row>
    <row r="28" spans="2:6">
      <c r="B28" s="272"/>
      <c r="C28" s="482" t="s">
        <v>306</v>
      </c>
      <c r="D28">
        <v>-99</v>
      </c>
      <c r="E28" s="273"/>
    </row>
    <row r="29" spans="2:6">
      <c r="B29" s="272"/>
      <c r="E29" s="273"/>
    </row>
    <row r="30" spans="2:6">
      <c r="B30" s="280"/>
      <c r="C30" s="270"/>
      <c r="D30" s="270"/>
      <c r="E30" s="270"/>
      <c r="F30" s="271"/>
    </row>
    <row r="31" spans="2:6">
      <c r="B31" s="272"/>
      <c r="C31" s="246">
        <f>Dashboard!D3</f>
        <v>46265</v>
      </c>
      <c r="D31">
        <f>MONTH(C31)</f>
        <v>8</v>
      </c>
      <c r="E31" t="s">
        <v>163</v>
      </c>
      <c r="F31" s="273"/>
    </row>
    <row r="32" spans="2:6">
      <c r="B32" s="272"/>
      <c r="D32">
        <f>VLOOKUP(D31,C35:E46,2,FALSE)</f>
        <v>5</v>
      </c>
      <c r="E32" t="s">
        <v>164</v>
      </c>
      <c r="F32" s="273"/>
    </row>
    <row r="33" spans="2:6">
      <c r="B33" s="272"/>
      <c r="D33">
        <f>VLOOKUP(D31,C35:E46,3,FALSE)</f>
        <v>2</v>
      </c>
      <c r="E33" t="s">
        <v>165</v>
      </c>
      <c r="F33" s="273"/>
    </row>
    <row r="34" spans="2:6">
      <c r="B34" s="272"/>
      <c r="F34" s="273"/>
    </row>
    <row r="35" spans="2:6">
      <c r="B35" s="272"/>
      <c r="C35">
        <v>1</v>
      </c>
      <c r="D35">
        <v>10</v>
      </c>
      <c r="E35">
        <v>4</v>
      </c>
      <c r="F35" s="273"/>
    </row>
    <row r="36" spans="2:6">
      <c r="B36" s="272"/>
      <c r="C36">
        <v>2</v>
      </c>
      <c r="D36">
        <v>11</v>
      </c>
      <c r="E36">
        <v>4</v>
      </c>
      <c r="F36" s="273"/>
    </row>
    <row r="37" spans="2:6">
      <c r="B37" s="272"/>
      <c r="C37">
        <v>3</v>
      </c>
      <c r="D37">
        <v>12</v>
      </c>
      <c r="E37">
        <v>4</v>
      </c>
      <c r="F37" s="273"/>
    </row>
    <row r="38" spans="2:6">
      <c r="B38" s="272"/>
      <c r="C38">
        <v>4</v>
      </c>
      <c r="D38">
        <v>1</v>
      </c>
      <c r="E38">
        <v>1</v>
      </c>
      <c r="F38" s="273"/>
    </row>
    <row r="39" spans="2:6">
      <c r="B39" s="272"/>
      <c r="C39">
        <v>5</v>
      </c>
      <c r="D39">
        <v>2</v>
      </c>
      <c r="E39">
        <v>1</v>
      </c>
      <c r="F39" s="273"/>
    </row>
    <row r="40" spans="2:6">
      <c r="B40" s="272"/>
      <c r="C40">
        <v>6</v>
      </c>
      <c r="D40">
        <v>3</v>
      </c>
      <c r="E40">
        <v>1</v>
      </c>
      <c r="F40" s="273"/>
    </row>
    <row r="41" spans="2:6">
      <c r="B41" s="272"/>
      <c r="C41">
        <v>7</v>
      </c>
      <c r="D41">
        <v>4</v>
      </c>
      <c r="E41">
        <v>2</v>
      </c>
      <c r="F41" s="273"/>
    </row>
    <row r="42" spans="2:6">
      <c r="B42" s="272"/>
      <c r="C42">
        <v>8</v>
      </c>
      <c r="D42">
        <v>5</v>
      </c>
      <c r="E42">
        <v>2</v>
      </c>
      <c r="F42" s="273"/>
    </row>
    <row r="43" spans="2:6">
      <c r="B43" s="272"/>
      <c r="C43">
        <v>9</v>
      </c>
      <c r="D43">
        <v>6</v>
      </c>
      <c r="E43">
        <v>2</v>
      </c>
      <c r="F43" s="273"/>
    </row>
    <row r="44" spans="2:6">
      <c r="B44" s="272"/>
      <c r="C44">
        <v>10</v>
      </c>
      <c r="D44">
        <v>7</v>
      </c>
      <c r="E44">
        <v>3</v>
      </c>
      <c r="F44" s="273"/>
    </row>
    <row r="45" spans="2:6">
      <c r="B45" s="272"/>
      <c r="C45">
        <v>11</v>
      </c>
      <c r="D45">
        <v>8</v>
      </c>
      <c r="E45">
        <v>3</v>
      </c>
      <c r="F45" s="273"/>
    </row>
    <row r="46" spans="2:6">
      <c r="B46" s="272"/>
      <c r="C46">
        <v>12</v>
      </c>
      <c r="D46">
        <v>9</v>
      </c>
      <c r="E46">
        <v>3</v>
      </c>
      <c r="F46" s="273"/>
    </row>
    <row r="47" spans="2:6">
      <c r="B47" s="281"/>
      <c r="C47" s="282"/>
      <c r="D47" s="282"/>
      <c r="E47" s="282"/>
      <c r="F47" s="283"/>
    </row>
    <row r="48" spans="2:6">
      <c r="B48" s="280"/>
      <c r="C48" s="270"/>
      <c r="D48" s="270"/>
      <c r="E48" s="271"/>
    </row>
    <row r="49" spans="2:9">
      <c r="B49" s="272"/>
      <c r="C49" t="s">
        <v>153</v>
      </c>
      <c r="D49">
        <f>CF_lat!F2</f>
        <v>4</v>
      </c>
      <c r="E49" s="273"/>
    </row>
    <row r="50" spans="2:9">
      <c r="B50" s="272"/>
      <c r="C50" t="s">
        <v>168</v>
      </c>
      <c r="D50">
        <f>D32</f>
        <v>5</v>
      </c>
      <c r="E50" s="273"/>
    </row>
    <row r="51" spans="2:9">
      <c r="B51" s="281"/>
      <c r="C51" s="282"/>
      <c r="D51" s="282"/>
      <c r="E51" s="283"/>
    </row>
    <row r="54" spans="2:9">
      <c r="B54" s="280"/>
      <c r="C54" s="270"/>
      <c r="D54" s="270"/>
      <c r="E54" s="270"/>
      <c r="F54" s="270"/>
      <c r="G54" s="270"/>
      <c r="H54" s="270"/>
      <c r="I54" s="271"/>
    </row>
    <row r="55" spans="2:9">
      <c r="B55" s="272"/>
      <c r="C55" t="s">
        <v>820</v>
      </c>
      <c r="D55" s="246">
        <f>YTDtarget!Z2</f>
        <v>46265</v>
      </c>
      <c r="I55" s="273"/>
    </row>
    <row r="56" spans="2:9">
      <c r="B56" s="272"/>
      <c r="D56">
        <f>MONTH(D55)</f>
        <v>8</v>
      </c>
      <c r="E56" t="s">
        <v>163</v>
      </c>
      <c r="I56" s="273"/>
    </row>
    <row r="57" spans="2:9">
      <c r="B57" s="272"/>
      <c r="D57">
        <f>VLOOKUP(D56,C61:E72,2,FALSE)</f>
        <v>5</v>
      </c>
      <c r="E57" t="s">
        <v>164</v>
      </c>
      <c r="I57" s="273"/>
    </row>
    <row r="58" spans="2:9">
      <c r="B58" s="272"/>
      <c r="D58">
        <f>VLOOKUP(D56,C61:E72,3,FALSE)</f>
        <v>2</v>
      </c>
      <c r="E58" t="s">
        <v>165</v>
      </c>
      <c r="I58" s="273"/>
    </row>
    <row r="59" spans="2:9">
      <c r="B59" s="272"/>
      <c r="D59">
        <f>DAY(D55)</f>
        <v>31</v>
      </c>
      <c r="E59" t="s">
        <v>177</v>
      </c>
      <c r="F59">
        <f>VLOOKUP(D56,C61:F72,4,FALSE)</f>
        <v>31</v>
      </c>
      <c r="G59" t="s">
        <v>180</v>
      </c>
      <c r="H59">
        <f>D59/F59</f>
        <v>1</v>
      </c>
      <c r="I59" s="273"/>
    </row>
    <row r="60" spans="2:9">
      <c r="B60" s="272"/>
      <c r="I60" s="273"/>
    </row>
    <row r="61" spans="2:9">
      <c r="B61" s="272"/>
      <c r="C61">
        <v>1</v>
      </c>
      <c r="D61">
        <v>10</v>
      </c>
      <c r="E61">
        <v>4</v>
      </c>
      <c r="F61">
        <v>31</v>
      </c>
      <c r="I61" s="273"/>
    </row>
    <row r="62" spans="2:9">
      <c r="B62" s="272"/>
      <c r="C62">
        <v>2</v>
      </c>
      <c r="D62">
        <v>11</v>
      </c>
      <c r="E62">
        <v>4</v>
      </c>
      <c r="F62" s="505">
        <f>interFY_transition!D25</f>
        <v>28</v>
      </c>
      <c r="I62" s="273"/>
    </row>
    <row r="63" spans="2:9">
      <c r="B63" s="272"/>
      <c r="C63">
        <v>3</v>
      </c>
      <c r="D63">
        <v>12</v>
      </c>
      <c r="E63">
        <v>4</v>
      </c>
      <c r="F63">
        <v>31</v>
      </c>
      <c r="I63" s="273"/>
    </row>
    <row r="64" spans="2:9">
      <c r="B64" s="272"/>
      <c r="C64">
        <v>4</v>
      </c>
      <c r="D64">
        <v>1</v>
      </c>
      <c r="E64">
        <v>1</v>
      </c>
      <c r="F64">
        <v>30</v>
      </c>
      <c r="I64" s="273"/>
    </row>
    <row r="65" spans="2:14">
      <c r="B65" s="272"/>
      <c r="C65">
        <v>5</v>
      </c>
      <c r="D65">
        <v>2</v>
      </c>
      <c r="E65">
        <v>1</v>
      </c>
      <c r="F65">
        <v>31</v>
      </c>
      <c r="I65" s="273"/>
    </row>
    <row r="66" spans="2:14">
      <c r="B66" s="272"/>
      <c r="C66">
        <v>6</v>
      </c>
      <c r="D66">
        <v>3</v>
      </c>
      <c r="E66">
        <v>1</v>
      </c>
      <c r="F66">
        <v>30</v>
      </c>
      <c r="I66" s="273"/>
    </row>
    <row r="67" spans="2:14">
      <c r="B67" s="272"/>
      <c r="C67">
        <v>7</v>
      </c>
      <c r="D67">
        <v>4</v>
      </c>
      <c r="E67">
        <v>2</v>
      </c>
      <c r="F67">
        <v>31</v>
      </c>
      <c r="I67" s="273"/>
    </row>
    <row r="68" spans="2:14">
      <c r="B68" s="272"/>
      <c r="C68">
        <v>8</v>
      </c>
      <c r="D68">
        <v>5</v>
      </c>
      <c r="E68">
        <v>2</v>
      </c>
      <c r="F68">
        <v>31</v>
      </c>
      <c r="I68" s="273"/>
    </row>
    <row r="69" spans="2:14">
      <c r="B69" s="272"/>
      <c r="C69">
        <v>9</v>
      </c>
      <c r="D69">
        <v>6</v>
      </c>
      <c r="E69">
        <v>2</v>
      </c>
      <c r="F69">
        <v>30</v>
      </c>
      <c r="I69" s="273"/>
    </row>
    <row r="70" spans="2:14">
      <c r="B70" s="272"/>
      <c r="C70">
        <v>10</v>
      </c>
      <c r="D70">
        <v>7</v>
      </c>
      <c r="E70">
        <v>3</v>
      </c>
      <c r="F70">
        <v>31</v>
      </c>
      <c r="I70" s="273"/>
    </row>
    <row r="71" spans="2:14">
      <c r="B71" s="272"/>
      <c r="C71">
        <v>11</v>
      </c>
      <c r="D71">
        <v>8</v>
      </c>
      <c r="E71">
        <v>3</v>
      </c>
      <c r="F71">
        <v>30</v>
      </c>
      <c r="I71" s="273"/>
    </row>
    <row r="72" spans="2:14">
      <c r="B72" s="272"/>
      <c r="C72">
        <v>12</v>
      </c>
      <c r="D72">
        <v>9</v>
      </c>
      <c r="E72">
        <v>3</v>
      </c>
      <c r="F72">
        <v>31</v>
      </c>
      <c r="I72" s="273"/>
    </row>
    <row r="73" spans="2:14">
      <c r="B73" s="272"/>
      <c r="I73" s="273"/>
    </row>
    <row r="74" spans="2:14">
      <c r="B74" s="280"/>
      <c r="C74" s="270"/>
      <c r="D74" s="270"/>
      <c r="E74" s="270"/>
      <c r="F74" s="270"/>
      <c r="G74" s="270"/>
      <c r="H74" s="270"/>
      <c r="I74" s="270"/>
      <c r="J74" s="270"/>
      <c r="K74" s="270"/>
      <c r="L74" s="325" t="str">
        <f>E94</f>
        <v>Aug'25</v>
      </c>
      <c r="M74" s="331" t="str">
        <f>F94</f>
        <v>Q2 25-26</v>
      </c>
      <c r="N74" s="493" t="str">
        <f>interFY_transition!D23</f>
        <v>2025-26</v>
      </c>
    </row>
    <row r="75" spans="2:14">
      <c r="B75" s="272"/>
      <c r="C75" t="str">
        <f>Dashboard!G3</f>
        <v>BE Annual target</v>
      </c>
      <c r="D75" s="326">
        <f>VLOOKUP(C75,C77:F88,4,FALSE)</f>
        <v>7</v>
      </c>
      <c r="G75" s="326">
        <f>VLOOKUP(C75,C77:G88,5,FALSE)</f>
        <v>4</v>
      </c>
      <c r="J75" s="321" t="str">
        <f>C123</f>
        <v>BE</v>
      </c>
      <c r="K75" t="s">
        <v>374</v>
      </c>
      <c r="L75" s="325" t="str">
        <f>E95</f>
        <v>Aug'26</v>
      </c>
      <c r="M75" s="326" t="str">
        <f>F95</f>
        <v>Q2 26-27</v>
      </c>
      <c r="N75" s="493" t="str">
        <f>interFY_transition!D20</f>
        <v>2026-27</v>
      </c>
    </row>
    <row r="76" spans="2:14">
      <c r="B76" s="272"/>
      <c r="K76" t="s">
        <v>375</v>
      </c>
      <c r="L76" s="326" t="str">
        <f>H94</f>
        <v>July'26</v>
      </c>
      <c r="M76" s="326" t="str">
        <f>H95</f>
        <v>Q1 26-27</v>
      </c>
      <c r="N76" s="273"/>
    </row>
    <row r="77" spans="2:14">
      <c r="B77" s="272"/>
      <c r="C77" s="250" t="s">
        <v>134</v>
      </c>
      <c r="D77" s="184" t="s">
        <v>135</v>
      </c>
      <c r="E77" s="184" t="s">
        <v>135</v>
      </c>
      <c r="F77" s="184">
        <v>14</v>
      </c>
      <c r="G77">
        <v>4</v>
      </c>
      <c r="N77" s="273"/>
    </row>
    <row r="78" spans="2:14">
      <c r="B78" s="272"/>
      <c r="C78" s="184" t="str">
        <f>CONCATENATE($J$75,I78)</f>
        <v>BE Monthly target</v>
      </c>
      <c r="D78" s="184" t="str">
        <f>CONCATENATE(J78,$J$75,$K$75,L75,$K$76)</f>
        <v>BOPD (BE target for Aug'26)</v>
      </c>
      <c r="E78" s="184" t="str">
        <f>CONCATENATE(K78,$J$75,K75,L75,K76)</f>
        <v>MMSCMD (BE target for Aug'26)</v>
      </c>
      <c r="F78" s="327">
        <v>5</v>
      </c>
      <c r="G78">
        <v>4</v>
      </c>
      <c r="I78" s="184" t="s">
        <v>371</v>
      </c>
      <c r="J78" s="184" t="s">
        <v>372</v>
      </c>
      <c r="K78" s="184" t="s">
        <v>376</v>
      </c>
      <c r="N78" s="273"/>
    </row>
    <row r="79" spans="2:14">
      <c r="B79" s="272"/>
      <c r="C79" s="327" t="str">
        <f>CONCATENATE($J$75,I79)</f>
        <v>BE Quarterly target</v>
      </c>
      <c r="D79" s="327" t="str">
        <f>CONCATENATE(J79,$J$75,K75,M75,K76)</f>
        <v>BOPD (BE target for Q2 26-27)</v>
      </c>
      <c r="E79" s="327" t="str">
        <f>CONCATENATE(K79,$J$75,K75,M75,K76)</f>
        <v>MMSCMD (BE target for Q2 26-27)</v>
      </c>
      <c r="F79" s="327">
        <v>6</v>
      </c>
      <c r="G79">
        <v>4</v>
      </c>
      <c r="I79" s="184" t="s">
        <v>377</v>
      </c>
      <c r="J79" s="184" t="s">
        <v>372</v>
      </c>
      <c r="K79" s="184" t="s">
        <v>376</v>
      </c>
      <c r="N79" s="273"/>
    </row>
    <row r="80" spans="2:14">
      <c r="B80" s="272"/>
      <c r="C80" s="327" t="str">
        <f>CONCATENATE($J$75,I80)</f>
        <v>BE Annual target</v>
      </c>
      <c r="D80" s="327" t="str">
        <f>CONCATENATE(J80,$J$75,K75,N75,K76)</f>
        <v>BOPD (BE target for 2026-27)</v>
      </c>
      <c r="E80" s="327" t="str">
        <f>CONCATENATE(K80,$J$75,K75,N75,K76)</f>
        <v>MMSCMD(BE target for 2026-27)</v>
      </c>
      <c r="F80" s="327">
        <v>7</v>
      </c>
      <c r="G80">
        <v>4</v>
      </c>
      <c r="I80" s="184" t="s">
        <v>378</v>
      </c>
      <c r="J80" s="184" t="s">
        <v>372</v>
      </c>
      <c r="K80" s="184" t="s">
        <v>379</v>
      </c>
      <c r="N80" s="273"/>
    </row>
    <row r="81" spans="2:14">
      <c r="B81" s="272"/>
      <c r="C81" s="327" t="s">
        <v>380</v>
      </c>
      <c r="D81" s="327" t="str">
        <f>CONCATENATE(J81,L75,K76)</f>
        <v>BOPD(Act. MTD for Aug'26)</v>
      </c>
      <c r="E81" s="327" t="str">
        <f>CONCATENATE(K81,L75,K76)</f>
        <v>MMSCMD(Act. MTD for Aug'26)</v>
      </c>
      <c r="F81" s="327">
        <v>10</v>
      </c>
      <c r="G81">
        <v>4</v>
      </c>
      <c r="I81" s="184"/>
      <c r="J81" s="184" t="s">
        <v>396</v>
      </c>
      <c r="K81" s="184" t="s">
        <v>397</v>
      </c>
      <c r="N81" s="273"/>
    </row>
    <row r="82" spans="2:14">
      <c r="B82" s="272"/>
      <c r="C82" s="327" t="s">
        <v>381</v>
      </c>
      <c r="D82" s="327" t="str">
        <f>CONCATENATE(J82,M75,K76)</f>
        <v>BOPD(Act. QTD for Q2 26-27)</v>
      </c>
      <c r="E82" s="327" t="str">
        <f>CONCATENATE(K82,M75,K76)</f>
        <v>MMSCMD(Act. QTD for Q2 26-27)</v>
      </c>
      <c r="F82" s="327">
        <v>9</v>
      </c>
      <c r="G82">
        <v>4</v>
      </c>
      <c r="I82" s="184"/>
      <c r="J82" s="184" t="s">
        <v>398</v>
      </c>
      <c r="K82" s="184" t="s">
        <v>399</v>
      </c>
      <c r="N82" s="273"/>
    </row>
    <row r="83" spans="2:14">
      <c r="B83" s="272"/>
      <c r="C83" s="327" t="s">
        <v>273</v>
      </c>
      <c r="D83" s="327" t="str">
        <f>CONCATENATE(J83,N75,K76)</f>
        <v>BOPD(Act. YTD for 2026-27)</v>
      </c>
      <c r="E83" s="327" t="str">
        <f>CONCATENATE(K83,N75,K76)</f>
        <v>MMSCMD(Act. YTD for 2026-27)</v>
      </c>
      <c r="F83" s="327">
        <v>8</v>
      </c>
      <c r="G83">
        <v>4</v>
      </c>
      <c r="J83" s="328" t="s">
        <v>400</v>
      </c>
      <c r="K83" s="328" t="s">
        <v>401</v>
      </c>
      <c r="N83" s="273"/>
    </row>
    <row r="84" spans="2:14">
      <c r="B84" s="272"/>
      <c r="C84" s="327" t="s">
        <v>385</v>
      </c>
      <c r="D84" s="327" t="str">
        <f>CONCATENATE(J84,L76,K76)</f>
        <v>BOPD(Act. avg prod'n for July'26)</v>
      </c>
      <c r="E84" s="327" t="str">
        <f>CONCATENATE(K84,L76,K76)</f>
        <v>MMSCMD(Act. avg prod'n for July'26)</v>
      </c>
      <c r="F84" s="327">
        <v>15</v>
      </c>
      <c r="G84">
        <v>4</v>
      </c>
      <c r="J84" s="328" t="s">
        <v>402</v>
      </c>
      <c r="K84" s="328" t="s">
        <v>403</v>
      </c>
      <c r="N84" s="273"/>
    </row>
    <row r="85" spans="2:14">
      <c r="B85" s="272"/>
      <c r="C85" s="327" t="s">
        <v>386</v>
      </c>
      <c r="D85" s="327" t="str">
        <f>CONCATENATE(J85,M76,K76)</f>
        <v>BOPD(Act. avg prod'n for Q1 26-27)</v>
      </c>
      <c r="E85" s="327" t="str">
        <f>CONCATENATE(K85,M76,K76)</f>
        <v>MMSCMD(Act. avg prod'n for Q1 26-27)</v>
      </c>
      <c r="F85" s="327">
        <v>16</v>
      </c>
      <c r="G85">
        <v>4</v>
      </c>
      <c r="J85" s="328" t="s">
        <v>402</v>
      </c>
      <c r="K85" s="328" t="s">
        <v>403</v>
      </c>
      <c r="N85" s="273"/>
    </row>
    <row r="86" spans="2:14">
      <c r="B86" s="272"/>
      <c r="C86" s="327" t="s">
        <v>387</v>
      </c>
      <c r="D86" s="327" t="str">
        <f>CONCATENATE(J86,N74,K76)</f>
        <v>BOPD(Act. avg prod'n for 2025-26)</v>
      </c>
      <c r="E86" s="327" t="str">
        <f>CONCATENATE(K86,N74,K76)</f>
        <v>MMSCMD(Act. avg prod'n for 2025-26)</v>
      </c>
      <c r="F86" s="327">
        <v>17</v>
      </c>
      <c r="G86">
        <v>4</v>
      </c>
      <c r="J86" s="328" t="s">
        <v>402</v>
      </c>
      <c r="K86" s="328" t="s">
        <v>403</v>
      </c>
      <c r="N86" s="273"/>
    </row>
    <row r="87" spans="2:14">
      <c r="B87" s="272"/>
      <c r="C87" s="327" t="s">
        <v>359</v>
      </c>
      <c r="D87" s="327" t="str">
        <f>CONCATENATE(J87,L74,K76)</f>
        <v>BOPD(Act. avg prod'n for Aug'25)</v>
      </c>
      <c r="E87" s="327" t="str">
        <f>CONCATENATE(K87,L74,K76)</f>
        <v>MMSCMD(Act. avg prod'n for Aug'25)</v>
      </c>
      <c r="F87" s="327">
        <v>21</v>
      </c>
      <c r="G87">
        <v>4</v>
      </c>
      <c r="J87" s="328" t="s">
        <v>402</v>
      </c>
      <c r="K87" s="328" t="s">
        <v>403</v>
      </c>
      <c r="N87" s="273"/>
    </row>
    <row r="88" spans="2:14">
      <c r="B88" s="272"/>
      <c r="C88" s="327" t="s">
        <v>360</v>
      </c>
      <c r="D88" s="327" t="str">
        <f>CONCATENATE(J88,M74,K76)</f>
        <v>BOPD(Act. avg prod'n for Q2 25-26)</v>
      </c>
      <c r="E88" s="327" t="str">
        <f>CONCATENATE(K88,M74,K76)</f>
        <v>MMSCMD(Act. avg prod'n for Q2 25-26)</v>
      </c>
      <c r="F88" s="327">
        <v>22</v>
      </c>
      <c r="G88">
        <v>4</v>
      </c>
      <c r="J88" s="328" t="s">
        <v>402</v>
      </c>
      <c r="K88" s="328" t="s">
        <v>403</v>
      </c>
      <c r="N88" s="273"/>
    </row>
    <row r="89" spans="2:14">
      <c r="B89" s="281"/>
      <c r="C89" s="282"/>
      <c r="D89" s="282"/>
      <c r="E89" s="282"/>
      <c r="F89" s="282"/>
      <c r="G89" s="282"/>
      <c r="H89" s="282"/>
      <c r="I89" s="282"/>
      <c r="J89" s="282"/>
      <c r="K89" s="282"/>
      <c r="L89" s="282"/>
      <c r="M89" s="282"/>
      <c r="N89" s="283"/>
    </row>
    <row r="93" spans="2:14">
      <c r="E93" t="s">
        <v>384</v>
      </c>
      <c r="F93" t="s">
        <v>486</v>
      </c>
      <c r="I93" t="s">
        <v>1351</v>
      </c>
    </row>
    <row r="94" spans="2:14">
      <c r="B94" s="280"/>
      <c r="C94" s="322">
        <f>prod_compiled!AA78</f>
        <v>5</v>
      </c>
      <c r="D94" s="322">
        <f>prod_compiled!AA79</f>
        <v>2</v>
      </c>
      <c r="E94" s="323" t="str">
        <f>'Previous year'!Z103</f>
        <v>Aug'25</v>
      </c>
      <c r="F94" s="323" t="str">
        <f>'Previous year'!AA103</f>
        <v>Q2 25-26</v>
      </c>
      <c r="G94" s="270" t="s">
        <v>382</v>
      </c>
      <c r="H94" s="329" t="str">
        <f>VLOOKUP(C94,B98:E109,4,FALSE)</f>
        <v>July'26</v>
      </c>
      <c r="I94" t="str">
        <f>VLOOKUP(1,B98:D109,2,FALSE)</f>
        <v>Apr'25</v>
      </c>
    </row>
    <row r="95" spans="2:14">
      <c r="B95" s="272"/>
      <c r="C95" t="s">
        <v>373</v>
      </c>
      <c r="E95" s="324" t="str">
        <f>VLOOKUP(C94,B98:D109,3,FALSE)</f>
        <v>Aug'26</v>
      </c>
      <c r="F95" s="324" t="str">
        <f>VLOOKUP(D94,F98:H101,3,FALSE)</f>
        <v>Q2 26-27</v>
      </c>
      <c r="G95" t="s">
        <v>383</v>
      </c>
      <c r="H95" s="330" t="str">
        <f>VLOOKUP(D94,F98:I101,4,FALSE)</f>
        <v>Q1 26-27</v>
      </c>
      <c r="I95" t="str">
        <f>VLOOKUP(1,B98:D109,3,FALSE)</f>
        <v>Apr'26</v>
      </c>
    </row>
    <row r="96" spans="2:14">
      <c r="B96" s="272"/>
      <c r="H96" s="273"/>
    </row>
    <row r="97" spans="2:9">
      <c r="B97" s="272"/>
      <c r="C97" t="s">
        <v>821</v>
      </c>
      <c r="D97" t="s">
        <v>822</v>
      </c>
      <c r="E97" t="s">
        <v>823</v>
      </c>
      <c r="G97" t="s">
        <v>824</v>
      </c>
      <c r="H97" s="273" t="s">
        <v>825</v>
      </c>
      <c r="I97" t="s">
        <v>826</v>
      </c>
    </row>
    <row r="98" spans="2:9">
      <c r="B98" s="272">
        <v>1</v>
      </c>
      <c r="C98" s="482" t="str">
        <f>interFY_transition!D61</f>
        <v>Apr'25</v>
      </c>
      <c r="D98" s="482" t="str">
        <f>interFY_transition!D26</f>
        <v>Apr'26</v>
      </c>
      <c r="E98" s="482" t="str">
        <f>interFY_transition!D45</f>
        <v>Mar'26</v>
      </c>
      <c r="F98">
        <v>1</v>
      </c>
      <c r="G98" s="482" t="str">
        <f>interFY_transition!D73</f>
        <v>Q1 25-26</v>
      </c>
      <c r="H98" s="494" t="str">
        <f>interFY_transition!D38</f>
        <v>Q1 26-27</v>
      </c>
      <c r="I98" s="482" t="str">
        <f>interFY_transition!D57</f>
        <v>Q4 25-26</v>
      </c>
    </row>
    <row r="99" spans="2:9">
      <c r="B99" s="272">
        <v>2</v>
      </c>
      <c r="C99" s="482" t="str">
        <f>interFY_transition!D62</f>
        <v>May'25</v>
      </c>
      <c r="D99" s="482" t="str">
        <f>interFY_transition!D27</f>
        <v>May'26</v>
      </c>
      <c r="E99" s="482" t="str">
        <f>interFY_transition!D46</f>
        <v>Apr'26</v>
      </c>
      <c r="F99">
        <v>2</v>
      </c>
      <c r="G99" s="482" t="str">
        <f>interFY_transition!D74</f>
        <v>Q2 25-26</v>
      </c>
      <c r="H99" s="494" t="str">
        <f>interFY_transition!D39</f>
        <v>Q2 26-27</v>
      </c>
      <c r="I99" s="482" t="str">
        <f>interFY_transition!D58</f>
        <v>Q1 26-27</v>
      </c>
    </row>
    <row r="100" spans="2:9">
      <c r="B100" s="272">
        <v>3</v>
      </c>
      <c r="C100" s="482" t="str">
        <f>interFY_transition!D63</f>
        <v>June'25</v>
      </c>
      <c r="D100" s="482" t="str">
        <f>interFY_transition!D28</f>
        <v>June'26</v>
      </c>
      <c r="E100" s="482" t="str">
        <f>interFY_transition!D47</f>
        <v>May'26</v>
      </c>
      <c r="F100">
        <v>3</v>
      </c>
      <c r="G100" s="482" t="str">
        <f>interFY_transition!D75</f>
        <v>Q3 25-26</v>
      </c>
      <c r="H100" s="494" t="str">
        <f>interFY_transition!D40</f>
        <v>Q3 26-27</v>
      </c>
      <c r="I100" s="482" t="str">
        <f>interFY_transition!D59</f>
        <v>Q2 26-27</v>
      </c>
    </row>
    <row r="101" spans="2:9">
      <c r="B101" s="272">
        <v>4</v>
      </c>
      <c r="C101" s="482" t="str">
        <f>interFY_transition!D64</f>
        <v>July'25</v>
      </c>
      <c r="D101" s="482" t="str">
        <f>interFY_transition!D29</f>
        <v>July'26</v>
      </c>
      <c r="E101" s="482" t="str">
        <f>interFY_transition!D48</f>
        <v>June'26</v>
      </c>
      <c r="F101">
        <v>4</v>
      </c>
      <c r="G101" s="482" t="str">
        <f>interFY_transition!D76</f>
        <v>Q4 25-26</v>
      </c>
      <c r="H101" s="494" t="str">
        <f>interFY_transition!D41</f>
        <v>Q4 26-27</v>
      </c>
      <c r="I101" s="482" t="str">
        <f>interFY_transition!D60</f>
        <v>Q3 26-27</v>
      </c>
    </row>
    <row r="102" spans="2:9">
      <c r="B102" s="272">
        <v>5</v>
      </c>
      <c r="C102" s="482" t="str">
        <f>interFY_transition!D65</f>
        <v>Aug'25</v>
      </c>
      <c r="D102" s="482" t="str">
        <f>interFY_transition!D30</f>
        <v>Aug'26</v>
      </c>
      <c r="E102" s="482" t="str">
        <f>interFY_transition!D49</f>
        <v>July'26</v>
      </c>
      <c r="H102" s="273"/>
    </row>
    <row r="103" spans="2:9">
      <c r="B103" s="272">
        <v>6</v>
      </c>
      <c r="C103" s="482" t="str">
        <f>interFY_transition!D66</f>
        <v>Sep'25</v>
      </c>
      <c r="D103" s="482" t="str">
        <f>interFY_transition!D31</f>
        <v>Sep'26</v>
      </c>
      <c r="E103" s="482" t="str">
        <f>interFY_transition!D50</f>
        <v>Aug'26</v>
      </c>
      <c r="H103" s="273"/>
    </row>
    <row r="104" spans="2:9">
      <c r="B104" s="272">
        <v>7</v>
      </c>
      <c r="C104" s="482" t="str">
        <f>interFY_transition!D67</f>
        <v>Oct'25</v>
      </c>
      <c r="D104" s="482" t="str">
        <f>interFY_transition!D32</f>
        <v>Oct'26</v>
      </c>
      <c r="E104" s="482" t="str">
        <f>interFY_transition!D51</f>
        <v>Sep'26</v>
      </c>
      <c r="H104" s="273"/>
    </row>
    <row r="105" spans="2:9">
      <c r="B105" s="272">
        <v>8</v>
      </c>
      <c r="C105" s="482" t="str">
        <f>interFY_transition!D68</f>
        <v>Nov'25</v>
      </c>
      <c r="D105" s="482" t="str">
        <f>interFY_transition!D33</f>
        <v>Nov'26</v>
      </c>
      <c r="E105" s="482" t="str">
        <f>interFY_transition!D52</f>
        <v>Oct'26</v>
      </c>
      <c r="H105" s="273"/>
    </row>
    <row r="106" spans="2:9">
      <c r="B106" s="272">
        <v>9</v>
      </c>
      <c r="C106" s="482" t="str">
        <f>interFY_transition!D69</f>
        <v>Dec'25</v>
      </c>
      <c r="D106" s="482" t="str">
        <f>interFY_transition!D34</f>
        <v>Dec'26</v>
      </c>
      <c r="E106" s="482" t="str">
        <f>interFY_transition!D53</f>
        <v>Nov'26</v>
      </c>
      <c r="H106" s="273"/>
    </row>
    <row r="107" spans="2:9">
      <c r="B107" s="272">
        <v>10</v>
      </c>
      <c r="C107" s="482" t="str">
        <f>interFY_transition!D70</f>
        <v>Jan'26</v>
      </c>
      <c r="D107" s="482" t="str">
        <f>interFY_transition!D35</f>
        <v>Jan'27</v>
      </c>
      <c r="E107" s="482" t="str">
        <f>interFY_transition!D54</f>
        <v>Dec'26</v>
      </c>
      <c r="H107" s="273"/>
    </row>
    <row r="108" spans="2:9">
      <c r="B108" s="272">
        <v>11</v>
      </c>
      <c r="C108" s="482" t="str">
        <f>interFY_transition!D71</f>
        <v>Feb'26</v>
      </c>
      <c r="D108" s="482" t="str">
        <f>interFY_transition!D36</f>
        <v>Feb'27</v>
      </c>
      <c r="E108" s="482" t="str">
        <f>interFY_transition!D55</f>
        <v>Jan'27</v>
      </c>
      <c r="H108" s="273"/>
    </row>
    <row r="109" spans="2:9">
      <c r="B109" s="272">
        <v>12</v>
      </c>
      <c r="C109" s="482" t="str">
        <f>interFY_transition!D72</f>
        <v>Mar'26</v>
      </c>
      <c r="D109" s="482" t="str">
        <f>interFY_transition!D37</f>
        <v>Mar'27</v>
      </c>
      <c r="E109" s="482" t="str">
        <f>interFY_transition!D56</f>
        <v>Feb'27</v>
      </c>
      <c r="H109" s="273"/>
    </row>
    <row r="110" spans="2:9">
      <c r="B110" s="281"/>
      <c r="C110" s="282"/>
      <c r="D110" s="282"/>
      <c r="E110" s="282"/>
      <c r="F110" s="282"/>
      <c r="G110" s="282"/>
      <c r="H110" s="283"/>
    </row>
    <row r="122" spans="2:7">
      <c r="B122" s="280"/>
      <c r="C122" s="270"/>
      <c r="D122" s="270"/>
      <c r="E122" s="270"/>
      <c r="F122" s="270"/>
      <c r="G122" s="271"/>
    </row>
    <row r="123" spans="2:7">
      <c r="B123" s="272"/>
      <c r="C123" s="286" t="str">
        <f>Dashboard!J3</f>
        <v>BE</v>
      </c>
      <c r="G123" s="273"/>
    </row>
    <row r="124" spans="2:7">
      <c r="B124" s="272"/>
      <c r="C124" s="184" t="s">
        <v>296</v>
      </c>
      <c r="D124" s="184">
        <f>VLOOKUP(C123,C127:F129,2,FALSE)</f>
        <v>1</v>
      </c>
      <c r="G124" s="273"/>
    </row>
    <row r="125" spans="2:7">
      <c r="B125" s="272"/>
      <c r="C125" s="184" t="s">
        <v>297</v>
      </c>
      <c r="D125" s="184">
        <f>VLOOKUP(C123,C127:F129,3,FALSE)</f>
        <v>0</v>
      </c>
      <c r="G125" s="273"/>
    </row>
    <row r="126" spans="2:7">
      <c r="B126" s="272"/>
      <c r="C126" s="184" t="s">
        <v>328</v>
      </c>
      <c r="D126" s="184">
        <f>VLOOKUP(C123,C127:F129,4,FALSE)</f>
        <v>0</v>
      </c>
      <c r="G126" s="273"/>
    </row>
    <row r="127" spans="2:7">
      <c r="B127" s="272"/>
      <c r="C127" t="s">
        <v>190</v>
      </c>
      <c r="D127">
        <v>1</v>
      </c>
      <c r="E127">
        <v>0</v>
      </c>
      <c r="F127">
        <v>0</v>
      </c>
      <c r="G127" s="273"/>
    </row>
    <row r="128" spans="2:7">
      <c r="B128" s="272"/>
      <c r="C128" t="s">
        <v>294</v>
      </c>
      <c r="D128">
        <v>0</v>
      </c>
      <c r="E128">
        <v>1</v>
      </c>
      <c r="F128">
        <v>0</v>
      </c>
      <c r="G128" s="273"/>
    </row>
    <row r="129" spans="1:7">
      <c r="B129" s="272"/>
      <c r="C129" t="s">
        <v>325</v>
      </c>
      <c r="D129">
        <v>0</v>
      </c>
      <c r="E129">
        <v>0</v>
      </c>
      <c r="F129">
        <v>1</v>
      </c>
      <c r="G129" s="273"/>
    </row>
    <row r="130" spans="1:7">
      <c r="B130" s="281"/>
      <c r="C130" s="282"/>
      <c r="D130" s="282"/>
      <c r="E130" s="282"/>
      <c r="F130" s="282"/>
      <c r="G130" s="283"/>
    </row>
    <row r="134" spans="1:7">
      <c r="B134" s="280"/>
      <c r="C134" s="270"/>
      <c r="D134" s="270"/>
      <c r="E134" s="270"/>
      <c r="F134" s="271"/>
    </row>
    <row r="135" spans="1:7" ht="18.75">
      <c r="B135" s="272"/>
      <c r="C135" s="231" t="str">
        <f>CONCATENATE(C137,D137,E137)</f>
        <v>YTD achievements(W.r.t. BE targets)</v>
      </c>
      <c r="F135" s="273"/>
    </row>
    <row r="136" spans="1:7">
      <c r="B136" s="272"/>
      <c r="F136" s="273"/>
    </row>
    <row r="137" spans="1:7">
      <c r="B137" s="272"/>
      <c r="C137" t="s">
        <v>299</v>
      </c>
      <c r="D137" t="str">
        <f>C123</f>
        <v>BE</v>
      </c>
      <c r="E137" t="s">
        <v>298</v>
      </c>
      <c r="F137" s="273"/>
    </row>
    <row r="138" spans="1:7">
      <c r="B138" s="281"/>
      <c r="C138" s="282"/>
      <c r="D138" s="282"/>
      <c r="E138" s="282"/>
      <c r="F138" s="283"/>
    </row>
    <row r="141" spans="1:7">
      <c r="A141" s="351"/>
      <c r="B141" s="352" t="s">
        <v>423</v>
      </c>
      <c r="C141" s="352"/>
      <c r="D141" s="352"/>
      <c r="E141" s="352"/>
      <c r="F141" s="352"/>
      <c r="G141" s="353"/>
    </row>
    <row r="142" spans="1:7">
      <c r="A142" s="272"/>
      <c r="B142" s="234"/>
      <c r="D142">
        <f>VLOOKUP(D143,C148:D159,2,FALSE)</f>
        <v>8</v>
      </c>
      <c r="G142" s="273"/>
    </row>
    <row r="143" spans="1:7">
      <c r="A143" s="272"/>
      <c r="C143">
        <v>2026</v>
      </c>
      <c r="D143" t="s">
        <v>74</v>
      </c>
      <c r="E143">
        <v>31</v>
      </c>
      <c r="G143" s="354">
        <f>DATE(C143,D142,E143)</f>
        <v>46265</v>
      </c>
    </row>
    <row r="144" spans="1:7">
      <c r="A144" s="272"/>
      <c r="G144" s="273"/>
    </row>
    <row r="145" spans="1:7">
      <c r="A145" s="272"/>
      <c r="B145">
        <v>2022</v>
      </c>
      <c r="E145" t="b">
        <v>0</v>
      </c>
      <c r="F145">
        <v>1</v>
      </c>
      <c r="G145" s="273"/>
    </row>
    <row r="146" spans="1:7">
      <c r="A146" s="272"/>
      <c r="B146">
        <v>2023</v>
      </c>
      <c r="E146" t="b">
        <v>0</v>
      </c>
      <c r="F146">
        <v>2</v>
      </c>
      <c r="G146" s="273"/>
    </row>
    <row r="147" spans="1:7">
      <c r="A147" s="272"/>
      <c r="B147">
        <v>2024</v>
      </c>
      <c r="E147" t="b">
        <v>0</v>
      </c>
      <c r="F147">
        <v>3</v>
      </c>
      <c r="G147" s="273"/>
    </row>
    <row r="148" spans="1:7">
      <c r="A148" s="272"/>
      <c r="B148">
        <v>2025</v>
      </c>
      <c r="C148" t="s">
        <v>79</v>
      </c>
      <c r="D148">
        <v>1</v>
      </c>
      <c r="E148" t="b">
        <v>0</v>
      </c>
      <c r="F148">
        <v>4</v>
      </c>
      <c r="G148" s="273"/>
    </row>
    <row r="149" spans="1:7">
      <c r="A149" s="272"/>
      <c r="B149">
        <v>2026</v>
      </c>
      <c r="C149" t="s">
        <v>80</v>
      </c>
      <c r="D149">
        <v>2</v>
      </c>
      <c r="E149" t="b">
        <v>0</v>
      </c>
      <c r="F149">
        <v>5</v>
      </c>
      <c r="G149" s="273"/>
    </row>
    <row r="150" spans="1:7">
      <c r="A150" s="272"/>
      <c r="C150" t="s">
        <v>81</v>
      </c>
      <c r="D150">
        <v>3</v>
      </c>
      <c r="E150" t="b">
        <v>0</v>
      </c>
      <c r="F150">
        <v>6</v>
      </c>
      <c r="G150" s="273"/>
    </row>
    <row r="151" spans="1:7">
      <c r="A151" s="272"/>
      <c r="C151" t="s">
        <v>30</v>
      </c>
      <c r="D151">
        <v>4</v>
      </c>
      <c r="E151" t="b">
        <v>0</v>
      </c>
      <c r="F151">
        <v>7</v>
      </c>
      <c r="G151" s="273"/>
    </row>
    <row r="152" spans="1:7">
      <c r="A152" s="272"/>
      <c r="C152" t="s">
        <v>71</v>
      </c>
      <c r="D152">
        <v>5</v>
      </c>
      <c r="E152" t="b">
        <v>0</v>
      </c>
      <c r="F152">
        <v>8</v>
      </c>
      <c r="G152" s="273"/>
    </row>
    <row r="153" spans="1:7">
      <c r="A153" s="272"/>
      <c r="C153" t="s">
        <v>72</v>
      </c>
      <c r="D153">
        <v>6</v>
      </c>
      <c r="E153" t="b">
        <v>0</v>
      </c>
      <c r="F153">
        <v>9</v>
      </c>
      <c r="G153" s="273"/>
    </row>
    <row r="154" spans="1:7">
      <c r="A154" s="272"/>
      <c r="C154" t="s">
        <v>73</v>
      </c>
      <c r="D154">
        <v>7</v>
      </c>
      <c r="E154" t="b">
        <v>0</v>
      </c>
      <c r="F154">
        <v>10</v>
      </c>
      <c r="G154" s="273"/>
    </row>
    <row r="155" spans="1:7">
      <c r="A155" s="272"/>
      <c r="C155" t="s">
        <v>74</v>
      </c>
      <c r="D155">
        <v>8</v>
      </c>
      <c r="E155" t="b">
        <v>0</v>
      </c>
      <c r="F155">
        <v>11</v>
      </c>
      <c r="G155" s="273"/>
    </row>
    <row r="156" spans="1:7">
      <c r="A156" s="272"/>
      <c r="C156" t="s">
        <v>75</v>
      </c>
      <c r="D156">
        <v>9</v>
      </c>
      <c r="E156" t="b">
        <v>0</v>
      </c>
      <c r="F156">
        <v>12</v>
      </c>
      <c r="G156" s="273"/>
    </row>
    <row r="157" spans="1:7">
      <c r="A157" s="272"/>
      <c r="C157" t="s">
        <v>76</v>
      </c>
      <c r="D157">
        <v>10</v>
      </c>
      <c r="E157" t="b">
        <v>0</v>
      </c>
      <c r="F157">
        <v>13</v>
      </c>
      <c r="G157" s="273"/>
    </row>
    <row r="158" spans="1:7">
      <c r="A158" s="272"/>
      <c r="C158" t="s">
        <v>77</v>
      </c>
      <c r="D158">
        <v>11</v>
      </c>
      <c r="E158" t="b">
        <v>0</v>
      </c>
      <c r="F158">
        <v>14</v>
      </c>
      <c r="G158" s="273"/>
    </row>
    <row r="159" spans="1:7">
      <c r="A159" s="272"/>
      <c r="C159" t="s">
        <v>78</v>
      </c>
      <c r="D159">
        <v>12</v>
      </c>
      <c r="E159" t="b">
        <v>0</v>
      </c>
      <c r="F159">
        <v>15</v>
      </c>
      <c r="G159" s="273"/>
    </row>
    <row r="160" spans="1:7">
      <c r="A160" s="272"/>
      <c r="E160" t="b">
        <v>0</v>
      </c>
      <c r="F160">
        <v>16</v>
      </c>
      <c r="G160" s="273"/>
    </row>
    <row r="161" spans="1:7">
      <c r="A161" s="272"/>
      <c r="E161" t="b">
        <v>0</v>
      </c>
      <c r="F161">
        <v>17</v>
      </c>
      <c r="G161" s="273"/>
    </row>
    <row r="162" spans="1:7">
      <c r="A162" s="272"/>
      <c r="E162" t="b">
        <v>0</v>
      </c>
      <c r="F162">
        <v>18</v>
      </c>
      <c r="G162" s="273"/>
    </row>
    <row r="163" spans="1:7">
      <c r="A163" s="272"/>
      <c r="E163" t="b">
        <v>0</v>
      </c>
      <c r="F163">
        <v>19</v>
      </c>
      <c r="G163" s="273"/>
    </row>
    <row r="164" spans="1:7">
      <c r="A164" s="272"/>
      <c r="E164" t="b">
        <v>0</v>
      </c>
      <c r="F164">
        <v>20</v>
      </c>
      <c r="G164" s="273"/>
    </row>
    <row r="165" spans="1:7">
      <c r="A165" s="272"/>
      <c r="E165" t="b">
        <v>0</v>
      </c>
      <c r="F165">
        <v>21</v>
      </c>
      <c r="G165" s="273"/>
    </row>
    <row r="166" spans="1:7">
      <c r="A166" s="272"/>
      <c r="E166" t="b">
        <v>0</v>
      </c>
      <c r="F166">
        <v>22</v>
      </c>
      <c r="G166" s="273"/>
    </row>
    <row r="167" spans="1:7">
      <c r="A167" s="272"/>
      <c r="E167" t="b">
        <v>0</v>
      </c>
      <c r="F167">
        <v>23</v>
      </c>
      <c r="G167" s="273"/>
    </row>
    <row r="168" spans="1:7">
      <c r="A168" s="272"/>
      <c r="E168" t="b">
        <v>0</v>
      </c>
      <c r="F168">
        <v>24</v>
      </c>
      <c r="G168" s="273"/>
    </row>
    <row r="169" spans="1:7">
      <c r="A169" s="272"/>
      <c r="E169" t="b">
        <v>0</v>
      </c>
      <c r="F169">
        <v>25</v>
      </c>
      <c r="G169" s="273"/>
    </row>
    <row r="170" spans="1:7">
      <c r="A170" s="272"/>
      <c r="E170" t="b">
        <v>0</v>
      </c>
      <c r="F170">
        <v>26</v>
      </c>
      <c r="G170" s="273"/>
    </row>
    <row r="171" spans="1:7">
      <c r="A171" s="272"/>
      <c r="E171" t="b">
        <v>0</v>
      </c>
      <c r="F171">
        <v>27</v>
      </c>
      <c r="G171" s="273"/>
    </row>
    <row r="172" spans="1:7">
      <c r="A172" s="272"/>
      <c r="E172" t="b">
        <v>0</v>
      </c>
      <c r="F172">
        <v>28</v>
      </c>
      <c r="G172" s="273"/>
    </row>
    <row r="173" spans="1:7">
      <c r="A173" s="272"/>
      <c r="E173" t="b">
        <v>0</v>
      </c>
      <c r="F173">
        <v>29</v>
      </c>
      <c r="G173" s="273"/>
    </row>
    <row r="174" spans="1:7">
      <c r="A174" s="272"/>
      <c r="E174" t="b">
        <v>0</v>
      </c>
      <c r="F174">
        <v>30</v>
      </c>
      <c r="G174" s="273"/>
    </row>
    <row r="175" spans="1:7">
      <c r="A175" s="272"/>
      <c r="E175" t="b">
        <v>1</v>
      </c>
      <c r="F175">
        <v>31</v>
      </c>
      <c r="G175" s="273"/>
    </row>
    <row r="176" spans="1:7">
      <c r="A176" s="272"/>
      <c r="G176" s="273"/>
    </row>
    <row r="177" spans="1:12">
      <c r="A177" s="272"/>
      <c r="G177" s="273"/>
    </row>
    <row r="178" spans="1:12">
      <c r="A178" s="272"/>
      <c r="G178" s="273"/>
    </row>
    <row r="179" spans="1:12">
      <c r="A179" s="272"/>
      <c r="G179" s="273"/>
    </row>
    <row r="180" spans="1:12">
      <c r="A180" s="272"/>
      <c r="C180" s="247">
        <v>13</v>
      </c>
      <c r="D180" t="s">
        <v>63</v>
      </c>
      <c r="G180" s="273"/>
    </row>
    <row r="181" spans="1:12">
      <c r="A181" s="272"/>
      <c r="G181" s="273"/>
    </row>
    <row r="182" spans="1:12">
      <c r="A182" s="281"/>
      <c r="B182" s="282"/>
      <c r="C182" s="282"/>
      <c r="D182" s="282"/>
      <c r="E182" s="282"/>
      <c r="F182" s="282"/>
      <c r="G182" s="283"/>
    </row>
    <row r="183" spans="1:12" ht="15.75" thickBot="1"/>
    <row r="184" spans="1:12">
      <c r="A184" s="456"/>
      <c r="B184" s="457"/>
      <c r="C184" s="457"/>
      <c r="D184" s="457"/>
      <c r="E184" s="457"/>
      <c r="F184" s="457"/>
      <c r="G184" s="457"/>
      <c r="H184" s="457"/>
      <c r="I184" s="457"/>
      <c r="J184" s="457"/>
      <c r="K184" s="457"/>
      <c r="L184" s="458"/>
    </row>
    <row r="185" spans="1:12">
      <c r="A185" s="459"/>
      <c r="B185" t="s">
        <v>427</v>
      </c>
      <c r="C185" s="420" t="s">
        <v>428</v>
      </c>
      <c r="L185" s="460"/>
    </row>
    <row r="186" spans="1:12">
      <c r="A186" s="459"/>
      <c r="B186" s="247"/>
      <c r="C186" s="516"/>
      <c r="D186" s="418">
        <f>VLOOKUP($C$185,$B$188:$J$192,3,FALSE)</f>
        <v>18</v>
      </c>
      <c r="E186" s="418">
        <f>VLOOKUP($C$185,$B$188:$J$192,4,FALSE)</f>
        <v>15</v>
      </c>
      <c r="F186" s="418">
        <f>VLOOKUP($C$185,$B$188:$J$192,5,FALSE)</f>
        <v>10</v>
      </c>
      <c r="G186" s="418">
        <f>VLOOKUP($C$185,$B$188:$J$192,6,FALSE)</f>
        <v>13</v>
      </c>
      <c r="H186" s="418" t="str">
        <f>VLOOKUP($C$185,$B$188:$J$192,7,FALSE)</f>
        <v>MTD</v>
      </c>
      <c r="I186" s="418" t="str">
        <f>VLOOKUP($C$185,$B$188:$J$192,8,FALSE)</f>
        <v>July'26</v>
      </c>
      <c r="J186" s="418" t="str">
        <f>VLOOKUP($C$185,$B$188:$J$192,9,FALSE)</f>
        <v>Aug'26</v>
      </c>
      <c r="K186" s="418" t="str">
        <f>VLOOKUP($C$185,$B$188:$K$192,10,FALSE)</f>
        <v>Full Month</v>
      </c>
      <c r="L186" s="460"/>
    </row>
    <row r="187" spans="1:12">
      <c r="A187" s="459"/>
      <c r="B187" s="184"/>
      <c r="C187" s="184"/>
      <c r="D187" s="184" t="s">
        <v>482</v>
      </c>
      <c r="E187" s="184" t="s">
        <v>483</v>
      </c>
      <c r="F187" s="184" t="s">
        <v>484</v>
      </c>
      <c r="G187" s="184" t="s">
        <v>485</v>
      </c>
      <c r="H187" s="184" t="s">
        <v>489</v>
      </c>
      <c r="I187" s="184" t="s">
        <v>487</v>
      </c>
      <c r="J187" s="184" t="s">
        <v>488</v>
      </c>
      <c r="K187" s="184" t="s">
        <v>490</v>
      </c>
      <c r="L187" s="460"/>
    </row>
    <row r="188" spans="1:12" ht="33" customHeight="1">
      <c r="A188" s="459"/>
      <c r="B188" s="419" t="s">
        <v>428</v>
      </c>
      <c r="C188" s="184">
        <v>1</v>
      </c>
      <c r="D188" s="184">
        <v>18</v>
      </c>
      <c r="E188" s="184">
        <v>15</v>
      </c>
      <c r="F188" s="184">
        <v>10</v>
      </c>
      <c r="G188" s="184">
        <v>13</v>
      </c>
      <c r="H188" s="184" t="s">
        <v>158</v>
      </c>
      <c r="I188" s="184" t="str">
        <f>H94</f>
        <v>July'26</v>
      </c>
      <c r="J188" s="184" t="str">
        <f>E95</f>
        <v>Aug'26</v>
      </c>
      <c r="K188" s="184" t="s">
        <v>491</v>
      </c>
      <c r="L188" s="460"/>
    </row>
    <row r="189" spans="1:12" ht="45">
      <c r="A189" s="459"/>
      <c r="B189" s="364" t="s">
        <v>429</v>
      </c>
      <c r="C189" s="184">
        <v>2</v>
      </c>
      <c r="D189" s="184">
        <v>23</v>
      </c>
      <c r="E189" s="184">
        <v>21</v>
      </c>
      <c r="F189" s="184">
        <v>10</v>
      </c>
      <c r="G189" s="184">
        <v>13</v>
      </c>
      <c r="H189" s="184" t="s">
        <v>158</v>
      </c>
      <c r="I189" s="184" t="str">
        <f>E94</f>
        <v>Aug'25</v>
      </c>
      <c r="J189" s="184" t="str">
        <f>E95</f>
        <v>Aug'26</v>
      </c>
      <c r="K189" s="184" t="s">
        <v>491</v>
      </c>
      <c r="L189" s="460"/>
    </row>
    <row r="190" spans="1:12" ht="26.85" customHeight="1">
      <c r="A190" s="459"/>
      <c r="B190" s="364" t="s">
        <v>430</v>
      </c>
      <c r="C190" s="184">
        <v>3</v>
      </c>
      <c r="D190" s="184">
        <v>19</v>
      </c>
      <c r="E190" s="184">
        <v>16</v>
      </c>
      <c r="F190" s="184">
        <v>9</v>
      </c>
      <c r="G190" s="184">
        <v>12</v>
      </c>
      <c r="H190" s="184" t="s">
        <v>159</v>
      </c>
      <c r="I190" s="184" t="str">
        <f>H95</f>
        <v>Q1 26-27</v>
      </c>
      <c r="J190" s="184" t="str">
        <f>F95</f>
        <v>Q2 26-27</v>
      </c>
      <c r="K190" s="184" t="s">
        <v>492</v>
      </c>
      <c r="L190" s="460"/>
    </row>
    <row r="191" spans="1:12" ht="32.85" customHeight="1">
      <c r="A191" s="459"/>
      <c r="B191" s="364" t="s">
        <v>431</v>
      </c>
      <c r="C191" s="184">
        <v>4</v>
      </c>
      <c r="D191" s="184">
        <v>24</v>
      </c>
      <c r="E191" s="184">
        <v>22</v>
      </c>
      <c r="F191" s="184">
        <v>9</v>
      </c>
      <c r="G191" s="184">
        <v>12</v>
      </c>
      <c r="H191" s="184" t="s">
        <v>159</v>
      </c>
      <c r="I191" s="184" t="str">
        <f>F94</f>
        <v>Q2 25-26</v>
      </c>
      <c r="J191" s="184" t="str">
        <f>F95</f>
        <v>Q2 26-27</v>
      </c>
      <c r="K191" s="184" t="s">
        <v>492</v>
      </c>
      <c r="L191" s="460"/>
    </row>
    <row r="192" spans="1:12" ht="26.1" customHeight="1">
      <c r="A192" s="459"/>
      <c r="B192" s="364" t="s">
        <v>432</v>
      </c>
      <c r="C192" s="184">
        <v>5</v>
      </c>
      <c r="D192" s="184">
        <v>20</v>
      </c>
      <c r="E192" s="184">
        <v>17</v>
      </c>
      <c r="F192" s="184">
        <v>8</v>
      </c>
      <c r="G192" s="184">
        <v>11</v>
      </c>
      <c r="H192" s="184" t="s">
        <v>157</v>
      </c>
      <c r="I192" s="495" t="str">
        <f>interFY_transition!D23</f>
        <v>2025-26</v>
      </c>
      <c r="J192" s="495" t="str">
        <f>interFY_transition!D20</f>
        <v>2026-27</v>
      </c>
      <c r="K192" s="184" t="s">
        <v>493</v>
      </c>
      <c r="L192" s="460"/>
    </row>
    <row r="193" spans="1:12">
      <c r="A193" s="459"/>
      <c r="L193" s="460"/>
    </row>
    <row r="194" spans="1:12">
      <c r="A194" s="459"/>
      <c r="L194" s="460"/>
    </row>
    <row r="195" spans="1:12">
      <c r="A195" s="459"/>
      <c r="L195" s="460"/>
    </row>
    <row r="196" spans="1:12" ht="15.75" thickBot="1">
      <c r="A196" s="461"/>
      <c r="B196" s="462"/>
      <c r="C196" s="462"/>
      <c r="D196" s="462"/>
      <c r="E196" s="462"/>
      <c r="F196" s="462"/>
      <c r="G196" s="462"/>
      <c r="H196" s="462"/>
      <c r="I196" s="462"/>
      <c r="J196" s="462"/>
      <c r="K196" s="462"/>
      <c r="L196" s="463"/>
    </row>
    <row r="197" spans="1:12" ht="15.75" thickBot="1"/>
    <row r="198" spans="1:12">
      <c r="A198" s="526"/>
      <c r="B198" s="527"/>
      <c r="C198" s="527"/>
      <c r="D198" s="527"/>
      <c r="E198" s="527"/>
      <c r="F198" s="527"/>
      <c r="G198" s="527"/>
      <c r="H198" s="528"/>
    </row>
    <row r="199" spans="1:12">
      <c r="A199" s="529"/>
      <c r="B199" s="530"/>
      <c r="C199" s="326"/>
      <c r="D199" s="326"/>
      <c r="E199" s="326"/>
      <c r="F199" s="326"/>
      <c r="G199" s="326"/>
      <c r="H199" s="531"/>
    </row>
    <row r="200" spans="1:12">
      <c r="A200" s="529"/>
      <c r="B200" s="326" t="s">
        <v>630</v>
      </c>
      <c r="C200" s="326"/>
      <c r="D200" s="326"/>
      <c r="E200" s="326"/>
      <c r="F200" s="326"/>
      <c r="G200" s="326"/>
      <c r="H200" s="531"/>
    </row>
    <row r="201" spans="1:12">
      <c r="A201" s="529"/>
      <c r="B201" s="326"/>
      <c r="C201" s="326"/>
      <c r="D201" s="326"/>
      <c r="E201" s="326"/>
      <c r="F201" s="326"/>
      <c r="G201" s="326"/>
      <c r="H201" s="531"/>
    </row>
    <row r="202" spans="1:12" ht="23.25">
      <c r="A202" s="529"/>
      <c r="B202" s="536" t="s">
        <v>913</v>
      </c>
      <c r="C202" s="326"/>
      <c r="D202" s="326"/>
      <c r="E202" s="326"/>
      <c r="F202" s="326"/>
      <c r="G202" s="326"/>
      <c r="H202" s="531" t="s">
        <v>639</v>
      </c>
    </row>
    <row r="203" spans="1:12">
      <c r="A203" s="529"/>
      <c r="B203" s="326"/>
      <c r="C203" s="326"/>
      <c r="D203" s="326" t="s">
        <v>634</v>
      </c>
      <c r="E203" s="326" t="str">
        <f>Comparison_between_ref_points!L4</f>
        <v>Mar'25</v>
      </c>
      <c r="F203" s="326" t="e">
        <f>VLOOKUP(E203,B206:C230,2,FALSE)</f>
        <v>#N/A</v>
      </c>
      <c r="G203" s="326"/>
      <c r="H203" s="532" t="e">
        <f>VLOOKUP(E203,B206:D230,3,FALSE)</f>
        <v>#N/A</v>
      </c>
    </row>
    <row r="204" spans="1:12">
      <c r="A204" s="529"/>
      <c r="B204" s="326"/>
      <c r="C204" s="326"/>
      <c r="D204" s="326" t="s">
        <v>635</v>
      </c>
      <c r="E204" s="326" t="str">
        <f>Comparison_between_ref_points!L5</f>
        <v>Nov'25</v>
      </c>
      <c r="F204" s="326" t="e">
        <f>VLOOKUP(E204,B206:C230,2,FALSE)</f>
        <v>#N/A</v>
      </c>
      <c r="G204" s="326"/>
      <c r="H204" s="532" t="e">
        <f>VLOOKUP(E204,B206:D230,3,FALSE)</f>
        <v>#N/A</v>
      </c>
    </row>
    <row r="205" spans="1:12">
      <c r="A205" s="529"/>
      <c r="B205" s="326"/>
      <c r="C205" s="326"/>
      <c r="D205" s="326"/>
      <c r="E205" s="326"/>
      <c r="F205" s="326"/>
      <c r="G205" s="326"/>
      <c r="H205" s="531"/>
    </row>
    <row r="206" spans="1:12">
      <c r="A206" s="529"/>
      <c r="B206" s="533" t="s">
        <v>616</v>
      </c>
      <c r="C206" s="326">
        <v>2</v>
      </c>
      <c r="D206" s="533" t="s">
        <v>616</v>
      </c>
      <c r="E206" s="326"/>
      <c r="F206" s="326"/>
      <c r="G206" s="326"/>
      <c r="H206" s="531"/>
    </row>
    <row r="207" spans="1:12">
      <c r="A207" s="529"/>
      <c r="B207" s="533" t="s">
        <v>309</v>
      </c>
      <c r="C207" s="326">
        <v>3</v>
      </c>
      <c r="D207" s="533" t="s">
        <v>309</v>
      </c>
      <c r="E207" s="326"/>
      <c r="F207" s="326"/>
      <c r="G207" s="326"/>
      <c r="H207" s="531"/>
    </row>
    <row r="208" spans="1:12">
      <c r="A208" s="529"/>
      <c r="B208" s="533" t="s">
        <v>310</v>
      </c>
      <c r="C208" s="326">
        <v>4</v>
      </c>
      <c r="D208" s="533" t="s">
        <v>310</v>
      </c>
      <c r="E208" s="326"/>
      <c r="F208" s="326"/>
      <c r="G208" s="326"/>
      <c r="H208" s="531"/>
    </row>
    <row r="209" spans="1:8">
      <c r="A209" s="529"/>
      <c r="B209" s="533" t="s">
        <v>311</v>
      </c>
      <c r="C209" s="326">
        <v>5</v>
      </c>
      <c r="D209" s="533" t="s">
        <v>311</v>
      </c>
      <c r="E209" s="326"/>
      <c r="F209" s="326"/>
      <c r="G209" s="326"/>
      <c r="H209" s="531"/>
    </row>
    <row r="210" spans="1:8">
      <c r="A210" s="529"/>
      <c r="B210" s="533" t="s">
        <v>617</v>
      </c>
      <c r="C210" s="326">
        <v>6</v>
      </c>
      <c r="D210" s="533" t="s">
        <v>617</v>
      </c>
      <c r="E210" s="326"/>
      <c r="F210" s="326"/>
      <c r="G210" s="326"/>
      <c r="H210" s="531"/>
    </row>
    <row r="211" spans="1:8">
      <c r="A211" s="529"/>
      <c r="B211" s="533" t="s">
        <v>618</v>
      </c>
      <c r="C211" s="326">
        <v>7</v>
      </c>
      <c r="D211" s="533" t="s">
        <v>618</v>
      </c>
      <c r="E211" s="326"/>
      <c r="F211" s="326"/>
      <c r="G211" s="326"/>
      <c r="H211" s="531"/>
    </row>
    <row r="212" spans="1:8">
      <c r="A212" s="529"/>
      <c r="B212" s="533" t="s">
        <v>619</v>
      </c>
      <c r="C212" s="326">
        <v>8</v>
      </c>
      <c r="D212" s="533" t="s">
        <v>619</v>
      </c>
      <c r="E212" s="326"/>
      <c r="F212" s="326"/>
      <c r="G212" s="326"/>
      <c r="H212" s="531"/>
    </row>
    <row r="213" spans="1:8">
      <c r="A213" s="529"/>
      <c r="B213" s="533" t="s">
        <v>620</v>
      </c>
      <c r="C213" s="326">
        <v>9</v>
      </c>
      <c r="D213" s="533" t="s">
        <v>620</v>
      </c>
      <c r="E213" s="326"/>
      <c r="F213" s="326"/>
      <c r="G213" s="326"/>
      <c r="H213" s="531"/>
    </row>
    <row r="214" spans="1:8">
      <c r="A214" s="529"/>
      <c r="B214" s="533" t="s">
        <v>621</v>
      </c>
      <c r="C214" s="326">
        <v>10</v>
      </c>
      <c r="D214" s="533" t="s">
        <v>621</v>
      </c>
      <c r="E214" s="326"/>
      <c r="F214" s="326"/>
      <c r="G214" s="326"/>
      <c r="H214" s="531"/>
    </row>
    <row r="215" spans="1:8">
      <c r="A215" s="529"/>
      <c r="B215" s="533" t="s">
        <v>631</v>
      </c>
      <c r="C215" s="326">
        <v>11</v>
      </c>
      <c r="D215" s="533" t="s">
        <v>631</v>
      </c>
      <c r="E215" s="326"/>
      <c r="F215" s="326"/>
      <c r="G215" s="326"/>
      <c r="H215" s="531"/>
    </row>
    <row r="216" spans="1:8">
      <c r="A216" s="529"/>
      <c r="B216" s="533" t="s">
        <v>632</v>
      </c>
      <c r="C216" s="326">
        <v>12</v>
      </c>
      <c r="D216" s="533" t="s">
        <v>632</v>
      </c>
      <c r="E216" s="326"/>
      <c r="F216" s="326"/>
      <c r="G216" s="326"/>
      <c r="H216" s="531"/>
    </row>
    <row r="217" spans="1:8">
      <c r="A217" s="529"/>
      <c r="B217" s="533" t="s">
        <v>633</v>
      </c>
      <c r="C217" s="326">
        <v>13</v>
      </c>
      <c r="D217" s="533" t="s">
        <v>633</v>
      </c>
      <c r="E217" s="326"/>
      <c r="F217" s="326"/>
      <c r="G217" s="326"/>
      <c r="H217" s="531"/>
    </row>
    <row r="218" spans="1:8">
      <c r="A218" s="529"/>
      <c r="B218" s="533" t="s">
        <v>392</v>
      </c>
      <c r="C218" s="326">
        <v>14</v>
      </c>
      <c r="D218" s="533" t="s">
        <v>392</v>
      </c>
      <c r="E218" s="326"/>
      <c r="F218" s="326"/>
      <c r="G218" s="326"/>
      <c r="H218" s="531"/>
    </row>
    <row r="219" spans="1:8">
      <c r="A219" s="529"/>
      <c r="B219" s="533" t="s">
        <v>393</v>
      </c>
      <c r="C219" s="326">
        <v>15</v>
      </c>
      <c r="D219" s="533" t="s">
        <v>393</v>
      </c>
      <c r="E219" s="326"/>
      <c r="F219" s="326"/>
      <c r="G219" s="326"/>
      <c r="H219" s="531"/>
    </row>
    <row r="220" spans="1:8">
      <c r="A220" s="529"/>
      <c r="B220" s="533" t="s">
        <v>394</v>
      </c>
      <c r="C220" s="326">
        <v>16</v>
      </c>
      <c r="D220" s="533" t="s">
        <v>394</v>
      </c>
      <c r="E220" s="326"/>
      <c r="F220" s="326"/>
      <c r="G220" s="326"/>
      <c r="H220" s="531"/>
    </row>
    <row r="221" spans="1:8">
      <c r="A221" s="529"/>
      <c r="B221" s="533" t="s">
        <v>395</v>
      </c>
      <c r="C221" s="326">
        <v>17</v>
      </c>
      <c r="D221" s="533" t="s">
        <v>395</v>
      </c>
      <c r="E221" s="326"/>
      <c r="F221" s="326"/>
      <c r="G221" s="326"/>
      <c r="H221" s="531"/>
    </row>
    <row r="222" spans="1:8">
      <c r="A222" s="529"/>
      <c r="B222" s="533" t="s">
        <v>622</v>
      </c>
      <c r="C222" s="326">
        <v>18</v>
      </c>
      <c r="D222" s="533" t="s">
        <v>622</v>
      </c>
      <c r="E222" s="326"/>
      <c r="F222" s="326"/>
      <c r="G222" s="326"/>
      <c r="H222" s="531"/>
    </row>
    <row r="223" spans="1:8">
      <c r="A223" s="529"/>
      <c r="B223" s="533" t="s">
        <v>623</v>
      </c>
      <c r="C223" s="326">
        <v>19</v>
      </c>
      <c r="D223" s="533" t="s">
        <v>623</v>
      </c>
      <c r="E223" s="326"/>
      <c r="F223" s="326"/>
      <c r="G223" s="326"/>
      <c r="H223" s="531"/>
    </row>
    <row r="224" spans="1:8">
      <c r="A224" s="529"/>
      <c r="B224" s="533" t="s">
        <v>624</v>
      </c>
      <c r="C224" s="326">
        <v>20</v>
      </c>
      <c r="D224" s="533" t="s">
        <v>624</v>
      </c>
      <c r="E224" s="326"/>
      <c r="F224" s="326"/>
      <c r="G224" s="326"/>
      <c r="H224" s="531"/>
    </row>
    <row r="225" spans="1:8">
      <c r="A225" s="529"/>
      <c r="B225" s="533" t="s">
        <v>625</v>
      </c>
      <c r="C225" s="326">
        <v>21</v>
      </c>
      <c r="D225" s="533" t="s">
        <v>625</v>
      </c>
      <c r="E225" s="326"/>
      <c r="F225" s="326"/>
      <c r="G225" s="326"/>
      <c r="H225" s="531"/>
    </row>
    <row r="226" spans="1:8">
      <c r="A226" s="529"/>
      <c r="B226" s="533" t="s">
        <v>626</v>
      </c>
      <c r="C226" s="326">
        <v>22</v>
      </c>
      <c r="D226" s="533" t="s">
        <v>626</v>
      </c>
      <c r="E226" s="326"/>
      <c r="F226" s="326"/>
      <c r="G226" s="326"/>
      <c r="H226" s="531"/>
    </row>
    <row r="227" spans="1:8">
      <c r="A227" s="529"/>
      <c r="B227" s="533" t="s">
        <v>448</v>
      </c>
      <c r="C227" s="326">
        <v>23</v>
      </c>
      <c r="D227" s="237">
        <f>Dashboard!D3</f>
        <v>46265</v>
      </c>
      <c r="E227" s="326"/>
      <c r="F227" s="326"/>
      <c r="G227" s="326"/>
      <c r="H227" s="531"/>
    </row>
    <row r="228" spans="1:8">
      <c r="A228" s="529"/>
      <c r="B228" s="533" t="s">
        <v>637</v>
      </c>
      <c r="C228" s="326">
        <v>24</v>
      </c>
      <c r="D228" s="237">
        <f>Comparison_between_ref_points!P4</f>
        <v>44902</v>
      </c>
      <c r="E228" s="326"/>
      <c r="F228" s="326"/>
      <c r="G228" s="326"/>
      <c r="H228" s="531"/>
    </row>
    <row r="229" spans="1:8">
      <c r="A229" s="529"/>
      <c r="B229" s="533" t="s">
        <v>615</v>
      </c>
      <c r="C229" s="326">
        <v>25</v>
      </c>
      <c r="D229" s="533" t="s">
        <v>615</v>
      </c>
      <c r="E229" s="326"/>
      <c r="F229" s="326"/>
      <c r="G229" s="326"/>
      <c r="H229" s="531"/>
    </row>
    <row r="230" spans="1:8">
      <c r="A230" s="529"/>
      <c r="B230" s="533" t="s">
        <v>638</v>
      </c>
      <c r="C230" s="326">
        <v>26</v>
      </c>
      <c r="D230" s="237">
        <f>Comparison_between_ref_points!P5</f>
        <v>44896</v>
      </c>
      <c r="E230" s="326"/>
      <c r="F230" s="326"/>
      <c r="G230" s="326"/>
      <c r="H230" s="531"/>
    </row>
    <row r="231" spans="1:8">
      <c r="A231" s="529"/>
      <c r="B231" s="326"/>
      <c r="C231" s="326"/>
      <c r="D231" s="326"/>
      <c r="E231" s="326"/>
      <c r="F231" s="326"/>
      <c r="G231" s="326"/>
      <c r="H231" s="531"/>
    </row>
    <row r="232" spans="1:8">
      <c r="A232" s="529"/>
      <c r="B232" s="326"/>
      <c r="C232" s="326"/>
      <c r="D232" s="326"/>
      <c r="E232" s="326"/>
      <c r="F232" s="326"/>
      <c r="G232" s="326"/>
      <c r="H232" s="531"/>
    </row>
    <row r="233" spans="1:8" ht="15.75" thickBot="1">
      <c r="A233" s="529"/>
      <c r="B233" s="326"/>
      <c r="C233" s="326"/>
      <c r="D233" s="326"/>
      <c r="E233" s="326"/>
      <c r="F233" s="326"/>
      <c r="G233" s="534"/>
      <c r="H233" s="535"/>
    </row>
    <row r="234" spans="1:8">
      <c r="A234" s="280"/>
      <c r="B234" s="270"/>
      <c r="C234" s="270"/>
      <c r="D234" s="270"/>
      <c r="E234" s="270"/>
      <c r="F234" s="271"/>
    </row>
    <row r="235" spans="1:8">
      <c r="A235" s="272"/>
      <c r="D235" t="s">
        <v>805</v>
      </c>
      <c r="E235">
        <v>1469</v>
      </c>
      <c r="F235" s="273"/>
    </row>
    <row r="236" spans="1:8">
      <c r="A236" s="272"/>
      <c r="F236" s="273"/>
    </row>
    <row r="237" spans="1:8">
      <c r="A237" s="272"/>
      <c r="F237" s="273"/>
    </row>
    <row r="238" spans="1:8">
      <c r="A238" s="272"/>
      <c r="B238" t="s">
        <v>803</v>
      </c>
      <c r="F238" s="273"/>
    </row>
    <row r="239" spans="1:8">
      <c r="A239" s="272"/>
      <c r="F239" s="273"/>
    </row>
    <row r="240" spans="1:8">
      <c r="A240" s="272"/>
      <c r="B240" t="s">
        <v>804</v>
      </c>
      <c r="C240" s="246">
        <f>Dashboard!D3</f>
        <v>46265</v>
      </c>
      <c r="F240" s="273"/>
    </row>
    <row r="241" spans="1:6">
      <c r="A241" s="272"/>
      <c r="B241" t="s">
        <v>806</v>
      </c>
      <c r="C241" s="246">
        <f>DATE(YEAR(C240),MONTH(C240),1)</f>
        <v>46235</v>
      </c>
      <c r="F241" s="273"/>
    </row>
    <row r="242" spans="1:6">
      <c r="A242" s="272"/>
      <c r="B242" t="s">
        <v>807</v>
      </c>
      <c r="C242" s="246">
        <f>C240-30</f>
        <v>46235</v>
      </c>
      <c r="F242" s="273"/>
    </row>
    <row r="243" spans="1:6">
      <c r="A243" s="272"/>
      <c r="B243" t="s">
        <v>808</v>
      </c>
      <c r="C243" s="246">
        <f>DATE(YEAR(C240),1,1)</f>
        <v>46023</v>
      </c>
      <c r="F243" s="273"/>
    </row>
    <row r="244" spans="1:6">
      <c r="A244" s="272"/>
      <c r="B244" t="s">
        <v>809</v>
      </c>
      <c r="C244" s="246">
        <f>IF(MONTH(C240)&gt;3,DATE(YEAR(C240),4,1),DATE(YEAR(C240)-1,4,1))</f>
        <v>46113</v>
      </c>
      <c r="F244" s="273"/>
    </row>
    <row r="245" spans="1:6">
      <c r="A245" s="272"/>
      <c r="B245" t="s">
        <v>810</v>
      </c>
      <c r="C245" s="246">
        <f>C240-365</f>
        <v>45900</v>
      </c>
      <c r="F245" s="273"/>
    </row>
    <row r="246" spans="1:6">
      <c r="A246" s="272"/>
      <c r="B246" t="s">
        <v>811</v>
      </c>
      <c r="C246" s="246">
        <v>45017</v>
      </c>
      <c r="F246" s="273"/>
    </row>
    <row r="247" spans="1:6">
      <c r="A247" s="272"/>
      <c r="F247" s="273"/>
    </row>
    <row r="248" spans="1:6">
      <c r="A248" s="272"/>
      <c r="F248" s="273"/>
    </row>
    <row r="249" spans="1:6">
      <c r="A249" s="272"/>
      <c r="B249">
        <f>DPR!A1</f>
        <v>3</v>
      </c>
      <c r="C249" s="402" t="s">
        <v>818</v>
      </c>
      <c r="D249" s="246">
        <f>VLOOKUP(B249,B251:C256,2)</f>
        <v>46235</v>
      </c>
      <c r="E249" s="496">
        <f>C240</f>
        <v>46265</v>
      </c>
      <c r="F249" s="273"/>
    </row>
    <row r="250" spans="1:6">
      <c r="A250" s="272"/>
      <c r="F250" s="273"/>
    </row>
    <row r="251" spans="1:6">
      <c r="A251" s="272"/>
      <c r="B251">
        <v>2</v>
      </c>
      <c r="C251" s="246">
        <f>MAX(C241,C246)</f>
        <v>46235</v>
      </c>
      <c r="D251" t="s">
        <v>812</v>
      </c>
      <c r="F251" s="273"/>
    </row>
    <row r="252" spans="1:6">
      <c r="A252" s="272"/>
      <c r="B252">
        <v>3</v>
      </c>
      <c r="C252" s="246">
        <f>MAX(C242,C246)</f>
        <v>46235</v>
      </c>
      <c r="D252" t="s">
        <v>813</v>
      </c>
      <c r="F252" s="273"/>
    </row>
    <row r="253" spans="1:6">
      <c r="A253" s="272"/>
      <c r="B253">
        <v>4</v>
      </c>
      <c r="C253" s="246">
        <f>C246</f>
        <v>45017</v>
      </c>
      <c r="D253" t="s">
        <v>814</v>
      </c>
      <c r="F253" s="273"/>
    </row>
    <row r="254" spans="1:6">
      <c r="A254" s="272"/>
      <c r="B254">
        <v>5</v>
      </c>
      <c r="C254" s="246">
        <f>MAX(C243,C246)</f>
        <v>46023</v>
      </c>
      <c r="D254" t="s">
        <v>815</v>
      </c>
      <c r="F254" s="273"/>
    </row>
    <row r="255" spans="1:6">
      <c r="A255" s="272"/>
      <c r="B255">
        <v>6</v>
      </c>
      <c r="C255" s="246">
        <f>MAX(C246,C244)</f>
        <v>46113</v>
      </c>
      <c r="D255" t="s">
        <v>816</v>
      </c>
      <c r="F255" s="273"/>
    </row>
    <row r="256" spans="1:6">
      <c r="A256" s="272"/>
      <c r="B256">
        <v>7</v>
      </c>
      <c r="C256" s="246">
        <f>MAX(C245,C246)</f>
        <v>45900</v>
      </c>
      <c r="D256" t="s">
        <v>817</v>
      </c>
      <c r="F256" s="273"/>
    </row>
    <row r="257" spans="1:6">
      <c r="A257" s="281"/>
      <c r="B257" s="282"/>
      <c r="C257" s="282"/>
      <c r="D257" s="282"/>
      <c r="E257" s="282"/>
      <c r="F257" s="283"/>
    </row>
    <row r="258" spans="1:6">
      <c r="A258" s="280"/>
      <c r="B258" s="270"/>
      <c r="C258" s="270"/>
      <c r="D258" s="271"/>
    </row>
    <row r="259" spans="1:6">
      <c r="A259" s="272"/>
      <c r="D259" s="273"/>
    </row>
    <row r="260" spans="1:6">
      <c r="A260" s="272" t="s">
        <v>864</v>
      </c>
      <c r="B260" t="str">
        <f>interFY_transition!D17</f>
        <v>2026-27</v>
      </c>
      <c r="C260">
        <f>VLOOKUP(B260,B263:C266,2,FALSE)</f>
        <v>81</v>
      </c>
      <c r="D260" s="273"/>
    </row>
    <row r="261" spans="1:6">
      <c r="A261" s="272"/>
      <c r="D261" s="273"/>
    </row>
    <row r="262" spans="1:6">
      <c r="A262" s="272"/>
      <c r="B262" t="s">
        <v>843</v>
      </c>
      <c r="C262" t="s">
        <v>844</v>
      </c>
      <c r="D262" s="273"/>
    </row>
    <row r="263" spans="1:6">
      <c r="A263" s="272"/>
      <c r="B263" t="s">
        <v>719</v>
      </c>
      <c r="C263">
        <v>24</v>
      </c>
      <c r="D263" s="273"/>
    </row>
    <row r="264" spans="1:6">
      <c r="A264" s="272"/>
      <c r="B264" t="s">
        <v>720</v>
      </c>
      <c r="C264">
        <f>C263+19</f>
        <v>43</v>
      </c>
      <c r="D264" s="273"/>
    </row>
    <row r="265" spans="1:6">
      <c r="A265" s="272"/>
      <c r="B265" t="s">
        <v>721</v>
      </c>
      <c r="C265">
        <f>C264+19</f>
        <v>62</v>
      </c>
      <c r="D265" s="273"/>
    </row>
    <row r="266" spans="1:6">
      <c r="A266" s="272"/>
      <c r="B266" t="s">
        <v>2259</v>
      </c>
      <c r="C266">
        <f>C265+19</f>
        <v>81</v>
      </c>
      <c r="D266" s="273"/>
    </row>
    <row r="267" spans="1:6">
      <c r="A267" s="272"/>
      <c r="D267" s="273"/>
    </row>
    <row r="268" spans="1:6">
      <c r="A268" s="272"/>
      <c r="D268" s="273"/>
    </row>
    <row r="269" spans="1:6">
      <c r="A269" s="272"/>
      <c r="D269" s="273"/>
    </row>
    <row r="270" spans="1:6">
      <c r="A270" s="272"/>
      <c r="D270" s="273"/>
    </row>
    <row r="271" spans="1:6">
      <c r="A271" s="272"/>
      <c r="D271" s="273"/>
    </row>
    <row r="272" spans="1:6">
      <c r="A272" s="280"/>
      <c r="B272" s="270"/>
      <c r="C272" s="270"/>
      <c r="D272" s="270"/>
      <c r="E272" s="271"/>
    </row>
    <row r="273" spans="1:5">
      <c r="A273" s="272"/>
      <c r="B273" t="s">
        <v>851</v>
      </c>
      <c r="C273" t="s">
        <v>855</v>
      </c>
      <c r="E273" s="273"/>
    </row>
    <row r="274" spans="1:5">
      <c r="A274" s="272"/>
      <c r="E274" s="273"/>
    </row>
    <row r="275" spans="1:5">
      <c r="A275" s="272"/>
      <c r="B275" t="s">
        <v>850</v>
      </c>
      <c r="E275" s="273"/>
    </row>
    <row r="276" spans="1:5">
      <c r="A276" s="272" t="s">
        <v>853</v>
      </c>
      <c r="B276" t="str">
        <f>interFY_transition!D17</f>
        <v>2026-27</v>
      </c>
      <c r="C276" t="str">
        <f>interFY_transition!E17</f>
        <v>July'26</v>
      </c>
      <c r="D276">
        <f>LEFT(B276,4)*100+RIGHT(B276,2)</f>
        <v>202627</v>
      </c>
      <c r="E276" s="273" t="s">
        <v>915</v>
      </c>
    </row>
    <row r="277" spans="1:5">
      <c r="A277" s="272"/>
      <c r="E277" s="273"/>
    </row>
    <row r="278" spans="1:5">
      <c r="A278" s="272"/>
      <c r="B278" t="str">
        <f>VLOOKUP(interFY_transition!$D$17,interFY_transition!$D$9:$U$12,interFY_transition!J7,"false")</f>
        <v>Apr'26</v>
      </c>
      <c r="E278" s="273"/>
    </row>
    <row r="279" spans="1:5">
      <c r="A279" s="272"/>
      <c r="B279" t="str">
        <f>VLOOKUP(interFY_transition!$D$17,interFY_transition!$D$9:$U$12,interFY_transition!K7,"false")</f>
        <v>May'26</v>
      </c>
      <c r="E279" s="273"/>
    </row>
    <row r="280" spans="1:5">
      <c r="A280" s="272" t="s">
        <v>914</v>
      </c>
      <c r="B280" t="str">
        <f>VLOOKUP(interFY_transition!$D$17,interFY_transition!$D$9:$U$12,interFY_transition!L7,"false")</f>
        <v>June'26</v>
      </c>
      <c r="E280" s="273"/>
    </row>
    <row r="281" spans="1:5">
      <c r="A281" s="272"/>
      <c r="B281" t="str">
        <f>VLOOKUP(interFY_transition!$D$17,interFY_transition!$D$9:$U$12,interFY_transition!M7,"false")</f>
        <v>July'26</v>
      </c>
      <c r="E281" s="273"/>
    </row>
    <row r="282" spans="1:5">
      <c r="A282" s="272"/>
      <c r="B282" t="str">
        <f>VLOOKUP(interFY_transition!$D$17,interFY_transition!$D$9:$U$12,interFY_transition!N7,"false")</f>
        <v>Aug'26</v>
      </c>
      <c r="E282" s="273"/>
    </row>
    <row r="283" spans="1:5">
      <c r="A283" s="272"/>
      <c r="B283" t="str">
        <f>VLOOKUP(interFY_transition!$D$17,interFY_transition!$D$9:$U$12,interFY_transition!O7,"false")</f>
        <v>Sep'26</v>
      </c>
      <c r="E283" s="273"/>
    </row>
    <row r="284" spans="1:5">
      <c r="A284" s="272"/>
      <c r="B284" t="str">
        <f>VLOOKUP(interFY_transition!$D$17,interFY_transition!$D$9:$U$12,interFY_transition!P7,"false")</f>
        <v>Oct'26</v>
      </c>
      <c r="E284" s="273"/>
    </row>
    <row r="285" spans="1:5">
      <c r="A285" s="272"/>
      <c r="B285" t="str">
        <f>VLOOKUP(interFY_transition!$D$17,interFY_transition!$D$9:$U$12,interFY_transition!Q7,"false")</f>
        <v>Nov'26</v>
      </c>
      <c r="E285" s="273"/>
    </row>
    <row r="286" spans="1:5">
      <c r="A286" s="272"/>
      <c r="B286" t="str">
        <f>VLOOKUP(interFY_transition!$D$17,interFY_transition!$D$9:$U$12,interFY_transition!R7,"false")</f>
        <v>Dec'26</v>
      </c>
      <c r="E286" s="273"/>
    </row>
    <row r="287" spans="1:5">
      <c r="A287" s="272"/>
      <c r="B287" t="str">
        <f>VLOOKUP(interFY_transition!$D$17,interFY_transition!$D$9:$U$12,interFY_transition!S7,"false")</f>
        <v>Jan'27</v>
      </c>
      <c r="E287" s="273"/>
    </row>
    <row r="288" spans="1:5">
      <c r="A288" s="272"/>
      <c r="B288" t="str">
        <f>VLOOKUP(interFY_transition!$D$17,interFY_transition!$D$9:$U$12,interFY_transition!T7,"false")</f>
        <v>Feb'27</v>
      </c>
      <c r="E288" s="273"/>
    </row>
    <row r="289" spans="1:16">
      <c r="A289" s="272"/>
      <c r="B289" t="str">
        <f>VLOOKUP(interFY_transition!$D$17,interFY_transition!$D$9:$U$12,interFY_transition!U7,"false")</f>
        <v>Mar'27</v>
      </c>
      <c r="E289" s="273"/>
    </row>
    <row r="290" spans="1:16">
      <c r="A290" s="272"/>
      <c r="B290" t="s">
        <v>306</v>
      </c>
      <c r="E290" s="273"/>
    </row>
    <row r="291" spans="1:16" ht="15.75" thickBot="1">
      <c r="A291" s="272"/>
      <c r="E291" s="273"/>
    </row>
    <row r="292" spans="1:16">
      <c r="A292" s="272"/>
      <c r="F292" s="562" t="s">
        <v>1056</v>
      </c>
      <c r="G292" s="457"/>
      <c r="H292" s="457"/>
      <c r="I292" s="457"/>
      <c r="J292" s="457"/>
      <c r="K292" s="457"/>
      <c r="L292" s="457"/>
      <c r="M292" s="457"/>
      <c r="N292" s="457"/>
      <c r="O292" s="457"/>
      <c r="P292" s="458"/>
    </row>
    <row r="293" spans="1:16">
      <c r="A293" s="272" t="s">
        <v>854</v>
      </c>
      <c r="B293" t="str">
        <f>interFY_transition!D20</f>
        <v>2026-27</v>
      </c>
      <c r="D293">
        <f>LEFT(B293,4)*100+RIGHT(B293,2)</f>
        <v>202627</v>
      </c>
      <c r="E293" t="s">
        <v>915</v>
      </c>
      <c r="F293" s="459"/>
      <c r="G293" t="s">
        <v>864</v>
      </c>
      <c r="H293">
        <f>D276</f>
        <v>202627</v>
      </c>
      <c r="K293" t="s">
        <v>1051</v>
      </c>
      <c r="L293">
        <f>IF(H294&lt;H293,1,0)</f>
        <v>0</v>
      </c>
      <c r="P293" s="460"/>
    </row>
    <row r="294" spans="1:16">
      <c r="A294" s="272"/>
      <c r="F294" s="459"/>
      <c r="G294" t="s">
        <v>862</v>
      </c>
      <c r="H294">
        <f>D293</f>
        <v>202627</v>
      </c>
      <c r="P294" s="460"/>
    </row>
    <row r="295" spans="1:16">
      <c r="A295" s="272"/>
      <c r="B295" t="s">
        <v>856</v>
      </c>
      <c r="D295" t="str">
        <f>IF(D276=D293,C276,IF(D276&lt;D293,C28,C27))</f>
        <v>July'26</v>
      </c>
      <c r="F295" s="459"/>
      <c r="G295" t="s">
        <v>1052</v>
      </c>
      <c r="P295" s="460"/>
    </row>
    <row r="296" spans="1:16">
      <c r="A296" s="272"/>
      <c r="F296" s="459"/>
      <c r="G296" t="s">
        <v>1050</v>
      </c>
      <c r="P296" s="460"/>
    </row>
    <row r="297" spans="1:16" ht="15.75" thickBot="1">
      <c r="A297" s="272"/>
      <c r="F297" s="461"/>
      <c r="G297" s="462"/>
      <c r="H297" s="462"/>
      <c r="I297" s="462"/>
      <c r="J297" s="462"/>
      <c r="K297" s="462"/>
      <c r="L297" s="462"/>
      <c r="M297" s="462"/>
      <c r="N297" s="462"/>
      <c r="O297" s="462"/>
      <c r="P297" s="463"/>
    </row>
    <row r="298" spans="1:16">
      <c r="A298" s="456"/>
      <c r="B298" s="457"/>
      <c r="C298" s="457"/>
      <c r="D298" s="457"/>
      <c r="E298" s="457"/>
      <c r="H298" s="460"/>
    </row>
    <row r="299" spans="1:16">
      <c r="A299" s="459"/>
      <c r="B299" t="s">
        <v>894</v>
      </c>
      <c r="F299" t="s">
        <v>885</v>
      </c>
      <c r="G299" t="s">
        <v>639</v>
      </c>
      <c r="H299" s="460"/>
    </row>
    <row r="300" spans="1:16">
      <c r="A300" s="459"/>
      <c r="D300" s="184" t="s">
        <v>892</v>
      </c>
      <c r="E300" s="184" t="str">
        <f>Comparison_between_ref_points!L4</f>
        <v>Mar'25</v>
      </c>
      <c r="F300" s="184" t="e">
        <f>VLOOKUP(E300,C305:D347,2,FALSE)</f>
        <v>#N/A</v>
      </c>
      <c r="G300" s="184" t="e">
        <f>VLOOKUP(E300,C305:E347,3,FALSE)</f>
        <v>#N/A</v>
      </c>
      <c r="H300" s="460"/>
    </row>
    <row r="301" spans="1:16">
      <c r="A301" s="459"/>
      <c r="D301" s="184" t="s">
        <v>893</v>
      </c>
      <c r="E301" s="184" t="str">
        <f>Comparison_between_ref_points!L5</f>
        <v>Nov'25</v>
      </c>
      <c r="F301" s="184">
        <f>VLOOKUP(E301,C305:D347,2,FALSE)</f>
        <v>12</v>
      </c>
      <c r="G301" s="235" t="str">
        <f>VLOOKUP(E301,C305:E347,3,FALSE)</f>
        <v>Nov'25</v>
      </c>
      <c r="H301" s="460"/>
    </row>
    <row r="302" spans="1:16">
      <c r="A302" s="459"/>
      <c r="H302" s="460"/>
    </row>
    <row r="303" spans="1:16">
      <c r="A303" s="459"/>
      <c r="H303" s="460"/>
    </row>
    <row r="304" spans="1:16">
      <c r="A304" s="459"/>
      <c r="D304" t="s">
        <v>885</v>
      </c>
      <c r="E304" t="s">
        <v>886</v>
      </c>
      <c r="H304" s="460"/>
    </row>
    <row r="305" spans="1:8">
      <c r="A305" s="459"/>
      <c r="C305" t="str">
        <f>interFY_transition!D61</f>
        <v>Apr'25</v>
      </c>
      <c r="D305">
        <v>2</v>
      </c>
      <c r="E305" t="str">
        <f>C305</f>
        <v>Apr'25</v>
      </c>
      <c r="H305" s="460"/>
    </row>
    <row r="306" spans="1:8">
      <c r="A306" s="459"/>
      <c r="C306" t="str">
        <f>interFY_transition!D62</f>
        <v>May'25</v>
      </c>
      <c r="D306">
        <v>3</v>
      </c>
      <c r="E306" t="str">
        <f t="shared" ref="E306:E346" si="0">C306</f>
        <v>May'25</v>
      </c>
      <c r="H306" s="460"/>
    </row>
    <row r="307" spans="1:8">
      <c r="A307" s="459"/>
      <c r="C307" t="str">
        <f>interFY_transition!D63</f>
        <v>June'25</v>
      </c>
      <c r="D307">
        <v>4</v>
      </c>
      <c r="E307" t="str">
        <f t="shared" si="0"/>
        <v>June'25</v>
      </c>
      <c r="H307" s="460"/>
    </row>
    <row r="308" spans="1:8">
      <c r="A308" s="459"/>
      <c r="C308" t="str">
        <f>interFY_transition!D73</f>
        <v>Q1 25-26</v>
      </c>
      <c r="D308">
        <v>5</v>
      </c>
      <c r="E308" t="str">
        <f t="shared" si="0"/>
        <v>Q1 25-26</v>
      </c>
      <c r="H308" s="460"/>
    </row>
    <row r="309" spans="1:8">
      <c r="A309" s="459"/>
      <c r="C309" t="str">
        <f>interFY_transition!D64</f>
        <v>July'25</v>
      </c>
      <c r="D309">
        <v>6</v>
      </c>
      <c r="E309" t="str">
        <f t="shared" si="0"/>
        <v>July'25</v>
      </c>
      <c r="H309" s="460"/>
    </row>
    <row r="310" spans="1:8">
      <c r="A310" s="459"/>
      <c r="C310" t="str">
        <f>interFY_transition!D65</f>
        <v>Aug'25</v>
      </c>
      <c r="D310">
        <v>7</v>
      </c>
      <c r="E310" t="str">
        <f t="shared" si="0"/>
        <v>Aug'25</v>
      </c>
      <c r="H310" s="460"/>
    </row>
    <row r="311" spans="1:8">
      <c r="A311" s="459"/>
      <c r="C311" t="str">
        <f>interFY_transition!D66</f>
        <v>Sep'25</v>
      </c>
      <c r="D311">
        <v>8</v>
      </c>
      <c r="E311" t="str">
        <f t="shared" si="0"/>
        <v>Sep'25</v>
      </c>
      <c r="H311" s="460"/>
    </row>
    <row r="312" spans="1:8">
      <c r="A312" s="459"/>
      <c r="C312" t="str">
        <f>interFY_transition!D74</f>
        <v>Q2 25-26</v>
      </c>
      <c r="D312">
        <v>9</v>
      </c>
      <c r="E312" t="str">
        <f t="shared" si="0"/>
        <v>Q2 25-26</v>
      </c>
      <c r="H312" s="460"/>
    </row>
    <row r="313" spans="1:8">
      <c r="A313" s="459"/>
      <c r="C313" t="str">
        <f>interFY_transition!D77</f>
        <v>H1 25-26</v>
      </c>
      <c r="D313">
        <v>10</v>
      </c>
      <c r="E313" t="str">
        <f t="shared" si="0"/>
        <v>H1 25-26</v>
      </c>
      <c r="H313" s="460"/>
    </row>
    <row r="314" spans="1:8">
      <c r="A314" s="459"/>
      <c r="C314" t="str">
        <f>interFY_transition!D67</f>
        <v>Oct'25</v>
      </c>
      <c r="D314">
        <v>11</v>
      </c>
      <c r="E314" t="str">
        <f t="shared" si="0"/>
        <v>Oct'25</v>
      </c>
      <c r="H314" s="460"/>
    </row>
    <row r="315" spans="1:8">
      <c r="A315" s="459"/>
      <c r="C315" t="str">
        <f>interFY_transition!D68</f>
        <v>Nov'25</v>
      </c>
      <c r="D315">
        <v>12</v>
      </c>
      <c r="E315" t="str">
        <f t="shared" si="0"/>
        <v>Nov'25</v>
      </c>
      <c r="H315" s="460"/>
    </row>
    <row r="316" spans="1:8">
      <c r="A316" s="459"/>
      <c r="C316" t="str">
        <f>interFY_transition!D69</f>
        <v>Dec'25</v>
      </c>
      <c r="D316">
        <v>13</v>
      </c>
      <c r="E316" t="str">
        <f t="shared" si="0"/>
        <v>Dec'25</v>
      </c>
      <c r="H316" s="460"/>
    </row>
    <row r="317" spans="1:8">
      <c r="A317" s="459"/>
      <c r="C317" t="str">
        <f>interFY_transition!D75</f>
        <v>Q3 25-26</v>
      </c>
      <c r="D317">
        <v>14</v>
      </c>
      <c r="E317" t="str">
        <f t="shared" si="0"/>
        <v>Q3 25-26</v>
      </c>
      <c r="H317" s="460"/>
    </row>
    <row r="318" spans="1:8">
      <c r="A318" s="459"/>
      <c r="C318" t="str">
        <f>interFY_transition!D79</f>
        <v>9M 25-26</v>
      </c>
      <c r="D318">
        <v>15</v>
      </c>
      <c r="E318" t="str">
        <f t="shared" si="0"/>
        <v>9M 25-26</v>
      </c>
      <c r="H318" s="460"/>
    </row>
    <row r="319" spans="1:8">
      <c r="A319" s="459"/>
      <c r="C319" t="str">
        <f>interFY_transition!D70</f>
        <v>Jan'26</v>
      </c>
      <c r="D319">
        <v>16</v>
      </c>
      <c r="E319" t="str">
        <f t="shared" si="0"/>
        <v>Jan'26</v>
      </c>
      <c r="H319" s="460"/>
    </row>
    <row r="320" spans="1:8">
      <c r="A320" s="459"/>
      <c r="C320" t="str">
        <f>interFY_transition!D71</f>
        <v>Feb'26</v>
      </c>
      <c r="D320">
        <v>17</v>
      </c>
      <c r="E320" t="str">
        <f t="shared" si="0"/>
        <v>Feb'26</v>
      </c>
      <c r="H320" s="460"/>
    </row>
    <row r="321" spans="1:8">
      <c r="A321" s="459"/>
      <c r="C321" t="str">
        <f>interFY_transition!D72</f>
        <v>Mar'26</v>
      </c>
      <c r="D321">
        <v>18</v>
      </c>
      <c r="E321" t="str">
        <f t="shared" si="0"/>
        <v>Mar'26</v>
      </c>
      <c r="H321" s="460"/>
    </row>
    <row r="322" spans="1:8">
      <c r="A322" s="459"/>
      <c r="C322" t="str">
        <f>interFY_transition!D76</f>
        <v>Q4 25-26</v>
      </c>
      <c r="D322">
        <v>19</v>
      </c>
      <c r="E322" t="str">
        <f t="shared" si="0"/>
        <v>Q4 25-26</v>
      </c>
      <c r="H322" s="460"/>
    </row>
    <row r="323" spans="1:8">
      <c r="A323" s="459"/>
      <c r="C323" t="str">
        <f>interFY_transition!D23</f>
        <v>2025-26</v>
      </c>
      <c r="D323">
        <v>20</v>
      </c>
      <c r="E323" t="str">
        <f t="shared" si="0"/>
        <v>2025-26</v>
      </c>
      <c r="H323" s="460"/>
    </row>
    <row r="324" spans="1:8">
      <c r="A324" s="459"/>
      <c r="C324" t="str">
        <f>interFY_transition!D26</f>
        <v>Apr'26</v>
      </c>
      <c r="D324">
        <v>21</v>
      </c>
      <c r="E324" t="str">
        <f t="shared" si="0"/>
        <v>Apr'26</v>
      </c>
      <c r="H324" s="460"/>
    </row>
    <row r="325" spans="1:8">
      <c r="A325" s="459"/>
      <c r="C325" t="str">
        <f>interFY_transition!D27</f>
        <v>May'26</v>
      </c>
      <c r="D325">
        <v>22</v>
      </c>
      <c r="E325" t="str">
        <f t="shared" si="0"/>
        <v>May'26</v>
      </c>
      <c r="H325" s="460"/>
    </row>
    <row r="326" spans="1:8">
      <c r="A326" s="459"/>
      <c r="C326" t="str">
        <f>interFY_transition!D28</f>
        <v>June'26</v>
      </c>
      <c r="D326">
        <v>23</v>
      </c>
      <c r="E326" t="str">
        <f t="shared" si="0"/>
        <v>June'26</v>
      </c>
      <c r="H326" s="460"/>
    </row>
    <row r="327" spans="1:8">
      <c r="A327" s="459"/>
      <c r="C327" t="str">
        <f>interFY_transition!D29</f>
        <v>July'26</v>
      </c>
      <c r="D327">
        <v>24</v>
      </c>
      <c r="E327" t="str">
        <f t="shared" si="0"/>
        <v>July'26</v>
      </c>
      <c r="H327" s="460"/>
    </row>
    <row r="328" spans="1:8">
      <c r="A328" s="459"/>
      <c r="C328" t="str">
        <f>interFY_transition!D30</f>
        <v>Aug'26</v>
      </c>
      <c r="D328">
        <v>25</v>
      </c>
      <c r="E328" t="str">
        <f t="shared" si="0"/>
        <v>Aug'26</v>
      </c>
      <c r="H328" s="460"/>
    </row>
    <row r="329" spans="1:8">
      <c r="A329" s="459"/>
      <c r="C329" t="str">
        <f>interFY_transition!D31</f>
        <v>Sep'26</v>
      </c>
      <c r="D329">
        <v>26</v>
      </c>
      <c r="E329" t="str">
        <f t="shared" si="0"/>
        <v>Sep'26</v>
      </c>
      <c r="H329" s="460"/>
    </row>
    <row r="330" spans="1:8">
      <c r="A330" s="459"/>
      <c r="C330" t="str">
        <f>interFY_transition!D32</f>
        <v>Oct'26</v>
      </c>
      <c r="D330">
        <v>27</v>
      </c>
      <c r="E330" t="str">
        <f t="shared" si="0"/>
        <v>Oct'26</v>
      </c>
      <c r="H330" s="460"/>
    </row>
    <row r="331" spans="1:8">
      <c r="A331" s="459"/>
      <c r="C331" t="str">
        <f>interFY_transition!D33</f>
        <v>Nov'26</v>
      </c>
      <c r="D331">
        <v>28</v>
      </c>
      <c r="E331" t="str">
        <f t="shared" si="0"/>
        <v>Nov'26</v>
      </c>
      <c r="H331" s="460"/>
    </row>
    <row r="332" spans="1:8">
      <c r="A332" s="459"/>
      <c r="C332" t="str">
        <f>interFY_transition!D34</f>
        <v>Dec'26</v>
      </c>
      <c r="D332">
        <v>29</v>
      </c>
      <c r="E332" t="str">
        <f t="shared" si="0"/>
        <v>Dec'26</v>
      </c>
      <c r="H332" s="460"/>
    </row>
    <row r="333" spans="1:8">
      <c r="A333" s="459"/>
      <c r="C333" t="str">
        <f>interFY_transition!D35</f>
        <v>Jan'27</v>
      </c>
      <c r="D333">
        <v>30</v>
      </c>
      <c r="E333" t="str">
        <f t="shared" si="0"/>
        <v>Jan'27</v>
      </c>
      <c r="H333" s="460"/>
    </row>
    <row r="334" spans="1:8">
      <c r="A334" s="459"/>
      <c r="C334" t="str">
        <f>interFY_transition!D36</f>
        <v>Feb'27</v>
      </c>
      <c r="D334">
        <v>31</v>
      </c>
      <c r="E334" t="str">
        <f t="shared" si="0"/>
        <v>Feb'27</v>
      </c>
      <c r="H334" s="460"/>
    </row>
    <row r="335" spans="1:8">
      <c r="A335" s="459"/>
      <c r="C335" t="str">
        <f>interFY_transition!D37</f>
        <v>Mar'27</v>
      </c>
      <c r="D335">
        <v>32</v>
      </c>
      <c r="E335" t="str">
        <f t="shared" si="0"/>
        <v>Mar'27</v>
      </c>
      <c r="H335" s="460"/>
    </row>
    <row r="336" spans="1:8">
      <c r="A336" s="459"/>
      <c r="C336" t="str">
        <f>interFY_transition!D38</f>
        <v>Q1 26-27</v>
      </c>
      <c r="D336">
        <v>33</v>
      </c>
      <c r="E336" t="str">
        <f t="shared" si="0"/>
        <v>Q1 26-27</v>
      </c>
      <c r="H336" s="460"/>
    </row>
    <row r="337" spans="1:9">
      <c r="A337" s="459"/>
      <c r="C337" t="str">
        <f>interFY_transition!D39</f>
        <v>Q2 26-27</v>
      </c>
      <c r="D337">
        <v>34</v>
      </c>
      <c r="E337" t="str">
        <f t="shared" si="0"/>
        <v>Q2 26-27</v>
      </c>
      <c r="H337" s="460"/>
    </row>
    <row r="338" spans="1:9">
      <c r="A338" s="459"/>
      <c r="C338" t="str">
        <f>interFY_transition!D40</f>
        <v>Q3 26-27</v>
      </c>
      <c r="D338">
        <v>35</v>
      </c>
      <c r="E338" t="str">
        <f t="shared" si="0"/>
        <v>Q3 26-27</v>
      </c>
      <c r="H338" s="460"/>
    </row>
    <row r="339" spans="1:9">
      <c r="A339" s="459"/>
      <c r="C339" t="str">
        <f>interFY_transition!D41</f>
        <v>Q4 26-27</v>
      </c>
      <c r="D339">
        <v>36</v>
      </c>
      <c r="E339" t="str">
        <f t="shared" si="0"/>
        <v>Q4 26-27</v>
      </c>
      <c r="H339" s="460"/>
    </row>
    <row r="340" spans="1:9">
      <c r="A340" s="459"/>
      <c r="C340" t="str">
        <f>interFY_transition!D42</f>
        <v>H1 26-27</v>
      </c>
      <c r="D340">
        <v>37</v>
      </c>
      <c r="E340" t="str">
        <f t="shared" si="0"/>
        <v>H1 26-27</v>
      </c>
      <c r="H340" s="460"/>
    </row>
    <row r="341" spans="1:9">
      <c r="A341" s="459"/>
      <c r="C341" t="str">
        <f>interFY_transition!D43</f>
        <v>H2 26-27</v>
      </c>
      <c r="D341">
        <v>38</v>
      </c>
      <c r="E341" t="str">
        <f t="shared" si="0"/>
        <v>H2 26-27</v>
      </c>
      <c r="H341" s="460"/>
    </row>
    <row r="342" spans="1:9">
      <c r="A342" s="459"/>
      <c r="C342" t="str">
        <f>interFY_transition!D44</f>
        <v>9M 26-27</v>
      </c>
      <c r="D342">
        <v>39</v>
      </c>
      <c r="E342" t="str">
        <f t="shared" si="0"/>
        <v>9M 26-27</v>
      </c>
      <c r="H342" s="460"/>
    </row>
    <row r="343" spans="1:9">
      <c r="A343" s="459"/>
      <c r="C343" t="str">
        <f>interFY_transition!D20</f>
        <v>2026-27</v>
      </c>
      <c r="D343">
        <v>40</v>
      </c>
      <c r="E343" t="str">
        <f t="shared" si="0"/>
        <v>2026-27</v>
      </c>
      <c r="H343" s="460"/>
    </row>
    <row r="344" spans="1:9">
      <c r="A344" s="459"/>
      <c r="C344" t="s">
        <v>448</v>
      </c>
      <c r="D344">
        <v>41</v>
      </c>
      <c r="E344" s="246">
        <f>Dashboard!D3</f>
        <v>46265</v>
      </c>
      <c r="H344" s="460"/>
    </row>
    <row r="345" spans="1:9">
      <c r="A345" s="459"/>
      <c r="C345" t="s">
        <v>637</v>
      </c>
      <c r="D345">
        <v>42</v>
      </c>
      <c r="E345" s="246">
        <f>Comparison_between_ref_points!P4</f>
        <v>44902</v>
      </c>
      <c r="H345" s="460"/>
    </row>
    <row r="346" spans="1:9">
      <c r="A346" s="459"/>
      <c r="C346" t="s">
        <v>615</v>
      </c>
      <c r="D346">
        <v>43</v>
      </c>
      <c r="E346" t="str">
        <f t="shared" si="0"/>
        <v>Standardised rates</v>
      </c>
      <c r="H346" s="460"/>
    </row>
    <row r="347" spans="1:9">
      <c r="A347" s="459"/>
      <c r="C347" t="s">
        <v>638</v>
      </c>
      <c r="D347">
        <v>44</v>
      </c>
      <c r="E347" s="246">
        <f>Comparison_between_ref_points!P5</f>
        <v>44896</v>
      </c>
      <c r="H347" s="460"/>
    </row>
    <row r="348" spans="1:9" ht="15.75" thickBot="1">
      <c r="A348" s="459"/>
      <c r="H348" s="460"/>
    </row>
    <row r="349" spans="1:9">
      <c r="A349" s="456"/>
      <c r="B349" s="457"/>
      <c r="C349" s="457"/>
      <c r="D349" s="458"/>
      <c r="E349" s="456"/>
      <c r="F349" s="457"/>
      <c r="G349" s="457"/>
      <c r="H349" s="457"/>
      <c r="I349" s="458"/>
    </row>
    <row r="350" spans="1:9">
      <c r="A350" s="459"/>
      <c r="B350" t="s">
        <v>921</v>
      </c>
      <c r="D350" s="460"/>
      <c r="E350" s="459"/>
      <c r="I350" s="460"/>
    </row>
    <row r="351" spans="1:9">
      <c r="A351" s="459"/>
      <c r="D351" s="460"/>
      <c r="E351" s="459"/>
      <c r="F351" t="s">
        <v>922</v>
      </c>
      <c r="I351" s="460"/>
    </row>
    <row r="352" spans="1:9">
      <c r="A352" s="459"/>
      <c r="D352" s="460"/>
      <c r="E352" s="459"/>
      <c r="I352" s="460"/>
    </row>
    <row r="353" spans="1:9">
      <c r="A353" s="459"/>
      <c r="D353" s="460"/>
      <c r="E353" s="459"/>
      <c r="F353" t="s">
        <v>804</v>
      </c>
      <c r="G353" s="246">
        <f>Dashboard!D3</f>
        <v>46265</v>
      </c>
      <c r="I353" s="460"/>
    </row>
    <row r="354" spans="1:9">
      <c r="A354" s="459"/>
      <c r="D354" s="460"/>
      <c r="E354" s="459"/>
      <c r="F354" t="s">
        <v>916</v>
      </c>
      <c r="G354">
        <f>MONTH(G353)</f>
        <v>8</v>
      </c>
      <c r="I354" s="460"/>
    </row>
    <row r="355" spans="1:9">
      <c r="A355" s="459"/>
      <c r="B355" t="s">
        <v>804</v>
      </c>
      <c r="C355" s="540">
        <f>Dashboard!D3</f>
        <v>46265</v>
      </c>
      <c r="D355" s="460"/>
      <c r="E355" s="459"/>
      <c r="F355" t="s">
        <v>789</v>
      </c>
      <c r="G355">
        <f>YEAR(G353)</f>
        <v>2026</v>
      </c>
      <c r="I355" s="460"/>
    </row>
    <row r="356" spans="1:9">
      <c r="A356" s="459"/>
      <c r="B356" t="s">
        <v>917</v>
      </c>
      <c r="C356" s="540">
        <f>C355+1</f>
        <v>46266</v>
      </c>
      <c r="D356" s="460"/>
      <c r="E356" s="459"/>
      <c r="F356" t="s">
        <v>923</v>
      </c>
      <c r="G356">
        <f>IF(G354&lt;4,G355-1,G355)</f>
        <v>2026</v>
      </c>
      <c r="I356" s="460"/>
    </row>
    <row r="357" spans="1:9">
      <c r="A357" s="459"/>
      <c r="B357" t="s">
        <v>918</v>
      </c>
      <c r="C357">
        <f>MONTH(C356)</f>
        <v>9</v>
      </c>
      <c r="D357" s="460"/>
      <c r="E357" s="459"/>
      <c r="F357" t="s">
        <v>924</v>
      </c>
      <c r="G357">
        <f>G356+1</f>
        <v>2027</v>
      </c>
      <c r="H357">
        <f>G357-2000</f>
        <v>27</v>
      </c>
      <c r="I357" s="460"/>
    </row>
    <row r="358" spans="1:9">
      <c r="A358" s="459"/>
      <c r="B358" t="s">
        <v>919</v>
      </c>
      <c r="C358" s="247">
        <f>YEAR(C356)</f>
        <v>2026</v>
      </c>
      <c r="D358" s="460"/>
      <c r="E358" s="459"/>
      <c r="H358" t="s">
        <v>56</v>
      </c>
      <c r="I358" s="460"/>
    </row>
    <row r="359" spans="1:9">
      <c r="A359" s="459"/>
      <c r="B359" t="s">
        <v>920</v>
      </c>
      <c r="C359" s="247" t="str">
        <f>VLOOKUP(C357,B361:C372,2,FALSE)</f>
        <v>September</v>
      </c>
      <c r="D359" s="460"/>
      <c r="E359" s="459"/>
      <c r="F359" t="s">
        <v>925</v>
      </c>
      <c r="G359" s="247" t="str">
        <f>CONCATENATE(G356,H358,H357)</f>
        <v>2026-27</v>
      </c>
      <c r="I359" s="460"/>
    </row>
    <row r="360" spans="1:9">
      <c r="A360" s="459"/>
      <c r="D360" s="460"/>
      <c r="E360" s="459"/>
      <c r="I360" s="460"/>
    </row>
    <row r="361" spans="1:9">
      <c r="A361" s="459"/>
      <c r="B361">
        <v>1</v>
      </c>
      <c r="C361" t="s">
        <v>79</v>
      </c>
      <c r="D361" s="460"/>
      <c r="E361" s="459"/>
      <c r="I361" s="460"/>
    </row>
    <row r="362" spans="1:9">
      <c r="A362" s="459"/>
      <c r="B362">
        <v>2</v>
      </c>
      <c r="C362" t="s">
        <v>80</v>
      </c>
      <c r="D362" s="460"/>
      <c r="E362" s="459"/>
      <c r="I362" s="460"/>
    </row>
    <row r="363" spans="1:9">
      <c r="A363" s="459"/>
      <c r="B363">
        <v>3</v>
      </c>
      <c r="C363" t="s">
        <v>81</v>
      </c>
      <c r="D363" s="460"/>
      <c r="E363" s="459"/>
      <c r="I363" s="460"/>
    </row>
    <row r="364" spans="1:9" ht="15.75" thickBot="1">
      <c r="A364" s="459"/>
      <c r="B364">
        <v>4</v>
      </c>
      <c r="C364" t="s">
        <v>30</v>
      </c>
      <c r="D364" s="460"/>
      <c r="E364" s="461"/>
      <c r="F364" s="462"/>
      <c r="G364" s="462"/>
      <c r="H364" s="462"/>
      <c r="I364" s="463"/>
    </row>
    <row r="365" spans="1:9">
      <c r="A365" s="459"/>
      <c r="B365">
        <v>5</v>
      </c>
      <c r="C365" t="s">
        <v>71</v>
      </c>
      <c r="D365" s="460"/>
    </row>
    <row r="366" spans="1:9">
      <c r="A366" s="459"/>
      <c r="B366">
        <v>6</v>
      </c>
      <c r="C366" t="s">
        <v>72</v>
      </c>
      <c r="D366" s="460"/>
    </row>
    <row r="367" spans="1:9">
      <c r="A367" s="459"/>
      <c r="B367">
        <v>7</v>
      </c>
      <c r="C367" t="s">
        <v>73</v>
      </c>
      <c r="D367" s="460"/>
    </row>
    <row r="368" spans="1:9">
      <c r="A368" s="459"/>
      <c r="B368">
        <v>8</v>
      </c>
      <c r="C368" t="s">
        <v>74</v>
      </c>
      <c r="D368" s="460"/>
    </row>
    <row r="369" spans="1:5">
      <c r="A369" s="459"/>
      <c r="B369">
        <v>9</v>
      </c>
      <c r="C369" t="s">
        <v>75</v>
      </c>
      <c r="D369" s="460"/>
    </row>
    <row r="370" spans="1:5">
      <c r="A370" s="459"/>
      <c r="B370">
        <v>10</v>
      </c>
      <c r="C370" t="s">
        <v>76</v>
      </c>
      <c r="D370" s="460"/>
    </row>
    <row r="371" spans="1:5">
      <c r="A371" s="459"/>
      <c r="B371">
        <v>11</v>
      </c>
      <c r="C371" t="s">
        <v>77</v>
      </c>
      <c r="D371" s="460"/>
    </row>
    <row r="372" spans="1:5">
      <c r="A372" s="459"/>
      <c r="B372">
        <v>12</v>
      </c>
      <c r="C372" t="s">
        <v>78</v>
      </c>
      <c r="D372" s="460"/>
    </row>
    <row r="373" spans="1:5">
      <c r="A373" s="459"/>
      <c r="D373" s="460"/>
    </row>
    <row r="374" spans="1:5" ht="15.75" thickBot="1">
      <c r="A374" s="459"/>
      <c r="D374" s="460"/>
    </row>
    <row r="375" spans="1:5">
      <c r="A375" s="456" t="s">
        <v>1447</v>
      </c>
      <c r="B375" s="457"/>
      <c r="C375" s="457"/>
      <c r="D375" s="457"/>
      <c r="E375" s="458"/>
    </row>
    <row r="376" spans="1:5">
      <c r="A376" s="459"/>
      <c r="E376" s="460"/>
    </row>
    <row r="377" spans="1:5">
      <c r="A377" s="459"/>
      <c r="B377" t="str">
        <f>Graphs_full!I1</f>
        <v>2026-27</v>
      </c>
      <c r="C377" t="s">
        <v>862</v>
      </c>
      <c r="E377" s="460"/>
    </row>
    <row r="378" spans="1:5">
      <c r="A378" s="459"/>
      <c r="E378" s="460"/>
    </row>
    <row r="379" spans="1:5">
      <c r="A379" s="459"/>
      <c r="B379" t="s">
        <v>719</v>
      </c>
      <c r="E379" s="460"/>
    </row>
    <row r="380" spans="1:5">
      <c r="A380" s="459"/>
      <c r="E380" s="460"/>
    </row>
    <row r="381" spans="1:5">
      <c r="A381" s="459"/>
      <c r="B381" s="480" t="s">
        <v>1448</v>
      </c>
      <c r="C381" t="s">
        <v>1449</v>
      </c>
      <c r="E381" s="460"/>
    </row>
    <row r="382" spans="1:5">
      <c r="A382" s="459"/>
      <c r="E382" s="460"/>
    </row>
    <row r="383" spans="1:5">
      <c r="A383" s="459"/>
      <c r="B383" s="480" t="str">
        <f>IF(B379=B377,B381,"")</f>
        <v/>
      </c>
      <c r="E383" s="460"/>
    </row>
    <row r="384" spans="1:5">
      <c r="A384" s="459"/>
      <c r="E384" s="460"/>
    </row>
    <row r="385" spans="1:6">
      <c r="A385" s="351"/>
      <c r="B385" s="352"/>
      <c r="C385" s="352"/>
      <c r="D385" s="352"/>
      <c r="E385" s="352"/>
      <c r="F385" s="353"/>
    </row>
    <row r="386" spans="1:6">
      <c r="A386" s="272"/>
      <c r="B386" t="s">
        <v>1251</v>
      </c>
      <c r="C386" t="str">
        <f>'2FY'!X4</f>
        <v>OVL TOTAL</v>
      </c>
      <c r="D386" t="str">
        <f>'2FY'!X10</f>
        <v>Oil</v>
      </c>
      <c r="E386">
        <f>IF(D386="Oil",2,IF(D386="Gas",3,"-"))</f>
        <v>2</v>
      </c>
      <c r="F386" s="273" t="str">
        <f>VLOOKUP(C386,B388:D402,E386,FALSE)</f>
        <v>R</v>
      </c>
    </row>
    <row r="387" spans="1:6">
      <c r="A387" s="272"/>
      <c r="E387" t="str">
        <f>IF(D386="Oil","JV BOPD",IF(D386="Gas","JV MMSCMD","-"))</f>
        <v>JV BOPD</v>
      </c>
      <c r="F387" s="273"/>
    </row>
    <row r="388" spans="1:6" ht="18.75">
      <c r="A388" s="272"/>
      <c r="B388" s="606" t="s">
        <v>60</v>
      </c>
      <c r="C388" t="s">
        <v>1257</v>
      </c>
      <c r="D388" t="s">
        <v>1273</v>
      </c>
      <c r="F388" s="273"/>
    </row>
    <row r="389" spans="1:6" ht="18.75">
      <c r="A389" s="272"/>
      <c r="B389" s="606" t="s">
        <v>61</v>
      </c>
      <c r="C389" t="s">
        <v>1258</v>
      </c>
      <c r="D389" t="s">
        <v>1274</v>
      </c>
      <c r="F389" s="273"/>
    </row>
    <row r="390" spans="1:6" ht="18.75">
      <c r="A390" s="272"/>
      <c r="B390" s="606" t="s">
        <v>62</v>
      </c>
      <c r="C390" t="s">
        <v>1256</v>
      </c>
      <c r="D390" t="s">
        <v>1272</v>
      </c>
      <c r="F390" s="273"/>
    </row>
    <row r="391" spans="1:6" ht="18.75">
      <c r="A391" s="272"/>
      <c r="B391" s="606" t="s">
        <v>57</v>
      </c>
      <c r="C391" t="s">
        <v>1252</v>
      </c>
      <c r="D391" t="s">
        <v>1268</v>
      </c>
      <c r="F391" s="273"/>
    </row>
    <row r="392" spans="1:6" ht="18.75">
      <c r="A392" s="272"/>
      <c r="B392" s="606" t="s">
        <v>58</v>
      </c>
      <c r="C392" t="s">
        <v>1253</v>
      </c>
      <c r="D392" t="s">
        <v>1270</v>
      </c>
      <c r="F392" s="273"/>
    </row>
    <row r="393" spans="1:6" ht="18.75">
      <c r="A393" s="272"/>
      <c r="B393" s="606" t="s">
        <v>59</v>
      </c>
      <c r="C393" t="s">
        <v>1255</v>
      </c>
      <c r="D393" t="s">
        <v>1269</v>
      </c>
      <c r="F393" s="273"/>
    </row>
    <row r="394" spans="1:6" ht="18.75">
      <c r="A394" s="272"/>
      <c r="B394" s="606" t="s">
        <v>63</v>
      </c>
      <c r="C394" t="s">
        <v>1254</v>
      </c>
      <c r="D394" t="s">
        <v>1271</v>
      </c>
      <c r="F394" s="273"/>
    </row>
    <row r="395" spans="1:6" ht="18.75">
      <c r="A395" s="272"/>
      <c r="B395" s="606" t="s">
        <v>64</v>
      </c>
      <c r="C395" t="s">
        <v>1262</v>
      </c>
      <c r="D395" t="s">
        <v>1278</v>
      </c>
      <c r="F395" s="273"/>
    </row>
    <row r="396" spans="1:6" ht="18.75">
      <c r="A396" s="272"/>
      <c r="B396" s="606" t="s">
        <v>65</v>
      </c>
      <c r="C396" t="s">
        <v>1263</v>
      </c>
      <c r="D396" t="s">
        <v>1279</v>
      </c>
      <c r="F396" s="273"/>
    </row>
    <row r="397" spans="1:6" ht="18.75">
      <c r="A397" s="272"/>
      <c r="B397" s="606" t="s">
        <v>66</v>
      </c>
      <c r="C397" t="s">
        <v>1261</v>
      </c>
      <c r="D397" t="s">
        <v>1277</v>
      </c>
      <c r="F397" s="273"/>
    </row>
    <row r="398" spans="1:6" ht="18.75">
      <c r="A398" s="272"/>
      <c r="B398" s="606" t="s">
        <v>67</v>
      </c>
      <c r="C398" t="s">
        <v>1259</v>
      </c>
      <c r="D398" t="s">
        <v>1275</v>
      </c>
      <c r="F398" s="273"/>
    </row>
    <row r="399" spans="1:6" ht="18.75">
      <c r="A399" s="272"/>
      <c r="B399" s="606" t="s">
        <v>68</v>
      </c>
      <c r="C399" t="s">
        <v>1260</v>
      </c>
      <c r="D399" t="s">
        <v>1276</v>
      </c>
      <c r="F399" s="273"/>
    </row>
    <row r="400" spans="1:6" ht="18.75">
      <c r="A400" s="272"/>
      <c r="B400" s="606" t="s">
        <v>69</v>
      </c>
      <c r="C400" t="s">
        <v>1264</v>
      </c>
      <c r="D400" t="s">
        <v>1280</v>
      </c>
      <c r="F400" s="273"/>
    </row>
    <row r="401" spans="1:8" ht="18.75">
      <c r="A401" s="272"/>
      <c r="B401" s="606" t="s">
        <v>70</v>
      </c>
      <c r="C401" t="s">
        <v>1265</v>
      </c>
      <c r="D401" t="s">
        <v>1281</v>
      </c>
      <c r="F401" s="273"/>
    </row>
    <row r="402" spans="1:8" ht="18.75">
      <c r="A402" s="272"/>
      <c r="B402" s="609" t="s">
        <v>1266</v>
      </c>
      <c r="C402" t="s">
        <v>1267</v>
      </c>
      <c r="D402" t="s">
        <v>1282</v>
      </c>
      <c r="F402" s="273"/>
    </row>
    <row r="403" spans="1:8">
      <c r="A403" s="272"/>
      <c r="F403" s="273"/>
    </row>
    <row r="404" spans="1:8">
      <c r="A404" s="281"/>
      <c r="B404" s="282"/>
      <c r="C404" s="282"/>
      <c r="D404" s="282"/>
      <c r="E404" s="282"/>
      <c r="F404" s="283"/>
    </row>
    <row r="406" spans="1:8">
      <c r="B406" t="s">
        <v>1429</v>
      </c>
      <c r="D406" t="str">
        <f>IF(D408=1,G408,G409)</f>
        <v>(rounded)</v>
      </c>
      <c r="E406" t="str">
        <f>IF(D408=1,A408,A409)</f>
        <v>Rounded Off</v>
      </c>
    </row>
    <row r="408" spans="1:8">
      <c r="A408" t="s">
        <v>1438</v>
      </c>
      <c r="B408" t="s">
        <v>1430</v>
      </c>
      <c r="D408" s="650">
        <v>0</v>
      </c>
      <c r="E408" s="480" t="str">
        <f>Storage_Reconciled_prod!A4</f>
        <v>July'26</v>
      </c>
      <c r="G408" t="s">
        <v>1436</v>
      </c>
    </row>
    <row r="409" spans="1:8" ht="18.75">
      <c r="A409" t="s">
        <v>1437</v>
      </c>
      <c r="B409" t="s">
        <v>1431</v>
      </c>
      <c r="D409" s="650">
        <f>1-D408</f>
        <v>1</v>
      </c>
      <c r="E409" s="480" t="str">
        <f>Storage_rounded_off_prod!M20</f>
        <v>July'26</v>
      </c>
      <c r="F409" s="652">
        <f>IF(E408=E409,1,0)</f>
        <v>1</v>
      </c>
      <c r="G409" t="s">
        <v>1435</v>
      </c>
      <c r="H409" t="s">
        <v>1439</v>
      </c>
    </row>
    <row r="411" spans="1:8" ht="15.75" thickBot="1"/>
    <row r="412" spans="1:8">
      <c r="A412" s="456"/>
      <c r="B412" s="457"/>
      <c r="C412" s="457"/>
      <c r="D412" s="458"/>
    </row>
    <row r="413" spans="1:8">
      <c r="A413" s="459" t="s">
        <v>1434</v>
      </c>
      <c r="D413" s="460"/>
    </row>
    <row r="414" spans="1:8">
      <c r="A414" s="459"/>
      <c r="D414" s="460"/>
    </row>
    <row r="415" spans="1:8">
      <c r="A415" s="459"/>
      <c r="C415" t="str">
        <f>Storage_rounded_off_prod!L20</f>
        <v>2026-27</v>
      </c>
      <c r="D415" s="460"/>
    </row>
    <row r="416" spans="1:8">
      <c r="A416" s="459"/>
      <c r="B416" t="s">
        <v>719</v>
      </c>
      <c r="D416" s="460"/>
    </row>
    <row r="417" spans="1:4">
      <c r="A417" s="459"/>
      <c r="B417" t="s">
        <v>720</v>
      </c>
      <c r="D417" s="460"/>
    </row>
    <row r="418" spans="1:4">
      <c r="A418" s="459"/>
      <c r="B418" t="s">
        <v>721</v>
      </c>
      <c r="D418" s="460"/>
    </row>
    <row r="419" spans="1:4">
      <c r="A419" s="459"/>
      <c r="B419" t="s">
        <v>2259</v>
      </c>
      <c r="D419" s="460"/>
    </row>
    <row r="420" spans="1:4">
      <c r="A420" s="459"/>
      <c r="D420" s="460"/>
    </row>
    <row r="421" spans="1:4">
      <c r="A421" s="459"/>
      <c r="C421" t="str">
        <f>Storage_rounded_off_prod!M20</f>
        <v>July'26</v>
      </c>
      <c r="D421" s="460"/>
    </row>
    <row r="422" spans="1:4">
      <c r="A422" s="459"/>
      <c r="B422" t="str">
        <f>VLOOKUP($C$415,interFY_transition!$D$9:$U$12,interFY_transition!J7,"false")</f>
        <v>Apr'26</v>
      </c>
      <c r="D422" s="460"/>
    </row>
    <row r="423" spans="1:4">
      <c r="A423" s="459"/>
      <c r="B423" t="str">
        <f>VLOOKUP($C$415,interFY_transition!$D$9:$U$12,interFY_transition!K7,"false")</f>
        <v>May'26</v>
      </c>
      <c r="D423" s="460"/>
    </row>
    <row r="424" spans="1:4">
      <c r="A424" s="459"/>
      <c r="B424" t="str">
        <f>VLOOKUP($C$415,interFY_transition!$D$9:$U$12,interFY_transition!L7,"false")</f>
        <v>June'26</v>
      </c>
      <c r="D424" s="460"/>
    </row>
    <row r="425" spans="1:4">
      <c r="A425" s="459"/>
      <c r="B425" t="str">
        <f>VLOOKUP($C$415,interFY_transition!$D$9:$U$12,interFY_transition!M7,"false")</f>
        <v>July'26</v>
      </c>
      <c r="D425" s="460"/>
    </row>
    <row r="426" spans="1:4">
      <c r="A426" s="459"/>
      <c r="B426" t="str">
        <f>VLOOKUP($C$415,interFY_transition!$D$9:$U$12,interFY_transition!N7,"false")</f>
        <v>Aug'26</v>
      </c>
      <c r="D426" s="460"/>
    </row>
    <row r="427" spans="1:4">
      <c r="A427" s="459"/>
      <c r="B427" t="str">
        <f>VLOOKUP($C$415,interFY_transition!$D$9:$U$12,interFY_transition!O7,"false")</f>
        <v>Sep'26</v>
      </c>
      <c r="D427" s="460"/>
    </row>
    <row r="428" spans="1:4">
      <c r="A428" s="459"/>
      <c r="B428" t="str">
        <f>VLOOKUP($C$415,interFY_transition!$D$9:$U$12,interFY_transition!P7,"false")</f>
        <v>Oct'26</v>
      </c>
      <c r="D428" s="460"/>
    </row>
    <row r="429" spans="1:4">
      <c r="A429" s="459"/>
      <c r="B429" t="str">
        <f>VLOOKUP($C$415,interFY_transition!$D$9:$U$12,interFY_transition!Q7,"false")</f>
        <v>Nov'26</v>
      </c>
      <c r="D429" s="460"/>
    </row>
    <row r="430" spans="1:4">
      <c r="A430" s="459"/>
      <c r="B430" t="str">
        <f>VLOOKUP($C$415,interFY_transition!$D$9:$U$12,interFY_transition!R7,"false")</f>
        <v>Dec'26</v>
      </c>
      <c r="D430" s="460"/>
    </row>
    <row r="431" spans="1:4">
      <c r="A431" s="459"/>
      <c r="B431" t="str">
        <f>VLOOKUP($C$415,interFY_transition!$D$9:$U$12,interFY_transition!S7,"false")</f>
        <v>Jan'27</v>
      </c>
      <c r="D431" s="460"/>
    </row>
    <row r="432" spans="1:4">
      <c r="A432" s="459"/>
      <c r="B432" t="str">
        <f>VLOOKUP($C$415,interFY_transition!$D$9:$U$12,interFY_transition!T7,"false")</f>
        <v>Feb'27</v>
      </c>
      <c r="D432" s="460"/>
    </row>
    <row r="433" spans="1:4">
      <c r="A433" s="459"/>
      <c r="B433" t="str">
        <f>VLOOKUP($C$415,interFY_transition!$D$9:$U$12,interFY_transition!U7,"false")</f>
        <v>Mar'27</v>
      </c>
      <c r="D433" s="460"/>
    </row>
    <row r="434" spans="1:4">
      <c r="A434" s="459"/>
      <c r="B434" t="s">
        <v>306</v>
      </c>
      <c r="D434" s="460"/>
    </row>
    <row r="435" spans="1:4" ht="15.75" thickBot="1">
      <c r="A435" s="461"/>
      <c r="B435" s="462"/>
      <c r="C435" s="462"/>
      <c r="D435" s="463"/>
    </row>
  </sheetData>
  <phoneticPr fontId="14"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activity xmlns="1a55d4e4-b481-45c2-9d44-2379940064f5"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60388D7ACBCAB44B979BE47AA21ED580" ma:contentTypeVersion="14" ma:contentTypeDescription="Create a new document." ma:contentTypeScope="" ma:versionID="6307edd27e053b70eda5f52fa3412cd1">
  <xsd:schema xmlns:xsd="http://www.w3.org/2001/XMLSchema" xmlns:xs="http://www.w3.org/2001/XMLSchema" xmlns:p="http://schemas.microsoft.com/office/2006/metadata/properties" xmlns:ns3="1a55d4e4-b481-45c2-9d44-2379940064f5" xmlns:ns4="c3d846d4-5c15-4790-9b0e-099c4edd8c54" targetNamespace="http://schemas.microsoft.com/office/2006/metadata/properties" ma:root="true" ma:fieldsID="1b37698d63f142e5b0680c319e078690" ns3:_="" ns4:_="">
    <xsd:import namespace="1a55d4e4-b481-45c2-9d44-2379940064f5"/>
    <xsd:import namespace="c3d846d4-5c15-4790-9b0e-099c4edd8c54"/>
    <xsd:element name="properties">
      <xsd:complexType>
        <xsd:sequence>
          <xsd:element name="documentManagement">
            <xsd:complexType>
              <xsd:all>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4:SharedWithUsers" minOccurs="0"/>
                <xsd:element ref="ns4:SharedWithDetails" minOccurs="0"/>
                <xsd:element ref="ns4:SharingHintHash" minOccurs="0"/>
                <xsd:element ref="ns3:_activity" minOccurs="0"/>
                <xsd:element ref="ns3:MediaServiceSystemTags" minOccurs="0"/>
                <xsd:element ref="ns3:MediaServiceOCR" minOccurs="0"/>
                <xsd:element ref="ns3:MediaServiceGenerationTime" minOccurs="0"/>
                <xsd:element ref="ns3:MediaServiceEventHashCode"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a55d4e4-b481-45c2-9d44-2379940064f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_activity" ma:index="16" nillable="true" ma:displayName="_activity" ma:hidden="true" ma:internalName="_activity">
      <xsd:simpleType>
        <xsd:restriction base="dms:Note"/>
      </xsd:simpleType>
    </xsd:element>
    <xsd:element name="MediaServiceSystemTags" ma:index="17" nillable="true" ma:displayName="MediaServiceSystemTags" ma:hidden="true" ma:internalName="MediaServiceSystemTags"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ServiceLocation" ma:index="21"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3d846d4-5c15-4790-9b0e-099c4edd8c54"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element name="SharingHintHash" ma:index="15"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1C2E720-ACF9-4ED6-A0EE-F5FCD1C7B01D}">
  <ds:schemaRefs>
    <ds:schemaRef ds:uri="http://schemas.microsoft.com/sharepoint/v3/contenttype/forms"/>
  </ds:schemaRefs>
</ds:datastoreItem>
</file>

<file path=customXml/itemProps2.xml><?xml version="1.0" encoding="utf-8"?>
<ds:datastoreItem xmlns:ds="http://schemas.openxmlformats.org/officeDocument/2006/customXml" ds:itemID="{A20811D3-B86A-4F81-A32C-5F44917F23A3}">
  <ds:schemaRefs>
    <ds:schemaRef ds:uri="http://purl.org/dc/elements/1.1/"/>
    <ds:schemaRef ds:uri="http://purl.org/dc/dcmitype/"/>
    <ds:schemaRef ds:uri="http://schemas.microsoft.com/office/infopath/2007/PartnerControls"/>
    <ds:schemaRef ds:uri="http://schemas.microsoft.com/office/2006/metadata/properties"/>
    <ds:schemaRef ds:uri="1a55d4e4-b481-45c2-9d44-2379940064f5"/>
    <ds:schemaRef ds:uri="http://www.w3.org/XML/1998/namespace"/>
    <ds:schemaRef ds:uri="c3d846d4-5c15-4790-9b0e-099c4edd8c54"/>
    <ds:schemaRef ds:uri="http://schemas.microsoft.com/office/2006/documentManagement/types"/>
    <ds:schemaRef ds:uri="http://schemas.openxmlformats.org/package/2006/metadata/core-properties"/>
    <ds:schemaRef ds:uri="http://purl.org/dc/terms/"/>
  </ds:schemaRefs>
</ds:datastoreItem>
</file>

<file path=customXml/itemProps3.xml><?xml version="1.0" encoding="utf-8"?>
<ds:datastoreItem xmlns:ds="http://schemas.openxmlformats.org/officeDocument/2006/customXml" ds:itemID="{ECC6410A-CB64-41C9-AA57-4D3CAFF64F1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a55d4e4-b481-45c2-9d44-2379940064f5"/>
    <ds:schemaRef ds:uri="c3d846d4-5c15-4790-9b0e-099c4edd8c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64</vt:i4>
      </vt:variant>
      <vt:variant>
        <vt:lpstr>Named Ranges</vt:lpstr>
      </vt:variant>
      <vt:variant>
        <vt:i4>30</vt:i4>
      </vt:variant>
    </vt:vector>
  </HeadingPairs>
  <TitlesOfParts>
    <vt:vector size="94" baseType="lpstr">
      <vt:lpstr>carryforward_cf</vt:lpstr>
      <vt:lpstr>from CP sheet</vt:lpstr>
      <vt:lpstr>Approval_format</vt:lpstr>
      <vt:lpstr>ACG</vt:lpstr>
      <vt:lpstr>BC10</vt:lpstr>
      <vt:lpstr>MECL</vt:lpstr>
      <vt:lpstr>A1A3</vt:lpstr>
      <vt:lpstr>Sakhalin</vt:lpstr>
      <vt:lpstr>IEC</vt:lpstr>
      <vt:lpstr>Vankor</vt:lpstr>
      <vt:lpstr>Vietnam</vt:lpstr>
      <vt:lpstr>Carabobo</vt:lpstr>
      <vt:lpstr>Sancristobal</vt:lpstr>
      <vt:lpstr>LZC</vt:lpstr>
      <vt:lpstr>GPOC</vt:lpstr>
      <vt:lpstr>SPOC</vt:lpstr>
      <vt:lpstr>CPO5</vt:lpstr>
      <vt:lpstr>CF_lat</vt:lpstr>
      <vt:lpstr>DPRavg</vt:lpstr>
      <vt:lpstr>non-reconprod</vt:lpstr>
      <vt:lpstr>interFY_transition</vt:lpstr>
      <vt:lpstr>Processed_Reconciled Prod</vt:lpstr>
      <vt:lpstr>Previous year</vt:lpstr>
      <vt:lpstr>Storage_Targets</vt:lpstr>
      <vt:lpstr>YTDtarget</vt:lpstr>
      <vt:lpstr>YTD display</vt:lpstr>
      <vt:lpstr>BEREMOU</vt:lpstr>
      <vt:lpstr>Targets-chosen</vt:lpstr>
      <vt:lpstr>Target_monthwise</vt:lpstr>
      <vt:lpstr>DTR</vt:lpstr>
      <vt:lpstr>Tables</vt:lpstr>
      <vt:lpstr>Charts-OVL</vt:lpstr>
      <vt:lpstr>Charts-MENA CIS</vt:lpstr>
      <vt:lpstr>Charts-LAC</vt:lpstr>
      <vt:lpstr>Charts-AP</vt:lpstr>
      <vt:lpstr>Charts-Russia</vt:lpstr>
      <vt:lpstr>prod_compiled</vt:lpstr>
      <vt:lpstr>Asking Rate</vt:lpstr>
      <vt:lpstr>2FY</vt:lpstr>
      <vt:lpstr>mtd&amp;ytd</vt:lpstr>
      <vt:lpstr>Dashboard</vt:lpstr>
      <vt:lpstr>DPR</vt:lpstr>
      <vt:lpstr>OperProdn Loss</vt:lpstr>
      <vt:lpstr>Internal</vt:lpstr>
      <vt:lpstr>LBL</vt:lpstr>
      <vt:lpstr>all_remarks</vt:lpstr>
      <vt:lpstr>Graphs_full</vt:lpstr>
      <vt:lpstr>YTD_ach</vt:lpstr>
      <vt:lpstr>Prodn Data 24-25</vt:lpstr>
      <vt:lpstr>report_prodcompiled</vt:lpstr>
      <vt:lpstr>Gap_analysis</vt:lpstr>
      <vt:lpstr>Quarterly Analysis</vt:lpstr>
      <vt:lpstr>Yearly Analysis</vt:lpstr>
      <vt:lpstr>Monthly analysis</vt:lpstr>
      <vt:lpstr>YoY</vt:lpstr>
      <vt:lpstr>Previous Comp</vt:lpstr>
      <vt:lpstr>Mat_Balance</vt:lpstr>
      <vt:lpstr>Standardised rates</vt:lpstr>
      <vt:lpstr>reference_points</vt:lpstr>
      <vt:lpstr>Comparison_between_ref_points</vt:lpstr>
      <vt:lpstr>Storage_Reconciled_prod</vt:lpstr>
      <vt:lpstr>Storage_rounded_off_prod</vt:lpstr>
      <vt:lpstr>Storage_Reconciled_prod_chosen</vt:lpstr>
      <vt:lpstr>Dropdowns</vt:lpstr>
      <vt:lpstr>'2FY'!Print_Area</vt:lpstr>
      <vt:lpstr>all_remarks!Print_Area</vt:lpstr>
      <vt:lpstr>Approval_format!Print_Area</vt:lpstr>
      <vt:lpstr>'Asking Rate'!Print_Area</vt:lpstr>
      <vt:lpstr>'Charts-AP'!Print_Area</vt:lpstr>
      <vt:lpstr>'Charts-LAC'!Print_Area</vt:lpstr>
      <vt:lpstr>'Charts-MENA CIS'!Print_Area</vt:lpstr>
      <vt:lpstr>'Charts-OVL'!Print_Area</vt:lpstr>
      <vt:lpstr>'Charts-Russia'!Print_Area</vt:lpstr>
      <vt:lpstr>Comparison_between_ref_points!Print_Area</vt:lpstr>
      <vt:lpstr>Dashboard!Print_Area</vt:lpstr>
      <vt:lpstr>DPR!Print_Area</vt:lpstr>
      <vt:lpstr>Gap_analysis!Print_Area</vt:lpstr>
      <vt:lpstr>interFY_transition!Print_Area</vt:lpstr>
      <vt:lpstr>Internal!Print_Area</vt:lpstr>
      <vt:lpstr>Mat_Balance!Print_Area</vt:lpstr>
      <vt:lpstr>'Monthly analysis'!Print_Area</vt:lpstr>
      <vt:lpstr>'mtd&amp;ytd'!Print_Area</vt:lpstr>
      <vt:lpstr>'OperProdn Loss'!Print_Area</vt:lpstr>
      <vt:lpstr>'Previous Comp'!Print_Area</vt:lpstr>
      <vt:lpstr>'Previous year'!Print_Area</vt:lpstr>
      <vt:lpstr>'Processed_Reconciled Prod'!Print_Area</vt:lpstr>
      <vt:lpstr>'Prodn Data 24-25'!Print_Area</vt:lpstr>
      <vt:lpstr>'Quarterly Analysis'!Print_Area</vt:lpstr>
      <vt:lpstr>report_prodcompiled!Print_Area</vt:lpstr>
      <vt:lpstr>'Standardised rates'!Print_Area</vt:lpstr>
      <vt:lpstr>'Targets-chosen'!Print_Area</vt:lpstr>
      <vt:lpstr>'Yearly Analysis'!Print_Area</vt:lpstr>
      <vt:lpstr>YoY!Print_Area</vt:lpstr>
      <vt:lpstr>YTD_ach!Print_Area</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MTC</dc:title>
  <dc:creator>MTC</dc:creator>
  <cp:keywords>MTC</cp:keywords>
  <cp:lastModifiedBy>Technical Cell</cp:lastModifiedBy>
  <cp:lastPrinted>2026-07-03T11:11:06Z</cp:lastPrinted>
  <dcterms:created xsi:type="dcterms:W3CDTF">2021-10-21T08:04:24Z</dcterms:created>
  <dcterms:modified xsi:type="dcterms:W3CDTF">2026-09-01T11:12:04Z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0x01010060388D7ACBCAB44B979BE47AA21ED580</vt:lpwstr>
  </property>
</Properties>
</file>